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98F927F5-06C6-41D6-9882-7558644590BD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</calcChain>
</file>

<file path=xl/sharedStrings.xml><?xml version="1.0" encoding="utf-8"?>
<sst xmlns="http://schemas.openxmlformats.org/spreadsheetml/2006/main" count="17106" uniqueCount="119">
  <si>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</si>
  <si>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</si>
  <si>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</si>
  <si>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</si>
  <si>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</si>
  <si>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</si>
  <si>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</si>
  <si>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</si>
  <si>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</si>
  <si>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</si>
  <si>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</si>
  <si>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</si>
  <si>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</si>
  <si>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</si>
  <si>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</si>
  <si>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</si>
  <si>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</si>
  <si>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</si>
  <si>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</si>
  <si>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</si>
  <si>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</si>
  <si>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</si>
  <si>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</si>
  <si>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</si>
  <si>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</si>
  <si>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</si>
  <si>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</si>
  <si>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</si>
  <si>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</si>
  <si>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</si>
  <si>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</si>
  <si>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</si>
  <si>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</si>
  <si>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</si>
  <si>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</si>
  <si>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</si>
  <si>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</si>
  <si>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</si>
  <si>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</si>
  <si>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</si>
  <si>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</si>
  <si>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</si>
  <si>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</si>
  <si>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</si>
  <si>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mcp_roads_turn_01 (1)</t>
  </si>
  <si>
    <t>Building 07 (16)</t>
  </si>
  <si>
    <t>Floor 01</t>
  </si>
  <si>
    <t>FAR</t>
  </si>
  <si>
    <t>Building 03</t>
  </si>
  <si>
    <t>Wall Small 03 (23)</t>
  </si>
  <si>
    <t>Pilar Small (26)</t>
  </si>
  <si>
    <t>Tree 04 (23)</t>
  </si>
  <si>
    <t>Tree 05 (3)</t>
  </si>
  <si>
    <t>Building 18 (9)</t>
  </si>
  <si>
    <t>Box001</t>
  </si>
  <si>
    <t>Building 14 (14)</t>
  </si>
  <si>
    <t>Building 07 (13)</t>
  </si>
  <si>
    <t>Building 15 (24)</t>
  </si>
  <si>
    <t>Building 15 (22)</t>
  </si>
  <si>
    <t>Building 07 (17)</t>
  </si>
  <si>
    <t>Building 24</t>
  </si>
  <si>
    <t>Building 07 (18)</t>
  </si>
  <si>
    <t>mcp_roads_T_cross_01</t>
  </si>
  <si>
    <t>Building 15 (34)</t>
  </si>
  <si>
    <t>Tree 05 (15)</t>
  </si>
  <si>
    <t>Building 15 (35)</t>
  </si>
  <si>
    <t>Building 24 (1)</t>
  </si>
  <si>
    <t>Building 18 (11)</t>
  </si>
  <si>
    <t>Building 18 (2)</t>
  </si>
  <si>
    <t>Building 18 (5)</t>
  </si>
  <si>
    <t>Building 18 (4)</t>
  </si>
  <si>
    <t>Tree 02 (3)</t>
  </si>
  <si>
    <t>Tong (3)</t>
  </si>
  <si>
    <t>Building 18 (6)</t>
  </si>
  <si>
    <t>mcp_road_part_01</t>
  </si>
  <si>
    <t>Building 07 (4)</t>
  </si>
  <si>
    <t>Building 15 (33)</t>
  </si>
  <si>
    <t>Building 15 (31)</t>
  </si>
  <si>
    <t>mcp_roads_cross_01</t>
  </si>
  <si>
    <t>Building 15 (18)</t>
  </si>
  <si>
    <t>Building 01 (9)</t>
  </si>
  <si>
    <t>Building 15 (32)</t>
  </si>
  <si>
    <t>Building 15 (30)</t>
  </si>
  <si>
    <t>Building 09 (4)</t>
  </si>
  <si>
    <t>Building 07 (15)</t>
  </si>
  <si>
    <t>mcp_roads_turn_01</t>
  </si>
  <si>
    <t>Building 02 (11)</t>
  </si>
  <si>
    <t>mcp_building_24_fountain_marble</t>
  </si>
  <si>
    <t>Tree 02 (2)</t>
  </si>
  <si>
    <t>Building 15 (9)</t>
  </si>
  <si>
    <t>Stand 03 (2)</t>
  </si>
  <si>
    <t>Building 11 (3)</t>
  </si>
  <si>
    <t>Building 01</t>
  </si>
  <si>
    <t>Canopi 01 (5)</t>
  </si>
  <si>
    <t>mcp_roads_cross_02</t>
  </si>
  <si>
    <t>Stand 03 (4)</t>
  </si>
  <si>
    <t>Building 21 (2)</t>
  </si>
  <si>
    <t>Building 13 (1)</t>
  </si>
  <si>
    <t>mcp_road_part_02 (1)</t>
  </si>
  <si>
    <t>Building 18 (7)</t>
  </si>
  <si>
    <t>mcp_road_part_02 (2)</t>
  </si>
  <si>
    <t>mcp_road_part_02 (3)</t>
  </si>
  <si>
    <t>Building 30 (4)</t>
  </si>
  <si>
    <t>Building 23 (4)</t>
  </si>
  <si>
    <t>Tree 04 (7)</t>
  </si>
  <si>
    <t>Tree 04 (6)</t>
  </si>
  <si>
    <t>Tree 04 (5)</t>
  </si>
  <si>
    <t>Shurbs (3)</t>
  </si>
  <si>
    <t>Fire Hydrant (3)</t>
  </si>
  <si>
    <t>Building 07 (14)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</si>
  <si>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</si>
  <si>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</si>
  <si>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</si>
  <si>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</si>
  <si>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</si>
  <si>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</si>
  <si>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</si>
  <si>
    <t>Canopi 01 (4)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</si>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</sst>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53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"20190305134910143"</f>
        <v>20190305134910143</v>
      </c>
      <c r="B2" t="str">
        <f>"1551764950130647"</f>
        <v>1551764950130647</v>
      </c>
      <c r="C2" t="s">
        <v>40</v>
      </c>
      <c r="D2">
        <v>4.1122259999999997</v>
      </c>
      <c r="E2">
        <v>0.56789630000000002</v>
      </c>
      <c r="F2" t="s">
        <v>41</v>
      </c>
      <c r="G2">
        <v>-475.9092</v>
      </c>
      <c r="H2">
        <v>0.97721550000000001</v>
      </c>
      <c r="I2">
        <v>367.10140000000001</v>
      </c>
      <c r="J2">
        <v>-476.60239999999999</v>
      </c>
      <c r="K2">
        <v>1.1095349999999999</v>
      </c>
      <c r="L2">
        <v>367.22059999999999</v>
      </c>
      <c r="M2">
        <v>0.99996580000000002</v>
      </c>
      <c r="N2">
        <v>-8.2588460000000002E-3</v>
      </c>
      <c r="O2">
        <v>-1.2748600000000001E-4</v>
      </c>
      <c r="P2">
        <v>0.99868920000000005</v>
      </c>
      <c r="Q2">
        <v>-4.9646089999999997E-2</v>
      </c>
      <c r="R2">
        <v>1.2451479999999999E-2</v>
      </c>
      <c r="S2">
        <v>2.9822389999999999</v>
      </c>
      <c r="T2">
        <v>-0.5633456</v>
      </c>
      <c r="U2">
        <v>-0.50598140000000003</v>
      </c>
      <c r="V2">
        <v>-1.2580539999999999E-2</v>
      </c>
      <c r="W2">
        <v>-4.1395889999999998E-2</v>
      </c>
      <c r="X2">
        <v>0.99906360000000005</v>
      </c>
      <c r="Y2">
        <v>0.16419909999999999</v>
      </c>
      <c r="Z2">
        <v>-1.5932660000000001E-2</v>
      </c>
      <c r="AA2">
        <v>0.98629860000000003</v>
      </c>
      <c r="AB2">
        <v>1</v>
      </c>
      <c r="AC2">
        <v>0.69319999999999005</v>
      </c>
      <c r="AD2">
        <v>-0.13231949999999901</v>
      </c>
      <c r="AE2">
        <v>-0.119199999999978</v>
      </c>
      <c r="AF2">
        <v>0.11504039371470599</v>
      </c>
      <c r="AG2">
        <v>-0.13231949999999901</v>
      </c>
      <c r="AH2">
        <v>0.66952113244169698</v>
      </c>
      <c r="AI2">
        <v>101.021991065824</v>
      </c>
      <c r="AJ2">
        <v>80.250363893244199</v>
      </c>
      <c r="AK2">
        <v>0.69209919018324095</v>
      </c>
      <c r="AL2">
        <v>92.372487745461001</v>
      </c>
      <c r="AM2">
        <v>90.7214493158137</v>
      </c>
      <c r="AN2">
        <v>0.99999998327027095</v>
      </c>
    </row>
    <row r="3" spans="1:40" x14ac:dyDescent="0.25">
      <c r="A3" t="str">
        <f>"20190305134910157"</f>
        <v>20190305134910157</v>
      </c>
      <c r="B3" t="str">
        <f>"1551764950151142"</f>
        <v>1551764950151142</v>
      </c>
      <c r="C3" t="s">
        <v>40</v>
      </c>
      <c r="D3">
        <v>4.2125279999999998</v>
      </c>
      <c r="E3">
        <v>0.5680056</v>
      </c>
      <c r="F3" t="s">
        <v>41</v>
      </c>
      <c r="G3">
        <v>-475.90039999999999</v>
      </c>
      <c r="H3">
        <v>0.97720600000000002</v>
      </c>
      <c r="I3">
        <v>367.10059999999999</v>
      </c>
      <c r="J3">
        <v>-476.59719999999999</v>
      </c>
      <c r="K3">
        <v>1.1096269999999999</v>
      </c>
      <c r="L3">
        <v>367.22059999999999</v>
      </c>
      <c r="M3">
        <v>0.99996580000000002</v>
      </c>
      <c r="N3">
        <v>-8.2850960000000005E-3</v>
      </c>
      <c r="O3">
        <v>-1.2770580000000001E-4</v>
      </c>
      <c r="P3">
        <v>0.99866310000000003</v>
      </c>
      <c r="Q3">
        <v>-5.016603E-2</v>
      </c>
      <c r="R3">
        <v>1.247901E-2</v>
      </c>
      <c r="S3">
        <v>2.9823</v>
      </c>
      <c r="T3">
        <v>-0.5623688</v>
      </c>
      <c r="U3">
        <v>-0.5078125</v>
      </c>
      <c r="V3">
        <v>-1.2608390000000001E-2</v>
      </c>
      <c r="W3">
        <v>-4.1889820000000001E-2</v>
      </c>
      <c r="X3">
        <v>0.99904269999999995</v>
      </c>
      <c r="Y3">
        <v>0.1647836</v>
      </c>
      <c r="Z3">
        <v>-1.5964490000000001E-2</v>
      </c>
      <c r="AA3">
        <v>0.98620050000000004</v>
      </c>
      <c r="AB3">
        <v>1</v>
      </c>
      <c r="AC3">
        <v>0.69679999999999598</v>
      </c>
      <c r="AD3">
        <v>-0.13242100000000001</v>
      </c>
      <c r="AE3">
        <v>-0.12000000000000401</v>
      </c>
      <c r="AF3">
        <v>0.115847594094535</v>
      </c>
      <c r="AG3">
        <v>-0.13242100000000001</v>
      </c>
      <c r="AH3">
        <v>0.67320238490205797</v>
      </c>
      <c r="AI3">
        <v>100.970925866459</v>
      </c>
      <c r="AJ3">
        <v>80.235924828015001</v>
      </c>
      <c r="AK3">
        <v>0.69581422616694999</v>
      </c>
      <c r="AL3">
        <v>92.400812326385605</v>
      </c>
      <c r="AM3">
        <v>90.723061369635303</v>
      </c>
      <c r="AN3">
        <v>1.00000002247065</v>
      </c>
    </row>
    <row r="4" spans="1:40" x14ac:dyDescent="0.25">
      <c r="A4" t="str">
        <f>"20190305134910177"</f>
        <v>20190305134910177</v>
      </c>
      <c r="B4" t="str">
        <f>"1551764950170663"</f>
        <v>1551764950170663</v>
      </c>
      <c r="C4" t="s">
        <v>40</v>
      </c>
      <c r="D4">
        <v>4.1023360000000002</v>
      </c>
      <c r="E4">
        <v>0.56809209999999999</v>
      </c>
      <c r="F4" t="s">
        <v>41</v>
      </c>
      <c r="G4">
        <v>-475.89499999999998</v>
      </c>
      <c r="H4">
        <v>0.9761128</v>
      </c>
      <c r="I4">
        <v>367.10050000000001</v>
      </c>
      <c r="J4">
        <v>-476.59249999999997</v>
      </c>
      <c r="K4">
        <v>1.1099589999999999</v>
      </c>
      <c r="L4">
        <v>367.22070000000002</v>
      </c>
      <c r="M4">
        <v>0.99995840000000003</v>
      </c>
      <c r="N4">
        <v>-9.1176950000000003E-3</v>
      </c>
      <c r="O4">
        <v>-1.2895039999999999E-4</v>
      </c>
      <c r="P4">
        <v>0.9985735</v>
      </c>
      <c r="Q4">
        <v>-5.191987E-2</v>
      </c>
      <c r="R4">
        <v>1.2466059999999999E-2</v>
      </c>
      <c r="S4">
        <v>2.981903</v>
      </c>
      <c r="T4">
        <v>-0.56702379999999997</v>
      </c>
      <c r="U4">
        <v>-0.50894170000000005</v>
      </c>
      <c r="V4">
        <v>-1.259646E-2</v>
      </c>
      <c r="W4">
        <v>-4.281256E-2</v>
      </c>
      <c r="X4">
        <v>0.99900370000000005</v>
      </c>
      <c r="Y4">
        <v>0.1651</v>
      </c>
      <c r="Z4">
        <v>-1.6191049999999998E-2</v>
      </c>
      <c r="AA4">
        <v>0.98614389999999996</v>
      </c>
      <c r="AB4">
        <v>1</v>
      </c>
      <c r="AC4">
        <v>0.69749999999999002</v>
      </c>
      <c r="AD4">
        <v>-0.133846199999999</v>
      </c>
      <c r="AE4">
        <v>-0.12020000000001101</v>
      </c>
      <c r="AF4">
        <v>0.11596305609631</v>
      </c>
      <c r="AG4">
        <v>-0.133846199999999</v>
      </c>
      <c r="AH4">
        <v>0.67343262992310005</v>
      </c>
      <c r="AI4">
        <v>101.082192011448</v>
      </c>
      <c r="AJ4">
        <v>80.229658009731295</v>
      </c>
      <c r="AK4">
        <v>0.69632876048514603</v>
      </c>
      <c r="AL4">
        <v>92.453728993485896</v>
      </c>
      <c r="AM4">
        <v>90.722405482684593</v>
      </c>
      <c r="AN4">
        <v>0.999999989355987</v>
      </c>
    </row>
    <row r="5" spans="1:40" x14ac:dyDescent="0.25">
      <c r="A5" t="str">
        <f>"20190305134910191"</f>
        <v>20190305134910191</v>
      </c>
      <c r="B5" t="str">
        <f>"1551764950180424"</f>
        <v>1551764950180424</v>
      </c>
      <c r="C5" t="s">
        <v>40</v>
      </c>
      <c r="D5">
        <v>4.188561</v>
      </c>
      <c r="E5">
        <v>0.56794</v>
      </c>
      <c r="F5" t="s">
        <v>41</v>
      </c>
      <c r="G5">
        <v>-475.89179999999999</v>
      </c>
      <c r="H5">
        <v>0.97582259999999998</v>
      </c>
      <c r="I5">
        <v>367.10050000000001</v>
      </c>
      <c r="J5">
        <v>-476.58969999999999</v>
      </c>
      <c r="K5">
        <v>1.1102030000000001</v>
      </c>
      <c r="L5">
        <v>367.22059999999999</v>
      </c>
      <c r="M5">
        <v>0.9999517</v>
      </c>
      <c r="N5">
        <v>-9.8369379999999999E-3</v>
      </c>
      <c r="O5">
        <v>-1.3022209999999999E-4</v>
      </c>
      <c r="P5">
        <v>0.99853720000000001</v>
      </c>
      <c r="Q5">
        <v>-5.2613880000000002E-2</v>
      </c>
      <c r="R5">
        <v>1.247056E-2</v>
      </c>
      <c r="S5">
        <v>2.9809570000000001</v>
      </c>
      <c r="T5">
        <v>-0.57079399999999902</v>
      </c>
      <c r="U5">
        <v>-0.50952149999999996</v>
      </c>
      <c r="V5">
        <v>-1.2602189999999999E-2</v>
      </c>
      <c r="W5">
        <v>-4.2788369999999999E-2</v>
      </c>
      <c r="X5">
        <v>0.99900469999999997</v>
      </c>
      <c r="Y5">
        <v>0.1652815</v>
      </c>
      <c r="Z5">
        <v>-1.6374710000000001E-2</v>
      </c>
      <c r="AA5">
        <v>0.9861105</v>
      </c>
      <c r="AB5">
        <v>1</v>
      </c>
      <c r="AC5">
        <v>0.69790000000000396</v>
      </c>
      <c r="AD5">
        <v>-0.13438039999999901</v>
      </c>
      <c r="AE5">
        <v>-0.120099999999979</v>
      </c>
      <c r="AF5">
        <v>0.11583790647973401</v>
      </c>
      <c r="AG5">
        <v>-0.13438039999999901</v>
      </c>
      <c r="AH5">
        <v>0.67365789361519701</v>
      </c>
      <c r="AI5">
        <v>101.122135021996</v>
      </c>
      <c r="AJ5">
        <v>80.243200349346793</v>
      </c>
      <c r="AK5">
        <v>0.69662864577322103</v>
      </c>
      <c r="AL5">
        <v>92.452341649356299</v>
      </c>
      <c r="AM5">
        <v>90.722733339276303</v>
      </c>
      <c r="AN5">
        <v>1.0000000252110699</v>
      </c>
    </row>
    <row r="6" spans="1:40" x14ac:dyDescent="0.25">
      <c r="A6" t="str">
        <f>"20190305134910238"</f>
        <v>20190305134910238</v>
      </c>
      <c r="B6" t="str">
        <f>"1551764950231175"</f>
        <v>1551764950231175</v>
      </c>
      <c r="C6" t="s">
        <v>40</v>
      </c>
      <c r="D6">
        <v>4.0423770000000001</v>
      </c>
      <c r="E6">
        <v>0.56847720000000002</v>
      </c>
      <c r="F6" t="s">
        <v>41</v>
      </c>
      <c r="G6">
        <v>-475.87290000000002</v>
      </c>
      <c r="H6">
        <v>0.97467709999999996</v>
      </c>
      <c r="I6">
        <v>367.09980000000002</v>
      </c>
      <c r="J6">
        <v>-476.56560000000002</v>
      </c>
      <c r="K6">
        <v>1.1096520000000001</v>
      </c>
      <c r="L6">
        <v>367.22070000000002</v>
      </c>
      <c r="M6">
        <v>0.99997040000000004</v>
      </c>
      <c r="N6">
        <v>-7.7066790000000001E-3</v>
      </c>
      <c r="O6">
        <v>-1.2907239999999999E-4</v>
      </c>
      <c r="P6">
        <v>0.99865979999999999</v>
      </c>
      <c r="Q6">
        <v>-5.0165950000000001E-2</v>
      </c>
      <c r="R6">
        <v>1.273292E-2</v>
      </c>
      <c r="S6">
        <v>2.9811399999999999</v>
      </c>
      <c r="T6">
        <v>-0.57420329999999997</v>
      </c>
      <c r="U6">
        <v>-0.51113889999999995</v>
      </c>
      <c r="V6">
        <v>-1.286341E-2</v>
      </c>
      <c r="W6">
        <v>-4.2467659999999997E-2</v>
      </c>
      <c r="X6">
        <v>0.99901499999999999</v>
      </c>
      <c r="Y6">
        <v>0.16578219999999999</v>
      </c>
      <c r="Z6">
        <v>-1.6334729999999999E-2</v>
      </c>
      <c r="AA6">
        <v>0.98602710000000005</v>
      </c>
      <c r="AB6">
        <v>1</v>
      </c>
      <c r="AC6">
        <v>0.69270000000000198</v>
      </c>
      <c r="AD6">
        <v>-0.13497490000000001</v>
      </c>
      <c r="AE6">
        <v>-0.120900000000006</v>
      </c>
      <c r="AF6">
        <v>0.11651745292757899</v>
      </c>
      <c r="AG6">
        <v>-0.13497490000000001</v>
      </c>
      <c r="AH6">
        <v>0.66809920113874799</v>
      </c>
      <c r="AI6">
        <v>101.256161216775</v>
      </c>
      <c r="AJ6">
        <v>80.107034576470099</v>
      </c>
      <c r="AK6">
        <v>0.69148469471780305</v>
      </c>
      <c r="AL6">
        <v>92.433949737004497</v>
      </c>
      <c r="AM6">
        <v>90.737705015579493</v>
      </c>
      <c r="AN6">
        <v>0.99999996984385098</v>
      </c>
    </row>
    <row r="7" spans="1:40" x14ac:dyDescent="0.25">
      <c r="A7" t="str">
        <f>"20190305134910256"</f>
        <v>20190305134910256</v>
      </c>
      <c r="B7" t="str">
        <f>"1551764950240935"</f>
        <v>1551764950240935</v>
      </c>
      <c r="C7" t="s">
        <v>40</v>
      </c>
      <c r="D7">
        <v>4.0689739999999999</v>
      </c>
      <c r="E7">
        <v>0.56851319999999905</v>
      </c>
      <c r="F7" t="s">
        <v>41</v>
      </c>
      <c r="G7">
        <v>-475.85890000000001</v>
      </c>
      <c r="H7">
        <v>0.97468860000000002</v>
      </c>
      <c r="I7">
        <v>367.09930000000003</v>
      </c>
      <c r="J7">
        <v>-476.55329999999998</v>
      </c>
      <c r="K7">
        <v>1.109531</v>
      </c>
      <c r="L7">
        <v>367.22059999999999</v>
      </c>
      <c r="M7">
        <v>0.99997530000000001</v>
      </c>
      <c r="N7">
        <v>-7.0425740000000002E-3</v>
      </c>
      <c r="O7">
        <v>-1.2733039999999999E-4</v>
      </c>
      <c r="P7">
        <v>0.99870119999999896</v>
      </c>
      <c r="Q7">
        <v>-4.9236269999999999E-2</v>
      </c>
      <c r="R7">
        <v>1.3118070000000001E-2</v>
      </c>
      <c r="S7">
        <v>2.981903</v>
      </c>
      <c r="T7">
        <v>-0.56950400000000001</v>
      </c>
      <c r="U7">
        <v>-0.51184079999999998</v>
      </c>
      <c r="V7">
        <v>-1.3246559999999999E-2</v>
      </c>
      <c r="W7">
        <v>-4.2201139999999998E-2</v>
      </c>
      <c r="X7">
        <v>0.9990213</v>
      </c>
      <c r="Y7">
        <v>0.1660239</v>
      </c>
      <c r="Z7">
        <v>-1.6172220000000001E-2</v>
      </c>
      <c r="AA7">
        <v>0.98598909999999995</v>
      </c>
      <c r="AB7">
        <v>1</v>
      </c>
      <c r="AC7">
        <v>0.69439999999997304</v>
      </c>
      <c r="AD7">
        <v>-0.1348424</v>
      </c>
      <c r="AE7">
        <v>-0.12129999999996199</v>
      </c>
      <c r="AF7">
        <v>0.11693283734530401</v>
      </c>
      <c r="AG7">
        <v>-0.1348424</v>
      </c>
      <c r="AH7">
        <v>0.66990273225389196</v>
      </c>
      <c r="AI7">
        <v>101.215607881948</v>
      </c>
      <c r="AJ7">
        <v>80.098664179651607</v>
      </c>
      <c r="AK7">
        <v>0.69327154273676495</v>
      </c>
      <c r="AL7">
        <v>92.418665531899805</v>
      </c>
      <c r="AM7">
        <v>90.759670996127198</v>
      </c>
      <c r="AN7">
        <v>0.999999982711411</v>
      </c>
    </row>
    <row r="8" spans="1:40" x14ac:dyDescent="0.25">
      <c r="A8" t="str">
        <f>"20190305134910270"</f>
        <v>20190305134910270</v>
      </c>
      <c r="B8" t="str">
        <f>"1551764950260455"</f>
        <v>1551764950260455</v>
      </c>
      <c r="C8" t="s">
        <v>40</v>
      </c>
      <c r="D8">
        <v>4.0255199999999904</v>
      </c>
      <c r="E8">
        <v>0.56856549999999995</v>
      </c>
      <c r="F8" t="s">
        <v>41</v>
      </c>
      <c r="G8">
        <v>-475.84710000000001</v>
      </c>
      <c r="H8">
        <v>0.97551359999999998</v>
      </c>
      <c r="I8">
        <v>367.09949999999998</v>
      </c>
      <c r="J8">
        <v>-476.54509999999999</v>
      </c>
      <c r="K8">
        <v>1.1096629999999901</v>
      </c>
      <c r="L8">
        <v>367.22070000000002</v>
      </c>
      <c r="M8">
        <v>0.99997369999999997</v>
      </c>
      <c r="N8">
        <v>-7.2654819999999898E-3</v>
      </c>
      <c r="O8">
        <v>-1.2575069999999999E-4</v>
      </c>
      <c r="P8">
        <v>0.99868440000000003</v>
      </c>
      <c r="Q8">
        <v>-4.9577940000000001E-2</v>
      </c>
      <c r="R8">
        <v>1.309805E-2</v>
      </c>
      <c r="S8">
        <v>2.982666</v>
      </c>
      <c r="T8">
        <v>-0.56613169999999902</v>
      </c>
      <c r="U8">
        <v>-0.51107789999999997</v>
      </c>
      <c r="V8">
        <v>-1.3225529999999999E-2</v>
      </c>
      <c r="W8">
        <v>-4.2320219999999999E-2</v>
      </c>
      <c r="X8">
        <v>0.99901660000000003</v>
      </c>
      <c r="Y8">
        <v>0.16577549999999999</v>
      </c>
      <c r="Z8">
        <v>-1.6072969999999999E-2</v>
      </c>
      <c r="AA8">
        <v>0.98603249999999998</v>
      </c>
      <c r="AB8">
        <v>2</v>
      </c>
      <c r="AC8">
        <v>0.69799999999997897</v>
      </c>
      <c r="AD8">
        <v>-0.134149399999999</v>
      </c>
      <c r="AE8">
        <v>-0.12120000000004399</v>
      </c>
      <c r="AF8">
        <v>0.11691990302154399</v>
      </c>
      <c r="AG8">
        <v>-0.134149399999999</v>
      </c>
      <c r="AH8">
        <v>0.67385332244047402</v>
      </c>
      <c r="AI8">
        <v>101.097526960888</v>
      </c>
      <c r="AJ8">
        <v>80.156641260711098</v>
      </c>
      <c r="AK8">
        <v>0.69695381870464901</v>
      </c>
      <c r="AL8">
        <v>92.425494271882897</v>
      </c>
      <c r="AM8">
        <v>90.7584686650208</v>
      </c>
      <c r="AN8">
        <v>1.00000004137009</v>
      </c>
    </row>
    <row r="9" spans="1:40" x14ac:dyDescent="0.25">
      <c r="A9" t="str">
        <f>"20190305134910282"</f>
        <v>20190305134910282</v>
      </c>
      <c r="B9" t="str">
        <f>"1551764950271192"</f>
        <v>1551764950271192</v>
      </c>
      <c r="C9" t="s">
        <v>40</v>
      </c>
      <c r="D9">
        <v>4.0610109999999997</v>
      </c>
      <c r="E9">
        <v>0.56866130000000004</v>
      </c>
      <c r="F9" t="s">
        <v>41</v>
      </c>
      <c r="G9">
        <v>-475.83909999999997</v>
      </c>
      <c r="H9">
        <v>0.97571560000000002</v>
      </c>
      <c r="I9">
        <v>367.0994</v>
      </c>
      <c r="J9">
        <v>-476.54020000000003</v>
      </c>
      <c r="K9">
        <v>1.1099429999999999</v>
      </c>
      <c r="L9">
        <v>367.22059999999999</v>
      </c>
      <c r="M9">
        <v>0.99996700000000005</v>
      </c>
      <c r="N9">
        <v>-8.1420840000000008E-3</v>
      </c>
      <c r="O9">
        <v>-1.254506E-4</v>
      </c>
      <c r="P9">
        <v>0.9986254</v>
      </c>
      <c r="Q9">
        <v>-5.0760020000000003E-2</v>
      </c>
      <c r="R9">
        <v>1.307813E-2</v>
      </c>
      <c r="S9">
        <v>2.9825740000000001</v>
      </c>
      <c r="T9">
        <v>-0.56592369999999903</v>
      </c>
      <c r="U9">
        <v>-0.51135249999999999</v>
      </c>
      <c r="V9">
        <v>-1.320488E-2</v>
      </c>
      <c r="W9">
        <v>-4.2626949999999997E-2</v>
      </c>
      <c r="X9">
        <v>0.9990038</v>
      </c>
      <c r="Y9">
        <v>0.1658558</v>
      </c>
      <c r="Z9">
        <v>-1.6149589999999998E-2</v>
      </c>
      <c r="AA9">
        <v>0.98601780000000006</v>
      </c>
      <c r="AB9">
        <v>1</v>
      </c>
      <c r="AC9">
        <v>0.70110000000005301</v>
      </c>
      <c r="AD9">
        <v>-0.1342274</v>
      </c>
      <c r="AE9">
        <v>-0.121199999999987</v>
      </c>
      <c r="AF9">
        <v>0.11694974447392401</v>
      </c>
      <c r="AG9">
        <v>-0.1342274</v>
      </c>
      <c r="AH9">
        <v>0.67701973802355497</v>
      </c>
      <c r="AI9">
        <v>101.054559319254</v>
      </c>
      <c r="AJ9">
        <v>80.199331895109907</v>
      </c>
      <c r="AK9">
        <v>0.70003568717370401</v>
      </c>
      <c r="AL9">
        <v>92.443084558214906</v>
      </c>
      <c r="AM9">
        <v>90.757294251492596</v>
      </c>
      <c r="AN9">
        <v>1.0000000090682699</v>
      </c>
    </row>
    <row r="10" spans="1:40" x14ac:dyDescent="0.25">
      <c r="A10" t="str">
        <f>"20190305134910305"</f>
        <v>20190305134910305</v>
      </c>
      <c r="B10" t="str">
        <f>"1551764950290711"</f>
        <v>1551764950290711</v>
      </c>
      <c r="C10" t="s">
        <v>40</v>
      </c>
      <c r="D10">
        <v>4.0291880000000004</v>
      </c>
      <c r="E10">
        <v>0.56914960000000003</v>
      </c>
      <c r="F10" t="s">
        <v>41</v>
      </c>
      <c r="G10">
        <v>-475.839</v>
      </c>
      <c r="H10">
        <v>0.97604139999999995</v>
      </c>
      <c r="I10">
        <v>367.09989999999999</v>
      </c>
      <c r="J10">
        <v>-476.53379999999999</v>
      </c>
      <c r="K10">
        <v>1.110401</v>
      </c>
      <c r="L10">
        <v>367.22059999999999</v>
      </c>
      <c r="M10">
        <v>0.99995239999999996</v>
      </c>
      <c r="N10">
        <v>-9.7701999999999997E-3</v>
      </c>
      <c r="O10">
        <v>-1.2550429999999999E-4</v>
      </c>
      <c r="P10">
        <v>0.9985444</v>
      </c>
      <c r="Q10">
        <v>-5.2335649999999997E-2</v>
      </c>
      <c r="R10">
        <v>1.3057640000000001E-2</v>
      </c>
      <c r="S10">
        <v>2.9818730000000002</v>
      </c>
      <c r="T10">
        <v>-0.56938619999999995</v>
      </c>
      <c r="U10">
        <v>-0.51242069999999995</v>
      </c>
      <c r="V10">
        <v>-1.3184899999999999E-2</v>
      </c>
      <c r="W10">
        <v>-4.2576660000000002E-2</v>
      </c>
      <c r="X10">
        <v>0.99900619999999996</v>
      </c>
      <c r="Y10">
        <v>0.16616879999999901</v>
      </c>
      <c r="Z10">
        <v>-1.64142E-2</v>
      </c>
      <c r="AA10">
        <v>0.98596070000000002</v>
      </c>
      <c r="AB10">
        <v>1</v>
      </c>
      <c r="AC10">
        <v>0.69479999999998598</v>
      </c>
      <c r="AD10">
        <v>-0.134359599999999</v>
      </c>
      <c r="AE10">
        <v>-0.120699999999999</v>
      </c>
      <c r="AF10">
        <v>0.11638792491921</v>
      </c>
      <c r="AG10">
        <v>-0.134359599999999</v>
      </c>
      <c r="AH10">
        <v>0.67047690168902896</v>
      </c>
      <c r="AI10">
        <v>101.168902834883</v>
      </c>
      <c r="AJ10">
        <v>80.152172989481201</v>
      </c>
      <c r="AK10">
        <v>0.69364106487266097</v>
      </c>
      <c r="AL10">
        <v>92.440200555846801</v>
      </c>
      <c r="AM10">
        <v>90.756146723782607</v>
      </c>
      <c r="AN10">
        <v>1.0000000006016001</v>
      </c>
    </row>
    <row r="11" spans="1:40" x14ac:dyDescent="0.25">
      <c r="A11" t="str">
        <f>"20190305134910324"</f>
        <v>20190305134910324</v>
      </c>
      <c r="B11" t="str">
        <f>"1551764950311207"</f>
        <v>1551764950311207</v>
      </c>
      <c r="C11" t="s">
        <v>40</v>
      </c>
      <c r="D11">
        <v>4.0604180000000003</v>
      </c>
      <c r="E11">
        <v>0.569463099999999</v>
      </c>
      <c r="F11" t="s">
        <v>41</v>
      </c>
      <c r="G11">
        <v>-475.83350000000002</v>
      </c>
      <c r="H11">
        <v>0.9758481</v>
      </c>
      <c r="I11">
        <v>367.09890000000001</v>
      </c>
      <c r="J11">
        <v>-476.52510000000001</v>
      </c>
      <c r="K11">
        <v>1.1104080000000001</v>
      </c>
      <c r="L11">
        <v>367.22059999999999</v>
      </c>
      <c r="M11">
        <v>0.9999498</v>
      </c>
      <c r="N11">
        <v>-1.003485E-2</v>
      </c>
      <c r="O11">
        <v>-1.259857E-4</v>
      </c>
      <c r="P11">
        <v>0.99853340000000002</v>
      </c>
      <c r="Q11">
        <v>-5.2635700000000001E-2</v>
      </c>
      <c r="R11">
        <v>1.2676629999999999E-2</v>
      </c>
      <c r="S11">
        <v>2.9810789999999998</v>
      </c>
      <c r="T11">
        <v>-0.57303950000000003</v>
      </c>
      <c r="U11">
        <v>-0.51626590000000006</v>
      </c>
      <c r="V11">
        <v>-1.280426E-2</v>
      </c>
      <c r="W11">
        <v>-4.2612410000000003E-2</v>
      </c>
      <c r="X11">
        <v>0.99900960000000005</v>
      </c>
      <c r="Y11">
        <v>0.1673811</v>
      </c>
      <c r="Z11">
        <v>-1.665815E-2</v>
      </c>
      <c r="AA11">
        <v>0.9857515</v>
      </c>
      <c r="AB11">
        <v>1</v>
      </c>
      <c r="AC11">
        <v>0.691599999999994</v>
      </c>
      <c r="AD11">
        <v>-0.13455990000000001</v>
      </c>
      <c r="AE11">
        <v>-0.12169999999997499</v>
      </c>
      <c r="AF11">
        <v>0.11730564996494</v>
      </c>
      <c r="AG11">
        <v>-0.13455990000000001</v>
      </c>
      <c r="AH11">
        <v>0.66712010208462502</v>
      </c>
      <c r="AI11">
        <v>101.23580919681601</v>
      </c>
      <c r="AJ11">
        <v>80.027125225483601</v>
      </c>
      <c r="AK11">
        <v>0.69059120527784601</v>
      </c>
      <c r="AL11">
        <v>92.442250806303406</v>
      </c>
      <c r="AM11">
        <v>90.734317157269899</v>
      </c>
      <c r="AN11">
        <v>0.99999997372615701</v>
      </c>
    </row>
    <row r="12" spans="1:40" x14ac:dyDescent="0.25">
      <c r="A12" t="str">
        <f>"20190305134910340"</f>
        <v>20190305134910340</v>
      </c>
      <c r="B12" t="str">
        <f>"1551764950330727"</f>
        <v>1551764950330727</v>
      </c>
      <c r="C12" t="s">
        <v>40</v>
      </c>
      <c r="D12">
        <v>4.0555110000000001</v>
      </c>
      <c r="E12">
        <v>0.56963369999999902</v>
      </c>
      <c r="F12" t="s">
        <v>41</v>
      </c>
      <c r="G12">
        <v>-475.82350000000002</v>
      </c>
      <c r="H12">
        <v>0.97561549999999997</v>
      </c>
      <c r="I12">
        <v>367.09789999999998</v>
      </c>
      <c r="J12">
        <v>-476.51499999999999</v>
      </c>
      <c r="K12">
        <v>1.1101479999999999</v>
      </c>
      <c r="L12">
        <v>367.22059999999999</v>
      </c>
      <c r="M12">
        <v>0.99995679999999998</v>
      </c>
      <c r="N12">
        <v>-9.3025320000000005E-3</v>
      </c>
      <c r="O12">
        <v>-1.26007E-4</v>
      </c>
      <c r="P12">
        <v>0.99855799999999995</v>
      </c>
      <c r="Q12">
        <v>-5.2218100000000003E-2</v>
      </c>
      <c r="R12">
        <v>1.246797E-2</v>
      </c>
      <c r="S12">
        <v>2.980804</v>
      </c>
      <c r="T12">
        <v>-0.5727738</v>
      </c>
      <c r="U12">
        <v>-0.51980590000000004</v>
      </c>
      <c r="V12">
        <v>-1.2595449999999999E-2</v>
      </c>
      <c r="W12">
        <v>-4.2926230000000003E-2</v>
      </c>
      <c r="X12">
        <v>0.99899879999999996</v>
      </c>
      <c r="Y12">
        <v>0.16852609999999901</v>
      </c>
      <c r="Z12">
        <v>-1.6702069999999999E-2</v>
      </c>
      <c r="AA12">
        <v>0.98555570000000003</v>
      </c>
      <c r="AB12">
        <v>1</v>
      </c>
      <c r="AC12">
        <v>0.69149999999996203</v>
      </c>
      <c r="AD12">
        <v>-0.134532499999999</v>
      </c>
      <c r="AE12">
        <v>-0.122700000000008</v>
      </c>
      <c r="AF12">
        <v>0.11827283749733</v>
      </c>
      <c r="AG12">
        <v>-0.134532499999999</v>
      </c>
      <c r="AH12">
        <v>0.66703846753137797</v>
      </c>
      <c r="AI12">
        <v>101.232160756497</v>
      </c>
      <c r="AJ12">
        <v>79.945364128543503</v>
      </c>
      <c r="AK12">
        <v>0.69067197337993202</v>
      </c>
      <c r="AL12">
        <v>92.460247883477706</v>
      </c>
      <c r="AM12">
        <v>90.722351108117493</v>
      </c>
      <c r="AN12">
        <v>0.99999995449207602</v>
      </c>
    </row>
    <row r="13" spans="1:40" x14ac:dyDescent="0.25">
      <c r="A13" t="str">
        <f>"20190305134910357"</f>
        <v>20190305134910357</v>
      </c>
      <c r="B13" t="str">
        <f>"1551764950351223"</f>
        <v>1551764950351223</v>
      </c>
      <c r="C13" t="s">
        <v>40</v>
      </c>
      <c r="D13">
        <v>4.0351100000000004</v>
      </c>
      <c r="E13">
        <v>0.56981440000000005</v>
      </c>
      <c r="F13" t="s">
        <v>41</v>
      </c>
      <c r="G13">
        <v>-475.80970000000002</v>
      </c>
      <c r="H13">
        <v>0.97523260000000001</v>
      </c>
      <c r="I13">
        <v>367.09690000000001</v>
      </c>
      <c r="J13">
        <v>-476.50229999999999</v>
      </c>
      <c r="K13">
        <v>1.109839</v>
      </c>
      <c r="L13">
        <v>367.22059999999999</v>
      </c>
      <c r="M13">
        <v>0.99996580000000002</v>
      </c>
      <c r="N13">
        <v>-8.2767640000000007E-3</v>
      </c>
      <c r="O13">
        <v>-1.2529279999999999E-4</v>
      </c>
      <c r="P13">
        <v>0.99860070000000001</v>
      </c>
      <c r="Q13">
        <v>-5.1387410000000001E-2</v>
      </c>
      <c r="R13">
        <v>1.250275E-2</v>
      </c>
      <c r="S13">
        <v>2.9810490000000001</v>
      </c>
      <c r="T13">
        <v>-0.57051169999999995</v>
      </c>
      <c r="U13">
        <v>-0.52157589999999998</v>
      </c>
      <c r="V13">
        <v>-1.263012E-2</v>
      </c>
      <c r="W13">
        <v>-4.3119989999999997E-2</v>
      </c>
      <c r="X13">
        <v>0.99899009999999999</v>
      </c>
      <c r="Y13">
        <v>0.1691116</v>
      </c>
      <c r="Z13">
        <v>-1.6607960000000001E-2</v>
      </c>
      <c r="AA13">
        <v>0.98545700000000003</v>
      </c>
      <c r="AB13">
        <v>1</v>
      </c>
      <c r="AC13">
        <v>0.69259999999997002</v>
      </c>
      <c r="AD13">
        <v>-0.13460639999999999</v>
      </c>
      <c r="AE13">
        <v>-0.123699999999985</v>
      </c>
      <c r="AF13">
        <v>0.119248247499548</v>
      </c>
      <c r="AG13">
        <v>-0.13460639999999999</v>
      </c>
      <c r="AH13">
        <v>0.668158187167331</v>
      </c>
      <c r="AI13">
        <v>101.21762638947899</v>
      </c>
      <c r="AJ13">
        <v>79.880789435960494</v>
      </c>
      <c r="AK13">
        <v>0.69193525024485303</v>
      </c>
      <c r="AL13">
        <v>92.471359599767595</v>
      </c>
      <c r="AM13">
        <v>90.724345534155503</v>
      </c>
      <c r="AN13">
        <v>1.0000000366834101</v>
      </c>
    </row>
    <row r="14" spans="1:40" x14ac:dyDescent="0.25">
      <c r="A14" t="str">
        <f>"20190305134910371"</f>
        <v>20190305134910371</v>
      </c>
      <c r="B14" t="str">
        <f>"1551764950360984"</f>
        <v>1551764950360984</v>
      </c>
      <c r="C14" t="s">
        <v>40</v>
      </c>
      <c r="D14">
        <v>4.0592689999999996</v>
      </c>
      <c r="E14">
        <v>0.56976729999999998</v>
      </c>
      <c r="F14" t="s">
        <v>41</v>
      </c>
      <c r="G14">
        <v>-475.79360000000003</v>
      </c>
      <c r="H14">
        <v>0.97506680000000001</v>
      </c>
      <c r="I14">
        <v>367.09589999999997</v>
      </c>
      <c r="J14">
        <v>-476.49009999999998</v>
      </c>
      <c r="K14">
        <v>1.109613</v>
      </c>
      <c r="L14">
        <v>367.22059999999999</v>
      </c>
      <c r="M14">
        <v>0.99997250000000004</v>
      </c>
      <c r="N14">
        <v>-7.4264480000000004E-3</v>
      </c>
      <c r="O14">
        <v>-1.244404E-4</v>
      </c>
      <c r="P14">
        <v>0.998641</v>
      </c>
      <c r="Q14">
        <v>-5.0653429999999999E-2</v>
      </c>
      <c r="R14">
        <v>1.2276789999999999E-2</v>
      </c>
      <c r="S14">
        <v>2.981598</v>
      </c>
      <c r="T14">
        <v>-0.56710309999999997</v>
      </c>
      <c r="U14">
        <v>-0.52325440000000001</v>
      </c>
      <c r="V14">
        <v>-1.240283E-2</v>
      </c>
      <c r="W14">
        <v>-4.3235210000000003E-2</v>
      </c>
      <c r="X14">
        <v>0.99898790000000004</v>
      </c>
      <c r="Y14">
        <v>0.1696609</v>
      </c>
      <c r="Z14">
        <v>-1.6491430000000001E-2</v>
      </c>
      <c r="AA14">
        <v>0.98536449999999998</v>
      </c>
      <c r="AB14">
        <v>2</v>
      </c>
      <c r="AC14">
        <v>0.69649999999995704</v>
      </c>
      <c r="AD14">
        <v>-0.13454619999999901</v>
      </c>
      <c r="AE14">
        <v>-0.124700000000018</v>
      </c>
      <c r="AF14">
        <v>0.120264852000472</v>
      </c>
      <c r="AG14">
        <v>-0.13454619999999901</v>
      </c>
      <c r="AH14">
        <v>0.67221010102892398</v>
      </c>
      <c r="AI14">
        <v>101.14602511789001</v>
      </c>
      <c r="AJ14">
        <v>79.856551438956899</v>
      </c>
      <c r="AK14">
        <v>0.69601202179736199</v>
      </c>
      <c r="AL14">
        <v>92.477967549496796</v>
      </c>
      <c r="AM14">
        <v>90.711313223863598</v>
      </c>
      <c r="AN14">
        <v>0.99999996896108101</v>
      </c>
    </row>
    <row r="15" spans="1:40" x14ac:dyDescent="0.25">
      <c r="A15" t="str">
        <f>"20190305134910390"</f>
        <v>20190305134910390</v>
      </c>
      <c r="B15" t="str">
        <f>"1551764950380503"</f>
        <v>1551764950380503</v>
      </c>
      <c r="C15" t="s">
        <v>40</v>
      </c>
      <c r="D15">
        <v>4.0670890000000002</v>
      </c>
      <c r="E15">
        <v>0.56974419999999903</v>
      </c>
      <c r="F15" t="s">
        <v>41</v>
      </c>
      <c r="G15">
        <v>-475.77589999999998</v>
      </c>
      <c r="H15">
        <v>0.97443990000000003</v>
      </c>
      <c r="I15">
        <v>367.09500000000003</v>
      </c>
      <c r="J15">
        <v>-476.47340000000003</v>
      </c>
      <c r="K15">
        <v>1.1094299999999999</v>
      </c>
      <c r="L15">
        <v>367.22059999999999</v>
      </c>
      <c r="M15">
        <v>0.99997849999999999</v>
      </c>
      <c r="N15">
        <v>-6.5782779999999999E-3</v>
      </c>
      <c r="O15">
        <v>-1.2324060000000001E-4</v>
      </c>
      <c r="P15">
        <v>0.99867430000000001</v>
      </c>
      <c r="Q15">
        <v>-4.9883230000000001E-2</v>
      </c>
      <c r="R15">
        <v>1.2694789999999999E-2</v>
      </c>
      <c r="S15">
        <v>2.981903</v>
      </c>
      <c r="T15">
        <v>-0.56450469999999997</v>
      </c>
      <c r="U15">
        <v>-0.52368159999999997</v>
      </c>
      <c r="V15">
        <v>-1.281912E-2</v>
      </c>
      <c r="W15">
        <v>-4.3312120000000003E-2</v>
      </c>
      <c r="X15">
        <v>0.99897930000000001</v>
      </c>
      <c r="Y15">
        <v>0.16982069999999999</v>
      </c>
      <c r="Z15">
        <v>-1.6360610000000001E-2</v>
      </c>
      <c r="AA15">
        <v>0.98533919999999997</v>
      </c>
      <c r="AB15">
        <v>2</v>
      </c>
      <c r="AC15">
        <v>0.69750000000004697</v>
      </c>
      <c r="AD15">
        <v>-0.1349901</v>
      </c>
      <c r="AE15">
        <v>-0.12559999999996299</v>
      </c>
      <c r="AF15">
        <v>0.121119914814109</v>
      </c>
      <c r="AG15">
        <v>-0.1349901</v>
      </c>
      <c r="AH15">
        <v>0.67309614843945598</v>
      </c>
      <c r="AI15">
        <v>101.16556576629699</v>
      </c>
      <c r="AJ15">
        <v>79.799109319469693</v>
      </c>
      <c r="AK15">
        <v>0.69710170413406503</v>
      </c>
      <c r="AL15">
        <v>92.482378332713694</v>
      </c>
      <c r="AM15">
        <v>90.735191572428903</v>
      </c>
      <c r="AN15">
        <v>0.99999995570247802</v>
      </c>
    </row>
    <row r="16" spans="1:40" x14ac:dyDescent="0.25">
      <c r="A16" t="str">
        <f>"20190305134910412"</f>
        <v>20190305134910412</v>
      </c>
      <c r="B16" t="str">
        <f>"1551764950400999"</f>
        <v>1551764950400999</v>
      </c>
      <c r="C16" t="s">
        <v>40</v>
      </c>
      <c r="D16">
        <v>4.1263269999999999</v>
      </c>
      <c r="E16">
        <v>0.56984060000000003</v>
      </c>
      <c r="F16" t="s">
        <v>41</v>
      </c>
      <c r="G16">
        <v>-475.7595</v>
      </c>
      <c r="H16">
        <v>0.97439039999999999</v>
      </c>
      <c r="I16">
        <v>367.09530000000001</v>
      </c>
      <c r="J16">
        <v>-476.4556</v>
      </c>
      <c r="K16">
        <v>1.109613</v>
      </c>
      <c r="L16">
        <v>367.22059999999999</v>
      </c>
      <c r="M16">
        <v>0.99997619999999998</v>
      </c>
      <c r="N16">
        <v>-6.9019830000000004E-3</v>
      </c>
      <c r="O16">
        <v>-1.21952E-4</v>
      </c>
      <c r="P16">
        <v>0.99862419999999996</v>
      </c>
      <c r="Q16">
        <v>-5.0710570000000003E-2</v>
      </c>
      <c r="R16">
        <v>1.335013E-2</v>
      </c>
      <c r="S16">
        <v>2.9824830000000002</v>
      </c>
      <c r="T16">
        <v>-0.56423400000000001</v>
      </c>
      <c r="U16">
        <v>-0.52258300000000002</v>
      </c>
      <c r="V16">
        <v>-1.347333E-2</v>
      </c>
      <c r="W16">
        <v>-4.3816380000000002E-2</v>
      </c>
      <c r="X16">
        <v>0.99894879999999997</v>
      </c>
      <c r="Y16">
        <v>0.16944239999999999</v>
      </c>
      <c r="Z16">
        <v>-1.634234E-2</v>
      </c>
      <c r="AA16">
        <v>0.98540459999999996</v>
      </c>
      <c r="AB16">
        <v>2</v>
      </c>
      <c r="AC16">
        <v>0.69610000000000105</v>
      </c>
      <c r="AD16">
        <v>-0.135222599999999</v>
      </c>
      <c r="AE16">
        <v>-0.12529999999998101</v>
      </c>
      <c r="AF16">
        <v>0.12079967987045601</v>
      </c>
      <c r="AG16">
        <v>-0.135222599999999</v>
      </c>
      <c r="AH16">
        <v>0.67156835127284098</v>
      </c>
      <c r="AI16">
        <v>101.209241224745</v>
      </c>
      <c r="AJ16">
        <v>79.802854326409204</v>
      </c>
      <c r="AK16">
        <v>0.69561610435561805</v>
      </c>
      <c r="AL16">
        <v>92.511297508863393</v>
      </c>
      <c r="AM16">
        <v>90.772730434207404</v>
      </c>
      <c r="AN16">
        <v>1.0000000553995101</v>
      </c>
    </row>
    <row r="17" spans="1:40" x14ac:dyDescent="0.25">
      <c r="A17" t="str">
        <f>"20190305134910427"</f>
        <v>20190305134910427</v>
      </c>
      <c r="B17" t="str">
        <f>"1551764950420519"</f>
        <v>1551764950420519</v>
      </c>
      <c r="C17" t="s">
        <v>40</v>
      </c>
      <c r="D17">
        <v>4.0511359999999996</v>
      </c>
      <c r="E17">
        <v>0.57019929999999996</v>
      </c>
      <c r="F17" t="s">
        <v>41</v>
      </c>
      <c r="G17">
        <v>-475.74639999999999</v>
      </c>
      <c r="H17">
        <v>0.97425399999999995</v>
      </c>
      <c r="I17">
        <v>367.09629999999999</v>
      </c>
      <c r="J17">
        <v>-476.44529999999997</v>
      </c>
      <c r="K17">
        <v>1.1099300000000001</v>
      </c>
      <c r="L17">
        <v>367.22059999999999</v>
      </c>
      <c r="M17">
        <v>0.99996890000000005</v>
      </c>
      <c r="N17">
        <v>-7.8886110000000002E-3</v>
      </c>
      <c r="O17">
        <v>-1.216848E-4</v>
      </c>
      <c r="P17">
        <v>0.99857949999999995</v>
      </c>
      <c r="Q17">
        <v>-5.1505099999999901E-2</v>
      </c>
      <c r="R17">
        <v>1.364867E-2</v>
      </c>
      <c r="S17">
        <v>2.9821780000000002</v>
      </c>
      <c r="T17">
        <v>-0.56929659999999904</v>
      </c>
      <c r="U17">
        <v>-0.52099609999999996</v>
      </c>
      <c r="V17">
        <v>-1.3772100000000001E-2</v>
      </c>
      <c r="W17">
        <v>-4.3625579999999997E-2</v>
      </c>
      <c r="X17">
        <v>0.99895299999999998</v>
      </c>
      <c r="Y17">
        <v>0.16889100000000001</v>
      </c>
      <c r="Z17">
        <v>-1.651472E-2</v>
      </c>
      <c r="AA17">
        <v>0.98549629999999999</v>
      </c>
      <c r="AB17">
        <v>2</v>
      </c>
      <c r="AC17">
        <v>0.69889999999997998</v>
      </c>
      <c r="AD17">
        <v>-0.13567599999999899</v>
      </c>
      <c r="AE17">
        <v>-0.124300000000005</v>
      </c>
      <c r="AF17">
        <v>0.119837275612957</v>
      </c>
      <c r="AG17">
        <v>-0.13567599999999899</v>
      </c>
      <c r="AH17">
        <v>0.67428343629489995</v>
      </c>
      <c r="AI17">
        <v>101.205804800495</v>
      </c>
      <c r="AJ17">
        <v>79.922312590411295</v>
      </c>
      <c r="AK17">
        <v>0.69815979694049601</v>
      </c>
      <c r="AL17">
        <v>92.500355202220703</v>
      </c>
      <c r="AM17">
        <v>90.789860201067199</v>
      </c>
      <c r="AN17">
        <v>0.99999997908887295</v>
      </c>
    </row>
    <row r="18" spans="1:40" x14ac:dyDescent="0.25">
      <c r="A18" t="str">
        <f>"20190305134910447"</f>
        <v>20190305134910447</v>
      </c>
      <c r="B18" t="str">
        <f>"1551764950441015"</f>
        <v>1551764950441015</v>
      </c>
      <c r="C18" t="s">
        <v>40</v>
      </c>
      <c r="D18">
        <v>4.027755</v>
      </c>
      <c r="E18">
        <v>0.57047029999999999</v>
      </c>
      <c r="F18" t="s">
        <v>41</v>
      </c>
      <c r="G18">
        <v>-475.74560000000002</v>
      </c>
      <c r="H18">
        <v>0.97595790000000004</v>
      </c>
      <c r="I18">
        <v>367.09750000000003</v>
      </c>
      <c r="J18">
        <v>-476.43490000000003</v>
      </c>
      <c r="K18">
        <v>1.11032999999999</v>
      </c>
      <c r="L18">
        <v>367.22059999999999</v>
      </c>
      <c r="M18">
        <v>0.99995630000000002</v>
      </c>
      <c r="N18">
        <v>-9.3612060000000004E-3</v>
      </c>
      <c r="O18">
        <v>-1.225806E-4</v>
      </c>
      <c r="P18">
        <v>0.99845950000000006</v>
      </c>
      <c r="Q18">
        <v>-5.375419E-2</v>
      </c>
      <c r="R18">
        <v>1.376517E-2</v>
      </c>
      <c r="S18">
        <v>2.9819640000000001</v>
      </c>
      <c r="T18">
        <v>-0.57106040000000002</v>
      </c>
      <c r="U18">
        <v>-0.52282709999999999</v>
      </c>
      <c r="V18">
        <v>-1.388928E-2</v>
      </c>
      <c r="W18">
        <v>-4.4404539999999999E-2</v>
      </c>
      <c r="X18">
        <v>0.9989171</v>
      </c>
      <c r="Y18">
        <v>0.16943659999999999</v>
      </c>
      <c r="Z18">
        <v>-1.6743790000000001E-2</v>
      </c>
      <c r="AA18">
        <v>0.98539880000000002</v>
      </c>
      <c r="AB18">
        <v>2</v>
      </c>
      <c r="AC18">
        <v>0.68930000000000202</v>
      </c>
      <c r="AD18">
        <v>-0.134372099999999</v>
      </c>
      <c r="AE18">
        <v>-0.123099999999965</v>
      </c>
      <c r="AF18">
        <v>0.118646114922674</v>
      </c>
      <c r="AG18">
        <v>-0.134372099999999</v>
      </c>
      <c r="AH18">
        <v>0.66483131335699797</v>
      </c>
      <c r="AI18">
        <v>101.253230547046</v>
      </c>
      <c r="AJ18">
        <v>79.881488936649106</v>
      </c>
      <c r="AK18">
        <v>0.688573479786033</v>
      </c>
      <c r="AL18">
        <v>92.545029505822697</v>
      </c>
      <c r="AM18">
        <v>90.796608493786195</v>
      </c>
      <c r="AN18">
        <v>1.00000002397196</v>
      </c>
    </row>
    <row r="19" spans="1:40" x14ac:dyDescent="0.25">
      <c r="A19" t="str">
        <f>"20190305134910468"</f>
        <v>20190305134910468</v>
      </c>
      <c r="B19" t="str">
        <f>"1551764950460539"</f>
        <v>1551764950460539</v>
      </c>
      <c r="C19" t="s">
        <v>40</v>
      </c>
      <c r="D19">
        <v>4.1191909999999998</v>
      </c>
      <c r="E19">
        <v>0.57049090000000002</v>
      </c>
      <c r="F19" t="s">
        <v>41</v>
      </c>
      <c r="G19">
        <v>-475.73540000000003</v>
      </c>
      <c r="H19">
        <v>0.97472809999999999</v>
      </c>
      <c r="I19">
        <v>367.09730000000002</v>
      </c>
      <c r="J19">
        <v>-476.41890000000001</v>
      </c>
      <c r="K19">
        <v>1.1102350000000001</v>
      </c>
      <c r="L19">
        <v>367.22059999999999</v>
      </c>
      <c r="M19">
        <v>0.99995710000000004</v>
      </c>
      <c r="N19">
        <v>-9.2635059999999995E-3</v>
      </c>
      <c r="O19">
        <v>-1.2236309999999999E-4</v>
      </c>
      <c r="P19">
        <v>0.99842830000000005</v>
      </c>
      <c r="Q19">
        <v>-5.4329559999999999E-2</v>
      </c>
      <c r="R19">
        <v>1.3762770000000001E-2</v>
      </c>
      <c r="S19">
        <v>2.9807739999999998</v>
      </c>
      <c r="T19">
        <v>-0.57781260000000001</v>
      </c>
      <c r="U19">
        <v>-0.52426149999999905</v>
      </c>
      <c r="V19">
        <v>-1.388648E-2</v>
      </c>
      <c r="W19">
        <v>-4.5077770000000003E-2</v>
      </c>
      <c r="X19">
        <v>0.99888690000000002</v>
      </c>
      <c r="Y19">
        <v>0.16988249999999999</v>
      </c>
      <c r="Z19">
        <v>-1.6970860000000001E-2</v>
      </c>
      <c r="AA19">
        <v>0.98531820000000003</v>
      </c>
      <c r="AB19">
        <v>1</v>
      </c>
      <c r="AC19">
        <v>0.68349999999998001</v>
      </c>
      <c r="AD19">
        <v>-0.13550690000000001</v>
      </c>
      <c r="AE19">
        <v>-0.123299999999972</v>
      </c>
      <c r="AF19">
        <v>0.11869799555416501</v>
      </c>
      <c r="AG19">
        <v>-0.13550690000000001</v>
      </c>
      <c r="AH19">
        <v>0.65845046929500906</v>
      </c>
      <c r="AI19">
        <v>101.449364957694</v>
      </c>
      <c r="AJ19">
        <v>79.781115984236493</v>
      </c>
      <c r="AK19">
        <v>0.682648045929236</v>
      </c>
      <c r="AL19">
        <v>92.583641627548801</v>
      </c>
      <c r="AM19">
        <v>90.7964719991528</v>
      </c>
      <c r="AN19">
        <v>0.99999993933328402</v>
      </c>
    </row>
    <row r="20" spans="1:40" x14ac:dyDescent="0.25">
      <c r="A20" t="str">
        <f>"20190305134910491"</f>
        <v>20190305134910491</v>
      </c>
      <c r="B20" t="str">
        <f>"1551764950481034"</f>
        <v>1551764950481034</v>
      </c>
      <c r="C20" t="s">
        <v>40</v>
      </c>
      <c r="D20">
        <v>4.1191300000000002</v>
      </c>
      <c r="E20">
        <v>0.57028250000000003</v>
      </c>
      <c r="F20" t="s">
        <v>41</v>
      </c>
      <c r="G20">
        <v>-475.72019999999998</v>
      </c>
      <c r="H20">
        <v>0.97409690000000004</v>
      </c>
      <c r="I20">
        <v>367.0976</v>
      </c>
      <c r="J20">
        <v>-476.39729999999997</v>
      </c>
      <c r="K20">
        <v>1.1098129999999999</v>
      </c>
      <c r="L20">
        <v>367.22059999999999</v>
      </c>
      <c r="M20">
        <v>0.99996859999999999</v>
      </c>
      <c r="N20">
        <v>-7.9436809999999993E-3</v>
      </c>
      <c r="O20">
        <v>-1.209535E-4</v>
      </c>
      <c r="P20">
        <v>0.99854480000000001</v>
      </c>
      <c r="Q20">
        <v>-5.2118539999999998E-2</v>
      </c>
      <c r="R20">
        <v>1.386079E-2</v>
      </c>
      <c r="S20">
        <v>2.9803470000000001</v>
      </c>
      <c r="T20">
        <v>-0.58081289999999997</v>
      </c>
      <c r="U20">
        <v>-0.52453609999999995</v>
      </c>
      <c r="V20">
        <v>-1.398373E-2</v>
      </c>
      <c r="W20">
        <v>-4.418424E-2</v>
      </c>
      <c r="X20">
        <v>0.99892550000000002</v>
      </c>
      <c r="Y20">
        <v>0.16998279999999999</v>
      </c>
      <c r="Z20">
        <v>-1.6951560000000001E-2</v>
      </c>
      <c r="AA20">
        <v>0.98530119999999999</v>
      </c>
      <c r="AB20">
        <v>1</v>
      </c>
      <c r="AC20">
        <v>0.67709999999999504</v>
      </c>
      <c r="AD20">
        <v>-0.13571609999999901</v>
      </c>
      <c r="AE20">
        <v>-0.12299999999999001</v>
      </c>
      <c r="AF20">
        <v>0.118316564827319</v>
      </c>
      <c r="AG20">
        <v>-0.13571609999999901</v>
      </c>
      <c r="AH20">
        <v>0.65176655390983096</v>
      </c>
      <c r="AI20">
        <v>101.578508748093</v>
      </c>
      <c r="AJ20">
        <v>79.711019933310695</v>
      </c>
      <c r="AK20">
        <v>0.67617846025087502</v>
      </c>
      <c r="AL20">
        <v>92.532394973990904</v>
      </c>
      <c r="AM20">
        <v>90.802018149053595</v>
      </c>
      <c r="AN20">
        <v>0.99999997315966904</v>
      </c>
    </row>
    <row r="21" spans="1:40" x14ac:dyDescent="0.25">
      <c r="A21" t="str">
        <f>"20190305134910514"</f>
        <v>20190305134910514</v>
      </c>
      <c r="B21" t="str">
        <f>"1551764950500554"</f>
        <v>1551764950500554</v>
      </c>
      <c r="C21" t="s">
        <v>40</v>
      </c>
      <c r="D21">
        <v>4.1833019999999896</v>
      </c>
      <c r="E21">
        <v>0.57017419999999996</v>
      </c>
      <c r="F21" t="s">
        <v>41</v>
      </c>
      <c r="G21">
        <v>-475.68029999999999</v>
      </c>
      <c r="H21">
        <v>0.97142059999999997</v>
      </c>
      <c r="I21">
        <v>367.0942</v>
      </c>
      <c r="J21">
        <v>-476.37259999999998</v>
      </c>
      <c r="K21">
        <v>1.1095010000000001</v>
      </c>
      <c r="L21">
        <v>367.22059999999999</v>
      </c>
      <c r="M21">
        <v>0.99997740000000002</v>
      </c>
      <c r="N21">
        <v>-6.7192399999999996E-3</v>
      </c>
      <c r="O21">
        <v>-1.181094E-4</v>
      </c>
      <c r="P21">
        <v>0.99866449999999996</v>
      </c>
      <c r="Q21">
        <v>-4.9934289999999999E-2</v>
      </c>
      <c r="R21">
        <v>1.326544E-2</v>
      </c>
      <c r="S21">
        <v>2.9815369999999999</v>
      </c>
      <c r="T21">
        <v>-0.57565359999999999</v>
      </c>
      <c r="U21">
        <v>-0.52291869999999996</v>
      </c>
      <c r="V21">
        <v>-1.3385080000000001E-2</v>
      </c>
      <c r="W21">
        <v>-4.3222389999999999E-2</v>
      </c>
      <c r="X21">
        <v>0.99897579999999997</v>
      </c>
      <c r="Y21">
        <v>0.1694869</v>
      </c>
      <c r="Z21">
        <v>-1.6649750000000001E-2</v>
      </c>
      <c r="AA21">
        <v>0.98539180000000004</v>
      </c>
      <c r="AB21">
        <v>2</v>
      </c>
      <c r="AC21">
        <v>0.69229999999998804</v>
      </c>
      <c r="AD21">
        <v>-0.13808039999999999</v>
      </c>
      <c r="AE21">
        <v>-0.12639999999998899</v>
      </c>
      <c r="AF21">
        <v>0.12163554856273601</v>
      </c>
      <c r="AG21">
        <v>-0.13808039999999999</v>
      </c>
      <c r="AH21">
        <v>0.66665045524551103</v>
      </c>
      <c r="AI21">
        <v>101.517022025214</v>
      </c>
      <c r="AJ21">
        <v>79.659685058987606</v>
      </c>
      <c r="AK21">
        <v>0.69158096634983002</v>
      </c>
      <c r="AL21">
        <v>92.477232272755003</v>
      </c>
      <c r="AM21">
        <v>90.767648929585903</v>
      </c>
      <c r="AN21">
        <v>0.99999999217477897</v>
      </c>
    </row>
    <row r="22" spans="1:40" x14ac:dyDescent="0.25">
      <c r="A22" t="str">
        <f>"20190305134910535"</f>
        <v>20190305134910535</v>
      </c>
      <c r="B22" t="str">
        <f>"1551764950521050"</f>
        <v>1551764950521050</v>
      </c>
      <c r="C22" t="s">
        <v>40</v>
      </c>
      <c r="D22">
        <v>4.0543680000000002</v>
      </c>
      <c r="E22">
        <v>0.57014529999999997</v>
      </c>
      <c r="F22" t="s">
        <v>41</v>
      </c>
      <c r="G22">
        <v>-475.65660000000003</v>
      </c>
      <c r="H22">
        <v>0.97235309999999997</v>
      </c>
      <c r="I22">
        <v>367.09480000000002</v>
      </c>
      <c r="J22">
        <v>-476.34739999999999</v>
      </c>
      <c r="K22">
        <v>1.109421</v>
      </c>
      <c r="L22">
        <v>367.22059999999999</v>
      </c>
      <c r="M22">
        <v>0.99998100000000001</v>
      </c>
      <c r="N22">
        <v>-6.1843640000000004E-3</v>
      </c>
      <c r="O22">
        <v>-1.158948E-4</v>
      </c>
      <c r="P22">
        <v>0.99869379999999996</v>
      </c>
      <c r="Q22">
        <v>-4.939955E-2</v>
      </c>
      <c r="R22">
        <v>1.306009E-2</v>
      </c>
      <c r="S22">
        <v>2.9823909999999998</v>
      </c>
      <c r="T22">
        <v>-0.57141949999999997</v>
      </c>
      <c r="U22">
        <v>-0.52395630000000004</v>
      </c>
      <c r="V22">
        <v>-1.3177390000000001E-2</v>
      </c>
      <c r="W22">
        <v>-4.3221820000000001E-2</v>
      </c>
      <c r="X22">
        <v>0.99897860000000005</v>
      </c>
      <c r="Y22">
        <v>0.169823</v>
      </c>
      <c r="Z22">
        <v>-1.651565E-2</v>
      </c>
      <c r="AA22">
        <v>0.9853362</v>
      </c>
      <c r="AB22">
        <v>2</v>
      </c>
      <c r="AC22">
        <v>0.690799999999967</v>
      </c>
      <c r="AD22">
        <v>-0.13706789999999999</v>
      </c>
      <c r="AE22">
        <v>-0.12579999999996899</v>
      </c>
      <c r="AF22">
        <v>0.12110505962597801</v>
      </c>
      <c r="AG22">
        <v>-0.13706789999999999</v>
      </c>
      <c r="AH22">
        <v>0.66545642624173895</v>
      </c>
      <c r="AI22">
        <v>101.45570349867999</v>
      </c>
      <c r="AJ22">
        <v>79.685737342957907</v>
      </c>
      <c r="AK22">
        <v>0.69013498672639995</v>
      </c>
      <c r="AL22">
        <v>92.477199548612504</v>
      </c>
      <c r="AM22">
        <v>90.755736956067906</v>
      </c>
      <c r="AN22">
        <v>1.0000000062946399</v>
      </c>
    </row>
    <row r="23" spans="1:40" x14ac:dyDescent="0.25">
      <c r="A23" t="str">
        <f>"20190305134910557"</f>
        <v>20190305134910557</v>
      </c>
      <c r="B23" t="str">
        <f>"1551764950551306"</f>
        <v>1551764950551306</v>
      </c>
      <c r="C23" t="s">
        <v>40</v>
      </c>
      <c r="D23">
        <v>4.1706989999999999</v>
      </c>
      <c r="E23">
        <v>0.57010190000000005</v>
      </c>
      <c r="F23" t="s">
        <v>41</v>
      </c>
      <c r="G23">
        <v>-475.63569999999999</v>
      </c>
      <c r="H23">
        <v>0.97329900000000003</v>
      </c>
      <c r="I23">
        <v>367.0951</v>
      </c>
      <c r="J23">
        <v>-476.32650000000001</v>
      </c>
      <c r="K23">
        <v>1.109766</v>
      </c>
      <c r="L23">
        <v>367.22059999999999</v>
      </c>
      <c r="M23">
        <v>0.99997429999999998</v>
      </c>
      <c r="N23">
        <v>-7.1704059999999998E-3</v>
      </c>
      <c r="O23">
        <v>-1.1443570000000001E-4</v>
      </c>
      <c r="P23">
        <v>0.99863469999999999</v>
      </c>
      <c r="Q23">
        <v>-5.0537569999999997E-2</v>
      </c>
      <c r="R23">
        <v>1.321833E-2</v>
      </c>
      <c r="S23">
        <v>2.982605</v>
      </c>
      <c r="T23">
        <v>-0.57058500000000001</v>
      </c>
      <c r="U23">
        <v>-0.52450559999999902</v>
      </c>
      <c r="V23">
        <v>-1.3334489999999999E-2</v>
      </c>
      <c r="W23">
        <v>-4.3375150000000001E-2</v>
      </c>
      <c r="X23">
        <v>0.99896989999999997</v>
      </c>
      <c r="Y23">
        <v>0.16997880000000001</v>
      </c>
      <c r="Z23">
        <v>-1.6592119999999998E-2</v>
      </c>
      <c r="AA23">
        <v>0.98530810000000002</v>
      </c>
      <c r="AB23">
        <v>3</v>
      </c>
      <c r="AC23">
        <v>0.69080000000002395</v>
      </c>
      <c r="AD23">
        <v>-0.136467</v>
      </c>
      <c r="AE23">
        <v>-0.12549999999998801</v>
      </c>
      <c r="AF23">
        <v>0.120855181742583</v>
      </c>
      <c r="AG23">
        <v>-0.136467</v>
      </c>
      <c r="AH23">
        <v>0.66566628685642304</v>
      </c>
      <c r="AI23">
        <v>101.404145169888</v>
      </c>
      <c r="AJ23">
        <v>79.709739294816302</v>
      </c>
      <c r="AK23">
        <v>0.690174486996042</v>
      </c>
      <c r="AL23">
        <v>92.485992881471404</v>
      </c>
      <c r="AM23">
        <v>90.7647523992987</v>
      </c>
      <c r="AN23">
        <v>1.00000003668354</v>
      </c>
    </row>
    <row r="24" spans="1:40" x14ac:dyDescent="0.25">
      <c r="A24" t="str">
        <f>"20190305134910580"</f>
        <v>20190305134910580</v>
      </c>
      <c r="B24" t="str">
        <f>"1551764950570480"</f>
        <v>1551764950570480</v>
      </c>
      <c r="C24" t="s">
        <v>40</v>
      </c>
      <c r="D24">
        <v>4.1941179999999996</v>
      </c>
      <c r="E24">
        <v>0.5699803</v>
      </c>
      <c r="F24" t="s">
        <v>41</v>
      </c>
      <c r="G24">
        <v>-475.61860000000001</v>
      </c>
      <c r="H24">
        <v>0.97335530000000003</v>
      </c>
      <c r="I24">
        <v>367.09609999999998</v>
      </c>
      <c r="J24">
        <v>-476.30500000000001</v>
      </c>
      <c r="K24">
        <v>1.109999</v>
      </c>
      <c r="L24">
        <v>367.22059999999999</v>
      </c>
      <c r="M24">
        <v>0.99996819999999997</v>
      </c>
      <c r="N24">
        <v>-7.9811569999999991E-3</v>
      </c>
      <c r="O24">
        <v>-1.139447E-4</v>
      </c>
      <c r="P24">
        <v>0.99856710000000004</v>
      </c>
      <c r="Q24">
        <v>-5.1789130000000003E-2</v>
      </c>
      <c r="R24">
        <v>1.348165E-2</v>
      </c>
      <c r="S24">
        <v>2.9819339999999999</v>
      </c>
      <c r="T24">
        <v>-0.57470559999999904</v>
      </c>
      <c r="U24">
        <v>-0.52368159999999997</v>
      </c>
      <c r="V24">
        <v>-1.3597649999999999E-2</v>
      </c>
      <c r="W24">
        <v>-4.3817269999999998E-2</v>
      </c>
      <c r="X24">
        <v>0.99894700000000003</v>
      </c>
      <c r="Y24">
        <v>0.16969960000000001</v>
      </c>
      <c r="Z24">
        <v>-1.6752050000000001E-2</v>
      </c>
      <c r="AA24">
        <v>0.98535349999999999</v>
      </c>
      <c r="AB24">
        <v>2</v>
      </c>
      <c r="AC24">
        <v>0.68639999999999102</v>
      </c>
      <c r="AD24">
        <v>-0.13664369999999901</v>
      </c>
      <c r="AE24">
        <v>-0.124500000000011</v>
      </c>
      <c r="AF24">
        <v>0.119824388215282</v>
      </c>
      <c r="AG24">
        <v>-0.13664369999999901</v>
      </c>
      <c r="AH24">
        <v>0.66105111248807602</v>
      </c>
      <c r="AI24">
        <v>101.496701124531</v>
      </c>
      <c r="AJ24">
        <v>79.725924674680996</v>
      </c>
      <c r="AK24">
        <v>0.68557855719281302</v>
      </c>
      <c r="AL24">
        <v>92.511348743058804</v>
      </c>
      <c r="AM24">
        <v>90.779861037262506</v>
      </c>
      <c r="AN24">
        <v>0.99999997902238702</v>
      </c>
    </row>
    <row r="25" spans="1:40" x14ac:dyDescent="0.25">
      <c r="A25" t="str">
        <f>"20190305134910601"</f>
        <v>20190305134910601</v>
      </c>
      <c r="B25" t="str">
        <f>"1551764950590975"</f>
        <v>1551764950590975</v>
      </c>
      <c r="C25" t="s">
        <v>40</v>
      </c>
      <c r="D25">
        <v>4.2046199999999896</v>
      </c>
      <c r="E25">
        <v>0.56986239999999999</v>
      </c>
      <c r="F25" t="s">
        <v>41</v>
      </c>
      <c r="G25">
        <v>-475.59750000000003</v>
      </c>
      <c r="H25">
        <v>0.97220790000000001</v>
      </c>
      <c r="I25">
        <v>367.09629999999999</v>
      </c>
      <c r="J25">
        <v>-476.2792</v>
      </c>
      <c r="K25">
        <v>1.109747</v>
      </c>
      <c r="L25">
        <v>367.22059999999999</v>
      </c>
      <c r="M25">
        <v>0.99997429999999998</v>
      </c>
      <c r="N25">
        <v>-7.1912010000000004E-3</v>
      </c>
      <c r="O25">
        <v>-1.1284070000000001E-4</v>
      </c>
      <c r="P25">
        <v>0.99862150000000005</v>
      </c>
      <c r="Q25">
        <v>-5.0639799999999999E-2</v>
      </c>
      <c r="R25">
        <v>1.382945E-2</v>
      </c>
      <c r="S25">
        <v>2.9812620000000001</v>
      </c>
      <c r="T25">
        <v>-0.58079769999999997</v>
      </c>
      <c r="U25">
        <v>-0.52191160000000003</v>
      </c>
      <c r="V25">
        <v>-1.3944160000000001E-2</v>
      </c>
      <c r="W25">
        <v>-4.3456710000000003E-2</v>
      </c>
      <c r="X25">
        <v>0.99895800000000001</v>
      </c>
      <c r="Y25">
        <v>0.16912769999999999</v>
      </c>
      <c r="Z25">
        <v>-1.6798750000000001E-2</v>
      </c>
      <c r="AA25">
        <v>0.98545099999999997</v>
      </c>
      <c r="AB25">
        <v>2</v>
      </c>
      <c r="AC25">
        <v>0.68169999999997799</v>
      </c>
      <c r="AD25">
        <v>-0.1375391</v>
      </c>
      <c r="AE25">
        <v>-0.124300000000005</v>
      </c>
      <c r="AF25">
        <v>0.119514575768741</v>
      </c>
      <c r="AG25">
        <v>-0.1375391</v>
      </c>
      <c r="AH25">
        <v>0.65587462703001698</v>
      </c>
      <c r="AI25">
        <v>101.656925874866</v>
      </c>
      <c r="AJ25">
        <v>79.672776232373494</v>
      </c>
      <c r="AK25">
        <v>0.68071452476919903</v>
      </c>
      <c r="AL25">
        <v>92.490670413233701</v>
      </c>
      <c r="AM25">
        <v>90.799722944190094</v>
      </c>
      <c r="AN25">
        <v>1.00000000550306</v>
      </c>
    </row>
    <row r="26" spans="1:40" x14ac:dyDescent="0.25">
      <c r="A26" t="str">
        <f>"20190305134910625"</f>
        <v>20190305134910625</v>
      </c>
      <c r="B26" t="str">
        <f>"1551764950610495"</f>
        <v>1551764950610495</v>
      </c>
      <c r="C26" t="s">
        <v>40</v>
      </c>
      <c r="D26">
        <v>4.1822910000000002</v>
      </c>
      <c r="E26">
        <v>0.56973769999999901</v>
      </c>
      <c r="F26" t="s">
        <v>41</v>
      </c>
      <c r="G26">
        <v>-475.57190000000003</v>
      </c>
      <c r="H26">
        <v>0.97222770000000003</v>
      </c>
      <c r="I26">
        <v>367.09699999999998</v>
      </c>
      <c r="J26">
        <v>-476.2484</v>
      </c>
      <c r="K26">
        <v>1.10941</v>
      </c>
      <c r="L26">
        <v>367.22059999999999</v>
      </c>
      <c r="M26">
        <v>0.99998240000000005</v>
      </c>
      <c r="N26">
        <v>-5.9249059999999997E-3</v>
      </c>
      <c r="O26">
        <v>-1.106914E-4</v>
      </c>
      <c r="P26">
        <v>0.99869839999999999</v>
      </c>
      <c r="Q26">
        <v>-4.91739E-2</v>
      </c>
      <c r="R26">
        <v>1.3546219999999999E-2</v>
      </c>
      <c r="S26">
        <v>2.9819339999999999</v>
      </c>
      <c r="T26">
        <v>-0.5798799</v>
      </c>
      <c r="U26">
        <v>-0.51968380000000003</v>
      </c>
      <c r="V26">
        <v>-1.3658480000000001E-2</v>
      </c>
      <c r="W26">
        <v>-4.3255340000000003E-2</v>
      </c>
      <c r="X26">
        <v>0.99897069999999999</v>
      </c>
      <c r="Y26">
        <v>0.1684224</v>
      </c>
      <c r="Z26">
        <v>-1.6592840000000001E-2</v>
      </c>
      <c r="AA26">
        <v>0.98557530000000004</v>
      </c>
      <c r="AB26">
        <v>2</v>
      </c>
      <c r="AC26">
        <v>0.67649999999997501</v>
      </c>
      <c r="AD26">
        <v>-0.13718229999999901</v>
      </c>
      <c r="AE26">
        <v>-0.12360000000000999</v>
      </c>
      <c r="AF26">
        <v>0.118797864280087</v>
      </c>
      <c r="AG26">
        <v>-0.13718229999999901</v>
      </c>
      <c r="AH26">
        <v>0.650623801677081</v>
      </c>
      <c r="AI26">
        <v>101.71802190314099</v>
      </c>
      <c r="AJ26">
        <v>79.6523129593824</v>
      </c>
      <c r="AK26">
        <v>0.67545780571367797</v>
      </c>
      <c r="AL26">
        <v>92.479121869476998</v>
      </c>
      <c r="AM26">
        <v>90.783330781994806</v>
      </c>
      <c r="AN26">
        <v>1.00000001898645</v>
      </c>
    </row>
    <row r="27" spans="1:40" x14ac:dyDescent="0.25">
      <c r="A27" t="str">
        <f>"20190305134910645"</f>
        <v>20190305134910645</v>
      </c>
      <c r="B27" t="str">
        <f>"1551764950640752"</f>
        <v>1551764950640752</v>
      </c>
      <c r="C27" t="s">
        <v>40</v>
      </c>
      <c r="D27">
        <v>4.2062150000000003</v>
      </c>
      <c r="E27">
        <v>0.53149979999999997</v>
      </c>
      <c r="F27" t="s">
        <v>41</v>
      </c>
      <c r="G27">
        <v>-475.54349999999999</v>
      </c>
      <c r="H27">
        <v>0.97288940000000002</v>
      </c>
      <c r="I27">
        <v>367.09739999999999</v>
      </c>
      <c r="J27">
        <v>-476.2174</v>
      </c>
      <c r="K27">
        <v>1.1092329999999999</v>
      </c>
      <c r="L27">
        <v>367.22059999999999</v>
      </c>
      <c r="M27">
        <v>0.99998690000000001</v>
      </c>
      <c r="N27">
        <v>-5.0937170000000002E-3</v>
      </c>
      <c r="O27">
        <v>-1.0802900000000001E-4</v>
      </c>
      <c r="P27">
        <v>0.9987376</v>
      </c>
      <c r="Q27">
        <v>-4.8351089999999999E-2</v>
      </c>
      <c r="R27">
        <v>1.3614040000000001E-2</v>
      </c>
      <c r="S27">
        <v>2.982513</v>
      </c>
      <c r="T27">
        <v>-0.57778980000000002</v>
      </c>
      <c r="U27">
        <v>-0.51934809999999998</v>
      </c>
      <c r="V27">
        <v>-1.372373E-2</v>
      </c>
      <c r="W27">
        <v>-4.3262689999999999E-2</v>
      </c>
      <c r="X27">
        <v>0.99896949999999995</v>
      </c>
      <c r="Y27">
        <v>0.16832369999999999</v>
      </c>
      <c r="Z27">
        <v>-1.6452560000000001E-2</v>
      </c>
      <c r="AA27">
        <v>0.98559450000000004</v>
      </c>
      <c r="AB27">
        <v>3</v>
      </c>
      <c r="AC27">
        <v>0.67390000000000305</v>
      </c>
      <c r="AD27">
        <v>-0.13634359999999901</v>
      </c>
      <c r="AE27">
        <v>-0.12319999999999701</v>
      </c>
      <c r="AF27">
        <v>0.118435989952675</v>
      </c>
      <c r="AG27">
        <v>-0.13634359999999901</v>
      </c>
      <c r="AH27">
        <v>0.64823687239493399</v>
      </c>
      <c r="AI27">
        <v>101.689827988388</v>
      </c>
      <c r="AJ27">
        <v>79.645987162483905</v>
      </c>
      <c r="AK27">
        <v>0.67292473851790802</v>
      </c>
      <c r="AL27">
        <v>92.479543356937299</v>
      </c>
      <c r="AM27">
        <v>90.787073426189195</v>
      </c>
      <c r="AN27">
        <v>1.0000000315206901</v>
      </c>
    </row>
    <row r="28" spans="1:40" x14ac:dyDescent="0.25">
      <c r="A28" t="str">
        <f>"20190305134910669"</f>
        <v>20190305134910669</v>
      </c>
      <c r="B28" t="str">
        <f>"1551764950661251"</f>
        <v>1551764950661251</v>
      </c>
      <c r="C28" t="s">
        <v>40</v>
      </c>
      <c r="D28">
        <v>4.214569</v>
      </c>
      <c r="E28">
        <v>0.523613</v>
      </c>
      <c r="F28" t="s">
        <v>41</v>
      </c>
      <c r="G28">
        <v>-475.51859999999999</v>
      </c>
      <c r="H28">
        <v>0.96532750000000001</v>
      </c>
      <c r="I28">
        <v>367.17</v>
      </c>
      <c r="J28">
        <v>-476.18669999999997</v>
      </c>
      <c r="K28">
        <v>1.1095660000000001</v>
      </c>
      <c r="L28">
        <v>367.22059999999999</v>
      </c>
      <c r="M28">
        <v>0.9999825</v>
      </c>
      <c r="N28">
        <v>-5.9481219999999897E-3</v>
      </c>
      <c r="O28">
        <v>-1.059941E-4</v>
      </c>
      <c r="P28">
        <v>0.99869929999999996</v>
      </c>
      <c r="Q28">
        <v>-4.9233020000000002E-2</v>
      </c>
      <c r="R28">
        <v>1.3275449999999999E-2</v>
      </c>
      <c r="S28">
        <v>2.9770810000000001</v>
      </c>
      <c r="T28">
        <v>-0.61311040000000006</v>
      </c>
      <c r="U28">
        <v>-0.2149353</v>
      </c>
      <c r="V28">
        <v>-1.338313E-2</v>
      </c>
      <c r="W28">
        <v>-4.3291259999999998E-2</v>
      </c>
      <c r="X28">
        <v>0.99897279999999999</v>
      </c>
      <c r="Y28">
        <v>7.0392410000000002E-2</v>
      </c>
      <c r="Z28">
        <v>-7.3550229999999996E-3</v>
      </c>
      <c r="AA28">
        <v>0.9974923</v>
      </c>
      <c r="AB28">
        <v>3</v>
      </c>
      <c r="AC28">
        <v>0.66809999999998104</v>
      </c>
      <c r="AD28">
        <v>-0.14423849999999999</v>
      </c>
      <c r="AE28">
        <v>-5.0599999999974402E-2</v>
      </c>
      <c r="AF28">
        <v>4.8291168186968901E-2</v>
      </c>
      <c r="AG28">
        <v>-0.14423849999999999</v>
      </c>
      <c r="AH28">
        <v>0.63851394087225999</v>
      </c>
      <c r="AI28">
        <v>102.69422789153499</v>
      </c>
      <c r="AJ28">
        <v>85.674921910871504</v>
      </c>
      <c r="AK28">
        <v>0.65638162260634303</v>
      </c>
      <c r="AL28">
        <v>92.481182039110905</v>
      </c>
      <c r="AM28">
        <v>90.767539413043295</v>
      </c>
      <c r="AN28">
        <v>0.99999994825041005</v>
      </c>
    </row>
    <row r="29" spans="1:40" x14ac:dyDescent="0.25">
      <c r="A29" t="str">
        <f>"20190305134910691"</f>
        <v>20190305134910691</v>
      </c>
      <c r="B29" t="str">
        <f>"1551764950680771"</f>
        <v>1551764950680771</v>
      </c>
      <c r="C29" t="s">
        <v>40</v>
      </c>
      <c r="D29">
        <v>4.2045240000000002</v>
      </c>
      <c r="E29">
        <v>0.52211799999999997</v>
      </c>
      <c r="F29" t="s">
        <v>41</v>
      </c>
      <c r="G29">
        <v>-475.49270000000001</v>
      </c>
      <c r="H29">
        <v>0.96562780000000004</v>
      </c>
      <c r="I29">
        <v>367.18450000000001</v>
      </c>
      <c r="J29">
        <v>-476.16210000000001</v>
      </c>
      <c r="K29">
        <v>1.1101540000000001</v>
      </c>
      <c r="L29">
        <v>367.22059999999999</v>
      </c>
      <c r="M29">
        <v>0.99996819999999997</v>
      </c>
      <c r="N29">
        <v>-8.0005300000000005E-3</v>
      </c>
      <c r="O29">
        <v>-1.054444E-4</v>
      </c>
      <c r="P29">
        <v>0.99859240000000005</v>
      </c>
      <c r="Q29">
        <v>-5.1358250000000001E-2</v>
      </c>
      <c r="R29">
        <v>1.326684E-2</v>
      </c>
      <c r="S29">
        <v>2.9755549999999999</v>
      </c>
      <c r="T29">
        <v>-0.61724330000000005</v>
      </c>
      <c r="U29">
        <v>-0.15277099999999999</v>
      </c>
      <c r="V29">
        <v>-1.337403E-2</v>
      </c>
      <c r="W29">
        <v>-4.336682E-2</v>
      </c>
      <c r="X29">
        <v>0.99896969999999996</v>
      </c>
      <c r="Y29">
        <v>5.0066189999999997E-2</v>
      </c>
      <c r="Z29">
        <v>-5.3166530000000002E-3</v>
      </c>
      <c r="AA29">
        <v>0.9987317</v>
      </c>
      <c r="AB29">
        <v>3</v>
      </c>
      <c r="AC29">
        <v>0.669399999999996</v>
      </c>
      <c r="AD29">
        <v>-0.14452619999999999</v>
      </c>
      <c r="AE29">
        <v>-3.60999999999762E-2</v>
      </c>
      <c r="AF29">
        <v>3.4429166082985997E-2</v>
      </c>
      <c r="AG29">
        <v>-0.14452619999999999</v>
      </c>
      <c r="AH29">
        <v>0.63967222171980798</v>
      </c>
      <c r="AI29">
        <v>102.71371898605901</v>
      </c>
      <c r="AJ29">
        <v>86.919134091717297</v>
      </c>
      <c r="AK29">
        <v>0.65669912532571995</v>
      </c>
      <c r="AL29">
        <v>92.485515240315095</v>
      </c>
      <c r="AM29">
        <v>90.767019958841402</v>
      </c>
      <c r="AN29">
        <v>1.00000000363672</v>
      </c>
    </row>
    <row r="30" spans="1:40" x14ac:dyDescent="0.25">
      <c r="A30" t="str">
        <f>"20190305134910714"</f>
        <v>20190305134910714</v>
      </c>
      <c r="B30" t="str">
        <f>"1551764950711026"</f>
        <v>1551764950711026</v>
      </c>
      <c r="C30" t="s">
        <v>40</v>
      </c>
      <c r="D30">
        <v>4.2003529999999998</v>
      </c>
      <c r="E30">
        <v>0.5218817</v>
      </c>
      <c r="F30" t="s">
        <v>41</v>
      </c>
      <c r="G30">
        <v>-475.45269999999999</v>
      </c>
      <c r="H30">
        <v>0.96246240000000005</v>
      </c>
      <c r="I30">
        <v>367.18689999999998</v>
      </c>
      <c r="J30">
        <v>-476.1386</v>
      </c>
      <c r="K30">
        <v>1.1105579999999999</v>
      </c>
      <c r="L30">
        <v>367.22059999999999</v>
      </c>
      <c r="M30">
        <v>0.99995219999999996</v>
      </c>
      <c r="N30">
        <v>-9.7803749999999991E-3</v>
      </c>
      <c r="O30">
        <v>-1.0564630000000001E-4</v>
      </c>
      <c r="P30">
        <v>0.99850340000000004</v>
      </c>
      <c r="Q30">
        <v>-5.3104970000000001E-2</v>
      </c>
      <c r="R30">
        <v>1.306743E-2</v>
      </c>
      <c r="S30">
        <v>2.9742130000000002</v>
      </c>
      <c r="T30">
        <v>-0.61926099999999995</v>
      </c>
      <c r="U30">
        <v>-0.140533399999999</v>
      </c>
      <c r="V30">
        <v>-1.317494E-2</v>
      </c>
      <c r="W30">
        <v>-4.3336189999999997E-2</v>
      </c>
      <c r="X30">
        <v>0.99897369999999996</v>
      </c>
      <c r="Y30">
        <v>4.6061459999999999E-2</v>
      </c>
      <c r="Z30">
        <v>-4.9489449999999997E-3</v>
      </c>
      <c r="AA30">
        <v>0.99892630000000004</v>
      </c>
      <c r="AB30">
        <v>2</v>
      </c>
      <c r="AC30">
        <v>0.68590000000000295</v>
      </c>
      <c r="AD30">
        <v>-0.14809559999999999</v>
      </c>
      <c r="AE30">
        <v>-3.3700000000010201E-2</v>
      </c>
      <c r="AF30">
        <v>3.2133127633169403E-2</v>
      </c>
      <c r="AG30">
        <v>-0.14809559999999999</v>
      </c>
      <c r="AH30">
        <v>0.65542203668866506</v>
      </c>
      <c r="AI30">
        <v>102.71765258419499</v>
      </c>
      <c r="AJ30">
        <v>87.193228900781406</v>
      </c>
      <c r="AK30">
        <v>0.672713082084752</v>
      </c>
      <c r="AL30">
        <v>92.483758556500803</v>
      </c>
      <c r="AM30">
        <v>90.755600168120694</v>
      </c>
      <c r="AN30">
        <v>1.0000000288497</v>
      </c>
    </row>
    <row r="31" spans="1:40" x14ac:dyDescent="0.25">
      <c r="A31" t="str">
        <f>"20190305134910738"</f>
        <v>20190305134910738</v>
      </c>
      <c r="B31" t="str">
        <f>"1551764950730546"</f>
        <v>1551764950730546</v>
      </c>
      <c r="C31" t="s">
        <v>40</v>
      </c>
      <c r="D31">
        <v>4.1937059999999997</v>
      </c>
      <c r="E31">
        <v>0.52191699999999996</v>
      </c>
      <c r="F31" t="s">
        <v>41</v>
      </c>
      <c r="G31">
        <v>-475.42860000000002</v>
      </c>
      <c r="H31">
        <v>0.96211159999999996</v>
      </c>
      <c r="I31">
        <v>367.18700000000001</v>
      </c>
      <c r="J31">
        <v>-476.10930000000002</v>
      </c>
      <c r="K31">
        <v>1.1102459999999901</v>
      </c>
      <c r="L31">
        <v>367.22059999999999</v>
      </c>
      <c r="M31">
        <v>0.99995809999999996</v>
      </c>
      <c r="N31">
        <v>-9.1655290000000004E-3</v>
      </c>
      <c r="O31">
        <v>-1.046326E-4</v>
      </c>
      <c r="P31">
        <v>0.99855930000000004</v>
      </c>
      <c r="Q31">
        <v>-5.206355E-2</v>
      </c>
      <c r="R31">
        <v>1.300465E-2</v>
      </c>
      <c r="S31">
        <v>2.9732669999999999</v>
      </c>
      <c r="T31">
        <v>-0.62169949999999996</v>
      </c>
      <c r="U31">
        <v>-0.13922119999999999</v>
      </c>
      <c r="V31">
        <v>-1.311088E-2</v>
      </c>
      <c r="W31">
        <v>-4.2908519999999999E-2</v>
      </c>
      <c r="X31">
        <v>0.99899300000000002</v>
      </c>
      <c r="Y31">
        <v>4.5641470000000003E-2</v>
      </c>
      <c r="Z31">
        <v>-4.9091170000000002E-3</v>
      </c>
      <c r="AA31">
        <v>0.99894579999999999</v>
      </c>
      <c r="AB31">
        <v>2</v>
      </c>
      <c r="AC31">
        <v>0.68070000000000097</v>
      </c>
      <c r="AD31">
        <v>-0.148134399999999</v>
      </c>
      <c r="AE31">
        <v>-3.3600000000035303E-2</v>
      </c>
      <c r="AF31">
        <v>3.2016210672866099E-2</v>
      </c>
      <c r="AG31">
        <v>-0.148134399999999</v>
      </c>
      <c r="AH31">
        <v>0.64999535695990796</v>
      </c>
      <c r="AI31">
        <v>102.823443119198</v>
      </c>
      <c r="AJ31">
        <v>87.180114637546396</v>
      </c>
      <c r="AK31">
        <v>0.66742999803623404</v>
      </c>
      <c r="AL31">
        <v>92.459232065501496</v>
      </c>
      <c r="AM31">
        <v>90.751912140423698</v>
      </c>
      <c r="AN31">
        <v>1.00000002515598</v>
      </c>
    </row>
    <row r="32" spans="1:40" x14ac:dyDescent="0.25">
      <c r="A32" t="str">
        <f>"20190305134910757"</f>
        <v>20190305134910757</v>
      </c>
      <c r="B32" t="str">
        <f>"1551764950751043"</f>
        <v>1551764950751043</v>
      </c>
      <c r="C32" t="s">
        <v>40</v>
      </c>
      <c r="D32">
        <v>4.2262360000000001</v>
      </c>
      <c r="E32">
        <v>0.52200839999999904</v>
      </c>
      <c r="F32" t="s">
        <v>41</v>
      </c>
      <c r="G32">
        <v>-475.3999</v>
      </c>
      <c r="H32">
        <v>0.96258100000000002</v>
      </c>
      <c r="I32">
        <v>367.18680000000001</v>
      </c>
      <c r="J32">
        <v>-476.07859999999999</v>
      </c>
      <c r="K32">
        <v>1.1098239999999999</v>
      </c>
      <c r="L32">
        <v>367.22059999999999</v>
      </c>
      <c r="M32">
        <v>0.99996879999999999</v>
      </c>
      <c r="N32">
        <v>-7.9059639999999997E-3</v>
      </c>
      <c r="O32">
        <v>-1.0245090000000001E-4</v>
      </c>
      <c r="P32">
        <v>0.9986659</v>
      </c>
      <c r="Q32">
        <v>-4.9943769999999998E-2</v>
      </c>
      <c r="R32">
        <v>1.3119469999999999E-2</v>
      </c>
      <c r="S32">
        <v>2.9738769999999999</v>
      </c>
      <c r="T32">
        <v>-0.61914550000000002</v>
      </c>
      <c r="U32">
        <v>-0.14010619999999999</v>
      </c>
      <c r="V32">
        <v>-1.32233E-2</v>
      </c>
      <c r="W32">
        <v>-4.2046269999999997E-2</v>
      </c>
      <c r="X32">
        <v>0.99902809999999997</v>
      </c>
      <c r="Y32">
        <v>4.5938699999999902E-2</v>
      </c>
      <c r="Z32">
        <v>-4.892235E-3</v>
      </c>
      <c r="AA32">
        <v>0.9989323</v>
      </c>
      <c r="AB32">
        <v>3</v>
      </c>
      <c r="AC32">
        <v>0.67869999999999198</v>
      </c>
      <c r="AD32">
        <v>-0.14724300000000001</v>
      </c>
      <c r="AE32">
        <v>-3.3799999999985099E-2</v>
      </c>
      <c r="AF32">
        <v>3.2217829343521402E-2</v>
      </c>
      <c r="AG32">
        <v>-0.14724300000000001</v>
      </c>
      <c r="AH32">
        <v>0.64826715937891</v>
      </c>
      <c r="AI32">
        <v>102.781408862006</v>
      </c>
      <c r="AJ32">
        <v>87.154833338351395</v>
      </c>
      <c r="AK32">
        <v>0.66555901278985796</v>
      </c>
      <c r="AL32">
        <v>92.409784343411502</v>
      </c>
      <c r="AM32">
        <v>90.758332063683497</v>
      </c>
      <c r="AN32">
        <v>0.99999994453670404</v>
      </c>
    </row>
    <row r="33" spans="1:40" x14ac:dyDescent="0.25">
      <c r="A33" t="str">
        <f>"20190305134910782"</f>
        <v>20190305134910782</v>
      </c>
      <c r="B33" t="str">
        <f>"1551764950770563"</f>
        <v>1551764950770563</v>
      </c>
      <c r="C33" t="s">
        <v>40</v>
      </c>
      <c r="D33">
        <v>4.1929540000000003</v>
      </c>
      <c r="E33">
        <v>0.52231130000000003</v>
      </c>
      <c r="F33" t="s">
        <v>41</v>
      </c>
      <c r="G33">
        <v>-475.3689</v>
      </c>
      <c r="H33">
        <v>0.96342019999999995</v>
      </c>
      <c r="I33">
        <v>367.18700000000001</v>
      </c>
      <c r="J33">
        <v>-476.0428</v>
      </c>
      <c r="K33">
        <v>1.109545</v>
      </c>
      <c r="L33">
        <v>367.22059999999999</v>
      </c>
      <c r="M33">
        <v>0.99997650000000005</v>
      </c>
      <c r="N33">
        <v>-6.8816329999999998E-3</v>
      </c>
      <c r="O33" s="1">
        <v>-9.9593710000000002E-5</v>
      </c>
      <c r="P33">
        <v>0.99875210000000003</v>
      </c>
      <c r="Q33">
        <v>-4.8250149999999999E-2</v>
      </c>
      <c r="R33">
        <v>1.291114E-2</v>
      </c>
      <c r="S33">
        <v>2.9751590000000001</v>
      </c>
      <c r="T33">
        <v>-0.61387619999999998</v>
      </c>
      <c r="U33">
        <v>-0.14050289999999999</v>
      </c>
      <c r="V33">
        <v>-1.3012630000000001E-2</v>
      </c>
      <c r="W33">
        <v>-4.1375469999999998E-2</v>
      </c>
      <c r="X33">
        <v>0.99905889999999997</v>
      </c>
      <c r="Y33">
        <v>4.607381E-2</v>
      </c>
      <c r="Z33">
        <v>-4.8418940000000002E-3</v>
      </c>
      <c r="AA33">
        <v>0.99892630000000004</v>
      </c>
      <c r="AB33">
        <v>3</v>
      </c>
      <c r="AC33">
        <v>0.67390000000000305</v>
      </c>
      <c r="AD33">
        <v>-0.1461248</v>
      </c>
      <c r="AE33">
        <v>-3.3600000000035303E-2</v>
      </c>
      <c r="AF33">
        <v>3.2030625579790903E-2</v>
      </c>
      <c r="AG33">
        <v>-0.1461248</v>
      </c>
      <c r="AH33">
        <v>0.64371280773704898</v>
      </c>
      <c r="AI33">
        <v>102.77429007461301</v>
      </c>
      <c r="AJ33">
        <v>87.151358134624004</v>
      </c>
      <c r="AK33">
        <v>0.66086655006497996</v>
      </c>
      <c r="AL33">
        <v>92.371316789444094</v>
      </c>
      <c r="AM33">
        <v>90.746228898329605</v>
      </c>
      <c r="AN33">
        <v>0.99999997186322298</v>
      </c>
    </row>
    <row r="34" spans="1:40" x14ac:dyDescent="0.25">
      <c r="A34" t="str">
        <f>"20190305134910802"</f>
        <v>20190305134910802</v>
      </c>
      <c r="B34" t="str">
        <f>"1551764950791058"</f>
        <v>1551764950791058</v>
      </c>
      <c r="C34" t="s">
        <v>40</v>
      </c>
      <c r="D34">
        <v>4.2360579999999999</v>
      </c>
      <c r="E34">
        <v>0.52249880000000004</v>
      </c>
      <c r="F34" t="s">
        <v>41</v>
      </c>
      <c r="G34">
        <v>-475.33690000000001</v>
      </c>
      <c r="H34">
        <v>0.96480790000000005</v>
      </c>
      <c r="I34">
        <v>367.18610000000001</v>
      </c>
      <c r="J34">
        <v>-476.01280000000003</v>
      </c>
      <c r="K34">
        <v>1.1096950000000001</v>
      </c>
      <c r="L34">
        <v>367.22059999999999</v>
      </c>
      <c r="M34">
        <v>0.99997349999999996</v>
      </c>
      <c r="N34">
        <v>-7.2841909999999998E-3</v>
      </c>
      <c r="O34" s="1">
        <v>-9.7686149999999996E-5</v>
      </c>
      <c r="P34">
        <v>0.99873049999999997</v>
      </c>
      <c r="Q34">
        <v>-4.884202E-2</v>
      </c>
      <c r="R34">
        <v>1.23225E-2</v>
      </c>
      <c r="S34">
        <v>2.9761350000000002</v>
      </c>
      <c r="T34">
        <v>-0.61025689999999999</v>
      </c>
      <c r="U34">
        <v>-0.14376829999999999</v>
      </c>
      <c r="V34">
        <v>-1.242181E-2</v>
      </c>
      <c r="W34">
        <v>-4.1565310000000001E-2</v>
      </c>
      <c r="X34">
        <v>0.99905849999999996</v>
      </c>
      <c r="Y34">
        <v>4.7140969999999997E-2</v>
      </c>
      <c r="Z34">
        <v>-4.9351789999999996E-3</v>
      </c>
      <c r="AA34">
        <v>0.99887599999999999</v>
      </c>
      <c r="AB34">
        <v>3</v>
      </c>
      <c r="AC34">
        <v>0.67590000000001205</v>
      </c>
      <c r="AD34">
        <v>-0.14488709999999999</v>
      </c>
      <c r="AE34">
        <v>-3.4499999999979901E-2</v>
      </c>
      <c r="AF34">
        <v>3.2924969741091999E-2</v>
      </c>
      <c r="AG34">
        <v>-0.14488709999999999</v>
      </c>
      <c r="AH34">
        <v>0.64628320823658902</v>
      </c>
      <c r="AI34">
        <v>102.620096819498</v>
      </c>
      <c r="AJ34">
        <v>87.083581507592697</v>
      </c>
      <c r="AK34">
        <v>0.66314275282735402</v>
      </c>
      <c r="AL34">
        <v>92.382203282223102</v>
      </c>
      <c r="AM34">
        <v>90.712351293714704</v>
      </c>
      <c r="AN34">
        <v>0.99999993139065801</v>
      </c>
    </row>
    <row r="35" spans="1:40" x14ac:dyDescent="0.25">
      <c r="A35" t="str">
        <f>"20190305134910824"</f>
        <v>20190305134910824</v>
      </c>
      <c r="B35" t="str">
        <f>"1551764950810579"</f>
        <v>1551764950810579</v>
      </c>
      <c r="C35" t="s">
        <v>40</v>
      </c>
      <c r="D35">
        <v>4.1931070000000004</v>
      </c>
      <c r="E35">
        <v>0.52245559999999902</v>
      </c>
      <c r="F35" t="s">
        <v>41</v>
      </c>
      <c r="G35">
        <v>-475.3098</v>
      </c>
      <c r="H35">
        <v>0.96474590000000005</v>
      </c>
      <c r="I35">
        <v>367.1857</v>
      </c>
      <c r="J35">
        <v>-475.98570000000001</v>
      </c>
      <c r="K35">
        <v>1.1101780000000001</v>
      </c>
      <c r="L35">
        <v>367.22059999999999</v>
      </c>
      <c r="M35">
        <v>0.99995959999999995</v>
      </c>
      <c r="N35">
        <v>-8.9807900000000006E-3</v>
      </c>
      <c r="O35" s="1">
        <v>-9.6985249999999998E-5</v>
      </c>
      <c r="P35">
        <v>0.99857779999999996</v>
      </c>
      <c r="Q35">
        <v>-5.1842270000000003E-2</v>
      </c>
      <c r="R35">
        <v>1.2446520000000001E-2</v>
      </c>
      <c r="S35">
        <v>2.975616</v>
      </c>
      <c r="T35">
        <v>-0.61358299999999999</v>
      </c>
      <c r="U35">
        <v>-0.146362299999999</v>
      </c>
      <c r="V35">
        <v>-1.2544980000000001E-2</v>
      </c>
      <c r="W35">
        <v>-4.2871699999999999E-2</v>
      </c>
      <c r="X35">
        <v>0.99900180000000005</v>
      </c>
      <c r="Y35">
        <v>4.7980889999999998E-2</v>
      </c>
      <c r="Z35">
        <v>-5.0915630000000003E-3</v>
      </c>
      <c r="AA35">
        <v>0.99883529999999998</v>
      </c>
      <c r="AB35">
        <v>4</v>
      </c>
      <c r="AC35">
        <v>0.67590000000001205</v>
      </c>
      <c r="AD35">
        <v>-0.14543210000000001</v>
      </c>
      <c r="AE35">
        <v>-3.48999999999932E-2</v>
      </c>
      <c r="AF35">
        <v>3.3296983559292503E-2</v>
      </c>
      <c r="AG35">
        <v>-0.14543210000000001</v>
      </c>
      <c r="AH35">
        <v>0.64607155020805895</v>
      </c>
      <c r="AI35">
        <v>102.669683405021</v>
      </c>
      <c r="AJ35">
        <v>87.049722717643704</v>
      </c>
      <c r="AK35">
        <v>0.66307437954787696</v>
      </c>
      <c r="AL35">
        <v>92.457120608320295</v>
      </c>
      <c r="AM35">
        <v>90.719454789959897</v>
      </c>
      <c r="AN35">
        <v>0.99999997779366401</v>
      </c>
    </row>
    <row r="36" spans="1:40" x14ac:dyDescent="0.25">
      <c r="A36" t="str">
        <f>"20190305134910847"</f>
        <v>20190305134910847</v>
      </c>
      <c r="B36" t="str">
        <f>"1551764950840834"</f>
        <v>1551764950840834</v>
      </c>
      <c r="C36" t="s">
        <v>40</v>
      </c>
      <c r="D36">
        <v>4.1780049999999997</v>
      </c>
      <c r="E36">
        <v>0.52232489999999998</v>
      </c>
      <c r="F36" t="s">
        <v>41</v>
      </c>
      <c r="G36">
        <v>-475.28660000000002</v>
      </c>
      <c r="H36">
        <v>0.96367800000000003</v>
      </c>
      <c r="I36">
        <v>367.18650000000002</v>
      </c>
      <c r="J36">
        <v>-475.95400000000001</v>
      </c>
      <c r="K36">
        <v>1.110206</v>
      </c>
      <c r="L36">
        <v>367.22059999999999</v>
      </c>
      <c r="M36">
        <v>0.99995639999999997</v>
      </c>
      <c r="N36">
        <v>-9.3543559999999994E-3</v>
      </c>
      <c r="O36" s="1">
        <v>-9.6556889999999996E-5</v>
      </c>
      <c r="P36">
        <v>0.99851699999999999</v>
      </c>
      <c r="Q36">
        <v>-5.3071739999999999E-2</v>
      </c>
      <c r="R36">
        <v>1.2141269999999999E-2</v>
      </c>
      <c r="S36">
        <v>2.9737239999999998</v>
      </c>
      <c r="T36">
        <v>-0.62316749999999999</v>
      </c>
      <c r="U36">
        <v>-0.1452637</v>
      </c>
      <c r="V36">
        <v>-1.2239649999999999E-2</v>
      </c>
      <c r="W36">
        <v>-4.3728490000000002E-2</v>
      </c>
      <c r="X36">
        <v>0.99896850000000004</v>
      </c>
      <c r="Y36">
        <v>4.7617319999999998E-2</v>
      </c>
      <c r="Z36">
        <v>-5.1390769999999997E-3</v>
      </c>
      <c r="AA36">
        <v>0.99885239999999997</v>
      </c>
      <c r="AB36">
        <v>3</v>
      </c>
      <c r="AC36">
        <v>0.667399999999986</v>
      </c>
      <c r="AD36">
        <v>-0.14652799999999999</v>
      </c>
      <c r="AE36">
        <v>-3.4099999999966699E-2</v>
      </c>
      <c r="AF36">
        <v>3.2474291342539603E-2</v>
      </c>
      <c r="AG36">
        <v>-0.14652799999999999</v>
      </c>
      <c r="AH36">
        <v>0.636788467050036</v>
      </c>
      <c r="AI36">
        <v>102.942209133517</v>
      </c>
      <c r="AJ36">
        <v>87.080617094837393</v>
      </c>
      <c r="AK36">
        <v>0.65423587959552798</v>
      </c>
      <c r="AL36">
        <v>92.506257023240096</v>
      </c>
      <c r="AM36">
        <v>90.701969280459906</v>
      </c>
      <c r="AN36">
        <v>1.0000000269310201</v>
      </c>
    </row>
    <row r="37" spans="1:40" x14ac:dyDescent="0.25">
      <c r="A37" t="str">
        <f>"20190305134910871"</f>
        <v>20190305134910871</v>
      </c>
      <c r="B37" t="str">
        <f>"1551764950860859"</f>
        <v>1551764950860859</v>
      </c>
      <c r="C37" t="s">
        <v>40</v>
      </c>
      <c r="D37">
        <v>4.1992070000000004</v>
      </c>
      <c r="E37">
        <v>0.52244230000000003</v>
      </c>
      <c r="F37" t="s">
        <v>41</v>
      </c>
      <c r="G37">
        <v>-475.25850000000003</v>
      </c>
      <c r="H37">
        <v>0.96334580000000003</v>
      </c>
      <c r="I37">
        <v>367.18650000000002</v>
      </c>
      <c r="J37">
        <v>-475.916</v>
      </c>
      <c r="K37">
        <v>1.109753</v>
      </c>
      <c r="L37">
        <v>367.22059999999999</v>
      </c>
      <c r="M37">
        <v>0.99996799999999997</v>
      </c>
      <c r="N37">
        <v>-8.0120680000000007E-3</v>
      </c>
      <c r="O37" s="1">
        <v>-9.4401140000000003E-5</v>
      </c>
      <c r="P37">
        <v>0.99843610000000005</v>
      </c>
      <c r="Q37">
        <v>-5.4484049999999999E-2</v>
      </c>
      <c r="R37">
        <v>1.252879E-2</v>
      </c>
      <c r="S37">
        <v>2.972839</v>
      </c>
      <c r="T37">
        <v>-0.62781489999999995</v>
      </c>
      <c r="U37">
        <v>-0.1452637</v>
      </c>
      <c r="V37">
        <v>-1.262487E-2</v>
      </c>
      <c r="W37">
        <v>-4.6482299999999997E-2</v>
      </c>
      <c r="X37">
        <v>0.99883929999999999</v>
      </c>
      <c r="Y37">
        <v>4.7624369999999999E-2</v>
      </c>
      <c r="Z37">
        <v>-5.1451200000000004E-3</v>
      </c>
      <c r="AA37">
        <v>0.99885210000000002</v>
      </c>
      <c r="AB37">
        <v>3</v>
      </c>
      <c r="AC37">
        <v>0.65749999999997</v>
      </c>
      <c r="AD37">
        <v>-0.14640719999999899</v>
      </c>
      <c r="AE37">
        <v>-3.4099999999966699E-2</v>
      </c>
      <c r="AF37">
        <v>3.2434062963397403E-2</v>
      </c>
      <c r="AG37">
        <v>-0.14640719999999899</v>
      </c>
      <c r="AH37">
        <v>0.62652168538465502</v>
      </c>
      <c r="AI37">
        <v>103.136018479832</v>
      </c>
      <c r="AJ37">
        <v>87.036531165981401</v>
      </c>
      <c r="AK37">
        <v>0.64421771080076795</v>
      </c>
      <c r="AL37">
        <v>92.664199661768194</v>
      </c>
      <c r="AM37">
        <v>90.7241537764735</v>
      </c>
      <c r="AN37">
        <v>0.99999996939014701</v>
      </c>
    </row>
    <row r="38" spans="1:40" x14ac:dyDescent="0.25">
      <c r="A38" t="str">
        <f>"20190305134910892"</f>
        <v>20190305134910892</v>
      </c>
      <c r="B38" t="str">
        <f>"1551764950880379"</f>
        <v>1551764950880379</v>
      </c>
      <c r="C38" t="s">
        <v>40</v>
      </c>
      <c r="D38">
        <v>4.1421809999999999</v>
      </c>
      <c r="E38">
        <v>0.5223814</v>
      </c>
      <c r="F38" t="s">
        <v>41</v>
      </c>
      <c r="G38">
        <v>-475.19439999999997</v>
      </c>
      <c r="H38">
        <v>0.95591700000000002</v>
      </c>
      <c r="I38">
        <v>367.18520000000001</v>
      </c>
      <c r="J38">
        <v>-475.87979999999999</v>
      </c>
      <c r="K38">
        <v>1.109413</v>
      </c>
      <c r="L38">
        <v>367.22059999999999</v>
      </c>
      <c r="M38">
        <v>0.999977</v>
      </c>
      <c r="N38">
        <v>-6.7979640000000001E-3</v>
      </c>
      <c r="O38" s="1">
        <v>-9.1909659999999996E-5</v>
      </c>
      <c r="P38">
        <v>0.99832609999999999</v>
      </c>
      <c r="Q38">
        <v>-5.633813E-2</v>
      </c>
      <c r="R38">
        <v>1.308717E-2</v>
      </c>
      <c r="S38">
        <v>2.971924</v>
      </c>
      <c r="T38">
        <v>-0.63363400000000003</v>
      </c>
      <c r="U38">
        <v>-0.14505000000000001</v>
      </c>
      <c r="V38">
        <v>-1.3181129999999999E-2</v>
      </c>
      <c r="W38">
        <v>-4.9549759999999998E-2</v>
      </c>
      <c r="X38">
        <v>0.99868469999999998</v>
      </c>
      <c r="Y38">
        <v>4.7557660000000002E-2</v>
      </c>
      <c r="Z38">
        <v>-5.1554269999999998E-3</v>
      </c>
      <c r="AA38">
        <v>0.99885520000000005</v>
      </c>
      <c r="AB38">
        <v>4</v>
      </c>
      <c r="AC38">
        <v>0.685400000000015</v>
      </c>
      <c r="AD38">
        <v>-0.15349599999999899</v>
      </c>
      <c r="AE38">
        <v>-3.5399999999981398E-2</v>
      </c>
      <c r="AF38">
        <v>3.3653628619777699E-2</v>
      </c>
      <c r="AG38">
        <v>-0.15349599999999899</v>
      </c>
      <c r="AH38">
        <v>0.65275219057531098</v>
      </c>
      <c r="AI38">
        <v>103.215869938943</v>
      </c>
      <c r="AJ38">
        <v>87.048642363894203</v>
      </c>
      <c r="AK38">
        <v>0.671400782719342</v>
      </c>
      <c r="AL38">
        <v>92.8401550423917</v>
      </c>
      <c r="AM38">
        <v>90.756173864957105</v>
      </c>
      <c r="AN38">
        <v>1.0000000254591099</v>
      </c>
    </row>
    <row r="39" spans="1:40" x14ac:dyDescent="0.25">
      <c r="A39" t="str">
        <f>"20190305134910914"</f>
        <v>20190305134910914</v>
      </c>
      <c r="B39" t="str">
        <f>"1551764950910635"</f>
        <v>1551764950910635</v>
      </c>
      <c r="C39" t="s">
        <v>40</v>
      </c>
      <c r="D39">
        <v>4.1027950000000004</v>
      </c>
      <c r="E39">
        <v>0.52243519999999999</v>
      </c>
      <c r="F39" t="s">
        <v>41</v>
      </c>
      <c r="G39">
        <v>-475.16079999999999</v>
      </c>
      <c r="H39">
        <v>0.95455179999999995</v>
      </c>
      <c r="I39">
        <v>367.18549999999999</v>
      </c>
      <c r="J39">
        <v>-475.84140000000002</v>
      </c>
      <c r="K39">
        <v>1.1095189999999999</v>
      </c>
      <c r="L39">
        <v>367.22059999999999</v>
      </c>
      <c r="M39">
        <v>0.99997619999999998</v>
      </c>
      <c r="N39">
        <v>-6.910284E-3</v>
      </c>
      <c r="O39" s="1">
        <v>-8.9077359999999904E-5</v>
      </c>
      <c r="P39">
        <v>0.99833680000000002</v>
      </c>
      <c r="Q39">
        <v>-5.6204730000000001E-2</v>
      </c>
      <c r="R39">
        <v>1.283802E-2</v>
      </c>
      <c r="S39">
        <v>2.9707949999999999</v>
      </c>
      <c r="T39">
        <v>-0.63997749999999998</v>
      </c>
      <c r="U39">
        <v>-0.14306640000000001</v>
      </c>
      <c r="V39">
        <v>-1.29288999999999E-2</v>
      </c>
      <c r="W39">
        <v>-4.930412E-2</v>
      </c>
      <c r="X39">
        <v>0.99870009999999998</v>
      </c>
      <c r="Y39">
        <v>4.6905929999999998E-2</v>
      </c>
      <c r="Z39">
        <v>-5.137923E-3</v>
      </c>
      <c r="AA39">
        <v>0.9988861</v>
      </c>
      <c r="AB39">
        <v>4</v>
      </c>
      <c r="AC39">
        <v>0.68060000000002596</v>
      </c>
      <c r="AD39">
        <v>-0.1549672</v>
      </c>
      <c r="AE39">
        <v>-3.5099999999999902E-2</v>
      </c>
      <c r="AF39">
        <v>3.3316694643771697E-2</v>
      </c>
      <c r="AG39">
        <v>-0.1549672</v>
      </c>
      <c r="AH39">
        <v>0.64714191276496502</v>
      </c>
      <c r="AI39">
        <v>103.44952886429</v>
      </c>
      <c r="AJ39">
        <v>87.052853287425805</v>
      </c>
      <c r="AK39">
        <v>0.66627133397357297</v>
      </c>
      <c r="AL39">
        <v>92.826063837559701</v>
      </c>
      <c r="AM39">
        <v>90.741694153714406</v>
      </c>
      <c r="AN39">
        <v>0.99999997122209605</v>
      </c>
    </row>
    <row r="40" spans="1:40" x14ac:dyDescent="0.25">
      <c r="A40" t="str">
        <f>"20190305134910937"</f>
        <v>20190305134910937</v>
      </c>
      <c r="B40" t="str">
        <f>"1551764950931131"</f>
        <v>1551764950931131</v>
      </c>
      <c r="C40" t="s">
        <v>40</v>
      </c>
      <c r="D40">
        <v>4.0750769999999896</v>
      </c>
      <c r="E40">
        <v>0.52252349999999903</v>
      </c>
      <c r="F40" t="s">
        <v>41</v>
      </c>
      <c r="G40">
        <v>-475.12959999999998</v>
      </c>
      <c r="H40">
        <v>0.95678399999999997</v>
      </c>
      <c r="I40">
        <v>367.18579999999997</v>
      </c>
      <c r="J40">
        <v>-475.80759999999998</v>
      </c>
      <c r="K40">
        <v>1.110052</v>
      </c>
      <c r="L40">
        <v>367.22059999999999</v>
      </c>
      <c r="M40">
        <v>0.99996269999999998</v>
      </c>
      <c r="N40">
        <v>-8.6507930000000004E-3</v>
      </c>
      <c r="O40" s="1">
        <v>-8.7417710000000002E-5</v>
      </c>
      <c r="P40">
        <v>0.9983535</v>
      </c>
      <c r="Q40">
        <v>-5.609314E-2</v>
      </c>
      <c r="R40">
        <v>1.2015359999999999E-2</v>
      </c>
      <c r="S40">
        <v>2.970917</v>
      </c>
      <c r="T40">
        <v>-0.63767030000000002</v>
      </c>
      <c r="U40">
        <v>-0.14416499999999999</v>
      </c>
      <c r="V40">
        <v>-1.210469E-2</v>
      </c>
      <c r="W40">
        <v>-4.7454030000000001E-2</v>
      </c>
      <c r="X40">
        <v>0.99880009999999997</v>
      </c>
      <c r="Y40">
        <v>4.7264590000000002E-2</v>
      </c>
      <c r="Z40">
        <v>-5.2015739999999996E-3</v>
      </c>
      <c r="AA40">
        <v>0.99886889999999995</v>
      </c>
      <c r="AB40">
        <v>4</v>
      </c>
      <c r="AC40">
        <v>0.67799999999999705</v>
      </c>
      <c r="AD40">
        <v>-0.15326799999999999</v>
      </c>
      <c r="AE40">
        <v>-3.4800000000018302E-2</v>
      </c>
      <c r="AF40">
        <v>3.3055921243114302E-2</v>
      </c>
      <c r="AG40">
        <v>-0.15326799999999999</v>
      </c>
      <c r="AH40">
        <v>0.64512219755035805</v>
      </c>
      <c r="AI40">
        <v>103.347663341261</v>
      </c>
      <c r="AJ40">
        <v>87.066742015589497</v>
      </c>
      <c r="AK40">
        <v>0.66390242018344403</v>
      </c>
      <c r="AL40">
        <v>92.719937057226403</v>
      </c>
      <c r="AM40">
        <v>90.694346843966699</v>
      </c>
      <c r="AN40">
        <v>1.00000002412162</v>
      </c>
    </row>
    <row r="41" spans="1:40" x14ac:dyDescent="0.25">
      <c r="A41" t="str">
        <f>"20190305134910951"</f>
        <v>20190305134910951</v>
      </c>
      <c r="B41" t="str">
        <f>"1551764950940892"</f>
        <v>1551764950940892</v>
      </c>
      <c r="C41" t="s">
        <v>40</v>
      </c>
      <c r="D41">
        <v>4.0584239999999996</v>
      </c>
      <c r="E41">
        <v>0.52255850000000004</v>
      </c>
      <c r="F41" t="s">
        <v>41</v>
      </c>
      <c r="G41">
        <v>-475.1019</v>
      </c>
      <c r="H41">
        <v>0.95875140000000003</v>
      </c>
      <c r="I41">
        <v>367.18509999999998</v>
      </c>
      <c r="J41">
        <v>-475.78859999999997</v>
      </c>
      <c r="K41">
        <v>1.110347</v>
      </c>
      <c r="L41">
        <v>367.22059999999999</v>
      </c>
      <c r="M41">
        <v>0.99995259999999997</v>
      </c>
      <c r="N41">
        <v>-9.7573959999999998E-3</v>
      </c>
      <c r="O41" s="1">
        <v>-8.7167699999999996E-5</v>
      </c>
      <c r="P41">
        <v>0.99834750000000005</v>
      </c>
      <c r="Q41">
        <v>-5.6269970000000002E-2</v>
      </c>
      <c r="R41">
        <v>1.1684719999999999E-2</v>
      </c>
      <c r="S41">
        <v>2.9708559999999999</v>
      </c>
      <c r="T41">
        <v>-0.637121099999999</v>
      </c>
      <c r="U41">
        <v>-0.14694209999999999</v>
      </c>
      <c r="V41">
        <v>-1.177373E-2</v>
      </c>
      <c r="W41">
        <v>-4.6525579999999997E-2</v>
      </c>
      <c r="X41">
        <v>0.99884770000000001</v>
      </c>
      <c r="Y41">
        <v>4.8171940000000003E-2</v>
      </c>
      <c r="Z41">
        <v>-5.3246190000000001E-3</v>
      </c>
      <c r="AA41">
        <v>0.99882490000000002</v>
      </c>
      <c r="AB41">
        <v>3</v>
      </c>
      <c r="AC41">
        <v>0.686699999999973</v>
      </c>
      <c r="AD41">
        <v>-0.151595599999999</v>
      </c>
      <c r="AE41">
        <v>-3.5500000000013097E-2</v>
      </c>
      <c r="AF41">
        <v>3.3797419070706297E-2</v>
      </c>
      <c r="AG41">
        <v>-0.151595599999999</v>
      </c>
      <c r="AH41">
        <v>0.65487305785918204</v>
      </c>
      <c r="AI41">
        <v>103.01700675870001</v>
      </c>
      <c r="AJ41">
        <v>87.045636638442105</v>
      </c>
      <c r="AK41">
        <v>0.673039533300264</v>
      </c>
      <c r="AL41">
        <v>92.666682056450298</v>
      </c>
      <c r="AM41">
        <v>90.675331983327794</v>
      </c>
      <c r="AN41">
        <v>0.999999989053869</v>
      </c>
    </row>
    <row r="42" spans="1:40" x14ac:dyDescent="0.25">
      <c r="A42" t="str">
        <f>"20190305134910971"</f>
        <v>20190305134910971</v>
      </c>
      <c r="B42" t="str">
        <f>"1551764950960411"</f>
        <v>1551764950960411</v>
      </c>
      <c r="C42" t="s">
        <v>40</v>
      </c>
      <c r="D42">
        <v>4.0735380000000001</v>
      </c>
      <c r="E42">
        <v>0.52260390000000001</v>
      </c>
      <c r="F42" t="s">
        <v>41</v>
      </c>
      <c r="G42">
        <v>-475.07170000000002</v>
      </c>
      <c r="H42">
        <v>0.95657999999999999</v>
      </c>
      <c r="I42">
        <v>367.18470000000002</v>
      </c>
      <c r="J42">
        <v>-475.75779999999997</v>
      </c>
      <c r="K42">
        <v>1.1102050000000001</v>
      </c>
      <c r="L42">
        <v>367.22059999999999</v>
      </c>
      <c r="M42">
        <v>0.99995449999999997</v>
      </c>
      <c r="N42">
        <v>-9.5581750000000004E-3</v>
      </c>
      <c r="O42" s="1">
        <v>-8.6083080000000001E-5</v>
      </c>
      <c r="P42">
        <v>0.9983708</v>
      </c>
      <c r="Q42">
        <v>-5.6155829999999997E-2</v>
      </c>
      <c r="R42">
        <v>1.0140390000000001E-2</v>
      </c>
      <c r="S42">
        <v>2.9707949999999999</v>
      </c>
      <c r="T42">
        <v>-0.63729519999999995</v>
      </c>
      <c r="U42">
        <v>-0.14770510000000001</v>
      </c>
      <c r="V42">
        <v>-1.022812E-2</v>
      </c>
      <c r="W42">
        <v>-4.6610279999999997E-2</v>
      </c>
      <c r="X42">
        <v>0.99886079999999999</v>
      </c>
      <c r="Y42">
        <v>4.842432E-2</v>
      </c>
      <c r="Z42">
        <v>-5.349365E-3</v>
      </c>
      <c r="AA42">
        <v>0.99881260000000005</v>
      </c>
      <c r="AB42">
        <v>3</v>
      </c>
      <c r="AC42">
        <v>0.68609999999995297</v>
      </c>
      <c r="AD42">
        <v>-0.15362500000000001</v>
      </c>
      <c r="AE42">
        <v>-3.5899999999969602E-2</v>
      </c>
      <c r="AF42">
        <v>3.4134256067190803E-2</v>
      </c>
      <c r="AG42">
        <v>-0.15362500000000001</v>
      </c>
      <c r="AH42">
        <v>0.653432119323473</v>
      </c>
      <c r="AI42">
        <v>103.212856618431</v>
      </c>
      <c r="AJ42">
        <v>87.009677553375496</v>
      </c>
      <c r="AK42">
        <v>0.67211555749426399</v>
      </c>
      <c r="AL42">
        <v>92.671540209668393</v>
      </c>
      <c r="AM42">
        <v>90.586675968597703</v>
      </c>
      <c r="AN42">
        <v>1.00000001520852</v>
      </c>
    </row>
    <row r="43" spans="1:40" x14ac:dyDescent="0.25">
      <c r="A43" t="str">
        <f>"20190305134910985"</f>
        <v>20190305134910985</v>
      </c>
      <c r="B43" t="str">
        <f>"1551764950980907"</f>
        <v>1551764950980907</v>
      </c>
      <c r="C43" t="s">
        <v>40</v>
      </c>
      <c r="D43">
        <v>4.0565670000000003</v>
      </c>
      <c r="E43">
        <v>0.52268359999999903</v>
      </c>
      <c r="F43" t="s">
        <v>41</v>
      </c>
      <c r="G43">
        <v>-475.03660000000002</v>
      </c>
      <c r="H43">
        <v>0.95576620000000001</v>
      </c>
      <c r="I43">
        <v>367.18299999999999</v>
      </c>
      <c r="J43">
        <v>-475.73219999999998</v>
      </c>
      <c r="K43">
        <v>1.10991</v>
      </c>
      <c r="L43">
        <v>367.22050000000002</v>
      </c>
      <c r="M43">
        <v>0.99996240000000003</v>
      </c>
      <c r="N43">
        <v>-8.6718260000000005E-3</v>
      </c>
      <c r="O43" s="1">
        <v>-8.4531119999999894E-5</v>
      </c>
      <c r="P43">
        <v>0.99839330000000004</v>
      </c>
      <c r="Q43">
        <v>-5.5888130000000001E-2</v>
      </c>
      <c r="R43">
        <v>9.3515249999999994E-3</v>
      </c>
      <c r="S43">
        <v>2.9706730000000001</v>
      </c>
      <c r="T43">
        <v>-0.63620730000000003</v>
      </c>
      <c r="U43">
        <v>-0.15255739999999901</v>
      </c>
      <c r="V43">
        <v>-9.4376709999999999E-3</v>
      </c>
      <c r="W43">
        <v>-4.72278E-2</v>
      </c>
      <c r="X43">
        <v>0.99883960000000005</v>
      </c>
      <c r="Y43">
        <v>5.0025849999999997E-2</v>
      </c>
      <c r="Z43">
        <v>-5.4958269999999896E-3</v>
      </c>
      <c r="AA43">
        <v>0.99873279999999998</v>
      </c>
      <c r="AB43">
        <v>3</v>
      </c>
      <c r="AC43">
        <v>0.69559999999995603</v>
      </c>
      <c r="AD43">
        <v>-0.154143799999999</v>
      </c>
      <c r="AE43">
        <v>-3.7499999999965797E-2</v>
      </c>
      <c r="AF43">
        <v>3.5693517640542002E-2</v>
      </c>
      <c r="AG43">
        <v>-0.154143799999999</v>
      </c>
      <c r="AH43">
        <v>0.66313380407876099</v>
      </c>
      <c r="AI43">
        <v>103.06761397783499</v>
      </c>
      <c r="AJ43">
        <v>86.918998352497695</v>
      </c>
      <c r="AK43">
        <v>0.68174832628468196</v>
      </c>
      <c r="AL43">
        <v>92.706960439139195</v>
      </c>
      <c r="AM43">
        <v>90.541350809283301</v>
      </c>
      <c r="AN43">
        <v>1.0000000406274501</v>
      </c>
    </row>
    <row r="44" spans="1:40" x14ac:dyDescent="0.25">
      <c r="A44" t="str">
        <f>"20190305134911003"</f>
        <v>20190305134911003</v>
      </c>
      <c r="B44" t="str">
        <f>"1551764950990667"</f>
        <v>1551764950990667</v>
      </c>
      <c r="C44" t="s">
        <v>40</v>
      </c>
      <c r="D44">
        <v>4.0286670000000004</v>
      </c>
      <c r="E44">
        <v>0.52277680000000004</v>
      </c>
      <c r="F44" t="s">
        <v>41</v>
      </c>
      <c r="G44">
        <v>-475.03410000000002</v>
      </c>
      <c r="H44">
        <v>0.96095569999999997</v>
      </c>
      <c r="I44">
        <v>367.18329999999997</v>
      </c>
      <c r="J44">
        <v>-475.69920000000002</v>
      </c>
      <c r="K44">
        <v>1.109578</v>
      </c>
      <c r="L44">
        <v>367.22059999999999</v>
      </c>
      <c r="M44">
        <v>0.99997130000000001</v>
      </c>
      <c r="N44">
        <v>-7.5775460000000001E-3</v>
      </c>
      <c r="O44" s="1">
        <v>-8.2210909999999997E-5</v>
      </c>
      <c r="P44">
        <v>0.9983689</v>
      </c>
      <c r="Q44">
        <v>-5.6390509999999998E-2</v>
      </c>
      <c r="R44">
        <v>8.9201130000000003E-3</v>
      </c>
      <c r="S44">
        <v>2.9707949999999999</v>
      </c>
      <c r="T44">
        <v>-0.63402720000000001</v>
      </c>
      <c r="U44">
        <v>-0.15594479999999999</v>
      </c>
      <c r="V44">
        <v>-9.0040369999999995E-3</v>
      </c>
      <c r="W44">
        <v>-4.8823369999999998E-2</v>
      </c>
      <c r="X44">
        <v>0.99876679999999995</v>
      </c>
      <c r="Y44">
        <v>5.1149489999999999E-2</v>
      </c>
      <c r="Z44">
        <v>-5.5732339999999998E-3</v>
      </c>
      <c r="AA44">
        <v>0.99867550000000005</v>
      </c>
      <c r="AB44">
        <v>3</v>
      </c>
      <c r="AC44">
        <v>0.66509999999999503</v>
      </c>
      <c r="AD44">
        <v>-0.14862230000000001</v>
      </c>
      <c r="AE44">
        <v>-3.7300000000016098E-2</v>
      </c>
      <c r="AF44">
        <v>3.5479262262538197E-2</v>
      </c>
      <c r="AG44">
        <v>-0.14862230000000001</v>
      </c>
      <c r="AH44">
        <v>0.63356593952677598</v>
      </c>
      <c r="AI44">
        <v>103.181848934679</v>
      </c>
      <c r="AJ44">
        <v>86.794822865597297</v>
      </c>
      <c r="AK44">
        <v>0.65173089986314903</v>
      </c>
      <c r="AL44">
        <v>92.798485715257101</v>
      </c>
      <c r="AM44">
        <v>90.516516311208406</v>
      </c>
      <c r="AN44">
        <v>0.99999995746134596</v>
      </c>
    </row>
    <row r="45" spans="1:40" x14ac:dyDescent="0.25">
      <c r="A45" t="str">
        <f>"20190305134911017"</f>
        <v>20190305134911017</v>
      </c>
      <c r="B45" t="str">
        <f>"1551764951011163"</f>
        <v>1551764951011163</v>
      </c>
      <c r="C45" t="s">
        <v>40</v>
      </c>
      <c r="D45">
        <v>4.0392380000000001</v>
      </c>
      <c r="E45">
        <v>0.52276179999999906</v>
      </c>
      <c r="F45" t="s">
        <v>41</v>
      </c>
      <c r="G45">
        <v>-474.9966</v>
      </c>
      <c r="H45">
        <v>0.95964930000000004</v>
      </c>
      <c r="I45">
        <v>367.18270000000001</v>
      </c>
      <c r="J45">
        <v>-475.67320000000001</v>
      </c>
      <c r="K45">
        <v>1.1095090000000001</v>
      </c>
      <c r="L45">
        <v>367.22059999999999</v>
      </c>
      <c r="M45">
        <v>0.99997369999999997</v>
      </c>
      <c r="N45">
        <v>-7.25765099999999E-3</v>
      </c>
      <c r="O45" s="1">
        <v>-8.0541459999999897E-5</v>
      </c>
      <c r="P45">
        <v>0.99835070000000004</v>
      </c>
      <c r="Q45">
        <v>-5.6699569999999998E-2</v>
      </c>
      <c r="R45">
        <v>8.9983530000000006E-3</v>
      </c>
      <c r="S45">
        <v>2.970459</v>
      </c>
      <c r="T45">
        <v>-0.63401830000000003</v>
      </c>
      <c r="U45">
        <v>-0.1582336</v>
      </c>
      <c r="V45">
        <v>-9.0809059999999997E-3</v>
      </c>
      <c r="W45">
        <v>-4.9452070000000001E-2</v>
      </c>
      <c r="X45">
        <v>0.99873520000000005</v>
      </c>
      <c r="Y45">
        <v>5.1908339999999997E-2</v>
      </c>
      <c r="Z45">
        <v>-5.6484969999999997E-3</v>
      </c>
      <c r="AA45">
        <v>0.99863590000000002</v>
      </c>
      <c r="AB45">
        <v>4</v>
      </c>
      <c r="AC45">
        <v>0.67660000000000697</v>
      </c>
      <c r="AD45">
        <v>-0.14985970000000001</v>
      </c>
      <c r="AE45">
        <v>-3.7899999999979103E-2</v>
      </c>
      <c r="AF45">
        <v>3.6080995875587898E-2</v>
      </c>
      <c r="AG45">
        <v>-0.14985970000000001</v>
      </c>
      <c r="AH45">
        <v>0.64505711990793102</v>
      </c>
      <c r="AI45">
        <v>103.059238718454</v>
      </c>
      <c r="AJ45">
        <v>86.798520938198706</v>
      </c>
      <c r="AK45">
        <v>0.66321825660289202</v>
      </c>
      <c r="AL45">
        <v>92.834551062710702</v>
      </c>
      <c r="AM45">
        <v>90.520942138294899</v>
      </c>
      <c r="AN45">
        <v>0.99999998490005204</v>
      </c>
    </row>
    <row r="46" spans="1:40" x14ac:dyDescent="0.25">
      <c r="A46" t="str">
        <f>"20190305134911031"</f>
        <v>20190305134911031</v>
      </c>
      <c r="B46" t="str">
        <f>"1551764951020924"</f>
        <v>1551764951020924</v>
      </c>
      <c r="C46" t="s">
        <v>40</v>
      </c>
      <c r="D46">
        <v>4.0863259999999997</v>
      </c>
      <c r="E46">
        <v>0.52276080000000003</v>
      </c>
      <c r="F46" t="s">
        <v>41</v>
      </c>
      <c r="G46">
        <v>-474.96199999999999</v>
      </c>
      <c r="H46">
        <v>0.95778010000000002</v>
      </c>
      <c r="I46">
        <v>367.18220000000002</v>
      </c>
      <c r="J46">
        <v>-475.64819999999997</v>
      </c>
      <c r="K46">
        <v>1.1096269999999999</v>
      </c>
      <c r="L46">
        <v>367.22059999999999</v>
      </c>
      <c r="M46">
        <v>0.99997159999999996</v>
      </c>
      <c r="N46">
        <v>-7.5438010000000002E-3</v>
      </c>
      <c r="O46" s="1">
        <v>-7.9102299999999996E-5</v>
      </c>
      <c r="P46">
        <v>0.99831910000000001</v>
      </c>
      <c r="Q46">
        <v>-5.7218379999999999E-2</v>
      </c>
      <c r="R46">
        <v>9.2115679999999998E-3</v>
      </c>
      <c r="S46">
        <v>2.9703979999999999</v>
      </c>
      <c r="T46">
        <v>-0.63388180000000005</v>
      </c>
      <c r="U46">
        <v>-0.15826419999999999</v>
      </c>
      <c r="V46">
        <v>-9.2922479999999995E-3</v>
      </c>
      <c r="W46">
        <v>-4.9685279999999998E-2</v>
      </c>
      <c r="X46">
        <v>0.99872169999999905</v>
      </c>
      <c r="Y46">
        <v>5.1919649999999998E-2</v>
      </c>
      <c r="Z46">
        <v>-5.6565280000000001E-3</v>
      </c>
      <c r="AA46">
        <v>0.99863519999999995</v>
      </c>
      <c r="AB46">
        <v>4</v>
      </c>
      <c r="AC46">
        <v>0.68619999999998504</v>
      </c>
      <c r="AD46">
        <v>-0.15184690000000001</v>
      </c>
      <c r="AE46">
        <v>-3.8399999999967301E-2</v>
      </c>
      <c r="AF46">
        <v>3.6560996407128801E-2</v>
      </c>
      <c r="AG46">
        <v>-0.15184690000000001</v>
      </c>
      <c r="AH46">
        <v>0.65426513833310795</v>
      </c>
      <c r="AI46">
        <v>103.046663373157</v>
      </c>
      <c r="AJ46">
        <v>86.801580454542702</v>
      </c>
      <c r="AK46">
        <v>0.67264928360619902</v>
      </c>
      <c r="AL46">
        <v>92.847929404532493</v>
      </c>
      <c r="AM46">
        <v>90.533072657208606</v>
      </c>
      <c r="AN46">
        <v>1.00000000348623</v>
      </c>
    </row>
    <row r="47" spans="1:40" x14ac:dyDescent="0.25">
      <c r="A47" t="str">
        <f>"20190305134911048"</f>
        <v>20190305134911048</v>
      </c>
      <c r="B47" t="str">
        <f>"1551764951040444"</f>
        <v>1551764951040444</v>
      </c>
      <c r="C47" t="s">
        <v>40</v>
      </c>
      <c r="D47">
        <v>4.0451449999999998</v>
      </c>
      <c r="E47">
        <v>0.52279500000000001</v>
      </c>
      <c r="F47" t="s">
        <v>41</v>
      </c>
      <c r="G47">
        <v>-474.93119999999999</v>
      </c>
      <c r="H47">
        <v>0.95637539999999999</v>
      </c>
      <c r="I47">
        <v>367.18220000000002</v>
      </c>
      <c r="J47">
        <v>-475.6216</v>
      </c>
      <c r="K47">
        <v>1.1100209999999999</v>
      </c>
      <c r="L47">
        <v>367.22059999999999</v>
      </c>
      <c r="M47">
        <v>0.99996119999999999</v>
      </c>
      <c r="N47">
        <v>-8.8314669999999904E-3</v>
      </c>
      <c r="O47" s="1">
        <v>-7.8080859999999895E-5</v>
      </c>
      <c r="P47">
        <v>0.99826219999999999</v>
      </c>
      <c r="Q47">
        <v>-5.8054040000000001E-2</v>
      </c>
      <c r="R47">
        <v>1.0140140000000001E-2</v>
      </c>
      <c r="S47">
        <v>2.9701230000000001</v>
      </c>
      <c r="T47">
        <v>-0.6348956</v>
      </c>
      <c r="U47">
        <v>-0.157135</v>
      </c>
      <c r="V47">
        <v>-1.021969E-2</v>
      </c>
      <c r="W47">
        <v>-4.9235269999999998E-2</v>
      </c>
      <c r="X47">
        <v>0.99873500000000004</v>
      </c>
      <c r="Y47">
        <v>5.154454E-2</v>
      </c>
      <c r="Z47">
        <v>-5.6584850000000004E-3</v>
      </c>
      <c r="AA47">
        <v>0.99865470000000001</v>
      </c>
      <c r="AB47">
        <v>4</v>
      </c>
      <c r="AC47">
        <v>0.690400000000011</v>
      </c>
      <c r="AD47">
        <v>-0.15364559999999899</v>
      </c>
      <c r="AE47">
        <v>-3.8399999999967301E-2</v>
      </c>
      <c r="AF47">
        <v>3.65418766039192E-2</v>
      </c>
      <c r="AG47">
        <v>-0.15364559999999899</v>
      </c>
      <c r="AH47">
        <v>0.65791898455992603</v>
      </c>
      <c r="AI47">
        <v>103.12532767154001</v>
      </c>
      <c r="AJ47">
        <v>86.820966708331596</v>
      </c>
      <c r="AK47">
        <v>0.67660894864719301</v>
      </c>
      <c r="AL47">
        <v>92.822113927365393</v>
      </c>
      <c r="AM47">
        <v>90.586266296228303</v>
      </c>
      <c r="AN47">
        <v>1.0000000770503299</v>
      </c>
    </row>
    <row r="48" spans="1:40" x14ac:dyDescent="0.25">
      <c r="A48" t="str">
        <f>"20190305134911072"</f>
        <v>20190305134911072</v>
      </c>
      <c r="B48" t="str">
        <f>"1551764951060939"</f>
        <v>1551764951060939</v>
      </c>
      <c r="C48" t="s">
        <v>40</v>
      </c>
      <c r="D48">
        <v>4.0678159999999997</v>
      </c>
      <c r="E48">
        <v>0.52278080000000005</v>
      </c>
      <c r="F48" t="s">
        <v>41</v>
      </c>
      <c r="G48">
        <v>-474.92860000000002</v>
      </c>
      <c r="H48">
        <v>0.96152329999999997</v>
      </c>
      <c r="I48">
        <v>367.1841</v>
      </c>
      <c r="J48">
        <v>-475.58909999999997</v>
      </c>
      <c r="K48">
        <v>1.1105969999999901</v>
      </c>
      <c r="L48">
        <v>367.22059999999999</v>
      </c>
      <c r="M48">
        <v>0.99993869999999896</v>
      </c>
      <c r="N48">
        <v>-1.1075369999999999E-2</v>
      </c>
      <c r="O48" s="1">
        <v>-7.7850029999999997E-5</v>
      </c>
      <c r="P48">
        <v>0.99816099999999996</v>
      </c>
      <c r="Q48">
        <v>-5.9619909999999998E-2</v>
      </c>
      <c r="R48">
        <v>1.095951E-2</v>
      </c>
      <c r="S48">
        <v>2.9697879999999999</v>
      </c>
      <c r="T48">
        <v>-0.63658959999999998</v>
      </c>
      <c r="U48">
        <v>-0.15463260000000001</v>
      </c>
      <c r="V48">
        <v>-1.103965E-2</v>
      </c>
      <c r="W48">
        <v>-4.8560840000000001E-2</v>
      </c>
      <c r="X48">
        <v>0.99875919999999896</v>
      </c>
      <c r="Y48">
        <v>5.0712189999999997E-2</v>
      </c>
      <c r="Z48">
        <v>-5.639359E-3</v>
      </c>
      <c r="AA48">
        <v>0.99869739999999996</v>
      </c>
      <c r="AB48">
        <v>4</v>
      </c>
      <c r="AC48">
        <v>0.66049999999995601</v>
      </c>
      <c r="AD48">
        <v>-0.149073699999999</v>
      </c>
      <c r="AE48">
        <v>-3.6499999999989499E-2</v>
      </c>
      <c r="AF48">
        <v>3.46870102224607E-2</v>
      </c>
      <c r="AG48">
        <v>-0.149073699999999</v>
      </c>
      <c r="AH48">
        <v>0.62858061325773296</v>
      </c>
      <c r="AI48">
        <v>103.32219085196699</v>
      </c>
      <c r="AJ48">
        <v>86.841446297528805</v>
      </c>
      <c r="AK48">
        <v>0.64694647697729302</v>
      </c>
      <c r="AL48">
        <v>92.783425915456903</v>
      </c>
      <c r="AM48">
        <v>90.633285374691695</v>
      </c>
      <c r="AN48">
        <v>0.99999998431913295</v>
      </c>
    </row>
    <row r="49" spans="1:40" x14ac:dyDescent="0.25">
      <c r="A49" t="str">
        <f>"20190305134911085"</f>
        <v>20190305134911085</v>
      </c>
      <c r="B49" t="str">
        <f>"1551764951080459"</f>
        <v>1551764951080459</v>
      </c>
      <c r="C49" t="s">
        <v>40</v>
      </c>
      <c r="D49">
        <v>4.0641280000000002</v>
      </c>
      <c r="E49">
        <v>0.52279350000000002</v>
      </c>
      <c r="F49" t="s">
        <v>41</v>
      </c>
      <c r="G49">
        <v>-474.87700000000001</v>
      </c>
      <c r="H49">
        <v>0.95700010000000002</v>
      </c>
      <c r="I49">
        <v>367.1841</v>
      </c>
      <c r="J49">
        <v>-475.5718</v>
      </c>
      <c r="K49">
        <v>1.1108769999999999</v>
      </c>
      <c r="L49">
        <v>367.22059999999999</v>
      </c>
      <c r="M49">
        <v>0.99992340000000002</v>
      </c>
      <c r="N49">
        <v>-1.2367629999999999E-2</v>
      </c>
      <c r="O49" s="1">
        <v>-7.8419110000000003E-5</v>
      </c>
      <c r="P49">
        <v>0.99809029999999999</v>
      </c>
      <c r="Q49">
        <v>-6.0688529999999997E-2</v>
      </c>
      <c r="R49">
        <v>1.150998E-2</v>
      </c>
      <c r="S49">
        <v>2.9689329999999998</v>
      </c>
      <c r="T49">
        <v>-0.64055030000000002</v>
      </c>
      <c r="U49">
        <v>-0.15161129999999901</v>
      </c>
      <c r="V49">
        <v>-1.159031E-2</v>
      </c>
      <c r="W49">
        <v>-4.8339420000000001E-2</v>
      </c>
      <c r="X49">
        <v>0.99876370000000003</v>
      </c>
      <c r="Y49">
        <v>4.9714700000000001E-2</v>
      </c>
      <c r="Z49">
        <v>-5.5942369999999898E-3</v>
      </c>
      <c r="AA49">
        <v>0.99874779999999996</v>
      </c>
      <c r="AB49">
        <v>3</v>
      </c>
      <c r="AC49">
        <v>0.69480000000004305</v>
      </c>
      <c r="AD49">
        <v>-0.15387690000000001</v>
      </c>
      <c r="AE49">
        <v>-3.6499999999989499E-2</v>
      </c>
      <c r="AF49">
        <v>3.4745957411928201E-2</v>
      </c>
      <c r="AG49">
        <v>-0.15387690000000001</v>
      </c>
      <c r="AH49">
        <v>0.66240232389045905</v>
      </c>
      <c r="AI49">
        <v>103.06059098613601</v>
      </c>
      <c r="AJ49">
        <v>86.997332620002595</v>
      </c>
      <c r="AK49">
        <v>0.68092747088479399</v>
      </c>
      <c r="AL49">
        <v>92.770724574775599</v>
      </c>
      <c r="AM49">
        <v>90.664868015048299</v>
      </c>
      <c r="AN49">
        <v>0.999999981624761</v>
      </c>
    </row>
    <row r="50" spans="1:40" x14ac:dyDescent="0.25">
      <c r="A50" t="str">
        <f>"20190305134911104"</f>
        <v>20190305134911104</v>
      </c>
      <c r="B50" t="str">
        <f>"1551764951091195"</f>
        <v>1551764951091195</v>
      </c>
      <c r="C50" t="s">
        <v>40</v>
      </c>
      <c r="D50">
        <v>4.0959300000000001</v>
      </c>
      <c r="E50">
        <v>0.52282119999999999</v>
      </c>
      <c r="F50" t="s">
        <v>41</v>
      </c>
      <c r="G50">
        <v>-474.87549999999999</v>
      </c>
      <c r="H50">
        <v>0.96014489999999997</v>
      </c>
      <c r="I50">
        <v>367.18520000000001</v>
      </c>
      <c r="J50">
        <v>-475.54419999999999</v>
      </c>
      <c r="K50">
        <v>1.1107769999999999</v>
      </c>
      <c r="L50">
        <v>367.22059999999999</v>
      </c>
      <c r="M50">
        <v>0.99992159999999997</v>
      </c>
      <c r="N50">
        <v>-1.25208E-2</v>
      </c>
      <c r="O50" s="1">
        <v>-7.8066219999999996E-5</v>
      </c>
      <c r="P50">
        <v>0.99810750000000004</v>
      </c>
      <c r="Q50">
        <v>-6.0277560000000001E-2</v>
      </c>
      <c r="R50">
        <v>1.2162650000000001E-2</v>
      </c>
      <c r="S50">
        <v>2.9683839999999999</v>
      </c>
      <c r="T50">
        <v>-0.642683</v>
      </c>
      <c r="U50">
        <v>-0.14999390000000001</v>
      </c>
      <c r="V50">
        <v>-1.2242619999999999E-2</v>
      </c>
      <c r="W50">
        <v>-4.777526E-2</v>
      </c>
      <c r="X50">
        <v>0.99878310000000003</v>
      </c>
      <c r="Y50">
        <v>4.9185560000000003E-2</v>
      </c>
      <c r="Z50">
        <v>-5.5564730000000001E-3</v>
      </c>
      <c r="AA50">
        <v>0.99877419999999995</v>
      </c>
      <c r="AB50">
        <v>3</v>
      </c>
      <c r="AC50">
        <v>0.66870000000000096</v>
      </c>
      <c r="AD50">
        <v>-0.15063209999999999</v>
      </c>
      <c r="AE50">
        <v>-3.5399999999981398E-2</v>
      </c>
      <c r="AF50">
        <v>3.3645314540759801E-2</v>
      </c>
      <c r="AG50">
        <v>-0.15063209999999999</v>
      </c>
      <c r="AH50">
        <v>0.63649560255967497</v>
      </c>
      <c r="AI50">
        <v>103.296667119546</v>
      </c>
      <c r="AJ50">
        <v>86.974147151302006</v>
      </c>
      <c r="AK50">
        <v>0.654941744599289</v>
      </c>
      <c r="AL50">
        <v>92.738363093240906</v>
      </c>
      <c r="AM50">
        <v>90.702269921295397</v>
      </c>
      <c r="AN50">
        <v>1.0000000190290701</v>
      </c>
    </row>
    <row r="51" spans="1:40" x14ac:dyDescent="0.25">
      <c r="A51" t="str">
        <f>"20190305134911119"</f>
        <v>20190305134911119</v>
      </c>
      <c r="B51" t="str">
        <f>"1551764951110716"</f>
        <v>1551764951110716</v>
      </c>
      <c r="C51" t="s">
        <v>40</v>
      </c>
      <c r="D51">
        <v>4.0592489999999897</v>
      </c>
      <c r="E51">
        <v>0.52285029999999999</v>
      </c>
      <c r="F51" t="s">
        <v>41</v>
      </c>
      <c r="G51">
        <v>-474.8451</v>
      </c>
      <c r="H51">
        <v>0.95983169999999995</v>
      </c>
      <c r="I51">
        <v>367.18529999999998</v>
      </c>
      <c r="J51">
        <v>-475.51929999999999</v>
      </c>
      <c r="K51">
        <v>1.110452</v>
      </c>
      <c r="L51">
        <v>367.22059999999999</v>
      </c>
      <c r="M51">
        <v>0.99993140000000003</v>
      </c>
      <c r="N51">
        <v>-1.1723010000000001E-2</v>
      </c>
      <c r="O51" s="1">
        <v>-7.6077080000000002E-5</v>
      </c>
      <c r="P51">
        <v>0.99816320000000003</v>
      </c>
      <c r="Q51">
        <v>-5.9360679999999999E-2</v>
      </c>
      <c r="R51">
        <v>1.211359E-2</v>
      </c>
      <c r="S51">
        <v>2.96875</v>
      </c>
      <c r="T51">
        <v>-0.64106580000000002</v>
      </c>
      <c r="U51">
        <v>-0.14801029999999901</v>
      </c>
      <c r="V51">
        <v>-1.219173E-2</v>
      </c>
      <c r="W51">
        <v>-4.7654639999999998E-2</v>
      </c>
      <c r="X51">
        <v>0.9987895</v>
      </c>
      <c r="Y51">
        <v>4.8541590000000003E-2</v>
      </c>
      <c r="Z51">
        <v>-5.4509440000000001E-3</v>
      </c>
      <c r="AA51">
        <v>0.99880630000000004</v>
      </c>
      <c r="AB51">
        <v>3</v>
      </c>
      <c r="AC51">
        <v>0.67419999999998403</v>
      </c>
      <c r="AD51">
        <v>-0.15062030000000001</v>
      </c>
      <c r="AE51">
        <v>-3.53000000000065E-2</v>
      </c>
      <c r="AF51">
        <v>3.3577429794143798E-2</v>
      </c>
      <c r="AG51">
        <v>-0.15062030000000001</v>
      </c>
      <c r="AH51">
        <v>0.64223616568945496</v>
      </c>
      <c r="AI51">
        <v>103.181372708493</v>
      </c>
      <c r="AJ51">
        <v>87.007183497546293</v>
      </c>
      <c r="AK51">
        <v>0.660515867396964</v>
      </c>
      <c r="AL51">
        <v>92.731444154432793</v>
      </c>
      <c r="AM51">
        <v>90.699346542447202</v>
      </c>
      <c r="AN51">
        <v>1.0000000341520801</v>
      </c>
    </row>
    <row r="52" spans="1:40" x14ac:dyDescent="0.25">
      <c r="A52" t="str">
        <f>"20190305134911139"</f>
        <v>20190305134911139</v>
      </c>
      <c r="B52" t="str">
        <f>"1551764951131211"</f>
        <v>1551764951131211</v>
      </c>
      <c r="C52" t="s">
        <v>40</v>
      </c>
      <c r="D52">
        <v>4.041334</v>
      </c>
      <c r="E52">
        <v>0.52297950000000004</v>
      </c>
      <c r="F52" t="s">
        <v>41</v>
      </c>
      <c r="G52">
        <v>-474.81110000000001</v>
      </c>
      <c r="H52">
        <v>0.95823130000000001</v>
      </c>
      <c r="I52">
        <v>367.18450000000001</v>
      </c>
      <c r="J52">
        <v>-475.48410000000001</v>
      </c>
      <c r="K52">
        <v>1.1099859999999999</v>
      </c>
      <c r="L52">
        <v>367.22059999999999</v>
      </c>
      <c r="M52">
        <v>0.99994689999999997</v>
      </c>
      <c r="N52">
        <v>-1.03076E-2</v>
      </c>
      <c r="O52" s="1">
        <v>-7.1707840000000001E-5</v>
      </c>
      <c r="P52">
        <v>0.99822060000000001</v>
      </c>
      <c r="Q52">
        <v>-5.8505389999999997E-2</v>
      </c>
      <c r="R52">
        <v>1.15286E-2</v>
      </c>
      <c r="S52">
        <v>2.96936</v>
      </c>
      <c r="T52">
        <v>-0.63833450000000003</v>
      </c>
      <c r="U52">
        <v>-0.14877319999999999</v>
      </c>
      <c r="V52">
        <v>-1.1601810000000001E-2</v>
      </c>
      <c r="W52">
        <v>-4.8212560000000002E-2</v>
      </c>
      <c r="X52">
        <v>0.99876969999999998</v>
      </c>
      <c r="Y52">
        <v>4.8803010000000001E-2</v>
      </c>
      <c r="Z52">
        <v>-5.423453E-3</v>
      </c>
      <c r="AA52">
        <v>0.99879370000000001</v>
      </c>
      <c r="AB52">
        <v>3</v>
      </c>
      <c r="AC52">
        <v>0.67300000000000104</v>
      </c>
      <c r="AD52">
        <v>-0.15175469999999999</v>
      </c>
      <c r="AE52">
        <v>-3.60999999999762E-2</v>
      </c>
      <c r="AF52">
        <v>3.4312119843113401E-2</v>
      </c>
      <c r="AG52">
        <v>-0.15175469999999999</v>
      </c>
      <c r="AH52">
        <v>0.64052793910425199</v>
      </c>
      <c r="AI52">
        <v>103.310423320906</v>
      </c>
      <c r="AJ52">
        <v>86.933681908303001</v>
      </c>
      <c r="AK52">
        <v>0.65915313191500402</v>
      </c>
      <c r="AL52">
        <v>92.763447542687302</v>
      </c>
      <c r="AM52">
        <v>90.665523645476796</v>
      </c>
      <c r="AN52">
        <v>0.99999998328755901</v>
      </c>
    </row>
    <row r="53" spans="1:40" x14ac:dyDescent="0.25">
      <c r="A53" t="str">
        <f>"20190305134911162"</f>
        <v>20190305134911162</v>
      </c>
      <c r="B53" t="str">
        <f>"1551764951150731"</f>
        <v>1551764951150731</v>
      </c>
      <c r="C53" t="s">
        <v>40</v>
      </c>
      <c r="D53">
        <v>4.036988</v>
      </c>
      <c r="E53">
        <v>0.52312199999999998</v>
      </c>
      <c r="F53" t="s">
        <v>41</v>
      </c>
      <c r="G53">
        <v>-474.77440000000001</v>
      </c>
      <c r="H53">
        <v>0.95813139999999997</v>
      </c>
      <c r="I53">
        <v>367.1841</v>
      </c>
      <c r="J53">
        <v>-475.4409</v>
      </c>
      <c r="K53">
        <v>1.1096060000000001</v>
      </c>
      <c r="L53">
        <v>367.22059999999999</v>
      </c>
      <c r="M53">
        <v>0.99996039999999997</v>
      </c>
      <c r="N53">
        <v>-8.9009850000000001E-3</v>
      </c>
      <c r="O53" s="1">
        <v>-6.5273019999999998E-5</v>
      </c>
      <c r="P53">
        <v>0.99825779999999997</v>
      </c>
      <c r="Q53">
        <v>-5.8064119999999997E-2</v>
      </c>
      <c r="R53">
        <v>1.0482150000000001E-2</v>
      </c>
      <c r="S53">
        <v>2.9698180000000001</v>
      </c>
      <c r="T53">
        <v>-0.63545229999999997</v>
      </c>
      <c r="U53">
        <v>-0.1513062</v>
      </c>
      <c r="V53">
        <v>-1.0549269999999999E-2</v>
      </c>
      <c r="W53">
        <v>-4.9175959999999998E-2</v>
      </c>
      <c r="X53">
        <v>0.99873440000000002</v>
      </c>
      <c r="Y53">
        <v>4.9649359999999997E-2</v>
      </c>
      <c r="Z53">
        <v>-5.4594589999999998E-3</v>
      </c>
      <c r="AA53">
        <v>0.99875179999999997</v>
      </c>
      <c r="AB53">
        <v>4</v>
      </c>
      <c r="AC53">
        <v>0.66649999999998499</v>
      </c>
      <c r="AD53">
        <v>-0.15147459999999899</v>
      </c>
      <c r="AE53">
        <v>-3.6499999999989499E-2</v>
      </c>
      <c r="AF53">
        <v>3.4671051482896398E-2</v>
      </c>
      <c r="AG53">
        <v>-0.15147459999999899</v>
      </c>
      <c r="AH53">
        <v>0.63386069269480105</v>
      </c>
      <c r="AI53">
        <v>103.420663278563</v>
      </c>
      <c r="AJ53">
        <v>86.869142771048502</v>
      </c>
      <c r="AK53">
        <v>0.65263007439101595</v>
      </c>
      <c r="AL53">
        <v>92.818711861896901</v>
      </c>
      <c r="AM53">
        <v>90.605172076663706</v>
      </c>
      <c r="AN53">
        <v>0.99999998194140705</v>
      </c>
    </row>
    <row r="54" spans="1:40" x14ac:dyDescent="0.25">
      <c r="A54" t="str">
        <f>"20190305134911182"</f>
        <v>20190305134911182</v>
      </c>
      <c r="B54" t="str">
        <f>"1551764951171227"</f>
        <v>1551764951171227</v>
      </c>
      <c r="C54" t="s">
        <v>40</v>
      </c>
      <c r="D54">
        <v>4.0724090000000004</v>
      </c>
      <c r="E54">
        <v>0.52327709999999905</v>
      </c>
      <c r="F54" t="s">
        <v>41</v>
      </c>
      <c r="G54">
        <v>-474.7355</v>
      </c>
      <c r="H54">
        <v>0.95926369999999905</v>
      </c>
      <c r="I54">
        <v>367.18329999999997</v>
      </c>
      <c r="J54">
        <v>-475.4024</v>
      </c>
      <c r="K54">
        <v>1.109578</v>
      </c>
      <c r="L54">
        <v>367.22059999999999</v>
      </c>
      <c r="M54">
        <v>0.99996359999999995</v>
      </c>
      <c r="N54">
        <v>-8.5243690000000004E-3</v>
      </c>
      <c r="O54" s="1">
        <v>-6.0035899999999999E-5</v>
      </c>
      <c r="P54">
        <v>0.99824869999999999</v>
      </c>
      <c r="Q54">
        <v>-5.8370279999999997E-2</v>
      </c>
      <c r="R54">
        <v>9.6208249999999995E-3</v>
      </c>
      <c r="S54">
        <v>2.9700319999999998</v>
      </c>
      <c r="T54">
        <v>-0.63319250000000005</v>
      </c>
      <c r="U54">
        <v>-0.1557007</v>
      </c>
      <c r="V54">
        <v>-9.6826689999999997E-3</v>
      </c>
      <c r="W54">
        <v>-4.9858390000000002E-2</v>
      </c>
      <c r="X54">
        <v>0.99870939999999997</v>
      </c>
      <c r="Y54">
        <v>5.110108E-2</v>
      </c>
      <c r="Z54">
        <v>-5.5914399999999996E-3</v>
      </c>
      <c r="AA54">
        <v>0.99867779999999995</v>
      </c>
      <c r="AB54">
        <v>4</v>
      </c>
      <c r="AC54">
        <v>0.66689999999999805</v>
      </c>
      <c r="AD54">
        <v>-0.15031430000000001</v>
      </c>
      <c r="AE54">
        <v>-3.7300000000016098E-2</v>
      </c>
      <c r="AF54">
        <v>3.5463946283349097E-2</v>
      </c>
      <c r="AG54">
        <v>-0.15031430000000001</v>
      </c>
      <c r="AH54">
        <v>0.63475604411946995</v>
      </c>
      <c r="AI54">
        <v>103.302588170574</v>
      </c>
      <c r="AJ54">
        <v>86.802197942088895</v>
      </c>
      <c r="AK54">
        <v>0.65327430365557604</v>
      </c>
      <c r="AL54">
        <v>92.857860082276105</v>
      </c>
      <c r="AM54">
        <v>90.5554755835457</v>
      </c>
      <c r="AN54">
        <v>1.0000000393903501</v>
      </c>
    </row>
    <row r="55" spans="1:40" x14ac:dyDescent="0.25">
      <c r="A55" t="str">
        <f>"20190305134911197"</f>
        <v>20190305134911197</v>
      </c>
      <c r="B55" t="str">
        <f>"1551764951190748"</f>
        <v>1551764951190748</v>
      </c>
      <c r="C55" t="s">
        <v>40</v>
      </c>
      <c r="D55">
        <v>4.1313979999999999</v>
      </c>
      <c r="E55">
        <v>0.52316689999999999</v>
      </c>
      <c r="F55" t="s">
        <v>41</v>
      </c>
      <c r="G55">
        <v>-474.69880000000001</v>
      </c>
      <c r="H55">
        <v>0.959507</v>
      </c>
      <c r="I55">
        <v>367.18239999999997</v>
      </c>
      <c r="J55">
        <v>-475.37729999999999</v>
      </c>
      <c r="K55">
        <v>1.1097669999999999</v>
      </c>
      <c r="L55">
        <v>367.22059999999999</v>
      </c>
      <c r="M55">
        <v>0.9999595</v>
      </c>
      <c r="N55">
        <v>-9.0032389999999997E-3</v>
      </c>
      <c r="O55" s="1">
        <v>-5.7606750000000002E-5</v>
      </c>
      <c r="P55">
        <v>0.99822449999999996</v>
      </c>
      <c r="Q55">
        <v>-5.8834530000000003E-2</v>
      </c>
      <c r="R55">
        <v>9.2958220000000005E-3</v>
      </c>
      <c r="S55">
        <v>2.969757</v>
      </c>
      <c r="T55">
        <v>-0.63343479999999996</v>
      </c>
      <c r="U55">
        <v>-0.15969849999999999</v>
      </c>
      <c r="V55">
        <v>-9.3550339999999999E-3</v>
      </c>
      <c r="W55">
        <v>-4.9844590000000001E-2</v>
      </c>
      <c r="X55">
        <v>0.99871319999999997</v>
      </c>
      <c r="Y55">
        <v>5.2414469999999998E-2</v>
      </c>
      <c r="Z55">
        <v>-5.7510699999999996E-3</v>
      </c>
      <c r="AA55">
        <v>0.99860879999999996</v>
      </c>
      <c r="AB55">
        <v>4</v>
      </c>
      <c r="AC55">
        <v>0.678499999999985</v>
      </c>
      <c r="AD55">
        <v>-0.15025999999999901</v>
      </c>
      <c r="AE55">
        <v>-3.8200000000017498E-2</v>
      </c>
      <c r="AF55">
        <v>3.6382215968907998E-2</v>
      </c>
      <c r="AG55">
        <v>-0.15025999999999901</v>
      </c>
      <c r="AH55">
        <v>0.64687692596754298</v>
      </c>
      <c r="AI55">
        <v>103.05713504534</v>
      </c>
      <c r="AJ55">
        <v>86.780912235204795</v>
      </c>
      <c r="AK55">
        <v>0.66509509890543195</v>
      </c>
      <c r="AL55">
        <v>92.857068449270599</v>
      </c>
      <c r="AM55">
        <v>90.536678887874004</v>
      </c>
      <c r="AN55">
        <v>1.0000000278338199</v>
      </c>
    </row>
    <row r="56" spans="1:40" x14ac:dyDescent="0.25">
      <c r="A56" t="str">
        <f>"20190305134911216"</f>
        <v>20190305134911216</v>
      </c>
      <c r="B56" t="str">
        <f>"1551764951211244"</f>
        <v>1551764951211244</v>
      </c>
      <c r="C56" t="s">
        <v>40</v>
      </c>
      <c r="D56">
        <v>4.1348330000000004</v>
      </c>
      <c r="E56">
        <v>0.52321689999999998</v>
      </c>
      <c r="F56" t="s">
        <v>41</v>
      </c>
      <c r="G56">
        <v>-474.66680000000002</v>
      </c>
      <c r="H56">
        <v>0.95773680000000005</v>
      </c>
      <c r="I56">
        <v>367.18200000000002</v>
      </c>
      <c r="J56">
        <v>-475.34800000000001</v>
      </c>
      <c r="K56">
        <v>1.110168</v>
      </c>
      <c r="L56">
        <v>367.22050000000002</v>
      </c>
      <c r="M56">
        <v>0.99994720000000004</v>
      </c>
      <c r="N56">
        <v>-1.028363E-2</v>
      </c>
      <c r="O56" s="1">
        <v>-5.6413380000000003E-5</v>
      </c>
      <c r="P56">
        <v>0.99822440000000001</v>
      </c>
      <c r="Q56">
        <v>-5.8839410000000002E-2</v>
      </c>
      <c r="R56">
        <v>9.2840470000000001E-3</v>
      </c>
      <c r="S56">
        <v>2.9694210000000001</v>
      </c>
      <c r="T56">
        <v>-0.63556029999999997</v>
      </c>
      <c r="U56">
        <v>-0.16012570000000001</v>
      </c>
      <c r="V56">
        <v>-9.3418110000000002E-3</v>
      </c>
      <c r="W56">
        <v>-4.8570629999999997E-2</v>
      </c>
      <c r="X56">
        <v>0.99877609999999994</v>
      </c>
      <c r="Y56">
        <v>5.2546309999999999E-2</v>
      </c>
      <c r="Z56">
        <v>-5.8186990000000001E-3</v>
      </c>
      <c r="AA56">
        <v>0.99860159999999998</v>
      </c>
      <c r="AB56">
        <v>4</v>
      </c>
      <c r="AC56">
        <v>0.68119999999998904</v>
      </c>
      <c r="AD56">
        <v>-0.15243119999999999</v>
      </c>
      <c r="AE56">
        <v>-3.8500000000055899E-2</v>
      </c>
      <c r="AF56">
        <v>3.6633102180090998E-2</v>
      </c>
      <c r="AG56">
        <v>-0.15243119999999999</v>
      </c>
      <c r="AH56">
        <v>0.648817749967044</v>
      </c>
      <c r="AI56">
        <v>103.20083567455001</v>
      </c>
      <c r="AJ56">
        <v>86.768436080338901</v>
      </c>
      <c r="AK56">
        <v>0.66748912169493402</v>
      </c>
      <c r="AL56">
        <v>92.783987357798196</v>
      </c>
      <c r="AM56">
        <v>90.535886607348999</v>
      </c>
      <c r="AN56">
        <v>1.00000003673128</v>
      </c>
    </row>
    <row r="57" spans="1:40" x14ac:dyDescent="0.25">
      <c r="A57" t="str">
        <f>"20190305134911228"</f>
        <v>20190305134911228</v>
      </c>
      <c r="B57" t="str">
        <f>"1551764951221004"</f>
        <v>1551764951221004</v>
      </c>
      <c r="C57" t="s">
        <v>40</v>
      </c>
      <c r="D57">
        <v>4.6341010000000002</v>
      </c>
      <c r="E57">
        <v>0.52323589999999998</v>
      </c>
      <c r="F57" t="s">
        <v>41</v>
      </c>
      <c r="G57">
        <v>-474.63679999999999</v>
      </c>
      <c r="H57">
        <v>0.95786910000000003</v>
      </c>
      <c r="I57">
        <v>367.18180000000001</v>
      </c>
      <c r="J57">
        <v>-475.32690000000002</v>
      </c>
      <c r="K57">
        <v>1.110498</v>
      </c>
      <c r="L57">
        <v>367.22059999999999</v>
      </c>
      <c r="M57">
        <v>0.9999344</v>
      </c>
      <c r="N57">
        <v>-1.1471159999999999E-2</v>
      </c>
      <c r="O57" s="1">
        <v>-5.6464749999999998E-5</v>
      </c>
      <c r="P57">
        <v>0.99816159999999998</v>
      </c>
      <c r="Q57">
        <v>-5.9892170000000002E-2</v>
      </c>
      <c r="R57">
        <v>9.3102580000000001E-3</v>
      </c>
      <c r="S57">
        <v>2.9693299999999998</v>
      </c>
      <c r="T57">
        <v>-0.63608799999999999</v>
      </c>
      <c r="U57">
        <v>-0.1604614</v>
      </c>
      <c r="V57">
        <v>-9.368543E-3</v>
      </c>
      <c r="W57">
        <v>-4.8437830000000001E-2</v>
      </c>
      <c r="X57">
        <v>0.99878230000000001</v>
      </c>
      <c r="Y57">
        <v>5.2649189999999998E-2</v>
      </c>
      <c r="Z57">
        <v>-5.8665100000000001E-3</v>
      </c>
      <c r="AA57">
        <v>0.99859580000000003</v>
      </c>
      <c r="AB57">
        <v>4</v>
      </c>
      <c r="AC57">
        <v>0.69010000000002902</v>
      </c>
      <c r="AD57">
        <v>-0.15262890000000001</v>
      </c>
      <c r="AE57">
        <v>-3.87999999999806E-2</v>
      </c>
      <c r="AF57">
        <v>3.6958854606430502E-2</v>
      </c>
      <c r="AG57">
        <v>-0.15262890000000001</v>
      </c>
      <c r="AH57">
        <v>0.65801620346820799</v>
      </c>
      <c r="AI57">
        <v>103.03915375341499</v>
      </c>
      <c r="AJ57">
        <v>86.785240597179097</v>
      </c>
      <c r="AK57">
        <v>0.67649601778262003</v>
      </c>
      <c r="AL57">
        <v>92.776369508974298</v>
      </c>
      <c r="AM57">
        <v>90.537416644587495</v>
      </c>
      <c r="AN57">
        <v>1.0000000378831699</v>
      </c>
    </row>
    <row r="58" spans="1:40" x14ac:dyDescent="0.25">
      <c r="A58" t="str">
        <f>"20190305134911242"</f>
        <v>20190305134911242</v>
      </c>
      <c r="B58" t="str">
        <f>"1551764951230763"</f>
        <v>1551764951230763</v>
      </c>
      <c r="C58" t="s">
        <v>40</v>
      </c>
      <c r="D58">
        <v>4.0798880000000004</v>
      </c>
      <c r="E58">
        <v>0.52324559999999998</v>
      </c>
      <c r="F58" t="s">
        <v>41</v>
      </c>
      <c r="G58">
        <v>-474.63499999999999</v>
      </c>
      <c r="H58">
        <v>0.96155239999999997</v>
      </c>
      <c r="I58">
        <v>367.18279999999999</v>
      </c>
      <c r="J58">
        <v>-475.30930000000001</v>
      </c>
      <c r="K58">
        <v>1.110754</v>
      </c>
      <c r="L58">
        <v>367.22059999999999</v>
      </c>
      <c r="M58">
        <v>0.99992099999999995</v>
      </c>
      <c r="N58">
        <v>-1.257543E-2</v>
      </c>
      <c r="O58" s="1">
        <v>-5.6578939999999997E-5</v>
      </c>
      <c r="P58">
        <v>0.99809539999999997</v>
      </c>
      <c r="Q58">
        <v>-6.0926099999999997E-2</v>
      </c>
      <c r="R58">
        <v>9.6733270000000007E-3</v>
      </c>
      <c r="S58">
        <v>2.9686889999999999</v>
      </c>
      <c r="T58">
        <v>-0.63921459999999997</v>
      </c>
      <c r="U58">
        <v>-0.1604614</v>
      </c>
      <c r="V58">
        <v>-9.7314810000000002E-3</v>
      </c>
      <c r="W58">
        <v>-4.8369460000000003E-2</v>
      </c>
      <c r="X58">
        <v>0.99878210000000001</v>
      </c>
      <c r="Y58">
        <v>5.2642059999999997E-2</v>
      </c>
      <c r="Z58">
        <v>-5.923139E-3</v>
      </c>
      <c r="AA58">
        <v>0.99859589999999998</v>
      </c>
      <c r="AB58">
        <v>4</v>
      </c>
      <c r="AC58">
        <v>0.674300000000016</v>
      </c>
      <c r="AD58">
        <v>-0.14920159999999999</v>
      </c>
      <c r="AE58">
        <v>-3.7800000000004198E-2</v>
      </c>
      <c r="AF58">
        <v>3.6004586518482498E-2</v>
      </c>
      <c r="AG58">
        <v>-0.14920159999999999</v>
      </c>
      <c r="AH58">
        <v>0.64292327822854001</v>
      </c>
      <c r="AI58">
        <v>103.04548155992001</v>
      </c>
      <c r="AJ58">
        <v>86.794705629690796</v>
      </c>
      <c r="AK58">
        <v>0.66099000702057498</v>
      </c>
      <c r="AL58">
        <v>92.772447719087893</v>
      </c>
      <c r="AM58">
        <v>90.558235021163298</v>
      </c>
      <c r="AN58">
        <v>0.99999999483177704</v>
      </c>
    </row>
    <row r="59" spans="1:40" x14ac:dyDescent="0.25">
      <c r="A59" t="str">
        <f>"20190305134911261"</f>
        <v>20190305134911261</v>
      </c>
      <c r="B59" t="str">
        <f>"1551764951251260"</f>
        <v>1551764951251260</v>
      </c>
      <c r="C59" t="s">
        <v>40</v>
      </c>
      <c r="D59">
        <v>4.1349359999999997</v>
      </c>
      <c r="E59">
        <v>0.52327669999999904</v>
      </c>
      <c r="F59" t="s">
        <v>41</v>
      </c>
      <c r="G59">
        <v>-474.6087</v>
      </c>
      <c r="H59">
        <v>0.95918179999999997</v>
      </c>
      <c r="I59">
        <v>367.18270000000001</v>
      </c>
      <c r="J59">
        <v>-475.27929999999998</v>
      </c>
      <c r="K59">
        <v>1.110741</v>
      </c>
      <c r="L59">
        <v>367.22059999999999</v>
      </c>
      <c r="M59">
        <v>0.99991660000000004</v>
      </c>
      <c r="N59">
        <v>-1.291867E-2</v>
      </c>
      <c r="O59" s="1">
        <v>-5.1726089999999999E-5</v>
      </c>
      <c r="P59">
        <v>0.99802040000000003</v>
      </c>
      <c r="Q59">
        <v>-6.2109089999999999E-2</v>
      </c>
      <c r="R59">
        <v>9.8975460000000001E-3</v>
      </c>
      <c r="S59">
        <v>2.9681090000000001</v>
      </c>
      <c r="T59">
        <v>-0.64224840000000005</v>
      </c>
      <c r="U59">
        <v>-0.15893550000000001</v>
      </c>
      <c r="V59">
        <v>-9.9506270000000001E-3</v>
      </c>
      <c r="W59">
        <v>-4.9210469999999999E-2</v>
      </c>
      <c r="X59">
        <v>0.99873889999999999</v>
      </c>
      <c r="Y59">
        <v>5.2143479999999999E-2</v>
      </c>
      <c r="Z59">
        <v>-5.9038390000000001E-3</v>
      </c>
      <c r="AA59">
        <v>0.99862220000000002</v>
      </c>
      <c r="AB59">
        <v>3</v>
      </c>
      <c r="AC59">
        <v>0.67059999999997899</v>
      </c>
      <c r="AD59">
        <v>-0.15155919999999901</v>
      </c>
      <c r="AE59">
        <v>-3.7899999999979103E-2</v>
      </c>
      <c r="AF59">
        <v>3.6030774024806998E-2</v>
      </c>
      <c r="AG59">
        <v>-0.15155919999999901</v>
      </c>
      <c r="AH59">
        <v>0.63811198068681196</v>
      </c>
      <c r="AI59">
        <v>103.340376869096</v>
      </c>
      <c r="AJ59">
        <v>86.768245110890703</v>
      </c>
      <c r="AK59">
        <v>0.65685257682185705</v>
      </c>
      <c r="AL59">
        <v>92.820691378272699</v>
      </c>
      <c r="AM59">
        <v>90.570829940719094</v>
      </c>
      <c r="AN59">
        <v>1.0000000378542599</v>
      </c>
    </row>
    <row r="60" spans="1:40" x14ac:dyDescent="0.25">
      <c r="A60" t="str">
        <f>"20190305134911283"</f>
        <v>20190305134911283</v>
      </c>
      <c r="B60" t="str">
        <f>"1551764951270780"</f>
        <v>1551764951270780</v>
      </c>
      <c r="C60" t="s">
        <v>40</v>
      </c>
      <c r="D60">
        <v>4.0768659999999999</v>
      </c>
      <c r="E60">
        <v>0.52335609999999999</v>
      </c>
      <c r="F60" t="s">
        <v>41</v>
      </c>
      <c r="G60">
        <v>-474.577</v>
      </c>
      <c r="H60">
        <v>0.95794570000000001</v>
      </c>
      <c r="I60">
        <v>367.18239999999997</v>
      </c>
      <c r="J60">
        <v>-475.24180000000001</v>
      </c>
      <c r="K60">
        <v>1.11029</v>
      </c>
      <c r="L60">
        <v>367.22059999999999</v>
      </c>
      <c r="M60">
        <v>0.99993180000000004</v>
      </c>
      <c r="N60">
        <v>-1.167819E-2</v>
      </c>
      <c r="O60" s="1">
        <v>-3.6052120000000001E-5</v>
      </c>
      <c r="P60">
        <v>0.99805219999999994</v>
      </c>
      <c r="Q60">
        <v>-6.159833E-2</v>
      </c>
      <c r="R60">
        <v>9.8825579999999996E-3</v>
      </c>
      <c r="S60">
        <v>2.967346</v>
      </c>
      <c r="T60">
        <v>-0.64586189999999999</v>
      </c>
      <c r="U60">
        <v>-0.158477799999999</v>
      </c>
      <c r="V60">
        <v>-9.9197880000000006E-3</v>
      </c>
      <c r="W60">
        <v>-4.9938410000000003E-2</v>
      </c>
      <c r="X60">
        <v>0.99870309999999995</v>
      </c>
      <c r="Y60">
        <v>5.201472E-2</v>
      </c>
      <c r="Z60">
        <v>-5.8916289999999998E-3</v>
      </c>
      <c r="AA60">
        <v>0.99862890000000004</v>
      </c>
      <c r="AB60">
        <v>3</v>
      </c>
      <c r="AC60">
        <v>0.66480000000001305</v>
      </c>
      <c r="AD60">
        <v>-0.15234429999999999</v>
      </c>
      <c r="AE60">
        <v>-3.8200000000017498E-2</v>
      </c>
      <c r="AF60">
        <v>3.6277256931162599E-2</v>
      </c>
      <c r="AG60">
        <v>-0.15234429999999999</v>
      </c>
      <c r="AH60">
        <v>0.63173592941218804</v>
      </c>
      <c r="AI60">
        <v>103.53664152543</v>
      </c>
      <c r="AJ60">
        <v>86.713415519544895</v>
      </c>
      <c r="AK60">
        <v>0.65085721139372898</v>
      </c>
      <c r="AL60">
        <v>92.862450536952096</v>
      </c>
      <c r="AM60">
        <v>90.569081337619096</v>
      </c>
      <c r="AN60">
        <v>1.0000000644684399</v>
      </c>
    </row>
    <row r="61" spans="1:40" x14ac:dyDescent="0.25">
      <c r="A61" t="str">
        <f>"20190305134911299"</f>
        <v>20190305134911299</v>
      </c>
      <c r="B61" t="str">
        <f>"1551764951291275"</f>
        <v>1551764951291275</v>
      </c>
      <c r="C61" t="s">
        <v>40</v>
      </c>
      <c r="D61">
        <v>4.0941269999999896</v>
      </c>
      <c r="E61">
        <v>0.52349469999999998</v>
      </c>
      <c r="F61" t="s">
        <v>41</v>
      </c>
      <c r="G61">
        <v>-474.54039999999998</v>
      </c>
      <c r="H61">
        <v>0.95830820000000005</v>
      </c>
      <c r="I61">
        <v>367.1825</v>
      </c>
      <c r="J61">
        <v>-475.2133</v>
      </c>
      <c r="K61">
        <v>1.1099589999999999</v>
      </c>
      <c r="L61">
        <v>367.22059999999999</v>
      </c>
      <c r="M61">
        <v>0.99994430000000001</v>
      </c>
      <c r="N61">
        <v>-1.056079E-2</v>
      </c>
      <c r="O61" s="1">
        <v>-1.9539889999999998E-5</v>
      </c>
      <c r="P61">
        <v>0.99810659999999896</v>
      </c>
      <c r="Q61">
        <v>-6.0720780000000002E-2</v>
      </c>
      <c r="R61">
        <v>9.8310010000000007E-3</v>
      </c>
      <c r="S61">
        <v>2.967743</v>
      </c>
      <c r="T61">
        <v>-0.64332080000000003</v>
      </c>
      <c r="U61">
        <v>-0.15899659999999999</v>
      </c>
      <c r="V61">
        <v>-9.8520480000000004E-3</v>
      </c>
      <c r="W61">
        <v>-5.0176369999999998E-2</v>
      </c>
      <c r="X61">
        <v>0.99869180000000002</v>
      </c>
      <c r="Y61">
        <v>5.2209520000000002E-2</v>
      </c>
      <c r="Z61">
        <v>-5.8651519999999898E-3</v>
      </c>
      <c r="AA61">
        <v>0.99861889999999998</v>
      </c>
      <c r="AB61">
        <v>4</v>
      </c>
      <c r="AC61">
        <v>0.67290000000002603</v>
      </c>
      <c r="AD61">
        <v>-0.151650799999999</v>
      </c>
      <c r="AE61">
        <v>-3.8099999999985798E-2</v>
      </c>
      <c r="AF61">
        <v>3.62514792432065E-2</v>
      </c>
      <c r="AG61">
        <v>-0.151650799999999</v>
      </c>
      <c r="AH61">
        <v>0.64047425322890805</v>
      </c>
      <c r="AI61">
        <v>103.300573117624</v>
      </c>
      <c r="AJ61">
        <v>86.760458464560202</v>
      </c>
      <c r="AK61">
        <v>0.65918085829087003</v>
      </c>
      <c r="AL61">
        <v>92.876101878369994</v>
      </c>
      <c r="AM61">
        <v>90.565201856849598</v>
      </c>
      <c r="AN61">
        <v>1.0000000211716999</v>
      </c>
    </row>
    <row r="62" spans="1:40" x14ac:dyDescent="0.25">
      <c r="A62" t="str">
        <f>"20190305134911316"</f>
        <v>20190305134911316</v>
      </c>
      <c r="B62" t="str">
        <f>"1551764951310796"</f>
        <v>1551764951310796</v>
      </c>
      <c r="C62" t="s">
        <v>40</v>
      </c>
      <c r="D62">
        <v>4.0584170000000004</v>
      </c>
      <c r="E62">
        <v>0.52362070000000005</v>
      </c>
      <c r="F62" t="s">
        <v>41</v>
      </c>
      <c r="G62">
        <v>-474.50259999999997</v>
      </c>
      <c r="H62">
        <v>0.95686170000000004</v>
      </c>
      <c r="I62">
        <v>367.18180000000001</v>
      </c>
      <c r="J62">
        <v>-475.17770000000002</v>
      </c>
      <c r="K62">
        <v>1.1096629999999901</v>
      </c>
      <c r="L62">
        <v>367.22059999999999</v>
      </c>
      <c r="M62">
        <v>0.99995610000000001</v>
      </c>
      <c r="N62">
        <v>-9.3773720000000001E-3</v>
      </c>
      <c r="O62" s="1">
        <v>5.1292139999999897E-6</v>
      </c>
      <c r="P62">
        <v>0.99820520000000001</v>
      </c>
      <c r="Q62">
        <v>-5.9067229999999998E-2</v>
      </c>
      <c r="R62">
        <v>9.8723070000000003E-3</v>
      </c>
      <c r="S62">
        <v>2.9683839999999999</v>
      </c>
      <c r="T62">
        <v>-0.63954699999999998</v>
      </c>
      <c r="U62">
        <v>-0.16027829999999901</v>
      </c>
      <c r="V62">
        <v>-9.8679960000000004E-3</v>
      </c>
      <c r="W62">
        <v>-4.970397E-2</v>
      </c>
      <c r="X62">
        <v>0.99871520000000003</v>
      </c>
      <c r="Y62">
        <v>5.2662859999999999E-2</v>
      </c>
      <c r="Z62">
        <v>-5.855954E-3</v>
      </c>
      <c r="AA62">
        <v>0.99859520000000002</v>
      </c>
      <c r="AB62">
        <v>4</v>
      </c>
      <c r="AC62">
        <v>0.675100000000043</v>
      </c>
      <c r="AD62">
        <v>-0.152801299999999</v>
      </c>
      <c r="AE62">
        <v>-3.87999999999806E-2</v>
      </c>
      <c r="AF62">
        <v>3.6918388690724203E-2</v>
      </c>
      <c r="AG62">
        <v>-0.152801299999999</v>
      </c>
      <c r="AH62">
        <v>0.64230341842935401</v>
      </c>
      <c r="AI62">
        <v>103.36042569846499</v>
      </c>
      <c r="AJ62">
        <v>86.710366195654103</v>
      </c>
      <c r="AK62">
        <v>0.66126007442703105</v>
      </c>
      <c r="AL62">
        <v>92.849001721790401</v>
      </c>
      <c r="AM62">
        <v>90.566103454393101</v>
      </c>
      <c r="AN62">
        <v>0.999999956344927</v>
      </c>
    </row>
    <row r="63" spans="1:40" x14ac:dyDescent="0.25">
      <c r="A63" t="str">
        <f>"20190305134911333"</f>
        <v>20190305134911333</v>
      </c>
      <c r="B63" t="str">
        <f>"1551764951320557"</f>
        <v>1551764951320557</v>
      </c>
      <c r="C63" t="s">
        <v>40</v>
      </c>
      <c r="D63">
        <v>4.1110089999999904</v>
      </c>
      <c r="E63">
        <v>0.52370939999999999</v>
      </c>
      <c r="F63" t="s">
        <v>41</v>
      </c>
      <c r="G63">
        <v>-474.46260000000001</v>
      </c>
      <c r="H63">
        <v>0.95698459999999996</v>
      </c>
      <c r="I63">
        <v>367.18180000000001</v>
      </c>
      <c r="J63">
        <v>-475.1472</v>
      </c>
      <c r="K63">
        <v>1.109537</v>
      </c>
      <c r="L63">
        <v>367.22059999999999</v>
      </c>
      <c r="M63">
        <v>0.99996220000000002</v>
      </c>
      <c r="N63">
        <v>-8.6994749999999999E-3</v>
      </c>
      <c r="O63" s="1">
        <v>2.8795499999999999E-5</v>
      </c>
      <c r="P63">
        <v>0.99826839999999994</v>
      </c>
      <c r="Q63">
        <v>-5.8009079999999998E-2</v>
      </c>
      <c r="R63">
        <v>9.7643030000000002E-3</v>
      </c>
      <c r="S63">
        <v>2.9694820000000002</v>
      </c>
      <c r="T63">
        <v>-0.63401640000000004</v>
      </c>
      <c r="U63">
        <v>-0.16140750000000001</v>
      </c>
      <c r="V63">
        <v>-9.7362649999999992E-3</v>
      </c>
      <c r="W63">
        <v>-4.9322400000000002E-2</v>
      </c>
      <c r="X63">
        <v>0.99873540000000005</v>
      </c>
      <c r="Y63">
        <v>5.3061160000000003E-2</v>
      </c>
      <c r="Z63">
        <v>-5.836918E-3</v>
      </c>
      <c r="AA63">
        <v>0.99857419999999997</v>
      </c>
      <c r="AB63">
        <v>4</v>
      </c>
      <c r="AC63">
        <v>0.684599999999989</v>
      </c>
      <c r="AD63">
        <v>-0.1525524</v>
      </c>
      <c r="AE63">
        <v>-3.87999999999806E-2</v>
      </c>
      <c r="AF63">
        <v>3.6988905234948903E-2</v>
      </c>
      <c r="AG63">
        <v>-0.1525524</v>
      </c>
      <c r="AH63">
        <v>0.65231194391634295</v>
      </c>
      <c r="AI63">
        <v>103.142486321574</v>
      </c>
      <c r="AJ63">
        <v>86.754557247727703</v>
      </c>
      <c r="AK63">
        <v>0.67093314572478702</v>
      </c>
      <c r="AL63">
        <v>92.827112549909302</v>
      </c>
      <c r="AM63">
        <v>90.558535546107805</v>
      </c>
      <c r="AN63">
        <v>0.99999994660553304</v>
      </c>
    </row>
    <row r="64" spans="1:40" x14ac:dyDescent="0.25">
      <c r="A64" t="str">
        <f>"20190305134911351"</f>
        <v>20190305134911351</v>
      </c>
      <c r="B64" t="str">
        <f>"1551764951341051"</f>
        <v>1551764951341051</v>
      </c>
      <c r="C64" t="s">
        <v>40</v>
      </c>
      <c r="D64">
        <v>4.0811469999999996</v>
      </c>
      <c r="E64">
        <v>0.52388239999999997</v>
      </c>
      <c r="F64" t="s">
        <v>41</v>
      </c>
      <c r="G64">
        <v>-474.42540000000002</v>
      </c>
      <c r="H64">
        <v>0.956368</v>
      </c>
      <c r="I64">
        <v>367.18049999999999</v>
      </c>
      <c r="J64">
        <v>-475.11149999999998</v>
      </c>
      <c r="K64">
        <v>1.1097250000000001</v>
      </c>
      <c r="L64">
        <v>367.22059999999999</v>
      </c>
      <c r="M64">
        <v>0.9999593</v>
      </c>
      <c r="N64">
        <v>-9.0191679999999993E-3</v>
      </c>
      <c r="O64" s="1">
        <v>5.3880449999999997E-5</v>
      </c>
      <c r="P64">
        <v>0.99827540000000003</v>
      </c>
      <c r="Q64">
        <v>-5.7803750000000001E-2</v>
      </c>
      <c r="R64">
        <v>1.0250759999999999E-2</v>
      </c>
      <c r="S64">
        <v>2.9701230000000001</v>
      </c>
      <c r="T64">
        <v>-0.63042860000000001</v>
      </c>
      <c r="U64">
        <v>-0.16268920000000001</v>
      </c>
      <c r="V64">
        <v>-1.0197049999999999E-2</v>
      </c>
      <c r="W64">
        <v>-4.8797800000000002E-2</v>
      </c>
      <c r="X64">
        <v>0.99875659999999999</v>
      </c>
      <c r="Y64">
        <v>5.3505709999999998E-2</v>
      </c>
      <c r="Z64">
        <v>-5.8669079999999997E-3</v>
      </c>
      <c r="AA64">
        <v>0.9985503</v>
      </c>
      <c r="AB64">
        <v>5</v>
      </c>
      <c r="AC64">
        <v>0.68609999999995297</v>
      </c>
      <c r="AD64">
        <v>-0.15335699999999999</v>
      </c>
      <c r="AE64">
        <v>-4.0099999999995299E-2</v>
      </c>
      <c r="AF64">
        <v>3.8233292698998299E-2</v>
      </c>
      <c r="AG64">
        <v>-0.15335699999999999</v>
      </c>
      <c r="AH64">
        <v>0.65355656496793102</v>
      </c>
      <c r="AI64">
        <v>103.183790741743</v>
      </c>
      <c r="AJ64">
        <v>86.651992222340098</v>
      </c>
      <c r="AK64">
        <v>0.67239596796254497</v>
      </c>
      <c r="AL64">
        <v>92.797018863048393</v>
      </c>
      <c r="AM64">
        <v>90.584954962301893</v>
      </c>
      <c r="AN64">
        <v>0.99999997557855003</v>
      </c>
    </row>
    <row r="65" spans="1:40" x14ac:dyDescent="0.25">
      <c r="A65" t="str">
        <f>"20190305134911374"</f>
        <v>20190305134911374</v>
      </c>
      <c r="B65" t="str">
        <f>"1551764951360571"</f>
        <v>1551764951360571</v>
      </c>
      <c r="C65" t="s">
        <v>40</v>
      </c>
      <c r="D65">
        <v>4.1056179999999998</v>
      </c>
      <c r="E65">
        <v>0.52395630000000004</v>
      </c>
      <c r="F65" t="s">
        <v>41</v>
      </c>
      <c r="G65">
        <v>-474.39109999999999</v>
      </c>
      <c r="H65">
        <v>0.95717070000000004</v>
      </c>
      <c r="I65">
        <v>367.18079999999998</v>
      </c>
      <c r="J65">
        <v>-475.07389999999998</v>
      </c>
      <c r="K65">
        <v>1.1102240000000001</v>
      </c>
      <c r="L65">
        <v>367.22070000000002</v>
      </c>
      <c r="M65">
        <v>0.9999439</v>
      </c>
      <c r="N65">
        <v>-1.059277E-2</v>
      </c>
      <c r="O65" s="1">
        <v>7.2776569999999995E-5</v>
      </c>
      <c r="P65">
        <v>0.99818030000000002</v>
      </c>
      <c r="Q65">
        <v>-5.9346500000000003E-2</v>
      </c>
      <c r="R65">
        <v>1.0676089999999999E-2</v>
      </c>
      <c r="S65">
        <v>2.9704280000000001</v>
      </c>
      <c r="T65">
        <v>-0.62910339999999998</v>
      </c>
      <c r="U65">
        <v>-0.16268920000000001</v>
      </c>
      <c r="V65">
        <v>-1.060377E-2</v>
      </c>
      <c r="W65">
        <v>-4.876962E-2</v>
      </c>
      <c r="X65">
        <v>0.99875380000000002</v>
      </c>
      <c r="Y65">
        <v>5.3514680000000002E-2</v>
      </c>
      <c r="Z65">
        <v>-5.9020670000000004E-3</v>
      </c>
      <c r="AA65">
        <v>0.99854960000000004</v>
      </c>
      <c r="AB65">
        <v>4</v>
      </c>
      <c r="AC65">
        <v>0.68279999999998597</v>
      </c>
      <c r="AD65">
        <v>-0.153053299999999</v>
      </c>
      <c r="AE65">
        <v>-3.9900000000045503E-2</v>
      </c>
      <c r="AF65">
        <v>3.8044623459470302E-2</v>
      </c>
      <c r="AG65">
        <v>-0.153053299999999</v>
      </c>
      <c r="AH65">
        <v>0.65023672043457204</v>
      </c>
      <c r="AI65">
        <v>103.223412908024</v>
      </c>
      <c r="AJ65">
        <v>86.651505478455206</v>
      </c>
      <c r="AK65">
        <v>0.66908930541189404</v>
      </c>
      <c r="AL65">
        <v>92.795402178715904</v>
      </c>
      <c r="AM65">
        <v>90.608286488223101</v>
      </c>
      <c r="AN65">
        <v>1.00000003439379</v>
      </c>
    </row>
    <row r="66" spans="1:40" x14ac:dyDescent="0.25">
      <c r="A66" t="str">
        <f>"20190305134911395"</f>
        <v>20190305134911395</v>
      </c>
      <c r="B66" t="str">
        <f>"1551764951390828"</f>
        <v>1551764951390828</v>
      </c>
      <c r="C66" t="s">
        <v>40</v>
      </c>
      <c r="D66">
        <v>4.0784549999999999</v>
      </c>
      <c r="E66">
        <v>0.52416620000000003</v>
      </c>
      <c r="F66" t="s">
        <v>41</v>
      </c>
      <c r="G66">
        <v>-474.35969999999998</v>
      </c>
      <c r="H66">
        <v>0.95794330000000005</v>
      </c>
      <c r="I66">
        <v>367.1814</v>
      </c>
      <c r="J66">
        <v>-475.03980000000001</v>
      </c>
      <c r="K66">
        <v>1.1105430000000001</v>
      </c>
      <c r="L66">
        <v>367.2208</v>
      </c>
      <c r="M66">
        <v>0.99992990000000004</v>
      </c>
      <c r="N66">
        <v>-1.183593E-2</v>
      </c>
      <c r="O66" s="1">
        <v>9.1860449999999996E-5</v>
      </c>
      <c r="P66">
        <v>0.99811170000000005</v>
      </c>
      <c r="Q66">
        <v>-6.0329439999999998E-2</v>
      </c>
      <c r="R66">
        <v>1.1533170000000001E-2</v>
      </c>
      <c r="S66">
        <v>2.9695740000000002</v>
      </c>
      <c r="T66">
        <v>-0.63321899999999998</v>
      </c>
      <c r="U66">
        <v>-0.16268920000000001</v>
      </c>
      <c r="V66">
        <v>-1.144162E-2</v>
      </c>
      <c r="W66">
        <v>-4.8511499999999999E-2</v>
      </c>
      <c r="X66">
        <v>0.99875709999999995</v>
      </c>
      <c r="Y66">
        <v>5.3525150000000001E-2</v>
      </c>
      <c r="Z66">
        <v>-5.978209E-3</v>
      </c>
      <c r="AA66">
        <v>0.99854860000000001</v>
      </c>
      <c r="AB66">
        <v>4</v>
      </c>
      <c r="AC66">
        <v>0.68010000000003801</v>
      </c>
      <c r="AD66">
        <v>-0.1525997</v>
      </c>
      <c r="AE66">
        <v>-3.9400000000000497E-2</v>
      </c>
      <c r="AF66">
        <v>3.7576970261528703E-2</v>
      </c>
      <c r="AG66">
        <v>-0.1525997</v>
      </c>
      <c r="AH66">
        <v>0.64760152740231303</v>
      </c>
      <c r="AI66">
        <v>103.237721918448</v>
      </c>
      <c r="AJ66">
        <v>86.679145615059099</v>
      </c>
      <c r="AK66">
        <v>0.66639810581058501</v>
      </c>
      <c r="AL66">
        <v>92.780595532924593</v>
      </c>
      <c r="AM66">
        <v>90.656343630858302</v>
      </c>
      <c r="AN66">
        <v>1.0000000105504401</v>
      </c>
    </row>
    <row r="67" spans="1:40" x14ac:dyDescent="0.25">
      <c r="A67" t="str">
        <f>"20190305134911409"</f>
        <v>20190305134911409</v>
      </c>
      <c r="B67" t="str">
        <f>"1551764951400588"</f>
        <v>1551764951400588</v>
      </c>
      <c r="C67" t="s">
        <v>40</v>
      </c>
      <c r="D67">
        <v>4.0824319999999998</v>
      </c>
      <c r="E67">
        <v>0.5242078</v>
      </c>
      <c r="F67" t="s">
        <v>41</v>
      </c>
      <c r="G67">
        <v>-474.3245</v>
      </c>
      <c r="H67">
        <v>0.95755579999999996</v>
      </c>
      <c r="I67">
        <v>367.1816</v>
      </c>
      <c r="J67">
        <v>-475.01429999999999</v>
      </c>
      <c r="K67">
        <v>1.1104320000000001</v>
      </c>
      <c r="L67">
        <v>367.2208</v>
      </c>
      <c r="M67">
        <v>0.99993259999999995</v>
      </c>
      <c r="N67">
        <v>-1.161096E-2</v>
      </c>
      <c r="O67">
        <v>1.139536E-4</v>
      </c>
      <c r="P67">
        <v>0.99809930000000002</v>
      </c>
      <c r="Q67">
        <v>-6.0423560000000001E-2</v>
      </c>
      <c r="R67">
        <v>1.212452E-2</v>
      </c>
      <c r="S67">
        <v>2.9691770000000002</v>
      </c>
      <c r="T67">
        <v>-0.63504510000000003</v>
      </c>
      <c r="U67">
        <v>-0.162323</v>
      </c>
      <c r="V67">
        <v>-1.2011020000000001E-2</v>
      </c>
      <c r="W67">
        <v>-4.8830489999999997E-2</v>
      </c>
      <c r="X67">
        <v>0.99873480000000003</v>
      </c>
      <c r="Y67">
        <v>5.3427479999999999E-2</v>
      </c>
      <c r="Z67">
        <v>-5.9823890000000003E-3</v>
      </c>
      <c r="AA67">
        <v>0.99855380000000005</v>
      </c>
      <c r="AB67">
        <v>3</v>
      </c>
      <c r="AC67">
        <v>0.68979999999999098</v>
      </c>
      <c r="AD67">
        <v>-0.15287619999999899</v>
      </c>
      <c r="AE67">
        <v>-3.9199999999993899E-2</v>
      </c>
      <c r="AF67">
        <v>3.7445322272169602E-2</v>
      </c>
      <c r="AG67">
        <v>-0.15287619999999899</v>
      </c>
      <c r="AH67">
        <v>0.65760004494125501</v>
      </c>
      <c r="AI67">
        <v>103.066986661863</v>
      </c>
      <c r="AJ67">
        <v>86.740960393966603</v>
      </c>
      <c r="AK67">
        <v>0.67617387097790704</v>
      </c>
      <c r="AL67">
        <v>92.798894194371201</v>
      </c>
      <c r="AM67">
        <v>90.689019326505104</v>
      </c>
      <c r="AN67">
        <v>0.999999941043058</v>
      </c>
    </row>
    <row r="68" spans="1:40" x14ac:dyDescent="0.25">
      <c r="A68" t="str">
        <f>"20190305134911430"</f>
        <v>20190305134911430</v>
      </c>
      <c r="B68" t="str">
        <f>"1551764951421084"</f>
        <v>1551764951421084</v>
      </c>
      <c r="C68" t="s">
        <v>40</v>
      </c>
      <c r="D68">
        <v>4.1606649999999998</v>
      </c>
      <c r="E68">
        <v>0.53842609999999902</v>
      </c>
      <c r="F68" t="s">
        <v>41</v>
      </c>
      <c r="G68">
        <v>-474.32209999999998</v>
      </c>
      <c r="H68">
        <v>0.96242479999999997</v>
      </c>
      <c r="I68">
        <v>367.18329999999997</v>
      </c>
      <c r="J68">
        <v>-474.97379999999998</v>
      </c>
      <c r="K68">
        <v>1.1099829999999999</v>
      </c>
      <c r="L68">
        <v>367.2208</v>
      </c>
      <c r="M68">
        <v>0.99994870000000002</v>
      </c>
      <c r="N68">
        <v>-1.013532E-2</v>
      </c>
      <c r="O68">
        <v>1.6534819999999999E-4</v>
      </c>
      <c r="P68">
        <v>0.99821289999999996</v>
      </c>
      <c r="Q68">
        <v>-5.837324E-2</v>
      </c>
      <c r="R68">
        <v>1.2789099999999999E-2</v>
      </c>
      <c r="S68">
        <v>2.9692379999999998</v>
      </c>
      <c r="T68">
        <v>-0.63495269999999904</v>
      </c>
      <c r="U68">
        <v>-0.1607056</v>
      </c>
      <c r="V68">
        <v>-1.2623809999999999E-2</v>
      </c>
      <c r="W68">
        <v>-4.8253020000000001E-2</v>
      </c>
      <c r="X68">
        <v>0.99875539999999996</v>
      </c>
      <c r="Y68">
        <v>5.2954330000000001E-2</v>
      </c>
      <c r="Z68">
        <v>-5.8996989999999996E-3</v>
      </c>
      <c r="AA68">
        <v>0.99857949999999995</v>
      </c>
      <c r="AB68">
        <v>3</v>
      </c>
      <c r="AC68">
        <v>0.65170000000000505</v>
      </c>
      <c r="AD68">
        <v>-0.147558199999999</v>
      </c>
      <c r="AE68">
        <v>-3.7500000000022703E-2</v>
      </c>
      <c r="AF68">
        <v>3.5779534496308399E-2</v>
      </c>
      <c r="AG68">
        <v>-0.147558199999999</v>
      </c>
      <c r="AH68">
        <v>0.62001296906910297</v>
      </c>
      <c r="AI68">
        <v>103.36546989405301</v>
      </c>
      <c r="AJ68">
        <v>86.697254224981293</v>
      </c>
      <c r="AK68">
        <v>0.63833351728535803</v>
      </c>
      <c r="AL68">
        <v>92.765768296991794</v>
      </c>
      <c r="AM68">
        <v>90.724153802712905</v>
      </c>
      <c r="AN68">
        <v>1.00000003177359</v>
      </c>
    </row>
    <row r="69" spans="1:40" x14ac:dyDescent="0.25">
      <c r="A69" t="str">
        <f>"20190305134911445"</f>
        <v>20190305134911445</v>
      </c>
      <c r="B69" t="str">
        <f>"1551764951440603"</f>
        <v>1551764951440603</v>
      </c>
      <c r="C69" t="s">
        <v>40</v>
      </c>
      <c r="D69">
        <v>4.143923</v>
      </c>
      <c r="E69">
        <v>0.54338719999999996</v>
      </c>
      <c r="F69" t="s">
        <v>41</v>
      </c>
      <c r="G69">
        <v>-474.21839999999997</v>
      </c>
      <c r="H69">
        <v>1.006956</v>
      </c>
      <c r="I69">
        <v>367.15230000000003</v>
      </c>
      <c r="J69">
        <v>-474.94080000000002</v>
      </c>
      <c r="K69">
        <v>1.1096980000000001</v>
      </c>
      <c r="L69">
        <v>367.22089999999997</v>
      </c>
      <c r="M69">
        <v>0.9999593</v>
      </c>
      <c r="N69">
        <v>-9.0167670000000002E-3</v>
      </c>
      <c r="O69">
        <v>2.120476E-4</v>
      </c>
      <c r="P69">
        <v>0.99829800000000002</v>
      </c>
      <c r="Q69">
        <v>-5.6770309999999997E-2</v>
      </c>
      <c r="R69">
        <v>1.3351699999999999E-2</v>
      </c>
      <c r="S69">
        <v>2.9850159999999999</v>
      </c>
      <c r="T69">
        <v>-0.40720420000000002</v>
      </c>
      <c r="U69">
        <v>-0.27020260000000001</v>
      </c>
      <c r="V69">
        <v>-1.3139410000000001E-2</v>
      </c>
      <c r="W69">
        <v>-4.7766669999999997E-2</v>
      </c>
      <c r="X69">
        <v>0.99877210000000005</v>
      </c>
      <c r="Y69">
        <v>8.9483309999999996E-2</v>
      </c>
      <c r="Z69">
        <v>-6.496183E-3</v>
      </c>
      <c r="AA69">
        <v>0.99596709999999999</v>
      </c>
      <c r="AB69">
        <v>5</v>
      </c>
      <c r="AC69">
        <v>0.72240000000005</v>
      </c>
      <c r="AD69">
        <v>-0.102741999999999</v>
      </c>
      <c r="AE69">
        <v>-6.8599999999946704E-2</v>
      </c>
      <c r="AF69">
        <v>6.7402003529282897E-2</v>
      </c>
      <c r="AG69">
        <v>-0.102741999999999</v>
      </c>
      <c r="AH69">
        <v>0.70818862744819999</v>
      </c>
      <c r="AI69">
        <v>98.218090997232807</v>
      </c>
      <c r="AJ69">
        <v>84.563238486100204</v>
      </c>
      <c r="AK69">
        <v>0.71876983846759102</v>
      </c>
      <c r="AL69">
        <v>92.737870403060299</v>
      </c>
      <c r="AM69">
        <v>90.753714798568694</v>
      </c>
      <c r="AN69">
        <v>1.0000000032982199</v>
      </c>
    </row>
    <row r="70" spans="1:40" x14ac:dyDescent="0.25">
      <c r="A70" t="str">
        <f>"20190305134911463"</f>
        <v>20190305134911463</v>
      </c>
      <c r="B70" t="str">
        <f>"1551764951451340"</f>
        <v>1551764951451340</v>
      </c>
      <c r="C70" t="s">
        <v>40</v>
      </c>
      <c r="D70">
        <v>4.1480249999999996</v>
      </c>
      <c r="E70">
        <v>0.54302359999999905</v>
      </c>
      <c r="F70" t="s">
        <v>41</v>
      </c>
      <c r="G70">
        <v>-474.20460000000003</v>
      </c>
      <c r="H70">
        <v>1.035172</v>
      </c>
      <c r="I70">
        <v>367.14510000000001</v>
      </c>
      <c r="J70">
        <v>-474.9076</v>
      </c>
      <c r="K70">
        <v>1.109742</v>
      </c>
      <c r="L70">
        <v>367.22089999999997</v>
      </c>
      <c r="M70">
        <v>0.99995990000000001</v>
      </c>
      <c r="N70">
        <v>-8.9490460000000004E-3</v>
      </c>
      <c r="O70">
        <v>2.5515519999999998E-4</v>
      </c>
      <c r="P70">
        <v>0.99832650000000001</v>
      </c>
      <c r="Q70">
        <v>-5.615821E-2</v>
      </c>
      <c r="R70">
        <v>1.37917E-2</v>
      </c>
      <c r="S70">
        <v>2.9920040000000001</v>
      </c>
      <c r="T70">
        <v>-0.30298399999999998</v>
      </c>
      <c r="U70">
        <v>-0.30718990000000002</v>
      </c>
      <c r="V70">
        <v>-1.353648E-2</v>
      </c>
      <c r="W70">
        <v>-4.7222010000000002E-2</v>
      </c>
      <c r="X70">
        <v>0.99879269999999998</v>
      </c>
      <c r="Y70">
        <v>0.1018247</v>
      </c>
      <c r="Z70">
        <v>-5.6105929999999997E-3</v>
      </c>
      <c r="AA70">
        <v>0.99478659999999997</v>
      </c>
      <c r="AB70">
        <v>5</v>
      </c>
      <c r="AC70">
        <v>0.70299999999997398</v>
      </c>
      <c r="AD70">
        <v>-7.4569999999999997E-2</v>
      </c>
      <c r="AE70">
        <v>-7.5799999999958304E-2</v>
      </c>
      <c r="AF70">
        <v>7.5143603204358103E-2</v>
      </c>
      <c r="AG70">
        <v>-7.4569999999999997E-2</v>
      </c>
      <c r="AH70">
        <v>0.695247825880141</v>
      </c>
      <c r="AI70">
        <v>96.086773012082205</v>
      </c>
      <c r="AJ70">
        <v>83.831317548924005</v>
      </c>
      <c r="AK70">
        <v>0.70326153413477399</v>
      </c>
      <c r="AL70">
        <v>92.7066284197128</v>
      </c>
      <c r="AM70">
        <v>90.776473128451499</v>
      </c>
      <c r="AN70">
        <v>1.0000000060462599</v>
      </c>
    </row>
    <row r="71" spans="1:40" x14ac:dyDescent="0.25">
      <c r="A71" t="str">
        <f>"20190305134911476"</f>
        <v>20190305134911476</v>
      </c>
      <c r="B71" t="str">
        <f>"1551764951470860"</f>
        <v>1551764951470860</v>
      </c>
      <c r="C71" t="s">
        <v>40</v>
      </c>
      <c r="D71">
        <v>4.093871</v>
      </c>
      <c r="E71">
        <v>0.54192469999999904</v>
      </c>
      <c r="F71" t="s">
        <v>41</v>
      </c>
      <c r="G71">
        <v>-474.1628</v>
      </c>
      <c r="H71">
        <v>1.0417749999999999</v>
      </c>
      <c r="I71">
        <v>367.14519999999999</v>
      </c>
      <c r="J71">
        <v>-474.88040000000001</v>
      </c>
      <c r="K71">
        <v>1.10999</v>
      </c>
      <c r="L71">
        <v>367.22089999999997</v>
      </c>
      <c r="M71">
        <v>0.99995319999999999</v>
      </c>
      <c r="N71">
        <v>-9.668177E-3</v>
      </c>
      <c r="O71">
        <v>2.8653810000000001E-4</v>
      </c>
      <c r="P71">
        <v>0.99829670000000004</v>
      </c>
      <c r="Q71">
        <v>-5.6615169999999999E-2</v>
      </c>
      <c r="R71">
        <v>1.4085790000000001E-2</v>
      </c>
      <c r="S71">
        <v>2.9937740000000002</v>
      </c>
      <c r="T71">
        <v>-0.27349190000000001</v>
      </c>
      <c r="U71">
        <v>-0.30282589999999998</v>
      </c>
      <c r="V71">
        <v>-1.379907E-2</v>
      </c>
      <c r="W71">
        <v>-4.696086E-2</v>
      </c>
      <c r="X71">
        <v>0.99880139999999995</v>
      </c>
      <c r="Y71">
        <v>0.100464</v>
      </c>
      <c r="Z71">
        <v>-5.0790590000000004E-3</v>
      </c>
      <c r="AA71">
        <v>0.99492769999999997</v>
      </c>
      <c r="AB71">
        <v>5</v>
      </c>
      <c r="AC71">
        <v>0.71760000000000401</v>
      </c>
      <c r="AD71">
        <v>-6.8215000000000095E-2</v>
      </c>
      <c r="AE71">
        <v>-7.5699999999983406E-2</v>
      </c>
      <c r="AF71">
        <v>7.5233271294700907E-2</v>
      </c>
      <c r="AG71">
        <v>-6.8215000000000095E-2</v>
      </c>
      <c r="AH71">
        <v>0.71122213170625204</v>
      </c>
      <c r="AI71">
        <v>95.448402283383402</v>
      </c>
      <c r="AJ71">
        <v>83.961691802453004</v>
      </c>
      <c r="AK71">
        <v>0.71843597624526501</v>
      </c>
      <c r="AL71">
        <v>92.691649060710205</v>
      </c>
      <c r="AM71">
        <v>90.791526899262294</v>
      </c>
      <c r="AN71">
        <v>0.99999998667338197</v>
      </c>
    </row>
    <row r="72" spans="1:40" x14ac:dyDescent="0.25">
      <c r="A72" t="str">
        <f>"20190305134911495"</f>
        <v>20190305134911495</v>
      </c>
      <c r="B72" t="str">
        <f>"1551764951491355"</f>
        <v>1551764951491355</v>
      </c>
      <c r="C72" t="s">
        <v>40</v>
      </c>
      <c r="D72">
        <v>4.0243260000000003</v>
      </c>
      <c r="E72">
        <v>0.54169919999999905</v>
      </c>
      <c r="F72" t="s">
        <v>41</v>
      </c>
      <c r="G72">
        <v>-474.1216</v>
      </c>
      <c r="H72">
        <v>1.0512729999999999</v>
      </c>
      <c r="I72">
        <v>367.14659999999998</v>
      </c>
      <c r="J72">
        <v>-474.85079999999999</v>
      </c>
      <c r="K72">
        <v>1.110422</v>
      </c>
      <c r="L72">
        <v>367.221</v>
      </c>
      <c r="M72">
        <v>0.99993790000000005</v>
      </c>
      <c r="N72">
        <v>-1.1152280000000001E-2</v>
      </c>
      <c r="O72">
        <v>3.1600140000000003E-4</v>
      </c>
      <c r="P72">
        <v>0.99821729999999997</v>
      </c>
      <c r="Q72">
        <v>-5.7939930000000001E-2</v>
      </c>
      <c r="R72">
        <v>1.432434E-2</v>
      </c>
      <c r="S72">
        <v>2.9960939999999998</v>
      </c>
      <c r="T72">
        <v>-0.23198250000000001</v>
      </c>
      <c r="U72">
        <v>-0.29278559999999998</v>
      </c>
      <c r="V72">
        <v>-1.400873E-2</v>
      </c>
      <c r="W72">
        <v>-4.6803820000000003E-2</v>
      </c>
      <c r="X72">
        <v>0.99880590000000002</v>
      </c>
      <c r="Y72">
        <v>9.7242720000000005E-2</v>
      </c>
      <c r="Z72">
        <v>-4.3154780000000002E-3</v>
      </c>
      <c r="AA72">
        <v>0.99525140000000001</v>
      </c>
      <c r="AB72">
        <v>4</v>
      </c>
      <c r="AC72">
        <v>0.72919999999999097</v>
      </c>
      <c r="AD72">
        <v>-5.9149000000000097E-2</v>
      </c>
      <c r="AE72">
        <v>-7.4400000000025501E-2</v>
      </c>
      <c r="AF72">
        <v>7.4147601357503007E-2</v>
      </c>
      <c r="AG72">
        <v>-5.9149000000000097E-2</v>
      </c>
      <c r="AH72">
        <v>0.72445888996838703</v>
      </c>
      <c r="AI72">
        <v>94.643454098178296</v>
      </c>
      <c r="AJ72">
        <v>84.156186107126004</v>
      </c>
      <c r="AK72">
        <v>0.73064160451092497</v>
      </c>
      <c r="AL72">
        <v>92.682641299742599</v>
      </c>
      <c r="AM72">
        <v>90.803547997958603</v>
      </c>
      <c r="AN72">
        <v>1.0000000339788</v>
      </c>
    </row>
    <row r="73" spans="1:40" x14ac:dyDescent="0.25">
      <c r="A73" t="str">
        <f>"20190305134911507"</f>
        <v>20190305134911507</v>
      </c>
      <c r="B73" t="str">
        <f>"1551764951501115"</f>
        <v>1551764951501115</v>
      </c>
      <c r="C73" t="s">
        <v>40</v>
      </c>
      <c r="D73">
        <v>4.1171410000000002</v>
      </c>
      <c r="E73">
        <v>0.54171930000000001</v>
      </c>
      <c r="F73" t="s">
        <v>41</v>
      </c>
      <c r="G73">
        <v>-474.08819999999997</v>
      </c>
      <c r="H73">
        <v>1.05298</v>
      </c>
      <c r="I73">
        <v>367.14679999999998</v>
      </c>
      <c r="J73">
        <v>-474.82909999999998</v>
      </c>
      <c r="K73">
        <v>1.1107720000000001</v>
      </c>
      <c r="L73">
        <v>367.22109999999998</v>
      </c>
      <c r="M73">
        <v>0.99992190000000003</v>
      </c>
      <c r="N73">
        <v>-1.249802E-2</v>
      </c>
      <c r="O73">
        <v>3.3490210000000002E-4</v>
      </c>
      <c r="P73">
        <v>0.99813300000000005</v>
      </c>
      <c r="Q73">
        <v>-5.9363220000000001E-2</v>
      </c>
      <c r="R73">
        <v>1.4378699999999999E-2</v>
      </c>
      <c r="S73">
        <v>2.9963380000000002</v>
      </c>
      <c r="T73">
        <v>-0.2259912</v>
      </c>
      <c r="U73">
        <v>-0.29022219999999999</v>
      </c>
      <c r="V73">
        <v>-1.404583E-2</v>
      </c>
      <c r="W73">
        <v>-4.6883590000000003E-2</v>
      </c>
      <c r="X73">
        <v>0.99880159999999996</v>
      </c>
      <c r="Y73">
        <v>9.6423729999999999E-2</v>
      </c>
      <c r="Z73">
        <v>-4.2486269999999996E-3</v>
      </c>
      <c r="AA73">
        <v>0.99533130000000003</v>
      </c>
      <c r="AB73">
        <v>4</v>
      </c>
      <c r="AC73">
        <v>0.74090000000001</v>
      </c>
      <c r="AD73">
        <v>-5.7791999999999802E-2</v>
      </c>
      <c r="AE73">
        <v>-7.4299999999993802E-2</v>
      </c>
      <c r="AF73">
        <v>7.4101769992998598E-2</v>
      </c>
      <c r="AG73">
        <v>-5.7791999999999802E-2</v>
      </c>
      <c r="AH73">
        <v>0.73643891324699096</v>
      </c>
      <c r="AI73">
        <v>94.464634144217399</v>
      </c>
      <c r="AJ73">
        <v>84.254138268032506</v>
      </c>
      <c r="AK73">
        <v>0.74241043939623097</v>
      </c>
      <c r="AL73">
        <v>92.687216908209905</v>
      </c>
      <c r="AM73">
        <v>90.805679261108594</v>
      </c>
      <c r="AN73">
        <v>0.999999996257118</v>
      </c>
    </row>
    <row r="74" spans="1:40" x14ac:dyDescent="0.25">
      <c r="A74" t="str">
        <f>"20190305134911521"</f>
        <v>20190305134911521</v>
      </c>
      <c r="B74" t="str">
        <f>"1551764951510875"</f>
        <v>1551764951510875</v>
      </c>
      <c r="C74" t="s">
        <v>40</v>
      </c>
      <c r="D74">
        <v>4.1230719999999996</v>
      </c>
      <c r="E74">
        <v>0.54176239999999998</v>
      </c>
      <c r="F74" t="s">
        <v>41</v>
      </c>
      <c r="G74">
        <v>-474.08330000000001</v>
      </c>
      <c r="H74">
        <v>1.054843</v>
      </c>
      <c r="I74">
        <v>367.14850000000001</v>
      </c>
      <c r="J74">
        <v>-474.8116</v>
      </c>
      <c r="K74">
        <v>1.1110150000000001</v>
      </c>
      <c r="L74">
        <v>367.22109999999998</v>
      </c>
      <c r="M74">
        <v>0.99990730000000005</v>
      </c>
      <c r="N74">
        <v>-1.3617850000000001E-2</v>
      </c>
      <c r="O74">
        <v>3.4723700000000002E-4</v>
      </c>
      <c r="P74">
        <v>0.99804740000000003</v>
      </c>
      <c r="Q74">
        <v>-6.0864679999999997E-2</v>
      </c>
      <c r="R74">
        <v>1.405065E-2</v>
      </c>
      <c r="S74">
        <v>2.9963989999999998</v>
      </c>
      <c r="T74">
        <v>-0.22495599999999999</v>
      </c>
      <c r="U74">
        <v>-0.29006959999999998</v>
      </c>
      <c r="V74">
        <v>-1.3705520000000001E-2</v>
      </c>
      <c r="W74">
        <v>-4.7267320000000002E-2</v>
      </c>
      <c r="X74">
        <v>0.99878820000000001</v>
      </c>
      <c r="Y74">
        <v>9.6382629999999997E-2</v>
      </c>
      <c r="Z74">
        <v>-4.2846749999999999E-3</v>
      </c>
      <c r="AA74">
        <v>0.99533519999999998</v>
      </c>
      <c r="AB74">
        <v>4</v>
      </c>
      <c r="AC74">
        <v>0.72829999999998996</v>
      </c>
      <c r="AD74">
        <v>-5.6171999999999798E-2</v>
      </c>
      <c r="AE74">
        <v>-7.2599999999965803E-2</v>
      </c>
      <c r="AF74">
        <v>7.2426311353241901E-2</v>
      </c>
      <c r="AG74">
        <v>-5.6171999999999798E-2</v>
      </c>
      <c r="AH74">
        <v>0.72401022979861296</v>
      </c>
      <c r="AI74">
        <v>94.414434628336494</v>
      </c>
      <c r="AJ74">
        <v>84.287425445206395</v>
      </c>
      <c r="AK74">
        <v>0.72978878931734603</v>
      </c>
      <c r="AL74">
        <v>92.709227532996294</v>
      </c>
      <c r="AM74">
        <v>90.786171852658896</v>
      </c>
      <c r="AN74">
        <v>0.99999995463884495</v>
      </c>
    </row>
    <row r="75" spans="1:40" x14ac:dyDescent="0.25">
      <c r="A75" t="str">
        <f>"20190305134911542"</f>
        <v>20190305134911542</v>
      </c>
      <c r="B75" t="str">
        <f>"1551764951531372"</f>
        <v>1551764951531372</v>
      </c>
      <c r="C75" t="s">
        <v>40</v>
      </c>
      <c r="D75">
        <v>4.1305719999999999</v>
      </c>
      <c r="E75">
        <v>0.54185559999999999</v>
      </c>
      <c r="F75" t="s">
        <v>41</v>
      </c>
      <c r="G75">
        <v>-474.05739999999997</v>
      </c>
      <c r="H75">
        <v>1.053715</v>
      </c>
      <c r="I75">
        <v>367.14760000000001</v>
      </c>
      <c r="J75">
        <v>-474.77929999999998</v>
      </c>
      <c r="K75">
        <v>1.1110040000000001</v>
      </c>
      <c r="L75">
        <v>367.22109999999998</v>
      </c>
      <c r="M75">
        <v>0.99990009999999996</v>
      </c>
      <c r="N75">
        <v>-1.4131680000000001E-2</v>
      </c>
      <c r="O75">
        <v>3.7481050000000001E-4</v>
      </c>
      <c r="P75">
        <v>0.99798109999999995</v>
      </c>
      <c r="Q75">
        <v>-6.1983429999999999E-2</v>
      </c>
      <c r="R75">
        <v>1.3846320000000001E-2</v>
      </c>
      <c r="S75">
        <v>2.996124</v>
      </c>
      <c r="T75">
        <v>-0.22774610000000001</v>
      </c>
      <c r="U75">
        <v>-0.29135129999999998</v>
      </c>
      <c r="V75">
        <v>-1.347367E-2</v>
      </c>
      <c r="W75">
        <v>-4.7873590000000001E-2</v>
      </c>
      <c r="X75">
        <v>0.9987625</v>
      </c>
      <c r="Y75">
        <v>9.6829830000000006E-2</v>
      </c>
      <c r="Z75">
        <v>-4.3763730000000002E-3</v>
      </c>
      <c r="AA75">
        <v>0.99529140000000005</v>
      </c>
      <c r="AB75">
        <v>3</v>
      </c>
      <c r="AC75">
        <v>0.72190000000000498</v>
      </c>
      <c r="AD75">
        <v>-5.7289000000000097E-2</v>
      </c>
      <c r="AE75">
        <v>-7.3499999999967203E-2</v>
      </c>
      <c r="AF75">
        <v>7.3313620649656103E-2</v>
      </c>
      <c r="AG75">
        <v>-5.7289000000000097E-2</v>
      </c>
      <c r="AH75">
        <v>0.717400711108654</v>
      </c>
      <c r="AI75">
        <v>94.542186012659201</v>
      </c>
      <c r="AJ75">
        <v>84.165005571192907</v>
      </c>
      <c r="AK75">
        <v>0.72340907983862301</v>
      </c>
      <c r="AL75">
        <v>92.744003559485293</v>
      </c>
      <c r="AM75">
        <v>90.772894055928802</v>
      </c>
      <c r="AN75">
        <v>0.99999997590450296</v>
      </c>
    </row>
    <row r="76" spans="1:40" x14ac:dyDescent="0.25">
      <c r="A76" t="str">
        <f>"20190305134911563"</f>
        <v>20190305134911563</v>
      </c>
      <c r="B76" t="str">
        <f>"1551764951550892"</f>
        <v>1551764951550892</v>
      </c>
      <c r="C76" t="s">
        <v>40</v>
      </c>
      <c r="D76">
        <v>4.0385280000000003</v>
      </c>
      <c r="E76">
        <v>0.5420585</v>
      </c>
      <c r="F76" t="s">
        <v>41</v>
      </c>
      <c r="G76">
        <v>-474.0231</v>
      </c>
      <c r="H76">
        <v>1.0537510000000001</v>
      </c>
      <c r="I76">
        <v>367.14679999999998</v>
      </c>
      <c r="J76">
        <v>-474.7405</v>
      </c>
      <c r="K76">
        <v>1.1105160000000001</v>
      </c>
      <c r="L76">
        <v>367.22120000000001</v>
      </c>
      <c r="M76">
        <v>0.99991739999999996</v>
      </c>
      <c r="N76">
        <v>-1.284804E-2</v>
      </c>
      <c r="O76">
        <v>4.2050200000000001E-4</v>
      </c>
      <c r="P76">
        <v>0.99809270000000005</v>
      </c>
      <c r="Q76">
        <v>-6.0197849999999997E-2</v>
      </c>
      <c r="R76">
        <v>1.3684450000000001E-2</v>
      </c>
      <c r="S76">
        <v>2.9960629999999999</v>
      </c>
      <c r="T76">
        <v>-0.22711049999999999</v>
      </c>
      <c r="U76">
        <v>-0.29263309999999998</v>
      </c>
      <c r="V76">
        <v>-1.3265870000000001E-2</v>
      </c>
      <c r="W76">
        <v>-4.736899E-2</v>
      </c>
      <c r="X76">
        <v>0.99878940000000005</v>
      </c>
      <c r="Y76">
        <v>9.7303760000000003E-2</v>
      </c>
      <c r="Z76">
        <v>-4.3279720000000002E-3</v>
      </c>
      <c r="AA76">
        <v>0.9952453</v>
      </c>
      <c r="AB76">
        <v>3</v>
      </c>
      <c r="AC76">
        <v>0.71739999999999704</v>
      </c>
      <c r="AD76">
        <v>-5.6764999999999899E-2</v>
      </c>
      <c r="AE76">
        <v>-7.4400000000025501E-2</v>
      </c>
      <c r="AF76">
        <v>7.4241810117815499E-2</v>
      </c>
      <c r="AG76">
        <v>-5.6764999999999899E-2</v>
      </c>
      <c r="AH76">
        <v>0.71295240479687405</v>
      </c>
      <c r="AI76">
        <v>94.527884465526697</v>
      </c>
      <c r="AJ76">
        <v>84.055050185568604</v>
      </c>
      <c r="AK76">
        <v>0.719051627562456</v>
      </c>
      <c r="AL76">
        <v>92.715059109094398</v>
      </c>
      <c r="AM76">
        <v>90.760954884097004</v>
      </c>
      <c r="AN76">
        <v>1.00000003503641</v>
      </c>
    </row>
    <row r="77" spans="1:40" x14ac:dyDescent="0.25">
      <c r="A77" t="str">
        <f>"20190305134911585"</f>
        <v>20190305134911585</v>
      </c>
      <c r="B77" t="str">
        <f>"1551764951581148"</f>
        <v>1551764951581148</v>
      </c>
      <c r="C77" t="s">
        <v>40</v>
      </c>
      <c r="D77">
        <v>4.0734830000000004</v>
      </c>
      <c r="E77">
        <v>0.54251870000000002</v>
      </c>
      <c r="F77" t="s">
        <v>42</v>
      </c>
      <c r="G77">
        <v>-459.5324</v>
      </c>
      <c r="H77" s="1">
        <v>-1.1806509999999999E-6</v>
      </c>
      <c r="I77">
        <v>365.72469999999998</v>
      </c>
      <c r="J77">
        <v>-474.69749999999999</v>
      </c>
      <c r="K77">
        <v>1.110006</v>
      </c>
      <c r="L77">
        <v>367.22129999999999</v>
      </c>
      <c r="M77">
        <v>0.99993810000000005</v>
      </c>
      <c r="N77">
        <v>-1.1118670000000001E-2</v>
      </c>
      <c r="O77">
        <v>4.8268870000000002E-4</v>
      </c>
      <c r="P77">
        <v>0.99824550000000001</v>
      </c>
      <c r="Q77">
        <v>-5.7619040000000003E-2</v>
      </c>
      <c r="R77">
        <v>1.3648449999999999E-2</v>
      </c>
      <c r="S77">
        <v>2.996613</v>
      </c>
      <c r="T77">
        <v>-0.21881639999999999</v>
      </c>
      <c r="U77">
        <v>-0.29486079999999998</v>
      </c>
      <c r="V77">
        <v>-1.3166860000000001E-2</v>
      </c>
      <c r="W77">
        <v>-4.6516109999999999E-2</v>
      </c>
      <c r="X77">
        <v>0.99883069999999896</v>
      </c>
      <c r="Y77">
        <v>9.8106090000000007E-2</v>
      </c>
      <c r="Z77">
        <v>-4.1459019999999999E-3</v>
      </c>
      <c r="AA77">
        <v>0.99516729999999998</v>
      </c>
      <c r="AB77">
        <v>4</v>
      </c>
      <c r="AC77">
        <v>15.165099999999899</v>
      </c>
      <c r="AD77">
        <v>-1.1100071806509999</v>
      </c>
      <c r="AE77">
        <v>-1.4965999999999999</v>
      </c>
      <c r="AF77">
        <v>1.4959828969000699</v>
      </c>
      <c r="AG77">
        <v>-1.1100071806509999</v>
      </c>
      <c r="AH77">
        <v>15.084341124332401</v>
      </c>
      <c r="AI77">
        <v>94.1881503988172</v>
      </c>
      <c r="AJ77">
        <v>84.336236636573204</v>
      </c>
      <c r="AK77">
        <v>15.1989285123702</v>
      </c>
      <c r="AL77">
        <v>92.666139005594701</v>
      </c>
      <c r="AM77">
        <v>90.755244921609702</v>
      </c>
      <c r="AN77">
        <v>0.99999994097713896</v>
      </c>
    </row>
    <row r="78" spans="1:40" x14ac:dyDescent="0.25">
      <c r="A78" t="str">
        <f>"20190305134911607"</f>
        <v>20190305134911607</v>
      </c>
      <c r="B78" t="str">
        <f>"1551764951600669"</f>
        <v>1551764951600669</v>
      </c>
      <c r="C78" t="s">
        <v>40</v>
      </c>
      <c r="D78">
        <v>4.0627139999999997</v>
      </c>
      <c r="E78">
        <v>0.54274929999999999</v>
      </c>
      <c r="F78" t="s">
        <v>42</v>
      </c>
      <c r="G78">
        <v>-458.49759999999998</v>
      </c>
      <c r="H78" s="1">
        <v>-1.5638589999999999E-6</v>
      </c>
      <c r="I78">
        <v>365.608</v>
      </c>
      <c r="J78">
        <v>-474.65280000000001</v>
      </c>
      <c r="K78">
        <v>1.1096729999999999</v>
      </c>
      <c r="L78">
        <v>367.22129999999999</v>
      </c>
      <c r="M78">
        <v>0.99995259999999997</v>
      </c>
      <c r="N78">
        <v>-9.7304060000000005E-3</v>
      </c>
      <c r="O78">
        <v>5.5336019999999999E-4</v>
      </c>
      <c r="P78">
        <v>0.99831689999999995</v>
      </c>
      <c r="Q78">
        <v>-5.6301400000000001E-2</v>
      </c>
      <c r="R78">
        <v>1.3908739999999999E-2</v>
      </c>
      <c r="S78">
        <v>2.9974669999999999</v>
      </c>
      <c r="T78">
        <v>-0.20538339999999999</v>
      </c>
      <c r="U78">
        <v>-0.29849239999999999</v>
      </c>
      <c r="V78">
        <v>-1.3356379999999999E-2</v>
      </c>
      <c r="W78">
        <v>-4.658466E-2</v>
      </c>
      <c r="X78">
        <v>0.99882510000000002</v>
      </c>
      <c r="Y78">
        <v>9.9377320000000005E-2</v>
      </c>
      <c r="Z78">
        <v>-3.9100189999999998E-3</v>
      </c>
      <c r="AA78">
        <v>0.99504210000000004</v>
      </c>
      <c r="AB78">
        <v>4</v>
      </c>
      <c r="AC78">
        <v>16.155200000000001</v>
      </c>
      <c r="AD78">
        <v>-1.109674563859</v>
      </c>
      <c r="AE78">
        <v>-1.61329999999998</v>
      </c>
      <c r="AF78">
        <v>1.6146967525975799</v>
      </c>
      <c r="AG78">
        <v>-1.109674563859</v>
      </c>
      <c r="AH78">
        <v>16.079190693411</v>
      </c>
      <c r="AI78">
        <v>93.928203841365601</v>
      </c>
      <c r="AJ78">
        <v>84.265495727477898</v>
      </c>
      <c r="AK78">
        <v>16.1981170694498</v>
      </c>
      <c r="AL78">
        <v>92.670070597484994</v>
      </c>
      <c r="AM78">
        <v>90.766118708321102</v>
      </c>
      <c r="AN78">
        <v>1.00000005191201</v>
      </c>
    </row>
    <row r="79" spans="1:40" x14ac:dyDescent="0.25">
      <c r="A79" t="str">
        <f>"20190305134911621"</f>
        <v>20190305134911621</v>
      </c>
      <c r="B79" t="str">
        <f>"1551764951611405"</f>
        <v>1551764951611405</v>
      </c>
      <c r="C79" t="s">
        <v>40</v>
      </c>
      <c r="D79">
        <v>4.3858309999999996</v>
      </c>
      <c r="E79">
        <v>0.54321039999999998</v>
      </c>
      <c r="F79" t="s">
        <v>42</v>
      </c>
      <c r="G79">
        <v>-457.89460000000003</v>
      </c>
      <c r="H79" s="1">
        <v>-1.7849930000000001E-6</v>
      </c>
      <c r="I79">
        <v>365.54809999999998</v>
      </c>
      <c r="J79">
        <v>-474.62419999999997</v>
      </c>
      <c r="K79">
        <v>1.109734</v>
      </c>
      <c r="L79">
        <v>367.22140000000002</v>
      </c>
      <c r="M79">
        <v>0.99995279999999998</v>
      </c>
      <c r="N79">
        <v>-9.7051749999999999E-3</v>
      </c>
      <c r="O79">
        <v>5.9074339999999896E-4</v>
      </c>
      <c r="P79">
        <v>0.99831910000000001</v>
      </c>
      <c r="Q79">
        <v>-5.6240760000000001E-2</v>
      </c>
      <c r="R79">
        <v>1.4011559999999999E-2</v>
      </c>
      <c r="S79">
        <v>2.997986</v>
      </c>
      <c r="T79">
        <v>-0.19851569999999999</v>
      </c>
      <c r="U79">
        <v>-0.29931639999999998</v>
      </c>
      <c r="V79">
        <v>-1.342165E-2</v>
      </c>
      <c r="W79">
        <v>-4.6549229999999997E-2</v>
      </c>
      <c r="X79">
        <v>0.99882579999999999</v>
      </c>
      <c r="Y79">
        <v>9.9684040000000002E-2</v>
      </c>
      <c r="Z79">
        <v>-3.8073999999999998E-3</v>
      </c>
      <c r="AA79">
        <v>0.99501189999999995</v>
      </c>
      <c r="AB79">
        <v>5</v>
      </c>
      <c r="AC79">
        <v>16.729599999999898</v>
      </c>
      <c r="AD79">
        <v>-1.1097357849930001</v>
      </c>
      <c r="AE79">
        <v>-1.67330000000004</v>
      </c>
      <c r="AF79">
        <v>1.67588197225083</v>
      </c>
      <c r="AG79">
        <v>-1.1097357849930001</v>
      </c>
      <c r="AH79">
        <v>16.656045274468099</v>
      </c>
      <c r="AI79">
        <v>93.792696174140204</v>
      </c>
      <c r="AJ79">
        <v>84.254405259595202</v>
      </c>
      <c r="AK79">
        <v>16.776887020020801</v>
      </c>
      <c r="AL79">
        <v>92.668038608561801</v>
      </c>
      <c r="AM79">
        <v>90.769861590666196</v>
      </c>
      <c r="AN79">
        <v>0.99999997512397698</v>
      </c>
    </row>
    <row r="80" spans="1:40" x14ac:dyDescent="0.25">
      <c r="A80" t="str">
        <f>"20190305134911640"</f>
        <v>20190305134911640</v>
      </c>
      <c r="B80" t="str">
        <f>"1551764951630924"</f>
        <v>1551764951630924</v>
      </c>
      <c r="C80" t="s">
        <v>40</v>
      </c>
      <c r="D80">
        <v>4.028321</v>
      </c>
      <c r="E80">
        <v>0.54321409999999903</v>
      </c>
      <c r="F80" t="s">
        <v>42</v>
      </c>
      <c r="G80">
        <v>-457.83839999999998</v>
      </c>
      <c r="H80" s="1">
        <v>-1.809698E-6</v>
      </c>
      <c r="I80">
        <v>365.52710000000002</v>
      </c>
      <c r="J80">
        <v>-474.58879999999999</v>
      </c>
      <c r="K80">
        <v>1.1100540000000001</v>
      </c>
      <c r="L80">
        <v>367.22149999999999</v>
      </c>
      <c r="M80">
        <v>0.99994419999999995</v>
      </c>
      <c r="N80">
        <v>-1.055178E-2</v>
      </c>
      <c r="O80">
        <v>6.2921009999999998E-4</v>
      </c>
      <c r="P80">
        <v>0.99820699999999996</v>
      </c>
      <c r="Q80">
        <v>-5.8047179999999997E-2</v>
      </c>
      <c r="R80">
        <v>1.461313E-2</v>
      </c>
      <c r="S80">
        <v>2.998138</v>
      </c>
      <c r="T80">
        <v>-0.19821059999999999</v>
      </c>
      <c r="U80">
        <v>-0.3026123</v>
      </c>
      <c r="V80">
        <v>-1.398493E-2</v>
      </c>
      <c r="W80">
        <v>-4.751093E-2</v>
      </c>
      <c r="X80">
        <v>0.99877280000000002</v>
      </c>
      <c r="Y80">
        <v>0.1007953</v>
      </c>
      <c r="Z80">
        <v>-3.8884570000000001E-3</v>
      </c>
      <c r="AA80">
        <v>0.9948996</v>
      </c>
      <c r="AB80">
        <v>5</v>
      </c>
      <c r="AC80">
        <v>16.750399999999999</v>
      </c>
      <c r="AD80">
        <v>-1.110055809698</v>
      </c>
      <c r="AE80">
        <v>-1.6943999999999699</v>
      </c>
      <c r="AF80">
        <v>1.69755999745775</v>
      </c>
      <c r="AG80">
        <v>-1.110055809698</v>
      </c>
      <c r="AH80">
        <v>16.676831581730699</v>
      </c>
      <c r="AI80">
        <v>93.788627367117499</v>
      </c>
      <c r="AJ80">
        <v>84.187794889555093</v>
      </c>
      <c r="AK80">
        <v>16.799721588497398</v>
      </c>
      <c r="AL80">
        <v>92.723200971210105</v>
      </c>
      <c r="AM80">
        <v>90.8022095776046</v>
      </c>
      <c r="AN80">
        <v>0.99999998637820398</v>
      </c>
    </row>
    <row r="81" spans="1:40" x14ac:dyDescent="0.25">
      <c r="A81" t="str">
        <f>"20190305134911655"</f>
        <v>20190305134911655</v>
      </c>
      <c r="B81" t="str">
        <f>"1551764951650444"</f>
        <v>1551764951650444</v>
      </c>
      <c r="C81" t="s">
        <v>40</v>
      </c>
      <c r="D81">
        <v>4.0646319999999996</v>
      </c>
      <c r="E81">
        <v>0.54316209999999998</v>
      </c>
      <c r="F81" t="s">
        <v>42</v>
      </c>
      <c r="G81">
        <v>-458.08969999999999</v>
      </c>
      <c r="H81" s="1">
        <v>-1.714068E-6</v>
      </c>
      <c r="I81">
        <v>365.56509999999997</v>
      </c>
      <c r="J81">
        <v>-474.5659</v>
      </c>
      <c r="K81">
        <v>1.110349</v>
      </c>
      <c r="L81">
        <v>367.22149999999999</v>
      </c>
      <c r="M81">
        <v>0.99993339999999997</v>
      </c>
      <c r="N81">
        <v>-1.15184E-2</v>
      </c>
      <c r="O81">
        <v>6.4991509999999997E-4</v>
      </c>
      <c r="P81">
        <v>0.9981409</v>
      </c>
      <c r="Q81">
        <v>-5.9155430000000002E-2</v>
      </c>
      <c r="R81">
        <v>1.467479E-2</v>
      </c>
      <c r="S81">
        <v>2.9980159999999998</v>
      </c>
      <c r="T81">
        <v>-0.2017052</v>
      </c>
      <c r="U81">
        <v>-0.30096440000000002</v>
      </c>
      <c r="V81">
        <v>-1.402627E-2</v>
      </c>
      <c r="W81">
        <v>-4.7654210000000002E-2</v>
      </c>
      <c r="X81">
        <v>0.99876540000000003</v>
      </c>
      <c r="Y81">
        <v>0.1002682</v>
      </c>
      <c r="Z81">
        <v>-3.9765720000000003E-3</v>
      </c>
      <c r="AA81">
        <v>0.99495250000000002</v>
      </c>
      <c r="AB81">
        <v>4</v>
      </c>
      <c r="AC81">
        <v>16.476199999999999</v>
      </c>
      <c r="AD81">
        <v>-1.110350714068</v>
      </c>
      <c r="AE81">
        <v>-1.6564000000000101</v>
      </c>
      <c r="AF81">
        <v>1.65964650476103</v>
      </c>
      <c r="AG81">
        <v>-1.110350714068</v>
      </c>
      <c r="AH81">
        <v>16.401377194605001</v>
      </c>
      <c r="AI81">
        <v>93.853318440559505</v>
      </c>
      <c r="AJ81">
        <v>84.221938553162502</v>
      </c>
      <c r="AK81">
        <v>16.522484047766699</v>
      </c>
      <c r="AL81">
        <v>92.731419604150204</v>
      </c>
      <c r="AM81">
        <v>90.804586589687204</v>
      </c>
      <c r="AN81">
        <v>0.99999999210899804</v>
      </c>
    </row>
    <row r="82" spans="1:40" x14ac:dyDescent="0.25">
      <c r="A82" t="str">
        <f>"20190305134911668"</f>
        <v>20190305134911668</v>
      </c>
      <c r="B82" t="str">
        <f>"1551764951661180"</f>
        <v>1551764951661180</v>
      </c>
      <c r="C82" t="s">
        <v>40</v>
      </c>
      <c r="D82">
        <v>4.041944</v>
      </c>
      <c r="E82">
        <v>0.54322809999999999</v>
      </c>
      <c r="F82" t="s">
        <v>42</v>
      </c>
      <c r="G82">
        <v>-458.23610000000002</v>
      </c>
      <c r="H82" s="1">
        <v>-1.6589300000000001E-6</v>
      </c>
      <c r="I82">
        <v>365.58510000000001</v>
      </c>
      <c r="J82">
        <v>-474.54349999999999</v>
      </c>
      <c r="K82">
        <v>1.11066</v>
      </c>
      <c r="L82">
        <v>367.22160000000002</v>
      </c>
      <c r="M82">
        <v>0.99991980000000003</v>
      </c>
      <c r="N82">
        <v>-1.266173E-2</v>
      </c>
      <c r="O82">
        <v>6.668574E-4</v>
      </c>
      <c r="P82">
        <v>0.99805969999999999</v>
      </c>
      <c r="Q82">
        <v>-6.0467380000000001E-2</v>
      </c>
      <c r="R82">
        <v>1.485416E-2</v>
      </c>
      <c r="S82">
        <v>2.997925</v>
      </c>
      <c r="T82">
        <v>-0.2038442</v>
      </c>
      <c r="U82">
        <v>-0.30041499999999999</v>
      </c>
      <c r="V82">
        <v>-1.4189500000000001E-2</v>
      </c>
      <c r="W82">
        <v>-4.7824819999999997E-2</v>
      </c>
      <c r="X82">
        <v>0.9987549</v>
      </c>
      <c r="Y82">
        <v>0.1000989</v>
      </c>
      <c r="Z82">
        <v>-4.0636780000000003E-3</v>
      </c>
      <c r="AA82">
        <v>0.9949692</v>
      </c>
      <c r="AB82">
        <v>4</v>
      </c>
      <c r="AC82">
        <v>16.307399999999902</v>
      </c>
      <c r="AD82">
        <v>-1.11066165893</v>
      </c>
      <c r="AE82">
        <v>-1.6365000000000101</v>
      </c>
      <c r="AF82">
        <v>1.63984434993883</v>
      </c>
      <c r="AG82">
        <v>-1.11066165893</v>
      </c>
      <c r="AH82">
        <v>16.2317617847864</v>
      </c>
      <c r="AI82">
        <v>93.894611022447606</v>
      </c>
      <c r="AJ82">
        <v>84.231159099021696</v>
      </c>
      <c r="AK82">
        <v>16.352148160125498</v>
      </c>
      <c r="AL82">
        <v>92.741206103283204</v>
      </c>
      <c r="AM82">
        <v>90.8139572284867</v>
      </c>
      <c r="AN82">
        <v>0.99999995279614495</v>
      </c>
    </row>
    <row r="83" spans="1:40" x14ac:dyDescent="0.25">
      <c r="A83" t="str">
        <f>"20190305134911684"</f>
        <v>20190305134911684</v>
      </c>
      <c r="B83" t="str">
        <f>"1551764951680699"</f>
        <v>1551764951680699</v>
      </c>
      <c r="C83" t="s">
        <v>40</v>
      </c>
      <c r="D83">
        <v>4.0207509999999997</v>
      </c>
      <c r="E83">
        <v>0.5432515</v>
      </c>
      <c r="F83" t="s">
        <v>42</v>
      </c>
      <c r="G83">
        <v>-458.4119</v>
      </c>
      <c r="H83" s="1">
        <v>-1.5938070000000001E-6</v>
      </c>
      <c r="I83">
        <v>365.60509999999999</v>
      </c>
      <c r="J83">
        <v>-474.51459999999997</v>
      </c>
      <c r="K83">
        <v>1.1105590000000001</v>
      </c>
      <c r="L83">
        <v>367.22160000000002</v>
      </c>
      <c r="M83">
        <v>0.99992159999999997</v>
      </c>
      <c r="N83">
        <v>-1.250603E-2</v>
      </c>
      <c r="O83">
        <v>6.9393530000000001E-4</v>
      </c>
      <c r="P83">
        <v>0.99805569999999999</v>
      </c>
      <c r="Q83">
        <v>-6.0520770000000002E-2</v>
      </c>
      <c r="R83">
        <v>1.4903090000000001E-2</v>
      </c>
      <c r="S83">
        <v>2.997833</v>
      </c>
      <c r="T83">
        <v>-0.20639859999999999</v>
      </c>
      <c r="U83">
        <v>-0.3003845</v>
      </c>
      <c r="V83">
        <v>-1.421174E-2</v>
      </c>
      <c r="W83">
        <v>-4.803375E-2</v>
      </c>
      <c r="X83">
        <v>0.99874459999999998</v>
      </c>
      <c r="Y83">
        <v>0.10011299999999999</v>
      </c>
      <c r="Z83">
        <v>-4.1011279999999999E-3</v>
      </c>
      <c r="AA83">
        <v>0.99496759999999995</v>
      </c>
      <c r="AB83">
        <v>4</v>
      </c>
      <c r="AC83">
        <v>16.102699999999899</v>
      </c>
      <c r="AD83">
        <v>-1.110560593807</v>
      </c>
      <c r="AE83">
        <v>-1.61650000000003</v>
      </c>
      <c r="AF83">
        <v>1.6200458549310499</v>
      </c>
      <c r="AG83">
        <v>-1.110560593807</v>
      </c>
      <c r="AH83">
        <v>16.0261067061444</v>
      </c>
      <c r="AI83">
        <v>93.944050070026293</v>
      </c>
      <c r="AJ83">
        <v>84.227697249061805</v>
      </c>
      <c r="AK83">
        <v>16.146020858444501</v>
      </c>
      <c r="AL83">
        <v>92.753190567308494</v>
      </c>
      <c r="AM83">
        <v>90.815241223623801</v>
      </c>
      <c r="AN83">
        <v>0.99999999536102402</v>
      </c>
    </row>
    <row r="84" spans="1:40" x14ac:dyDescent="0.25">
      <c r="A84" t="str">
        <f>"20190305134911699"</f>
        <v>20190305134911699</v>
      </c>
      <c r="B84" t="str">
        <f>"1551764951690461"</f>
        <v>1551764951690461</v>
      </c>
      <c r="C84" t="s">
        <v>40</v>
      </c>
      <c r="D84">
        <v>4.0419010000000002</v>
      </c>
      <c r="E84">
        <v>0.54333260000000005</v>
      </c>
      <c r="F84" t="s">
        <v>42</v>
      </c>
      <c r="G84">
        <v>-458.34629999999999</v>
      </c>
      <c r="H84" s="1">
        <v>-1.6171440000000001E-6</v>
      </c>
      <c r="I84">
        <v>365.60120000000001</v>
      </c>
      <c r="J84">
        <v>-474.48599999999999</v>
      </c>
      <c r="K84">
        <v>1.1102959999999999</v>
      </c>
      <c r="L84">
        <v>367.2217</v>
      </c>
      <c r="M84">
        <v>0.99993129999999997</v>
      </c>
      <c r="N84">
        <v>-1.169385E-2</v>
      </c>
      <c r="O84">
        <v>7.2802089999999999E-4</v>
      </c>
      <c r="P84">
        <v>0.99810370000000004</v>
      </c>
      <c r="Q84">
        <v>-5.9684979999999999E-2</v>
      </c>
      <c r="R84">
        <v>1.5062829999999999E-2</v>
      </c>
      <c r="S84">
        <v>2.997833</v>
      </c>
      <c r="T84">
        <v>-0.20591319999999999</v>
      </c>
      <c r="U84">
        <v>-0.30044559999999998</v>
      </c>
      <c r="V84">
        <v>-1.433796E-2</v>
      </c>
      <c r="W84">
        <v>-4.800869E-2</v>
      </c>
      <c r="X84">
        <v>0.99874399999999997</v>
      </c>
      <c r="Y84">
        <v>0.1001707</v>
      </c>
      <c r="Z84">
        <v>-4.0569389999999999E-3</v>
      </c>
      <c r="AA84">
        <v>0.99496200000000001</v>
      </c>
      <c r="AB84">
        <v>3</v>
      </c>
      <c r="AC84">
        <v>16.139700000000001</v>
      </c>
      <c r="AD84">
        <v>-1.110297617144</v>
      </c>
      <c r="AE84">
        <v>-1.6204999999999901</v>
      </c>
      <c r="AF84">
        <v>1.6246385950093201</v>
      </c>
      <c r="AG84">
        <v>-1.110297617144</v>
      </c>
      <c r="AH84">
        <v>16.0632557066921</v>
      </c>
      <c r="AI84">
        <v>93.934008152670103</v>
      </c>
      <c r="AJ84">
        <v>84.224740481758204</v>
      </c>
      <c r="AK84">
        <v>16.183336963111401</v>
      </c>
      <c r="AL84">
        <v>92.751753079098904</v>
      </c>
      <c r="AM84">
        <v>90.822481202340697</v>
      </c>
      <c r="AN84">
        <v>0.99999999447423804</v>
      </c>
    </row>
    <row r="85" spans="1:40" x14ac:dyDescent="0.25">
      <c r="A85" t="str">
        <f>"20190305134911712"</f>
        <v>20190305134911712</v>
      </c>
      <c r="B85" t="str">
        <f>"1551764951701196"</f>
        <v>1551764951701196</v>
      </c>
      <c r="C85" t="s">
        <v>40</v>
      </c>
      <c r="D85">
        <v>3.9985590000000002</v>
      </c>
      <c r="E85">
        <v>0.54335889999999998</v>
      </c>
      <c r="F85" t="s">
        <v>42</v>
      </c>
      <c r="G85">
        <v>-458.12299999999999</v>
      </c>
      <c r="H85" s="1">
        <v>-1.6985989999999999E-6</v>
      </c>
      <c r="I85">
        <v>365.5806</v>
      </c>
      <c r="J85">
        <v>-474.45850000000002</v>
      </c>
      <c r="K85">
        <v>1.1100049999999999</v>
      </c>
      <c r="L85">
        <v>367.2217</v>
      </c>
      <c r="M85">
        <v>0.99994280000000002</v>
      </c>
      <c r="N85">
        <v>-1.0672839999999999E-2</v>
      </c>
      <c r="O85">
        <v>7.652984E-4</v>
      </c>
      <c r="P85">
        <v>0.99816680000000002</v>
      </c>
      <c r="Q85">
        <v>-5.8666639999999999E-2</v>
      </c>
      <c r="R85">
        <v>1.487816E-2</v>
      </c>
      <c r="S85">
        <v>2.9980470000000001</v>
      </c>
      <c r="T85">
        <v>-0.203429</v>
      </c>
      <c r="U85">
        <v>-0.30065920000000002</v>
      </c>
      <c r="V85">
        <v>-1.4115559999999999E-2</v>
      </c>
      <c r="W85">
        <v>-4.8009540000000003E-2</v>
      </c>
      <c r="X85">
        <v>0.9987471</v>
      </c>
      <c r="Y85">
        <v>0.1002802</v>
      </c>
      <c r="Z85">
        <v>-3.9706150000000003E-3</v>
      </c>
      <c r="AA85">
        <v>0.99495129999999998</v>
      </c>
      <c r="AB85">
        <v>4</v>
      </c>
      <c r="AC85">
        <v>16.3354999999999</v>
      </c>
      <c r="AD85">
        <v>-1.11000669859899</v>
      </c>
      <c r="AE85">
        <v>-1.64109999999999</v>
      </c>
      <c r="AF85">
        <v>1.64607730261934</v>
      </c>
      <c r="AG85">
        <v>-1.11000669859899</v>
      </c>
      <c r="AH85">
        <v>16.2599127724365</v>
      </c>
      <c r="AI85">
        <v>93.885522434500601</v>
      </c>
      <c r="AJ85">
        <v>84.219338216824198</v>
      </c>
      <c r="AK85">
        <v>16.380673024158</v>
      </c>
      <c r="AL85">
        <v>92.751801911399895</v>
      </c>
      <c r="AM85">
        <v>90.809722671582705</v>
      </c>
      <c r="AN85">
        <v>0.99999996736176699</v>
      </c>
    </row>
    <row r="86" spans="1:40" x14ac:dyDescent="0.25">
      <c r="A86" t="str">
        <f>"20190305134911730"</f>
        <v>20190305134911730</v>
      </c>
      <c r="B86" t="str">
        <f>"1551764951720716"</f>
        <v>1551764951720716</v>
      </c>
      <c r="C86" t="s">
        <v>40</v>
      </c>
      <c r="D86">
        <v>4.0033459999999996</v>
      </c>
      <c r="E86">
        <v>0.54346640000000002</v>
      </c>
      <c r="F86" t="s">
        <v>42</v>
      </c>
      <c r="G86">
        <v>-457.7937</v>
      </c>
      <c r="H86" s="1">
        <v>-1.819505E-6</v>
      </c>
      <c r="I86">
        <v>365.54750000000001</v>
      </c>
      <c r="J86">
        <v>-474.42009999999999</v>
      </c>
      <c r="K86">
        <v>1.1096790000000001</v>
      </c>
      <c r="L86">
        <v>367.22179999999997</v>
      </c>
      <c r="M86">
        <v>0.99995579999999995</v>
      </c>
      <c r="N86">
        <v>-9.3700299999999997E-3</v>
      </c>
      <c r="O86">
        <v>8.2279610000000002E-4</v>
      </c>
      <c r="P86">
        <v>0.99823580000000001</v>
      </c>
      <c r="Q86">
        <v>-5.7497890000000003E-2</v>
      </c>
      <c r="R86">
        <v>1.481679E-2</v>
      </c>
      <c r="S86">
        <v>2.998291</v>
      </c>
      <c r="T86">
        <v>-0.1997082</v>
      </c>
      <c r="U86">
        <v>-0.30120849999999999</v>
      </c>
      <c r="V86">
        <v>-1.3996410000000001E-2</v>
      </c>
      <c r="W86">
        <v>-4.8141539999999997E-2</v>
      </c>
      <c r="X86">
        <v>0.99874249999999998</v>
      </c>
      <c r="Y86">
        <v>0.1005224</v>
      </c>
      <c r="Z86">
        <v>-3.85535E-3</v>
      </c>
      <c r="AA86">
        <v>0.99492729999999996</v>
      </c>
      <c r="AB86">
        <v>5</v>
      </c>
      <c r="AC86">
        <v>16.626399999999901</v>
      </c>
      <c r="AD86">
        <v>-1.1096808195049901</v>
      </c>
      <c r="AE86">
        <v>-1.6742999999999499</v>
      </c>
      <c r="AF86">
        <v>1.6805692145617299</v>
      </c>
      <c r="AG86">
        <v>-1.1096808195049901</v>
      </c>
      <c r="AH86">
        <v>16.552025761061401</v>
      </c>
      <c r="AI86">
        <v>93.815923779235803</v>
      </c>
      <c r="AJ86">
        <v>84.2024814425464</v>
      </c>
      <c r="AK86">
        <v>16.674089516400901</v>
      </c>
      <c r="AL86">
        <v>92.759373497232502</v>
      </c>
      <c r="AM86">
        <v>90.802892366486503</v>
      </c>
      <c r="AN86">
        <v>1.0000000443363499</v>
      </c>
    </row>
    <row r="87" spans="1:40" x14ac:dyDescent="0.25">
      <c r="A87" t="str">
        <f>"20190305134911745"</f>
        <v>20190305134911745</v>
      </c>
      <c r="B87" t="str">
        <f>"1551764951741211"</f>
        <v>1551764951741211</v>
      </c>
      <c r="C87" t="s">
        <v>40</v>
      </c>
      <c r="D87">
        <v>3.9883289999999998</v>
      </c>
      <c r="E87">
        <v>0.54356130000000003</v>
      </c>
      <c r="F87" t="s">
        <v>42</v>
      </c>
      <c r="G87">
        <v>-457.34019999999998</v>
      </c>
      <c r="H87" s="1">
        <v>-1.9868319999999998E-6</v>
      </c>
      <c r="I87">
        <v>365.49860000000001</v>
      </c>
      <c r="J87">
        <v>-474.3913</v>
      </c>
      <c r="K87">
        <v>1.1098140000000001</v>
      </c>
      <c r="L87">
        <v>367.22190000000001</v>
      </c>
      <c r="M87">
        <v>0.99995330000000004</v>
      </c>
      <c r="N87">
        <v>-9.6345449999999996E-3</v>
      </c>
      <c r="O87">
        <v>8.6128799999999998E-4</v>
      </c>
      <c r="P87">
        <v>0.99821349999999998</v>
      </c>
      <c r="Q87">
        <v>-5.7839639999999998E-2</v>
      </c>
      <c r="R87">
        <v>1.498129E-2</v>
      </c>
      <c r="S87">
        <v>2.998535</v>
      </c>
      <c r="T87">
        <v>-0.19481370000000001</v>
      </c>
      <c r="U87">
        <v>-0.30252079999999998</v>
      </c>
      <c r="V87">
        <v>-1.4122559999999999E-2</v>
      </c>
      <c r="W87">
        <v>-4.8219280000000003E-2</v>
      </c>
      <c r="X87">
        <v>0.99873690000000004</v>
      </c>
      <c r="Y87">
        <v>0.10099320000000001</v>
      </c>
      <c r="Z87">
        <v>-3.8048470000000001E-3</v>
      </c>
      <c r="AA87">
        <v>0.99487979999999998</v>
      </c>
      <c r="AB87">
        <v>5</v>
      </c>
      <c r="AC87">
        <v>17.051100000000002</v>
      </c>
      <c r="AD87">
        <v>-1.1098159868319999</v>
      </c>
      <c r="AE87">
        <v>-1.7232999999999901</v>
      </c>
      <c r="AF87">
        <v>1.7307280255926001</v>
      </c>
      <c r="AG87">
        <v>-1.1098159868319999</v>
      </c>
      <c r="AH87">
        <v>16.978409257159498</v>
      </c>
      <c r="AI87">
        <v>93.720666805529007</v>
      </c>
      <c r="AJ87">
        <v>84.179545236109604</v>
      </c>
      <c r="AK87">
        <v>17.102441110169</v>
      </c>
      <c r="AL87">
        <v>92.763833053916002</v>
      </c>
      <c r="AM87">
        <v>90.810132437547395</v>
      </c>
      <c r="AN87">
        <v>0.99999997054314005</v>
      </c>
    </row>
    <row r="88" spans="1:40" x14ac:dyDescent="0.25">
      <c r="A88" t="str">
        <f>"20190305134911764"</f>
        <v>20190305134911764</v>
      </c>
      <c r="B88" t="str">
        <f>"1551764951760732"</f>
        <v>1551764951760732</v>
      </c>
      <c r="C88" t="s">
        <v>40</v>
      </c>
      <c r="D88">
        <v>3.9978120000000001</v>
      </c>
      <c r="E88">
        <v>0.54361300000000001</v>
      </c>
      <c r="F88" t="s">
        <v>42</v>
      </c>
      <c r="G88">
        <v>-457.30919999999998</v>
      </c>
      <c r="H88" s="1">
        <v>-1.9973689999999999E-6</v>
      </c>
      <c r="I88">
        <v>365.49860000000001</v>
      </c>
      <c r="J88">
        <v>-474.35599999999999</v>
      </c>
      <c r="K88">
        <v>1.1102050000000001</v>
      </c>
      <c r="L88">
        <v>367.22199999999998</v>
      </c>
      <c r="M88">
        <v>0.99994099999999997</v>
      </c>
      <c r="N88">
        <v>-1.08285E-2</v>
      </c>
      <c r="O88">
        <v>9.0244489999999995E-4</v>
      </c>
      <c r="P88">
        <v>0.99815039999999999</v>
      </c>
      <c r="Q88">
        <v>-5.8984889999999998E-2</v>
      </c>
      <c r="R88">
        <v>1.471741E-2</v>
      </c>
      <c r="S88">
        <v>2.9985659999999998</v>
      </c>
      <c r="T88">
        <v>-0.19481490000000001</v>
      </c>
      <c r="U88">
        <v>-0.30249019999999999</v>
      </c>
      <c r="V88">
        <v>-1.38178E-2</v>
      </c>
      <c r="W88">
        <v>-4.8172489999999998E-2</v>
      </c>
      <c r="X88">
        <v>0.99874350000000001</v>
      </c>
      <c r="Y88">
        <v>0.1010191</v>
      </c>
      <c r="Z88">
        <v>-3.8675409999999999E-3</v>
      </c>
      <c r="AA88">
        <v>0.99487700000000001</v>
      </c>
      <c r="AB88">
        <v>5</v>
      </c>
      <c r="AC88">
        <v>17.046800000000001</v>
      </c>
      <c r="AD88">
        <v>-1.1102069973690001</v>
      </c>
      <c r="AE88">
        <v>-1.7233999999999601</v>
      </c>
      <c r="AF88">
        <v>1.73151403959349</v>
      </c>
      <c r="AG88">
        <v>-1.1102069973690001</v>
      </c>
      <c r="AH88">
        <v>16.973970556156701</v>
      </c>
      <c r="AI88">
        <v>93.722917210618903</v>
      </c>
      <c r="AJ88">
        <v>84.1754077542695</v>
      </c>
      <c r="AK88">
        <v>17.098139573871599</v>
      </c>
      <c r="AL88">
        <v>92.761148846826401</v>
      </c>
      <c r="AM88">
        <v>90.792647075193301</v>
      </c>
      <c r="AN88">
        <v>1.00000004959094</v>
      </c>
    </row>
    <row r="89" spans="1:40" x14ac:dyDescent="0.25">
      <c r="A89" t="str">
        <f>"20190305134911786"</f>
        <v>20190305134911786</v>
      </c>
      <c r="B89" t="str">
        <f>"1551764951781228"</f>
        <v>1551764951781228</v>
      </c>
      <c r="C89" t="s">
        <v>40</v>
      </c>
      <c r="D89">
        <v>3.9923639999999998</v>
      </c>
      <c r="E89">
        <v>0.54381119999999905</v>
      </c>
      <c r="F89" t="s">
        <v>42</v>
      </c>
      <c r="G89">
        <v>-457.5052</v>
      </c>
      <c r="H89" s="1">
        <v>-1.9262770000000001E-6</v>
      </c>
      <c r="I89">
        <v>365.51519999999999</v>
      </c>
      <c r="J89">
        <v>-474.32089999999999</v>
      </c>
      <c r="K89">
        <v>1.1107309999999999</v>
      </c>
      <c r="L89">
        <v>367.22199999999998</v>
      </c>
      <c r="M89">
        <v>0.9999188</v>
      </c>
      <c r="N89">
        <v>-1.2724910000000001E-2</v>
      </c>
      <c r="O89">
        <v>9.3393980000000001E-4</v>
      </c>
      <c r="P89">
        <v>0.99805969999999999</v>
      </c>
      <c r="Q89">
        <v>-6.0558710000000002E-2</v>
      </c>
      <c r="R89">
        <v>1.448142E-2</v>
      </c>
      <c r="S89">
        <v>2.998383</v>
      </c>
      <c r="T89">
        <v>-0.1975452</v>
      </c>
      <c r="U89">
        <v>-0.30368040000000002</v>
      </c>
      <c r="V89">
        <v>-1.355132E-2</v>
      </c>
      <c r="W89">
        <v>-4.7852859999999997E-2</v>
      </c>
      <c r="X89">
        <v>0.9987625</v>
      </c>
      <c r="Y89">
        <v>0.1014337</v>
      </c>
      <c r="Z89">
        <v>-4.0266490000000002E-3</v>
      </c>
      <c r="AA89">
        <v>0.9948342</v>
      </c>
      <c r="AB89">
        <v>4</v>
      </c>
      <c r="AC89">
        <v>16.8156999999999</v>
      </c>
      <c r="AD89">
        <v>-1.1107329262769901</v>
      </c>
      <c r="AE89">
        <v>-1.7067999999999801</v>
      </c>
      <c r="AF89">
        <v>1.7150986348292401</v>
      </c>
      <c r="AG89">
        <v>-1.1107329262769901</v>
      </c>
      <c r="AH89">
        <v>16.741798181231399</v>
      </c>
      <c r="AI89">
        <v>93.776015228796595</v>
      </c>
      <c r="AJ89">
        <v>84.150789927270097</v>
      </c>
      <c r="AK89">
        <v>16.866033834360501</v>
      </c>
      <c r="AL89">
        <v>92.742814298542299</v>
      </c>
      <c r="AM89">
        <v>90.777347770477206</v>
      </c>
      <c r="AN89">
        <v>1.00000003294508</v>
      </c>
    </row>
    <row r="90" spans="1:40" x14ac:dyDescent="0.25">
      <c r="A90" t="str">
        <f>"20190305134911799"</f>
        <v>20190305134911799</v>
      </c>
      <c r="B90" t="str">
        <f>"1551764951790989"</f>
        <v>1551764951790989</v>
      </c>
      <c r="C90" t="s">
        <v>40</v>
      </c>
      <c r="D90">
        <v>3.9966780000000002</v>
      </c>
      <c r="E90">
        <v>0.54383519999999996</v>
      </c>
      <c r="F90" t="s">
        <v>42</v>
      </c>
      <c r="G90">
        <v>-457.7063</v>
      </c>
      <c r="H90" s="1">
        <v>-1.8549E-6</v>
      </c>
      <c r="I90">
        <v>365.52620000000002</v>
      </c>
      <c r="J90">
        <v>-474.29660000000001</v>
      </c>
      <c r="K90">
        <v>1.110757</v>
      </c>
      <c r="L90">
        <v>367.22210000000001</v>
      </c>
      <c r="M90">
        <v>0.99991509999999995</v>
      </c>
      <c r="N90">
        <v>-1.299871E-2</v>
      </c>
      <c r="O90">
        <v>9.5848530000000002E-4</v>
      </c>
      <c r="P90">
        <v>0.99804090000000001</v>
      </c>
      <c r="Q90">
        <v>-6.0932890000000003E-2</v>
      </c>
      <c r="R90">
        <v>1.420019E-2</v>
      </c>
      <c r="S90">
        <v>2.9980769999999999</v>
      </c>
      <c r="T90">
        <v>-0.20042960000000001</v>
      </c>
      <c r="U90">
        <v>-0.30599979999999999</v>
      </c>
      <c r="V90">
        <v>-1.32455E-2</v>
      </c>
      <c r="W90">
        <v>-4.7953860000000001E-2</v>
      </c>
      <c r="X90">
        <v>0.99876169999999997</v>
      </c>
      <c r="Y90">
        <v>0.1022198</v>
      </c>
      <c r="Z90">
        <v>-4.1226279999999997E-3</v>
      </c>
      <c r="AA90">
        <v>0.99475329999999995</v>
      </c>
      <c r="AB90">
        <v>4</v>
      </c>
      <c r="AC90">
        <v>16.590299999999999</v>
      </c>
      <c r="AD90">
        <v>-1.1107588549</v>
      </c>
      <c r="AE90">
        <v>-1.69589999999999</v>
      </c>
      <c r="AF90">
        <v>1.70424167156466</v>
      </c>
      <c r="AG90">
        <v>-1.1107588549</v>
      </c>
      <c r="AH90">
        <v>16.515400216947501</v>
      </c>
      <c r="AI90">
        <v>93.827424191933204</v>
      </c>
      <c r="AJ90">
        <v>84.108440552389794</v>
      </c>
      <c r="AK90">
        <v>16.640212415554899</v>
      </c>
      <c r="AL90">
        <v>92.7486079834853</v>
      </c>
      <c r="AM90">
        <v>90.7598076299453</v>
      </c>
      <c r="AN90">
        <v>0.99999997467301904</v>
      </c>
    </row>
    <row r="91" spans="1:40" x14ac:dyDescent="0.25">
      <c r="A91" t="str">
        <f>"20190305134911812"</f>
        <v>20190305134911812</v>
      </c>
      <c r="B91" t="str">
        <f>"1551764951800748"</f>
        <v>1551764951800748</v>
      </c>
      <c r="C91" t="s">
        <v>40</v>
      </c>
      <c r="D91">
        <v>3.9873750000000001</v>
      </c>
      <c r="E91">
        <v>0.5438847</v>
      </c>
      <c r="F91" t="s">
        <v>42</v>
      </c>
      <c r="G91">
        <v>-457.7543</v>
      </c>
      <c r="H91" s="1">
        <v>-1.8380870000000001E-6</v>
      </c>
      <c r="I91">
        <v>365.52800000000002</v>
      </c>
      <c r="J91">
        <v>-474.27229999999997</v>
      </c>
      <c r="K91">
        <v>1.1106149999999999</v>
      </c>
      <c r="L91">
        <v>367.22210000000001</v>
      </c>
      <c r="M91">
        <v>0.99991920000000001</v>
      </c>
      <c r="N91">
        <v>-1.267765E-2</v>
      </c>
      <c r="O91">
        <v>9.8726549999999993E-4</v>
      </c>
      <c r="P91">
        <v>0.99805219999999994</v>
      </c>
      <c r="Q91">
        <v>-6.0789610000000001E-2</v>
      </c>
      <c r="R91">
        <v>1.4031129999999999E-2</v>
      </c>
      <c r="S91">
        <v>2.9979550000000001</v>
      </c>
      <c r="T91">
        <v>-0.20130120000000001</v>
      </c>
      <c r="U91">
        <v>-0.30700680000000002</v>
      </c>
      <c r="V91">
        <v>-1.3046790000000001E-2</v>
      </c>
      <c r="W91">
        <v>-4.8131279999999999E-2</v>
      </c>
      <c r="X91">
        <v>0.99875579999999997</v>
      </c>
      <c r="Y91">
        <v>0.10258109999999999</v>
      </c>
      <c r="Z91">
        <v>-4.1375500000000003E-3</v>
      </c>
      <c r="AA91">
        <v>0.99471600000000004</v>
      </c>
      <c r="AB91">
        <v>3</v>
      </c>
      <c r="AC91">
        <v>16.517999999999901</v>
      </c>
      <c r="AD91">
        <v>-1.1106168380869901</v>
      </c>
      <c r="AE91">
        <v>-1.6940999999999899</v>
      </c>
      <c r="AF91">
        <v>1.70279032114407</v>
      </c>
      <c r="AG91">
        <v>-1.1106168380869901</v>
      </c>
      <c r="AH91">
        <v>16.442758917610899</v>
      </c>
      <c r="AI91">
        <v>93.843648376548401</v>
      </c>
      <c r="AJ91">
        <v>84.087600546858695</v>
      </c>
      <c r="AK91">
        <v>16.567959604655499</v>
      </c>
      <c r="AL91">
        <v>92.758785100836107</v>
      </c>
      <c r="AM91">
        <v>90.748414665022693</v>
      </c>
      <c r="AN91">
        <v>0.99999999343869095</v>
      </c>
    </row>
    <row r="92" spans="1:40" x14ac:dyDescent="0.25">
      <c r="A92" t="str">
        <f>"20190305134911831"</f>
        <v>20190305134911831</v>
      </c>
      <c r="B92" t="str">
        <f>"1551764951821244"</f>
        <v>1551764951821244</v>
      </c>
      <c r="C92" t="s">
        <v>40</v>
      </c>
      <c r="D92">
        <v>3.9587759999999999</v>
      </c>
      <c r="E92">
        <v>0.54396119999999903</v>
      </c>
      <c r="F92" t="s">
        <v>42</v>
      </c>
      <c r="G92">
        <v>-457.6823</v>
      </c>
      <c r="H92" s="1">
        <v>-1.865478E-6</v>
      </c>
      <c r="I92">
        <v>365.51710000000003</v>
      </c>
      <c r="J92">
        <v>-474.23419999999999</v>
      </c>
      <c r="K92">
        <v>1.1101799999999999</v>
      </c>
      <c r="L92">
        <v>367.22219999999999</v>
      </c>
      <c r="M92">
        <v>0.99993569999999998</v>
      </c>
      <c r="N92">
        <v>-1.129669E-2</v>
      </c>
      <c r="O92">
        <v>1.045027E-3</v>
      </c>
      <c r="P92">
        <v>0.99812610000000002</v>
      </c>
      <c r="Q92">
        <v>-5.9530819999999998E-2</v>
      </c>
      <c r="R92">
        <v>1.4158499999999999E-2</v>
      </c>
      <c r="S92">
        <v>2.997986</v>
      </c>
      <c r="T92">
        <v>-0.20069890000000001</v>
      </c>
      <c r="U92">
        <v>-0.30810549999999998</v>
      </c>
      <c r="V92">
        <v>-1.3115770000000001E-2</v>
      </c>
      <c r="W92">
        <v>-4.8251259999999997E-2</v>
      </c>
      <c r="X92">
        <v>0.99874909999999995</v>
      </c>
      <c r="Y92">
        <v>0.10300330000000001</v>
      </c>
      <c r="Z92">
        <v>-4.0769179999999997E-3</v>
      </c>
      <c r="AA92">
        <v>0.99467269999999997</v>
      </c>
      <c r="AB92">
        <v>4</v>
      </c>
      <c r="AC92">
        <v>16.5518999999999</v>
      </c>
      <c r="AD92">
        <v>-1.110181865478</v>
      </c>
      <c r="AE92">
        <v>-1.7050999999999501</v>
      </c>
      <c r="AF92">
        <v>1.71476405286482</v>
      </c>
      <c r="AG92">
        <v>-1.110181865478</v>
      </c>
      <c r="AH92">
        <v>16.476762385124999</v>
      </c>
      <c r="AI92">
        <v>93.834040661115594</v>
      </c>
      <c r="AJ92">
        <v>84.058521910560501</v>
      </c>
      <c r="AK92">
        <v>16.602909932517999</v>
      </c>
      <c r="AL92">
        <v>92.765667465151793</v>
      </c>
      <c r="AM92">
        <v>90.752376219318506</v>
      </c>
      <c r="AN92">
        <v>0.99999998613254504</v>
      </c>
    </row>
    <row r="93" spans="1:40" x14ac:dyDescent="0.25">
      <c r="A93" t="str">
        <f>"20190305134911844"</f>
        <v>20190305134911844</v>
      </c>
      <c r="B93" t="str">
        <f>"1551764951831004"</f>
        <v>1551764951831004</v>
      </c>
      <c r="C93" t="s">
        <v>40</v>
      </c>
      <c r="D93">
        <v>3.9929960000000002</v>
      </c>
      <c r="E93">
        <v>0.54397459999999997</v>
      </c>
      <c r="F93" t="s">
        <v>42</v>
      </c>
      <c r="G93">
        <v>-457.26960000000003</v>
      </c>
      <c r="H93" s="1">
        <v>-2.0164310000000001E-6</v>
      </c>
      <c r="I93">
        <v>365.4776</v>
      </c>
      <c r="J93">
        <v>-474.20440000000002</v>
      </c>
      <c r="K93">
        <v>1.1098920000000001</v>
      </c>
      <c r="L93">
        <v>367.22230000000002</v>
      </c>
      <c r="M93">
        <v>0.99994700000000003</v>
      </c>
      <c r="N93">
        <v>-1.023606E-2</v>
      </c>
      <c r="O93">
        <v>1.0980250000000001E-3</v>
      </c>
      <c r="P93">
        <v>0.99819329999999995</v>
      </c>
      <c r="Q93">
        <v>-5.8415420000000003E-2</v>
      </c>
      <c r="R93">
        <v>1.4063910000000001E-2</v>
      </c>
      <c r="S93">
        <v>2.9982600000000001</v>
      </c>
      <c r="T93">
        <v>-0.1962081</v>
      </c>
      <c r="U93">
        <v>-0.30831910000000001</v>
      </c>
      <c r="V93">
        <v>-1.29677E-2</v>
      </c>
      <c r="W93">
        <v>-4.819478E-2</v>
      </c>
      <c r="X93">
        <v>0.99875380000000002</v>
      </c>
      <c r="Y93">
        <v>0.103131</v>
      </c>
      <c r="Z93">
        <v>-3.9523070000000004E-3</v>
      </c>
      <c r="AA93">
        <v>0.99465990000000004</v>
      </c>
      <c r="AB93">
        <v>5</v>
      </c>
      <c r="AC93">
        <v>16.9347999999999</v>
      </c>
      <c r="AD93">
        <v>-1.1098940164309901</v>
      </c>
      <c r="AE93">
        <v>-1.7447000000000199</v>
      </c>
      <c r="AF93">
        <v>1.7558319787208501</v>
      </c>
      <c r="AG93">
        <v>-1.1098940164309901</v>
      </c>
      <c r="AH93">
        <v>16.861209105627701</v>
      </c>
      <c r="AI93">
        <v>93.745881047021101</v>
      </c>
      <c r="AJ93">
        <v>84.054965564584194</v>
      </c>
      <c r="AK93">
        <v>16.988678087741601</v>
      </c>
      <c r="AL93">
        <v>92.762427521293702</v>
      </c>
      <c r="AM93">
        <v>90.743879755543702</v>
      </c>
      <c r="AN93">
        <v>1.00000002553848</v>
      </c>
    </row>
    <row r="94" spans="1:40" x14ac:dyDescent="0.25">
      <c r="A94" t="str">
        <f>"20190305134911864"</f>
        <v>20190305134911864</v>
      </c>
      <c r="B94" t="str">
        <f>"1551764951861260"</f>
        <v>1551764951861260</v>
      </c>
      <c r="C94" t="s">
        <v>40</v>
      </c>
      <c r="D94">
        <v>3.9856159999999998</v>
      </c>
      <c r="E94">
        <v>0.54404059999999999</v>
      </c>
      <c r="F94" t="s">
        <v>42</v>
      </c>
      <c r="G94">
        <v>-456.88830000000002</v>
      </c>
      <c r="H94" s="1">
        <v>-2.1562990000000002E-6</v>
      </c>
      <c r="I94">
        <v>365.43959999999998</v>
      </c>
      <c r="J94">
        <v>-474.16660000000002</v>
      </c>
      <c r="K94">
        <v>1.109909</v>
      </c>
      <c r="L94">
        <v>367.22239999999999</v>
      </c>
      <c r="M94">
        <v>0.99994859999999997</v>
      </c>
      <c r="N94">
        <v>-1.009526E-2</v>
      </c>
      <c r="O94">
        <v>1.1585479999999999E-3</v>
      </c>
      <c r="P94">
        <v>0.99815399999999999</v>
      </c>
      <c r="Q94">
        <v>-5.905668E-2</v>
      </c>
      <c r="R94">
        <v>1.419367E-2</v>
      </c>
      <c r="S94">
        <v>2.998535</v>
      </c>
      <c r="T94">
        <v>-0.192194</v>
      </c>
      <c r="U94">
        <v>-0.3086853</v>
      </c>
      <c r="V94">
        <v>-1.303673E-2</v>
      </c>
      <c r="W94">
        <v>-4.8977060000000003E-2</v>
      </c>
      <c r="X94">
        <v>0.99871480000000001</v>
      </c>
      <c r="Y94">
        <v>0.1033118</v>
      </c>
      <c r="Z94">
        <v>-3.8846639999999999E-3</v>
      </c>
      <c r="AA94">
        <v>0.99464140000000001</v>
      </c>
      <c r="AB94">
        <v>5</v>
      </c>
      <c r="AC94">
        <v>17.278300000000002</v>
      </c>
      <c r="AD94">
        <v>-1.1099111562989901</v>
      </c>
      <c r="AE94">
        <v>-1.7827999999999999</v>
      </c>
      <c r="AF94">
        <v>1.7954866578078901</v>
      </c>
      <c r="AG94">
        <v>-1.1099111562989901</v>
      </c>
      <c r="AH94">
        <v>17.2059715373471</v>
      </c>
      <c r="AI94">
        <v>93.671004962430899</v>
      </c>
      <c r="AJ94">
        <v>84.042602284660802</v>
      </c>
      <c r="AK94">
        <v>17.334968464270101</v>
      </c>
      <c r="AL94">
        <v>92.807301987261894</v>
      </c>
      <c r="AM94">
        <v>90.747868347137299</v>
      </c>
      <c r="AN94">
        <v>0.99999998023718795</v>
      </c>
    </row>
    <row r="95" spans="1:40" x14ac:dyDescent="0.25">
      <c r="A95" t="str">
        <f>"20190305134911877"</f>
        <v>20190305134911877</v>
      </c>
      <c r="B95" t="str">
        <f>"1551764951871019"</f>
        <v>1551764951871019</v>
      </c>
      <c r="C95" t="s">
        <v>40</v>
      </c>
      <c r="D95">
        <v>3.956121</v>
      </c>
      <c r="E95">
        <v>0.54410890000000001</v>
      </c>
      <c r="F95" t="s">
        <v>42</v>
      </c>
      <c r="G95">
        <v>-456.95830000000001</v>
      </c>
      <c r="H95" s="1">
        <v>-2.129526E-6</v>
      </c>
      <c r="I95">
        <v>365.45080000000002</v>
      </c>
      <c r="J95">
        <v>-474.14089999999999</v>
      </c>
      <c r="K95">
        <v>1.1101369999999999</v>
      </c>
      <c r="L95">
        <v>367.22239999999999</v>
      </c>
      <c r="M95">
        <v>0.99994119999999997</v>
      </c>
      <c r="N95">
        <v>-1.076999E-2</v>
      </c>
      <c r="O95">
        <v>1.1951049999999999E-3</v>
      </c>
      <c r="P95">
        <v>0.99807069999999998</v>
      </c>
      <c r="Q95">
        <v>-6.0395009999999999E-2</v>
      </c>
      <c r="R95">
        <v>1.439901E-2</v>
      </c>
      <c r="S95">
        <v>2.9985050000000002</v>
      </c>
      <c r="T95">
        <v>-0.1933975</v>
      </c>
      <c r="U95">
        <v>-0.3086853</v>
      </c>
      <c r="V95">
        <v>-1.320583E-2</v>
      </c>
      <c r="W95">
        <v>-4.9642209999999999E-2</v>
      </c>
      <c r="X95">
        <v>0.99867980000000001</v>
      </c>
      <c r="Y95">
        <v>0.10334400000000001</v>
      </c>
      <c r="Z95">
        <v>-3.9431659999999997E-3</v>
      </c>
      <c r="AA95">
        <v>0.99463780000000002</v>
      </c>
      <c r="AB95">
        <v>5</v>
      </c>
      <c r="AC95">
        <v>17.182599999999901</v>
      </c>
      <c r="AD95">
        <v>-1.1101391295259999</v>
      </c>
      <c r="AE95">
        <v>-1.7715999999999701</v>
      </c>
      <c r="AF95">
        <v>1.7847632789388399</v>
      </c>
      <c r="AG95">
        <v>-1.1101391295259999</v>
      </c>
      <c r="AH95">
        <v>17.109801246119201</v>
      </c>
      <c r="AI95">
        <v>93.692353367269007</v>
      </c>
      <c r="AJ95">
        <v>84.044880612987996</v>
      </c>
      <c r="AK95">
        <v>17.238418939405602</v>
      </c>
      <c r="AL95">
        <v>92.845458513996803</v>
      </c>
      <c r="AM95">
        <v>90.757594403977805</v>
      </c>
      <c r="AN95">
        <v>1.00000004294385</v>
      </c>
    </row>
    <row r="96" spans="1:40" x14ac:dyDescent="0.25">
      <c r="A96" t="str">
        <f>"20190305134911890"</f>
        <v>20190305134911890</v>
      </c>
      <c r="B96" t="str">
        <f>"1551764951880781"</f>
        <v>1551764951880781</v>
      </c>
      <c r="C96" t="s">
        <v>40</v>
      </c>
      <c r="D96">
        <v>3.9864299999999999</v>
      </c>
      <c r="E96">
        <v>0.54434979999999999</v>
      </c>
      <c r="F96" t="s">
        <v>42</v>
      </c>
      <c r="G96">
        <v>-457.31279999999998</v>
      </c>
      <c r="H96" s="1">
        <v>-1.9988010000000001E-6</v>
      </c>
      <c r="I96">
        <v>365.48869999999999</v>
      </c>
      <c r="J96">
        <v>-474.11860000000001</v>
      </c>
      <c r="K96">
        <v>1.1104229999999999</v>
      </c>
      <c r="L96">
        <v>367.22250000000003</v>
      </c>
      <c r="M96">
        <v>0.9999306</v>
      </c>
      <c r="N96">
        <v>-1.171701E-2</v>
      </c>
      <c r="O96">
        <v>1.223745E-3</v>
      </c>
      <c r="P96">
        <v>0.99794170000000004</v>
      </c>
      <c r="Q96">
        <v>-6.2353749999999999E-2</v>
      </c>
      <c r="R96">
        <v>1.4984539999999999E-2</v>
      </c>
      <c r="S96">
        <v>2.9983219999999999</v>
      </c>
      <c r="T96">
        <v>-0.19779649999999999</v>
      </c>
      <c r="U96">
        <v>-0.30889889999999998</v>
      </c>
      <c r="V96">
        <v>-1.376372E-2</v>
      </c>
      <c r="W96">
        <v>-5.0656300000000001E-2</v>
      </c>
      <c r="X96">
        <v>0.99862130000000005</v>
      </c>
      <c r="Y96">
        <v>0.1034346</v>
      </c>
      <c r="Z96">
        <v>-4.0735770000000001E-3</v>
      </c>
      <c r="AA96">
        <v>0.99462790000000001</v>
      </c>
      <c r="AB96">
        <v>4</v>
      </c>
      <c r="AC96">
        <v>16.805800000000001</v>
      </c>
      <c r="AD96">
        <v>-1.110424998801</v>
      </c>
      <c r="AE96">
        <v>-1.73380000000003</v>
      </c>
      <c r="AF96">
        <v>1.7468202392349801</v>
      </c>
      <c r="AG96">
        <v>-1.110424998801</v>
      </c>
      <c r="AH96">
        <v>16.731389532384402</v>
      </c>
      <c r="AI96">
        <v>93.776557858869197</v>
      </c>
      <c r="AJ96">
        <v>84.039697758073302</v>
      </c>
      <c r="AK96">
        <v>16.8589388844774</v>
      </c>
      <c r="AL96">
        <v>92.903634914835393</v>
      </c>
      <c r="AM96">
        <v>90.789641816013798</v>
      </c>
      <c r="AN96">
        <v>1.0000000007658001</v>
      </c>
    </row>
    <row r="97" spans="1:40" x14ac:dyDescent="0.25">
      <c r="A97" t="str">
        <f>"20190305134911977"</f>
        <v>20190305134911977</v>
      </c>
      <c r="B97" t="str">
        <f>"1551764951970572"</f>
        <v>1551764951970572</v>
      </c>
      <c r="C97" t="s">
        <v>40</v>
      </c>
      <c r="D97">
        <v>3.860948</v>
      </c>
      <c r="E97">
        <v>0.54471530000000001</v>
      </c>
      <c r="F97" t="s">
        <v>42</v>
      </c>
      <c r="G97">
        <v>-457.76589999999999</v>
      </c>
      <c r="H97" s="1">
        <v>-1.8316759999999999E-6</v>
      </c>
      <c r="I97">
        <v>365.53730000000002</v>
      </c>
      <c r="J97">
        <v>-473.95370000000003</v>
      </c>
      <c r="K97">
        <v>1.1098600000000001</v>
      </c>
      <c r="L97">
        <v>367.22309999999999</v>
      </c>
      <c r="M97">
        <v>0.999946</v>
      </c>
      <c r="N97">
        <v>-1.029206E-2</v>
      </c>
      <c r="O97">
        <v>1.5313709999999999E-3</v>
      </c>
      <c r="P97">
        <v>0.99712239999999996</v>
      </c>
      <c r="Q97">
        <v>-7.0783429999999994E-2</v>
      </c>
      <c r="R97">
        <v>2.7146460000000001E-2</v>
      </c>
      <c r="S97">
        <v>2.9981080000000002</v>
      </c>
      <c r="T97">
        <v>-0.20358380000000001</v>
      </c>
      <c r="U97">
        <v>-0.30896000000000001</v>
      </c>
      <c r="V97">
        <v>-2.561716E-2</v>
      </c>
      <c r="W97">
        <v>-6.0517750000000002E-2</v>
      </c>
      <c r="X97">
        <v>0.99783829999999996</v>
      </c>
      <c r="Y97">
        <v>0.1037569</v>
      </c>
      <c r="Z97">
        <v>-4.1333999999999997E-3</v>
      </c>
      <c r="AA97">
        <v>0.99459410000000004</v>
      </c>
      <c r="AB97">
        <v>5</v>
      </c>
      <c r="AC97">
        <v>16.187799999999999</v>
      </c>
      <c r="AD97">
        <v>-1.1098618316760001</v>
      </c>
      <c r="AE97">
        <v>-1.68579999999997</v>
      </c>
      <c r="AF97">
        <v>1.7026709920154699</v>
      </c>
      <c r="AG97">
        <v>-1.1098618316760001</v>
      </c>
      <c r="AH97">
        <v>16.110282243245202</v>
      </c>
      <c r="AI97">
        <v>93.919207054694795</v>
      </c>
      <c r="AJ97">
        <v>83.966893890424799</v>
      </c>
      <c r="AK97">
        <v>16.237982502438001</v>
      </c>
      <c r="AL97">
        <v>93.469531819877901</v>
      </c>
      <c r="AM97">
        <v>91.470611841573202</v>
      </c>
      <c r="AN97">
        <v>0.99999995494920701</v>
      </c>
    </row>
    <row r="98" spans="1:40" x14ac:dyDescent="0.25">
      <c r="A98" t="str">
        <f>"20190305134911998"</f>
        <v>20190305134911998</v>
      </c>
      <c r="B98" t="str">
        <f>"1551764951991068"</f>
        <v>1551764951991068</v>
      </c>
      <c r="C98" t="s">
        <v>40</v>
      </c>
      <c r="D98">
        <v>3.901373</v>
      </c>
      <c r="E98">
        <v>0.54528529999999997</v>
      </c>
      <c r="F98" t="s">
        <v>41</v>
      </c>
      <c r="G98">
        <v>-473.19159999999999</v>
      </c>
      <c r="H98">
        <v>1.050206</v>
      </c>
      <c r="I98">
        <v>367.15249999999997</v>
      </c>
      <c r="J98">
        <v>-473.91309999999999</v>
      </c>
      <c r="K98">
        <v>1.1101780000000001</v>
      </c>
      <c r="L98">
        <v>367.22320000000002</v>
      </c>
      <c r="M98">
        <v>0.99993710000000002</v>
      </c>
      <c r="N98">
        <v>-1.1101339999999999E-2</v>
      </c>
      <c r="O98">
        <v>1.61134E-3</v>
      </c>
      <c r="P98">
        <v>0.99740490000000004</v>
      </c>
      <c r="Q98">
        <v>-6.5217109999999995E-2</v>
      </c>
      <c r="R98">
        <v>3.049876E-2</v>
      </c>
      <c r="S98">
        <v>2.9994200000000002</v>
      </c>
      <c r="T98">
        <v>-0.23527880000000001</v>
      </c>
      <c r="U98">
        <v>-0.27539059999999999</v>
      </c>
      <c r="V98">
        <v>-2.8889740000000001E-2</v>
      </c>
      <c r="W98">
        <v>-5.4140819999999999E-2</v>
      </c>
      <c r="X98">
        <v>0.99811530000000004</v>
      </c>
      <c r="Y98">
        <v>9.2708250000000006E-2</v>
      </c>
      <c r="Z98">
        <v>-4.247621E-3</v>
      </c>
      <c r="AA98">
        <v>0.99568429999999997</v>
      </c>
      <c r="AB98">
        <v>5</v>
      </c>
      <c r="AC98">
        <v>0.72149999999999104</v>
      </c>
      <c r="AD98">
        <v>-5.9972000000000102E-2</v>
      </c>
      <c r="AE98">
        <v>-7.0700000000044796E-2</v>
      </c>
      <c r="AF98">
        <v>7.1374117500108705E-2</v>
      </c>
      <c r="AG98">
        <v>-5.9972000000000102E-2</v>
      </c>
      <c r="AH98">
        <v>0.71648193687780204</v>
      </c>
      <c r="AI98">
        <v>94.761243157121797</v>
      </c>
      <c r="AJ98">
        <v>84.311108062305806</v>
      </c>
      <c r="AK98">
        <v>0.722521467712265</v>
      </c>
      <c r="AL98">
        <v>93.1035579564942</v>
      </c>
      <c r="AM98">
        <v>91.657922849096295</v>
      </c>
      <c r="AN98">
        <v>0.99999999878081502</v>
      </c>
    </row>
    <row r="99" spans="1:40" x14ac:dyDescent="0.25">
      <c r="A99" t="str">
        <f>"20190305134912013"</f>
        <v>20190305134912013</v>
      </c>
      <c r="B99" t="str">
        <f>"1551764952000829"</f>
        <v>1551764952000829</v>
      </c>
      <c r="C99" t="s">
        <v>40</v>
      </c>
      <c r="D99">
        <v>3.9007649999999998</v>
      </c>
      <c r="E99">
        <v>0.54543509999999995</v>
      </c>
      <c r="F99" t="s">
        <v>41</v>
      </c>
      <c r="G99">
        <v>-473.15449999999998</v>
      </c>
      <c r="H99">
        <v>1.0517430000000001</v>
      </c>
      <c r="I99">
        <v>367.1549</v>
      </c>
      <c r="J99">
        <v>-473.88650000000001</v>
      </c>
      <c r="K99">
        <v>1.1105400000000001</v>
      </c>
      <c r="L99">
        <v>367.22340000000003</v>
      </c>
      <c r="M99">
        <v>0.99992320000000001</v>
      </c>
      <c r="N99">
        <v>-1.2288500000000001E-2</v>
      </c>
      <c r="O99">
        <v>1.6560189999999999E-3</v>
      </c>
      <c r="P99">
        <v>0.99762879999999998</v>
      </c>
      <c r="Q99">
        <v>-6.1385660000000002E-2</v>
      </c>
      <c r="R99">
        <v>3.1121280000000001E-2</v>
      </c>
      <c r="S99">
        <v>3.0009160000000001</v>
      </c>
      <c r="T99">
        <v>-0.2312768</v>
      </c>
      <c r="U99">
        <v>-0.270080599999999</v>
      </c>
      <c r="V99">
        <v>-2.946851E-2</v>
      </c>
      <c r="W99">
        <v>-4.9121289999999998E-2</v>
      </c>
      <c r="X99">
        <v>0.99835799999999997</v>
      </c>
      <c r="Y99">
        <v>9.0972310000000001E-2</v>
      </c>
      <c r="Z99">
        <v>-4.1613010000000001E-3</v>
      </c>
      <c r="AA99">
        <v>0.99584470000000003</v>
      </c>
      <c r="AB99">
        <v>4</v>
      </c>
      <c r="AC99">
        <v>0.73200000000002696</v>
      </c>
      <c r="AD99">
        <v>-5.8796999999999697E-2</v>
      </c>
      <c r="AE99">
        <v>-6.8500000000028594E-2</v>
      </c>
      <c r="AF99">
        <v>6.92691648436385E-2</v>
      </c>
      <c r="AG99">
        <v>-5.8796999999999697E-2</v>
      </c>
      <c r="AH99">
        <v>0.72723423374305995</v>
      </c>
      <c r="AI99">
        <v>94.601581515988201</v>
      </c>
      <c r="AJ99">
        <v>84.558983882034099</v>
      </c>
      <c r="AK99">
        <v>0.73288807817769197</v>
      </c>
      <c r="AL99">
        <v>92.815575674132802</v>
      </c>
      <c r="AM99">
        <v>91.690707302344805</v>
      </c>
      <c r="AN99">
        <v>0.99999999518844196</v>
      </c>
    </row>
    <row r="100" spans="1:40" x14ac:dyDescent="0.25">
      <c r="A100" t="str">
        <f>"20190305134912032"</f>
        <v>20190305134912032</v>
      </c>
      <c r="B100" t="str">
        <f>"1551764952021324"</f>
        <v>1551764952021324</v>
      </c>
      <c r="C100" t="s">
        <v>40</v>
      </c>
      <c r="D100">
        <v>3.9257659999999999</v>
      </c>
      <c r="E100">
        <v>0.54582759999999997</v>
      </c>
      <c r="F100" t="s">
        <v>41</v>
      </c>
      <c r="G100">
        <v>-473.12099999999998</v>
      </c>
      <c r="H100">
        <v>1.052773</v>
      </c>
      <c r="I100">
        <v>367.15410000000003</v>
      </c>
      <c r="J100">
        <v>-473.8571</v>
      </c>
      <c r="K100">
        <v>1.1108979999999999</v>
      </c>
      <c r="L100">
        <v>367.2235</v>
      </c>
      <c r="M100">
        <v>0.99990489999999999</v>
      </c>
      <c r="N100">
        <v>-1.36931E-2</v>
      </c>
      <c r="O100">
        <v>1.7014269999999999E-3</v>
      </c>
      <c r="P100">
        <v>0.99788880000000002</v>
      </c>
      <c r="Q100">
        <v>-5.6399499999999998E-2</v>
      </c>
      <c r="R100">
        <v>3.2204999999999998E-2</v>
      </c>
      <c r="S100">
        <v>3.0015869999999998</v>
      </c>
      <c r="T100">
        <v>-0.2269574</v>
      </c>
      <c r="U100">
        <v>-0.26937870000000003</v>
      </c>
      <c r="V100">
        <v>-3.0508130000000001E-2</v>
      </c>
      <c r="W100">
        <v>-4.2728769999999999E-2</v>
      </c>
      <c r="X100">
        <v>0.99862079999999998</v>
      </c>
      <c r="Y100">
        <v>9.077354E-2</v>
      </c>
      <c r="Z100">
        <v>-4.1488599999999999E-3</v>
      </c>
      <c r="AA100">
        <v>0.9958629</v>
      </c>
      <c r="AB100">
        <v>4</v>
      </c>
      <c r="AC100">
        <v>0.73610000000002096</v>
      </c>
      <c r="AD100">
        <v>-5.8124999999999899E-2</v>
      </c>
      <c r="AE100">
        <v>-6.9399999999973205E-2</v>
      </c>
      <c r="AF100">
        <v>7.0218466638212296E-2</v>
      </c>
      <c r="AG100">
        <v>-5.8124999999999899E-2</v>
      </c>
      <c r="AH100">
        <v>0.73146020678145296</v>
      </c>
      <c r="AI100">
        <v>94.522718855331604</v>
      </c>
      <c r="AJ100">
        <v>84.516542527232104</v>
      </c>
      <c r="AK100">
        <v>0.73711816066814395</v>
      </c>
      <c r="AL100">
        <v>92.448923761748404</v>
      </c>
      <c r="AM100">
        <v>91.749856987247099</v>
      </c>
      <c r="AN100">
        <v>0.99999999798722405</v>
      </c>
    </row>
    <row r="101" spans="1:40" x14ac:dyDescent="0.25">
      <c r="A101" t="str">
        <f>"20190305134912044"</f>
        <v>20190305134912044</v>
      </c>
      <c r="B101" t="str">
        <f>"1551764952031083"</f>
        <v>1551764952031083</v>
      </c>
      <c r="C101" t="s">
        <v>40</v>
      </c>
      <c r="D101">
        <v>3.9547650000000001</v>
      </c>
      <c r="E101">
        <v>0.54585689999999998</v>
      </c>
      <c r="F101" t="s">
        <v>41</v>
      </c>
      <c r="G101">
        <v>-473.08460000000002</v>
      </c>
      <c r="H101">
        <v>1.053191</v>
      </c>
      <c r="I101">
        <v>367.15379999999999</v>
      </c>
      <c r="J101">
        <v>-473.83359999999999</v>
      </c>
      <c r="K101">
        <v>1.1107940000000001</v>
      </c>
      <c r="L101">
        <v>367.22359999999998</v>
      </c>
      <c r="M101">
        <v>0.99990710000000005</v>
      </c>
      <c r="N101">
        <v>-1.35251E-2</v>
      </c>
      <c r="O101">
        <v>1.7491410000000001E-3</v>
      </c>
      <c r="P101">
        <v>0.99798260000000005</v>
      </c>
      <c r="Q101">
        <v>-5.4404349999999997E-2</v>
      </c>
      <c r="R101">
        <v>3.2730290000000002E-2</v>
      </c>
      <c r="S101">
        <v>3.00238</v>
      </c>
      <c r="T101">
        <v>-0.22457579999999999</v>
      </c>
      <c r="U101">
        <v>-0.26940920000000002</v>
      </c>
      <c r="V101">
        <v>-3.098478E-2</v>
      </c>
      <c r="W101">
        <v>-4.090063E-2</v>
      </c>
      <c r="X101">
        <v>0.99868270000000003</v>
      </c>
      <c r="Y101">
        <v>9.0814060000000002E-2</v>
      </c>
      <c r="Z101">
        <v>-4.1081109999999898E-3</v>
      </c>
      <c r="AA101">
        <v>0.99585939999999995</v>
      </c>
      <c r="AB101">
        <v>3</v>
      </c>
      <c r="AC101">
        <v>0.74899999999996603</v>
      </c>
      <c r="AD101">
        <v>-5.7603000000000001E-2</v>
      </c>
      <c r="AE101">
        <v>-6.9799999999986498E-2</v>
      </c>
      <c r="AF101">
        <v>7.06955823589627E-2</v>
      </c>
      <c r="AG101">
        <v>-5.7603000000000001E-2</v>
      </c>
      <c r="AH101">
        <v>0.74451116811562201</v>
      </c>
      <c r="AI101">
        <v>94.404440270683807</v>
      </c>
      <c r="AJ101">
        <v>84.575702765996894</v>
      </c>
      <c r="AK101">
        <v>0.75007522984228803</v>
      </c>
      <c r="AL101">
        <v>92.344087281426894</v>
      </c>
      <c r="AM101">
        <v>91.777068756256597</v>
      </c>
      <c r="AN101">
        <v>1.0000000267026601</v>
      </c>
    </row>
    <row r="102" spans="1:40" x14ac:dyDescent="0.25">
      <c r="A102" t="str">
        <f>"20190305134912065"</f>
        <v>20190305134912065</v>
      </c>
      <c r="B102" t="str">
        <f>"1551764952061341"</f>
        <v>1551764952061341</v>
      </c>
      <c r="C102" t="s">
        <v>40</v>
      </c>
      <c r="D102">
        <v>3.9958279999999999</v>
      </c>
      <c r="E102">
        <v>0.54582350000000002</v>
      </c>
      <c r="F102" t="s">
        <v>41</v>
      </c>
      <c r="G102">
        <v>-473.07580000000002</v>
      </c>
      <c r="H102">
        <v>1.054181</v>
      </c>
      <c r="I102">
        <v>367.15570000000002</v>
      </c>
      <c r="J102">
        <v>-473.79469999999998</v>
      </c>
      <c r="K102">
        <v>1.110392</v>
      </c>
      <c r="L102">
        <v>367.22370000000001</v>
      </c>
      <c r="M102">
        <v>0.99992239999999999</v>
      </c>
      <c r="N102">
        <v>-1.2329390000000001E-2</v>
      </c>
      <c r="O102">
        <v>1.8491810000000001E-3</v>
      </c>
      <c r="P102">
        <v>0.99799749999999998</v>
      </c>
      <c r="Q102">
        <v>-5.3247179999999998E-2</v>
      </c>
      <c r="R102">
        <v>3.414408E-2</v>
      </c>
      <c r="S102">
        <v>3.0026250000000001</v>
      </c>
      <c r="T102">
        <v>-0.22459760000000001</v>
      </c>
      <c r="U102">
        <v>-0.26794430000000002</v>
      </c>
      <c r="V102">
        <v>-3.2297609999999997E-2</v>
      </c>
      <c r="W102">
        <v>-4.0938280000000001E-2</v>
      </c>
      <c r="X102">
        <v>0.99863950000000001</v>
      </c>
      <c r="Y102">
        <v>9.0429449999999995E-2</v>
      </c>
      <c r="Z102">
        <v>-4.0453190000000003E-3</v>
      </c>
      <c r="AA102">
        <v>0.99589470000000002</v>
      </c>
      <c r="AB102">
        <v>3</v>
      </c>
      <c r="AC102">
        <v>0.71889999999996201</v>
      </c>
      <c r="AD102">
        <v>-5.6210999999999997E-2</v>
      </c>
      <c r="AE102">
        <v>-6.7999999999983601E-2</v>
      </c>
      <c r="AF102">
        <v>6.8911789383830302E-2</v>
      </c>
      <c r="AG102">
        <v>-5.6210999999999997E-2</v>
      </c>
      <c r="AH102">
        <v>0.71444383957850099</v>
      </c>
      <c r="AI102">
        <v>94.477951877433398</v>
      </c>
      <c r="AJ102">
        <v>84.490570510935598</v>
      </c>
      <c r="AK102">
        <v>0.71995729814257203</v>
      </c>
      <c r="AL102">
        <v>92.346246421361002</v>
      </c>
      <c r="AM102">
        <v>91.852392124427396</v>
      </c>
      <c r="AN102">
        <v>0.99999996467065899</v>
      </c>
    </row>
    <row r="103" spans="1:40" x14ac:dyDescent="0.25">
      <c r="A103" t="str">
        <f>"20190305134912077"</f>
        <v>20190305134912077</v>
      </c>
      <c r="B103" t="str">
        <f>"1551764952071100"</f>
        <v>1551764952071100</v>
      </c>
      <c r="C103" t="s">
        <v>40</v>
      </c>
      <c r="D103">
        <v>4.016356</v>
      </c>
      <c r="E103">
        <v>0.54580830000000002</v>
      </c>
      <c r="F103" t="s">
        <v>41</v>
      </c>
      <c r="G103">
        <v>-473.04640000000001</v>
      </c>
      <c r="H103">
        <v>1.0511060000000001</v>
      </c>
      <c r="I103">
        <v>367.1574</v>
      </c>
      <c r="J103">
        <v>-473.76749999999998</v>
      </c>
      <c r="K103">
        <v>1.1101099999999999</v>
      </c>
      <c r="L103">
        <v>367.22379999999998</v>
      </c>
      <c r="M103">
        <v>0.99993410000000005</v>
      </c>
      <c r="N103">
        <v>-1.1326269999999999E-2</v>
      </c>
      <c r="O103">
        <v>1.9305049999999999E-3</v>
      </c>
      <c r="P103">
        <v>0.99802880000000005</v>
      </c>
      <c r="Q103">
        <v>-5.204458E-2</v>
      </c>
      <c r="R103">
        <v>3.507321E-2</v>
      </c>
      <c r="S103">
        <v>3.0022890000000002</v>
      </c>
      <c r="T103">
        <v>-0.2383903</v>
      </c>
      <c r="U103">
        <v>-0.26379390000000003</v>
      </c>
      <c r="V103">
        <v>-3.3144529999999998E-2</v>
      </c>
      <c r="W103">
        <v>-4.0737809999999999E-2</v>
      </c>
      <c r="X103">
        <v>0.99861999999999995</v>
      </c>
      <c r="Y103">
        <v>8.9127239999999996E-2</v>
      </c>
      <c r="Z103">
        <v>-4.1637480000000001E-3</v>
      </c>
      <c r="AA103">
        <v>0.9960116</v>
      </c>
      <c r="AB103">
        <v>4</v>
      </c>
      <c r="AC103">
        <v>0.72109999999997798</v>
      </c>
      <c r="AD103">
        <v>-5.9004000000000001E-2</v>
      </c>
      <c r="AE103">
        <v>-6.6399999999987303E-2</v>
      </c>
      <c r="AF103">
        <v>6.7344946999375599E-2</v>
      </c>
      <c r="AG103">
        <v>-5.9004000000000001E-2</v>
      </c>
      <c r="AH103">
        <v>0.71621548167122895</v>
      </c>
      <c r="AI103">
        <v>94.688974294744696</v>
      </c>
      <c r="AJ103">
        <v>84.6283353465126</v>
      </c>
      <c r="AK103">
        <v>0.72179043363562201</v>
      </c>
      <c r="AL103">
        <v>92.334750624502504</v>
      </c>
      <c r="AM103">
        <v>91.900968152582195</v>
      </c>
      <c r="AN103">
        <v>1.0000000167162499</v>
      </c>
    </row>
    <row r="104" spans="1:40" x14ac:dyDescent="0.25">
      <c r="A104" t="str">
        <f>"20190305134912090"</f>
        <v>20190305134912090</v>
      </c>
      <c r="B104" t="str">
        <f>"1551764952080860"</f>
        <v>1551764952080860</v>
      </c>
      <c r="C104" t="s">
        <v>40</v>
      </c>
      <c r="D104">
        <v>4.0147449999999996</v>
      </c>
      <c r="E104">
        <v>0.54581239999999998</v>
      </c>
      <c r="F104" t="s">
        <v>41</v>
      </c>
      <c r="G104">
        <v>-473.00529999999998</v>
      </c>
      <c r="H104">
        <v>1.049223</v>
      </c>
      <c r="I104">
        <v>367.15750000000003</v>
      </c>
      <c r="J104">
        <v>-473.7389</v>
      </c>
      <c r="K104">
        <v>1.1098699999999999</v>
      </c>
      <c r="L104">
        <v>367.22399999999999</v>
      </c>
      <c r="M104">
        <v>0.99994430000000001</v>
      </c>
      <c r="N104">
        <v>-1.0367090000000001E-2</v>
      </c>
      <c r="O104">
        <v>2.0200230000000001E-3</v>
      </c>
      <c r="P104">
        <v>0.99808529999999995</v>
      </c>
      <c r="Q104">
        <v>-5.0497550000000002E-2</v>
      </c>
      <c r="R104">
        <v>3.5716850000000001E-2</v>
      </c>
      <c r="S104">
        <v>3.0025629999999999</v>
      </c>
      <c r="T104">
        <v>-0.2399454</v>
      </c>
      <c r="U104">
        <v>-0.2608337</v>
      </c>
      <c r="V104">
        <v>-3.3698180000000001E-2</v>
      </c>
      <c r="W104">
        <v>-4.0148830000000003E-2</v>
      </c>
      <c r="X104">
        <v>0.99862530000000005</v>
      </c>
      <c r="Y104">
        <v>8.8236190000000006E-2</v>
      </c>
      <c r="Z104">
        <v>-4.1125010000000002E-3</v>
      </c>
      <c r="AA104">
        <v>0.99609110000000001</v>
      </c>
      <c r="AB104">
        <v>5</v>
      </c>
      <c r="AC104">
        <v>0.73360000000002401</v>
      </c>
      <c r="AD104">
        <v>-6.0647000000000097E-2</v>
      </c>
      <c r="AE104">
        <v>-6.64999999999622E-2</v>
      </c>
      <c r="AF104">
        <v>6.7524107586303395E-2</v>
      </c>
      <c r="AG104">
        <v>-6.0647000000000097E-2</v>
      </c>
      <c r="AH104">
        <v>0.72852571306681901</v>
      </c>
      <c r="AI104">
        <v>94.738467182690002</v>
      </c>
      <c r="AJ104">
        <v>84.704614561843599</v>
      </c>
      <c r="AK104">
        <v>0.73415752963096703</v>
      </c>
      <c r="AL104">
        <v>92.300976978834996</v>
      </c>
      <c r="AM104">
        <v>91.932688006932196</v>
      </c>
      <c r="AN104">
        <v>0.99999999284288499</v>
      </c>
    </row>
    <row r="105" spans="1:40" x14ac:dyDescent="0.25">
      <c r="A105" t="str">
        <f>"20190305134912111"</f>
        <v>20190305134912111</v>
      </c>
      <c r="B105" t="str">
        <f>"1551764952101357"</f>
        <v>1551764952101357</v>
      </c>
      <c r="C105" t="s">
        <v>40</v>
      </c>
      <c r="D105">
        <v>3.9613960000000001</v>
      </c>
      <c r="E105">
        <v>0.54589270000000001</v>
      </c>
      <c r="F105" t="s">
        <v>41</v>
      </c>
      <c r="G105">
        <v>-472.96690000000001</v>
      </c>
      <c r="H105">
        <v>1.0480100000000001</v>
      </c>
      <c r="I105">
        <v>367.15710000000001</v>
      </c>
      <c r="J105">
        <v>-473.69990000000001</v>
      </c>
      <c r="K105">
        <v>1.1100509999999999</v>
      </c>
      <c r="L105">
        <v>367.2242</v>
      </c>
      <c r="M105">
        <v>0.99994059999999996</v>
      </c>
      <c r="N105">
        <v>-1.0697369999999999E-2</v>
      </c>
      <c r="O105">
        <v>2.1265749999999999E-3</v>
      </c>
      <c r="P105">
        <v>0.9982145</v>
      </c>
      <c r="Q105">
        <v>-4.8069899999999999E-2</v>
      </c>
      <c r="R105">
        <v>3.545483E-2</v>
      </c>
      <c r="S105">
        <v>3.0028079999999999</v>
      </c>
      <c r="T105">
        <v>-0.2408776</v>
      </c>
      <c r="U105">
        <v>-0.25891110000000001</v>
      </c>
      <c r="V105">
        <v>-3.3329839999999999E-2</v>
      </c>
      <c r="W105">
        <v>-3.738996E-2</v>
      </c>
      <c r="X105">
        <v>0.99874479999999999</v>
      </c>
      <c r="Y105">
        <v>8.7700550000000002E-2</v>
      </c>
      <c r="Z105">
        <v>-4.1235880000000001E-3</v>
      </c>
      <c r="AA105">
        <v>0.99613830000000003</v>
      </c>
      <c r="AB105">
        <v>5</v>
      </c>
      <c r="AC105">
        <v>0.73300000000000398</v>
      </c>
      <c r="AD105">
        <v>-6.2040999999999999E-2</v>
      </c>
      <c r="AE105">
        <v>-6.7099999999982105E-2</v>
      </c>
      <c r="AF105">
        <v>6.8174380899500897E-2</v>
      </c>
      <c r="AG105">
        <v>-6.2040999999999999E-2</v>
      </c>
      <c r="AH105">
        <v>0.72768589250489102</v>
      </c>
      <c r="AI105">
        <v>94.851990691147606</v>
      </c>
      <c r="AJ105">
        <v>84.647778710594395</v>
      </c>
      <c r="AK105">
        <v>0.73350091345728397</v>
      </c>
      <c r="AL105">
        <v>92.142786307156399</v>
      </c>
      <c r="AM105">
        <v>91.911349852033197</v>
      </c>
      <c r="AN105">
        <v>1.0000000314351301</v>
      </c>
    </row>
    <row r="106" spans="1:40" x14ac:dyDescent="0.25">
      <c r="A106" t="str">
        <f>"20190305134912123"</f>
        <v>20190305134912123</v>
      </c>
      <c r="B106" t="str">
        <f>"1551764952111118"</f>
        <v>1551764952111118</v>
      </c>
      <c r="C106" t="s">
        <v>40</v>
      </c>
      <c r="D106">
        <v>4.0079779999999996</v>
      </c>
      <c r="E106">
        <v>0.54598340000000001</v>
      </c>
      <c r="F106" t="s">
        <v>41</v>
      </c>
      <c r="G106">
        <v>-472.93130000000002</v>
      </c>
      <c r="H106">
        <v>1.0479590000000001</v>
      </c>
      <c r="I106">
        <v>367.15730000000002</v>
      </c>
      <c r="J106">
        <v>-473.67680000000001</v>
      </c>
      <c r="K106">
        <v>1.110344</v>
      </c>
      <c r="L106">
        <v>367.22430000000003</v>
      </c>
      <c r="M106">
        <v>0.99992999999999999</v>
      </c>
      <c r="N106">
        <v>-1.163864E-2</v>
      </c>
      <c r="O106">
        <v>2.179631E-3</v>
      </c>
      <c r="P106">
        <v>0.99824679999999999</v>
      </c>
      <c r="Q106">
        <v>-4.8029700000000002E-2</v>
      </c>
      <c r="R106">
        <v>3.4590490000000002E-2</v>
      </c>
      <c r="S106">
        <v>3.0029300000000001</v>
      </c>
      <c r="T106">
        <v>-0.2427993</v>
      </c>
      <c r="U106">
        <v>-0.26022339999999999</v>
      </c>
      <c r="V106">
        <v>-3.2413299999999999E-2</v>
      </c>
      <c r="W106">
        <v>-3.6408549999999998E-2</v>
      </c>
      <c r="X106">
        <v>0.99881120000000001</v>
      </c>
      <c r="Y106">
        <v>8.8172120000000007E-2</v>
      </c>
      <c r="Z106">
        <v>-4.217475E-3</v>
      </c>
      <c r="AA106">
        <v>0.99609630000000005</v>
      </c>
      <c r="AB106">
        <v>4</v>
      </c>
      <c r="AC106">
        <v>0.74549999999999195</v>
      </c>
      <c r="AD106">
        <v>-6.2384999999999899E-2</v>
      </c>
      <c r="AE106">
        <v>-6.7000000000007207E-2</v>
      </c>
      <c r="AF106">
        <v>6.8151445850914497E-2</v>
      </c>
      <c r="AG106">
        <v>-6.2384999999999899E-2</v>
      </c>
      <c r="AH106">
        <v>0.74021025068957702</v>
      </c>
      <c r="AI106">
        <v>94.797314437750202</v>
      </c>
      <c r="AJ106">
        <v>84.739585930535796</v>
      </c>
      <c r="AK106">
        <v>0.74595423654705295</v>
      </c>
      <c r="AL106">
        <v>92.086517383053803</v>
      </c>
      <c r="AM106">
        <v>91.858703393287399</v>
      </c>
      <c r="AN106">
        <v>1.0000000088877099</v>
      </c>
    </row>
    <row r="107" spans="1:40" x14ac:dyDescent="0.25">
      <c r="A107" t="str">
        <f>"20190305134912143"</f>
        <v>20190305134912143</v>
      </c>
      <c r="B107" t="str">
        <f>"1551764952130636"</f>
        <v>1551764952130636</v>
      </c>
      <c r="C107" t="s">
        <v>40</v>
      </c>
      <c r="D107">
        <v>3.9748049999999999</v>
      </c>
      <c r="E107">
        <v>0.54612919999999998</v>
      </c>
      <c r="F107" t="s">
        <v>41</v>
      </c>
      <c r="G107">
        <v>-472.93040000000002</v>
      </c>
      <c r="H107">
        <v>1.0490409999999999</v>
      </c>
      <c r="I107">
        <v>367.15859999999998</v>
      </c>
      <c r="J107">
        <v>-473.64569999999998</v>
      </c>
      <c r="K107">
        <v>1.1107800000000001</v>
      </c>
      <c r="L107">
        <v>367.2244</v>
      </c>
      <c r="M107">
        <v>0.99991030000000003</v>
      </c>
      <c r="N107">
        <v>-1.321393E-2</v>
      </c>
      <c r="O107">
        <v>2.2432089999999999E-3</v>
      </c>
      <c r="P107">
        <v>0.99829040000000002</v>
      </c>
      <c r="Q107">
        <v>-4.8204919999999998E-2</v>
      </c>
      <c r="R107">
        <v>3.305611E-2</v>
      </c>
      <c r="S107">
        <v>3.0025629999999999</v>
      </c>
      <c r="T107">
        <v>-0.24674579999999999</v>
      </c>
      <c r="U107">
        <v>-0.26342769999999999</v>
      </c>
      <c r="V107">
        <v>-3.0816909999999999E-2</v>
      </c>
      <c r="W107">
        <v>-3.5008379999999999E-2</v>
      </c>
      <c r="X107">
        <v>0.99891180000000002</v>
      </c>
      <c r="Y107">
        <v>8.9280709999999999E-2</v>
      </c>
      <c r="Z107">
        <v>-4.4016339999999998E-3</v>
      </c>
      <c r="AA107">
        <v>0.99599680000000002</v>
      </c>
      <c r="AB107">
        <v>4</v>
      </c>
      <c r="AC107">
        <v>0.71529999999995597</v>
      </c>
      <c r="AD107">
        <v>-6.1738999999999898E-2</v>
      </c>
      <c r="AE107">
        <v>-6.58000000000242E-2</v>
      </c>
      <c r="AF107">
        <v>6.6910258484325302E-2</v>
      </c>
      <c r="AG107">
        <v>-6.1738999999999898E-2</v>
      </c>
      <c r="AH107">
        <v>0.70990632392435205</v>
      </c>
      <c r="AI107">
        <v>94.948560773974293</v>
      </c>
      <c r="AJ107">
        <v>84.615650989986506</v>
      </c>
      <c r="AK107">
        <v>0.71572038922977899</v>
      </c>
      <c r="AL107">
        <v>92.006242314990203</v>
      </c>
      <c r="AM107">
        <v>91.767041932405107</v>
      </c>
      <c r="AN107">
        <v>1.0000000263957001</v>
      </c>
    </row>
    <row r="108" spans="1:40" x14ac:dyDescent="0.25">
      <c r="A108" t="str">
        <f>"20190305134912158"</f>
        <v>20190305134912158</v>
      </c>
      <c r="B108" t="str">
        <f>"1551764952151133"</f>
        <v>1551764952151133</v>
      </c>
      <c r="C108" t="s">
        <v>40</v>
      </c>
      <c r="D108">
        <v>3.9885660000000001</v>
      </c>
      <c r="E108">
        <v>0.54618699999999998</v>
      </c>
      <c r="F108" t="s">
        <v>41</v>
      </c>
      <c r="G108">
        <v>-472.89949999999999</v>
      </c>
      <c r="H108">
        <v>1.0472220000000001</v>
      </c>
      <c r="I108">
        <v>367.15719999999999</v>
      </c>
      <c r="J108">
        <v>-473.61939999999998</v>
      </c>
      <c r="K108">
        <v>1.110873</v>
      </c>
      <c r="L108">
        <v>367.22460000000001</v>
      </c>
      <c r="M108">
        <v>0.99990330000000005</v>
      </c>
      <c r="N108">
        <v>-1.371348E-2</v>
      </c>
      <c r="O108">
        <v>2.305484E-3</v>
      </c>
      <c r="P108">
        <v>0.99833099999999997</v>
      </c>
      <c r="Q108">
        <v>-4.7833399999999998E-2</v>
      </c>
      <c r="R108">
        <v>3.2359970000000002E-2</v>
      </c>
      <c r="S108">
        <v>3.0016780000000001</v>
      </c>
      <c r="T108">
        <v>-0.25588070000000002</v>
      </c>
      <c r="U108">
        <v>-0.26925660000000001</v>
      </c>
      <c r="V108">
        <v>-3.0058560000000002E-2</v>
      </c>
      <c r="W108">
        <v>-3.4137140000000003E-2</v>
      </c>
      <c r="X108">
        <v>0.99896499999999999</v>
      </c>
      <c r="Y108">
        <v>9.1252E-2</v>
      </c>
      <c r="Z108">
        <v>-4.6672170000000004E-3</v>
      </c>
      <c r="AA108">
        <v>0.9958169</v>
      </c>
      <c r="AB108">
        <v>4</v>
      </c>
      <c r="AC108">
        <v>0.71989999999999499</v>
      </c>
      <c r="AD108">
        <v>-6.3651000000000096E-2</v>
      </c>
      <c r="AE108">
        <v>-6.7400000000020499E-2</v>
      </c>
      <c r="AF108">
        <v>6.8528629539325703E-2</v>
      </c>
      <c r="AG108">
        <v>-6.3651000000000096E-2</v>
      </c>
      <c r="AH108">
        <v>0.71420789973217702</v>
      </c>
      <c r="AI108">
        <v>95.069647278672093</v>
      </c>
      <c r="AJ108">
        <v>84.519217866624601</v>
      </c>
      <c r="AK108">
        <v>0.72030587038242699</v>
      </c>
      <c r="AL108">
        <v>91.956294197526603</v>
      </c>
      <c r="AM108">
        <v>91.723492960642204</v>
      </c>
      <c r="AN108">
        <v>0.99999996629082599</v>
      </c>
    </row>
    <row r="109" spans="1:40" x14ac:dyDescent="0.25">
      <c r="A109" t="str">
        <f>"20190305134912177"</f>
        <v>20190305134912177</v>
      </c>
      <c r="B109" t="str">
        <f>"1551764952170635"</f>
        <v>1551764952170635</v>
      </c>
      <c r="C109" t="s">
        <v>40</v>
      </c>
      <c r="D109">
        <v>4.019482</v>
      </c>
      <c r="E109">
        <v>0.5462224</v>
      </c>
      <c r="F109" t="s">
        <v>41</v>
      </c>
      <c r="G109">
        <v>-472.8655</v>
      </c>
      <c r="H109">
        <v>1.044872</v>
      </c>
      <c r="I109">
        <v>367.1558</v>
      </c>
      <c r="J109">
        <v>-473.5831</v>
      </c>
      <c r="K109">
        <v>1.1106119999999999</v>
      </c>
      <c r="L109">
        <v>367.22480000000002</v>
      </c>
      <c r="M109">
        <v>0.99991289999999999</v>
      </c>
      <c r="N109">
        <v>-1.29747E-2</v>
      </c>
      <c r="O109">
        <v>2.4175400000000001E-3</v>
      </c>
      <c r="P109">
        <v>0.99845629999999996</v>
      </c>
      <c r="Q109">
        <v>-4.6059740000000002E-2</v>
      </c>
      <c r="R109">
        <v>3.1043580000000001E-2</v>
      </c>
      <c r="S109">
        <v>3.0012210000000001</v>
      </c>
      <c r="T109">
        <v>-0.26326870000000002</v>
      </c>
      <c r="U109">
        <v>-0.27166750000000001</v>
      </c>
      <c r="V109">
        <v>-2.8629060000000001E-2</v>
      </c>
      <c r="W109">
        <v>-3.3100890000000001E-2</v>
      </c>
      <c r="X109">
        <v>0.99904190000000004</v>
      </c>
      <c r="Y109">
        <v>9.2147900000000005E-2</v>
      </c>
      <c r="Z109">
        <v>-4.806037E-3</v>
      </c>
      <c r="AA109">
        <v>0.99573370000000005</v>
      </c>
      <c r="AB109">
        <v>3</v>
      </c>
      <c r="AC109">
        <v>0.71760000000000401</v>
      </c>
      <c r="AD109">
        <v>-6.5740000000000104E-2</v>
      </c>
      <c r="AE109">
        <v>-6.9000000000016798E-2</v>
      </c>
      <c r="AF109">
        <v>7.01514144702228E-2</v>
      </c>
      <c r="AG109">
        <v>-6.5740000000000104E-2</v>
      </c>
      <c r="AH109">
        <v>0.71151435371154703</v>
      </c>
      <c r="AI109">
        <v>95.253497584102504</v>
      </c>
      <c r="AJ109">
        <v>84.369148808293303</v>
      </c>
      <c r="AK109">
        <v>0.71798025327284198</v>
      </c>
      <c r="AL109">
        <v>91.896887786780397</v>
      </c>
      <c r="AM109">
        <v>91.641448192847093</v>
      </c>
      <c r="AN109">
        <v>1.0000000049754401</v>
      </c>
    </row>
    <row r="110" spans="1:40" x14ac:dyDescent="0.25">
      <c r="A110" t="str">
        <f>"20190305134912193"</f>
        <v>20190305134912193</v>
      </c>
      <c r="B110" t="str">
        <f>"1551764952181371"</f>
        <v>1551764952181371</v>
      </c>
      <c r="C110" t="s">
        <v>40</v>
      </c>
      <c r="D110">
        <v>4.0096769999999999</v>
      </c>
      <c r="E110">
        <v>0.54629419999999995</v>
      </c>
      <c r="F110" t="s">
        <v>41</v>
      </c>
      <c r="G110">
        <v>-472.82580000000002</v>
      </c>
      <c r="H110">
        <v>1.043558</v>
      </c>
      <c r="I110">
        <v>367.15480000000002</v>
      </c>
      <c r="J110">
        <v>-473.55099999999999</v>
      </c>
      <c r="K110">
        <v>1.110255</v>
      </c>
      <c r="L110">
        <v>367.22500000000002</v>
      </c>
      <c r="M110">
        <v>0.99992760000000003</v>
      </c>
      <c r="N110">
        <v>-1.1767089999999999E-2</v>
      </c>
      <c r="O110">
        <v>2.5371259999999998E-3</v>
      </c>
      <c r="P110">
        <v>0.99853000000000003</v>
      </c>
      <c r="Q110">
        <v>-4.4992909999999997E-2</v>
      </c>
      <c r="R110">
        <v>3.0225539999999999E-2</v>
      </c>
      <c r="S110">
        <v>3.0009160000000001</v>
      </c>
      <c r="T110">
        <v>-0.26604719999999998</v>
      </c>
      <c r="U110">
        <v>-0.27587889999999998</v>
      </c>
      <c r="V110">
        <v>-2.7690449999999998E-2</v>
      </c>
      <c r="W110">
        <v>-3.324059E-2</v>
      </c>
      <c r="X110">
        <v>0.9990637</v>
      </c>
      <c r="Y110">
        <v>9.3651360000000003E-2</v>
      </c>
      <c r="Z110">
        <v>-4.8822340000000001E-3</v>
      </c>
      <c r="AA110">
        <v>0.99559310000000001</v>
      </c>
      <c r="AB110">
        <v>4</v>
      </c>
      <c r="AC110">
        <v>0.72519999999997198</v>
      </c>
      <c r="AD110">
        <v>-6.6697000000000006E-2</v>
      </c>
      <c r="AE110">
        <v>-7.0199999999999804E-2</v>
      </c>
      <c r="AF110">
        <v>7.1441144969392495E-2</v>
      </c>
      <c r="AG110">
        <v>-6.6697000000000006E-2</v>
      </c>
      <c r="AH110">
        <v>0.71899434088157399</v>
      </c>
      <c r="AI110">
        <v>95.274011512557095</v>
      </c>
      <c r="AJ110">
        <v>84.325568049972304</v>
      </c>
      <c r="AK110">
        <v>0.72560677313767397</v>
      </c>
      <c r="AL110">
        <v>91.904896448071298</v>
      </c>
      <c r="AM110">
        <v>91.587626338578801</v>
      </c>
      <c r="AN110">
        <v>0.99999998725121997</v>
      </c>
    </row>
    <row r="111" spans="1:40" x14ac:dyDescent="0.25">
      <c r="A111" t="str">
        <f>"20190305134912211"</f>
        <v>20190305134912211</v>
      </c>
      <c r="B111" t="str">
        <f>"1551764952200891"</f>
        <v>1551764952200891</v>
      </c>
      <c r="C111" t="s">
        <v>40</v>
      </c>
      <c r="D111">
        <v>4.0040490000000002</v>
      </c>
      <c r="E111">
        <v>0.54635540000000005</v>
      </c>
      <c r="F111" t="s">
        <v>41</v>
      </c>
      <c r="G111">
        <v>-472.7835</v>
      </c>
      <c r="H111">
        <v>1.0420309999999999</v>
      </c>
      <c r="I111">
        <v>367.15350000000001</v>
      </c>
      <c r="J111">
        <v>-473.51119999999997</v>
      </c>
      <c r="K111">
        <v>1.109917</v>
      </c>
      <c r="L111">
        <v>367.2253</v>
      </c>
      <c r="M111">
        <v>0.99994179999999999</v>
      </c>
      <c r="N111">
        <v>-1.0444159999999999E-2</v>
      </c>
      <c r="O111">
        <v>2.700385E-3</v>
      </c>
      <c r="P111">
        <v>0.99850050000000001</v>
      </c>
      <c r="Q111">
        <v>-4.6920370000000003E-2</v>
      </c>
      <c r="R111">
        <v>2.8200679999999999E-2</v>
      </c>
      <c r="S111">
        <v>3.0008539999999999</v>
      </c>
      <c r="T111">
        <v>-0.26685520000000001</v>
      </c>
      <c r="U111">
        <v>-0.27874759999999998</v>
      </c>
      <c r="V111">
        <v>-2.550086E-2</v>
      </c>
      <c r="W111">
        <v>-3.6490799999999997E-2</v>
      </c>
      <c r="X111">
        <v>0.99900860000000002</v>
      </c>
      <c r="Y111">
        <v>9.4756850000000004E-2</v>
      </c>
      <c r="Z111">
        <v>-4.9039679999999999E-3</v>
      </c>
      <c r="AA111">
        <v>0.99548829999999999</v>
      </c>
      <c r="AB111">
        <v>5</v>
      </c>
      <c r="AC111">
        <v>0.72769999999997004</v>
      </c>
      <c r="AD111">
        <v>-6.7886000000000099E-2</v>
      </c>
      <c r="AE111">
        <v>-7.1799999999996006E-2</v>
      </c>
      <c r="AF111">
        <v>7.31345812007132E-2</v>
      </c>
      <c r="AG111">
        <v>-6.7886000000000099E-2</v>
      </c>
      <c r="AH111">
        <v>0.72128680157085601</v>
      </c>
      <c r="AI111">
        <v>95.349452026749205</v>
      </c>
      <c r="AJ111">
        <v>84.210304711459798</v>
      </c>
      <c r="AK111">
        <v>0.72815645714620902</v>
      </c>
      <c r="AL111">
        <v>92.091233055347104</v>
      </c>
      <c r="AM111">
        <v>91.462224083026598</v>
      </c>
      <c r="AN111">
        <v>1.0000000276096599</v>
      </c>
    </row>
    <row r="112" spans="1:40" x14ac:dyDescent="0.25">
      <c r="A112" t="str">
        <f>"20190305134912226"</f>
        <v>20190305134912226</v>
      </c>
      <c r="B112" t="str">
        <f>"1551764952221387"</f>
        <v>1551764952221387</v>
      </c>
      <c r="C112" t="s">
        <v>40</v>
      </c>
      <c r="D112">
        <v>4.0239799999999999</v>
      </c>
      <c r="E112">
        <v>0.54622959999999998</v>
      </c>
      <c r="F112" t="s">
        <v>41</v>
      </c>
      <c r="G112">
        <v>-472.74590000000001</v>
      </c>
      <c r="H112">
        <v>1.038511</v>
      </c>
      <c r="I112">
        <v>367.15199999999999</v>
      </c>
      <c r="J112">
        <v>-473.48180000000002</v>
      </c>
      <c r="K112">
        <v>1.1100300000000001</v>
      </c>
      <c r="L112">
        <v>367.22539999999998</v>
      </c>
      <c r="M112">
        <v>0.99993960000000004</v>
      </c>
      <c r="N112">
        <v>-1.0642860000000001E-2</v>
      </c>
      <c r="O112">
        <v>2.8065630000000002E-3</v>
      </c>
      <c r="P112">
        <v>0.99844279999999996</v>
      </c>
      <c r="Q112">
        <v>-4.85902E-2</v>
      </c>
      <c r="R112">
        <v>2.7407870000000001E-2</v>
      </c>
      <c r="S112">
        <v>2.9994200000000002</v>
      </c>
      <c r="T112">
        <v>-0.28029660000000001</v>
      </c>
      <c r="U112">
        <v>-0.2852478</v>
      </c>
      <c r="V112">
        <v>-2.4602510000000001E-2</v>
      </c>
      <c r="W112">
        <v>-3.7962530000000001E-2</v>
      </c>
      <c r="X112">
        <v>0.99897619999999998</v>
      </c>
      <c r="Y112">
        <v>9.6990969999999996E-2</v>
      </c>
      <c r="Z112">
        <v>-5.26188E-3</v>
      </c>
      <c r="AA112">
        <v>0.99527129999999997</v>
      </c>
      <c r="AB112">
        <v>5</v>
      </c>
      <c r="AC112">
        <v>0.73590000000001499</v>
      </c>
      <c r="AD112">
        <v>-7.1518999999999805E-2</v>
      </c>
      <c r="AE112">
        <v>-7.3399999999992305E-2</v>
      </c>
      <c r="AF112">
        <v>7.4765963410116001E-2</v>
      </c>
      <c r="AG112">
        <v>-7.1518999999999805E-2</v>
      </c>
      <c r="AH112">
        <v>0.72887462796415703</v>
      </c>
      <c r="AI112">
        <v>95.574997814972406</v>
      </c>
      <c r="AJ112">
        <v>84.143240305105394</v>
      </c>
      <c r="AK112">
        <v>0.73618145856543404</v>
      </c>
      <c r="AL112">
        <v>92.175615653008805</v>
      </c>
      <c r="AM112">
        <v>91.410779458285802</v>
      </c>
      <c r="AN112">
        <v>0.99999994267436798</v>
      </c>
    </row>
    <row r="113" spans="1:40" x14ac:dyDescent="0.25">
      <c r="A113" t="str">
        <f>"20190305134912242"</f>
        <v>20190305134912242</v>
      </c>
      <c r="B113" t="str">
        <f>"1551764952231147"</f>
        <v>1551764952231147</v>
      </c>
      <c r="C113" t="s">
        <v>40</v>
      </c>
      <c r="D113">
        <v>4.0620070000000004</v>
      </c>
      <c r="E113">
        <v>0.5461587</v>
      </c>
      <c r="F113" t="s">
        <v>41</v>
      </c>
      <c r="G113">
        <v>-472.74599999999998</v>
      </c>
      <c r="H113">
        <v>1.038357</v>
      </c>
      <c r="I113">
        <v>367.15469999999999</v>
      </c>
      <c r="J113">
        <v>-473.45179999999999</v>
      </c>
      <c r="K113">
        <v>1.110341</v>
      </c>
      <c r="L113">
        <v>367.22559999999999</v>
      </c>
      <c r="M113">
        <v>0.99992809999999999</v>
      </c>
      <c r="N113">
        <v>-1.163292E-2</v>
      </c>
      <c r="O113">
        <v>2.9015960000000002E-3</v>
      </c>
      <c r="P113">
        <v>0.99837030000000004</v>
      </c>
      <c r="Q113">
        <v>-5.0408269999999998E-2</v>
      </c>
      <c r="R113">
        <v>2.6751899999999999E-2</v>
      </c>
      <c r="S113">
        <v>2.9982600000000001</v>
      </c>
      <c r="T113">
        <v>-0.29253980000000002</v>
      </c>
      <c r="U113">
        <v>-0.2861938</v>
      </c>
      <c r="V113">
        <v>-2.3852439999999999E-2</v>
      </c>
      <c r="W113">
        <v>-3.8791510000000001E-2</v>
      </c>
      <c r="X113">
        <v>0.99896260000000003</v>
      </c>
      <c r="Y113">
        <v>9.7385470000000002E-2</v>
      </c>
      <c r="Z113">
        <v>-5.5464540000000001E-3</v>
      </c>
      <c r="AA113">
        <v>0.99523130000000004</v>
      </c>
      <c r="AB113">
        <v>5</v>
      </c>
      <c r="AC113">
        <v>0.70580000000000997</v>
      </c>
      <c r="AD113">
        <v>-7.1984000000000006E-2</v>
      </c>
      <c r="AE113">
        <v>-7.0899999999994606E-2</v>
      </c>
      <c r="AF113">
        <v>7.2204235410152098E-2</v>
      </c>
      <c r="AG113">
        <v>-7.1984000000000006E-2</v>
      </c>
      <c r="AH113">
        <v>0.69839925359005495</v>
      </c>
      <c r="AI113">
        <v>95.8537130128435</v>
      </c>
      <c r="AJ113">
        <v>84.097427408376106</v>
      </c>
      <c r="AK113">
        <v>0.70580214315508505</v>
      </c>
      <c r="AL113">
        <v>92.223147604380799</v>
      </c>
      <c r="AM113">
        <v>91.3678034736337</v>
      </c>
      <c r="AN113">
        <v>0.99999999817039598</v>
      </c>
    </row>
    <row r="114" spans="1:40" x14ac:dyDescent="0.25">
      <c r="A114" t="str">
        <f>"20190305134912258"</f>
        <v>20190305134912258</v>
      </c>
      <c r="B114" t="str">
        <f>"1551764952250667"</f>
        <v>1551764952250667</v>
      </c>
      <c r="C114" t="s">
        <v>40</v>
      </c>
      <c r="D114">
        <v>4.0833550000000001</v>
      </c>
      <c r="E114">
        <v>0.54563719999999905</v>
      </c>
      <c r="F114" t="s">
        <v>41</v>
      </c>
      <c r="G114">
        <v>-472.71179999999998</v>
      </c>
      <c r="H114">
        <v>1.0359130000000001</v>
      </c>
      <c r="I114">
        <v>367.15440000000001</v>
      </c>
      <c r="J114">
        <v>-473.42599999999999</v>
      </c>
      <c r="K114">
        <v>1.1106860000000001</v>
      </c>
      <c r="L114">
        <v>367.22579999999999</v>
      </c>
      <c r="M114">
        <v>0.99991289999999999</v>
      </c>
      <c r="N114">
        <v>-1.287349E-2</v>
      </c>
      <c r="O114">
        <v>2.9720219999999999E-3</v>
      </c>
      <c r="P114">
        <v>0.99835399999999996</v>
      </c>
      <c r="Q114">
        <v>-5.0624469999999998E-2</v>
      </c>
      <c r="R114">
        <v>2.6960399999999999E-2</v>
      </c>
      <c r="S114">
        <v>2.9974059999999998</v>
      </c>
      <c r="T114">
        <v>-0.30143560000000003</v>
      </c>
      <c r="U114">
        <v>-0.2881165</v>
      </c>
      <c r="V114">
        <v>-2.3991999999999999E-2</v>
      </c>
      <c r="W114">
        <v>-3.7767540000000002E-2</v>
      </c>
      <c r="X114">
        <v>0.99899850000000001</v>
      </c>
      <c r="Y114">
        <v>9.8074099999999997E-2</v>
      </c>
      <c r="Z114">
        <v>-5.8017090000000004E-3</v>
      </c>
      <c r="AA114">
        <v>0.9951622</v>
      </c>
      <c r="AB114">
        <v>4</v>
      </c>
      <c r="AC114">
        <v>0.71420000000000505</v>
      </c>
      <c r="AD114">
        <v>-7.47730000000002E-2</v>
      </c>
      <c r="AE114">
        <v>-7.1399999999982797E-2</v>
      </c>
      <c r="AF114">
        <v>7.2733139738359903E-2</v>
      </c>
      <c r="AG114">
        <v>-7.47730000000002E-2</v>
      </c>
      <c r="AH114">
        <v>0.70631927493292701</v>
      </c>
      <c r="AI114">
        <v>96.011435944966706</v>
      </c>
      <c r="AJ114">
        <v>84.120696806605693</v>
      </c>
      <c r="AK114">
        <v>0.71398041239726995</v>
      </c>
      <c r="AL114">
        <v>92.164435399827596</v>
      </c>
      <c r="AM114">
        <v>91.3757539669799</v>
      </c>
      <c r="AN114">
        <v>1.00000000307195</v>
      </c>
    </row>
    <row r="115" spans="1:40" x14ac:dyDescent="0.25">
      <c r="A115" t="str">
        <f>"20190305134912278"</f>
        <v>20190305134912278</v>
      </c>
      <c r="B115" t="str">
        <f>"1551764952271168"</f>
        <v>1551764952271168</v>
      </c>
      <c r="C115" t="s">
        <v>40</v>
      </c>
      <c r="D115">
        <v>4.1302979999999998</v>
      </c>
      <c r="E115">
        <v>0.54505819999999905</v>
      </c>
      <c r="F115" t="s">
        <v>41</v>
      </c>
      <c r="G115">
        <v>-472.68060000000003</v>
      </c>
      <c r="H115">
        <v>1.0338510000000001</v>
      </c>
      <c r="I115">
        <v>367.15480000000002</v>
      </c>
      <c r="J115">
        <v>-473.39319999999998</v>
      </c>
      <c r="K115">
        <v>1.1108899999999999</v>
      </c>
      <c r="L115">
        <v>367.226</v>
      </c>
      <c r="M115">
        <v>0.99990080000000003</v>
      </c>
      <c r="N115">
        <v>-1.375344E-2</v>
      </c>
      <c r="O115">
        <v>3.0682270000000002E-3</v>
      </c>
      <c r="P115">
        <v>0.99844089999999996</v>
      </c>
      <c r="Q115">
        <v>-4.8868689999999999E-2</v>
      </c>
      <c r="R115">
        <v>2.6981729999999999E-2</v>
      </c>
      <c r="S115">
        <v>2.9968870000000001</v>
      </c>
      <c r="T115">
        <v>-0.30941239999999998</v>
      </c>
      <c r="U115">
        <v>-0.28353879999999998</v>
      </c>
      <c r="V115">
        <v>-2.3918080000000001E-2</v>
      </c>
      <c r="W115">
        <v>-3.5131040000000002E-2</v>
      </c>
      <c r="X115">
        <v>0.99909650000000005</v>
      </c>
      <c r="Y115">
        <v>9.6654809999999994E-2</v>
      </c>
      <c r="Z115">
        <v>-5.9067219999999997E-3</v>
      </c>
      <c r="AA115">
        <v>0.99530039999999997</v>
      </c>
      <c r="AB115">
        <v>4</v>
      </c>
      <c r="AC115">
        <v>0.71259999999995205</v>
      </c>
      <c r="AD115">
        <v>-7.7038999999999802E-2</v>
      </c>
      <c r="AE115">
        <v>-7.1199999999976102E-2</v>
      </c>
      <c r="AF115">
        <v>7.2546765130696203E-2</v>
      </c>
      <c r="AG115">
        <v>-7.7038999999999802E-2</v>
      </c>
      <c r="AH115">
        <v>0.70422869943194</v>
      </c>
      <c r="AI115">
        <v>96.210431190408499</v>
      </c>
      <c r="AJ115">
        <v>84.118370021698098</v>
      </c>
      <c r="AK115">
        <v>0.71213489014057596</v>
      </c>
      <c r="AL115">
        <v>92.013274512626495</v>
      </c>
      <c r="AM115">
        <v>91.371382374548105</v>
      </c>
      <c r="AN115">
        <v>1.0000000404173</v>
      </c>
    </row>
    <row r="116" spans="1:40" x14ac:dyDescent="0.25">
      <c r="A116" t="str">
        <f>"20190305134912292"</f>
        <v>20190305134912292</v>
      </c>
      <c r="B116" t="str">
        <f>"1551764952280928"</f>
        <v>1551764952280928</v>
      </c>
      <c r="C116" t="s">
        <v>40</v>
      </c>
      <c r="D116">
        <v>4.1295449999999896</v>
      </c>
      <c r="E116">
        <v>0.54479909999999998</v>
      </c>
      <c r="F116" t="s">
        <v>41</v>
      </c>
      <c r="G116">
        <v>-472.64479999999998</v>
      </c>
      <c r="H116">
        <v>1.033277</v>
      </c>
      <c r="I116">
        <v>367.15629999999999</v>
      </c>
      <c r="J116">
        <v>-473.36649999999997</v>
      </c>
      <c r="K116">
        <v>1.110744</v>
      </c>
      <c r="L116">
        <v>367.22620000000001</v>
      </c>
      <c r="M116">
        <v>0.99990540000000006</v>
      </c>
      <c r="N116">
        <v>-1.3384800000000001E-2</v>
      </c>
      <c r="O116">
        <v>3.1657769999999998E-3</v>
      </c>
      <c r="P116">
        <v>0.99853329999999996</v>
      </c>
      <c r="Q116">
        <v>-4.6478419999999999E-2</v>
      </c>
      <c r="R116">
        <v>2.776532E-2</v>
      </c>
      <c r="S116">
        <v>2.9970400000000001</v>
      </c>
      <c r="T116">
        <v>-0.31093720000000002</v>
      </c>
      <c r="U116">
        <v>-0.27938839999999998</v>
      </c>
      <c r="V116">
        <v>-2.4602949999999998E-2</v>
      </c>
      <c r="W116">
        <v>-3.310859E-2</v>
      </c>
      <c r="X116">
        <v>0.99914890000000001</v>
      </c>
      <c r="Y116">
        <v>9.5384259999999998E-2</v>
      </c>
      <c r="Z116">
        <v>-5.850498E-3</v>
      </c>
      <c r="AA116">
        <v>0.99542330000000001</v>
      </c>
      <c r="AB116">
        <v>3</v>
      </c>
      <c r="AC116">
        <v>0.72169999999999801</v>
      </c>
      <c r="AD116">
        <v>-7.7466999999999897E-2</v>
      </c>
      <c r="AE116">
        <v>-6.9900000000018198E-2</v>
      </c>
      <c r="AF116">
        <v>7.1369928343702899E-2</v>
      </c>
      <c r="AG116">
        <v>-7.7466999999999897E-2</v>
      </c>
      <c r="AH116">
        <v>0.71333258809119204</v>
      </c>
      <c r="AI116">
        <v>96.167405604689407</v>
      </c>
      <c r="AJ116">
        <v>84.286490695569498</v>
      </c>
      <c r="AK116">
        <v>0.72106739213034998</v>
      </c>
      <c r="AL116">
        <v>91.8973292078404</v>
      </c>
      <c r="AM116">
        <v>91.410560923984704</v>
      </c>
      <c r="AN116">
        <v>1.0000000041258501</v>
      </c>
    </row>
    <row r="117" spans="1:40" x14ac:dyDescent="0.25">
      <c r="A117" t="str">
        <f>"20190305134912311"</f>
        <v>20190305134912311</v>
      </c>
      <c r="B117" t="str">
        <f>"1551764952301424"</f>
        <v>1551764952301424</v>
      </c>
      <c r="C117" t="s">
        <v>40</v>
      </c>
      <c r="D117">
        <v>4.1442350000000001</v>
      </c>
      <c r="E117">
        <v>0.54425859999999904</v>
      </c>
      <c r="F117" t="s">
        <v>41</v>
      </c>
      <c r="G117">
        <v>-472.60469999999998</v>
      </c>
      <c r="H117">
        <v>1.032769</v>
      </c>
      <c r="I117">
        <v>367.15609999999998</v>
      </c>
      <c r="J117">
        <v>-473.32859999999999</v>
      </c>
      <c r="K117">
        <v>1.1103240000000001</v>
      </c>
      <c r="L117">
        <v>367.22649999999999</v>
      </c>
      <c r="M117">
        <v>0.99992309999999995</v>
      </c>
      <c r="N117">
        <v>-1.194828E-2</v>
      </c>
      <c r="O117">
        <v>3.3409569999999999E-3</v>
      </c>
      <c r="P117">
        <v>0.99868239999999997</v>
      </c>
      <c r="Q117">
        <v>-4.2591370000000003E-2</v>
      </c>
      <c r="R117">
        <v>2.8623949999999999E-2</v>
      </c>
      <c r="S117">
        <v>2.9977420000000001</v>
      </c>
      <c r="T117">
        <v>-0.30705260000000001</v>
      </c>
      <c r="U117">
        <v>-0.2750244</v>
      </c>
      <c r="V117">
        <v>-2.528478E-2</v>
      </c>
      <c r="W117">
        <v>-3.0656429999999998E-2</v>
      </c>
      <c r="X117">
        <v>0.99921009999999999</v>
      </c>
      <c r="Y117">
        <v>9.4127290000000002E-2</v>
      </c>
      <c r="Z117">
        <v>-5.6640880000000003E-3</v>
      </c>
      <c r="AA117">
        <v>0.99554410000000004</v>
      </c>
      <c r="AB117">
        <v>4</v>
      </c>
      <c r="AC117">
        <v>0.72390000000001398</v>
      </c>
      <c r="AD117">
        <v>-7.7554999999999999E-2</v>
      </c>
      <c r="AE117">
        <v>-7.0400000000006402E-2</v>
      </c>
      <c r="AF117">
        <v>7.1999636362988298E-2</v>
      </c>
      <c r="AG117">
        <v>-7.7554999999999999E-2</v>
      </c>
      <c r="AH117">
        <v>0.71552496116973197</v>
      </c>
      <c r="AI117">
        <v>96.155236694052405</v>
      </c>
      <c r="AJ117">
        <v>84.253958734451899</v>
      </c>
      <c r="AK117">
        <v>0.72330816096484696</v>
      </c>
      <c r="AL117">
        <v>91.756759333695697</v>
      </c>
      <c r="AM117">
        <v>91.449547077531406</v>
      </c>
      <c r="AN117">
        <v>0.99999998037100102</v>
      </c>
    </row>
    <row r="118" spans="1:40" x14ac:dyDescent="0.25">
      <c r="A118" t="str">
        <f>"20190305134912323"</f>
        <v>20190305134912323</v>
      </c>
      <c r="B118" t="str">
        <f>"1551764952311184"</f>
        <v>1551764952311184</v>
      </c>
      <c r="C118" t="s">
        <v>40</v>
      </c>
      <c r="D118">
        <v>4.1478999999999999</v>
      </c>
      <c r="E118">
        <v>0.54401080000000002</v>
      </c>
      <c r="F118" t="s">
        <v>41</v>
      </c>
      <c r="G118">
        <v>-472.56139999999999</v>
      </c>
      <c r="H118">
        <v>1.0332140000000001</v>
      </c>
      <c r="I118">
        <v>367.1576</v>
      </c>
      <c r="J118">
        <v>-473.29989999999998</v>
      </c>
      <c r="K118">
        <v>1.110061</v>
      </c>
      <c r="L118">
        <v>367.22669999999999</v>
      </c>
      <c r="M118">
        <v>0.99993469999999995</v>
      </c>
      <c r="N118">
        <v>-1.088859E-2</v>
      </c>
      <c r="O118">
        <v>3.492556E-3</v>
      </c>
      <c r="P118">
        <v>0.99874289999999999</v>
      </c>
      <c r="Q118">
        <v>-4.0442840000000001E-2</v>
      </c>
      <c r="R118">
        <v>2.9614519999999998E-2</v>
      </c>
      <c r="S118">
        <v>2.9987789999999999</v>
      </c>
      <c r="T118">
        <v>-0.30162670000000003</v>
      </c>
      <c r="U118">
        <v>-0.26873780000000003</v>
      </c>
      <c r="V118">
        <v>-2.6122780000000002E-2</v>
      </c>
      <c r="W118">
        <v>-2.956719E-2</v>
      </c>
      <c r="X118">
        <v>0.99922140000000004</v>
      </c>
      <c r="Y118">
        <v>9.2210249999999994E-2</v>
      </c>
      <c r="Z118">
        <v>-5.4328349999999996E-3</v>
      </c>
      <c r="AA118">
        <v>0.99572470000000002</v>
      </c>
      <c r="AB118">
        <v>5</v>
      </c>
      <c r="AC118">
        <v>0.73849999999998694</v>
      </c>
      <c r="AD118">
        <v>-7.6847000000000096E-2</v>
      </c>
      <c r="AE118">
        <v>-6.9099999999991696E-2</v>
      </c>
      <c r="AF118">
        <v>7.0917743028743194E-2</v>
      </c>
      <c r="AG118">
        <v>-7.6847000000000096E-2</v>
      </c>
      <c r="AH118">
        <v>0.73041378362664799</v>
      </c>
      <c r="AI118">
        <v>95.978099891188194</v>
      </c>
      <c r="AJ118">
        <v>84.454388677572197</v>
      </c>
      <c r="AK118">
        <v>0.73786115428113397</v>
      </c>
      <c r="AL118">
        <v>91.694322107431503</v>
      </c>
      <c r="AM118">
        <v>91.497550189838506</v>
      </c>
      <c r="AN118">
        <v>1.0000000122886901</v>
      </c>
    </row>
    <row r="119" spans="1:40" x14ac:dyDescent="0.25">
      <c r="A119" t="str">
        <f>"20190305134912344"</f>
        <v>20190305134912344</v>
      </c>
      <c r="B119" t="str">
        <f>"1551764952330703"</f>
        <v>1551764952330703</v>
      </c>
      <c r="C119" t="s">
        <v>40</v>
      </c>
      <c r="D119">
        <v>4.1057550000000003</v>
      </c>
      <c r="E119">
        <v>0.54357549999999999</v>
      </c>
      <c r="F119" t="s">
        <v>41</v>
      </c>
      <c r="G119">
        <v>-472.5598</v>
      </c>
      <c r="H119">
        <v>1.0365219999999999</v>
      </c>
      <c r="I119">
        <v>367.16140000000001</v>
      </c>
      <c r="J119">
        <v>-473.25970000000001</v>
      </c>
      <c r="K119">
        <v>1.11005</v>
      </c>
      <c r="L119">
        <v>367.22710000000001</v>
      </c>
      <c r="M119">
        <v>0.99993679999999996</v>
      </c>
      <c r="N119">
        <v>-1.0631989999999999E-2</v>
      </c>
      <c r="O119">
        <v>3.684671E-3</v>
      </c>
      <c r="P119">
        <v>0.9986699</v>
      </c>
      <c r="Q119">
        <v>-4.1292849999999999E-2</v>
      </c>
      <c r="R119">
        <v>3.0876730000000002E-2</v>
      </c>
      <c r="S119">
        <v>2.9995729999999998</v>
      </c>
      <c r="T119">
        <v>-0.29826560000000002</v>
      </c>
      <c r="U119">
        <v>-0.2640381</v>
      </c>
      <c r="V119">
        <v>-2.719295E-2</v>
      </c>
      <c r="W119">
        <v>-3.0674710000000001E-2</v>
      </c>
      <c r="X119">
        <v>0.99915949999999998</v>
      </c>
      <c r="Y119">
        <v>9.0849180000000002E-2</v>
      </c>
      <c r="Z119">
        <v>-5.3080940000000002E-3</v>
      </c>
      <c r="AA119">
        <v>0.99585049999999997</v>
      </c>
      <c r="AB119">
        <v>5</v>
      </c>
      <c r="AC119">
        <v>0.69990000000001296</v>
      </c>
      <c r="AD119">
        <v>-7.3527999999999996E-2</v>
      </c>
      <c r="AE119">
        <v>-6.5699999999992501E-2</v>
      </c>
      <c r="AF119">
        <v>6.7539705917735296E-2</v>
      </c>
      <c r="AG119">
        <v>-7.3527999999999996E-2</v>
      </c>
      <c r="AH119">
        <v>0.69208167195405601</v>
      </c>
      <c r="AI119">
        <v>96.035996571694994</v>
      </c>
      <c r="AJ119">
        <v>84.426199553137593</v>
      </c>
      <c r="AK119">
        <v>0.69924603632353599</v>
      </c>
      <c r="AL119">
        <v>91.757807070234094</v>
      </c>
      <c r="AM119">
        <v>91.558967069228501</v>
      </c>
      <c r="AN119">
        <v>1.0000000504017601</v>
      </c>
    </row>
    <row r="120" spans="1:40" x14ac:dyDescent="0.25">
      <c r="A120" t="str">
        <f>"20190305134912359"</f>
        <v>20190305134912359</v>
      </c>
      <c r="B120" t="str">
        <f>"1551764952351200"</f>
        <v>1551764952351200</v>
      </c>
      <c r="C120" t="s">
        <v>40</v>
      </c>
      <c r="D120">
        <v>4.1103399999999999</v>
      </c>
      <c r="E120">
        <v>0.54312799999999894</v>
      </c>
      <c r="F120" t="s">
        <v>41</v>
      </c>
      <c r="G120">
        <v>-472.5213</v>
      </c>
      <c r="H120">
        <v>1.0347139999999999</v>
      </c>
      <c r="I120">
        <v>367.16320000000002</v>
      </c>
      <c r="J120">
        <v>-473.23129999999998</v>
      </c>
      <c r="K120">
        <v>1.110295</v>
      </c>
      <c r="L120">
        <v>367.22739999999999</v>
      </c>
      <c r="M120">
        <v>0.99992780000000003</v>
      </c>
      <c r="N120">
        <v>-1.1398719999999999E-2</v>
      </c>
      <c r="O120">
        <v>3.8015060000000001E-3</v>
      </c>
      <c r="P120">
        <v>0.99854120000000002</v>
      </c>
      <c r="Q120">
        <v>-4.3633150000000002E-2</v>
      </c>
      <c r="R120">
        <v>3.1808580000000003E-2</v>
      </c>
      <c r="S120">
        <v>2.999298</v>
      </c>
      <c r="T120">
        <v>-0.30651089999999998</v>
      </c>
      <c r="U120">
        <v>-0.25729370000000001</v>
      </c>
      <c r="V120">
        <v>-2.8009590000000001E-2</v>
      </c>
      <c r="W120">
        <v>-3.2249489999999999E-2</v>
      </c>
      <c r="X120">
        <v>0.99908730000000001</v>
      </c>
      <c r="Y120">
        <v>8.8731879999999999E-2</v>
      </c>
      <c r="Z120">
        <v>-5.3656909999999997E-3</v>
      </c>
      <c r="AA120">
        <v>0.99604110000000001</v>
      </c>
      <c r="AB120">
        <v>5</v>
      </c>
      <c r="AC120">
        <v>0.70999999999997898</v>
      </c>
      <c r="AD120">
        <v>-7.5581000000000106E-2</v>
      </c>
      <c r="AE120">
        <v>-6.41999999999711E-2</v>
      </c>
      <c r="AF120">
        <v>6.6155186455366902E-2</v>
      </c>
      <c r="AG120">
        <v>-7.5581000000000106E-2</v>
      </c>
      <c r="AH120">
        <v>0.70186176486087104</v>
      </c>
      <c r="AI120">
        <v>96.119377713743205</v>
      </c>
      <c r="AJ120">
        <v>84.6153964591104</v>
      </c>
      <c r="AK120">
        <v>0.70901264673456998</v>
      </c>
      <c r="AL120">
        <v>91.848080106123902</v>
      </c>
      <c r="AM120">
        <v>91.605876724357501</v>
      </c>
      <c r="AN120">
        <v>0.99999999987925903</v>
      </c>
    </row>
    <row r="121" spans="1:40" x14ac:dyDescent="0.25">
      <c r="A121" t="str">
        <f>"20190305134912380"</f>
        <v>20190305134912380</v>
      </c>
      <c r="B121" t="str">
        <f>"1551764952371227"</f>
        <v>1551764952371227</v>
      </c>
      <c r="C121" t="s">
        <v>40</v>
      </c>
      <c r="D121">
        <v>4.2053949999999896</v>
      </c>
      <c r="E121">
        <v>0.54293559999999996</v>
      </c>
      <c r="F121" t="s">
        <v>41</v>
      </c>
      <c r="G121">
        <v>-472.48770000000002</v>
      </c>
      <c r="H121">
        <v>1.030937</v>
      </c>
      <c r="I121">
        <v>367.16520000000003</v>
      </c>
      <c r="J121">
        <v>-473.19799999999998</v>
      </c>
      <c r="K121">
        <v>1.110711</v>
      </c>
      <c r="L121">
        <v>367.2276</v>
      </c>
      <c r="M121">
        <v>0.99990829999999997</v>
      </c>
      <c r="N121">
        <v>-1.297045E-2</v>
      </c>
      <c r="O121">
        <v>3.9180409999999997E-3</v>
      </c>
      <c r="P121">
        <v>0.99821559999999998</v>
      </c>
      <c r="Q121">
        <v>-4.9817519999999997E-2</v>
      </c>
      <c r="R121">
        <v>3.2925509999999998E-2</v>
      </c>
      <c r="S121">
        <v>2.998383</v>
      </c>
      <c r="T121">
        <v>-0.31994529999999999</v>
      </c>
      <c r="U121">
        <v>-0.25082399999999999</v>
      </c>
      <c r="V121">
        <v>-2.9012530000000002E-2</v>
      </c>
      <c r="W121">
        <v>-3.6865309999999998E-2</v>
      </c>
      <c r="X121">
        <v>0.99889899999999998</v>
      </c>
      <c r="Y121">
        <v>8.6700070000000004E-2</v>
      </c>
      <c r="Z121">
        <v>-5.5352750000000001E-3</v>
      </c>
      <c r="AA121">
        <v>0.99621910000000002</v>
      </c>
      <c r="AB121">
        <v>4</v>
      </c>
      <c r="AC121">
        <v>0.71030000000001703</v>
      </c>
      <c r="AD121">
        <v>-7.9773999999999998E-2</v>
      </c>
      <c r="AE121">
        <v>-6.2399999999968203E-2</v>
      </c>
      <c r="AF121">
        <v>6.4376933293486496E-2</v>
      </c>
      <c r="AG121">
        <v>-7.9773999999999998E-2</v>
      </c>
      <c r="AH121">
        <v>0.70127221675634399</v>
      </c>
      <c r="AI121">
        <v>96.462903296918995</v>
      </c>
      <c r="AJ121">
        <v>84.754936595106898</v>
      </c>
      <c r="AK121">
        <v>0.70872491321430997</v>
      </c>
      <c r="AL121">
        <v>92.112705413980507</v>
      </c>
      <c r="AM121">
        <v>91.663660019797106</v>
      </c>
      <c r="AN121">
        <v>0.99999999508969795</v>
      </c>
    </row>
    <row r="122" spans="1:40" x14ac:dyDescent="0.25">
      <c r="A122" t="str">
        <f>"20190305134912404"</f>
        <v>20190305134912404</v>
      </c>
      <c r="B122" t="str">
        <f>"1551764952390746"</f>
        <v>1551764952390746</v>
      </c>
      <c r="C122" t="s">
        <v>40</v>
      </c>
      <c r="D122">
        <v>4.1531580000000003</v>
      </c>
      <c r="E122">
        <v>0.54227429999999999</v>
      </c>
      <c r="F122" t="s">
        <v>41</v>
      </c>
      <c r="G122">
        <v>-472.45780000000002</v>
      </c>
      <c r="H122">
        <v>1.0264679999999999</v>
      </c>
      <c r="I122">
        <v>367.16629999999998</v>
      </c>
      <c r="J122">
        <v>-473.15879999999999</v>
      </c>
      <c r="K122">
        <v>1.1108290000000001</v>
      </c>
      <c r="L122">
        <v>367.22800000000001</v>
      </c>
      <c r="M122">
        <v>0.99989799999999995</v>
      </c>
      <c r="N122">
        <v>-1.370069E-2</v>
      </c>
      <c r="O122">
        <v>4.0706090000000002E-3</v>
      </c>
      <c r="P122">
        <v>0.99803160000000002</v>
      </c>
      <c r="Q122">
        <v>-5.2179070000000001E-2</v>
      </c>
      <c r="R122">
        <v>3.4793379999999999E-2</v>
      </c>
      <c r="S122">
        <v>2.996429</v>
      </c>
      <c r="T122">
        <v>-0.34172329999999901</v>
      </c>
      <c r="U122">
        <v>-0.24591060000000001</v>
      </c>
      <c r="V122">
        <v>-3.072913E-2</v>
      </c>
      <c r="W122">
        <v>-3.8499169999999999E-2</v>
      </c>
      <c r="X122">
        <v>0.99878599999999995</v>
      </c>
      <c r="Y122">
        <v>8.5213860000000002E-2</v>
      </c>
      <c r="Z122">
        <v>-5.8286060000000001E-3</v>
      </c>
      <c r="AA122">
        <v>0.99634560000000005</v>
      </c>
      <c r="AB122">
        <v>4</v>
      </c>
      <c r="AC122">
        <v>0.70099999999996498</v>
      </c>
      <c r="AD122">
        <v>-8.4361000000000103E-2</v>
      </c>
      <c r="AE122">
        <v>-6.1700000000030203E-2</v>
      </c>
      <c r="AF122">
        <v>6.3638682830331195E-2</v>
      </c>
      <c r="AG122">
        <v>-8.4361000000000103E-2</v>
      </c>
      <c r="AH122">
        <v>0.69081510388108103</v>
      </c>
      <c r="AI122">
        <v>96.933307038190407</v>
      </c>
      <c r="AJ122">
        <v>84.736701925573399</v>
      </c>
      <c r="AK122">
        <v>0.69885060493900097</v>
      </c>
      <c r="AL122">
        <v>92.206385297385694</v>
      </c>
      <c r="AM122">
        <v>91.762233594293605</v>
      </c>
      <c r="AN122">
        <v>0.99999996965862203</v>
      </c>
    </row>
    <row r="123" spans="1:40" x14ac:dyDescent="0.25">
      <c r="A123" t="str">
        <f>"20190305134912422"</f>
        <v>20190305134912422</v>
      </c>
      <c r="B123" t="str">
        <f>"1551764952411241"</f>
        <v>1551764952411241</v>
      </c>
      <c r="C123" t="s">
        <v>40</v>
      </c>
      <c r="D123">
        <v>4.1715799999999996</v>
      </c>
      <c r="E123">
        <v>0.54189940000000003</v>
      </c>
      <c r="F123" t="s">
        <v>41</v>
      </c>
      <c r="G123">
        <v>-472.42340000000002</v>
      </c>
      <c r="H123">
        <v>1.022932</v>
      </c>
      <c r="I123">
        <v>367.1703</v>
      </c>
      <c r="J123">
        <v>-473.11860000000001</v>
      </c>
      <c r="K123">
        <v>1.1104769999999999</v>
      </c>
      <c r="L123">
        <v>367.22840000000002</v>
      </c>
      <c r="M123">
        <v>0.99991169999999996</v>
      </c>
      <c r="N123">
        <v>-1.2578020000000001E-2</v>
      </c>
      <c r="O123">
        <v>4.2918169999999999E-3</v>
      </c>
      <c r="P123">
        <v>0.99805880000000002</v>
      </c>
      <c r="Q123">
        <v>-5.04895E-2</v>
      </c>
      <c r="R123">
        <v>3.6467239999999998E-2</v>
      </c>
      <c r="S123">
        <v>2.995422</v>
      </c>
      <c r="T123">
        <v>-0.35792449999999998</v>
      </c>
      <c r="U123">
        <v>-0.2355652</v>
      </c>
      <c r="V123">
        <v>-3.218E-2</v>
      </c>
      <c r="W123">
        <v>-3.7932550000000002E-2</v>
      </c>
      <c r="X123">
        <v>0.99876200000000004</v>
      </c>
      <c r="Y123">
        <v>8.201195E-2</v>
      </c>
      <c r="Z123">
        <v>-5.8501380000000004E-3</v>
      </c>
      <c r="AA123">
        <v>0.99661420000000001</v>
      </c>
      <c r="AB123">
        <v>3</v>
      </c>
      <c r="AC123">
        <v>0.69519999999999904</v>
      </c>
      <c r="AD123">
        <v>-8.7544999999999901E-2</v>
      </c>
      <c r="AE123">
        <v>-5.8100000000024403E-2</v>
      </c>
      <c r="AF123">
        <v>6.0136355584448603E-2</v>
      </c>
      <c r="AG123">
        <v>-8.7544999999999901E-2</v>
      </c>
      <c r="AH123">
        <v>0.68417003645682295</v>
      </c>
      <c r="AI123">
        <v>97.264120344894707</v>
      </c>
      <c r="AJ123">
        <v>84.976794063738893</v>
      </c>
      <c r="AK123">
        <v>0.69236489445473004</v>
      </c>
      <c r="AL123">
        <v>92.173896602454207</v>
      </c>
      <c r="AM123">
        <v>91.845425196497402</v>
      </c>
      <c r="AN123">
        <v>0.99999998169675097</v>
      </c>
    </row>
    <row r="124" spans="1:40" x14ac:dyDescent="0.25">
      <c r="A124" t="str">
        <f>"20190305134912438"</f>
        <v>20190305134912438</v>
      </c>
      <c r="B124" t="str">
        <f>"1551764952430761"</f>
        <v>1551764952430761</v>
      </c>
      <c r="C124" t="s">
        <v>40</v>
      </c>
      <c r="D124">
        <v>4.1973900000000004</v>
      </c>
      <c r="E124">
        <v>0.54166590000000003</v>
      </c>
      <c r="F124" t="s">
        <v>41</v>
      </c>
      <c r="G124">
        <v>-472.38310000000001</v>
      </c>
      <c r="H124">
        <v>1.0228630000000001</v>
      </c>
      <c r="I124">
        <v>367.17200000000003</v>
      </c>
      <c r="J124">
        <v>-473.0856</v>
      </c>
      <c r="K124">
        <v>1.1101510000000001</v>
      </c>
      <c r="L124">
        <v>367.22879999999998</v>
      </c>
      <c r="M124">
        <v>0.99992559999999997</v>
      </c>
      <c r="N124">
        <v>-1.13454E-2</v>
      </c>
      <c r="O124">
        <v>4.5067240000000001E-3</v>
      </c>
      <c r="P124">
        <v>0.99817029999999995</v>
      </c>
      <c r="Q124">
        <v>-4.7659340000000001E-2</v>
      </c>
      <c r="R124">
        <v>3.7215489999999997E-2</v>
      </c>
      <c r="S124">
        <v>2.9960939999999998</v>
      </c>
      <c r="T124">
        <v>-0.35737560000000002</v>
      </c>
      <c r="U124">
        <v>-0.2281494</v>
      </c>
      <c r="V124">
        <v>-3.2711539999999997E-2</v>
      </c>
      <c r="W124">
        <v>-3.6334209999999999E-2</v>
      </c>
      <c r="X124">
        <v>0.99880420000000003</v>
      </c>
      <c r="Y124">
        <v>7.9779909999999996E-2</v>
      </c>
      <c r="Z124">
        <v>-5.6735149999999996E-3</v>
      </c>
      <c r="AA124">
        <v>0.99679640000000003</v>
      </c>
      <c r="AB124">
        <v>4</v>
      </c>
      <c r="AC124">
        <v>0.70249999999998602</v>
      </c>
      <c r="AD124">
        <v>-8.7288000000000199E-2</v>
      </c>
      <c r="AE124">
        <v>-5.6800000000009697E-2</v>
      </c>
      <c r="AF124">
        <v>5.9059705264449702E-2</v>
      </c>
      <c r="AG124">
        <v>-8.7288000000000199E-2</v>
      </c>
      <c r="AH124">
        <v>0.69162823824249797</v>
      </c>
      <c r="AI124">
        <v>97.167260689947497</v>
      </c>
      <c r="AJ124">
        <v>85.119223624988706</v>
      </c>
      <c r="AK124">
        <v>0.69961193790868403</v>
      </c>
      <c r="AL124">
        <v>92.082255161581401</v>
      </c>
      <c r="AM124">
        <v>91.875806597640604</v>
      </c>
      <c r="AN124">
        <v>1.0000000248015599</v>
      </c>
    </row>
    <row r="125" spans="1:40" x14ac:dyDescent="0.25">
      <c r="A125" t="str">
        <f>"20190305134912515"</f>
        <v>20190305134912515</v>
      </c>
      <c r="B125" t="str">
        <f>"1551764952511298"</f>
        <v>1551764952511298</v>
      </c>
      <c r="C125" t="s">
        <v>40</v>
      </c>
      <c r="D125">
        <v>3.7063410000000001</v>
      </c>
      <c r="E125">
        <v>0.54140080000000002</v>
      </c>
      <c r="F125" t="s">
        <v>41</v>
      </c>
      <c r="G125">
        <v>-472.34030000000001</v>
      </c>
      <c r="H125">
        <v>1.0222209999999901</v>
      </c>
      <c r="I125">
        <v>367.17290000000003</v>
      </c>
      <c r="J125">
        <v>-472.94580000000002</v>
      </c>
      <c r="K125">
        <v>1.110914</v>
      </c>
      <c r="L125">
        <v>367.23039999999997</v>
      </c>
      <c r="M125">
        <v>0.99989079999999997</v>
      </c>
      <c r="N125">
        <v>-1.3806529999999999E-2</v>
      </c>
      <c r="O125">
        <v>5.2791330000000001E-3</v>
      </c>
      <c r="P125">
        <v>0.99771259999999995</v>
      </c>
      <c r="Q125">
        <v>-5.3021680000000002E-2</v>
      </c>
      <c r="R125">
        <v>4.1936349999999997E-2</v>
      </c>
      <c r="S125">
        <v>2.9969790000000001</v>
      </c>
      <c r="T125">
        <v>-0.35375299999999998</v>
      </c>
      <c r="U125">
        <v>-0.2242432</v>
      </c>
      <c r="V125">
        <v>-3.6667379999999999E-2</v>
      </c>
      <c r="W125">
        <v>-3.9239740000000002E-2</v>
      </c>
      <c r="X125">
        <v>0.99855689999999997</v>
      </c>
      <c r="Y125">
        <v>7.9238130000000004E-2</v>
      </c>
      <c r="Z125">
        <v>-5.751361E-3</v>
      </c>
      <c r="AA125">
        <v>0.99683909999999998</v>
      </c>
      <c r="AB125">
        <v>4</v>
      </c>
      <c r="AC125">
        <v>0.60550000000000603</v>
      </c>
      <c r="AD125">
        <v>-8.8693000000000105E-2</v>
      </c>
      <c r="AE125">
        <v>-5.7499999999947697E-2</v>
      </c>
      <c r="AF125">
        <v>5.9432232149882601E-2</v>
      </c>
      <c r="AG125">
        <v>-8.8693000000000105E-2</v>
      </c>
      <c r="AH125">
        <v>0.59258702158341203</v>
      </c>
      <c r="AI125">
        <v>98.470447470651706</v>
      </c>
      <c r="AJ125">
        <v>84.272795277802501</v>
      </c>
      <c r="AK125">
        <v>0.60212790718950804</v>
      </c>
      <c r="AL125">
        <v>92.248848703148596</v>
      </c>
      <c r="AM125">
        <v>92.102977421488802</v>
      </c>
      <c r="AN125">
        <v>1.0000000682444601</v>
      </c>
    </row>
    <row r="126" spans="1:40" x14ac:dyDescent="0.25">
      <c r="A126" t="str">
        <f>"20190305134912534"</f>
        <v>20190305134912534</v>
      </c>
      <c r="B126" t="str">
        <f>"1551764952530818"</f>
        <v>1551764952530818</v>
      </c>
      <c r="C126" t="s">
        <v>40</v>
      </c>
      <c r="D126">
        <v>4.1470339999999997</v>
      </c>
      <c r="E126">
        <v>0.54166700000000001</v>
      </c>
      <c r="F126" t="s">
        <v>41</v>
      </c>
      <c r="G126">
        <v>-472.20010000000002</v>
      </c>
      <c r="H126">
        <v>1.016394</v>
      </c>
      <c r="I126">
        <v>367.178</v>
      </c>
      <c r="J126">
        <v>-472.9101</v>
      </c>
      <c r="K126">
        <v>1.1106910000000001</v>
      </c>
      <c r="L126">
        <v>367.23079999999999</v>
      </c>
      <c r="M126">
        <v>0.99989700000000004</v>
      </c>
      <c r="N126">
        <v>-1.3263530000000001E-2</v>
      </c>
      <c r="O126">
        <v>5.4869530000000001E-3</v>
      </c>
      <c r="P126">
        <v>0.99760009999999999</v>
      </c>
      <c r="Q126">
        <v>-5.3322210000000002E-2</v>
      </c>
      <c r="R126">
        <v>4.417099E-2</v>
      </c>
      <c r="S126">
        <v>2.9955440000000002</v>
      </c>
      <c r="T126">
        <v>-0.37995719999999999</v>
      </c>
      <c r="U126">
        <v>-0.20962520000000001</v>
      </c>
      <c r="V126">
        <v>-3.8693930000000001E-2</v>
      </c>
      <c r="W126">
        <v>-4.0085160000000002E-2</v>
      </c>
      <c r="X126">
        <v>0.99844679999999997</v>
      </c>
      <c r="Y126">
        <v>7.4588500000000002E-2</v>
      </c>
      <c r="Z126">
        <v>-5.8232809999999996E-3</v>
      </c>
      <c r="AA126">
        <v>0.99719740000000001</v>
      </c>
      <c r="AB126">
        <v>3</v>
      </c>
      <c r="AC126">
        <v>0.70999999999997898</v>
      </c>
      <c r="AD126">
        <v>-9.4297000000000006E-2</v>
      </c>
      <c r="AE126">
        <v>-5.2799999999933699E-2</v>
      </c>
      <c r="AF126">
        <v>5.5717870681110303E-2</v>
      </c>
      <c r="AG126">
        <v>-9.4297000000000006E-2</v>
      </c>
      <c r="AH126">
        <v>0.69746451656866904</v>
      </c>
      <c r="AI126">
        <v>97.675525086712994</v>
      </c>
      <c r="AJ126">
        <v>85.432550997140098</v>
      </c>
      <c r="AK126">
        <v>0.70601215088311597</v>
      </c>
      <c r="AL126">
        <v>92.297325940444296</v>
      </c>
      <c r="AM126">
        <v>92.219337064917497</v>
      </c>
      <c r="AN126">
        <v>1.0000000263506501</v>
      </c>
    </row>
    <row r="127" spans="1:40" x14ac:dyDescent="0.25">
      <c r="A127" t="str">
        <f>"20190305134912547"</f>
        <v>20190305134912547</v>
      </c>
      <c r="B127" t="str">
        <f>"1551764952540578"</f>
        <v>1551764952540578</v>
      </c>
      <c r="C127" t="s">
        <v>40</v>
      </c>
      <c r="D127">
        <v>4.2044699999999997</v>
      </c>
      <c r="E127">
        <v>0.54173479999999996</v>
      </c>
      <c r="F127" t="s">
        <v>41</v>
      </c>
      <c r="G127">
        <v>-472.16079999999999</v>
      </c>
      <c r="H127">
        <v>1.014122</v>
      </c>
      <c r="I127">
        <v>367.17910000000001</v>
      </c>
      <c r="J127">
        <v>-472.88310000000001</v>
      </c>
      <c r="K127">
        <v>1.110371</v>
      </c>
      <c r="L127">
        <v>367.2312</v>
      </c>
      <c r="M127">
        <v>0.99990900000000005</v>
      </c>
      <c r="N127">
        <v>-1.223345E-2</v>
      </c>
      <c r="O127">
        <v>5.675477E-3</v>
      </c>
      <c r="P127">
        <v>0.99756049999999996</v>
      </c>
      <c r="Q127">
        <v>-5.34192E-2</v>
      </c>
      <c r="R127">
        <v>4.493846E-2</v>
      </c>
      <c r="S127">
        <v>2.9956670000000001</v>
      </c>
      <c r="T127">
        <v>-0.38630249999999999</v>
      </c>
      <c r="U127">
        <v>-0.20516970000000001</v>
      </c>
      <c r="V127">
        <v>-3.9271529999999999E-2</v>
      </c>
      <c r="W127">
        <v>-4.1212499999999999E-2</v>
      </c>
      <c r="X127">
        <v>0.99837830000000005</v>
      </c>
      <c r="Y127">
        <v>7.3289859999999998E-2</v>
      </c>
      <c r="Z127">
        <v>-5.8103869999999898E-3</v>
      </c>
      <c r="AA127">
        <v>0.99729380000000001</v>
      </c>
      <c r="AB127">
        <v>4</v>
      </c>
      <c r="AC127">
        <v>0.72230000000001804</v>
      </c>
      <c r="AD127">
        <v>-9.6249000000000001E-2</v>
      </c>
      <c r="AE127">
        <v>-5.2099999999995802E-2</v>
      </c>
      <c r="AF127">
        <v>5.52233668149434E-2</v>
      </c>
      <c r="AG127">
        <v>-9.6249000000000001E-2</v>
      </c>
      <c r="AH127">
        <v>0.70946032616724097</v>
      </c>
      <c r="AI127">
        <v>97.702850384859204</v>
      </c>
      <c r="AJ127">
        <v>85.549153811065807</v>
      </c>
      <c r="AK127">
        <v>0.71808595909452599</v>
      </c>
      <c r="AL127">
        <v>92.361971313553795</v>
      </c>
      <c r="AM127">
        <v>92.252586521273599</v>
      </c>
      <c r="AN127">
        <v>0.99999997656784001</v>
      </c>
    </row>
    <row r="128" spans="1:40" x14ac:dyDescent="0.25">
      <c r="A128" t="str">
        <f>"20190305134912569"</f>
        <v>20190305134912569</v>
      </c>
      <c r="B128" t="str">
        <f>"1551764952561074"</f>
        <v>1551764952561074</v>
      </c>
      <c r="C128" t="s">
        <v>40</v>
      </c>
      <c r="D128">
        <v>4.2211189999999998</v>
      </c>
      <c r="E128">
        <v>0.5418423</v>
      </c>
      <c r="F128" t="s">
        <v>41</v>
      </c>
      <c r="G128">
        <v>-472.15960000000001</v>
      </c>
      <c r="H128">
        <v>1.016486</v>
      </c>
      <c r="I128">
        <v>367.1816</v>
      </c>
      <c r="J128">
        <v>-472.83749999999998</v>
      </c>
      <c r="K128">
        <v>1.109931</v>
      </c>
      <c r="L128">
        <v>367.23169999999999</v>
      </c>
      <c r="M128">
        <v>0.99992630000000005</v>
      </c>
      <c r="N128">
        <v>-1.054624E-2</v>
      </c>
      <c r="O128">
        <v>6.0258100000000004E-3</v>
      </c>
      <c r="P128">
        <v>0.99748170000000003</v>
      </c>
      <c r="Q128">
        <v>-5.4366100000000001E-2</v>
      </c>
      <c r="R128">
        <v>4.5549249999999999E-2</v>
      </c>
      <c r="S128">
        <v>2.9956670000000001</v>
      </c>
      <c r="T128">
        <v>-0.38915440000000001</v>
      </c>
      <c r="U128">
        <v>-0.20339969999999999</v>
      </c>
      <c r="V128">
        <v>-3.9529889999999998E-2</v>
      </c>
      <c r="W128">
        <v>-4.3847280000000002E-2</v>
      </c>
      <c r="X128">
        <v>0.99825589999999997</v>
      </c>
      <c r="Y128">
        <v>7.3049249999999996E-2</v>
      </c>
      <c r="Z128">
        <v>-5.8223619999999898E-3</v>
      </c>
      <c r="AA128">
        <v>0.99731139999999996</v>
      </c>
      <c r="AB128">
        <v>4</v>
      </c>
      <c r="AC128">
        <v>0.67789999999996498</v>
      </c>
      <c r="AD128">
        <v>-9.3445E-2</v>
      </c>
      <c r="AE128">
        <v>-5.0099999999986197E-2</v>
      </c>
      <c r="AF128">
        <v>5.3179234033012703E-2</v>
      </c>
      <c r="AG128">
        <v>-9.3445E-2</v>
      </c>
      <c r="AH128">
        <v>0.66501828301835797</v>
      </c>
      <c r="AI128">
        <v>97.973420614811104</v>
      </c>
      <c r="AJ128">
        <v>85.427981709692006</v>
      </c>
      <c r="AK128">
        <v>0.67365370607310004</v>
      </c>
      <c r="AL128">
        <v>92.513069742985095</v>
      </c>
      <c r="AM128">
        <v>92.267668170387495</v>
      </c>
      <c r="AN128">
        <v>1.00000001902581</v>
      </c>
    </row>
    <row r="129" spans="1:40" x14ac:dyDescent="0.25">
      <c r="A129" t="str">
        <f>"20190305134912590"</f>
        <v>20190305134912590</v>
      </c>
      <c r="B129" t="str">
        <f>"1551764952581100"</f>
        <v>1551764952581100</v>
      </c>
      <c r="C129" t="s">
        <v>40</v>
      </c>
      <c r="D129">
        <v>4.2547230000000003</v>
      </c>
      <c r="E129">
        <v>0.54185620000000001</v>
      </c>
      <c r="F129" t="s">
        <v>41</v>
      </c>
      <c r="G129">
        <v>-472.11750000000001</v>
      </c>
      <c r="H129">
        <v>1.014564</v>
      </c>
      <c r="I129">
        <v>367.18290000000002</v>
      </c>
      <c r="J129">
        <v>-472.79379999999998</v>
      </c>
      <c r="K129">
        <v>1.110085</v>
      </c>
      <c r="L129">
        <v>367.23239999999998</v>
      </c>
      <c r="M129">
        <v>0.99992199999999998</v>
      </c>
      <c r="N129">
        <v>-1.077086E-2</v>
      </c>
      <c r="O129">
        <v>6.322215E-3</v>
      </c>
      <c r="P129">
        <v>0.99745099999999998</v>
      </c>
      <c r="Q129">
        <v>-5.4777979999999997E-2</v>
      </c>
      <c r="R129">
        <v>4.5725769999999999E-2</v>
      </c>
      <c r="S129">
        <v>2.9951780000000001</v>
      </c>
      <c r="T129">
        <v>-0.39691779999999999</v>
      </c>
      <c r="U129">
        <v>-0.20211789999999999</v>
      </c>
      <c r="V129">
        <v>-3.9411500000000002E-2</v>
      </c>
      <c r="W129">
        <v>-4.4034579999999997E-2</v>
      </c>
      <c r="X129">
        <v>0.99825229999999998</v>
      </c>
      <c r="Y129">
        <v>7.2901679999999996E-2</v>
      </c>
      <c r="Z129">
        <v>-5.9644429999999998E-3</v>
      </c>
      <c r="AA129">
        <v>0.99732129999999997</v>
      </c>
      <c r="AB129">
        <v>5</v>
      </c>
      <c r="AC129">
        <v>0.67629999999996904</v>
      </c>
      <c r="AD129">
        <v>-9.5520999999999898E-2</v>
      </c>
      <c r="AE129">
        <v>-4.94999999999663E-2</v>
      </c>
      <c r="AF129">
        <v>5.2728698187340502E-2</v>
      </c>
      <c r="AG129">
        <v>-9.5520999999999898E-2</v>
      </c>
      <c r="AH129">
        <v>0.66282141404425399</v>
      </c>
      <c r="AI129">
        <v>98.175114097218497</v>
      </c>
      <c r="AJ129">
        <v>85.451591016084095</v>
      </c>
      <c r="AK129">
        <v>0.67174161994710102</v>
      </c>
      <c r="AL129">
        <v>92.523811709758505</v>
      </c>
      <c r="AM129">
        <v>92.260891823465997</v>
      </c>
      <c r="AN129">
        <v>0.999999982511658</v>
      </c>
    </row>
    <row r="130" spans="1:40" x14ac:dyDescent="0.25">
      <c r="A130" t="str">
        <f>"20190305134912611"</f>
        <v>20190305134912611</v>
      </c>
      <c r="B130" t="str">
        <f>"1551764952600621"</f>
        <v>1551764952600621</v>
      </c>
      <c r="C130" t="s">
        <v>40</v>
      </c>
      <c r="D130">
        <v>4.2872019999999997</v>
      </c>
      <c r="E130">
        <v>0.54176119999999905</v>
      </c>
      <c r="F130" t="s">
        <v>41</v>
      </c>
      <c r="G130">
        <v>-472.04509999999999</v>
      </c>
      <c r="H130">
        <v>1.0095829999999999</v>
      </c>
      <c r="I130">
        <v>367.18180000000001</v>
      </c>
      <c r="J130">
        <v>-472.7577</v>
      </c>
      <c r="K130">
        <v>1.11052</v>
      </c>
      <c r="L130">
        <v>367.2328</v>
      </c>
      <c r="M130">
        <v>0.99990369999999995</v>
      </c>
      <c r="N130">
        <v>-1.225352E-2</v>
      </c>
      <c r="O130">
        <v>6.5278530000000001E-3</v>
      </c>
      <c r="P130">
        <v>0.99742620000000004</v>
      </c>
      <c r="Q130">
        <v>-5.5203549999999997E-2</v>
      </c>
      <c r="R130">
        <v>4.5761000000000003E-2</v>
      </c>
      <c r="S130">
        <v>2.9948429999999999</v>
      </c>
      <c r="T130">
        <v>-0.4020667</v>
      </c>
      <c r="U130">
        <v>-0.20211789999999999</v>
      </c>
      <c r="V130">
        <v>-3.9245290000000002E-2</v>
      </c>
      <c r="W130">
        <v>-4.2977120000000001E-2</v>
      </c>
      <c r="X130">
        <v>0.998305</v>
      </c>
      <c r="Y130">
        <v>7.3086280000000003E-2</v>
      </c>
      <c r="Z130">
        <v>-6.1210869999999999E-3</v>
      </c>
      <c r="AA130">
        <v>0.99730680000000005</v>
      </c>
      <c r="AB130">
        <v>4</v>
      </c>
      <c r="AC130">
        <v>0.712600000000009</v>
      </c>
      <c r="AD130">
        <v>-0.100937</v>
      </c>
      <c r="AE130">
        <v>-5.0999999999987701E-2</v>
      </c>
      <c r="AF130">
        <v>5.45618802859291E-2</v>
      </c>
      <c r="AG130">
        <v>-0.100937</v>
      </c>
      <c r="AH130">
        <v>0.69831259373471299</v>
      </c>
      <c r="AI130">
        <v>98.200154023787604</v>
      </c>
      <c r="AJ130">
        <v>85.532334595989994</v>
      </c>
      <c r="AK130">
        <v>0.707676306878956</v>
      </c>
      <c r="AL130">
        <v>92.463166125402594</v>
      </c>
      <c r="AM130">
        <v>92.251248077263398</v>
      </c>
      <c r="AN130">
        <v>1.00000004932783</v>
      </c>
    </row>
    <row r="131" spans="1:40" x14ac:dyDescent="0.25">
      <c r="A131" t="str">
        <f>"20190305134912633"</f>
        <v>20190305134912633</v>
      </c>
      <c r="B131" t="str">
        <f>"1551764952621116"</f>
        <v>1551764952621116</v>
      </c>
      <c r="C131" t="s">
        <v>40</v>
      </c>
      <c r="D131">
        <v>4.3244530000000001</v>
      </c>
      <c r="E131">
        <v>0.54183579999999998</v>
      </c>
      <c r="F131" t="s">
        <v>41</v>
      </c>
      <c r="G131">
        <v>-472.01310000000001</v>
      </c>
      <c r="H131">
        <v>1.0093510000000001</v>
      </c>
      <c r="I131">
        <v>367.18259999999998</v>
      </c>
      <c r="J131">
        <v>-472.72199999999998</v>
      </c>
      <c r="K131">
        <v>1.1108750000000001</v>
      </c>
      <c r="L131">
        <v>367.23329999999999</v>
      </c>
      <c r="M131">
        <v>0.99988220000000005</v>
      </c>
      <c r="N131">
        <v>-1.381774E-2</v>
      </c>
      <c r="O131">
        <v>6.7045539999999997E-3</v>
      </c>
      <c r="P131">
        <v>0.9973398</v>
      </c>
      <c r="Q131">
        <v>-5.7333700000000001E-2</v>
      </c>
      <c r="R131">
        <v>4.5016199999999999E-2</v>
      </c>
      <c r="S131">
        <v>2.9943849999999999</v>
      </c>
      <c r="T131">
        <v>-0.40722069999999999</v>
      </c>
      <c r="U131">
        <v>-0.20095830000000001</v>
      </c>
      <c r="V131">
        <v>-3.832845E-2</v>
      </c>
      <c r="W131">
        <v>-4.354305E-2</v>
      </c>
      <c r="X131">
        <v>0.99831599999999998</v>
      </c>
      <c r="Y131">
        <v>7.2863609999999995E-2</v>
      </c>
      <c r="Z131">
        <v>-6.2473869999999897E-3</v>
      </c>
      <c r="AA131">
        <v>0.99732229999999999</v>
      </c>
      <c r="AB131">
        <v>4</v>
      </c>
      <c r="AC131">
        <v>0.708899999999971</v>
      </c>
      <c r="AD131">
        <v>-0.101523999999999</v>
      </c>
      <c r="AE131">
        <v>-5.0700000000006101E-2</v>
      </c>
      <c r="AF131">
        <v>5.43432588506291E-2</v>
      </c>
      <c r="AG131">
        <v>-0.101523999999999</v>
      </c>
      <c r="AH131">
        <v>0.69437489709663103</v>
      </c>
      <c r="AI131">
        <v>98.293226323405094</v>
      </c>
      <c r="AJ131">
        <v>85.525031684190097</v>
      </c>
      <c r="AK131">
        <v>0.70385851566665203</v>
      </c>
      <c r="AL131">
        <v>92.495622152523794</v>
      </c>
      <c r="AM131">
        <v>92.198682936661996</v>
      </c>
      <c r="AN131">
        <v>0.99999995156935095</v>
      </c>
    </row>
    <row r="132" spans="1:40" x14ac:dyDescent="0.25">
      <c r="A132" t="str">
        <f>"20190305134912656"</f>
        <v>20190305134912656</v>
      </c>
      <c r="B132" t="str">
        <f>"1551764952640636"</f>
        <v>1551764952640636</v>
      </c>
      <c r="C132" t="s">
        <v>40</v>
      </c>
      <c r="D132">
        <v>4.4129550000000002</v>
      </c>
      <c r="E132">
        <v>0.54200919999999997</v>
      </c>
      <c r="F132" t="s">
        <v>41</v>
      </c>
      <c r="G132">
        <v>-471.97789999999998</v>
      </c>
      <c r="H132">
        <v>1.00726</v>
      </c>
      <c r="I132">
        <v>367.1823</v>
      </c>
      <c r="J132">
        <v>-472.67910000000001</v>
      </c>
      <c r="K132">
        <v>1.1105849999999999</v>
      </c>
      <c r="L132">
        <v>367.23390000000001</v>
      </c>
      <c r="M132">
        <v>0.99989030000000001</v>
      </c>
      <c r="N132">
        <v>-1.308778E-2</v>
      </c>
      <c r="O132">
        <v>6.9553549999999999E-3</v>
      </c>
      <c r="P132">
        <v>0.99720050000000005</v>
      </c>
      <c r="Q132">
        <v>-6.0247439999999999E-2</v>
      </c>
      <c r="R132">
        <v>4.4291240000000003E-2</v>
      </c>
      <c r="S132">
        <v>2.9932249999999998</v>
      </c>
      <c r="T132">
        <v>-0.41708919999999999</v>
      </c>
      <c r="U132">
        <v>-0.20382690000000001</v>
      </c>
      <c r="V132">
        <v>-3.735256E-2</v>
      </c>
      <c r="W132">
        <v>-4.7188430000000003E-2</v>
      </c>
      <c r="X132">
        <v>0.99818739999999995</v>
      </c>
      <c r="Y132">
        <v>7.4042079999999996E-2</v>
      </c>
      <c r="Z132">
        <v>-6.4886179999999998E-3</v>
      </c>
      <c r="AA132">
        <v>0.99723399999999995</v>
      </c>
      <c r="AB132">
        <v>3</v>
      </c>
      <c r="AC132">
        <v>0.70120000000002802</v>
      </c>
      <c r="AD132">
        <v>-0.103324999999999</v>
      </c>
      <c r="AE132">
        <v>-5.1600000000007598E-2</v>
      </c>
      <c r="AF132">
        <v>5.5282363073955003E-2</v>
      </c>
      <c r="AG132">
        <v>-0.103324999999999</v>
      </c>
      <c r="AH132">
        <v>0.68600878211000504</v>
      </c>
      <c r="AI132">
        <v>98.538101421943793</v>
      </c>
      <c r="AJ132">
        <v>85.392746753593698</v>
      </c>
      <c r="AK132">
        <v>0.69594557576299998</v>
      </c>
      <c r="AL132">
        <v>92.704702232721303</v>
      </c>
      <c r="AM132">
        <v>92.143030399829001</v>
      </c>
      <c r="AN132">
        <v>1.00000002359158</v>
      </c>
    </row>
    <row r="133" spans="1:40" x14ac:dyDescent="0.25">
      <c r="A133" t="str">
        <f>"20190305134912679"</f>
        <v>20190305134912679</v>
      </c>
      <c r="B133" t="str">
        <f>"1551764952670893"</f>
        <v>1551764952670893</v>
      </c>
      <c r="C133" t="s">
        <v>40</v>
      </c>
      <c r="D133">
        <v>4.4625620000000001</v>
      </c>
      <c r="E133">
        <v>0.57489809999999997</v>
      </c>
      <c r="F133" t="s">
        <v>41</v>
      </c>
      <c r="G133">
        <v>-471.93860000000001</v>
      </c>
      <c r="H133">
        <v>1.0047299999999999</v>
      </c>
      <c r="I133">
        <v>367.18220000000002</v>
      </c>
      <c r="J133">
        <v>-472.63099999999997</v>
      </c>
      <c r="K133">
        <v>1.1100650000000001</v>
      </c>
      <c r="L133">
        <v>367.2346</v>
      </c>
      <c r="M133">
        <v>0.99990979999999996</v>
      </c>
      <c r="N133">
        <v>-1.128183E-2</v>
      </c>
      <c r="O133">
        <v>7.2988419999999998E-3</v>
      </c>
      <c r="P133">
        <v>0.99716190000000005</v>
      </c>
      <c r="Q133">
        <v>-6.123754E-2</v>
      </c>
      <c r="R133">
        <v>4.3801109999999997E-2</v>
      </c>
      <c r="S133">
        <v>2.99173</v>
      </c>
      <c r="T133">
        <v>-0.42817450000000001</v>
      </c>
      <c r="U133">
        <v>-0.20669560000000001</v>
      </c>
      <c r="V133">
        <v>-3.6516529999999998E-2</v>
      </c>
      <c r="W133">
        <v>-4.9984019999999997E-2</v>
      </c>
      <c r="X133">
        <v>0.99808220000000003</v>
      </c>
      <c r="Y133">
        <v>7.5316969999999997E-2</v>
      </c>
      <c r="Z133">
        <v>-6.7400309999999996E-3</v>
      </c>
      <c r="AA133">
        <v>0.99713689999999999</v>
      </c>
      <c r="AB133">
        <v>4</v>
      </c>
      <c r="AC133">
        <v>0.69239999999996305</v>
      </c>
      <c r="AD133">
        <v>-0.105334999999999</v>
      </c>
      <c r="AE133">
        <v>-5.2399999999977298E-2</v>
      </c>
      <c r="AF133">
        <v>5.6160292701030103E-2</v>
      </c>
      <c r="AG133">
        <v>-0.105334999999999</v>
      </c>
      <c r="AH133">
        <v>0.67643311071127499</v>
      </c>
      <c r="AI133">
        <v>98.821212440230497</v>
      </c>
      <c r="AJ133">
        <v>85.253950759396005</v>
      </c>
      <c r="AK133">
        <v>0.68688513884622504</v>
      </c>
      <c r="AL133">
        <v>92.865067339849105</v>
      </c>
      <c r="AM133">
        <v>92.0953286725466</v>
      </c>
      <c r="AN133">
        <v>0.99999996858772</v>
      </c>
    </row>
    <row r="134" spans="1:40" x14ac:dyDescent="0.25">
      <c r="A134" t="str">
        <f>"20190305134912701"</f>
        <v>20190305134912701</v>
      </c>
      <c r="B134" t="str">
        <f>"1551764952691389"</f>
        <v>1551764952691389</v>
      </c>
      <c r="C134" t="s">
        <v>40</v>
      </c>
      <c r="D134">
        <v>4.3319400000000003</v>
      </c>
      <c r="E134">
        <v>0.57256759999999995</v>
      </c>
      <c r="F134" t="s">
        <v>41</v>
      </c>
      <c r="G134">
        <v>-471.91759999999999</v>
      </c>
      <c r="H134">
        <v>0.95687840000000002</v>
      </c>
      <c r="I134">
        <v>367.12099999999998</v>
      </c>
      <c r="J134">
        <v>-472.58499999999998</v>
      </c>
      <c r="K134">
        <v>1.1099460000000001</v>
      </c>
      <c r="L134">
        <v>367.2353</v>
      </c>
      <c r="M134">
        <v>0.999915</v>
      </c>
      <c r="N134">
        <v>-1.058546E-2</v>
      </c>
      <c r="O134">
        <v>7.6277979999999999E-3</v>
      </c>
      <c r="P134">
        <v>0.99723550000000005</v>
      </c>
      <c r="Q134">
        <v>-5.9913370000000001E-2</v>
      </c>
      <c r="R134">
        <v>4.3952430000000001E-2</v>
      </c>
      <c r="S134">
        <v>2.9899290000000001</v>
      </c>
      <c r="T134">
        <v>-0.64220200000000005</v>
      </c>
      <c r="U134">
        <v>-0.47491460000000002</v>
      </c>
      <c r="V134">
        <v>-3.6338240000000001E-2</v>
      </c>
      <c r="W134">
        <v>-4.9355019999999999E-2</v>
      </c>
      <c r="X134">
        <v>0.99812009999999995</v>
      </c>
      <c r="Y134">
        <v>0.16049150000000001</v>
      </c>
      <c r="Z134">
        <v>-1.933441E-2</v>
      </c>
      <c r="AA134">
        <v>0.98684780000000005</v>
      </c>
      <c r="AB134">
        <v>5</v>
      </c>
      <c r="AC134">
        <v>0.667399999999986</v>
      </c>
      <c r="AD134">
        <v>-0.153067599999999</v>
      </c>
      <c r="AE134">
        <v>-0.114300000000014</v>
      </c>
      <c r="AF134">
        <v>0.113583394286872</v>
      </c>
      <c r="AG134">
        <v>-0.153067599999999</v>
      </c>
      <c r="AH134">
        <v>0.63410456109979596</v>
      </c>
      <c r="AI134">
        <v>103.366180063313</v>
      </c>
      <c r="AJ134">
        <v>79.844645359379797</v>
      </c>
      <c r="AK134">
        <v>0.66213251848482102</v>
      </c>
      <c r="AL134">
        <v>92.828983496705106</v>
      </c>
      <c r="AM134">
        <v>92.085028290380194</v>
      </c>
      <c r="AN134">
        <v>1.00000005985475</v>
      </c>
    </row>
    <row r="135" spans="1:40" x14ac:dyDescent="0.25">
      <c r="A135" t="str">
        <f>"20190305134912723"</f>
        <v>20190305134912723</v>
      </c>
      <c r="B135" t="str">
        <f>"1551764952710909"</f>
        <v>1551764952710909</v>
      </c>
      <c r="C135" t="s">
        <v>40</v>
      </c>
      <c r="D135">
        <v>4.4375200000000001</v>
      </c>
      <c r="E135">
        <v>0.57087840000000001</v>
      </c>
      <c r="F135" t="s">
        <v>41</v>
      </c>
      <c r="G135">
        <v>-471.87729999999999</v>
      </c>
      <c r="H135">
        <v>0.9589666</v>
      </c>
      <c r="I135">
        <v>367.12700000000001</v>
      </c>
      <c r="J135">
        <v>-472.54500000000002</v>
      </c>
      <c r="K135">
        <v>1.110311</v>
      </c>
      <c r="L135">
        <v>367.23590000000002</v>
      </c>
      <c r="M135">
        <v>0.99990120000000005</v>
      </c>
      <c r="N135">
        <v>-1.164338E-2</v>
      </c>
      <c r="O135">
        <v>7.8710150000000003E-3</v>
      </c>
      <c r="P135">
        <v>0.997475</v>
      </c>
      <c r="Q135">
        <v>-5.5936489999999998E-2</v>
      </c>
      <c r="R135">
        <v>4.3759079999999999E-2</v>
      </c>
      <c r="S135">
        <v>2.9900820000000001</v>
      </c>
      <c r="T135">
        <v>-0.63807939999999996</v>
      </c>
      <c r="U135">
        <v>-0.45660400000000001</v>
      </c>
      <c r="V135">
        <v>-3.5902669999999998E-2</v>
      </c>
      <c r="W135">
        <v>-4.4317580000000002E-2</v>
      </c>
      <c r="X135">
        <v>0.99837209999999998</v>
      </c>
      <c r="Y135">
        <v>0.15497259999999999</v>
      </c>
      <c r="Z135">
        <v>-1.8739800000000001E-2</v>
      </c>
      <c r="AA135">
        <v>0.98774099999999998</v>
      </c>
      <c r="AB135">
        <v>5</v>
      </c>
      <c r="AC135">
        <v>0.66770000000002405</v>
      </c>
      <c r="AD135">
        <v>-0.15134439999999999</v>
      </c>
      <c r="AE135">
        <v>-0.108900000000062</v>
      </c>
      <c r="AF135">
        <v>0.10871187684851</v>
      </c>
      <c r="AG135">
        <v>-0.15134439999999999</v>
      </c>
      <c r="AH135">
        <v>0.63504091532740203</v>
      </c>
      <c r="AI135">
        <v>103.219399319103</v>
      </c>
      <c r="AJ135">
        <v>80.285769021929696</v>
      </c>
      <c r="AK135">
        <v>0.66181595909977098</v>
      </c>
      <c r="AL135">
        <v>92.540042343661298</v>
      </c>
      <c r="AM135">
        <v>92.059538132872206</v>
      </c>
      <c r="AN135">
        <v>0.99999994983429596</v>
      </c>
    </row>
    <row r="136" spans="1:40" x14ac:dyDescent="0.25">
      <c r="A136" t="str">
        <f>"20190305134912746"</f>
        <v>20190305134912746</v>
      </c>
      <c r="B136" t="str">
        <f>"1551764952741164"</f>
        <v>1551764952741164</v>
      </c>
      <c r="C136" t="s">
        <v>40</v>
      </c>
      <c r="D136">
        <v>4.3334830000000002</v>
      </c>
      <c r="E136">
        <v>0.57069479999999995</v>
      </c>
      <c r="F136" t="s">
        <v>41</v>
      </c>
      <c r="G136">
        <v>-471.83960000000002</v>
      </c>
      <c r="H136">
        <v>0.96393930000000005</v>
      </c>
      <c r="I136">
        <v>367.1311</v>
      </c>
      <c r="J136">
        <v>-472.50760000000002</v>
      </c>
      <c r="K136">
        <v>1.1108020000000001</v>
      </c>
      <c r="L136">
        <v>367.23649999999998</v>
      </c>
      <c r="M136">
        <v>0.99987610000000005</v>
      </c>
      <c r="N136">
        <v>-1.35216E-2</v>
      </c>
      <c r="O136">
        <v>8.0589389999999993E-3</v>
      </c>
      <c r="P136">
        <v>0.99749849999999995</v>
      </c>
      <c r="Q136">
        <v>-5.5445439999999999E-2</v>
      </c>
      <c r="R136">
        <v>4.3847780000000003E-2</v>
      </c>
      <c r="S136">
        <v>2.9922179999999998</v>
      </c>
      <c r="T136">
        <v>-0.62112049999999996</v>
      </c>
      <c r="U136">
        <v>-0.443573</v>
      </c>
      <c r="V136">
        <v>-3.5808270000000003E-2</v>
      </c>
      <c r="W136">
        <v>-4.1947209999999999E-2</v>
      </c>
      <c r="X136">
        <v>0.99847790000000003</v>
      </c>
      <c r="Y136">
        <v>0.151093899999999</v>
      </c>
      <c r="Z136">
        <v>-1.8012609999999998E-2</v>
      </c>
      <c r="AA136">
        <v>0.98835530000000005</v>
      </c>
      <c r="AB136">
        <v>4</v>
      </c>
      <c r="AC136">
        <v>0.66800000000000603</v>
      </c>
      <c r="AD136">
        <v>-0.14686270000000001</v>
      </c>
      <c r="AE136">
        <v>-0.105399999999974</v>
      </c>
      <c r="AF136">
        <v>0.105791140060219</v>
      </c>
      <c r="AG136">
        <v>-0.14686270000000001</v>
      </c>
      <c r="AH136">
        <v>0.63708284338090204</v>
      </c>
      <c r="AI136">
        <v>102.81172736687699</v>
      </c>
      <c r="AJ136">
        <v>80.571749400611296</v>
      </c>
      <c r="AK136">
        <v>0.66229522669035301</v>
      </c>
      <c r="AL136">
        <v>92.404103577247795</v>
      </c>
      <c r="AM136">
        <v>92.053910099110695</v>
      </c>
      <c r="AN136">
        <v>0.99999995870779201</v>
      </c>
    </row>
    <row r="137" spans="1:40" x14ac:dyDescent="0.25">
      <c r="A137" t="str">
        <f>"20190305134912770"</f>
        <v>20190305134912770</v>
      </c>
      <c r="B137" t="str">
        <f>"1551764952760685"</f>
        <v>1551764952760685</v>
      </c>
      <c r="C137" t="s">
        <v>40</v>
      </c>
      <c r="D137">
        <v>4.3723099999999997</v>
      </c>
      <c r="E137">
        <v>0.57038610000000001</v>
      </c>
      <c r="F137" t="s">
        <v>41</v>
      </c>
      <c r="G137">
        <v>-471.80680000000001</v>
      </c>
      <c r="H137">
        <v>0.96571680000000004</v>
      </c>
      <c r="I137">
        <v>367.13279999999997</v>
      </c>
      <c r="J137">
        <v>-472.46550000000002</v>
      </c>
      <c r="K137">
        <v>1.11073</v>
      </c>
      <c r="L137">
        <v>367.2371</v>
      </c>
      <c r="M137">
        <v>0.99987369999999998</v>
      </c>
      <c r="N137">
        <v>-1.3576990000000001E-2</v>
      </c>
      <c r="O137">
        <v>8.2758559999999998E-3</v>
      </c>
      <c r="P137">
        <v>0.99754330000000002</v>
      </c>
      <c r="Q137">
        <v>-5.44479E-2</v>
      </c>
      <c r="R137">
        <v>4.4080979999999999E-2</v>
      </c>
      <c r="S137">
        <v>2.9924620000000002</v>
      </c>
      <c r="T137">
        <v>-0.61972519999999998</v>
      </c>
      <c r="U137">
        <v>-0.44183349999999999</v>
      </c>
      <c r="V137">
        <v>-3.5824599999999998E-2</v>
      </c>
      <c r="W137">
        <v>-4.0893949999999998E-2</v>
      </c>
      <c r="X137">
        <v>0.99852099999999999</v>
      </c>
      <c r="Y137">
        <v>0.15075259999999999</v>
      </c>
      <c r="Z137">
        <v>-1.798228E-2</v>
      </c>
      <c r="AA137">
        <v>0.98840799999999995</v>
      </c>
      <c r="AB137">
        <v>4</v>
      </c>
      <c r="AC137">
        <v>0.65870000000001006</v>
      </c>
      <c r="AD137">
        <v>-0.14501320000000001</v>
      </c>
      <c r="AE137">
        <v>-0.104300000000023</v>
      </c>
      <c r="AF137">
        <v>0.104793509595938</v>
      </c>
      <c r="AG137">
        <v>-0.14501320000000001</v>
      </c>
      <c r="AH137">
        <v>0.62811631429576797</v>
      </c>
      <c r="AI137">
        <v>102.82876386165201</v>
      </c>
      <c r="AJ137">
        <v>80.528140900138595</v>
      </c>
      <c r="AK137">
        <v>0.65310076719612997</v>
      </c>
      <c r="AL137">
        <v>92.343704399678799</v>
      </c>
      <c r="AM137">
        <v>92.054757342284404</v>
      </c>
      <c r="AN137">
        <v>0.99999995227638006</v>
      </c>
    </row>
    <row r="138" spans="1:40" x14ac:dyDescent="0.25">
      <c r="A138" t="str">
        <f>"20190305134912791"</f>
        <v>20190305134912791</v>
      </c>
      <c r="B138" t="str">
        <f>"1551764952781181"</f>
        <v>1551764952781181</v>
      </c>
      <c r="C138" t="s">
        <v>40</v>
      </c>
      <c r="D138">
        <v>4.3604620000000001</v>
      </c>
      <c r="E138">
        <v>0.56994369999999905</v>
      </c>
      <c r="F138" t="s">
        <v>41</v>
      </c>
      <c r="G138">
        <v>-471.7697</v>
      </c>
      <c r="H138">
        <v>0.96763619999999995</v>
      </c>
      <c r="I138">
        <v>367.13490000000002</v>
      </c>
      <c r="J138">
        <v>-472.42079999999999</v>
      </c>
      <c r="K138">
        <v>1.1102369999999999</v>
      </c>
      <c r="L138">
        <v>367.23779999999999</v>
      </c>
      <c r="M138">
        <v>0.99989280000000003</v>
      </c>
      <c r="N138">
        <v>-1.189316E-2</v>
      </c>
      <c r="O138">
        <v>8.5655839999999994E-3</v>
      </c>
      <c r="P138">
        <v>0.99753440000000004</v>
      </c>
      <c r="Q138">
        <v>-5.4323740000000002E-2</v>
      </c>
      <c r="R138">
        <v>4.4436429999999999E-2</v>
      </c>
      <c r="S138">
        <v>2.9931640000000002</v>
      </c>
      <c r="T138">
        <v>-0.61552989999999996</v>
      </c>
      <c r="U138">
        <v>-0.43896479999999999</v>
      </c>
      <c r="V138">
        <v>-3.5887959999999997E-2</v>
      </c>
      <c r="W138">
        <v>-4.2453419999999999E-2</v>
      </c>
      <c r="X138">
        <v>0.9984537</v>
      </c>
      <c r="Y138">
        <v>0.1501557</v>
      </c>
      <c r="Z138">
        <v>-1.7742150000000002E-2</v>
      </c>
      <c r="AA138">
        <v>0.98850320000000003</v>
      </c>
      <c r="AB138">
        <v>3</v>
      </c>
      <c r="AC138">
        <v>0.65109999999998502</v>
      </c>
      <c r="AD138">
        <v>-0.1426008</v>
      </c>
      <c r="AE138">
        <v>-0.102899999999976</v>
      </c>
      <c r="AF138">
        <v>0.10362418416020799</v>
      </c>
      <c r="AG138">
        <v>-0.1426008</v>
      </c>
      <c r="AH138">
        <v>0.62112667919747899</v>
      </c>
      <c r="AI138">
        <v>102.759666155454</v>
      </c>
      <c r="AJ138">
        <v>80.528427235502903</v>
      </c>
      <c r="AK138">
        <v>0.64565572197138998</v>
      </c>
      <c r="AL138">
        <v>92.433132999165394</v>
      </c>
      <c r="AM138">
        <v>92.058526922631899</v>
      </c>
      <c r="AN138">
        <v>1.00000001479317</v>
      </c>
    </row>
    <row r="139" spans="1:40" x14ac:dyDescent="0.25">
      <c r="A139" t="str">
        <f>"20190305134912812"</f>
        <v>20190305134912812</v>
      </c>
      <c r="B139" t="str">
        <f>"1551764952800701"</f>
        <v>1551764952800701</v>
      </c>
      <c r="C139" t="s">
        <v>40</v>
      </c>
      <c r="D139">
        <v>4.318352</v>
      </c>
      <c r="E139">
        <v>0.56977049999999996</v>
      </c>
      <c r="F139" t="s">
        <v>41</v>
      </c>
      <c r="G139">
        <v>-471.68939999999998</v>
      </c>
      <c r="H139">
        <v>0.95929399999999998</v>
      </c>
      <c r="I139">
        <v>367.13159999999999</v>
      </c>
      <c r="J139">
        <v>-472.37569999999999</v>
      </c>
      <c r="K139">
        <v>1.1099079999999999</v>
      </c>
      <c r="L139">
        <v>367.23849999999999</v>
      </c>
      <c r="M139">
        <v>0.99990590000000001</v>
      </c>
      <c r="N139">
        <v>-1.045955E-2</v>
      </c>
      <c r="O139">
        <v>8.8854260000000001E-3</v>
      </c>
      <c r="P139">
        <v>0.99779340000000005</v>
      </c>
      <c r="Q139">
        <v>-4.9328799999999999E-2</v>
      </c>
      <c r="R139">
        <v>4.4445150000000003E-2</v>
      </c>
      <c r="S139">
        <v>2.9931030000000001</v>
      </c>
      <c r="T139">
        <v>-0.6177783</v>
      </c>
      <c r="U139">
        <v>-0.43429570000000001</v>
      </c>
      <c r="V139">
        <v>-3.5573180000000003E-2</v>
      </c>
      <c r="W139">
        <v>-3.8889439999999997E-2</v>
      </c>
      <c r="X139">
        <v>0.99861009999999995</v>
      </c>
      <c r="Y139">
        <v>0.1489789</v>
      </c>
      <c r="Z139">
        <v>-1.764348E-2</v>
      </c>
      <c r="AA139">
        <v>0.98868290000000003</v>
      </c>
      <c r="AB139">
        <v>5</v>
      </c>
      <c r="AC139">
        <v>0.68630000000001701</v>
      </c>
      <c r="AD139">
        <v>-0.150613999999999</v>
      </c>
      <c r="AE139">
        <v>-0.106899999999996</v>
      </c>
      <c r="AF139">
        <v>0.107919691646312</v>
      </c>
      <c r="AG139">
        <v>-0.150613999999999</v>
      </c>
      <c r="AH139">
        <v>0.65454562858412801</v>
      </c>
      <c r="AI139">
        <v>102.791552069822</v>
      </c>
      <c r="AJ139">
        <v>80.637460978850498</v>
      </c>
      <c r="AK139">
        <v>0.68026554869376199</v>
      </c>
      <c r="AL139">
        <v>92.228762844880706</v>
      </c>
      <c r="AM139">
        <v>92.040167222616802</v>
      </c>
      <c r="AN139">
        <v>0.99999998575041704</v>
      </c>
    </row>
    <row r="140" spans="1:40" x14ac:dyDescent="0.25">
      <c r="A140" t="str">
        <f>"20190305134912835"</f>
        <v>20190305134912835</v>
      </c>
      <c r="B140" t="str">
        <f>"1551764952830957"</f>
        <v>1551764952830957</v>
      </c>
      <c r="C140" t="s">
        <v>40</v>
      </c>
      <c r="D140">
        <v>4.3316080000000001</v>
      </c>
      <c r="E140">
        <v>0.569685</v>
      </c>
      <c r="F140" t="s">
        <v>41</v>
      </c>
      <c r="G140">
        <v>-471.64800000000002</v>
      </c>
      <c r="H140">
        <v>0.96336449999999996</v>
      </c>
      <c r="I140">
        <v>367.13290000000001</v>
      </c>
      <c r="J140">
        <v>-472.33210000000003</v>
      </c>
      <c r="K140">
        <v>1.110168</v>
      </c>
      <c r="L140">
        <v>367.23910000000001</v>
      </c>
      <c r="M140">
        <v>0.99989709999999998</v>
      </c>
      <c r="N140">
        <v>-1.1055830000000001E-2</v>
      </c>
      <c r="O140">
        <v>9.1499259999999992E-3</v>
      </c>
      <c r="P140">
        <v>0.99786770000000002</v>
      </c>
      <c r="Q140">
        <v>-4.7400570000000003E-2</v>
      </c>
      <c r="R140">
        <v>4.4872139999999998E-2</v>
      </c>
      <c r="S140">
        <v>2.9960939999999998</v>
      </c>
      <c r="T140">
        <v>-0.60361489999999995</v>
      </c>
      <c r="U140">
        <v>-0.43289179999999999</v>
      </c>
      <c r="V140">
        <v>-3.5736579999999997E-2</v>
      </c>
      <c r="W140">
        <v>-3.6363920000000001E-2</v>
      </c>
      <c r="X140">
        <v>0.99869940000000001</v>
      </c>
      <c r="Y140">
        <v>0.14879329999999999</v>
      </c>
      <c r="Z140">
        <v>-1.7316769999999999E-2</v>
      </c>
      <c r="AA140">
        <v>0.9887167</v>
      </c>
      <c r="AB140">
        <v>5</v>
      </c>
      <c r="AC140">
        <v>0.68410000000000004</v>
      </c>
      <c r="AD140">
        <v>-0.146803499999999</v>
      </c>
      <c r="AE140">
        <v>-0.106200000000001</v>
      </c>
      <c r="AF140">
        <v>0.10761624795052301</v>
      </c>
      <c r="AG140">
        <v>-0.146803499999999</v>
      </c>
      <c r="AH140">
        <v>0.65370460978243505</v>
      </c>
      <c r="AI140">
        <v>102.49422925143</v>
      </c>
      <c r="AJ140">
        <v>80.651521828635097</v>
      </c>
      <c r="AK140">
        <v>0.67857368154534503</v>
      </c>
      <c r="AL140">
        <v>92.0839586701386</v>
      </c>
      <c r="AM140">
        <v>92.049347342006897</v>
      </c>
      <c r="AN140">
        <v>0.99999996469411001</v>
      </c>
    </row>
    <row r="141" spans="1:40" x14ac:dyDescent="0.25">
      <c r="A141" t="str">
        <f>"20190305134912859"</f>
        <v>20190305134912859</v>
      </c>
      <c r="B141" t="str">
        <f>"1551764952851454"</f>
        <v>1551764952851454</v>
      </c>
      <c r="C141" t="s">
        <v>40</v>
      </c>
      <c r="D141">
        <v>4.3043519999999997</v>
      </c>
      <c r="E141">
        <v>0.56956899999999999</v>
      </c>
      <c r="F141" t="s">
        <v>41</v>
      </c>
      <c r="G141">
        <v>-471.6114</v>
      </c>
      <c r="H141">
        <v>0.96605280000000004</v>
      </c>
      <c r="I141">
        <v>367.13560000000001</v>
      </c>
      <c r="J141">
        <v>-472.29230000000001</v>
      </c>
      <c r="K141">
        <v>1.1106739999999999</v>
      </c>
      <c r="L141">
        <v>367.2398</v>
      </c>
      <c r="M141">
        <v>0.99987360000000003</v>
      </c>
      <c r="N141">
        <v>-1.2856090000000001E-2</v>
      </c>
      <c r="O141">
        <v>9.3530499999999999E-3</v>
      </c>
      <c r="P141">
        <v>0.99787510000000001</v>
      </c>
      <c r="Q141">
        <v>-4.6970690000000002E-2</v>
      </c>
      <c r="R141">
        <v>4.5156490000000001E-2</v>
      </c>
      <c r="S141">
        <v>2.9973139999999998</v>
      </c>
      <c r="T141">
        <v>-0.59936750000000005</v>
      </c>
      <c r="U141">
        <v>-0.43099979999999899</v>
      </c>
      <c r="V141">
        <v>-3.5821310000000002E-2</v>
      </c>
      <c r="W141">
        <v>-3.4132799999999998E-2</v>
      </c>
      <c r="X141">
        <v>0.99877510000000003</v>
      </c>
      <c r="Y141">
        <v>0.14835390000000001</v>
      </c>
      <c r="Z141">
        <v>-1.7307489999999998E-2</v>
      </c>
      <c r="AA141">
        <v>0.98878290000000002</v>
      </c>
      <c r="AB141">
        <v>4</v>
      </c>
      <c r="AC141">
        <v>0.68090000000000805</v>
      </c>
      <c r="AD141">
        <v>-0.14462119999999901</v>
      </c>
      <c r="AE141">
        <v>-0.10419999999999099</v>
      </c>
      <c r="AF141">
        <v>0.10589651768807901</v>
      </c>
      <c r="AG141">
        <v>-0.14462119999999901</v>
      </c>
      <c r="AH141">
        <v>0.651190904345472</v>
      </c>
      <c r="AI141">
        <v>102.364110147894</v>
      </c>
      <c r="AJ141">
        <v>80.763427891020399</v>
      </c>
      <c r="AK141">
        <v>0.67541021449943694</v>
      </c>
      <c r="AL141">
        <v>91.956045406366101</v>
      </c>
      <c r="AM141">
        <v>92.054046544233501</v>
      </c>
      <c r="AN141">
        <v>0.99999995733298197</v>
      </c>
    </row>
    <row r="142" spans="1:40" x14ac:dyDescent="0.25">
      <c r="A142" t="str">
        <f>"20190305134912880"</f>
        <v>20190305134912880</v>
      </c>
      <c r="B142" t="str">
        <f>"1551764952870973"</f>
        <v>1551764952870973</v>
      </c>
      <c r="C142" t="s">
        <v>40</v>
      </c>
      <c r="D142">
        <v>4.3015100000000004</v>
      </c>
      <c r="E142">
        <v>0.56959720000000003</v>
      </c>
      <c r="F142" t="s">
        <v>41</v>
      </c>
      <c r="G142">
        <v>-471.57819999999998</v>
      </c>
      <c r="H142">
        <v>0.96828329999999996</v>
      </c>
      <c r="I142">
        <v>367.13679999999999</v>
      </c>
      <c r="J142">
        <v>-472.25479999999999</v>
      </c>
      <c r="K142">
        <v>1.11084</v>
      </c>
      <c r="L142">
        <v>367.24040000000002</v>
      </c>
      <c r="M142">
        <v>0.99986109999999995</v>
      </c>
      <c r="N142">
        <v>-1.369005E-2</v>
      </c>
      <c r="O142">
        <v>9.5252050000000001E-3</v>
      </c>
      <c r="P142">
        <v>0.99790610000000002</v>
      </c>
      <c r="Q142">
        <v>-4.5643030000000001E-2</v>
      </c>
      <c r="R142">
        <v>4.5832570000000003E-2</v>
      </c>
      <c r="S142">
        <v>2.9976500000000001</v>
      </c>
      <c r="T142">
        <v>-0.59829309999999902</v>
      </c>
      <c r="U142">
        <v>-0.4291992</v>
      </c>
      <c r="V142">
        <v>-3.6326360000000002E-2</v>
      </c>
      <c r="W142">
        <v>-3.1970140000000001E-2</v>
      </c>
      <c r="X142">
        <v>0.99882850000000001</v>
      </c>
      <c r="Y142">
        <v>0.14793310000000001</v>
      </c>
      <c r="Z142">
        <v>-1.7319749999999998E-2</v>
      </c>
      <c r="AA142">
        <v>0.98884570000000005</v>
      </c>
      <c r="AB142">
        <v>4</v>
      </c>
      <c r="AC142">
        <v>0.67660000000000697</v>
      </c>
      <c r="AD142">
        <v>-0.14255669999999901</v>
      </c>
      <c r="AE142">
        <v>-0.103600000000028</v>
      </c>
      <c r="AF142">
        <v>0.105465992874528</v>
      </c>
      <c r="AG142">
        <v>-0.14255669999999901</v>
      </c>
      <c r="AH142">
        <v>0.64749676101689402</v>
      </c>
      <c r="AI142">
        <v>102.259896698452</v>
      </c>
      <c r="AJ142">
        <v>80.748754469368905</v>
      </c>
      <c r="AK142">
        <v>0.67134011044720698</v>
      </c>
      <c r="AL142">
        <v>91.832066211143797</v>
      </c>
      <c r="AM142">
        <v>92.082870256044799</v>
      </c>
      <c r="AN142">
        <v>1.00000003334735</v>
      </c>
    </row>
    <row r="143" spans="1:40" x14ac:dyDescent="0.25">
      <c r="A143" t="str">
        <f>"20190305134912902"</f>
        <v>20190305134912902</v>
      </c>
      <c r="B143" t="str">
        <f>"1551764952891470"</f>
        <v>1551764952891470</v>
      </c>
      <c r="C143" t="s">
        <v>40</v>
      </c>
      <c r="D143">
        <v>4.3130800000000002</v>
      </c>
      <c r="E143">
        <v>0.56962729999999995</v>
      </c>
      <c r="F143" t="s">
        <v>41</v>
      </c>
      <c r="G143">
        <v>-471.54140000000001</v>
      </c>
      <c r="H143">
        <v>0.96918059999999995</v>
      </c>
      <c r="I143">
        <v>367.13850000000002</v>
      </c>
      <c r="J143">
        <v>-472.21260000000001</v>
      </c>
      <c r="K143">
        <v>1.1104849999999999</v>
      </c>
      <c r="L143">
        <v>367.24110000000002</v>
      </c>
      <c r="M143">
        <v>0.99987320000000002</v>
      </c>
      <c r="N143">
        <v>-1.2600159999999999E-2</v>
      </c>
      <c r="O143">
        <v>9.7404899999999992E-3</v>
      </c>
      <c r="P143">
        <v>0.99800160000000004</v>
      </c>
      <c r="Q143">
        <v>-4.3325660000000002E-2</v>
      </c>
      <c r="R143">
        <v>4.5999369999999998E-2</v>
      </c>
      <c r="S143">
        <v>2.9987180000000002</v>
      </c>
      <c r="T143">
        <v>-0.59562389999999998</v>
      </c>
      <c r="U143">
        <v>-0.42749019999999999</v>
      </c>
      <c r="V143">
        <v>-3.6275839999999997E-2</v>
      </c>
      <c r="W143">
        <v>-3.074141E-2</v>
      </c>
      <c r="X143">
        <v>0.99886889999999995</v>
      </c>
      <c r="Y143">
        <v>0.14759120000000001</v>
      </c>
      <c r="Z143">
        <v>-1.7174890000000002E-2</v>
      </c>
      <c r="AA143">
        <v>0.98889930000000004</v>
      </c>
      <c r="AB143">
        <v>3</v>
      </c>
      <c r="AC143">
        <v>0.67119999999999802</v>
      </c>
      <c r="AD143">
        <v>-0.141304399999999</v>
      </c>
      <c r="AE143">
        <v>-0.102599999999995</v>
      </c>
      <c r="AF143">
        <v>0.104603225475628</v>
      </c>
      <c r="AG143">
        <v>-0.141304399999999</v>
      </c>
      <c r="AH143">
        <v>0.64234930967683801</v>
      </c>
      <c r="AI143">
        <v>102.249963143519</v>
      </c>
      <c r="AJ143">
        <v>80.750869157535206</v>
      </c>
      <c r="AK143">
        <v>0.66597402643164305</v>
      </c>
      <c r="AL143">
        <v>91.761630546227806</v>
      </c>
      <c r="AM143">
        <v>92.079892048763</v>
      </c>
      <c r="AN143">
        <v>1.0000000251218499</v>
      </c>
    </row>
    <row r="144" spans="1:40" x14ac:dyDescent="0.25">
      <c r="A144" t="str">
        <f>"20190305134912924"</f>
        <v>20190305134912924</v>
      </c>
      <c r="B144" t="str">
        <f>"1551764952910989"</f>
        <v>1551764952910989</v>
      </c>
      <c r="C144" t="s">
        <v>40</v>
      </c>
      <c r="D144">
        <v>4.3269500000000001</v>
      </c>
      <c r="E144">
        <v>0.55276340000000002</v>
      </c>
      <c r="F144" t="s">
        <v>41</v>
      </c>
      <c r="G144">
        <v>-471.5</v>
      </c>
      <c r="H144">
        <v>0.97047000000000005</v>
      </c>
      <c r="I144">
        <v>367.13900000000001</v>
      </c>
      <c r="J144">
        <v>-472.16609999999997</v>
      </c>
      <c r="K144">
        <v>1.110023</v>
      </c>
      <c r="L144">
        <v>367.24180000000001</v>
      </c>
      <c r="M144">
        <v>0.99989079999999997</v>
      </c>
      <c r="N144">
        <v>-1.0873890000000001E-2</v>
      </c>
      <c r="O144">
        <v>1.000968E-2</v>
      </c>
      <c r="P144">
        <v>0.99810140000000003</v>
      </c>
      <c r="Q144">
        <v>-4.0455680000000001E-2</v>
      </c>
      <c r="R144">
        <v>4.6447380000000003E-2</v>
      </c>
      <c r="S144">
        <v>3.000092</v>
      </c>
      <c r="T144">
        <v>-0.58984740000000002</v>
      </c>
      <c r="U144">
        <v>-0.42749019999999999</v>
      </c>
      <c r="V144">
        <v>-3.6453329999999999E-2</v>
      </c>
      <c r="W144">
        <v>-2.9596560000000001E-2</v>
      </c>
      <c r="X144">
        <v>0.99889700000000003</v>
      </c>
      <c r="Y144">
        <v>0.147868</v>
      </c>
      <c r="Z144">
        <v>-1.6976709999999999E-2</v>
      </c>
      <c r="AA144">
        <v>0.9888614</v>
      </c>
      <c r="AB144">
        <v>4</v>
      </c>
      <c r="AC144">
        <v>0.66609999999997105</v>
      </c>
      <c r="AD144">
        <v>-0.13955299999999901</v>
      </c>
      <c r="AE144">
        <v>-0.102800000000001</v>
      </c>
      <c r="AF144">
        <v>0.104962699945474</v>
      </c>
      <c r="AG144">
        <v>-0.13955299999999901</v>
      </c>
      <c r="AH144">
        <v>0.63769799659034698</v>
      </c>
      <c r="AI144">
        <v>102.18497765553499</v>
      </c>
      <c r="AJ144">
        <v>80.653136331258494</v>
      </c>
      <c r="AK144">
        <v>0.66117391285817195</v>
      </c>
      <c r="AL144">
        <v>91.696005626602101</v>
      </c>
      <c r="AM144">
        <v>92.090000773171397</v>
      </c>
      <c r="AN144">
        <v>1.0000000091204599</v>
      </c>
    </row>
    <row r="145" spans="1:40" x14ac:dyDescent="0.25">
      <c r="A145" t="str">
        <f>"20190305134912947"</f>
        <v>20190305134912947</v>
      </c>
      <c r="B145" t="str">
        <f>"1551764952941246"</f>
        <v>1551764952941246</v>
      </c>
      <c r="C145" t="s">
        <v>40</v>
      </c>
      <c r="D145">
        <v>4.2738250000000004</v>
      </c>
      <c r="E145">
        <v>0.54030690000000003</v>
      </c>
      <c r="F145" t="s">
        <v>41</v>
      </c>
      <c r="G145">
        <v>-471.44799999999998</v>
      </c>
      <c r="H145">
        <v>0.98965879999999995</v>
      </c>
      <c r="I145">
        <v>367.1721</v>
      </c>
      <c r="J145">
        <v>-472.11950000000002</v>
      </c>
      <c r="K145">
        <v>1.110033</v>
      </c>
      <c r="L145">
        <v>367.24250000000001</v>
      </c>
      <c r="M145">
        <v>0.99989079999999997</v>
      </c>
      <c r="N145">
        <v>-1.0636649999999999E-2</v>
      </c>
      <c r="O145">
        <v>1.0260709999999999E-2</v>
      </c>
      <c r="P145">
        <v>0.99810469999999896</v>
      </c>
      <c r="Q145">
        <v>-3.9772889999999998E-2</v>
      </c>
      <c r="R145">
        <v>4.6958819999999998E-2</v>
      </c>
      <c r="S145">
        <v>2.99884</v>
      </c>
      <c r="T145">
        <v>-0.50288920000000004</v>
      </c>
      <c r="U145">
        <v>-0.2895508</v>
      </c>
      <c r="V145">
        <v>-3.6713870000000003E-2</v>
      </c>
      <c r="W145">
        <v>-2.9150619999999999E-2</v>
      </c>
      <c r="X145">
        <v>0.99890049999999997</v>
      </c>
      <c r="Y145">
        <v>0.10464950000000001</v>
      </c>
      <c r="Z145">
        <v>-1.085274E-2</v>
      </c>
      <c r="AA145">
        <v>0.99444999999999995</v>
      </c>
      <c r="AB145">
        <v>5</v>
      </c>
      <c r="AC145">
        <v>0.67149999999998</v>
      </c>
      <c r="AD145">
        <v>-0.1203742</v>
      </c>
      <c r="AE145">
        <v>-7.0400000000006402E-2</v>
      </c>
      <c r="AF145">
        <v>7.4905839848604605E-2</v>
      </c>
      <c r="AG145">
        <v>-0.1203742</v>
      </c>
      <c r="AH145">
        <v>0.65007923980695503</v>
      </c>
      <c r="AI145">
        <v>100.42311358076699</v>
      </c>
      <c r="AJ145">
        <v>83.427040676538894</v>
      </c>
      <c r="AK145">
        <v>0.665359940856867</v>
      </c>
      <c r="AL145">
        <v>91.670444235998403</v>
      </c>
      <c r="AM145">
        <v>92.104917712131396</v>
      </c>
      <c r="AN145">
        <v>0.99999993789850306</v>
      </c>
    </row>
    <row r="146" spans="1:40" x14ac:dyDescent="0.25">
      <c r="A146" t="str">
        <f>"20190305134912972"</f>
        <v>20190305134912972</v>
      </c>
      <c r="B146" t="str">
        <f>"1551764952960766"</f>
        <v>1551764952960766</v>
      </c>
      <c r="C146" t="s">
        <v>40</v>
      </c>
      <c r="D146">
        <v>4.4139080000000002</v>
      </c>
      <c r="E146">
        <v>0.53681759999999901</v>
      </c>
      <c r="F146" t="s">
        <v>41</v>
      </c>
      <c r="G146">
        <v>-471.3904</v>
      </c>
      <c r="H146">
        <v>1.026823</v>
      </c>
      <c r="I146">
        <v>367.19720000000001</v>
      </c>
      <c r="J146">
        <v>-472.07659999999998</v>
      </c>
      <c r="K146">
        <v>1.110511</v>
      </c>
      <c r="L146">
        <v>367.24310000000003</v>
      </c>
      <c r="M146">
        <v>0.99987099999999995</v>
      </c>
      <c r="N146">
        <v>-1.219608E-2</v>
      </c>
      <c r="O146">
        <v>1.0457330000000001E-2</v>
      </c>
      <c r="P146">
        <v>0.99803790000000003</v>
      </c>
      <c r="Q146">
        <v>-4.1430740000000001E-2</v>
      </c>
      <c r="R146">
        <v>4.6944420000000001E-2</v>
      </c>
      <c r="S146">
        <v>3.0007630000000001</v>
      </c>
      <c r="T146">
        <v>-0.34272370000000002</v>
      </c>
      <c r="U146">
        <v>-0.1853638</v>
      </c>
      <c r="V146">
        <v>-3.6505139999999998E-2</v>
      </c>
      <c r="W146">
        <v>-2.9249230000000001E-2</v>
      </c>
      <c r="X146">
        <v>0.9989053</v>
      </c>
      <c r="Y146">
        <v>7.1522269999999999E-2</v>
      </c>
      <c r="Z146">
        <v>-5.5678189999999999E-3</v>
      </c>
      <c r="AA146">
        <v>0.99742350000000002</v>
      </c>
      <c r="AB146">
        <v>5</v>
      </c>
      <c r="AC146">
        <v>0.68619999999998504</v>
      </c>
      <c r="AD146">
        <v>-8.3687999999999901E-2</v>
      </c>
      <c r="AE146">
        <v>-4.5900000000017302E-2</v>
      </c>
      <c r="AF146">
        <v>5.2299411654418301E-2</v>
      </c>
      <c r="AG146">
        <v>-8.3687999999999901E-2</v>
      </c>
      <c r="AH146">
        <v>0.67567725435344095</v>
      </c>
      <c r="AI146">
        <v>97.039734816444295</v>
      </c>
      <c r="AJ146">
        <v>85.573962772660707</v>
      </c>
      <c r="AK146">
        <v>0.68284600156550901</v>
      </c>
      <c r="AL146">
        <v>91.6760965286622</v>
      </c>
      <c r="AM146">
        <v>92.092951212061806</v>
      </c>
      <c r="AN146">
        <v>0.99999997053504996</v>
      </c>
    </row>
    <row r="147" spans="1:40" x14ac:dyDescent="0.25">
      <c r="A147" t="str">
        <f>"20190305134912992"</f>
        <v>20190305134912992</v>
      </c>
      <c r="B147" t="str">
        <f>"1551764952981261"</f>
        <v>1551764952981261</v>
      </c>
      <c r="C147" t="s">
        <v>40</v>
      </c>
      <c r="D147">
        <v>4.1893000000000002</v>
      </c>
      <c r="E147">
        <v>0.53525140000000004</v>
      </c>
      <c r="F147" t="s">
        <v>41</v>
      </c>
      <c r="G147">
        <v>-471.3177</v>
      </c>
      <c r="H147">
        <v>1.0365789999999999</v>
      </c>
      <c r="I147">
        <v>367.20330000000001</v>
      </c>
      <c r="J147">
        <v>-472.04160000000002</v>
      </c>
      <c r="K147">
        <v>1.1109009999999999</v>
      </c>
      <c r="L147">
        <v>367.24369999999999</v>
      </c>
      <c r="M147">
        <v>0.99984870000000003</v>
      </c>
      <c r="N147">
        <v>-1.379994E-2</v>
      </c>
      <c r="O147">
        <v>1.0587559999999999E-2</v>
      </c>
      <c r="P147">
        <v>0.99794709999999998</v>
      </c>
      <c r="Q147">
        <v>-4.3664219999999997E-2</v>
      </c>
      <c r="R147">
        <v>4.6849729999999999E-2</v>
      </c>
      <c r="S147">
        <v>3.001099</v>
      </c>
      <c r="T147">
        <v>-0.2926511</v>
      </c>
      <c r="U147">
        <v>-0.15612789999999999</v>
      </c>
      <c r="V147">
        <v>-3.6282979999999999E-2</v>
      </c>
      <c r="W147">
        <v>-2.9879240000000001E-2</v>
      </c>
      <c r="X147">
        <v>0.99889479999999997</v>
      </c>
      <c r="Y147">
        <v>6.2151820000000003E-2</v>
      </c>
      <c r="Z147">
        <v>-4.3351220000000003E-3</v>
      </c>
      <c r="AA147">
        <v>0.99805730000000004</v>
      </c>
      <c r="AB147">
        <v>4</v>
      </c>
      <c r="AC147">
        <v>0.72390000000001398</v>
      </c>
      <c r="AD147">
        <v>-7.4321999999999694E-2</v>
      </c>
      <c r="AE147">
        <v>-4.0399999999976899E-2</v>
      </c>
      <c r="AF147">
        <v>4.7562999844885698E-2</v>
      </c>
      <c r="AG147">
        <v>-7.4321999999999694E-2</v>
      </c>
      <c r="AH147">
        <v>0.715908749325747</v>
      </c>
      <c r="AI147">
        <v>95.913979512266195</v>
      </c>
      <c r="AJ147">
        <v>86.199012503640105</v>
      </c>
      <c r="AK147">
        <v>0.72132609546542803</v>
      </c>
      <c r="AL147">
        <v>91.712209140795196</v>
      </c>
      <c r="AM147">
        <v>92.080247172291195</v>
      </c>
      <c r="AN147">
        <v>1.0000000225438399</v>
      </c>
    </row>
    <row r="148" spans="1:40" x14ac:dyDescent="0.25">
      <c r="A148" t="str">
        <f>"20190305134913014"</f>
        <v>20190305134913014</v>
      </c>
      <c r="B148" t="str">
        <f>"1551764953000781"</f>
        <v>1551764953000781</v>
      </c>
      <c r="C148" t="s">
        <v>40</v>
      </c>
      <c r="D148">
        <v>4.228796</v>
      </c>
      <c r="E148">
        <v>0.53461049999999999</v>
      </c>
      <c r="F148" t="s">
        <v>41</v>
      </c>
      <c r="G148">
        <v>-471.27519999999998</v>
      </c>
      <c r="H148">
        <v>1.0462100000000001</v>
      </c>
      <c r="I148">
        <v>367.20710000000003</v>
      </c>
      <c r="J148">
        <v>-472.00170000000003</v>
      </c>
      <c r="K148">
        <v>1.110654</v>
      </c>
      <c r="L148">
        <v>367.24430000000001</v>
      </c>
      <c r="M148">
        <v>0.9998551</v>
      </c>
      <c r="N148">
        <v>-1.3228739999999999E-2</v>
      </c>
      <c r="O148">
        <v>1.071891E-2</v>
      </c>
      <c r="P148">
        <v>0.9979867</v>
      </c>
      <c r="Q148">
        <v>-4.3379399999999999E-2</v>
      </c>
      <c r="R148">
        <v>4.6272359999999998E-2</v>
      </c>
      <c r="S148">
        <v>3.0018310000000001</v>
      </c>
      <c r="T148">
        <v>-0.25345020000000001</v>
      </c>
      <c r="U148">
        <v>-0.14327999999999999</v>
      </c>
      <c r="V148">
        <v>-3.5574389999999997E-2</v>
      </c>
      <c r="W148">
        <v>-3.0164610000000001E-2</v>
      </c>
      <c r="X148">
        <v>0.99891169999999996</v>
      </c>
      <c r="Y148">
        <v>5.811562E-2</v>
      </c>
      <c r="Z148">
        <v>-3.594524E-3</v>
      </c>
      <c r="AA148">
        <v>0.99830339999999995</v>
      </c>
      <c r="AB148">
        <v>3</v>
      </c>
      <c r="AC148">
        <v>0.726500000000044</v>
      </c>
      <c r="AD148">
        <v>-6.4443999999999904E-2</v>
      </c>
      <c r="AE148">
        <v>-3.7199999999984301E-2</v>
      </c>
      <c r="AF148">
        <v>4.4635533952153E-2</v>
      </c>
      <c r="AG148">
        <v>-6.4443999999999904E-2</v>
      </c>
      <c r="AH148">
        <v>0.72040576483156105</v>
      </c>
      <c r="AI148">
        <v>95.102063829421198</v>
      </c>
      <c r="AJ148">
        <v>86.454549947244601</v>
      </c>
      <c r="AK148">
        <v>0.72465842024345495</v>
      </c>
      <c r="AL148">
        <v>91.728567027640594</v>
      </c>
      <c r="AM148">
        <v>92.039621073627004</v>
      </c>
      <c r="AN148">
        <v>1.0000000126585999</v>
      </c>
    </row>
    <row r="149" spans="1:40" x14ac:dyDescent="0.25">
      <c r="A149" t="str">
        <f>"20190305134913036"</f>
        <v>20190305134913036</v>
      </c>
      <c r="B149" t="str">
        <f>"1551764953031038"</f>
        <v>1551764953031038</v>
      </c>
      <c r="C149" t="s">
        <v>40</v>
      </c>
      <c r="D149">
        <v>4.2290169999999998</v>
      </c>
      <c r="E149">
        <v>0.53385519999999997</v>
      </c>
      <c r="F149" t="s">
        <v>41</v>
      </c>
      <c r="G149">
        <v>-471.21859999999998</v>
      </c>
      <c r="H149">
        <v>1.053221</v>
      </c>
      <c r="I149">
        <v>367.20760000000001</v>
      </c>
      <c r="J149">
        <v>-471.9554</v>
      </c>
      <c r="K149">
        <v>1.1101449999999999</v>
      </c>
      <c r="L149">
        <v>367.245</v>
      </c>
      <c r="M149">
        <v>0.99987470000000001</v>
      </c>
      <c r="N149">
        <v>-1.14956E-2</v>
      </c>
      <c r="O149">
        <v>1.088708E-2</v>
      </c>
      <c r="P149">
        <v>0.99812590000000001</v>
      </c>
      <c r="Q149">
        <v>-4.0199209999999999E-2</v>
      </c>
      <c r="R149">
        <v>4.6138169999999999E-2</v>
      </c>
      <c r="S149">
        <v>3.002869</v>
      </c>
      <c r="T149">
        <v>-0.2207122</v>
      </c>
      <c r="U149">
        <v>-0.13882449999999999</v>
      </c>
      <c r="V149">
        <v>-3.5269620000000002E-2</v>
      </c>
      <c r="W149">
        <v>-2.8715310000000001E-2</v>
      </c>
      <c r="X149">
        <v>0.9989652</v>
      </c>
      <c r="Y149">
        <v>5.6856780000000003E-2</v>
      </c>
      <c r="Z149">
        <v>-3.0868689999999999E-3</v>
      </c>
      <c r="AA149">
        <v>0.99837759999999998</v>
      </c>
      <c r="AB149">
        <v>4</v>
      </c>
      <c r="AC149">
        <v>0.736800000000016</v>
      </c>
      <c r="AD149">
        <v>-5.6924000000000197E-2</v>
      </c>
      <c r="AE149">
        <v>-3.7399999999991003E-2</v>
      </c>
      <c r="AF149">
        <v>4.51511052645516E-2</v>
      </c>
      <c r="AG149">
        <v>-5.6924000000000197E-2</v>
      </c>
      <c r="AH149">
        <v>0.73199119699263704</v>
      </c>
      <c r="AI149">
        <v>94.438310461672501</v>
      </c>
      <c r="AJ149">
        <v>86.470320492441004</v>
      </c>
      <c r="AK149">
        <v>0.73558825205227696</v>
      </c>
      <c r="AL149">
        <v>91.645492271832097</v>
      </c>
      <c r="AM149">
        <v>92.022053760593707</v>
      </c>
      <c r="AN149">
        <v>0.99999999296719</v>
      </c>
    </row>
    <row r="150" spans="1:40" x14ac:dyDescent="0.25">
      <c r="A150" t="str">
        <f>"20190305134913059"</f>
        <v>20190305134913059</v>
      </c>
      <c r="B150" t="str">
        <f>"1551764953050557"</f>
        <v>1551764953050557</v>
      </c>
      <c r="C150" t="s">
        <v>40</v>
      </c>
      <c r="D150">
        <v>4.3093170000000001</v>
      </c>
      <c r="E150">
        <v>0.53351610000000005</v>
      </c>
      <c r="F150" t="s">
        <v>42</v>
      </c>
      <c r="G150">
        <v>-453.69690000000003</v>
      </c>
      <c r="H150" s="1">
        <v>-3.2498880000000001E-6</v>
      </c>
      <c r="I150">
        <v>366.43920000000003</v>
      </c>
      <c r="J150">
        <v>-471.9074</v>
      </c>
      <c r="K150">
        <v>1.1099220000000001</v>
      </c>
      <c r="L150">
        <v>367.24560000000002</v>
      </c>
      <c r="M150">
        <v>0.99988350000000004</v>
      </c>
      <c r="N150">
        <v>-1.05209E-2</v>
      </c>
      <c r="O150">
        <v>1.10648E-2</v>
      </c>
      <c r="P150">
        <v>0.99810169999999998</v>
      </c>
      <c r="Q150">
        <v>-4.0891249999999997E-2</v>
      </c>
      <c r="R150">
        <v>4.6053379999999998E-2</v>
      </c>
      <c r="S150">
        <v>3.0043950000000001</v>
      </c>
      <c r="T150">
        <v>-0.1826711</v>
      </c>
      <c r="U150">
        <v>-0.1325684</v>
      </c>
      <c r="V150">
        <v>-3.5007339999999998E-2</v>
      </c>
      <c r="W150">
        <v>-3.0381760000000001E-2</v>
      </c>
      <c r="X150">
        <v>0.99892510000000001</v>
      </c>
      <c r="Y150">
        <v>5.500095E-2</v>
      </c>
      <c r="Z150">
        <v>-2.5150770000000001E-3</v>
      </c>
      <c r="AA150">
        <v>0.99848309999999996</v>
      </c>
      <c r="AB150">
        <v>5</v>
      </c>
      <c r="AC150">
        <v>18.2104999999999</v>
      </c>
      <c r="AD150">
        <v>-1.1099252498879999</v>
      </c>
      <c r="AE150">
        <v>-0.80639999999999601</v>
      </c>
      <c r="AF150">
        <v>1.0041343797587501</v>
      </c>
      <c r="AG150">
        <v>-1.1099252498879999</v>
      </c>
      <c r="AH150">
        <v>18.133231161861399</v>
      </c>
      <c r="AI150">
        <v>93.497328871768303</v>
      </c>
      <c r="AJ150">
        <v>86.830462104982701</v>
      </c>
      <c r="AK150">
        <v>18.194897424345399</v>
      </c>
      <c r="AL150">
        <v>91.741014602363506</v>
      </c>
      <c r="AM150">
        <v>92.0071097490179</v>
      </c>
      <c r="AN150">
        <v>0.99999996030228999</v>
      </c>
    </row>
    <row r="151" spans="1:40" x14ac:dyDescent="0.25">
      <c r="A151" t="str">
        <f>"20190305134913072"</f>
        <v>20190305134913072</v>
      </c>
      <c r="B151" t="str">
        <f>"1551764953061294"</f>
        <v>1551764953061294</v>
      </c>
      <c r="C151" t="s">
        <v>40</v>
      </c>
      <c r="D151">
        <v>4.1945129999999997</v>
      </c>
      <c r="E151">
        <v>0.53343160000000001</v>
      </c>
      <c r="F151" t="s">
        <v>42</v>
      </c>
      <c r="G151">
        <v>-452.39170000000001</v>
      </c>
      <c r="H151" s="1">
        <v>-3.8162239999999998E-6</v>
      </c>
      <c r="I151">
        <v>366.40309999999999</v>
      </c>
      <c r="J151">
        <v>-471.88220000000001</v>
      </c>
      <c r="K151">
        <v>1.1100380000000001</v>
      </c>
      <c r="L151">
        <v>367.24599999999998</v>
      </c>
      <c r="M151">
        <v>0.99987950000000003</v>
      </c>
      <c r="N151">
        <v>-1.0808450000000001E-2</v>
      </c>
      <c r="O151">
        <v>1.114801E-2</v>
      </c>
      <c r="P151">
        <v>0.99802900000000005</v>
      </c>
      <c r="Q151">
        <v>-4.2581969999999997E-2</v>
      </c>
      <c r="R151">
        <v>4.6099569999999999E-2</v>
      </c>
      <c r="S151">
        <v>3.0047000000000001</v>
      </c>
      <c r="T151">
        <v>-0.17088699999999901</v>
      </c>
      <c r="U151">
        <v>-0.1296997</v>
      </c>
      <c r="V151">
        <v>-3.4971990000000001E-2</v>
      </c>
      <c r="W151">
        <v>-3.1785540000000001E-2</v>
      </c>
      <c r="X151">
        <v>0.99888270000000001</v>
      </c>
      <c r="Y151">
        <v>5.4145270000000002E-2</v>
      </c>
      <c r="Z151">
        <v>-2.343679E-3</v>
      </c>
      <c r="AA151">
        <v>0.99853029999999998</v>
      </c>
      <c r="AB151">
        <v>5</v>
      </c>
      <c r="AC151">
        <v>19.490500000000001</v>
      </c>
      <c r="AD151">
        <v>-1.11004181622399</v>
      </c>
      <c r="AE151">
        <v>-0.84289999999998599</v>
      </c>
      <c r="AF151">
        <v>1.0567193652340301</v>
      </c>
      <c r="AG151">
        <v>-1.11004181622399</v>
      </c>
      <c r="AH151">
        <v>19.417027210906099</v>
      </c>
      <c r="AI151">
        <v>93.267126691259605</v>
      </c>
      <c r="AJ151">
        <v>86.884904638343201</v>
      </c>
      <c r="AK151">
        <v>19.477417548527701</v>
      </c>
      <c r="AL151">
        <v>91.821484084995106</v>
      </c>
      <c r="AM151">
        <v>92.005169689590304</v>
      </c>
      <c r="AN151">
        <v>1.00000000449847</v>
      </c>
    </row>
    <row r="152" spans="1:40" x14ac:dyDescent="0.25">
      <c r="A152" t="str">
        <f>"20190305134913084"</f>
        <v>20190305134913084</v>
      </c>
      <c r="B152" t="str">
        <f>"1551764953071053"</f>
        <v>1551764953071053</v>
      </c>
      <c r="C152" t="s">
        <v>40</v>
      </c>
      <c r="D152">
        <v>4.1917339999999896</v>
      </c>
      <c r="E152">
        <v>0.53330869999999997</v>
      </c>
      <c r="F152" t="s">
        <v>42</v>
      </c>
      <c r="G152">
        <v>-452.2604</v>
      </c>
      <c r="H152" s="1">
        <v>-3.8726269999999997E-6</v>
      </c>
      <c r="I152">
        <v>366.40260000000001</v>
      </c>
      <c r="J152">
        <v>-471.85899999999998</v>
      </c>
      <c r="K152">
        <v>1.1103190000000001</v>
      </c>
      <c r="L152">
        <v>367.24630000000002</v>
      </c>
      <c r="M152">
        <v>0.99986819999999998</v>
      </c>
      <c r="N152">
        <v>-1.1735799999999999E-2</v>
      </c>
      <c r="O152">
        <v>1.121602E-2</v>
      </c>
      <c r="P152">
        <v>0.99792990000000004</v>
      </c>
      <c r="Q152">
        <v>-4.4961800000000003E-2</v>
      </c>
      <c r="R152">
        <v>4.5982670000000003E-2</v>
      </c>
      <c r="S152">
        <v>3.0046080000000002</v>
      </c>
      <c r="T152">
        <v>-0.1699755</v>
      </c>
      <c r="U152">
        <v>-0.12911989999999901</v>
      </c>
      <c r="V152">
        <v>-3.478887E-2</v>
      </c>
      <c r="W152">
        <v>-3.3239320000000003E-2</v>
      </c>
      <c r="X152">
        <v>0.9988418</v>
      </c>
      <c r="Y152">
        <v>5.402266E-2</v>
      </c>
      <c r="Z152">
        <v>-2.3458670000000002E-3</v>
      </c>
      <c r="AA152">
        <v>0.99853689999999995</v>
      </c>
      <c r="AB152">
        <v>4</v>
      </c>
      <c r="AC152">
        <v>19.598600000000001</v>
      </c>
      <c r="AD152">
        <v>-1.110322872627</v>
      </c>
      <c r="AE152">
        <v>-0.843700000000012</v>
      </c>
      <c r="AF152">
        <v>1.0600842240072601</v>
      </c>
      <c r="AG152">
        <v>-1.110322872627</v>
      </c>
      <c r="AH152">
        <v>19.525351147633199</v>
      </c>
      <c r="AI152">
        <v>93.249883718599406</v>
      </c>
      <c r="AJ152">
        <v>86.892307985281207</v>
      </c>
      <c r="AK152">
        <v>19.585605246758298</v>
      </c>
      <c r="AL152">
        <v>91.904823561408605</v>
      </c>
      <c r="AM152">
        <v>91.994760353944798</v>
      </c>
      <c r="AN152">
        <v>1.00000002964858</v>
      </c>
    </row>
    <row r="153" spans="1:40" x14ac:dyDescent="0.25">
      <c r="A153" t="str">
        <f>"20190305134913103"</f>
        <v>20190305134913103</v>
      </c>
      <c r="B153" t="str">
        <f>"1551764953090573"</f>
        <v>1551764953090573</v>
      </c>
      <c r="C153" t="s">
        <v>40</v>
      </c>
      <c r="D153">
        <v>4.1920729999999997</v>
      </c>
      <c r="E153">
        <v>0.53311790000000003</v>
      </c>
      <c r="F153" t="s">
        <v>42</v>
      </c>
      <c r="G153">
        <v>-452.58550000000002</v>
      </c>
      <c r="H153" s="1">
        <v>-3.7294050000000002E-6</v>
      </c>
      <c r="I153">
        <v>366.42380000000003</v>
      </c>
      <c r="J153">
        <v>-471.82870000000003</v>
      </c>
      <c r="K153">
        <v>1.110727</v>
      </c>
      <c r="L153">
        <v>367.24669999999998</v>
      </c>
      <c r="M153">
        <v>0.99984839999999997</v>
      </c>
      <c r="N153">
        <v>-1.32625E-2</v>
      </c>
      <c r="O153">
        <v>1.129109E-2</v>
      </c>
      <c r="P153">
        <v>0.9978146</v>
      </c>
      <c r="Q153">
        <v>-4.7466229999999998E-2</v>
      </c>
      <c r="R153">
        <v>4.5971270000000002E-2</v>
      </c>
      <c r="S153">
        <v>3.0043329999999999</v>
      </c>
      <c r="T153">
        <v>-0.17307520000000001</v>
      </c>
      <c r="U153">
        <v>-0.12820429999999999</v>
      </c>
      <c r="V153">
        <v>-3.4704850000000002E-2</v>
      </c>
      <c r="W153">
        <v>-3.421884E-2</v>
      </c>
      <c r="X153">
        <v>0.99881160000000002</v>
      </c>
      <c r="Y153">
        <v>5.3792769999999997E-2</v>
      </c>
      <c r="Z153">
        <v>-2.4048030000000001E-3</v>
      </c>
      <c r="AA153">
        <v>0.99854920000000003</v>
      </c>
      <c r="AB153">
        <v>4</v>
      </c>
      <c r="AC153">
        <v>19.243200000000002</v>
      </c>
      <c r="AD153">
        <v>-1.110730729405</v>
      </c>
      <c r="AE153">
        <v>-0.82289999999994701</v>
      </c>
      <c r="AF153">
        <v>1.0366956946421499</v>
      </c>
      <c r="AG153">
        <v>-1.110730729405</v>
      </c>
      <c r="AH153">
        <v>19.168932714672898</v>
      </c>
      <c r="AI153">
        <v>93.311428260545796</v>
      </c>
      <c r="AJ153">
        <v>86.904341025912203</v>
      </c>
      <c r="AK153">
        <v>19.229052034257698</v>
      </c>
      <c r="AL153">
        <v>91.960977964666398</v>
      </c>
      <c r="AM153">
        <v>91.990006725375693</v>
      </c>
      <c r="AN153">
        <v>0.99999998395951295</v>
      </c>
    </row>
    <row r="154" spans="1:40" x14ac:dyDescent="0.25">
      <c r="A154" t="str">
        <f>"20190305134913116"</f>
        <v>20190305134913116</v>
      </c>
      <c r="B154" t="str">
        <f>"1551764953111070"</f>
        <v>1551764953111070</v>
      </c>
      <c r="C154" t="s">
        <v>40</v>
      </c>
      <c r="D154">
        <v>4.1748279999999998</v>
      </c>
      <c r="E154">
        <v>0.53302249999999995</v>
      </c>
      <c r="F154" t="s">
        <v>42</v>
      </c>
      <c r="G154">
        <v>-452.5136</v>
      </c>
      <c r="H154" s="1">
        <v>-3.7584930000000001E-6</v>
      </c>
      <c r="I154">
        <v>366.43369999999999</v>
      </c>
      <c r="J154">
        <v>-471.8066</v>
      </c>
      <c r="K154">
        <v>1.110822</v>
      </c>
      <c r="L154">
        <v>367.24700000000001</v>
      </c>
      <c r="M154">
        <v>0.99984139999999999</v>
      </c>
      <c r="N154">
        <v>-1.374061E-2</v>
      </c>
      <c r="O154">
        <v>1.133786E-2</v>
      </c>
      <c r="P154">
        <v>0.99779419999999996</v>
      </c>
      <c r="Q154">
        <v>-4.7887579999999999E-2</v>
      </c>
      <c r="R154">
        <v>4.5977259999999999E-2</v>
      </c>
      <c r="S154">
        <v>3.0041500000000001</v>
      </c>
      <c r="T154">
        <v>-0.1727552</v>
      </c>
      <c r="U154">
        <v>-0.1264343</v>
      </c>
      <c r="V154">
        <v>-3.466491E-2</v>
      </c>
      <c r="W154">
        <v>-3.4162489999999997E-2</v>
      </c>
      <c r="X154">
        <v>0.99881489999999995</v>
      </c>
      <c r="Y154">
        <v>5.3255810000000001E-2</v>
      </c>
      <c r="Z154">
        <v>-2.3913179999999999E-3</v>
      </c>
      <c r="AA154">
        <v>0.99857799999999997</v>
      </c>
      <c r="AB154">
        <v>4</v>
      </c>
      <c r="AC154">
        <v>19.292999999999999</v>
      </c>
      <c r="AD154">
        <v>-1.1108257584929999</v>
      </c>
      <c r="AE154">
        <v>-0.81329999999996905</v>
      </c>
      <c r="AF154">
        <v>1.0286058322754501</v>
      </c>
      <c r="AG154">
        <v>-1.1108257584929999</v>
      </c>
      <c r="AH154">
        <v>19.218938688852798</v>
      </c>
      <c r="AI154">
        <v>93.303212571392393</v>
      </c>
      <c r="AJ154">
        <v>86.936428238514793</v>
      </c>
      <c r="AK154">
        <v>19.2784742173701</v>
      </c>
      <c r="AL154">
        <v>91.957747489743198</v>
      </c>
      <c r="AM154">
        <v>91.987711806736002</v>
      </c>
      <c r="AN154">
        <v>0.99999996808515801</v>
      </c>
    </row>
    <row r="155" spans="1:40" x14ac:dyDescent="0.25">
      <c r="A155" t="str">
        <f>"20190305134913128"</f>
        <v>20190305134913128</v>
      </c>
      <c r="B155" t="str">
        <f>"1551764953120829"</f>
        <v>1551764953120829</v>
      </c>
      <c r="C155" t="s">
        <v>40</v>
      </c>
      <c r="D155">
        <v>4.1701189999999997</v>
      </c>
      <c r="E155">
        <v>0.53303179999999994</v>
      </c>
      <c r="F155" t="s">
        <v>42</v>
      </c>
      <c r="G155">
        <v>-451.9271</v>
      </c>
      <c r="H155" s="1">
        <v>-4.0132930000000002E-6</v>
      </c>
      <c r="I155">
        <v>366.41579999999999</v>
      </c>
      <c r="J155">
        <v>-471.78219999999999</v>
      </c>
      <c r="K155">
        <v>1.1107119999999999</v>
      </c>
      <c r="L155">
        <v>367.24740000000003</v>
      </c>
      <c r="M155">
        <v>0.99984340000000005</v>
      </c>
      <c r="N155">
        <v>-1.354643E-2</v>
      </c>
      <c r="O155">
        <v>1.138496E-2</v>
      </c>
      <c r="P155">
        <v>0.99782090000000001</v>
      </c>
      <c r="Q155">
        <v>-4.7326559999999997E-2</v>
      </c>
      <c r="R155">
        <v>4.5974590000000003E-2</v>
      </c>
      <c r="S155">
        <v>3.0043639999999998</v>
      </c>
      <c r="T155">
        <v>-0.167877</v>
      </c>
      <c r="U155">
        <v>-0.12561040000000001</v>
      </c>
      <c r="V155">
        <v>-3.4613900000000003E-2</v>
      </c>
      <c r="W155">
        <v>-3.3795270000000002E-2</v>
      </c>
      <c r="X155">
        <v>0.99882919999999997</v>
      </c>
      <c r="Y155">
        <v>5.3033299999999998E-2</v>
      </c>
      <c r="Z155">
        <v>-2.320969E-3</v>
      </c>
      <c r="AA155">
        <v>0.99859010000000004</v>
      </c>
      <c r="AB155">
        <v>4</v>
      </c>
      <c r="AC155">
        <v>19.8551</v>
      </c>
      <c r="AD155">
        <v>-1.1107160132930001</v>
      </c>
      <c r="AE155">
        <v>-0.83160000000003698</v>
      </c>
      <c r="AF155">
        <v>1.05432273612228</v>
      </c>
      <c r="AG155">
        <v>-1.1107160132930001</v>
      </c>
      <c r="AH155">
        <v>19.7825451323199</v>
      </c>
      <c r="AI155">
        <v>93.209025285627007</v>
      </c>
      <c r="AJ155">
        <v>86.949272960692895</v>
      </c>
      <c r="AK155">
        <v>19.841733251063602</v>
      </c>
      <c r="AL155">
        <v>91.936695101622107</v>
      </c>
      <c r="AM155">
        <v>91.984760803377299</v>
      </c>
      <c r="AN155">
        <v>1.00000000656011</v>
      </c>
    </row>
    <row r="156" spans="1:40" x14ac:dyDescent="0.25">
      <c r="A156" t="str">
        <f>"20190305134913149"</f>
        <v>20190305134913149</v>
      </c>
      <c r="B156" t="str">
        <f>"1551764953141326"</f>
        <v>1551764953141326</v>
      </c>
      <c r="C156" t="s">
        <v>40</v>
      </c>
      <c r="D156">
        <v>4.2427960000000002</v>
      </c>
      <c r="E156">
        <v>0.53298710000000005</v>
      </c>
      <c r="F156" t="s">
        <v>42</v>
      </c>
      <c r="G156">
        <v>-451.3338</v>
      </c>
      <c r="H156" s="1">
        <v>-4.2722499999999996E-6</v>
      </c>
      <c r="I156">
        <v>366.39069999999998</v>
      </c>
      <c r="J156">
        <v>-471.74349999999998</v>
      </c>
      <c r="K156">
        <v>1.110271</v>
      </c>
      <c r="L156">
        <v>367.24790000000002</v>
      </c>
      <c r="M156">
        <v>0.999861</v>
      </c>
      <c r="N156">
        <v>-1.210406E-2</v>
      </c>
      <c r="O156">
        <v>1.1469180000000001E-2</v>
      </c>
      <c r="P156">
        <v>0.99784079999999997</v>
      </c>
      <c r="Q156">
        <v>-4.6478709999999999E-2</v>
      </c>
      <c r="R156">
        <v>4.6405439999999999E-2</v>
      </c>
      <c r="S156">
        <v>3.004578</v>
      </c>
      <c r="T156">
        <v>-0.16320170000000001</v>
      </c>
      <c r="U156">
        <v>-0.12585450000000001</v>
      </c>
      <c r="V156">
        <v>-3.4960400000000003E-2</v>
      </c>
      <c r="W156">
        <v>-3.4388830000000002E-2</v>
      </c>
      <c r="X156">
        <v>0.99879689999999999</v>
      </c>
      <c r="Y156">
        <v>5.3202109999999997E-2</v>
      </c>
      <c r="Z156">
        <v>-2.2492279999999998E-3</v>
      </c>
      <c r="AA156">
        <v>0.99858119999999995</v>
      </c>
      <c r="AB156">
        <v>4</v>
      </c>
      <c r="AC156">
        <v>20.409699999999901</v>
      </c>
      <c r="AD156">
        <v>-1.11027527225</v>
      </c>
      <c r="AE156">
        <v>-0.85720000000003405</v>
      </c>
      <c r="AF156">
        <v>1.08802914688789</v>
      </c>
      <c r="AG156">
        <v>-1.11027527225</v>
      </c>
      <c r="AH156">
        <v>20.338443840844601</v>
      </c>
      <c r="AI156">
        <v>93.120221327278003</v>
      </c>
      <c r="AJ156">
        <v>86.937813338982707</v>
      </c>
      <c r="AK156">
        <v>20.3977649871705</v>
      </c>
      <c r="AL156">
        <v>91.970723310781196</v>
      </c>
      <c r="AM156">
        <v>92.004677755620406</v>
      </c>
      <c r="AN156">
        <v>1.00000003432326</v>
      </c>
    </row>
    <row r="157" spans="1:40" x14ac:dyDescent="0.25">
      <c r="A157" t="str">
        <f>"20190305134913162"</f>
        <v>20190305134913162</v>
      </c>
      <c r="B157" t="str">
        <f>"1551764953151085"</f>
        <v>1551764953151085</v>
      </c>
      <c r="C157" t="s">
        <v>40</v>
      </c>
      <c r="D157">
        <v>4.1482039999999998</v>
      </c>
      <c r="E157">
        <v>0.53302700000000003</v>
      </c>
      <c r="F157" t="s">
        <v>42</v>
      </c>
      <c r="G157">
        <v>-450.98349999999999</v>
      </c>
      <c r="H157" s="1">
        <v>-4.4224500000000003E-6</v>
      </c>
      <c r="I157">
        <v>366.39109999999999</v>
      </c>
      <c r="J157">
        <v>-471.71260000000001</v>
      </c>
      <c r="K157">
        <v>1.109977</v>
      </c>
      <c r="L157">
        <v>367.24829999999997</v>
      </c>
      <c r="M157">
        <v>0.99987320000000002</v>
      </c>
      <c r="N157">
        <v>-1.09712E-2</v>
      </c>
      <c r="O157">
        <v>1.154702E-2</v>
      </c>
      <c r="P157">
        <v>0.99788270000000001</v>
      </c>
      <c r="Q157">
        <v>-4.547872E-2</v>
      </c>
      <c r="R157">
        <v>4.6496040000000002E-2</v>
      </c>
      <c r="S157">
        <v>3.0047609999999998</v>
      </c>
      <c r="T157">
        <v>-0.16069829999999999</v>
      </c>
      <c r="U157">
        <v>-0.1239929</v>
      </c>
      <c r="V157">
        <v>-3.4971679999999998E-2</v>
      </c>
      <c r="W157">
        <v>-3.4520780000000001E-2</v>
      </c>
      <c r="X157">
        <v>0.99879189999999995</v>
      </c>
      <c r="Y157">
        <v>5.2664530000000001E-2</v>
      </c>
      <c r="Z157">
        <v>-2.1862700000000001E-3</v>
      </c>
      <c r="AA157">
        <v>0.99860979999999999</v>
      </c>
      <c r="AB157">
        <v>4</v>
      </c>
      <c r="AC157">
        <v>20.729099999999999</v>
      </c>
      <c r="AD157">
        <v>-1.10998142245</v>
      </c>
      <c r="AE157">
        <v>-0.85719999999997698</v>
      </c>
      <c r="AF157">
        <v>1.0933868720194699</v>
      </c>
      <c r="AG157">
        <v>-1.10998142245</v>
      </c>
      <c r="AH157">
        <v>20.658685968329301</v>
      </c>
      <c r="AI157">
        <v>93.071227577817794</v>
      </c>
      <c r="AJ157">
        <v>86.970375728894595</v>
      </c>
      <c r="AK157">
        <v>20.717356480693599</v>
      </c>
      <c r="AL157">
        <v>91.978288085476606</v>
      </c>
      <c r="AM157">
        <v>92.005334068995396</v>
      </c>
      <c r="AN157">
        <v>0.99999998107971999</v>
      </c>
    </row>
    <row r="158" spans="1:40" x14ac:dyDescent="0.25">
      <c r="A158" t="str">
        <f>"20190305134913183"</f>
        <v>20190305134913183</v>
      </c>
      <c r="B158" t="str">
        <f>"1551764953170772"</f>
        <v>1551764953170772</v>
      </c>
      <c r="C158" t="s">
        <v>40</v>
      </c>
      <c r="D158">
        <v>4.154579</v>
      </c>
      <c r="E158">
        <v>0.53310639999999998</v>
      </c>
      <c r="F158" t="s">
        <v>42</v>
      </c>
      <c r="G158">
        <v>-450.54129999999998</v>
      </c>
      <c r="H158" s="1">
        <v>-4.6150300000000003E-6</v>
      </c>
      <c r="I158">
        <v>366.37490000000003</v>
      </c>
      <c r="J158">
        <v>-471.67099999999999</v>
      </c>
      <c r="K158">
        <v>1.109942</v>
      </c>
      <c r="L158">
        <v>367.24889999999999</v>
      </c>
      <c r="M158">
        <v>0.99987630000000005</v>
      </c>
      <c r="N158">
        <v>-1.057256E-2</v>
      </c>
      <c r="O158">
        <v>1.164463E-2</v>
      </c>
      <c r="P158">
        <v>0.99791839999999998</v>
      </c>
      <c r="Q158">
        <v>-4.4554719999999999E-2</v>
      </c>
      <c r="R158">
        <v>4.6626260000000003E-2</v>
      </c>
      <c r="S158">
        <v>3.0050050000000001</v>
      </c>
      <c r="T158">
        <v>-0.15754760000000001</v>
      </c>
      <c r="U158">
        <v>-0.1239624</v>
      </c>
      <c r="V158">
        <v>-3.5003739999999998E-2</v>
      </c>
      <c r="W158">
        <v>-3.3995020000000001E-2</v>
      </c>
      <c r="X158">
        <v>0.99880880000000005</v>
      </c>
      <c r="Y158">
        <v>5.2752380000000001E-2</v>
      </c>
      <c r="Z158">
        <v>-2.147412E-3</v>
      </c>
      <c r="AA158">
        <v>0.99860530000000003</v>
      </c>
      <c r="AB158">
        <v>5</v>
      </c>
      <c r="AC158">
        <v>21.1297</v>
      </c>
      <c r="AD158">
        <v>-1.1099466150299999</v>
      </c>
      <c r="AE158">
        <v>-0.87399999999996603</v>
      </c>
      <c r="AF158">
        <v>1.1169252279209201</v>
      </c>
      <c r="AG158">
        <v>-1.1099466150299999</v>
      </c>
      <c r="AH158">
        <v>21.0600749552049</v>
      </c>
      <c r="AI158">
        <v>93.012689593242499</v>
      </c>
      <c r="AJ158">
        <v>86.964151247142695</v>
      </c>
      <c r="AK158">
        <v>21.118860304756801</v>
      </c>
      <c r="AL158">
        <v>91.948146582719005</v>
      </c>
      <c r="AM158">
        <v>92.007137005637702</v>
      </c>
      <c r="AN158">
        <v>0.999999971078113</v>
      </c>
    </row>
    <row r="159" spans="1:40" x14ac:dyDescent="0.25">
      <c r="A159" t="str">
        <f>"20190305134913198"</f>
        <v>20190305134913198</v>
      </c>
      <c r="B159" t="str">
        <f>"1551764953191479"</f>
        <v>1551764953191479</v>
      </c>
      <c r="C159" t="s">
        <v>40</v>
      </c>
      <c r="D159">
        <v>4.1585700000000001</v>
      </c>
      <c r="E159">
        <v>0.53307369999999898</v>
      </c>
      <c r="F159" t="s">
        <v>42</v>
      </c>
      <c r="G159">
        <v>-450.15989999999999</v>
      </c>
      <c r="H159" s="1">
        <v>-4.7819119999999901E-6</v>
      </c>
      <c r="I159">
        <v>366.35660000000001</v>
      </c>
      <c r="J159">
        <v>-471.6431</v>
      </c>
      <c r="K159">
        <v>1.1101780000000001</v>
      </c>
      <c r="L159">
        <v>367.24930000000001</v>
      </c>
      <c r="M159">
        <v>0.99986850000000005</v>
      </c>
      <c r="N159">
        <v>-1.122685E-2</v>
      </c>
      <c r="O159">
        <v>1.170213E-2</v>
      </c>
      <c r="P159">
        <v>0.99793259999999995</v>
      </c>
      <c r="Q159">
        <v>-4.4315710000000001E-2</v>
      </c>
      <c r="R159">
        <v>4.6549559999999997E-2</v>
      </c>
      <c r="S159">
        <v>3.0051570000000001</v>
      </c>
      <c r="T159">
        <v>-0.15506149999999999</v>
      </c>
      <c r="U159">
        <v>-0.1246338</v>
      </c>
      <c r="V159">
        <v>-3.4869999999999998E-2</v>
      </c>
      <c r="W159">
        <v>-3.3102079999999999E-2</v>
      </c>
      <c r="X159">
        <v>0.9988435</v>
      </c>
      <c r="Y159">
        <v>5.3032330000000003E-2</v>
      </c>
      <c r="Z159">
        <v>-2.1366950000000001E-3</v>
      </c>
      <c r="AA159">
        <v>0.99859050000000005</v>
      </c>
      <c r="AB159">
        <v>5</v>
      </c>
      <c r="AC159">
        <v>21.4832</v>
      </c>
      <c r="AD159">
        <v>-1.110182781912</v>
      </c>
      <c r="AE159">
        <v>-0.89269999999998995</v>
      </c>
      <c r="AF159">
        <v>1.1410121016606001</v>
      </c>
      <c r="AG159">
        <v>-1.110182781912</v>
      </c>
      <c r="AH159">
        <v>21.414193833509199</v>
      </c>
      <c r="AI159">
        <v>92.963549796702694</v>
      </c>
      <c r="AJ159">
        <v>86.949994236861798</v>
      </c>
      <c r="AK159">
        <v>21.473288336081499</v>
      </c>
      <c r="AL159">
        <v>91.896956013598398</v>
      </c>
      <c r="AM159">
        <v>91.999405098693401</v>
      </c>
      <c r="AN159">
        <v>1.00000000104628</v>
      </c>
    </row>
    <row r="160" spans="1:40" x14ac:dyDescent="0.25">
      <c r="A160" t="str">
        <f>"20190305134913214"</f>
        <v>20190305134913214</v>
      </c>
      <c r="B160" t="str">
        <f>"1551764953210999"</f>
        <v>1551764953210999</v>
      </c>
      <c r="C160" t="s">
        <v>40</v>
      </c>
      <c r="D160">
        <v>4.1228550000000004</v>
      </c>
      <c r="E160">
        <v>0.5329488</v>
      </c>
      <c r="F160" t="s">
        <v>42</v>
      </c>
      <c r="G160">
        <v>-450.15379999999999</v>
      </c>
      <c r="H160" s="1">
        <v>-4.7838279999999998E-6</v>
      </c>
      <c r="I160">
        <v>366.36040000000003</v>
      </c>
      <c r="J160">
        <v>-471.61419999999998</v>
      </c>
      <c r="K160">
        <v>1.1105659999999999</v>
      </c>
      <c r="L160">
        <v>367.24970000000002</v>
      </c>
      <c r="M160">
        <v>0.99985299999999999</v>
      </c>
      <c r="N160">
        <v>-1.2488519999999999E-2</v>
      </c>
      <c r="O160">
        <v>1.175409E-2</v>
      </c>
      <c r="P160">
        <v>0.99795840000000002</v>
      </c>
      <c r="Q160">
        <v>-4.3909469999999999E-2</v>
      </c>
      <c r="R160">
        <v>4.638312E-2</v>
      </c>
      <c r="S160">
        <v>3.005096</v>
      </c>
      <c r="T160">
        <v>-0.1552492</v>
      </c>
      <c r="U160">
        <v>-0.12429809999999999</v>
      </c>
      <c r="V160">
        <v>-3.465087E-2</v>
      </c>
      <c r="W160">
        <v>-3.143468E-2</v>
      </c>
      <c r="X160">
        <v>0.99890500000000004</v>
      </c>
      <c r="Y160">
        <v>5.2972579999999998E-2</v>
      </c>
      <c r="Z160">
        <v>-2.1579899999999998E-3</v>
      </c>
      <c r="AA160">
        <v>0.99859359999999997</v>
      </c>
      <c r="AB160">
        <v>4</v>
      </c>
      <c r="AC160">
        <v>21.4604</v>
      </c>
      <c r="AD160">
        <v>-1.1105707838279999</v>
      </c>
      <c r="AE160">
        <v>-0.88929999999999099</v>
      </c>
      <c r="AF160">
        <v>1.13846206490383</v>
      </c>
      <c r="AG160">
        <v>-1.1105707838279999</v>
      </c>
      <c r="AH160">
        <v>21.391275060932902</v>
      </c>
      <c r="AI160">
        <v>92.967764065924499</v>
      </c>
      <c r="AJ160">
        <v>86.953543466801406</v>
      </c>
      <c r="AK160">
        <v>21.450317295359699</v>
      </c>
      <c r="AL160">
        <v>91.801371226155794</v>
      </c>
      <c r="AM160">
        <v>91.986728315092904</v>
      </c>
      <c r="AN160">
        <v>1.0000000104617199</v>
      </c>
    </row>
    <row r="161" spans="1:40" x14ac:dyDescent="0.25">
      <c r="A161" t="str">
        <f>"20190305134913228"</f>
        <v>20190305134913228</v>
      </c>
      <c r="B161" t="str">
        <f>"1551764953220760"</f>
        <v>1551764953220760</v>
      </c>
      <c r="C161" t="s">
        <v>40</v>
      </c>
      <c r="D161">
        <v>4.1401620000000001</v>
      </c>
      <c r="E161">
        <v>0.53290729999999997</v>
      </c>
      <c r="F161" t="s">
        <v>42</v>
      </c>
      <c r="G161">
        <v>-450.11470000000003</v>
      </c>
      <c r="H161" s="1">
        <v>-4.799856E-6</v>
      </c>
      <c r="I161">
        <v>366.36470000000003</v>
      </c>
      <c r="J161">
        <v>-471.59129999999999</v>
      </c>
      <c r="K161">
        <v>1.110897</v>
      </c>
      <c r="L161">
        <v>367.25</v>
      </c>
      <c r="M161">
        <v>0.99983619999999995</v>
      </c>
      <c r="N161">
        <v>-1.3737879999999999E-2</v>
      </c>
      <c r="O161">
        <v>1.1789020000000001E-2</v>
      </c>
      <c r="P161">
        <v>0.99792650000000005</v>
      </c>
      <c r="Q161">
        <v>-4.4613699999999902E-2</v>
      </c>
      <c r="R161">
        <v>4.6390830000000001E-2</v>
      </c>
      <c r="S161">
        <v>3.0050349999999999</v>
      </c>
      <c r="T161">
        <v>-0.15522659999999999</v>
      </c>
      <c r="U161">
        <v>-0.1236877</v>
      </c>
      <c r="V161">
        <v>-3.4624299999999997E-2</v>
      </c>
      <c r="W161">
        <v>-3.0890509999999999E-2</v>
      </c>
      <c r="X161">
        <v>0.99892289999999995</v>
      </c>
      <c r="Y161">
        <v>5.280514E-2</v>
      </c>
      <c r="Z161">
        <v>-2.1720670000000002E-3</v>
      </c>
      <c r="AA161">
        <v>0.9986024</v>
      </c>
      <c r="AB161">
        <v>4</v>
      </c>
      <c r="AC161">
        <v>21.476599999999902</v>
      </c>
      <c r="AD161">
        <v>-1.110901799856</v>
      </c>
      <c r="AE161">
        <v>-0.885299999999972</v>
      </c>
      <c r="AF161">
        <v>1.13541764747304</v>
      </c>
      <c r="AG161">
        <v>-1.110901799856</v>
      </c>
      <c r="AH161">
        <v>21.407488847789999</v>
      </c>
      <c r="AI161">
        <v>92.966431285814195</v>
      </c>
      <c r="AJ161">
        <v>86.963971747652906</v>
      </c>
      <c r="AK161">
        <v>21.4663423715213</v>
      </c>
      <c r="AL161">
        <v>91.770177427409706</v>
      </c>
      <c r="AM161">
        <v>91.985170582658597</v>
      </c>
      <c r="AN161">
        <v>1.0000000129514699</v>
      </c>
    </row>
    <row r="162" spans="1:40" x14ac:dyDescent="0.25">
      <c r="A162" t="str">
        <f>"20190305134913240"</f>
        <v>20190305134913240</v>
      </c>
      <c r="B162" t="str">
        <f>"1551764953230520"</f>
        <v>1551764953230520</v>
      </c>
      <c r="C162" t="s">
        <v>40</v>
      </c>
      <c r="D162">
        <v>4.1528890000000001</v>
      </c>
      <c r="E162">
        <v>0.53285719999999903</v>
      </c>
      <c r="F162" t="s">
        <v>42</v>
      </c>
      <c r="G162">
        <v>-450.42680000000001</v>
      </c>
      <c r="H162" s="1">
        <v>-4.6631140000000003E-6</v>
      </c>
      <c r="I162">
        <v>366.38060000000002</v>
      </c>
      <c r="J162">
        <v>-471.56939999999997</v>
      </c>
      <c r="K162">
        <v>1.1108340000000001</v>
      </c>
      <c r="L162">
        <v>367.25029999999998</v>
      </c>
      <c r="M162">
        <v>0.99983670000000002</v>
      </c>
      <c r="N162">
        <v>-1.367559E-2</v>
      </c>
      <c r="O162">
        <v>1.182623E-2</v>
      </c>
      <c r="P162">
        <v>0.99794939999999999</v>
      </c>
      <c r="Q162">
        <v>-4.4127010000000001E-2</v>
      </c>
      <c r="R162">
        <v>4.636871E-2</v>
      </c>
      <c r="S162">
        <v>3.004883</v>
      </c>
      <c r="T162">
        <v>-0.1577231</v>
      </c>
      <c r="U162">
        <v>-0.1234131</v>
      </c>
      <c r="V162">
        <v>-3.4564739999999997E-2</v>
      </c>
      <c r="W162">
        <v>-3.0466070000000001E-2</v>
      </c>
      <c r="X162">
        <v>0.99893799999999999</v>
      </c>
      <c r="Y162">
        <v>5.2750419999999999E-2</v>
      </c>
      <c r="Z162">
        <v>-2.2025539999999998E-3</v>
      </c>
      <c r="AA162">
        <v>0.99860530000000003</v>
      </c>
      <c r="AB162">
        <v>4</v>
      </c>
      <c r="AC162">
        <v>21.142599999999899</v>
      </c>
      <c r="AD162">
        <v>-1.1108386631139999</v>
      </c>
      <c r="AE162">
        <v>-0.86969999999996594</v>
      </c>
      <c r="AF162">
        <v>1.1166225534071701</v>
      </c>
      <c r="AG162">
        <v>-1.1108386631139999</v>
      </c>
      <c r="AH162">
        <v>21.072762188038698</v>
      </c>
      <c r="AI162">
        <v>93.013301791219106</v>
      </c>
      <c r="AJ162">
        <v>86.966796270029207</v>
      </c>
      <c r="AK162">
        <v>21.131543121501601</v>
      </c>
      <c r="AL162">
        <v>91.745847350946704</v>
      </c>
      <c r="AM162">
        <v>91.981728526320097</v>
      </c>
      <c r="AN162">
        <v>1.00000001525825</v>
      </c>
    </row>
    <row r="163" spans="1:40" x14ac:dyDescent="0.25">
      <c r="A163" t="str">
        <f>"20190305134913259"</f>
        <v>20190305134913259</v>
      </c>
      <c r="B163" t="str">
        <f>"1551764953251015"</f>
        <v>1551764953251015</v>
      </c>
      <c r="C163" t="s">
        <v>40</v>
      </c>
      <c r="D163">
        <v>4.1493640000000003</v>
      </c>
      <c r="E163">
        <v>0.53274709999999903</v>
      </c>
      <c r="F163" t="s">
        <v>42</v>
      </c>
      <c r="G163">
        <v>-449.95580000000001</v>
      </c>
      <c r="H163" s="1">
        <v>-8.6627390000000005E-7</v>
      </c>
      <c r="I163">
        <v>366.36509999999998</v>
      </c>
      <c r="J163">
        <v>-471.53179999999998</v>
      </c>
      <c r="K163">
        <v>1.1105259999999999</v>
      </c>
      <c r="L163">
        <v>367.25080000000003</v>
      </c>
      <c r="M163">
        <v>0.99984810000000002</v>
      </c>
      <c r="N163">
        <v>-1.275049E-2</v>
      </c>
      <c r="O163">
        <v>1.1899659999999999E-2</v>
      </c>
      <c r="P163">
        <v>0.99806609999999996</v>
      </c>
      <c r="Q163">
        <v>-4.2110799999999997E-2</v>
      </c>
      <c r="R163">
        <v>4.5725349999999998E-2</v>
      </c>
      <c r="S163">
        <v>3.0050659999999998</v>
      </c>
      <c r="T163">
        <v>-0.1544459</v>
      </c>
      <c r="U163">
        <v>-0.1230774</v>
      </c>
      <c r="V163">
        <v>-3.3845630000000002E-2</v>
      </c>
      <c r="W163">
        <v>-2.9373710000000001E-2</v>
      </c>
      <c r="X163">
        <v>0.99899530000000003</v>
      </c>
      <c r="Y163">
        <v>5.2714469999999999E-2</v>
      </c>
      <c r="Z163">
        <v>-2.1490390000000002E-3</v>
      </c>
      <c r="AA163">
        <v>0.99860729999999998</v>
      </c>
      <c r="AB163">
        <v>4</v>
      </c>
      <c r="AC163">
        <v>21.575999999999901</v>
      </c>
      <c r="AD163">
        <v>-1.1105268662739001</v>
      </c>
      <c r="AE163">
        <v>-0.88570000000004201</v>
      </c>
      <c r="AF163">
        <v>1.13939175559352</v>
      </c>
      <c r="AG163">
        <v>-1.1105268662739001</v>
      </c>
      <c r="AH163">
        <v>21.5070508848952</v>
      </c>
      <c r="AI163">
        <v>92.951737888015103</v>
      </c>
      <c r="AJ163">
        <v>86.967442563549994</v>
      </c>
      <c r="AK163">
        <v>21.565822990530702</v>
      </c>
      <c r="AL163">
        <v>91.683231765034407</v>
      </c>
      <c r="AM163">
        <v>91.9404198412673</v>
      </c>
      <c r="AN163">
        <v>0.99999997546567498</v>
      </c>
    </row>
    <row r="164" spans="1:40" x14ac:dyDescent="0.25">
      <c r="A164" t="str">
        <f>"20190305134913282"</f>
        <v>20190305134913282</v>
      </c>
      <c r="B164" t="str">
        <f>"1551764953270535"</f>
        <v>1551764953270535</v>
      </c>
      <c r="C164" t="s">
        <v>40</v>
      </c>
      <c r="D164">
        <v>4.1583030000000001</v>
      </c>
      <c r="E164">
        <v>0.53261440000000004</v>
      </c>
      <c r="F164" t="s">
        <v>42</v>
      </c>
      <c r="G164">
        <v>-448.51979999999998</v>
      </c>
      <c r="H164" s="1">
        <v>-1.4349560000000001E-6</v>
      </c>
      <c r="I164">
        <v>366.30020000000002</v>
      </c>
      <c r="J164">
        <v>-471.48469999999998</v>
      </c>
      <c r="K164">
        <v>1.1100429999999999</v>
      </c>
      <c r="L164">
        <v>367.25139999999999</v>
      </c>
      <c r="M164">
        <v>0.99986739999999996</v>
      </c>
      <c r="N164">
        <v>-1.1011129999999999E-2</v>
      </c>
      <c r="O164">
        <v>1.200854E-2</v>
      </c>
      <c r="P164">
        <v>0.99818689999999999</v>
      </c>
      <c r="Q164">
        <v>-4.015875E-2</v>
      </c>
      <c r="R164">
        <v>4.4834699999999998E-2</v>
      </c>
      <c r="S164">
        <v>3.0053709999999998</v>
      </c>
      <c r="T164">
        <v>-0.14503529999999901</v>
      </c>
      <c r="U164">
        <v>-0.12414550000000001</v>
      </c>
      <c r="V164">
        <v>-3.284451E-2</v>
      </c>
      <c r="W164">
        <v>-2.9159480000000002E-2</v>
      </c>
      <c r="X164">
        <v>0.99903500000000001</v>
      </c>
      <c r="Y164">
        <v>5.3184490000000001E-2</v>
      </c>
      <c r="Z164">
        <v>-2.0220160000000002E-3</v>
      </c>
      <c r="AA164">
        <v>0.99858270000000005</v>
      </c>
      <c r="AB164">
        <v>4</v>
      </c>
      <c r="AC164">
        <v>22.9649</v>
      </c>
      <c r="AD164">
        <v>-1.1100444349559999</v>
      </c>
      <c r="AE164">
        <v>-0.95119999999997096</v>
      </c>
      <c r="AF164">
        <v>1.22406796498096</v>
      </c>
      <c r="AG164">
        <v>-1.1100444349559999</v>
      </c>
      <c r="AH164">
        <v>22.898411933121899</v>
      </c>
      <c r="AI164">
        <v>92.771399365992593</v>
      </c>
      <c r="AJ164">
        <v>86.940083093655403</v>
      </c>
      <c r="AK164">
        <v>22.957957445936099</v>
      </c>
      <c r="AL164">
        <v>91.670952015189599</v>
      </c>
      <c r="AM164">
        <v>91.882991331283804</v>
      </c>
      <c r="AN164">
        <v>0.99999998416800495</v>
      </c>
    </row>
    <row r="165" spans="1:40" x14ac:dyDescent="0.25">
      <c r="A165" t="str">
        <f>"20190305134913295"</f>
        <v>20190305134913295</v>
      </c>
      <c r="B165" t="str">
        <f>"1551764953291031"</f>
        <v>1551764953291031</v>
      </c>
      <c r="C165" t="s">
        <v>40</v>
      </c>
      <c r="D165">
        <v>4.1270030000000002</v>
      </c>
      <c r="E165">
        <v>0.5325259</v>
      </c>
      <c r="F165" t="s">
        <v>42</v>
      </c>
      <c r="G165">
        <v>-447.0838</v>
      </c>
      <c r="H165" s="1">
        <v>-2.0046729999999999E-6</v>
      </c>
      <c r="I165">
        <v>366.23160000000001</v>
      </c>
      <c r="J165">
        <v>-471.45600000000002</v>
      </c>
      <c r="K165">
        <v>1.1099380000000001</v>
      </c>
      <c r="L165">
        <v>367.2518</v>
      </c>
      <c r="M165">
        <v>0.99987219999999999</v>
      </c>
      <c r="N165">
        <v>-1.048353E-2</v>
      </c>
      <c r="O165">
        <v>1.2074669999999999E-2</v>
      </c>
      <c r="P165">
        <v>0.9982259</v>
      </c>
      <c r="Q165">
        <v>-3.9795329999999997E-2</v>
      </c>
      <c r="R165">
        <v>4.428899E-2</v>
      </c>
      <c r="S165">
        <v>3.0055540000000001</v>
      </c>
      <c r="T165">
        <v>-0.13672860000000001</v>
      </c>
      <c r="U165">
        <v>-0.12561040000000001</v>
      </c>
      <c r="V165">
        <v>-3.2232200000000003E-2</v>
      </c>
      <c r="W165">
        <v>-2.932332E-2</v>
      </c>
      <c r="X165">
        <v>0.99905010000000005</v>
      </c>
      <c r="Y165">
        <v>5.3742360000000003E-2</v>
      </c>
      <c r="Z165">
        <v>-1.9255990000000001E-3</v>
      </c>
      <c r="AA165">
        <v>0.99855300000000002</v>
      </c>
      <c r="AB165">
        <v>5</v>
      </c>
      <c r="AC165">
        <v>24.3721999999999</v>
      </c>
      <c r="AD165">
        <v>-1.1099400046729999</v>
      </c>
      <c r="AE165">
        <v>-1.02019999999998</v>
      </c>
      <c r="AF165">
        <v>1.3117123077109201</v>
      </c>
      <c r="AG165">
        <v>-1.1099400046729999</v>
      </c>
      <c r="AH165">
        <v>24.307777539486601</v>
      </c>
      <c r="AI165">
        <v>92.6106267735383</v>
      </c>
      <c r="AJ165">
        <v>86.911163268207204</v>
      </c>
      <c r="AK165">
        <v>24.368434600961599</v>
      </c>
      <c r="AL165">
        <v>91.680343450985205</v>
      </c>
      <c r="AM165">
        <v>91.847883967368901</v>
      </c>
      <c r="AN165">
        <v>0.99999993706133405</v>
      </c>
    </row>
    <row r="166" spans="1:40" x14ac:dyDescent="0.25">
      <c r="A166" t="str">
        <f>"20190305134913309"</f>
        <v>20190305134913309</v>
      </c>
      <c r="B166" t="str">
        <f>"1551764953300791"</f>
        <v>1551764953300791</v>
      </c>
      <c r="C166" t="s">
        <v>40</v>
      </c>
      <c r="D166">
        <v>4.1367849999999997</v>
      </c>
      <c r="E166">
        <v>0.53251479999999995</v>
      </c>
      <c r="F166" t="s">
        <v>42</v>
      </c>
      <c r="G166">
        <v>-446.30270000000002</v>
      </c>
      <c r="H166" s="1">
        <v>-2.3352009999999999E-6</v>
      </c>
      <c r="I166">
        <v>366.19450000000001</v>
      </c>
      <c r="J166">
        <v>-471.42899999999997</v>
      </c>
      <c r="K166">
        <v>1.1100460000000001</v>
      </c>
      <c r="L166">
        <v>367.25220000000002</v>
      </c>
      <c r="M166">
        <v>0.99986969999999997</v>
      </c>
      <c r="N166">
        <v>-1.065701E-2</v>
      </c>
      <c r="O166">
        <v>1.2131930000000001E-2</v>
      </c>
      <c r="P166">
        <v>0.99823830000000002</v>
      </c>
      <c r="Q166">
        <v>-3.9812559999999997E-2</v>
      </c>
      <c r="R166">
        <v>4.3991589999999997E-2</v>
      </c>
      <c r="S166">
        <v>3.005646</v>
      </c>
      <c r="T166">
        <v>-0.1326302</v>
      </c>
      <c r="U166">
        <v>-0.12634280000000001</v>
      </c>
      <c r="V166">
        <v>-3.187744E-2</v>
      </c>
      <c r="W166">
        <v>-2.9167209999999999E-2</v>
      </c>
      <c r="X166">
        <v>0.99906609999999996</v>
      </c>
      <c r="Y166">
        <v>5.40449E-2</v>
      </c>
      <c r="Z166">
        <v>-1.885294E-3</v>
      </c>
      <c r="AA166">
        <v>0.99853670000000005</v>
      </c>
      <c r="AB166">
        <v>5</v>
      </c>
      <c r="AC166">
        <v>25.126300000000001</v>
      </c>
      <c r="AD166">
        <v>-1.11004833520099</v>
      </c>
      <c r="AE166">
        <v>-1.0577000000000101</v>
      </c>
      <c r="AF166">
        <v>1.35982059770993</v>
      </c>
      <c r="AG166">
        <v>-1.11004833520099</v>
      </c>
      <c r="AH166">
        <v>25.062787909694599</v>
      </c>
      <c r="AI166">
        <v>92.532292932492794</v>
      </c>
      <c r="AJ166">
        <v>86.894373266900203</v>
      </c>
      <c r="AK166">
        <v>25.124184706588402</v>
      </c>
      <c r="AL166">
        <v>91.671395099070196</v>
      </c>
      <c r="AM166">
        <v>91.827530065689004</v>
      </c>
      <c r="AN166">
        <v>0.999999984744673</v>
      </c>
    </row>
    <row r="167" spans="1:40" x14ac:dyDescent="0.25">
      <c r="A167" t="str">
        <f>"20190305134913326"</f>
        <v>20190305134913326</v>
      </c>
      <c r="B167" t="str">
        <f>"1551764953321287"</f>
        <v>1551764953321287</v>
      </c>
      <c r="C167" t="s">
        <v>40</v>
      </c>
      <c r="D167">
        <v>4.1307839999999896</v>
      </c>
      <c r="E167">
        <v>0.53241590000000005</v>
      </c>
      <c r="F167" t="s">
        <v>42</v>
      </c>
      <c r="G167">
        <v>-446.05590000000001</v>
      </c>
      <c r="H167" s="1">
        <v>-2.4546979999999999E-6</v>
      </c>
      <c r="I167">
        <v>366.17840000000001</v>
      </c>
      <c r="J167">
        <v>-471.39929999999998</v>
      </c>
      <c r="K167">
        <v>1.110414</v>
      </c>
      <c r="L167">
        <v>367.25259999999997</v>
      </c>
      <c r="M167">
        <v>0.99985590000000002</v>
      </c>
      <c r="N167">
        <v>-1.1815549999999999E-2</v>
      </c>
      <c r="O167">
        <v>1.218707E-2</v>
      </c>
      <c r="P167">
        <v>0.99827370000000004</v>
      </c>
      <c r="Q167">
        <v>-3.9584910000000001E-2</v>
      </c>
      <c r="R167">
        <v>4.3385899999999998E-2</v>
      </c>
      <c r="S167">
        <v>3.005646</v>
      </c>
      <c r="T167">
        <v>-0.131494</v>
      </c>
      <c r="U167">
        <v>-0.12719730000000001</v>
      </c>
      <c r="V167">
        <v>-3.1216009999999999E-2</v>
      </c>
      <c r="W167">
        <v>-2.7781259999999999E-2</v>
      </c>
      <c r="X167">
        <v>0.99912650000000003</v>
      </c>
      <c r="Y167">
        <v>5.4383300000000002E-2</v>
      </c>
      <c r="Z167">
        <v>-1.898966E-3</v>
      </c>
      <c r="AA167">
        <v>0.99851829999999997</v>
      </c>
      <c r="AB167">
        <v>5</v>
      </c>
      <c r="AC167">
        <v>25.3433999999999</v>
      </c>
      <c r="AD167">
        <v>-1.110416454698</v>
      </c>
      <c r="AE167">
        <v>-1.0741999999999601</v>
      </c>
      <c r="AF167">
        <v>1.3803583977364</v>
      </c>
      <c r="AG167">
        <v>-1.110416454698</v>
      </c>
      <c r="AH167">
        <v>25.279981426791899</v>
      </c>
      <c r="AI167">
        <v>92.511349006866695</v>
      </c>
      <c r="AJ167">
        <v>86.874592223241606</v>
      </c>
      <c r="AK167">
        <v>25.341978512894499</v>
      </c>
      <c r="AL167">
        <v>91.591953769701604</v>
      </c>
      <c r="AM167">
        <v>91.789527159543695</v>
      </c>
      <c r="AN167">
        <v>1.0000000003448699</v>
      </c>
    </row>
    <row r="168" spans="1:40" x14ac:dyDescent="0.25">
      <c r="A168" t="str">
        <f>"20190305134913340"</f>
        <v>20190305134913340</v>
      </c>
      <c r="B168" t="str">
        <f>"1551764953331048"</f>
        <v>1551764953331048</v>
      </c>
      <c r="C168" t="s">
        <v>40</v>
      </c>
      <c r="D168">
        <v>4.1118959999999998</v>
      </c>
      <c r="E168">
        <v>0.53234769999999998</v>
      </c>
      <c r="F168" t="s">
        <v>42</v>
      </c>
      <c r="G168">
        <v>-445.3331</v>
      </c>
      <c r="H168" s="1">
        <v>-2.802929E-6</v>
      </c>
      <c r="I168">
        <v>366.14159999999998</v>
      </c>
      <c r="J168">
        <v>-471.37509999999997</v>
      </c>
      <c r="K168">
        <v>1.110754</v>
      </c>
      <c r="L168">
        <v>367.25290000000001</v>
      </c>
      <c r="M168">
        <v>0.99983999999999995</v>
      </c>
      <c r="N168">
        <v>-1.304283E-2</v>
      </c>
      <c r="O168">
        <v>1.2257179999999999E-2</v>
      </c>
      <c r="P168">
        <v>0.99824860000000004</v>
      </c>
      <c r="Q168">
        <v>-4.0205310000000001E-2</v>
      </c>
      <c r="R168">
        <v>4.340194E-2</v>
      </c>
      <c r="S168">
        <v>3.0056759999999998</v>
      </c>
      <c r="T168">
        <v>-0.1280413</v>
      </c>
      <c r="U168">
        <v>-0.1281128</v>
      </c>
      <c r="V168">
        <v>-3.1160779999999999E-2</v>
      </c>
      <c r="W168">
        <v>-2.717754E-2</v>
      </c>
      <c r="X168">
        <v>0.9991449</v>
      </c>
      <c r="Y168">
        <v>5.4758710000000002E-2</v>
      </c>
      <c r="Z168">
        <v>-1.884751E-3</v>
      </c>
      <c r="AA168">
        <v>0.99849779999999999</v>
      </c>
      <c r="AB168">
        <v>4</v>
      </c>
      <c r="AC168">
        <v>26.041999999999899</v>
      </c>
      <c r="AD168">
        <v>-1.110756802929</v>
      </c>
      <c r="AE168">
        <v>-1.1113000000000199</v>
      </c>
      <c r="AF168">
        <v>1.42785219772484</v>
      </c>
      <c r="AG168">
        <v>-1.110756802929</v>
      </c>
      <c r="AH168">
        <v>25.979244284285301</v>
      </c>
      <c r="AI168">
        <v>92.444536428065007</v>
      </c>
      <c r="AJ168">
        <v>86.854116414087898</v>
      </c>
      <c r="AK168">
        <v>26.042151911014798</v>
      </c>
      <c r="AL168">
        <v>91.557349982105293</v>
      </c>
      <c r="AM168">
        <v>91.786330154368798</v>
      </c>
      <c r="AN168">
        <v>1.00000007204333</v>
      </c>
    </row>
    <row r="169" spans="1:40" x14ac:dyDescent="0.25">
      <c r="A169" t="str">
        <f>"20190305134913353"</f>
        <v>20190305134913353</v>
      </c>
      <c r="B169" t="str">
        <f>"1551764953340807"</f>
        <v>1551764953340807</v>
      </c>
      <c r="C169" t="s">
        <v>40</v>
      </c>
      <c r="D169">
        <v>4.10459</v>
      </c>
      <c r="E169">
        <v>0.53227679999999999</v>
      </c>
      <c r="F169" t="s">
        <v>42</v>
      </c>
      <c r="G169">
        <v>-445.41250000000002</v>
      </c>
      <c r="H169" s="1">
        <v>-2.7641310000000001E-6</v>
      </c>
      <c r="I169">
        <v>366.14870000000002</v>
      </c>
      <c r="J169">
        <v>-471.35300000000001</v>
      </c>
      <c r="K169">
        <v>1.110938</v>
      </c>
      <c r="L169">
        <v>367.25310000000002</v>
      </c>
      <c r="M169">
        <v>0.9998283</v>
      </c>
      <c r="N169">
        <v>-1.385898E-2</v>
      </c>
      <c r="O169">
        <v>1.230528E-2</v>
      </c>
      <c r="P169">
        <v>0.99825489999999995</v>
      </c>
      <c r="Q169">
        <v>-4.0331560000000002E-2</v>
      </c>
      <c r="R169">
        <v>4.3136969999999997E-2</v>
      </c>
      <c r="S169">
        <v>3.005646</v>
      </c>
      <c r="T169">
        <v>-0.12859029999999999</v>
      </c>
      <c r="U169">
        <v>-0.12783810000000001</v>
      </c>
      <c r="V169">
        <v>-3.0844050000000001E-2</v>
      </c>
      <c r="W169">
        <v>-2.6492180000000001E-2</v>
      </c>
      <c r="X169">
        <v>0.99917299999999998</v>
      </c>
      <c r="Y169">
        <v>5.4715060000000003E-2</v>
      </c>
      <c r="Z169">
        <v>-1.904532E-3</v>
      </c>
      <c r="AA169">
        <v>0.99850019999999995</v>
      </c>
      <c r="AB169">
        <v>4</v>
      </c>
      <c r="AC169">
        <v>25.940499999999901</v>
      </c>
      <c r="AD169">
        <v>-1.1109407641310001</v>
      </c>
      <c r="AE169">
        <v>-1.1043999999999901</v>
      </c>
      <c r="AF169">
        <v>1.42095065984762</v>
      </c>
      <c r="AG169">
        <v>-1.1109407641310001</v>
      </c>
      <c r="AH169">
        <v>25.8775679341528</v>
      </c>
      <c r="AI169">
        <v>92.454542376081093</v>
      </c>
      <c r="AJ169">
        <v>86.857015404216497</v>
      </c>
      <c r="AK169">
        <v>25.940351045153999</v>
      </c>
      <c r="AL169">
        <v>91.518067806690993</v>
      </c>
      <c r="AM169">
        <v>91.768135105959004</v>
      </c>
      <c r="AN169">
        <v>0.99999993747527505</v>
      </c>
    </row>
    <row r="170" spans="1:40" x14ac:dyDescent="0.25">
      <c r="A170" t="str">
        <f>"20190305134913373"</f>
        <v>20190305134913373</v>
      </c>
      <c r="B170" t="str">
        <f>"1551764953361303"</f>
        <v>1551764953361303</v>
      </c>
      <c r="C170" t="s">
        <v>40</v>
      </c>
      <c r="D170">
        <v>4.0604209999999998</v>
      </c>
      <c r="E170">
        <v>0.53220059999999902</v>
      </c>
      <c r="F170" t="s">
        <v>42</v>
      </c>
      <c r="G170">
        <v>-445.23899999999998</v>
      </c>
      <c r="H170" s="1">
        <v>-2.8472909999999998E-6</v>
      </c>
      <c r="I170">
        <v>366.1422</v>
      </c>
      <c r="J170">
        <v>-471.31709999999998</v>
      </c>
      <c r="K170">
        <v>1.1107129999999901</v>
      </c>
      <c r="L170">
        <v>367.25349999999997</v>
      </c>
      <c r="M170">
        <v>0.99983140000000004</v>
      </c>
      <c r="N170">
        <v>-1.363081E-2</v>
      </c>
      <c r="O170">
        <v>1.2305450000000001E-2</v>
      </c>
      <c r="P170">
        <v>0.99831309999999995</v>
      </c>
      <c r="Q170">
        <v>-3.9141919999999997E-2</v>
      </c>
      <c r="R170">
        <v>4.2883240000000003E-2</v>
      </c>
      <c r="S170">
        <v>3.005585</v>
      </c>
      <c r="T170">
        <v>-0.12786349999999999</v>
      </c>
      <c r="U170">
        <v>-0.1278687</v>
      </c>
      <c r="V170">
        <v>-3.058085E-2</v>
      </c>
      <c r="W170">
        <v>-2.5540440000000001E-2</v>
      </c>
      <c r="X170">
        <v>0.99920589999999998</v>
      </c>
      <c r="Y170">
        <v>5.4727070000000003E-2</v>
      </c>
      <c r="Z170">
        <v>-1.8918870000000001E-3</v>
      </c>
      <c r="AA170">
        <v>0.99849960000000004</v>
      </c>
      <c r="AB170">
        <v>4</v>
      </c>
      <c r="AC170">
        <v>26.0780999999999</v>
      </c>
      <c r="AD170">
        <v>-1.1107158472909999</v>
      </c>
      <c r="AE170">
        <v>-1.11129999999997</v>
      </c>
      <c r="AF170">
        <v>1.4295597849621999</v>
      </c>
      <c r="AG170">
        <v>-1.1107158472909999</v>
      </c>
      <c r="AH170">
        <v>26.015340713091401</v>
      </c>
      <c r="AI170">
        <v>92.441060244464595</v>
      </c>
      <c r="AJ170">
        <v>86.8547231406626</v>
      </c>
      <c r="AK170">
        <v>26.078253072060502</v>
      </c>
      <c r="AL170">
        <v>91.463518609614098</v>
      </c>
      <c r="AM170">
        <v>91.752998936208996</v>
      </c>
      <c r="AN170">
        <v>0.99999996652846201</v>
      </c>
    </row>
    <row r="171" spans="1:40" x14ac:dyDescent="0.25">
      <c r="A171" t="str">
        <f>"20190305134913395"</f>
        <v>20190305134913395</v>
      </c>
      <c r="B171" t="str">
        <f>"1551764953390583"</f>
        <v>1551764953390583</v>
      </c>
      <c r="C171" t="s">
        <v>40</v>
      </c>
      <c r="D171">
        <v>4.0311659999999998</v>
      </c>
      <c r="E171">
        <v>0.53201929999999997</v>
      </c>
      <c r="F171" t="s">
        <v>42</v>
      </c>
      <c r="G171">
        <v>-444.31360000000001</v>
      </c>
      <c r="H171" s="1">
        <v>-3.2914770000000002E-6</v>
      </c>
      <c r="I171">
        <v>366.10419999999999</v>
      </c>
      <c r="J171">
        <v>-471.27100000000002</v>
      </c>
      <c r="K171">
        <v>1.1100779999999999</v>
      </c>
      <c r="L171">
        <v>367.25400000000002</v>
      </c>
      <c r="M171">
        <v>0.99985020000000002</v>
      </c>
      <c r="N171">
        <v>-1.212389E-2</v>
      </c>
      <c r="O171">
        <v>1.234994E-2</v>
      </c>
      <c r="P171">
        <v>0.99832460000000001</v>
      </c>
      <c r="Q171">
        <v>-3.8536029999999999E-2</v>
      </c>
      <c r="R171">
        <v>4.3161140000000001E-2</v>
      </c>
      <c r="S171">
        <v>3.0057369999999999</v>
      </c>
      <c r="T171">
        <v>-0.1236328</v>
      </c>
      <c r="U171">
        <v>-0.12792970000000001</v>
      </c>
      <c r="V171">
        <v>-3.0806920000000002E-2</v>
      </c>
      <c r="W171">
        <v>-2.6448739999999998E-2</v>
      </c>
      <c r="X171">
        <v>0.99917540000000005</v>
      </c>
      <c r="Y171">
        <v>5.4794660000000002E-2</v>
      </c>
      <c r="Z171">
        <v>-1.81638E-3</v>
      </c>
      <c r="AA171">
        <v>0.99849600000000005</v>
      </c>
      <c r="AB171">
        <v>4</v>
      </c>
      <c r="AC171">
        <v>26.9573999999999</v>
      </c>
      <c r="AD171">
        <v>-1.110081291477</v>
      </c>
      <c r="AE171">
        <v>-1.1498000000000199</v>
      </c>
      <c r="AF171">
        <v>1.4801536888726601</v>
      </c>
      <c r="AG171">
        <v>-1.110081291477</v>
      </c>
      <c r="AH171">
        <v>26.8956182720074</v>
      </c>
      <c r="AI171">
        <v>92.359899609161204</v>
      </c>
      <c r="AJ171">
        <v>86.850003705405499</v>
      </c>
      <c r="AK171">
        <v>26.9591805819448</v>
      </c>
      <c r="AL171">
        <v>91.515577848399701</v>
      </c>
      <c r="AM171">
        <v>91.766003738192495</v>
      </c>
      <c r="AN171">
        <v>1.0000000410663099</v>
      </c>
    </row>
    <row r="172" spans="1:40" x14ac:dyDescent="0.25">
      <c r="A172" t="str">
        <f>"20190305134913417"</f>
        <v>20190305134913417</v>
      </c>
      <c r="B172" t="str">
        <f>"1551764953411080"</f>
        <v>1551764953411080</v>
      </c>
      <c r="C172" t="s">
        <v>40</v>
      </c>
      <c r="D172">
        <v>4.069852</v>
      </c>
      <c r="E172">
        <v>0.53196429999999995</v>
      </c>
      <c r="F172" t="s">
        <v>42</v>
      </c>
      <c r="G172">
        <v>-444.3877</v>
      </c>
      <c r="H172" s="1">
        <v>-3.252223E-6</v>
      </c>
      <c r="I172">
        <v>366.12810000000002</v>
      </c>
      <c r="J172">
        <v>-471.22399999999999</v>
      </c>
      <c r="K172">
        <v>1.1096490000000001</v>
      </c>
      <c r="L172">
        <v>367.25459999999998</v>
      </c>
      <c r="M172">
        <v>0.99986079999999999</v>
      </c>
      <c r="N172">
        <v>-1.117199E-2</v>
      </c>
      <c r="O172">
        <v>1.240672E-2</v>
      </c>
      <c r="P172">
        <v>0.99835130000000005</v>
      </c>
      <c r="Q172">
        <v>-3.8512539999999998E-2</v>
      </c>
      <c r="R172">
        <v>4.2566270000000003E-2</v>
      </c>
      <c r="S172">
        <v>3.0056759999999998</v>
      </c>
      <c r="T172">
        <v>-0.1241121</v>
      </c>
      <c r="U172">
        <v>-0.125885</v>
      </c>
      <c r="V172">
        <v>-3.0152000000000002E-2</v>
      </c>
      <c r="W172">
        <v>-2.7378070000000001E-2</v>
      </c>
      <c r="X172">
        <v>0.99917029999999996</v>
      </c>
      <c r="Y172">
        <v>5.4174930000000003E-2</v>
      </c>
      <c r="Z172">
        <v>-1.793857E-3</v>
      </c>
      <c r="AA172">
        <v>0.99852989999999997</v>
      </c>
      <c r="AB172">
        <v>5</v>
      </c>
      <c r="AC172">
        <v>26.836299999999898</v>
      </c>
      <c r="AD172">
        <v>-1.1096522522229999</v>
      </c>
      <c r="AE172">
        <v>-1.1264999999999601</v>
      </c>
      <c r="AF172">
        <v>1.4568979406038001</v>
      </c>
      <c r="AG172">
        <v>-1.1096522522229999</v>
      </c>
      <c r="AH172">
        <v>26.774560358551199</v>
      </c>
      <c r="AI172">
        <v>92.369722338154403</v>
      </c>
      <c r="AJ172">
        <v>86.885406748750597</v>
      </c>
      <c r="AK172">
        <v>26.837119109992098</v>
      </c>
      <c r="AL172">
        <v>91.568843901627005</v>
      </c>
      <c r="AM172">
        <v>91.728492350626198</v>
      </c>
      <c r="AN172">
        <v>0.99999999511150695</v>
      </c>
    </row>
    <row r="173" spans="1:40" x14ac:dyDescent="0.25">
      <c r="A173" t="str">
        <f>"20190305134913442"</f>
        <v>20190305134913442</v>
      </c>
      <c r="B173" t="str">
        <f>"1551764953430599"</f>
        <v>1551764953430599</v>
      </c>
      <c r="C173" t="s">
        <v>40</v>
      </c>
      <c r="D173">
        <v>3.976855</v>
      </c>
      <c r="E173">
        <v>0.53200749999999997</v>
      </c>
      <c r="F173" t="s">
        <v>42</v>
      </c>
      <c r="G173">
        <v>-444.22980000000001</v>
      </c>
      <c r="H173" s="1">
        <v>-3.3296380000000001E-6</v>
      </c>
      <c r="I173">
        <v>366.11219999999997</v>
      </c>
      <c r="J173">
        <v>-471.17849999999999</v>
      </c>
      <c r="K173">
        <v>1.1098250000000001</v>
      </c>
      <c r="L173">
        <v>367.2552</v>
      </c>
      <c r="M173">
        <v>0.9998475</v>
      </c>
      <c r="N173">
        <v>-1.225364E-2</v>
      </c>
      <c r="O173">
        <v>1.2448539999999999E-2</v>
      </c>
      <c r="P173">
        <v>0.99835280000000004</v>
      </c>
      <c r="Q173">
        <v>-3.9760490000000002E-2</v>
      </c>
      <c r="R173">
        <v>4.136169E-2</v>
      </c>
      <c r="S173">
        <v>3.005646</v>
      </c>
      <c r="T173">
        <v>-0.1235533</v>
      </c>
      <c r="U173">
        <v>-0.12719730000000001</v>
      </c>
      <c r="V173">
        <v>-2.890738E-2</v>
      </c>
      <c r="W173">
        <v>-2.7541800000000002E-2</v>
      </c>
      <c r="X173">
        <v>0.99920260000000005</v>
      </c>
      <c r="Y173">
        <v>5.4651659999999998E-2</v>
      </c>
      <c r="Z173">
        <v>-1.8163719999999999E-3</v>
      </c>
      <c r="AA173">
        <v>0.99850380000000005</v>
      </c>
      <c r="AB173">
        <v>5</v>
      </c>
      <c r="AC173">
        <v>26.948699999999899</v>
      </c>
      <c r="AD173">
        <v>-1.109828329638</v>
      </c>
      <c r="AE173">
        <v>-1.14300000000002</v>
      </c>
      <c r="AF173">
        <v>1.47590984859081</v>
      </c>
      <c r="AG173">
        <v>-1.109828329638</v>
      </c>
      <c r="AH173">
        <v>26.886862493652899</v>
      </c>
      <c r="AI173">
        <v>92.360147989701602</v>
      </c>
      <c r="AJ173">
        <v>86.857996324516606</v>
      </c>
      <c r="AK173">
        <v>26.950202291541999</v>
      </c>
      <c r="AL173">
        <v>91.578228452502202</v>
      </c>
      <c r="AM173">
        <v>91.657130414985204</v>
      </c>
      <c r="AN173">
        <v>1.00000001160623</v>
      </c>
    </row>
    <row r="174" spans="1:40" x14ac:dyDescent="0.25">
      <c r="A174" t="str">
        <f>"20190305134913461"</f>
        <v>20190305134913461</v>
      </c>
      <c r="B174" t="str">
        <f>"1551764953451095"</f>
        <v>1551764953451095</v>
      </c>
      <c r="C174" t="s">
        <v>40</v>
      </c>
      <c r="D174">
        <v>4.284586</v>
      </c>
      <c r="E174">
        <v>0.53204700000000005</v>
      </c>
      <c r="F174" t="s">
        <v>42</v>
      </c>
      <c r="G174">
        <v>-445.13150000000002</v>
      </c>
      <c r="H174" s="1">
        <v>-2.9019340000000002E-6</v>
      </c>
      <c r="I174">
        <v>366.12049999999999</v>
      </c>
      <c r="J174">
        <v>-471.14429999999999</v>
      </c>
      <c r="K174">
        <v>1.110171</v>
      </c>
      <c r="L174">
        <v>367.25569999999999</v>
      </c>
      <c r="M174">
        <v>0.99982459999999995</v>
      </c>
      <c r="N174">
        <v>-1.3965760000000001E-2</v>
      </c>
      <c r="O174">
        <v>1.248288E-2</v>
      </c>
      <c r="P174">
        <v>0.99834719999999999</v>
      </c>
      <c r="Q174">
        <v>-4.037516E-2</v>
      </c>
      <c r="R174">
        <v>4.0900989999999998E-2</v>
      </c>
      <c r="S174">
        <v>3.0053100000000001</v>
      </c>
      <c r="T174">
        <v>-0.1280522</v>
      </c>
      <c r="U174">
        <v>-0.13092039999999999</v>
      </c>
      <c r="V174">
        <v>-2.8416520000000001E-2</v>
      </c>
      <c r="W174">
        <v>-2.6441470000000002E-2</v>
      </c>
      <c r="X174">
        <v>0.99924639999999998</v>
      </c>
      <c r="Y174">
        <v>5.5918240000000001E-2</v>
      </c>
      <c r="Z174">
        <v>-1.9383200000000001E-3</v>
      </c>
      <c r="AA174">
        <v>0.99843349999999997</v>
      </c>
      <c r="AB174">
        <v>4</v>
      </c>
      <c r="AC174">
        <v>26.012799999999899</v>
      </c>
      <c r="AD174">
        <v>-1.110173901934</v>
      </c>
      <c r="AE174">
        <v>-1.13519999999999</v>
      </c>
      <c r="AF174">
        <v>1.4572087210881499</v>
      </c>
      <c r="AG174">
        <v>-1.110173901934</v>
      </c>
      <c r="AH174">
        <v>25.949426178043101</v>
      </c>
      <c r="AI174">
        <v>92.445897620298297</v>
      </c>
      <c r="AJ174">
        <v>86.785889916768994</v>
      </c>
      <c r="AK174">
        <v>26.0140089628465</v>
      </c>
      <c r="AL174">
        <v>91.515161211075807</v>
      </c>
      <c r="AM174">
        <v>91.6289355397967</v>
      </c>
      <c r="AN174">
        <v>1.0000000089288099</v>
      </c>
    </row>
    <row r="175" spans="1:40" x14ac:dyDescent="0.25">
      <c r="A175" t="str">
        <f>"20190305134913477"</f>
        <v>20190305134913477</v>
      </c>
      <c r="B175" t="str">
        <f>"1551764953470615"</f>
        <v>1551764953470615</v>
      </c>
      <c r="C175" t="s">
        <v>40</v>
      </c>
      <c r="D175">
        <v>3.9745870000000001</v>
      </c>
      <c r="E175">
        <v>0.53213999999999995</v>
      </c>
      <c r="F175" t="s">
        <v>42</v>
      </c>
      <c r="G175">
        <v>-445.6207</v>
      </c>
      <c r="H175" s="1">
        <v>-2.668987E-6</v>
      </c>
      <c r="I175">
        <v>366.1302</v>
      </c>
      <c r="J175">
        <v>-471.11799999999999</v>
      </c>
      <c r="K175">
        <v>1.110217</v>
      </c>
      <c r="L175">
        <v>367.2561</v>
      </c>
      <c r="M175">
        <v>0.99981560000000003</v>
      </c>
      <c r="N175">
        <v>-1.4572730000000001E-2</v>
      </c>
      <c r="O175">
        <v>1.2514050000000001E-2</v>
      </c>
      <c r="P175">
        <v>0.99834080000000003</v>
      </c>
      <c r="Q175">
        <v>-4.0530169999999997E-2</v>
      </c>
      <c r="R175">
        <v>4.0902189999999998E-2</v>
      </c>
      <c r="S175">
        <v>3.0051570000000001</v>
      </c>
      <c r="T175">
        <v>-0.13071179999999999</v>
      </c>
      <c r="U175">
        <v>-0.13250729999999999</v>
      </c>
      <c r="V175">
        <v>-2.83897E-2</v>
      </c>
      <c r="W175">
        <v>-2.5987070000000001E-2</v>
      </c>
      <c r="X175">
        <v>0.99925909999999996</v>
      </c>
      <c r="Y175">
        <v>5.6473870000000002E-2</v>
      </c>
      <c r="Z175">
        <v>-2.0005790000000002E-3</v>
      </c>
      <c r="AA175">
        <v>0.99840209999999996</v>
      </c>
      <c r="AB175">
        <v>4</v>
      </c>
      <c r="AC175">
        <v>25.497299999999999</v>
      </c>
      <c r="AD175">
        <v>-1.1102196689870001</v>
      </c>
      <c r="AE175">
        <v>-1.1258999999999999</v>
      </c>
      <c r="AF175">
        <v>1.4421911424942999</v>
      </c>
      <c r="AG175">
        <v>-1.1102196689870001</v>
      </c>
      <c r="AH175">
        <v>25.433085674786</v>
      </c>
      <c r="AI175">
        <v>92.4955175827169</v>
      </c>
      <c r="AJ175">
        <v>86.754500405835799</v>
      </c>
      <c r="AK175">
        <v>25.498124439768102</v>
      </c>
      <c r="AL175">
        <v>91.489117033439001</v>
      </c>
      <c r="AM175">
        <v>91.627378277405697</v>
      </c>
      <c r="AN175">
        <v>1.0000000259030399</v>
      </c>
    </row>
    <row r="176" spans="1:40" x14ac:dyDescent="0.25">
      <c r="A176" t="str">
        <f>"20190305134913494"</f>
        <v>20190305134913494</v>
      </c>
      <c r="B176" t="str">
        <f>"1551764953481351"</f>
        <v>1551764953481351</v>
      </c>
      <c r="C176" t="s">
        <v>40</v>
      </c>
      <c r="D176">
        <v>4.0037599999999998</v>
      </c>
      <c r="E176">
        <v>0.53219910000000004</v>
      </c>
      <c r="F176" t="s">
        <v>42</v>
      </c>
      <c r="G176">
        <v>-445.42160000000001</v>
      </c>
      <c r="H176" s="1">
        <v>-2.765677E-6</v>
      </c>
      <c r="I176">
        <v>366.1157</v>
      </c>
      <c r="J176">
        <v>-471.08580000000001</v>
      </c>
      <c r="K176">
        <v>1.109937</v>
      </c>
      <c r="L176">
        <v>367.25650000000002</v>
      </c>
      <c r="M176">
        <v>0.99982340000000003</v>
      </c>
      <c r="N176">
        <v>-1.400468E-2</v>
      </c>
      <c r="O176">
        <v>1.2543500000000001E-2</v>
      </c>
      <c r="P176">
        <v>0.9983088</v>
      </c>
      <c r="Q176">
        <v>-4.1342499999999997E-2</v>
      </c>
      <c r="R176">
        <v>4.087549E-2</v>
      </c>
      <c r="S176">
        <v>3.0051570000000001</v>
      </c>
      <c r="T176">
        <v>-0.12983819999999999</v>
      </c>
      <c r="U176">
        <v>-0.1333618</v>
      </c>
      <c r="V176">
        <v>-2.8336239999999999E-2</v>
      </c>
      <c r="W176">
        <v>-2.7364860000000001E-2</v>
      </c>
      <c r="X176">
        <v>0.9992238</v>
      </c>
      <c r="Y176">
        <v>5.6787520000000001E-2</v>
      </c>
      <c r="Z176">
        <v>-1.9896139999999998E-3</v>
      </c>
      <c r="AA176">
        <v>0.9983843</v>
      </c>
      <c r="AB176">
        <v>3</v>
      </c>
      <c r="AC176">
        <v>25.664199999999902</v>
      </c>
      <c r="AD176">
        <v>-1.109939765677</v>
      </c>
      <c r="AE176">
        <v>-1.14080000000001</v>
      </c>
      <c r="AF176">
        <v>1.45993531663134</v>
      </c>
      <c r="AG176">
        <v>-1.109939765677</v>
      </c>
      <c r="AH176">
        <v>25.600080561787099</v>
      </c>
      <c r="AI176">
        <v>92.478589523314398</v>
      </c>
      <c r="AJ176">
        <v>86.736040472006593</v>
      </c>
      <c r="AK176">
        <v>25.665687253260302</v>
      </c>
      <c r="AL176">
        <v>91.568086748280095</v>
      </c>
      <c r="AM176">
        <v>91.624372793661607</v>
      </c>
      <c r="AN176">
        <v>0.999999990273298</v>
      </c>
    </row>
    <row r="177" spans="1:40" x14ac:dyDescent="0.25">
      <c r="A177" t="str">
        <f>"20190305134913506"</f>
        <v>20190305134913506</v>
      </c>
      <c r="B177" t="str">
        <f>"1551764953500872"</f>
        <v>1551764953500872</v>
      </c>
      <c r="C177" t="s">
        <v>40</v>
      </c>
      <c r="D177">
        <v>3.949071</v>
      </c>
      <c r="E177">
        <v>0.53228209999999998</v>
      </c>
      <c r="F177" t="s">
        <v>42</v>
      </c>
      <c r="G177">
        <v>-445.61130000000003</v>
      </c>
      <c r="H177" s="1">
        <v>-2.6751550000000001E-6</v>
      </c>
      <c r="I177">
        <v>366.12040000000002</v>
      </c>
      <c r="J177">
        <v>-471.05990000000003</v>
      </c>
      <c r="K177">
        <v>1.109613</v>
      </c>
      <c r="L177">
        <v>367.25689999999997</v>
      </c>
      <c r="M177">
        <v>0.99983699999999998</v>
      </c>
      <c r="N177">
        <v>-1.299789E-2</v>
      </c>
      <c r="O177">
        <v>1.254454E-2</v>
      </c>
      <c r="P177">
        <v>0.99830549999999996</v>
      </c>
      <c r="Q177">
        <v>-4.1392329999999998E-2</v>
      </c>
      <c r="R177">
        <v>4.0903689999999999E-2</v>
      </c>
      <c r="S177">
        <v>3.005188</v>
      </c>
      <c r="T177">
        <v>-0.13093830000000001</v>
      </c>
      <c r="U177">
        <v>-0.13403319999999999</v>
      </c>
      <c r="V177">
        <v>-2.8364E-2</v>
      </c>
      <c r="W177">
        <v>-2.8419739999999999E-2</v>
      </c>
      <c r="X177">
        <v>0.99919349999999996</v>
      </c>
      <c r="Y177">
        <v>5.7009949999999997E-2</v>
      </c>
      <c r="Z177">
        <v>-1.9948660000000001E-3</v>
      </c>
      <c r="AA177">
        <v>0.99837160000000003</v>
      </c>
      <c r="AB177">
        <v>4</v>
      </c>
      <c r="AC177">
        <v>25.448599999999999</v>
      </c>
      <c r="AD177">
        <v>-1.1096156751549999</v>
      </c>
      <c r="AE177">
        <v>-1.1364999999999501</v>
      </c>
      <c r="AF177">
        <v>1.4529217253594</v>
      </c>
      <c r="AG177">
        <v>-1.1096156751549999</v>
      </c>
      <c r="AH177">
        <v>25.384175966194601</v>
      </c>
      <c r="AI177">
        <v>92.498885875529794</v>
      </c>
      <c r="AJ177">
        <v>86.724118472133398</v>
      </c>
      <c r="AK177">
        <v>25.449923732092099</v>
      </c>
      <c r="AL177">
        <v>91.628550555437499</v>
      </c>
      <c r="AM177">
        <v>91.626012559706794</v>
      </c>
      <c r="AN177">
        <v>0.99999992427995499</v>
      </c>
    </row>
    <row r="178" spans="1:40" x14ac:dyDescent="0.25">
      <c r="A178" t="str">
        <f>"20190305134913519"</f>
        <v>20190305134913519</v>
      </c>
      <c r="B178" t="str">
        <f>"1551764953510632"</f>
        <v>1551764953510632</v>
      </c>
      <c r="C178" t="s">
        <v>40</v>
      </c>
      <c r="D178">
        <v>3.970558</v>
      </c>
      <c r="E178">
        <v>0.53231229999999996</v>
      </c>
      <c r="F178" t="s">
        <v>42</v>
      </c>
      <c r="G178">
        <v>-445.40649999999999</v>
      </c>
      <c r="H178" s="1">
        <v>-2.7740219999999998E-6</v>
      </c>
      <c r="I178">
        <v>366.10890000000001</v>
      </c>
      <c r="J178">
        <v>-471.03160000000003</v>
      </c>
      <c r="K178">
        <v>1.1093139999999999</v>
      </c>
      <c r="L178">
        <v>367.25740000000002</v>
      </c>
      <c r="M178">
        <v>0.99985040000000003</v>
      </c>
      <c r="N178">
        <v>-1.190986E-2</v>
      </c>
      <c r="O178">
        <v>1.2546069999999999E-2</v>
      </c>
      <c r="P178">
        <v>0.99833819999999995</v>
      </c>
      <c r="Q178">
        <v>-4.1060430000000002E-2</v>
      </c>
      <c r="R178">
        <v>4.0440329999999997E-2</v>
      </c>
      <c r="S178">
        <v>3.0052189999999999</v>
      </c>
      <c r="T178">
        <v>-0.1299882</v>
      </c>
      <c r="U178">
        <v>-0.134491</v>
      </c>
      <c r="V178">
        <v>-2.7899799999999999E-2</v>
      </c>
      <c r="W178">
        <v>-2.9173259999999999E-2</v>
      </c>
      <c r="X178">
        <v>0.99918490000000004</v>
      </c>
      <c r="Y178">
        <v>5.7164390000000002E-2</v>
      </c>
      <c r="Z178">
        <v>-1.9687770000000001E-3</v>
      </c>
      <c r="AA178">
        <v>0.99836279999999999</v>
      </c>
      <c r="AB178">
        <v>4</v>
      </c>
      <c r="AC178">
        <v>25.6251</v>
      </c>
      <c r="AD178">
        <v>-1.109316774022</v>
      </c>
      <c r="AE178">
        <v>-1.1485000000000101</v>
      </c>
      <c r="AF178">
        <v>1.46718263082024</v>
      </c>
      <c r="AG178">
        <v>-1.109316774022</v>
      </c>
      <c r="AH178">
        <v>25.560866523603998</v>
      </c>
      <c r="AI178">
        <v>92.480943271325501</v>
      </c>
      <c r="AJ178">
        <v>86.7148518600778</v>
      </c>
      <c r="AK178">
        <v>25.626960530168301</v>
      </c>
      <c r="AL178">
        <v>91.671741908824501</v>
      </c>
      <c r="AM178">
        <v>91.599429233851495</v>
      </c>
      <c r="AN178">
        <v>0.999999971163538</v>
      </c>
    </row>
    <row r="179" spans="1:40" x14ac:dyDescent="0.25">
      <c r="A179" t="str">
        <f>"20190305134913533"</f>
        <v>20190305134913533</v>
      </c>
      <c r="B179" t="str">
        <f>"1551764953521368"</f>
        <v>1551764953521368</v>
      </c>
      <c r="C179" t="s">
        <v>40</v>
      </c>
      <c r="D179">
        <v>3.9186529999999999</v>
      </c>
      <c r="E179">
        <v>0.53235509999999997</v>
      </c>
      <c r="F179" t="s">
        <v>42</v>
      </c>
      <c r="G179">
        <v>-445.18729999999999</v>
      </c>
      <c r="H179" s="1">
        <v>-2.8820239999999999E-6</v>
      </c>
      <c r="I179">
        <v>366.084</v>
      </c>
      <c r="J179">
        <v>-471.00229999999999</v>
      </c>
      <c r="K179">
        <v>1.109054</v>
      </c>
      <c r="L179">
        <v>367.25779999999997</v>
      </c>
      <c r="M179">
        <v>0.99986229999999998</v>
      </c>
      <c r="N179">
        <v>-1.085963E-2</v>
      </c>
      <c r="O179">
        <v>1.2547600000000001E-2</v>
      </c>
      <c r="P179">
        <v>0.99835419999999997</v>
      </c>
      <c r="Q179">
        <v>-4.0729710000000002E-2</v>
      </c>
      <c r="R179">
        <v>4.0374319999999998E-2</v>
      </c>
      <c r="S179">
        <v>3.0052189999999999</v>
      </c>
      <c r="T179">
        <v>-0.12899369999999999</v>
      </c>
      <c r="U179">
        <v>-0.13644410000000001</v>
      </c>
      <c r="V179">
        <v>-2.783298E-2</v>
      </c>
      <c r="W179">
        <v>-2.9890449999999999E-2</v>
      </c>
      <c r="X179">
        <v>0.99916559999999999</v>
      </c>
      <c r="Y179">
        <v>5.7814490000000003E-2</v>
      </c>
      <c r="Z179">
        <v>-1.9558029999999999E-3</v>
      </c>
      <c r="AA179">
        <v>0.99832540000000003</v>
      </c>
      <c r="AB179">
        <v>5</v>
      </c>
      <c r="AC179">
        <v>25.815000000000001</v>
      </c>
      <c r="AD179">
        <v>-1.1090568820240001</v>
      </c>
      <c r="AE179">
        <v>-1.17379999999997</v>
      </c>
      <c r="AF179">
        <v>1.49488954009362</v>
      </c>
      <c r="AG179">
        <v>-1.1090568820240001</v>
      </c>
      <c r="AH179">
        <v>25.7508078003527</v>
      </c>
      <c r="AI179">
        <v>92.461997556681695</v>
      </c>
      <c r="AJ179">
        <v>86.677586182711096</v>
      </c>
      <c r="AK179">
        <v>25.817993808105101</v>
      </c>
      <c r="AL179">
        <v>91.712851743534003</v>
      </c>
      <c r="AM179">
        <v>91.595631389516996</v>
      </c>
      <c r="AN179">
        <v>1.0000000050001201</v>
      </c>
    </row>
    <row r="180" spans="1:40" x14ac:dyDescent="0.25">
      <c r="A180" t="str">
        <f>"20190305134913551"</f>
        <v>20190305134913551</v>
      </c>
      <c r="B180" t="str">
        <f>"1551764953540887"</f>
        <v>1551764953540887</v>
      </c>
      <c r="C180" t="s">
        <v>40</v>
      </c>
      <c r="D180">
        <v>3.9762029999999999</v>
      </c>
      <c r="E180">
        <v>0.53236850000000002</v>
      </c>
      <c r="F180" t="s">
        <v>42</v>
      </c>
      <c r="G180">
        <v>-445.02940000000001</v>
      </c>
      <c r="H180" s="1">
        <v>-2.9584229999999999E-6</v>
      </c>
      <c r="I180">
        <v>366.07429999999999</v>
      </c>
      <c r="J180">
        <v>-470.96109999999999</v>
      </c>
      <c r="K180">
        <v>1.10887</v>
      </c>
      <c r="L180">
        <v>367.25839999999999</v>
      </c>
      <c r="M180">
        <v>0.99987340000000002</v>
      </c>
      <c r="N180">
        <v>-9.7959510000000007E-3</v>
      </c>
      <c r="O180">
        <v>1.255153E-2</v>
      </c>
      <c r="P180">
        <v>0.99836230000000004</v>
      </c>
      <c r="Q180">
        <v>-4.0943640000000003E-2</v>
      </c>
      <c r="R180">
        <v>3.9956829999999999E-2</v>
      </c>
      <c r="S180">
        <v>3.0052490000000001</v>
      </c>
      <c r="T180">
        <v>-0.12832560000000001</v>
      </c>
      <c r="U180">
        <v>-0.13693239999999901</v>
      </c>
      <c r="V180">
        <v>-2.7413119999999999E-2</v>
      </c>
      <c r="W180">
        <v>-3.1165140000000001E-2</v>
      </c>
      <c r="X180">
        <v>0.99913819999999998</v>
      </c>
      <c r="Y180">
        <v>5.7981070000000003E-2</v>
      </c>
      <c r="Z180">
        <v>-1.9336259999999999E-3</v>
      </c>
      <c r="AA180">
        <v>0.99831579999999998</v>
      </c>
      <c r="AB180">
        <v>5</v>
      </c>
      <c r="AC180">
        <v>25.9316999999999</v>
      </c>
      <c r="AD180">
        <v>-1.1088729584229999</v>
      </c>
      <c r="AE180">
        <v>-1.1840999999999999</v>
      </c>
      <c r="AF180">
        <v>1.5067553802824101</v>
      </c>
      <c r="AG180">
        <v>-1.1088729584229999</v>
      </c>
      <c r="AH180">
        <v>25.867592894282801</v>
      </c>
      <c r="AI180">
        <v>92.450462051537002</v>
      </c>
      <c r="AJ180">
        <v>86.666358366838793</v>
      </c>
      <c r="AK180">
        <v>25.935155159711002</v>
      </c>
      <c r="AL180">
        <v>91.785920270331502</v>
      </c>
      <c r="AM180">
        <v>91.571616558910804</v>
      </c>
      <c r="AN180">
        <v>0.99999994389929503</v>
      </c>
    </row>
    <row r="181" spans="1:40" x14ac:dyDescent="0.25">
      <c r="A181" t="str">
        <f>"20190305134913565"</f>
        <v>20190305134913565</v>
      </c>
      <c r="B181" t="str">
        <f>"1551764953561384"</f>
        <v>1551764953561384</v>
      </c>
      <c r="C181" t="s">
        <v>40</v>
      </c>
      <c r="D181">
        <v>3.975759</v>
      </c>
      <c r="E181">
        <v>0.53235559999999904</v>
      </c>
      <c r="F181" t="s">
        <v>42</v>
      </c>
      <c r="G181">
        <v>-444.99340000000001</v>
      </c>
      <c r="H181" s="1">
        <v>-2.9773880000000002E-6</v>
      </c>
      <c r="I181">
        <v>366.06330000000003</v>
      </c>
      <c r="J181">
        <v>-470.93150000000003</v>
      </c>
      <c r="K181">
        <v>1.109073</v>
      </c>
      <c r="L181">
        <v>367.25889999999998</v>
      </c>
      <c r="M181">
        <v>0.99987000000000004</v>
      </c>
      <c r="N181">
        <v>-1.010993E-2</v>
      </c>
      <c r="O181">
        <v>1.2571280000000001E-2</v>
      </c>
      <c r="P181">
        <v>0.99832619999999905</v>
      </c>
      <c r="Q181">
        <v>-4.1752379999999999E-2</v>
      </c>
      <c r="R181">
        <v>4.0021099999999997E-2</v>
      </c>
      <c r="S181">
        <v>3.0051570000000001</v>
      </c>
      <c r="T181">
        <v>-0.12832639999999901</v>
      </c>
      <c r="U181">
        <v>-0.1383057</v>
      </c>
      <c r="V181">
        <v>-2.746034E-2</v>
      </c>
      <c r="W181">
        <v>-3.1658899999999997E-2</v>
      </c>
      <c r="X181">
        <v>0.99912140000000005</v>
      </c>
      <c r="Y181">
        <v>5.8456660000000001E-2</v>
      </c>
      <c r="Z181">
        <v>-1.952049E-3</v>
      </c>
      <c r="AA181">
        <v>0.99828799999999995</v>
      </c>
      <c r="AB181">
        <v>5</v>
      </c>
      <c r="AC181">
        <v>25.938099999999999</v>
      </c>
      <c r="AD181">
        <v>-1.1090759773879999</v>
      </c>
      <c r="AE181">
        <v>-1.19559999999995</v>
      </c>
      <c r="AF181">
        <v>1.51882627707757</v>
      </c>
      <c r="AG181">
        <v>-1.1090759773879999</v>
      </c>
      <c r="AH181">
        <v>25.873814459782299</v>
      </c>
      <c r="AI181">
        <v>92.450256988793996</v>
      </c>
      <c r="AJ181">
        <v>86.640519057604095</v>
      </c>
      <c r="AK181">
        <v>25.942073114591299</v>
      </c>
      <c r="AL181">
        <v>91.814224567278103</v>
      </c>
      <c r="AM181">
        <v>91.574348817415597</v>
      </c>
      <c r="AN181">
        <v>0.99999996408004199</v>
      </c>
    </row>
    <row r="182" spans="1:40" x14ac:dyDescent="0.25">
      <c r="A182" t="str">
        <f>"20190305134913583"</f>
        <v>20190305134913583</v>
      </c>
      <c r="B182" t="str">
        <f>"1551764953571143"</f>
        <v>1551764953571143</v>
      </c>
      <c r="C182" t="s">
        <v>40</v>
      </c>
      <c r="D182">
        <v>3.9326629999999998</v>
      </c>
      <c r="E182">
        <v>0.53236410000000001</v>
      </c>
      <c r="F182" t="s">
        <v>42</v>
      </c>
      <c r="G182">
        <v>-445.0444</v>
      </c>
      <c r="H182" s="1">
        <v>-2.9519040000000002E-6</v>
      </c>
      <c r="I182">
        <v>366.07089999999999</v>
      </c>
      <c r="J182">
        <v>-470.89589999999998</v>
      </c>
      <c r="K182">
        <v>1.109488</v>
      </c>
      <c r="L182">
        <v>367.25940000000003</v>
      </c>
      <c r="M182">
        <v>0.99985800000000002</v>
      </c>
      <c r="N182">
        <v>-1.120078E-2</v>
      </c>
      <c r="O182">
        <v>1.259681E-2</v>
      </c>
      <c r="P182">
        <v>0.9982316</v>
      </c>
      <c r="Q182">
        <v>-4.3614849999999997E-2</v>
      </c>
      <c r="R182">
        <v>4.0393409999999998E-2</v>
      </c>
      <c r="S182">
        <v>3.0051269999999999</v>
      </c>
      <c r="T182">
        <v>-0.12874849999999999</v>
      </c>
      <c r="U182">
        <v>-0.1379089</v>
      </c>
      <c r="V182">
        <v>-2.7810290000000001E-2</v>
      </c>
      <c r="W182">
        <v>-3.2430580000000001E-2</v>
      </c>
      <c r="X182">
        <v>0.99908699999999995</v>
      </c>
      <c r="Y182">
        <v>5.8349980000000003E-2</v>
      </c>
      <c r="Z182">
        <v>-1.97408E-3</v>
      </c>
      <c r="AA182">
        <v>0.99829420000000002</v>
      </c>
      <c r="AB182">
        <v>5</v>
      </c>
      <c r="AC182">
        <v>25.851499999999898</v>
      </c>
      <c r="AD182">
        <v>-1.1094909519039999</v>
      </c>
      <c r="AE182">
        <v>-1.1885000000000301</v>
      </c>
      <c r="AF182">
        <v>1.5112946801206599</v>
      </c>
      <c r="AG182">
        <v>-1.1094909519039999</v>
      </c>
      <c r="AH182">
        <v>25.787078231735698</v>
      </c>
      <c r="AI182">
        <v>92.459420795899803</v>
      </c>
      <c r="AJ182">
        <v>86.645922007999204</v>
      </c>
      <c r="AK182">
        <v>25.855142341750401</v>
      </c>
      <c r="AL182">
        <v>91.858461239599507</v>
      </c>
      <c r="AM182">
        <v>91.594456634859597</v>
      </c>
      <c r="AN182">
        <v>0.99999999415900998</v>
      </c>
    </row>
    <row r="183" spans="1:40" x14ac:dyDescent="0.25">
      <c r="A183" t="str">
        <f>"20190305134913611"</f>
        <v>20190305134913611</v>
      </c>
      <c r="B183" t="str">
        <f>"1551764953601399"</f>
        <v>1551764953601399</v>
      </c>
      <c r="C183" t="s">
        <v>40</v>
      </c>
      <c r="D183">
        <v>3.9687130000000002</v>
      </c>
      <c r="E183">
        <v>0.532390699999999</v>
      </c>
      <c r="F183" t="s">
        <v>42</v>
      </c>
      <c r="G183">
        <v>-445.95830000000001</v>
      </c>
      <c r="H183" s="1">
        <v>-2.5104250000000002E-6</v>
      </c>
      <c r="I183">
        <v>366.12430000000001</v>
      </c>
      <c r="J183">
        <v>-470.84780000000001</v>
      </c>
      <c r="K183">
        <v>1.1101399999999999</v>
      </c>
      <c r="L183">
        <v>367.26</v>
      </c>
      <c r="M183">
        <v>0.99983219999999995</v>
      </c>
      <c r="N183">
        <v>-1.3271679999999999E-2</v>
      </c>
      <c r="O183">
        <v>1.262954E-2</v>
      </c>
      <c r="P183">
        <v>0.99805100000000002</v>
      </c>
      <c r="Q183">
        <v>-4.6935129999999999E-2</v>
      </c>
      <c r="R183">
        <v>4.1126860000000001E-2</v>
      </c>
      <c r="S183">
        <v>3.0049739999999998</v>
      </c>
      <c r="T183">
        <v>-0.13369329999999999</v>
      </c>
      <c r="U183">
        <v>-0.13677979999999901</v>
      </c>
      <c r="V183">
        <v>-2.851513E-2</v>
      </c>
      <c r="W183">
        <v>-3.3681559999999999E-2</v>
      </c>
      <c r="X183">
        <v>0.99902579999999996</v>
      </c>
      <c r="Y183">
        <v>5.8004130000000001E-2</v>
      </c>
      <c r="Z183">
        <v>-2.0682750000000001E-3</v>
      </c>
      <c r="AA183">
        <v>0.99831420000000004</v>
      </c>
      <c r="AB183">
        <v>5</v>
      </c>
      <c r="AC183">
        <v>24.889500000000002</v>
      </c>
      <c r="AD183">
        <v>-1.110142510425</v>
      </c>
      <c r="AE183">
        <v>-1.1356999999999799</v>
      </c>
      <c r="AF183">
        <v>1.44710710427205</v>
      </c>
      <c r="AG183">
        <v>-1.110142510425</v>
      </c>
      <c r="AH183">
        <v>24.823887561709899</v>
      </c>
      <c r="AI183">
        <v>92.5562692605329</v>
      </c>
      <c r="AJ183">
        <v>86.663721620027005</v>
      </c>
      <c r="AK183">
        <v>24.890800088408199</v>
      </c>
      <c r="AL183">
        <v>91.930176194647004</v>
      </c>
      <c r="AM183">
        <v>91.634945898040797</v>
      </c>
      <c r="AN183">
        <v>1.00000005459429</v>
      </c>
    </row>
    <row r="184" spans="1:40" x14ac:dyDescent="0.25">
      <c r="A184" t="str">
        <f>"20190305134913625"</f>
        <v>20190305134913625</v>
      </c>
      <c r="B184" t="str">
        <f>"1551764953620919"</f>
        <v>1551764953620919</v>
      </c>
      <c r="C184" t="s">
        <v>40</v>
      </c>
      <c r="D184">
        <v>3.9628549999999998</v>
      </c>
      <c r="E184">
        <v>0.53241139999999998</v>
      </c>
      <c r="F184" t="s">
        <v>42</v>
      </c>
      <c r="G184">
        <v>-447.16379999999998</v>
      </c>
      <c r="H184" s="1">
        <v>-1.9833250000000002E-6</v>
      </c>
      <c r="I184">
        <v>366.19639999999998</v>
      </c>
      <c r="J184">
        <v>-470.81830000000002</v>
      </c>
      <c r="K184">
        <v>1.110047</v>
      </c>
      <c r="L184">
        <v>367.2604</v>
      </c>
      <c r="M184">
        <v>0.99983580000000005</v>
      </c>
      <c r="N184">
        <v>-1.299844E-2</v>
      </c>
      <c r="O184">
        <v>1.263329E-2</v>
      </c>
      <c r="P184">
        <v>0.99801430000000002</v>
      </c>
      <c r="Q184">
        <v>-4.75147E-2</v>
      </c>
      <c r="R184">
        <v>4.1352779999999999E-2</v>
      </c>
      <c r="S184">
        <v>3.004791</v>
      </c>
      <c r="T184">
        <v>-0.140844</v>
      </c>
      <c r="U184">
        <v>-0.1349487</v>
      </c>
      <c r="V184">
        <v>-2.873914E-2</v>
      </c>
      <c r="W184">
        <v>-3.4533389999999997E-2</v>
      </c>
      <c r="X184">
        <v>0.99899020000000005</v>
      </c>
      <c r="Y184">
        <v>5.73964E-2</v>
      </c>
      <c r="Z184">
        <v>-2.1447630000000001E-3</v>
      </c>
      <c r="AA184">
        <v>0.99834920000000005</v>
      </c>
      <c r="AB184">
        <v>4</v>
      </c>
      <c r="AC184">
        <v>23.654499999999999</v>
      </c>
      <c r="AD184">
        <v>-1.110048983325</v>
      </c>
      <c r="AE184">
        <v>-1.06400000000002</v>
      </c>
      <c r="AF184">
        <v>1.35978598008396</v>
      </c>
      <c r="AG184">
        <v>-1.110048983325</v>
      </c>
      <c r="AH184">
        <v>23.587329890818399</v>
      </c>
      <c r="AI184">
        <v>92.689962777319707</v>
      </c>
      <c r="AJ184">
        <v>86.700607450102098</v>
      </c>
      <c r="AK184">
        <v>23.6525550001539</v>
      </c>
      <c r="AL184">
        <v>91.979011065081295</v>
      </c>
      <c r="AM184">
        <v>91.647841388971301</v>
      </c>
      <c r="AN184">
        <v>0.99999995644443496</v>
      </c>
    </row>
    <row r="185" spans="1:40" x14ac:dyDescent="0.25">
      <c r="A185" t="str">
        <f>"20190305134913640"</f>
        <v>20190305134913640</v>
      </c>
      <c r="B185" t="str">
        <f>"1551764953630680"</f>
        <v>1551764953630680</v>
      </c>
      <c r="C185" t="s">
        <v>40</v>
      </c>
      <c r="D185">
        <v>3.9124020000000002</v>
      </c>
      <c r="E185">
        <v>0.53242519999999904</v>
      </c>
      <c r="F185" t="s">
        <v>42</v>
      </c>
      <c r="G185">
        <v>-447.37079999999997</v>
      </c>
      <c r="H185" s="1">
        <v>-1.8995800000000001E-6</v>
      </c>
      <c r="I185">
        <v>366.21230000000003</v>
      </c>
      <c r="J185">
        <v>-470.78750000000002</v>
      </c>
      <c r="K185">
        <v>1.109804</v>
      </c>
      <c r="L185">
        <v>367.26080000000002</v>
      </c>
      <c r="M185">
        <v>0.99984689999999998</v>
      </c>
      <c r="N185">
        <v>-1.2113870000000001E-2</v>
      </c>
      <c r="O185">
        <v>1.262836E-2</v>
      </c>
      <c r="P185">
        <v>0.99802740000000001</v>
      </c>
      <c r="Q185">
        <v>-4.717184E-2</v>
      </c>
      <c r="R185">
        <v>4.142581E-2</v>
      </c>
      <c r="S185">
        <v>3.0047000000000001</v>
      </c>
      <c r="T185">
        <v>-0.14224829999999999</v>
      </c>
      <c r="U185">
        <v>-0.13430790000000001</v>
      </c>
      <c r="V185">
        <v>-2.8817679999999998E-2</v>
      </c>
      <c r="W185">
        <v>-3.5073319999999998E-2</v>
      </c>
      <c r="X185">
        <v>0.9989692</v>
      </c>
      <c r="Y185">
        <v>5.7179679999999997E-2</v>
      </c>
      <c r="Z185">
        <v>-2.1432410000000002E-3</v>
      </c>
      <c r="AA185">
        <v>0.99836159999999996</v>
      </c>
      <c r="AB185">
        <v>4</v>
      </c>
      <c r="AC185">
        <v>23.416699999999999</v>
      </c>
      <c r="AD185">
        <v>-1.10980589958</v>
      </c>
      <c r="AE185">
        <v>-1.04849999999999</v>
      </c>
      <c r="AF185">
        <v>1.34114617499863</v>
      </c>
      <c r="AG185">
        <v>-1.10980589958</v>
      </c>
      <c r="AH185">
        <v>23.349249198407399</v>
      </c>
      <c r="AI185">
        <v>92.716788669037399</v>
      </c>
      <c r="AJ185">
        <v>86.712627610260796</v>
      </c>
      <c r="AK185">
        <v>23.414050916635201</v>
      </c>
      <c r="AL185">
        <v>92.009965382978095</v>
      </c>
      <c r="AM185">
        <v>91.652376928822704</v>
      </c>
      <c r="AN185">
        <v>1.00000002950252</v>
      </c>
    </row>
    <row r="186" spans="1:40" x14ac:dyDescent="0.25">
      <c r="A186" t="str">
        <f>"20190305134913655"</f>
        <v>20190305134913655</v>
      </c>
      <c r="B186" t="str">
        <f>"1551764953641416"</f>
        <v>1551764953641416</v>
      </c>
      <c r="C186" t="s">
        <v>40</v>
      </c>
      <c r="D186">
        <v>3.9051629999999999</v>
      </c>
      <c r="E186">
        <v>0.53243890000000005</v>
      </c>
      <c r="F186" t="s">
        <v>42</v>
      </c>
      <c r="G186">
        <v>-447.19979999999998</v>
      </c>
      <c r="H186" s="1">
        <v>-1.9662459999999999E-6</v>
      </c>
      <c r="I186">
        <v>366.20870000000002</v>
      </c>
      <c r="J186">
        <v>-470.75470000000001</v>
      </c>
      <c r="K186">
        <v>1.1095120000000001</v>
      </c>
      <c r="L186">
        <v>367.26130000000001</v>
      </c>
      <c r="M186">
        <v>0.99986019999999998</v>
      </c>
      <c r="N186">
        <v>-1.097006E-2</v>
      </c>
      <c r="O186">
        <v>1.2619180000000001E-2</v>
      </c>
      <c r="P186">
        <v>0.99808249999999998</v>
      </c>
      <c r="Q186">
        <v>-4.5989130000000003E-2</v>
      </c>
      <c r="R186">
        <v>4.1431900000000001E-2</v>
      </c>
      <c r="S186">
        <v>3.004791</v>
      </c>
      <c r="T186">
        <v>-0.1413759</v>
      </c>
      <c r="U186">
        <v>-0.13403319999999999</v>
      </c>
      <c r="V186">
        <v>-2.8832960000000001E-2</v>
      </c>
      <c r="W186">
        <v>-3.503212E-2</v>
      </c>
      <c r="X186">
        <v>0.99897020000000003</v>
      </c>
      <c r="Y186">
        <v>5.7080079999999998E-2</v>
      </c>
      <c r="Z186">
        <v>-2.1097080000000001E-3</v>
      </c>
      <c r="AA186">
        <v>0.99836740000000002</v>
      </c>
      <c r="AB186">
        <v>4</v>
      </c>
      <c r="AC186">
        <v>23.5549</v>
      </c>
      <c r="AD186">
        <v>-1.1095139662459901</v>
      </c>
      <c r="AE186">
        <v>-1.05259999999998</v>
      </c>
      <c r="AF186">
        <v>1.3467953757478901</v>
      </c>
      <c r="AG186">
        <v>-1.1095139662459901</v>
      </c>
      <c r="AH186">
        <v>23.4877315631072</v>
      </c>
      <c r="AI186">
        <v>92.700100165718297</v>
      </c>
      <c r="AJ186">
        <v>86.718231999965795</v>
      </c>
      <c r="AK186">
        <v>23.552460869429598</v>
      </c>
      <c r="AL186">
        <v>92.007603354918999</v>
      </c>
      <c r="AM186">
        <v>91.653250928588506</v>
      </c>
      <c r="AN186">
        <v>1.0000000247510401</v>
      </c>
    </row>
    <row r="187" spans="1:40" x14ac:dyDescent="0.25">
      <c r="A187" t="str">
        <f>"20190305134913672"</f>
        <v>20190305134913672</v>
      </c>
      <c r="B187" t="str">
        <f>"1551764953660936"</f>
        <v>1551764953660936</v>
      </c>
      <c r="C187" t="s">
        <v>40</v>
      </c>
      <c r="D187">
        <v>4.0115920000000003</v>
      </c>
      <c r="E187">
        <v>0.53256389999999998</v>
      </c>
      <c r="F187" t="s">
        <v>42</v>
      </c>
      <c r="G187">
        <v>-446.6044</v>
      </c>
      <c r="H187" s="1">
        <v>-2.2020689999999998E-6</v>
      </c>
      <c r="I187">
        <v>366.1816</v>
      </c>
      <c r="J187">
        <v>-470.7131</v>
      </c>
      <c r="K187">
        <v>1.1092120000000001</v>
      </c>
      <c r="L187">
        <v>367.26179999999999</v>
      </c>
      <c r="M187">
        <v>0.99987420000000005</v>
      </c>
      <c r="N187">
        <v>-9.6238699999999996E-3</v>
      </c>
      <c r="O187">
        <v>1.2605659999999999E-2</v>
      </c>
      <c r="P187">
        <v>0.99802329999999995</v>
      </c>
      <c r="Q187">
        <v>-4.6660350000000003E-2</v>
      </c>
      <c r="R187">
        <v>4.2096410000000001E-2</v>
      </c>
      <c r="S187">
        <v>3.0049739999999998</v>
      </c>
      <c r="T187">
        <v>-0.1380547</v>
      </c>
      <c r="U187">
        <v>-0.1343384</v>
      </c>
      <c r="V187">
        <v>-2.951293E-2</v>
      </c>
      <c r="W187">
        <v>-3.7047990000000003E-2</v>
      </c>
      <c r="X187">
        <v>0.99887760000000003</v>
      </c>
      <c r="Y187">
        <v>5.716972E-2</v>
      </c>
      <c r="Z187">
        <v>-2.0446819999999999E-3</v>
      </c>
      <c r="AA187">
        <v>0.99836239999999998</v>
      </c>
      <c r="AB187">
        <v>5</v>
      </c>
      <c r="AC187">
        <v>24.108699999999999</v>
      </c>
      <c r="AD187">
        <v>-1.1092142020689999</v>
      </c>
      <c r="AE187">
        <v>-1.0801999999999901</v>
      </c>
      <c r="AF187">
        <v>1.3811166114065501</v>
      </c>
      <c r="AG187">
        <v>-1.1092142020689999</v>
      </c>
      <c r="AH187">
        <v>24.042375675016</v>
      </c>
      <c r="AI187">
        <v>92.637171925959606</v>
      </c>
      <c r="AJ187">
        <v>86.712251647212796</v>
      </c>
      <c r="AK187">
        <v>24.107543784860699</v>
      </c>
      <c r="AL187">
        <v>92.123179323669703</v>
      </c>
      <c r="AM187">
        <v>91.692374053086397</v>
      </c>
      <c r="AN187">
        <v>1.0000000131909901</v>
      </c>
    </row>
    <row r="188" spans="1:40" x14ac:dyDescent="0.25">
      <c r="A188" t="str">
        <f>"20190305134913685"</f>
        <v>20190305134913685</v>
      </c>
      <c r="B188" t="str">
        <f>"1551764953670695"</f>
        <v>1551764953670695</v>
      </c>
      <c r="C188" t="s">
        <v>40</v>
      </c>
      <c r="D188">
        <v>3.9649169999999998</v>
      </c>
      <c r="E188">
        <v>0.53256389999999998</v>
      </c>
      <c r="F188" t="s">
        <v>42</v>
      </c>
      <c r="G188">
        <v>-446.79450000000003</v>
      </c>
      <c r="H188" s="1">
        <v>-2.1236459999999999E-6</v>
      </c>
      <c r="I188">
        <v>366.202</v>
      </c>
      <c r="J188">
        <v>-470.68189999999998</v>
      </c>
      <c r="K188">
        <v>1.109083</v>
      </c>
      <c r="L188">
        <v>367.26220000000001</v>
      </c>
      <c r="M188">
        <v>0.99988180000000004</v>
      </c>
      <c r="N188">
        <v>-8.8348630000000001E-3</v>
      </c>
      <c r="O188">
        <v>1.2594050000000001E-2</v>
      </c>
      <c r="P188">
        <v>0.99797760000000002</v>
      </c>
      <c r="Q188">
        <v>-4.7304810000000003E-2</v>
      </c>
      <c r="R188">
        <v>4.2463889999999997E-2</v>
      </c>
      <c r="S188">
        <v>3.0050349999999999</v>
      </c>
      <c r="T188">
        <v>-0.1393567</v>
      </c>
      <c r="U188">
        <v>-0.13314819999999999</v>
      </c>
      <c r="V188">
        <v>-2.9893309999999999E-2</v>
      </c>
      <c r="W188">
        <v>-3.8480559999999997E-2</v>
      </c>
      <c r="X188">
        <v>0.99881209999999998</v>
      </c>
      <c r="Y188">
        <v>5.6762239999999999E-2</v>
      </c>
      <c r="Z188">
        <v>-2.038149E-3</v>
      </c>
      <c r="AA188">
        <v>0.99838570000000004</v>
      </c>
      <c r="AB188">
        <v>5</v>
      </c>
      <c r="AC188">
        <v>23.8873999999999</v>
      </c>
      <c r="AD188">
        <v>-1.109085123646</v>
      </c>
      <c r="AE188">
        <v>-1.0602</v>
      </c>
      <c r="AF188">
        <v>1.3580449139800701</v>
      </c>
      <c r="AG188">
        <v>-1.109085123646</v>
      </c>
      <c r="AH188">
        <v>23.820902457433501</v>
      </c>
      <c r="AI188">
        <v>92.661412323945996</v>
      </c>
      <c r="AJ188">
        <v>86.7370629153734</v>
      </c>
      <c r="AK188">
        <v>23.8853459193381</v>
      </c>
      <c r="AL188">
        <v>92.2053181932813</v>
      </c>
      <c r="AM188">
        <v>91.714285779213697</v>
      </c>
      <c r="AN188">
        <v>0.99999998729353901</v>
      </c>
    </row>
    <row r="189" spans="1:40" x14ac:dyDescent="0.25">
      <c r="A189" t="str">
        <f>"20190305134913698"</f>
        <v>20190305134913698</v>
      </c>
      <c r="B189" t="str">
        <f>"1551764953691191"</f>
        <v>1551764953691191</v>
      </c>
      <c r="C189" t="s">
        <v>40</v>
      </c>
      <c r="D189">
        <v>3.834813</v>
      </c>
      <c r="E189">
        <v>0.56681510000000002</v>
      </c>
      <c r="F189" t="s">
        <v>42</v>
      </c>
      <c r="G189">
        <v>-447.0779</v>
      </c>
      <c r="H189" s="1">
        <v>-2.0085820000000001E-6</v>
      </c>
      <c r="I189">
        <v>366.22539999999998</v>
      </c>
      <c r="J189">
        <v>-470.65039999999999</v>
      </c>
      <c r="K189">
        <v>1.1089960000000001</v>
      </c>
      <c r="L189">
        <v>367.26260000000002</v>
      </c>
      <c r="M189">
        <v>0.99988759999999999</v>
      </c>
      <c r="N189">
        <v>-8.1503410000000002E-3</v>
      </c>
      <c r="O189">
        <v>1.25807E-2</v>
      </c>
      <c r="P189">
        <v>0.99792340000000002</v>
      </c>
      <c r="Q189">
        <v>-4.834306E-2</v>
      </c>
      <c r="R189">
        <v>4.2566130000000001E-2</v>
      </c>
      <c r="S189">
        <v>3.0049739999999998</v>
      </c>
      <c r="T189">
        <v>-0.14119489999999901</v>
      </c>
      <c r="U189">
        <v>-0.13198850000000001</v>
      </c>
      <c r="V189">
        <v>-3.001034E-2</v>
      </c>
      <c r="W189">
        <v>-4.0202660000000001E-2</v>
      </c>
      <c r="X189">
        <v>0.99874079999999998</v>
      </c>
      <c r="Y189">
        <v>5.6364230000000001E-2</v>
      </c>
      <c r="Z189">
        <v>-2.0408969999999999E-3</v>
      </c>
      <c r="AA189">
        <v>0.99840819999999997</v>
      </c>
      <c r="AB189">
        <v>5</v>
      </c>
      <c r="AC189">
        <v>23.572499999999899</v>
      </c>
      <c r="AD189">
        <v>-1.1089980085819999</v>
      </c>
      <c r="AE189">
        <v>-1.0372000000000401</v>
      </c>
      <c r="AF189">
        <v>1.33074660657468</v>
      </c>
      <c r="AG189">
        <v>-1.1089980085819999</v>
      </c>
      <c r="AH189">
        <v>23.5056594699385</v>
      </c>
      <c r="AI189">
        <v>92.696902114580794</v>
      </c>
      <c r="AJ189">
        <v>86.759722445145798</v>
      </c>
      <c r="AK189">
        <v>23.569403688482701</v>
      </c>
      <c r="AL189">
        <v>92.304063617185193</v>
      </c>
      <c r="AM189">
        <v>91.721115835138605</v>
      </c>
      <c r="AN189">
        <v>1.0000000299813101</v>
      </c>
    </row>
    <row r="190" spans="1:40" x14ac:dyDescent="0.25">
      <c r="A190" t="str">
        <f>"20190305134913717"</f>
        <v>20190305134913717</v>
      </c>
      <c r="B190" t="str">
        <f>"1551764953710712"</f>
        <v>1551764953710712</v>
      </c>
      <c r="C190" t="s">
        <v>40</v>
      </c>
      <c r="D190">
        <v>3.856538</v>
      </c>
      <c r="E190">
        <v>0.56961319999999904</v>
      </c>
      <c r="F190" t="s">
        <v>41</v>
      </c>
      <c r="G190">
        <v>-469.92360000000002</v>
      </c>
      <c r="H190">
        <v>0.9734756</v>
      </c>
      <c r="I190">
        <v>367.1626</v>
      </c>
      <c r="J190">
        <v>-470.60210000000001</v>
      </c>
      <c r="K190">
        <v>1.1089</v>
      </c>
      <c r="L190">
        <v>367.26319999999998</v>
      </c>
      <c r="M190">
        <v>0.99989510000000004</v>
      </c>
      <c r="N190">
        <v>-7.2131449999999998E-3</v>
      </c>
      <c r="O190">
        <v>1.255703E-2</v>
      </c>
      <c r="P190">
        <v>0.99787210000000004</v>
      </c>
      <c r="Q190">
        <v>-4.9144220000000002E-2</v>
      </c>
      <c r="R190">
        <v>4.2847299999999998E-2</v>
      </c>
      <c r="S190">
        <v>2.9967350000000001</v>
      </c>
      <c r="T190">
        <v>-0.55882849999999995</v>
      </c>
      <c r="U190">
        <v>-0.41116330000000001</v>
      </c>
      <c r="V190">
        <v>-3.031582E-2</v>
      </c>
      <c r="W190">
        <v>-4.1939850000000001E-2</v>
      </c>
      <c r="X190">
        <v>0.99866010000000005</v>
      </c>
      <c r="Y190">
        <v>0.1456006</v>
      </c>
      <c r="Z190">
        <v>-1.6152799999999998E-2</v>
      </c>
      <c r="AA190">
        <v>0.98921159999999997</v>
      </c>
      <c r="AB190">
        <v>5</v>
      </c>
      <c r="AC190">
        <v>0.678499999999985</v>
      </c>
      <c r="AD190">
        <v>-0.1354244</v>
      </c>
      <c r="AE190">
        <v>-0.10059999999998499</v>
      </c>
      <c r="AF190">
        <v>0.10501853299544101</v>
      </c>
      <c r="AG190">
        <v>-0.1354244</v>
      </c>
      <c r="AH190">
        <v>0.65177649157853301</v>
      </c>
      <c r="AI190">
        <v>101.592363852058</v>
      </c>
      <c r="AJ190">
        <v>80.846795704698394</v>
      </c>
      <c r="AK190">
        <v>0.67392971099536503</v>
      </c>
      <c r="AL190">
        <v>92.403681415215402</v>
      </c>
      <c r="AM190">
        <v>91.738765056042297</v>
      </c>
      <c r="AN190">
        <v>0.99999999764615199</v>
      </c>
    </row>
    <row r="191" spans="1:40" x14ac:dyDescent="0.25">
      <c r="A191" t="str">
        <f>"20190305134913730"</f>
        <v>20190305134913730</v>
      </c>
      <c r="B191" t="str">
        <f>"1551764953721449"</f>
        <v>1551764953721449</v>
      </c>
      <c r="C191" t="s">
        <v>40</v>
      </c>
      <c r="D191">
        <v>3.8897529999999998</v>
      </c>
      <c r="E191">
        <v>0.56982219999999995</v>
      </c>
      <c r="F191" t="s">
        <v>41</v>
      </c>
      <c r="G191">
        <v>-469.87700000000001</v>
      </c>
      <c r="H191">
        <v>0.96252800000000005</v>
      </c>
      <c r="I191">
        <v>367.15809999999999</v>
      </c>
      <c r="J191">
        <v>-470.56779999999998</v>
      </c>
      <c r="K191">
        <v>1.108846</v>
      </c>
      <c r="L191">
        <v>367.2636</v>
      </c>
      <c r="M191">
        <v>0.99989980000000001</v>
      </c>
      <c r="N191">
        <v>-6.5722439999999997E-3</v>
      </c>
      <c r="O191">
        <v>1.2538530000000001E-2</v>
      </c>
      <c r="P191">
        <v>0.99785310000000005</v>
      </c>
      <c r="Q191">
        <v>-4.9436099999999997E-2</v>
      </c>
      <c r="R191">
        <v>4.2956210000000002E-2</v>
      </c>
      <c r="S191">
        <v>2.9951780000000001</v>
      </c>
      <c r="T191">
        <v>-0.60477219999999998</v>
      </c>
      <c r="U191">
        <v>-0.43307499999999999</v>
      </c>
      <c r="V191">
        <v>-3.0444140000000001E-2</v>
      </c>
      <c r="W191">
        <v>-4.287171E-2</v>
      </c>
      <c r="X191">
        <v>0.99861659999999997</v>
      </c>
      <c r="Y191">
        <v>0.1521576</v>
      </c>
      <c r="Z191">
        <v>-1.8052479999999999E-2</v>
      </c>
      <c r="AA191">
        <v>0.98819140000000005</v>
      </c>
      <c r="AB191">
        <v>6</v>
      </c>
      <c r="AC191">
        <v>0.69080000000002395</v>
      </c>
      <c r="AD191">
        <v>-0.146317999999999</v>
      </c>
      <c r="AE191">
        <v>-0.10550000000000601</v>
      </c>
      <c r="AF191">
        <v>0.109359126044485</v>
      </c>
      <c r="AG191">
        <v>-0.146317999999999</v>
      </c>
      <c r="AH191">
        <v>0.66046747509830905</v>
      </c>
      <c r="AI191">
        <v>102.328764810642</v>
      </c>
      <c r="AJ191">
        <v>80.598358181147802</v>
      </c>
      <c r="AK191">
        <v>0.68526320580923406</v>
      </c>
      <c r="AL191">
        <v>92.457121197310897</v>
      </c>
      <c r="AM191">
        <v>91.746196322541095</v>
      </c>
      <c r="AN191">
        <v>0.99999997148711095</v>
      </c>
    </row>
    <row r="192" spans="1:40" x14ac:dyDescent="0.25">
      <c r="A192" t="str">
        <f>"20190305134913742"</f>
        <v>20190305134913742</v>
      </c>
      <c r="B192" t="str">
        <f>"1551764953731208"</f>
        <v>1551764953731208</v>
      </c>
      <c r="C192" t="s">
        <v>40</v>
      </c>
      <c r="D192">
        <v>3.951352</v>
      </c>
      <c r="E192">
        <v>0.56916909999999998</v>
      </c>
      <c r="F192" t="s">
        <v>41</v>
      </c>
      <c r="G192">
        <v>-469.82530000000003</v>
      </c>
      <c r="H192">
        <v>0.95634540000000001</v>
      </c>
      <c r="I192">
        <v>367.15539999999999</v>
      </c>
      <c r="J192">
        <v>-470.53210000000001</v>
      </c>
      <c r="K192">
        <v>1.1087830000000001</v>
      </c>
      <c r="L192">
        <v>367.26400000000001</v>
      </c>
      <c r="M192">
        <v>0.99990420000000002</v>
      </c>
      <c r="N192">
        <v>-5.9028709999999996E-3</v>
      </c>
      <c r="O192">
        <v>1.251652E-2</v>
      </c>
      <c r="P192">
        <v>0.9978591</v>
      </c>
      <c r="Q192">
        <v>-4.9454810000000002E-2</v>
      </c>
      <c r="R192">
        <v>4.2796569999999999E-2</v>
      </c>
      <c r="S192">
        <v>2.994659</v>
      </c>
      <c r="T192">
        <v>-0.61526579999999997</v>
      </c>
      <c r="U192">
        <v>-0.43487550000000003</v>
      </c>
      <c r="V192">
        <v>-3.0306570000000001E-2</v>
      </c>
      <c r="W192">
        <v>-4.3558779999999998E-2</v>
      </c>
      <c r="X192">
        <v>0.99859109999999995</v>
      </c>
      <c r="Y192">
        <v>0.15262629999999999</v>
      </c>
      <c r="Z192">
        <v>-1.8355699999999999E-2</v>
      </c>
      <c r="AA192">
        <v>0.98811349999999998</v>
      </c>
      <c r="AB192">
        <v>6</v>
      </c>
      <c r="AC192">
        <v>0.70679999999998699</v>
      </c>
      <c r="AD192">
        <v>-0.15243760000000001</v>
      </c>
      <c r="AE192">
        <v>-0.108600000000024</v>
      </c>
      <c r="AF192">
        <v>0.112333659080929</v>
      </c>
      <c r="AG192">
        <v>-0.15243760000000001</v>
      </c>
      <c r="AH192">
        <v>0.67472449380900801</v>
      </c>
      <c r="AI192">
        <v>102.563525965374</v>
      </c>
      <c r="AJ192">
        <v>80.547627715342799</v>
      </c>
      <c r="AK192">
        <v>0.70079184884107504</v>
      </c>
      <c r="AL192">
        <v>92.496524099530703</v>
      </c>
      <c r="AM192">
        <v>91.738354881180598</v>
      </c>
      <c r="AN192">
        <v>1.0000000202497299</v>
      </c>
    </row>
    <row r="193" spans="1:40" x14ac:dyDescent="0.25">
      <c r="A193" t="str">
        <f>"20190305134913762"</f>
        <v>20190305134913762</v>
      </c>
      <c r="B193" t="str">
        <f>"1551764953750727"</f>
        <v>1551764953750727</v>
      </c>
      <c r="C193" t="s">
        <v>40</v>
      </c>
      <c r="D193">
        <v>3.8843580000000002</v>
      </c>
      <c r="E193">
        <v>0.56795479999999998</v>
      </c>
      <c r="F193" t="s">
        <v>41</v>
      </c>
      <c r="G193">
        <v>-469.82339999999999</v>
      </c>
      <c r="H193">
        <v>0.96098530000000004</v>
      </c>
      <c r="I193">
        <v>367.1617</v>
      </c>
      <c r="J193">
        <v>-470.48399999999998</v>
      </c>
      <c r="K193">
        <v>1.1089659999999999</v>
      </c>
      <c r="L193">
        <v>367.26459999999997</v>
      </c>
      <c r="M193">
        <v>0.99990460000000003</v>
      </c>
      <c r="N193">
        <v>-5.9249400000000001E-3</v>
      </c>
      <c r="O193">
        <v>1.248964E-2</v>
      </c>
      <c r="P193">
        <v>0.99788679999999996</v>
      </c>
      <c r="Q193">
        <v>-4.9313750000000003E-2</v>
      </c>
      <c r="R193">
        <v>4.2316109999999997E-2</v>
      </c>
      <c r="S193">
        <v>2.9939580000000001</v>
      </c>
      <c r="T193">
        <v>-0.62449290000000002</v>
      </c>
      <c r="U193">
        <v>-0.43057250000000002</v>
      </c>
      <c r="V193">
        <v>-2.985252E-2</v>
      </c>
      <c r="W193">
        <v>-4.3395629999999998E-2</v>
      </c>
      <c r="X193">
        <v>0.9986119</v>
      </c>
      <c r="Y193">
        <v>0.15116849999999901</v>
      </c>
      <c r="Z193">
        <v>-1.8467730000000002E-2</v>
      </c>
      <c r="AA193">
        <v>0.98833550000000003</v>
      </c>
      <c r="AB193">
        <v>6</v>
      </c>
      <c r="AC193">
        <v>0.66060000000004404</v>
      </c>
      <c r="AD193">
        <v>-0.14798069999999899</v>
      </c>
      <c r="AE193">
        <v>-0.102899999999976</v>
      </c>
      <c r="AF193">
        <v>0.105952018197378</v>
      </c>
      <c r="AG193">
        <v>-0.14798069999999899</v>
      </c>
      <c r="AH193">
        <v>0.62847337179474505</v>
      </c>
      <c r="AI193">
        <v>103.071565256536</v>
      </c>
      <c r="AJ193">
        <v>80.430695371253293</v>
      </c>
      <c r="AK193">
        <v>0.65429572579044404</v>
      </c>
      <c r="AL193">
        <v>92.487167396066496</v>
      </c>
      <c r="AM193">
        <v>91.712291000115499</v>
      </c>
      <c r="AN193">
        <v>1.00000004023752</v>
      </c>
    </row>
    <row r="194" spans="1:40" x14ac:dyDescent="0.25">
      <c r="A194" t="str">
        <f>"20190305134913777"</f>
        <v>20190305134913777</v>
      </c>
      <c r="B194" t="str">
        <f>"1551764953771223"</f>
        <v>1551764953771223</v>
      </c>
      <c r="C194" t="s">
        <v>40</v>
      </c>
      <c r="D194">
        <v>3.990119</v>
      </c>
      <c r="E194">
        <v>0.56768069999999904</v>
      </c>
      <c r="F194" t="s">
        <v>41</v>
      </c>
      <c r="G194">
        <v>-469.77260000000001</v>
      </c>
      <c r="H194">
        <v>0.95973050000000004</v>
      </c>
      <c r="I194">
        <v>367.16399999999999</v>
      </c>
      <c r="J194">
        <v>-470.44740000000002</v>
      </c>
      <c r="K194">
        <v>1.1092740000000001</v>
      </c>
      <c r="L194">
        <v>367.26499999999999</v>
      </c>
      <c r="M194">
        <v>0.99990049999999997</v>
      </c>
      <c r="N194">
        <v>-6.6003559999999999E-3</v>
      </c>
      <c r="O194">
        <v>1.2471390000000001E-2</v>
      </c>
      <c r="P194">
        <v>0.99786300000000006</v>
      </c>
      <c r="Q194">
        <v>-5.0262389999999997E-2</v>
      </c>
      <c r="R194">
        <v>4.1755399999999998E-2</v>
      </c>
      <c r="S194">
        <v>2.9932249999999998</v>
      </c>
      <c r="T194">
        <v>-0.62783009999999995</v>
      </c>
      <c r="U194">
        <v>-0.4230042</v>
      </c>
      <c r="V194">
        <v>-2.93098E-2</v>
      </c>
      <c r="W194">
        <v>-4.367012E-2</v>
      </c>
      <c r="X194">
        <v>0.99861599999999995</v>
      </c>
      <c r="Y194">
        <v>0.1487395</v>
      </c>
      <c r="Z194">
        <v>-1.8350740000000001E-2</v>
      </c>
      <c r="AA194">
        <v>0.98870610000000003</v>
      </c>
      <c r="AB194">
        <v>6</v>
      </c>
      <c r="AC194">
        <v>0.67480000000000395</v>
      </c>
      <c r="AD194">
        <v>-0.149543499999999</v>
      </c>
      <c r="AE194">
        <v>-0.10099999999999899</v>
      </c>
      <c r="AF194">
        <v>0.10439342215905199</v>
      </c>
      <c r="AG194">
        <v>-0.149543499999999</v>
      </c>
      <c r="AH194">
        <v>0.64261928465617002</v>
      </c>
      <c r="AI194">
        <v>102.936340250272</v>
      </c>
      <c r="AJ194">
        <v>80.772911869606304</v>
      </c>
      <c r="AK194">
        <v>0.66799759729682795</v>
      </c>
      <c r="AL194">
        <v>92.502909464159799</v>
      </c>
      <c r="AM194">
        <v>91.681172612930396</v>
      </c>
      <c r="AN194">
        <v>1.00000002960642</v>
      </c>
    </row>
    <row r="195" spans="1:40" x14ac:dyDescent="0.25">
      <c r="A195" t="str">
        <f>"20190305134913796"</f>
        <v>20190305134913796</v>
      </c>
      <c r="B195" t="str">
        <f>"1551764953790743"</f>
        <v>1551764953790743</v>
      </c>
      <c r="C195" t="s">
        <v>40</v>
      </c>
      <c r="D195">
        <v>3.9808210000000002</v>
      </c>
      <c r="E195">
        <v>0.56708709999999996</v>
      </c>
      <c r="F195" t="s">
        <v>41</v>
      </c>
      <c r="G195">
        <v>-469.72590000000002</v>
      </c>
      <c r="H195">
        <v>0.95524659999999995</v>
      </c>
      <c r="I195">
        <v>367.1628</v>
      </c>
      <c r="J195">
        <v>-470.39870000000002</v>
      </c>
      <c r="K195">
        <v>1.10968</v>
      </c>
      <c r="L195">
        <v>367.26560000000001</v>
      </c>
      <c r="M195">
        <v>0.99989280000000003</v>
      </c>
      <c r="N195">
        <v>-7.7047510000000001E-3</v>
      </c>
      <c r="O195">
        <v>1.245432E-2</v>
      </c>
      <c r="P195">
        <v>0.99786839999999999</v>
      </c>
      <c r="Q195">
        <v>-5.1209200000000003E-2</v>
      </c>
      <c r="R195">
        <v>4.0456209999999999E-2</v>
      </c>
      <c r="S195">
        <v>2.991943</v>
      </c>
      <c r="T195">
        <v>-0.63877919999999999</v>
      </c>
      <c r="U195">
        <v>-0.42312620000000001</v>
      </c>
      <c r="V195">
        <v>-2.8027630000000001E-2</v>
      </c>
      <c r="W195">
        <v>-4.3514280000000002E-2</v>
      </c>
      <c r="X195">
        <v>0.99865959999999998</v>
      </c>
      <c r="Y195">
        <v>0.14868339999999999</v>
      </c>
      <c r="Z195">
        <v>-1.8724859999999999E-2</v>
      </c>
      <c r="AA195">
        <v>0.98870749999999996</v>
      </c>
      <c r="AB195">
        <v>6</v>
      </c>
      <c r="AC195">
        <v>0.67279999999999496</v>
      </c>
      <c r="AD195">
        <v>-0.154433399999999</v>
      </c>
      <c r="AE195">
        <v>-0.102800000000001</v>
      </c>
      <c r="AF195">
        <v>0.105728042337305</v>
      </c>
      <c r="AG195">
        <v>-0.154433399999999</v>
      </c>
      <c r="AH195">
        <v>0.63858916221510498</v>
      </c>
      <c r="AI195">
        <v>103.419178208719</v>
      </c>
      <c r="AJ195">
        <v>80.599101205006605</v>
      </c>
      <c r="AK195">
        <v>0.66545038287661196</v>
      </c>
      <c r="AL195">
        <v>92.493972021618802</v>
      </c>
      <c r="AM195">
        <v>91.607598308460595</v>
      </c>
      <c r="AN195">
        <v>1.00000001863974</v>
      </c>
    </row>
    <row r="196" spans="1:40" x14ac:dyDescent="0.25">
      <c r="A196" t="str">
        <f>"20190305134913820"</f>
        <v>20190305134913820</v>
      </c>
      <c r="B196" t="str">
        <f>"1551764953811240"</f>
        <v>1551764953811240</v>
      </c>
      <c r="C196" t="s">
        <v>40</v>
      </c>
      <c r="D196">
        <v>3.9765299999999999</v>
      </c>
      <c r="E196">
        <v>0.56658969999999997</v>
      </c>
      <c r="F196" t="s">
        <v>41</v>
      </c>
      <c r="G196">
        <v>-469.67649999999998</v>
      </c>
      <c r="H196">
        <v>0.95405410000000002</v>
      </c>
      <c r="I196">
        <v>367.1635</v>
      </c>
      <c r="J196">
        <v>-470.33839999999998</v>
      </c>
      <c r="K196">
        <v>1.1097300000000001</v>
      </c>
      <c r="L196">
        <v>367.2663</v>
      </c>
      <c r="M196">
        <v>0.99989249999999996</v>
      </c>
      <c r="N196">
        <v>-7.7499909999999899E-3</v>
      </c>
      <c r="O196">
        <v>1.2442109999999999E-2</v>
      </c>
      <c r="P196">
        <v>0.99793980000000004</v>
      </c>
      <c r="Q196">
        <v>-5.099281E-2</v>
      </c>
      <c r="R196">
        <v>3.8937970000000002E-2</v>
      </c>
      <c r="S196">
        <v>2.9904480000000002</v>
      </c>
      <c r="T196">
        <v>-0.64446689999999995</v>
      </c>
      <c r="U196">
        <v>-0.4225159</v>
      </c>
      <c r="V196">
        <v>-2.652121E-2</v>
      </c>
      <c r="W196">
        <v>-4.3252489999999998E-2</v>
      </c>
      <c r="X196">
        <v>0.99871209999999999</v>
      </c>
      <c r="Y196">
        <v>0.14847869999999999</v>
      </c>
      <c r="Z196">
        <v>-1.887082E-2</v>
      </c>
      <c r="AA196">
        <v>0.98873560000000005</v>
      </c>
      <c r="AB196">
        <v>5</v>
      </c>
      <c r="AC196">
        <v>0.66190000000000204</v>
      </c>
      <c r="AD196">
        <v>-0.15567589999999901</v>
      </c>
      <c r="AE196">
        <v>-0.102800000000001</v>
      </c>
      <c r="AF196">
        <v>0.105337992967801</v>
      </c>
      <c r="AG196">
        <v>-0.15567589999999901</v>
      </c>
      <c r="AH196">
        <v>0.62671810323313304</v>
      </c>
      <c r="AI196">
        <v>103.764276256147</v>
      </c>
      <c r="AJ196">
        <v>80.458976323354094</v>
      </c>
      <c r="AK196">
        <v>0.65429860119324001</v>
      </c>
      <c r="AL196">
        <v>92.478958456799305</v>
      </c>
      <c r="AM196">
        <v>91.521155456543596</v>
      </c>
      <c r="AN196">
        <v>1.0000000055787299</v>
      </c>
    </row>
    <row r="197" spans="1:40" x14ac:dyDescent="0.25">
      <c r="A197" t="str">
        <f>"20190305134913840"</f>
        <v>20190305134913840</v>
      </c>
      <c r="B197" t="str">
        <f>"1551764953830759"</f>
        <v>1551764953830759</v>
      </c>
      <c r="C197" t="s">
        <v>40</v>
      </c>
      <c r="D197">
        <v>3.977735</v>
      </c>
      <c r="E197">
        <v>0.56609619999999905</v>
      </c>
      <c r="F197" t="s">
        <v>41</v>
      </c>
      <c r="G197">
        <v>-469.62200000000001</v>
      </c>
      <c r="H197">
        <v>0.95475129999999997</v>
      </c>
      <c r="I197">
        <v>367.16449999999998</v>
      </c>
      <c r="J197">
        <v>-470.279</v>
      </c>
      <c r="K197">
        <v>1.1094839999999999</v>
      </c>
      <c r="L197">
        <v>367.267</v>
      </c>
      <c r="M197">
        <v>0.99990000000000001</v>
      </c>
      <c r="N197">
        <v>-6.7834790000000002E-3</v>
      </c>
      <c r="O197">
        <v>1.242091E-2</v>
      </c>
      <c r="P197">
        <v>0.99805299999999997</v>
      </c>
      <c r="Q197">
        <v>-4.927103E-2</v>
      </c>
      <c r="R197">
        <v>3.8250409999999999E-2</v>
      </c>
      <c r="S197">
        <v>2.989655</v>
      </c>
      <c r="T197">
        <v>-0.64678849999999999</v>
      </c>
      <c r="U197">
        <v>-0.42343140000000001</v>
      </c>
      <c r="V197">
        <v>-2.585295E-2</v>
      </c>
      <c r="W197">
        <v>-4.2495459999999999E-2</v>
      </c>
      <c r="X197">
        <v>0.99876209999999999</v>
      </c>
      <c r="Y197">
        <v>0.1487697</v>
      </c>
      <c r="Z197">
        <v>-1.890646E-2</v>
      </c>
      <c r="AA197">
        <v>0.98869110000000004</v>
      </c>
      <c r="AB197">
        <v>6</v>
      </c>
      <c r="AC197">
        <v>0.657000000000039</v>
      </c>
      <c r="AD197">
        <v>-0.154732699999999</v>
      </c>
      <c r="AE197">
        <v>-0.10250000000002001</v>
      </c>
      <c r="AF197">
        <v>0.104968870873169</v>
      </c>
      <c r="AG197">
        <v>-0.154732699999999</v>
      </c>
      <c r="AH197">
        <v>0.62199577264245098</v>
      </c>
      <c r="AI197">
        <v>103.78248783815999</v>
      </c>
      <c r="AJ197">
        <v>80.420942578182704</v>
      </c>
      <c r="AK197">
        <v>0.649491657749934</v>
      </c>
      <c r="AL197">
        <v>92.4355439601283</v>
      </c>
      <c r="AM197">
        <v>91.482769744507095</v>
      </c>
      <c r="AN197">
        <v>0.99999998577036198</v>
      </c>
    </row>
    <row r="198" spans="1:40" x14ac:dyDescent="0.25">
      <c r="A198" t="str">
        <f>"20190305134913854"</f>
        <v>20190305134913854</v>
      </c>
      <c r="B198" t="str">
        <f>"1551764953841495"</f>
        <v>1551764953841495</v>
      </c>
      <c r="C198" t="s">
        <v>40</v>
      </c>
      <c r="D198">
        <v>4.0087060000000001</v>
      </c>
      <c r="E198">
        <v>0.56590079999999998</v>
      </c>
      <c r="F198" t="s">
        <v>41</v>
      </c>
      <c r="G198">
        <v>-469.56439999999998</v>
      </c>
      <c r="H198">
        <v>0.95575810000000005</v>
      </c>
      <c r="I198">
        <v>367.16609999999997</v>
      </c>
      <c r="J198">
        <v>-470.24189999999999</v>
      </c>
      <c r="K198">
        <v>1.109329</v>
      </c>
      <c r="L198">
        <v>367.26740000000001</v>
      </c>
      <c r="M198">
        <v>0.99990429999999997</v>
      </c>
      <c r="N198">
        <v>-6.1324099999999996E-3</v>
      </c>
      <c r="O198">
        <v>1.240465E-2</v>
      </c>
      <c r="P198">
        <v>0.99807380000000001</v>
      </c>
      <c r="Q198">
        <v>-4.8484560000000003E-2</v>
      </c>
      <c r="R198">
        <v>3.8704309999999999E-2</v>
      </c>
      <c r="S198">
        <v>2.9902039999999999</v>
      </c>
      <c r="T198">
        <v>-0.64338359999999895</v>
      </c>
      <c r="U198">
        <v>-0.4207458</v>
      </c>
      <c r="V198">
        <v>-2.6322680000000001E-2</v>
      </c>
      <c r="W198">
        <v>-4.2359140000000003E-2</v>
      </c>
      <c r="X198">
        <v>0.99875559999999997</v>
      </c>
      <c r="Y198">
        <v>0.14792569999999999</v>
      </c>
      <c r="Z198">
        <v>-1.8672480000000002E-2</v>
      </c>
      <c r="AA198">
        <v>0.98882219999999998</v>
      </c>
      <c r="AB198">
        <v>6</v>
      </c>
      <c r="AC198">
        <v>0.67750000000000898</v>
      </c>
      <c r="AD198">
        <v>-0.15357089999999901</v>
      </c>
      <c r="AE198">
        <v>-0.101300000000037</v>
      </c>
      <c r="AF198">
        <v>0.10444730065468601</v>
      </c>
      <c r="AG198">
        <v>-0.15357089999999901</v>
      </c>
      <c r="AH198">
        <v>0.64383405711828201</v>
      </c>
      <c r="AI198">
        <v>103.248847018883</v>
      </c>
      <c r="AJ198">
        <v>80.785350881210306</v>
      </c>
      <c r="AK198">
        <v>0.67008622806788698</v>
      </c>
      <c r="AL198">
        <v>92.427726412008894</v>
      </c>
      <c r="AM198">
        <v>91.509708096494904</v>
      </c>
      <c r="AN198">
        <v>0.99999996437764005</v>
      </c>
    </row>
    <row r="199" spans="1:40" x14ac:dyDescent="0.25">
      <c r="A199" t="str">
        <f>"20190305134913866"</f>
        <v>20190305134913866</v>
      </c>
      <c r="B199" t="str">
        <f>"1551764953861016"</f>
        <v>1551764953861016</v>
      </c>
      <c r="C199" t="s">
        <v>40</v>
      </c>
      <c r="D199">
        <v>3.7830010000000001</v>
      </c>
      <c r="E199">
        <v>0.56578629999999996</v>
      </c>
      <c r="F199" t="s">
        <v>41</v>
      </c>
      <c r="G199">
        <v>-469.50729999999999</v>
      </c>
      <c r="H199">
        <v>0.95161499999999999</v>
      </c>
      <c r="I199">
        <v>367.16460000000001</v>
      </c>
      <c r="J199">
        <v>-470.20280000000002</v>
      </c>
      <c r="K199">
        <v>1.1092059999999999</v>
      </c>
      <c r="L199">
        <v>367.2679</v>
      </c>
      <c r="M199">
        <v>0.99990809999999997</v>
      </c>
      <c r="N199">
        <v>-5.5389389999999997E-3</v>
      </c>
      <c r="O199">
        <v>1.238497E-2</v>
      </c>
      <c r="P199">
        <v>0.99807959999999996</v>
      </c>
      <c r="Q199">
        <v>-4.8210910000000003E-2</v>
      </c>
      <c r="R199">
        <v>3.8900789999999998E-2</v>
      </c>
      <c r="S199">
        <v>2.9907840000000001</v>
      </c>
      <c r="T199">
        <v>-0.64211750000000001</v>
      </c>
      <c r="U199">
        <v>-0.41769410000000001</v>
      </c>
      <c r="V199">
        <v>-2.6539009999999998E-2</v>
      </c>
      <c r="W199">
        <v>-4.2678229999999998E-2</v>
      </c>
      <c r="X199">
        <v>0.99873630000000002</v>
      </c>
      <c r="Y199">
        <v>0.14693619999999999</v>
      </c>
      <c r="Z199">
        <v>-1.8486289999999999E-2</v>
      </c>
      <c r="AA199">
        <v>0.9889732</v>
      </c>
      <c r="AB199">
        <v>6</v>
      </c>
      <c r="AC199">
        <v>0.69550000000003798</v>
      </c>
      <c r="AD199">
        <v>-0.15759099999999901</v>
      </c>
      <c r="AE199">
        <v>-0.10329999999999</v>
      </c>
      <c r="AF199">
        <v>0.106553419345252</v>
      </c>
      <c r="AG199">
        <v>-0.15759099999999901</v>
      </c>
      <c r="AH199">
        <v>0.66096479305309197</v>
      </c>
      <c r="AI199">
        <v>103.24554484095999</v>
      </c>
      <c r="AJ199">
        <v>80.842198873568407</v>
      </c>
      <c r="AK199">
        <v>0.68779576337084403</v>
      </c>
      <c r="AL199">
        <v>92.446025448678796</v>
      </c>
      <c r="AM199">
        <v>91.522139050580904</v>
      </c>
      <c r="AN199">
        <v>0.99999997365270099</v>
      </c>
    </row>
    <row r="200" spans="1:40" x14ac:dyDescent="0.25">
      <c r="A200" t="str">
        <f>"20190305134913884"</f>
        <v>20190305134913884</v>
      </c>
      <c r="B200" t="str">
        <f>"1551764953870775"</f>
        <v>1551764953870775</v>
      </c>
      <c r="C200" t="s">
        <v>40</v>
      </c>
      <c r="D200">
        <v>3.9887790000000001</v>
      </c>
      <c r="E200">
        <v>0.56555909999999998</v>
      </c>
      <c r="F200" t="s">
        <v>41</v>
      </c>
      <c r="G200">
        <v>-469.50389999999999</v>
      </c>
      <c r="H200">
        <v>0.95923610000000004</v>
      </c>
      <c r="I200">
        <v>367.17039999999997</v>
      </c>
      <c r="J200">
        <v>-470.14960000000002</v>
      </c>
      <c r="K200">
        <v>1.1091</v>
      </c>
      <c r="L200">
        <v>367.26850000000002</v>
      </c>
      <c r="M200">
        <v>0.99991180000000002</v>
      </c>
      <c r="N200">
        <v>-4.8832859999999997E-3</v>
      </c>
      <c r="O200">
        <v>1.235703E-2</v>
      </c>
      <c r="P200">
        <v>0.99804649999999995</v>
      </c>
      <c r="Q200">
        <v>-4.834273E-2</v>
      </c>
      <c r="R200">
        <v>3.9581190000000002E-2</v>
      </c>
      <c r="S200">
        <v>2.9909970000000001</v>
      </c>
      <c r="T200">
        <v>-0.64196750000000002</v>
      </c>
      <c r="U200">
        <v>-0.4159851</v>
      </c>
      <c r="V200">
        <v>-2.724766E-2</v>
      </c>
      <c r="W200">
        <v>-4.3464969999999999E-2</v>
      </c>
      <c r="X200">
        <v>0.99868330000000005</v>
      </c>
      <c r="Y200">
        <v>0.14636869999999999</v>
      </c>
      <c r="Z200">
        <v>-1.8373469999999999E-2</v>
      </c>
      <c r="AA200">
        <v>0.98905940000000003</v>
      </c>
      <c r="AB200">
        <v>6</v>
      </c>
      <c r="AC200">
        <v>0.64570000000003303</v>
      </c>
      <c r="AD200">
        <v>-0.14986389999999999</v>
      </c>
      <c r="AE200">
        <v>-9.8100000000044901E-2</v>
      </c>
      <c r="AF200">
        <v>0.10076592436469101</v>
      </c>
      <c r="AG200">
        <v>-0.14986389999999999</v>
      </c>
      <c r="AH200">
        <v>0.61220415934056005</v>
      </c>
      <c r="AI200">
        <v>103.579347832208</v>
      </c>
      <c r="AJ200">
        <v>80.653189685024898</v>
      </c>
      <c r="AK200">
        <v>0.63828433534762796</v>
      </c>
      <c r="AL200">
        <v>92.491144172216593</v>
      </c>
      <c r="AM200">
        <v>91.562846515891493</v>
      </c>
      <c r="AN200">
        <v>0.99999998614573304</v>
      </c>
    </row>
    <row r="201" spans="1:40" x14ac:dyDescent="0.25">
      <c r="A201" t="str">
        <f>"20190305134913898"</f>
        <v>20190305134913898</v>
      </c>
      <c r="B201" t="str">
        <f>"1551764953891272"</f>
        <v>1551764953891272</v>
      </c>
      <c r="C201" t="s">
        <v>40</v>
      </c>
      <c r="D201">
        <v>4.0016470000000002</v>
      </c>
      <c r="E201">
        <v>0.56540809999999997</v>
      </c>
      <c r="F201" t="s">
        <v>41</v>
      </c>
      <c r="G201">
        <v>-469.44409999999999</v>
      </c>
      <c r="H201">
        <v>0.95742519999999998</v>
      </c>
      <c r="I201">
        <v>367.1712</v>
      </c>
      <c r="J201">
        <v>-470.10930000000002</v>
      </c>
      <c r="K201">
        <v>1.109032</v>
      </c>
      <c r="L201">
        <v>367.26900000000001</v>
      </c>
      <c r="M201">
        <v>0.99991410000000003</v>
      </c>
      <c r="N201">
        <v>-4.4285729999999999E-3</v>
      </c>
      <c r="O201">
        <v>1.23357E-2</v>
      </c>
      <c r="P201">
        <v>0.99804380000000004</v>
      </c>
      <c r="Q201">
        <v>-4.8432610000000001E-2</v>
      </c>
      <c r="R201">
        <v>3.9534329999999999E-2</v>
      </c>
      <c r="S201">
        <v>2.9910890000000001</v>
      </c>
      <c r="T201">
        <v>-0.6430669</v>
      </c>
      <c r="U201">
        <v>-0.4124756</v>
      </c>
      <c r="V201">
        <v>-2.7221769999999999E-2</v>
      </c>
      <c r="W201">
        <v>-4.400896E-2</v>
      </c>
      <c r="X201">
        <v>0.9986602</v>
      </c>
      <c r="Y201">
        <v>0.14522479999999999</v>
      </c>
      <c r="Z201">
        <v>-1.824827E-2</v>
      </c>
      <c r="AA201">
        <v>0.98923039999999995</v>
      </c>
      <c r="AB201">
        <v>7</v>
      </c>
      <c r="AC201">
        <v>0.66520000000002699</v>
      </c>
      <c r="AD201">
        <v>-0.15160679999999899</v>
      </c>
      <c r="AE201">
        <v>-9.7800000000006507E-2</v>
      </c>
      <c r="AF201">
        <v>0.100869664132332</v>
      </c>
      <c r="AG201">
        <v>-0.15160679999999899</v>
      </c>
      <c r="AH201">
        <v>0.63181836047540596</v>
      </c>
      <c r="AI201">
        <v>103.33051560319799</v>
      </c>
      <c r="AJ201">
        <v>80.929289238299404</v>
      </c>
      <c r="AK201">
        <v>0.65753612188399202</v>
      </c>
      <c r="AL201">
        <v>92.522342312716603</v>
      </c>
      <c r="AM201">
        <v>91.561398374196301</v>
      </c>
      <c r="AN201">
        <v>1.0000000041931201</v>
      </c>
    </row>
    <row r="202" spans="1:40" x14ac:dyDescent="0.25">
      <c r="A202" t="str">
        <f>"20190305134913911"</f>
        <v>20190305134913911</v>
      </c>
      <c r="B202" t="str">
        <f>"1551764953901032"</f>
        <v>1551764953901032</v>
      </c>
      <c r="C202" t="s">
        <v>40</v>
      </c>
      <c r="D202">
        <v>4.0016040000000004</v>
      </c>
      <c r="E202">
        <v>0.56531279999999995</v>
      </c>
      <c r="F202" t="s">
        <v>41</v>
      </c>
      <c r="G202">
        <v>-469.38330000000002</v>
      </c>
      <c r="H202">
        <v>0.9526945</v>
      </c>
      <c r="I202">
        <v>367.1687</v>
      </c>
      <c r="J202">
        <v>-470.06569999999999</v>
      </c>
      <c r="K202">
        <v>1.1089639999999901</v>
      </c>
      <c r="L202">
        <v>367.26949999999999</v>
      </c>
      <c r="M202">
        <v>0.99991660000000004</v>
      </c>
      <c r="N202">
        <v>-3.9485170000000003E-3</v>
      </c>
      <c r="O202">
        <v>1.231223E-2</v>
      </c>
      <c r="P202">
        <v>0.99806879999999998</v>
      </c>
      <c r="Q202">
        <v>-4.7928800000000001E-2</v>
      </c>
      <c r="R202">
        <v>3.9520449999999999E-2</v>
      </c>
      <c r="S202">
        <v>2.990936</v>
      </c>
      <c r="T202">
        <v>-0.64416300000000004</v>
      </c>
      <c r="U202">
        <v>-0.41125489999999998</v>
      </c>
      <c r="V202">
        <v>-2.7231330000000002E-2</v>
      </c>
      <c r="W202">
        <v>-4.398444E-2</v>
      </c>
      <c r="X202">
        <v>0.99866100000000002</v>
      </c>
      <c r="Y202">
        <v>0.14481579999999999</v>
      </c>
      <c r="Z202">
        <v>-1.8200959999999999E-2</v>
      </c>
      <c r="AA202">
        <v>0.98929120000000004</v>
      </c>
      <c r="AB202">
        <v>7</v>
      </c>
      <c r="AC202">
        <v>0.68239999999997203</v>
      </c>
      <c r="AD202">
        <v>-0.15626949999999901</v>
      </c>
      <c r="AE202">
        <v>-0.10079999999999199</v>
      </c>
      <c r="AF202">
        <v>0.103863876881019</v>
      </c>
      <c r="AG202">
        <v>-0.15626949999999901</v>
      </c>
      <c r="AH202">
        <v>0.64785836498193095</v>
      </c>
      <c r="AI202">
        <v>103.396446432869</v>
      </c>
      <c r="AJ202">
        <v>80.891913899266598</v>
      </c>
      <c r="AK202">
        <v>0.67448374526601196</v>
      </c>
      <c r="AL202">
        <v>92.520936107903495</v>
      </c>
      <c r="AM202">
        <v>91.561945198721801</v>
      </c>
      <c r="AN202">
        <v>0.99999998460834105</v>
      </c>
    </row>
    <row r="203" spans="1:40" x14ac:dyDescent="0.25">
      <c r="A203" t="str">
        <f>"20190305134913930"</f>
        <v>20190305134913930</v>
      </c>
      <c r="B203" t="str">
        <f>"1551764953921527"</f>
        <v>1551764953921527</v>
      </c>
      <c r="C203" t="s">
        <v>40</v>
      </c>
      <c r="D203">
        <v>3.7670530000000002</v>
      </c>
      <c r="E203">
        <v>0.56537879999999996</v>
      </c>
      <c r="F203" t="s">
        <v>41</v>
      </c>
      <c r="G203">
        <v>-469.31970000000001</v>
      </c>
      <c r="H203">
        <v>0.94860230000000001</v>
      </c>
      <c r="I203">
        <v>367.16730000000001</v>
      </c>
      <c r="J203">
        <v>-470.00310000000002</v>
      </c>
      <c r="K203">
        <v>1.1088559999999901</v>
      </c>
      <c r="L203">
        <v>367.27030000000002</v>
      </c>
      <c r="M203">
        <v>0.99991949999999996</v>
      </c>
      <c r="N203">
        <v>-3.216675E-3</v>
      </c>
      <c r="O203">
        <v>1.2278880000000001E-2</v>
      </c>
      <c r="P203">
        <v>0.99807469999999998</v>
      </c>
      <c r="Q203">
        <v>-4.7660590000000003E-2</v>
      </c>
      <c r="R203">
        <v>3.9691839999999999E-2</v>
      </c>
      <c r="S203">
        <v>2.9912109999999998</v>
      </c>
      <c r="T203">
        <v>-0.64302809999999999</v>
      </c>
      <c r="U203">
        <v>-0.41018680000000002</v>
      </c>
      <c r="V203">
        <v>-2.743601E-2</v>
      </c>
      <c r="W203">
        <v>-4.4446970000000002E-2</v>
      </c>
      <c r="X203">
        <v>0.99863489999999999</v>
      </c>
      <c r="Y203">
        <v>0.14445520000000001</v>
      </c>
      <c r="Z203">
        <v>-1.8078159999999999E-2</v>
      </c>
      <c r="AA203">
        <v>0.98934619999999995</v>
      </c>
      <c r="AB203">
        <v>7</v>
      </c>
      <c r="AC203">
        <v>0.683400000000006</v>
      </c>
      <c r="AD203">
        <v>-0.160253699999999</v>
      </c>
      <c r="AE203">
        <v>-0.103000000000008</v>
      </c>
      <c r="AF203">
        <v>0.105700523387357</v>
      </c>
      <c r="AG203">
        <v>-0.160253699999999</v>
      </c>
      <c r="AH203">
        <v>0.64728171353195396</v>
      </c>
      <c r="AI203">
        <v>103.730786897233</v>
      </c>
      <c r="AJ203">
        <v>80.725512075214098</v>
      </c>
      <c r="AK203">
        <v>0.67514995792113797</v>
      </c>
      <c r="AL203">
        <v>92.547463116964295</v>
      </c>
      <c r="AM203">
        <v>91.573720540719805</v>
      </c>
      <c r="AN203">
        <v>0.99999996564245397</v>
      </c>
    </row>
    <row r="204" spans="1:40" x14ac:dyDescent="0.25">
      <c r="A204" t="str">
        <f>"20190305134913943"</f>
        <v>20190305134913943</v>
      </c>
      <c r="B204" t="str">
        <f>"1551764953931288"</f>
        <v>1551764953931288</v>
      </c>
      <c r="C204" t="s">
        <v>40</v>
      </c>
      <c r="D204">
        <v>4.019933</v>
      </c>
      <c r="E204">
        <v>0.56563909999999995</v>
      </c>
      <c r="F204" t="s">
        <v>41</v>
      </c>
      <c r="G204">
        <v>-469.25200000000001</v>
      </c>
      <c r="H204">
        <v>0.94791539999999996</v>
      </c>
      <c r="I204">
        <v>367.16680000000002</v>
      </c>
      <c r="J204">
        <v>-469.95780000000002</v>
      </c>
      <c r="K204">
        <v>1.108778</v>
      </c>
      <c r="L204">
        <v>367.27080000000001</v>
      </c>
      <c r="M204">
        <v>0.99992130000000001</v>
      </c>
      <c r="N204">
        <v>-2.6765629999999999E-3</v>
      </c>
      <c r="O204">
        <v>1.2254910000000001E-2</v>
      </c>
      <c r="P204">
        <v>0.99807239999999997</v>
      </c>
      <c r="Q204">
        <v>-4.7553030000000003E-2</v>
      </c>
      <c r="R204">
        <v>3.9875529999999999E-2</v>
      </c>
      <c r="S204">
        <v>2.9915159999999998</v>
      </c>
      <c r="T204">
        <v>-0.64118369999999902</v>
      </c>
      <c r="U204">
        <v>-0.41033940000000002</v>
      </c>
      <c r="V204">
        <v>-2.7643569999999999E-2</v>
      </c>
      <c r="W204">
        <v>-4.4878719999999997E-2</v>
      </c>
      <c r="X204">
        <v>0.99860990000000005</v>
      </c>
      <c r="Y204">
        <v>0.14449489999999901</v>
      </c>
      <c r="Z204">
        <v>-1.7992290000000001E-2</v>
      </c>
      <c r="AA204">
        <v>0.98934200000000005</v>
      </c>
      <c r="AB204">
        <v>7</v>
      </c>
      <c r="AC204">
        <v>0.70580000000006704</v>
      </c>
      <c r="AD204">
        <v>-0.160862599999999</v>
      </c>
      <c r="AE204">
        <v>-0.10399999999998499</v>
      </c>
      <c r="AF204">
        <v>0.107191938673453</v>
      </c>
      <c r="AG204">
        <v>-0.160862599999999</v>
      </c>
      <c r="AH204">
        <v>0.67038891019948799</v>
      </c>
      <c r="AI204">
        <v>103.33007818104301</v>
      </c>
      <c r="AJ204">
        <v>80.915580408619306</v>
      </c>
      <c r="AK204">
        <v>0.69770207016590602</v>
      </c>
      <c r="AL204">
        <v>92.572225193596495</v>
      </c>
      <c r="AM204">
        <v>91.585659734714497</v>
      </c>
      <c r="AN204">
        <v>0.99999999942459605</v>
      </c>
    </row>
    <row r="205" spans="1:40" x14ac:dyDescent="0.25">
      <c r="A205" t="str">
        <f>"20190305134913962"</f>
        <v>20190305134913962</v>
      </c>
      <c r="B205" t="str">
        <f>"1551764953950808"</f>
        <v>1551764953950808</v>
      </c>
      <c r="C205" t="s">
        <v>40</v>
      </c>
      <c r="D205">
        <v>3.9960059999999999</v>
      </c>
      <c r="E205">
        <v>0.56617150000000005</v>
      </c>
      <c r="F205" t="s">
        <v>41</v>
      </c>
      <c r="G205">
        <v>-469.24790000000002</v>
      </c>
      <c r="H205">
        <v>0.95727249999999997</v>
      </c>
      <c r="I205">
        <v>367.17259999999999</v>
      </c>
      <c r="J205">
        <v>-469.89229999999998</v>
      </c>
      <c r="K205">
        <v>1.1086819999999999</v>
      </c>
      <c r="L205">
        <v>367.27159999999998</v>
      </c>
      <c r="M205">
        <v>0.99992349999999997</v>
      </c>
      <c r="N205">
        <v>-1.9688100000000001E-3</v>
      </c>
      <c r="O205">
        <v>1.222178E-2</v>
      </c>
      <c r="P205">
        <v>0.99807310000000005</v>
      </c>
      <c r="Q205">
        <v>-4.7570649999999999E-2</v>
      </c>
      <c r="R205">
        <v>3.984219E-2</v>
      </c>
      <c r="S205">
        <v>2.9918209999999998</v>
      </c>
      <c r="T205">
        <v>-0.63870380000000004</v>
      </c>
      <c r="U205">
        <v>-0.41207890000000003</v>
      </c>
      <c r="V205">
        <v>-2.7643609999999999E-2</v>
      </c>
      <c r="W205">
        <v>-4.5602999999999998E-2</v>
      </c>
      <c r="X205">
        <v>0.9985771</v>
      </c>
      <c r="Y205">
        <v>0.14503869999999999</v>
      </c>
      <c r="Z205">
        <v>-1.7929779999999999E-2</v>
      </c>
      <c r="AA205">
        <v>0.98926349999999996</v>
      </c>
      <c r="AB205">
        <v>7</v>
      </c>
      <c r="AC205">
        <v>0.644399999999961</v>
      </c>
      <c r="AD205">
        <v>-0.151409499999999</v>
      </c>
      <c r="AE205">
        <v>-9.8999999999989499E-2</v>
      </c>
      <c r="AF205">
        <v>0.10139944258807899</v>
      </c>
      <c r="AG205">
        <v>-0.151409499999999</v>
      </c>
      <c r="AH205">
        <v>0.61022969366608404</v>
      </c>
      <c r="AI205">
        <v>103.753478166653</v>
      </c>
      <c r="AJ205">
        <v>80.565589444402406</v>
      </c>
      <c r="AK205">
        <v>0.63685709753383901</v>
      </c>
      <c r="AL205">
        <v>92.613765877554002</v>
      </c>
      <c r="AM205">
        <v>91.585714085211805</v>
      </c>
      <c r="AN205">
        <v>1.00000001371362</v>
      </c>
    </row>
    <row r="206" spans="1:40" x14ac:dyDescent="0.25">
      <c r="A206" t="str">
        <f>"20190305134913977"</f>
        <v>20190305134913977</v>
      </c>
      <c r="B206" t="str">
        <f>"1551764953971304"</f>
        <v>1551764953971304</v>
      </c>
      <c r="C206" t="s">
        <v>40</v>
      </c>
      <c r="D206">
        <v>3.9843289999999998</v>
      </c>
      <c r="E206">
        <v>0.566307</v>
      </c>
      <c r="F206" t="s">
        <v>41</v>
      </c>
      <c r="G206">
        <v>-469.17750000000001</v>
      </c>
      <c r="H206">
        <v>0.9570864</v>
      </c>
      <c r="I206">
        <v>367.17200000000003</v>
      </c>
      <c r="J206">
        <v>-469.84160000000003</v>
      </c>
      <c r="K206">
        <v>1.108641</v>
      </c>
      <c r="L206">
        <v>367.2722</v>
      </c>
      <c r="M206">
        <v>0.99992449999999999</v>
      </c>
      <c r="N206">
        <v>-1.5323890000000001E-3</v>
      </c>
      <c r="O206">
        <v>1.2198219999999999E-2</v>
      </c>
      <c r="P206">
        <v>0.99804320000000002</v>
      </c>
      <c r="Q206">
        <v>-4.7925210000000003E-2</v>
      </c>
      <c r="R206">
        <v>4.0166109999999998E-2</v>
      </c>
      <c r="S206">
        <v>2.9921880000000001</v>
      </c>
      <c r="T206">
        <v>-0.6345963</v>
      </c>
      <c r="U206">
        <v>-0.41659550000000001</v>
      </c>
      <c r="V206">
        <v>-2.799161E-2</v>
      </c>
      <c r="W206">
        <v>-4.639331E-2</v>
      </c>
      <c r="X206">
        <v>0.99853099999999995</v>
      </c>
      <c r="Y206">
        <v>0.14648439999999999</v>
      </c>
      <c r="Z206">
        <v>-1.7934099999999901E-2</v>
      </c>
      <c r="AA206">
        <v>0.9890504</v>
      </c>
      <c r="AB206">
        <v>8</v>
      </c>
      <c r="AC206">
        <v>0.66410000000001901</v>
      </c>
      <c r="AD206">
        <v>-0.15155459999999901</v>
      </c>
      <c r="AE206">
        <v>-0.100200000000029</v>
      </c>
      <c r="AF206">
        <v>0.10304619482090301</v>
      </c>
      <c r="AG206">
        <v>-0.15155459999999901</v>
      </c>
      <c r="AH206">
        <v>0.63071195571029204</v>
      </c>
      <c r="AI206">
        <v>103.34107340583201</v>
      </c>
      <c r="AJ206">
        <v>80.720955410341304</v>
      </c>
      <c r="AK206">
        <v>0.65679896933851001</v>
      </c>
      <c r="AL206">
        <v>92.659095285717498</v>
      </c>
      <c r="AM206">
        <v>91.605740035934403</v>
      </c>
      <c r="AN206">
        <v>1.0000000137020699</v>
      </c>
    </row>
    <row r="207" spans="1:40" x14ac:dyDescent="0.25">
      <c r="A207" t="str">
        <f>"20190305134913991"</f>
        <v>20190305134913991</v>
      </c>
      <c r="B207" t="str">
        <f>"1551764953981065"</f>
        <v>1551764953981065</v>
      </c>
      <c r="C207" t="s">
        <v>40</v>
      </c>
      <c r="D207">
        <v>3.9344519999999998</v>
      </c>
      <c r="E207">
        <v>0.566640699999999</v>
      </c>
      <c r="F207" t="s">
        <v>41</v>
      </c>
      <c r="G207">
        <v>-469.1069</v>
      </c>
      <c r="H207">
        <v>0.95315950000000005</v>
      </c>
      <c r="I207">
        <v>367.1694</v>
      </c>
      <c r="J207">
        <v>-469.78879999999998</v>
      </c>
      <c r="K207">
        <v>1.1086279999999999</v>
      </c>
      <c r="L207">
        <v>367.27280000000002</v>
      </c>
      <c r="M207">
        <v>0.99992519999999996</v>
      </c>
      <c r="N207">
        <v>-1.1910569999999999E-3</v>
      </c>
      <c r="O207">
        <v>1.217552E-2</v>
      </c>
      <c r="P207">
        <v>0.99803470000000005</v>
      </c>
      <c r="Q207">
        <v>-4.8381140000000003E-2</v>
      </c>
      <c r="R207">
        <v>3.982898E-2</v>
      </c>
      <c r="S207">
        <v>2.9922789999999999</v>
      </c>
      <c r="T207">
        <v>-0.63333479999999998</v>
      </c>
      <c r="U207">
        <v>-0.41699219999999998</v>
      </c>
      <c r="V207">
        <v>-2.7677759999999999E-2</v>
      </c>
      <c r="W207">
        <v>-4.7190040000000003E-2</v>
      </c>
      <c r="X207">
        <v>0.99850240000000001</v>
      </c>
      <c r="Y207">
        <v>0.1466027</v>
      </c>
      <c r="Z207">
        <v>-1.7885109999999999E-2</v>
      </c>
      <c r="AA207">
        <v>0.98903379999999996</v>
      </c>
      <c r="AB207">
        <v>8</v>
      </c>
      <c r="AC207">
        <v>0.68189999999998396</v>
      </c>
      <c r="AD207">
        <v>-0.15546850000000001</v>
      </c>
      <c r="AE207">
        <v>-0.103400000000021</v>
      </c>
      <c r="AF207">
        <v>0.106293774326792</v>
      </c>
      <c r="AG207">
        <v>-0.15546850000000001</v>
      </c>
      <c r="AH207">
        <v>0.64768024344386799</v>
      </c>
      <c r="AI207">
        <v>103.32605992285001</v>
      </c>
      <c r="AJ207">
        <v>80.680007927896398</v>
      </c>
      <c r="AK207">
        <v>0.67450612947577704</v>
      </c>
      <c r="AL207">
        <v>92.704794644200803</v>
      </c>
      <c r="AM207">
        <v>91.587790738032695</v>
      </c>
      <c r="AN207">
        <v>1.00000000053978</v>
      </c>
    </row>
    <row r="208" spans="1:40" x14ac:dyDescent="0.25">
      <c r="A208" t="str">
        <f>"20190305134914008"</f>
        <v>20190305134914008</v>
      </c>
      <c r="B208" t="str">
        <f>"1551764954001561"</f>
        <v>1551764954001561</v>
      </c>
      <c r="C208" t="s">
        <v>40</v>
      </c>
      <c r="D208">
        <v>4.0650009999999996</v>
      </c>
      <c r="E208">
        <v>0.56707240000000003</v>
      </c>
      <c r="F208" t="s">
        <v>41</v>
      </c>
      <c r="G208">
        <v>-469.03480000000002</v>
      </c>
      <c r="H208">
        <v>0.94978560000000001</v>
      </c>
      <c r="I208">
        <v>367.16669999999999</v>
      </c>
      <c r="J208">
        <v>-469.72449999999998</v>
      </c>
      <c r="K208">
        <v>1.108663</v>
      </c>
      <c r="L208">
        <v>367.27359999999999</v>
      </c>
      <c r="M208">
        <v>0.99992579999999998</v>
      </c>
      <c r="N208">
        <v>-1.0060550000000001E-3</v>
      </c>
      <c r="O208">
        <v>1.215077E-2</v>
      </c>
      <c r="P208">
        <v>0.99797329999999995</v>
      </c>
      <c r="Q208">
        <v>-4.9623059999999997E-2</v>
      </c>
      <c r="R208">
        <v>3.9840960000000002E-2</v>
      </c>
      <c r="S208">
        <v>2.9921570000000002</v>
      </c>
      <c r="T208">
        <v>-0.63035180000000002</v>
      </c>
      <c r="U208">
        <v>-0.42065429999999998</v>
      </c>
      <c r="V208">
        <v>-2.771537E-2</v>
      </c>
      <c r="W208">
        <v>-4.8616760000000002E-2</v>
      </c>
      <c r="X208">
        <v>0.99843289999999996</v>
      </c>
      <c r="Y208">
        <v>0.14778089999999999</v>
      </c>
      <c r="Z208">
        <v>-1.7908380000000002E-2</v>
      </c>
      <c r="AA208">
        <v>0.98885800000000001</v>
      </c>
      <c r="AB208">
        <v>8</v>
      </c>
      <c r="AC208">
        <v>0.68969999999995901</v>
      </c>
      <c r="AD208">
        <v>-0.158877399999999</v>
      </c>
      <c r="AE208">
        <v>-0.106899999999996</v>
      </c>
      <c r="AF208">
        <v>0.10959341269002899</v>
      </c>
      <c r="AG208">
        <v>-0.158877399999999</v>
      </c>
      <c r="AH208">
        <v>0.65443748919355305</v>
      </c>
      <c r="AI208">
        <v>103.465137323718</v>
      </c>
      <c r="AJ208">
        <v>80.493345716653494</v>
      </c>
      <c r="AK208">
        <v>0.68230577573238305</v>
      </c>
      <c r="AL208">
        <v>92.786633658850704</v>
      </c>
      <c r="AM208">
        <v>91.590057823073806</v>
      </c>
      <c r="AN208">
        <v>0.99999999344477197</v>
      </c>
    </row>
    <row r="209" spans="1:40" x14ac:dyDescent="0.25">
      <c r="A209" t="str">
        <f>"20190305134914024"</f>
        <v>20190305134914024</v>
      </c>
      <c r="B209" t="str">
        <f>"1551764954011320"</f>
        <v>1551764954011320</v>
      </c>
      <c r="C209" t="s">
        <v>40</v>
      </c>
      <c r="D209">
        <v>4.0404</v>
      </c>
      <c r="E209">
        <v>0.56719710000000001</v>
      </c>
      <c r="F209" t="s">
        <v>41</v>
      </c>
      <c r="G209">
        <v>-469.02910000000003</v>
      </c>
      <c r="H209">
        <v>0.96268089999999995</v>
      </c>
      <c r="I209">
        <v>367.17489999999998</v>
      </c>
      <c r="J209">
        <v>-469.6703</v>
      </c>
      <c r="K209">
        <v>1.1087309999999999</v>
      </c>
      <c r="L209">
        <v>367.27420000000001</v>
      </c>
      <c r="M209">
        <v>0.99992590000000003</v>
      </c>
      <c r="N209">
        <v>-1.01604E-3</v>
      </c>
      <c r="O209">
        <v>1.213288E-2</v>
      </c>
      <c r="P209">
        <v>0.99793569999999998</v>
      </c>
      <c r="Q209">
        <v>-5.0387099999999997E-2</v>
      </c>
      <c r="R209">
        <v>3.9818390000000002E-2</v>
      </c>
      <c r="S209">
        <v>2.9917910000000001</v>
      </c>
      <c r="T209">
        <v>-0.6280789</v>
      </c>
      <c r="U209">
        <v>-0.42404170000000002</v>
      </c>
      <c r="V209">
        <v>-2.7711019999999999E-2</v>
      </c>
      <c r="W209">
        <v>-4.9370869999999997E-2</v>
      </c>
      <c r="X209">
        <v>0.99839599999999995</v>
      </c>
      <c r="Y209">
        <v>0.1488787</v>
      </c>
      <c r="Z209">
        <v>-1.79571E-2</v>
      </c>
      <c r="AA209">
        <v>0.98869240000000003</v>
      </c>
      <c r="AB209">
        <v>8</v>
      </c>
      <c r="AC209">
        <v>0.64119999999996902</v>
      </c>
      <c r="AD209">
        <v>-0.14605009999999899</v>
      </c>
      <c r="AE209">
        <v>-9.9300000000027894E-2</v>
      </c>
      <c r="AF209">
        <v>0.10190889639538001</v>
      </c>
      <c r="AG209">
        <v>-0.14605009999999899</v>
      </c>
      <c r="AH209">
        <v>0.60908747491902804</v>
      </c>
      <c r="AI209">
        <v>103.305844363723</v>
      </c>
      <c r="AJ209">
        <v>80.501591366962799</v>
      </c>
      <c r="AK209">
        <v>0.63458932151256098</v>
      </c>
      <c r="AL209">
        <v>92.8298929746868</v>
      </c>
      <c r="AM209">
        <v>91.589867115436107</v>
      </c>
      <c r="AN209">
        <v>0.99999997812499797</v>
      </c>
    </row>
    <row r="210" spans="1:40" x14ac:dyDescent="0.25">
      <c r="A210" t="str">
        <f>"20190305134914043"</f>
        <v>20190305134914043</v>
      </c>
      <c r="B210" t="str">
        <f>"1551764954030839"</f>
        <v>1551764954030839</v>
      </c>
      <c r="C210" t="s">
        <v>40</v>
      </c>
      <c r="D210">
        <v>4.0594130000000002</v>
      </c>
      <c r="E210">
        <v>0.56758719999999996</v>
      </c>
      <c r="F210" t="s">
        <v>41</v>
      </c>
      <c r="G210">
        <v>-468.95620000000002</v>
      </c>
      <c r="H210">
        <v>0.95866200000000001</v>
      </c>
      <c r="I210">
        <v>367.17239999999998</v>
      </c>
      <c r="J210">
        <v>-469.59690000000001</v>
      </c>
      <c r="K210">
        <v>1.1088260000000001</v>
      </c>
      <c r="L210">
        <v>367.27499999999998</v>
      </c>
      <c r="M210">
        <v>0.99992610000000004</v>
      </c>
      <c r="N210">
        <v>-1.1281729999999999E-3</v>
      </c>
      <c r="O210">
        <v>1.210815E-2</v>
      </c>
      <c r="P210">
        <v>0.99790749999999995</v>
      </c>
      <c r="Q210">
        <v>-5.0686679999999998E-2</v>
      </c>
      <c r="R210">
        <v>4.0145269999999997E-2</v>
      </c>
      <c r="S210">
        <v>2.9914860000000001</v>
      </c>
      <c r="T210">
        <v>-0.62878509999999999</v>
      </c>
      <c r="U210">
        <v>-0.42562870000000003</v>
      </c>
      <c r="V210">
        <v>-2.8063049999999999E-2</v>
      </c>
      <c r="W210">
        <v>-4.9558570000000003E-2</v>
      </c>
      <c r="X210">
        <v>0.99837690000000001</v>
      </c>
      <c r="Y210">
        <v>0.14936289999999999</v>
      </c>
      <c r="Z210">
        <v>-1.8030350000000001E-2</v>
      </c>
      <c r="AA210">
        <v>0.988618</v>
      </c>
      <c r="AB210">
        <v>8</v>
      </c>
      <c r="AC210">
        <v>0.64069999999998095</v>
      </c>
      <c r="AD210">
        <v>-0.15016399999999899</v>
      </c>
      <c r="AE210">
        <v>-0.102599999999995</v>
      </c>
      <c r="AF210">
        <v>0.10474046918254799</v>
      </c>
      <c r="AG210">
        <v>-0.15016399999999899</v>
      </c>
      <c r="AH210">
        <v>0.60690597372313204</v>
      </c>
      <c r="AI210">
        <v>103.70256263287401</v>
      </c>
      <c r="AJ210">
        <v>80.2082868563689</v>
      </c>
      <c r="AK210">
        <v>0.63392006887414698</v>
      </c>
      <c r="AL210">
        <v>92.840660481509303</v>
      </c>
      <c r="AM210">
        <v>91.610084389437404</v>
      </c>
      <c r="AN210">
        <v>1.00000001054467</v>
      </c>
    </row>
    <row r="211" spans="1:40" x14ac:dyDescent="0.25">
      <c r="A211" t="str">
        <f>"20190305134914057"</f>
        <v>20190305134914057</v>
      </c>
      <c r="B211" t="str">
        <f>"1551764954051336"</f>
        <v>1551764954051336</v>
      </c>
      <c r="C211" t="s">
        <v>40</v>
      </c>
      <c r="D211">
        <v>3.9676499999999999</v>
      </c>
      <c r="E211">
        <v>0.56776210000000005</v>
      </c>
      <c r="F211" t="s">
        <v>41</v>
      </c>
      <c r="G211">
        <v>-468.88010000000003</v>
      </c>
      <c r="H211">
        <v>0.95927260000000003</v>
      </c>
      <c r="I211">
        <v>367.1721</v>
      </c>
      <c r="J211">
        <v>-469.54390000000001</v>
      </c>
      <c r="K211">
        <v>1.108897</v>
      </c>
      <c r="L211">
        <v>367.27569999999997</v>
      </c>
      <c r="M211">
        <v>0.99992610000000004</v>
      </c>
      <c r="N211">
        <v>-1.24763E-3</v>
      </c>
      <c r="O211">
        <v>1.208948E-2</v>
      </c>
      <c r="P211">
        <v>0.99794510000000003</v>
      </c>
      <c r="Q211">
        <v>-5.0066279999999998E-2</v>
      </c>
      <c r="R211">
        <v>3.9989589999999998E-2</v>
      </c>
      <c r="S211">
        <v>2.9918209999999998</v>
      </c>
      <c r="T211">
        <v>-0.62423109999999904</v>
      </c>
      <c r="U211">
        <v>-0.42813109999999999</v>
      </c>
      <c r="V211">
        <v>-2.7925060000000002E-2</v>
      </c>
      <c r="W211">
        <v>-4.8818930000000003E-2</v>
      </c>
      <c r="X211">
        <v>0.9984172</v>
      </c>
      <c r="Y211">
        <v>0.15017169999999999</v>
      </c>
      <c r="Z211">
        <v>-1.7987429999999999E-2</v>
      </c>
      <c r="AA211">
        <v>0.98849629999999999</v>
      </c>
      <c r="AB211">
        <v>8</v>
      </c>
      <c r="AC211">
        <v>0.66379999999997996</v>
      </c>
      <c r="AD211">
        <v>-0.14962439999999999</v>
      </c>
      <c r="AE211">
        <v>-0.10359999999997099</v>
      </c>
      <c r="AF211">
        <v>0.106342864702359</v>
      </c>
      <c r="AG211">
        <v>-0.14962439999999999</v>
      </c>
      <c r="AH211">
        <v>0.63119211766859795</v>
      </c>
      <c r="AI211">
        <v>103.156991353392</v>
      </c>
      <c r="AJ211">
        <v>80.436653107714207</v>
      </c>
      <c r="AK211">
        <v>0.65734295109587504</v>
      </c>
      <c r="AL211">
        <v>92.798230896118795</v>
      </c>
      <c r="AM211">
        <v>91.602106876420393</v>
      </c>
      <c r="AN211">
        <v>1.0000000010790899</v>
      </c>
    </row>
    <row r="212" spans="1:40" x14ac:dyDescent="0.25">
      <c r="A212" t="str">
        <f>"20190305134914074"</f>
        <v>20190305134914074</v>
      </c>
      <c r="B212" t="str">
        <f>"1551764954061096"</f>
        <v>1551764954061096</v>
      </c>
      <c r="C212" t="s">
        <v>40</v>
      </c>
      <c r="D212">
        <v>4.0946939999999996</v>
      </c>
      <c r="E212">
        <v>0.56786300000000001</v>
      </c>
      <c r="F212" t="s">
        <v>41</v>
      </c>
      <c r="G212">
        <v>-468.80439999999999</v>
      </c>
      <c r="H212">
        <v>0.95609580000000005</v>
      </c>
      <c r="I212">
        <v>367.16890000000001</v>
      </c>
      <c r="J212">
        <v>-469.47379999999998</v>
      </c>
      <c r="K212">
        <v>1.108978</v>
      </c>
      <c r="L212">
        <v>367.2765</v>
      </c>
      <c r="M212">
        <v>0.99992630000000005</v>
      </c>
      <c r="N212">
        <v>-1.4138169999999999E-3</v>
      </c>
      <c r="O212">
        <v>1.2063549999999999E-2</v>
      </c>
      <c r="P212">
        <v>0.99806640000000002</v>
      </c>
      <c r="Q212">
        <v>-4.7504749999999998E-2</v>
      </c>
      <c r="R212">
        <v>4.0087579999999998E-2</v>
      </c>
      <c r="S212">
        <v>2.9923709999999999</v>
      </c>
      <c r="T212">
        <v>-0.61853359999999902</v>
      </c>
      <c r="U212">
        <v>-0.43005369999999998</v>
      </c>
      <c r="V212">
        <v>-2.8047240000000001E-2</v>
      </c>
      <c r="W212">
        <v>-4.609137E-2</v>
      </c>
      <c r="X212">
        <v>0.99854339999999997</v>
      </c>
      <c r="Y212">
        <v>0.1507917</v>
      </c>
      <c r="Z212">
        <v>-1.7892379999999999E-2</v>
      </c>
      <c r="AA212">
        <v>0.98840360000000005</v>
      </c>
      <c r="AB212">
        <v>8</v>
      </c>
      <c r="AC212">
        <v>0.669399999999996</v>
      </c>
      <c r="AD212">
        <v>-0.152882199999999</v>
      </c>
      <c r="AE212">
        <v>-0.10759999999999</v>
      </c>
      <c r="AF212">
        <v>0.11007076956062101</v>
      </c>
      <c r="AG212">
        <v>-0.152882199999999</v>
      </c>
      <c r="AH212">
        <v>0.63572847899313201</v>
      </c>
      <c r="AI212">
        <v>103.330816774041</v>
      </c>
      <c r="AJ212">
        <v>80.177125654937697</v>
      </c>
      <c r="AK212">
        <v>0.66305296952161197</v>
      </c>
      <c r="AL212">
        <v>92.641776929575002</v>
      </c>
      <c r="AM212">
        <v>91.608909608501605</v>
      </c>
      <c r="AN212">
        <v>0.99999999187182698</v>
      </c>
    </row>
    <row r="213" spans="1:40" x14ac:dyDescent="0.25">
      <c r="A213" t="str">
        <f>"20190305134914088"</f>
        <v>20190305134914088</v>
      </c>
      <c r="B213" t="str">
        <f>"1551764954081592"</f>
        <v>1551764954081592</v>
      </c>
      <c r="C213" t="s">
        <v>40</v>
      </c>
      <c r="D213">
        <v>4.0545669999999996</v>
      </c>
      <c r="E213">
        <v>0.56805830000000002</v>
      </c>
      <c r="F213" t="s">
        <v>41</v>
      </c>
      <c r="G213">
        <v>-468.72590000000002</v>
      </c>
      <c r="H213">
        <v>0.95646580000000003</v>
      </c>
      <c r="I213">
        <v>367.16899999999998</v>
      </c>
      <c r="J213">
        <v>-469.42039999999997</v>
      </c>
      <c r="K213">
        <v>1.10902099999999</v>
      </c>
      <c r="L213">
        <v>367.27710000000002</v>
      </c>
      <c r="M213">
        <v>0.99992630000000005</v>
      </c>
      <c r="N213">
        <v>-1.5327439999999999E-3</v>
      </c>
      <c r="O213">
        <v>1.20429E-2</v>
      </c>
      <c r="P213">
        <v>0.99809530000000002</v>
      </c>
      <c r="Q213">
        <v>-4.6869699999999903E-2</v>
      </c>
      <c r="R213">
        <v>4.0117920000000001E-2</v>
      </c>
      <c r="S213">
        <v>2.9939580000000001</v>
      </c>
      <c r="T213">
        <v>-0.61055059999999906</v>
      </c>
      <c r="U213">
        <v>-0.43008420000000003</v>
      </c>
      <c r="V213">
        <v>-2.8097730000000001E-2</v>
      </c>
      <c r="W213">
        <v>-4.5337540000000003E-2</v>
      </c>
      <c r="X213">
        <v>0.99857649999999998</v>
      </c>
      <c r="Y213">
        <v>0.1507956</v>
      </c>
      <c r="Z213">
        <v>-1.7662110000000002E-2</v>
      </c>
      <c r="AA213">
        <v>0.98840720000000004</v>
      </c>
      <c r="AB213">
        <v>9</v>
      </c>
      <c r="AC213">
        <v>0.69449999999994805</v>
      </c>
      <c r="AD213">
        <v>-0.152555199999999</v>
      </c>
      <c r="AE213">
        <v>-0.108099999999979</v>
      </c>
      <c r="AF213">
        <v>0.111216552469596</v>
      </c>
      <c r="AG213">
        <v>-0.152555199999999</v>
      </c>
      <c r="AH213">
        <v>0.6619627301205</v>
      </c>
      <c r="AI213">
        <v>102.80431039760001</v>
      </c>
      <c r="AJ213">
        <v>80.462790666023906</v>
      </c>
      <c r="AK213">
        <v>0.68835809478704302</v>
      </c>
      <c r="AL213">
        <v>92.598540426200898</v>
      </c>
      <c r="AM213">
        <v>91.6117510057571</v>
      </c>
      <c r="AN213">
        <v>1.0000000006583201</v>
      </c>
    </row>
    <row r="214" spans="1:40" x14ac:dyDescent="0.25">
      <c r="A214" t="str">
        <f>"20190305134914109"</f>
        <v>20190305134914109</v>
      </c>
      <c r="B214" t="str">
        <f>"1551764954101112"</f>
        <v>1551764954101112</v>
      </c>
      <c r="C214" t="s">
        <v>40</v>
      </c>
      <c r="D214">
        <v>3.9730310000000002</v>
      </c>
      <c r="E214">
        <v>0.56824019999999897</v>
      </c>
      <c r="F214" t="s">
        <v>41</v>
      </c>
      <c r="G214">
        <v>-468.72120000000001</v>
      </c>
      <c r="H214">
        <v>0.96722220000000003</v>
      </c>
      <c r="I214">
        <v>367.17619999999999</v>
      </c>
      <c r="J214">
        <v>-469.33819999999997</v>
      </c>
      <c r="K214">
        <v>1.1090709999999999</v>
      </c>
      <c r="L214">
        <v>367.27800000000002</v>
      </c>
      <c r="M214">
        <v>0.99992650000000005</v>
      </c>
      <c r="N214">
        <v>-1.696714E-3</v>
      </c>
      <c r="O214">
        <v>1.2008069999999999E-2</v>
      </c>
      <c r="P214">
        <v>0.99808790000000003</v>
      </c>
      <c r="Q214">
        <v>-4.6363960000000003E-2</v>
      </c>
      <c r="R214">
        <v>4.0877669999999998E-2</v>
      </c>
      <c r="S214">
        <v>2.9945369999999998</v>
      </c>
      <c r="T214">
        <v>-0.60728280000000001</v>
      </c>
      <c r="U214">
        <v>-0.43170170000000002</v>
      </c>
      <c r="V214">
        <v>-2.8892350000000001E-2</v>
      </c>
      <c r="W214">
        <v>-4.4668039999999999E-2</v>
      </c>
      <c r="X214">
        <v>0.99858400000000003</v>
      </c>
      <c r="Y214">
        <v>0.15128229999999901</v>
      </c>
      <c r="Z214">
        <v>-1.7618760000000001E-2</v>
      </c>
      <c r="AA214">
        <v>0.98833360000000003</v>
      </c>
      <c r="AB214">
        <v>9</v>
      </c>
      <c r="AC214">
        <v>0.61699999999996102</v>
      </c>
      <c r="AD214">
        <v>-0.141848799999999</v>
      </c>
      <c r="AE214">
        <v>-0.101800000000025</v>
      </c>
      <c r="AF214">
        <v>0.103857783280581</v>
      </c>
      <c r="AG214">
        <v>-0.141848799999999</v>
      </c>
      <c r="AH214">
        <v>0.58560171991093202</v>
      </c>
      <c r="AI214">
        <v>103.414741787529</v>
      </c>
      <c r="AJ214">
        <v>79.943037677446497</v>
      </c>
      <c r="AK214">
        <v>0.61142202738537099</v>
      </c>
      <c r="AL214">
        <v>92.560141991234104</v>
      </c>
      <c r="AM214">
        <v>91.657294741554196</v>
      </c>
      <c r="AN214">
        <v>1.0000000033709799</v>
      </c>
    </row>
    <row r="215" spans="1:40" x14ac:dyDescent="0.25">
      <c r="A215" t="str">
        <f>"20190305134914122"</f>
        <v>20190305134914122</v>
      </c>
      <c r="B215" t="str">
        <f>"1551764954110871"</f>
        <v>1551764954110871</v>
      </c>
      <c r="C215" t="s">
        <v>40</v>
      </c>
      <c r="D215">
        <v>4.1023949999999996</v>
      </c>
      <c r="E215">
        <v>0.56830139999999996</v>
      </c>
      <c r="F215" t="s">
        <v>41</v>
      </c>
      <c r="G215">
        <v>-468.64080000000001</v>
      </c>
      <c r="H215">
        <v>0.96891749999999999</v>
      </c>
      <c r="I215">
        <v>367.17750000000001</v>
      </c>
      <c r="J215">
        <v>-469.28339999999997</v>
      </c>
      <c r="K215">
        <v>1.109084</v>
      </c>
      <c r="L215">
        <v>367.27870000000001</v>
      </c>
      <c r="M215">
        <v>0.9999266</v>
      </c>
      <c r="N215">
        <v>-1.793149E-3</v>
      </c>
      <c r="O215">
        <v>1.1984669999999999E-2</v>
      </c>
      <c r="P215">
        <v>0.99809840000000005</v>
      </c>
      <c r="Q215">
        <v>-4.6069949999999998E-2</v>
      </c>
      <c r="R215">
        <v>4.0953639999999999E-2</v>
      </c>
      <c r="S215">
        <v>2.995422</v>
      </c>
      <c r="T215">
        <v>-0.6020875</v>
      </c>
      <c r="U215">
        <v>-0.4308167</v>
      </c>
      <c r="V215">
        <v>-2.8991889999999999E-2</v>
      </c>
      <c r="W215">
        <v>-4.427768E-2</v>
      </c>
      <c r="X215">
        <v>0.99859849999999994</v>
      </c>
      <c r="Y215">
        <v>0.15099370000000001</v>
      </c>
      <c r="Z215">
        <v>-1.7440049999999999E-2</v>
      </c>
      <c r="AA215">
        <v>0.98838079999999995</v>
      </c>
      <c r="AB215">
        <v>9</v>
      </c>
      <c r="AC215">
        <v>0.64259999999995898</v>
      </c>
      <c r="AD215">
        <v>-0.1401665</v>
      </c>
      <c r="AE215">
        <v>-0.10120000000000499</v>
      </c>
      <c r="AF215">
        <v>0.10406280690370499</v>
      </c>
      <c r="AG215">
        <v>-0.1401665</v>
      </c>
      <c r="AH215">
        <v>0.61288672906771002</v>
      </c>
      <c r="AI215">
        <v>102.706115176517</v>
      </c>
      <c r="AJ215">
        <v>80.363579350654007</v>
      </c>
      <c r="AK215">
        <v>0.63726435501308598</v>
      </c>
      <c r="AL215">
        <v>92.537753859582295</v>
      </c>
      <c r="AM215">
        <v>91.662977123246904</v>
      </c>
      <c r="AN215">
        <v>1.0000000034170999</v>
      </c>
    </row>
    <row r="216" spans="1:40" x14ac:dyDescent="0.25">
      <c r="A216" t="str">
        <f>"20190305134914137"</f>
        <v>20190305134914137</v>
      </c>
      <c r="B216" t="str">
        <f>"1551764954121608"</f>
        <v>1551764954121608</v>
      </c>
      <c r="C216" t="s">
        <v>40</v>
      </c>
      <c r="D216">
        <v>4.1069630000000004</v>
      </c>
      <c r="E216">
        <v>0.56839069999999903</v>
      </c>
      <c r="F216" t="s">
        <v>41</v>
      </c>
      <c r="G216">
        <v>-468.56189999999998</v>
      </c>
      <c r="H216">
        <v>0.96441169999999998</v>
      </c>
      <c r="I216">
        <v>367.17469999999997</v>
      </c>
      <c r="J216">
        <v>-469.226</v>
      </c>
      <c r="K216">
        <v>1.1090949999999999</v>
      </c>
      <c r="L216">
        <v>367.27929999999998</v>
      </c>
      <c r="M216">
        <v>0.9999268</v>
      </c>
      <c r="N216">
        <v>-1.8853050000000001E-3</v>
      </c>
      <c r="O216">
        <v>1.1959249999999999E-2</v>
      </c>
      <c r="P216">
        <v>0.99806870000000003</v>
      </c>
      <c r="Q216">
        <v>-4.6335939999999999E-2</v>
      </c>
      <c r="R216">
        <v>4.1376009999999998E-2</v>
      </c>
      <c r="S216">
        <v>2.9956360000000002</v>
      </c>
      <c r="T216">
        <v>-0.60068690000000002</v>
      </c>
      <c r="U216">
        <v>-0.43090820000000002</v>
      </c>
      <c r="V216">
        <v>-2.9439259999999998E-2</v>
      </c>
      <c r="W216">
        <v>-4.4451619999999997E-2</v>
      </c>
      <c r="X216">
        <v>0.99857770000000001</v>
      </c>
      <c r="Y216">
        <v>0.15100259999999999</v>
      </c>
      <c r="Z216">
        <v>-1.7401170000000001E-2</v>
      </c>
      <c r="AA216">
        <v>0.98838020000000004</v>
      </c>
      <c r="AB216">
        <v>9</v>
      </c>
      <c r="AC216">
        <v>0.66410000000001901</v>
      </c>
      <c r="AD216">
        <v>-0.14468329999999999</v>
      </c>
      <c r="AE216">
        <v>-0.104600000000004</v>
      </c>
      <c r="AF216">
        <v>0.10755327704717101</v>
      </c>
      <c r="AG216">
        <v>-0.14468329999999999</v>
      </c>
      <c r="AH216">
        <v>0.63346238146751799</v>
      </c>
      <c r="AI216">
        <v>102.690100404837</v>
      </c>
      <c r="AJ216">
        <v>80.363851506581199</v>
      </c>
      <c r="AK216">
        <v>0.65861639323431298</v>
      </c>
      <c r="AL216">
        <v>92.547729668006397</v>
      </c>
      <c r="AM216">
        <v>91.688658710978899</v>
      </c>
      <c r="AN216">
        <v>1.0000000197436301</v>
      </c>
    </row>
    <row r="217" spans="1:40" x14ac:dyDescent="0.25">
      <c r="A217" t="str">
        <f>"20190305134914153"</f>
        <v>20190305134914153</v>
      </c>
      <c r="B217" t="str">
        <f>"1551764954141128"</f>
        <v>1551764954141128</v>
      </c>
      <c r="C217" t="s">
        <v>40</v>
      </c>
      <c r="D217">
        <v>3.955838</v>
      </c>
      <c r="E217">
        <v>0.56850749999999906</v>
      </c>
      <c r="F217" t="s">
        <v>41</v>
      </c>
      <c r="G217">
        <v>-468.48169999999999</v>
      </c>
      <c r="H217">
        <v>0.95977179999999995</v>
      </c>
      <c r="I217">
        <v>367.17230000000001</v>
      </c>
      <c r="J217">
        <v>-469.15820000000002</v>
      </c>
      <c r="K217">
        <v>1.1090990000000001</v>
      </c>
      <c r="L217">
        <v>367.2801</v>
      </c>
      <c r="M217">
        <v>0.99992700000000001</v>
      </c>
      <c r="N217">
        <v>-1.9785050000000002E-3</v>
      </c>
      <c r="O217">
        <v>1.192935E-2</v>
      </c>
      <c r="P217">
        <v>0.99803569999999997</v>
      </c>
      <c r="Q217">
        <v>-4.6557830000000001E-2</v>
      </c>
      <c r="R217">
        <v>4.1921989999999999E-2</v>
      </c>
      <c r="S217">
        <v>2.9957280000000002</v>
      </c>
      <c r="T217">
        <v>-0.60113240000000001</v>
      </c>
      <c r="U217">
        <v>-0.43029790000000001</v>
      </c>
      <c r="V217">
        <v>-3.0015710000000001E-2</v>
      </c>
      <c r="W217">
        <v>-4.4580410000000001E-2</v>
      </c>
      <c r="X217">
        <v>0.99855479999999996</v>
      </c>
      <c r="Y217">
        <v>0.15077079999999901</v>
      </c>
      <c r="Z217">
        <v>-1.739052E-2</v>
      </c>
      <c r="AA217">
        <v>0.98841579999999996</v>
      </c>
      <c r="AB217">
        <v>9</v>
      </c>
      <c r="AC217">
        <v>0.67650000000003196</v>
      </c>
      <c r="AD217">
        <v>-0.14932719999999999</v>
      </c>
      <c r="AE217">
        <v>-0.107799999999997</v>
      </c>
      <c r="AF217">
        <v>0.110606807232937</v>
      </c>
      <c r="AG217">
        <v>-0.14932719999999999</v>
      </c>
      <c r="AH217">
        <v>0.64453908762147505</v>
      </c>
      <c r="AI217">
        <v>102.862551839557</v>
      </c>
      <c r="AJ217">
        <v>80.262543244553797</v>
      </c>
      <c r="AK217">
        <v>0.67079289943918396</v>
      </c>
      <c r="AL217">
        <v>92.555116107420403</v>
      </c>
      <c r="AM217">
        <v>91.721744078657494</v>
      </c>
      <c r="AN217">
        <v>1.0000000222028</v>
      </c>
    </row>
    <row r="218" spans="1:40" x14ac:dyDescent="0.25">
      <c r="A218" t="str">
        <f>"20190305134914166"</f>
        <v>20190305134914166</v>
      </c>
      <c r="B218" t="str">
        <f>"1551764954161624"</f>
        <v>1551764954161624</v>
      </c>
      <c r="C218" t="s">
        <v>40</v>
      </c>
      <c r="D218">
        <v>3.9397630000000001</v>
      </c>
      <c r="E218">
        <v>0.56854159999999998</v>
      </c>
      <c r="F218" t="s">
        <v>41</v>
      </c>
      <c r="G218">
        <v>-468.39929999999998</v>
      </c>
      <c r="H218">
        <v>0.95715550000000005</v>
      </c>
      <c r="I218">
        <v>367.17099999999999</v>
      </c>
      <c r="J218">
        <v>-469.10250000000002</v>
      </c>
      <c r="K218">
        <v>1.1090960000000001</v>
      </c>
      <c r="L218">
        <v>367.2808</v>
      </c>
      <c r="M218">
        <v>0.99992709999999996</v>
      </c>
      <c r="N218">
        <v>-2.0388200000000002E-3</v>
      </c>
      <c r="O218">
        <v>1.190533E-2</v>
      </c>
      <c r="P218">
        <v>0.9980232</v>
      </c>
      <c r="Q218">
        <v>-4.6516189999999999E-2</v>
      </c>
      <c r="R218">
        <v>4.2263170000000003E-2</v>
      </c>
      <c r="S218">
        <v>2.9959720000000001</v>
      </c>
      <c r="T218">
        <v>-0.59988209999999997</v>
      </c>
      <c r="U218">
        <v>-0.42987059999999999</v>
      </c>
      <c r="V218">
        <v>-3.0381060000000001E-2</v>
      </c>
      <c r="W218">
        <v>-4.4478480000000001E-2</v>
      </c>
      <c r="X218">
        <v>0.99854830000000006</v>
      </c>
      <c r="Y218">
        <v>0.150614</v>
      </c>
      <c r="Z218">
        <v>-1.7337680000000001E-2</v>
      </c>
      <c r="AA218">
        <v>0.9884406</v>
      </c>
      <c r="AB218">
        <v>9</v>
      </c>
      <c r="AC218">
        <v>0.70320000000003802</v>
      </c>
      <c r="AD218">
        <v>-0.15194049999999901</v>
      </c>
      <c r="AE218">
        <v>-0.109800000000006</v>
      </c>
      <c r="AF218">
        <v>0.113013459601937</v>
      </c>
      <c r="AG218">
        <v>-0.15194049999999901</v>
      </c>
      <c r="AH218">
        <v>0.67125061736229596</v>
      </c>
      <c r="AI218">
        <v>102.582885273652</v>
      </c>
      <c r="AJ218">
        <v>80.4431635466931</v>
      </c>
      <c r="AK218">
        <v>0.697449172987331</v>
      </c>
      <c r="AL218">
        <v>92.549270141024806</v>
      </c>
      <c r="AM218">
        <v>91.742699569401594</v>
      </c>
      <c r="AN218">
        <v>1.0000000257113599</v>
      </c>
    </row>
    <row r="219" spans="1:40" x14ac:dyDescent="0.25">
      <c r="A219" t="str">
        <f>"20190305134914180"</f>
        <v>20190305134914180</v>
      </c>
      <c r="B219" t="str">
        <f>"1551764954171384"</f>
        <v>1551764954171384</v>
      </c>
      <c r="C219" t="s">
        <v>40</v>
      </c>
      <c r="D219">
        <v>4.0916790000000001</v>
      </c>
      <c r="E219">
        <v>0.56856909999999905</v>
      </c>
      <c r="F219" t="s">
        <v>41</v>
      </c>
      <c r="G219">
        <v>-468.3947</v>
      </c>
      <c r="H219">
        <v>0.96772340000000001</v>
      </c>
      <c r="I219">
        <v>367.17899999999997</v>
      </c>
      <c r="J219">
        <v>-469.04610000000002</v>
      </c>
      <c r="K219">
        <v>1.109091</v>
      </c>
      <c r="L219">
        <v>367.28140000000002</v>
      </c>
      <c r="M219">
        <v>0.99992729999999996</v>
      </c>
      <c r="N219">
        <v>-2.0845569999999999E-3</v>
      </c>
      <c r="O219">
        <v>1.1880480000000001E-2</v>
      </c>
      <c r="P219">
        <v>0.99800789999999995</v>
      </c>
      <c r="Q219">
        <v>-4.6776199999999997E-2</v>
      </c>
      <c r="R219">
        <v>4.2334440000000001E-2</v>
      </c>
      <c r="S219">
        <v>2.9962770000000001</v>
      </c>
      <c r="T219">
        <v>-0.5984874</v>
      </c>
      <c r="U219">
        <v>-0.42941279999999998</v>
      </c>
      <c r="V219">
        <v>-3.0477899999999999E-2</v>
      </c>
      <c r="W219">
        <v>-4.4692780000000001E-2</v>
      </c>
      <c r="X219">
        <v>0.99853579999999997</v>
      </c>
      <c r="Y219">
        <v>0.15044560000000001</v>
      </c>
      <c r="Z219">
        <v>-1.7278290000000002E-2</v>
      </c>
      <c r="AA219">
        <v>0.98846730000000005</v>
      </c>
      <c r="AB219">
        <v>9</v>
      </c>
      <c r="AC219">
        <v>0.65140000000002296</v>
      </c>
      <c r="AD219">
        <v>-0.14136760000000001</v>
      </c>
      <c r="AE219">
        <v>-0.102399999999988</v>
      </c>
      <c r="AF219">
        <v>0.105292251522841</v>
      </c>
      <c r="AG219">
        <v>-0.14136760000000001</v>
      </c>
      <c r="AH219">
        <v>0.62156868614198801</v>
      </c>
      <c r="AI219">
        <v>102.63904968750499</v>
      </c>
      <c r="AJ219">
        <v>80.385502827618794</v>
      </c>
      <c r="AK219">
        <v>0.64607962988534695</v>
      </c>
      <c r="AL219">
        <v>92.5615607980383</v>
      </c>
      <c r="AM219">
        <v>91.748272875461097</v>
      </c>
      <c r="AN219">
        <v>1.0000000454270801</v>
      </c>
    </row>
    <row r="220" spans="1:40" x14ac:dyDescent="0.25">
      <c r="A220" t="str">
        <f>"20190305134914200"</f>
        <v>20190305134914200</v>
      </c>
      <c r="B220" t="str">
        <f>"1551764954190903"</f>
        <v>1551764954190903</v>
      </c>
      <c r="C220" t="s">
        <v>40</v>
      </c>
      <c r="D220">
        <v>4.127853</v>
      </c>
      <c r="E220">
        <v>0.56865290000000002</v>
      </c>
      <c r="F220" t="s">
        <v>41</v>
      </c>
      <c r="G220">
        <v>-468.31200000000001</v>
      </c>
      <c r="H220">
        <v>0.96243820000000002</v>
      </c>
      <c r="I220">
        <v>367.17599999999999</v>
      </c>
      <c r="J220">
        <v>-468.96120000000002</v>
      </c>
      <c r="K220">
        <v>1.109076</v>
      </c>
      <c r="L220">
        <v>367.2824</v>
      </c>
      <c r="M220">
        <v>0.99992760000000003</v>
      </c>
      <c r="N220">
        <v>-2.1348349999999999E-3</v>
      </c>
      <c r="O220">
        <v>1.1843050000000001E-2</v>
      </c>
      <c r="P220">
        <v>0.99797270000000005</v>
      </c>
      <c r="Q220">
        <v>-4.699101E-2</v>
      </c>
      <c r="R220">
        <v>4.2921229999999998E-2</v>
      </c>
      <c r="S220">
        <v>2.9961850000000001</v>
      </c>
      <c r="T220">
        <v>-0.59859050000000003</v>
      </c>
      <c r="U220">
        <v>-0.42926029999999998</v>
      </c>
      <c r="V220">
        <v>-3.1102350000000001E-2</v>
      </c>
      <c r="W220">
        <v>-4.4857330000000001E-2</v>
      </c>
      <c r="X220">
        <v>0.99850910000000004</v>
      </c>
      <c r="Y220">
        <v>0.150364</v>
      </c>
      <c r="Z220">
        <v>-1.726958E-2</v>
      </c>
      <c r="AA220">
        <v>0.98847989999999997</v>
      </c>
      <c r="AB220">
        <v>9</v>
      </c>
      <c r="AC220">
        <v>0.64920000000006395</v>
      </c>
      <c r="AD220">
        <v>-0.14663780000000001</v>
      </c>
      <c r="AE220">
        <v>-0.106400000000007</v>
      </c>
      <c r="AF220">
        <v>0.108681262439236</v>
      </c>
      <c r="AG220">
        <v>-0.14663780000000001</v>
      </c>
      <c r="AH220">
        <v>0.61722757128174799</v>
      </c>
      <c r="AI220">
        <v>103.168912327874</v>
      </c>
      <c r="AJ220">
        <v>80.013739982386596</v>
      </c>
      <c r="AK220">
        <v>0.64364907825972395</v>
      </c>
      <c r="AL220">
        <v>92.570998452641604</v>
      </c>
      <c r="AM220">
        <v>91.784117326165202</v>
      </c>
      <c r="AN220">
        <v>0.99999997950652997</v>
      </c>
    </row>
    <row r="221" spans="1:40" x14ac:dyDescent="0.25">
      <c r="A221" t="str">
        <f>"20190305134914214"</f>
        <v>20190305134914214</v>
      </c>
      <c r="B221" t="str">
        <f>"1551764954201640"</f>
        <v>1551764954201640</v>
      </c>
      <c r="C221" t="s">
        <v>40</v>
      </c>
      <c r="D221">
        <v>4.1197970000000002</v>
      </c>
      <c r="E221">
        <v>0.56870229999999999</v>
      </c>
      <c r="F221" t="s">
        <v>41</v>
      </c>
      <c r="G221">
        <v>-468.22570000000002</v>
      </c>
      <c r="H221">
        <v>0.96229980000000004</v>
      </c>
      <c r="I221">
        <v>367.1773</v>
      </c>
      <c r="J221">
        <v>-468.89940000000001</v>
      </c>
      <c r="K221">
        <v>1.109067</v>
      </c>
      <c r="L221">
        <v>367.28309999999999</v>
      </c>
      <c r="M221">
        <v>0.99992789999999998</v>
      </c>
      <c r="N221">
        <v>-2.1605119999999998E-3</v>
      </c>
      <c r="O221">
        <v>1.1815839999999999E-2</v>
      </c>
      <c r="P221">
        <v>0.99794939999999999</v>
      </c>
      <c r="Q221">
        <v>-4.723952E-2</v>
      </c>
      <c r="R221">
        <v>4.3190140000000002E-2</v>
      </c>
      <c r="S221">
        <v>2.9963380000000002</v>
      </c>
      <c r="T221">
        <v>-0.59788200000000002</v>
      </c>
      <c r="U221">
        <v>-0.42864989999999997</v>
      </c>
      <c r="V221">
        <v>-3.1398179999999998E-2</v>
      </c>
      <c r="W221">
        <v>-4.5080179999999997E-2</v>
      </c>
      <c r="X221">
        <v>0.99848979999999998</v>
      </c>
      <c r="Y221">
        <v>0.15014479999999999</v>
      </c>
      <c r="Z221">
        <v>-1.722365E-2</v>
      </c>
      <c r="AA221">
        <v>0.988514</v>
      </c>
      <c r="AB221">
        <v>9</v>
      </c>
      <c r="AC221">
        <v>0.67369999999999597</v>
      </c>
      <c r="AD221">
        <v>-0.14676719999999999</v>
      </c>
      <c r="AE221">
        <v>-0.105799999999987</v>
      </c>
      <c r="AF221">
        <v>0.10871745528439899</v>
      </c>
      <c r="AG221">
        <v>-0.14676719999999999</v>
      </c>
      <c r="AH221">
        <v>0.64263755776865705</v>
      </c>
      <c r="AI221">
        <v>102.690359268796</v>
      </c>
      <c r="AJ221">
        <v>80.397967566519299</v>
      </c>
      <c r="AK221">
        <v>0.66808916076689895</v>
      </c>
      <c r="AL221">
        <v>92.583779759923303</v>
      </c>
      <c r="AM221">
        <v>91.801110624291596</v>
      </c>
      <c r="AN221">
        <v>0.99999997452009204</v>
      </c>
    </row>
    <row r="222" spans="1:40" x14ac:dyDescent="0.25">
      <c r="A222" t="str">
        <f>"20190305134914233"</f>
        <v>20190305134914233</v>
      </c>
      <c r="B222" t="str">
        <f>"1551764954221160"</f>
        <v>1551764954221160</v>
      </c>
      <c r="C222" t="s">
        <v>40</v>
      </c>
      <c r="D222">
        <v>4.1236800000000002</v>
      </c>
      <c r="E222">
        <v>0.56880799999999998</v>
      </c>
      <c r="F222" t="s">
        <v>41</v>
      </c>
      <c r="G222">
        <v>-468.14</v>
      </c>
      <c r="H222">
        <v>0.95754189999999995</v>
      </c>
      <c r="I222">
        <v>367.17430000000002</v>
      </c>
      <c r="J222">
        <v>-468.81599999999997</v>
      </c>
      <c r="K222">
        <v>1.109043</v>
      </c>
      <c r="L222">
        <v>367.28410000000002</v>
      </c>
      <c r="M222">
        <v>0.9999287</v>
      </c>
      <c r="N222">
        <v>-2.16942E-3</v>
      </c>
      <c r="O222">
        <v>1.1743770000000001E-2</v>
      </c>
      <c r="P222">
        <v>0.99787099999999995</v>
      </c>
      <c r="Q222">
        <v>-4.8342070000000001E-2</v>
      </c>
      <c r="R222">
        <v>4.3778959999999999E-2</v>
      </c>
      <c r="S222">
        <v>2.9963989999999998</v>
      </c>
      <c r="T222">
        <v>-0.59782460000000004</v>
      </c>
      <c r="U222">
        <v>-0.42858889999999999</v>
      </c>
      <c r="V222">
        <v>-3.2060279999999997E-2</v>
      </c>
      <c r="W222">
        <v>-4.6174020000000003E-2</v>
      </c>
      <c r="X222">
        <v>0.99841880000000005</v>
      </c>
      <c r="Y222">
        <v>0.15005479999999999</v>
      </c>
      <c r="Z222">
        <v>-1.719934E-2</v>
      </c>
      <c r="AA222">
        <v>0.98852810000000002</v>
      </c>
      <c r="AB222">
        <v>10</v>
      </c>
      <c r="AC222">
        <v>0.67599999999998694</v>
      </c>
      <c r="AD222">
        <v>-0.1515011</v>
      </c>
      <c r="AE222">
        <v>-0.109800000000006</v>
      </c>
      <c r="AF222">
        <v>0.112238713980398</v>
      </c>
      <c r="AG222">
        <v>-0.1515011</v>
      </c>
      <c r="AH222">
        <v>0.64318878416872804</v>
      </c>
      <c r="AI222">
        <v>103.06374595685099</v>
      </c>
      <c r="AJ222">
        <v>80.1013571329798</v>
      </c>
      <c r="AK222">
        <v>0.67025511881494104</v>
      </c>
      <c r="AL222">
        <v>92.646517448948202</v>
      </c>
      <c r="AM222">
        <v>91.839195899796493</v>
      </c>
      <c r="AN222">
        <v>1.0000000009350301</v>
      </c>
    </row>
    <row r="223" spans="1:40" x14ac:dyDescent="0.25">
      <c r="A223" t="str">
        <f>"20190305134914254"</f>
        <v>20190305134914254</v>
      </c>
      <c r="B223" t="str">
        <f>"1551764954240680"</f>
        <v>1551764954240680</v>
      </c>
      <c r="C223" t="s">
        <v>40</v>
      </c>
      <c r="D223">
        <v>4.1260969999999997</v>
      </c>
      <c r="E223">
        <v>0.56893689999999997</v>
      </c>
      <c r="F223" t="s">
        <v>41</v>
      </c>
      <c r="G223">
        <v>-468.05110000000002</v>
      </c>
      <c r="H223">
        <v>0.95584939999999996</v>
      </c>
      <c r="I223">
        <v>367.17469999999997</v>
      </c>
      <c r="J223">
        <v>-468.72160000000002</v>
      </c>
      <c r="K223">
        <v>1.108976</v>
      </c>
      <c r="L223">
        <v>367.28519999999997</v>
      </c>
      <c r="M223">
        <v>0.99993189999999998</v>
      </c>
      <c r="N223">
        <v>-2.0952280000000002E-3</v>
      </c>
      <c r="O223">
        <v>1.149028E-2</v>
      </c>
      <c r="P223">
        <v>0.99780230000000003</v>
      </c>
      <c r="Q223">
        <v>-4.9196759999999999E-2</v>
      </c>
      <c r="R223">
        <v>4.4388810000000001E-2</v>
      </c>
      <c r="S223">
        <v>2.996124</v>
      </c>
      <c r="T223">
        <v>-0.60010450000000004</v>
      </c>
      <c r="U223">
        <v>-0.42807010000000001</v>
      </c>
      <c r="V223">
        <v>-3.292436E-2</v>
      </c>
      <c r="W223">
        <v>-4.7102529999999997E-2</v>
      </c>
      <c r="X223">
        <v>0.99834730000000005</v>
      </c>
      <c r="Y223">
        <v>0.14963870000000001</v>
      </c>
      <c r="Z223">
        <v>-1.716908E-2</v>
      </c>
      <c r="AA223">
        <v>0.98859169999999996</v>
      </c>
      <c r="AB223">
        <v>10</v>
      </c>
      <c r="AC223">
        <v>0.67050000000000398</v>
      </c>
      <c r="AD223">
        <v>-0.153126599999999</v>
      </c>
      <c r="AE223">
        <v>-0.110500000000001</v>
      </c>
      <c r="AF223">
        <v>0.11248530544551499</v>
      </c>
      <c r="AG223">
        <v>-0.153126599999999</v>
      </c>
      <c r="AH223">
        <v>0.63684888258949401</v>
      </c>
      <c r="AI223">
        <v>103.321112199003</v>
      </c>
      <c r="AJ223">
        <v>79.983277192874993</v>
      </c>
      <c r="AK223">
        <v>0.66458799178454697</v>
      </c>
      <c r="AL223">
        <v>92.699775119393806</v>
      </c>
      <c r="AM223">
        <v>91.888865148470501</v>
      </c>
      <c r="AN223">
        <v>0.99999999661554995</v>
      </c>
    </row>
    <row r="224" spans="1:40" x14ac:dyDescent="0.25">
      <c r="A224" t="str">
        <f>"20190305134914267"</f>
        <v>20190305134914267</v>
      </c>
      <c r="B224" t="str">
        <f>"1551764954261176"</f>
        <v>1551764954261176</v>
      </c>
      <c r="C224" t="s">
        <v>40</v>
      </c>
      <c r="D224">
        <v>4.114719</v>
      </c>
      <c r="E224">
        <v>0.5690364</v>
      </c>
      <c r="F224" t="s">
        <v>41</v>
      </c>
      <c r="G224">
        <v>-467.96030000000002</v>
      </c>
      <c r="H224">
        <v>0.95603559999999999</v>
      </c>
      <c r="I224">
        <v>367.17610000000002</v>
      </c>
      <c r="J224">
        <v>-468.66160000000002</v>
      </c>
      <c r="K224">
        <v>1.1088789999999999</v>
      </c>
      <c r="L224">
        <v>367.28590000000003</v>
      </c>
      <c r="M224">
        <v>0.99993259999999995</v>
      </c>
      <c r="N224">
        <v>-2.0714079999999998E-3</v>
      </c>
      <c r="O224">
        <v>1.1416580000000001E-2</v>
      </c>
      <c r="P224">
        <v>0.99778109999999998</v>
      </c>
      <c r="Q224">
        <v>-4.9294200000000003E-2</v>
      </c>
      <c r="R224">
        <v>4.4754700000000001E-2</v>
      </c>
      <c r="S224">
        <v>2.9959720000000001</v>
      </c>
      <c r="T224">
        <v>-0.60195149999999997</v>
      </c>
      <c r="U224">
        <v>-0.4273071</v>
      </c>
      <c r="V224">
        <v>-3.3369749999999997E-2</v>
      </c>
      <c r="W224">
        <v>-4.7220140000000001E-2</v>
      </c>
      <c r="X224">
        <v>0.99832699999999996</v>
      </c>
      <c r="Y224">
        <v>0.14931469999999999</v>
      </c>
      <c r="Z224">
        <v>-1.7173239999999999E-2</v>
      </c>
      <c r="AA224">
        <v>0.98864059999999998</v>
      </c>
      <c r="AB224">
        <v>10</v>
      </c>
      <c r="AC224">
        <v>0.70130000000000303</v>
      </c>
      <c r="AD224">
        <v>-0.15284339999999999</v>
      </c>
      <c r="AE224">
        <v>-0.109800000000006</v>
      </c>
      <c r="AF224">
        <v>0.112579811585686</v>
      </c>
      <c r="AG224">
        <v>-0.15284339999999999</v>
      </c>
      <c r="AH224">
        <v>0.66898484425799098</v>
      </c>
      <c r="AI224">
        <v>102.696888428188</v>
      </c>
      <c r="AJ224">
        <v>80.447509141788998</v>
      </c>
      <c r="AK224">
        <v>0.69539631919296097</v>
      </c>
      <c r="AL224">
        <v>92.706521063948301</v>
      </c>
      <c r="AM224">
        <v>91.914437111910203</v>
      </c>
      <c r="AN224">
        <v>1.00000004038284</v>
      </c>
    </row>
    <row r="225" spans="1:40" x14ac:dyDescent="0.25">
      <c r="A225" t="str">
        <f>"20190305134914281"</f>
        <v>20190305134914281</v>
      </c>
      <c r="B225" t="str">
        <f>"1551764954270936"</f>
        <v>1551764954270936</v>
      </c>
      <c r="C225" t="s">
        <v>40</v>
      </c>
      <c r="D225">
        <v>4.110862</v>
      </c>
      <c r="E225">
        <v>0.56905150000000004</v>
      </c>
      <c r="F225" t="s">
        <v>41</v>
      </c>
      <c r="G225">
        <v>-467.9554</v>
      </c>
      <c r="H225">
        <v>0.96718419999999905</v>
      </c>
      <c r="I225">
        <v>367.1848</v>
      </c>
      <c r="J225">
        <v>-468.5992</v>
      </c>
      <c r="K225">
        <v>1.1087530000000001</v>
      </c>
      <c r="L225">
        <v>367.2867</v>
      </c>
      <c r="M225">
        <v>0.99993220000000005</v>
      </c>
      <c r="N225">
        <v>-2.0880759999999999E-3</v>
      </c>
      <c r="O225">
        <v>1.146343E-2</v>
      </c>
      <c r="P225">
        <v>0.99775239999999998</v>
      </c>
      <c r="Q225">
        <v>-4.9538459999999999E-2</v>
      </c>
      <c r="R225">
        <v>4.5125739999999998E-2</v>
      </c>
      <c r="S225">
        <v>2.996124</v>
      </c>
      <c r="T225">
        <v>-0.60127209999999998</v>
      </c>
      <c r="U225">
        <v>-0.42709350000000001</v>
      </c>
      <c r="V225">
        <v>-3.3702629999999997E-2</v>
      </c>
      <c r="W225">
        <v>-4.744139E-2</v>
      </c>
      <c r="X225">
        <v>0.99830529999999995</v>
      </c>
      <c r="Y225">
        <v>0.14929149999999999</v>
      </c>
      <c r="Z225">
        <v>-1.7161550000000001E-2</v>
      </c>
      <c r="AA225">
        <v>0.98864430000000003</v>
      </c>
      <c r="AB225">
        <v>10</v>
      </c>
      <c r="AC225">
        <v>0.64379999999999804</v>
      </c>
      <c r="AD225">
        <v>-0.14156879999999999</v>
      </c>
      <c r="AE225">
        <v>-0.1019</v>
      </c>
      <c r="AF225">
        <v>0.104350998243277</v>
      </c>
      <c r="AG225">
        <v>-0.14156879999999999</v>
      </c>
      <c r="AH225">
        <v>0.61364262998788799</v>
      </c>
      <c r="AI225">
        <v>102.81323308669801</v>
      </c>
      <c r="AJ225">
        <v>80.349073376298094</v>
      </c>
      <c r="AK225">
        <v>0.63834797196063897</v>
      </c>
      <c r="AL225">
        <v>92.719212053949505</v>
      </c>
      <c r="AM225">
        <v>91.933562155255004</v>
      </c>
      <c r="AN225">
        <v>1.00000001238106</v>
      </c>
    </row>
    <row r="226" spans="1:40" x14ac:dyDescent="0.25">
      <c r="A226" t="str">
        <f>"20190305134914298"</f>
        <v>20190305134914298</v>
      </c>
      <c r="B226" t="str">
        <f>"1551764954290962"</f>
        <v>1551764954290962</v>
      </c>
      <c r="C226" t="s">
        <v>40</v>
      </c>
      <c r="D226">
        <v>4.1019880000000004</v>
      </c>
      <c r="E226">
        <v>0.56913970000000003</v>
      </c>
      <c r="F226" t="s">
        <v>41</v>
      </c>
      <c r="G226">
        <v>-467.86610000000002</v>
      </c>
      <c r="H226">
        <v>0.96160849999999998</v>
      </c>
      <c r="I226">
        <v>367.18209999999999</v>
      </c>
      <c r="J226">
        <v>-468.51740000000001</v>
      </c>
      <c r="K226">
        <v>1.1086049999999901</v>
      </c>
      <c r="L226">
        <v>367.28769999999997</v>
      </c>
      <c r="M226">
        <v>0.9999304</v>
      </c>
      <c r="N226">
        <v>-2.1184429999999998E-3</v>
      </c>
      <c r="O226">
        <v>1.160508E-2</v>
      </c>
      <c r="P226">
        <v>0.99772729999999998</v>
      </c>
      <c r="Q226">
        <v>-4.9743999999999997E-2</v>
      </c>
      <c r="R226">
        <v>4.5454080000000001E-2</v>
      </c>
      <c r="S226">
        <v>2.996216</v>
      </c>
      <c r="T226">
        <v>-0.60145780000000004</v>
      </c>
      <c r="U226">
        <v>-0.42620849999999999</v>
      </c>
      <c r="V226">
        <v>-3.3900859999999998E-2</v>
      </c>
      <c r="W226">
        <v>-4.7609119999999998E-2</v>
      </c>
      <c r="X226">
        <v>0.99829060000000003</v>
      </c>
      <c r="Y226">
        <v>0.1491391</v>
      </c>
      <c r="Z226">
        <v>-1.718099E-2</v>
      </c>
      <c r="AA226">
        <v>0.98866699999999996</v>
      </c>
      <c r="AB226">
        <v>10</v>
      </c>
      <c r="AC226">
        <v>0.651299999999992</v>
      </c>
      <c r="AD226">
        <v>-0.146996499999999</v>
      </c>
      <c r="AE226">
        <v>-0.105599999999981</v>
      </c>
      <c r="AF226">
        <v>0.107800677437232</v>
      </c>
      <c r="AG226">
        <v>-0.146996499999999</v>
      </c>
      <c r="AH226">
        <v>0.61929246012267003</v>
      </c>
      <c r="AI226">
        <v>103.16185498483701</v>
      </c>
      <c r="AJ226">
        <v>80.125424942758102</v>
      </c>
      <c r="AK226">
        <v>0.64556340372806498</v>
      </c>
      <c r="AL226">
        <v>92.728833154747505</v>
      </c>
      <c r="AM226">
        <v>91.944954767463301</v>
      </c>
      <c r="AN226">
        <v>1.00000000933213</v>
      </c>
    </row>
    <row r="227" spans="1:40" x14ac:dyDescent="0.25">
      <c r="A227" t="str">
        <f>"20190305134914322"</f>
        <v>20190305134914322</v>
      </c>
      <c r="B227" t="str">
        <f>"1551764954311459"</f>
        <v>1551764954311459</v>
      </c>
      <c r="C227" t="s">
        <v>40</v>
      </c>
      <c r="D227">
        <v>4.1053949999999997</v>
      </c>
      <c r="E227">
        <v>0.56921880000000002</v>
      </c>
      <c r="F227" t="s">
        <v>41</v>
      </c>
      <c r="G227">
        <v>-467.77390000000003</v>
      </c>
      <c r="H227">
        <v>0.95935550000000003</v>
      </c>
      <c r="I227">
        <v>367.18150000000003</v>
      </c>
      <c r="J227">
        <v>-468.40719999999999</v>
      </c>
      <c r="K227">
        <v>1.1084830000000001</v>
      </c>
      <c r="L227">
        <v>367.28890000000001</v>
      </c>
      <c r="M227">
        <v>0.99992829999999999</v>
      </c>
      <c r="N227">
        <v>-2.1119369999999999E-3</v>
      </c>
      <c r="O227">
        <v>1.179852E-2</v>
      </c>
      <c r="P227">
        <v>0.99774430000000003</v>
      </c>
      <c r="Q227">
        <v>-4.941765E-2</v>
      </c>
      <c r="R227">
        <v>4.5437890000000002E-2</v>
      </c>
      <c r="S227">
        <v>2.9962770000000001</v>
      </c>
      <c r="T227">
        <v>-0.60156869999999996</v>
      </c>
      <c r="U227">
        <v>-0.42584230000000001</v>
      </c>
      <c r="V227">
        <v>-3.3696690000000001E-2</v>
      </c>
      <c r="W227">
        <v>-4.728533E-2</v>
      </c>
      <c r="X227">
        <v>0.99831289999999995</v>
      </c>
      <c r="Y227">
        <v>0.149203</v>
      </c>
      <c r="Z227">
        <v>-1.722773E-2</v>
      </c>
      <c r="AA227">
        <v>0.98865650000000005</v>
      </c>
      <c r="AB227">
        <v>10</v>
      </c>
      <c r="AC227">
        <v>0.633299999999962</v>
      </c>
      <c r="AD227">
        <v>-0.149127499999999</v>
      </c>
      <c r="AE227">
        <v>-0.10739999999998399</v>
      </c>
      <c r="AF227">
        <v>0.108990064276449</v>
      </c>
      <c r="AG227">
        <v>-0.149127499999999</v>
      </c>
      <c r="AH227">
        <v>0.59966716797986497</v>
      </c>
      <c r="AI227">
        <v>103.748753602376</v>
      </c>
      <c r="AJ227">
        <v>79.698883627340194</v>
      </c>
      <c r="AK227">
        <v>0.62746996559215995</v>
      </c>
      <c r="AL227">
        <v>92.710260440875302</v>
      </c>
      <c r="AM227">
        <v>91.933206922469097</v>
      </c>
      <c r="AN227">
        <v>1.00000000782828</v>
      </c>
    </row>
    <row r="228" spans="1:40" x14ac:dyDescent="0.25">
      <c r="A228" t="str">
        <f>"20190305134914335"</f>
        <v>20190305134914335</v>
      </c>
      <c r="B228" t="str">
        <f>"1551764954321219"</f>
        <v>1551764954321219</v>
      </c>
      <c r="C228" t="s">
        <v>40</v>
      </c>
      <c r="D228">
        <v>4.135929</v>
      </c>
      <c r="E228">
        <v>0.56925300000000001</v>
      </c>
      <c r="F228" t="s">
        <v>41</v>
      </c>
      <c r="G228">
        <v>-467.67779999999999</v>
      </c>
      <c r="H228">
        <v>0.96252680000000002</v>
      </c>
      <c r="I228">
        <v>367.18459999999999</v>
      </c>
      <c r="J228">
        <v>-468.34309999999999</v>
      </c>
      <c r="K228">
        <v>1.1084499999999999</v>
      </c>
      <c r="L228">
        <v>367.28960000000001</v>
      </c>
      <c r="M228">
        <v>0.99992780000000003</v>
      </c>
      <c r="N228">
        <v>-2.072726E-3</v>
      </c>
      <c r="O228">
        <v>1.183645E-2</v>
      </c>
      <c r="P228">
        <v>0.99776920000000002</v>
      </c>
      <c r="Q228">
        <v>-4.89449E-2</v>
      </c>
      <c r="R228">
        <v>4.5399059999999998E-2</v>
      </c>
      <c r="S228">
        <v>2.9965519999999999</v>
      </c>
      <c r="T228">
        <v>-0.59963239999999995</v>
      </c>
      <c r="U228">
        <v>-0.42645260000000001</v>
      </c>
      <c r="V228">
        <v>-3.3618349999999998E-2</v>
      </c>
      <c r="W228">
        <v>-4.6852449999999997E-2</v>
      </c>
      <c r="X228">
        <v>0.998336</v>
      </c>
      <c r="Y228">
        <v>0.1494412</v>
      </c>
      <c r="Z228">
        <v>-1.7200630000000001E-2</v>
      </c>
      <c r="AA228">
        <v>0.98862099999999997</v>
      </c>
      <c r="AB228">
        <v>10</v>
      </c>
      <c r="AC228">
        <v>0.665300000000002</v>
      </c>
      <c r="AD228">
        <v>-0.145923199999999</v>
      </c>
      <c r="AE228">
        <v>-0.105000000000018</v>
      </c>
      <c r="AF228">
        <v>0.107807152002691</v>
      </c>
      <c r="AG228">
        <v>-0.145923199999999</v>
      </c>
      <c r="AH228">
        <v>0.63424031300268002</v>
      </c>
      <c r="AI228">
        <v>102.77971564990099</v>
      </c>
      <c r="AJ228">
        <v>80.353157657301907</v>
      </c>
      <c r="AK228">
        <v>0.65967926825004097</v>
      </c>
      <c r="AL228">
        <v>92.685430590998607</v>
      </c>
      <c r="AM228">
        <v>91.928671296558903</v>
      </c>
      <c r="AN228">
        <v>1.0000000572118599</v>
      </c>
    </row>
    <row r="229" spans="1:40" x14ac:dyDescent="0.25">
      <c r="A229" t="str">
        <f>"20190305134914350"</f>
        <v>20190305134914350</v>
      </c>
      <c r="B229" t="str">
        <f>"1551764954340739"</f>
        <v>1551764954340739</v>
      </c>
      <c r="C229" t="s">
        <v>40</v>
      </c>
      <c r="D229">
        <v>4.1238469999999996</v>
      </c>
      <c r="E229">
        <v>0.56933959999999995</v>
      </c>
      <c r="F229" t="s">
        <v>41</v>
      </c>
      <c r="G229">
        <v>-467.58370000000002</v>
      </c>
      <c r="H229">
        <v>0.95705629999999997</v>
      </c>
      <c r="I229">
        <v>367.18079999999998</v>
      </c>
      <c r="J229">
        <v>-468.2697</v>
      </c>
      <c r="K229">
        <v>1.10843799999999</v>
      </c>
      <c r="L229">
        <v>367.29039999999998</v>
      </c>
      <c r="M229">
        <v>0.9999285</v>
      </c>
      <c r="N229">
        <v>-2.006388E-3</v>
      </c>
      <c r="O229">
        <v>1.180166E-2</v>
      </c>
      <c r="P229">
        <v>0.99778710000000004</v>
      </c>
      <c r="Q229">
        <v>-4.8663539999999998E-2</v>
      </c>
      <c r="R229">
        <v>4.5308269999999998E-2</v>
      </c>
      <c r="S229">
        <v>2.9968870000000001</v>
      </c>
      <c r="T229">
        <v>-0.59754849999999904</v>
      </c>
      <c r="U229">
        <v>-0.427124</v>
      </c>
      <c r="V229">
        <v>-3.3558230000000001E-2</v>
      </c>
      <c r="W229">
        <v>-4.6639989999999999E-2</v>
      </c>
      <c r="X229">
        <v>0.99834789999999995</v>
      </c>
      <c r="Y229">
        <v>0.1496287</v>
      </c>
      <c r="Z229">
        <v>-1.7147920000000001E-2</v>
      </c>
      <c r="AA229">
        <v>0.98859350000000001</v>
      </c>
      <c r="AB229">
        <v>11</v>
      </c>
      <c r="AC229">
        <v>0.68599999999997796</v>
      </c>
      <c r="AD229">
        <v>-0.15138169999999901</v>
      </c>
      <c r="AE229">
        <v>-0.1096</v>
      </c>
      <c r="AF229">
        <v>0.112353278957953</v>
      </c>
      <c r="AG229">
        <v>-0.15138169999999901</v>
      </c>
      <c r="AH229">
        <v>0.653621838715296</v>
      </c>
      <c r="AI229">
        <v>102.857866796122</v>
      </c>
      <c r="AJ229">
        <v>80.2465511722136</v>
      </c>
      <c r="AK229">
        <v>0.68026552641822002</v>
      </c>
      <c r="AL229">
        <v>92.673244397477006</v>
      </c>
      <c r="AM229">
        <v>91.925201903250496</v>
      </c>
      <c r="AN229">
        <v>0.99999998645117105</v>
      </c>
    </row>
    <row r="230" spans="1:40" x14ac:dyDescent="0.25">
      <c r="A230" t="str">
        <f>"20190305134914367"</f>
        <v>20190305134914367</v>
      </c>
      <c r="B230" t="str">
        <f>"1551764954351475"</f>
        <v>1551764954351475</v>
      </c>
      <c r="C230" t="s">
        <v>40</v>
      </c>
      <c r="D230">
        <v>4.1101650000000003</v>
      </c>
      <c r="E230">
        <v>0.56937409999999999</v>
      </c>
      <c r="F230" t="s">
        <v>41</v>
      </c>
      <c r="G230">
        <v>-467.48739999999998</v>
      </c>
      <c r="H230">
        <v>0.95305810000000002</v>
      </c>
      <c r="I230">
        <v>367.17809999999997</v>
      </c>
      <c r="J230">
        <v>-468.19580000000002</v>
      </c>
      <c r="K230">
        <v>1.1084499999999999</v>
      </c>
      <c r="L230">
        <v>367.29129999999998</v>
      </c>
      <c r="M230">
        <v>0.99992999999999999</v>
      </c>
      <c r="N230">
        <v>-1.941723E-3</v>
      </c>
      <c r="O230">
        <v>1.1686240000000001E-2</v>
      </c>
      <c r="P230">
        <v>0.99782749999999998</v>
      </c>
      <c r="Q230">
        <v>-4.8386760000000001E-2</v>
      </c>
      <c r="R230">
        <v>4.4715949999999997E-2</v>
      </c>
      <c r="S230">
        <v>2.9970699999999999</v>
      </c>
      <c r="T230">
        <v>-0.59544730000000001</v>
      </c>
      <c r="U230">
        <v>-0.4281006</v>
      </c>
      <c r="V230">
        <v>-3.3075830000000001E-2</v>
      </c>
      <c r="W230">
        <v>-4.6431409999999999E-2</v>
      </c>
      <c r="X230">
        <v>0.99837370000000003</v>
      </c>
      <c r="Y230">
        <v>0.14984310000000001</v>
      </c>
      <c r="Z230">
        <v>-1.7082469999999999E-2</v>
      </c>
      <c r="AA230">
        <v>0.98856219999999995</v>
      </c>
      <c r="AB230">
        <v>11</v>
      </c>
      <c r="AC230">
        <v>0.70840000000004</v>
      </c>
      <c r="AD230">
        <v>-0.155391899999999</v>
      </c>
      <c r="AE230">
        <v>-0.113200000000006</v>
      </c>
      <c r="AF230">
        <v>0.116026943169749</v>
      </c>
      <c r="AG230">
        <v>-0.155391899999999</v>
      </c>
      <c r="AH230">
        <v>0.67534232412105899</v>
      </c>
      <c r="AI230">
        <v>102.77693294477299</v>
      </c>
      <c r="AJ230">
        <v>80.2514909031608</v>
      </c>
      <c r="AK230">
        <v>0.702635146342794</v>
      </c>
      <c r="AL230">
        <v>92.661280737950506</v>
      </c>
      <c r="AM230">
        <v>91.897498479135194</v>
      </c>
      <c r="AN230">
        <v>0.99999996560823201</v>
      </c>
    </row>
    <row r="231" spans="1:40" x14ac:dyDescent="0.25">
      <c r="A231" t="str">
        <f>"20190305134914380"</f>
        <v>20190305134914380</v>
      </c>
      <c r="B231" t="str">
        <f>"1551764954370995"</f>
        <v>1551764954370995</v>
      </c>
      <c r="C231" t="s">
        <v>40</v>
      </c>
      <c r="D231">
        <v>4.0931449999999998</v>
      </c>
      <c r="E231">
        <v>0.56944729999999999</v>
      </c>
      <c r="F231" t="s">
        <v>41</v>
      </c>
      <c r="G231">
        <v>-467.48140000000001</v>
      </c>
      <c r="H231">
        <v>0.96680809999999995</v>
      </c>
      <c r="I231">
        <v>367.18819999999999</v>
      </c>
      <c r="J231">
        <v>-468.12099999999998</v>
      </c>
      <c r="K231">
        <v>1.1084620000000001</v>
      </c>
      <c r="L231">
        <v>367.2921</v>
      </c>
      <c r="M231">
        <v>0.99993149999999997</v>
      </c>
      <c r="N231">
        <v>-1.8938200000000001E-3</v>
      </c>
      <c r="O231">
        <v>1.15657E-2</v>
      </c>
      <c r="P231">
        <v>0.9978437</v>
      </c>
      <c r="Q231">
        <v>-4.8396290000000002E-2</v>
      </c>
      <c r="R231">
        <v>4.4339299999999998E-2</v>
      </c>
      <c r="S231">
        <v>2.9970089999999998</v>
      </c>
      <c r="T231">
        <v>-0.59440300000000001</v>
      </c>
      <c r="U231">
        <v>-0.43029790000000001</v>
      </c>
      <c r="V231">
        <v>-3.2815329999999997E-2</v>
      </c>
      <c r="W231">
        <v>-4.6491709999999999E-2</v>
      </c>
      <c r="X231">
        <v>0.99837949999999998</v>
      </c>
      <c r="Y231">
        <v>0.150439299999999</v>
      </c>
      <c r="Z231">
        <v>-1.708519E-2</v>
      </c>
      <c r="AA231">
        <v>0.98847160000000001</v>
      </c>
      <c r="AB231">
        <v>11</v>
      </c>
      <c r="AC231">
        <v>0.63959999999997297</v>
      </c>
      <c r="AD231">
        <v>-0.1416539</v>
      </c>
      <c r="AE231">
        <v>-0.10390000000001</v>
      </c>
      <c r="AF231">
        <v>0.106214589943121</v>
      </c>
      <c r="AG231">
        <v>-0.1416539</v>
      </c>
      <c r="AH231">
        <v>0.60924051654119904</v>
      </c>
      <c r="AI231">
        <v>102.901280295185</v>
      </c>
      <c r="AJ231">
        <v>80.110486801250104</v>
      </c>
      <c r="AK231">
        <v>0.63444572147456602</v>
      </c>
      <c r="AL231">
        <v>92.664739382286598</v>
      </c>
      <c r="AM231">
        <v>91.882553948913397</v>
      </c>
      <c r="AN231">
        <v>0.99999997550099096</v>
      </c>
    </row>
    <row r="232" spans="1:40" x14ac:dyDescent="0.25">
      <c r="A232" t="str">
        <f>"20190305134914401"</f>
        <v>20190305134914401</v>
      </c>
      <c r="B232" t="str">
        <f>"1551764954391022"</f>
        <v>1551764954391022</v>
      </c>
      <c r="C232" t="s">
        <v>40</v>
      </c>
      <c r="D232">
        <v>4.1180000000000003</v>
      </c>
      <c r="E232">
        <v>0.56955080000000002</v>
      </c>
      <c r="F232" t="s">
        <v>41</v>
      </c>
      <c r="G232">
        <v>-467.38380000000001</v>
      </c>
      <c r="H232">
        <v>0.96258060000000001</v>
      </c>
      <c r="I232">
        <v>367.18529999999998</v>
      </c>
      <c r="J232">
        <v>-468.01870000000002</v>
      </c>
      <c r="K232">
        <v>1.108482</v>
      </c>
      <c r="L232">
        <v>367.29329999999999</v>
      </c>
      <c r="M232">
        <v>0.99993290000000001</v>
      </c>
      <c r="N232">
        <v>-1.851386E-3</v>
      </c>
      <c r="O232">
        <v>1.14368E-2</v>
      </c>
      <c r="P232">
        <v>0.99786730000000001</v>
      </c>
      <c r="Q232">
        <v>-4.846483E-2</v>
      </c>
      <c r="R232">
        <v>4.3731449999999998E-2</v>
      </c>
      <c r="S232">
        <v>2.996918</v>
      </c>
      <c r="T232">
        <v>-0.59317849999999905</v>
      </c>
      <c r="U232">
        <v>-0.43212889999999998</v>
      </c>
      <c r="V232">
        <v>-3.2332430000000002E-2</v>
      </c>
      <c r="W232">
        <v>-4.6605349999999997E-2</v>
      </c>
      <c r="X232">
        <v>0.99839</v>
      </c>
      <c r="Y232">
        <v>0.15091450000000001</v>
      </c>
      <c r="Z232">
        <v>-1.7069810000000001E-2</v>
      </c>
      <c r="AA232">
        <v>0.98839940000000004</v>
      </c>
      <c r="AB232">
        <v>11</v>
      </c>
      <c r="AC232">
        <v>0.63490000000001601</v>
      </c>
      <c r="AD232">
        <v>-0.14590139999999899</v>
      </c>
      <c r="AE232">
        <v>-0.108000000000004</v>
      </c>
      <c r="AF232">
        <v>0.109627650728672</v>
      </c>
      <c r="AG232">
        <v>-0.14590139999999899</v>
      </c>
      <c r="AH232">
        <v>0.60269083410776803</v>
      </c>
      <c r="AI232">
        <v>103.39683299226699</v>
      </c>
      <c r="AJ232">
        <v>79.690782514093002</v>
      </c>
      <c r="AK232">
        <v>0.62971555629805198</v>
      </c>
      <c r="AL232">
        <v>92.671257425675293</v>
      </c>
      <c r="AM232">
        <v>91.854850883919596</v>
      </c>
      <c r="AN232">
        <v>1.00000001838916</v>
      </c>
    </row>
    <row r="233" spans="1:40" x14ac:dyDescent="0.25">
      <c r="A233" t="str">
        <f>"20190305134914425"</f>
        <v>20190305134914425</v>
      </c>
      <c r="B233" t="str">
        <f>"1551764954411518"</f>
        <v>1551764954411518</v>
      </c>
      <c r="C233" t="s">
        <v>40</v>
      </c>
      <c r="D233">
        <v>4.086163</v>
      </c>
      <c r="E233">
        <v>0.56964910000000002</v>
      </c>
      <c r="F233" t="s">
        <v>41</v>
      </c>
      <c r="G233">
        <v>-467.28269999999998</v>
      </c>
      <c r="H233">
        <v>0.96283850000000004</v>
      </c>
      <c r="I233">
        <v>367.1866</v>
      </c>
      <c r="J233">
        <v>-467.8997</v>
      </c>
      <c r="K233">
        <v>1.1084969999999901</v>
      </c>
      <c r="L233">
        <v>367.2946</v>
      </c>
      <c r="M233">
        <v>0.99993370000000004</v>
      </c>
      <c r="N233">
        <v>-1.8188130000000001E-3</v>
      </c>
      <c r="O233">
        <v>1.137787E-2</v>
      </c>
      <c r="P233">
        <v>0.99782230000000005</v>
      </c>
      <c r="Q233">
        <v>-4.9379190000000003E-2</v>
      </c>
      <c r="R233">
        <v>4.373345E-2</v>
      </c>
      <c r="S233">
        <v>2.996613</v>
      </c>
      <c r="T233">
        <v>-0.59301110000000001</v>
      </c>
      <c r="U233">
        <v>-0.43444820000000001</v>
      </c>
      <c r="V233">
        <v>-3.239239E-2</v>
      </c>
      <c r="W233">
        <v>-4.7553539999999998E-2</v>
      </c>
      <c r="X233">
        <v>0.99834330000000004</v>
      </c>
      <c r="Y233">
        <v>0.15160950000000001</v>
      </c>
      <c r="Z233">
        <v>-1.712079E-2</v>
      </c>
      <c r="AA233">
        <v>0.98829219999999895</v>
      </c>
      <c r="AB233">
        <v>11</v>
      </c>
      <c r="AC233">
        <v>0.61700000000001798</v>
      </c>
      <c r="AD233">
        <v>-0.145658499999999</v>
      </c>
      <c r="AE233">
        <v>-0.108000000000004</v>
      </c>
      <c r="AF233">
        <v>0.109112910305507</v>
      </c>
      <c r="AG233">
        <v>-0.145658499999999</v>
      </c>
      <c r="AH233">
        <v>0.584143806953625</v>
      </c>
      <c r="AI233">
        <v>103.772482079989</v>
      </c>
      <c r="AJ233">
        <v>79.419582925992202</v>
      </c>
      <c r="AK233">
        <v>0.611838224549481</v>
      </c>
      <c r="AL233">
        <v>92.725645137016002</v>
      </c>
      <c r="AM233">
        <v>91.8583751323021</v>
      </c>
      <c r="AN233">
        <v>0.99999997537566598</v>
      </c>
    </row>
    <row r="234" spans="1:40" x14ac:dyDescent="0.25">
      <c r="A234" t="str">
        <f>"20190305134914445"</f>
        <v>20190305134914445</v>
      </c>
      <c r="B234" t="str">
        <f>"1551764954431038"</f>
        <v>1551764954431038</v>
      </c>
      <c r="C234" t="s">
        <v>40</v>
      </c>
      <c r="D234">
        <v>4.0992119999999996</v>
      </c>
      <c r="E234">
        <v>0.56975690000000001</v>
      </c>
      <c r="F234" t="s">
        <v>41</v>
      </c>
      <c r="G234">
        <v>-467.17910000000001</v>
      </c>
      <c r="H234">
        <v>0.96544379999999996</v>
      </c>
      <c r="I234">
        <v>367.18959999999998</v>
      </c>
      <c r="J234">
        <v>-467.79160000000002</v>
      </c>
      <c r="K234">
        <v>1.108508</v>
      </c>
      <c r="L234">
        <v>367.29579999999999</v>
      </c>
      <c r="M234">
        <v>0.99993359999999998</v>
      </c>
      <c r="N234">
        <v>-1.7855010000000001E-3</v>
      </c>
      <c r="O234">
        <v>1.138978E-2</v>
      </c>
      <c r="P234">
        <v>0.99779680000000004</v>
      </c>
      <c r="Q234">
        <v>-4.9914800000000002E-2</v>
      </c>
      <c r="R234">
        <v>4.3708240000000002E-2</v>
      </c>
      <c r="S234">
        <v>2.9961850000000001</v>
      </c>
      <c r="T234">
        <v>-0.5949856</v>
      </c>
      <c r="U234">
        <v>-0.43502809999999997</v>
      </c>
      <c r="V234">
        <v>-3.2354859999999999E-2</v>
      </c>
      <c r="W234">
        <v>-4.8122949999999998E-2</v>
      </c>
      <c r="X234">
        <v>0.99831720000000002</v>
      </c>
      <c r="Y234">
        <v>0.15180379999999999</v>
      </c>
      <c r="Z234">
        <v>-1.7197770000000001E-2</v>
      </c>
      <c r="AA234">
        <v>0.98826099999999995</v>
      </c>
      <c r="AB234">
        <v>11</v>
      </c>
      <c r="AC234">
        <v>0.61250000000001104</v>
      </c>
      <c r="AD234">
        <v>-0.1430642</v>
      </c>
      <c r="AE234">
        <v>-0.106200000000001</v>
      </c>
      <c r="AF234">
        <v>0.107476889898801</v>
      </c>
      <c r="AG234">
        <v>-0.1430642</v>
      </c>
      <c r="AH234">
        <v>0.58050447598422905</v>
      </c>
      <c r="AI234">
        <v>103.62188007819</v>
      </c>
      <c r="AJ234">
        <v>79.510807440631993</v>
      </c>
      <c r="AK234">
        <v>0.60745707158751905</v>
      </c>
      <c r="AL234">
        <v>92.758307411009497</v>
      </c>
      <c r="AM234">
        <v>91.856272011008997</v>
      </c>
      <c r="AN234">
        <v>0.99999994354907895</v>
      </c>
    </row>
    <row r="235" spans="1:40" x14ac:dyDescent="0.25">
      <c r="A235" t="str">
        <f>"20190305134914460"</f>
        <v>20190305134914460</v>
      </c>
      <c r="B235" t="str">
        <f>"1551764954451535"</f>
        <v>1551764954451535</v>
      </c>
      <c r="C235" t="s">
        <v>40</v>
      </c>
      <c r="D235">
        <v>4.1122230000000002</v>
      </c>
      <c r="E235">
        <v>0.56981850000000001</v>
      </c>
      <c r="F235" t="s">
        <v>41</v>
      </c>
      <c r="G235">
        <v>-467.07490000000001</v>
      </c>
      <c r="H235">
        <v>0.9659934</v>
      </c>
      <c r="I235">
        <v>367.19119999999998</v>
      </c>
      <c r="J235">
        <v>-467.71409999999997</v>
      </c>
      <c r="K235">
        <v>1.1085199999999999</v>
      </c>
      <c r="L235">
        <v>367.29669999999999</v>
      </c>
      <c r="M235">
        <v>0.99993339999999997</v>
      </c>
      <c r="N235">
        <v>-1.756241E-3</v>
      </c>
      <c r="O235">
        <v>1.140997E-2</v>
      </c>
      <c r="P235">
        <v>0.9977741</v>
      </c>
      <c r="Q235">
        <v>-5.0143630000000002E-2</v>
      </c>
      <c r="R235">
        <v>4.3959640000000001E-2</v>
      </c>
      <c r="S235">
        <v>2.9958800000000001</v>
      </c>
      <c r="T235">
        <v>-0.59590449999999995</v>
      </c>
      <c r="U235">
        <v>-0.43618770000000001</v>
      </c>
      <c r="V235">
        <v>-3.2585799999999998E-2</v>
      </c>
      <c r="W235">
        <v>-4.8381470000000003E-2</v>
      </c>
      <c r="X235">
        <v>0.99829730000000005</v>
      </c>
      <c r="Y235">
        <v>0.152195</v>
      </c>
      <c r="Z235">
        <v>-1.7265579999999999E-2</v>
      </c>
      <c r="AA235">
        <v>0.98819970000000001</v>
      </c>
      <c r="AB235">
        <v>11</v>
      </c>
      <c r="AC235">
        <v>0.63919999999995902</v>
      </c>
      <c r="AD235">
        <v>-0.1425266</v>
      </c>
      <c r="AE235">
        <v>-0.10550000000000601</v>
      </c>
      <c r="AF235">
        <v>0.10757954167317001</v>
      </c>
      <c r="AG235">
        <v>-0.1425266</v>
      </c>
      <c r="AH235">
        <v>0.60850306232769402</v>
      </c>
      <c r="AI235">
        <v>102.98802795879</v>
      </c>
      <c r="AJ235">
        <v>79.974064278923606</v>
      </c>
      <c r="AK235">
        <v>0.63416335936125401</v>
      </c>
      <c r="AL235">
        <v>92.773136494616494</v>
      </c>
      <c r="AM235">
        <v>91.869549436201694</v>
      </c>
      <c r="AN235">
        <v>1.0000000500941399</v>
      </c>
    </row>
    <row r="236" spans="1:40" x14ac:dyDescent="0.25">
      <c r="A236" t="str">
        <f>"20190305134914478"</f>
        <v>20190305134914478</v>
      </c>
      <c r="B236" t="str">
        <f>"1551764954471056"</f>
        <v>1551764954471056</v>
      </c>
      <c r="C236" t="s">
        <v>40</v>
      </c>
      <c r="D236">
        <v>4.107011</v>
      </c>
      <c r="E236">
        <v>0.569878</v>
      </c>
      <c r="F236" t="s">
        <v>41</v>
      </c>
      <c r="G236">
        <v>-466.97149999999999</v>
      </c>
      <c r="H236">
        <v>0.96087029999999995</v>
      </c>
      <c r="I236">
        <v>367.18830000000003</v>
      </c>
      <c r="J236">
        <v>-467.61860000000001</v>
      </c>
      <c r="K236">
        <v>1.108536</v>
      </c>
      <c r="L236">
        <v>367.29770000000002</v>
      </c>
      <c r="M236">
        <v>0.99993339999999997</v>
      </c>
      <c r="N236">
        <v>-1.7170200000000001E-3</v>
      </c>
      <c r="O236">
        <v>1.1428809999999999E-2</v>
      </c>
      <c r="P236">
        <v>0.99776430000000005</v>
      </c>
      <c r="Q236">
        <v>-5.0200399999999999E-2</v>
      </c>
      <c r="R236">
        <v>4.4124099999999999E-2</v>
      </c>
      <c r="S236">
        <v>2.9959410000000002</v>
      </c>
      <c r="T236">
        <v>-0.59586700000000004</v>
      </c>
      <c r="U236">
        <v>-0.4360657</v>
      </c>
      <c r="V236">
        <v>-3.2729880000000003E-2</v>
      </c>
      <c r="W236">
        <v>-4.8478309999999997E-2</v>
      </c>
      <c r="X236">
        <v>0.99828790000000001</v>
      </c>
      <c r="Y236">
        <v>0.15217249999999999</v>
      </c>
      <c r="Z236">
        <v>-1.7263069999999998E-2</v>
      </c>
      <c r="AA236">
        <v>0.98820319999999995</v>
      </c>
      <c r="AB236">
        <v>12</v>
      </c>
      <c r="AC236">
        <v>0.64710000000002299</v>
      </c>
      <c r="AD236">
        <v>-0.14766569999999901</v>
      </c>
      <c r="AE236">
        <v>-0.109399999999993</v>
      </c>
      <c r="AF236">
        <v>0.111160771137559</v>
      </c>
      <c r="AG236">
        <v>-0.14766569999999901</v>
      </c>
      <c r="AH236">
        <v>0.61468794901795698</v>
      </c>
      <c r="AI236">
        <v>103.300237595014</v>
      </c>
      <c r="AJ236">
        <v>79.749360708781296</v>
      </c>
      <c r="AK236">
        <v>0.64187471570727095</v>
      </c>
      <c r="AL236">
        <v>92.778691504460397</v>
      </c>
      <c r="AM236">
        <v>91.877827521091106</v>
      </c>
      <c r="AN236">
        <v>1.00000006143583</v>
      </c>
    </row>
    <row r="237" spans="1:40" x14ac:dyDescent="0.25">
      <c r="A237" t="str">
        <f>"20190305134914493"</f>
        <v>20190305134914493</v>
      </c>
      <c r="B237" t="str">
        <f>"1551764954481325"</f>
        <v>1551764954481325</v>
      </c>
      <c r="C237" t="s">
        <v>40</v>
      </c>
      <c r="D237">
        <v>4.1120380000000001</v>
      </c>
      <c r="E237">
        <v>0.56991619999999998</v>
      </c>
      <c r="F237" t="s">
        <v>41</v>
      </c>
      <c r="G237">
        <v>-466.86529999999999</v>
      </c>
      <c r="H237">
        <v>0.9588139</v>
      </c>
      <c r="I237">
        <v>367.18799999999999</v>
      </c>
      <c r="J237">
        <v>-467.53859999999997</v>
      </c>
      <c r="K237">
        <v>1.108552</v>
      </c>
      <c r="L237">
        <v>367.29860000000002</v>
      </c>
      <c r="M237">
        <v>0.99993319999999997</v>
      </c>
      <c r="N237">
        <v>-1.6832710000000001E-3</v>
      </c>
      <c r="O237">
        <v>1.1435259999999999E-2</v>
      </c>
      <c r="P237">
        <v>0.99776169999999997</v>
      </c>
      <c r="Q237">
        <v>-5.015733E-2</v>
      </c>
      <c r="R237">
        <v>4.4222879999999999E-2</v>
      </c>
      <c r="S237">
        <v>2.9960019999999998</v>
      </c>
      <c r="T237">
        <v>-0.59555639999999999</v>
      </c>
      <c r="U237">
        <v>-0.43545529999999999</v>
      </c>
      <c r="V237">
        <v>-3.2820330000000002E-2</v>
      </c>
      <c r="W237">
        <v>-4.8469999999999999E-2</v>
      </c>
      <c r="X237">
        <v>0.99828530000000004</v>
      </c>
      <c r="Y237">
        <v>0.15198599999999901</v>
      </c>
      <c r="Z237">
        <v>-1.7234799999999901E-2</v>
      </c>
      <c r="AA237">
        <v>0.98823240000000001</v>
      </c>
      <c r="AB237">
        <v>12</v>
      </c>
      <c r="AC237">
        <v>0.67329999999998302</v>
      </c>
      <c r="AD237">
        <v>-0.14973809999999901</v>
      </c>
      <c r="AE237">
        <v>-0.110599999999976</v>
      </c>
      <c r="AF237">
        <v>0.112856977851714</v>
      </c>
      <c r="AG237">
        <v>-0.14973809999999901</v>
      </c>
      <c r="AH237">
        <v>0.64111529283994995</v>
      </c>
      <c r="AI237">
        <v>102.953965612734</v>
      </c>
      <c r="AJ237">
        <v>80.016377554026505</v>
      </c>
      <c r="AK237">
        <v>0.66797231585948702</v>
      </c>
      <c r="AL237">
        <v>92.778214910321097</v>
      </c>
      <c r="AM237">
        <v>91.883018123424094</v>
      </c>
      <c r="AN237">
        <v>1.00000002757869</v>
      </c>
    </row>
    <row r="238" spans="1:40" x14ac:dyDescent="0.25">
      <c r="A238" t="str">
        <f>"20190305134914511"</f>
        <v>20190305134914511</v>
      </c>
      <c r="B238" t="str">
        <f>"1551764954500844"</f>
        <v>1551764954500844</v>
      </c>
      <c r="C238" t="s">
        <v>40</v>
      </c>
      <c r="D238">
        <v>4.0933080000000004</v>
      </c>
      <c r="E238">
        <v>0.5699651</v>
      </c>
      <c r="F238" t="s">
        <v>41</v>
      </c>
      <c r="G238">
        <v>-466.75880000000001</v>
      </c>
      <c r="H238">
        <v>0.95376030000000001</v>
      </c>
      <c r="I238">
        <v>367.1848</v>
      </c>
      <c r="J238">
        <v>-467.43759999999997</v>
      </c>
      <c r="K238">
        <v>1.1085780000000001</v>
      </c>
      <c r="L238">
        <v>367.29969999999997</v>
      </c>
      <c r="M238">
        <v>0.99993339999999997</v>
      </c>
      <c r="N238">
        <v>-1.641528E-3</v>
      </c>
      <c r="O238">
        <v>1.142932E-2</v>
      </c>
      <c r="P238">
        <v>0.99770389999999998</v>
      </c>
      <c r="Q238">
        <v>-5.0752659999999998E-2</v>
      </c>
      <c r="R238">
        <v>4.4848689999999997E-2</v>
      </c>
      <c r="S238">
        <v>2.996124</v>
      </c>
      <c r="T238">
        <v>-0.59491910000000003</v>
      </c>
      <c r="U238">
        <v>-0.43566890000000003</v>
      </c>
      <c r="V238">
        <v>-3.3450960000000002E-2</v>
      </c>
      <c r="W238">
        <v>-4.9108539999999999E-2</v>
      </c>
      <c r="X238">
        <v>0.99823309999999998</v>
      </c>
      <c r="Y238">
        <v>0.15204979999999901</v>
      </c>
      <c r="Z238">
        <v>-1.721845E-2</v>
      </c>
      <c r="AA238">
        <v>0.98822279999999996</v>
      </c>
      <c r="AB238">
        <v>12</v>
      </c>
      <c r="AC238">
        <v>0.67879999999996699</v>
      </c>
      <c r="AD238">
        <v>-0.154817699999999</v>
      </c>
      <c r="AE238">
        <v>-0.11489999999997701</v>
      </c>
      <c r="AF238">
        <v>0.116746890404647</v>
      </c>
      <c r="AG238">
        <v>-0.154817699999999</v>
      </c>
      <c r="AH238">
        <v>0.64483349623396502</v>
      </c>
      <c r="AI238">
        <v>103.292330267948</v>
      </c>
      <c r="AJ238">
        <v>79.737782844803505</v>
      </c>
      <c r="AK238">
        <v>0.67335621666229795</v>
      </c>
      <c r="AL238">
        <v>92.814844344909403</v>
      </c>
      <c r="AM238">
        <v>91.919273072197598</v>
      </c>
      <c r="AN238">
        <v>0.99999996868073104</v>
      </c>
    </row>
    <row r="239" spans="1:40" x14ac:dyDescent="0.25">
      <c r="A239" t="str">
        <f>"20190305134914526"</f>
        <v>20190305134914526</v>
      </c>
      <c r="B239" t="str">
        <f>"1551764954521340"</f>
        <v>1551764954521340</v>
      </c>
      <c r="C239" t="s">
        <v>40</v>
      </c>
      <c r="D239">
        <v>4.0759589999999903</v>
      </c>
      <c r="E239">
        <v>0.57001009999999996</v>
      </c>
      <c r="F239" t="s">
        <v>41</v>
      </c>
      <c r="G239">
        <v>-466.64940000000001</v>
      </c>
      <c r="H239">
        <v>0.95182029999999995</v>
      </c>
      <c r="I239">
        <v>367.18520000000001</v>
      </c>
      <c r="J239">
        <v>-467.35809999999998</v>
      </c>
      <c r="K239">
        <v>1.108598</v>
      </c>
      <c r="L239">
        <v>367.30059999999997</v>
      </c>
      <c r="M239">
        <v>0.99993350000000003</v>
      </c>
      <c r="N239">
        <v>-1.6094579999999901E-3</v>
      </c>
      <c r="O239">
        <v>1.1420619999999999E-2</v>
      </c>
      <c r="P239">
        <v>0.99769260000000004</v>
      </c>
      <c r="Q239">
        <v>-5.0680080000000002E-2</v>
      </c>
      <c r="R239">
        <v>4.5180520000000002E-2</v>
      </c>
      <c r="S239">
        <v>2.9961549999999999</v>
      </c>
      <c r="T239">
        <v>-0.59594559999999996</v>
      </c>
      <c r="U239">
        <v>-0.43444820000000001</v>
      </c>
      <c r="V239">
        <v>-3.3789939999999997E-2</v>
      </c>
      <c r="W239">
        <v>-4.9069160000000001E-2</v>
      </c>
      <c r="X239">
        <v>0.99822370000000005</v>
      </c>
      <c r="Y239">
        <v>0.1516429</v>
      </c>
      <c r="Z239">
        <v>-1.7203739999999999E-2</v>
      </c>
      <c r="AA239">
        <v>0.98828559999999999</v>
      </c>
      <c r="AB239">
        <v>12</v>
      </c>
      <c r="AC239">
        <v>0.70869999999996403</v>
      </c>
      <c r="AD239">
        <v>-0.15677769999999899</v>
      </c>
      <c r="AE239">
        <v>-0.115399999999965</v>
      </c>
      <c r="AF239">
        <v>0.117867120094996</v>
      </c>
      <c r="AG239">
        <v>-0.15677769999999899</v>
      </c>
      <c r="AH239">
        <v>0.67514901142374495</v>
      </c>
      <c r="AI239">
        <v>102.884844840692</v>
      </c>
      <c r="AJ239">
        <v>80.097137790473298</v>
      </c>
      <c r="AK239">
        <v>0.70306336332029096</v>
      </c>
      <c r="AL239">
        <v>92.812585087853904</v>
      </c>
      <c r="AM239">
        <v>91.938725770116804</v>
      </c>
      <c r="AN239">
        <v>1.0000000488749901</v>
      </c>
    </row>
    <row r="240" spans="1:40" x14ac:dyDescent="0.25">
      <c r="A240" t="str">
        <f>"20190305134914538"</f>
        <v>20190305134914538</v>
      </c>
      <c r="B240" t="str">
        <f>"1551764954531100"</f>
        <v>1551764954531100</v>
      </c>
      <c r="C240" t="s">
        <v>40</v>
      </c>
      <c r="D240">
        <v>4.0935670000000002</v>
      </c>
      <c r="E240">
        <v>0.57003999999999999</v>
      </c>
      <c r="F240" t="s">
        <v>41</v>
      </c>
      <c r="G240">
        <v>-466.64299999999997</v>
      </c>
      <c r="H240">
        <v>0.96663339999999998</v>
      </c>
      <c r="I240">
        <v>367.19690000000003</v>
      </c>
      <c r="J240">
        <v>-467.28469999999999</v>
      </c>
      <c r="K240">
        <v>1.1086180000000001</v>
      </c>
      <c r="L240">
        <v>367.3014</v>
      </c>
      <c r="M240">
        <v>0.99993359999999998</v>
      </c>
      <c r="N240">
        <v>-1.579776E-3</v>
      </c>
      <c r="O240">
        <v>1.141465E-2</v>
      </c>
      <c r="P240">
        <v>0.99767419999999996</v>
      </c>
      <c r="Q240">
        <v>-5.0931770000000001E-2</v>
      </c>
      <c r="R240">
        <v>4.5300439999999997E-2</v>
      </c>
      <c r="S240">
        <v>2.9963380000000002</v>
      </c>
      <c r="T240">
        <v>-0.59490359999999998</v>
      </c>
      <c r="U240">
        <v>-0.43356319999999998</v>
      </c>
      <c r="V240">
        <v>-3.391417E-2</v>
      </c>
      <c r="W240">
        <v>-4.9351480000000003E-2</v>
      </c>
      <c r="X240">
        <v>0.99820549999999997</v>
      </c>
      <c r="Y240">
        <v>0.15135960000000001</v>
      </c>
      <c r="Z240">
        <v>-1.714268E-2</v>
      </c>
      <c r="AA240">
        <v>0.98833009999999999</v>
      </c>
      <c r="AB240">
        <v>12</v>
      </c>
      <c r="AC240">
        <v>0.64169999999995697</v>
      </c>
      <c r="AD240">
        <v>-0.14198459999999999</v>
      </c>
      <c r="AE240">
        <v>-0.104499999999973</v>
      </c>
      <c r="AF240">
        <v>0.106727851787003</v>
      </c>
      <c r="AG240">
        <v>-0.14198459999999999</v>
      </c>
      <c r="AH240">
        <v>0.61131037201688498</v>
      </c>
      <c r="AI240">
        <v>102.887545038778</v>
      </c>
      <c r="AJ240">
        <v>80.096624439677896</v>
      </c>
      <c r="AK240">
        <v>0.63659314473190098</v>
      </c>
      <c r="AL240">
        <v>92.8287806486384</v>
      </c>
      <c r="AM240">
        <v>91.945883550576994</v>
      </c>
      <c r="AN240">
        <v>0.99999997986761402</v>
      </c>
    </row>
    <row r="241" spans="1:40" x14ac:dyDescent="0.25">
      <c r="A241" t="str">
        <f>"20190305134914556"</f>
        <v>20190305134914556</v>
      </c>
      <c r="B241" t="str">
        <f>"1551764954540860"</f>
        <v>1551764954540860</v>
      </c>
      <c r="C241" t="s">
        <v>40</v>
      </c>
      <c r="D241">
        <v>4.110989</v>
      </c>
      <c r="E241">
        <v>0.57005939999999999</v>
      </c>
      <c r="F241" t="s">
        <v>41</v>
      </c>
      <c r="G241">
        <v>-466.53440000000001</v>
      </c>
      <c r="H241">
        <v>0.95942879999999997</v>
      </c>
      <c r="I241">
        <v>367.19279999999998</v>
      </c>
      <c r="J241">
        <v>-467.19009999999997</v>
      </c>
      <c r="K241">
        <v>1.1086229999999999</v>
      </c>
      <c r="L241">
        <v>367.30250000000001</v>
      </c>
      <c r="M241">
        <v>0.99993379999999998</v>
      </c>
      <c r="N241">
        <v>-1.54119E-3</v>
      </c>
      <c r="O241">
        <v>1.141203E-2</v>
      </c>
      <c r="P241">
        <v>0.997645</v>
      </c>
      <c r="Q241">
        <v>-5.138773E-2</v>
      </c>
      <c r="R241">
        <v>4.543316E-2</v>
      </c>
      <c r="S241">
        <v>2.9962460000000002</v>
      </c>
      <c r="T241">
        <v>-0.59581450000000002</v>
      </c>
      <c r="U241">
        <v>-0.43301390000000001</v>
      </c>
      <c r="V241">
        <v>-3.4048509999999997E-2</v>
      </c>
      <c r="W241">
        <v>-4.9847089999999997E-2</v>
      </c>
      <c r="X241">
        <v>0.99817630000000002</v>
      </c>
      <c r="Y241">
        <v>0.15117809999999901</v>
      </c>
      <c r="Z241">
        <v>-1.714804E-2</v>
      </c>
      <c r="AA241">
        <v>0.98835779999999995</v>
      </c>
      <c r="AB241">
        <v>12</v>
      </c>
      <c r="AC241">
        <v>0.65569999999996698</v>
      </c>
      <c r="AD241">
        <v>-0.149194199999999</v>
      </c>
      <c r="AE241">
        <v>-0.10970000000003199</v>
      </c>
      <c r="AF241">
        <v>0.11155745461910201</v>
      </c>
      <c r="AG241">
        <v>-0.149194199999999</v>
      </c>
      <c r="AH241">
        <v>0.62302832793868901</v>
      </c>
      <c r="AI241">
        <v>103.263490427194</v>
      </c>
      <c r="AJ241">
        <v>79.848380626376695</v>
      </c>
      <c r="AK241">
        <v>0.65028322476349598</v>
      </c>
      <c r="AL241">
        <v>92.857212004785396</v>
      </c>
      <c r="AM241">
        <v>91.953642681747496</v>
      </c>
      <c r="AN241">
        <v>0.99999997964818899</v>
      </c>
    </row>
    <row r="242" spans="1:40" x14ac:dyDescent="0.25">
      <c r="A242" t="str">
        <f>"20190305134914570"</f>
        <v>20190305134914570</v>
      </c>
      <c r="B242" t="str">
        <f>"1551764954561356"</f>
        <v>1551764954561356</v>
      </c>
      <c r="C242" t="s">
        <v>40</v>
      </c>
      <c r="D242">
        <v>4.1079549999999996</v>
      </c>
      <c r="E242">
        <v>0.57016499999999903</v>
      </c>
      <c r="F242" t="s">
        <v>41</v>
      </c>
      <c r="G242">
        <v>-466.42259999999999</v>
      </c>
      <c r="H242">
        <v>0.95559190000000005</v>
      </c>
      <c r="I242">
        <v>367.19139999999999</v>
      </c>
      <c r="J242">
        <v>-467.11</v>
      </c>
      <c r="K242">
        <v>1.1086389999999999</v>
      </c>
      <c r="L242">
        <v>367.30340000000001</v>
      </c>
      <c r="M242">
        <v>0.99993370000000004</v>
      </c>
      <c r="N242">
        <v>-1.5080060000000001E-3</v>
      </c>
      <c r="O242">
        <v>1.1416239999999999E-2</v>
      </c>
      <c r="P242">
        <v>0.99762169999999895</v>
      </c>
      <c r="Q242">
        <v>-5.1760779999999999E-2</v>
      </c>
      <c r="R242">
        <v>4.5519999999999998E-2</v>
      </c>
      <c r="S242">
        <v>2.9959720000000001</v>
      </c>
      <c r="T242">
        <v>-0.59748069999999998</v>
      </c>
      <c r="U242">
        <v>-0.43280030000000003</v>
      </c>
      <c r="V242">
        <v>-3.413016E-2</v>
      </c>
      <c r="W242">
        <v>-5.0254109999999998E-2</v>
      </c>
      <c r="X242">
        <v>0.99815319999999996</v>
      </c>
      <c r="Y242">
        <v>0.15110979999999999</v>
      </c>
      <c r="Z242">
        <v>-1.7188299999999899E-2</v>
      </c>
      <c r="AA242">
        <v>0.98836760000000001</v>
      </c>
      <c r="AB242">
        <v>13</v>
      </c>
      <c r="AC242">
        <v>0.68740000000002499</v>
      </c>
      <c r="AD242">
        <v>-0.15304709999999999</v>
      </c>
      <c r="AE242">
        <v>-0.112000000000023</v>
      </c>
      <c r="AF242">
        <v>0.114319793337472</v>
      </c>
      <c r="AG242">
        <v>-0.15304709999999999</v>
      </c>
      <c r="AH242">
        <v>0.65447246679912396</v>
      </c>
      <c r="AI242">
        <v>102.972361330482</v>
      </c>
      <c r="AJ242">
        <v>80.091838991146105</v>
      </c>
      <c r="AK242">
        <v>0.68178195910808803</v>
      </c>
      <c r="AL242">
        <v>92.880561517530595</v>
      </c>
      <c r="AM242">
        <v>91.958369255116594</v>
      </c>
      <c r="AN242">
        <v>1.00000007703187</v>
      </c>
    </row>
    <row r="243" spans="1:40" x14ac:dyDescent="0.25">
      <c r="A243" t="str">
        <f>"20190305134914590"</f>
        <v>20190305134914590</v>
      </c>
      <c r="B243" t="str">
        <f>"1551764954580876"</f>
        <v>1551764954580876</v>
      </c>
      <c r="C243" t="s">
        <v>40</v>
      </c>
      <c r="D243">
        <v>4.1102040000000004</v>
      </c>
      <c r="E243">
        <v>0.57026189999999999</v>
      </c>
      <c r="F243" t="s">
        <v>41</v>
      </c>
      <c r="G243">
        <v>-466.31040000000002</v>
      </c>
      <c r="H243">
        <v>0.94899029999999995</v>
      </c>
      <c r="I243">
        <v>367.18729999999999</v>
      </c>
      <c r="J243">
        <v>-466.99259999999998</v>
      </c>
      <c r="K243">
        <v>1.1086659999999999</v>
      </c>
      <c r="L243">
        <v>367.3048</v>
      </c>
      <c r="M243">
        <v>0.99993350000000003</v>
      </c>
      <c r="N243">
        <v>-1.458981E-3</v>
      </c>
      <c r="O243">
        <v>1.1435620000000001E-2</v>
      </c>
      <c r="P243">
        <v>0.9976024</v>
      </c>
      <c r="Q243">
        <v>-5.1784450000000003E-2</v>
      </c>
      <c r="R243">
        <v>4.5912550000000003E-2</v>
      </c>
      <c r="S243">
        <v>2.9958499999999999</v>
      </c>
      <c r="T243">
        <v>-0.59835260000000001</v>
      </c>
      <c r="U243">
        <v>-0.433197</v>
      </c>
      <c r="V243">
        <v>-3.450222E-2</v>
      </c>
      <c r="W243">
        <v>-5.0327749999999997E-2</v>
      </c>
      <c r="X243">
        <v>0.99813660000000004</v>
      </c>
      <c r="Y243">
        <v>0.151251</v>
      </c>
      <c r="Z243">
        <v>-1.7227869999999999E-2</v>
      </c>
      <c r="AA243">
        <v>0.98834529999999998</v>
      </c>
      <c r="AB243">
        <v>13</v>
      </c>
      <c r="AC243">
        <v>0.68219999999996594</v>
      </c>
      <c r="AD243">
        <v>-0.159675699999999</v>
      </c>
      <c r="AE243">
        <v>-0.117500000000006</v>
      </c>
      <c r="AF243">
        <v>0.118964136904455</v>
      </c>
      <c r="AG243">
        <v>-0.159675699999999</v>
      </c>
      <c r="AH243">
        <v>0.64641856172582302</v>
      </c>
      <c r="AI243">
        <v>103.65469596550901</v>
      </c>
      <c r="AJ243">
        <v>79.572209203775202</v>
      </c>
      <c r="AK243">
        <v>0.67639171489869199</v>
      </c>
      <c r="AL243">
        <v>92.884786407417394</v>
      </c>
      <c r="AM243">
        <v>91.979733849458896</v>
      </c>
      <c r="AN243">
        <v>0.99999997893227499</v>
      </c>
    </row>
    <row r="244" spans="1:40" x14ac:dyDescent="0.25">
      <c r="A244" t="str">
        <f>"20190305134914604"</f>
        <v>20190305134914604</v>
      </c>
      <c r="B244" t="str">
        <f>"1551764954591612"</f>
        <v>1551764954591612</v>
      </c>
      <c r="C244" t="s">
        <v>40</v>
      </c>
      <c r="D244">
        <v>4.0784060000000002</v>
      </c>
      <c r="E244">
        <v>0.57027609999999995</v>
      </c>
      <c r="F244" t="s">
        <v>41</v>
      </c>
      <c r="G244">
        <v>-466.1936</v>
      </c>
      <c r="H244">
        <v>0.94927859999999997</v>
      </c>
      <c r="I244">
        <v>367.18900000000002</v>
      </c>
      <c r="J244">
        <v>-466.91039999999998</v>
      </c>
      <c r="K244">
        <v>1.1086780000000001</v>
      </c>
      <c r="L244">
        <v>367.30579999999998</v>
      </c>
      <c r="M244">
        <v>0.99993350000000003</v>
      </c>
      <c r="N244">
        <v>-1.425024E-3</v>
      </c>
      <c r="O244">
        <v>1.145592E-2</v>
      </c>
      <c r="P244">
        <v>0.99759010000000004</v>
      </c>
      <c r="Q244">
        <v>-5.1895089999999998E-2</v>
      </c>
      <c r="R244">
        <v>4.6060999999999998E-2</v>
      </c>
      <c r="S244">
        <v>2.996124</v>
      </c>
      <c r="T244">
        <v>-0.5976458</v>
      </c>
      <c r="U244">
        <v>-0.43316650000000001</v>
      </c>
      <c r="V244">
        <v>-3.4629529999999999E-2</v>
      </c>
      <c r="W244">
        <v>-5.0472929999999999E-2</v>
      </c>
      <c r="X244">
        <v>0.99812489999999998</v>
      </c>
      <c r="Y244">
        <v>0.15125629999999901</v>
      </c>
      <c r="Z244">
        <v>-1.720876E-2</v>
      </c>
      <c r="AA244">
        <v>0.98834480000000002</v>
      </c>
      <c r="AB244">
        <v>13</v>
      </c>
      <c r="AC244">
        <v>0.71679999999997701</v>
      </c>
      <c r="AD244">
        <v>-0.1593994</v>
      </c>
      <c r="AE244">
        <v>-0.116799999999955</v>
      </c>
      <c r="AF244">
        <v>0.11925897705679001</v>
      </c>
      <c r="AG244">
        <v>-0.1593994</v>
      </c>
      <c r="AH244">
        <v>0.68253565586741904</v>
      </c>
      <c r="AI244">
        <v>102.955736462784</v>
      </c>
      <c r="AJ244">
        <v>80.088804299822399</v>
      </c>
      <c r="AK244">
        <v>0.71097524138281998</v>
      </c>
      <c r="AL244">
        <v>92.893115079377395</v>
      </c>
      <c r="AM244">
        <v>91.987056312387594</v>
      </c>
      <c r="AN244">
        <v>1.0000000185054001</v>
      </c>
    </row>
    <row r="245" spans="1:40" x14ac:dyDescent="0.25">
      <c r="A245" t="str">
        <f>"20190305134914624"</f>
        <v>20190305134914624</v>
      </c>
      <c r="B245" t="str">
        <f>"1551764954611132"</f>
        <v>1551764954611132</v>
      </c>
      <c r="C245" t="s">
        <v>40</v>
      </c>
      <c r="D245">
        <v>4.0882300000000003</v>
      </c>
      <c r="E245">
        <v>0.57031480000000001</v>
      </c>
      <c r="F245" t="s">
        <v>41</v>
      </c>
      <c r="G245">
        <v>-466.18709999999999</v>
      </c>
      <c r="H245">
        <v>0.96439350000000001</v>
      </c>
      <c r="I245">
        <v>367.20089999999999</v>
      </c>
      <c r="J245">
        <v>-466.79309999999998</v>
      </c>
      <c r="K245">
        <v>1.1086879999999999</v>
      </c>
      <c r="L245">
        <v>367.30709999999999</v>
      </c>
      <c r="M245">
        <v>0.99993310000000002</v>
      </c>
      <c r="N245">
        <v>-1.377479E-3</v>
      </c>
      <c r="O245">
        <v>1.1491309999999999E-2</v>
      </c>
      <c r="P245">
        <v>0.99756630000000002</v>
      </c>
      <c r="Q245">
        <v>-5.1581269999999999E-2</v>
      </c>
      <c r="R245">
        <v>4.6914419999999998E-2</v>
      </c>
      <c r="S245">
        <v>2.996124</v>
      </c>
      <c r="T245">
        <v>-0.59771009999999902</v>
      </c>
      <c r="U245">
        <v>-0.43341059999999998</v>
      </c>
      <c r="V245">
        <v>-3.5446709999999999E-2</v>
      </c>
      <c r="W245">
        <v>-5.0207439999999999E-2</v>
      </c>
      <c r="X245">
        <v>0.99810960000000004</v>
      </c>
      <c r="Y245">
        <v>0.15136729999999901</v>
      </c>
      <c r="Z245">
        <v>-1.7225270000000001E-2</v>
      </c>
      <c r="AA245">
        <v>0.98832750000000003</v>
      </c>
      <c r="AB245">
        <v>13</v>
      </c>
      <c r="AC245">
        <v>0.60599999999999399</v>
      </c>
      <c r="AD245">
        <v>-0.14429449999999999</v>
      </c>
      <c r="AE245">
        <v>-0.106200000000001</v>
      </c>
      <c r="AF245">
        <v>0.107256861295963</v>
      </c>
      <c r="AG245">
        <v>-0.14429449999999999</v>
      </c>
      <c r="AH245">
        <v>0.57320915539535999</v>
      </c>
      <c r="AI245">
        <v>103.89792502963201</v>
      </c>
      <c r="AJ245">
        <v>79.401575739881196</v>
      </c>
      <c r="AK245">
        <v>0.60074426576903295</v>
      </c>
      <c r="AL245">
        <v>92.877884322716298</v>
      </c>
      <c r="AM245">
        <v>92.033938651244796</v>
      </c>
      <c r="AN245">
        <v>1.0000000149466599</v>
      </c>
    </row>
    <row r="246" spans="1:40" x14ac:dyDescent="0.25">
      <c r="A246" t="str">
        <f>"20190305134914644"</f>
        <v>20190305134914644</v>
      </c>
      <c r="B246" t="str">
        <f>"1551764954631628"</f>
        <v>1551764954631628</v>
      </c>
      <c r="C246" t="s">
        <v>40</v>
      </c>
      <c r="D246">
        <v>4.0955919999999999</v>
      </c>
      <c r="E246">
        <v>0.57038500000000003</v>
      </c>
      <c r="F246" t="s">
        <v>41</v>
      </c>
      <c r="G246">
        <v>-466.06869999999998</v>
      </c>
      <c r="H246">
        <v>0.96465089999999998</v>
      </c>
      <c r="I246">
        <v>367.20269999999999</v>
      </c>
      <c r="J246">
        <v>-466.67340000000002</v>
      </c>
      <c r="K246">
        <v>1.108698</v>
      </c>
      <c r="L246">
        <v>367.30849999999998</v>
      </c>
      <c r="M246">
        <v>0.99993259999999995</v>
      </c>
      <c r="N246">
        <v>-1.3304300000000001E-3</v>
      </c>
      <c r="O246">
        <v>1.153594E-2</v>
      </c>
      <c r="P246">
        <v>0.99753259999999999</v>
      </c>
      <c r="Q246">
        <v>-5.210439E-2</v>
      </c>
      <c r="R246">
        <v>4.7054569999999997E-2</v>
      </c>
      <c r="S246">
        <v>2.9967649999999999</v>
      </c>
      <c r="T246">
        <v>-0.59600209999999998</v>
      </c>
      <c r="U246">
        <v>-0.43106080000000002</v>
      </c>
      <c r="V246">
        <v>-3.5541820000000002E-2</v>
      </c>
      <c r="W246">
        <v>-5.0778209999999997E-2</v>
      </c>
      <c r="X246">
        <v>0.99807729999999995</v>
      </c>
      <c r="Y246">
        <v>0.1506545</v>
      </c>
      <c r="Z246">
        <v>-1.7109869999999999E-2</v>
      </c>
      <c r="AA246">
        <v>0.98843840000000005</v>
      </c>
      <c r="AB246">
        <v>13</v>
      </c>
      <c r="AC246">
        <v>0.60470000000003599</v>
      </c>
      <c r="AD246">
        <v>-0.14404709999999901</v>
      </c>
      <c r="AE246">
        <v>-0.105799999999987</v>
      </c>
      <c r="AF246">
        <v>0.106883760061185</v>
      </c>
      <c r="AG246">
        <v>-0.14404709999999901</v>
      </c>
      <c r="AH246">
        <v>0.57194796991122399</v>
      </c>
      <c r="AI246">
        <v>103.905006188896</v>
      </c>
      <c r="AJ246">
        <v>79.414847146081698</v>
      </c>
      <c r="AK246">
        <v>0.59941486924232801</v>
      </c>
      <c r="AL246">
        <v>92.910628927420404</v>
      </c>
      <c r="AM246">
        <v>92.039457421646304</v>
      </c>
      <c r="AN246">
        <v>0.99999997217750203</v>
      </c>
    </row>
    <row r="247" spans="1:40" x14ac:dyDescent="0.25">
      <c r="A247" t="str">
        <f>"20190305134914658"</f>
        <v>20190305134914658</v>
      </c>
      <c r="B247" t="str">
        <f>"1551764954651148"</f>
        <v>1551764954651148</v>
      </c>
      <c r="C247" t="s">
        <v>40</v>
      </c>
      <c r="D247">
        <v>4.0957759999999999</v>
      </c>
      <c r="E247">
        <v>0.57044680000000003</v>
      </c>
      <c r="F247" t="s">
        <v>41</v>
      </c>
      <c r="G247">
        <v>-465.94900000000001</v>
      </c>
      <c r="H247">
        <v>0.96436129999999998</v>
      </c>
      <c r="I247">
        <v>367.20409999999998</v>
      </c>
      <c r="J247">
        <v>-466.58929999999998</v>
      </c>
      <c r="K247">
        <v>1.108703</v>
      </c>
      <c r="L247">
        <v>367.30950000000001</v>
      </c>
      <c r="M247">
        <v>0.99993220000000005</v>
      </c>
      <c r="N247">
        <v>-1.2985130000000001E-3</v>
      </c>
      <c r="O247">
        <v>1.157304E-2</v>
      </c>
      <c r="P247">
        <v>0.99752949999999996</v>
      </c>
      <c r="Q247">
        <v>-5.2131110000000001E-2</v>
      </c>
      <c r="R247">
        <v>4.7085490000000001E-2</v>
      </c>
      <c r="S247">
        <v>2.996613</v>
      </c>
      <c r="T247">
        <v>-0.5970683</v>
      </c>
      <c r="U247">
        <v>-0.431427</v>
      </c>
      <c r="V247">
        <v>-3.5535049999999999E-2</v>
      </c>
      <c r="W247">
        <v>-5.0837189999999997E-2</v>
      </c>
      <c r="X247">
        <v>0.99807460000000003</v>
      </c>
      <c r="Y247">
        <v>0.15080209999999999</v>
      </c>
      <c r="Z247">
        <v>-1.71602E-2</v>
      </c>
      <c r="AA247">
        <v>0.98841500000000004</v>
      </c>
      <c r="AB247">
        <v>13</v>
      </c>
      <c r="AC247">
        <v>0.64029999999996701</v>
      </c>
      <c r="AD247">
        <v>-0.14434169999999899</v>
      </c>
      <c r="AE247">
        <v>-0.105400000000031</v>
      </c>
      <c r="AF247">
        <v>0.107485100309595</v>
      </c>
      <c r="AG247">
        <v>-0.14434169999999899</v>
      </c>
      <c r="AH247">
        <v>0.60891013467796495</v>
      </c>
      <c r="AI247">
        <v>103.139830443951</v>
      </c>
      <c r="AJ247">
        <v>79.989248783714501</v>
      </c>
      <c r="AK247">
        <v>0.63494812800809997</v>
      </c>
      <c r="AL247">
        <v>92.914012424158599</v>
      </c>
      <c r="AM247">
        <v>92.039074785546106</v>
      </c>
      <c r="AN247">
        <v>1.00000003341537</v>
      </c>
    </row>
    <row r="248" spans="1:40" x14ac:dyDescent="0.25">
      <c r="A248" t="str">
        <f>"20190305134914679"</f>
        <v>20190305134914679</v>
      </c>
      <c r="B248" t="str">
        <f>"1551764954671645"</f>
        <v>1551764954671645</v>
      </c>
      <c r="C248" t="s">
        <v>40</v>
      </c>
      <c r="D248">
        <v>4.093769</v>
      </c>
      <c r="E248">
        <v>0.57050619999999996</v>
      </c>
      <c r="F248" t="s">
        <v>41</v>
      </c>
      <c r="G248">
        <v>-465.8304</v>
      </c>
      <c r="H248">
        <v>0.95764649999999996</v>
      </c>
      <c r="I248">
        <v>367.19970000000001</v>
      </c>
      <c r="J248">
        <v>-466.46249999999998</v>
      </c>
      <c r="K248">
        <v>1.1086990000000001</v>
      </c>
      <c r="L248">
        <v>367.31110000000001</v>
      </c>
      <c r="M248">
        <v>0.99993160000000003</v>
      </c>
      <c r="N248">
        <v>-1.251832E-3</v>
      </c>
      <c r="O248">
        <v>1.163644E-2</v>
      </c>
      <c r="P248">
        <v>0.99750910000000004</v>
      </c>
      <c r="Q248">
        <v>-5.2490059999999998E-2</v>
      </c>
      <c r="R248">
        <v>4.7124180000000002E-2</v>
      </c>
      <c r="S248">
        <v>2.9966430000000002</v>
      </c>
      <c r="T248">
        <v>-0.59659469999999903</v>
      </c>
      <c r="U248">
        <v>-0.43167109999999898</v>
      </c>
      <c r="V248">
        <v>-3.5510029999999998E-2</v>
      </c>
      <c r="W248">
        <v>-5.1243200000000003E-2</v>
      </c>
      <c r="X248">
        <v>0.99805469999999996</v>
      </c>
      <c r="Y248">
        <v>0.15094389999999999</v>
      </c>
      <c r="Z248">
        <v>-1.716997E-2</v>
      </c>
      <c r="AA248">
        <v>0.98839319999999997</v>
      </c>
      <c r="AB248">
        <v>13</v>
      </c>
      <c r="AC248">
        <v>0.63209999999997901</v>
      </c>
      <c r="AD248">
        <v>-0.15105249999999901</v>
      </c>
      <c r="AE248">
        <v>-0.111400000000003</v>
      </c>
      <c r="AF248">
        <v>0.11251603750212601</v>
      </c>
      <c r="AG248">
        <v>-0.15105249999999901</v>
      </c>
      <c r="AH248">
        <v>0.59765893506356704</v>
      </c>
      <c r="AI248">
        <v>103.948694360215</v>
      </c>
      <c r="AJ248">
        <v>79.338213652325393</v>
      </c>
      <c r="AK248">
        <v>0.62663619358663503</v>
      </c>
      <c r="AL248">
        <v>92.937305523749501</v>
      </c>
      <c r="AM248">
        <v>92.037680890607504</v>
      </c>
      <c r="AN248">
        <v>1.00000000598446</v>
      </c>
    </row>
    <row r="249" spans="1:40" x14ac:dyDescent="0.25">
      <c r="A249" t="str">
        <f>"20190305134914694"</f>
        <v>20190305134914694</v>
      </c>
      <c r="B249" t="str">
        <f>"1551764954681404"</f>
        <v>1551764954681404</v>
      </c>
      <c r="C249" t="s">
        <v>40</v>
      </c>
      <c r="D249">
        <v>4.0259299999999998</v>
      </c>
      <c r="E249">
        <v>0.57057179999999996</v>
      </c>
      <c r="F249" t="s">
        <v>41</v>
      </c>
      <c r="G249">
        <v>-465.70710000000003</v>
      </c>
      <c r="H249">
        <v>0.95813369999999998</v>
      </c>
      <c r="I249">
        <v>367.2022</v>
      </c>
      <c r="J249">
        <v>-466.37</v>
      </c>
      <c r="K249">
        <v>1.1087020000000001</v>
      </c>
      <c r="L249">
        <v>367.31220000000002</v>
      </c>
      <c r="M249">
        <v>0.99993100000000001</v>
      </c>
      <c r="N249">
        <v>-1.218741E-3</v>
      </c>
      <c r="O249">
        <v>1.168838E-2</v>
      </c>
      <c r="P249">
        <v>0.99748029999999999</v>
      </c>
      <c r="Q249">
        <v>-5.2726780000000001E-2</v>
      </c>
      <c r="R249">
        <v>4.746533E-2</v>
      </c>
      <c r="S249">
        <v>2.9964900000000001</v>
      </c>
      <c r="T249">
        <v>-0.59717889999999996</v>
      </c>
      <c r="U249">
        <v>-0.43243409999999899</v>
      </c>
      <c r="V249">
        <v>-3.579889E-2</v>
      </c>
      <c r="W249">
        <v>-5.151327E-2</v>
      </c>
      <c r="X249">
        <v>0.99803050000000004</v>
      </c>
      <c r="Y249">
        <v>0.15123629999999999</v>
      </c>
      <c r="Z249">
        <v>-1.7223809999999999E-2</v>
      </c>
      <c r="AA249">
        <v>0.98834759999999999</v>
      </c>
      <c r="AB249">
        <v>14</v>
      </c>
      <c r="AC249">
        <v>0.66289999999997895</v>
      </c>
      <c r="AD249">
        <v>-0.15056829999999999</v>
      </c>
      <c r="AE249">
        <v>-0.110000000000013</v>
      </c>
      <c r="AF249">
        <v>0.11211179125373399</v>
      </c>
      <c r="AG249">
        <v>-0.15056829999999999</v>
      </c>
      <c r="AH249">
        <v>0.62994082305874399</v>
      </c>
      <c r="AI249">
        <v>103.242034150649</v>
      </c>
      <c r="AJ249">
        <v>79.9086184421772</v>
      </c>
      <c r="AK249">
        <v>0.65731674804384799</v>
      </c>
      <c r="AL249">
        <v>92.952799793049905</v>
      </c>
      <c r="AM249">
        <v>92.054292239911206</v>
      </c>
      <c r="AN249">
        <v>1.0000000282207799</v>
      </c>
    </row>
    <row r="250" spans="1:40" x14ac:dyDescent="0.25">
      <c r="A250" t="str">
        <f>"20190305134914712"</f>
        <v>20190305134914712</v>
      </c>
      <c r="B250" t="str">
        <f>"1551764954700924"</f>
        <v>1551764954700924</v>
      </c>
      <c r="C250" t="s">
        <v>40</v>
      </c>
      <c r="D250">
        <v>4.0645749999999996</v>
      </c>
      <c r="E250">
        <v>0.54329919999999998</v>
      </c>
      <c r="F250" t="s">
        <v>41</v>
      </c>
      <c r="G250">
        <v>-465.5847</v>
      </c>
      <c r="H250">
        <v>0.95236279999999995</v>
      </c>
      <c r="I250">
        <v>367.19869999999997</v>
      </c>
      <c r="J250">
        <v>-466.25619999999998</v>
      </c>
      <c r="K250">
        <v>1.1087009999999999</v>
      </c>
      <c r="L250">
        <v>367.31360000000001</v>
      </c>
      <c r="M250">
        <v>0.99993010000000004</v>
      </c>
      <c r="N250">
        <v>-1.1795250000000001E-3</v>
      </c>
      <c r="O250">
        <v>1.175784E-2</v>
      </c>
      <c r="P250">
        <v>0.99745870000000003</v>
      </c>
      <c r="Q250">
        <v>-5.2896569999999997E-2</v>
      </c>
      <c r="R250">
        <v>4.7730130000000003E-2</v>
      </c>
      <c r="S250">
        <v>2.9965820000000001</v>
      </c>
      <c r="T250">
        <v>-0.59676439999999997</v>
      </c>
      <c r="U250">
        <v>-0.43194579999999999</v>
      </c>
      <c r="V250">
        <v>-3.5994569999999997E-2</v>
      </c>
      <c r="W250">
        <v>-5.1722450000000003E-2</v>
      </c>
      <c r="X250">
        <v>0.99801260000000003</v>
      </c>
      <c r="Y250">
        <v>0.15114820000000001</v>
      </c>
      <c r="Z250">
        <v>-1.7214119999999999E-2</v>
      </c>
      <c r="AA250">
        <v>0.98836120000000005</v>
      </c>
      <c r="AB250">
        <v>14</v>
      </c>
      <c r="AC250">
        <v>0.67149999999998</v>
      </c>
      <c r="AD250">
        <v>-0.15633819999999901</v>
      </c>
      <c r="AE250">
        <v>-0.114900000000034</v>
      </c>
      <c r="AF250">
        <v>0.11664460254841801</v>
      </c>
      <c r="AG250">
        <v>-0.15633819999999901</v>
      </c>
      <c r="AH250">
        <v>0.63657849446880799</v>
      </c>
      <c r="AI250">
        <v>103.58072787039301</v>
      </c>
      <c r="AJ250">
        <v>79.616493696972398</v>
      </c>
      <c r="AK250">
        <v>0.66579259210589903</v>
      </c>
      <c r="AL250">
        <v>92.964801049753504</v>
      </c>
      <c r="AM250">
        <v>92.065548503138302</v>
      </c>
      <c r="AN250">
        <v>0.999999985331123</v>
      </c>
    </row>
    <row r="251" spans="1:40" x14ac:dyDescent="0.25">
      <c r="A251" t="str">
        <f>"20190305134914726"</f>
        <v>20190305134914726</v>
      </c>
      <c r="B251" t="str">
        <f>"1551764954721420"</f>
        <v>1551764954721420</v>
      </c>
      <c r="C251" t="s">
        <v>40</v>
      </c>
      <c r="D251">
        <v>4.0875120000000003</v>
      </c>
      <c r="E251">
        <v>0.5288948</v>
      </c>
      <c r="F251" t="s">
        <v>41</v>
      </c>
      <c r="G251">
        <v>-465.45249999999999</v>
      </c>
      <c r="H251">
        <v>0.9685376</v>
      </c>
      <c r="I251">
        <v>367.25650000000002</v>
      </c>
      <c r="J251">
        <v>-466.1653</v>
      </c>
      <c r="K251">
        <v>1.108703</v>
      </c>
      <c r="L251">
        <v>367.31479999999999</v>
      </c>
      <c r="M251">
        <v>0.99992959999999997</v>
      </c>
      <c r="N251">
        <v>-1.14948E-3</v>
      </c>
      <c r="O251">
        <v>1.181663E-2</v>
      </c>
      <c r="P251">
        <v>0.99745050000000002</v>
      </c>
      <c r="Q251">
        <v>-5.2949110000000001E-2</v>
      </c>
      <c r="R251">
        <v>4.784687E-2</v>
      </c>
      <c r="S251">
        <v>2.990173</v>
      </c>
      <c r="T251">
        <v>-0.52158839999999995</v>
      </c>
      <c r="U251">
        <v>-0.21170040000000001</v>
      </c>
      <c r="V251">
        <v>-3.6052479999999998E-2</v>
      </c>
      <c r="W251">
        <v>-5.1805080000000003E-2</v>
      </c>
      <c r="X251">
        <v>0.99800619999999995</v>
      </c>
      <c r="Y251">
        <v>8.1003430000000001E-2</v>
      </c>
      <c r="Z251">
        <v>-9.0803299999999993E-3</v>
      </c>
      <c r="AA251">
        <v>0.99667249999999996</v>
      </c>
      <c r="AB251">
        <v>14</v>
      </c>
      <c r="AC251">
        <v>0.71280000000001498</v>
      </c>
      <c r="AD251">
        <v>-0.1401654</v>
      </c>
      <c r="AE251">
        <v>-5.8299999999974199E-2</v>
      </c>
      <c r="AF251">
        <v>6.4250914550007504E-2</v>
      </c>
      <c r="AG251">
        <v>-0.1401654</v>
      </c>
      <c r="AH251">
        <v>0.685722342293973</v>
      </c>
      <c r="AI251">
        <v>101.503398241662</v>
      </c>
      <c r="AJ251">
        <v>84.6471199024421</v>
      </c>
      <c r="AK251">
        <v>0.70284397279823396</v>
      </c>
      <c r="AL251">
        <v>92.969541826706305</v>
      </c>
      <c r="AM251">
        <v>92.068882038847804</v>
      </c>
      <c r="AN251">
        <v>0.99999996143319703</v>
      </c>
    </row>
    <row r="252" spans="1:40" x14ac:dyDescent="0.25">
      <c r="A252" t="str">
        <f>"20190305134914739"</f>
        <v>20190305134914739</v>
      </c>
      <c r="B252" t="str">
        <f>"1551764954731180"</f>
        <v>1551764954731180</v>
      </c>
      <c r="C252" t="s">
        <v>40</v>
      </c>
      <c r="D252">
        <v>4.0742289999999999</v>
      </c>
      <c r="E252">
        <v>0.5259125</v>
      </c>
      <c r="F252" t="s">
        <v>41</v>
      </c>
      <c r="G252">
        <v>-465.44639999999998</v>
      </c>
      <c r="H252">
        <v>0.98136210000000001</v>
      </c>
      <c r="I252">
        <v>367.2912</v>
      </c>
      <c r="J252">
        <v>-466.08210000000003</v>
      </c>
      <c r="K252">
        <v>1.108703</v>
      </c>
      <c r="L252">
        <v>367.31580000000002</v>
      </c>
      <c r="M252">
        <v>0.99992899999999996</v>
      </c>
      <c r="N252">
        <v>-1.123263E-3</v>
      </c>
      <c r="O252">
        <v>1.1872499999999999E-2</v>
      </c>
      <c r="P252">
        <v>0.99744849999999996</v>
      </c>
      <c r="Q252">
        <v>-5.2927780000000001E-2</v>
      </c>
      <c r="R252">
        <v>4.7908810000000003E-2</v>
      </c>
      <c r="S252">
        <v>2.9842529999999998</v>
      </c>
      <c r="T252">
        <v>-0.52868909999999902</v>
      </c>
      <c r="U252">
        <v>-9.6954349999999995E-2</v>
      </c>
      <c r="V252">
        <v>-3.6058649999999998E-2</v>
      </c>
      <c r="W252">
        <v>-5.1809969999999997E-2</v>
      </c>
      <c r="X252">
        <v>0.9980057</v>
      </c>
      <c r="Y252">
        <v>4.3472469999999999E-2</v>
      </c>
      <c r="Z252">
        <v>-5.9180319999999897E-3</v>
      </c>
      <c r="AA252">
        <v>0.99903710000000001</v>
      </c>
      <c r="AB252">
        <v>14</v>
      </c>
      <c r="AC252">
        <v>0.63570000000004201</v>
      </c>
      <c r="AD252">
        <v>-0.12734090000000001</v>
      </c>
      <c r="AE252">
        <v>-2.46000000000208E-2</v>
      </c>
      <c r="AF252">
        <v>3.0907271762348799E-2</v>
      </c>
      <c r="AG252">
        <v>-0.12734090000000001</v>
      </c>
      <c r="AH252">
        <v>0.61088701952816804</v>
      </c>
      <c r="AI252">
        <v>101.760207791741</v>
      </c>
      <c r="AJ252">
        <v>87.1036419205264</v>
      </c>
      <c r="AK252">
        <v>0.62478309427241197</v>
      </c>
      <c r="AL252">
        <v>92.969822448802702</v>
      </c>
      <c r="AM252">
        <v>92.069236834109802</v>
      </c>
      <c r="AN252">
        <v>0.99999993823185396</v>
      </c>
    </row>
    <row r="253" spans="1:40" x14ac:dyDescent="0.25">
      <c r="A253" t="str">
        <f>"20190305134914757"</f>
        <v>20190305134914757</v>
      </c>
      <c r="B253" t="str">
        <f>"1551764954750701"</f>
        <v>1551764954750701</v>
      </c>
      <c r="C253" t="s">
        <v>40</v>
      </c>
      <c r="D253">
        <v>4.0737889999999997</v>
      </c>
      <c r="E253">
        <v>0.52389719999999995</v>
      </c>
      <c r="F253" t="s">
        <v>41</v>
      </c>
      <c r="G253">
        <v>-465.32130000000001</v>
      </c>
      <c r="H253">
        <v>0.97487400000000002</v>
      </c>
      <c r="I253">
        <v>367.29689999999999</v>
      </c>
      <c r="J253">
        <v>-465.97</v>
      </c>
      <c r="K253">
        <v>1.108708</v>
      </c>
      <c r="L253">
        <v>367.31720000000001</v>
      </c>
      <c r="M253">
        <v>0.99992809999999999</v>
      </c>
      <c r="N253">
        <v>-1.0892429999999999E-3</v>
      </c>
      <c r="O253">
        <v>1.194958E-2</v>
      </c>
      <c r="P253">
        <v>0.99743780000000004</v>
      </c>
      <c r="Q253">
        <v>-5.2838469999999998E-2</v>
      </c>
      <c r="R253">
        <v>4.8231059999999999E-2</v>
      </c>
      <c r="S253">
        <v>2.9833370000000001</v>
      </c>
      <c r="T253">
        <v>-0.52497079999999996</v>
      </c>
      <c r="U253">
        <v>-7.2845460000000001E-2</v>
      </c>
      <c r="V253">
        <v>-3.6303830000000002E-2</v>
      </c>
      <c r="W253">
        <v>-5.1754660000000001E-2</v>
      </c>
      <c r="X253">
        <v>0.99799970000000005</v>
      </c>
      <c r="Y253">
        <v>3.5622750000000002E-2</v>
      </c>
      <c r="Z253">
        <v>-5.2029579999999997E-3</v>
      </c>
      <c r="AA253">
        <v>0.99935169999999995</v>
      </c>
      <c r="AB253">
        <v>14</v>
      </c>
      <c r="AC253">
        <v>0.64870000000001904</v>
      </c>
      <c r="AD253">
        <v>-0.13383399999999901</v>
      </c>
      <c r="AE253">
        <v>-2.0300000000020101E-2</v>
      </c>
      <c r="AF253">
        <v>2.69061279281613E-2</v>
      </c>
      <c r="AG253">
        <v>-0.13383399999999901</v>
      </c>
      <c r="AH253">
        <v>0.62196358459120304</v>
      </c>
      <c r="AI253">
        <v>102.132715664271</v>
      </c>
      <c r="AJ253">
        <v>87.522930566879793</v>
      </c>
      <c r="AK253">
        <v>0.63676854494676904</v>
      </c>
      <c r="AL253">
        <v>92.966649105862999</v>
      </c>
      <c r="AM253">
        <v>92.083306722634404</v>
      </c>
      <c r="AN253">
        <v>0.99999995705223599</v>
      </c>
    </row>
    <row r="254" spans="1:40" x14ac:dyDescent="0.25">
      <c r="A254" t="str">
        <f>"20190305134914770"</f>
        <v>20190305134914770</v>
      </c>
      <c r="B254" t="str">
        <f>"1551764954761437"</f>
        <v>1551764954761437</v>
      </c>
      <c r="C254" t="s">
        <v>40</v>
      </c>
      <c r="D254">
        <v>4.073061</v>
      </c>
      <c r="E254">
        <v>0.52339239999999998</v>
      </c>
      <c r="F254" t="s">
        <v>41</v>
      </c>
      <c r="G254">
        <v>-465.1925</v>
      </c>
      <c r="H254">
        <v>0.97302690000000003</v>
      </c>
      <c r="I254">
        <v>367.3023</v>
      </c>
      <c r="J254">
        <v>-465.88690000000003</v>
      </c>
      <c r="K254">
        <v>1.1087089999999999</v>
      </c>
      <c r="L254">
        <v>367.31830000000002</v>
      </c>
      <c r="M254">
        <v>0.99992729999999996</v>
      </c>
      <c r="N254">
        <v>-1.0649360000000001E-3</v>
      </c>
      <c r="O254">
        <v>1.200759E-2</v>
      </c>
      <c r="P254">
        <v>0.99746469999999998</v>
      </c>
      <c r="Q254">
        <v>-5.2382100000000001E-2</v>
      </c>
      <c r="R254">
        <v>4.816931E-2</v>
      </c>
      <c r="S254">
        <v>2.9828190000000001</v>
      </c>
      <c r="T254">
        <v>-0.52074220000000004</v>
      </c>
      <c r="U254">
        <v>-5.5633540000000002E-2</v>
      </c>
      <c r="V254">
        <v>-3.6184250000000001E-2</v>
      </c>
      <c r="W254">
        <v>-5.1322569999999998E-2</v>
      </c>
      <c r="X254">
        <v>0.99802639999999998</v>
      </c>
      <c r="Y254">
        <v>3.001624E-2</v>
      </c>
      <c r="Z254">
        <v>-4.6840550000000003E-3</v>
      </c>
      <c r="AA254">
        <v>0.99953840000000005</v>
      </c>
      <c r="AB254">
        <v>14</v>
      </c>
      <c r="AC254">
        <v>0.69440000000002999</v>
      </c>
      <c r="AD254">
        <v>-0.135682099999999</v>
      </c>
      <c r="AE254">
        <v>-1.6000000000019499E-2</v>
      </c>
      <c r="AF254">
        <v>2.3442387697691101E-2</v>
      </c>
      <c r="AG254">
        <v>-0.135682099999999</v>
      </c>
      <c r="AH254">
        <v>0.66864316795964096</v>
      </c>
      <c r="AI254">
        <v>101.46393852360799</v>
      </c>
      <c r="AJ254">
        <v>87.992053126245196</v>
      </c>
      <c r="AK254">
        <v>0.68267332147996196</v>
      </c>
      <c r="AL254">
        <v>92.941859097264896</v>
      </c>
      <c r="AM254">
        <v>92.076395101251094</v>
      </c>
      <c r="AN254">
        <v>1.0000000006182099</v>
      </c>
    </row>
    <row r="255" spans="1:40" x14ac:dyDescent="0.25">
      <c r="A255" t="str">
        <f>"20190305134914783"</f>
        <v>20190305134914783</v>
      </c>
      <c r="B255" t="str">
        <f>"1551764954771197"</f>
        <v>1551764954771197</v>
      </c>
      <c r="C255" t="s">
        <v>40</v>
      </c>
      <c r="D255">
        <v>4.04983</v>
      </c>
      <c r="E255">
        <v>0.52300020000000003</v>
      </c>
      <c r="F255" t="s">
        <v>41</v>
      </c>
      <c r="G255">
        <v>-465.06450000000001</v>
      </c>
      <c r="H255">
        <v>0.96579740000000003</v>
      </c>
      <c r="I255">
        <v>367.30349999999999</v>
      </c>
      <c r="J255">
        <v>-465.79610000000002</v>
      </c>
      <c r="K255">
        <v>1.108716</v>
      </c>
      <c r="L255">
        <v>367.31950000000001</v>
      </c>
      <c r="M255">
        <v>0.9999266</v>
      </c>
      <c r="N255">
        <v>-1.04017E-3</v>
      </c>
      <c r="O255">
        <v>1.2072930000000001E-2</v>
      </c>
      <c r="P255">
        <v>0.9974613</v>
      </c>
      <c r="Q255">
        <v>-5.2101550000000003E-2</v>
      </c>
      <c r="R255">
        <v>4.8543080000000002E-2</v>
      </c>
      <c r="S255">
        <v>2.98291</v>
      </c>
      <c r="T255">
        <v>-0.51853970000000005</v>
      </c>
      <c r="U255">
        <v>-5.2093510000000003E-2</v>
      </c>
      <c r="V255">
        <v>-3.6493110000000002E-2</v>
      </c>
      <c r="W255">
        <v>-5.1066779999999999E-2</v>
      </c>
      <c r="X255">
        <v>0.99802829999999998</v>
      </c>
      <c r="Y255">
        <v>2.891612E-2</v>
      </c>
      <c r="Z255">
        <v>-4.5801009999999996E-3</v>
      </c>
      <c r="AA255">
        <v>0.99957130000000005</v>
      </c>
      <c r="AB255">
        <v>15</v>
      </c>
      <c r="AC255">
        <v>0.73160000000001402</v>
      </c>
      <c r="AD255">
        <v>-0.14291860000000001</v>
      </c>
      <c r="AE255">
        <v>-1.6000000000019499E-2</v>
      </c>
      <c r="AF255">
        <v>2.3919034402216401E-2</v>
      </c>
      <c r="AG255">
        <v>-0.14291860000000001</v>
      </c>
      <c r="AH255">
        <v>0.70448198721627997</v>
      </c>
      <c r="AI255">
        <v>101.461556164017</v>
      </c>
      <c r="AJ255">
        <v>88.055403124663201</v>
      </c>
      <c r="AK255">
        <v>0.71923064224551303</v>
      </c>
      <c r="AL255">
        <v>92.927184093995905</v>
      </c>
      <c r="AM255">
        <v>92.094099011254798</v>
      </c>
      <c r="AN255">
        <v>1.00000002534896</v>
      </c>
    </row>
    <row r="256" spans="1:40" x14ac:dyDescent="0.25">
      <c r="A256" t="str">
        <f>"20190305134914804"</f>
        <v>20190305134914804</v>
      </c>
      <c r="B256" t="str">
        <f>"1551764954790716"</f>
        <v>1551764954790716</v>
      </c>
      <c r="C256" t="s">
        <v>40</v>
      </c>
      <c r="D256">
        <v>4.0375930000000002</v>
      </c>
      <c r="E256">
        <v>0.52238839999999997</v>
      </c>
      <c r="F256" t="s">
        <v>41</v>
      </c>
      <c r="G256">
        <v>-465.05759999999998</v>
      </c>
      <c r="H256">
        <v>0.98049319999999895</v>
      </c>
      <c r="I256">
        <v>367.3073</v>
      </c>
      <c r="J256">
        <v>-465.6651</v>
      </c>
      <c r="K256">
        <v>1.1087180000000001</v>
      </c>
      <c r="L256">
        <v>367.3211</v>
      </c>
      <c r="M256">
        <v>0.99992559999999997</v>
      </c>
      <c r="N256">
        <v>-1.006276E-3</v>
      </c>
      <c r="O256">
        <v>1.216951E-2</v>
      </c>
      <c r="P256">
        <v>0.99747839999999999</v>
      </c>
      <c r="Q256">
        <v>-5.171444E-2</v>
      </c>
      <c r="R256">
        <v>4.8609909999999999E-2</v>
      </c>
      <c r="S256">
        <v>2.98291</v>
      </c>
      <c r="T256">
        <v>-0.51804419999999995</v>
      </c>
      <c r="U256">
        <v>-4.7607419999999998E-2</v>
      </c>
      <c r="V256">
        <v>-3.646282E-2</v>
      </c>
      <c r="W256">
        <v>-5.0713590000000003E-2</v>
      </c>
      <c r="X256">
        <v>0.99804740000000003</v>
      </c>
      <c r="Y256">
        <v>2.753036E-2</v>
      </c>
      <c r="Z256">
        <v>-4.4721709999999996E-3</v>
      </c>
      <c r="AA256">
        <v>0.99961100000000003</v>
      </c>
      <c r="AB256">
        <v>15</v>
      </c>
      <c r="AC256">
        <v>0.60750000000001503</v>
      </c>
      <c r="AD256">
        <v>-0.1282248</v>
      </c>
      <c r="AE256">
        <v>-1.3800000000003299E-2</v>
      </c>
      <c r="AF256">
        <v>2.0288560894568999E-2</v>
      </c>
      <c r="AG256">
        <v>-0.1282248</v>
      </c>
      <c r="AH256">
        <v>0.58139888702410902</v>
      </c>
      <c r="AI256">
        <v>102.429886385289</v>
      </c>
      <c r="AJ256">
        <v>88.001411029414996</v>
      </c>
      <c r="AK256">
        <v>0.59571628387268805</v>
      </c>
      <c r="AL256">
        <v>92.906921590360497</v>
      </c>
      <c r="AM256">
        <v>92.092322406679898</v>
      </c>
      <c r="AN256">
        <v>1.0000000090498999</v>
      </c>
    </row>
    <row r="257" spans="1:40" x14ac:dyDescent="0.25">
      <c r="A257" t="str">
        <f>"20190305134914824"</f>
        <v>20190305134914824</v>
      </c>
      <c r="B257" t="str">
        <f>"1551764954811212"</f>
        <v>1551764954811212</v>
      </c>
      <c r="C257" t="s">
        <v>40</v>
      </c>
      <c r="D257">
        <v>4.0117289999999999</v>
      </c>
      <c r="E257">
        <v>0.52211300000000005</v>
      </c>
      <c r="F257" t="s">
        <v>41</v>
      </c>
      <c r="G257">
        <v>-464.92489999999998</v>
      </c>
      <c r="H257">
        <v>0.97992380000000001</v>
      </c>
      <c r="I257">
        <v>367.31049999999999</v>
      </c>
      <c r="J257">
        <v>-465.52600000000001</v>
      </c>
      <c r="K257">
        <v>1.1087279999999999</v>
      </c>
      <c r="L257">
        <v>367.3229</v>
      </c>
      <c r="M257">
        <v>0.99992429999999999</v>
      </c>
      <c r="N257">
        <v>-9.7313520000000004E-4</v>
      </c>
      <c r="O257">
        <v>1.227789E-2</v>
      </c>
      <c r="P257">
        <v>0.99752529999999995</v>
      </c>
      <c r="Q257">
        <v>-5.0738890000000002E-2</v>
      </c>
      <c r="R257">
        <v>4.8674769999999999E-2</v>
      </c>
      <c r="S257">
        <v>2.982758</v>
      </c>
      <c r="T257">
        <v>-0.51902629999999905</v>
      </c>
      <c r="U257">
        <v>-4.2114260000000001E-2</v>
      </c>
      <c r="V257">
        <v>-3.6418869999999999E-2</v>
      </c>
      <c r="W257">
        <v>-4.9771349999999999E-2</v>
      </c>
      <c r="X257">
        <v>0.99809639999999999</v>
      </c>
      <c r="Y257">
        <v>2.5820889999999999E-2</v>
      </c>
      <c r="Z257">
        <v>-4.3509000000000004E-3</v>
      </c>
      <c r="AA257">
        <v>0.99965709999999997</v>
      </c>
      <c r="AB257">
        <v>15</v>
      </c>
      <c r="AC257">
        <v>0.60110000000003005</v>
      </c>
      <c r="AD257">
        <v>-0.12880420000000001</v>
      </c>
      <c r="AE257">
        <v>-1.24000000000137E-2</v>
      </c>
      <c r="AF257">
        <v>1.89113386519019E-2</v>
      </c>
      <c r="AG257">
        <v>-0.12880420000000001</v>
      </c>
      <c r="AH257">
        <v>0.57453324381450899</v>
      </c>
      <c r="AI257">
        <v>102.629543412318</v>
      </c>
      <c r="AJ257">
        <v>88.114732558460005</v>
      </c>
      <c r="AK257">
        <v>0.58909813182123505</v>
      </c>
      <c r="AL257">
        <v>92.852867049472096</v>
      </c>
      <c r="AM257">
        <v>92.089700185066604</v>
      </c>
      <c r="AN257">
        <v>0.99999997253292905</v>
      </c>
    </row>
    <row r="258" spans="1:40" x14ac:dyDescent="0.25">
      <c r="A258" t="str">
        <f>"20190305134914840"</f>
        <v>20190305134914840</v>
      </c>
      <c r="B258" t="str">
        <f>"1551764954830732"</f>
        <v>1551764954830732</v>
      </c>
      <c r="C258" t="s">
        <v>40</v>
      </c>
      <c r="D258">
        <v>4.0136379999999896</v>
      </c>
      <c r="E258">
        <v>0.52203129999999998</v>
      </c>
      <c r="F258" t="s">
        <v>41</v>
      </c>
      <c r="G258">
        <v>-464.78949999999998</v>
      </c>
      <c r="H258">
        <v>0.98156010000000005</v>
      </c>
      <c r="I258">
        <v>367.31279999999998</v>
      </c>
      <c r="J258">
        <v>-465.41860000000003</v>
      </c>
      <c r="K258">
        <v>1.1087320000000001</v>
      </c>
      <c r="L258">
        <v>367.32429999999999</v>
      </c>
      <c r="M258">
        <v>0.99992309999999995</v>
      </c>
      <c r="N258">
        <v>-9.4969019999999996E-4</v>
      </c>
      <c r="O258">
        <v>1.2368560000000001E-2</v>
      </c>
      <c r="P258">
        <v>0.99753340000000001</v>
      </c>
      <c r="Q258">
        <v>-5.0181339999999998E-2</v>
      </c>
      <c r="R258">
        <v>4.9083990000000001E-2</v>
      </c>
      <c r="S258">
        <v>2.9831539999999999</v>
      </c>
      <c r="T258">
        <v>-0.51518629999999999</v>
      </c>
      <c r="U258">
        <v>-3.9642330000000003E-2</v>
      </c>
      <c r="V258">
        <v>-3.67368E-2</v>
      </c>
      <c r="W258">
        <v>-4.9237610000000001E-2</v>
      </c>
      <c r="X258">
        <v>0.99811119999999998</v>
      </c>
      <c r="Y258">
        <v>2.5099400000000001E-2</v>
      </c>
      <c r="Z258">
        <v>-4.271894E-3</v>
      </c>
      <c r="AA258">
        <v>0.9996758</v>
      </c>
      <c r="AB258">
        <v>15</v>
      </c>
      <c r="AC258">
        <v>0.62910000000004995</v>
      </c>
      <c r="AD258">
        <v>-0.1271719</v>
      </c>
      <c r="AE258">
        <v>-1.15000000000122E-2</v>
      </c>
      <c r="AF258">
        <v>1.8523489932650399E-2</v>
      </c>
      <c r="AG258">
        <v>-0.1271719</v>
      </c>
      <c r="AH258">
        <v>0.60422665166817102</v>
      </c>
      <c r="AI258">
        <v>101.880174431809</v>
      </c>
      <c r="AJ258">
        <v>88.244060410194805</v>
      </c>
      <c r="AK258">
        <v>0.61774238839100504</v>
      </c>
      <c r="AL258">
        <v>92.822248517926297</v>
      </c>
      <c r="AM258">
        <v>92.107895267362807</v>
      </c>
      <c r="AN258">
        <v>0.99999995113909401</v>
      </c>
    </row>
    <row r="259" spans="1:40" x14ac:dyDescent="0.25">
      <c r="A259" t="str">
        <f>"20190305134914857"</f>
        <v>20190305134914857</v>
      </c>
      <c r="B259" t="str">
        <f>"1551764954851228"</f>
        <v>1551764954851228</v>
      </c>
      <c r="C259" t="s">
        <v>40</v>
      </c>
      <c r="D259">
        <v>4.008273</v>
      </c>
      <c r="E259">
        <v>0.52202119999999996</v>
      </c>
      <c r="F259" t="s">
        <v>41</v>
      </c>
      <c r="G259">
        <v>-464.65530000000001</v>
      </c>
      <c r="H259">
        <v>0.9772573</v>
      </c>
      <c r="I259">
        <v>367.31470000000002</v>
      </c>
      <c r="J259">
        <v>-465.30270000000002</v>
      </c>
      <c r="K259">
        <v>1.1087389999999999</v>
      </c>
      <c r="L259">
        <v>367.32589999999999</v>
      </c>
      <c r="M259">
        <v>0.99992179999999997</v>
      </c>
      <c r="N259">
        <v>-9.2637290000000005E-4</v>
      </c>
      <c r="O259">
        <v>1.24736E-2</v>
      </c>
      <c r="P259">
        <v>0.99753449999999999</v>
      </c>
      <c r="Q259">
        <v>-4.9874500000000002E-2</v>
      </c>
      <c r="R259">
        <v>4.9373460000000001E-2</v>
      </c>
      <c r="S259">
        <v>2.9834290000000001</v>
      </c>
      <c r="T259">
        <v>-0.51389499999999999</v>
      </c>
      <c r="U259">
        <v>-3.7872309999999999E-2</v>
      </c>
      <c r="V259">
        <v>-3.6920559999999998E-2</v>
      </c>
      <c r="W259">
        <v>-4.8954619999999997E-2</v>
      </c>
      <c r="X259">
        <v>0.99811839999999996</v>
      </c>
      <c r="Y259">
        <v>2.4618640000000001E-2</v>
      </c>
      <c r="Z259">
        <v>-4.2374999999999999E-3</v>
      </c>
      <c r="AA259">
        <v>0.99968789999999996</v>
      </c>
      <c r="AB259">
        <v>15</v>
      </c>
      <c r="AC259">
        <v>0.64740000000000397</v>
      </c>
      <c r="AD259">
        <v>-0.13148169999999901</v>
      </c>
      <c r="AE259">
        <v>-1.1199999999973899E-2</v>
      </c>
      <c r="AF259">
        <v>1.8511248080661801E-2</v>
      </c>
      <c r="AG259">
        <v>-0.13148169999999901</v>
      </c>
      <c r="AH259">
        <v>0.62157972218544999</v>
      </c>
      <c r="AI259">
        <v>101.93847873076901</v>
      </c>
      <c r="AJ259">
        <v>88.294180196565904</v>
      </c>
      <c r="AK259">
        <v>0.63560322117853896</v>
      </c>
      <c r="AL259">
        <v>92.806014638036501</v>
      </c>
      <c r="AM259">
        <v>92.118414254161095</v>
      </c>
      <c r="AN259">
        <v>1.0000000114943</v>
      </c>
    </row>
    <row r="260" spans="1:40" x14ac:dyDescent="0.25">
      <c r="A260" t="str">
        <f>"20190305134914870"</f>
        <v>20190305134914870</v>
      </c>
      <c r="B260" t="str">
        <f>"1551764954860988"</f>
        <v>1551764954860988</v>
      </c>
      <c r="C260" t="s">
        <v>40</v>
      </c>
      <c r="D260">
        <v>3.994027</v>
      </c>
      <c r="E260">
        <v>0.52197139999999997</v>
      </c>
      <c r="F260" t="s">
        <v>41</v>
      </c>
      <c r="G260">
        <v>-464.51870000000002</v>
      </c>
      <c r="H260">
        <v>0.974333</v>
      </c>
      <c r="I260">
        <v>367.3159</v>
      </c>
      <c r="J260">
        <v>-465.20740000000001</v>
      </c>
      <c r="K260">
        <v>1.108744</v>
      </c>
      <c r="L260">
        <v>367.3272</v>
      </c>
      <c r="M260">
        <v>0.99992080000000005</v>
      </c>
      <c r="N260">
        <v>-9.0857670000000005E-4</v>
      </c>
      <c r="O260">
        <v>1.256558E-2</v>
      </c>
      <c r="P260">
        <v>0.99754640000000006</v>
      </c>
      <c r="Q260">
        <v>-4.939607E-2</v>
      </c>
      <c r="R260">
        <v>4.9613570000000003E-2</v>
      </c>
      <c r="S260">
        <v>2.9836429999999998</v>
      </c>
      <c r="T260">
        <v>-0.51158379999999903</v>
      </c>
      <c r="U260">
        <v>-3.7139890000000002E-2</v>
      </c>
      <c r="V260">
        <v>-3.706798E-2</v>
      </c>
      <c r="W260">
        <v>-4.8494519999999999E-2</v>
      </c>
      <c r="X260">
        <v>0.99813540000000001</v>
      </c>
      <c r="Y260">
        <v>2.4470120000000001E-2</v>
      </c>
      <c r="Z260">
        <v>-4.2212880000000001E-3</v>
      </c>
      <c r="AA260">
        <v>0.99969169999999996</v>
      </c>
      <c r="AB260">
        <v>15</v>
      </c>
      <c r="AC260">
        <v>0.68869999999998199</v>
      </c>
      <c r="AD260">
        <v>-0.134410999999999</v>
      </c>
      <c r="AE260">
        <v>-1.1300000000005601E-2</v>
      </c>
      <c r="AF260">
        <v>1.92210931345984E-2</v>
      </c>
      <c r="AG260">
        <v>-0.134410999999999</v>
      </c>
      <c r="AH260">
        <v>0.663247428835954</v>
      </c>
      <c r="AI260">
        <v>101.45149547478501</v>
      </c>
      <c r="AJ260">
        <v>88.340017143126701</v>
      </c>
      <c r="AK260">
        <v>0.67700289452837104</v>
      </c>
      <c r="AL260">
        <v>92.779621491345395</v>
      </c>
      <c r="AM260">
        <v>92.126828920667506</v>
      </c>
      <c r="AN260">
        <v>1.0000000151722299</v>
      </c>
    </row>
    <row r="261" spans="1:40" x14ac:dyDescent="0.25">
      <c r="A261" t="str">
        <f>"20190305134914883"</f>
        <v>20190305134914883</v>
      </c>
      <c r="B261" t="str">
        <f>"1551764954870748"</f>
        <v>1551764954870748</v>
      </c>
      <c r="C261" t="s">
        <v>40</v>
      </c>
      <c r="D261">
        <v>3.9968460000000001</v>
      </c>
      <c r="E261">
        <v>0.5219741</v>
      </c>
      <c r="F261" t="s">
        <v>41</v>
      </c>
      <c r="G261">
        <v>-464.38229999999999</v>
      </c>
      <c r="H261">
        <v>0.96777080000000004</v>
      </c>
      <c r="I261">
        <v>367.31729999999999</v>
      </c>
      <c r="J261">
        <v>-465.11919999999998</v>
      </c>
      <c r="K261">
        <v>1.108744</v>
      </c>
      <c r="L261">
        <v>367.32830000000001</v>
      </c>
      <c r="M261">
        <v>0.99991960000000002</v>
      </c>
      <c r="N261">
        <v>-8.9375899999999896E-4</v>
      </c>
      <c r="O261">
        <v>1.2659770000000001E-2</v>
      </c>
      <c r="P261">
        <v>0.99751849999999997</v>
      </c>
      <c r="Q261">
        <v>-4.949518E-2</v>
      </c>
      <c r="R261">
        <v>5.0072940000000003E-2</v>
      </c>
      <c r="S261">
        <v>2.9838870000000002</v>
      </c>
      <c r="T261">
        <v>-0.5098684</v>
      </c>
      <c r="U261">
        <v>-3.5797120000000002E-2</v>
      </c>
      <c r="V261">
        <v>-3.7432350000000003E-2</v>
      </c>
      <c r="W261">
        <v>-4.8609149999999997E-2</v>
      </c>
      <c r="X261">
        <v>0.99811620000000001</v>
      </c>
      <c r="Y261">
        <v>2.4120880000000001E-2</v>
      </c>
      <c r="Z261">
        <v>-4.1931219999999996E-3</v>
      </c>
      <c r="AA261">
        <v>0.99970020000000004</v>
      </c>
      <c r="AB261">
        <v>15</v>
      </c>
      <c r="AC261">
        <v>0.73689999999999101</v>
      </c>
      <c r="AD261">
        <v>-0.14097319999999899</v>
      </c>
      <c r="AE261">
        <v>-1.10000000000241E-2</v>
      </c>
      <c r="AF261">
        <v>1.9610560270899101E-2</v>
      </c>
      <c r="AG261">
        <v>-0.14097319999999899</v>
      </c>
      <c r="AH261">
        <v>0.71069745840157605</v>
      </c>
      <c r="AI261">
        <v>101.21533442783</v>
      </c>
      <c r="AJ261">
        <v>88.419415623858299</v>
      </c>
      <c r="AK261">
        <v>0.72480955744998199</v>
      </c>
      <c r="AL261">
        <v>92.786197132853999</v>
      </c>
      <c r="AM261">
        <v>92.147756968272702</v>
      </c>
      <c r="AN261">
        <v>0.99999998949634195</v>
      </c>
    </row>
    <row r="262" spans="1:40" x14ac:dyDescent="0.25">
      <c r="A262" t="str">
        <f>"20190305134914902"</f>
        <v>20190305134914902</v>
      </c>
      <c r="B262" t="str">
        <f>"1551764954891244"</f>
        <v>1551764954891244</v>
      </c>
      <c r="C262" t="s">
        <v>40</v>
      </c>
      <c r="D262">
        <v>3.9604219999999999</v>
      </c>
      <c r="E262">
        <v>0.52153349999999998</v>
      </c>
      <c r="F262" t="s">
        <v>41</v>
      </c>
      <c r="G262">
        <v>-464.3759</v>
      </c>
      <c r="H262">
        <v>0.98146610000000001</v>
      </c>
      <c r="I262">
        <v>367.31979999999999</v>
      </c>
      <c r="J262">
        <v>-464.98669999999998</v>
      </c>
      <c r="K262">
        <v>1.108762</v>
      </c>
      <c r="L262">
        <v>367.33019999999999</v>
      </c>
      <c r="M262">
        <v>0.99991759999999996</v>
      </c>
      <c r="N262">
        <v>-8.7341929999999995E-4</v>
      </c>
      <c r="O262">
        <v>1.2812199999999999E-2</v>
      </c>
      <c r="P262">
        <v>0.99752660000000004</v>
      </c>
      <c r="Q262">
        <v>-4.9036049999999998E-2</v>
      </c>
      <c r="R262">
        <v>5.0361980000000001E-2</v>
      </c>
      <c r="S262">
        <v>2.9838260000000001</v>
      </c>
      <c r="T262">
        <v>-0.51089859999999998</v>
      </c>
      <c r="U262">
        <v>-3.4301760000000001E-2</v>
      </c>
      <c r="V262">
        <v>-3.7568320000000002E-2</v>
      </c>
      <c r="W262">
        <v>-4.8171390000000001E-2</v>
      </c>
      <c r="X262">
        <v>0.99813229999999997</v>
      </c>
      <c r="Y262">
        <v>2.3773289999999999E-2</v>
      </c>
      <c r="Z262">
        <v>-4.1976590000000003E-3</v>
      </c>
      <c r="AA262">
        <v>0.9997085</v>
      </c>
      <c r="AB262">
        <v>15</v>
      </c>
      <c r="AC262">
        <v>0.61079999999998302</v>
      </c>
      <c r="AD262">
        <v>-0.12729589999999999</v>
      </c>
      <c r="AE262">
        <v>-1.04000000000041E-2</v>
      </c>
      <c r="AF262">
        <v>1.7466422273342198E-2</v>
      </c>
      <c r="AG262">
        <v>-0.12729589999999999</v>
      </c>
      <c r="AH262">
        <v>0.58520608892687598</v>
      </c>
      <c r="AI262">
        <v>102.266692475384</v>
      </c>
      <c r="AJ262">
        <v>88.290422308408097</v>
      </c>
      <c r="AK262">
        <v>0.599145632197158</v>
      </c>
      <c r="AL262">
        <v>92.761085954626296</v>
      </c>
      <c r="AM262">
        <v>92.155516440127698</v>
      </c>
      <c r="AN262">
        <v>0.99999997489272197</v>
      </c>
    </row>
    <row r="263" spans="1:40" x14ac:dyDescent="0.25">
      <c r="A263" t="str">
        <f>"20190305134914918"</f>
        <v>20190305134914918</v>
      </c>
      <c r="B263" t="str">
        <f>"1551764954910765"</f>
        <v>1551764954910765</v>
      </c>
      <c r="C263" t="s">
        <v>40</v>
      </c>
      <c r="D263">
        <v>3.9661599999999999</v>
      </c>
      <c r="E263">
        <v>0.51125290000000001</v>
      </c>
      <c r="F263" t="s">
        <v>41</v>
      </c>
      <c r="G263">
        <v>-464.23489999999998</v>
      </c>
      <c r="H263">
        <v>0.98106400000000005</v>
      </c>
      <c r="I263">
        <v>367.32209999999998</v>
      </c>
      <c r="J263">
        <v>-464.8759</v>
      </c>
      <c r="K263">
        <v>1.1087720000000001</v>
      </c>
      <c r="L263">
        <v>367.33179999999999</v>
      </c>
      <c r="M263">
        <v>0.99991580000000002</v>
      </c>
      <c r="N263">
        <v>-8.5844199999999995E-4</v>
      </c>
      <c r="O263">
        <v>1.295258E-2</v>
      </c>
      <c r="P263">
        <v>0.99752540000000001</v>
      </c>
      <c r="Q263">
        <v>-4.8991760000000002E-2</v>
      </c>
      <c r="R263">
        <v>5.0430450000000002E-2</v>
      </c>
      <c r="S263">
        <v>2.9840390000000001</v>
      </c>
      <c r="T263">
        <v>-0.50707269999999904</v>
      </c>
      <c r="U263">
        <v>-2.996826E-2</v>
      </c>
      <c r="V263">
        <v>-3.7495540000000001E-2</v>
      </c>
      <c r="W263">
        <v>-4.8143030000000003E-2</v>
      </c>
      <c r="X263">
        <v>0.99813640000000003</v>
      </c>
      <c r="Y263">
        <v>2.2485680000000001E-2</v>
      </c>
      <c r="Z263">
        <v>-4.0807959999999898E-3</v>
      </c>
      <c r="AA263">
        <v>0.99973880000000004</v>
      </c>
      <c r="AB263">
        <v>16</v>
      </c>
      <c r="AC263">
        <v>0.641000000000019</v>
      </c>
      <c r="AD263">
        <v>-0.12770799999999899</v>
      </c>
      <c r="AE263">
        <v>-9.7000000000093695E-3</v>
      </c>
      <c r="AF263">
        <v>1.7314668995262399E-2</v>
      </c>
      <c r="AG263">
        <v>-0.12770799999999899</v>
      </c>
      <c r="AH263">
        <v>0.616360635478163</v>
      </c>
      <c r="AI263">
        <v>101.701380537098</v>
      </c>
      <c r="AJ263">
        <v>88.390882604497605</v>
      </c>
      <c r="AK263">
        <v>0.62969005391022403</v>
      </c>
      <c r="AL263">
        <v>92.759459172520295</v>
      </c>
      <c r="AM263">
        <v>92.151335720491105</v>
      </c>
      <c r="AN263">
        <v>0.99999996993121498</v>
      </c>
    </row>
    <row r="264" spans="1:40" x14ac:dyDescent="0.25">
      <c r="A264" t="str">
        <f>"20190305134914936"</f>
        <v>20190305134914936</v>
      </c>
      <c r="B264" t="str">
        <f>"1551764954931260"</f>
        <v>1551764954931260</v>
      </c>
      <c r="C264" t="s">
        <v>40</v>
      </c>
      <c r="D264">
        <v>4.0247699999999904</v>
      </c>
      <c r="E264">
        <v>0.50905500000000004</v>
      </c>
      <c r="F264" t="s">
        <v>41</v>
      </c>
      <c r="G264">
        <v>-464.06689999999998</v>
      </c>
      <c r="H264">
        <v>1.0338050000000001</v>
      </c>
      <c r="I264">
        <v>367.34719999999999</v>
      </c>
      <c r="J264">
        <v>-464.75170000000003</v>
      </c>
      <c r="K264">
        <v>1.1087800000000001</v>
      </c>
      <c r="L264">
        <v>367.33350000000002</v>
      </c>
      <c r="M264">
        <v>0.99991359999999996</v>
      </c>
      <c r="N264">
        <v>-8.4379679999999904E-4</v>
      </c>
      <c r="O264">
        <v>1.3124429999999999E-2</v>
      </c>
      <c r="P264">
        <v>0.99750720000000004</v>
      </c>
      <c r="Q264">
        <v>-4.9021410000000001E-2</v>
      </c>
      <c r="R264">
        <v>5.0759199999999997E-2</v>
      </c>
      <c r="S264">
        <v>2.990875</v>
      </c>
      <c r="T264">
        <v>-0.27733429999999998</v>
      </c>
      <c r="U264">
        <v>5.825806E-2</v>
      </c>
      <c r="V264">
        <v>-3.76511E-2</v>
      </c>
      <c r="W264">
        <v>-4.8188559999999998E-2</v>
      </c>
      <c r="X264">
        <v>0.99812840000000003</v>
      </c>
      <c r="Y264">
        <v>-6.3789290000000002E-3</v>
      </c>
      <c r="Z264">
        <v>-9.0536709999999995E-4</v>
      </c>
      <c r="AA264">
        <v>0.99997930000000002</v>
      </c>
      <c r="AB264">
        <v>16</v>
      </c>
      <c r="AC264">
        <v>0.68480000000005203</v>
      </c>
      <c r="AD264">
        <v>-7.4975E-2</v>
      </c>
      <c r="AE264">
        <v>1.3699999999971599E-2</v>
      </c>
      <c r="AF264">
        <v>-4.6554263130306698E-3</v>
      </c>
      <c r="AG264">
        <v>-7.4975E-2</v>
      </c>
      <c r="AH264">
        <v>0.67681122760917201</v>
      </c>
      <c r="AI264">
        <v>96.321123210356404</v>
      </c>
      <c r="AJ264">
        <v>90.394101134968494</v>
      </c>
      <c r="AK264">
        <v>0.68096722493596595</v>
      </c>
      <c r="AL264">
        <v>92.762070734660099</v>
      </c>
      <c r="AM264">
        <v>92.160269955531902</v>
      </c>
      <c r="AN264">
        <v>1.0000000227663199</v>
      </c>
    </row>
    <row r="265" spans="1:40" x14ac:dyDescent="0.25">
      <c r="A265" t="str">
        <f>"20190305134914949"</f>
        <v>20190305134914949</v>
      </c>
      <c r="B265" t="str">
        <f>"1551764954941020"</f>
        <v>1551764954941020</v>
      </c>
      <c r="C265" t="s">
        <v>40</v>
      </c>
      <c r="D265">
        <v>3.9091089999999999</v>
      </c>
      <c r="E265">
        <v>0.50923529999999995</v>
      </c>
      <c r="F265" t="s">
        <v>42</v>
      </c>
      <c r="G265">
        <v>-341.94630000000001</v>
      </c>
      <c r="H265" s="1">
        <v>-4.0883320000000003E-6</v>
      </c>
      <c r="I265">
        <v>370.74680000000001</v>
      </c>
      <c r="J265">
        <v>-464.6474</v>
      </c>
      <c r="K265">
        <v>1.108789</v>
      </c>
      <c r="L265">
        <v>367.33510000000001</v>
      </c>
      <c r="M265">
        <v>0.99991140000000001</v>
      </c>
      <c r="N265">
        <v>-8.3303000000000001E-4</v>
      </c>
      <c r="O265">
        <v>1.3279539999999999E-2</v>
      </c>
      <c r="P265">
        <v>0.99748780000000004</v>
      </c>
      <c r="Q265">
        <v>-4.9097769999999999E-2</v>
      </c>
      <c r="R265">
        <v>5.1063329999999997E-2</v>
      </c>
      <c r="S265">
        <v>3.001862</v>
      </c>
      <c r="T265">
        <v>-2.7103189999999999E-2</v>
      </c>
      <c r="U265">
        <v>8.3435060000000005E-2</v>
      </c>
      <c r="V265">
        <v>-3.7799430000000002E-2</v>
      </c>
      <c r="W265">
        <v>-4.827679E-2</v>
      </c>
      <c r="X265">
        <v>0.99811850000000002</v>
      </c>
      <c r="Y265">
        <v>-1.4506639999999999E-2</v>
      </c>
      <c r="Z265" s="1">
        <v>-3.7285479999999999E-5</v>
      </c>
      <c r="AA265">
        <v>0.99989479999999997</v>
      </c>
      <c r="AB265">
        <v>16</v>
      </c>
      <c r="AC265">
        <v>122.7011</v>
      </c>
      <c r="AD265">
        <v>-1.1087930883319901</v>
      </c>
      <c r="AE265">
        <v>3.41169999999999</v>
      </c>
      <c r="AF265">
        <v>-1.7818389208390499</v>
      </c>
      <c r="AG265">
        <v>-1.1087930883319901</v>
      </c>
      <c r="AH265">
        <v>122.725572497542</v>
      </c>
      <c r="AI265">
        <v>90.517583582978901</v>
      </c>
      <c r="AJ265">
        <v>90.831812597616306</v>
      </c>
      <c r="AK265">
        <v>122.74351517250101</v>
      </c>
      <c r="AL265">
        <v>92.767131914903501</v>
      </c>
      <c r="AM265">
        <v>92.168793919126202</v>
      </c>
      <c r="AN265">
        <v>0.99999999270163897</v>
      </c>
    </row>
    <row r="266" spans="1:40" x14ac:dyDescent="0.25">
      <c r="A266" t="str">
        <f>"20190305134914962"</f>
        <v>20190305134914962</v>
      </c>
      <c r="B266" t="str">
        <f>"1551764954950781"</f>
        <v>1551764954950781</v>
      </c>
      <c r="C266" t="s">
        <v>40</v>
      </c>
      <c r="D266">
        <v>4.0447749999999996</v>
      </c>
      <c r="E266">
        <v>0.50953939999999998</v>
      </c>
      <c r="F266" t="s">
        <v>42</v>
      </c>
      <c r="G266">
        <v>-354.54599999999999</v>
      </c>
      <c r="H266" s="1">
        <v>-2.518004E-6</v>
      </c>
      <c r="I266">
        <v>370.35270000000003</v>
      </c>
      <c r="J266">
        <v>-464.55579999999998</v>
      </c>
      <c r="K266">
        <v>1.1087990000000001</v>
      </c>
      <c r="L266">
        <v>367.33640000000003</v>
      </c>
      <c r="M266">
        <v>0.99990939999999995</v>
      </c>
      <c r="N266">
        <v>-8.2541820000000003E-4</v>
      </c>
      <c r="O266">
        <v>1.342993E-2</v>
      </c>
      <c r="P266">
        <v>0.99748460000000005</v>
      </c>
      <c r="Q266">
        <v>-4.9096760000000003E-2</v>
      </c>
      <c r="R266">
        <v>5.1128390000000003E-2</v>
      </c>
      <c r="S266">
        <v>3.001862</v>
      </c>
      <c r="T266">
        <v>-3.023064E-2</v>
      </c>
      <c r="U266">
        <v>8.2275390000000004E-2</v>
      </c>
      <c r="V266">
        <v>-3.771327E-2</v>
      </c>
      <c r="W266">
        <v>-4.8284309999999997E-2</v>
      </c>
      <c r="X266">
        <v>0.99812140000000005</v>
      </c>
      <c r="Y266">
        <v>-1.397028E-2</v>
      </c>
      <c r="Z266" s="1">
        <v>-4.8029380000000003E-5</v>
      </c>
      <c r="AA266">
        <v>0.99990239999999997</v>
      </c>
      <c r="AB266">
        <v>16</v>
      </c>
      <c r="AC266">
        <v>110.009799999999</v>
      </c>
      <c r="AD266">
        <v>-1.1088015180039901</v>
      </c>
      <c r="AE266">
        <v>3.0163000000000002</v>
      </c>
      <c r="AF266">
        <v>-1.5384472762186601</v>
      </c>
      <c r="AG266">
        <v>-1.1088015180039901</v>
      </c>
      <c r="AH266">
        <v>110.029218094353</v>
      </c>
      <c r="AI266">
        <v>90.5773129126746</v>
      </c>
      <c r="AJ266">
        <v>90.801067151826203</v>
      </c>
      <c r="AK266">
        <v>110.0455591802</v>
      </c>
      <c r="AL266">
        <v>92.767563269674895</v>
      </c>
      <c r="AM266">
        <v>92.163848795118895</v>
      </c>
      <c r="AN266">
        <v>0.99999999723211397</v>
      </c>
    </row>
    <row r="267" spans="1:40" x14ac:dyDescent="0.25">
      <c r="A267" t="str">
        <f>"20190305134914980"</f>
        <v>20190305134914980</v>
      </c>
      <c r="B267" t="str">
        <f>"1551764954971276"</f>
        <v>1551764954971276</v>
      </c>
      <c r="C267" t="s">
        <v>40</v>
      </c>
      <c r="D267">
        <v>4.0045070000000003</v>
      </c>
      <c r="E267">
        <v>0.51002130000000001</v>
      </c>
      <c r="F267" t="s">
        <v>43</v>
      </c>
      <c r="G267">
        <v>-291.63499999999999</v>
      </c>
      <c r="H267">
        <v>-0.05</v>
      </c>
      <c r="I267">
        <v>371.97129999999999</v>
      </c>
      <c r="J267">
        <v>-464.42250000000001</v>
      </c>
      <c r="K267">
        <v>1.1088129999999901</v>
      </c>
      <c r="L267">
        <v>367.33850000000001</v>
      </c>
      <c r="M267">
        <v>0.99990650000000003</v>
      </c>
      <c r="N267">
        <v>-8.1609909999999996E-4</v>
      </c>
      <c r="O267">
        <v>1.366001E-2</v>
      </c>
      <c r="P267">
        <v>0.99748179999999997</v>
      </c>
      <c r="Q267">
        <v>-4.9082140000000003E-2</v>
      </c>
      <c r="R267">
        <v>5.1197350000000003E-2</v>
      </c>
      <c r="S267">
        <v>3.0024109999999999</v>
      </c>
      <c r="T267">
        <v>-2.0120140000000002E-2</v>
      </c>
      <c r="U267">
        <v>8.0474850000000001E-2</v>
      </c>
      <c r="V267">
        <v>-3.7550500000000001E-2</v>
      </c>
      <c r="W267">
        <v>-4.8280289999999997E-2</v>
      </c>
      <c r="X267">
        <v>0.99812780000000001</v>
      </c>
      <c r="Y267">
        <v>-1.313608E-2</v>
      </c>
      <c r="Z267" s="1">
        <v>-3.1002469999999998E-5</v>
      </c>
      <c r="AA267">
        <v>0.99991370000000002</v>
      </c>
      <c r="AB267">
        <v>16</v>
      </c>
      <c r="AC267">
        <v>172.78749999999999</v>
      </c>
      <c r="AD267">
        <v>-1.1588130000000001</v>
      </c>
      <c r="AE267">
        <v>4.6327999999999703</v>
      </c>
      <c r="AF267">
        <v>-2.2719861880597101</v>
      </c>
      <c r="AG267">
        <v>-1.1588130000000001</v>
      </c>
      <c r="AH267">
        <v>172.82689477268499</v>
      </c>
      <c r="AI267">
        <v>90.384132129087305</v>
      </c>
      <c r="AJ267">
        <v>90.753168202016198</v>
      </c>
      <c r="AK267">
        <v>172.845712488266</v>
      </c>
      <c r="AL267">
        <v>92.767332481823203</v>
      </c>
      <c r="AM267">
        <v>92.154504669487494</v>
      </c>
      <c r="AN267">
        <v>1.0000000657927799</v>
      </c>
    </row>
    <row r="268" spans="1:40" x14ac:dyDescent="0.25">
      <c r="A268" t="str">
        <f>"20190305134914994"</f>
        <v>20190305134914994</v>
      </c>
      <c r="B268" t="str">
        <f>"1551764954990796"</f>
        <v>1551764954990796</v>
      </c>
      <c r="C268" t="s">
        <v>40</v>
      </c>
      <c r="D268">
        <v>3.999803</v>
      </c>
      <c r="E268">
        <v>0.5096773</v>
      </c>
      <c r="F268" t="s">
        <v>44</v>
      </c>
      <c r="G268">
        <v>-182.53829999999999</v>
      </c>
      <c r="H268" s="1">
        <v>-6.9611519999999999E-6</v>
      </c>
      <c r="I268">
        <v>374.59160000000003</v>
      </c>
      <c r="J268">
        <v>-464.31659999999999</v>
      </c>
      <c r="K268">
        <v>1.108822</v>
      </c>
      <c r="L268">
        <v>367.34010000000001</v>
      </c>
      <c r="M268">
        <v>0.99990380000000001</v>
      </c>
      <c r="N268">
        <v>-8.1041160000000002E-4</v>
      </c>
      <c r="O268">
        <v>1.3854750000000001E-2</v>
      </c>
      <c r="P268">
        <v>0.99747940000000002</v>
      </c>
      <c r="Q268">
        <v>-4.9244860000000001E-2</v>
      </c>
      <c r="R268">
        <v>5.1087680000000003E-2</v>
      </c>
      <c r="S268">
        <v>3.0030209999999999</v>
      </c>
      <c r="T268">
        <v>-1.1812690000000001E-2</v>
      </c>
      <c r="U268">
        <v>7.7270510000000001E-2</v>
      </c>
      <c r="V268">
        <v>-3.724512E-2</v>
      </c>
      <c r="W268">
        <v>-4.8449619999999999E-2</v>
      </c>
      <c r="X268">
        <v>0.99813099999999999</v>
      </c>
      <c r="Y268">
        <v>-1.186973E-2</v>
      </c>
      <c r="Z268" s="1">
        <v>-1.510722E-5</v>
      </c>
      <c r="AA268">
        <v>0.99992950000000003</v>
      </c>
      <c r="AB268">
        <v>16</v>
      </c>
      <c r="AC268">
        <v>281.7783</v>
      </c>
      <c r="AD268">
        <v>-1.1088289611519999</v>
      </c>
      <c r="AE268">
        <v>7.2515000000000196</v>
      </c>
      <c r="AF268">
        <v>-3.3467834434911898</v>
      </c>
      <c r="AG268">
        <v>-1.1088289611519999</v>
      </c>
      <c r="AH268">
        <v>281.84736063598302</v>
      </c>
      <c r="AI268">
        <v>90.225392968998705</v>
      </c>
      <c r="AJ268">
        <v>90.6803241082618</v>
      </c>
      <c r="AK268">
        <v>281.86941153405201</v>
      </c>
      <c r="AL268">
        <v>92.777045845199197</v>
      </c>
      <c r="AM268">
        <v>92.136992595003505</v>
      </c>
      <c r="AN268">
        <v>1.0000000289014701</v>
      </c>
    </row>
    <row r="269" spans="1:40" x14ac:dyDescent="0.25">
      <c r="A269" t="str">
        <f>"20190305134915015"</f>
        <v>20190305134915015</v>
      </c>
      <c r="B269" t="str">
        <f>"1551764955011292"</f>
        <v>1551764955011292</v>
      </c>
      <c r="C269" t="s">
        <v>40</v>
      </c>
      <c r="D269">
        <v>3.9980859999999998</v>
      </c>
      <c r="E269">
        <v>0.50917299999999999</v>
      </c>
      <c r="F269" t="s">
        <v>45</v>
      </c>
      <c r="G269">
        <v>-158.19499999999999</v>
      </c>
      <c r="H269">
        <v>9.3658920000000007E-2</v>
      </c>
      <c r="I269">
        <v>375.48450000000003</v>
      </c>
      <c r="J269">
        <v>-464.1671</v>
      </c>
      <c r="K269">
        <v>1.1088249999999999</v>
      </c>
      <c r="L269">
        <v>367.34249999999997</v>
      </c>
      <c r="M269">
        <v>0.99989969999999995</v>
      </c>
      <c r="N269">
        <v>-8.0506830000000003E-4</v>
      </c>
      <c r="O269">
        <v>1.4145690000000001E-2</v>
      </c>
      <c r="P269">
        <v>0.99746299999999999</v>
      </c>
      <c r="Q269">
        <v>-4.9380350000000003E-2</v>
      </c>
      <c r="R269">
        <v>5.1277259999999998E-2</v>
      </c>
      <c r="S269">
        <v>3.0030209999999999</v>
      </c>
      <c r="T269">
        <v>-9.9577899999999994E-3</v>
      </c>
      <c r="U269">
        <v>7.9895019999999997E-2</v>
      </c>
      <c r="V269">
        <v>-3.7143009999999997E-2</v>
      </c>
      <c r="W269">
        <v>-4.8591700000000002E-2</v>
      </c>
      <c r="X269">
        <v>0.99812789999999996</v>
      </c>
      <c r="Y269">
        <v>-1.2452080000000001E-2</v>
      </c>
      <c r="Z269" s="1">
        <v>-9.8525359999999994E-6</v>
      </c>
      <c r="AA269">
        <v>0.99992250000000005</v>
      </c>
      <c r="AB269">
        <v>17</v>
      </c>
      <c r="AC269">
        <v>305.97210000000001</v>
      </c>
      <c r="AD269">
        <v>-1.01516608</v>
      </c>
      <c r="AE269">
        <v>8.1420000000000492</v>
      </c>
      <c r="AF269">
        <v>-3.8129558716581902</v>
      </c>
      <c r="AG269">
        <v>-1.01516608</v>
      </c>
      <c r="AH269">
        <v>306.05329343040802</v>
      </c>
      <c r="AI269">
        <v>90.190032280079393</v>
      </c>
      <c r="AJ269">
        <v>90.713780840418096</v>
      </c>
      <c r="AK269">
        <v>306.07872780421798</v>
      </c>
      <c r="AL269">
        <v>92.785196023962797</v>
      </c>
      <c r="AM269">
        <v>92.131145908573799</v>
      </c>
      <c r="AN269">
        <v>1.00000003062957</v>
      </c>
    </row>
    <row r="270" spans="1:40" x14ac:dyDescent="0.25">
      <c r="A270" t="str">
        <f>"20190305134915031"</f>
        <v>20190305134915031</v>
      </c>
      <c r="B270" t="str">
        <f>"1551764955021052"</f>
        <v>1551764955021052</v>
      </c>
      <c r="C270" t="s">
        <v>40</v>
      </c>
      <c r="D270">
        <v>3.9965830000000002</v>
      </c>
      <c r="E270">
        <v>0.50910040000000001</v>
      </c>
      <c r="F270" t="s">
        <v>42</v>
      </c>
      <c r="G270">
        <v>-220.5839</v>
      </c>
      <c r="H270" s="1">
        <v>-4.8891060000000001E-6</v>
      </c>
      <c r="I270">
        <v>374.1927</v>
      </c>
      <c r="J270">
        <v>-464.04410000000001</v>
      </c>
      <c r="K270">
        <v>1.108833</v>
      </c>
      <c r="L270">
        <v>367.34449999999998</v>
      </c>
      <c r="M270">
        <v>0.99989609999999995</v>
      </c>
      <c r="N270">
        <v>-8.0245350000000002E-4</v>
      </c>
      <c r="O270">
        <v>1.4395079999999999E-2</v>
      </c>
      <c r="P270">
        <v>0.99745260000000002</v>
      </c>
      <c r="Q270">
        <v>-4.9607749999999999E-2</v>
      </c>
      <c r="R270">
        <v>5.1260529999999999E-2</v>
      </c>
      <c r="S270">
        <v>3.0026250000000001</v>
      </c>
      <c r="T270">
        <v>-1.3668420000000001E-2</v>
      </c>
      <c r="U270">
        <v>8.4442139999999999E-2</v>
      </c>
      <c r="V270">
        <v>-3.6876060000000002E-2</v>
      </c>
      <c r="W270">
        <v>-4.8822499999999998E-2</v>
      </c>
      <c r="X270">
        <v>0.99812650000000003</v>
      </c>
      <c r="Y270">
        <v>-1.371929E-2</v>
      </c>
      <c r="Z270" s="1">
        <v>-1.7234920000000001E-5</v>
      </c>
      <c r="AA270">
        <v>0.99990590000000001</v>
      </c>
      <c r="AB270">
        <v>17</v>
      </c>
      <c r="AC270">
        <v>243.46019999999999</v>
      </c>
      <c r="AD270">
        <v>-1.108837889106</v>
      </c>
      <c r="AE270">
        <v>6.8482000000000101</v>
      </c>
      <c r="AF270">
        <v>-3.3427910843166599</v>
      </c>
      <c r="AG270">
        <v>-1.108837889106</v>
      </c>
      <c r="AH270">
        <v>243.52850676782899</v>
      </c>
      <c r="AI270">
        <v>90.260853683103406</v>
      </c>
      <c r="AJ270">
        <v>90.786420431136804</v>
      </c>
      <c r="AK270">
        <v>243.553972216152</v>
      </c>
      <c r="AL270">
        <v>92.798435702843705</v>
      </c>
      <c r="AM270">
        <v>92.115846116661601</v>
      </c>
      <c r="AN270">
        <v>0.99999999515481097</v>
      </c>
    </row>
    <row r="271" spans="1:40" x14ac:dyDescent="0.25">
      <c r="A271" t="str">
        <f>"20190305134915046"</f>
        <v>20190305134915046</v>
      </c>
      <c r="B271" t="str">
        <f>"1551764955041548"</f>
        <v>1551764955041548</v>
      </c>
      <c r="C271" t="s">
        <v>40</v>
      </c>
      <c r="D271">
        <v>3.9353600000000002</v>
      </c>
      <c r="E271">
        <v>0.50911019999999996</v>
      </c>
      <c r="F271" t="s">
        <v>42</v>
      </c>
      <c r="G271">
        <v>-248.7406</v>
      </c>
      <c r="H271" s="1">
        <v>-1.590604E-6</v>
      </c>
      <c r="I271">
        <v>373.43029999999999</v>
      </c>
      <c r="J271">
        <v>-463.92430000000002</v>
      </c>
      <c r="K271">
        <v>1.1088420000000001</v>
      </c>
      <c r="L271">
        <v>367.34649999999999</v>
      </c>
      <c r="M271">
        <v>0.99989240000000001</v>
      </c>
      <c r="N271">
        <v>-8.0183019999999997E-4</v>
      </c>
      <c r="O271">
        <v>1.46456E-2</v>
      </c>
      <c r="P271">
        <v>0.99745899999999998</v>
      </c>
      <c r="Q271">
        <v>-4.9675619999999997E-2</v>
      </c>
      <c r="R271">
        <v>5.1070190000000001E-2</v>
      </c>
      <c r="S271">
        <v>3.0025330000000001</v>
      </c>
      <c r="T271">
        <v>-1.5463350000000001E-2</v>
      </c>
      <c r="U271">
        <v>8.4869379999999994E-2</v>
      </c>
      <c r="V271">
        <v>-3.6434729999999999E-2</v>
      </c>
      <c r="W271">
        <v>-4.8891379999999998E-2</v>
      </c>
      <c r="X271">
        <v>0.99813929999999995</v>
      </c>
      <c r="Y271">
        <v>-1.361179E-2</v>
      </c>
      <c r="Z271" s="1">
        <v>-2.3160950000000001E-5</v>
      </c>
      <c r="AA271">
        <v>0.9999074</v>
      </c>
      <c r="AB271">
        <v>17</v>
      </c>
      <c r="AC271">
        <v>215.18369999999999</v>
      </c>
      <c r="AD271">
        <v>-1.108843590604</v>
      </c>
      <c r="AE271">
        <v>6.0837999999999903</v>
      </c>
      <c r="AF271">
        <v>-2.9315742234953301</v>
      </c>
      <c r="AG271">
        <v>-1.108843590604</v>
      </c>
      <c r="AH271">
        <v>215.24401099763199</v>
      </c>
      <c r="AI271">
        <v>90.295132970316303</v>
      </c>
      <c r="AJ271">
        <v>90.780307172618805</v>
      </c>
      <c r="AK271">
        <v>215.26682961358699</v>
      </c>
      <c r="AL271">
        <v>92.802387055083102</v>
      </c>
      <c r="AM271">
        <v>92.090519643563596</v>
      </c>
      <c r="AN271">
        <v>0.99999995939648201</v>
      </c>
    </row>
    <row r="272" spans="1:40" x14ac:dyDescent="0.25">
      <c r="A272" t="str">
        <f>"20190305134915060"</f>
        <v>20190305134915060</v>
      </c>
      <c r="B272" t="str">
        <f>"1551764955051309"</f>
        <v>1551764955051309</v>
      </c>
      <c r="C272" t="s">
        <v>40</v>
      </c>
      <c r="D272">
        <v>3.9644910000000002</v>
      </c>
      <c r="E272">
        <v>0.50910250000000001</v>
      </c>
      <c r="F272" t="s">
        <v>42</v>
      </c>
      <c r="G272">
        <v>-260.20030000000003</v>
      </c>
      <c r="H272" s="1">
        <v>-4.8204450000000002E-6</v>
      </c>
      <c r="I272">
        <v>373.06979999999999</v>
      </c>
      <c r="J272">
        <v>-463.82040000000001</v>
      </c>
      <c r="K272">
        <v>1.1088439999999999</v>
      </c>
      <c r="L272">
        <v>367.34829999999999</v>
      </c>
      <c r="M272">
        <v>0.99988920000000003</v>
      </c>
      <c r="N272">
        <v>-8.025625E-4</v>
      </c>
      <c r="O272">
        <v>1.48665E-2</v>
      </c>
      <c r="P272">
        <v>0.99745980000000001</v>
      </c>
      <c r="Q272">
        <v>-4.9599020000000001E-2</v>
      </c>
      <c r="R272">
        <v>5.1129180000000003E-2</v>
      </c>
      <c r="S272">
        <v>3.0025019999999998</v>
      </c>
      <c r="T272">
        <v>-1.6342280000000001E-2</v>
      </c>
      <c r="U272">
        <v>8.4350590000000003E-2</v>
      </c>
      <c r="V272">
        <v>-3.6272569999999997E-2</v>
      </c>
      <c r="W272">
        <v>-4.881427E-2</v>
      </c>
      <c r="X272">
        <v>0.99814899999999995</v>
      </c>
      <c r="Y272">
        <v>-1.3218540000000001E-2</v>
      </c>
      <c r="Z272" s="1">
        <v>-2.7692239999999998E-5</v>
      </c>
      <c r="AA272">
        <v>0.99991260000000004</v>
      </c>
      <c r="AB272">
        <v>17</v>
      </c>
      <c r="AC272">
        <v>203.62010000000001</v>
      </c>
      <c r="AD272">
        <v>-1.108848820445</v>
      </c>
      <c r="AE272">
        <v>5.72149999999999</v>
      </c>
      <c r="AF272">
        <v>-2.69366879673855</v>
      </c>
      <c r="AG272">
        <v>-1.108848820445</v>
      </c>
      <c r="AH272">
        <v>203.676620780485</v>
      </c>
      <c r="AI272">
        <v>90.311897233967002</v>
      </c>
      <c r="AJ272">
        <v>90.757705306066498</v>
      </c>
      <c r="AK272">
        <v>203.697450278226</v>
      </c>
      <c r="AL272">
        <v>92.797963640218398</v>
      </c>
      <c r="AM272">
        <v>92.081203363735199</v>
      </c>
      <c r="AN272">
        <v>0.99999997924551798</v>
      </c>
    </row>
    <row r="273" spans="1:40" x14ac:dyDescent="0.25">
      <c r="A273" t="str">
        <f>"20190305134915072"</f>
        <v>20190305134915072</v>
      </c>
      <c r="B273" t="str">
        <f>"1551764955061069"</f>
        <v>1551764955061069</v>
      </c>
      <c r="C273" t="s">
        <v>40</v>
      </c>
      <c r="D273">
        <v>3.9256769999999999</v>
      </c>
      <c r="E273">
        <v>0.50918549999999996</v>
      </c>
      <c r="F273" t="s">
        <v>42</v>
      </c>
      <c r="G273">
        <v>-265.59750000000003</v>
      </c>
      <c r="H273" s="1">
        <v>-2.7540639999999999E-6</v>
      </c>
      <c r="I273">
        <v>372.93520000000001</v>
      </c>
      <c r="J273">
        <v>-463.72269999999997</v>
      </c>
      <c r="K273">
        <v>1.1088480000000001</v>
      </c>
      <c r="L273">
        <v>367.35</v>
      </c>
      <c r="M273">
        <v>0.99988600000000005</v>
      </c>
      <c r="N273">
        <v>-8.0395079999999995E-4</v>
      </c>
      <c r="O273">
        <v>1.5075649999999999E-2</v>
      </c>
      <c r="P273">
        <v>0.99747220000000003</v>
      </c>
      <c r="Q273">
        <v>-4.9320709999999997E-2</v>
      </c>
      <c r="R273">
        <v>5.1154369999999998E-2</v>
      </c>
      <c r="S273">
        <v>3.002472</v>
      </c>
      <c r="T273">
        <v>-1.6795640000000001E-2</v>
      </c>
      <c r="U273">
        <v>8.4625240000000004E-2</v>
      </c>
      <c r="V273">
        <v>-3.6089339999999998E-2</v>
      </c>
      <c r="W273">
        <v>-4.85347E-2</v>
      </c>
      <c r="X273">
        <v>0.99816930000000004</v>
      </c>
      <c r="Y273">
        <v>-1.3101069999999999E-2</v>
      </c>
      <c r="Z273" s="1">
        <v>-3.028627E-5</v>
      </c>
      <c r="AA273">
        <v>0.99991419999999998</v>
      </c>
      <c r="AB273">
        <v>17</v>
      </c>
      <c r="AC273">
        <v>198.12519999999901</v>
      </c>
      <c r="AD273">
        <v>-1.108850754064</v>
      </c>
      <c r="AE273">
        <v>5.58519999999998</v>
      </c>
      <c r="AF273">
        <v>-2.5976167391383602</v>
      </c>
      <c r="AG273">
        <v>-1.108850754064</v>
      </c>
      <c r="AH273">
        <v>198.18068204749599</v>
      </c>
      <c r="AI273">
        <v>90.320547633996199</v>
      </c>
      <c r="AJ273">
        <v>90.750950859896506</v>
      </c>
      <c r="AK273">
        <v>198.20080701028701</v>
      </c>
      <c r="AL273">
        <v>92.781926379437806</v>
      </c>
      <c r="AM273">
        <v>92.070657315442602</v>
      </c>
      <c r="AN273">
        <v>1.0000000045141</v>
      </c>
    </row>
    <row r="274" spans="1:40" x14ac:dyDescent="0.25">
      <c r="A274" t="str">
        <f>"20190305134915092"</f>
        <v>20190305134915092</v>
      </c>
      <c r="B274" t="str">
        <f>"1551764955081564"</f>
        <v>1551764955081564</v>
      </c>
      <c r="C274" t="s">
        <v>40</v>
      </c>
      <c r="D274">
        <v>3.913548</v>
      </c>
      <c r="E274">
        <v>0.50919789999999998</v>
      </c>
      <c r="F274" t="s">
        <v>42</v>
      </c>
      <c r="G274">
        <v>-259.87560000000002</v>
      </c>
      <c r="H274" s="1">
        <v>-9.5369909999999999E-7</v>
      </c>
      <c r="I274">
        <v>373.06650000000002</v>
      </c>
      <c r="J274">
        <v>-463.57470000000001</v>
      </c>
      <c r="K274">
        <v>1.108849</v>
      </c>
      <c r="L274">
        <v>367.3526</v>
      </c>
      <c r="M274">
        <v>0.99988109999999997</v>
      </c>
      <c r="N274">
        <v>-8.0787350000000003E-4</v>
      </c>
      <c r="O274">
        <v>1.539489E-2</v>
      </c>
      <c r="P274">
        <v>0.99746400000000002</v>
      </c>
      <c r="Q274">
        <v>-4.908734E-2</v>
      </c>
      <c r="R274">
        <v>5.1535070000000002E-2</v>
      </c>
      <c r="S274">
        <v>3.002472</v>
      </c>
      <c r="T274">
        <v>-1.6332269999999999E-2</v>
      </c>
      <c r="U274">
        <v>8.4197999999999995E-2</v>
      </c>
      <c r="V274">
        <v>-3.6150689999999999E-2</v>
      </c>
      <c r="W274">
        <v>-4.8297519999999997E-2</v>
      </c>
      <c r="X274">
        <v>0.99817860000000003</v>
      </c>
      <c r="Y274">
        <v>-1.2639650000000001E-2</v>
      </c>
      <c r="Z274" s="1">
        <v>-3.1805429999999899E-5</v>
      </c>
      <c r="AA274">
        <v>0.99992009999999998</v>
      </c>
      <c r="AB274">
        <v>17</v>
      </c>
      <c r="AC274">
        <v>203.69909999999999</v>
      </c>
      <c r="AD274">
        <v>-1.1088499536991001</v>
      </c>
      <c r="AE274">
        <v>5.7139000000000202</v>
      </c>
      <c r="AF274">
        <v>-2.5772200797282498</v>
      </c>
      <c r="AG274">
        <v>-1.1088499536991001</v>
      </c>
      <c r="AH274">
        <v>203.756891769221</v>
      </c>
      <c r="AI274">
        <v>90.311777007337497</v>
      </c>
      <c r="AJ274">
        <v>90.724667314406403</v>
      </c>
      <c r="AK274">
        <v>203.77620703853799</v>
      </c>
      <c r="AL274">
        <v>92.768320967468398</v>
      </c>
      <c r="AM274">
        <v>92.074154945025199</v>
      </c>
      <c r="AN274">
        <v>1.00000002016179</v>
      </c>
    </row>
    <row r="275" spans="1:40" x14ac:dyDescent="0.25">
      <c r="A275" t="str">
        <f>"20190305134915105"</f>
        <v>20190305134915105</v>
      </c>
      <c r="B275" t="str">
        <f>"1551764955101084"</f>
        <v>1551764955101084</v>
      </c>
      <c r="C275" t="s">
        <v>40</v>
      </c>
      <c r="D275">
        <v>3.9098540000000002</v>
      </c>
      <c r="E275">
        <v>0.50924590000000003</v>
      </c>
      <c r="F275" t="s">
        <v>42</v>
      </c>
      <c r="G275">
        <v>-257.6952</v>
      </c>
      <c r="H275" s="1">
        <v>-1.923888E-6</v>
      </c>
      <c r="I275">
        <v>373.19729999999998</v>
      </c>
      <c r="J275">
        <v>-463.4658</v>
      </c>
      <c r="K275">
        <v>1.108849</v>
      </c>
      <c r="L275">
        <v>367.35449999999997</v>
      </c>
      <c r="M275">
        <v>0.99987760000000003</v>
      </c>
      <c r="N275">
        <v>-8.1203239999999999E-4</v>
      </c>
      <c r="O275">
        <v>1.563003E-2</v>
      </c>
      <c r="P275">
        <v>0.99743780000000004</v>
      </c>
      <c r="Q275">
        <v>-4.9029839999999998E-2</v>
      </c>
      <c r="R275">
        <v>5.2098110000000003E-2</v>
      </c>
      <c r="S275">
        <v>3.0024109999999999</v>
      </c>
      <c r="T275">
        <v>-1.6170739999999999E-2</v>
      </c>
      <c r="U275">
        <v>8.5235599999999995E-2</v>
      </c>
      <c r="V275">
        <v>-3.6480159999999998E-2</v>
      </c>
      <c r="W275">
        <v>-4.8235930000000003E-2</v>
      </c>
      <c r="X275">
        <v>0.99816959999999999</v>
      </c>
      <c r="Y275">
        <v>-1.2750360000000001E-2</v>
      </c>
      <c r="Z275" s="1">
        <v>-3.1959750000000002E-5</v>
      </c>
      <c r="AA275">
        <v>0.99991870000000005</v>
      </c>
      <c r="AB275">
        <v>17</v>
      </c>
      <c r="AC275">
        <v>205.7706</v>
      </c>
      <c r="AD275">
        <v>-1.108850923888</v>
      </c>
      <c r="AE275">
        <v>5.8428000000000102</v>
      </c>
      <c r="AF275">
        <v>-2.6258086407205798</v>
      </c>
      <c r="AG275">
        <v>-1.108850923888</v>
      </c>
      <c r="AH275">
        <v>205.83081467910301</v>
      </c>
      <c r="AI275">
        <v>90.308635490554295</v>
      </c>
      <c r="AJ275">
        <v>90.730889553427204</v>
      </c>
      <c r="AK275">
        <v>205.85054941110101</v>
      </c>
      <c r="AL275">
        <v>92.764787979148295</v>
      </c>
      <c r="AM275">
        <v>92.093060487271998</v>
      </c>
      <c r="AN275">
        <v>1.0000000286903701</v>
      </c>
    </row>
    <row r="276" spans="1:40" x14ac:dyDescent="0.25">
      <c r="A276" t="str">
        <f>"20190305134915125"</f>
        <v>20190305134915125</v>
      </c>
      <c r="B276" t="str">
        <f>"1551764955121580"</f>
        <v>1551764955121580</v>
      </c>
      <c r="C276" t="s">
        <v>40</v>
      </c>
      <c r="D276">
        <v>3.8870770000000001</v>
      </c>
      <c r="E276">
        <v>0.50968089999999999</v>
      </c>
      <c r="F276" t="s">
        <v>42</v>
      </c>
      <c r="G276">
        <v>-269.07679999999999</v>
      </c>
      <c r="H276" s="1">
        <v>-1.270715E-6</v>
      </c>
      <c r="I276">
        <v>372.97</v>
      </c>
      <c r="J276">
        <v>-463.3143</v>
      </c>
      <c r="K276">
        <v>1.108851</v>
      </c>
      <c r="L276">
        <v>367.35730000000001</v>
      </c>
      <c r="M276">
        <v>0.99987250000000005</v>
      </c>
      <c r="N276">
        <v>-8.1922509999999996E-4</v>
      </c>
      <c r="O276">
        <v>1.5955E-2</v>
      </c>
      <c r="P276">
        <v>0.99743040000000005</v>
      </c>
      <c r="Q276">
        <v>-4.8812889999999998E-2</v>
      </c>
      <c r="R276">
        <v>5.244439E-2</v>
      </c>
      <c r="S276">
        <v>3.002319</v>
      </c>
      <c r="T276">
        <v>-1.7126079999999998E-2</v>
      </c>
      <c r="U276">
        <v>8.6730959999999996E-2</v>
      </c>
      <c r="V276">
        <v>-3.6501970000000002E-2</v>
      </c>
      <c r="W276">
        <v>-4.801163E-2</v>
      </c>
      <c r="X276">
        <v>0.99817959999999994</v>
      </c>
      <c r="Y276">
        <v>-1.292387E-2</v>
      </c>
      <c r="Z276" s="1">
        <v>-3.5767230000000001E-5</v>
      </c>
      <c r="AA276">
        <v>0.99991649999999999</v>
      </c>
      <c r="AB276">
        <v>17</v>
      </c>
      <c r="AC276">
        <v>194.23750000000001</v>
      </c>
      <c r="AD276">
        <v>-1.1088522707149999</v>
      </c>
      <c r="AE276">
        <v>5.61270000000001</v>
      </c>
      <c r="AF276">
        <v>-2.5128437734596099</v>
      </c>
      <c r="AG276">
        <v>-1.1088522707149999</v>
      </c>
      <c r="AH276">
        <v>194.29599953962099</v>
      </c>
      <c r="AI276">
        <v>90.326957596141497</v>
      </c>
      <c r="AJ276">
        <v>90.740969019588206</v>
      </c>
      <c r="AK276">
        <v>194.31541208635201</v>
      </c>
      <c r="AL276">
        <v>92.751921674504402</v>
      </c>
      <c r="AM276">
        <v>92.094289766175194</v>
      </c>
      <c r="AN276">
        <v>1.00000001214264</v>
      </c>
    </row>
    <row r="277" spans="1:40" x14ac:dyDescent="0.25">
      <c r="A277" t="str">
        <f>"20190305134915137"</f>
        <v>20190305134915137</v>
      </c>
      <c r="B277" t="str">
        <f>"1551764955131340"</f>
        <v>1551764955131340</v>
      </c>
      <c r="C277" t="s">
        <v>40</v>
      </c>
      <c r="D277">
        <v>3.8911280000000001</v>
      </c>
      <c r="E277">
        <v>0.50972479999999998</v>
      </c>
      <c r="F277" t="s">
        <v>43</v>
      </c>
      <c r="G277">
        <v>-289.68970000000002</v>
      </c>
      <c r="H277">
        <v>-0.05</v>
      </c>
      <c r="I277">
        <v>372.20339999999999</v>
      </c>
      <c r="J277">
        <v>-463.21409999999997</v>
      </c>
      <c r="K277">
        <v>1.1088450000000001</v>
      </c>
      <c r="L277">
        <v>367.35910000000001</v>
      </c>
      <c r="M277">
        <v>0.99986900000000001</v>
      </c>
      <c r="N277">
        <v>-8.2489140000000004E-4</v>
      </c>
      <c r="O277">
        <v>1.616826E-2</v>
      </c>
      <c r="P277">
        <v>0.99737690000000001</v>
      </c>
      <c r="Q277">
        <v>-4.9250479999999999E-2</v>
      </c>
      <c r="R277">
        <v>5.3046669999999997E-2</v>
      </c>
      <c r="S277">
        <v>3.0023499999999999</v>
      </c>
      <c r="T277">
        <v>-2.0039080000000001E-2</v>
      </c>
      <c r="U277">
        <v>8.3801269999999997E-2</v>
      </c>
      <c r="V277">
        <v>-3.6891970000000003E-2</v>
      </c>
      <c r="W277">
        <v>-4.8443600000000003E-2</v>
      </c>
      <c r="X277">
        <v>0.99814440000000004</v>
      </c>
      <c r="Y277">
        <v>-1.17354E-2</v>
      </c>
      <c r="Z277" s="1">
        <v>-5.055026E-5</v>
      </c>
      <c r="AA277">
        <v>0.99993120000000002</v>
      </c>
      <c r="AB277">
        <v>18</v>
      </c>
      <c r="AC277">
        <v>173.52439999999899</v>
      </c>
      <c r="AD277">
        <v>-1.1588449999999999</v>
      </c>
      <c r="AE277">
        <v>4.8442999999999703</v>
      </c>
      <c r="AF277">
        <v>-2.03798753986006</v>
      </c>
      <c r="AG277">
        <v>-1.1588449999999999</v>
      </c>
      <c r="AH277">
        <v>173.57230649127001</v>
      </c>
      <c r="AI277">
        <v>90.382499756613399</v>
      </c>
      <c r="AJ277">
        <v>90.672703621951001</v>
      </c>
      <c r="AK277">
        <v>173.58813869514799</v>
      </c>
      <c r="AL277">
        <v>92.7767005395783</v>
      </c>
      <c r="AM277">
        <v>92.116720232245797</v>
      </c>
      <c r="AN277">
        <v>1.0000000215414</v>
      </c>
    </row>
    <row r="278" spans="1:40" x14ac:dyDescent="0.25">
      <c r="A278" t="str">
        <f>"20190305134915149"</f>
        <v>20190305134915149</v>
      </c>
      <c r="B278" t="str">
        <f>"1551764955141102"</f>
        <v>1551764955141102</v>
      </c>
      <c r="C278" t="s">
        <v>40</v>
      </c>
      <c r="D278">
        <v>3.8733019999999998</v>
      </c>
      <c r="E278">
        <v>0.50983009999999995</v>
      </c>
      <c r="F278" t="s">
        <v>43</v>
      </c>
      <c r="G278">
        <v>-300.80810000000002</v>
      </c>
      <c r="H278">
        <v>-0.05</v>
      </c>
      <c r="I278">
        <v>371.97640000000001</v>
      </c>
      <c r="J278">
        <v>-463.1105</v>
      </c>
      <c r="K278">
        <v>1.1088389999999999</v>
      </c>
      <c r="L278">
        <v>367.36099999999999</v>
      </c>
      <c r="M278">
        <v>0.99986549999999996</v>
      </c>
      <c r="N278">
        <v>-8.3124019999999998E-4</v>
      </c>
      <c r="O278">
        <v>1.6387120000000002E-2</v>
      </c>
      <c r="P278">
        <v>0.99734710000000004</v>
      </c>
      <c r="Q278">
        <v>-4.9672309999999997E-2</v>
      </c>
      <c r="R278">
        <v>5.3216510000000002E-2</v>
      </c>
      <c r="S278">
        <v>3.002319</v>
      </c>
      <c r="T278">
        <v>-2.1422980000000001E-2</v>
      </c>
      <c r="U278">
        <v>8.5357669999999997E-2</v>
      </c>
      <c r="V278">
        <v>-3.6844580000000002E-2</v>
      </c>
      <c r="W278">
        <v>-4.8858840000000001E-2</v>
      </c>
      <c r="X278">
        <v>0.99812590000000001</v>
      </c>
      <c r="Y278">
        <v>-1.203475E-2</v>
      </c>
      <c r="Z278" s="1">
        <v>-5.5343509999999997E-5</v>
      </c>
      <c r="AA278">
        <v>0.99992760000000003</v>
      </c>
      <c r="AB278">
        <v>18</v>
      </c>
      <c r="AC278">
        <v>162.30239999999901</v>
      </c>
      <c r="AD278">
        <v>-1.158839</v>
      </c>
      <c r="AE278">
        <v>4.6154000000000197</v>
      </c>
      <c r="AF278">
        <v>-1.9550111727167001</v>
      </c>
      <c r="AG278">
        <v>-1.158839</v>
      </c>
      <c r="AH278">
        <v>162.34796975565001</v>
      </c>
      <c r="AI278">
        <v>90.408940394645199</v>
      </c>
      <c r="AJ278">
        <v>90.689928400547799</v>
      </c>
      <c r="AK278">
        <v>162.363876094083</v>
      </c>
      <c r="AL278">
        <v>92.800520275488694</v>
      </c>
      <c r="AM278">
        <v>92.114042790742303</v>
      </c>
      <c r="AN278">
        <v>1.00000001078616</v>
      </c>
    </row>
    <row r="279" spans="1:40" x14ac:dyDescent="0.25">
      <c r="A279" t="str">
        <f>"20190305134915170"</f>
        <v>20190305134915170</v>
      </c>
      <c r="B279" t="str">
        <f>"1551764955161597"</f>
        <v>1551764955161597</v>
      </c>
      <c r="C279" t="s">
        <v>40</v>
      </c>
      <c r="D279">
        <v>3.8756629999999999</v>
      </c>
      <c r="E279">
        <v>0.51003329999999902</v>
      </c>
      <c r="F279" t="s">
        <v>42</v>
      </c>
      <c r="G279">
        <v>-321.0068</v>
      </c>
      <c r="H279" s="1">
        <v>-4.2471660000000001E-6</v>
      </c>
      <c r="I279">
        <v>371.3852</v>
      </c>
      <c r="J279">
        <v>-462.9477</v>
      </c>
      <c r="K279">
        <v>1.1088209999999901</v>
      </c>
      <c r="L279">
        <v>367.36410000000001</v>
      </c>
      <c r="M279">
        <v>0.99985990000000002</v>
      </c>
      <c r="N279">
        <v>-8.4339669999999997E-4</v>
      </c>
      <c r="O279">
        <v>1.6722339999999999E-2</v>
      </c>
      <c r="P279">
        <v>0.99728519999999998</v>
      </c>
      <c r="Q279">
        <v>-5.0245949999999998E-2</v>
      </c>
      <c r="R279">
        <v>5.3825489999999997E-2</v>
      </c>
      <c r="S279">
        <v>3.0022890000000002</v>
      </c>
      <c r="T279">
        <v>-2.3427010000000002E-2</v>
      </c>
      <c r="U279">
        <v>8.5021970000000002E-2</v>
      </c>
      <c r="V279">
        <v>-3.7119600000000003E-2</v>
      </c>
      <c r="W279">
        <v>-4.942009E-2</v>
      </c>
      <c r="X279">
        <v>0.99808810000000003</v>
      </c>
      <c r="Y279">
        <v>-1.158812E-2</v>
      </c>
      <c r="Z279" s="1">
        <v>-6.6253599999999897E-5</v>
      </c>
      <c r="AA279">
        <v>0.99993279999999995</v>
      </c>
      <c r="AB279">
        <v>18</v>
      </c>
      <c r="AC279">
        <v>141.9409</v>
      </c>
      <c r="AD279">
        <v>-1.1088252471659901</v>
      </c>
      <c r="AE279">
        <v>4.0210999999999899</v>
      </c>
      <c r="AF279">
        <v>-1.6468526825622301</v>
      </c>
      <c r="AG279">
        <v>-1.1088252471659901</v>
      </c>
      <c r="AH279">
        <v>141.97963745656199</v>
      </c>
      <c r="AI279">
        <v>90.447426429144997</v>
      </c>
      <c r="AJ279">
        <v>90.664556400732806</v>
      </c>
      <c r="AK279">
        <v>141.99351770233599</v>
      </c>
      <c r="AL279">
        <v>92.8327163650562</v>
      </c>
      <c r="AM279">
        <v>92.129888806126701</v>
      </c>
      <c r="AN279">
        <v>1.0000000326806799</v>
      </c>
    </row>
    <row r="280" spans="1:40" x14ac:dyDescent="0.25">
      <c r="A280" t="str">
        <f>"20190305134915183"</f>
        <v>20190305134915183</v>
      </c>
      <c r="B280" t="str">
        <f>"1551764955171357"</f>
        <v>1551764955171357</v>
      </c>
      <c r="C280" t="s">
        <v>40</v>
      </c>
      <c r="D280">
        <v>3.875149</v>
      </c>
      <c r="E280">
        <v>0.51008989999999998</v>
      </c>
      <c r="F280" t="s">
        <v>42</v>
      </c>
      <c r="G280">
        <v>-334.25130000000001</v>
      </c>
      <c r="H280" s="1">
        <v>-2.8231199999999998E-6</v>
      </c>
      <c r="I280">
        <v>371.02429999999998</v>
      </c>
      <c r="J280">
        <v>-462.84280000000001</v>
      </c>
      <c r="K280">
        <v>1.108814</v>
      </c>
      <c r="L280">
        <v>367.36610000000002</v>
      </c>
      <c r="M280">
        <v>0.99985639999999998</v>
      </c>
      <c r="N280">
        <v>-8.5313429999999996E-4</v>
      </c>
      <c r="O280">
        <v>1.6931419999999999E-2</v>
      </c>
      <c r="P280">
        <v>0.99726809999999999</v>
      </c>
      <c r="Q280">
        <v>-5.0485490000000001E-2</v>
      </c>
      <c r="R280">
        <v>5.3922230000000002E-2</v>
      </c>
      <c r="S280">
        <v>3.0022579999999999</v>
      </c>
      <c r="T280">
        <v>-2.586687E-2</v>
      </c>
      <c r="U280">
        <v>8.5388179999999994E-2</v>
      </c>
      <c r="V280">
        <v>-3.7008770000000003E-2</v>
      </c>
      <c r="W280">
        <v>-4.9649539999999999E-2</v>
      </c>
      <c r="X280">
        <v>0.99808079999999999</v>
      </c>
      <c r="Y280">
        <v>-1.150121E-2</v>
      </c>
      <c r="Z280" s="1">
        <v>-7.6946370000000004E-5</v>
      </c>
      <c r="AA280">
        <v>0.99993379999999998</v>
      </c>
      <c r="AB280">
        <v>18</v>
      </c>
      <c r="AC280">
        <v>128.5915</v>
      </c>
      <c r="AD280">
        <v>-1.10881682312</v>
      </c>
      <c r="AE280">
        <v>3.6581999999999599</v>
      </c>
      <c r="AF280">
        <v>-1.4803283854056799</v>
      </c>
      <c r="AG280">
        <v>-1.10881682312</v>
      </c>
      <c r="AH280">
        <v>128.62544947194999</v>
      </c>
      <c r="AI280">
        <v>90.493873834079693</v>
      </c>
      <c r="AJ280">
        <v>90.659378254319606</v>
      </c>
      <c r="AK280">
        <v>128.638746490849</v>
      </c>
      <c r="AL280">
        <v>92.845879119764703</v>
      </c>
      <c r="AM280">
        <v>92.123550829897198</v>
      </c>
      <c r="AN280">
        <v>1.0000000046038799</v>
      </c>
    </row>
    <row r="281" spans="1:40" x14ac:dyDescent="0.25">
      <c r="A281" t="str">
        <f>"20190305134915196"</f>
        <v>20190305134915196</v>
      </c>
      <c r="B281" t="str">
        <f>"1551764955190876"</f>
        <v>1551764955190876</v>
      </c>
      <c r="C281" t="s">
        <v>40</v>
      </c>
      <c r="D281">
        <v>3.859632</v>
      </c>
      <c r="E281">
        <v>0.51028850000000003</v>
      </c>
      <c r="F281" t="s">
        <v>42</v>
      </c>
      <c r="G281">
        <v>-336.78829999999999</v>
      </c>
      <c r="H281" s="1">
        <v>-1.7105260000000001E-6</v>
      </c>
      <c r="I281">
        <v>370.9332</v>
      </c>
      <c r="J281">
        <v>-462.73809999999997</v>
      </c>
      <c r="K281">
        <v>1.108811</v>
      </c>
      <c r="L281">
        <v>367.36799999999999</v>
      </c>
      <c r="M281">
        <v>0.99985290000000004</v>
      </c>
      <c r="N281">
        <v>-8.6379539999999904E-4</v>
      </c>
      <c r="O281">
        <v>1.7136999999999999E-2</v>
      </c>
      <c r="P281">
        <v>0.99725620000000004</v>
      </c>
      <c r="Q281">
        <v>-5.0921670000000002E-2</v>
      </c>
      <c r="R281">
        <v>5.3733370000000003E-2</v>
      </c>
      <c r="S281">
        <v>3.0022579999999999</v>
      </c>
      <c r="T281">
        <v>-2.6408790000000001E-2</v>
      </c>
      <c r="U281">
        <v>8.4960939999999999E-2</v>
      </c>
      <c r="V281">
        <v>-3.6614870000000001E-2</v>
      </c>
      <c r="W281">
        <v>-5.007458E-2</v>
      </c>
      <c r="X281">
        <v>0.99807409999999996</v>
      </c>
      <c r="Y281">
        <v>-1.1153450000000001E-2</v>
      </c>
      <c r="Z281" s="1">
        <v>-8.2031420000000003E-5</v>
      </c>
      <c r="AA281">
        <v>0.99993779999999999</v>
      </c>
      <c r="AB281">
        <v>18</v>
      </c>
      <c r="AC281">
        <v>125.949799999999</v>
      </c>
      <c r="AD281">
        <v>-1.1088127105259999</v>
      </c>
      <c r="AE281">
        <v>3.56519999999994</v>
      </c>
      <c r="AF281">
        <v>-1.40616529366198</v>
      </c>
      <c r="AG281">
        <v>-1.1088127105259999</v>
      </c>
      <c r="AH281">
        <v>125.982644934126</v>
      </c>
      <c r="AI281">
        <v>90.5042336714112</v>
      </c>
      <c r="AJ281">
        <v>90.639484836986199</v>
      </c>
      <c r="AK281">
        <v>125.995371308069</v>
      </c>
      <c r="AL281">
        <v>92.870262430593897</v>
      </c>
      <c r="AM281">
        <v>92.100983434508095</v>
      </c>
      <c r="AN281">
        <v>1.0000000106790501</v>
      </c>
    </row>
    <row r="282" spans="1:40" x14ac:dyDescent="0.25">
      <c r="A282" t="str">
        <f>"20190305134915217"</f>
        <v>20190305134915217</v>
      </c>
      <c r="B282" t="str">
        <f>"1551764955211373"</f>
        <v>1551764955211373</v>
      </c>
      <c r="C282" t="s">
        <v>40</v>
      </c>
      <c r="D282">
        <v>3.8271899999999999</v>
      </c>
      <c r="E282">
        <v>0.51052790000000003</v>
      </c>
      <c r="F282" t="s">
        <v>42</v>
      </c>
      <c r="G282">
        <v>-341.22489999999999</v>
      </c>
      <c r="H282" s="1">
        <v>-4.4245029999999996E-6</v>
      </c>
      <c r="I282">
        <v>370.72879999999998</v>
      </c>
      <c r="J282">
        <v>-462.56220000000002</v>
      </c>
      <c r="K282">
        <v>1.1088009999999999</v>
      </c>
      <c r="L282">
        <v>367.37139999999999</v>
      </c>
      <c r="M282">
        <v>0.99984709999999999</v>
      </c>
      <c r="N282">
        <v>-8.8456519999999999E-4</v>
      </c>
      <c r="O282">
        <v>1.747042E-2</v>
      </c>
      <c r="P282">
        <v>0.99725739999999996</v>
      </c>
      <c r="Q282">
        <v>-5.1317469999999997E-2</v>
      </c>
      <c r="R282">
        <v>5.3333680000000001E-2</v>
      </c>
      <c r="S282">
        <v>3.00238</v>
      </c>
      <c r="T282">
        <v>-2.7396920000000002E-2</v>
      </c>
      <c r="U282">
        <v>8.3038329999999994E-2</v>
      </c>
      <c r="V282">
        <v>-3.5883169999999999E-2</v>
      </c>
      <c r="W282">
        <v>-5.0448720000000002E-2</v>
      </c>
      <c r="X282">
        <v>0.99808180000000002</v>
      </c>
      <c r="Y282">
        <v>-1.017909E-2</v>
      </c>
      <c r="Z282" s="1">
        <v>-9.2981589999999997E-5</v>
      </c>
      <c r="AA282">
        <v>0.99994819999999995</v>
      </c>
      <c r="AB282">
        <v>18</v>
      </c>
      <c r="AC282">
        <v>121.3373</v>
      </c>
      <c r="AD282">
        <v>-1.1088054245029999</v>
      </c>
      <c r="AE282">
        <v>3.3573999999999802</v>
      </c>
      <c r="AF282">
        <v>-1.2369701914600599</v>
      </c>
      <c r="AG282">
        <v>-1.1088054245029999</v>
      </c>
      <c r="AH282">
        <v>121.36730951779801</v>
      </c>
      <c r="AI282">
        <v>90.523409515026202</v>
      </c>
      <c r="AJ282">
        <v>90.583935804316695</v>
      </c>
      <c r="AK282">
        <v>121.37867755216701</v>
      </c>
      <c r="AL282">
        <v>92.891726298246994</v>
      </c>
      <c r="AM282">
        <v>92.059018680621406</v>
      </c>
      <c r="AN282">
        <v>0.99999997736506296</v>
      </c>
    </row>
    <row r="283" spans="1:40" x14ac:dyDescent="0.25">
      <c r="A283" t="str">
        <f>"20190305134915238"</f>
        <v>20190305134915238</v>
      </c>
      <c r="B283" t="str">
        <f>"1551764955230892"</f>
        <v>1551764955230892</v>
      </c>
      <c r="C283" t="s">
        <v>40</v>
      </c>
      <c r="D283">
        <v>3.8548070000000001</v>
      </c>
      <c r="E283">
        <v>0.51080499999999995</v>
      </c>
      <c r="F283" t="s">
        <v>42</v>
      </c>
      <c r="G283">
        <v>-348.33440000000002</v>
      </c>
      <c r="H283" s="1">
        <v>-9.7923779999999999E-7</v>
      </c>
      <c r="I283">
        <v>370.411</v>
      </c>
      <c r="J283">
        <v>-462.38749999999999</v>
      </c>
      <c r="K283">
        <v>1.1087899999999999</v>
      </c>
      <c r="L283">
        <v>367.37490000000003</v>
      </c>
      <c r="M283">
        <v>0.99984150000000005</v>
      </c>
      <c r="N283">
        <v>-9.0826290000000005E-4</v>
      </c>
      <c r="O283">
        <v>1.7784700000000001E-2</v>
      </c>
      <c r="P283">
        <v>0.99727180000000004</v>
      </c>
      <c r="Q283">
        <v>-5.1064980000000003E-2</v>
      </c>
      <c r="R283">
        <v>5.3305279999999997E-2</v>
      </c>
      <c r="S283">
        <v>3.0025019999999998</v>
      </c>
      <c r="T283">
        <v>-2.914512E-2</v>
      </c>
      <c r="U283">
        <v>7.9895019999999997E-2</v>
      </c>
      <c r="V283">
        <v>-3.5541959999999997E-2</v>
      </c>
      <c r="W283">
        <v>-5.017162E-2</v>
      </c>
      <c r="X283">
        <v>0.998108</v>
      </c>
      <c r="Y283">
        <v>-8.8176780000000007E-3</v>
      </c>
      <c r="Z283">
        <v>-1.096389E-4</v>
      </c>
      <c r="AA283">
        <v>0.99996110000000005</v>
      </c>
      <c r="AB283">
        <v>19</v>
      </c>
      <c r="AC283">
        <v>114.05309999999901</v>
      </c>
      <c r="AD283">
        <v>-1.1087909792377999</v>
      </c>
      <c r="AE283">
        <v>3.03609999999997</v>
      </c>
      <c r="AF283">
        <v>-1.00712383519754</v>
      </c>
      <c r="AG283">
        <v>-1.1087909792377999</v>
      </c>
      <c r="AH283">
        <v>114.078283375151</v>
      </c>
      <c r="AI283">
        <v>90.556850662846102</v>
      </c>
      <c r="AJ283">
        <v>90.505814467226699</v>
      </c>
      <c r="AK283">
        <v>114.088117057283</v>
      </c>
      <c r="AL283">
        <v>92.875829438213799</v>
      </c>
      <c r="AM283">
        <v>92.039402771025905</v>
      </c>
      <c r="AN283">
        <v>1.00000000101903</v>
      </c>
    </row>
    <row r="284" spans="1:40" x14ac:dyDescent="0.25">
      <c r="A284" t="str">
        <f>"20190305134915253"</f>
        <v>20190305134915253</v>
      </c>
      <c r="B284" t="str">
        <f>"1551764955241629"</f>
        <v>1551764955241629</v>
      </c>
      <c r="C284" t="s">
        <v>40</v>
      </c>
      <c r="D284">
        <v>3.8460489999999998</v>
      </c>
      <c r="E284">
        <v>0.51091900000000001</v>
      </c>
      <c r="F284" t="s">
        <v>42</v>
      </c>
      <c r="G284">
        <v>-346.68369999999999</v>
      </c>
      <c r="H284" s="1">
        <v>-1.7471129999999999E-6</v>
      </c>
      <c r="I284">
        <v>370.36419999999998</v>
      </c>
      <c r="J284">
        <v>-462.26029999999997</v>
      </c>
      <c r="K284">
        <v>1.108781</v>
      </c>
      <c r="L284">
        <v>367.37740000000002</v>
      </c>
      <c r="M284">
        <v>0.99983759999999999</v>
      </c>
      <c r="N284">
        <v>-9.2686159999999995E-4</v>
      </c>
      <c r="O284">
        <v>1.8002899999999999E-2</v>
      </c>
      <c r="P284">
        <v>0.99728130000000004</v>
      </c>
      <c r="Q284">
        <v>-5.0912640000000002E-2</v>
      </c>
      <c r="R284">
        <v>5.3273939999999999E-2</v>
      </c>
      <c r="S284">
        <v>3.0025940000000002</v>
      </c>
      <c r="T284">
        <v>-2.8773900000000002E-2</v>
      </c>
      <c r="U284">
        <v>7.7575679999999994E-2</v>
      </c>
      <c r="V284">
        <v>-3.5293819999999997E-2</v>
      </c>
      <c r="W284">
        <v>-4.9999889999999998E-2</v>
      </c>
      <c r="X284">
        <v>0.99812540000000005</v>
      </c>
      <c r="Y284">
        <v>-7.8267960000000004E-3</v>
      </c>
      <c r="Z284">
        <v>-1.1466469999999999E-4</v>
      </c>
      <c r="AA284">
        <v>0.99996940000000001</v>
      </c>
      <c r="AB284">
        <v>19</v>
      </c>
      <c r="AC284">
        <v>115.576599999999</v>
      </c>
      <c r="AD284">
        <v>-1.1087827471130001</v>
      </c>
      <c r="AE284">
        <v>2.9867999999999602</v>
      </c>
      <c r="AF284">
        <v>-0.90551799082003503</v>
      </c>
      <c r="AG284">
        <v>-1.1087827471130001</v>
      </c>
      <c r="AH284">
        <v>115.60100786663899</v>
      </c>
      <c r="AI284">
        <v>90.5495166195808</v>
      </c>
      <c r="AJ284">
        <v>90.448796243317602</v>
      </c>
      <c r="AK284">
        <v>115.609871472097</v>
      </c>
      <c r="AL284">
        <v>92.865977734047505</v>
      </c>
      <c r="AM284">
        <v>92.025141084968794</v>
      </c>
      <c r="AN284">
        <v>0.99999997842768196</v>
      </c>
    </row>
    <row r="285" spans="1:40" x14ac:dyDescent="0.25">
      <c r="A285" t="str">
        <f>"20190305134915271"</f>
        <v>20190305134915271</v>
      </c>
      <c r="B285" t="str">
        <f>"1551764955261148"</f>
        <v>1551764955261148</v>
      </c>
      <c r="C285" t="s">
        <v>40</v>
      </c>
      <c r="D285">
        <v>3.8431109999999999</v>
      </c>
      <c r="E285">
        <v>0.51107609999999903</v>
      </c>
      <c r="F285" t="s">
        <v>42</v>
      </c>
      <c r="G285">
        <v>-343.18340000000001</v>
      </c>
      <c r="H285" s="1">
        <v>-3.4165409999999999E-6</v>
      </c>
      <c r="I285">
        <v>370.42</v>
      </c>
      <c r="J285">
        <v>-462.09910000000002</v>
      </c>
      <c r="K285">
        <v>1.1087739999999999</v>
      </c>
      <c r="L285">
        <v>367.38060000000002</v>
      </c>
      <c r="M285">
        <v>0.99983290000000002</v>
      </c>
      <c r="N285">
        <v>-9.5179749999999995E-4</v>
      </c>
      <c r="O285">
        <v>1.825978E-2</v>
      </c>
      <c r="P285">
        <v>0.99725540000000001</v>
      </c>
      <c r="Q285">
        <v>-5.1302069999999998E-2</v>
      </c>
      <c r="R285">
        <v>5.3383989999999999E-2</v>
      </c>
      <c r="S285">
        <v>3.0026549999999999</v>
      </c>
      <c r="T285">
        <v>-2.7959230000000002E-2</v>
      </c>
      <c r="U285">
        <v>7.6721189999999995E-2</v>
      </c>
      <c r="V285">
        <v>-3.5149449999999999E-2</v>
      </c>
      <c r="W285">
        <v>-5.0363270000000002E-2</v>
      </c>
      <c r="X285">
        <v>0.99811229999999995</v>
      </c>
      <c r="Y285">
        <v>-7.2849840000000004E-3</v>
      </c>
      <c r="Z285">
        <v>-1.15221E-4</v>
      </c>
      <c r="AA285">
        <v>0.99997349999999996</v>
      </c>
      <c r="AB285">
        <v>19</v>
      </c>
      <c r="AC285">
        <v>118.9157</v>
      </c>
      <c r="AD285">
        <v>-1.10877741654099</v>
      </c>
      <c r="AE285">
        <v>3.0394000000000001</v>
      </c>
      <c r="AF285">
        <v>-0.86744255751334798</v>
      </c>
      <c r="AG285">
        <v>-1.10877741654099</v>
      </c>
      <c r="AH285">
        <v>118.941038956014</v>
      </c>
      <c r="AI285">
        <v>90.534085943269702</v>
      </c>
      <c r="AJ285">
        <v>90.417853390293999</v>
      </c>
      <c r="AK285">
        <v>118.949369867545</v>
      </c>
      <c r="AL285">
        <v>92.886823923367103</v>
      </c>
      <c r="AM285">
        <v>92.0168905136739</v>
      </c>
      <c r="AN285">
        <v>1.0000000531058399</v>
      </c>
    </row>
    <row r="286" spans="1:40" x14ac:dyDescent="0.25">
      <c r="A286" t="str">
        <f>"20190305134915284"</f>
        <v>20190305134915284</v>
      </c>
      <c r="B286" t="str">
        <f>"1551764955281645"</f>
        <v>1551764955281645</v>
      </c>
      <c r="C286" t="s">
        <v>40</v>
      </c>
      <c r="D286">
        <v>3.8127550000000001</v>
      </c>
      <c r="E286">
        <v>0.51122449999999997</v>
      </c>
      <c r="F286" t="s">
        <v>42</v>
      </c>
      <c r="G286">
        <v>-347.53680000000003</v>
      </c>
      <c r="H286" s="1">
        <v>-1.3207769999999999E-6</v>
      </c>
      <c r="I286">
        <v>370.2774</v>
      </c>
      <c r="J286">
        <v>-461.98680000000002</v>
      </c>
      <c r="K286">
        <v>1.1087629999999999</v>
      </c>
      <c r="L286">
        <v>367.38279999999997</v>
      </c>
      <c r="M286">
        <v>0.99982979999999999</v>
      </c>
      <c r="N286">
        <v>-9.6961629999999996E-4</v>
      </c>
      <c r="O286">
        <v>1.842278E-2</v>
      </c>
      <c r="P286">
        <v>0.99723349999999999</v>
      </c>
      <c r="Q286">
        <v>-5.1287680000000002E-2</v>
      </c>
      <c r="R286">
        <v>5.3806840000000002E-2</v>
      </c>
      <c r="S286">
        <v>3.0026860000000002</v>
      </c>
      <c r="T286">
        <v>-2.906108E-2</v>
      </c>
      <c r="U286">
        <v>7.5927729999999999E-2</v>
      </c>
      <c r="V286">
        <v>-3.541126E-2</v>
      </c>
      <c r="W286">
        <v>-5.0330220000000002E-2</v>
      </c>
      <c r="X286">
        <v>0.99810460000000001</v>
      </c>
      <c r="Y286">
        <v>-6.857681E-3</v>
      </c>
      <c r="Z286">
        <v>-1.2388540000000001E-4</v>
      </c>
      <c r="AA286">
        <v>0.99997650000000005</v>
      </c>
      <c r="AB286">
        <v>19</v>
      </c>
      <c r="AC286">
        <v>114.45</v>
      </c>
      <c r="AD286">
        <v>-1.1087643207769999</v>
      </c>
      <c r="AE286">
        <v>2.89460000000002</v>
      </c>
      <c r="AF286">
        <v>-0.78554687138755597</v>
      </c>
      <c r="AG286">
        <v>-1.1087643207769999</v>
      </c>
      <c r="AH286">
        <v>114.47316608929</v>
      </c>
      <c r="AI286">
        <v>90.554925107263799</v>
      </c>
      <c r="AJ286">
        <v>90.393173486859794</v>
      </c>
      <c r="AK286">
        <v>114.48123076169399</v>
      </c>
      <c r="AL286">
        <v>92.884928218655205</v>
      </c>
      <c r="AM286">
        <v>92.031916400017096</v>
      </c>
      <c r="AN286">
        <v>0.99999994046059604</v>
      </c>
    </row>
    <row r="287" spans="1:40" x14ac:dyDescent="0.25">
      <c r="A287" t="str">
        <f>"20190305134915303"</f>
        <v>20190305134915303</v>
      </c>
      <c r="B287" t="str">
        <f>"1551764955291405"</f>
        <v>1551764955291405</v>
      </c>
      <c r="C287" t="s">
        <v>40</v>
      </c>
      <c r="D287">
        <v>3.8236159999999999</v>
      </c>
      <c r="E287">
        <v>0.51124529999999901</v>
      </c>
      <c r="F287" t="s">
        <v>42</v>
      </c>
      <c r="G287">
        <v>-348.13069999999999</v>
      </c>
      <c r="H287" s="1">
        <v>-1.037705E-6</v>
      </c>
      <c r="I287">
        <v>370.2688</v>
      </c>
      <c r="J287">
        <v>-461.82819999999998</v>
      </c>
      <c r="K287">
        <v>1.1087450000000001</v>
      </c>
      <c r="L287">
        <v>367.38600000000002</v>
      </c>
      <c r="M287">
        <v>0.99982599999999999</v>
      </c>
      <c r="N287">
        <v>-9.9512910000000001E-4</v>
      </c>
      <c r="O287">
        <v>1.8631370000000001E-2</v>
      </c>
      <c r="P287">
        <v>0.99720779999999998</v>
      </c>
      <c r="Q287">
        <v>-5.1737150000000003E-2</v>
      </c>
      <c r="R287">
        <v>5.385098E-2</v>
      </c>
      <c r="S287">
        <v>3.0027159999999999</v>
      </c>
      <c r="T287">
        <v>-2.9241320000000001E-2</v>
      </c>
      <c r="U287">
        <v>7.6110839999999999E-2</v>
      </c>
      <c r="V287">
        <v>-3.524965E-2</v>
      </c>
      <c r="W287">
        <v>-5.0752659999999998E-2</v>
      </c>
      <c r="X287">
        <v>0.998089</v>
      </c>
      <c r="Y287">
        <v>-6.7097529999999997E-3</v>
      </c>
      <c r="Z287">
        <v>-1.268427E-4</v>
      </c>
      <c r="AA287">
        <v>0.99997749999999996</v>
      </c>
      <c r="AB287">
        <v>19</v>
      </c>
      <c r="AC287">
        <v>113.69750000000001</v>
      </c>
      <c r="AD287">
        <v>-1.108746037705</v>
      </c>
      <c r="AE287">
        <v>2.8828000000000298</v>
      </c>
      <c r="AF287">
        <v>-0.76388592792640997</v>
      </c>
      <c r="AG287">
        <v>-1.108746037705</v>
      </c>
      <c r="AH287">
        <v>113.72066758187199</v>
      </c>
      <c r="AI287">
        <v>90.558588197651403</v>
      </c>
      <c r="AJ287">
        <v>90.384862157178205</v>
      </c>
      <c r="AK287">
        <v>113.728637883137</v>
      </c>
      <c r="AL287">
        <v>92.909163016827804</v>
      </c>
      <c r="AM287">
        <v>92.022682442300606</v>
      </c>
      <c r="AN287">
        <v>1.0000000111215901</v>
      </c>
    </row>
    <row r="288" spans="1:40" x14ac:dyDescent="0.25">
      <c r="A288" t="str">
        <f>"20190305134915315"</f>
        <v>20190305134915315</v>
      </c>
      <c r="B288" t="str">
        <f>"1551764955310925"</f>
        <v>1551764955310925</v>
      </c>
      <c r="C288" t="s">
        <v>40</v>
      </c>
      <c r="D288">
        <v>3.8129919999999999</v>
      </c>
      <c r="E288">
        <v>0.5114031</v>
      </c>
      <c r="F288" t="s">
        <v>42</v>
      </c>
      <c r="G288">
        <v>-353.35750000000002</v>
      </c>
      <c r="H288" s="1">
        <v>-2.9694249999999999E-6</v>
      </c>
      <c r="I288">
        <v>370.13310000000001</v>
      </c>
      <c r="J288">
        <v>-461.71949999999998</v>
      </c>
      <c r="K288">
        <v>1.1087290000000001</v>
      </c>
      <c r="L288">
        <v>367.38819999999998</v>
      </c>
      <c r="M288">
        <v>0.99982360000000003</v>
      </c>
      <c r="N288">
        <v>-1.012726E-3</v>
      </c>
      <c r="O288">
        <v>1.875628E-2</v>
      </c>
      <c r="P288">
        <v>0.99717270000000002</v>
      </c>
      <c r="Q288">
        <v>-5.2181070000000003E-2</v>
      </c>
      <c r="R288">
        <v>5.4072910000000002E-2</v>
      </c>
      <c r="S288">
        <v>3.0026860000000002</v>
      </c>
      <c r="T288">
        <v>-3.0692339999999999E-2</v>
      </c>
      <c r="U288">
        <v>7.6049800000000001E-2</v>
      </c>
      <c r="V288">
        <v>-3.53493E-2</v>
      </c>
      <c r="W288">
        <v>-5.1177800000000002E-2</v>
      </c>
      <c r="X288">
        <v>0.9980637</v>
      </c>
      <c r="Y288">
        <v>-6.564828E-3</v>
      </c>
      <c r="Z288">
        <v>-1.3580059999999901E-4</v>
      </c>
      <c r="AA288">
        <v>0.99997840000000005</v>
      </c>
      <c r="AB288">
        <v>19</v>
      </c>
      <c r="AC288">
        <v>108.361999999999</v>
      </c>
      <c r="AD288">
        <v>-1.108731969425</v>
      </c>
      <c r="AE288">
        <v>2.7449000000000199</v>
      </c>
      <c r="AF288">
        <v>-0.711873654654675</v>
      </c>
      <c r="AG288">
        <v>-1.108731969425</v>
      </c>
      <c r="AH288">
        <v>108.383082483037</v>
      </c>
      <c r="AI288">
        <v>90.586088484782593</v>
      </c>
      <c r="AJ288">
        <v>90.376320441467399</v>
      </c>
      <c r="AK288">
        <v>108.391091050903</v>
      </c>
      <c r="AL288">
        <v>92.933553636454107</v>
      </c>
      <c r="AM288">
        <v>92.028447127162707</v>
      </c>
      <c r="AN288">
        <v>0.99999994474050802</v>
      </c>
    </row>
    <row r="289" spans="1:40" x14ac:dyDescent="0.25">
      <c r="A289" t="str">
        <f>"20190305134915338"</f>
        <v>20190305134915338</v>
      </c>
      <c r="B289" t="str">
        <f>"1551764955331421"</f>
        <v>1551764955331421</v>
      </c>
      <c r="C289" t="s">
        <v>40</v>
      </c>
      <c r="D289">
        <v>3.8204099999999999</v>
      </c>
      <c r="E289">
        <v>0.51153249999999995</v>
      </c>
      <c r="F289" t="s">
        <v>42</v>
      </c>
      <c r="G289">
        <v>-360.4984</v>
      </c>
      <c r="H289" s="1">
        <v>-4.1416869999999999E-6</v>
      </c>
      <c r="I289">
        <v>369.92899999999997</v>
      </c>
      <c r="J289">
        <v>-461.52210000000002</v>
      </c>
      <c r="K289">
        <v>1.1086910000000001</v>
      </c>
      <c r="L289">
        <v>367.39210000000003</v>
      </c>
      <c r="M289">
        <v>0.99982020000000005</v>
      </c>
      <c r="N289">
        <v>-1.044833E-3</v>
      </c>
      <c r="O289">
        <v>1.8935759999999999E-2</v>
      </c>
      <c r="P289">
        <v>0.99712259999999997</v>
      </c>
      <c r="Q289">
        <v>-5.2864500000000002E-2</v>
      </c>
      <c r="R289">
        <v>5.4335170000000002E-2</v>
      </c>
      <c r="S289">
        <v>3.0027159999999999</v>
      </c>
      <c r="T289">
        <v>-3.289044E-2</v>
      </c>
      <c r="U289">
        <v>7.5378420000000002E-2</v>
      </c>
      <c r="V289">
        <v>-3.5437589999999998E-2</v>
      </c>
      <c r="W289">
        <v>-5.182639E-2</v>
      </c>
      <c r="X289">
        <v>0.99802709999999994</v>
      </c>
      <c r="Y289">
        <v>-6.1617209999999898E-3</v>
      </c>
      <c r="Z289">
        <v>-1.506108E-4</v>
      </c>
      <c r="AA289">
        <v>0.99998100000000001</v>
      </c>
      <c r="AB289">
        <v>19</v>
      </c>
      <c r="AC289">
        <v>101.02370000000001</v>
      </c>
      <c r="AD289">
        <v>-1.1086951416869999</v>
      </c>
      <c r="AE289">
        <v>2.5369000000000002</v>
      </c>
      <c r="AF289">
        <v>-0.62340860384075303</v>
      </c>
      <c r="AG289">
        <v>-1.1086951416869999</v>
      </c>
      <c r="AH289">
        <v>101.041462870301</v>
      </c>
      <c r="AI289">
        <v>90.628650778330396</v>
      </c>
      <c r="AJ289">
        <v>90.353500708283306</v>
      </c>
      <c r="AK289">
        <v>101.049468391353</v>
      </c>
      <c r="AL289">
        <v>92.970764491330996</v>
      </c>
      <c r="AM289">
        <v>92.033583730649198</v>
      </c>
      <c r="AN289">
        <v>0.99999994490992306</v>
      </c>
    </row>
    <row r="290" spans="1:40" x14ac:dyDescent="0.25">
      <c r="A290" t="str">
        <f>"20190305134915350"</f>
        <v>20190305134915350</v>
      </c>
      <c r="B290" t="str">
        <f>"1551764955341182"</f>
        <v>1551764955341182</v>
      </c>
      <c r="C290" t="s">
        <v>40</v>
      </c>
      <c r="D290">
        <v>3.8420200000000002</v>
      </c>
      <c r="E290">
        <v>0.51158269999999995</v>
      </c>
      <c r="F290" t="s">
        <v>42</v>
      </c>
      <c r="G290">
        <v>-367.077</v>
      </c>
      <c r="H290" s="1">
        <v>-1.2742630000000001E-6</v>
      </c>
      <c r="I290">
        <v>369.75900000000001</v>
      </c>
      <c r="J290">
        <v>-461.41230000000002</v>
      </c>
      <c r="K290">
        <v>1.1086689999999999</v>
      </c>
      <c r="L290">
        <v>367.39429999999999</v>
      </c>
      <c r="M290">
        <v>0.99981869999999995</v>
      </c>
      <c r="N290">
        <v>-1.062742E-3</v>
      </c>
      <c r="O290">
        <v>1.901423E-2</v>
      </c>
      <c r="P290">
        <v>0.99710849999999995</v>
      </c>
      <c r="Q290">
        <v>-5.2853459999999998E-2</v>
      </c>
      <c r="R290">
        <v>5.460276E-2</v>
      </c>
      <c r="S290">
        <v>3.0027469999999998</v>
      </c>
      <c r="T290">
        <v>-3.5249229999999999E-2</v>
      </c>
      <c r="U290">
        <v>7.525635E-2</v>
      </c>
      <c r="V290">
        <v>-3.5629429999999997E-2</v>
      </c>
      <c r="W290">
        <v>-5.1795760000000003E-2</v>
      </c>
      <c r="X290">
        <v>0.99802190000000002</v>
      </c>
      <c r="Y290">
        <v>-6.042464E-3</v>
      </c>
      <c r="Z290">
        <v>-1.6426549999999901E-4</v>
      </c>
      <c r="AA290">
        <v>0.99998169999999997</v>
      </c>
      <c r="AB290">
        <v>20</v>
      </c>
      <c r="AC290">
        <v>94.335300000000004</v>
      </c>
      <c r="AD290">
        <v>-1.1086702742629999</v>
      </c>
      <c r="AE290">
        <v>2.36470000000002</v>
      </c>
      <c r="AF290">
        <v>-0.57047973618199399</v>
      </c>
      <c r="AG290">
        <v>-1.1086702742629999</v>
      </c>
      <c r="AH290">
        <v>94.350184919762</v>
      </c>
      <c r="AI290">
        <v>90.6732158849114</v>
      </c>
      <c r="AJ290">
        <v>90.346429452082603</v>
      </c>
      <c r="AK290">
        <v>94.358423001339403</v>
      </c>
      <c r="AL290">
        <v>92.969007042235901</v>
      </c>
      <c r="AM290">
        <v>92.044593781912099</v>
      </c>
      <c r="AN290">
        <v>0.99999998495785603</v>
      </c>
    </row>
    <row r="291" spans="1:40" x14ac:dyDescent="0.25">
      <c r="A291" t="str">
        <f>"20190305134915363"</f>
        <v>20190305134915363</v>
      </c>
      <c r="B291" t="str">
        <f>"1551764955350941"</f>
        <v>1551764955350941</v>
      </c>
      <c r="C291" t="s">
        <v>40</v>
      </c>
      <c r="D291">
        <v>3.823207</v>
      </c>
      <c r="E291">
        <v>0.51162969999999997</v>
      </c>
      <c r="F291" t="s">
        <v>42</v>
      </c>
      <c r="G291">
        <v>-366.81610000000001</v>
      </c>
      <c r="H291" s="1">
        <v>-1.392131E-6</v>
      </c>
      <c r="I291">
        <v>369.78140000000002</v>
      </c>
      <c r="J291">
        <v>-461.2987</v>
      </c>
      <c r="K291">
        <v>1.1086469999999999</v>
      </c>
      <c r="L291">
        <v>367.3965</v>
      </c>
      <c r="M291">
        <v>0.99981770000000003</v>
      </c>
      <c r="N291">
        <v>-1.0811499999999999E-3</v>
      </c>
      <c r="O291">
        <v>1.9065929999999998E-2</v>
      </c>
      <c r="P291">
        <v>0.99707990000000002</v>
      </c>
      <c r="Q291">
        <v>-5.2956179999999999E-2</v>
      </c>
      <c r="R291">
        <v>5.502071E-2</v>
      </c>
      <c r="S291">
        <v>3.0026860000000002</v>
      </c>
      <c r="T291">
        <v>-3.519154E-2</v>
      </c>
      <c r="U291">
        <v>7.5775149999999999E-2</v>
      </c>
      <c r="V291">
        <v>-3.5999040000000003E-2</v>
      </c>
      <c r="W291">
        <v>-5.1878229999999997E-2</v>
      </c>
      <c r="X291">
        <v>0.99800440000000001</v>
      </c>
      <c r="Y291">
        <v>-6.1639169999999997E-3</v>
      </c>
      <c r="Z291">
        <v>-1.6332860000000001E-4</v>
      </c>
      <c r="AA291">
        <v>0.99998100000000001</v>
      </c>
      <c r="AB291">
        <v>20</v>
      </c>
      <c r="AC291">
        <v>94.482600000000005</v>
      </c>
      <c r="AD291">
        <v>-1.108648392131</v>
      </c>
      <c r="AE291">
        <v>2.3849000000000098</v>
      </c>
      <c r="AF291">
        <v>-0.58298668616149196</v>
      </c>
      <c r="AG291">
        <v>-1.108648392131</v>
      </c>
      <c r="AH291">
        <v>94.497893532321697</v>
      </c>
      <c r="AI291">
        <v>90.672149915273806</v>
      </c>
      <c r="AJ291">
        <v>90.353470872394297</v>
      </c>
      <c r="AK291">
        <v>94.506194806370402</v>
      </c>
      <c r="AL291">
        <v>92.973738446437494</v>
      </c>
      <c r="AM291">
        <v>92.065821750633603</v>
      </c>
      <c r="AN291">
        <v>1.0000000320241</v>
      </c>
    </row>
    <row r="292" spans="1:40" x14ac:dyDescent="0.25">
      <c r="A292" t="str">
        <f>"20190305134915382"</f>
        <v>20190305134915382</v>
      </c>
      <c r="B292" t="str">
        <f>"1551764955371437"</f>
        <v>1551764955371437</v>
      </c>
      <c r="C292" t="s">
        <v>40</v>
      </c>
      <c r="D292">
        <v>3.8148900000000001</v>
      </c>
      <c r="E292">
        <v>0.51168329999999995</v>
      </c>
      <c r="F292" t="s">
        <v>42</v>
      </c>
      <c r="G292">
        <v>-367.02089999999998</v>
      </c>
      <c r="H292" s="1">
        <v>-1.3086010000000001E-6</v>
      </c>
      <c r="I292">
        <v>369.79759999999999</v>
      </c>
      <c r="J292">
        <v>-461.13330000000002</v>
      </c>
      <c r="K292">
        <v>1.108622</v>
      </c>
      <c r="L292">
        <v>367.3997</v>
      </c>
      <c r="M292">
        <v>0.99981660000000006</v>
      </c>
      <c r="N292">
        <v>-1.1079519999999999E-3</v>
      </c>
      <c r="O292">
        <v>1.9117140000000001E-2</v>
      </c>
      <c r="P292">
        <v>0.99708280000000005</v>
      </c>
      <c r="Q292">
        <v>-5.3020629999999999E-2</v>
      </c>
      <c r="R292">
        <v>5.4907890000000001E-2</v>
      </c>
      <c r="S292">
        <v>3.0027159999999999</v>
      </c>
      <c r="T292">
        <v>-3.5310029999999999E-2</v>
      </c>
      <c r="U292">
        <v>7.6477050000000005E-2</v>
      </c>
      <c r="V292">
        <v>-3.5839080000000002E-2</v>
      </c>
      <c r="W292">
        <v>-5.1913309999999997E-2</v>
      </c>
      <c r="X292">
        <v>0.99800829999999996</v>
      </c>
      <c r="Y292">
        <v>-6.3460309999999898E-3</v>
      </c>
      <c r="Z292">
        <v>-1.6273660000000001E-4</v>
      </c>
      <c r="AA292">
        <v>0.99997990000000003</v>
      </c>
      <c r="AB292">
        <v>20</v>
      </c>
      <c r="AC292">
        <v>94.112399999999994</v>
      </c>
      <c r="AD292">
        <v>-1.108623308601</v>
      </c>
      <c r="AE292">
        <v>2.3978999999999902</v>
      </c>
      <c r="AF292">
        <v>-0.59821773114155297</v>
      </c>
      <c r="AG292">
        <v>-1.108623308601</v>
      </c>
      <c r="AH292">
        <v>94.127989002463394</v>
      </c>
      <c r="AI292">
        <v>90.674775036739405</v>
      </c>
      <c r="AJ292">
        <v>90.364130691950805</v>
      </c>
      <c r="AK292">
        <v>94.136418158660007</v>
      </c>
      <c r="AL292">
        <v>92.975751192292094</v>
      </c>
      <c r="AM292">
        <v>92.056642241626506</v>
      </c>
      <c r="AN292">
        <v>0.99999999913964599</v>
      </c>
    </row>
    <row r="293" spans="1:40" x14ac:dyDescent="0.25">
      <c r="A293" t="str">
        <f>"20190305134915395"</f>
        <v>20190305134915395</v>
      </c>
      <c r="B293" t="str">
        <f>"1551764955390957"</f>
        <v>1551764955390957</v>
      </c>
      <c r="C293" t="s">
        <v>40</v>
      </c>
      <c r="D293">
        <v>3.825434</v>
      </c>
      <c r="E293">
        <v>0.51175879999999996</v>
      </c>
      <c r="F293" t="s">
        <v>42</v>
      </c>
      <c r="G293">
        <v>-366.73520000000002</v>
      </c>
      <c r="H293" s="1">
        <v>-1.425677E-6</v>
      </c>
      <c r="I293">
        <v>369.77699999999999</v>
      </c>
      <c r="J293">
        <v>-461.0102</v>
      </c>
      <c r="K293">
        <v>1.1085969999999901</v>
      </c>
      <c r="L293">
        <v>367.40210000000002</v>
      </c>
      <c r="M293">
        <v>0.99981640000000005</v>
      </c>
      <c r="N293">
        <v>-1.1278739999999901E-3</v>
      </c>
      <c r="O293">
        <v>1.91348E-2</v>
      </c>
      <c r="P293">
        <v>0.99708350000000001</v>
      </c>
      <c r="Q293">
        <v>-5.289137E-2</v>
      </c>
      <c r="R293">
        <v>5.5019999999999999E-2</v>
      </c>
      <c r="S293">
        <v>3.0027469999999998</v>
      </c>
      <c r="T293">
        <v>-3.5264610000000002E-2</v>
      </c>
      <c r="U293">
        <v>7.5622560000000005E-2</v>
      </c>
      <c r="V293">
        <v>-3.5935969999999998E-2</v>
      </c>
      <c r="W293">
        <v>-5.1762420000000003E-2</v>
      </c>
      <c r="X293">
        <v>0.99801269999999997</v>
      </c>
      <c r="Y293">
        <v>-6.0437479999999998E-3</v>
      </c>
      <c r="Z293">
        <v>-1.6418299999999901E-4</v>
      </c>
      <c r="AA293">
        <v>0.99998169999999997</v>
      </c>
      <c r="AB293">
        <v>20</v>
      </c>
      <c r="AC293">
        <v>94.274999999999906</v>
      </c>
      <c r="AD293">
        <v>-1.1085984256769901</v>
      </c>
      <c r="AE293">
        <v>2.3748999999999598</v>
      </c>
      <c r="AF293">
        <v>-0.57045215957931505</v>
      </c>
      <c r="AG293">
        <v>-1.1085984256769901</v>
      </c>
      <c r="AH293">
        <v>94.290152655605496</v>
      </c>
      <c r="AI293">
        <v>90.673600798996702</v>
      </c>
      <c r="AJ293">
        <v>90.3466332535547</v>
      </c>
      <c r="AK293">
        <v>94.298394970185797</v>
      </c>
      <c r="AL293">
        <v>92.967094054581395</v>
      </c>
      <c r="AM293">
        <v>92.062188441261597</v>
      </c>
      <c r="AN293">
        <v>1.0000000457126901</v>
      </c>
    </row>
    <row r="294" spans="1:40" x14ac:dyDescent="0.25">
      <c r="A294" t="str">
        <f>"20190305134915412"</f>
        <v>20190305134915412</v>
      </c>
      <c r="B294" t="str">
        <f>"1551764955400717"</f>
        <v>1551764955400717</v>
      </c>
      <c r="C294" t="s">
        <v>40</v>
      </c>
      <c r="D294">
        <v>3.8317760000000001</v>
      </c>
      <c r="E294">
        <v>0.51186049999999905</v>
      </c>
      <c r="F294" t="s">
        <v>42</v>
      </c>
      <c r="G294">
        <v>-365.12479999999999</v>
      </c>
      <c r="H294" s="1">
        <v>-2.1253319999999998E-6</v>
      </c>
      <c r="I294">
        <v>369.81</v>
      </c>
      <c r="J294">
        <v>-460.86369999999999</v>
      </c>
      <c r="K294">
        <v>1.1085739999999999</v>
      </c>
      <c r="L294">
        <v>367.40499999999997</v>
      </c>
      <c r="M294">
        <v>0.99981640000000005</v>
      </c>
      <c r="N294">
        <v>-1.151537E-3</v>
      </c>
      <c r="O294">
        <v>1.9133919999999999E-2</v>
      </c>
      <c r="P294">
        <v>0.99706490000000003</v>
      </c>
      <c r="Q294">
        <v>-5.3191879999999997E-2</v>
      </c>
      <c r="R294">
        <v>5.5065959999999997E-2</v>
      </c>
      <c r="S294">
        <v>3.002777</v>
      </c>
      <c r="T294">
        <v>-3.4717199999999997E-2</v>
      </c>
      <c r="U294">
        <v>7.5408939999999994E-2</v>
      </c>
      <c r="V294">
        <v>-3.5985410000000002E-2</v>
      </c>
      <c r="W294">
        <v>-5.2037439999999997E-2</v>
      </c>
      <c r="X294">
        <v>0.99799660000000001</v>
      </c>
      <c r="Y294">
        <v>-5.9732550000000002E-3</v>
      </c>
      <c r="Z294">
        <v>-1.611595E-4</v>
      </c>
      <c r="AA294">
        <v>0.99998209999999998</v>
      </c>
      <c r="AB294">
        <v>20</v>
      </c>
      <c r="AC294">
        <v>95.738900000000001</v>
      </c>
      <c r="AD294">
        <v>-1.1085761253319999</v>
      </c>
      <c r="AE294">
        <v>2.4050000000000198</v>
      </c>
      <c r="AF294">
        <v>-0.57262156492430605</v>
      </c>
      <c r="AG294">
        <v>-1.1085761253319999</v>
      </c>
      <c r="AH294">
        <v>95.754559758896804</v>
      </c>
      <c r="AI294">
        <v>90.6632870571447</v>
      </c>
      <c r="AJ294">
        <v>90.342630240495893</v>
      </c>
      <c r="AK294">
        <v>95.762688721142396</v>
      </c>
      <c r="AL294">
        <v>92.982872853503693</v>
      </c>
      <c r="AM294">
        <v>92.065056389692302</v>
      </c>
      <c r="AN294">
        <v>1.00000002925309</v>
      </c>
    </row>
    <row r="295" spans="1:40" x14ac:dyDescent="0.25">
      <c r="A295" t="str">
        <f>"20190305134915428"</f>
        <v>20190305134915428</v>
      </c>
      <c r="B295" t="str">
        <f>"1551764955421214"</f>
        <v>1551764955421214</v>
      </c>
      <c r="C295" t="s">
        <v>40</v>
      </c>
      <c r="D295">
        <v>3.8356089999999998</v>
      </c>
      <c r="E295">
        <v>0.532649699999999</v>
      </c>
      <c r="F295" t="s">
        <v>42</v>
      </c>
      <c r="G295">
        <v>-367.71039999999999</v>
      </c>
      <c r="H295" s="1">
        <v>-9.9106150000000002E-7</v>
      </c>
      <c r="I295">
        <v>369.7158</v>
      </c>
      <c r="J295">
        <v>-460.71539999999999</v>
      </c>
      <c r="K295">
        <v>1.1085529999999999</v>
      </c>
      <c r="L295">
        <v>367.40780000000001</v>
      </c>
      <c r="M295">
        <v>0.99981679999999995</v>
      </c>
      <c r="N295">
        <v>-1.1753180000000001E-3</v>
      </c>
      <c r="O295">
        <v>1.9105500000000001E-2</v>
      </c>
      <c r="P295">
        <v>0.99703010000000003</v>
      </c>
      <c r="Q295">
        <v>-5.357609E-2</v>
      </c>
      <c r="R295">
        <v>5.5321259999999997E-2</v>
      </c>
      <c r="S295">
        <v>3.0028079999999999</v>
      </c>
      <c r="T295">
        <v>-3.5735009999999998E-2</v>
      </c>
      <c r="U295">
        <v>7.4493409999999996E-2</v>
      </c>
      <c r="V295">
        <v>-3.6272640000000002E-2</v>
      </c>
      <c r="W295">
        <v>-5.2396239999999997E-2</v>
      </c>
      <c r="X295">
        <v>0.99796739999999995</v>
      </c>
      <c r="Y295">
        <v>-5.6967830000000004E-3</v>
      </c>
      <c r="Z295">
        <v>-1.6760619999999901E-4</v>
      </c>
      <c r="AA295">
        <v>0.99998379999999998</v>
      </c>
      <c r="AB295">
        <v>20</v>
      </c>
      <c r="AC295">
        <v>93.004999999999995</v>
      </c>
      <c r="AD295">
        <v>-1.1085539910615001</v>
      </c>
      <c r="AE295">
        <v>2.3079999999999901</v>
      </c>
      <c r="AF295">
        <v>-0.53059516908195703</v>
      </c>
      <c r="AG295">
        <v>-1.1085539910615001</v>
      </c>
      <c r="AH295">
        <v>93.018912578074193</v>
      </c>
      <c r="AI295">
        <v>90.682779699622102</v>
      </c>
      <c r="AJ295">
        <v>90.326821000801601</v>
      </c>
      <c r="AK295">
        <v>93.027031127473705</v>
      </c>
      <c r="AL295">
        <v>93.003458747647599</v>
      </c>
      <c r="AM295">
        <v>92.081585760488593</v>
      </c>
      <c r="AN295">
        <v>1.0000000009207299</v>
      </c>
    </row>
    <row r="296" spans="1:40" x14ac:dyDescent="0.25">
      <c r="A296" t="str">
        <f>"20190305134915444"</f>
        <v>20190305134915444</v>
      </c>
      <c r="B296" t="str">
        <f>"1551764955440733"</f>
        <v>1551764955440733</v>
      </c>
      <c r="C296" t="s">
        <v>40</v>
      </c>
      <c r="D296">
        <v>3.8225470000000001</v>
      </c>
      <c r="E296">
        <v>0.53881089999999998</v>
      </c>
      <c r="F296" t="s">
        <v>42</v>
      </c>
      <c r="G296">
        <v>-364.04349999999999</v>
      </c>
      <c r="H296" s="1">
        <v>-3.4422700000000001E-6</v>
      </c>
      <c r="I296">
        <v>364.5163</v>
      </c>
      <c r="J296">
        <v>-460.56729999999999</v>
      </c>
      <c r="K296">
        <v>1.108536</v>
      </c>
      <c r="L296">
        <v>367.41059999999999</v>
      </c>
      <c r="M296">
        <v>0.99981779999999998</v>
      </c>
      <c r="N296">
        <v>-1.1992000000000001E-3</v>
      </c>
      <c r="O296">
        <v>1.9051329999999998E-2</v>
      </c>
      <c r="P296">
        <v>0.99702670000000004</v>
      </c>
      <c r="Q296">
        <v>-5.3727089999999998E-2</v>
      </c>
      <c r="R296">
        <v>5.5236769999999998E-2</v>
      </c>
      <c r="S296">
        <v>3.0120849999999999</v>
      </c>
      <c r="T296">
        <v>-3.4540179999999997E-2</v>
      </c>
      <c r="U296">
        <v>-9.0087890000000004E-2</v>
      </c>
      <c r="V296">
        <v>-3.6243850000000001E-2</v>
      </c>
      <c r="W296">
        <v>-5.2521940000000003E-2</v>
      </c>
      <c r="X296">
        <v>0.99796180000000001</v>
      </c>
      <c r="Y296">
        <v>4.8928300000000001E-2</v>
      </c>
      <c r="Z296">
        <v>-5.0538340000000001E-4</v>
      </c>
      <c r="AA296">
        <v>0.99880219999999997</v>
      </c>
      <c r="AB296">
        <v>20</v>
      </c>
      <c r="AC296">
        <v>96.523799999999994</v>
      </c>
      <c r="AD296">
        <v>-1.1085394422699999</v>
      </c>
      <c r="AE296">
        <v>-2.8942999999999799</v>
      </c>
      <c r="AF296">
        <v>4.7320591886562404</v>
      </c>
      <c r="AG296">
        <v>-1.1085394422699999</v>
      </c>
      <c r="AH296">
        <v>96.438432800932006</v>
      </c>
      <c r="AI296">
        <v>90.657782573111703</v>
      </c>
      <c r="AJ296">
        <v>87.190852966946906</v>
      </c>
      <c r="AK296">
        <v>96.560823137336001</v>
      </c>
      <c r="AL296">
        <v>93.010670873157494</v>
      </c>
      <c r="AM296">
        <v>92.079946695468394</v>
      </c>
      <c r="AN296">
        <v>0.99999996255171197</v>
      </c>
    </row>
    <row r="297" spans="1:40" x14ac:dyDescent="0.25">
      <c r="A297" t="str">
        <f>"20190305134915462"</f>
        <v>20190305134915462</v>
      </c>
      <c r="B297" t="str">
        <f>"1551764955451468"</f>
        <v>1551764955451468</v>
      </c>
      <c r="C297" t="s">
        <v>40</v>
      </c>
      <c r="D297">
        <v>3.853472</v>
      </c>
      <c r="E297">
        <v>0.5402361</v>
      </c>
      <c r="F297" t="s">
        <v>42</v>
      </c>
      <c r="G297">
        <v>-366.97410000000002</v>
      </c>
      <c r="H297" s="1">
        <v>-2.7534569999999999E-6</v>
      </c>
      <c r="I297">
        <v>363.08550000000002</v>
      </c>
      <c r="J297">
        <v>-460.40210000000002</v>
      </c>
      <c r="K297">
        <v>1.108519</v>
      </c>
      <c r="L297">
        <v>367.41359999999997</v>
      </c>
      <c r="M297">
        <v>0.99981949999999997</v>
      </c>
      <c r="N297">
        <v>-1.2259409999999999E-3</v>
      </c>
      <c r="O297">
        <v>1.8964140000000001E-2</v>
      </c>
      <c r="P297">
        <v>0.99699990000000005</v>
      </c>
      <c r="Q297">
        <v>-5.429929E-2</v>
      </c>
      <c r="R297">
        <v>5.5161109999999999E-2</v>
      </c>
      <c r="S297">
        <v>3.0147710000000001</v>
      </c>
      <c r="T297">
        <v>-3.5707589999999997E-2</v>
      </c>
      <c r="U297">
        <v>-0.13931270000000001</v>
      </c>
      <c r="V297">
        <v>-3.6258510000000001E-2</v>
      </c>
      <c r="W297">
        <v>-5.3065859999999999E-2</v>
      </c>
      <c r="X297">
        <v>0.99793259999999995</v>
      </c>
      <c r="Y297">
        <v>6.5090339999999997E-2</v>
      </c>
      <c r="Z297">
        <v>-6.2644199999999995E-4</v>
      </c>
      <c r="AA297">
        <v>0.99787919999999997</v>
      </c>
      <c r="AB297">
        <v>20</v>
      </c>
      <c r="AC297">
        <v>93.427999999999997</v>
      </c>
      <c r="AD297">
        <v>-1.108521753457</v>
      </c>
      <c r="AE297">
        <v>-4.3280999999999397</v>
      </c>
      <c r="AF297">
        <v>6.0982478423605597</v>
      </c>
      <c r="AG297">
        <v>-1.108521753457</v>
      </c>
      <c r="AH297">
        <v>93.316010864541099</v>
      </c>
      <c r="AI297">
        <v>90.679148824812302</v>
      </c>
      <c r="AJ297">
        <v>86.261008877620995</v>
      </c>
      <c r="AK297">
        <v>93.521630283565401</v>
      </c>
      <c r="AL297">
        <v>93.041878390726893</v>
      </c>
      <c r="AM297">
        <v>92.0808480892902</v>
      </c>
      <c r="AN297">
        <v>1.00000006959385</v>
      </c>
    </row>
    <row r="298" spans="1:40" x14ac:dyDescent="0.25">
      <c r="A298" t="str">
        <f>"20190305134915483"</f>
        <v>20190305134915483</v>
      </c>
      <c r="B298" t="str">
        <f>"1551764955480749"</f>
        <v>1551764955480749</v>
      </c>
      <c r="C298" t="s">
        <v>40</v>
      </c>
      <c r="D298">
        <v>3.8381090000000002</v>
      </c>
      <c r="E298">
        <v>0.54137749999999996</v>
      </c>
      <c r="F298" t="s">
        <v>42</v>
      </c>
      <c r="G298">
        <v>-374.06229999999999</v>
      </c>
      <c r="H298" s="1">
        <v>-3.7437170000000001E-6</v>
      </c>
      <c r="I298">
        <v>363.08800000000002</v>
      </c>
      <c r="J298">
        <v>-460.20119999999997</v>
      </c>
      <c r="K298">
        <v>1.1084940000000001</v>
      </c>
      <c r="L298">
        <v>367.41730000000001</v>
      </c>
      <c r="M298">
        <v>0.99982210000000005</v>
      </c>
      <c r="N298">
        <v>-1.2586310000000001E-3</v>
      </c>
      <c r="O298">
        <v>1.882114E-2</v>
      </c>
      <c r="P298">
        <v>0.99698469999999995</v>
      </c>
      <c r="Q298">
        <v>-5.476321E-2</v>
      </c>
      <c r="R298">
        <v>5.4979229999999997E-2</v>
      </c>
      <c r="S298">
        <v>3.0152589999999999</v>
      </c>
      <c r="T298">
        <v>-3.87131E-2</v>
      </c>
      <c r="U298">
        <v>-0.151062</v>
      </c>
      <c r="V298">
        <v>-3.6222940000000002E-2</v>
      </c>
      <c r="W298">
        <v>-5.3495239999999999E-2</v>
      </c>
      <c r="X298">
        <v>0.99791090000000005</v>
      </c>
      <c r="Y298">
        <v>6.8817680000000006E-2</v>
      </c>
      <c r="Z298">
        <v>-7.0265020000000004E-4</v>
      </c>
      <c r="AA298">
        <v>0.99762899999999999</v>
      </c>
      <c r="AB298">
        <v>21</v>
      </c>
      <c r="AC298">
        <v>86.138899999999893</v>
      </c>
      <c r="AD298">
        <v>-1.1084977437170001</v>
      </c>
      <c r="AE298">
        <v>-4.3292999999999804</v>
      </c>
      <c r="AF298">
        <v>5.9487840139207897</v>
      </c>
      <c r="AG298">
        <v>-1.1084977437170001</v>
      </c>
      <c r="AH298">
        <v>86.027948800109996</v>
      </c>
      <c r="AI298">
        <v>90.736475174815894</v>
      </c>
      <c r="AJ298">
        <v>86.044326101178001</v>
      </c>
      <c r="AK298">
        <v>86.240505409270696</v>
      </c>
      <c r="AL298">
        <v>93.066515249094707</v>
      </c>
      <c r="AM298">
        <v>92.078853711047302</v>
      </c>
      <c r="AN298">
        <v>1.0000000032118499</v>
      </c>
    </row>
    <row r="299" spans="1:40" x14ac:dyDescent="0.25">
      <c r="A299" t="str">
        <f>"20190305134915498"</f>
        <v>20190305134915498</v>
      </c>
      <c r="B299" t="str">
        <f>"1551764955491484"</f>
        <v>1551764955491484</v>
      </c>
      <c r="C299" t="s">
        <v>40</v>
      </c>
      <c r="D299">
        <v>3.8611900000000001</v>
      </c>
      <c r="E299">
        <v>0.54158130000000004</v>
      </c>
      <c r="F299" t="s">
        <v>42</v>
      </c>
      <c r="G299">
        <v>-365.7149</v>
      </c>
      <c r="H299" s="1">
        <v>-3.3687629999999999E-6</v>
      </c>
      <c r="I299">
        <v>362.38350000000003</v>
      </c>
      <c r="J299">
        <v>-460.05959999999999</v>
      </c>
      <c r="K299">
        <v>1.108476</v>
      </c>
      <c r="L299">
        <v>367.41980000000001</v>
      </c>
      <c r="M299">
        <v>0.9998243</v>
      </c>
      <c r="N299">
        <v>-1.2818619999999999E-3</v>
      </c>
      <c r="O299">
        <v>1.869782E-2</v>
      </c>
      <c r="P299">
        <v>0.99698260000000005</v>
      </c>
      <c r="Q299">
        <v>-5.5189830000000002E-2</v>
      </c>
      <c r="R299">
        <v>5.4589680000000002E-2</v>
      </c>
      <c r="S299">
        <v>3.0159910000000001</v>
      </c>
      <c r="T299">
        <v>-3.5383110000000002E-2</v>
      </c>
      <c r="U299">
        <v>-0.16067500000000001</v>
      </c>
      <c r="V299">
        <v>-3.5958549999999999E-2</v>
      </c>
      <c r="W299">
        <v>-5.3897420000000001E-2</v>
      </c>
      <c r="X299">
        <v>0.99789879999999997</v>
      </c>
      <c r="Y299">
        <v>7.1854520000000005E-2</v>
      </c>
      <c r="Z299">
        <v>-6.6253380000000004E-4</v>
      </c>
      <c r="AA299">
        <v>0.99741489999999999</v>
      </c>
      <c r="AB299">
        <v>21</v>
      </c>
      <c r="AC299">
        <v>94.344700000000003</v>
      </c>
      <c r="AD299">
        <v>-1.1084793687629999</v>
      </c>
      <c r="AE299">
        <v>-5.0362999999999802</v>
      </c>
      <c r="AF299">
        <v>6.7985254917459601</v>
      </c>
      <c r="AG299">
        <v>-1.1084793687629999</v>
      </c>
      <c r="AH299">
        <v>94.221068987860605</v>
      </c>
      <c r="AI299">
        <v>90.672286942352301</v>
      </c>
      <c r="AJ299">
        <v>85.872972772782006</v>
      </c>
      <c r="AK299">
        <v>94.472527840574301</v>
      </c>
      <c r="AL299">
        <v>93.0895918232236</v>
      </c>
      <c r="AM299">
        <v>92.063718398493407</v>
      </c>
      <c r="AN299">
        <v>0.99999998212109897</v>
      </c>
    </row>
    <row r="300" spans="1:40" x14ac:dyDescent="0.25">
      <c r="A300" t="str">
        <f>"20190305134915515"</f>
        <v>20190305134915515</v>
      </c>
      <c r="B300" t="str">
        <f>"1551764955511005"</f>
        <v>1551764955511005</v>
      </c>
      <c r="C300" t="s">
        <v>40</v>
      </c>
      <c r="D300">
        <v>3.8803890000000001</v>
      </c>
      <c r="E300">
        <v>0.54189379999999998</v>
      </c>
      <c r="F300" t="s">
        <v>42</v>
      </c>
      <c r="G300">
        <v>-361.95639999999997</v>
      </c>
      <c r="H300" s="1">
        <v>-4.7634159999999996E-6</v>
      </c>
      <c r="I300">
        <v>362.11610000000002</v>
      </c>
      <c r="J300">
        <v>-459.89280000000002</v>
      </c>
      <c r="K300">
        <v>1.1084579999999999</v>
      </c>
      <c r="L300">
        <v>367.4228</v>
      </c>
      <c r="M300">
        <v>0.99982740000000003</v>
      </c>
      <c r="N300">
        <v>-1.3093919999999999E-3</v>
      </c>
      <c r="O300">
        <v>1.853308E-2</v>
      </c>
      <c r="P300">
        <v>0.9969732</v>
      </c>
      <c r="Q300">
        <v>-5.5884339999999998E-2</v>
      </c>
      <c r="R300">
        <v>5.4050050000000002E-2</v>
      </c>
      <c r="S300">
        <v>3.0160830000000001</v>
      </c>
      <c r="T300">
        <v>-3.4079070000000003E-2</v>
      </c>
      <c r="U300">
        <v>-0.16305539999999999</v>
      </c>
      <c r="V300">
        <v>-3.558658E-2</v>
      </c>
      <c r="W300">
        <v>-5.4563159999999999E-2</v>
      </c>
      <c r="X300">
        <v>0.99787599999999999</v>
      </c>
      <c r="Y300">
        <v>7.2473899999999994E-2</v>
      </c>
      <c r="Z300">
        <v>-6.4163700000000002E-4</v>
      </c>
      <c r="AA300">
        <v>0.99737010000000004</v>
      </c>
      <c r="AB300">
        <v>21</v>
      </c>
      <c r="AC300">
        <v>97.936400000000006</v>
      </c>
      <c r="AD300">
        <v>-1.108462763416</v>
      </c>
      <c r="AE300">
        <v>-5.30669999999997</v>
      </c>
      <c r="AF300">
        <v>7.1199438302939901</v>
      </c>
      <c r="AG300">
        <v>-1.108462763416</v>
      </c>
      <c r="AH300">
        <v>97.808736833863193</v>
      </c>
      <c r="AI300">
        <v>90.647589742442804</v>
      </c>
      <c r="AJ300">
        <v>85.8365228092092</v>
      </c>
      <c r="AK300">
        <v>98.073805324767093</v>
      </c>
      <c r="AL300">
        <v>93.127791989075504</v>
      </c>
      <c r="AM300">
        <v>92.042435248248196</v>
      </c>
      <c r="AN300">
        <v>1.00000002724064</v>
      </c>
    </row>
    <row r="301" spans="1:40" x14ac:dyDescent="0.25">
      <c r="A301" t="str">
        <f>"20190305134915528"</f>
        <v>20190305134915528</v>
      </c>
      <c r="B301" t="str">
        <f>"1551764955521741"</f>
        <v>1551764955521741</v>
      </c>
      <c r="C301" t="s">
        <v>40</v>
      </c>
      <c r="D301">
        <v>3.8484530000000001</v>
      </c>
      <c r="E301">
        <v>0.54186060000000003</v>
      </c>
      <c r="F301" t="s">
        <v>42</v>
      </c>
      <c r="G301">
        <v>-367.76549999999997</v>
      </c>
      <c r="H301" s="1">
        <v>-2.6907930000000002E-6</v>
      </c>
      <c r="I301">
        <v>362.30889999999999</v>
      </c>
      <c r="J301">
        <v>-459.7638</v>
      </c>
      <c r="K301">
        <v>1.1084449999999999</v>
      </c>
      <c r="L301">
        <v>367.42500000000001</v>
      </c>
      <c r="M301">
        <v>0.99982990000000005</v>
      </c>
      <c r="N301">
        <v>-1.3307080000000001E-3</v>
      </c>
      <c r="O301">
        <v>1.83941E-2</v>
      </c>
      <c r="P301">
        <v>0.9969808</v>
      </c>
      <c r="Q301">
        <v>-5.6137230000000003E-2</v>
      </c>
      <c r="R301">
        <v>5.3646859999999998E-2</v>
      </c>
      <c r="S301">
        <v>3.0161440000000002</v>
      </c>
      <c r="T301">
        <v>-3.6289689999999999E-2</v>
      </c>
      <c r="U301">
        <v>-0.1674194</v>
      </c>
      <c r="V301">
        <v>-3.5323470000000003E-2</v>
      </c>
      <c r="W301">
        <v>-5.479386E-2</v>
      </c>
      <c r="X301">
        <v>0.99787269999999995</v>
      </c>
      <c r="Y301">
        <v>7.3771970000000006E-2</v>
      </c>
      <c r="Z301">
        <v>-6.89272E-4</v>
      </c>
      <c r="AA301">
        <v>0.99727489999999996</v>
      </c>
      <c r="AB301">
        <v>21</v>
      </c>
      <c r="AC301">
        <v>91.9983</v>
      </c>
      <c r="AD301">
        <v>-1.1084476907930001</v>
      </c>
      <c r="AE301">
        <v>-5.1161000000000101</v>
      </c>
      <c r="AF301">
        <v>6.8064768678188097</v>
      </c>
      <c r="AG301">
        <v>-1.1084476907930001</v>
      </c>
      <c r="AH301">
        <v>91.875332791307002</v>
      </c>
      <c r="AI301">
        <v>90.689333555335693</v>
      </c>
      <c r="AJ301">
        <v>85.763049072307794</v>
      </c>
      <c r="AK301">
        <v>92.133780770946302</v>
      </c>
      <c r="AL301">
        <v>93.141029951602206</v>
      </c>
      <c r="AM301">
        <v>92.027353814547595</v>
      </c>
      <c r="AN301">
        <v>1.00000002001591</v>
      </c>
    </row>
    <row r="302" spans="1:40" x14ac:dyDescent="0.25">
      <c r="A302" t="str">
        <f>"20190305134915551"</f>
        <v>20190305134915551</v>
      </c>
      <c r="B302" t="str">
        <f>"1551764955541261"</f>
        <v>1551764955541261</v>
      </c>
      <c r="C302" t="s">
        <v>40</v>
      </c>
      <c r="D302">
        <v>3.8772129999999998</v>
      </c>
      <c r="E302">
        <v>0.54252999999999996</v>
      </c>
      <c r="F302" t="s">
        <v>42</v>
      </c>
      <c r="G302">
        <v>-366.81740000000002</v>
      </c>
      <c r="H302" s="1">
        <v>-3.033437E-6</v>
      </c>
      <c r="I302">
        <v>362.2337</v>
      </c>
      <c r="J302">
        <v>-459.55650000000003</v>
      </c>
      <c r="K302">
        <v>1.1084259999999999</v>
      </c>
      <c r="L302">
        <v>367.42860000000002</v>
      </c>
      <c r="M302">
        <v>0.99983449999999996</v>
      </c>
      <c r="N302">
        <v>-1.365317E-3</v>
      </c>
      <c r="O302">
        <v>1.814965E-2</v>
      </c>
      <c r="P302">
        <v>0.99699289999999996</v>
      </c>
      <c r="Q302">
        <v>-5.6437380000000002E-2</v>
      </c>
      <c r="R302">
        <v>5.3105550000000001E-2</v>
      </c>
      <c r="S302">
        <v>3.0161129999999998</v>
      </c>
      <c r="T302">
        <v>-3.5969139999999997E-2</v>
      </c>
      <c r="U302">
        <v>-0.168457</v>
      </c>
      <c r="V302">
        <v>-3.5027950000000002E-2</v>
      </c>
      <c r="W302">
        <v>-5.5058349999999999E-2</v>
      </c>
      <c r="X302">
        <v>0.99786850000000005</v>
      </c>
      <c r="Y302">
        <v>7.3870850000000002E-2</v>
      </c>
      <c r="Z302">
        <v>-6.8212149999999903E-4</v>
      </c>
      <c r="AA302">
        <v>0.99726760000000003</v>
      </c>
      <c r="AB302">
        <v>21</v>
      </c>
      <c r="AC302">
        <v>92.739099999999993</v>
      </c>
      <c r="AD302">
        <v>-1.1084290334369999</v>
      </c>
      <c r="AE302">
        <v>-5.1949000000000103</v>
      </c>
      <c r="AF302">
        <v>6.87624860265917</v>
      </c>
      <c r="AG302">
        <v>-1.1084290334369999</v>
      </c>
      <c r="AH302">
        <v>92.6163492852003</v>
      </c>
      <c r="AI302">
        <v>90.683799166547004</v>
      </c>
      <c r="AJ302">
        <v>85.753897578519499</v>
      </c>
      <c r="AK302">
        <v>92.877874462575704</v>
      </c>
      <c r="AL302">
        <v>93.156207208737698</v>
      </c>
      <c r="AM302">
        <v>92.010415183023795</v>
      </c>
      <c r="AN302">
        <v>0.99999996123908597</v>
      </c>
    </row>
    <row r="303" spans="1:40" x14ac:dyDescent="0.25">
      <c r="A303" t="str">
        <f>"20190305134915565"</f>
        <v>20190305134915565</v>
      </c>
      <c r="B303" t="str">
        <f>"1551764955560781"</f>
        <v>1551764955560781</v>
      </c>
      <c r="C303" t="s">
        <v>40</v>
      </c>
      <c r="D303">
        <v>3.8850199999999999</v>
      </c>
      <c r="E303">
        <v>0.5521431</v>
      </c>
      <c r="F303" t="s">
        <v>42</v>
      </c>
      <c r="G303">
        <v>-353.56319999999999</v>
      </c>
      <c r="H303" s="1">
        <v>-4.3963160000000002E-6</v>
      </c>
      <c r="I303">
        <v>361.27359999999999</v>
      </c>
      <c r="J303">
        <v>-459.41739999999999</v>
      </c>
      <c r="K303">
        <v>1.1084149999999999</v>
      </c>
      <c r="L303">
        <v>367.43090000000001</v>
      </c>
      <c r="M303">
        <v>0.99983750000000005</v>
      </c>
      <c r="N303">
        <v>-1.3885049999999999E-3</v>
      </c>
      <c r="O303">
        <v>1.797605E-2</v>
      </c>
      <c r="P303">
        <v>0.99699890000000002</v>
      </c>
      <c r="Q303">
        <v>-5.6573449999999997E-2</v>
      </c>
      <c r="R303">
        <v>5.2846890000000001E-2</v>
      </c>
      <c r="S303">
        <v>3.0166019999999998</v>
      </c>
      <c r="T303">
        <v>-3.1546240000000003E-2</v>
      </c>
      <c r="U303">
        <v>-0.17517089999999999</v>
      </c>
      <c r="V303">
        <v>-3.4943509999999997E-2</v>
      </c>
      <c r="W303">
        <v>-5.5170759999999999E-2</v>
      </c>
      <c r="X303">
        <v>0.99786529999999996</v>
      </c>
      <c r="Y303">
        <v>7.5902339999999999E-2</v>
      </c>
      <c r="Z303">
        <v>-6.1217529999999995E-4</v>
      </c>
      <c r="AA303">
        <v>0.99711510000000003</v>
      </c>
      <c r="AB303">
        <v>21</v>
      </c>
      <c r="AC303">
        <v>105.85420000000001</v>
      </c>
      <c r="AD303">
        <v>-1.1084193963159901</v>
      </c>
      <c r="AE303">
        <v>-6.1573000000000198</v>
      </c>
      <c r="AF303">
        <v>8.0582666500499407</v>
      </c>
      <c r="AG303">
        <v>-1.1084193963159901</v>
      </c>
      <c r="AH303">
        <v>105.714859670338</v>
      </c>
      <c r="AI303">
        <v>90.598986195850699</v>
      </c>
      <c r="AJ303">
        <v>85.640976726109699</v>
      </c>
      <c r="AK303">
        <v>106.02733520220499</v>
      </c>
      <c r="AL303">
        <v>93.162657479820695</v>
      </c>
      <c r="AM303">
        <v>92.005579171869499</v>
      </c>
      <c r="AN303">
        <v>1.00000000929709</v>
      </c>
    </row>
    <row r="304" spans="1:40" x14ac:dyDescent="0.25">
      <c r="A304" t="str">
        <f>"20190305134915582"</f>
        <v>20190305134915582</v>
      </c>
      <c r="B304" t="str">
        <f>"1551764955571517"</f>
        <v>1551764955571517</v>
      </c>
      <c r="C304" t="s">
        <v>40</v>
      </c>
      <c r="D304">
        <v>3.8968069999999999</v>
      </c>
      <c r="E304">
        <v>0.55053560000000001</v>
      </c>
      <c r="F304" t="s">
        <v>46</v>
      </c>
      <c r="G304">
        <v>-232.3792</v>
      </c>
      <c r="H304">
        <v>0.69629649999999998</v>
      </c>
      <c r="I304">
        <v>348.51170000000002</v>
      </c>
      <c r="J304">
        <v>-459.2518</v>
      </c>
      <c r="K304">
        <v>1.1084069999999999</v>
      </c>
      <c r="L304">
        <v>367.43369999999999</v>
      </c>
      <c r="M304">
        <v>0.99984130000000004</v>
      </c>
      <c r="N304">
        <v>-1.4161899999999999E-3</v>
      </c>
      <c r="O304">
        <v>1.7764289999999999E-2</v>
      </c>
      <c r="P304">
        <v>0.9970234</v>
      </c>
      <c r="Q304">
        <v>-5.6860290000000001E-2</v>
      </c>
      <c r="R304">
        <v>5.2070579999999998E-2</v>
      </c>
      <c r="S304">
        <v>3.0220639999999999</v>
      </c>
      <c r="T304">
        <v>-5.4845809999999997E-3</v>
      </c>
      <c r="U304">
        <v>-0.25183109999999997</v>
      </c>
      <c r="V304">
        <v>-3.4378690000000003E-2</v>
      </c>
      <c r="W304">
        <v>-5.5429869999999999E-2</v>
      </c>
      <c r="X304">
        <v>0.99787060000000005</v>
      </c>
      <c r="Y304">
        <v>0.10073260000000001</v>
      </c>
      <c r="Z304">
        <v>-1.6977849999999999E-4</v>
      </c>
      <c r="AA304">
        <v>0.99491350000000001</v>
      </c>
      <c r="AB304">
        <v>21</v>
      </c>
      <c r="AC304">
        <v>226.87260000000001</v>
      </c>
      <c r="AD304">
        <v>-0.41211049999999999</v>
      </c>
      <c r="AE304">
        <v>-18.921999999999901</v>
      </c>
      <c r="AF304">
        <v>22.949173247309101</v>
      </c>
      <c r="AG304">
        <v>-0.41211049999999999</v>
      </c>
      <c r="AH304">
        <v>226.49992161933699</v>
      </c>
      <c r="AI304">
        <v>90.103716996067703</v>
      </c>
      <c r="AJ304">
        <v>84.214484701620705</v>
      </c>
      <c r="AK304">
        <v>227.65994131898799</v>
      </c>
      <c r="AL304">
        <v>93.177526013545005</v>
      </c>
      <c r="AM304">
        <v>91.9731767501993</v>
      </c>
      <c r="AN304">
        <v>1.00000004957934</v>
      </c>
    </row>
    <row r="305" spans="1:40" x14ac:dyDescent="0.25">
      <c r="A305" t="str">
        <f>"20190305134915594"</f>
        <v>20190305134915594</v>
      </c>
      <c r="B305" t="str">
        <f>"1551764955591036"</f>
        <v>1551764955591036</v>
      </c>
      <c r="C305" t="s">
        <v>40</v>
      </c>
      <c r="D305">
        <v>3.9305020000000002</v>
      </c>
      <c r="E305">
        <v>0.54898769999999997</v>
      </c>
      <c r="F305" t="s">
        <v>42</v>
      </c>
      <c r="G305">
        <v>-179.95779999999999</v>
      </c>
      <c r="H305">
        <v>1.1066350000000001E-2</v>
      </c>
      <c r="I305">
        <v>345.11020000000002</v>
      </c>
      <c r="J305">
        <v>-459.1318</v>
      </c>
      <c r="K305">
        <v>1.1084039999999999</v>
      </c>
      <c r="L305">
        <v>367.43560000000002</v>
      </c>
      <c r="M305">
        <v>0.99984410000000001</v>
      </c>
      <c r="N305">
        <v>-1.436332E-3</v>
      </c>
      <c r="O305">
        <v>1.7608229999999999E-2</v>
      </c>
      <c r="P305">
        <v>0.99703410000000003</v>
      </c>
      <c r="Q305">
        <v>-5.7171430000000002E-2</v>
      </c>
      <c r="R305">
        <v>5.1523590000000001E-2</v>
      </c>
      <c r="S305">
        <v>3.020905</v>
      </c>
      <c r="T305">
        <v>-1.1869070000000001E-2</v>
      </c>
      <c r="U305">
        <v>-0.24145510000000001</v>
      </c>
      <c r="V305">
        <v>-3.3987969999999999E-2</v>
      </c>
      <c r="W305">
        <v>-5.5720970000000002E-2</v>
      </c>
      <c r="X305">
        <v>0.99786770000000002</v>
      </c>
      <c r="Y305">
        <v>9.7212809999999997E-2</v>
      </c>
      <c r="Z305">
        <v>-3.0442929999999999E-4</v>
      </c>
      <c r="AA305">
        <v>0.99526360000000003</v>
      </c>
      <c r="AB305">
        <v>22</v>
      </c>
      <c r="AC305">
        <v>279.17399999999998</v>
      </c>
      <c r="AD305">
        <v>-1.0973376500000001</v>
      </c>
      <c r="AE305">
        <v>-22.325399999999998</v>
      </c>
      <c r="AF305">
        <v>27.237284833332101</v>
      </c>
      <c r="AG305">
        <v>-1.0973376500000001</v>
      </c>
      <c r="AH305">
        <v>278.73332745060901</v>
      </c>
      <c r="AI305">
        <v>90.224495752005595</v>
      </c>
      <c r="AJ305">
        <v>84.418885936148101</v>
      </c>
      <c r="AK305">
        <v>280.06310300840897</v>
      </c>
      <c r="AL305">
        <v>93.194230861299104</v>
      </c>
      <c r="AM305">
        <v>91.950774332399007</v>
      </c>
      <c r="AN305">
        <v>0.99999997765287496</v>
      </c>
    </row>
    <row r="306" spans="1:40" x14ac:dyDescent="0.25">
      <c r="A306" t="str">
        <f>"20190305134915608"</f>
        <v>20190305134915608</v>
      </c>
      <c r="B306" t="str">
        <f>"1551764955600799"</f>
        <v>1551764955600799</v>
      </c>
      <c r="C306" t="s">
        <v>40</v>
      </c>
      <c r="D306">
        <v>3.92116</v>
      </c>
      <c r="E306">
        <v>0.54874509999999999</v>
      </c>
      <c r="F306" t="s">
        <v>43</v>
      </c>
      <c r="G306">
        <v>-192.2627</v>
      </c>
      <c r="H306">
        <v>-0.05</v>
      </c>
      <c r="I306">
        <v>347.04329999999999</v>
      </c>
      <c r="J306">
        <v>-458.9871</v>
      </c>
      <c r="K306">
        <v>1.1084039999999999</v>
      </c>
      <c r="L306">
        <v>367.43799999999999</v>
      </c>
      <c r="M306">
        <v>0.99984740000000005</v>
      </c>
      <c r="N306">
        <v>-1.4607120000000001E-3</v>
      </c>
      <c r="O306">
        <v>1.7418360000000001E-2</v>
      </c>
      <c r="P306">
        <v>0.99706070000000002</v>
      </c>
      <c r="Q306">
        <v>-5.7084639999999999E-2</v>
      </c>
      <c r="R306">
        <v>5.1104049999999998E-2</v>
      </c>
      <c r="S306">
        <v>3.0200809999999998</v>
      </c>
      <c r="T306">
        <v>-1.3109330000000001E-2</v>
      </c>
      <c r="U306">
        <v>-0.2307739</v>
      </c>
      <c r="V306">
        <v>-3.3757410000000002E-2</v>
      </c>
      <c r="W306">
        <v>-5.5609930000000002E-2</v>
      </c>
      <c r="X306">
        <v>0.99788180000000004</v>
      </c>
      <c r="Y306">
        <v>9.3546009999999999E-2</v>
      </c>
      <c r="Z306">
        <v>-3.2125859999999998E-4</v>
      </c>
      <c r="AA306">
        <v>0.99561489999999997</v>
      </c>
      <c r="AB306">
        <v>22</v>
      </c>
      <c r="AC306">
        <v>266.7244</v>
      </c>
      <c r="AD306">
        <v>-1.158404</v>
      </c>
      <c r="AE306">
        <v>-20.3947</v>
      </c>
      <c r="AF306">
        <v>25.037042129141899</v>
      </c>
      <c r="AG306">
        <v>-1.158404</v>
      </c>
      <c r="AH306">
        <v>266.32369804564797</v>
      </c>
      <c r="AI306">
        <v>90.248118684811899</v>
      </c>
      <c r="AJ306">
        <v>84.629418591164495</v>
      </c>
      <c r="AK306">
        <v>267.500481343704</v>
      </c>
      <c r="AL306">
        <v>93.187858604941894</v>
      </c>
      <c r="AM306">
        <v>91.937523869378097</v>
      </c>
      <c r="AN306">
        <v>1.00000005690787</v>
      </c>
    </row>
    <row r="307" spans="1:40" x14ac:dyDescent="0.25">
      <c r="A307" t="str">
        <f>"20190305134915631"</f>
        <v>20190305134915631</v>
      </c>
      <c r="B307" t="str">
        <f>"1551764955621293"</f>
        <v>1551764955621293</v>
      </c>
      <c r="C307" t="s">
        <v>40</v>
      </c>
      <c r="D307">
        <v>3.8770129999999998</v>
      </c>
      <c r="E307">
        <v>0.54876519999999995</v>
      </c>
      <c r="F307" t="s">
        <v>42</v>
      </c>
      <c r="G307">
        <v>-179.93279999999999</v>
      </c>
      <c r="H307">
        <v>7.4944510000000006E-2</v>
      </c>
      <c r="I307">
        <v>346.14490000000001</v>
      </c>
      <c r="J307">
        <v>-458.78109999999998</v>
      </c>
      <c r="K307">
        <v>1.1084050000000001</v>
      </c>
      <c r="L307">
        <v>367.44119999999998</v>
      </c>
      <c r="M307">
        <v>0.99985190000000002</v>
      </c>
      <c r="N307">
        <v>-1.495487E-3</v>
      </c>
      <c r="O307">
        <v>1.7147900000000001E-2</v>
      </c>
      <c r="P307">
        <v>0.99710350000000003</v>
      </c>
      <c r="Q307">
        <v>-5.7155909999999997E-2</v>
      </c>
      <c r="R307">
        <v>5.0178840000000002E-2</v>
      </c>
      <c r="S307">
        <v>3.0199889999999998</v>
      </c>
      <c r="T307">
        <v>-1.1184329999999999E-2</v>
      </c>
      <c r="U307">
        <v>-0.23043820000000001</v>
      </c>
      <c r="V307">
        <v>-3.3101159999999998E-2</v>
      </c>
      <c r="W307">
        <v>-5.5646969999999997E-2</v>
      </c>
      <c r="X307">
        <v>0.9979017</v>
      </c>
      <c r="Y307">
        <v>9.3169260000000004E-2</v>
      </c>
      <c r="Z307">
        <v>-2.7985819999999998E-4</v>
      </c>
      <c r="AA307">
        <v>0.99565020000000004</v>
      </c>
      <c r="AB307">
        <v>22</v>
      </c>
      <c r="AC307">
        <v>278.84829999999999</v>
      </c>
      <c r="AD307">
        <v>-1.03346049</v>
      </c>
      <c r="AE307">
        <v>-21.296299999999899</v>
      </c>
      <c r="AF307">
        <v>26.074480444723601</v>
      </c>
      <c r="AG307">
        <v>-1.03346049</v>
      </c>
      <c r="AH307">
        <v>278.438309574497</v>
      </c>
      <c r="AI307">
        <v>90.211733501598403</v>
      </c>
      <c r="AJ307">
        <v>84.650113170309695</v>
      </c>
      <c r="AK307">
        <v>279.65843239521701</v>
      </c>
      <c r="AL307">
        <v>93.189984193881997</v>
      </c>
      <c r="AM307">
        <v>91.8998480816079</v>
      </c>
      <c r="AN307">
        <v>1.0000000374632001</v>
      </c>
    </row>
    <row r="308" spans="1:40" x14ac:dyDescent="0.25">
      <c r="A308" t="str">
        <f>"20190305134915697"</f>
        <v>20190305134915697</v>
      </c>
      <c r="B308" t="str">
        <f>"1551764955691566"</f>
        <v>1551764955691566</v>
      </c>
      <c r="C308" t="s">
        <v>40</v>
      </c>
      <c r="D308">
        <v>3.8825379999999998</v>
      </c>
      <c r="E308">
        <v>0.54885819999999996</v>
      </c>
      <c r="F308" t="s">
        <v>42</v>
      </c>
      <c r="G308">
        <v>-179.95779999999999</v>
      </c>
      <c r="H308">
        <v>4.8959669999999997E-2</v>
      </c>
      <c r="I308">
        <v>345.90219999999999</v>
      </c>
      <c r="J308">
        <v>-458.10109999999997</v>
      </c>
      <c r="K308">
        <v>1.1084020000000001</v>
      </c>
      <c r="L308">
        <v>367.45170000000002</v>
      </c>
      <c r="M308">
        <v>0.99986609999999998</v>
      </c>
      <c r="N308">
        <v>-1.613015E-3</v>
      </c>
      <c r="O308">
        <v>1.6288739999999999E-2</v>
      </c>
      <c r="P308">
        <v>0.99709000000000003</v>
      </c>
      <c r="Q308">
        <v>-5.8808699999999998E-2</v>
      </c>
      <c r="R308">
        <v>4.850952E-2</v>
      </c>
      <c r="S308">
        <v>3.0197750000000001</v>
      </c>
      <c r="T308">
        <v>-1.147425E-2</v>
      </c>
      <c r="U308">
        <v>-0.23327639999999999</v>
      </c>
      <c r="V308">
        <v>-3.228847E-2</v>
      </c>
      <c r="W308">
        <v>-5.7184249999999999E-2</v>
      </c>
      <c r="X308">
        <v>0.99784139999999999</v>
      </c>
      <c r="Y308">
        <v>9.3249269999999995E-2</v>
      </c>
      <c r="Z308">
        <v>-2.877903E-4</v>
      </c>
      <c r="AA308">
        <v>0.99564280000000005</v>
      </c>
      <c r="AB308">
        <v>22</v>
      </c>
      <c r="AC308">
        <v>278.14329999999899</v>
      </c>
      <c r="AD308">
        <v>-1.05944233</v>
      </c>
      <c r="AE308">
        <v>-21.549499999999998</v>
      </c>
      <c r="AF308">
        <v>26.0768744061563</v>
      </c>
      <c r="AG308">
        <v>-1.05944233</v>
      </c>
      <c r="AH308">
        <v>277.75137824825401</v>
      </c>
      <c r="AI308">
        <v>90.217588521437705</v>
      </c>
      <c r="AJ308">
        <v>84.636469426957404</v>
      </c>
      <c r="AK308">
        <v>278.97482667016698</v>
      </c>
      <c r="AL308">
        <v>93.278204409155506</v>
      </c>
      <c r="AM308">
        <v>91.853348416103202</v>
      </c>
      <c r="AN308">
        <v>1.0000000216484799</v>
      </c>
    </row>
    <row r="309" spans="1:40" x14ac:dyDescent="0.25">
      <c r="A309" t="str">
        <f>"20190305134915710"</f>
        <v>20190305134915710</v>
      </c>
      <c r="B309" t="str">
        <f>"1551764955701325"</f>
        <v>1551764955701325</v>
      </c>
      <c r="C309" t="s">
        <v>40</v>
      </c>
      <c r="D309">
        <v>3.8656079999999999</v>
      </c>
      <c r="E309">
        <v>0.53838680000000005</v>
      </c>
      <c r="F309" t="s">
        <v>43</v>
      </c>
      <c r="G309">
        <v>-242.9435</v>
      </c>
      <c r="H309">
        <v>-0.05</v>
      </c>
      <c r="I309">
        <v>350.39190000000002</v>
      </c>
      <c r="J309">
        <v>-457.9683</v>
      </c>
      <c r="K309">
        <v>1.108406</v>
      </c>
      <c r="L309">
        <v>367.45370000000003</v>
      </c>
      <c r="M309">
        <v>0.9998686</v>
      </c>
      <c r="N309">
        <v>-1.636226E-3</v>
      </c>
      <c r="O309">
        <v>1.6130240000000001E-2</v>
      </c>
      <c r="P309">
        <v>0.99709490000000001</v>
      </c>
      <c r="Q309">
        <v>-5.8946119999999998E-2</v>
      </c>
      <c r="R309">
        <v>4.8241190000000003E-2</v>
      </c>
      <c r="S309">
        <v>3.0194399999999999</v>
      </c>
      <c r="T309">
        <v>-1.6256570000000001E-2</v>
      </c>
      <c r="U309">
        <v>-0.2394104</v>
      </c>
      <c r="V309">
        <v>-3.217739E-2</v>
      </c>
      <c r="W309">
        <v>-5.729886E-2</v>
      </c>
      <c r="X309">
        <v>0.99783840000000001</v>
      </c>
      <c r="Y309">
        <v>9.5109219999999994E-2</v>
      </c>
      <c r="Z309">
        <v>-3.9393350000000002E-4</v>
      </c>
      <c r="AA309">
        <v>0.99546679999999999</v>
      </c>
      <c r="AB309">
        <v>23</v>
      </c>
      <c r="AC309">
        <v>215.0248</v>
      </c>
      <c r="AD309">
        <v>-1.158406</v>
      </c>
      <c r="AE309">
        <v>-17.061800000000002</v>
      </c>
      <c r="AF309">
        <v>20.527394334237599</v>
      </c>
      <c r="AG309">
        <v>-1.158406</v>
      </c>
      <c r="AH309">
        <v>214.71542101886399</v>
      </c>
      <c r="AI309">
        <v>90.307709093361197</v>
      </c>
      <c r="AJ309">
        <v>84.538960764383006</v>
      </c>
      <c r="AK309">
        <v>215.69753787635699</v>
      </c>
      <c r="AL309">
        <v>93.284781907365897</v>
      </c>
      <c r="AM309">
        <v>91.846982430515794</v>
      </c>
      <c r="AN309">
        <v>1.0000000081495299</v>
      </c>
    </row>
    <row r="310" spans="1:40" x14ac:dyDescent="0.25">
      <c r="A310" t="str">
        <f>"20190305134915728"</f>
        <v>20190305134915728</v>
      </c>
      <c r="B310" t="str">
        <f>"1551764955720845"</f>
        <v>1551764955720845</v>
      </c>
      <c r="C310" t="s">
        <v>40</v>
      </c>
      <c r="D310">
        <v>3.82138</v>
      </c>
      <c r="E310">
        <v>0.53907329999999998</v>
      </c>
      <c r="F310" t="s">
        <v>45</v>
      </c>
      <c r="G310">
        <v>-158.78319999999999</v>
      </c>
      <c r="H310">
        <v>4.1697699999999998</v>
      </c>
      <c r="I310">
        <v>352.0342</v>
      </c>
      <c r="J310">
        <v>-457.77879999999999</v>
      </c>
      <c r="K310">
        <v>1.1084099999999999</v>
      </c>
      <c r="L310">
        <v>367.45650000000001</v>
      </c>
      <c r="M310">
        <v>0.99987210000000004</v>
      </c>
      <c r="N310">
        <v>-1.669572E-3</v>
      </c>
      <c r="O310">
        <v>1.5916659999999999E-2</v>
      </c>
      <c r="P310">
        <v>0.99707440000000003</v>
      </c>
      <c r="Q310">
        <v>-5.9506999999999997E-2</v>
      </c>
      <c r="R310">
        <v>4.7979840000000003E-2</v>
      </c>
      <c r="S310">
        <v>3.018097</v>
      </c>
      <c r="T310">
        <v>3.0883069999999999E-2</v>
      </c>
      <c r="U310">
        <v>-0.15554809999999999</v>
      </c>
      <c r="V310">
        <v>-3.2129310000000001E-2</v>
      </c>
      <c r="W310">
        <v>-5.7827169999999997E-2</v>
      </c>
      <c r="X310">
        <v>0.99780950000000002</v>
      </c>
      <c r="Y310">
        <v>6.7355159999999997E-2</v>
      </c>
      <c r="Z310">
        <v>4.7742919999999999E-4</v>
      </c>
      <c r="AA310">
        <v>0.99772890000000003</v>
      </c>
      <c r="AB310">
        <v>23</v>
      </c>
      <c r="AC310">
        <v>298.99560000000002</v>
      </c>
      <c r="AD310">
        <v>3.0613600000000001</v>
      </c>
      <c r="AE310">
        <v>-15.4223</v>
      </c>
      <c r="AF310">
        <v>20.177253814316298</v>
      </c>
      <c r="AG310">
        <v>3.0613600000000001</v>
      </c>
      <c r="AH310">
        <v>298.681023291239</v>
      </c>
      <c r="AI310">
        <v>89.414097238268894</v>
      </c>
      <c r="AJ310">
        <v>86.135282879274399</v>
      </c>
      <c r="AK310">
        <v>299.37743263452302</v>
      </c>
      <c r="AL310">
        <v>93.3151020222829</v>
      </c>
      <c r="AM310">
        <v>91.844277923582695</v>
      </c>
      <c r="AN310">
        <v>1.0000000362207599</v>
      </c>
    </row>
    <row r="311" spans="1:40" x14ac:dyDescent="0.25">
      <c r="A311" t="str">
        <f>"20190305134915741"</f>
        <v>20190305134915741</v>
      </c>
      <c r="B311" t="str">
        <f>"1551764955731581"</f>
        <v>1551764955731581</v>
      </c>
      <c r="C311" t="s">
        <v>40</v>
      </c>
      <c r="D311">
        <v>3.8564940000000001</v>
      </c>
      <c r="E311">
        <v>0.53934159999999998</v>
      </c>
      <c r="F311" t="s">
        <v>45</v>
      </c>
      <c r="G311">
        <v>-158.78319999999999</v>
      </c>
      <c r="H311">
        <v>3.559161</v>
      </c>
      <c r="I311">
        <v>351.40260000000001</v>
      </c>
      <c r="J311">
        <v>-457.65030000000002</v>
      </c>
      <c r="K311">
        <v>1.1084179999999999</v>
      </c>
      <c r="L311">
        <v>367.45830000000001</v>
      </c>
      <c r="M311">
        <v>0.99987420000000005</v>
      </c>
      <c r="N311">
        <v>-1.6923680000000001E-3</v>
      </c>
      <c r="O311">
        <v>1.578135E-2</v>
      </c>
      <c r="P311">
        <v>0.99706790000000001</v>
      </c>
      <c r="Q311">
        <v>-5.9797129999999997E-2</v>
      </c>
      <c r="R311">
        <v>4.7752370000000002E-2</v>
      </c>
      <c r="S311">
        <v>3.0180660000000001</v>
      </c>
      <c r="T311">
        <v>2.473879E-2</v>
      </c>
      <c r="U311">
        <v>-0.16204830000000001</v>
      </c>
      <c r="V311">
        <v>-3.2035550000000003E-2</v>
      </c>
      <c r="W311">
        <v>-5.8095149999999998E-2</v>
      </c>
      <c r="X311">
        <v>0.99779689999999999</v>
      </c>
      <c r="Y311">
        <v>6.9364930000000005E-2</v>
      </c>
      <c r="Z311">
        <v>3.8129940000000001E-4</v>
      </c>
      <c r="AA311">
        <v>0.99759129999999996</v>
      </c>
      <c r="AB311">
        <v>23</v>
      </c>
      <c r="AC311">
        <v>298.86709999999999</v>
      </c>
      <c r="AD311">
        <v>2.4507430000000001</v>
      </c>
      <c r="AE311">
        <v>-16.055700000000002</v>
      </c>
      <c r="AF311">
        <v>20.768840293445301</v>
      </c>
      <c r="AG311">
        <v>2.4507430000000001</v>
      </c>
      <c r="AH311">
        <v>298.55648236683402</v>
      </c>
      <c r="AI311">
        <v>89.530823867135396</v>
      </c>
      <c r="AJ311">
        <v>86.020676047208099</v>
      </c>
      <c r="AK311">
        <v>299.28802854715798</v>
      </c>
      <c r="AL311">
        <v>93.330482160822996</v>
      </c>
      <c r="AM311">
        <v>91.838922843442802</v>
      </c>
      <c r="AN311">
        <v>0.99999998828346703</v>
      </c>
    </row>
    <row r="312" spans="1:40" x14ac:dyDescent="0.25">
      <c r="A312" t="str">
        <f>"20190305134915754"</f>
        <v>20190305134915754</v>
      </c>
      <c r="B312" t="str">
        <f>"1551764955751101"</f>
        <v>1551764955751101</v>
      </c>
      <c r="C312" t="s">
        <v>40</v>
      </c>
      <c r="D312">
        <v>3.8238530000000002</v>
      </c>
      <c r="E312">
        <v>0.53948649999999998</v>
      </c>
      <c r="F312" t="s">
        <v>45</v>
      </c>
      <c r="G312">
        <v>-158.78319999999999</v>
      </c>
      <c r="H312">
        <v>3.7029709999999998</v>
      </c>
      <c r="I312">
        <v>351.10759999999999</v>
      </c>
      <c r="J312">
        <v>-457.51740000000001</v>
      </c>
      <c r="K312">
        <v>1.1084240000000001</v>
      </c>
      <c r="L312">
        <v>367.46030000000002</v>
      </c>
      <c r="M312">
        <v>0.99987610000000005</v>
      </c>
      <c r="N312">
        <v>-1.71598E-3</v>
      </c>
      <c r="O312">
        <v>1.5646699999999999E-2</v>
      </c>
      <c r="P312">
        <v>0.99705739999999998</v>
      </c>
      <c r="Q312">
        <v>-6.0116160000000002E-2</v>
      </c>
      <c r="R312">
        <v>4.7572089999999997E-2</v>
      </c>
      <c r="S312">
        <v>3.0183409999999999</v>
      </c>
      <c r="T312">
        <v>2.620399E-2</v>
      </c>
      <c r="U312">
        <v>-0.16513059999999999</v>
      </c>
      <c r="V312">
        <v>-3.1989320000000002E-2</v>
      </c>
      <c r="W312">
        <v>-5.839126E-2</v>
      </c>
      <c r="X312">
        <v>0.99778109999999998</v>
      </c>
      <c r="Y312">
        <v>7.0241079999999997E-2</v>
      </c>
      <c r="Z312">
        <v>4.0692750000000002E-4</v>
      </c>
      <c r="AA312">
        <v>0.99753000000000003</v>
      </c>
      <c r="AB312">
        <v>23</v>
      </c>
      <c r="AC312">
        <v>298.73419999999999</v>
      </c>
      <c r="AD312">
        <v>2.5945469999999902</v>
      </c>
      <c r="AE312">
        <v>-16.352699999999999</v>
      </c>
      <c r="AF312">
        <v>21.023328396381501</v>
      </c>
      <c r="AG312">
        <v>2.5945469999999902</v>
      </c>
      <c r="AH312">
        <v>298.41932055488002</v>
      </c>
      <c r="AI312">
        <v>89.503097363699197</v>
      </c>
      <c r="AJ312">
        <v>85.970230233771503</v>
      </c>
      <c r="AK312">
        <v>299.17019051274798</v>
      </c>
      <c r="AL312">
        <v>93.347476859490399</v>
      </c>
      <c r="AM312">
        <v>91.836299998502994</v>
      </c>
      <c r="AN312">
        <v>0.99999998967782999</v>
      </c>
    </row>
    <row r="313" spans="1:40" x14ac:dyDescent="0.25">
      <c r="A313" t="str">
        <f>"20190305134915772"</f>
        <v>20190305134915772</v>
      </c>
      <c r="B313" t="str">
        <f>"1551764955760861"</f>
        <v>1551764955760861</v>
      </c>
      <c r="C313" t="s">
        <v>40</v>
      </c>
      <c r="D313">
        <v>3.77698</v>
      </c>
      <c r="E313">
        <v>0.53959239999999997</v>
      </c>
      <c r="F313" t="s">
        <v>45</v>
      </c>
      <c r="G313">
        <v>-158.78319999999999</v>
      </c>
      <c r="H313">
        <v>3.347038</v>
      </c>
      <c r="I313">
        <v>350.97710000000001</v>
      </c>
      <c r="J313">
        <v>-457.32679999999999</v>
      </c>
      <c r="K313">
        <v>1.108436</v>
      </c>
      <c r="L313">
        <v>367.4631</v>
      </c>
      <c r="M313">
        <v>0.99987879999999996</v>
      </c>
      <c r="N313">
        <v>-1.7499690000000001E-3</v>
      </c>
      <c r="O313">
        <v>1.546901E-2</v>
      </c>
      <c r="P313">
        <v>0.99702550000000001</v>
      </c>
      <c r="Q313">
        <v>-6.0669559999999997E-2</v>
      </c>
      <c r="R313">
        <v>4.7534340000000001E-2</v>
      </c>
      <c r="S313">
        <v>3.0181879999999999</v>
      </c>
      <c r="T313">
        <v>2.261817E-2</v>
      </c>
      <c r="U313">
        <v>-0.1665344</v>
      </c>
      <c r="V313">
        <v>-3.2127259999999998E-2</v>
      </c>
      <c r="W313">
        <v>-5.89118E-2</v>
      </c>
      <c r="X313">
        <v>0.99774609999999997</v>
      </c>
      <c r="Y313">
        <v>7.0529919999999996E-2</v>
      </c>
      <c r="Z313">
        <v>3.4519979999999997E-4</v>
      </c>
      <c r="AA313">
        <v>0.9975096</v>
      </c>
      <c r="AB313">
        <v>23</v>
      </c>
      <c r="AC313">
        <v>298.54360000000003</v>
      </c>
      <c r="AD313">
        <v>2.2386020000000002</v>
      </c>
      <c r="AE313">
        <v>-16.485999999999901</v>
      </c>
      <c r="AF313">
        <v>21.101025664503599</v>
      </c>
      <c r="AG313">
        <v>2.2386020000000002</v>
      </c>
      <c r="AH313">
        <v>298.23613828258402</v>
      </c>
      <c r="AI313">
        <v>89.571010344027002</v>
      </c>
      <c r="AJ313">
        <v>85.952910465680006</v>
      </c>
      <c r="AK313">
        <v>298.99006471907597</v>
      </c>
      <c r="AL313">
        <v>93.377352932178894</v>
      </c>
      <c r="AM313">
        <v>91.844277434258501</v>
      </c>
      <c r="AN313">
        <v>1.0000000205397701</v>
      </c>
    </row>
    <row r="314" spans="1:40" x14ac:dyDescent="0.25">
      <c r="A314" t="str">
        <f>"20190305134915786"</f>
        <v>20190305134915786</v>
      </c>
      <c r="B314" t="str">
        <f>"1551764955781358"</f>
        <v>1551764955781358</v>
      </c>
      <c r="C314" t="s">
        <v>40</v>
      </c>
      <c r="D314">
        <v>3.8224849999999999</v>
      </c>
      <c r="E314">
        <v>0.539879199999999</v>
      </c>
      <c r="F314" t="s">
        <v>47</v>
      </c>
      <c r="G314">
        <v>0</v>
      </c>
      <c r="H314">
        <v>0</v>
      </c>
      <c r="I314">
        <v>0</v>
      </c>
      <c r="J314">
        <v>-457.18189999999998</v>
      </c>
      <c r="K314">
        <v>1.1084480000000001</v>
      </c>
      <c r="L314">
        <v>367.46519999999998</v>
      </c>
      <c r="M314">
        <v>0.99988069999999896</v>
      </c>
      <c r="N314">
        <v>-1.7758139999999999E-3</v>
      </c>
      <c r="O314">
        <v>1.5346769999999999E-2</v>
      </c>
      <c r="P314">
        <v>0.99699870000000002</v>
      </c>
      <c r="Q314">
        <v>-6.1180810000000002E-2</v>
      </c>
      <c r="R314">
        <v>4.7439780000000001E-2</v>
      </c>
      <c r="S314">
        <v>3.0184329999999999</v>
      </c>
      <c r="T314">
        <v>2.347374E-2</v>
      </c>
      <c r="U314">
        <v>-0.16760249999999999</v>
      </c>
      <c r="V314">
        <v>-3.2153929999999997E-2</v>
      </c>
      <c r="W314">
        <v>-5.9398220000000002E-2</v>
      </c>
      <c r="X314">
        <v>0.99771639999999995</v>
      </c>
      <c r="Y314">
        <v>7.075526E-2</v>
      </c>
      <c r="Z314">
        <v>3.5852920000000002E-4</v>
      </c>
      <c r="AA314">
        <v>0.99749359999999998</v>
      </c>
      <c r="AB314">
        <v>23</v>
      </c>
      <c r="AC314">
        <v>3.0184329999999999</v>
      </c>
      <c r="AD314">
        <v>2.347374E-2</v>
      </c>
      <c r="AE314">
        <v>-0.16760249999999999</v>
      </c>
      <c r="AF314">
        <v>0.21389313337903301</v>
      </c>
      <c r="AG314">
        <v>2.347374E-2</v>
      </c>
      <c r="AH314">
        <v>3.0153235593727099</v>
      </c>
      <c r="AI314">
        <v>89.555089798019395</v>
      </c>
      <c r="AJ314">
        <v>85.942498344440807</v>
      </c>
      <c r="AK314">
        <v>3.02299147479519</v>
      </c>
      <c r="AL314">
        <v>93.405271640191302</v>
      </c>
      <c r="AM314">
        <v>91.845862284950897</v>
      </c>
      <c r="AN314">
        <v>1.0000000192912799</v>
      </c>
    </row>
    <row r="315" spans="1:40" x14ac:dyDescent="0.25">
      <c r="A315" t="str">
        <f>"20190305134915798"</f>
        <v>20190305134915798</v>
      </c>
      <c r="B315" t="str">
        <f>"1551764955791116"</f>
        <v>1551764955791116</v>
      </c>
      <c r="C315" t="s">
        <v>40</v>
      </c>
      <c r="D315">
        <v>3.7826360000000001</v>
      </c>
      <c r="E315">
        <v>0.53986299999999998</v>
      </c>
      <c r="F315" t="s">
        <v>47</v>
      </c>
      <c r="G315">
        <v>0</v>
      </c>
      <c r="H315">
        <v>0</v>
      </c>
      <c r="I315">
        <v>0</v>
      </c>
      <c r="J315">
        <v>-457.05340000000001</v>
      </c>
      <c r="K315">
        <v>1.1084579999999999</v>
      </c>
      <c r="L315">
        <v>367.46699999999998</v>
      </c>
      <c r="M315">
        <v>0.99988220000000005</v>
      </c>
      <c r="N315">
        <v>-1.79896299999999E-3</v>
      </c>
      <c r="O315">
        <v>1.5248060000000001E-2</v>
      </c>
      <c r="P315">
        <v>0.99700140000000004</v>
      </c>
      <c r="Q315">
        <v>-6.1180739999999997E-2</v>
      </c>
      <c r="R315">
        <v>4.7386020000000001E-2</v>
      </c>
      <c r="S315">
        <v>3.0185550000000001</v>
      </c>
      <c r="T315">
        <v>2.2697930000000002E-2</v>
      </c>
      <c r="U315">
        <v>-0.17016600000000001</v>
      </c>
      <c r="V315">
        <v>-3.2196790000000003E-2</v>
      </c>
      <c r="W315">
        <v>-5.9375829999999997E-2</v>
      </c>
      <c r="X315">
        <v>0.9977163</v>
      </c>
      <c r="Y315">
        <v>7.1499179999999996E-2</v>
      </c>
      <c r="Z315">
        <v>3.4621699999999898E-4</v>
      </c>
      <c r="AA315">
        <v>0.99744060000000001</v>
      </c>
      <c r="AB315">
        <v>23</v>
      </c>
      <c r="AC315">
        <v>3.0185550000000001</v>
      </c>
      <c r="AD315">
        <v>2.2697930000000002E-2</v>
      </c>
      <c r="AE315">
        <v>-0.17016600000000001</v>
      </c>
      <c r="AF315">
        <v>0.216161211850112</v>
      </c>
      <c r="AG315">
        <v>2.2697930000000002E-2</v>
      </c>
      <c r="AH315">
        <v>3.0154394010040702</v>
      </c>
      <c r="AI315">
        <v>89.569832971579899</v>
      </c>
      <c r="AJ315">
        <v>85.899776408410801</v>
      </c>
      <c r="AK315">
        <v>3.0232624177637302</v>
      </c>
      <c r="AL315">
        <v>93.403986691318593</v>
      </c>
      <c r="AM315">
        <v>91.848321230745597</v>
      </c>
      <c r="AN315">
        <v>0.99999996888009102</v>
      </c>
    </row>
    <row r="316" spans="1:40" x14ac:dyDescent="0.25">
      <c r="A316" t="str">
        <f>"20190305134915818"</f>
        <v>20190305134915818</v>
      </c>
      <c r="B316" t="str">
        <f>"1551764955811613"</f>
        <v>1551764955811613</v>
      </c>
      <c r="C316" t="s">
        <v>40</v>
      </c>
      <c r="D316">
        <v>3.7673390000000002</v>
      </c>
      <c r="E316">
        <v>0.54010069999999999</v>
      </c>
      <c r="F316" t="s">
        <v>47</v>
      </c>
      <c r="G316">
        <v>0</v>
      </c>
      <c r="H316">
        <v>0</v>
      </c>
      <c r="I316">
        <v>0</v>
      </c>
      <c r="J316">
        <v>-456.84519999999998</v>
      </c>
      <c r="K316">
        <v>1.1084750000000001</v>
      </c>
      <c r="L316">
        <v>367.4701</v>
      </c>
      <c r="M316">
        <v>0.9998842</v>
      </c>
      <c r="N316">
        <v>-1.8366649999999999E-3</v>
      </c>
      <c r="O316">
        <v>1.510484E-2</v>
      </c>
      <c r="P316">
        <v>0.99699230000000005</v>
      </c>
      <c r="Q316">
        <v>-6.1658650000000002E-2</v>
      </c>
      <c r="R316">
        <v>4.695444E-2</v>
      </c>
      <c r="S316">
        <v>3.0185240000000002</v>
      </c>
      <c r="T316">
        <v>2.3205759999999999E-2</v>
      </c>
      <c r="U316">
        <v>-0.1704407</v>
      </c>
      <c r="V316">
        <v>-3.1905740000000002E-2</v>
      </c>
      <c r="W316">
        <v>-5.9817580000000002E-2</v>
      </c>
      <c r="X316">
        <v>0.99769929999999996</v>
      </c>
      <c r="Y316">
        <v>7.1447239999999995E-2</v>
      </c>
      <c r="Z316">
        <v>3.5250290000000002E-4</v>
      </c>
      <c r="AA316">
        <v>0.99744429999999995</v>
      </c>
      <c r="AB316">
        <v>23</v>
      </c>
      <c r="AC316">
        <v>3.0185240000000002</v>
      </c>
      <c r="AD316">
        <v>2.3205759999999999E-2</v>
      </c>
      <c r="AE316">
        <v>-0.1704407</v>
      </c>
      <c r="AF316">
        <v>0.21600292989679901</v>
      </c>
      <c r="AG316">
        <v>2.3205759999999999E-2</v>
      </c>
      <c r="AH316">
        <v>3.01542749633344</v>
      </c>
      <c r="AI316">
        <v>89.560205670905503</v>
      </c>
      <c r="AJ316">
        <v>85.902752408273301</v>
      </c>
      <c r="AK316">
        <v>3.0232430862676201</v>
      </c>
      <c r="AL316">
        <v>93.429342043316097</v>
      </c>
      <c r="AM316">
        <v>91.831655543426805</v>
      </c>
      <c r="AN316">
        <v>1.00000000617124</v>
      </c>
    </row>
    <row r="317" spans="1:40" x14ac:dyDescent="0.25">
      <c r="A317" t="str">
        <f>"20190305134915833"</f>
        <v>20190305134915833</v>
      </c>
      <c r="B317" t="str">
        <f>"1551764955821373"</f>
        <v>1551764955821373</v>
      </c>
      <c r="C317" t="s">
        <v>40</v>
      </c>
      <c r="D317">
        <v>3.772475</v>
      </c>
      <c r="E317">
        <v>0.54021409999999903</v>
      </c>
      <c r="F317" t="s">
        <v>47</v>
      </c>
      <c r="G317">
        <v>0</v>
      </c>
      <c r="H317">
        <v>0</v>
      </c>
      <c r="I317">
        <v>0</v>
      </c>
      <c r="J317">
        <v>-456.69349999999997</v>
      </c>
      <c r="K317">
        <v>1.1084909999999999</v>
      </c>
      <c r="L317">
        <v>367.47219999999999</v>
      </c>
      <c r="M317">
        <v>0.99988569999999999</v>
      </c>
      <c r="N317">
        <v>-1.8641650000000001E-3</v>
      </c>
      <c r="O317">
        <v>1.501364E-2</v>
      </c>
      <c r="P317">
        <v>0.99698249999999999</v>
      </c>
      <c r="Q317">
        <v>-6.1856019999999998E-2</v>
      </c>
      <c r="R317">
        <v>4.6903640000000003E-2</v>
      </c>
      <c r="S317">
        <v>3.0187379999999999</v>
      </c>
      <c r="T317">
        <v>2.460909E-2</v>
      </c>
      <c r="U317">
        <v>-0.17358399999999999</v>
      </c>
      <c r="V317">
        <v>-3.1944420000000001E-2</v>
      </c>
      <c r="W317">
        <v>-5.9988519999999997E-2</v>
      </c>
      <c r="X317">
        <v>0.99768780000000001</v>
      </c>
      <c r="Y317">
        <v>7.2387199999999999E-2</v>
      </c>
      <c r="Z317">
        <v>3.7754020000000001E-4</v>
      </c>
      <c r="AA317">
        <v>0.99737659999999995</v>
      </c>
      <c r="AB317">
        <v>24</v>
      </c>
      <c r="AC317">
        <v>3.0187379999999999</v>
      </c>
      <c r="AD317">
        <v>2.460909E-2</v>
      </c>
      <c r="AE317">
        <v>-0.17358399999999999</v>
      </c>
      <c r="AF317">
        <v>0.21887225505576799</v>
      </c>
      <c r="AG317">
        <v>2.460909E-2</v>
      </c>
      <c r="AH317">
        <v>3.0155918754661402</v>
      </c>
      <c r="AI317">
        <v>89.533668096457603</v>
      </c>
      <c r="AJ317">
        <v>85.848740226440995</v>
      </c>
      <c r="AK317">
        <v>3.0236244857325101</v>
      </c>
      <c r="AL317">
        <v>93.439153799599495</v>
      </c>
      <c r="AM317">
        <v>91.833895706637307</v>
      </c>
      <c r="AN317">
        <v>1.00000000738488</v>
      </c>
    </row>
    <row r="318" spans="1:40" x14ac:dyDescent="0.25">
      <c r="A318" t="str">
        <f>"20190305134915852"</f>
        <v>20190305134915852</v>
      </c>
      <c r="B318" t="str">
        <f>"1551764955840893"</f>
        <v>1551764955840893</v>
      </c>
      <c r="C318" t="s">
        <v>40</v>
      </c>
      <c r="D318">
        <v>3.7833809999999999</v>
      </c>
      <c r="E318">
        <v>0.54054029999999997</v>
      </c>
      <c r="F318" t="s">
        <v>47</v>
      </c>
      <c r="G318">
        <v>0</v>
      </c>
      <c r="H318">
        <v>0</v>
      </c>
      <c r="I318">
        <v>0</v>
      </c>
      <c r="J318">
        <v>-456.47930000000002</v>
      </c>
      <c r="K318">
        <v>1.1085130000000001</v>
      </c>
      <c r="L318">
        <v>367.4753</v>
      </c>
      <c r="M318">
        <v>0.99988710000000003</v>
      </c>
      <c r="N318">
        <v>-1.9032070000000001E-3</v>
      </c>
      <c r="O318">
        <v>1.490874E-2</v>
      </c>
      <c r="P318">
        <v>0.99699930000000003</v>
      </c>
      <c r="Q318">
        <v>-6.179925E-2</v>
      </c>
      <c r="R318">
        <v>4.6620250000000002E-2</v>
      </c>
      <c r="S318">
        <v>3.0188290000000002</v>
      </c>
      <c r="T318">
        <v>2.5396350000000002E-2</v>
      </c>
      <c r="U318">
        <v>-0.17471310000000001</v>
      </c>
      <c r="V318">
        <v>-3.1762869999999999E-2</v>
      </c>
      <c r="W318">
        <v>-5.9894169999999997E-2</v>
      </c>
      <c r="X318">
        <v>0.99769929999999996</v>
      </c>
      <c r="Y318">
        <v>7.2652449999999993E-2</v>
      </c>
      <c r="Z318">
        <v>3.8981660000000001E-4</v>
      </c>
      <c r="AA318">
        <v>0.99735720000000005</v>
      </c>
      <c r="AB318">
        <v>24</v>
      </c>
      <c r="AC318">
        <v>3.0188290000000002</v>
      </c>
      <c r="AD318">
        <v>2.5396350000000002E-2</v>
      </c>
      <c r="AE318">
        <v>-0.17471310000000001</v>
      </c>
      <c r="AF318">
        <v>0.21968520206445299</v>
      </c>
      <c r="AG318">
        <v>2.5396350000000002E-2</v>
      </c>
      <c r="AH318">
        <v>3.0156760100895399</v>
      </c>
      <c r="AI318">
        <v>89.518773279637301</v>
      </c>
      <c r="AJ318">
        <v>85.833491434680596</v>
      </c>
      <c r="AK318">
        <v>3.02377386066303</v>
      </c>
      <c r="AL318">
        <v>93.433738084806905</v>
      </c>
      <c r="AM318">
        <v>91.823459163564806</v>
      </c>
      <c r="AN318">
        <v>1.00000004236555</v>
      </c>
    </row>
    <row r="319" spans="1:40" x14ac:dyDescent="0.25">
      <c r="A319" t="str">
        <f>"20190305134915873"</f>
        <v>20190305134915873</v>
      </c>
      <c r="B319" t="str">
        <f>"1551764955861389"</f>
        <v>1551764955861389</v>
      </c>
      <c r="C319" t="s">
        <v>40</v>
      </c>
      <c r="D319">
        <v>3.7824179999999998</v>
      </c>
      <c r="E319">
        <v>0.54078789999999999</v>
      </c>
      <c r="F319" t="s">
        <v>47</v>
      </c>
      <c r="G319">
        <v>0</v>
      </c>
      <c r="H319">
        <v>0</v>
      </c>
      <c r="I319">
        <v>0</v>
      </c>
      <c r="J319">
        <v>-456.25569999999999</v>
      </c>
      <c r="K319">
        <v>1.10853</v>
      </c>
      <c r="L319">
        <v>367.47859999999997</v>
      </c>
      <c r="M319">
        <v>0.99988829999999995</v>
      </c>
      <c r="N319">
        <v>-1.944187E-3</v>
      </c>
      <c r="O319">
        <v>1.482345E-2</v>
      </c>
      <c r="P319">
        <v>0.99701640000000002</v>
      </c>
      <c r="Q319">
        <v>-6.1798619999999999E-2</v>
      </c>
      <c r="R319">
        <v>4.6250760000000002E-2</v>
      </c>
      <c r="S319">
        <v>3.0191349999999999</v>
      </c>
      <c r="T319">
        <v>2.8736000000000001E-2</v>
      </c>
      <c r="U319">
        <v>-0.17819209999999999</v>
      </c>
      <c r="V319">
        <v>-3.1476079999999997E-2</v>
      </c>
      <c r="W319">
        <v>-5.9853940000000001E-2</v>
      </c>
      <c r="X319">
        <v>0.99771080000000001</v>
      </c>
      <c r="Y319">
        <v>7.370604E-2</v>
      </c>
      <c r="Z319">
        <v>4.4850590000000001E-4</v>
      </c>
      <c r="AA319">
        <v>0.9972799</v>
      </c>
      <c r="AB319">
        <v>24</v>
      </c>
      <c r="AC319">
        <v>3.0191349999999999</v>
      </c>
      <c r="AD319">
        <v>2.8736000000000001E-2</v>
      </c>
      <c r="AE319">
        <v>-0.17819209999999999</v>
      </c>
      <c r="AF319">
        <v>0.22290647647928399</v>
      </c>
      <c r="AG319">
        <v>2.8736000000000001E-2</v>
      </c>
      <c r="AH319">
        <v>3.0158895841348299</v>
      </c>
      <c r="AI319">
        <v>89.4555757797377</v>
      </c>
      <c r="AJ319">
        <v>85.772915515324001</v>
      </c>
      <c r="AK319">
        <v>3.0242524760088001</v>
      </c>
      <c r="AL319">
        <v>93.431428944185896</v>
      </c>
      <c r="AM319">
        <v>91.806985126421793</v>
      </c>
      <c r="AN319">
        <v>1.0000000390911601</v>
      </c>
    </row>
    <row r="320" spans="1:40" x14ac:dyDescent="0.25">
      <c r="A320" t="str">
        <f>"20190305134915885"</f>
        <v>20190305134915885</v>
      </c>
      <c r="B320" t="str">
        <f>"1551764955880911"</f>
        <v>1551764955880911</v>
      </c>
      <c r="C320" t="s">
        <v>40</v>
      </c>
      <c r="D320">
        <v>3.7851539999999999</v>
      </c>
      <c r="E320">
        <v>0.54111799999999999</v>
      </c>
      <c r="F320" t="s">
        <v>47</v>
      </c>
      <c r="G320">
        <v>0</v>
      </c>
      <c r="H320">
        <v>0</v>
      </c>
      <c r="I320">
        <v>0</v>
      </c>
      <c r="J320">
        <v>-456.11259999999999</v>
      </c>
      <c r="K320">
        <v>1.1085400000000001</v>
      </c>
      <c r="L320">
        <v>367.48059999999998</v>
      </c>
      <c r="M320">
        <v>0.99988880000000002</v>
      </c>
      <c r="N320">
        <v>-1.9704459999999998E-3</v>
      </c>
      <c r="O320">
        <v>1.4780410000000001E-2</v>
      </c>
      <c r="P320">
        <v>0.99703129999999995</v>
      </c>
      <c r="Q320">
        <v>-6.171509E-2</v>
      </c>
      <c r="R320">
        <v>4.604432E-2</v>
      </c>
      <c r="S320">
        <v>3.0192869999999998</v>
      </c>
      <c r="T320">
        <v>2.979851E-2</v>
      </c>
      <c r="U320">
        <v>-0.18090819999999999</v>
      </c>
      <c r="V320">
        <v>-3.131072E-2</v>
      </c>
      <c r="W320">
        <v>-5.9744899999999997E-2</v>
      </c>
      <c r="X320">
        <v>0.99772249999999996</v>
      </c>
      <c r="Y320">
        <v>7.4553770000000005E-2</v>
      </c>
      <c r="Z320">
        <v>4.6888810000000002E-4</v>
      </c>
      <c r="AA320">
        <v>0.99721689999999996</v>
      </c>
      <c r="AB320">
        <v>24</v>
      </c>
      <c r="AC320">
        <v>3.0192869999999998</v>
      </c>
      <c r="AD320">
        <v>2.979851E-2</v>
      </c>
      <c r="AE320">
        <v>-0.18090819999999999</v>
      </c>
      <c r="AF320">
        <v>0.225492940067065</v>
      </c>
      <c r="AG320">
        <v>2.979851E-2</v>
      </c>
      <c r="AH320">
        <v>3.0159905595492398</v>
      </c>
      <c r="AI320">
        <v>89.435501627320804</v>
      </c>
      <c r="AJ320">
        <v>85.724190648291398</v>
      </c>
      <c r="AK320">
        <v>3.0245551858923698</v>
      </c>
      <c r="AL320">
        <v>93.425170343963998</v>
      </c>
      <c r="AM320">
        <v>91.797477285407993</v>
      </c>
      <c r="AN320">
        <v>1.0000000006345799</v>
      </c>
    </row>
    <row r="321" spans="1:40" x14ac:dyDescent="0.25">
      <c r="A321" t="str">
        <f>"20190305134915898"</f>
        <v>20190305134915898</v>
      </c>
      <c r="B321" t="str">
        <f>"1551764955890669"</f>
        <v>1551764955890669</v>
      </c>
      <c r="C321" t="s">
        <v>40</v>
      </c>
      <c r="D321">
        <v>3.8025150000000001</v>
      </c>
      <c r="E321">
        <v>0.54113009999999995</v>
      </c>
      <c r="F321" t="s">
        <v>47</v>
      </c>
      <c r="G321">
        <v>0</v>
      </c>
      <c r="H321">
        <v>0</v>
      </c>
      <c r="I321">
        <v>0</v>
      </c>
      <c r="J321">
        <v>-455.98860000000002</v>
      </c>
      <c r="K321">
        <v>1.10854599999999</v>
      </c>
      <c r="L321">
        <v>367.48250000000002</v>
      </c>
      <c r="M321">
        <v>0.99988940000000004</v>
      </c>
      <c r="N321">
        <v>-1.9933949999999998E-3</v>
      </c>
      <c r="O321">
        <v>1.4749470000000001E-2</v>
      </c>
      <c r="P321">
        <v>0.99704590000000004</v>
      </c>
      <c r="Q321">
        <v>-6.1612790000000001E-2</v>
      </c>
      <c r="R321">
        <v>4.5864839999999997E-2</v>
      </c>
      <c r="S321">
        <v>3.0193479999999999</v>
      </c>
      <c r="T321">
        <v>3.1465050000000001E-2</v>
      </c>
      <c r="U321">
        <v>-0.18392939999999999</v>
      </c>
      <c r="V321">
        <v>-3.1161089999999999E-2</v>
      </c>
      <c r="W321">
        <v>-5.962025E-2</v>
      </c>
      <c r="X321">
        <v>0.99773469999999997</v>
      </c>
      <c r="Y321">
        <v>7.5515399999999996E-2</v>
      </c>
      <c r="Z321">
        <v>5.0070959999999999E-4</v>
      </c>
      <c r="AA321">
        <v>0.99714449999999999</v>
      </c>
      <c r="AB321">
        <v>24</v>
      </c>
      <c r="AC321">
        <v>3.0193479999999999</v>
      </c>
      <c r="AD321">
        <v>3.1465050000000001E-2</v>
      </c>
      <c r="AE321">
        <v>-0.18392939999999999</v>
      </c>
      <c r="AF321">
        <v>0.22841854144402601</v>
      </c>
      <c r="AG321">
        <v>3.1465050000000001E-2</v>
      </c>
      <c r="AH321">
        <v>3.01598036495426</v>
      </c>
      <c r="AI321">
        <v>89.403974425900998</v>
      </c>
      <c r="AJ321">
        <v>85.668910394397102</v>
      </c>
      <c r="AK321">
        <v>3.02478142040653</v>
      </c>
      <c r="AL321">
        <v>93.418015469176396</v>
      </c>
      <c r="AM321">
        <v>91.788871101992299</v>
      </c>
      <c r="AN321">
        <v>1.00000005966206</v>
      </c>
    </row>
    <row r="322" spans="1:40" x14ac:dyDescent="0.25">
      <c r="A322" t="str">
        <f>"20190305134915912"</f>
        <v>20190305134915912</v>
      </c>
      <c r="B322" t="str">
        <f>"1551764955901405"</f>
        <v>1551764955901405</v>
      </c>
      <c r="C322" t="s">
        <v>40</v>
      </c>
      <c r="D322">
        <v>3.8193290000000002</v>
      </c>
      <c r="E322">
        <v>0.54113009999999995</v>
      </c>
      <c r="F322" t="s">
        <v>47</v>
      </c>
      <c r="G322">
        <v>0</v>
      </c>
      <c r="H322">
        <v>0</v>
      </c>
      <c r="I322">
        <v>0</v>
      </c>
      <c r="J322">
        <v>-455.83460000000002</v>
      </c>
      <c r="K322">
        <v>1.1085579999999999</v>
      </c>
      <c r="L322">
        <v>367.48469999999998</v>
      </c>
      <c r="M322">
        <v>0.99988969999999999</v>
      </c>
      <c r="N322">
        <v>-2.0220149999999998E-3</v>
      </c>
      <c r="O322">
        <v>1.471662E-2</v>
      </c>
      <c r="P322">
        <v>0.99705699999999997</v>
      </c>
      <c r="Q322">
        <v>-6.1745939999999999E-2</v>
      </c>
      <c r="R322">
        <v>4.5442980000000001E-2</v>
      </c>
      <c r="S322">
        <v>3.019409</v>
      </c>
      <c r="T322">
        <v>3.2054539999999999E-2</v>
      </c>
      <c r="U322">
        <v>-0.18475340000000001</v>
      </c>
      <c r="V322">
        <v>-3.077125E-2</v>
      </c>
      <c r="W322">
        <v>-5.9725510000000002E-2</v>
      </c>
      <c r="X322">
        <v>0.99774039999999997</v>
      </c>
      <c r="Y322">
        <v>7.5752319999999998E-2</v>
      </c>
      <c r="Z322">
        <v>5.1087599999999995E-4</v>
      </c>
      <c r="AA322">
        <v>0.99712650000000003</v>
      </c>
      <c r="AB322">
        <v>24</v>
      </c>
      <c r="AC322">
        <v>3.019409</v>
      </c>
      <c r="AD322">
        <v>3.2054539999999999E-2</v>
      </c>
      <c r="AE322">
        <v>-0.18475340000000001</v>
      </c>
      <c r="AF322">
        <v>0.229143247153513</v>
      </c>
      <c r="AG322">
        <v>3.2054539999999999E-2</v>
      </c>
      <c r="AH322">
        <v>3.0160244129257601</v>
      </c>
      <c r="AI322">
        <v>89.392828680547794</v>
      </c>
      <c r="AJ322">
        <v>85.655284850002104</v>
      </c>
      <c r="AK322">
        <v>3.0248863417680401</v>
      </c>
      <c r="AL322">
        <v>93.424057544087304</v>
      </c>
      <c r="AM322">
        <v>91.766495660771596</v>
      </c>
      <c r="AN322">
        <v>0.99999995608173997</v>
      </c>
    </row>
    <row r="323" spans="1:40" x14ac:dyDescent="0.25">
      <c r="A323" t="str">
        <f>"20190305134915928"</f>
        <v>20190305134915928</v>
      </c>
      <c r="B323" t="str">
        <f>"1551764955920925"</f>
        <v>1551764955920925</v>
      </c>
      <c r="C323" t="s">
        <v>40</v>
      </c>
      <c r="D323">
        <v>3.7830180000000002</v>
      </c>
      <c r="E323">
        <v>0.58268120000000001</v>
      </c>
      <c r="F323" t="s">
        <v>47</v>
      </c>
      <c r="G323">
        <v>0</v>
      </c>
      <c r="H323">
        <v>0</v>
      </c>
      <c r="I323">
        <v>0</v>
      </c>
      <c r="J323">
        <v>-455.63990000000001</v>
      </c>
      <c r="K323">
        <v>1.108568</v>
      </c>
      <c r="L323">
        <v>367.48750000000001</v>
      </c>
      <c r="M323">
        <v>0.99988999999999995</v>
      </c>
      <c r="N323">
        <v>-2.058112E-3</v>
      </c>
      <c r="O323">
        <v>1.4687810000000001E-2</v>
      </c>
      <c r="P323">
        <v>0.99703260000000005</v>
      </c>
      <c r="Q323">
        <v>-6.2531550000000005E-2</v>
      </c>
      <c r="R323">
        <v>4.4894580000000003E-2</v>
      </c>
      <c r="S323">
        <v>3.0193180000000002</v>
      </c>
      <c r="T323">
        <v>3.1662580000000003E-2</v>
      </c>
      <c r="U323">
        <v>-0.1862183</v>
      </c>
      <c r="V323">
        <v>-3.0249870000000002E-2</v>
      </c>
      <c r="W323">
        <v>-6.0475920000000002E-2</v>
      </c>
      <c r="X323">
        <v>0.99771120000000002</v>
      </c>
      <c r="Y323">
        <v>7.6207479999999994E-2</v>
      </c>
      <c r="Z323">
        <v>5.0477900000000001E-4</v>
      </c>
      <c r="AA323">
        <v>0.99709179999999997</v>
      </c>
      <c r="AB323">
        <v>24</v>
      </c>
      <c r="AC323">
        <v>3.0193180000000002</v>
      </c>
      <c r="AD323">
        <v>3.1662580000000003E-2</v>
      </c>
      <c r="AE323">
        <v>-0.1862183</v>
      </c>
      <c r="AF323">
        <v>0.23052022143457099</v>
      </c>
      <c r="AG323">
        <v>3.1662580000000003E-2</v>
      </c>
      <c r="AH323">
        <v>3.0159267496715199</v>
      </c>
      <c r="AI323">
        <v>89.400254007539999</v>
      </c>
      <c r="AJ323">
        <v>85.629136342626097</v>
      </c>
      <c r="AK323">
        <v>3.0248894609302202</v>
      </c>
      <c r="AL323">
        <v>93.467130530765203</v>
      </c>
      <c r="AM323">
        <v>91.736633899436796</v>
      </c>
      <c r="AN323">
        <v>1.00000001507015</v>
      </c>
    </row>
    <row r="324" spans="1:40" x14ac:dyDescent="0.25">
      <c r="A324" t="str">
        <f>"20190305134915955"</f>
        <v>20190305134915955</v>
      </c>
      <c r="B324" t="str">
        <f>"1551764955951181"</f>
        <v>1551764955951181</v>
      </c>
      <c r="C324" t="s">
        <v>40</v>
      </c>
      <c r="D324">
        <v>3.8041469999999999</v>
      </c>
      <c r="E324">
        <v>0.60730550000000005</v>
      </c>
      <c r="F324" t="s">
        <v>48</v>
      </c>
      <c r="G324">
        <v>-251.97059999999999</v>
      </c>
      <c r="H324">
        <v>10.32208</v>
      </c>
      <c r="I324">
        <v>332.9144</v>
      </c>
      <c r="J324">
        <v>-455.35480000000001</v>
      </c>
      <c r="K324">
        <v>1.1085750000000001</v>
      </c>
      <c r="L324">
        <v>367.49169999999998</v>
      </c>
      <c r="M324">
        <v>0.99989030000000001</v>
      </c>
      <c r="N324">
        <v>-2.1111620000000002E-3</v>
      </c>
      <c r="O324">
        <v>1.4663399999999899E-2</v>
      </c>
      <c r="P324">
        <v>0.99699990000000005</v>
      </c>
      <c r="Q324">
        <v>-6.3316590000000006E-2</v>
      </c>
      <c r="R324">
        <v>4.4527459999999998E-2</v>
      </c>
      <c r="S324">
        <v>3.0407709999999999</v>
      </c>
      <c r="T324">
        <v>0.1375575</v>
      </c>
      <c r="U324">
        <v>-0.51617429999999997</v>
      </c>
      <c r="V324">
        <v>-2.990694E-2</v>
      </c>
      <c r="W324">
        <v>-6.1208829999999999E-2</v>
      </c>
      <c r="X324">
        <v>0.99767680000000003</v>
      </c>
      <c r="Y324">
        <v>0.18160760000000001</v>
      </c>
      <c r="Z324">
        <v>4.5725849999999997E-3</v>
      </c>
      <c r="AA324">
        <v>0.98336049999999997</v>
      </c>
      <c r="AB324">
        <v>25</v>
      </c>
      <c r="AC324">
        <v>203.38419999999999</v>
      </c>
      <c r="AD324">
        <v>9.2135049999999996</v>
      </c>
      <c r="AE324">
        <v>-34.577299999999902</v>
      </c>
      <c r="AF324">
        <v>37.481135576709498</v>
      </c>
      <c r="AG324">
        <v>9.2135049999999996</v>
      </c>
      <c r="AH324">
        <v>202.451515686698</v>
      </c>
      <c r="AI324">
        <v>87.437766389181903</v>
      </c>
      <c r="AJ324">
        <v>79.511228038639501</v>
      </c>
      <c r="AK324">
        <v>206.09789033938699</v>
      </c>
      <c r="AL324">
        <v>93.509201274143194</v>
      </c>
      <c r="AM324">
        <v>91.717017431420999</v>
      </c>
      <c r="AN324">
        <v>0.99999997159418497</v>
      </c>
    </row>
    <row r="325" spans="1:40" x14ac:dyDescent="0.25">
      <c r="A325" t="str">
        <f>"20190305134915973"</f>
        <v>20190305134915973</v>
      </c>
      <c r="B325" t="str">
        <f>"1551764955970701"</f>
        <v>1551764955970701</v>
      </c>
      <c r="C325" t="s">
        <v>40</v>
      </c>
      <c r="D325">
        <v>3.8402509999999999</v>
      </c>
      <c r="E325">
        <v>0.61181609999999997</v>
      </c>
      <c r="F325" t="s">
        <v>48</v>
      </c>
      <c r="G325">
        <v>-265.98520000000002</v>
      </c>
      <c r="H325">
        <v>9.2537939999999992</v>
      </c>
      <c r="I325">
        <v>323.1927</v>
      </c>
      <c r="J325">
        <v>-455.15249999999997</v>
      </c>
      <c r="K325">
        <v>1.1085750000000001</v>
      </c>
      <c r="L325">
        <v>367.49470000000002</v>
      </c>
      <c r="M325">
        <v>0.99989039999999996</v>
      </c>
      <c r="N325">
        <v>-2.1488620000000001E-3</v>
      </c>
      <c r="O325">
        <v>1.465282E-2</v>
      </c>
      <c r="P325">
        <v>0.99698799999999999</v>
      </c>
      <c r="Q325">
        <v>-6.3732150000000001E-2</v>
      </c>
      <c r="R325">
        <v>4.4197519999999997E-2</v>
      </c>
      <c r="S325">
        <v>3.0491640000000002</v>
      </c>
      <c r="T325">
        <v>0.13115180000000001</v>
      </c>
      <c r="U325">
        <v>-0.71328740000000002</v>
      </c>
      <c r="V325">
        <v>-2.9587039999999998E-2</v>
      </c>
      <c r="W325">
        <v>-6.1587179999999998E-2</v>
      </c>
      <c r="X325">
        <v>0.99766310000000002</v>
      </c>
      <c r="Y325">
        <v>0.24180740000000001</v>
      </c>
      <c r="Z325">
        <v>5.5183119999999896E-3</v>
      </c>
      <c r="AA325">
        <v>0.97030850000000002</v>
      </c>
      <c r="AB325">
        <v>25</v>
      </c>
      <c r="AC325">
        <v>189.16729999999899</v>
      </c>
      <c r="AD325">
        <v>8.1452190000000009</v>
      </c>
      <c r="AE325">
        <v>-44.302</v>
      </c>
      <c r="AF325">
        <v>46.986500204494</v>
      </c>
      <c r="AG325">
        <v>8.1452190000000009</v>
      </c>
      <c r="AH325">
        <v>188.16711512249401</v>
      </c>
      <c r="AI325">
        <v>87.595127449743103</v>
      </c>
      <c r="AJ325">
        <v>75.979599510281204</v>
      </c>
      <c r="AK325">
        <v>194.11578763085399</v>
      </c>
      <c r="AL325">
        <v>93.530919946729895</v>
      </c>
      <c r="AM325">
        <v>91.698685461341597</v>
      </c>
      <c r="AN325">
        <v>1.00000001738896</v>
      </c>
    </row>
    <row r="326" spans="1:40" x14ac:dyDescent="0.25">
      <c r="A326" t="str">
        <f>"20190305134916020"</f>
        <v>20190305134916020</v>
      </c>
      <c r="B326" t="str">
        <f>"1551764956011697"</f>
        <v>1551764956011697</v>
      </c>
      <c r="C326" t="s">
        <v>40</v>
      </c>
      <c r="D326">
        <v>3.9289459999999998</v>
      </c>
      <c r="E326">
        <v>0.61088769999999903</v>
      </c>
      <c r="F326" t="s">
        <v>49</v>
      </c>
      <c r="G326">
        <v>-370.27609999999999</v>
      </c>
      <c r="H326">
        <v>4.1479670000000004</v>
      </c>
      <c r="I326">
        <v>346.59980000000002</v>
      </c>
      <c r="J326">
        <v>-454.61989999999997</v>
      </c>
      <c r="K326">
        <v>1.1085849999999999</v>
      </c>
      <c r="L326">
        <v>367.50240000000002</v>
      </c>
      <c r="M326">
        <v>0.99989039999999996</v>
      </c>
      <c r="N326">
        <v>-2.2490090000000002E-3</v>
      </c>
      <c r="O326">
        <v>1.463829E-2</v>
      </c>
      <c r="P326">
        <v>0.99696189999999996</v>
      </c>
      <c r="Q326">
        <v>-6.4133049999999997E-2</v>
      </c>
      <c r="R326">
        <v>4.42069E-2</v>
      </c>
      <c r="S326">
        <v>3.0492859999999999</v>
      </c>
      <c r="T326">
        <v>0.10919420000000001</v>
      </c>
      <c r="U326">
        <v>-0.75067139999999999</v>
      </c>
      <c r="V326">
        <v>-2.9610750000000002E-2</v>
      </c>
      <c r="W326">
        <v>-6.1888440000000003E-2</v>
      </c>
      <c r="X326">
        <v>0.99764370000000002</v>
      </c>
      <c r="Y326">
        <v>0.25307770000000002</v>
      </c>
      <c r="Z326">
        <v>4.7234069999999998E-3</v>
      </c>
      <c r="AA326">
        <v>0.96743440000000003</v>
      </c>
      <c r="AB326">
        <v>25</v>
      </c>
      <c r="AC326">
        <v>84.343799999999902</v>
      </c>
      <c r="AD326">
        <v>3.0393819999999998</v>
      </c>
      <c r="AE326">
        <v>-20.9026</v>
      </c>
      <c r="AF326">
        <v>22.107964933700199</v>
      </c>
      <c r="AG326">
        <v>3.0393819999999998</v>
      </c>
      <c r="AH326">
        <v>83.926106403480205</v>
      </c>
      <c r="AI326">
        <v>87.994303919962306</v>
      </c>
      <c r="AJ326">
        <v>75.242297432494595</v>
      </c>
      <c r="AK326">
        <v>86.842335830514799</v>
      </c>
      <c r="AL326">
        <v>93.548214053134402</v>
      </c>
      <c r="AM326">
        <v>91.700078968247396</v>
      </c>
      <c r="AN326">
        <v>0.99999996383544199</v>
      </c>
    </row>
    <row r="327" spans="1:40" x14ac:dyDescent="0.25">
      <c r="A327" t="str">
        <f>"20190305134916034"</f>
        <v>20190305134916034</v>
      </c>
      <c r="B327" t="str">
        <f>"1551764956021457"</f>
        <v>1551764956021457</v>
      </c>
      <c r="C327" t="s">
        <v>40</v>
      </c>
      <c r="D327">
        <v>3.978675</v>
      </c>
      <c r="E327">
        <v>0.61049709999999902</v>
      </c>
      <c r="F327" t="s">
        <v>50</v>
      </c>
      <c r="G327">
        <v>-370.51830000000001</v>
      </c>
      <c r="H327">
        <v>3.3882639999999999</v>
      </c>
      <c r="I327">
        <v>346.96719999999999</v>
      </c>
      <c r="J327">
        <v>-454.47699999999998</v>
      </c>
      <c r="K327">
        <v>1.1085860000000001</v>
      </c>
      <c r="L327">
        <v>367.50450000000001</v>
      </c>
      <c r="M327">
        <v>0.99989039999999996</v>
      </c>
      <c r="N327">
        <v>-2.276031E-3</v>
      </c>
      <c r="O327">
        <v>1.463558E-2</v>
      </c>
      <c r="P327">
        <v>0.99695889999999998</v>
      </c>
      <c r="Q327">
        <v>-6.4146789999999995E-2</v>
      </c>
      <c r="R327">
        <v>4.425606E-2</v>
      </c>
      <c r="S327">
        <v>3.047485</v>
      </c>
      <c r="T327">
        <v>8.2608699999999993E-2</v>
      </c>
      <c r="U327">
        <v>-0.7441101</v>
      </c>
      <c r="V327">
        <v>-2.9662629999999999E-2</v>
      </c>
      <c r="W327">
        <v>-6.1875189999999997E-2</v>
      </c>
      <c r="X327">
        <v>0.99764299999999995</v>
      </c>
      <c r="Y327">
        <v>0.25131019999999998</v>
      </c>
      <c r="Z327">
        <v>3.4899610000000002E-3</v>
      </c>
      <c r="AA327">
        <v>0.96790030000000005</v>
      </c>
      <c r="AB327">
        <v>25</v>
      </c>
      <c r="AC327">
        <v>83.958699999999894</v>
      </c>
      <c r="AD327">
        <v>2.2796780000000001</v>
      </c>
      <c r="AE327">
        <v>-20.537299999999998</v>
      </c>
      <c r="AF327">
        <v>21.748758603654899</v>
      </c>
      <c r="AG327">
        <v>2.2796780000000001</v>
      </c>
      <c r="AH327">
        <v>83.590983173804503</v>
      </c>
      <c r="AI327">
        <v>88.488136796963303</v>
      </c>
      <c r="AJ327">
        <v>75.416087678789296</v>
      </c>
      <c r="AK327">
        <v>86.404038681921605</v>
      </c>
      <c r="AL327">
        <v>93.547453357838194</v>
      </c>
      <c r="AM327">
        <v>91.703057061120901</v>
      </c>
      <c r="AN327">
        <v>0.99999998310252602</v>
      </c>
    </row>
    <row r="328" spans="1:40" x14ac:dyDescent="0.25">
      <c r="A328" t="str">
        <f>"20190305134916054"</f>
        <v>20190305134916054</v>
      </c>
      <c r="B328" t="str">
        <f>"1551764956040976"</f>
        <v>1551764956040976</v>
      </c>
      <c r="C328" t="s">
        <v>40</v>
      </c>
      <c r="D328">
        <v>3.936436</v>
      </c>
      <c r="E328">
        <v>0.61090889999999998</v>
      </c>
      <c r="F328" t="s">
        <v>50</v>
      </c>
      <c r="G328">
        <v>-370.67540000000002</v>
      </c>
      <c r="H328">
        <v>2.9079860000000002</v>
      </c>
      <c r="I328">
        <v>347.10359999999997</v>
      </c>
      <c r="J328">
        <v>-454.24099999999999</v>
      </c>
      <c r="K328">
        <v>1.1085879999999999</v>
      </c>
      <c r="L328">
        <v>367.50799999999998</v>
      </c>
      <c r="M328">
        <v>0.99989019999999995</v>
      </c>
      <c r="N328">
        <v>-2.3207430000000001E-3</v>
      </c>
      <c r="O328">
        <v>1.463135E-2</v>
      </c>
      <c r="P328">
        <v>0.99694300000000002</v>
      </c>
      <c r="Q328">
        <v>-6.4540699999999895E-2</v>
      </c>
      <c r="R328">
        <v>4.4035039999999998E-2</v>
      </c>
      <c r="S328">
        <v>3.0463260000000001</v>
      </c>
      <c r="T328">
        <v>6.5413949999999998E-2</v>
      </c>
      <c r="U328">
        <v>-0.74160769999999998</v>
      </c>
      <c r="V328">
        <v>-2.9446010000000002E-2</v>
      </c>
      <c r="W328">
        <v>-6.2224479999999999E-2</v>
      </c>
      <c r="X328">
        <v>0.99762770000000001</v>
      </c>
      <c r="Y328">
        <v>0.2506736</v>
      </c>
      <c r="Z328">
        <v>2.7004469999999999E-3</v>
      </c>
      <c r="AA328">
        <v>0.96806789999999998</v>
      </c>
      <c r="AB328">
        <v>25</v>
      </c>
      <c r="AC328">
        <v>83.565599999999904</v>
      </c>
      <c r="AD328">
        <v>1.7993980000000001</v>
      </c>
      <c r="AE328">
        <v>-20.404399999999999</v>
      </c>
      <c r="AF328">
        <v>21.615438427904099</v>
      </c>
      <c r="AG328">
        <v>1.7993980000000001</v>
      </c>
      <c r="AH328">
        <v>83.221694562407293</v>
      </c>
      <c r="AI328">
        <v>88.801125164620004</v>
      </c>
      <c r="AJ328">
        <v>75.440102413817598</v>
      </c>
      <c r="AK328">
        <v>86.001834035278094</v>
      </c>
      <c r="AL328">
        <v>93.567504812436795</v>
      </c>
      <c r="AM328">
        <v>91.690653147948694</v>
      </c>
      <c r="AN328">
        <v>0.99999999061174005</v>
      </c>
    </row>
    <row r="329" spans="1:40" x14ac:dyDescent="0.25">
      <c r="A329" t="str">
        <f>"20190305134916071"</f>
        <v>20190305134916071</v>
      </c>
      <c r="B329" t="str">
        <f>"1551764956061472"</f>
        <v>1551764956061472</v>
      </c>
      <c r="C329" t="s">
        <v>40</v>
      </c>
      <c r="D329">
        <v>3.894571</v>
      </c>
      <c r="E329">
        <v>0.61272720000000003</v>
      </c>
      <c r="F329" t="s">
        <v>46</v>
      </c>
      <c r="G329">
        <v>-372.96460000000002</v>
      </c>
      <c r="H329">
        <v>2.398876</v>
      </c>
      <c r="I329">
        <v>347.60309999999998</v>
      </c>
      <c r="J329">
        <v>-454.04669999999999</v>
      </c>
      <c r="K329">
        <v>1.108589</v>
      </c>
      <c r="L329">
        <v>367.51080000000002</v>
      </c>
      <c r="M329">
        <v>0.99989030000000001</v>
      </c>
      <c r="N329">
        <v>-2.3575390000000001E-3</v>
      </c>
      <c r="O329">
        <v>1.462749E-2</v>
      </c>
      <c r="P329">
        <v>0.99696309999999999</v>
      </c>
      <c r="Q329">
        <v>-6.4341949999999995E-2</v>
      </c>
      <c r="R329">
        <v>4.387344E-2</v>
      </c>
      <c r="S329">
        <v>3.0452270000000001</v>
      </c>
      <c r="T329">
        <v>4.8346760000000003E-2</v>
      </c>
      <c r="U329">
        <v>-0.74578859999999902</v>
      </c>
      <c r="V329">
        <v>-2.9288499999999999E-2</v>
      </c>
      <c r="W329">
        <v>-6.19889E-2</v>
      </c>
      <c r="X329">
        <v>0.99764699999999995</v>
      </c>
      <c r="Y329">
        <v>0.2520289</v>
      </c>
      <c r="Z329">
        <v>1.9328559999999999E-3</v>
      </c>
      <c r="AA329">
        <v>0.96771779999999996</v>
      </c>
      <c r="AB329">
        <v>26</v>
      </c>
      <c r="AC329">
        <v>81.082099999999897</v>
      </c>
      <c r="AD329">
        <v>1.290287</v>
      </c>
      <c r="AE329">
        <v>-19.907699999999998</v>
      </c>
      <c r="AF329">
        <v>21.086564692998</v>
      </c>
      <c r="AG329">
        <v>1.290287</v>
      </c>
      <c r="AH329">
        <v>80.762935561793697</v>
      </c>
      <c r="AI329">
        <v>89.114390498669707</v>
      </c>
      <c r="AJ329">
        <v>75.367188602553995</v>
      </c>
      <c r="AK329">
        <v>83.480295948521899</v>
      </c>
      <c r="AL329">
        <v>93.553980973260593</v>
      </c>
      <c r="AM329">
        <v>91.681582348650394</v>
      </c>
      <c r="AN329">
        <v>0.99999998828222902</v>
      </c>
    </row>
    <row r="330" spans="1:40" x14ac:dyDescent="0.25">
      <c r="A330" t="str">
        <f>"20190305134916084"</f>
        <v>20190305134916084</v>
      </c>
      <c r="B330" t="str">
        <f>"1551764956080992"</f>
        <v>1551764956080992</v>
      </c>
      <c r="C330" t="s">
        <v>40</v>
      </c>
      <c r="D330">
        <v>3.96014</v>
      </c>
      <c r="E330">
        <v>0.61378849999999996</v>
      </c>
      <c r="F330" t="s">
        <v>46</v>
      </c>
      <c r="G330">
        <v>-372.96460000000002</v>
      </c>
      <c r="H330">
        <v>2.5434450000000002</v>
      </c>
      <c r="I330">
        <v>347.26080000000002</v>
      </c>
      <c r="J330">
        <v>-453.87759999999997</v>
      </c>
      <c r="K330">
        <v>1.1085910000000001</v>
      </c>
      <c r="L330">
        <v>367.51319999999998</v>
      </c>
      <c r="M330">
        <v>0.99989019999999995</v>
      </c>
      <c r="N330">
        <v>-2.389689E-3</v>
      </c>
      <c r="O330">
        <v>1.462375E-2</v>
      </c>
      <c r="P330">
        <v>0.99702100000000005</v>
      </c>
      <c r="Q330">
        <v>-6.3558279999999995E-2</v>
      </c>
      <c r="R330">
        <v>4.3696930000000002E-2</v>
      </c>
      <c r="S330">
        <v>3.0460509999999998</v>
      </c>
      <c r="T330">
        <v>5.3906919999999997E-2</v>
      </c>
      <c r="U330">
        <v>-0.76074219999999904</v>
      </c>
      <c r="V330">
        <v>-2.911443E-2</v>
      </c>
      <c r="W330">
        <v>-6.1172999999999998E-2</v>
      </c>
      <c r="X330">
        <v>0.99770250000000005</v>
      </c>
      <c r="Y330">
        <v>0.25643149999999998</v>
      </c>
      <c r="Z330">
        <v>2.212912E-3</v>
      </c>
      <c r="AA330">
        <v>0.96655990000000003</v>
      </c>
      <c r="AB330">
        <v>26</v>
      </c>
      <c r="AC330">
        <v>80.912999999999897</v>
      </c>
      <c r="AD330">
        <v>1.4348540000000001</v>
      </c>
      <c r="AE330">
        <v>-20.252399999999898</v>
      </c>
      <c r="AF330">
        <v>21.427148284986501</v>
      </c>
      <c r="AG330">
        <v>1.4348540000000001</v>
      </c>
      <c r="AH330">
        <v>80.584333503457003</v>
      </c>
      <c r="AI330">
        <v>89.014168483939599</v>
      </c>
      <c r="AJ330">
        <v>75.109751180596604</v>
      </c>
      <c r="AK330">
        <v>83.396740318938797</v>
      </c>
      <c r="AL330">
        <v>93.507144299156195</v>
      </c>
      <c r="AM330">
        <v>91.671500972672902</v>
      </c>
      <c r="AN330">
        <v>1.00000003223473</v>
      </c>
    </row>
    <row r="331" spans="1:40" x14ac:dyDescent="0.25">
      <c r="A331" t="str">
        <f>"20190305134916098"</f>
        <v>20190305134916098</v>
      </c>
      <c r="B331" t="str">
        <f>"1551764956091259"</f>
        <v>1551764956091259</v>
      </c>
      <c r="C331" t="s">
        <v>40</v>
      </c>
      <c r="D331">
        <v>3.9529920000000001</v>
      </c>
      <c r="E331">
        <v>0.61409209999999903</v>
      </c>
      <c r="F331" t="s">
        <v>46</v>
      </c>
      <c r="G331">
        <v>-372.96460000000002</v>
      </c>
      <c r="H331">
        <v>2.6460110000000001</v>
      </c>
      <c r="I331">
        <v>347.0718</v>
      </c>
      <c r="J331">
        <v>-453.72890000000001</v>
      </c>
      <c r="K331">
        <v>1.1085940000000001</v>
      </c>
      <c r="L331">
        <v>367.5154</v>
      </c>
      <c r="M331">
        <v>0.99989030000000001</v>
      </c>
      <c r="N331">
        <v>-2.418042E-3</v>
      </c>
      <c r="O331">
        <v>1.4620380000000001E-2</v>
      </c>
      <c r="P331">
        <v>0.99705149999999998</v>
      </c>
      <c r="Q331">
        <v>-6.3267450000000003E-2</v>
      </c>
      <c r="R331">
        <v>4.342244E-2</v>
      </c>
      <c r="S331">
        <v>3.0463870000000002</v>
      </c>
      <c r="T331">
        <v>5.7886960000000001E-2</v>
      </c>
      <c r="U331">
        <v>-0.76962280000000005</v>
      </c>
      <c r="V331">
        <v>-2.884287E-2</v>
      </c>
      <c r="W331">
        <v>-6.0853810000000001E-2</v>
      </c>
      <c r="X331">
        <v>0.99772989999999995</v>
      </c>
      <c r="Y331">
        <v>0.25904660000000002</v>
      </c>
      <c r="Z331">
        <v>2.4132450000000001E-3</v>
      </c>
      <c r="AA331">
        <v>0.96586179999999999</v>
      </c>
      <c r="AB331">
        <v>26</v>
      </c>
      <c r="AC331">
        <v>80.764299999999906</v>
      </c>
      <c r="AD331">
        <v>1.537417</v>
      </c>
      <c r="AE331">
        <v>-20.4436</v>
      </c>
      <c r="AF331">
        <v>21.614862178706801</v>
      </c>
      <c r="AG331">
        <v>1.537417</v>
      </c>
      <c r="AH331">
        <v>80.429383810060799</v>
      </c>
      <c r="AI331">
        <v>88.942433494757793</v>
      </c>
      <c r="AJ331">
        <v>74.957554515884894</v>
      </c>
      <c r="AK331">
        <v>83.297369094722598</v>
      </c>
      <c r="AL331">
        <v>93.488821948303098</v>
      </c>
      <c r="AM331">
        <v>91.655873596555296</v>
      </c>
      <c r="AN331">
        <v>1.00000002534768</v>
      </c>
    </row>
    <row r="332" spans="1:40" x14ac:dyDescent="0.25">
      <c r="A332" t="str">
        <f>"20190305134916110"</f>
        <v>20190305134916110</v>
      </c>
      <c r="B332" t="str">
        <f>"1551764956101020"</f>
        <v>1551764956101020</v>
      </c>
      <c r="C332" t="s">
        <v>40</v>
      </c>
      <c r="D332">
        <v>3.9744480000000002</v>
      </c>
      <c r="E332">
        <v>0.61435919999999999</v>
      </c>
      <c r="F332" t="s">
        <v>46</v>
      </c>
      <c r="G332">
        <v>-372.96460000000002</v>
      </c>
      <c r="H332">
        <v>2.6496870000000001</v>
      </c>
      <c r="I332">
        <v>347.02339999999998</v>
      </c>
      <c r="J332">
        <v>-453.58420000000001</v>
      </c>
      <c r="K332">
        <v>1.1085959999999999</v>
      </c>
      <c r="L332">
        <v>367.51749999999998</v>
      </c>
      <c r="M332">
        <v>0.99989030000000001</v>
      </c>
      <c r="N332">
        <v>-2.4456479999999999E-3</v>
      </c>
      <c r="O332">
        <v>1.461748E-2</v>
      </c>
      <c r="P332">
        <v>0.9970639</v>
      </c>
      <c r="Q332">
        <v>-6.3231300000000004E-2</v>
      </c>
      <c r="R332">
        <v>4.3192729999999999E-2</v>
      </c>
      <c r="S332">
        <v>3.0461429999999998</v>
      </c>
      <c r="T332">
        <v>5.8127400000000003E-2</v>
      </c>
      <c r="U332">
        <v>-0.77288819999999903</v>
      </c>
      <c r="V332">
        <v>-2.8616530000000001E-2</v>
      </c>
      <c r="W332">
        <v>-6.0790089999999998E-2</v>
      </c>
      <c r="X332">
        <v>0.99774030000000002</v>
      </c>
      <c r="Y332">
        <v>0.26003470000000001</v>
      </c>
      <c r="Z332">
        <v>2.4290150000000001E-3</v>
      </c>
      <c r="AA332">
        <v>0.96559629999999996</v>
      </c>
      <c r="AB332">
        <v>26</v>
      </c>
      <c r="AC332">
        <v>80.619599999999906</v>
      </c>
      <c r="AD332">
        <v>1.54109099999999</v>
      </c>
      <c r="AE332">
        <v>-20.4941</v>
      </c>
      <c r="AF332">
        <v>21.662933854630602</v>
      </c>
      <c r="AG332">
        <v>1.54109099999999</v>
      </c>
      <c r="AH332">
        <v>80.283858011220303</v>
      </c>
      <c r="AI332">
        <v>88.938275102699095</v>
      </c>
      <c r="AJ332">
        <v>74.899543344767096</v>
      </c>
      <c r="AK332">
        <v>83.169438628778593</v>
      </c>
      <c r="AL332">
        <v>93.485164295966101</v>
      </c>
      <c r="AM332">
        <v>91.642869416464606</v>
      </c>
      <c r="AN332">
        <v>1.00000002353776</v>
      </c>
    </row>
    <row r="333" spans="1:40" x14ac:dyDescent="0.25">
      <c r="A333" t="str">
        <f>"20190305134916130"</f>
        <v>20190305134916130</v>
      </c>
      <c r="B333" t="str">
        <f>"1551764956121515"</f>
        <v>1551764956121515</v>
      </c>
      <c r="C333" t="s">
        <v>40</v>
      </c>
      <c r="D333">
        <v>3.909491</v>
      </c>
      <c r="E333">
        <v>0.61563250000000003</v>
      </c>
      <c r="F333" t="s">
        <v>46</v>
      </c>
      <c r="G333">
        <v>-372.96460000000002</v>
      </c>
      <c r="H333">
        <v>2.5767880000000001</v>
      </c>
      <c r="I333">
        <v>346.98989999999998</v>
      </c>
      <c r="J333">
        <v>-453.35120000000001</v>
      </c>
      <c r="K333">
        <v>1.108603</v>
      </c>
      <c r="L333">
        <v>367.52100000000002</v>
      </c>
      <c r="M333">
        <v>0.9998901</v>
      </c>
      <c r="N333">
        <v>-2.490351E-3</v>
      </c>
      <c r="O333">
        <v>1.4613910000000001E-2</v>
      </c>
      <c r="P333">
        <v>0.99709780000000003</v>
      </c>
      <c r="Q333">
        <v>-6.2826010000000002E-2</v>
      </c>
      <c r="R333">
        <v>4.2995310000000002E-2</v>
      </c>
      <c r="S333">
        <v>3.0459589999999999</v>
      </c>
      <c r="T333">
        <v>5.5473920000000003E-2</v>
      </c>
      <c r="U333">
        <v>-0.77557369999999903</v>
      </c>
      <c r="V333">
        <v>-2.8422240000000001E-2</v>
      </c>
      <c r="W333">
        <v>-6.0340150000000002E-2</v>
      </c>
      <c r="X333">
        <v>0.99777320000000003</v>
      </c>
      <c r="Y333">
        <v>0.26084849999999998</v>
      </c>
      <c r="Z333">
        <v>2.305784E-3</v>
      </c>
      <c r="AA333">
        <v>0.96537700000000004</v>
      </c>
      <c r="AB333">
        <v>26</v>
      </c>
      <c r="AC333">
        <v>80.386599999999902</v>
      </c>
      <c r="AD333">
        <v>1.4681850000000001</v>
      </c>
      <c r="AE333">
        <v>-20.531099999999899</v>
      </c>
      <c r="AF333">
        <v>21.696879341108399</v>
      </c>
      <c r="AG333">
        <v>1.4681850000000001</v>
      </c>
      <c r="AH333">
        <v>80.052906527066696</v>
      </c>
      <c r="AI333">
        <v>88.9858822494554</v>
      </c>
      <c r="AJ333">
        <v>74.8353409443407</v>
      </c>
      <c r="AK333">
        <v>82.9540715321926</v>
      </c>
      <c r="AL333">
        <v>93.459337101742193</v>
      </c>
      <c r="AM333">
        <v>91.631667541682802</v>
      </c>
      <c r="AN333">
        <v>1.0000000580334301</v>
      </c>
    </row>
    <row r="334" spans="1:40" x14ac:dyDescent="0.25">
      <c r="A334" t="str">
        <f>"20190305134916142"</f>
        <v>20190305134916142</v>
      </c>
      <c r="B334" t="str">
        <f>"1551764956131275"</f>
        <v>1551764956131275</v>
      </c>
      <c r="C334" t="s">
        <v>40</v>
      </c>
      <c r="D334">
        <v>3.9428019999999999</v>
      </c>
      <c r="E334">
        <v>0.61614080000000004</v>
      </c>
      <c r="F334" t="s">
        <v>46</v>
      </c>
      <c r="G334">
        <v>-372.96460000000002</v>
      </c>
      <c r="H334">
        <v>2.7114539999999998</v>
      </c>
      <c r="I334">
        <v>346.77089999999998</v>
      </c>
      <c r="J334">
        <v>-453.19880000000001</v>
      </c>
      <c r="K334">
        <v>1.108598</v>
      </c>
      <c r="L334">
        <v>367.52319999999997</v>
      </c>
      <c r="M334">
        <v>0.99989019999999995</v>
      </c>
      <c r="N334">
        <v>-2.5196580000000001E-3</v>
      </c>
      <c r="O334">
        <v>1.461202E-2</v>
      </c>
      <c r="P334">
        <v>0.99708819999999998</v>
      </c>
      <c r="Q334">
        <v>-6.2985869999999999E-2</v>
      </c>
      <c r="R334">
        <v>4.2992089999999997E-2</v>
      </c>
      <c r="S334">
        <v>3.0464479999999998</v>
      </c>
      <c r="T334">
        <v>6.0746910000000001E-2</v>
      </c>
      <c r="U334">
        <v>-0.78637699999999999</v>
      </c>
      <c r="V334">
        <v>-2.8420589999999999E-2</v>
      </c>
      <c r="W334">
        <v>-6.0470820000000002E-2</v>
      </c>
      <c r="X334">
        <v>0.99776529999999997</v>
      </c>
      <c r="Y334">
        <v>0.26401210000000003</v>
      </c>
      <c r="Z334">
        <v>2.574514E-3</v>
      </c>
      <c r="AA334">
        <v>0.96451589999999998</v>
      </c>
      <c r="AB334">
        <v>26</v>
      </c>
      <c r="AC334">
        <v>80.234199999999902</v>
      </c>
      <c r="AD334">
        <v>1.6028560000000001</v>
      </c>
      <c r="AE334">
        <v>-20.752299999999899</v>
      </c>
      <c r="AF334">
        <v>21.914274379620799</v>
      </c>
      <c r="AG334">
        <v>1.6028560000000001</v>
      </c>
      <c r="AH334">
        <v>79.8925151079752</v>
      </c>
      <c r="AI334">
        <v>88.891579895863202</v>
      </c>
      <c r="AJ334">
        <v>74.661204373052996</v>
      </c>
      <c r="AK334">
        <v>82.859028109313996</v>
      </c>
      <c r="AL334">
        <v>93.466837762651096</v>
      </c>
      <c r="AM334">
        <v>91.631585780786807</v>
      </c>
      <c r="AN334">
        <v>1.0000000219457501</v>
      </c>
    </row>
    <row r="335" spans="1:40" x14ac:dyDescent="0.25">
      <c r="A335" t="str">
        <f>"20190305134916156"</f>
        <v>20190305134916156</v>
      </c>
      <c r="B335" t="str">
        <f>"1551764956151772"</f>
        <v>1551764956151772</v>
      </c>
      <c r="C335" t="s">
        <v>40</v>
      </c>
      <c r="D335">
        <v>3.9313199999999999</v>
      </c>
      <c r="E335">
        <v>0.61739309999999903</v>
      </c>
      <c r="F335" t="s">
        <v>46</v>
      </c>
      <c r="G335">
        <v>-372.96460000000002</v>
      </c>
      <c r="H335">
        <v>2.7460309999999999</v>
      </c>
      <c r="I335">
        <v>346.70940000000002</v>
      </c>
      <c r="J335">
        <v>-453.05329999999998</v>
      </c>
      <c r="K335">
        <v>1.108598</v>
      </c>
      <c r="L335">
        <v>367.52530000000002</v>
      </c>
      <c r="M335">
        <v>0.9998901</v>
      </c>
      <c r="N335">
        <v>-2.5475659999999998E-3</v>
      </c>
      <c r="O335">
        <v>1.4610980000000001E-2</v>
      </c>
      <c r="P335">
        <v>0.99709020000000004</v>
      </c>
      <c r="Q335">
        <v>-6.3079570000000001E-2</v>
      </c>
      <c r="R335">
        <v>4.2805509999999998E-2</v>
      </c>
      <c r="S335">
        <v>3.046783</v>
      </c>
      <c r="T335">
        <v>6.2182189999999998E-2</v>
      </c>
      <c r="U335">
        <v>-0.79037480000000004</v>
      </c>
      <c r="V335">
        <v>-2.8234450000000001E-2</v>
      </c>
      <c r="W335">
        <v>-6.0536720000000002E-2</v>
      </c>
      <c r="X335">
        <v>0.99776659999999995</v>
      </c>
      <c r="Y335">
        <v>0.26516899999999999</v>
      </c>
      <c r="Z335">
        <v>2.648358E-3</v>
      </c>
      <c r="AA335">
        <v>0.96419840000000001</v>
      </c>
      <c r="AB335">
        <v>26</v>
      </c>
      <c r="AC335">
        <v>80.088699999999903</v>
      </c>
      <c r="AD335">
        <v>1.6374329999999999</v>
      </c>
      <c r="AE335">
        <v>-20.815899999999999</v>
      </c>
      <c r="AF335">
        <v>21.975251492293001</v>
      </c>
      <c r="AG335">
        <v>1.6374329999999999</v>
      </c>
      <c r="AH335">
        <v>79.744784510085793</v>
      </c>
      <c r="AI335">
        <v>88.865946872951</v>
      </c>
      <c r="AJ335">
        <v>74.593403280553602</v>
      </c>
      <c r="AK335">
        <v>82.733448625927807</v>
      </c>
      <c r="AL335">
        <v>93.470620444856294</v>
      </c>
      <c r="AM335">
        <v>91.620903355950006</v>
      </c>
      <c r="AN335">
        <v>1.00000003335535</v>
      </c>
    </row>
    <row r="336" spans="1:40" x14ac:dyDescent="0.25">
      <c r="A336" t="str">
        <f>"20190305134916174"</f>
        <v>20190305134916174</v>
      </c>
      <c r="B336" t="str">
        <f>"1551764956171291"</f>
        <v>1551764956171291</v>
      </c>
      <c r="C336" t="s">
        <v>40</v>
      </c>
      <c r="D336">
        <v>3.9368159999999999</v>
      </c>
      <c r="E336">
        <v>0.61842359999999996</v>
      </c>
      <c r="F336" t="s">
        <v>49</v>
      </c>
      <c r="G336">
        <v>-370.2192</v>
      </c>
      <c r="H336">
        <v>2.915921</v>
      </c>
      <c r="I336">
        <v>345.7543</v>
      </c>
      <c r="J336">
        <v>-452.83859999999999</v>
      </c>
      <c r="K336">
        <v>1.1086</v>
      </c>
      <c r="L336">
        <v>367.52850000000001</v>
      </c>
      <c r="M336">
        <v>0.99988999999999995</v>
      </c>
      <c r="N336">
        <v>-2.5886949999999998E-3</v>
      </c>
      <c r="O336">
        <v>1.460991E-2</v>
      </c>
      <c r="P336">
        <v>0.99705449999999995</v>
      </c>
      <c r="Q336">
        <v>-6.3553620000000005E-2</v>
      </c>
      <c r="R336">
        <v>4.2936019999999998E-2</v>
      </c>
      <c r="S336">
        <v>3.047272</v>
      </c>
      <c r="T336">
        <v>6.6487550000000006E-2</v>
      </c>
      <c r="U336">
        <v>-0.80090329999999998</v>
      </c>
      <c r="V336">
        <v>-2.8367389999999999E-2</v>
      </c>
      <c r="W336">
        <v>-6.0969860000000001E-2</v>
      </c>
      <c r="X336">
        <v>0.99773639999999997</v>
      </c>
      <c r="Y336">
        <v>0.26823999999999998</v>
      </c>
      <c r="Z336">
        <v>2.8748290000000002E-3</v>
      </c>
      <c r="AA336">
        <v>0.96334790000000003</v>
      </c>
      <c r="AB336">
        <v>26</v>
      </c>
      <c r="AC336">
        <v>82.619399999999899</v>
      </c>
      <c r="AD336">
        <v>1.807321</v>
      </c>
      <c r="AE336">
        <v>-21.7742</v>
      </c>
      <c r="AF336">
        <v>22.9686646684316</v>
      </c>
      <c r="AG336">
        <v>1.807321</v>
      </c>
      <c r="AH336">
        <v>82.255656638244801</v>
      </c>
      <c r="AI336">
        <v>88.787662476880897</v>
      </c>
      <c r="AJ336">
        <v>74.398402208488093</v>
      </c>
      <c r="AK336">
        <v>85.421420117185605</v>
      </c>
      <c r="AL336">
        <v>93.495483657620994</v>
      </c>
      <c r="AM336">
        <v>91.628580436390095</v>
      </c>
      <c r="AN336">
        <v>0.99999997826439502</v>
      </c>
    </row>
    <row r="337" spans="1:40" x14ac:dyDescent="0.25">
      <c r="A337" t="str">
        <f>"20190305134916187"</f>
        <v>20190305134916187</v>
      </c>
      <c r="B337" t="str">
        <f>"1551764956181051"</f>
        <v>1551764956181051</v>
      </c>
      <c r="C337" t="s">
        <v>40</v>
      </c>
      <c r="D337">
        <v>3.9842550000000001</v>
      </c>
      <c r="E337">
        <v>0.61882139999999997</v>
      </c>
      <c r="F337" t="s">
        <v>49</v>
      </c>
      <c r="G337">
        <v>-370.2192</v>
      </c>
      <c r="H337">
        <v>2.9337970000000002</v>
      </c>
      <c r="I337">
        <v>345.60899999999998</v>
      </c>
      <c r="J337">
        <v>-452.67829999999998</v>
      </c>
      <c r="K337">
        <v>1.108598</v>
      </c>
      <c r="L337">
        <v>367.5308</v>
      </c>
      <c r="M337">
        <v>0.9998899</v>
      </c>
      <c r="N337">
        <v>-2.619545E-3</v>
      </c>
      <c r="O337">
        <v>1.4609570000000001E-2</v>
      </c>
      <c r="P337">
        <v>0.99701949999999995</v>
      </c>
      <c r="Q337">
        <v>-6.4075740000000006E-2</v>
      </c>
      <c r="R337">
        <v>4.2968319999999997E-2</v>
      </c>
      <c r="S337">
        <v>3.0480040000000002</v>
      </c>
      <c r="T337">
        <v>6.7335720000000002E-2</v>
      </c>
      <c r="U337">
        <v>-0.80865480000000001</v>
      </c>
      <c r="V337">
        <v>-2.8399839999999999E-2</v>
      </c>
      <c r="W337">
        <v>-6.1461340000000003E-2</v>
      </c>
      <c r="X337">
        <v>0.99770530000000002</v>
      </c>
      <c r="Y337">
        <v>0.2704704</v>
      </c>
      <c r="Z337">
        <v>2.931094E-3</v>
      </c>
      <c r="AA337">
        <v>0.96272389999999997</v>
      </c>
      <c r="AB337">
        <v>26</v>
      </c>
      <c r="AC337">
        <v>82.459099999999907</v>
      </c>
      <c r="AD337">
        <v>1.825199</v>
      </c>
      <c r="AE337">
        <v>-21.921799999999902</v>
      </c>
      <c r="AF337">
        <v>23.113579679582099</v>
      </c>
      <c r="AG337">
        <v>1.825199</v>
      </c>
      <c r="AH337">
        <v>82.092464880438101</v>
      </c>
      <c r="AI337">
        <v>88.773980105260407</v>
      </c>
      <c r="AJ337">
        <v>74.275146128434002</v>
      </c>
      <c r="AK337">
        <v>85.303820003209495</v>
      </c>
      <c r="AL337">
        <v>93.523696376179302</v>
      </c>
      <c r="AM337">
        <v>91.630493191662396</v>
      </c>
      <c r="AN337">
        <v>0.99999995643735395</v>
      </c>
    </row>
    <row r="338" spans="1:40" x14ac:dyDescent="0.25">
      <c r="A338" t="str">
        <f>"20190305134916200"</f>
        <v>20190305134916200</v>
      </c>
      <c r="B338" t="str">
        <f>"1551764956191319"</f>
        <v>1551764956191319</v>
      </c>
      <c r="C338" t="s">
        <v>40</v>
      </c>
      <c r="D338">
        <v>3.9754450000000001</v>
      </c>
      <c r="E338">
        <v>0.61928349999999999</v>
      </c>
      <c r="F338" t="s">
        <v>46</v>
      </c>
      <c r="G338">
        <v>-372.96460000000002</v>
      </c>
      <c r="H338">
        <v>2.8270240000000002</v>
      </c>
      <c r="I338">
        <v>346.30130000000003</v>
      </c>
      <c r="J338">
        <v>-452.52910000000003</v>
      </c>
      <c r="K338">
        <v>1.1085959999999999</v>
      </c>
      <c r="L338">
        <v>367.53300000000002</v>
      </c>
      <c r="M338">
        <v>0.99988969999999999</v>
      </c>
      <c r="N338">
        <v>-2.648334E-3</v>
      </c>
      <c r="O338">
        <v>1.4609830000000001E-2</v>
      </c>
      <c r="P338">
        <v>0.99698229999999999</v>
      </c>
      <c r="Q338">
        <v>-6.45593E-2</v>
      </c>
      <c r="R338">
        <v>4.3111280000000002E-2</v>
      </c>
      <c r="S338">
        <v>3.048187</v>
      </c>
      <c r="T338">
        <v>6.5714120000000001E-2</v>
      </c>
      <c r="U338">
        <v>-0.81179809999999997</v>
      </c>
      <c r="V338">
        <v>-2.8543180000000001E-2</v>
      </c>
      <c r="W338">
        <v>-6.1916260000000001E-2</v>
      </c>
      <c r="X338">
        <v>0.99767320000000004</v>
      </c>
      <c r="Y338">
        <v>0.27138640000000003</v>
      </c>
      <c r="Z338">
        <v>2.857035E-3</v>
      </c>
      <c r="AA338">
        <v>0.96246620000000005</v>
      </c>
      <c r="AB338">
        <v>26</v>
      </c>
      <c r="AC338">
        <v>79.564499999999995</v>
      </c>
      <c r="AD338">
        <v>1.7184280000000001</v>
      </c>
      <c r="AE338">
        <v>-21.231699999999901</v>
      </c>
      <c r="AF338">
        <v>22.382115353308699</v>
      </c>
      <c r="AG338">
        <v>1.7184280000000001</v>
      </c>
      <c r="AH338">
        <v>79.211321939350398</v>
      </c>
      <c r="AI338">
        <v>88.804020715770605</v>
      </c>
      <c r="AJ338">
        <v>74.221720418167493</v>
      </c>
      <c r="AK338">
        <v>82.330708765681194</v>
      </c>
      <c r="AL338">
        <v>93.549810688762804</v>
      </c>
      <c r="AM338">
        <v>91.638770856587399</v>
      </c>
      <c r="AN338">
        <v>1.00000007518756</v>
      </c>
    </row>
    <row r="339" spans="1:40" x14ac:dyDescent="0.25">
      <c r="A339" t="str">
        <f>"20190305134916213"</f>
        <v>20190305134916213</v>
      </c>
      <c r="B339" t="str">
        <f>"1551764956201079"</f>
        <v>1551764956201079</v>
      </c>
      <c r="C339" t="s">
        <v>40</v>
      </c>
      <c r="D339">
        <v>4.0001350000000002</v>
      </c>
      <c r="E339">
        <v>0.61965429999999999</v>
      </c>
      <c r="F339" t="s">
        <v>46</v>
      </c>
      <c r="G339">
        <v>-372.96460000000002</v>
      </c>
      <c r="H339">
        <v>2.8045499999999999</v>
      </c>
      <c r="I339">
        <v>346.2611</v>
      </c>
      <c r="J339">
        <v>-452.37099999999998</v>
      </c>
      <c r="K339">
        <v>1.108595</v>
      </c>
      <c r="L339">
        <v>367.53530000000001</v>
      </c>
      <c r="M339">
        <v>0.99988960000000005</v>
      </c>
      <c r="N339">
        <v>-2.678873E-3</v>
      </c>
      <c r="O339">
        <v>1.460997E-2</v>
      </c>
      <c r="P339">
        <v>0.99694989999999994</v>
      </c>
      <c r="Q339">
        <v>-6.5018729999999997E-2</v>
      </c>
      <c r="R339">
        <v>4.3166099999999999E-2</v>
      </c>
      <c r="S339">
        <v>3.0485229999999999</v>
      </c>
      <c r="T339">
        <v>6.4983490000000005E-2</v>
      </c>
      <c r="U339">
        <v>-0.81503300000000001</v>
      </c>
      <c r="V339">
        <v>-2.8598080000000001E-2</v>
      </c>
      <c r="W339">
        <v>-6.2345339999999999E-2</v>
      </c>
      <c r="X339">
        <v>0.9976448</v>
      </c>
      <c r="Y339">
        <v>0.27231470000000002</v>
      </c>
      <c r="Z339">
        <v>2.8255110000000002E-3</v>
      </c>
      <c r="AA339">
        <v>0.96220410000000001</v>
      </c>
      <c r="AB339">
        <v>27</v>
      </c>
      <c r="AC339">
        <v>79.406399999999906</v>
      </c>
      <c r="AD339">
        <v>1.6959550000000001</v>
      </c>
      <c r="AE339">
        <v>-21.2742</v>
      </c>
      <c r="AF339">
        <v>22.422515475515699</v>
      </c>
      <c r="AG339">
        <v>1.6959550000000001</v>
      </c>
      <c r="AH339">
        <v>79.053462226827705</v>
      </c>
      <c r="AI339">
        <v>88.817633708518997</v>
      </c>
      <c r="AJ339">
        <v>74.164682269329504</v>
      </c>
      <c r="AK339">
        <v>82.189387110868793</v>
      </c>
      <c r="AL339">
        <v>93.57444312797</v>
      </c>
      <c r="AM339">
        <v>91.641967862516793</v>
      </c>
      <c r="AN339">
        <v>0.99999996928321999</v>
      </c>
    </row>
    <row r="340" spans="1:40" x14ac:dyDescent="0.25">
      <c r="A340" t="str">
        <f>"20190305134916231"</f>
        <v>20190305134916231</v>
      </c>
      <c r="B340" t="str">
        <f>"1551764956221575"</f>
        <v>1551764956221575</v>
      </c>
      <c r="C340" t="s">
        <v>40</v>
      </c>
      <c r="D340">
        <v>4.0548830000000002</v>
      </c>
      <c r="E340">
        <v>0.62020609999999998</v>
      </c>
      <c r="F340" t="s">
        <v>46</v>
      </c>
      <c r="G340">
        <v>-372.96460000000002</v>
      </c>
      <c r="H340">
        <v>2.7808359999999999</v>
      </c>
      <c r="I340">
        <v>346.23669999999998</v>
      </c>
      <c r="J340">
        <v>-452.15530000000001</v>
      </c>
      <c r="K340">
        <v>1.1085929999999999</v>
      </c>
      <c r="L340">
        <v>367.53840000000002</v>
      </c>
      <c r="M340">
        <v>0.99988969999999999</v>
      </c>
      <c r="N340">
        <v>-2.7205630000000001E-3</v>
      </c>
      <c r="O340">
        <v>1.461027E-2</v>
      </c>
      <c r="P340">
        <v>0.99690570000000001</v>
      </c>
      <c r="Q340">
        <v>-6.5796190000000004E-2</v>
      </c>
      <c r="R340">
        <v>4.301253E-2</v>
      </c>
      <c r="S340">
        <v>3.0487669999999998</v>
      </c>
      <c r="T340">
        <v>6.4207790000000001E-2</v>
      </c>
      <c r="U340">
        <v>-0.81774899999999995</v>
      </c>
      <c r="V340">
        <v>-2.8445479999999999E-2</v>
      </c>
      <c r="W340">
        <v>-6.3081349999999994E-2</v>
      </c>
      <c r="X340">
        <v>0.99760289999999996</v>
      </c>
      <c r="Y340">
        <v>0.27309679999999997</v>
      </c>
      <c r="Z340">
        <v>2.7890240000000002E-3</v>
      </c>
      <c r="AA340">
        <v>0.96198249999999996</v>
      </c>
      <c r="AB340">
        <v>27</v>
      </c>
      <c r="AC340">
        <v>79.190699999999893</v>
      </c>
      <c r="AD340">
        <v>1.6722429999999999</v>
      </c>
      <c r="AE340">
        <v>-21.3017</v>
      </c>
      <c r="AF340">
        <v>22.447093891627802</v>
      </c>
      <c r="AG340">
        <v>1.6722429999999999</v>
      </c>
      <c r="AH340">
        <v>78.838239823094398</v>
      </c>
      <c r="AI340">
        <v>88.831312304006303</v>
      </c>
      <c r="AJ340">
        <v>74.107105119878796</v>
      </c>
      <c r="AK340">
        <v>81.988636281099105</v>
      </c>
      <c r="AL340">
        <v>93.616696552067495</v>
      </c>
      <c r="AM340">
        <v>91.633279601758105</v>
      </c>
      <c r="AN340">
        <v>0.99999997406933105</v>
      </c>
    </row>
    <row r="341" spans="1:40" x14ac:dyDescent="0.25">
      <c r="A341" t="str">
        <f>"20190305134916265"</f>
        <v>20190305134916265</v>
      </c>
      <c r="B341" t="str">
        <f>"1551764956261591"</f>
        <v>1551764956261591</v>
      </c>
      <c r="C341" t="s">
        <v>40</v>
      </c>
      <c r="D341">
        <v>4.0223709999999997</v>
      </c>
      <c r="E341">
        <v>0.61932919999999902</v>
      </c>
      <c r="F341" t="s">
        <v>46</v>
      </c>
      <c r="G341">
        <v>-372.96460000000002</v>
      </c>
      <c r="H341">
        <v>2.7479460000000002</v>
      </c>
      <c r="I341">
        <v>346.17739999999998</v>
      </c>
      <c r="J341">
        <v>-451.74889999999999</v>
      </c>
      <c r="K341">
        <v>1.108592</v>
      </c>
      <c r="L341">
        <v>367.5444</v>
      </c>
      <c r="M341">
        <v>0.99988940000000004</v>
      </c>
      <c r="N341">
        <v>-2.798998E-3</v>
      </c>
      <c r="O341">
        <v>1.4612299999999899E-2</v>
      </c>
      <c r="P341">
        <v>0.99688080000000001</v>
      </c>
      <c r="Q341">
        <v>-6.6036849999999994E-2</v>
      </c>
      <c r="R341">
        <v>4.3219729999999998E-2</v>
      </c>
      <c r="S341">
        <v>3.0489199999999999</v>
      </c>
      <c r="T341">
        <v>6.3119529999999993E-2</v>
      </c>
      <c r="U341">
        <v>-0.82241819999999899</v>
      </c>
      <c r="V341">
        <v>-2.8650680000000001E-2</v>
      </c>
      <c r="W341">
        <v>-6.3243809999999998E-2</v>
      </c>
      <c r="X341">
        <v>0.9975868</v>
      </c>
      <c r="Y341">
        <v>0.27446209999999999</v>
      </c>
      <c r="Z341">
        <v>2.7374040000000001E-3</v>
      </c>
      <c r="AA341">
        <v>0.96159399999999995</v>
      </c>
      <c r="AB341">
        <v>27</v>
      </c>
      <c r="AC341">
        <v>78.784299999999902</v>
      </c>
      <c r="AD341">
        <v>1.63935399999999</v>
      </c>
      <c r="AE341">
        <v>-21.367000000000001</v>
      </c>
      <c r="AF341">
        <v>22.506865658408699</v>
      </c>
      <c r="AG341">
        <v>1.63935399999999</v>
      </c>
      <c r="AH341">
        <v>78.432033637985299</v>
      </c>
      <c r="AI341">
        <v>88.849039554651895</v>
      </c>
      <c r="AJ341">
        <v>73.988632126297205</v>
      </c>
      <c r="AK341">
        <v>81.613910480340493</v>
      </c>
      <c r="AL341">
        <v>93.626023236882503</v>
      </c>
      <c r="AM341">
        <v>91.645081837904101</v>
      </c>
      <c r="AN341">
        <v>1.0000000322510001</v>
      </c>
    </row>
    <row r="342" spans="1:40" x14ac:dyDescent="0.25">
      <c r="A342" t="str">
        <f>"20190305134916280"</f>
        <v>20190305134916280</v>
      </c>
      <c r="B342" t="str">
        <f>"1551764956271350"</f>
        <v>1551764956271350</v>
      </c>
      <c r="C342" t="s">
        <v>40</v>
      </c>
      <c r="D342">
        <v>3.9936959999999999</v>
      </c>
      <c r="E342">
        <v>0.61899969999999904</v>
      </c>
      <c r="F342" t="s">
        <v>49</v>
      </c>
      <c r="G342">
        <v>-370.2192</v>
      </c>
      <c r="H342">
        <v>3.1450490000000002</v>
      </c>
      <c r="I342">
        <v>345.77480000000003</v>
      </c>
      <c r="J342">
        <v>-451.56049999999999</v>
      </c>
      <c r="K342">
        <v>1.1085940000000001</v>
      </c>
      <c r="L342">
        <v>367.5471</v>
      </c>
      <c r="M342">
        <v>0.99988929999999998</v>
      </c>
      <c r="N342">
        <v>-2.8354130000000002E-3</v>
      </c>
      <c r="O342">
        <v>1.461344E-2</v>
      </c>
      <c r="P342">
        <v>0.99686010000000003</v>
      </c>
      <c r="Q342">
        <v>-6.6190760000000001E-2</v>
      </c>
      <c r="R342">
        <v>4.3460249999999999E-2</v>
      </c>
      <c r="S342">
        <v>3.0497740000000002</v>
      </c>
      <c r="T342">
        <v>7.6177949999999994E-2</v>
      </c>
      <c r="U342">
        <v>-0.81433109999999997</v>
      </c>
      <c r="V342">
        <v>-2.889021E-2</v>
      </c>
      <c r="W342">
        <v>-6.3361420000000002E-2</v>
      </c>
      <c r="X342">
        <v>0.99757240000000003</v>
      </c>
      <c r="Y342">
        <v>0.27199179999999901</v>
      </c>
      <c r="Z342">
        <v>3.3452080000000001E-3</v>
      </c>
      <c r="AA342">
        <v>0.96229370000000003</v>
      </c>
      <c r="AB342">
        <v>27</v>
      </c>
      <c r="AC342">
        <v>81.341299999999904</v>
      </c>
      <c r="AD342">
        <v>2.0364550000000001</v>
      </c>
      <c r="AE342">
        <v>-21.772299999999898</v>
      </c>
      <c r="AF342">
        <v>22.945235447379702</v>
      </c>
      <c r="AG342">
        <v>2.0364550000000001</v>
      </c>
      <c r="AH342">
        <v>80.967087613146404</v>
      </c>
      <c r="AI342">
        <v>88.613786752095393</v>
      </c>
      <c r="AJ342">
        <v>74.177818631075297</v>
      </c>
      <c r="AK342">
        <v>84.180165450405497</v>
      </c>
      <c r="AL342">
        <v>93.632775440002504</v>
      </c>
      <c r="AM342">
        <v>91.658851593724904</v>
      </c>
      <c r="AN342">
        <v>1.0000000035100101</v>
      </c>
    </row>
    <row r="343" spans="1:40" x14ac:dyDescent="0.25">
      <c r="A343" t="str">
        <f>"20190305134916298"</f>
        <v>20190305134916298</v>
      </c>
      <c r="B343" t="str">
        <f>"1551764956290871"</f>
        <v>1551764956290871</v>
      </c>
      <c r="C343" t="s">
        <v>40</v>
      </c>
      <c r="D343">
        <v>4.0015839999999896</v>
      </c>
      <c r="E343">
        <v>0.61859759999999997</v>
      </c>
      <c r="F343" t="s">
        <v>49</v>
      </c>
      <c r="G343">
        <v>-370.21929999999998</v>
      </c>
      <c r="H343">
        <v>3.2094960000000001</v>
      </c>
      <c r="I343">
        <v>345.91840000000002</v>
      </c>
      <c r="J343">
        <v>-451.33839999999998</v>
      </c>
      <c r="K343">
        <v>1.108595</v>
      </c>
      <c r="L343">
        <v>367.55040000000002</v>
      </c>
      <c r="M343">
        <v>0.99988909999999998</v>
      </c>
      <c r="N343">
        <v>-2.8783799999999998E-3</v>
      </c>
      <c r="O343">
        <v>1.461439E-2</v>
      </c>
      <c r="P343">
        <v>0.99686739999999996</v>
      </c>
      <c r="Q343">
        <v>-6.6176730000000003E-2</v>
      </c>
      <c r="R343">
        <v>4.3317229999999998E-2</v>
      </c>
      <c r="S343">
        <v>3.0500180000000001</v>
      </c>
      <c r="T343">
        <v>7.8777070000000005E-2</v>
      </c>
      <c r="U343">
        <v>-0.81100459999999996</v>
      </c>
      <c r="V343">
        <v>-2.8746190000000001E-2</v>
      </c>
      <c r="W343">
        <v>-6.3304509999999994E-2</v>
      </c>
      <c r="X343">
        <v>0.99758020000000003</v>
      </c>
      <c r="Y343">
        <v>0.27098830000000002</v>
      </c>
      <c r="Z343">
        <v>3.4550190000000001E-3</v>
      </c>
      <c r="AA343">
        <v>0.9625764</v>
      </c>
      <c r="AB343">
        <v>27</v>
      </c>
      <c r="AC343">
        <v>81.119100000000003</v>
      </c>
      <c r="AD343">
        <v>2.1009009999999999</v>
      </c>
      <c r="AE343">
        <v>-21.632000000000001</v>
      </c>
      <c r="AF343">
        <v>22.800922314286801</v>
      </c>
      <c r="AG343">
        <v>2.1009009999999999</v>
      </c>
      <c r="AH343">
        <v>80.743733289596307</v>
      </c>
      <c r="AI343">
        <v>88.565605369382297</v>
      </c>
      <c r="AJ343">
        <v>74.2310484468872</v>
      </c>
      <c r="AK343">
        <v>83.927625421760993</v>
      </c>
      <c r="AL343">
        <v>93.629508082002104</v>
      </c>
      <c r="AM343">
        <v>91.650573773611001</v>
      </c>
      <c r="AN343">
        <v>1.00000002992894</v>
      </c>
    </row>
    <row r="344" spans="1:40" x14ac:dyDescent="0.25">
      <c r="A344" t="str">
        <f>"20190305134916311"</f>
        <v>20190305134916311</v>
      </c>
      <c r="B344" t="str">
        <f>"1551764956301607"</f>
        <v>1551764956301607</v>
      </c>
      <c r="C344" t="s">
        <v>40</v>
      </c>
      <c r="D344">
        <v>3.961694</v>
      </c>
      <c r="E344">
        <v>0.61837730000000002</v>
      </c>
      <c r="F344" t="s">
        <v>49</v>
      </c>
      <c r="G344">
        <v>-370.21929999999998</v>
      </c>
      <c r="H344">
        <v>3.3819650000000001</v>
      </c>
      <c r="I344">
        <v>346.06779999999998</v>
      </c>
      <c r="J344">
        <v>-451.17739999999998</v>
      </c>
      <c r="K344">
        <v>1.1085989999999999</v>
      </c>
      <c r="L344">
        <v>367.55279999999999</v>
      </c>
      <c r="M344">
        <v>0.99988920000000003</v>
      </c>
      <c r="N344">
        <v>-2.9095570000000001E-3</v>
      </c>
      <c r="O344">
        <v>1.461518E-2</v>
      </c>
      <c r="P344">
        <v>0.99684660000000003</v>
      </c>
      <c r="Q344">
        <v>-6.6421389999999997E-2</v>
      </c>
      <c r="R344">
        <v>4.3423440000000001E-2</v>
      </c>
      <c r="S344">
        <v>3.0501710000000002</v>
      </c>
      <c r="T344">
        <v>8.5481760000000004E-2</v>
      </c>
      <c r="U344">
        <v>-0.80776979999999998</v>
      </c>
      <c r="V344">
        <v>-2.8852340000000001E-2</v>
      </c>
      <c r="W344">
        <v>-6.3518110000000003E-2</v>
      </c>
      <c r="X344">
        <v>0.99756350000000005</v>
      </c>
      <c r="Y344">
        <v>0.27000859999999999</v>
      </c>
      <c r="Z344">
        <v>3.7637360000000002E-3</v>
      </c>
      <c r="AA344">
        <v>0.9628506</v>
      </c>
      <c r="AB344">
        <v>27</v>
      </c>
      <c r="AC344">
        <v>80.958100000000002</v>
      </c>
      <c r="AD344">
        <v>2.27336599999999</v>
      </c>
      <c r="AE344">
        <v>-21.484999999999999</v>
      </c>
      <c r="AF344">
        <v>22.649242619652899</v>
      </c>
      <c r="AG344">
        <v>2.27336599999999</v>
      </c>
      <c r="AH344">
        <v>80.5760883491116</v>
      </c>
      <c r="AI344">
        <v>88.444156750172198</v>
      </c>
      <c r="AJ344">
        <v>74.299785401039102</v>
      </c>
      <c r="AK344">
        <v>83.729698422111298</v>
      </c>
      <c r="AL344">
        <v>93.641771350442298</v>
      </c>
      <c r="AM344">
        <v>91.656693114906702</v>
      </c>
      <c r="AN344">
        <v>0.999999972176848</v>
      </c>
    </row>
    <row r="345" spans="1:40" x14ac:dyDescent="0.25">
      <c r="A345" t="str">
        <f>"20190305134916324"</f>
        <v>20190305134916324</v>
      </c>
      <c r="B345" t="str">
        <f>"1551764956321127"</f>
        <v>1551764956321127</v>
      </c>
      <c r="C345" t="s">
        <v>40</v>
      </c>
      <c r="D345">
        <v>3.9918689999999999</v>
      </c>
      <c r="E345">
        <v>0.61818430000000002</v>
      </c>
      <c r="F345" t="s">
        <v>49</v>
      </c>
      <c r="G345">
        <v>-370.21940000000001</v>
      </c>
      <c r="H345">
        <v>3.4508559999999999</v>
      </c>
      <c r="I345">
        <v>346.17079999999999</v>
      </c>
      <c r="J345">
        <v>-451.0231</v>
      </c>
      <c r="K345">
        <v>1.1085989999999999</v>
      </c>
      <c r="L345">
        <v>367.55500000000001</v>
      </c>
      <c r="M345">
        <v>0.99988900000000003</v>
      </c>
      <c r="N345">
        <v>-2.9394949999999999E-3</v>
      </c>
      <c r="O345">
        <v>1.461615E-2</v>
      </c>
      <c r="P345">
        <v>0.99683730000000004</v>
      </c>
      <c r="Q345">
        <v>-6.6678370000000001E-2</v>
      </c>
      <c r="R345">
        <v>4.3238480000000003E-2</v>
      </c>
      <c r="S345">
        <v>3.0504760000000002</v>
      </c>
      <c r="T345">
        <v>8.8256000000000001E-2</v>
      </c>
      <c r="U345">
        <v>-0.80566409999999999</v>
      </c>
      <c r="V345">
        <v>-2.8666420000000001E-2</v>
      </c>
      <c r="W345">
        <v>-6.3745299999999894E-2</v>
      </c>
      <c r="X345">
        <v>0.99755439999999995</v>
      </c>
      <c r="Y345">
        <v>0.26935819999999999</v>
      </c>
      <c r="Z345">
        <v>3.8855069999999998E-3</v>
      </c>
      <c r="AA345">
        <v>0.9630322</v>
      </c>
      <c r="AB345">
        <v>27</v>
      </c>
      <c r="AC345">
        <v>80.803699999999907</v>
      </c>
      <c r="AD345">
        <v>2.342257</v>
      </c>
      <c r="AE345">
        <v>-21.3842</v>
      </c>
      <c r="AF345">
        <v>22.545255952900401</v>
      </c>
      <c r="AG345">
        <v>2.342257</v>
      </c>
      <c r="AH345">
        <v>80.419363042524395</v>
      </c>
      <c r="AI345">
        <v>88.393599821140498</v>
      </c>
      <c r="AJ345">
        <v>74.3393660124718</v>
      </c>
      <c r="AK345">
        <v>83.552670130889197</v>
      </c>
      <c r="AL345">
        <v>93.654814695992002</v>
      </c>
      <c r="AM345">
        <v>91.646038540836599</v>
      </c>
      <c r="AN345">
        <v>1.0000000039335299</v>
      </c>
    </row>
    <row r="346" spans="1:40" x14ac:dyDescent="0.25">
      <c r="A346" t="str">
        <f>"20190305134916341"</f>
        <v>20190305134916341</v>
      </c>
      <c r="B346" t="str">
        <f>"1551764956330887"</f>
        <v>1551764956330887</v>
      </c>
      <c r="C346" t="s">
        <v>40</v>
      </c>
      <c r="D346">
        <v>3.9881180000000001</v>
      </c>
      <c r="E346">
        <v>0.61807590000000001</v>
      </c>
      <c r="F346" t="s">
        <v>49</v>
      </c>
      <c r="G346">
        <v>-370.21940000000001</v>
      </c>
      <c r="H346">
        <v>3.5991960000000001</v>
      </c>
      <c r="I346">
        <v>346.25009999999997</v>
      </c>
      <c r="J346">
        <v>-450.80459999999999</v>
      </c>
      <c r="K346">
        <v>1.1086020000000001</v>
      </c>
      <c r="L346">
        <v>367.5582</v>
      </c>
      <c r="M346">
        <v>0.99988869999999996</v>
      </c>
      <c r="N346">
        <v>-2.9817419999999999E-3</v>
      </c>
      <c r="O346">
        <v>1.461758E-2</v>
      </c>
      <c r="P346">
        <v>0.99680559999999996</v>
      </c>
      <c r="Q346">
        <v>-6.7042690000000002E-2</v>
      </c>
      <c r="R346">
        <v>4.3403799999999999E-2</v>
      </c>
      <c r="S346">
        <v>3.0506899999999999</v>
      </c>
      <c r="T346">
        <v>9.4031210000000004E-2</v>
      </c>
      <c r="U346">
        <v>-0.80435179999999995</v>
      </c>
      <c r="V346">
        <v>-2.883088E-2</v>
      </c>
      <c r="W346">
        <v>-6.4067559999999996E-2</v>
      </c>
      <c r="X346">
        <v>0.997529</v>
      </c>
      <c r="Y346">
        <v>0.268941599999999</v>
      </c>
      <c r="Z346">
        <v>4.1523649999999999E-3</v>
      </c>
      <c r="AA346">
        <v>0.96314750000000005</v>
      </c>
      <c r="AB346">
        <v>27</v>
      </c>
      <c r="AC346">
        <v>80.585199999999901</v>
      </c>
      <c r="AD346">
        <v>2.4905940000000002</v>
      </c>
      <c r="AE346">
        <v>-21.3081</v>
      </c>
      <c r="AF346">
        <v>22.463734007140701</v>
      </c>
      <c r="AG346">
        <v>2.4905940000000002</v>
      </c>
      <c r="AH346">
        <v>80.193520413711497</v>
      </c>
      <c r="AI346">
        <v>88.287015241944601</v>
      </c>
      <c r="AJ346">
        <v>74.351427739152598</v>
      </c>
      <c r="AK346">
        <v>83.317603904341695</v>
      </c>
      <c r="AL346">
        <v>93.673316709285402</v>
      </c>
      <c r="AM346">
        <v>91.655518796813595</v>
      </c>
      <c r="AN346">
        <v>0.99999998886346397</v>
      </c>
    </row>
    <row r="347" spans="1:40" x14ac:dyDescent="0.25">
      <c r="A347" t="str">
        <f>"20190305134916353"</f>
        <v>20190305134916353</v>
      </c>
      <c r="B347" t="str">
        <f>"1551764956351383"</f>
        <v>1551764956351383</v>
      </c>
      <c r="C347" t="s">
        <v>40</v>
      </c>
      <c r="D347">
        <v>3.9892050000000001</v>
      </c>
      <c r="E347">
        <v>0.61792380000000002</v>
      </c>
      <c r="F347" t="s">
        <v>49</v>
      </c>
      <c r="G347">
        <v>-370.21940000000001</v>
      </c>
      <c r="H347">
        <v>3.6525720000000002</v>
      </c>
      <c r="I347">
        <v>346.36059999999998</v>
      </c>
      <c r="J347">
        <v>-450.65530000000001</v>
      </c>
      <c r="K347">
        <v>1.108606</v>
      </c>
      <c r="L347">
        <v>367.56040000000002</v>
      </c>
      <c r="M347">
        <v>0.99988869999999996</v>
      </c>
      <c r="N347">
        <v>-3.0105790000000002E-3</v>
      </c>
      <c r="O347">
        <v>1.461873E-2</v>
      </c>
      <c r="P347">
        <v>0.99677369999999998</v>
      </c>
      <c r="Q347">
        <v>-6.7310510000000004E-2</v>
      </c>
      <c r="R347">
        <v>4.3723659999999998E-2</v>
      </c>
      <c r="S347">
        <v>3.0509949999999999</v>
      </c>
      <c r="T347">
        <v>9.631634E-2</v>
      </c>
      <c r="U347">
        <v>-0.80255129999999997</v>
      </c>
      <c r="V347">
        <v>-2.9149600000000001E-2</v>
      </c>
      <c r="W347">
        <v>-6.4306680000000005E-2</v>
      </c>
      <c r="X347">
        <v>0.99750439999999996</v>
      </c>
      <c r="Y347">
        <v>0.2683817</v>
      </c>
      <c r="Z347">
        <v>4.2506949999999996E-3</v>
      </c>
      <c r="AA347">
        <v>0.96330329999999997</v>
      </c>
      <c r="AB347">
        <v>28</v>
      </c>
      <c r="AC347">
        <v>80.435900000000004</v>
      </c>
      <c r="AD347">
        <v>2.5439660000000002</v>
      </c>
      <c r="AE347">
        <v>-21.1998</v>
      </c>
      <c r="AF347">
        <v>22.352503951925598</v>
      </c>
      <c r="AG347">
        <v>2.5439660000000002</v>
      </c>
      <c r="AH347">
        <v>80.042524364468804</v>
      </c>
      <c r="AI347">
        <v>88.246639532062702</v>
      </c>
      <c r="AJ347">
        <v>74.397191374561004</v>
      </c>
      <c r="AK347">
        <v>83.143922824019995</v>
      </c>
      <c r="AL347">
        <v>93.687045404894604</v>
      </c>
      <c r="AM347">
        <v>91.673851149523401</v>
      </c>
      <c r="AN347">
        <v>1.0000000381460701</v>
      </c>
    </row>
    <row r="348" spans="1:40" x14ac:dyDescent="0.25">
      <c r="A348" t="str">
        <f>"20190305134916368"</f>
        <v>20190305134916368</v>
      </c>
      <c r="B348" t="str">
        <f>"1551764956361143"</f>
        <v>1551764956361143</v>
      </c>
      <c r="C348" t="s">
        <v>40</v>
      </c>
      <c r="D348">
        <v>3.9926080000000002</v>
      </c>
      <c r="E348">
        <v>0.61787530000000002</v>
      </c>
      <c r="F348" t="s">
        <v>49</v>
      </c>
      <c r="G348">
        <v>-370.21949999999998</v>
      </c>
      <c r="H348">
        <v>3.7489370000000002</v>
      </c>
      <c r="I348">
        <v>346.47120000000001</v>
      </c>
      <c r="J348">
        <v>-450.46870000000001</v>
      </c>
      <c r="K348">
        <v>1.1086069999999999</v>
      </c>
      <c r="L348">
        <v>367.56310000000002</v>
      </c>
      <c r="M348">
        <v>0.99988849999999996</v>
      </c>
      <c r="N348">
        <v>-3.0466629999999998E-3</v>
      </c>
      <c r="O348">
        <v>1.462016E-2</v>
      </c>
      <c r="P348">
        <v>0.99677519999999997</v>
      </c>
      <c r="Q348">
        <v>-6.7414509999999997E-2</v>
      </c>
      <c r="R348">
        <v>4.3527950000000003E-2</v>
      </c>
      <c r="S348">
        <v>3.0515750000000001</v>
      </c>
      <c r="T348">
        <v>0.1001693</v>
      </c>
      <c r="U348">
        <v>-0.80007930000000005</v>
      </c>
      <c r="V348">
        <v>-2.8952550000000001E-2</v>
      </c>
      <c r="W348">
        <v>-6.4374730000000005E-2</v>
      </c>
      <c r="X348">
        <v>0.99750570000000005</v>
      </c>
      <c r="Y348">
        <v>0.26759820000000001</v>
      </c>
      <c r="Z348">
        <v>4.4192069999999996E-3</v>
      </c>
      <c r="AA348">
        <v>0.9635205</v>
      </c>
      <c r="AB348">
        <v>28</v>
      </c>
      <c r="AC348">
        <v>80.249200000000002</v>
      </c>
      <c r="AD348">
        <v>2.6403300000000001</v>
      </c>
      <c r="AE348">
        <v>-21.091899999999999</v>
      </c>
      <c r="AF348">
        <v>22.2403872919385</v>
      </c>
      <c r="AG348">
        <v>2.6403300000000001</v>
      </c>
      <c r="AH348">
        <v>79.851399378429704</v>
      </c>
      <c r="AI348">
        <v>88.175567423196298</v>
      </c>
      <c r="AJ348">
        <v>74.436299767503002</v>
      </c>
      <c r="AK348">
        <v>82.932817099733299</v>
      </c>
      <c r="AL348">
        <v>93.690952660520793</v>
      </c>
      <c r="AM348">
        <v>91.662540196601896</v>
      </c>
      <c r="AN348">
        <v>0.999999988773282</v>
      </c>
    </row>
    <row r="349" spans="1:40" x14ac:dyDescent="0.25">
      <c r="A349" t="str">
        <f>"20190305134916387"</f>
        <v>20190305134916387</v>
      </c>
      <c r="B349" t="str">
        <f>"1551764956381639"</f>
        <v>1551764956381639</v>
      </c>
      <c r="C349" t="s">
        <v>40</v>
      </c>
      <c r="D349">
        <v>3.9895299999999998</v>
      </c>
      <c r="E349">
        <v>0.6177975</v>
      </c>
      <c r="F349" t="s">
        <v>49</v>
      </c>
      <c r="G349">
        <v>-370.21949999999998</v>
      </c>
      <c r="H349">
        <v>3.7779219999999998</v>
      </c>
      <c r="I349">
        <v>346.51069999999999</v>
      </c>
      <c r="J349">
        <v>-450.23610000000002</v>
      </c>
      <c r="K349">
        <v>1.108611</v>
      </c>
      <c r="L349">
        <v>367.56650000000002</v>
      </c>
      <c r="M349">
        <v>0.99988840000000001</v>
      </c>
      <c r="N349">
        <v>-3.0915640000000002E-3</v>
      </c>
      <c r="O349">
        <v>1.4622599999999999E-2</v>
      </c>
      <c r="P349">
        <v>0.99674010000000002</v>
      </c>
      <c r="Q349">
        <v>-6.7860740000000003E-2</v>
      </c>
      <c r="R349">
        <v>4.3640110000000003E-2</v>
      </c>
      <c r="S349">
        <v>3.0515439999999998</v>
      </c>
      <c r="T349">
        <v>0.10150339999999999</v>
      </c>
      <c r="U349">
        <v>-0.8005371</v>
      </c>
      <c r="V349">
        <v>-2.9062620000000001E-2</v>
      </c>
      <c r="W349">
        <v>-6.4776299999999995E-2</v>
      </c>
      <c r="X349">
        <v>0.99747649999999999</v>
      </c>
      <c r="Y349">
        <v>0.26773459999999899</v>
      </c>
      <c r="Z349">
        <v>4.479551E-3</v>
      </c>
      <c r="AA349">
        <v>0.96348230000000001</v>
      </c>
      <c r="AB349">
        <v>28</v>
      </c>
      <c r="AC349">
        <v>80.016599999999997</v>
      </c>
      <c r="AD349">
        <v>2.669311</v>
      </c>
      <c r="AE349">
        <v>-21.055800000000001</v>
      </c>
      <c r="AF349">
        <v>22.200499034313999</v>
      </c>
      <c r="AG349">
        <v>2.669311</v>
      </c>
      <c r="AH349">
        <v>79.617288361558195</v>
      </c>
      <c r="AI349">
        <v>88.150287957715705</v>
      </c>
      <c r="AJ349">
        <v>74.419393723734203</v>
      </c>
      <c r="AK349">
        <v>82.697641953291495</v>
      </c>
      <c r="AL349">
        <v>93.714009058376504</v>
      </c>
      <c r="AM349">
        <v>91.668905997113896</v>
      </c>
      <c r="AN349">
        <v>0.99999998648760202</v>
      </c>
    </row>
    <row r="350" spans="1:40" x14ac:dyDescent="0.25">
      <c r="A350" t="str">
        <f>"20190305134916400"</f>
        <v>20190305134916400</v>
      </c>
      <c r="B350" t="str">
        <f>"1551764956391399"</f>
        <v>1551764956391399</v>
      </c>
      <c r="C350" t="s">
        <v>40</v>
      </c>
      <c r="D350">
        <v>4.2404330000000003</v>
      </c>
      <c r="E350">
        <v>0.6177975</v>
      </c>
      <c r="F350" t="s">
        <v>49</v>
      </c>
      <c r="G350">
        <v>-370.21949999999998</v>
      </c>
      <c r="H350">
        <v>3.8164739999999999</v>
      </c>
      <c r="I350">
        <v>346.60599999999999</v>
      </c>
      <c r="J350">
        <v>-450.07260000000002</v>
      </c>
      <c r="K350">
        <v>1.108611</v>
      </c>
      <c r="L350">
        <v>367.56889999999999</v>
      </c>
      <c r="M350">
        <v>0.9998882</v>
      </c>
      <c r="N350">
        <v>-3.123102E-3</v>
      </c>
      <c r="O350">
        <v>1.462457E-2</v>
      </c>
      <c r="P350">
        <v>0.99667700000000004</v>
      </c>
      <c r="Q350">
        <v>-6.8876480000000004E-2</v>
      </c>
      <c r="R350">
        <v>4.3484889999999998E-2</v>
      </c>
      <c r="S350">
        <v>3.0518489999999998</v>
      </c>
      <c r="T350">
        <v>0.10327890000000001</v>
      </c>
      <c r="U350">
        <v>-0.79943850000000005</v>
      </c>
      <c r="V350">
        <v>-2.8906169999999998E-2</v>
      </c>
      <c r="W350">
        <v>-6.5760810000000003E-2</v>
      </c>
      <c r="X350">
        <v>0.99741659999999999</v>
      </c>
      <c r="Y350">
        <v>0.2673836</v>
      </c>
      <c r="Z350">
        <v>4.5551580000000001E-3</v>
      </c>
      <c r="AA350">
        <v>0.96357939999999997</v>
      </c>
      <c r="AB350">
        <v>28</v>
      </c>
      <c r="AC350">
        <v>79.853099999999998</v>
      </c>
      <c r="AD350">
        <v>2.7078630000000001</v>
      </c>
      <c r="AE350">
        <v>-20.962899999999902</v>
      </c>
      <c r="AF350">
        <v>22.104701076203501</v>
      </c>
      <c r="AG350">
        <v>2.7078630000000001</v>
      </c>
      <c r="AH350">
        <v>79.452511181807907</v>
      </c>
      <c r="AI350">
        <v>88.119398671191902</v>
      </c>
      <c r="AJ350">
        <v>74.452755146559397</v>
      </c>
      <c r="AK350">
        <v>82.514555472294603</v>
      </c>
      <c r="AL350">
        <v>93.770537954810393</v>
      </c>
      <c r="AM350">
        <v>91.6600266075652</v>
      </c>
      <c r="AN350">
        <v>0.99999996237574096</v>
      </c>
    </row>
    <row r="351" spans="1:40" x14ac:dyDescent="0.25">
      <c r="A351" t="str">
        <f>"20190305134916413"</f>
        <v>20190305134916413</v>
      </c>
      <c r="B351" t="str">
        <f>"1551764956410919"</f>
        <v>1551764956410919</v>
      </c>
      <c r="C351" t="s">
        <v>40</v>
      </c>
      <c r="D351">
        <v>4.19536</v>
      </c>
      <c r="E351">
        <v>0.58269799999999905</v>
      </c>
      <c r="F351" t="s">
        <v>49</v>
      </c>
      <c r="G351">
        <v>-370.21949999999998</v>
      </c>
      <c r="H351">
        <v>3.7340119999999999</v>
      </c>
      <c r="I351">
        <v>346.63839999999999</v>
      </c>
      <c r="J351">
        <v>-449.90379999999999</v>
      </c>
      <c r="K351">
        <v>1.1086119999999999</v>
      </c>
      <c r="L351">
        <v>367.57139999999998</v>
      </c>
      <c r="M351">
        <v>0.999888</v>
      </c>
      <c r="N351">
        <v>-3.155635E-3</v>
      </c>
      <c r="O351">
        <v>1.462667E-2</v>
      </c>
      <c r="P351">
        <v>0.99663440000000003</v>
      </c>
      <c r="Q351">
        <v>-6.9369169999999994E-2</v>
      </c>
      <c r="R351">
        <v>4.3679280000000001E-2</v>
      </c>
      <c r="S351">
        <v>3.0518489999999998</v>
      </c>
      <c r="T351">
        <v>0.1003387</v>
      </c>
      <c r="U351">
        <v>-0.79992680000000005</v>
      </c>
      <c r="V351">
        <v>-2.909933E-2</v>
      </c>
      <c r="W351">
        <v>-6.6221199999999994E-2</v>
      </c>
      <c r="X351">
        <v>0.99738059999999995</v>
      </c>
      <c r="Y351">
        <v>0.2675382</v>
      </c>
      <c r="Z351">
        <v>4.413017E-3</v>
      </c>
      <c r="AA351">
        <v>0.96353719999999998</v>
      </c>
      <c r="AB351">
        <v>28</v>
      </c>
      <c r="AC351">
        <v>79.684299999999993</v>
      </c>
      <c r="AD351">
        <v>2.6254</v>
      </c>
      <c r="AE351">
        <v>-20.933</v>
      </c>
      <c r="AF351">
        <v>22.073867320893001</v>
      </c>
      <c r="AG351">
        <v>2.6254</v>
      </c>
      <c r="AH351">
        <v>79.289079047242694</v>
      </c>
      <c r="AI351">
        <v>88.172960898846895</v>
      </c>
      <c r="AJ351">
        <v>74.442939752542998</v>
      </c>
      <c r="AK351">
        <v>82.346259173202895</v>
      </c>
      <c r="AL351">
        <v>93.796973690364794</v>
      </c>
      <c r="AM351">
        <v>91.671173435440394</v>
      </c>
      <c r="AN351">
        <v>1.00000003979612</v>
      </c>
    </row>
    <row r="352" spans="1:40" x14ac:dyDescent="0.25">
      <c r="A352" t="str">
        <f>"20190305134916431"</f>
        <v>20190305134916431</v>
      </c>
      <c r="B352" t="str">
        <f>"1551764956421656"</f>
        <v>1551764956421656</v>
      </c>
      <c r="C352" t="s">
        <v>40</v>
      </c>
      <c r="D352">
        <v>4.1957000000000004</v>
      </c>
      <c r="E352">
        <v>0.58296969999999904</v>
      </c>
      <c r="F352" t="s">
        <v>43</v>
      </c>
      <c r="G352">
        <v>-424.19420000000002</v>
      </c>
      <c r="H352">
        <v>-0.05</v>
      </c>
      <c r="I352">
        <v>363.09870000000001</v>
      </c>
      <c r="J352">
        <v>-449.67360000000002</v>
      </c>
      <c r="K352">
        <v>1.108611</v>
      </c>
      <c r="L352">
        <v>367.57479999999998</v>
      </c>
      <c r="M352">
        <v>0.999888</v>
      </c>
      <c r="N352">
        <v>-3.1999490000000001E-3</v>
      </c>
      <c r="O352">
        <v>1.462946E-2</v>
      </c>
      <c r="P352">
        <v>0.99652629999999998</v>
      </c>
      <c r="Q352">
        <v>-7.0873420000000006E-2</v>
      </c>
      <c r="R352">
        <v>4.3732269999999997E-2</v>
      </c>
      <c r="S352">
        <v>3.0237120000000002</v>
      </c>
      <c r="T352">
        <v>-0.13626460000000001</v>
      </c>
      <c r="U352">
        <v>-0.52603149999999999</v>
      </c>
      <c r="V352">
        <v>-2.9151159999999999E-2</v>
      </c>
      <c r="W352">
        <v>-6.7681599999999995E-2</v>
      </c>
      <c r="X352">
        <v>0.99728099999999997</v>
      </c>
      <c r="Y352">
        <v>0.18558050000000001</v>
      </c>
      <c r="Z352">
        <v>-5.055492E-3</v>
      </c>
      <c r="AA352">
        <v>0.98261609999999999</v>
      </c>
      <c r="AB352">
        <v>28</v>
      </c>
      <c r="AC352">
        <v>25.479399999999998</v>
      </c>
      <c r="AD352">
        <v>-1.1586110000000001</v>
      </c>
      <c r="AE352">
        <v>-4.4760999999999704</v>
      </c>
      <c r="AF352">
        <v>4.83866710447478</v>
      </c>
      <c r="AG352">
        <v>-1.1586110000000001</v>
      </c>
      <c r="AH352">
        <v>25.3603212434721</v>
      </c>
      <c r="AI352">
        <v>92.569507128958193</v>
      </c>
      <c r="AJ352">
        <v>79.197978998850104</v>
      </c>
      <c r="AK352">
        <v>25.8437801486034</v>
      </c>
      <c r="AL352">
        <v>93.880836808988505</v>
      </c>
      <c r="AM352">
        <v>91.674315442599493</v>
      </c>
      <c r="AN352">
        <v>0.99999999103445203</v>
      </c>
    </row>
    <row r="353" spans="1:40" x14ac:dyDescent="0.25">
      <c r="A353" t="str">
        <f>"20190305134916447"</f>
        <v>20190305134916447</v>
      </c>
      <c r="B353" t="str">
        <f>"1551764956441175"</f>
        <v>1551764956441175</v>
      </c>
      <c r="C353" t="s">
        <v>40</v>
      </c>
      <c r="D353">
        <v>3.9921570000000002</v>
      </c>
      <c r="E353">
        <v>0.58632399999999996</v>
      </c>
      <c r="F353" t="s">
        <v>43</v>
      </c>
      <c r="G353">
        <v>-423.71600000000001</v>
      </c>
      <c r="H353">
        <v>-0.05</v>
      </c>
      <c r="I353">
        <v>363.04140000000001</v>
      </c>
      <c r="J353">
        <v>-449.47649999999999</v>
      </c>
      <c r="K353">
        <v>1.1086119999999999</v>
      </c>
      <c r="L353">
        <v>367.57769999999999</v>
      </c>
      <c r="M353">
        <v>0.99988779999999999</v>
      </c>
      <c r="N353">
        <v>-3.2380299999999998E-3</v>
      </c>
      <c r="O353">
        <v>1.463208E-2</v>
      </c>
      <c r="P353">
        <v>0.99649140000000003</v>
      </c>
      <c r="Q353">
        <v>-7.1255209999999999E-2</v>
      </c>
      <c r="R353">
        <v>4.3909759999999999E-2</v>
      </c>
      <c r="S353">
        <v>3.0240779999999998</v>
      </c>
      <c r="T353">
        <v>-0.13497870000000001</v>
      </c>
      <c r="U353">
        <v>-0.52813719999999997</v>
      </c>
      <c r="V353">
        <v>-2.9326890000000001E-2</v>
      </c>
      <c r="W353">
        <v>-6.8025489999999994E-2</v>
      </c>
      <c r="X353">
        <v>0.99725249999999999</v>
      </c>
      <c r="Y353">
        <v>0.18623010000000001</v>
      </c>
      <c r="Z353">
        <v>-5.0279410000000002E-3</v>
      </c>
      <c r="AA353">
        <v>0.98249330000000001</v>
      </c>
      <c r="AB353">
        <v>28</v>
      </c>
      <c r="AC353">
        <v>25.760499999999901</v>
      </c>
      <c r="AD353">
        <v>-1.158612</v>
      </c>
      <c r="AE353">
        <v>-4.5362999999999802</v>
      </c>
      <c r="AF353">
        <v>4.9031259378631296</v>
      </c>
      <c r="AG353">
        <v>-1.158612</v>
      </c>
      <c r="AH353">
        <v>25.6410579186809</v>
      </c>
      <c r="AI353">
        <v>92.541214866537004</v>
      </c>
      <c r="AJ353">
        <v>79.174490324917301</v>
      </c>
      <c r="AK353">
        <v>26.131338980584999</v>
      </c>
      <c r="AL353">
        <v>93.900585574245497</v>
      </c>
      <c r="AM353">
        <v>91.684450920055497</v>
      </c>
      <c r="AN353">
        <v>1.00000004126153</v>
      </c>
    </row>
    <row r="354" spans="1:40" x14ac:dyDescent="0.25">
      <c r="A354" t="str">
        <f>"20190305134916466"</f>
        <v>20190305134916466</v>
      </c>
      <c r="B354" t="str">
        <f>"1551764956461671"</f>
        <v>1551764956461671</v>
      </c>
      <c r="C354" t="s">
        <v>40</v>
      </c>
      <c r="D354">
        <v>4.2095229999999999</v>
      </c>
      <c r="E354">
        <v>0.58796369999999998</v>
      </c>
      <c r="F354" t="s">
        <v>43</v>
      </c>
      <c r="G354">
        <v>-410.23540000000003</v>
      </c>
      <c r="H354">
        <v>-0.05</v>
      </c>
      <c r="I354">
        <v>360.4117</v>
      </c>
      <c r="J354">
        <v>-449.23660000000001</v>
      </c>
      <c r="K354">
        <v>1.108614</v>
      </c>
      <c r="L354">
        <v>367.58109999999999</v>
      </c>
      <c r="M354">
        <v>0.99988750000000004</v>
      </c>
      <c r="N354">
        <v>-3.2843350000000002E-3</v>
      </c>
      <c r="O354">
        <v>1.463534E-2</v>
      </c>
      <c r="P354">
        <v>0.9965311</v>
      </c>
      <c r="Q354">
        <v>-7.1040370000000005E-2</v>
      </c>
      <c r="R354">
        <v>4.334499E-2</v>
      </c>
      <c r="S354">
        <v>3.0285030000000002</v>
      </c>
      <c r="T354">
        <v>-8.9417819999999995E-2</v>
      </c>
      <c r="U354">
        <v>-0.55303959999999996</v>
      </c>
      <c r="V354">
        <v>-2.8758200000000001E-2</v>
      </c>
      <c r="W354">
        <v>-6.7764409999999997E-2</v>
      </c>
      <c r="X354">
        <v>0.99728680000000003</v>
      </c>
      <c r="Y354">
        <v>0.19392290000000001</v>
      </c>
      <c r="Z354">
        <v>-3.5408480000000001E-3</v>
      </c>
      <c r="AA354">
        <v>0.98101039999999995</v>
      </c>
      <c r="AB354">
        <v>28</v>
      </c>
      <c r="AC354">
        <v>39.001199999999898</v>
      </c>
      <c r="AD354">
        <v>-1.158614</v>
      </c>
      <c r="AE354">
        <v>-7.1693999999999898</v>
      </c>
      <c r="AF354">
        <v>7.7328297725392998</v>
      </c>
      <c r="AG354">
        <v>-1.158614</v>
      </c>
      <c r="AH354">
        <v>38.8589230763234</v>
      </c>
      <c r="AI354">
        <v>91.674995939345607</v>
      </c>
      <c r="AJ354">
        <v>78.7453062433366</v>
      </c>
      <c r="AK354">
        <v>39.637796928483397</v>
      </c>
      <c r="AL354">
        <v>93.885592334706203</v>
      </c>
      <c r="AM354">
        <v>91.651748522100206</v>
      </c>
      <c r="AN354">
        <v>1.0000000053920599</v>
      </c>
    </row>
    <row r="355" spans="1:40" x14ac:dyDescent="0.25">
      <c r="A355" t="str">
        <f>"20190305134916487"</f>
        <v>20190305134916487</v>
      </c>
      <c r="B355" t="str">
        <f>"1551764956481190"</f>
        <v>1551764956481190</v>
      </c>
      <c r="C355" t="s">
        <v>40</v>
      </c>
      <c r="D355">
        <v>4.1518750000000004</v>
      </c>
      <c r="E355">
        <v>0.58704889999999998</v>
      </c>
      <c r="F355" t="s">
        <v>42</v>
      </c>
      <c r="G355">
        <v>-397.30009999999999</v>
      </c>
      <c r="H355">
        <v>7.998624E-2</v>
      </c>
      <c r="I355">
        <v>357.86770000000001</v>
      </c>
      <c r="J355">
        <v>-448.96300000000002</v>
      </c>
      <c r="K355">
        <v>1.108609</v>
      </c>
      <c r="L355">
        <v>367.58510000000001</v>
      </c>
      <c r="M355">
        <v>0.99988730000000003</v>
      </c>
      <c r="N355">
        <v>-3.337207E-3</v>
      </c>
      <c r="O355">
        <v>1.463912E-2</v>
      </c>
      <c r="P355">
        <v>0.99666659999999996</v>
      </c>
      <c r="Q355">
        <v>-6.9992620000000005E-2</v>
      </c>
      <c r="R355">
        <v>4.1915550000000003E-2</v>
      </c>
      <c r="S355">
        <v>3.0308229999999998</v>
      </c>
      <c r="T355">
        <v>-6.0026879999999998E-2</v>
      </c>
      <c r="U355">
        <v>-0.56683349999999999</v>
      </c>
      <c r="V355">
        <v>-2.7322630000000001E-2</v>
      </c>
      <c r="W355">
        <v>-6.6663600000000003E-2</v>
      </c>
      <c r="X355">
        <v>0.99740139999999999</v>
      </c>
      <c r="Y355">
        <v>0.19815959999999999</v>
      </c>
      <c r="Z355">
        <v>-2.5178900000000001E-3</v>
      </c>
      <c r="AA355">
        <v>0.9801666</v>
      </c>
      <c r="AB355">
        <v>28</v>
      </c>
      <c r="AC355">
        <v>51.6629</v>
      </c>
      <c r="AD355">
        <v>-1.02862276</v>
      </c>
      <c r="AE355">
        <v>-9.7173999999999907</v>
      </c>
      <c r="AF355">
        <v>10.468654107007</v>
      </c>
      <c r="AG355">
        <v>-1.02862276</v>
      </c>
      <c r="AH355">
        <v>51.495392662725003</v>
      </c>
      <c r="AI355">
        <v>91.121401528590994</v>
      </c>
      <c r="AJ355">
        <v>78.508763342138593</v>
      </c>
      <c r="AK355">
        <v>52.558788504709398</v>
      </c>
      <c r="AL355">
        <v>93.822377411509393</v>
      </c>
      <c r="AM355">
        <v>91.569157585716198</v>
      </c>
      <c r="AN355">
        <v>1.0000000571985099</v>
      </c>
    </row>
    <row r="356" spans="1:40" x14ac:dyDescent="0.25">
      <c r="A356" t="str">
        <f>"20190305134916499"</f>
        <v>20190305134916499</v>
      </c>
      <c r="B356" t="str">
        <f>"1551764956490951"</f>
        <v>1551764956490951</v>
      </c>
      <c r="C356" t="s">
        <v>40</v>
      </c>
      <c r="D356">
        <v>4.1780049999999997</v>
      </c>
      <c r="E356">
        <v>0.58628610000000003</v>
      </c>
      <c r="F356" t="s">
        <v>42</v>
      </c>
      <c r="G356">
        <v>-398.36430000000001</v>
      </c>
      <c r="H356">
        <v>7.9985909999999993E-2</v>
      </c>
      <c r="I356">
        <v>358.15929999999997</v>
      </c>
      <c r="J356">
        <v>-448.80020000000002</v>
      </c>
      <c r="K356">
        <v>1.1086100000000001</v>
      </c>
      <c r="L356">
        <v>367.58749999999998</v>
      </c>
      <c r="M356">
        <v>0.99988710000000003</v>
      </c>
      <c r="N356">
        <v>-3.3685820000000002E-3</v>
      </c>
      <c r="O356">
        <v>1.464121E-2</v>
      </c>
      <c r="P356">
        <v>0.99673719999999999</v>
      </c>
      <c r="Q356">
        <v>-6.9652499999999895E-2</v>
      </c>
      <c r="R356">
        <v>4.0786030000000001E-2</v>
      </c>
      <c r="S356">
        <v>3.0294189999999999</v>
      </c>
      <c r="T356">
        <v>-6.1585069999999999E-2</v>
      </c>
      <c r="U356">
        <v>-0.56433109999999997</v>
      </c>
      <c r="V356">
        <v>-2.618991E-2</v>
      </c>
      <c r="W356">
        <v>-6.6292030000000002E-2</v>
      </c>
      <c r="X356">
        <v>0.99745649999999997</v>
      </c>
      <c r="Y356">
        <v>0.1974591</v>
      </c>
      <c r="Z356">
        <v>-2.5714969999999998E-3</v>
      </c>
      <c r="AA356">
        <v>0.98030779999999995</v>
      </c>
      <c r="AB356">
        <v>29</v>
      </c>
      <c r="AC356">
        <v>50.435899999999997</v>
      </c>
      <c r="AD356">
        <v>-1.0286240900000001</v>
      </c>
      <c r="AE356">
        <v>-9.4282000000000004</v>
      </c>
      <c r="AF356">
        <v>10.161552300394</v>
      </c>
      <c r="AG356">
        <v>-1.0286240900000001</v>
      </c>
      <c r="AH356">
        <v>50.272248396948498</v>
      </c>
      <c r="AI356">
        <v>91.148939926329902</v>
      </c>
      <c r="AJ356">
        <v>78.572744682317406</v>
      </c>
      <c r="AK356">
        <v>51.2992609260276</v>
      </c>
      <c r="AL356">
        <v>93.801041012264506</v>
      </c>
      <c r="AM356">
        <v>91.504052169816205</v>
      </c>
      <c r="AN356">
        <v>1.0000000070097801</v>
      </c>
    </row>
    <row r="357" spans="1:40" x14ac:dyDescent="0.25">
      <c r="A357" t="str">
        <f>"20190305134916511"</f>
        <v>20190305134916511</v>
      </c>
      <c r="B357" t="str">
        <f>"1551764956501688"</f>
        <v>1551764956501688</v>
      </c>
      <c r="C357" t="s">
        <v>40</v>
      </c>
      <c r="D357">
        <v>4.1610760000000004</v>
      </c>
      <c r="E357">
        <v>0.585623</v>
      </c>
      <c r="F357" t="s">
        <v>43</v>
      </c>
      <c r="G357">
        <v>-397.85840000000002</v>
      </c>
      <c r="H357">
        <v>-0.05</v>
      </c>
      <c r="I357">
        <v>358.1354</v>
      </c>
      <c r="J357">
        <v>-448.65190000000001</v>
      </c>
      <c r="K357">
        <v>1.108609</v>
      </c>
      <c r="L357">
        <v>367.58969999999999</v>
      </c>
      <c r="M357">
        <v>0.99988710000000003</v>
      </c>
      <c r="N357">
        <v>-3.3971539999999999E-3</v>
      </c>
      <c r="O357">
        <v>1.464301E-2</v>
      </c>
      <c r="P357">
        <v>0.99680749999999996</v>
      </c>
      <c r="Q357">
        <v>-6.9191939999999993E-2</v>
      </c>
      <c r="R357">
        <v>3.9843240000000002E-2</v>
      </c>
      <c r="S357">
        <v>3.0279539999999998</v>
      </c>
      <c r="T357">
        <v>-6.8867209999999998E-2</v>
      </c>
      <c r="U357">
        <v>-0.56182860000000001</v>
      </c>
      <c r="V357">
        <v>-2.5244699999999998E-2</v>
      </c>
      <c r="W357">
        <v>-6.5802780000000005E-2</v>
      </c>
      <c r="X357">
        <v>0.99751319999999999</v>
      </c>
      <c r="Y357">
        <v>0.19675190000000001</v>
      </c>
      <c r="Z357">
        <v>-2.8362840000000001E-3</v>
      </c>
      <c r="AA357">
        <v>0.98044920000000002</v>
      </c>
      <c r="AB357">
        <v>29</v>
      </c>
      <c r="AC357">
        <v>50.793500000000002</v>
      </c>
      <c r="AD357">
        <v>-1.158609</v>
      </c>
      <c r="AE357">
        <v>-9.4542999999999893</v>
      </c>
      <c r="AF357">
        <v>10.1919349653114</v>
      </c>
      <c r="AG357">
        <v>-1.158609</v>
      </c>
      <c r="AH357">
        <v>50.624155959230002</v>
      </c>
      <c r="AI357">
        <v>91.285290104529395</v>
      </c>
      <c r="AJ357">
        <v>78.617060019836003</v>
      </c>
      <c r="AK357">
        <v>51.652909692837802</v>
      </c>
      <c r="AL357">
        <v>93.772947953857795</v>
      </c>
      <c r="AM357">
        <v>91.449711227397302</v>
      </c>
      <c r="AN357">
        <v>0.99999994245402701</v>
      </c>
    </row>
    <row r="358" spans="1:40" x14ac:dyDescent="0.25">
      <c r="A358" t="str">
        <f>"20190305134916525"</f>
        <v>20190305134916525</v>
      </c>
      <c r="B358" t="str">
        <f>"1551764956521207"</f>
        <v>1551764956521207</v>
      </c>
      <c r="C358" t="s">
        <v>40</v>
      </c>
      <c r="D358">
        <v>4.1754619999999996</v>
      </c>
      <c r="E358">
        <v>0.58514540000000004</v>
      </c>
      <c r="F358" t="s">
        <v>43</v>
      </c>
      <c r="G358">
        <v>-402.1404</v>
      </c>
      <c r="H358">
        <v>-0.05</v>
      </c>
      <c r="I358">
        <v>358.99329999999998</v>
      </c>
      <c r="J358">
        <v>-448.47949999999997</v>
      </c>
      <c r="K358">
        <v>1.108611</v>
      </c>
      <c r="L358">
        <v>367.59219999999999</v>
      </c>
      <c r="M358">
        <v>0.99988690000000002</v>
      </c>
      <c r="N358">
        <v>-3.4304679999999999E-3</v>
      </c>
      <c r="O358">
        <v>1.464528E-2</v>
      </c>
      <c r="P358">
        <v>0.99690820000000002</v>
      </c>
      <c r="Q358">
        <v>-6.8589479999999994E-2</v>
      </c>
      <c r="R358">
        <v>3.8334210000000001E-2</v>
      </c>
      <c r="S358">
        <v>3.026764</v>
      </c>
      <c r="T358">
        <v>-7.5397130000000007E-2</v>
      </c>
      <c r="U358">
        <v>-0.55941770000000002</v>
      </c>
      <c r="V358">
        <v>-2.373215E-2</v>
      </c>
      <c r="W358">
        <v>-6.5166909999999995E-2</v>
      </c>
      <c r="X358">
        <v>0.99759219999999904</v>
      </c>
      <c r="Y358">
        <v>0.19605710000000001</v>
      </c>
      <c r="Z358">
        <v>-3.0722140000000002E-3</v>
      </c>
      <c r="AA358">
        <v>0.98058769999999995</v>
      </c>
      <c r="AB358">
        <v>29</v>
      </c>
      <c r="AC358">
        <v>46.339099999999902</v>
      </c>
      <c r="AD358">
        <v>-1.1586110000000001</v>
      </c>
      <c r="AE358">
        <v>-8.5989000000000093</v>
      </c>
      <c r="AF358">
        <v>9.2710280412763399</v>
      </c>
      <c r="AG358">
        <v>-1.1586110000000001</v>
      </c>
      <c r="AH358">
        <v>46.180287807216096</v>
      </c>
      <c r="AI358">
        <v>91.409081296635506</v>
      </c>
      <c r="AJ358">
        <v>78.648354573359299</v>
      </c>
      <c r="AK358">
        <v>47.115956133233297</v>
      </c>
      <c r="AL358">
        <v>93.736436440567601</v>
      </c>
      <c r="AM358">
        <v>91.362776903742699</v>
      </c>
      <c r="AN358">
        <v>1.0000000693016999</v>
      </c>
    </row>
    <row r="359" spans="1:40" x14ac:dyDescent="0.25">
      <c r="A359" t="str">
        <f>"20190305134916537"</f>
        <v>20190305134916537</v>
      </c>
      <c r="B359" t="str">
        <f>"1551764956530967"</f>
        <v>1551764956530967</v>
      </c>
      <c r="C359" t="s">
        <v>40</v>
      </c>
      <c r="D359">
        <v>4.2422680000000001</v>
      </c>
      <c r="E359">
        <v>0.58568489999999995</v>
      </c>
      <c r="F359" t="s">
        <v>43</v>
      </c>
      <c r="G359">
        <v>-406.37979999999999</v>
      </c>
      <c r="H359">
        <v>-0.05</v>
      </c>
      <c r="I359">
        <v>359.78809999999999</v>
      </c>
      <c r="J359">
        <v>-448.31439999999998</v>
      </c>
      <c r="K359">
        <v>1.1086129999999901</v>
      </c>
      <c r="L359">
        <v>367.59460000000001</v>
      </c>
      <c r="M359">
        <v>0.99988679999999996</v>
      </c>
      <c r="N359">
        <v>-3.4623369999999998E-3</v>
      </c>
      <c r="O359">
        <v>1.4647250000000001E-2</v>
      </c>
      <c r="P359">
        <v>0.99700029999999995</v>
      </c>
      <c r="Q359">
        <v>-6.8082009999999998E-2</v>
      </c>
      <c r="R359">
        <v>3.6814760000000002E-2</v>
      </c>
      <c r="S359">
        <v>3.0252080000000001</v>
      </c>
      <c r="T359">
        <v>-8.325565E-2</v>
      </c>
      <c r="U359">
        <v>-0.56079100000000004</v>
      </c>
      <c r="V359">
        <v>-2.220927E-2</v>
      </c>
      <c r="W359">
        <v>-6.4627450000000003E-2</v>
      </c>
      <c r="X359">
        <v>0.9976623</v>
      </c>
      <c r="Y359">
        <v>0.19656460000000001</v>
      </c>
      <c r="Z359">
        <v>-3.3741700000000001E-3</v>
      </c>
      <c r="AA359">
        <v>0.9804851</v>
      </c>
      <c r="AB359">
        <v>29</v>
      </c>
      <c r="AC359">
        <v>41.934599999999897</v>
      </c>
      <c r="AD359">
        <v>-1.1586129999999999</v>
      </c>
      <c r="AE359">
        <v>-7.8065000000000202</v>
      </c>
      <c r="AF359">
        <v>8.41368516072734</v>
      </c>
      <c r="AG359">
        <v>-1.1586129999999999</v>
      </c>
      <c r="AH359">
        <v>41.784928162608502</v>
      </c>
      <c r="AI359">
        <v>91.557055475530007</v>
      </c>
      <c r="AJ359">
        <v>78.615330550586293</v>
      </c>
      <c r="AK359">
        <v>42.6393328233682</v>
      </c>
      <c r="AL359">
        <v>93.705462579393796</v>
      </c>
      <c r="AM359">
        <v>91.275268492573602</v>
      </c>
      <c r="AN359">
        <v>1.0000000119043599</v>
      </c>
    </row>
    <row r="360" spans="1:40" x14ac:dyDescent="0.25">
      <c r="A360" t="str">
        <f>"20190305134916553"</f>
        <v>20190305134916553</v>
      </c>
      <c r="B360" t="str">
        <f>"1551764956551463"</f>
        <v>1551764956551463</v>
      </c>
      <c r="C360" t="s">
        <v>40</v>
      </c>
      <c r="D360">
        <v>3.9401670000000002</v>
      </c>
      <c r="E360">
        <v>0.63507460000000004</v>
      </c>
      <c r="F360" t="s">
        <v>43</v>
      </c>
      <c r="G360">
        <v>-403.55680000000001</v>
      </c>
      <c r="H360">
        <v>-0.05</v>
      </c>
      <c r="I360">
        <v>359.16860000000003</v>
      </c>
      <c r="J360">
        <v>-448.10359999999997</v>
      </c>
      <c r="K360">
        <v>1.108617</v>
      </c>
      <c r="L360">
        <v>367.59769999999997</v>
      </c>
      <c r="M360">
        <v>0.99988650000000001</v>
      </c>
      <c r="N360">
        <v>-3.502977E-3</v>
      </c>
      <c r="O360">
        <v>1.4649499999999999E-2</v>
      </c>
      <c r="P360">
        <v>0.99715640000000005</v>
      </c>
      <c r="Q360">
        <v>-6.7774879999999996E-2</v>
      </c>
      <c r="R360">
        <v>3.2945960000000003E-2</v>
      </c>
      <c r="S360">
        <v>3.0247190000000002</v>
      </c>
      <c r="T360">
        <v>-7.8299049999999995E-2</v>
      </c>
      <c r="U360">
        <v>-0.56942749999999998</v>
      </c>
      <c r="V360">
        <v>-1.8336660000000001E-2</v>
      </c>
      <c r="W360">
        <v>-6.4279530000000001E-2</v>
      </c>
      <c r="X360">
        <v>0.99776350000000003</v>
      </c>
      <c r="Y360">
        <v>0.19930790000000001</v>
      </c>
      <c r="Z360">
        <v>-3.2341240000000001E-3</v>
      </c>
      <c r="AA360">
        <v>0.97993160000000001</v>
      </c>
      <c r="AB360">
        <v>29</v>
      </c>
      <c r="AC360">
        <v>44.546799999999898</v>
      </c>
      <c r="AD360">
        <v>-1.158617</v>
      </c>
      <c r="AE360">
        <v>-8.4290999999999396</v>
      </c>
      <c r="AF360">
        <v>9.07486120108174</v>
      </c>
      <c r="AG360">
        <v>-1.158617</v>
      </c>
      <c r="AH360">
        <v>44.389546656003603</v>
      </c>
      <c r="AI360">
        <v>91.464860134894394</v>
      </c>
      <c r="AJ360">
        <v>78.445839410726904</v>
      </c>
      <c r="AK360">
        <v>45.322481744682896</v>
      </c>
      <c r="AL360">
        <v>93.685486568614607</v>
      </c>
      <c r="AM360">
        <v>91.052849671836697</v>
      </c>
      <c r="AN360">
        <v>1.0000000465046099</v>
      </c>
    </row>
    <row r="361" spans="1:40" x14ac:dyDescent="0.25">
      <c r="A361" t="str">
        <f>"20190305134916566"</f>
        <v>20190305134916566</v>
      </c>
      <c r="B361" t="str">
        <f>"1551764956561223"</f>
        <v>1551764956561223</v>
      </c>
      <c r="C361" t="s">
        <v>40</v>
      </c>
      <c r="D361">
        <v>3.8856389999999998</v>
      </c>
      <c r="E361">
        <v>0.63507460000000004</v>
      </c>
      <c r="F361" t="s">
        <v>51</v>
      </c>
      <c r="G361">
        <v>-368.03910000000002</v>
      </c>
      <c r="H361">
        <v>7.7922979999999997</v>
      </c>
      <c r="I361">
        <v>342.29379999999998</v>
      </c>
      <c r="J361">
        <v>-447.9443</v>
      </c>
      <c r="K361">
        <v>1.1086229999999999</v>
      </c>
      <c r="L361">
        <v>367.6001</v>
      </c>
      <c r="M361">
        <v>0.99988659999999996</v>
      </c>
      <c r="N361">
        <v>-3.5336360000000002E-3</v>
      </c>
      <c r="O361">
        <v>1.465081E-2</v>
      </c>
      <c r="P361">
        <v>0.99722829999999996</v>
      </c>
      <c r="Q361">
        <v>-6.791374E-2</v>
      </c>
      <c r="R361">
        <v>3.0396989999999999E-2</v>
      </c>
      <c r="S361">
        <v>3.0577999999999999</v>
      </c>
      <c r="T361">
        <v>0.25526140000000003</v>
      </c>
      <c r="U361">
        <v>-0.96640009999999998</v>
      </c>
      <c r="V361">
        <v>-1.578589E-2</v>
      </c>
      <c r="W361">
        <v>-6.4387730000000004E-2</v>
      </c>
      <c r="X361">
        <v>0.99780009999999997</v>
      </c>
      <c r="Y361">
        <v>0.3142894</v>
      </c>
      <c r="Z361">
        <v>1.345909E-2</v>
      </c>
      <c r="AA361">
        <v>0.94923179999999996</v>
      </c>
      <c r="AB361">
        <v>29</v>
      </c>
      <c r="AC361">
        <v>79.905199999999894</v>
      </c>
      <c r="AD361">
        <v>6.683675</v>
      </c>
      <c r="AE361">
        <v>-25.3063</v>
      </c>
      <c r="AF361">
        <v>26.3069884247363</v>
      </c>
      <c r="AG361">
        <v>6.683675</v>
      </c>
      <c r="AH361">
        <v>79.023377143528194</v>
      </c>
      <c r="AI361">
        <v>85.411928160195401</v>
      </c>
      <c r="AJ361">
        <v>71.587330134306697</v>
      </c>
      <c r="AK361">
        <v>83.554911804472198</v>
      </c>
      <c r="AL361">
        <v>93.6916989874005</v>
      </c>
      <c r="AM361">
        <v>90.906383376159496</v>
      </c>
      <c r="AN361">
        <v>1.00000000682882</v>
      </c>
    </row>
    <row r="362" spans="1:40" x14ac:dyDescent="0.25">
      <c r="A362" t="str">
        <f>"20190305134916577"</f>
        <v>20190305134916577</v>
      </c>
      <c r="B362" t="str">
        <f>"1551764956570984"</f>
        <v>1551764956570984</v>
      </c>
      <c r="C362" t="s">
        <v>40</v>
      </c>
      <c r="D362">
        <v>4.2613629999999896</v>
      </c>
      <c r="E362">
        <v>0.73409250000000004</v>
      </c>
      <c r="F362" t="s">
        <v>51</v>
      </c>
      <c r="G362">
        <v>-368.31009999999998</v>
      </c>
      <c r="H362">
        <v>7.771992</v>
      </c>
      <c r="I362">
        <v>342.2174</v>
      </c>
      <c r="J362">
        <v>-447.78449999999998</v>
      </c>
      <c r="K362">
        <v>1.1086339999999999</v>
      </c>
      <c r="L362">
        <v>367.60239999999999</v>
      </c>
      <c r="M362">
        <v>0.99988639999999995</v>
      </c>
      <c r="N362">
        <v>-3.564266E-3</v>
      </c>
      <c r="O362">
        <v>1.4651890000000001E-2</v>
      </c>
      <c r="P362">
        <v>0.9973398</v>
      </c>
      <c r="Q362">
        <v>-6.7442379999999996E-2</v>
      </c>
      <c r="R362">
        <v>2.7662989999999998E-2</v>
      </c>
      <c r="S362">
        <v>3.0553889999999999</v>
      </c>
      <c r="T362">
        <v>0.25565890000000002</v>
      </c>
      <c r="U362">
        <v>-0.97387699999999999</v>
      </c>
      <c r="V362">
        <v>-1.304952E-2</v>
      </c>
      <c r="W362">
        <v>-6.3885650000000002E-2</v>
      </c>
      <c r="X362">
        <v>0.99787190000000003</v>
      </c>
      <c r="Y362">
        <v>0.31660440000000001</v>
      </c>
      <c r="Z362">
        <v>1.3571740000000001E-2</v>
      </c>
      <c r="AA362">
        <v>0.94846059999999999</v>
      </c>
      <c r="AB362">
        <v>29</v>
      </c>
      <c r="AC362">
        <v>79.474400000000003</v>
      </c>
      <c r="AD362">
        <v>6.6633579999999997</v>
      </c>
      <c r="AE362">
        <v>-25.384999999999899</v>
      </c>
      <c r="AF362">
        <v>26.3784687293319</v>
      </c>
      <c r="AG362">
        <v>6.6633579999999997</v>
      </c>
      <c r="AH362">
        <v>78.592599431425398</v>
      </c>
      <c r="AI362">
        <v>85.404614349782193</v>
      </c>
      <c r="AJ362">
        <v>71.446417767503107</v>
      </c>
      <c r="AK362">
        <v>83.168627725416897</v>
      </c>
      <c r="AL362">
        <v>93.662872606380901</v>
      </c>
      <c r="AM362">
        <v>90.749234248293305</v>
      </c>
      <c r="AN362">
        <v>0.99999999752888102</v>
      </c>
    </row>
    <row r="363" spans="1:40" x14ac:dyDescent="0.25">
      <c r="A363" t="str">
        <f>"20190305134916621"</f>
        <v>20190305134916621</v>
      </c>
      <c r="B363" t="str">
        <f>"1551764956610999"</f>
        <v>1551764956610999</v>
      </c>
      <c r="C363" t="s">
        <v>40</v>
      </c>
      <c r="D363">
        <v>4.3391289999999998</v>
      </c>
      <c r="E363">
        <v>0.73608339999999906</v>
      </c>
      <c r="F363" t="s">
        <v>48</v>
      </c>
      <c r="G363">
        <v>-358.9794</v>
      </c>
      <c r="H363">
        <v>26.84552</v>
      </c>
      <c r="I363">
        <v>317.62869999999998</v>
      </c>
      <c r="J363">
        <v>-447.2045</v>
      </c>
      <c r="K363">
        <v>1.1086879999999999</v>
      </c>
      <c r="L363">
        <v>367.61090000000002</v>
      </c>
      <c r="M363">
        <v>0.99988600000000005</v>
      </c>
      <c r="N363">
        <v>-3.6754880000000002E-3</v>
      </c>
      <c r="O363">
        <v>1.465436E-2</v>
      </c>
      <c r="P363">
        <v>0.99817829999999996</v>
      </c>
      <c r="Q363">
        <v>-5.9245329999999999E-2</v>
      </c>
      <c r="R363">
        <v>1.1414280000000001E-2</v>
      </c>
      <c r="S363">
        <v>3.117737</v>
      </c>
      <c r="T363">
        <v>0.90356110000000001</v>
      </c>
      <c r="U363">
        <v>-1.754456</v>
      </c>
      <c r="V363">
        <v>3.212679E-3</v>
      </c>
      <c r="W363">
        <v>-5.557604E-2</v>
      </c>
      <c r="X363">
        <v>0.99844929999999998</v>
      </c>
      <c r="Y363">
        <v>0.4875641</v>
      </c>
      <c r="Z363">
        <v>6.7685770000000006E-2</v>
      </c>
      <c r="AA363">
        <v>0.8704596</v>
      </c>
      <c r="AB363">
        <v>29</v>
      </c>
      <c r="AC363">
        <v>88.225099999999998</v>
      </c>
      <c r="AD363">
        <v>25.736832</v>
      </c>
      <c r="AE363">
        <v>-49.982199999999999</v>
      </c>
      <c r="AF363">
        <v>48.166706188984499</v>
      </c>
      <c r="AG363">
        <v>25.736832</v>
      </c>
      <c r="AH363">
        <v>82.188386425284904</v>
      </c>
      <c r="AI363">
        <v>74.881494739331004</v>
      </c>
      <c r="AJ363">
        <v>59.627459882329298</v>
      </c>
      <c r="AK363">
        <v>98.677996380571798</v>
      </c>
      <c r="AL363">
        <v>93.185913989631302</v>
      </c>
      <c r="AM363">
        <v>89.815641803369999</v>
      </c>
      <c r="AN363">
        <v>1.00000001109946</v>
      </c>
    </row>
    <row r="364" spans="1:40" x14ac:dyDescent="0.25">
      <c r="A364" t="str">
        <f>"20190305134916723"</f>
        <v>20190305134916723</v>
      </c>
      <c r="B364" t="str">
        <f>"1551764956711528"</f>
        <v>1551764956711528</v>
      </c>
      <c r="C364" t="s">
        <v>40</v>
      </c>
      <c r="D364">
        <v>4.4083959999999998</v>
      </c>
      <c r="E364">
        <v>0.73608339999999906</v>
      </c>
      <c r="F364" t="s">
        <v>52</v>
      </c>
      <c r="G364">
        <v>-388.62860000000001</v>
      </c>
      <c r="H364">
        <v>17.101800000000001</v>
      </c>
      <c r="I364">
        <v>333.00490000000002</v>
      </c>
      <c r="J364">
        <v>-445.8415</v>
      </c>
      <c r="K364">
        <v>1.1086609999999999</v>
      </c>
      <c r="L364">
        <v>367.63049999999998</v>
      </c>
      <c r="M364">
        <v>0.99988880000000002</v>
      </c>
      <c r="N364">
        <v>-3.9357769999999997E-3</v>
      </c>
      <c r="O364">
        <v>1.439022E-2</v>
      </c>
      <c r="P364">
        <v>0.99865009999999999</v>
      </c>
      <c r="Q364">
        <v>-5.1879620000000001E-2</v>
      </c>
      <c r="R364">
        <v>-2.590452E-3</v>
      </c>
      <c r="S364">
        <v>3.0761409999999998</v>
      </c>
      <c r="T364">
        <v>0.83989159999999996</v>
      </c>
      <c r="U364">
        <v>-1.8173520000000001</v>
      </c>
      <c r="V364">
        <v>1.6949490000000001E-2</v>
      </c>
      <c r="W364">
        <v>-4.7953410000000002E-2</v>
      </c>
      <c r="X364">
        <v>0.99870570000000003</v>
      </c>
      <c r="Y364">
        <v>0.50699110000000003</v>
      </c>
      <c r="Z364">
        <v>6.567038E-2</v>
      </c>
      <c r="AA364">
        <v>0.85944599999999904</v>
      </c>
      <c r="AB364">
        <v>30</v>
      </c>
      <c r="AC364">
        <v>57.212899999999898</v>
      </c>
      <c r="AD364">
        <v>15.993138999999999</v>
      </c>
      <c r="AE364">
        <v>-34.625599999999899</v>
      </c>
      <c r="AF364">
        <v>33.527778843696403</v>
      </c>
      <c r="AG364">
        <v>15.993138999999999</v>
      </c>
      <c r="AH364">
        <v>53.640831419404698</v>
      </c>
      <c r="AI364">
        <v>75.811363280601498</v>
      </c>
      <c r="AJ364">
        <v>57.992881530859997</v>
      </c>
      <c r="AK364">
        <v>65.247461595299896</v>
      </c>
      <c r="AL364">
        <v>92.748582252372003</v>
      </c>
      <c r="AM364">
        <v>89.027700533494695</v>
      </c>
      <c r="AN364">
        <v>0.99999994497718703</v>
      </c>
    </row>
    <row r="365" spans="1:40" x14ac:dyDescent="0.25">
      <c r="A365" t="str">
        <f>"20190305134916735"</f>
        <v>20190305134916735</v>
      </c>
      <c r="B365" t="str">
        <f>"1551764956731047"</f>
        <v>1551764956731047</v>
      </c>
      <c r="C365" t="s">
        <v>40</v>
      </c>
      <c r="D365">
        <v>4.1300790000000003</v>
      </c>
      <c r="E365">
        <v>0.73608339999999906</v>
      </c>
      <c r="F365" t="s">
        <v>52</v>
      </c>
      <c r="G365">
        <v>-388.74489999999997</v>
      </c>
      <c r="H365">
        <v>17.22992</v>
      </c>
      <c r="I365">
        <v>332.709</v>
      </c>
      <c r="J365">
        <v>-445.68</v>
      </c>
      <c r="K365">
        <v>1.108646</v>
      </c>
      <c r="L365">
        <v>367.63279999999997</v>
      </c>
      <c r="M365">
        <v>0.99988980000000005</v>
      </c>
      <c r="N365">
        <v>-3.9664000000000001E-3</v>
      </c>
      <c r="O365">
        <v>1.430817E-2</v>
      </c>
      <c r="P365">
        <v>0.99865740000000003</v>
      </c>
      <c r="Q365">
        <v>-5.1797290000000003E-2</v>
      </c>
      <c r="R365">
        <v>-7.2468239999999996E-4</v>
      </c>
      <c r="S365">
        <v>3.0439150000000001</v>
      </c>
      <c r="T365">
        <v>0.85945629999999995</v>
      </c>
      <c r="U365">
        <v>-1.8617250000000001</v>
      </c>
      <c r="V365">
        <v>1.499994E-2</v>
      </c>
      <c r="W365">
        <v>-4.7840540000000001E-2</v>
      </c>
      <c r="X365">
        <v>0.99874229999999997</v>
      </c>
      <c r="Y365">
        <v>0.51889569999999996</v>
      </c>
      <c r="Z365">
        <v>6.9016110000000006E-2</v>
      </c>
      <c r="AA365">
        <v>0.852046999999999</v>
      </c>
      <c r="AB365">
        <v>30</v>
      </c>
      <c r="AC365">
        <v>56.935099999999998</v>
      </c>
      <c r="AD365">
        <v>16.121274</v>
      </c>
      <c r="AE365">
        <v>-34.9237999999999</v>
      </c>
      <c r="AF365">
        <v>33.767702407204602</v>
      </c>
      <c r="AG365">
        <v>16.121274</v>
      </c>
      <c r="AH365">
        <v>53.323184972028201</v>
      </c>
      <c r="AI365">
        <v>75.671680862335805</v>
      </c>
      <c r="AJ365">
        <v>57.655354265164</v>
      </c>
      <c r="AK365">
        <v>65.142269355663004</v>
      </c>
      <c r="AL365">
        <v>92.742107836534302</v>
      </c>
      <c r="AM365">
        <v>89.139549166713294</v>
      </c>
      <c r="AN365">
        <v>0.99999994863839103</v>
      </c>
    </row>
    <row r="366" spans="1:40" x14ac:dyDescent="0.25">
      <c r="A366" t="str">
        <f>"20190305134916747"</f>
        <v>20190305134916747</v>
      </c>
      <c r="B366" t="str">
        <f>"1551764956741783"</f>
        <v>1551764956741783</v>
      </c>
      <c r="C366" t="s">
        <v>40</v>
      </c>
      <c r="D366">
        <v>4.0565639999999998</v>
      </c>
      <c r="E366">
        <v>0.64084439999999998</v>
      </c>
      <c r="F366" t="s">
        <v>52</v>
      </c>
      <c r="G366">
        <v>-388.6823</v>
      </c>
      <c r="H366">
        <v>17.15578</v>
      </c>
      <c r="I366">
        <v>332.88979999999998</v>
      </c>
      <c r="J366">
        <v>-445.50490000000002</v>
      </c>
      <c r="K366">
        <v>1.108638</v>
      </c>
      <c r="L366">
        <v>367.6352</v>
      </c>
      <c r="M366">
        <v>0.99989119999999998</v>
      </c>
      <c r="N366">
        <v>-3.9995380000000004E-3</v>
      </c>
      <c r="O366">
        <v>1.420809E-2</v>
      </c>
      <c r="P366">
        <v>0.99869549999999996</v>
      </c>
      <c r="Q366">
        <v>-5.1063169999999998E-2</v>
      </c>
      <c r="R366">
        <v>5.204071E-4</v>
      </c>
      <c r="S366">
        <v>3.0471499999999998</v>
      </c>
      <c r="T366">
        <v>0.85789859999999896</v>
      </c>
      <c r="U366">
        <v>-1.857391</v>
      </c>
      <c r="V366">
        <v>1.3653520000000001E-2</v>
      </c>
      <c r="W366">
        <v>-4.7073370000000003E-2</v>
      </c>
      <c r="X366">
        <v>0.99879810000000002</v>
      </c>
      <c r="Y366">
        <v>0.51763359999999903</v>
      </c>
      <c r="Z366">
        <v>6.866129E-2</v>
      </c>
      <c r="AA366">
        <v>0.85284300000000002</v>
      </c>
      <c r="AB366">
        <v>30</v>
      </c>
      <c r="AC366">
        <v>56.822600000000001</v>
      </c>
      <c r="AD366">
        <v>16.047142000000001</v>
      </c>
      <c r="AE366">
        <v>-34.745399999999997</v>
      </c>
      <c r="AF366">
        <v>33.598841900208598</v>
      </c>
      <c r="AG366">
        <v>16.047142000000001</v>
      </c>
      <c r="AH366">
        <v>53.233040311830202</v>
      </c>
      <c r="AI366">
        <v>75.698703273145</v>
      </c>
      <c r="AJ366">
        <v>57.741305593284999</v>
      </c>
      <c r="AK366">
        <v>64.962677933135694</v>
      </c>
      <c r="AL366">
        <v>92.698102556781905</v>
      </c>
      <c r="AM366">
        <v>89.216818345151196</v>
      </c>
      <c r="AN366">
        <v>0.99999998266757795</v>
      </c>
    </row>
    <row r="367" spans="1:40" x14ac:dyDescent="0.25">
      <c r="A367" t="str">
        <f>"20190305134916766"</f>
        <v>20190305134916766</v>
      </c>
      <c r="B367" t="str">
        <f>"1551764956761303"</f>
        <v>1551764956761303</v>
      </c>
      <c r="C367" t="s">
        <v>40</v>
      </c>
      <c r="D367">
        <v>4.1735419999999896</v>
      </c>
      <c r="E367">
        <v>0.55967069999999997</v>
      </c>
      <c r="F367" t="s">
        <v>48</v>
      </c>
      <c r="G367">
        <v>-349.20089999999999</v>
      </c>
      <c r="H367">
        <v>22.499110000000002</v>
      </c>
      <c r="I367">
        <v>332.78769999999997</v>
      </c>
      <c r="J367">
        <v>-445.26240000000001</v>
      </c>
      <c r="K367">
        <v>1.1086199999999999</v>
      </c>
      <c r="L367">
        <v>367.63850000000002</v>
      </c>
      <c r="M367">
        <v>0.99989320000000004</v>
      </c>
      <c r="N367">
        <v>-4.0454669999999996E-3</v>
      </c>
      <c r="O367">
        <v>1.404263E-2</v>
      </c>
      <c r="P367">
        <v>0.99875029999999998</v>
      </c>
      <c r="Q367">
        <v>-4.977065E-2</v>
      </c>
      <c r="R367">
        <v>4.5565120000000004E-3</v>
      </c>
      <c r="S367">
        <v>3.0390320000000002</v>
      </c>
      <c r="T367">
        <v>0.6750121</v>
      </c>
      <c r="U367">
        <v>-1.0996699999999999</v>
      </c>
      <c r="V367">
        <v>9.4509699999999995E-3</v>
      </c>
      <c r="W367">
        <v>-4.5733740000000002E-2</v>
      </c>
      <c r="X367">
        <v>0.99890889999999999</v>
      </c>
      <c r="Y367">
        <v>0.34579559999999998</v>
      </c>
      <c r="Z367">
        <v>3.9130499999999999E-2</v>
      </c>
      <c r="AA367">
        <v>0.93749360000000004</v>
      </c>
      <c r="AB367">
        <v>30</v>
      </c>
      <c r="AC367">
        <v>96.061499999999995</v>
      </c>
      <c r="AD367">
        <v>21.39049</v>
      </c>
      <c r="AE367">
        <v>-34.8508</v>
      </c>
      <c r="AF367">
        <v>34.676896923289704</v>
      </c>
      <c r="AG367">
        <v>21.39049</v>
      </c>
      <c r="AH367">
        <v>91.551140711269198</v>
      </c>
      <c r="AI367">
        <v>77.674757780109701</v>
      </c>
      <c r="AJ367">
        <v>69.2547765188244</v>
      </c>
      <c r="AK367">
        <v>100.208041634407</v>
      </c>
      <c r="AL367">
        <v>92.621264736453696</v>
      </c>
      <c r="AM367">
        <v>89.457924004379805</v>
      </c>
      <c r="AN367">
        <v>0.99999994315376695</v>
      </c>
    </row>
    <row r="368" spans="1:40" x14ac:dyDescent="0.25">
      <c r="A368" t="str">
        <f>"20190305134916778"</f>
        <v>20190305134916778</v>
      </c>
      <c r="B368" t="str">
        <f>"1551764956771063"</f>
        <v>1551764956771063</v>
      </c>
      <c r="C368" t="s">
        <v>40</v>
      </c>
      <c r="D368">
        <v>4.217536</v>
      </c>
      <c r="E368">
        <v>0.5443694</v>
      </c>
      <c r="F368" t="s">
        <v>53</v>
      </c>
      <c r="G368">
        <v>-168.41079999999999</v>
      </c>
      <c r="H368">
        <v>32.429450000000003</v>
      </c>
      <c r="I368">
        <v>326.39240000000001</v>
      </c>
      <c r="J368">
        <v>-445.08260000000001</v>
      </c>
      <c r="K368">
        <v>1.1086020000000001</v>
      </c>
      <c r="L368">
        <v>367.64089999999999</v>
      </c>
      <c r="M368">
        <v>0.99989499999999998</v>
      </c>
      <c r="N368">
        <v>-4.0795370000000003E-3</v>
      </c>
      <c r="O368">
        <v>1.3904710000000001E-2</v>
      </c>
      <c r="P368">
        <v>0.99875519999999995</v>
      </c>
      <c r="Q368">
        <v>-4.9474070000000002E-2</v>
      </c>
      <c r="R368">
        <v>6.3606019999999999E-3</v>
      </c>
      <c r="S368">
        <v>3.0228269999999999</v>
      </c>
      <c r="T368">
        <v>0.34197909999999998</v>
      </c>
      <c r="U368">
        <v>-0.45034790000000002</v>
      </c>
      <c r="V368">
        <v>7.5074369999999996E-3</v>
      </c>
      <c r="W368">
        <v>-4.540255E-2</v>
      </c>
      <c r="X368">
        <v>0.99894059999999996</v>
      </c>
      <c r="Y368">
        <v>0.16003909999999999</v>
      </c>
      <c r="Z368">
        <v>1.0261859999999999E-2</v>
      </c>
      <c r="AA368">
        <v>0.98705730000000003</v>
      </c>
      <c r="AB368">
        <v>30</v>
      </c>
      <c r="AC368">
        <v>276.67180000000002</v>
      </c>
      <c r="AD368">
        <v>31.320847999999899</v>
      </c>
      <c r="AE368">
        <v>-41.2484999999999</v>
      </c>
      <c r="AF368">
        <v>44.533276674257401</v>
      </c>
      <c r="AG368">
        <v>31.320847999999899</v>
      </c>
      <c r="AH368">
        <v>272.65327536442601</v>
      </c>
      <c r="AI368">
        <v>83.531881649072901</v>
      </c>
      <c r="AJ368">
        <v>80.723620544973599</v>
      </c>
      <c r="AK368">
        <v>278.03599913992201</v>
      </c>
      <c r="AL368">
        <v>92.602268967823406</v>
      </c>
      <c r="AM368">
        <v>89.5694074733035</v>
      </c>
      <c r="AN368">
        <v>1.00000003774258</v>
      </c>
    </row>
    <row r="369" spans="1:40" x14ac:dyDescent="0.25">
      <c r="A369" t="str">
        <f>"20190305134916791"</f>
        <v>20190305134916791</v>
      </c>
      <c r="B369" t="str">
        <f>"1551764956780823"</f>
        <v>1551764956780823</v>
      </c>
      <c r="C369" t="s">
        <v>40</v>
      </c>
      <c r="D369">
        <v>4.2111539999999996</v>
      </c>
      <c r="E369">
        <v>0.53432369999999996</v>
      </c>
      <c r="F369" t="s">
        <v>53</v>
      </c>
      <c r="G369">
        <v>-168.40809999999999</v>
      </c>
      <c r="H369">
        <v>24.316759999999999</v>
      </c>
      <c r="I369">
        <v>337.83730000000003</v>
      </c>
      <c r="J369">
        <v>-444.91980000000001</v>
      </c>
      <c r="K369">
        <v>1.10859</v>
      </c>
      <c r="L369">
        <v>367.64299999999997</v>
      </c>
      <c r="M369">
        <v>0.99989680000000003</v>
      </c>
      <c r="N369">
        <v>-4.1103870000000001E-3</v>
      </c>
      <c r="O369">
        <v>1.377331E-2</v>
      </c>
      <c r="P369">
        <v>0.99873920000000005</v>
      </c>
      <c r="Q369">
        <v>-4.9584950000000003E-2</v>
      </c>
      <c r="R369">
        <v>7.8465489999999995E-3</v>
      </c>
      <c r="S369">
        <v>3.0183110000000002</v>
      </c>
      <c r="T369">
        <v>0.25318360000000001</v>
      </c>
      <c r="U369">
        <v>-0.32513429999999999</v>
      </c>
      <c r="V369">
        <v>5.8885309999999998E-3</v>
      </c>
      <c r="W369">
        <v>-4.5482090000000003E-2</v>
      </c>
      <c r="X369">
        <v>0.99894780000000005</v>
      </c>
      <c r="Y369">
        <v>0.1203352</v>
      </c>
      <c r="Z369">
        <v>5.9818069999999996E-3</v>
      </c>
      <c r="AA369">
        <v>0.99271529999999997</v>
      </c>
      <c r="AB369">
        <v>31</v>
      </c>
      <c r="AC369">
        <v>276.51170000000002</v>
      </c>
      <c r="AD369">
        <v>23.208169999999999</v>
      </c>
      <c r="AE369">
        <v>-29.805700000000002</v>
      </c>
      <c r="AF369">
        <v>33.378946084469199</v>
      </c>
      <c r="AG369">
        <v>23.208169999999999</v>
      </c>
      <c r="AH369">
        <v>274.16574613005599</v>
      </c>
      <c r="AI369">
        <v>85.196738373131595</v>
      </c>
      <c r="AJ369">
        <v>83.058553937854697</v>
      </c>
      <c r="AK369">
        <v>277.16354296246999</v>
      </c>
      <c r="AL369">
        <v>92.606831081966703</v>
      </c>
      <c r="AM369">
        <v>89.662260564491703</v>
      </c>
      <c r="AN369">
        <v>1.00000000121647</v>
      </c>
    </row>
    <row r="370" spans="1:40" x14ac:dyDescent="0.25">
      <c r="A370" t="str">
        <f>"20190305134916803"</f>
        <v>20190305134916803</v>
      </c>
      <c r="B370" t="str">
        <f>"1551764956791560"</f>
        <v>1551764956791560</v>
      </c>
      <c r="C370" t="s">
        <v>40</v>
      </c>
      <c r="D370">
        <v>4.2470400000000001</v>
      </c>
      <c r="E370">
        <v>0.52853890000000003</v>
      </c>
      <c r="F370" t="s">
        <v>54</v>
      </c>
      <c r="G370">
        <v>-325.70269999999999</v>
      </c>
      <c r="H370">
        <v>8.7726939999999995</v>
      </c>
      <c r="I370">
        <v>358.05790000000002</v>
      </c>
      <c r="J370">
        <v>-444.75409999999999</v>
      </c>
      <c r="K370">
        <v>1.1085769999999999</v>
      </c>
      <c r="L370">
        <v>367.64519999999999</v>
      </c>
      <c r="M370">
        <v>0.99989859999999997</v>
      </c>
      <c r="N370">
        <v>-4.1416049999999996E-3</v>
      </c>
      <c r="O370">
        <v>1.3628619999999999E-2</v>
      </c>
      <c r="P370">
        <v>0.99869889999999995</v>
      </c>
      <c r="Q370">
        <v>-5.0176739999999997E-2</v>
      </c>
      <c r="R370">
        <v>9.1151640000000003E-3</v>
      </c>
      <c r="S370">
        <v>3.0152890000000001</v>
      </c>
      <c r="T370">
        <v>0.19384599999999999</v>
      </c>
      <c r="U370">
        <v>-0.2424316</v>
      </c>
      <c r="V370">
        <v>4.4732419999999997E-3</v>
      </c>
      <c r="W370">
        <v>-4.6042239999999998E-2</v>
      </c>
      <c r="X370">
        <v>0.99892950000000003</v>
      </c>
      <c r="Y370">
        <v>9.3508560000000004E-2</v>
      </c>
      <c r="Z370">
        <v>3.7338969999999999E-3</v>
      </c>
      <c r="AA370">
        <v>0.99561149999999998</v>
      </c>
      <c r="AB370">
        <v>31</v>
      </c>
      <c r="AC370">
        <v>119.0514</v>
      </c>
      <c r="AD370">
        <v>7.6641169999999903</v>
      </c>
      <c r="AE370">
        <v>-9.5872999999999706</v>
      </c>
      <c r="AF370">
        <v>11.162964684074399</v>
      </c>
      <c r="AG370">
        <v>7.6641169999999903</v>
      </c>
      <c r="AH370">
        <v>118.42206143342401</v>
      </c>
      <c r="AI370">
        <v>86.313355852943502</v>
      </c>
      <c r="AJ370">
        <v>84.614969725557401</v>
      </c>
      <c r="AK370">
        <v>119.193687349915</v>
      </c>
      <c r="AL370">
        <v>92.638958917072301</v>
      </c>
      <c r="AM370">
        <v>89.743429166725406</v>
      </c>
      <c r="AN370">
        <v>1.00000002186422</v>
      </c>
    </row>
    <row r="371" spans="1:40" x14ac:dyDescent="0.25">
      <c r="A371" t="str">
        <f>"20190305134916814"</f>
        <v>20190305134916814</v>
      </c>
      <c r="B371" t="str">
        <f>"1551764956811079"</f>
        <v>1551764956811079</v>
      </c>
      <c r="C371" t="s">
        <v>40</v>
      </c>
      <c r="D371">
        <v>4.1549610000000001</v>
      </c>
      <c r="E371">
        <v>0.52360209999999996</v>
      </c>
      <c r="F371" t="s">
        <v>47</v>
      </c>
      <c r="G371">
        <v>0</v>
      </c>
      <c r="H371">
        <v>0</v>
      </c>
      <c r="I371">
        <v>0</v>
      </c>
      <c r="J371">
        <v>-444.5985</v>
      </c>
      <c r="K371">
        <v>1.108565</v>
      </c>
      <c r="L371">
        <v>367.6472</v>
      </c>
      <c r="M371">
        <v>0.99990029999999996</v>
      </c>
      <c r="N371">
        <v>-4.1707999999999997E-3</v>
      </c>
      <c r="O371">
        <v>1.348938E-2</v>
      </c>
      <c r="P371">
        <v>0.99861060000000001</v>
      </c>
      <c r="Q371">
        <v>-5.1640940000000003E-2</v>
      </c>
      <c r="R371">
        <v>1.0507209999999999E-2</v>
      </c>
      <c r="S371">
        <v>3.0135190000000001</v>
      </c>
      <c r="T371">
        <v>0.1555568</v>
      </c>
      <c r="U371">
        <v>-0.19302369999999999</v>
      </c>
      <c r="V371">
        <v>2.9390240000000002E-3</v>
      </c>
      <c r="W371">
        <v>-4.7476850000000001E-2</v>
      </c>
      <c r="X371">
        <v>0.99886799999999998</v>
      </c>
      <c r="Y371">
        <v>7.7262629999999999E-2</v>
      </c>
      <c r="Z371">
        <v>2.5807460000000001E-3</v>
      </c>
      <c r="AA371">
        <v>0.99700739999999999</v>
      </c>
      <c r="AB371">
        <v>31</v>
      </c>
      <c r="AC371">
        <v>3.0135190000000001</v>
      </c>
      <c r="AD371">
        <v>0.1555568</v>
      </c>
      <c r="AE371">
        <v>-0.19302369999999999</v>
      </c>
      <c r="AF371">
        <v>0.23303857970258399</v>
      </c>
      <c r="AG371">
        <v>0.1555568</v>
      </c>
      <c r="AH371">
        <v>3.0026728192046699</v>
      </c>
      <c r="AI371">
        <v>87.043255300861105</v>
      </c>
      <c r="AJ371">
        <v>85.562148764949896</v>
      </c>
      <c r="AK371">
        <v>3.01571698885133</v>
      </c>
      <c r="AL371">
        <v>92.721246128003799</v>
      </c>
      <c r="AM371">
        <v>89.831415977749998</v>
      </c>
      <c r="AN371">
        <v>0.99999998528599698</v>
      </c>
    </row>
    <row r="372" spans="1:40" x14ac:dyDescent="0.25">
      <c r="A372" t="str">
        <f>"20190305134916833"</f>
        <v>20190305134916833</v>
      </c>
      <c r="B372" t="str">
        <f>"1551764956820839"</f>
        <v>1551764956820839</v>
      </c>
      <c r="C372" t="s">
        <v>40</v>
      </c>
      <c r="D372">
        <v>4.1193629999999999</v>
      </c>
      <c r="E372">
        <v>0.52245299999999995</v>
      </c>
      <c r="F372" t="s">
        <v>45</v>
      </c>
      <c r="G372">
        <v>-168.84350000000001</v>
      </c>
      <c r="H372">
        <v>11.01953</v>
      </c>
      <c r="I372">
        <v>353.83659999999998</v>
      </c>
      <c r="J372">
        <v>-444.34429999999998</v>
      </c>
      <c r="K372">
        <v>1.1085449999999999</v>
      </c>
      <c r="L372">
        <v>367.65039999999999</v>
      </c>
      <c r="M372">
        <v>0.99990330000000005</v>
      </c>
      <c r="N372">
        <v>-4.2182920000000002E-3</v>
      </c>
      <c r="O372">
        <v>1.325291E-2</v>
      </c>
      <c r="P372">
        <v>0.99845709999999999</v>
      </c>
      <c r="Q372">
        <v>-5.4192410000000003E-2</v>
      </c>
      <c r="R372">
        <v>1.2111E-2</v>
      </c>
      <c r="S372">
        <v>3.0113530000000002</v>
      </c>
      <c r="T372">
        <v>0.1082325</v>
      </c>
      <c r="U372">
        <v>-0.15081789999999901</v>
      </c>
      <c r="V372">
        <v>1.094278E-3</v>
      </c>
      <c r="W372">
        <v>-4.9980459999999997E-2</v>
      </c>
      <c r="X372">
        <v>0.99874960000000002</v>
      </c>
      <c r="Y372">
        <v>6.3205869999999997E-2</v>
      </c>
      <c r="Z372">
        <v>1.5330999999999999E-3</v>
      </c>
      <c r="AA372">
        <v>0.99799930000000003</v>
      </c>
      <c r="AB372">
        <v>31</v>
      </c>
      <c r="AC372">
        <v>275.50080000000003</v>
      </c>
      <c r="AD372">
        <v>9.9109850000000002</v>
      </c>
      <c r="AE372">
        <v>-13.813800000000001</v>
      </c>
      <c r="AF372">
        <v>17.441291300782002</v>
      </c>
      <c r="AG372">
        <v>9.9109850000000002</v>
      </c>
      <c r="AH372">
        <v>274.93860721646399</v>
      </c>
      <c r="AI372">
        <v>87.939634053675306</v>
      </c>
      <c r="AJ372">
        <v>86.370189252859404</v>
      </c>
      <c r="AK372">
        <v>275.66948326580899</v>
      </c>
      <c r="AL372">
        <v>92.864863011034004</v>
      </c>
      <c r="AM372">
        <v>89.937224018987493</v>
      </c>
      <c r="AN372">
        <v>1.00000000366315</v>
      </c>
    </row>
    <row r="373" spans="1:40" x14ac:dyDescent="0.25">
      <c r="A373" t="str">
        <f>"20190305134916844"</f>
        <v>20190305134916844</v>
      </c>
      <c r="B373" t="str">
        <f>"1551764956841336"</f>
        <v>1551764956841336</v>
      </c>
      <c r="C373" t="s">
        <v>40</v>
      </c>
      <c r="D373">
        <v>4.1095959999999998</v>
      </c>
      <c r="E373">
        <v>0.52118429999999905</v>
      </c>
      <c r="F373" t="s">
        <v>45</v>
      </c>
      <c r="G373">
        <v>-168.84350000000001</v>
      </c>
      <c r="H373">
        <v>9.2033529999999999</v>
      </c>
      <c r="I373">
        <v>355.1053</v>
      </c>
      <c r="J373">
        <v>-444.18209999999999</v>
      </c>
      <c r="K373">
        <v>1.1085240000000001</v>
      </c>
      <c r="L373">
        <v>367.6524</v>
      </c>
      <c r="M373">
        <v>0.99990520000000005</v>
      </c>
      <c r="N373">
        <v>-4.2485370000000001E-3</v>
      </c>
      <c r="O373">
        <v>1.3097350000000001E-2</v>
      </c>
      <c r="P373">
        <v>0.9983919</v>
      </c>
      <c r="Q373">
        <v>-5.5246160000000002E-2</v>
      </c>
      <c r="R373">
        <v>1.2718790000000001E-2</v>
      </c>
      <c r="S373">
        <v>3.0111690000000002</v>
      </c>
      <c r="T373">
        <v>8.8475579999999998E-2</v>
      </c>
      <c r="U373">
        <v>-0.1371155</v>
      </c>
      <c r="V373">
        <v>3.2888200000000001E-4</v>
      </c>
      <c r="W373">
        <v>-5.1003809999999997E-2</v>
      </c>
      <c r="X373">
        <v>0.99869839999999999</v>
      </c>
      <c r="Y373">
        <v>5.8539559999999997E-2</v>
      </c>
      <c r="Z373">
        <v>1.175117E-3</v>
      </c>
      <c r="AA373">
        <v>0.99828439999999996</v>
      </c>
      <c r="AB373">
        <v>31</v>
      </c>
      <c r="AC373">
        <v>275.33859999999999</v>
      </c>
      <c r="AD373">
        <v>8.0948289999999901</v>
      </c>
      <c r="AE373">
        <v>-12.5471</v>
      </c>
      <c r="AF373">
        <v>16.138342328341199</v>
      </c>
      <c r="AG373">
        <v>8.0948289999999901</v>
      </c>
      <c r="AH373">
        <v>274.91352299374802</v>
      </c>
      <c r="AI373">
        <v>88.316309921566699</v>
      </c>
      <c r="AJ373">
        <v>86.640401918972202</v>
      </c>
      <c r="AK373">
        <v>275.50574853254801</v>
      </c>
      <c r="AL373">
        <v>92.923571558461603</v>
      </c>
      <c r="AM373">
        <v>89.981131891393105</v>
      </c>
      <c r="AN373">
        <v>0.999999995480223</v>
      </c>
    </row>
    <row r="374" spans="1:40" x14ac:dyDescent="0.25">
      <c r="A374" t="str">
        <f>"20190305134916858"</f>
        <v>20190305134916858</v>
      </c>
      <c r="B374" t="str">
        <f>"1551764956851096"</f>
        <v>1551764956851096</v>
      </c>
      <c r="C374" t="s">
        <v>40</v>
      </c>
      <c r="D374">
        <v>4.092263</v>
      </c>
      <c r="E374">
        <v>0.52086199999999905</v>
      </c>
      <c r="F374" t="s">
        <v>45</v>
      </c>
      <c r="G374">
        <v>-170.08879999999999</v>
      </c>
      <c r="H374">
        <v>7.6864699999999999</v>
      </c>
      <c r="I374">
        <v>356.25199999999899</v>
      </c>
      <c r="J374">
        <v>-443.99180000000001</v>
      </c>
      <c r="K374">
        <v>1.108509</v>
      </c>
      <c r="L374">
        <v>367.65480000000002</v>
      </c>
      <c r="M374">
        <v>0.99990760000000001</v>
      </c>
      <c r="N374">
        <v>-4.2839719999999996E-3</v>
      </c>
      <c r="O374">
        <v>1.291234E-2</v>
      </c>
      <c r="P374">
        <v>0.99832560000000004</v>
      </c>
      <c r="Q374">
        <v>-5.6308789999999997E-2</v>
      </c>
      <c r="R374">
        <v>1.3246610000000001E-2</v>
      </c>
      <c r="S374">
        <v>3.010437</v>
      </c>
      <c r="T374">
        <v>7.2248220000000002E-2</v>
      </c>
      <c r="U374">
        <v>-0.12521360000000001</v>
      </c>
      <c r="V374">
        <v>-3.8554030000000002E-4</v>
      </c>
      <c r="W374">
        <v>-5.2030880000000002E-2</v>
      </c>
      <c r="X374">
        <v>0.99864540000000002</v>
      </c>
      <c r="Y374">
        <v>5.4437069999999997E-2</v>
      </c>
      <c r="Z374">
        <v>9.0118299999999995E-4</v>
      </c>
      <c r="AA374">
        <v>0.99851679999999998</v>
      </c>
      <c r="AB374">
        <v>31</v>
      </c>
      <c r="AC374">
        <v>273.90300000000002</v>
      </c>
      <c r="AD374">
        <v>6.5779610000000002</v>
      </c>
      <c r="AE374">
        <v>-11.402799999999999</v>
      </c>
      <c r="AF374">
        <v>14.9300139470083</v>
      </c>
      <c r="AG374">
        <v>6.5779610000000002</v>
      </c>
      <c r="AH374">
        <v>273.57541461012499</v>
      </c>
      <c r="AI374">
        <v>88.624667609387203</v>
      </c>
      <c r="AJ374">
        <v>86.876257803398502</v>
      </c>
      <c r="AK374">
        <v>274.061457280073</v>
      </c>
      <c r="AL374">
        <v>92.982496576547305</v>
      </c>
      <c r="AM374">
        <v>90.022119794398193</v>
      </c>
      <c r="AN374">
        <v>0.99999999802802797</v>
      </c>
    </row>
    <row r="375" spans="1:40" x14ac:dyDescent="0.25">
      <c r="A375" t="str">
        <f>"20190305134916872"</f>
        <v>20190305134916872</v>
      </c>
      <c r="B375" t="str">
        <f>"1551764956860856"</f>
        <v>1551764956860856</v>
      </c>
      <c r="C375" t="s">
        <v>40</v>
      </c>
      <c r="D375">
        <v>4.0560109999999998</v>
      </c>
      <c r="E375">
        <v>0.52055189999999996</v>
      </c>
      <c r="F375" t="s">
        <v>45</v>
      </c>
      <c r="G375">
        <v>-170.08879999999999</v>
      </c>
      <c r="H375">
        <v>6.9257749999999998</v>
      </c>
      <c r="I375">
        <v>356.61700000000002</v>
      </c>
      <c r="J375">
        <v>-443.79849999999999</v>
      </c>
      <c r="K375">
        <v>1.1085</v>
      </c>
      <c r="L375">
        <v>367.65699999999998</v>
      </c>
      <c r="M375">
        <v>0.99990979999999996</v>
      </c>
      <c r="N375">
        <v>-4.3198619999999998E-3</v>
      </c>
      <c r="O375">
        <v>1.2723099999999999E-2</v>
      </c>
      <c r="P375">
        <v>0.99823269999999997</v>
      </c>
      <c r="Q375">
        <v>-5.7796210000000001E-2</v>
      </c>
      <c r="R375">
        <v>1.382831E-2</v>
      </c>
      <c r="S375">
        <v>3.0102540000000002</v>
      </c>
      <c r="T375">
        <v>6.3933970000000007E-2</v>
      </c>
      <c r="U375">
        <v>-0.121307399999999</v>
      </c>
      <c r="V375">
        <v>-1.158786E-3</v>
      </c>
      <c r="W375">
        <v>-5.3482340000000003E-2</v>
      </c>
      <c r="X375">
        <v>0.99856809999999996</v>
      </c>
      <c r="Y375">
        <v>5.2961370000000001E-2</v>
      </c>
      <c r="Z375">
        <v>7.7269899999999996E-4</v>
      </c>
      <c r="AA375">
        <v>0.99859629999999999</v>
      </c>
      <c r="AB375">
        <v>31</v>
      </c>
      <c r="AC375">
        <v>273.7097</v>
      </c>
      <c r="AD375">
        <v>5.8172750000000004</v>
      </c>
      <c r="AE375">
        <v>-11.04</v>
      </c>
      <c r="AF375">
        <v>14.5150285865959</v>
      </c>
      <c r="AG375">
        <v>5.8172750000000004</v>
      </c>
      <c r="AH375">
        <v>273.42377328755998</v>
      </c>
      <c r="AI375">
        <v>88.782890838045205</v>
      </c>
      <c r="AJ375">
        <v>86.961237315344604</v>
      </c>
      <c r="AK375">
        <v>273.87056530796099</v>
      </c>
      <c r="AL375">
        <v>93.065775154664706</v>
      </c>
      <c r="AM375">
        <v>90.066488722557906</v>
      </c>
      <c r="AN375">
        <v>0.99999997690723896</v>
      </c>
    </row>
    <row r="376" spans="1:40" x14ac:dyDescent="0.25">
      <c r="A376" t="str">
        <f>"20190305134916892"</f>
        <v>20190305134916892</v>
      </c>
      <c r="B376" t="str">
        <f>"1551764956881351"</f>
        <v>1551764956881351</v>
      </c>
      <c r="C376" t="s">
        <v>40</v>
      </c>
      <c r="D376">
        <v>4.048095</v>
      </c>
      <c r="E376">
        <v>0.52013980000000004</v>
      </c>
      <c r="F376" t="s">
        <v>45</v>
      </c>
      <c r="G376">
        <v>-158.19499999999999</v>
      </c>
      <c r="H376">
        <v>6.4024960000000002</v>
      </c>
      <c r="I376">
        <v>356.57010000000002</v>
      </c>
      <c r="J376">
        <v>-443.52640000000002</v>
      </c>
      <c r="K376">
        <v>1.10849</v>
      </c>
      <c r="L376">
        <v>367.66019999999997</v>
      </c>
      <c r="M376">
        <v>0.99991300000000005</v>
      </c>
      <c r="N376">
        <v>-4.3702919999999996E-3</v>
      </c>
      <c r="O376">
        <v>1.24546E-2</v>
      </c>
      <c r="P376">
        <v>0.99805060000000001</v>
      </c>
      <c r="Q376">
        <v>-6.065475E-2</v>
      </c>
      <c r="R376">
        <v>1.470336E-2</v>
      </c>
      <c r="S376">
        <v>3.010132</v>
      </c>
      <c r="T376">
        <v>5.5797220000000002E-2</v>
      </c>
      <c r="U376">
        <v>-0.11685180000000001</v>
      </c>
      <c r="V376">
        <v>-2.3069129999999998E-3</v>
      </c>
      <c r="W376">
        <v>-5.6290519999999997E-2</v>
      </c>
      <c r="X376">
        <v>0.99841179999999996</v>
      </c>
      <c r="Y376">
        <v>5.122264E-2</v>
      </c>
      <c r="Z376">
        <v>6.4771419999999896E-4</v>
      </c>
      <c r="AA376">
        <v>0.99868699999999999</v>
      </c>
      <c r="AB376">
        <v>31</v>
      </c>
      <c r="AC376">
        <v>285.33139999999997</v>
      </c>
      <c r="AD376">
        <v>5.2940059999999898</v>
      </c>
      <c r="AE376">
        <v>-11.0900999999999</v>
      </c>
      <c r="AF376">
        <v>14.637930354462</v>
      </c>
      <c r="AG376">
        <v>5.2940059999999898</v>
      </c>
      <c r="AH376">
        <v>285.07315732464002</v>
      </c>
      <c r="AI376">
        <v>88.937499436196205</v>
      </c>
      <c r="AJ376">
        <v>87.060559122504898</v>
      </c>
      <c r="AK376">
        <v>285.49781178080701</v>
      </c>
      <c r="AL376">
        <v>93.226914792968003</v>
      </c>
      <c r="AM376">
        <v>90.132386399463499</v>
      </c>
      <c r="AN376">
        <v>1.00000003343434</v>
      </c>
    </row>
    <row r="377" spans="1:40" x14ac:dyDescent="0.25">
      <c r="A377" t="str">
        <f>"20190305134916905"</f>
        <v>20190305134916905</v>
      </c>
      <c r="B377" t="str">
        <f>"1551764956900871"</f>
        <v>1551764956900871</v>
      </c>
      <c r="C377" t="s">
        <v>40</v>
      </c>
      <c r="D377">
        <v>4.0640609999999997</v>
      </c>
      <c r="E377">
        <v>0.52001699999999995</v>
      </c>
      <c r="F377" t="s">
        <v>45</v>
      </c>
      <c r="G377">
        <v>-158.19499999999999</v>
      </c>
      <c r="H377">
        <v>5.1553809999999904</v>
      </c>
      <c r="I377">
        <v>357.14510000000001</v>
      </c>
      <c r="J377">
        <v>-443.32429999999999</v>
      </c>
      <c r="K377">
        <v>1.108487</v>
      </c>
      <c r="L377">
        <v>367.6626</v>
      </c>
      <c r="M377">
        <v>0.9999152</v>
      </c>
      <c r="N377">
        <v>-4.4076410000000003E-3</v>
      </c>
      <c r="O377">
        <v>1.225446E-2</v>
      </c>
      <c r="P377">
        <v>0.99798160000000002</v>
      </c>
      <c r="Q377">
        <v>-6.1816839999999998E-2</v>
      </c>
      <c r="R377">
        <v>1.4541770000000001E-2</v>
      </c>
      <c r="S377">
        <v>3.010132</v>
      </c>
      <c r="T377">
        <v>4.2693969999999998E-2</v>
      </c>
      <c r="U377">
        <v>-0.1109314</v>
      </c>
      <c r="V377">
        <v>-2.346753E-3</v>
      </c>
      <c r="W377">
        <v>-5.7415599999999997E-2</v>
      </c>
      <c r="X377">
        <v>0.9983476</v>
      </c>
      <c r="Y377">
        <v>4.9065659999999997E-2</v>
      </c>
      <c r="Z377">
        <v>4.6738960000000001E-4</v>
      </c>
      <c r="AA377">
        <v>0.9987954</v>
      </c>
      <c r="AB377">
        <v>31</v>
      </c>
      <c r="AC377">
        <v>285.1293</v>
      </c>
      <c r="AD377">
        <v>4.0468939999999902</v>
      </c>
      <c r="AE377">
        <v>-10.517499999999901</v>
      </c>
      <c r="AF377">
        <v>14.008031734645099</v>
      </c>
      <c r="AG377">
        <v>4.0468939999999902</v>
      </c>
      <c r="AH377">
        <v>284.92168353944697</v>
      </c>
      <c r="AI377">
        <v>89.187233894536604</v>
      </c>
      <c r="AJ377">
        <v>87.185348073791204</v>
      </c>
      <c r="AK377">
        <v>285.29452861048497</v>
      </c>
      <c r="AL377">
        <v>93.291481691576806</v>
      </c>
      <c r="AM377">
        <v>90.134681342259498</v>
      </c>
      <c r="AN377">
        <v>0.99999999439938103</v>
      </c>
    </row>
    <row r="378" spans="1:40" x14ac:dyDescent="0.25">
      <c r="A378" t="str">
        <f>"20190305134916922"</f>
        <v>20190305134916922</v>
      </c>
      <c r="B378" t="str">
        <f>"1551764956911611"</f>
        <v>1551764956911611</v>
      </c>
      <c r="C378" t="s">
        <v>40</v>
      </c>
      <c r="D378">
        <v>4.0476570000000001</v>
      </c>
      <c r="E378">
        <v>0.51999759999999995</v>
      </c>
      <c r="F378" t="s">
        <v>45</v>
      </c>
      <c r="G378">
        <v>-158.19499999999999</v>
      </c>
      <c r="H378">
        <v>4.7810759999999997</v>
      </c>
      <c r="I378">
        <v>357.18920000000003</v>
      </c>
      <c r="J378">
        <v>-443.09640000000002</v>
      </c>
      <c r="K378">
        <v>1.1084799999999999</v>
      </c>
      <c r="L378">
        <v>367.66520000000003</v>
      </c>
      <c r="M378">
        <v>0.99991779999999997</v>
      </c>
      <c r="N378">
        <v>-4.4496520000000001E-3</v>
      </c>
      <c r="O378">
        <v>1.203046E-2</v>
      </c>
      <c r="P378">
        <v>0.99794819999999995</v>
      </c>
      <c r="Q378">
        <v>-6.2318329999999998E-2</v>
      </c>
      <c r="R378">
        <v>1.4691620000000001E-2</v>
      </c>
      <c r="S378">
        <v>3.01004</v>
      </c>
      <c r="T378">
        <v>3.8771510000000002E-2</v>
      </c>
      <c r="U378">
        <v>-0.1105652</v>
      </c>
      <c r="V378">
        <v>-2.721331E-3</v>
      </c>
      <c r="W378">
        <v>-5.7875019999999999E-2</v>
      </c>
      <c r="X378">
        <v>0.99832010000000004</v>
      </c>
      <c r="Y378">
        <v>4.8722750000000002E-2</v>
      </c>
      <c r="Z378">
        <v>4.1365070000000002E-4</v>
      </c>
      <c r="AA378">
        <v>0.99881229999999999</v>
      </c>
      <c r="AB378">
        <v>31</v>
      </c>
      <c r="AC378">
        <v>284.90140000000002</v>
      </c>
      <c r="AD378">
        <v>3.672596</v>
      </c>
      <c r="AE378">
        <v>-10.476000000000001</v>
      </c>
      <c r="AF378">
        <v>13.9004636979836</v>
      </c>
      <c r="AG378">
        <v>3.672596</v>
      </c>
      <c r="AH378">
        <v>284.70750288247001</v>
      </c>
      <c r="AI378">
        <v>89.261830938919999</v>
      </c>
      <c r="AJ378">
        <v>87.204829650295494</v>
      </c>
      <c r="AK378">
        <v>285.07029492735597</v>
      </c>
      <c r="AL378">
        <v>93.317848435088493</v>
      </c>
      <c r="AM378">
        <v>90.156182766194405</v>
      </c>
      <c r="AN378">
        <v>0.99999997282320996</v>
      </c>
    </row>
    <row r="379" spans="1:40" x14ac:dyDescent="0.25">
      <c r="A379" t="str">
        <f>"20190305134916935"</f>
        <v>20190305134916935</v>
      </c>
      <c r="B379" t="str">
        <f>"1551764956931127"</f>
        <v>1551764956931127</v>
      </c>
      <c r="C379" t="s">
        <v>40</v>
      </c>
      <c r="D379">
        <v>4.0408200000000001</v>
      </c>
      <c r="E379">
        <v>0.52004459999999997</v>
      </c>
      <c r="F379" t="s">
        <v>45</v>
      </c>
      <c r="G379">
        <v>-158.19499999999999</v>
      </c>
      <c r="H379">
        <v>4.6074250000000001</v>
      </c>
      <c r="I379">
        <v>357.27260000000001</v>
      </c>
      <c r="J379">
        <v>-442.92669999999998</v>
      </c>
      <c r="K379">
        <v>1.108481</v>
      </c>
      <c r="L379">
        <v>367.66699999999997</v>
      </c>
      <c r="M379">
        <v>0.99991980000000003</v>
      </c>
      <c r="N379">
        <v>-4.4808590000000002E-3</v>
      </c>
      <c r="O379">
        <v>1.1865809999999999E-2</v>
      </c>
      <c r="P379">
        <v>0.99795889999999998</v>
      </c>
      <c r="Q379">
        <v>-6.2093540000000003E-2</v>
      </c>
      <c r="R379">
        <v>1.493075E-2</v>
      </c>
      <c r="S379">
        <v>3.0101010000000001</v>
      </c>
      <c r="T379">
        <v>3.6968710000000002E-2</v>
      </c>
      <c r="U379">
        <v>-0.1098022</v>
      </c>
      <c r="V379">
        <v>-3.1245800000000001E-3</v>
      </c>
      <c r="W379">
        <v>-5.7618759999999998E-2</v>
      </c>
      <c r="X379">
        <v>0.99833380000000005</v>
      </c>
      <c r="Y379">
        <v>4.8305180000000003E-2</v>
      </c>
      <c r="Z379">
        <v>3.8708679999999997E-4</v>
      </c>
      <c r="AA379">
        <v>0.99883250000000001</v>
      </c>
      <c r="AB379">
        <v>31</v>
      </c>
      <c r="AC379">
        <v>284.73169999999999</v>
      </c>
      <c r="AD379">
        <v>3.4989439999999998</v>
      </c>
      <c r="AE379">
        <v>-10.3943999999999</v>
      </c>
      <c r="AF379">
        <v>13.770196910733601</v>
      </c>
      <c r="AG379">
        <v>3.4989439999999998</v>
      </c>
      <c r="AH379">
        <v>284.54540328880802</v>
      </c>
      <c r="AI379">
        <v>89.296315053900798</v>
      </c>
      <c r="AJ379">
        <v>87.2294083512502</v>
      </c>
      <c r="AK379">
        <v>284.89989025070901</v>
      </c>
      <c r="AL379">
        <v>93.303141085431605</v>
      </c>
      <c r="AM379">
        <v>90.179323450934106</v>
      </c>
      <c r="AN379">
        <v>1.0000000303632699</v>
      </c>
    </row>
    <row r="380" spans="1:40" x14ac:dyDescent="0.25">
      <c r="A380" t="str">
        <f>"20190305134916946"</f>
        <v>20190305134916946</v>
      </c>
      <c r="B380" t="str">
        <f>"1551764956940888"</f>
        <v>1551764956940888</v>
      </c>
      <c r="C380" t="s">
        <v>40</v>
      </c>
      <c r="D380">
        <v>4.002065</v>
      </c>
      <c r="E380">
        <v>0.52007829999999999</v>
      </c>
      <c r="F380" t="s">
        <v>45</v>
      </c>
      <c r="G380">
        <v>-158.19499999999999</v>
      </c>
      <c r="H380">
        <v>4.6408360000000002</v>
      </c>
      <c r="I380">
        <v>357.32389999999998</v>
      </c>
      <c r="J380">
        <v>-442.75139999999999</v>
      </c>
      <c r="K380">
        <v>1.1084830000000001</v>
      </c>
      <c r="L380">
        <v>367.66899999999998</v>
      </c>
      <c r="M380">
        <v>0.99992139999999996</v>
      </c>
      <c r="N380">
        <v>-4.5130020000000003E-3</v>
      </c>
      <c r="O380">
        <v>1.1699319999999999E-2</v>
      </c>
      <c r="P380">
        <v>0.99793290000000001</v>
      </c>
      <c r="Q380">
        <v>-6.250058E-2</v>
      </c>
      <c r="R380">
        <v>1.4945140000000001E-2</v>
      </c>
      <c r="S380">
        <v>3.0101010000000001</v>
      </c>
      <c r="T380">
        <v>3.7343979999999999E-2</v>
      </c>
      <c r="U380">
        <v>-0.1093445</v>
      </c>
      <c r="V380">
        <v>-3.3058800000000002E-3</v>
      </c>
      <c r="W380">
        <v>-5.7993709999999997E-2</v>
      </c>
      <c r="X380">
        <v>0.99831150000000002</v>
      </c>
      <c r="Y380">
        <v>4.7987130000000003E-2</v>
      </c>
      <c r="Z380">
        <v>3.8711129999999998E-4</v>
      </c>
      <c r="AA380">
        <v>0.99884790000000001</v>
      </c>
      <c r="AB380">
        <v>32</v>
      </c>
      <c r="AC380">
        <v>284.5564</v>
      </c>
      <c r="AD380">
        <v>3.5323530000000001</v>
      </c>
      <c r="AE380">
        <v>-10.3451</v>
      </c>
      <c r="AF380">
        <v>13.671438245127799</v>
      </c>
      <c r="AG380">
        <v>3.5323530000000001</v>
      </c>
      <c r="AH380">
        <v>284.37213009586401</v>
      </c>
      <c r="AI380">
        <v>89.289153050128306</v>
      </c>
      <c r="AJ380">
        <v>87.247574659355095</v>
      </c>
      <c r="AK380">
        <v>284.72248614513302</v>
      </c>
      <c r="AL380">
        <v>93.324660138496199</v>
      </c>
      <c r="AM380">
        <v>90.189732642790901</v>
      </c>
      <c r="AN380">
        <v>1.0000000251371901</v>
      </c>
    </row>
    <row r="381" spans="1:40" x14ac:dyDescent="0.25">
      <c r="A381" t="str">
        <f>"20190305134916958"</f>
        <v>20190305134916958</v>
      </c>
      <c r="B381" t="str">
        <f>"1551764956951623"</f>
        <v>1551764956951623</v>
      </c>
      <c r="C381" t="s">
        <v>40</v>
      </c>
      <c r="D381">
        <v>4.0552039999999998</v>
      </c>
      <c r="E381">
        <v>0.52009870000000002</v>
      </c>
      <c r="F381" t="s">
        <v>45</v>
      </c>
      <c r="G381">
        <v>-158.19499999999999</v>
      </c>
      <c r="H381">
        <v>4.5333550000000002</v>
      </c>
      <c r="I381">
        <v>357.28899999999999</v>
      </c>
      <c r="J381">
        <v>-442.58510000000001</v>
      </c>
      <c r="K381">
        <v>1.1084830000000001</v>
      </c>
      <c r="L381">
        <v>367.67079999999999</v>
      </c>
      <c r="M381">
        <v>0.99992309999999995</v>
      </c>
      <c r="N381">
        <v>-4.5433870000000003E-3</v>
      </c>
      <c r="O381">
        <v>1.1546239999999999E-2</v>
      </c>
      <c r="P381">
        <v>0.99795619999999996</v>
      </c>
      <c r="Q381">
        <v>-6.2162059999999998E-2</v>
      </c>
      <c r="R381">
        <v>1.48135E-2</v>
      </c>
      <c r="S381">
        <v>3.0101010000000001</v>
      </c>
      <c r="T381">
        <v>3.622997E-2</v>
      </c>
      <c r="U381">
        <v>-0.1098022</v>
      </c>
      <c r="V381">
        <v>-3.3259449999999999E-3</v>
      </c>
      <c r="W381">
        <v>-5.7624759999999997E-2</v>
      </c>
      <c r="X381">
        <v>0.99833280000000002</v>
      </c>
      <c r="Y381">
        <v>4.7986189999999998E-2</v>
      </c>
      <c r="Z381">
        <v>3.7099159999999997E-4</v>
      </c>
      <c r="AA381">
        <v>0.99884790000000001</v>
      </c>
      <c r="AB381">
        <v>32</v>
      </c>
      <c r="AC381">
        <v>284.39010000000002</v>
      </c>
      <c r="AD381">
        <v>3.4248720000000001</v>
      </c>
      <c r="AE381">
        <v>-10.381799999999901</v>
      </c>
      <c r="AF381">
        <v>13.662799017885</v>
      </c>
      <c r="AG381">
        <v>3.4248720000000001</v>
      </c>
      <c r="AH381">
        <v>284.210105857543</v>
      </c>
      <c r="AI381">
        <v>89.310387317183299</v>
      </c>
      <c r="AJ381">
        <v>87.247745575179707</v>
      </c>
      <c r="AK381">
        <v>284.55893255488502</v>
      </c>
      <c r="AL381">
        <v>93.303485442645297</v>
      </c>
      <c r="AM381">
        <v>90.190880141758598</v>
      </c>
      <c r="AN381">
        <v>1.0000000272155201</v>
      </c>
    </row>
    <row r="382" spans="1:40" x14ac:dyDescent="0.25">
      <c r="A382" t="str">
        <f>"20190305134916970"</f>
        <v>20190305134916970</v>
      </c>
      <c r="B382" t="str">
        <f>"1551764956961384"</f>
        <v>1551764956961384</v>
      </c>
      <c r="C382" t="s">
        <v>40</v>
      </c>
      <c r="D382">
        <v>4.018383</v>
      </c>
      <c r="E382">
        <v>0.52013189999999998</v>
      </c>
      <c r="F382" t="s">
        <v>45</v>
      </c>
      <c r="G382">
        <v>-158.19499999999999</v>
      </c>
      <c r="H382">
        <v>4.5925449999999897</v>
      </c>
      <c r="I382">
        <v>357.26799999999997</v>
      </c>
      <c r="J382">
        <v>-442.41160000000002</v>
      </c>
      <c r="K382">
        <v>1.1084879999999999</v>
      </c>
      <c r="L382">
        <v>367.67259999999999</v>
      </c>
      <c r="M382">
        <v>0.99992479999999995</v>
      </c>
      <c r="N382">
        <v>-4.575066E-3</v>
      </c>
      <c r="O382">
        <v>1.1389120000000001E-2</v>
      </c>
      <c r="P382">
        <v>0.99793989999999999</v>
      </c>
      <c r="Q382">
        <v>-6.2377299999999997E-2</v>
      </c>
      <c r="R382">
        <v>1.5005080000000001E-2</v>
      </c>
      <c r="S382">
        <v>3.0101010000000001</v>
      </c>
      <c r="T382">
        <v>3.6877630000000002E-2</v>
      </c>
      <c r="U382">
        <v>-0.11010739999999899</v>
      </c>
      <c r="V382">
        <v>-3.6743679999999999E-3</v>
      </c>
      <c r="W382">
        <v>-5.7808230000000002E-2</v>
      </c>
      <c r="X382">
        <v>0.99832089999999996</v>
      </c>
      <c r="Y382">
        <v>4.7930250000000001E-2</v>
      </c>
      <c r="Z382">
        <v>3.753815E-4</v>
      </c>
      <c r="AA382">
        <v>0.99885060000000003</v>
      </c>
      <c r="AB382">
        <v>32</v>
      </c>
      <c r="AC382">
        <v>284.21660000000003</v>
      </c>
      <c r="AD382">
        <v>3.4840569999999902</v>
      </c>
      <c r="AE382">
        <v>-10.404599999999901</v>
      </c>
      <c r="AF382">
        <v>13.638888831370901</v>
      </c>
      <c r="AG382">
        <v>3.4840569999999902</v>
      </c>
      <c r="AH382">
        <v>284.03704034088202</v>
      </c>
      <c r="AI382">
        <v>89.298042094509199</v>
      </c>
      <c r="AJ382">
        <v>87.250883224078194</v>
      </c>
      <c r="AK382">
        <v>284.38565052994699</v>
      </c>
      <c r="AL382">
        <v>93.314015288338297</v>
      </c>
      <c r="AM382">
        <v>90.210878914947202</v>
      </c>
      <c r="AN382">
        <v>0.99999995590637003</v>
      </c>
    </row>
    <row r="383" spans="1:40" x14ac:dyDescent="0.25">
      <c r="A383" t="str">
        <f>"20190305134916981"</f>
        <v>20190305134916981</v>
      </c>
      <c r="B383" t="str">
        <f>"1551764956971144"</f>
        <v>1551764956971144</v>
      </c>
      <c r="C383" t="s">
        <v>40</v>
      </c>
      <c r="D383">
        <v>4.0234360000000002</v>
      </c>
      <c r="E383">
        <v>0.52013450000000006</v>
      </c>
      <c r="F383" t="s">
        <v>45</v>
      </c>
      <c r="G383">
        <v>-158.19499999999999</v>
      </c>
      <c r="H383">
        <v>4.5364050000000002</v>
      </c>
      <c r="I383">
        <v>357.28800000000001</v>
      </c>
      <c r="J383">
        <v>-442.24689999999998</v>
      </c>
      <c r="K383">
        <v>1.1085069999999999</v>
      </c>
      <c r="L383">
        <v>367.67439999999999</v>
      </c>
      <c r="M383">
        <v>0.99992610000000004</v>
      </c>
      <c r="N383">
        <v>-4.6051169999999997E-3</v>
      </c>
      <c r="O383">
        <v>1.124793E-2</v>
      </c>
      <c r="P383">
        <v>0.99794039999999995</v>
      </c>
      <c r="Q383">
        <v>-6.2371990000000002E-2</v>
      </c>
      <c r="R383">
        <v>1.4995970000000001E-2</v>
      </c>
      <c r="S383">
        <v>3.0101619999999998</v>
      </c>
      <c r="T383">
        <v>3.630626E-2</v>
      </c>
      <c r="U383">
        <v>-0.1099854</v>
      </c>
      <c r="V383">
        <v>-3.8057619999999999E-3</v>
      </c>
      <c r="W383">
        <v>-5.777289E-2</v>
      </c>
      <c r="X383">
        <v>0.9983225</v>
      </c>
      <c r="Y383">
        <v>4.7748180000000001E-2</v>
      </c>
      <c r="Z383">
        <v>3.652568E-4</v>
      </c>
      <c r="AA383">
        <v>0.99885930000000001</v>
      </c>
      <c r="AB383">
        <v>32</v>
      </c>
      <c r="AC383">
        <v>284.05189999999999</v>
      </c>
      <c r="AD383">
        <v>3.4278979999999999</v>
      </c>
      <c r="AE383">
        <v>-10.386399999999901</v>
      </c>
      <c r="AF383">
        <v>13.5787979400368</v>
      </c>
      <c r="AG383">
        <v>3.4278979999999999</v>
      </c>
      <c r="AH383">
        <v>283.87581721874398</v>
      </c>
      <c r="AI383">
        <v>89.308957449236303</v>
      </c>
      <c r="AJ383">
        <v>87.2614248735578</v>
      </c>
      <c r="AK383">
        <v>284.22106508808298</v>
      </c>
      <c r="AL383">
        <v>93.311986911782299</v>
      </c>
      <c r="AM383">
        <v>90.218419442762297</v>
      </c>
      <c r="AN383">
        <v>1.0000000023247999</v>
      </c>
    </row>
    <row r="384" spans="1:40" x14ac:dyDescent="0.25">
      <c r="A384" t="str">
        <f>"20190305134916995"</f>
        <v>20190305134916995</v>
      </c>
      <c r="B384" t="str">
        <f>"1551764956991640"</f>
        <v>1551764956991640</v>
      </c>
      <c r="C384" t="s">
        <v>40</v>
      </c>
      <c r="D384">
        <v>4.0239719999999997</v>
      </c>
      <c r="E384">
        <v>0.52008299999999996</v>
      </c>
      <c r="F384" t="s">
        <v>45</v>
      </c>
      <c r="G384">
        <v>-158.19499999999999</v>
      </c>
      <c r="H384">
        <v>4.5607939999999996</v>
      </c>
      <c r="I384">
        <v>357.28680000000003</v>
      </c>
      <c r="J384">
        <v>-442.06990000000002</v>
      </c>
      <c r="K384">
        <v>1.108519</v>
      </c>
      <c r="L384">
        <v>367.67619999999999</v>
      </c>
      <c r="M384">
        <v>0.99992780000000003</v>
      </c>
      <c r="N384">
        <v>-4.6373500000000002E-3</v>
      </c>
      <c r="O384">
        <v>1.11E-2</v>
      </c>
      <c r="P384">
        <v>0.99798100000000001</v>
      </c>
      <c r="Q384">
        <v>-6.1660159999999999E-2</v>
      </c>
      <c r="R384">
        <v>1.5240099999999999E-2</v>
      </c>
      <c r="S384">
        <v>3.0101010000000001</v>
      </c>
      <c r="T384">
        <v>3.6584850000000002E-2</v>
      </c>
      <c r="U384">
        <v>-0.11007690000000001</v>
      </c>
      <c r="V384">
        <v>-4.1958159999999998E-3</v>
      </c>
      <c r="W384">
        <v>-5.7028519999999999E-2</v>
      </c>
      <c r="X384">
        <v>0.99836369999999997</v>
      </c>
      <c r="Y384">
        <v>4.763146E-2</v>
      </c>
      <c r="Z384">
        <v>3.651854E-4</v>
      </c>
      <c r="AA384">
        <v>0.99886490000000006</v>
      </c>
      <c r="AB384">
        <v>32</v>
      </c>
      <c r="AC384">
        <v>283.87490000000003</v>
      </c>
      <c r="AD384">
        <v>3.4522750000000002</v>
      </c>
      <c r="AE384">
        <v>-10.389399999999901</v>
      </c>
      <c r="AF384">
        <v>13.537805184418501</v>
      </c>
      <c r="AG384">
        <v>3.4522750000000002</v>
      </c>
      <c r="AH384">
        <v>283.700185385314</v>
      </c>
      <c r="AI384">
        <v>89.303609061733397</v>
      </c>
      <c r="AJ384">
        <v>87.267992058685294</v>
      </c>
      <c r="AK384">
        <v>284.04398525501</v>
      </c>
      <c r="AL384">
        <v>93.269267331007498</v>
      </c>
      <c r="AM384">
        <v>90.240795146145899</v>
      </c>
      <c r="AN384">
        <v>0.99999996722149198</v>
      </c>
    </row>
    <row r="385" spans="1:40" x14ac:dyDescent="0.25">
      <c r="A385" t="str">
        <f>"20190305134917012"</f>
        <v>20190305134917012</v>
      </c>
      <c r="B385" t="str">
        <f>"1551764957001400"</f>
        <v>1551764957001400</v>
      </c>
      <c r="C385" t="s">
        <v>40</v>
      </c>
      <c r="D385">
        <v>4.0212529999999997</v>
      </c>
      <c r="E385">
        <v>0.51964390000000005</v>
      </c>
      <c r="F385" t="s">
        <v>45</v>
      </c>
      <c r="G385">
        <v>-158.19499999999999</v>
      </c>
      <c r="H385">
        <v>4.6418759999999999</v>
      </c>
      <c r="I385">
        <v>357.36689999999999</v>
      </c>
      <c r="J385">
        <v>-441.82530000000003</v>
      </c>
      <c r="K385">
        <v>1.1085510000000001</v>
      </c>
      <c r="L385">
        <v>367.67880000000002</v>
      </c>
      <c r="M385">
        <v>0.99992959999999997</v>
      </c>
      <c r="N385">
        <v>-4.6816740000000003E-3</v>
      </c>
      <c r="O385">
        <v>1.090701E-2</v>
      </c>
      <c r="P385">
        <v>0.99817420000000001</v>
      </c>
      <c r="Q385">
        <v>-5.8471250000000002E-2</v>
      </c>
      <c r="R385">
        <v>1.515448E-2</v>
      </c>
      <c r="S385">
        <v>3.01004</v>
      </c>
      <c r="T385">
        <v>3.7466529999999998E-2</v>
      </c>
      <c r="U385">
        <v>-0.10931399999999999</v>
      </c>
      <c r="V385">
        <v>-4.2975130000000002E-3</v>
      </c>
      <c r="W385">
        <v>-5.379453E-2</v>
      </c>
      <c r="X385">
        <v>0.99854279999999995</v>
      </c>
      <c r="Y385">
        <v>4.7186430000000001E-2</v>
      </c>
      <c r="Z385">
        <v>3.6982379999999997E-4</v>
      </c>
      <c r="AA385">
        <v>0.99888600000000005</v>
      </c>
      <c r="AB385">
        <v>32</v>
      </c>
      <c r="AC385">
        <v>283.63029999999998</v>
      </c>
      <c r="AD385">
        <v>3.533325</v>
      </c>
      <c r="AE385">
        <v>-10.3119</v>
      </c>
      <c r="AF385">
        <v>13.402801663877099</v>
      </c>
      <c r="AG385">
        <v>3.533325</v>
      </c>
      <c r="AH385">
        <v>283.457023726008</v>
      </c>
      <c r="AI385">
        <v>89.2866352977167</v>
      </c>
      <c r="AJ385">
        <v>87.292879045314393</v>
      </c>
      <c r="AK385">
        <v>283.79570782096602</v>
      </c>
      <c r="AL385">
        <v>93.0836879732136</v>
      </c>
      <c r="AM385">
        <v>90.246587163868597</v>
      </c>
      <c r="AN385">
        <v>1.00000002175387</v>
      </c>
    </row>
    <row r="386" spans="1:40" x14ac:dyDescent="0.25">
      <c r="A386" t="str">
        <f>"20190305134917024"</f>
        <v>20190305134917024</v>
      </c>
      <c r="B386" t="str">
        <f>"1551764957020919"</f>
        <v>1551764957020919</v>
      </c>
      <c r="C386" t="s">
        <v>40</v>
      </c>
      <c r="D386">
        <v>4.0039119999999997</v>
      </c>
      <c r="E386">
        <v>0.50546400000000002</v>
      </c>
      <c r="F386" t="s">
        <v>45</v>
      </c>
      <c r="G386">
        <v>-158.19499999999999</v>
      </c>
      <c r="H386">
        <v>5.2862299999999998</v>
      </c>
      <c r="I386">
        <v>357.66770000000002</v>
      </c>
      <c r="J386">
        <v>-441.63589999999999</v>
      </c>
      <c r="K386">
        <v>1.1085700000000001</v>
      </c>
      <c r="L386">
        <v>367.6807</v>
      </c>
      <c r="M386">
        <v>0.99993080000000001</v>
      </c>
      <c r="N386">
        <v>-4.7159050000000003E-3</v>
      </c>
      <c r="O386">
        <v>1.077066E-2</v>
      </c>
      <c r="P386">
        <v>0.99825019999999998</v>
      </c>
      <c r="Q386">
        <v>-5.7089599999999997E-2</v>
      </c>
      <c r="R386">
        <v>1.540615E-2</v>
      </c>
      <c r="S386">
        <v>3.0097049999999999</v>
      </c>
      <c r="T386">
        <v>4.4331790000000003E-2</v>
      </c>
      <c r="U386">
        <v>-0.1062317</v>
      </c>
      <c r="V386">
        <v>-4.6825879999999997E-3</v>
      </c>
      <c r="W386">
        <v>-5.2378250000000001E-2</v>
      </c>
      <c r="X386">
        <v>0.99861630000000001</v>
      </c>
      <c r="Y386">
        <v>4.6031019999999999E-2</v>
      </c>
      <c r="Z386">
        <v>4.3967589999999998E-4</v>
      </c>
      <c r="AA386">
        <v>0.99893989999999999</v>
      </c>
      <c r="AB386">
        <v>32</v>
      </c>
      <c r="AC386">
        <v>283.4409</v>
      </c>
      <c r="AD386">
        <v>4.1776599999999897</v>
      </c>
      <c r="AE386">
        <v>-10.0129999999999</v>
      </c>
      <c r="AF386">
        <v>13.0624647570442</v>
      </c>
      <c r="AG386">
        <v>4.1776599999999897</v>
      </c>
      <c r="AH386">
        <v>283.25515290470702</v>
      </c>
      <c r="AI386">
        <v>89.155916947690898</v>
      </c>
      <c r="AJ386">
        <v>87.359644740014105</v>
      </c>
      <c r="AK386">
        <v>283.58695752039398</v>
      </c>
      <c r="AL386">
        <v>93.002426698722701</v>
      </c>
      <c r="AM386">
        <v>90.268662311309697</v>
      </c>
      <c r="AN386">
        <v>0.99999996116456402</v>
      </c>
    </row>
    <row r="387" spans="1:40" x14ac:dyDescent="0.25">
      <c r="A387" t="str">
        <f>"20190305134917038"</f>
        <v>20190305134917038</v>
      </c>
      <c r="B387" t="str">
        <f>"1551764957031656"</f>
        <v>1551764957031656</v>
      </c>
      <c r="C387" t="s">
        <v>40</v>
      </c>
      <c r="D387">
        <v>3.9759380000000002</v>
      </c>
      <c r="E387">
        <v>0.50601830000000003</v>
      </c>
      <c r="F387" t="s">
        <v>42</v>
      </c>
      <c r="G387">
        <v>-365.8571</v>
      </c>
      <c r="H387" s="1">
        <v>-2.0790770000000001E-6</v>
      </c>
      <c r="I387">
        <v>367.81540000000001</v>
      </c>
      <c r="J387">
        <v>-441.45359999999999</v>
      </c>
      <c r="K387">
        <v>1.108587</v>
      </c>
      <c r="L387">
        <v>367.68259999999998</v>
      </c>
      <c r="M387">
        <v>0.99993220000000005</v>
      </c>
      <c r="N387">
        <v>-4.7488180000000001E-3</v>
      </c>
      <c r="O387">
        <v>1.064756E-2</v>
      </c>
      <c r="P387">
        <v>0.99830620000000003</v>
      </c>
      <c r="Q387">
        <v>-5.6163079999999997E-2</v>
      </c>
      <c r="R387">
        <v>1.519827E-2</v>
      </c>
      <c r="S387">
        <v>3.0026549999999999</v>
      </c>
      <c r="T387">
        <v>-4.392588E-2</v>
      </c>
      <c r="U387">
        <v>5.3405759999999997E-3</v>
      </c>
      <c r="V387">
        <v>-4.5947239999999997E-3</v>
      </c>
      <c r="W387">
        <v>-5.1418770000000003E-2</v>
      </c>
      <c r="X387">
        <v>0.99866659999999996</v>
      </c>
      <c r="Y387">
        <v>8.8673710000000006E-3</v>
      </c>
      <c r="Z387">
        <v>-1.91103E-4</v>
      </c>
      <c r="AA387">
        <v>0.99996070000000004</v>
      </c>
      <c r="AB387">
        <v>32</v>
      </c>
      <c r="AC387">
        <v>75.596499999999907</v>
      </c>
      <c r="AD387">
        <v>-1.1085890790770001</v>
      </c>
      <c r="AE387">
        <v>0.132800000000031</v>
      </c>
      <c r="AF387">
        <v>0.67199023196465402</v>
      </c>
      <c r="AG387">
        <v>-1.1085890790770001</v>
      </c>
      <c r="AH387">
        <v>75.577375783780496</v>
      </c>
      <c r="AI387">
        <v>90.840336276166198</v>
      </c>
      <c r="AJ387">
        <v>89.490572553136303</v>
      </c>
      <c r="AK387">
        <v>75.588492979956101</v>
      </c>
      <c r="AL387">
        <v>92.947378270699105</v>
      </c>
      <c r="AM387">
        <v>90.263607930523705</v>
      </c>
      <c r="AN387">
        <v>0.99999998967625403</v>
      </c>
    </row>
    <row r="388" spans="1:40" x14ac:dyDescent="0.25">
      <c r="A388" t="str">
        <f>"20190305134917051"</f>
        <v>20190305134917051</v>
      </c>
      <c r="B388" t="str">
        <f>"1551764957041415"</f>
        <v>1551764957041415</v>
      </c>
      <c r="C388" t="s">
        <v>40</v>
      </c>
      <c r="D388">
        <v>3.9315799999999999</v>
      </c>
      <c r="E388">
        <v>0.50649730000000004</v>
      </c>
      <c r="F388" t="s">
        <v>42</v>
      </c>
      <c r="G388">
        <v>-359.7097</v>
      </c>
      <c r="H388" s="1">
        <v>-5.9652910000000003E-7</v>
      </c>
      <c r="I388">
        <v>367.69330000000002</v>
      </c>
      <c r="J388">
        <v>-441.25889999999998</v>
      </c>
      <c r="K388">
        <v>1.108598</v>
      </c>
      <c r="L388">
        <v>367.68450000000001</v>
      </c>
      <c r="M388">
        <v>0.99993330000000002</v>
      </c>
      <c r="N388">
        <v>-4.7554030000000001E-3</v>
      </c>
      <c r="O388">
        <v>1.052352E-2</v>
      </c>
      <c r="P388">
        <v>0.99832310000000002</v>
      </c>
      <c r="Q388">
        <v>-5.5815320000000002E-2</v>
      </c>
      <c r="R388">
        <v>1.535073E-2</v>
      </c>
      <c r="S388">
        <v>3.0028079999999999</v>
      </c>
      <c r="T388">
        <v>-4.0723200000000001E-2</v>
      </c>
      <c r="U388">
        <v>3.9672850000000001E-4</v>
      </c>
      <c r="V388">
        <v>-4.8695819999999999E-3</v>
      </c>
      <c r="W388">
        <v>-5.106434E-2</v>
      </c>
      <c r="X388">
        <v>0.99868349999999995</v>
      </c>
      <c r="Y388">
        <v>1.0389829999999999E-2</v>
      </c>
      <c r="Z388">
        <v>-1.878196E-4</v>
      </c>
      <c r="AA388">
        <v>0.999946</v>
      </c>
      <c r="AB388">
        <v>32</v>
      </c>
      <c r="AC388">
        <v>81.5491999999999</v>
      </c>
      <c r="AD388">
        <v>-1.1085985965291001</v>
      </c>
      <c r="AE388">
        <v>8.8000000000079091E-3</v>
      </c>
      <c r="AF388">
        <v>0.849237902262446</v>
      </c>
      <c r="AG388">
        <v>-1.1085985965291001</v>
      </c>
      <c r="AH388">
        <v>81.529709876614803</v>
      </c>
      <c r="AI388">
        <v>90.778987950844297</v>
      </c>
      <c r="AJ388">
        <v>89.403211565291301</v>
      </c>
      <c r="AK388">
        <v>81.541669031409</v>
      </c>
      <c r="AL388">
        <v>92.927044165142703</v>
      </c>
      <c r="AM388">
        <v>90.279372078803505</v>
      </c>
      <c r="AN388">
        <v>1.00000000641037</v>
      </c>
    </row>
    <row r="389" spans="1:40" x14ac:dyDescent="0.25">
      <c r="A389" t="str">
        <f>"20190305134917069"</f>
        <v>20190305134917069</v>
      </c>
      <c r="B389" t="str">
        <f>"1551764957060936"</f>
        <v>1551764957060936</v>
      </c>
      <c r="C389" t="s">
        <v>40</v>
      </c>
      <c r="D389">
        <v>3.8967890000000001</v>
      </c>
      <c r="E389">
        <v>0.5073685</v>
      </c>
      <c r="F389" t="s">
        <v>42</v>
      </c>
      <c r="G389">
        <v>-358.86520000000002</v>
      </c>
      <c r="H389" s="1">
        <v>-9.0898659999999999E-7</v>
      </c>
      <c r="I389">
        <v>367.59910000000002</v>
      </c>
      <c r="J389">
        <v>-440.98790000000002</v>
      </c>
      <c r="K389">
        <v>1.108509</v>
      </c>
      <c r="L389">
        <v>367.68720000000002</v>
      </c>
      <c r="M389">
        <v>0.99993679999999996</v>
      </c>
      <c r="N389">
        <v>-4.3745629999999997E-3</v>
      </c>
      <c r="O389">
        <v>1.036897E-2</v>
      </c>
      <c r="P389">
        <v>0.99835879999999999</v>
      </c>
      <c r="Q389">
        <v>-5.5022380000000003E-2</v>
      </c>
      <c r="R389">
        <v>1.5878739999999999E-2</v>
      </c>
      <c r="S389">
        <v>3.002869</v>
      </c>
      <c r="T389">
        <v>-4.0403250000000002E-2</v>
      </c>
      <c r="U389">
        <v>-3.112793E-3</v>
      </c>
      <c r="V389">
        <v>-5.5487710000000001E-3</v>
      </c>
      <c r="W389">
        <v>-5.065149E-2</v>
      </c>
      <c r="X389">
        <v>0.99870099999999995</v>
      </c>
      <c r="Y389">
        <v>1.140382E-2</v>
      </c>
      <c r="Z389">
        <v>-1.9580619999999999E-4</v>
      </c>
      <c r="AA389">
        <v>0.99993500000000002</v>
      </c>
      <c r="AB389">
        <v>32</v>
      </c>
      <c r="AC389">
        <v>82.122699999999995</v>
      </c>
      <c r="AD389">
        <v>-1.1085099089866</v>
      </c>
      <c r="AE389">
        <v>-8.8099999999997097E-2</v>
      </c>
      <c r="AF389">
        <v>0.93945994395961097</v>
      </c>
      <c r="AG389">
        <v>-1.1085099089866</v>
      </c>
      <c r="AH389">
        <v>82.102412357852103</v>
      </c>
      <c r="AI389">
        <v>90.773484260356895</v>
      </c>
      <c r="AJ389">
        <v>89.344419497238704</v>
      </c>
      <c r="AK389">
        <v>82.115269555566897</v>
      </c>
      <c r="AL389">
        <v>92.9033588979093</v>
      </c>
      <c r="AM389">
        <v>90.318331401031799</v>
      </c>
      <c r="AN389">
        <v>1.0000000248499099</v>
      </c>
    </row>
    <row r="390" spans="1:40" x14ac:dyDescent="0.25">
      <c r="A390" t="str">
        <f>"20190305134917083"</f>
        <v>20190305134917083</v>
      </c>
      <c r="B390" t="str">
        <f>"1551764957071673"</f>
        <v>1551764957071673</v>
      </c>
      <c r="C390" t="s">
        <v>40</v>
      </c>
      <c r="D390">
        <v>3.8767119999999999</v>
      </c>
      <c r="E390">
        <v>0.5074533</v>
      </c>
      <c r="F390" t="s">
        <v>42</v>
      </c>
      <c r="G390">
        <v>-341.77499999999998</v>
      </c>
      <c r="H390" s="1">
        <v>-4.2609350000000001E-6</v>
      </c>
      <c r="I390">
        <v>367.40390000000002</v>
      </c>
      <c r="J390">
        <v>-440.79320000000001</v>
      </c>
      <c r="K390">
        <v>1.1083889999999901</v>
      </c>
      <c r="L390">
        <v>367.68920000000003</v>
      </c>
      <c r="M390">
        <v>0.99993869999999896</v>
      </c>
      <c r="N390">
        <v>-4.1390610000000003E-3</v>
      </c>
      <c r="O390">
        <v>1.027483E-2</v>
      </c>
      <c r="P390">
        <v>0.99837279999999995</v>
      </c>
      <c r="Q390">
        <v>-5.4724099999999998E-2</v>
      </c>
      <c r="R390">
        <v>1.6050459999999999E-2</v>
      </c>
      <c r="S390">
        <v>3.003174</v>
      </c>
      <c r="T390">
        <v>-3.3554670000000002E-2</v>
      </c>
      <c r="U390">
        <v>-8.5754390000000007E-3</v>
      </c>
      <c r="V390">
        <v>-5.8130909999999899E-3</v>
      </c>
      <c r="W390">
        <v>-5.0588399999999999E-2</v>
      </c>
      <c r="X390">
        <v>0.9987026</v>
      </c>
      <c r="Y390">
        <v>1.3128799999999901E-2</v>
      </c>
      <c r="Z390">
        <v>-1.7278249999999999E-4</v>
      </c>
      <c r="AA390">
        <v>0.99991379999999996</v>
      </c>
      <c r="AB390">
        <v>32</v>
      </c>
      <c r="AC390">
        <v>99.018199999999993</v>
      </c>
      <c r="AD390">
        <v>-1.10839326093499</v>
      </c>
      <c r="AE390">
        <v>-0.28530000000000599</v>
      </c>
      <c r="AF390">
        <v>1.30252556403324</v>
      </c>
      <c r="AG390">
        <v>-1.10839326093499</v>
      </c>
      <c r="AH390">
        <v>98.997637067638493</v>
      </c>
      <c r="AI390">
        <v>90.641410330540893</v>
      </c>
      <c r="AJ390">
        <v>89.246195022193106</v>
      </c>
      <c r="AK390">
        <v>99.012409593150096</v>
      </c>
      <c r="AL390">
        <v>92.899739740233997</v>
      </c>
      <c r="AM390">
        <v>90.333494494651802</v>
      </c>
      <c r="AN390">
        <v>0.99999993074414395</v>
      </c>
    </row>
    <row r="391" spans="1:40" x14ac:dyDescent="0.25">
      <c r="A391" t="str">
        <f>"20190305134917102"</f>
        <v>20190305134917102</v>
      </c>
      <c r="B391" t="str">
        <f>"1551764957091192"</f>
        <v>1551764957091192</v>
      </c>
      <c r="C391" t="s">
        <v>40</v>
      </c>
      <c r="D391">
        <v>3.8559160000000001</v>
      </c>
      <c r="E391">
        <v>0.50760039999999995</v>
      </c>
      <c r="F391" t="s">
        <v>42</v>
      </c>
      <c r="G391">
        <v>-329.66469999999998</v>
      </c>
      <c r="H391" s="1">
        <v>-6.9709769999999903E-7</v>
      </c>
      <c r="I391">
        <v>367.37299999999999</v>
      </c>
      <c r="J391">
        <v>-440.50839999999999</v>
      </c>
      <c r="K391">
        <v>1.1081639999999999</v>
      </c>
      <c r="L391">
        <v>367.69200000000001</v>
      </c>
      <c r="M391">
        <v>0.99994059999999996</v>
      </c>
      <c r="N391">
        <v>-3.9992300000000003E-3</v>
      </c>
      <c r="O391">
        <v>1.015802E-2</v>
      </c>
      <c r="P391">
        <v>0.99830439999999998</v>
      </c>
      <c r="Q391">
        <v>-5.5643100000000001E-2</v>
      </c>
      <c r="R391">
        <v>1.7109019999999999E-2</v>
      </c>
      <c r="S391">
        <v>3.003387</v>
      </c>
      <c r="T391">
        <v>-2.995563E-2</v>
      </c>
      <c r="U391">
        <v>-8.5449219999999999E-3</v>
      </c>
      <c r="V391">
        <v>-6.9861109999999997E-3</v>
      </c>
      <c r="W391">
        <v>-5.1647150000000003E-2</v>
      </c>
      <c r="X391">
        <v>0.998641</v>
      </c>
      <c r="Y391">
        <v>1.300191E-2</v>
      </c>
      <c r="Z391">
        <v>-1.5152610000000001E-4</v>
      </c>
      <c r="AA391">
        <v>0.99991549999999996</v>
      </c>
      <c r="AB391">
        <v>33</v>
      </c>
      <c r="AC391">
        <v>110.8437</v>
      </c>
      <c r="AD391">
        <v>-1.1081646970976999</v>
      </c>
      <c r="AE391">
        <v>-0.31899999999990297</v>
      </c>
      <c r="AF391">
        <v>1.4448004436381701</v>
      </c>
      <c r="AG391">
        <v>-1.1081646970976999</v>
      </c>
      <c r="AH391">
        <v>110.823663775169</v>
      </c>
      <c r="AI391">
        <v>90.572852831949902</v>
      </c>
      <c r="AJ391">
        <v>89.253081197132701</v>
      </c>
      <c r="AK391">
        <v>110.83862111136899</v>
      </c>
      <c r="AL391">
        <v>92.9604807403161</v>
      </c>
      <c r="AM391">
        <v>90.400812850728798</v>
      </c>
      <c r="AN391">
        <v>1.00000004036551</v>
      </c>
    </row>
    <row r="392" spans="1:40" x14ac:dyDescent="0.25">
      <c r="A392" t="str">
        <f>"20190305134917115"</f>
        <v>20190305134917115</v>
      </c>
      <c r="B392" t="str">
        <f>"1551764957111688"</f>
        <v>1551764957111688</v>
      </c>
      <c r="C392" t="s">
        <v>40</v>
      </c>
      <c r="D392">
        <v>3.8232170000000001</v>
      </c>
      <c r="E392">
        <v>0.50831570000000004</v>
      </c>
      <c r="F392" t="s">
        <v>43</v>
      </c>
      <c r="G392">
        <v>-307.28399999999999</v>
      </c>
      <c r="H392">
        <v>-0.05</v>
      </c>
      <c r="I392">
        <v>367.41180000000003</v>
      </c>
      <c r="J392">
        <v>-440.32279999999997</v>
      </c>
      <c r="K392">
        <v>1.107977</v>
      </c>
      <c r="L392">
        <v>367.69380000000001</v>
      </c>
      <c r="M392">
        <v>0.99994070000000002</v>
      </c>
      <c r="N392">
        <v>-4.0930369999999999E-3</v>
      </c>
      <c r="O392">
        <v>1.0097989999999999E-2</v>
      </c>
      <c r="P392">
        <v>0.99829210000000002</v>
      </c>
      <c r="Q392">
        <v>-5.5841870000000002E-2</v>
      </c>
      <c r="R392">
        <v>1.716958E-2</v>
      </c>
      <c r="S392">
        <v>3.003784</v>
      </c>
      <c r="T392">
        <v>-2.611291E-2</v>
      </c>
      <c r="U392">
        <v>-6.3171390000000003E-3</v>
      </c>
      <c r="V392">
        <v>-7.1051179999999997E-3</v>
      </c>
      <c r="W392">
        <v>-5.1752510000000002E-2</v>
      </c>
      <c r="X392">
        <v>0.99863460000000004</v>
      </c>
      <c r="Y392">
        <v>1.220021E-2</v>
      </c>
      <c r="Z392">
        <v>-1.2444910000000001E-4</v>
      </c>
      <c r="AA392">
        <v>0.99992559999999997</v>
      </c>
      <c r="AB392">
        <v>33</v>
      </c>
      <c r="AC392">
        <v>133.03879999999899</v>
      </c>
      <c r="AD392">
        <v>-1.157977</v>
      </c>
      <c r="AE392">
        <v>-0.28199999999998199</v>
      </c>
      <c r="AF392">
        <v>1.62529812951584</v>
      </c>
      <c r="AG392">
        <v>-1.157977</v>
      </c>
      <c r="AH392">
        <v>133.01909155717999</v>
      </c>
      <c r="AI392">
        <v>90.498729667559999</v>
      </c>
      <c r="AJ392">
        <v>89.299964475620101</v>
      </c>
      <c r="AK392">
        <v>133.03406038845699</v>
      </c>
      <c r="AL392">
        <v>92.966525821128002</v>
      </c>
      <c r="AM392">
        <v>90.407643001169902</v>
      </c>
      <c r="AN392">
        <v>0.99999993465512405</v>
      </c>
    </row>
    <row r="393" spans="1:40" x14ac:dyDescent="0.25">
      <c r="A393" t="str">
        <f>"20190305134917128"</f>
        <v>20190305134917128</v>
      </c>
      <c r="B393" t="str">
        <f>"1551764957121448"</f>
        <v>1551764957121448</v>
      </c>
      <c r="C393" t="s">
        <v>40</v>
      </c>
      <c r="D393">
        <v>3.8034810000000001</v>
      </c>
      <c r="E393">
        <v>0.50851570000000001</v>
      </c>
      <c r="F393" t="s">
        <v>43</v>
      </c>
      <c r="G393">
        <v>-297.60969999999998</v>
      </c>
      <c r="H393">
        <v>-0.05</v>
      </c>
      <c r="I393">
        <v>367.1284</v>
      </c>
      <c r="J393">
        <v>-440.12180000000001</v>
      </c>
      <c r="K393">
        <v>1.1077360000000001</v>
      </c>
      <c r="L393">
        <v>367.69580000000002</v>
      </c>
      <c r="M393">
        <v>0.99994000000000005</v>
      </c>
      <c r="N393">
        <v>-4.3687489999999999E-3</v>
      </c>
      <c r="O393">
        <v>1.0046309999999999E-2</v>
      </c>
      <c r="P393">
        <v>0.99822500000000003</v>
      </c>
      <c r="Q393">
        <v>-5.6948390000000002E-2</v>
      </c>
      <c r="R393">
        <v>1.7433730000000001E-2</v>
      </c>
      <c r="S393">
        <v>3.0039669999999998</v>
      </c>
      <c r="T393">
        <v>-2.437425E-2</v>
      </c>
      <c r="U393">
        <v>-1.190186E-2</v>
      </c>
      <c r="V393">
        <v>-7.4200309999999997E-3</v>
      </c>
      <c r="W393">
        <v>-5.2584119999999998E-2</v>
      </c>
      <c r="X393">
        <v>0.9985889</v>
      </c>
      <c r="Y393">
        <v>1.400736E-2</v>
      </c>
      <c r="Z393">
        <v>-1.2504899999999999E-4</v>
      </c>
      <c r="AA393">
        <v>0.99990190000000001</v>
      </c>
      <c r="AB393">
        <v>33</v>
      </c>
      <c r="AC393">
        <v>142.5121</v>
      </c>
      <c r="AD393">
        <v>-1.1577360000000001</v>
      </c>
      <c r="AE393">
        <v>-0.56740000000002</v>
      </c>
      <c r="AF393">
        <v>1.9989738293985999</v>
      </c>
      <c r="AG393">
        <v>-1.1577360000000001</v>
      </c>
      <c r="AH393">
        <v>142.48980403121101</v>
      </c>
      <c r="AI393">
        <v>90.465474714266193</v>
      </c>
      <c r="AJ393">
        <v>89.1962565200688</v>
      </c>
      <c r="AK393">
        <v>142.50852782156301</v>
      </c>
      <c r="AL393">
        <v>93.014238435717601</v>
      </c>
      <c r="AM393">
        <v>90.425729382855195</v>
      </c>
      <c r="AN393">
        <v>0.99999996886971199</v>
      </c>
    </row>
    <row r="394" spans="1:40" x14ac:dyDescent="0.25">
      <c r="A394" t="str">
        <f>"20190305134917148"</f>
        <v>20190305134917148</v>
      </c>
      <c r="B394" t="str">
        <f>"1551764957140967"</f>
        <v>1551764957140967</v>
      </c>
      <c r="C394" t="s">
        <v>40</v>
      </c>
      <c r="D394">
        <v>3.829844</v>
      </c>
      <c r="E394">
        <v>0.50884220000000002</v>
      </c>
      <c r="F394" t="s">
        <v>43</v>
      </c>
      <c r="G394">
        <v>-312.9341</v>
      </c>
      <c r="H394">
        <v>-0.05</v>
      </c>
      <c r="I394">
        <v>367.16090000000003</v>
      </c>
      <c r="J394">
        <v>-439.83909999999997</v>
      </c>
      <c r="K394">
        <v>1.10748</v>
      </c>
      <c r="L394">
        <v>367.6986</v>
      </c>
      <c r="M394">
        <v>0.9999323</v>
      </c>
      <c r="N394">
        <v>-5.9623860000000001E-3</v>
      </c>
      <c r="O394">
        <v>9.9917319999999997E-3</v>
      </c>
      <c r="P394">
        <v>0.99800900000000003</v>
      </c>
      <c r="Q394">
        <v>-6.0524509999999997E-2</v>
      </c>
      <c r="R394">
        <v>1.7757869999999999E-2</v>
      </c>
      <c r="S394">
        <v>3.0039980000000002</v>
      </c>
      <c r="T394">
        <v>-2.7344110000000001E-2</v>
      </c>
      <c r="U394">
        <v>-1.2634279999999999E-2</v>
      </c>
      <c r="V394">
        <v>-7.7987019999999898E-3</v>
      </c>
      <c r="W394">
        <v>-5.4570180000000003E-2</v>
      </c>
      <c r="X394">
        <v>0.99847949999999996</v>
      </c>
      <c r="Y394">
        <v>1.419637E-2</v>
      </c>
      <c r="Z394">
        <v>-1.38307E-4</v>
      </c>
      <c r="AA394">
        <v>0.99989919999999999</v>
      </c>
      <c r="AB394">
        <v>33</v>
      </c>
      <c r="AC394">
        <v>126.90499999999901</v>
      </c>
      <c r="AD394">
        <v>-1.1574799999999901</v>
      </c>
      <c r="AE394">
        <v>-0.53769999999997198</v>
      </c>
      <c r="AF394">
        <v>1.8055462532348701</v>
      </c>
      <c r="AG394">
        <v>-1.1574799999999901</v>
      </c>
      <c r="AH394">
        <v>126.88273705842001</v>
      </c>
      <c r="AI394">
        <v>90.522609835270501</v>
      </c>
      <c r="AJ394">
        <v>89.184733868513703</v>
      </c>
      <c r="AK394">
        <v>126.9008617806</v>
      </c>
      <c r="AL394">
        <v>93.128194834174593</v>
      </c>
      <c r="AM394">
        <v>90.447504054164796</v>
      </c>
      <c r="AN394">
        <v>1.0000000181091799</v>
      </c>
    </row>
    <row r="395" spans="1:40" x14ac:dyDescent="0.25">
      <c r="A395" t="str">
        <f>"20190305134917161"</f>
        <v>20190305134917161</v>
      </c>
      <c r="B395" t="str">
        <f>"1551764957151704"</f>
        <v>1551764957151704</v>
      </c>
      <c r="C395" t="s">
        <v>40</v>
      </c>
      <c r="D395">
        <v>3.8237809999999999</v>
      </c>
      <c r="E395">
        <v>0.50889410000000002</v>
      </c>
      <c r="F395" t="s">
        <v>42</v>
      </c>
      <c r="G395">
        <v>-349.38060000000002</v>
      </c>
      <c r="H395" s="1">
        <v>-8.4335790000000001E-7</v>
      </c>
      <c r="I395">
        <v>367.28140000000002</v>
      </c>
      <c r="J395">
        <v>-439.64229999999998</v>
      </c>
      <c r="K395">
        <v>1.1072249999999999</v>
      </c>
      <c r="L395">
        <v>367.70049999999998</v>
      </c>
      <c r="M395">
        <v>0.99992230000000004</v>
      </c>
      <c r="N395">
        <v>-7.4955339999999999E-3</v>
      </c>
      <c r="O395">
        <v>9.9666319999999996E-3</v>
      </c>
      <c r="P395">
        <v>0.99782610000000005</v>
      </c>
      <c r="Q395">
        <v>-6.3424149999999999E-2</v>
      </c>
      <c r="R395">
        <v>1.7909870000000001E-2</v>
      </c>
      <c r="S395">
        <v>3.0039980000000002</v>
      </c>
      <c r="T395">
        <v>-3.6777850000000001E-2</v>
      </c>
      <c r="U395">
        <v>-1.3854979999999999E-2</v>
      </c>
      <c r="V395">
        <v>-7.9771140000000004E-3</v>
      </c>
      <c r="W395">
        <v>-5.5940330000000003E-2</v>
      </c>
      <c r="X395">
        <v>0.99840220000000002</v>
      </c>
      <c r="Y395">
        <v>1.4576840000000001E-2</v>
      </c>
      <c r="Z395">
        <v>-1.9117289999999999E-4</v>
      </c>
      <c r="AA395">
        <v>0.9998937</v>
      </c>
      <c r="AB395">
        <v>33</v>
      </c>
      <c r="AC395">
        <v>90.261699999999905</v>
      </c>
      <c r="AD395">
        <v>-1.1072258433579001</v>
      </c>
      <c r="AE395">
        <v>-0.41909999999995701</v>
      </c>
      <c r="AF395">
        <v>1.3185111484378</v>
      </c>
      <c r="AG395">
        <v>-1.1072258433579001</v>
      </c>
      <c r="AH395">
        <v>90.239460964799093</v>
      </c>
      <c r="AI395">
        <v>90.702901082580894</v>
      </c>
      <c r="AJ395">
        <v>89.162896720342701</v>
      </c>
      <c r="AK395">
        <v>90.255884771765693</v>
      </c>
      <c r="AL395">
        <v>93.206818974152199</v>
      </c>
      <c r="AM395">
        <v>90.457776674985197</v>
      </c>
      <c r="AN395">
        <v>0.99999995391655705</v>
      </c>
    </row>
    <row r="396" spans="1:40" x14ac:dyDescent="0.25">
      <c r="A396" t="str">
        <f>"20190305134917180"</f>
        <v>20190305134917180</v>
      </c>
      <c r="B396" t="str">
        <f>"1551764957171227"</f>
        <v>1551764957171227</v>
      </c>
      <c r="C396" t="s">
        <v>40</v>
      </c>
      <c r="D396">
        <v>3.8376969999999999</v>
      </c>
      <c r="E396">
        <v>0.50902179999999997</v>
      </c>
      <c r="F396" t="s">
        <v>42</v>
      </c>
      <c r="G396">
        <v>-365.67860000000002</v>
      </c>
      <c r="H396" s="1">
        <v>-2.2378960000000001E-6</v>
      </c>
      <c r="I396">
        <v>367.35180000000003</v>
      </c>
      <c r="J396">
        <v>-439.36959999999999</v>
      </c>
      <c r="K396">
        <v>1.106708</v>
      </c>
      <c r="L396">
        <v>367.70319999999998</v>
      </c>
      <c r="M396">
        <v>0.99990239999999997</v>
      </c>
      <c r="N396">
        <v>-9.8236069999999998E-3</v>
      </c>
      <c r="O396">
        <v>9.9456200000000005E-3</v>
      </c>
      <c r="P396">
        <v>0.997529</v>
      </c>
      <c r="Q396">
        <v>-6.7807720000000002E-2</v>
      </c>
      <c r="R396">
        <v>1.8389760000000002E-2</v>
      </c>
      <c r="S396">
        <v>3.0039370000000001</v>
      </c>
      <c r="T396">
        <v>-4.496849E-2</v>
      </c>
      <c r="U396">
        <v>-1.416016E-2</v>
      </c>
      <c r="V396">
        <v>-8.4788490000000001E-3</v>
      </c>
      <c r="W396">
        <v>-5.8002140000000001E-2</v>
      </c>
      <c r="X396">
        <v>0.99828050000000002</v>
      </c>
      <c r="Y396">
        <v>1.465672E-2</v>
      </c>
      <c r="Z396">
        <v>-2.3286929999999999E-4</v>
      </c>
      <c r="AA396">
        <v>0.99989249999999996</v>
      </c>
      <c r="AB396">
        <v>33</v>
      </c>
      <c r="AC396">
        <v>73.690999999999903</v>
      </c>
      <c r="AD396">
        <v>-1.1067102378960001</v>
      </c>
      <c r="AE396">
        <v>-0.35139999999995503</v>
      </c>
      <c r="AF396">
        <v>1.08407607896464</v>
      </c>
      <c r="AG396">
        <v>-1.1067102378960001</v>
      </c>
      <c r="AH396">
        <v>73.667244793085004</v>
      </c>
      <c r="AI396">
        <v>90.860602198063305</v>
      </c>
      <c r="AJ396">
        <v>89.156904793960607</v>
      </c>
      <c r="AK396">
        <v>73.683532650789502</v>
      </c>
      <c r="AL396">
        <v>93.325143880530703</v>
      </c>
      <c r="AM396">
        <v>90.486627337317799</v>
      </c>
      <c r="AN396">
        <v>1.0000000479025899</v>
      </c>
    </row>
    <row r="397" spans="1:40" x14ac:dyDescent="0.25">
      <c r="A397" t="str">
        <f>"20190305134917193"</f>
        <v>20190305134917193</v>
      </c>
      <c r="B397" t="str">
        <f>"1551764957180984"</f>
        <v>1551764957180984</v>
      </c>
      <c r="C397" t="s">
        <v>40</v>
      </c>
      <c r="D397">
        <v>3.7752569999999999</v>
      </c>
      <c r="E397">
        <v>0.50902179999999997</v>
      </c>
      <c r="F397" t="s">
        <v>42</v>
      </c>
      <c r="G397">
        <v>-379.5095</v>
      </c>
      <c r="H397" s="1">
        <v>-7.3291410000000001E-7</v>
      </c>
      <c r="I397">
        <v>367.43680000000001</v>
      </c>
      <c r="J397">
        <v>-439.18439999999998</v>
      </c>
      <c r="K397">
        <v>1.106239</v>
      </c>
      <c r="L397">
        <v>367.70510000000002</v>
      </c>
      <c r="M397">
        <v>0.99988509999999997</v>
      </c>
      <c r="N397">
        <v>-1.1457129999999999E-2</v>
      </c>
      <c r="O397">
        <v>9.94015E-3</v>
      </c>
      <c r="P397">
        <v>0.99731930000000002</v>
      </c>
      <c r="Q397">
        <v>-7.0709820000000007E-2</v>
      </c>
      <c r="R397">
        <v>1.8839769999999999E-2</v>
      </c>
      <c r="S397">
        <v>3.0039060000000002</v>
      </c>
      <c r="T397">
        <v>-5.5536870000000002E-2</v>
      </c>
      <c r="U397">
        <v>-1.33667E-2</v>
      </c>
      <c r="V397">
        <v>-8.9351550000000002E-3</v>
      </c>
      <c r="W397">
        <v>-5.9275620000000001E-2</v>
      </c>
      <c r="X397">
        <v>0.99820169999999997</v>
      </c>
      <c r="Y397">
        <v>1.438599E-2</v>
      </c>
      <c r="Z397">
        <v>-2.8527110000000001E-4</v>
      </c>
      <c r="AA397">
        <v>0.99989649999999997</v>
      </c>
      <c r="AB397">
        <v>32</v>
      </c>
      <c r="AC397">
        <v>59.674899999999901</v>
      </c>
      <c r="AD397">
        <v>-1.1062397329141</v>
      </c>
      <c r="AE397">
        <v>-0.26830000000000997</v>
      </c>
      <c r="AF397">
        <v>0.861207104347814</v>
      </c>
      <c r="AG397">
        <v>-1.1062397329141</v>
      </c>
      <c r="AH397">
        <v>59.648786455090999</v>
      </c>
      <c r="AI397">
        <v>91.062368630049406</v>
      </c>
      <c r="AJ397">
        <v>89.172823001201905</v>
      </c>
      <c r="AK397">
        <v>59.6652593188726</v>
      </c>
      <c r="AL397">
        <v>93.398234725442407</v>
      </c>
      <c r="AM397">
        <v>90.512855265849595</v>
      </c>
      <c r="AN397">
        <v>1.0000000350020699</v>
      </c>
    </row>
    <row r="398" spans="1:40" x14ac:dyDescent="0.25">
      <c r="A398" t="str">
        <f>"20190305134917206"</f>
        <v>20190305134917206</v>
      </c>
      <c r="B398" t="str">
        <f>"1551764957201479"</f>
        <v>1551764957201479</v>
      </c>
      <c r="C398" t="s">
        <v>40</v>
      </c>
      <c r="D398">
        <v>3.7054689999999999</v>
      </c>
      <c r="E398">
        <v>0.51274779999999998</v>
      </c>
      <c r="F398" t="s">
        <v>42</v>
      </c>
      <c r="G398">
        <v>-387.50220000000002</v>
      </c>
      <c r="H398" s="1">
        <v>-1.429683E-6</v>
      </c>
      <c r="I398">
        <v>367.49759999999998</v>
      </c>
      <c r="J398">
        <v>-438.99889999999999</v>
      </c>
      <c r="K398">
        <v>1.1056220000000001</v>
      </c>
      <c r="L398">
        <v>367.70690000000002</v>
      </c>
      <c r="M398">
        <v>0.99986540000000002</v>
      </c>
      <c r="N398">
        <v>-1.3054949999999999E-2</v>
      </c>
      <c r="O398">
        <v>9.9430330000000004E-3</v>
      </c>
      <c r="P398">
        <v>0.99714020000000003</v>
      </c>
      <c r="Q398">
        <v>-7.3084659999999996E-2</v>
      </c>
      <c r="R398">
        <v>1.9238959999999999E-2</v>
      </c>
      <c r="S398">
        <v>3.0037229999999999</v>
      </c>
      <c r="T398">
        <v>-6.4293619999999996E-2</v>
      </c>
      <c r="U398">
        <v>-1.205444E-2</v>
      </c>
      <c r="V398">
        <v>-9.3316849999999993E-3</v>
      </c>
      <c r="W398">
        <v>-6.0057560000000003E-2</v>
      </c>
      <c r="X398">
        <v>0.99815129999999996</v>
      </c>
      <c r="Y398">
        <v>1.395124E-2</v>
      </c>
      <c r="Z398">
        <v>-3.2337480000000003E-4</v>
      </c>
      <c r="AA398">
        <v>0.99990259999999997</v>
      </c>
      <c r="AB398">
        <v>32</v>
      </c>
      <c r="AC398">
        <v>51.496699999999898</v>
      </c>
      <c r="AD398">
        <v>-1.1056234296830001</v>
      </c>
      <c r="AE398">
        <v>-0.20930000000004101</v>
      </c>
      <c r="AF398">
        <v>0.72103429249991702</v>
      </c>
      <c r="AG398">
        <v>-1.1056234296830001</v>
      </c>
      <c r="AH398">
        <v>51.468348622563198</v>
      </c>
      <c r="AI398">
        <v>91.230496101305306</v>
      </c>
      <c r="AJ398">
        <v>89.197380125353007</v>
      </c>
      <c r="AK398">
        <v>51.4852717148596</v>
      </c>
      <c r="AL398">
        <v>93.443116655952295</v>
      </c>
      <c r="AM398">
        <v>90.535640829083206</v>
      </c>
      <c r="AN398">
        <v>1.00000000427489</v>
      </c>
    </row>
    <row r="399" spans="1:40" x14ac:dyDescent="0.25">
      <c r="A399" t="str">
        <f>"20190305134917223"</f>
        <v>20190305134917223</v>
      </c>
      <c r="B399" t="str">
        <f>"1551764957221000"</f>
        <v>1551764957221000</v>
      </c>
      <c r="C399" t="s">
        <v>40</v>
      </c>
      <c r="D399">
        <v>3.7913299999999999</v>
      </c>
      <c r="E399">
        <v>0.51442149999999998</v>
      </c>
      <c r="F399" t="s">
        <v>43</v>
      </c>
      <c r="G399">
        <v>-305.11079999999998</v>
      </c>
      <c r="H399">
        <v>-0.05</v>
      </c>
      <c r="I399">
        <v>365.94349999999997</v>
      </c>
      <c r="J399">
        <v>-438.74869999999999</v>
      </c>
      <c r="K399">
        <v>1.1046260000000001</v>
      </c>
      <c r="L399">
        <v>367.70940000000002</v>
      </c>
      <c r="M399">
        <v>0.99983759999999999</v>
      </c>
      <c r="N399">
        <v>-1.5026950000000001E-2</v>
      </c>
      <c r="O399">
        <v>9.9551440000000008E-3</v>
      </c>
      <c r="P399">
        <v>0.99686850000000005</v>
      </c>
      <c r="Q399">
        <v>-7.6447780000000007E-2</v>
      </c>
      <c r="R399">
        <v>2.0229730000000001E-2</v>
      </c>
      <c r="S399">
        <v>3.0075069999999999</v>
      </c>
      <c r="T399">
        <v>-2.5958539999999999E-2</v>
      </c>
      <c r="U399">
        <v>-3.9611819999999999E-2</v>
      </c>
      <c r="V399">
        <v>-1.031079E-2</v>
      </c>
      <c r="W399">
        <v>-6.1455780000000002E-2</v>
      </c>
      <c r="X399">
        <v>0.99805650000000001</v>
      </c>
      <c r="Y399">
        <v>2.3122029999999998E-2</v>
      </c>
      <c r="Z399">
        <v>-2.098542E-4</v>
      </c>
      <c r="AA399">
        <v>0.99973259999999997</v>
      </c>
      <c r="AB399">
        <v>32</v>
      </c>
      <c r="AC399">
        <v>133.6379</v>
      </c>
      <c r="AD399">
        <v>-1.1546259999999999</v>
      </c>
      <c r="AE399">
        <v>-1.76590000000004</v>
      </c>
      <c r="AF399">
        <v>3.0961160689891898</v>
      </c>
      <c r="AG399">
        <v>-1.1546259999999999</v>
      </c>
      <c r="AH399">
        <v>133.603722854502</v>
      </c>
      <c r="AI399">
        <v>90.495014609329402</v>
      </c>
      <c r="AJ399">
        <v>88.672472332404993</v>
      </c>
      <c r="AK399">
        <v>133.64458034838199</v>
      </c>
      <c r="AL399">
        <v>93.523377226626494</v>
      </c>
      <c r="AM399">
        <v>90.591894081120799</v>
      </c>
      <c r="AN399">
        <v>0.99999995123903995</v>
      </c>
    </row>
    <row r="400" spans="1:40" x14ac:dyDescent="0.25">
      <c r="A400" t="str">
        <f>"20190305134917235"</f>
        <v>20190305134917235</v>
      </c>
      <c r="B400" t="str">
        <f>"1551764957231736"</f>
        <v>1551764957231736</v>
      </c>
      <c r="C400" t="s">
        <v>40</v>
      </c>
      <c r="D400">
        <v>3.7708189999999999</v>
      </c>
      <c r="E400">
        <v>0.51521159999999999</v>
      </c>
      <c r="F400" t="s">
        <v>43</v>
      </c>
      <c r="G400">
        <v>-290.6644</v>
      </c>
      <c r="H400">
        <v>-0.05</v>
      </c>
      <c r="I400">
        <v>365.27300000000002</v>
      </c>
      <c r="J400">
        <v>-438.57740000000001</v>
      </c>
      <c r="K400">
        <v>1.1038410000000001</v>
      </c>
      <c r="L400">
        <v>367.71120000000002</v>
      </c>
      <c r="M400">
        <v>0.99981949999999997</v>
      </c>
      <c r="N400">
        <v>-1.6178069999999999E-2</v>
      </c>
      <c r="O400">
        <v>9.9680110000000006E-3</v>
      </c>
      <c r="P400">
        <v>0.99669319999999895</v>
      </c>
      <c r="Q400">
        <v>-7.8559530000000002E-2</v>
      </c>
      <c r="R400">
        <v>2.0766119999999999E-2</v>
      </c>
      <c r="S400">
        <v>3.0086059999999999</v>
      </c>
      <c r="T400">
        <v>-2.3458360000000001E-2</v>
      </c>
      <c r="U400">
        <v>-4.9499509999999997E-2</v>
      </c>
      <c r="V400">
        <v>-1.083459E-2</v>
      </c>
      <c r="W400">
        <v>-6.24211E-2</v>
      </c>
      <c r="X400">
        <v>0.99799110000000002</v>
      </c>
      <c r="Y400">
        <v>2.6414750000000001E-2</v>
      </c>
      <c r="Z400">
        <v>-2.331302E-4</v>
      </c>
      <c r="AA400">
        <v>0.99965099999999996</v>
      </c>
      <c r="AB400">
        <v>32</v>
      </c>
      <c r="AC400">
        <v>147.91299999999899</v>
      </c>
      <c r="AD400">
        <v>-1.1538409999999999</v>
      </c>
      <c r="AE400">
        <v>-2.4381999999999899</v>
      </c>
      <c r="AF400">
        <v>3.9124321217073099</v>
      </c>
      <c r="AG400">
        <v>-1.1538409999999999</v>
      </c>
      <c r="AH400">
        <v>147.87234632610901</v>
      </c>
      <c r="AI400">
        <v>90.446910820770498</v>
      </c>
      <c r="AJ400">
        <v>88.484411942063304</v>
      </c>
      <c r="AK400">
        <v>147.92859521454599</v>
      </c>
      <c r="AL400">
        <v>93.578792185560502</v>
      </c>
      <c r="AM400">
        <v>90.622001431632896</v>
      </c>
      <c r="AN400">
        <v>1.0000000088724399</v>
      </c>
    </row>
    <row r="401" spans="1:40" x14ac:dyDescent="0.25">
      <c r="A401" t="str">
        <f>"20190305134917248"</f>
        <v>20190305134917248</v>
      </c>
      <c r="B401" t="str">
        <f>"1551764957241496"</f>
        <v>1551764957241496</v>
      </c>
      <c r="C401" t="s">
        <v>40</v>
      </c>
      <c r="D401">
        <v>3.7577609999999999</v>
      </c>
      <c r="E401">
        <v>0.5158315</v>
      </c>
      <c r="F401" t="s">
        <v>43</v>
      </c>
      <c r="G401">
        <v>-296.40800000000002</v>
      </c>
      <c r="H401">
        <v>-0.05</v>
      </c>
      <c r="I401">
        <v>365.16050000000001</v>
      </c>
      <c r="J401">
        <v>-438.38409999999999</v>
      </c>
      <c r="K401">
        <v>1.1028709999999999</v>
      </c>
      <c r="L401">
        <v>367.7131</v>
      </c>
      <c r="M401">
        <v>0.99980119999999895</v>
      </c>
      <c r="N401">
        <v>-1.7264450000000001E-2</v>
      </c>
      <c r="O401">
        <v>9.9861870000000005E-3</v>
      </c>
      <c r="P401">
        <v>0.996533</v>
      </c>
      <c r="Q401">
        <v>-8.0513249999999995E-2</v>
      </c>
      <c r="R401">
        <v>2.0971549999999999E-2</v>
      </c>
      <c r="S401">
        <v>3.009125</v>
      </c>
      <c r="T401">
        <v>-2.4421930000000001E-2</v>
      </c>
      <c r="U401">
        <v>-5.3985600000000002E-2</v>
      </c>
      <c r="V401">
        <v>-1.1021960000000001E-2</v>
      </c>
      <c r="W401">
        <v>-6.3293150000000006E-2</v>
      </c>
      <c r="X401">
        <v>0.99793410000000005</v>
      </c>
      <c r="Y401">
        <v>2.7919630000000001E-2</v>
      </c>
      <c r="Z401">
        <v>-2.6297849999999998E-4</v>
      </c>
      <c r="AA401">
        <v>0.99961009999999995</v>
      </c>
      <c r="AB401">
        <v>32</v>
      </c>
      <c r="AC401">
        <v>141.97609999999901</v>
      </c>
      <c r="AD401">
        <v>-1.152871</v>
      </c>
      <c r="AE401">
        <v>-2.55259999999998</v>
      </c>
      <c r="AF401">
        <v>3.9702220478707901</v>
      </c>
      <c r="AG401">
        <v>-1.152871</v>
      </c>
      <c r="AH401">
        <v>141.93416824211499</v>
      </c>
      <c r="AI401">
        <v>90.465197108665194</v>
      </c>
      <c r="AJ401">
        <v>88.397724324818697</v>
      </c>
      <c r="AK401">
        <v>141.994365695379</v>
      </c>
      <c r="AL401">
        <v>93.6288560493783</v>
      </c>
      <c r="AM401">
        <v>90.632793400962697</v>
      </c>
      <c r="AN401">
        <v>0.99999998719098704</v>
      </c>
    </row>
    <row r="402" spans="1:40" x14ac:dyDescent="0.25">
      <c r="A402" t="str">
        <f>"20190305134917260"</f>
        <v>20190305134917260</v>
      </c>
      <c r="B402" t="str">
        <f>"1551764957251256"</f>
        <v>1551764957251256</v>
      </c>
      <c r="C402" t="s">
        <v>40</v>
      </c>
      <c r="D402">
        <v>3.7830650000000001</v>
      </c>
      <c r="E402">
        <v>0.51562580000000002</v>
      </c>
      <c r="F402" t="s">
        <v>42</v>
      </c>
      <c r="G402">
        <v>-336.32639999999998</v>
      </c>
      <c r="H402" s="1">
        <v>-2.2678390000000001E-6</v>
      </c>
      <c r="I402">
        <v>365.73910000000001</v>
      </c>
      <c r="J402">
        <v>-438.21789999999999</v>
      </c>
      <c r="K402">
        <v>1.1019380000000001</v>
      </c>
      <c r="L402">
        <v>367.71480000000003</v>
      </c>
      <c r="M402">
        <v>0.99978800000000001</v>
      </c>
      <c r="N402">
        <v>-1.8000749999999999E-2</v>
      </c>
      <c r="O402">
        <v>1.00044E-2</v>
      </c>
      <c r="P402">
        <v>0.99639149999999999</v>
      </c>
      <c r="Q402">
        <v>-8.2139980000000001E-2</v>
      </c>
      <c r="R402">
        <v>2.1378060000000001E-2</v>
      </c>
      <c r="S402">
        <v>3.0090330000000001</v>
      </c>
      <c r="T402">
        <v>-3.2516719999999999E-2</v>
      </c>
      <c r="U402">
        <v>-5.8197020000000002E-2</v>
      </c>
      <c r="V402">
        <v>-1.141008E-2</v>
      </c>
      <c r="W402">
        <v>-6.4187389999999997E-2</v>
      </c>
      <c r="X402">
        <v>0.99787269999999995</v>
      </c>
      <c r="Y402">
        <v>2.9335509999999999E-2</v>
      </c>
      <c r="Z402">
        <v>-3.505963E-4</v>
      </c>
      <c r="AA402">
        <v>0.9995695</v>
      </c>
      <c r="AB402">
        <v>32</v>
      </c>
      <c r="AC402">
        <v>101.89149999999999</v>
      </c>
      <c r="AD402">
        <v>-1.10194026783899</v>
      </c>
      <c r="AE402">
        <v>-1.97570000000001</v>
      </c>
      <c r="AF402">
        <v>2.9947793852998199</v>
      </c>
      <c r="AG402">
        <v>-1.10194026783899</v>
      </c>
      <c r="AH402">
        <v>101.85472173790301</v>
      </c>
      <c r="AI402">
        <v>90.619576514510996</v>
      </c>
      <c r="AJ402">
        <v>88.315848339830097</v>
      </c>
      <c r="AK402">
        <v>101.904697223564</v>
      </c>
      <c r="AL402">
        <v>93.680196331134695</v>
      </c>
      <c r="AM402">
        <v>90.655114563731601</v>
      </c>
      <c r="AN402">
        <v>1.00000006818295</v>
      </c>
    </row>
    <row r="403" spans="1:40" x14ac:dyDescent="0.25">
      <c r="A403" t="str">
        <f>"20190305134917274"</f>
        <v>20190305134917274</v>
      </c>
      <c r="B403" t="str">
        <f>"1551764957271752"</f>
        <v>1551764957271752</v>
      </c>
      <c r="C403" t="s">
        <v>40</v>
      </c>
      <c r="D403">
        <v>3.796834</v>
      </c>
      <c r="E403">
        <v>0.51599379999999995</v>
      </c>
      <c r="F403" t="s">
        <v>42</v>
      </c>
      <c r="G403">
        <v>-342.31199999999899</v>
      </c>
      <c r="H403" s="1">
        <v>-4.2647769999999998E-6</v>
      </c>
      <c r="I403">
        <v>365.95139999999998</v>
      </c>
      <c r="J403">
        <v>-438.0104</v>
      </c>
      <c r="K403">
        <v>1.1007229999999999</v>
      </c>
      <c r="L403">
        <v>367.71679999999998</v>
      </c>
      <c r="M403">
        <v>0.99977210000000005</v>
      </c>
      <c r="N403">
        <v>-1.8849680000000001E-2</v>
      </c>
      <c r="O403">
        <v>1.002756E-2</v>
      </c>
      <c r="P403">
        <v>0.99623669999999998</v>
      </c>
      <c r="Q403">
        <v>-8.3915519999999993E-2</v>
      </c>
      <c r="R403">
        <v>2.1699099999999999E-2</v>
      </c>
      <c r="S403">
        <v>3.0092159999999999</v>
      </c>
      <c r="T403">
        <v>-3.4575340000000003E-2</v>
      </c>
      <c r="U403">
        <v>-5.5328370000000002E-2</v>
      </c>
      <c r="V403">
        <v>-1.170819E-2</v>
      </c>
      <c r="W403">
        <v>-6.5118410000000002E-2</v>
      </c>
      <c r="X403">
        <v>0.9978089</v>
      </c>
      <c r="Y403">
        <v>2.840469E-2</v>
      </c>
      <c r="Z403">
        <v>-3.5712599999999998E-4</v>
      </c>
      <c r="AA403">
        <v>0.99959640000000005</v>
      </c>
      <c r="AB403">
        <v>32</v>
      </c>
      <c r="AC403">
        <v>95.698400000000007</v>
      </c>
      <c r="AD403">
        <v>-1.1007272647769999</v>
      </c>
      <c r="AE403">
        <v>-1.7653999999999901</v>
      </c>
      <c r="AF403">
        <v>2.72474277648812</v>
      </c>
      <c r="AG403">
        <v>-1.1007272647769999</v>
      </c>
      <c r="AH403">
        <v>95.663229383730496</v>
      </c>
      <c r="AI403">
        <v>90.6589645892454</v>
      </c>
      <c r="AJ403">
        <v>88.368505162856806</v>
      </c>
      <c r="AK403">
        <v>95.708355329269395</v>
      </c>
      <c r="AL403">
        <v>93.7336517714661</v>
      </c>
      <c r="AM403">
        <v>90.672272103079706</v>
      </c>
      <c r="AN403">
        <v>1.0000000449766</v>
      </c>
    </row>
    <row r="404" spans="1:40" x14ac:dyDescent="0.25">
      <c r="A404" t="str">
        <f>"20190305134917293"</f>
        <v>20190305134917293</v>
      </c>
      <c r="B404" t="str">
        <f>"1551764957281512"</f>
        <v>1551764957281512</v>
      </c>
      <c r="C404" t="s">
        <v>40</v>
      </c>
      <c r="D404">
        <v>3.782076</v>
      </c>
      <c r="E404">
        <v>0.51631579999999999</v>
      </c>
      <c r="F404" t="s">
        <v>42</v>
      </c>
      <c r="G404">
        <v>-352.08510000000001</v>
      </c>
      <c r="H404" s="1">
        <v>-4.0046840000000004E-6</v>
      </c>
      <c r="I404">
        <v>366.08210000000003</v>
      </c>
      <c r="J404">
        <v>-437.74040000000002</v>
      </c>
      <c r="K404">
        <v>1.0990409999999999</v>
      </c>
      <c r="L404">
        <v>367.71960000000001</v>
      </c>
      <c r="M404">
        <v>0.99975340000000001</v>
      </c>
      <c r="N404">
        <v>-1.9806339999999999E-2</v>
      </c>
      <c r="O404">
        <v>1.005872E-2</v>
      </c>
      <c r="P404">
        <v>0.99600060000000001</v>
      </c>
      <c r="Q404">
        <v>-8.6499670000000001E-2</v>
      </c>
      <c r="R404">
        <v>2.2382610000000001E-2</v>
      </c>
      <c r="S404">
        <v>3.0093990000000002</v>
      </c>
      <c r="T404">
        <v>-3.8551210000000002E-2</v>
      </c>
      <c r="U404">
        <v>-5.725098E-2</v>
      </c>
      <c r="V404">
        <v>-1.2361540000000001E-2</v>
      </c>
      <c r="W404">
        <v>-6.6752080000000005E-2</v>
      </c>
      <c r="X404">
        <v>0.99769300000000005</v>
      </c>
      <c r="Y404">
        <v>2.9072199999999999E-2</v>
      </c>
      <c r="Z404">
        <v>-4.0378739999999999E-4</v>
      </c>
      <c r="AA404">
        <v>0.99957720000000005</v>
      </c>
      <c r="AB404">
        <v>32</v>
      </c>
      <c r="AC404">
        <v>85.655299999999997</v>
      </c>
      <c r="AD404">
        <v>-1.0990450046839999</v>
      </c>
      <c r="AE404">
        <v>-1.63749999999998</v>
      </c>
      <c r="AF404">
        <v>2.4987574755472601</v>
      </c>
      <c r="AG404">
        <v>-1.0990450046839999</v>
      </c>
      <c r="AH404">
        <v>85.620399624231993</v>
      </c>
      <c r="AI404">
        <v>90.735109709660193</v>
      </c>
      <c r="AJ404">
        <v>88.328346601592202</v>
      </c>
      <c r="AK404">
        <v>85.663904421040201</v>
      </c>
      <c r="AL404">
        <v>93.827458535667006</v>
      </c>
      <c r="AM404">
        <v>90.709865490212195</v>
      </c>
      <c r="AN404">
        <v>0.99999998505224896</v>
      </c>
    </row>
    <row r="405" spans="1:40" x14ac:dyDescent="0.25">
      <c r="A405" t="str">
        <f>"20190305134917313"</f>
        <v>20190305134917313</v>
      </c>
      <c r="B405" t="str">
        <f>"1551764957301539"</f>
        <v>1551764957301539</v>
      </c>
      <c r="C405" t="s">
        <v>40</v>
      </c>
      <c r="D405">
        <v>3.8089590000000002</v>
      </c>
      <c r="E405">
        <v>0.51663149999999902</v>
      </c>
      <c r="F405" t="s">
        <v>42</v>
      </c>
      <c r="G405">
        <v>-363.0523</v>
      </c>
      <c r="H405" s="1">
        <v>-3.5536530000000001E-6</v>
      </c>
      <c r="I405">
        <v>366.28579999999999</v>
      </c>
      <c r="J405">
        <v>-437.44839999999999</v>
      </c>
      <c r="K405">
        <v>1.0970930000000001</v>
      </c>
      <c r="L405">
        <v>367.7226</v>
      </c>
      <c r="M405">
        <v>0.99973590000000001</v>
      </c>
      <c r="N405">
        <v>-2.0646979999999999E-2</v>
      </c>
      <c r="O405">
        <v>1.0093039999999999E-2</v>
      </c>
      <c r="P405">
        <v>0.99597219999999997</v>
      </c>
      <c r="Q405">
        <v>-8.6638259999999995E-2</v>
      </c>
      <c r="R405">
        <v>2.3092629999999999E-2</v>
      </c>
      <c r="S405">
        <v>3.0094910000000001</v>
      </c>
      <c r="T405">
        <v>-4.4284940000000002E-2</v>
      </c>
      <c r="U405">
        <v>-5.776978E-2</v>
      </c>
      <c r="V405">
        <v>-1.3036259999999999E-2</v>
      </c>
      <c r="W405">
        <v>-6.6052410000000006E-2</v>
      </c>
      <c r="X405">
        <v>0.99773100000000003</v>
      </c>
      <c r="Y405">
        <v>2.927689E-2</v>
      </c>
      <c r="Z405">
        <v>-4.5781769999999998E-4</v>
      </c>
      <c r="AA405">
        <v>0.99957130000000005</v>
      </c>
      <c r="AB405">
        <v>32</v>
      </c>
      <c r="AC405">
        <v>74.396099999999905</v>
      </c>
      <c r="AD405">
        <v>-1.097096553653</v>
      </c>
      <c r="AE405">
        <v>-1.4368000000000001</v>
      </c>
      <c r="AF405">
        <v>2.18729420160795</v>
      </c>
      <c r="AG405">
        <v>-1.097096553653</v>
      </c>
      <c r="AH405">
        <v>74.361639146441107</v>
      </c>
      <c r="AI405">
        <v>90.844888218328194</v>
      </c>
      <c r="AJ405">
        <v>88.315171593556201</v>
      </c>
      <c r="AK405">
        <v>74.401890119256706</v>
      </c>
      <c r="AL405">
        <v>93.787281641438298</v>
      </c>
      <c r="AM405">
        <v>90.748578703706599</v>
      </c>
      <c r="AN405">
        <v>1.00000000665129</v>
      </c>
    </row>
    <row r="406" spans="1:40" x14ac:dyDescent="0.25">
      <c r="A406" t="str">
        <f>"20190305134917325"</f>
        <v>20190305134917325</v>
      </c>
      <c r="B406" t="str">
        <f>"1551764957321059"</f>
        <v>1551764957321059</v>
      </c>
      <c r="C406" t="s">
        <v>40</v>
      </c>
      <c r="D406">
        <v>3.7816010000000002</v>
      </c>
      <c r="E406">
        <v>0.51618109999999995</v>
      </c>
      <c r="F406" t="s">
        <v>42</v>
      </c>
      <c r="G406">
        <v>-357.91230000000002</v>
      </c>
      <c r="H406" s="1">
        <v>-1.6094030000000001E-6</v>
      </c>
      <c r="I406">
        <v>366.18549999999999</v>
      </c>
      <c r="J406">
        <v>-437.27019999999999</v>
      </c>
      <c r="K406">
        <v>1.095823</v>
      </c>
      <c r="L406">
        <v>367.7244</v>
      </c>
      <c r="M406">
        <v>0.99972760000000005</v>
      </c>
      <c r="N406">
        <v>-2.1033380000000001E-2</v>
      </c>
      <c r="O406">
        <v>1.011422E-2</v>
      </c>
      <c r="P406">
        <v>0.99598039999999999</v>
      </c>
      <c r="Q406">
        <v>-8.6456720000000001E-2</v>
      </c>
      <c r="R406">
        <v>2.3424210000000001E-2</v>
      </c>
      <c r="S406">
        <v>3.0098569999999998</v>
      </c>
      <c r="T406">
        <v>-4.1516900000000002E-2</v>
      </c>
      <c r="U406">
        <v>-5.8166500000000003E-2</v>
      </c>
      <c r="V406">
        <v>-1.3346E-2</v>
      </c>
      <c r="W406">
        <v>-6.5485130000000003E-2</v>
      </c>
      <c r="X406">
        <v>0.99776430000000005</v>
      </c>
      <c r="Y406">
        <v>2.9427979999999999E-2</v>
      </c>
      <c r="Z406">
        <v>-4.3926739999999999E-4</v>
      </c>
      <c r="AA406">
        <v>0.99956679999999998</v>
      </c>
      <c r="AB406">
        <v>32</v>
      </c>
      <c r="AC406">
        <v>79.357899999999901</v>
      </c>
      <c r="AD406">
        <v>-1.095824609403</v>
      </c>
      <c r="AE406">
        <v>-1.5389000000000099</v>
      </c>
      <c r="AF406">
        <v>2.3411958767710899</v>
      </c>
      <c r="AG406">
        <v>-1.095824609403</v>
      </c>
      <c r="AH406">
        <v>79.323151291556101</v>
      </c>
      <c r="AI406">
        <v>90.791128524036793</v>
      </c>
      <c r="AJ406">
        <v>88.309425303149794</v>
      </c>
      <c r="AK406">
        <v>79.365259153681905</v>
      </c>
      <c r="AL406">
        <v>93.754708361030495</v>
      </c>
      <c r="AM406">
        <v>90.766337174730495</v>
      </c>
      <c r="AN406">
        <v>1.0000000081608</v>
      </c>
    </row>
    <row r="407" spans="1:40" x14ac:dyDescent="0.25">
      <c r="A407" t="str">
        <f>"20190305134917337"</f>
        <v>20190305134917337</v>
      </c>
      <c r="B407" t="str">
        <f>"1551764957331795"</f>
        <v>1551764957331795</v>
      </c>
      <c r="C407" t="s">
        <v>40</v>
      </c>
      <c r="D407">
        <v>3.7496299999999998</v>
      </c>
      <c r="E407">
        <v>0.51601600000000003</v>
      </c>
      <c r="F407" t="s">
        <v>42</v>
      </c>
      <c r="G407">
        <v>-355.82569999999998</v>
      </c>
      <c r="H407" s="1">
        <v>-2.364737E-6</v>
      </c>
      <c r="I407">
        <v>366.28089999999997</v>
      </c>
      <c r="J407">
        <v>-437.10340000000002</v>
      </c>
      <c r="K407">
        <v>1.0945750000000001</v>
      </c>
      <c r="L407">
        <v>367.72609999999997</v>
      </c>
      <c r="M407">
        <v>0.99972190000000005</v>
      </c>
      <c r="N407">
        <v>-2.129149E-2</v>
      </c>
      <c r="O407">
        <v>1.013436E-2</v>
      </c>
      <c r="P407">
        <v>0.99599400000000005</v>
      </c>
      <c r="Q407">
        <v>-8.6229360000000005E-2</v>
      </c>
      <c r="R407">
        <v>2.3672390000000001E-2</v>
      </c>
      <c r="S407">
        <v>3.0098569999999998</v>
      </c>
      <c r="T407">
        <v>-4.0497180000000001E-2</v>
      </c>
      <c r="U407">
        <v>-5.334473E-2</v>
      </c>
      <c r="V407">
        <v>-1.357337E-2</v>
      </c>
      <c r="W407">
        <v>-6.5000009999999997E-2</v>
      </c>
      <c r="X407">
        <v>0.99779300000000004</v>
      </c>
      <c r="Y407">
        <v>2.7847899999999998E-2</v>
      </c>
      <c r="Z407">
        <v>-4.0442860000000001E-4</v>
      </c>
      <c r="AA407">
        <v>0.9996121</v>
      </c>
      <c r="AB407">
        <v>32</v>
      </c>
      <c r="AC407">
        <v>81.277699999999996</v>
      </c>
      <c r="AD407">
        <v>-1.0945773647370001</v>
      </c>
      <c r="AE407">
        <v>-1.44519999999999</v>
      </c>
      <c r="AF407">
        <v>2.2685987131214498</v>
      </c>
      <c r="AG407">
        <v>-1.0945773647370001</v>
      </c>
      <c r="AH407">
        <v>81.244144604429493</v>
      </c>
      <c r="AI407">
        <v>90.771581001342398</v>
      </c>
      <c r="AJ407">
        <v>88.400532546489103</v>
      </c>
      <c r="AK407">
        <v>81.283181976556705</v>
      </c>
      <c r="AL407">
        <v>93.726853514145404</v>
      </c>
      <c r="AM407">
        <v>90.779368915766</v>
      </c>
      <c r="AN407">
        <v>1.0000000542610701</v>
      </c>
    </row>
    <row r="408" spans="1:40" x14ac:dyDescent="0.25">
      <c r="A408" t="str">
        <f>"20190305134917349"</f>
        <v>20190305134917349</v>
      </c>
      <c r="B408" t="str">
        <f>"1551764957341555"</f>
        <v>1551764957341555</v>
      </c>
      <c r="C408" t="s">
        <v>40</v>
      </c>
      <c r="D408">
        <v>3.7734260000000002</v>
      </c>
      <c r="E408">
        <v>0.51591659999999995</v>
      </c>
      <c r="F408" t="s">
        <v>42</v>
      </c>
      <c r="G408">
        <v>-355.90339999999998</v>
      </c>
      <c r="H408" s="1">
        <v>-2.3201E-6</v>
      </c>
      <c r="I408">
        <v>366.34449999999998</v>
      </c>
      <c r="J408">
        <v>-436.92649999999998</v>
      </c>
      <c r="K408">
        <v>1.0932230000000001</v>
      </c>
      <c r="L408">
        <v>367.72789999999998</v>
      </c>
      <c r="M408">
        <v>0.99971719999999997</v>
      </c>
      <c r="N408">
        <v>-2.150496E-2</v>
      </c>
      <c r="O408">
        <v>1.015579E-2</v>
      </c>
      <c r="P408">
        <v>0.99593889999999996</v>
      </c>
      <c r="Q408">
        <v>-8.6776119999999998E-2</v>
      </c>
      <c r="R408">
        <v>2.398848E-2</v>
      </c>
      <c r="S408">
        <v>3.0097659999999999</v>
      </c>
      <c r="T408">
        <v>-4.0571690000000001E-2</v>
      </c>
      <c r="U408">
        <v>-5.1208499999999997E-2</v>
      </c>
      <c r="V408">
        <v>-1.386806E-2</v>
      </c>
      <c r="W408">
        <v>-6.5334799999999998E-2</v>
      </c>
      <c r="X408">
        <v>0.99776699999999996</v>
      </c>
      <c r="Y408">
        <v>2.7160710000000001E-2</v>
      </c>
      <c r="Z408">
        <v>-3.9364830000000002E-4</v>
      </c>
      <c r="AA408">
        <v>0.99963100000000005</v>
      </c>
      <c r="AB408">
        <v>32</v>
      </c>
      <c r="AC408">
        <v>81.023099999999999</v>
      </c>
      <c r="AD408">
        <v>-1.0932253201</v>
      </c>
      <c r="AE408">
        <v>-1.38339999999999</v>
      </c>
      <c r="AF408">
        <v>2.2059710232935599</v>
      </c>
      <c r="AG408">
        <v>-1.0932253201</v>
      </c>
      <c r="AH408">
        <v>80.990126498283004</v>
      </c>
      <c r="AI408">
        <v>90.773059361765604</v>
      </c>
      <c r="AJ408">
        <v>88.439790225066005</v>
      </c>
      <c r="AK408">
        <v>81.027538775184297</v>
      </c>
      <c r="AL408">
        <v>93.746076734331794</v>
      </c>
      <c r="AM408">
        <v>90.796308303371802</v>
      </c>
      <c r="AN408">
        <v>0.99999997273410102</v>
      </c>
    </row>
    <row r="409" spans="1:40" x14ac:dyDescent="0.25">
      <c r="A409" t="str">
        <f>"20190305134917362"</f>
        <v>20190305134917362</v>
      </c>
      <c r="B409" t="str">
        <f>"1551764957351315"</f>
        <v>1551764957351315</v>
      </c>
      <c r="C409" t="s">
        <v>40</v>
      </c>
      <c r="D409">
        <v>3.7741289999999998</v>
      </c>
      <c r="E409">
        <v>0.51586189999999998</v>
      </c>
      <c r="F409" t="s">
        <v>42</v>
      </c>
      <c r="G409">
        <v>-360.04419999999999</v>
      </c>
      <c r="H409" s="1">
        <v>-4.814124E-6</v>
      </c>
      <c r="I409">
        <v>366.45479999999998</v>
      </c>
      <c r="J409">
        <v>-436.75439999999998</v>
      </c>
      <c r="K409">
        <v>1.091825</v>
      </c>
      <c r="L409">
        <v>367.72969999999998</v>
      </c>
      <c r="M409">
        <v>0.99971589999999999</v>
      </c>
      <c r="N409">
        <v>-2.1556079999999998E-2</v>
      </c>
      <c r="O409">
        <v>1.017673E-2</v>
      </c>
      <c r="P409">
        <v>0.99592009999999997</v>
      </c>
      <c r="Q409">
        <v>-8.7032330000000005E-2</v>
      </c>
      <c r="R409">
        <v>2.3849209999999999E-2</v>
      </c>
      <c r="S409">
        <v>3.009735</v>
      </c>
      <c r="T409">
        <v>-4.2796849999999997E-2</v>
      </c>
      <c r="U409">
        <v>-4.9835209999999998E-2</v>
      </c>
      <c r="V409">
        <v>-1.3707540000000001E-2</v>
      </c>
      <c r="W409">
        <v>-6.5540409999999993E-2</v>
      </c>
      <c r="X409">
        <v>0.99775579999999997</v>
      </c>
      <c r="Y409">
        <v>2.6725510000000001E-2</v>
      </c>
      <c r="Z409">
        <v>-4.0343410000000002E-4</v>
      </c>
      <c r="AA409">
        <v>0.9996427</v>
      </c>
      <c r="AB409">
        <v>32</v>
      </c>
      <c r="AC409">
        <v>76.710199999999901</v>
      </c>
      <c r="AD409">
        <v>-1.0918298141239999</v>
      </c>
      <c r="AE409">
        <v>-1.2748999999999999</v>
      </c>
      <c r="AF409">
        <v>2.0552580893104002</v>
      </c>
      <c r="AG409">
        <v>-1.0918298141239999</v>
      </c>
      <c r="AH409">
        <v>76.677719108283</v>
      </c>
      <c r="AI409">
        <v>90.815498403551899</v>
      </c>
      <c r="AJ409">
        <v>88.464620139943506</v>
      </c>
      <c r="AK409">
        <v>76.713028787849495</v>
      </c>
      <c r="AL409">
        <v>93.7578823737161</v>
      </c>
      <c r="AM409">
        <v>90.787101195720197</v>
      </c>
      <c r="AN409">
        <v>1.0000000392147199</v>
      </c>
    </row>
    <row r="410" spans="1:40" x14ac:dyDescent="0.25">
      <c r="A410" t="str">
        <f>"20190305134917375"</f>
        <v>20190305134917375</v>
      </c>
      <c r="B410" t="str">
        <f>"1551764957371811"</f>
        <v>1551764957371811</v>
      </c>
      <c r="C410" t="s">
        <v>40</v>
      </c>
      <c r="D410">
        <v>3.7541540000000002</v>
      </c>
      <c r="E410">
        <v>0.5158893</v>
      </c>
      <c r="F410" t="s">
        <v>42</v>
      </c>
      <c r="G410">
        <v>-362.92829999999998</v>
      </c>
      <c r="H410" s="1">
        <v>-3.5654440000000001E-6</v>
      </c>
      <c r="I410">
        <v>366.51909999999998</v>
      </c>
      <c r="J410">
        <v>-436.55799999999999</v>
      </c>
      <c r="K410">
        <v>1.0902080000000001</v>
      </c>
      <c r="L410">
        <v>367.73180000000002</v>
      </c>
      <c r="M410">
        <v>0.99971509999999997</v>
      </c>
      <c r="N410">
        <v>-2.1577610000000001E-2</v>
      </c>
      <c r="O410">
        <v>1.0200320000000001E-2</v>
      </c>
      <c r="P410">
        <v>0.99584510000000004</v>
      </c>
      <c r="Q410">
        <v>-8.7891369999999996E-2</v>
      </c>
      <c r="R410">
        <v>2.3826219999999999E-2</v>
      </c>
      <c r="S410">
        <v>3.0095519999999998</v>
      </c>
      <c r="T410">
        <v>-4.4508810000000003E-2</v>
      </c>
      <c r="U410">
        <v>-4.9346920000000002E-2</v>
      </c>
      <c r="V410">
        <v>-1.366158E-2</v>
      </c>
      <c r="W410">
        <v>-6.6379439999999998E-2</v>
      </c>
      <c r="X410">
        <v>0.9977009</v>
      </c>
      <c r="Y410">
        <v>2.6587650000000001E-2</v>
      </c>
      <c r="Z410">
        <v>-4.142452E-4</v>
      </c>
      <c r="AA410">
        <v>0.99964640000000005</v>
      </c>
      <c r="AB410">
        <v>32</v>
      </c>
      <c r="AC410">
        <v>73.6297</v>
      </c>
      <c r="AD410">
        <v>-1.0902115654440001</v>
      </c>
      <c r="AE410">
        <v>-1.2127000000000401</v>
      </c>
      <c r="AF410">
        <v>1.9634279727694299</v>
      </c>
      <c r="AG410">
        <v>-1.0902115654440001</v>
      </c>
      <c r="AH410">
        <v>73.597363898127199</v>
      </c>
      <c r="AI410">
        <v>90.848369264787806</v>
      </c>
      <c r="AJ410">
        <v>88.471827613137407</v>
      </c>
      <c r="AK410">
        <v>73.631620812087505</v>
      </c>
      <c r="AL410">
        <v>93.806060405072401</v>
      </c>
      <c r="AM410">
        <v>90.784505615930996</v>
      </c>
      <c r="AN410">
        <v>0.99999997734180901</v>
      </c>
    </row>
    <row r="411" spans="1:40" x14ac:dyDescent="0.25">
      <c r="A411" t="str">
        <f>"20190305134917392"</f>
        <v>20190305134917392</v>
      </c>
      <c r="B411" t="str">
        <f>"1551764957381576"</f>
        <v>1551764957381576</v>
      </c>
      <c r="C411" t="s">
        <v>40</v>
      </c>
      <c r="D411">
        <v>3.7521840000000002</v>
      </c>
      <c r="E411">
        <v>0.51593770000000005</v>
      </c>
      <c r="F411" t="s">
        <v>42</v>
      </c>
      <c r="G411">
        <v>-366.5258</v>
      </c>
      <c r="H411" s="1">
        <v>-2.012393E-6</v>
      </c>
      <c r="I411">
        <v>366.57409999999999</v>
      </c>
      <c r="J411">
        <v>-436.3152</v>
      </c>
      <c r="K411">
        <v>1.088155</v>
      </c>
      <c r="L411">
        <v>367.73430000000002</v>
      </c>
      <c r="M411">
        <v>0.99971589999999999</v>
      </c>
      <c r="N411">
        <v>-2.1532989999999998E-2</v>
      </c>
      <c r="O411">
        <v>1.022782E-2</v>
      </c>
      <c r="P411">
        <v>0.99566949999999999</v>
      </c>
      <c r="Q411">
        <v>-8.978891E-2</v>
      </c>
      <c r="R411">
        <v>2.4091729999999999E-2</v>
      </c>
      <c r="S411">
        <v>3.0095830000000001</v>
      </c>
      <c r="T411">
        <v>-4.6850919999999997E-2</v>
      </c>
      <c r="U411">
        <v>-4.974365E-2</v>
      </c>
      <c r="V411">
        <v>-1.39019E-2</v>
      </c>
      <c r="W411">
        <v>-6.832481E-2</v>
      </c>
      <c r="X411">
        <v>0.99756630000000002</v>
      </c>
      <c r="Y411">
        <v>2.674619E-2</v>
      </c>
      <c r="Z411">
        <v>-4.3516330000000002E-4</v>
      </c>
      <c r="AA411">
        <v>0.99964209999999998</v>
      </c>
      <c r="AB411">
        <v>32</v>
      </c>
      <c r="AC411">
        <v>69.789400000000001</v>
      </c>
      <c r="AD411">
        <v>-1.088157012393</v>
      </c>
      <c r="AE411">
        <v>-1.1602000000000301</v>
      </c>
      <c r="AF411">
        <v>1.8736428142804</v>
      </c>
      <c r="AG411">
        <v>-1.088157012393</v>
      </c>
      <c r="AH411">
        <v>69.756924894313599</v>
      </c>
      <c r="AI411">
        <v>90.893377624456704</v>
      </c>
      <c r="AJ411">
        <v>88.461428438634798</v>
      </c>
      <c r="AK411">
        <v>69.790566653309497</v>
      </c>
      <c r="AL411">
        <v>93.917775374218706</v>
      </c>
      <c r="AM411">
        <v>90.7984117346045</v>
      </c>
      <c r="AN411">
        <v>1.0000000326904099</v>
      </c>
    </row>
    <row r="412" spans="1:40" x14ac:dyDescent="0.25">
      <c r="A412" t="str">
        <f>"20190305134917405"</f>
        <v>20190305134917405</v>
      </c>
      <c r="B412" t="str">
        <f>"1551764957401093"</f>
        <v>1551764957401093</v>
      </c>
      <c r="C412" t="s">
        <v>40</v>
      </c>
      <c r="D412">
        <v>3.7664970000000002</v>
      </c>
      <c r="E412">
        <v>0.51609700000000003</v>
      </c>
      <c r="F412" t="s">
        <v>42</v>
      </c>
      <c r="G412">
        <v>-374.3963</v>
      </c>
      <c r="H412" s="1">
        <v>-2.899242E-6</v>
      </c>
      <c r="I412">
        <v>366.72449999999998</v>
      </c>
      <c r="J412">
        <v>-436.10989999999998</v>
      </c>
      <c r="K412">
        <v>1.086406</v>
      </c>
      <c r="L412">
        <v>367.7364</v>
      </c>
      <c r="M412">
        <v>0.99971739999999998</v>
      </c>
      <c r="N412">
        <v>-2.1451459999999999E-2</v>
      </c>
      <c r="O412">
        <v>1.0250189999999999E-2</v>
      </c>
      <c r="P412">
        <v>0.99555769999999999</v>
      </c>
      <c r="Q412">
        <v>-9.0931650000000003E-2</v>
      </c>
      <c r="R412">
        <v>2.4427399999999998E-2</v>
      </c>
      <c r="S412">
        <v>3.0094910000000001</v>
      </c>
      <c r="T412">
        <v>-5.288851E-2</v>
      </c>
      <c r="U412">
        <v>-4.9072270000000001E-2</v>
      </c>
      <c r="V412">
        <v>-1.4216070000000001E-2</v>
      </c>
      <c r="W412">
        <v>-6.9550920000000002E-2</v>
      </c>
      <c r="X412">
        <v>0.99747710000000001</v>
      </c>
      <c r="Y412">
        <v>2.654482E-2</v>
      </c>
      <c r="Z412">
        <v>-4.7824480000000001E-4</v>
      </c>
      <c r="AA412">
        <v>0.99964750000000002</v>
      </c>
      <c r="AB412">
        <v>32</v>
      </c>
      <c r="AC412">
        <v>61.7135999999999</v>
      </c>
      <c r="AD412">
        <v>-1.086408899242</v>
      </c>
      <c r="AE412">
        <v>-1.01190000000002</v>
      </c>
      <c r="AF412">
        <v>1.64405914026503</v>
      </c>
      <c r="AG412">
        <v>-1.086408899242</v>
      </c>
      <c r="AH412">
        <v>61.680871946587203</v>
      </c>
      <c r="AI412">
        <v>91.008710059995195</v>
      </c>
      <c r="AJ412">
        <v>88.473183842120207</v>
      </c>
      <c r="AK412">
        <v>61.712342192176898</v>
      </c>
      <c r="AL412">
        <v>93.988193979544107</v>
      </c>
      <c r="AM412">
        <v>90.816525683069401</v>
      </c>
      <c r="AN412">
        <v>0.99999999607175005</v>
      </c>
    </row>
    <row r="413" spans="1:40" x14ac:dyDescent="0.25">
      <c r="A413" t="str">
        <f>"20190305134917419"</f>
        <v>20190305134917419</v>
      </c>
      <c r="B413" t="str">
        <f>"1551764957410851"</f>
        <v>1551764957410851</v>
      </c>
      <c r="C413" t="s">
        <v>40</v>
      </c>
      <c r="D413">
        <v>3.7496</v>
      </c>
      <c r="E413">
        <v>0.51607109999999901</v>
      </c>
      <c r="F413" t="s">
        <v>42</v>
      </c>
      <c r="G413">
        <v>-378.07279999999997</v>
      </c>
      <c r="H413" s="1">
        <v>-1.394685E-6</v>
      </c>
      <c r="I413">
        <v>366.78699999999998</v>
      </c>
      <c r="J413">
        <v>-435.9128</v>
      </c>
      <c r="K413">
        <v>1.0847180000000001</v>
      </c>
      <c r="L413">
        <v>367.73840000000001</v>
      </c>
      <c r="M413">
        <v>0.99971989999999999</v>
      </c>
      <c r="N413">
        <v>-2.132599E-2</v>
      </c>
      <c r="O413">
        <v>1.026972E-2</v>
      </c>
      <c r="P413">
        <v>0.99547240000000004</v>
      </c>
      <c r="Q413">
        <v>-9.1801869999999994E-2</v>
      </c>
      <c r="R413">
        <v>2.4646600000000001E-2</v>
      </c>
      <c r="S413">
        <v>3.0094910000000001</v>
      </c>
      <c r="T413">
        <v>-5.6335209999999997E-2</v>
      </c>
      <c r="U413">
        <v>-4.9224850000000001E-2</v>
      </c>
      <c r="V413">
        <v>-1.44172E-2</v>
      </c>
      <c r="W413">
        <v>-7.0547830000000006E-2</v>
      </c>
      <c r="X413">
        <v>0.99740419999999996</v>
      </c>
      <c r="Y413">
        <v>2.6614169999999999E-2</v>
      </c>
      <c r="Z413">
        <v>-5.0613989999999897E-4</v>
      </c>
      <c r="AA413">
        <v>0.99964569999999997</v>
      </c>
      <c r="AB413">
        <v>32</v>
      </c>
      <c r="AC413">
        <v>57.84</v>
      </c>
      <c r="AD413">
        <v>-1.084719394685</v>
      </c>
      <c r="AE413">
        <v>-0.951400000000035</v>
      </c>
      <c r="AF413">
        <v>1.5449422719163499</v>
      </c>
      <c r="AG413">
        <v>-1.084719394685</v>
      </c>
      <c r="AH413">
        <v>57.806850143846603</v>
      </c>
      <c r="AI413">
        <v>91.074619596002705</v>
      </c>
      <c r="AJ413">
        <v>88.469080999922994</v>
      </c>
      <c r="AK413">
        <v>57.8376640809593</v>
      </c>
      <c r="AL413">
        <v>94.045453378020895</v>
      </c>
      <c r="AM413">
        <v>90.828136866306096</v>
      </c>
      <c r="AN413">
        <v>0.99999999507559401</v>
      </c>
    </row>
    <row r="414" spans="1:40" x14ac:dyDescent="0.25">
      <c r="A414" t="str">
        <f>"20190305134917437"</f>
        <v>20190305134917437</v>
      </c>
      <c r="B414" t="str">
        <f>"1551764957431349"</f>
        <v>1551764957431349</v>
      </c>
      <c r="C414" t="s">
        <v>40</v>
      </c>
      <c r="D414">
        <v>3.729921</v>
      </c>
      <c r="E414">
        <v>0.52774759999999998</v>
      </c>
      <c r="F414" t="s">
        <v>42</v>
      </c>
      <c r="G414">
        <v>-379.40530000000001</v>
      </c>
      <c r="H414" s="1">
        <v>-9.2838219999999999E-7</v>
      </c>
      <c r="I414">
        <v>366.83530000000002</v>
      </c>
      <c r="J414">
        <v>-435.6669</v>
      </c>
      <c r="K414">
        <v>1.082527</v>
      </c>
      <c r="L414">
        <v>367.74099999999999</v>
      </c>
      <c r="M414">
        <v>0.99973239999999997</v>
      </c>
      <c r="N414">
        <v>-2.0723559999999999E-2</v>
      </c>
      <c r="O414">
        <v>1.0292300000000001E-2</v>
      </c>
      <c r="P414">
        <v>0.99532399999999999</v>
      </c>
      <c r="Q414">
        <v>-9.3224280000000007E-2</v>
      </c>
      <c r="R414">
        <v>2.5293240000000002E-2</v>
      </c>
      <c r="S414">
        <v>3.0095519999999998</v>
      </c>
      <c r="T414">
        <v>-5.7771330000000003E-2</v>
      </c>
      <c r="U414">
        <v>-4.8095699999999998E-2</v>
      </c>
      <c r="V414">
        <v>-1.5043269999999999E-2</v>
      </c>
      <c r="W414">
        <v>-7.2573739999999998E-2</v>
      </c>
      <c r="X414">
        <v>0.99724959999999996</v>
      </c>
      <c r="Y414">
        <v>2.6261260000000002E-2</v>
      </c>
      <c r="Z414">
        <v>-5.0846729999999996E-4</v>
      </c>
      <c r="AA414">
        <v>0.99965499999999996</v>
      </c>
      <c r="AB414">
        <v>32</v>
      </c>
      <c r="AC414">
        <v>56.261599999999902</v>
      </c>
      <c r="AD414">
        <v>-1.0825279283822</v>
      </c>
      <c r="AE414">
        <v>-0.90569999999996698</v>
      </c>
      <c r="AF414">
        <v>1.48428821497787</v>
      </c>
      <c r="AG414">
        <v>-1.0825279283822</v>
      </c>
      <c r="AH414">
        <v>56.228483730778699</v>
      </c>
      <c r="AI414">
        <v>91.102555594912204</v>
      </c>
      <c r="AJ414">
        <v>88.487889065386</v>
      </c>
      <c r="AK414">
        <v>56.258487012034898</v>
      </c>
      <c r="AL414">
        <v>94.161827801270405</v>
      </c>
      <c r="AM414">
        <v>90.864227484967302</v>
      </c>
      <c r="AN414">
        <v>1.0000000062050201</v>
      </c>
    </row>
    <row r="415" spans="1:40" x14ac:dyDescent="0.25">
      <c r="A415" t="str">
        <f>"20190305134917459"</f>
        <v>20190305134917459</v>
      </c>
      <c r="B415" t="str">
        <f>"1551764957450867"</f>
        <v>1551764957450867</v>
      </c>
      <c r="C415" t="s">
        <v>40</v>
      </c>
      <c r="D415">
        <v>3.7578100000000001</v>
      </c>
      <c r="E415">
        <v>0.53223469999999995</v>
      </c>
      <c r="F415" t="s">
        <v>42</v>
      </c>
      <c r="G415">
        <v>-245.25839999999999</v>
      </c>
      <c r="H415">
        <v>7.9986580000000002E-2</v>
      </c>
      <c r="I415">
        <v>359.02319999999997</v>
      </c>
      <c r="J415">
        <v>-435.33580000000001</v>
      </c>
      <c r="K415">
        <v>1.0794969999999999</v>
      </c>
      <c r="L415">
        <v>367.74450000000002</v>
      </c>
      <c r="M415">
        <v>0.99976710000000002</v>
      </c>
      <c r="N415">
        <v>-1.8960129999999999E-2</v>
      </c>
      <c r="O415">
        <v>1.031928E-2</v>
      </c>
      <c r="P415">
        <v>0.99533749999999999</v>
      </c>
      <c r="Q415">
        <v>-9.2786579999999994E-2</v>
      </c>
      <c r="R415">
        <v>2.6346640000000001E-2</v>
      </c>
      <c r="S415">
        <v>3.0161129999999998</v>
      </c>
      <c r="T415">
        <v>-1.5880470000000001E-2</v>
      </c>
      <c r="U415">
        <v>-0.13809199999999999</v>
      </c>
      <c r="V415">
        <v>-1.607074E-2</v>
      </c>
      <c r="W415">
        <v>-7.3894349999999998E-2</v>
      </c>
      <c r="X415">
        <v>0.99713660000000004</v>
      </c>
      <c r="Y415">
        <v>5.604021E-2</v>
      </c>
      <c r="Z415">
        <v>-5.3780339999999905E-4</v>
      </c>
      <c r="AA415">
        <v>0.99842830000000005</v>
      </c>
      <c r="AB415">
        <v>32</v>
      </c>
      <c r="AC415">
        <v>190.07740000000001</v>
      </c>
      <c r="AD415">
        <v>-0.99951042000000001</v>
      </c>
      <c r="AE415">
        <v>-8.7213000000000402</v>
      </c>
      <c r="AF415">
        <v>10.682355049550299</v>
      </c>
      <c r="AG415">
        <v>-0.99951042000000001</v>
      </c>
      <c r="AH415">
        <v>189.97202003342801</v>
      </c>
      <c r="AI415">
        <v>90.300975259761998</v>
      </c>
      <c r="AJ415">
        <v>86.781578748227901</v>
      </c>
      <c r="AK415">
        <v>190.274749050065</v>
      </c>
      <c r="AL415">
        <v>94.237696846578601</v>
      </c>
      <c r="AM415">
        <v>90.923349781893506</v>
      </c>
      <c r="AN415">
        <v>1.00000002135281</v>
      </c>
    </row>
    <row r="416" spans="1:40" x14ac:dyDescent="0.25">
      <c r="A416" t="str">
        <f>"20190305134917473"</f>
        <v>20190305134917473</v>
      </c>
      <c r="B416" t="str">
        <f>"1551764957461604"</f>
        <v>1551764957461604</v>
      </c>
      <c r="C416" t="s">
        <v>40</v>
      </c>
      <c r="D416">
        <v>3.7456909999999999</v>
      </c>
      <c r="E416">
        <v>0.53323619999999905</v>
      </c>
      <c r="F416" t="s">
        <v>45</v>
      </c>
      <c r="G416">
        <v>-158.78319999999999</v>
      </c>
      <c r="H416">
        <v>0.6956329</v>
      </c>
      <c r="I416">
        <v>352.19400000000002</v>
      </c>
      <c r="J416">
        <v>-435.13900000000001</v>
      </c>
      <c r="K416">
        <v>1.077752</v>
      </c>
      <c r="L416">
        <v>367.74650000000003</v>
      </c>
      <c r="M416">
        <v>0.99978900000000004</v>
      </c>
      <c r="N416">
        <v>-1.7752299999999999E-2</v>
      </c>
      <c r="O416">
        <v>1.033328E-2</v>
      </c>
      <c r="P416">
        <v>0.99539829999999996</v>
      </c>
      <c r="Q416">
        <v>-9.2020149999999995E-2</v>
      </c>
      <c r="R416">
        <v>2.6729760000000002E-2</v>
      </c>
      <c r="S416">
        <v>3.0181269999999998</v>
      </c>
      <c r="T416">
        <v>-4.1882990000000004E-3</v>
      </c>
      <c r="U416">
        <v>-0.16970829999999901</v>
      </c>
      <c r="V416">
        <v>-1.6439639999999998E-2</v>
      </c>
      <c r="W416">
        <v>-7.4331330000000001E-2</v>
      </c>
      <c r="X416">
        <v>0.99709809999999999</v>
      </c>
      <c r="Y416">
        <v>6.6454319999999997E-2</v>
      </c>
      <c r="Z416">
        <v>-4.674775E-4</v>
      </c>
      <c r="AA416">
        <v>0.99778940000000005</v>
      </c>
      <c r="AB416">
        <v>32</v>
      </c>
      <c r="AC416">
        <v>276.35579999999999</v>
      </c>
      <c r="AD416">
        <v>-0.38211909999999899</v>
      </c>
      <c r="AE416">
        <v>-15.5525</v>
      </c>
      <c r="AF416">
        <v>18.4077463011206</v>
      </c>
      <c r="AG416">
        <v>-0.38211909999999899</v>
      </c>
      <c r="AH416">
        <v>276.17978075308997</v>
      </c>
      <c r="AI416">
        <v>90.079098218845402</v>
      </c>
      <c r="AJ416">
        <v>86.186800708011106</v>
      </c>
      <c r="AK416">
        <v>276.79281500016901</v>
      </c>
      <c r="AL416">
        <v>94.262803029768605</v>
      </c>
      <c r="AM416">
        <v>90.944577722926297</v>
      </c>
      <c r="AN416">
        <v>1.00000001470325</v>
      </c>
    </row>
    <row r="417" spans="1:40" x14ac:dyDescent="0.25">
      <c r="A417" t="str">
        <f>"20190305134917492"</f>
        <v>20190305134917492</v>
      </c>
      <c r="B417" t="str">
        <f>"1551764957481123"</f>
        <v>1551764957481123</v>
      </c>
      <c r="C417" t="s">
        <v>40</v>
      </c>
      <c r="D417">
        <v>3.744021</v>
      </c>
      <c r="E417">
        <v>0.53370419999999996</v>
      </c>
      <c r="F417" t="s">
        <v>45</v>
      </c>
      <c r="G417">
        <v>-158.78319999999999</v>
      </c>
      <c r="H417">
        <v>1.4597070000000001</v>
      </c>
      <c r="I417">
        <v>351.60820000000001</v>
      </c>
      <c r="J417">
        <v>-434.85820000000001</v>
      </c>
      <c r="K417">
        <v>1.075439</v>
      </c>
      <c r="L417">
        <v>367.74950000000001</v>
      </c>
      <c r="M417">
        <v>0.99981869999999995</v>
      </c>
      <c r="N417">
        <v>-1.5983609999999999E-2</v>
      </c>
      <c r="O417">
        <v>1.0350959999999999E-2</v>
      </c>
      <c r="P417">
        <v>0.99552589999999996</v>
      </c>
      <c r="Q417">
        <v>-9.0482229999999997E-2</v>
      </c>
      <c r="R417">
        <v>2.7226090000000001E-2</v>
      </c>
      <c r="S417">
        <v>3.0189819999999998</v>
      </c>
      <c r="T417">
        <v>4.1735169999999999E-3</v>
      </c>
      <c r="U417">
        <v>-0.17630000000000001</v>
      </c>
      <c r="V417">
        <v>-1.6918140000000002E-2</v>
      </c>
      <c r="W417">
        <v>-7.4555079999999996E-2</v>
      </c>
      <c r="X417">
        <v>0.9970734</v>
      </c>
      <c r="Y417">
        <v>6.8628560000000005E-2</v>
      </c>
      <c r="Z417">
        <v>-3.2196610000000001E-4</v>
      </c>
      <c r="AA417">
        <v>0.99764219999999904</v>
      </c>
      <c r="AB417">
        <v>33</v>
      </c>
      <c r="AC417">
        <v>276.07499999999999</v>
      </c>
      <c r="AD417">
        <v>0.384267999999999</v>
      </c>
      <c r="AE417">
        <v>-16.141300000000001</v>
      </c>
      <c r="AF417">
        <v>18.998404673711999</v>
      </c>
      <c r="AG417">
        <v>0.384267999999999</v>
      </c>
      <c r="AH417">
        <v>275.89257417989199</v>
      </c>
      <c r="AI417">
        <v>89.920386026420303</v>
      </c>
      <c r="AJ417">
        <v>86.060739526405499</v>
      </c>
      <c r="AK417">
        <v>276.54619782171898</v>
      </c>
      <c r="AL417">
        <v>94.275658590602802</v>
      </c>
      <c r="AM417">
        <v>90.972089927528302</v>
      </c>
      <c r="AN417">
        <v>1.0000000242012099</v>
      </c>
    </row>
    <row r="418" spans="1:40" x14ac:dyDescent="0.25">
      <c r="A418" t="str">
        <f>"20190305134917506"</f>
        <v>20190305134917506</v>
      </c>
      <c r="B418" t="str">
        <f>"1551764957501619"</f>
        <v>1551764957501619</v>
      </c>
      <c r="C418" t="s">
        <v>40</v>
      </c>
      <c r="D418">
        <v>3.7688299999999999</v>
      </c>
      <c r="E418">
        <v>0.53395749999999997</v>
      </c>
      <c r="F418" t="s">
        <v>45</v>
      </c>
      <c r="G418">
        <v>-158.78319999999999</v>
      </c>
      <c r="H418">
        <v>1.633899</v>
      </c>
      <c r="I418">
        <v>351.42059999999998</v>
      </c>
      <c r="J418">
        <v>-434.64319999999998</v>
      </c>
      <c r="K418">
        <v>1.073814</v>
      </c>
      <c r="L418">
        <v>367.75170000000003</v>
      </c>
      <c r="M418">
        <v>0.99983929999999999</v>
      </c>
      <c r="N418">
        <v>-1.463947E-2</v>
      </c>
      <c r="O418">
        <v>1.036161E-2</v>
      </c>
      <c r="P418">
        <v>0.99561409999999995</v>
      </c>
      <c r="Q418">
        <v>-8.9429389999999997E-2</v>
      </c>
      <c r="R418">
        <v>2.748331E-2</v>
      </c>
      <c r="S418">
        <v>3.0189210000000002</v>
      </c>
      <c r="T418">
        <v>6.1078069999999998E-3</v>
      </c>
      <c r="U418">
        <v>-0.178558299999999</v>
      </c>
      <c r="V418">
        <v>-1.7164519999999999E-2</v>
      </c>
      <c r="W418">
        <v>-7.4841190000000002E-2</v>
      </c>
      <c r="X418">
        <v>0.99704769999999998</v>
      </c>
      <c r="Y418">
        <v>6.9384150000000006E-2</v>
      </c>
      <c r="Z418">
        <v>-2.657146E-4</v>
      </c>
      <c r="AA418">
        <v>0.99758999999999998</v>
      </c>
      <c r="AB418">
        <v>33</v>
      </c>
      <c r="AC418">
        <v>275.86</v>
      </c>
      <c r="AD418">
        <v>0.56008499999999894</v>
      </c>
      <c r="AE418">
        <v>-16.331099999999999</v>
      </c>
      <c r="AF418">
        <v>19.188803930665099</v>
      </c>
      <c r="AG418">
        <v>0.56008499999999894</v>
      </c>
      <c r="AH418">
        <v>275.67482083855901</v>
      </c>
      <c r="AI418">
        <v>89.883874038832005</v>
      </c>
      <c r="AJ418">
        <v>86.018254419117</v>
      </c>
      <c r="AK418">
        <v>276.34241573791797</v>
      </c>
      <c r="AL418">
        <v>94.292097644562304</v>
      </c>
      <c r="AM418">
        <v>90.986269178283294</v>
      </c>
      <c r="AN418">
        <v>0.999999970271367</v>
      </c>
    </row>
    <row r="419" spans="1:40" x14ac:dyDescent="0.25">
      <c r="A419" t="str">
        <f>"20190305134917519"</f>
        <v>20190305134917519</v>
      </c>
      <c r="B419" t="str">
        <f>"1551764957511380"</f>
        <v>1551764957511380</v>
      </c>
      <c r="C419" t="s">
        <v>40</v>
      </c>
      <c r="D419">
        <v>3.7709000000000001</v>
      </c>
      <c r="E419">
        <v>0.5340414</v>
      </c>
      <c r="F419" t="s">
        <v>45</v>
      </c>
      <c r="G419">
        <v>-158.78319999999999</v>
      </c>
      <c r="H419">
        <v>1.8724259999999999</v>
      </c>
      <c r="I419">
        <v>351.36880000000002</v>
      </c>
      <c r="J419">
        <v>-434.46600000000001</v>
      </c>
      <c r="K419">
        <v>1.0725720000000001</v>
      </c>
      <c r="L419">
        <v>367.75349999999997</v>
      </c>
      <c r="M419">
        <v>0.99985429999999997</v>
      </c>
      <c r="N419">
        <v>-1.35558E-2</v>
      </c>
      <c r="O419">
        <v>1.0367990000000001E-2</v>
      </c>
      <c r="P419">
        <v>0.99570800000000004</v>
      </c>
      <c r="Q419">
        <v>-8.830971E-2</v>
      </c>
      <c r="R419">
        <v>2.769392E-2</v>
      </c>
      <c r="S419">
        <v>3.0189509999999999</v>
      </c>
      <c r="T419">
        <v>8.7407830000000002E-3</v>
      </c>
      <c r="U419">
        <v>-0.1792908</v>
      </c>
      <c r="V419">
        <v>-1.7368539999999998E-2</v>
      </c>
      <c r="W419">
        <v>-7.4800790000000006E-2</v>
      </c>
      <c r="X419">
        <v>0.99704720000000002</v>
      </c>
      <c r="Y419">
        <v>6.9631150000000003E-2</v>
      </c>
      <c r="Z419">
        <v>-2.012614E-4</v>
      </c>
      <c r="AA419">
        <v>0.99757280000000004</v>
      </c>
      <c r="AB419">
        <v>33</v>
      </c>
      <c r="AC419">
        <v>275.68279999999999</v>
      </c>
      <c r="AD419">
        <v>0.79985399999999995</v>
      </c>
      <c r="AE419">
        <v>-16.384699999999899</v>
      </c>
      <c r="AF419">
        <v>19.242197112635399</v>
      </c>
      <c r="AG419">
        <v>0.79985399999999995</v>
      </c>
      <c r="AH419">
        <v>275.49577663453402</v>
      </c>
      <c r="AI419">
        <v>89.834056428406498</v>
      </c>
      <c r="AJ419">
        <v>86.004624422699294</v>
      </c>
      <c r="AK419">
        <v>276.16810978027098</v>
      </c>
      <c r="AL419">
        <v>94.289776382348805</v>
      </c>
      <c r="AM419">
        <v>90.997990261587304</v>
      </c>
      <c r="AN419">
        <v>0.99999997169709698</v>
      </c>
    </row>
    <row r="420" spans="1:40" x14ac:dyDescent="0.25">
      <c r="A420" t="str">
        <f>"20190305134917530"</f>
        <v>20190305134917530</v>
      </c>
      <c r="B420" t="str">
        <f>"1551764957521140"</f>
        <v>1551764957521140</v>
      </c>
      <c r="C420" t="s">
        <v>40</v>
      </c>
      <c r="D420">
        <v>3.8013119999999998</v>
      </c>
      <c r="E420">
        <v>0.53413549999999999</v>
      </c>
      <c r="F420" t="s">
        <v>45</v>
      </c>
      <c r="G420">
        <v>-158.78319999999999</v>
      </c>
      <c r="H420">
        <v>2.1817099999999998</v>
      </c>
      <c r="I420">
        <v>351.38979999999998</v>
      </c>
      <c r="J420">
        <v>-434.291</v>
      </c>
      <c r="K420">
        <v>1.0713870000000001</v>
      </c>
      <c r="L420">
        <v>367.75529999999998</v>
      </c>
      <c r="M420">
        <v>0.99986810000000004</v>
      </c>
      <c r="N420">
        <v>-1.249812E-2</v>
      </c>
      <c r="O420">
        <v>1.037253E-2</v>
      </c>
      <c r="P420">
        <v>0.99577470000000001</v>
      </c>
      <c r="Q420">
        <v>-8.7476369999999998E-2</v>
      </c>
      <c r="R420">
        <v>2.793176E-2</v>
      </c>
      <c r="S420">
        <v>3.019012</v>
      </c>
      <c r="T420">
        <v>1.214719E-2</v>
      </c>
      <c r="U420">
        <v>-0.1791992</v>
      </c>
      <c r="V420">
        <v>-1.7601200000000001E-2</v>
      </c>
      <c r="W420">
        <v>-7.5021160000000003E-2</v>
      </c>
      <c r="X420">
        <v>0.99702659999999999</v>
      </c>
      <c r="Y420">
        <v>6.9604310000000003E-2</v>
      </c>
      <c r="Z420">
        <v>-1.2423410000000001E-4</v>
      </c>
      <c r="AA420">
        <v>0.99757470000000004</v>
      </c>
      <c r="AB420">
        <v>33</v>
      </c>
      <c r="AC420">
        <v>275.50779999999997</v>
      </c>
      <c r="AD420">
        <v>1.11032299999999</v>
      </c>
      <c r="AE420">
        <v>-16.365499999999901</v>
      </c>
      <c r="AF420">
        <v>19.222244482613</v>
      </c>
      <c r="AG420">
        <v>1.11032299999999</v>
      </c>
      <c r="AH420">
        <v>275.31875561550203</v>
      </c>
      <c r="AI420">
        <v>89.769496301053707</v>
      </c>
      <c r="AJ420">
        <v>86.006195973688506</v>
      </c>
      <c r="AK420">
        <v>275.99120401523999</v>
      </c>
      <c r="AL420">
        <v>94.302438070246296</v>
      </c>
      <c r="AM420">
        <v>91.011376957557999</v>
      </c>
      <c r="AN420">
        <v>1.00000000889837</v>
      </c>
    </row>
    <row r="421" spans="1:40" x14ac:dyDescent="0.25">
      <c r="A421" t="str">
        <f>"20190305134917548"</f>
        <v>20190305134917548</v>
      </c>
      <c r="B421" t="str">
        <f>"1551764957541636"</f>
        <v>1551764957541636</v>
      </c>
      <c r="C421" t="s">
        <v>40</v>
      </c>
      <c r="D421">
        <v>3.7720899999999999</v>
      </c>
      <c r="E421">
        <v>0.5342346</v>
      </c>
      <c r="F421" t="s">
        <v>45</v>
      </c>
      <c r="G421">
        <v>-158.78319999999999</v>
      </c>
      <c r="H421">
        <v>2.4175529999999998</v>
      </c>
      <c r="I421">
        <v>351.4162</v>
      </c>
      <c r="J421">
        <v>-434.01839999999999</v>
      </c>
      <c r="K421">
        <v>1.069731</v>
      </c>
      <c r="L421">
        <v>367.75810000000001</v>
      </c>
      <c r="M421">
        <v>0.99988650000000001</v>
      </c>
      <c r="N421">
        <v>-1.093685E-2</v>
      </c>
      <c r="O421">
        <v>1.03666E-2</v>
      </c>
      <c r="P421">
        <v>0.9958709</v>
      </c>
      <c r="Q421">
        <v>-8.6223949999999994E-2</v>
      </c>
      <c r="R421">
        <v>2.8401570000000001E-2</v>
      </c>
      <c r="S421">
        <v>3.0190429999999999</v>
      </c>
      <c r="T421">
        <v>1.4752390000000001E-2</v>
      </c>
      <c r="U421">
        <v>-0.1790466</v>
      </c>
      <c r="V421">
        <v>-1.8077630000000001E-2</v>
      </c>
      <c r="W421">
        <v>-7.5323979999999999E-2</v>
      </c>
      <c r="X421">
        <v>0.99699519999999997</v>
      </c>
      <c r="Y421">
        <v>6.9547330000000004E-2</v>
      </c>
      <c r="Z421" s="1">
        <v>-4.7000650000000002E-5</v>
      </c>
      <c r="AA421">
        <v>0.99757870000000004</v>
      </c>
      <c r="AB421">
        <v>33</v>
      </c>
      <c r="AC421">
        <v>275.23520000000002</v>
      </c>
      <c r="AD421">
        <v>1.3478220000000001</v>
      </c>
      <c r="AE421">
        <v>-16.341899999999999</v>
      </c>
      <c r="AF421">
        <v>19.193986856638499</v>
      </c>
      <c r="AG421">
        <v>1.3478220000000001</v>
      </c>
      <c r="AH421">
        <v>275.04441598610299</v>
      </c>
      <c r="AI421">
        <v>89.719912355288301</v>
      </c>
      <c r="AJ421">
        <v>86.008083221348798</v>
      </c>
      <c r="AK421">
        <v>275.716623584312</v>
      </c>
      <c r="AL421">
        <v>94.319837796185098</v>
      </c>
      <c r="AM421">
        <v>91.038779738881502</v>
      </c>
      <c r="AN421">
        <v>0.99999996574624805</v>
      </c>
    </row>
    <row r="422" spans="1:40" x14ac:dyDescent="0.25">
      <c r="A422" t="str">
        <f>"20190305134917560"</f>
        <v>20190305134917560</v>
      </c>
      <c r="B422" t="str">
        <f>"1551764957551396"</f>
        <v>1551764957551396</v>
      </c>
      <c r="C422" t="s">
        <v>40</v>
      </c>
      <c r="D422">
        <v>3.8045490000000002</v>
      </c>
      <c r="E422">
        <v>0.53420849999999998</v>
      </c>
      <c r="F422" t="s">
        <v>45</v>
      </c>
      <c r="G422">
        <v>-158.78319999999999</v>
      </c>
      <c r="H422">
        <v>2.8241900000000002</v>
      </c>
      <c r="I422">
        <v>351.48579999999998</v>
      </c>
      <c r="J422">
        <v>-433.8494</v>
      </c>
      <c r="K422">
        <v>1.068816</v>
      </c>
      <c r="L422">
        <v>367.75990000000002</v>
      </c>
      <c r="M422">
        <v>0.99989589999999995</v>
      </c>
      <c r="N422">
        <v>-1.0053319999999999E-2</v>
      </c>
      <c r="O422">
        <v>1.0350389999999999E-2</v>
      </c>
      <c r="P422">
        <v>0.99592990000000003</v>
      </c>
      <c r="Q422">
        <v>-8.5371589999999997E-2</v>
      </c>
      <c r="R422">
        <v>2.8902750000000001E-2</v>
      </c>
      <c r="S422">
        <v>3.0191650000000001</v>
      </c>
      <c r="T422">
        <v>1.9246340000000001E-2</v>
      </c>
      <c r="U422">
        <v>-0.1784973</v>
      </c>
      <c r="V422">
        <v>-1.859626E-2</v>
      </c>
      <c r="W422">
        <v>-7.5351559999999998E-2</v>
      </c>
      <c r="X422">
        <v>0.99698359999999997</v>
      </c>
      <c r="Y422">
        <v>6.9347500000000006E-2</v>
      </c>
      <c r="Z422" s="1">
        <v>4.1828549999999998E-5</v>
      </c>
      <c r="AA422">
        <v>0.99759260000000005</v>
      </c>
      <c r="AB422">
        <v>33</v>
      </c>
      <c r="AC422">
        <v>275.06619999999998</v>
      </c>
      <c r="AD422">
        <v>1.755374</v>
      </c>
      <c r="AE422">
        <v>-16.274100000000001</v>
      </c>
      <c r="AF422">
        <v>19.1196385395405</v>
      </c>
      <c r="AG422">
        <v>1.755374</v>
      </c>
      <c r="AH422">
        <v>274.87185711661999</v>
      </c>
      <c r="AI422">
        <v>89.634987247893704</v>
      </c>
      <c r="AJ422">
        <v>86.021007943266298</v>
      </c>
      <c r="AK422">
        <v>275.54161164967798</v>
      </c>
      <c r="AL422">
        <v>94.321422418663701</v>
      </c>
      <c r="AM422">
        <v>91.068586957306707</v>
      </c>
      <c r="AN422">
        <v>0.99999998857468997</v>
      </c>
    </row>
    <row r="423" spans="1:40" x14ac:dyDescent="0.25">
      <c r="A423" t="str">
        <f>"20190305134917571"</f>
        <v>20190305134917571</v>
      </c>
      <c r="B423" t="str">
        <f>"1551764957561156"</f>
        <v>1551764957561156</v>
      </c>
      <c r="C423" t="s">
        <v>40</v>
      </c>
      <c r="D423">
        <v>3.7978730000000001</v>
      </c>
      <c r="E423">
        <v>0.53421830000000003</v>
      </c>
      <c r="F423" t="s">
        <v>45</v>
      </c>
      <c r="G423">
        <v>-158.78319999999999</v>
      </c>
      <c r="H423">
        <v>3.1664680000000001</v>
      </c>
      <c r="I423">
        <v>351.69049999999999</v>
      </c>
      <c r="J423">
        <v>-433.67110000000002</v>
      </c>
      <c r="K423">
        <v>1.0678780000000001</v>
      </c>
      <c r="L423">
        <v>367.76170000000002</v>
      </c>
      <c r="M423">
        <v>0.99990480000000004</v>
      </c>
      <c r="N423">
        <v>-9.1515469999999995E-3</v>
      </c>
      <c r="O423">
        <v>1.032833E-2</v>
      </c>
      <c r="P423">
        <v>0.99593480000000001</v>
      </c>
      <c r="Q423">
        <v>-8.508773E-2</v>
      </c>
      <c r="R423">
        <v>2.9563780000000001E-2</v>
      </c>
      <c r="S423">
        <v>3.0193479999999999</v>
      </c>
      <c r="T423">
        <v>2.302647E-2</v>
      </c>
      <c r="U423">
        <v>-0.17639160000000001</v>
      </c>
      <c r="V423">
        <v>-1.928088E-2</v>
      </c>
      <c r="W423">
        <v>-7.5966140000000001E-2</v>
      </c>
      <c r="X423">
        <v>0.99692400000000003</v>
      </c>
      <c r="Y423">
        <v>6.8628010000000003E-2</v>
      </c>
      <c r="Z423">
        <v>1.202994E-4</v>
      </c>
      <c r="AA423">
        <v>0.99764229999999998</v>
      </c>
      <c r="AB423">
        <v>34</v>
      </c>
      <c r="AC423">
        <v>274.8879</v>
      </c>
      <c r="AD423">
        <v>2.0985900000000002</v>
      </c>
      <c r="AE423">
        <v>-16.071200000000001</v>
      </c>
      <c r="AF423">
        <v>18.908496210404699</v>
      </c>
      <c r="AG423">
        <v>2.0985900000000002</v>
      </c>
      <c r="AH423">
        <v>274.69128565410398</v>
      </c>
      <c r="AI423">
        <v>89.563312804925502</v>
      </c>
      <c r="AJ423">
        <v>86.062231289246</v>
      </c>
      <c r="AK423">
        <v>275.34930129424998</v>
      </c>
      <c r="AL423">
        <v>94.356736278865796</v>
      </c>
      <c r="AM423">
        <v>91.107983498156202</v>
      </c>
      <c r="AN423">
        <v>1.00000003426803</v>
      </c>
    </row>
    <row r="424" spans="1:40" x14ac:dyDescent="0.25">
      <c r="A424" t="str">
        <f>"20190305134917583"</f>
        <v>20190305134917583</v>
      </c>
      <c r="B424" t="str">
        <f>"1551764957570916"</f>
        <v>1551764957570916</v>
      </c>
      <c r="C424" t="s">
        <v>40</v>
      </c>
      <c r="D424">
        <v>3.8227259999999998</v>
      </c>
      <c r="E424">
        <v>0.5343097</v>
      </c>
      <c r="F424" t="s">
        <v>45</v>
      </c>
      <c r="G424">
        <v>-158.78319999999999</v>
      </c>
      <c r="H424">
        <v>3.3659080000000001</v>
      </c>
      <c r="I424">
        <v>351.86500000000001</v>
      </c>
      <c r="J424">
        <v>-433.49149999999997</v>
      </c>
      <c r="K424">
        <v>1.0670470000000001</v>
      </c>
      <c r="L424">
        <v>367.7636</v>
      </c>
      <c r="M424">
        <v>0.99991220000000003</v>
      </c>
      <c r="N424">
        <v>-8.3563379999999996E-3</v>
      </c>
      <c r="O424">
        <v>1.0286119999999999E-2</v>
      </c>
      <c r="P424">
        <v>0.99595730000000005</v>
      </c>
      <c r="Q424">
        <v>-8.4549990000000005E-2</v>
      </c>
      <c r="R424">
        <v>3.0340780000000001E-2</v>
      </c>
      <c r="S424">
        <v>3.0195620000000001</v>
      </c>
      <c r="T424">
        <v>2.5244119999999998E-2</v>
      </c>
      <c r="U424">
        <v>-0.17462159999999999</v>
      </c>
      <c r="V424">
        <v>-2.0102869999999998E-2</v>
      </c>
      <c r="W424">
        <v>-7.6220140000000006E-2</v>
      </c>
      <c r="X424">
        <v>0.99688829999999995</v>
      </c>
      <c r="Y424">
        <v>6.799848E-2</v>
      </c>
      <c r="Z424">
        <v>1.7144839999999999E-4</v>
      </c>
      <c r="AA424">
        <v>0.99768539999999994</v>
      </c>
      <c r="AB424">
        <v>34</v>
      </c>
      <c r="AC424">
        <v>274.70830000000001</v>
      </c>
      <c r="AD424">
        <v>2.298861</v>
      </c>
      <c r="AE424">
        <v>-15.898599999999901</v>
      </c>
      <c r="AF424">
        <v>18.722233258255599</v>
      </c>
      <c r="AG424">
        <v>2.298861</v>
      </c>
      <c r="AH424">
        <v>274.51106559725201</v>
      </c>
      <c r="AI424">
        <v>89.521306357368601</v>
      </c>
      <c r="AJ424">
        <v>86.098349135155104</v>
      </c>
      <c r="AK424">
        <v>275.15837605897599</v>
      </c>
      <c r="AL424">
        <v>94.371332052863096</v>
      </c>
      <c r="AM424">
        <v>91.155248302688094</v>
      </c>
      <c r="AN424">
        <v>0.99999995890037197</v>
      </c>
    </row>
    <row r="425" spans="1:40" x14ac:dyDescent="0.25">
      <c r="A425" t="str">
        <f>"20190305134917604"</f>
        <v>20190305134917604</v>
      </c>
      <c r="B425" t="str">
        <f>"1551764957601172"</f>
        <v>1551764957601172</v>
      </c>
      <c r="C425" t="s">
        <v>40</v>
      </c>
      <c r="D425">
        <v>3.8707579999999999</v>
      </c>
      <c r="E425">
        <v>0.53454820000000003</v>
      </c>
      <c r="F425" t="s">
        <v>45</v>
      </c>
      <c r="G425">
        <v>-158.78319999999999</v>
      </c>
      <c r="H425">
        <v>3.561769</v>
      </c>
      <c r="I425">
        <v>352.03660000000002</v>
      </c>
      <c r="J425">
        <v>-433.18689999999998</v>
      </c>
      <c r="K425">
        <v>1.0657779999999999</v>
      </c>
      <c r="L425">
        <v>367.76670000000001</v>
      </c>
      <c r="M425">
        <v>0.99992230000000004</v>
      </c>
      <c r="N425">
        <v>-7.2000759999999997E-3</v>
      </c>
      <c r="O425">
        <v>1.0181050000000001E-2</v>
      </c>
      <c r="P425">
        <v>0.99601079999999997</v>
      </c>
      <c r="Q425">
        <v>-8.3527920000000005E-2</v>
      </c>
      <c r="R425">
        <v>3.1395850000000003E-2</v>
      </c>
      <c r="S425">
        <v>3.0197750000000001</v>
      </c>
      <c r="T425">
        <v>2.7424569999999999E-2</v>
      </c>
      <c r="U425">
        <v>-0.17288210000000001</v>
      </c>
      <c r="V425">
        <v>-2.1268209999999999E-2</v>
      </c>
      <c r="W425">
        <v>-7.6348390000000002E-2</v>
      </c>
      <c r="X425">
        <v>0.99685440000000003</v>
      </c>
      <c r="Y425">
        <v>6.7316189999999998E-2</v>
      </c>
      <c r="Z425">
        <v>2.284989E-4</v>
      </c>
      <c r="AA425">
        <v>0.9977317</v>
      </c>
      <c r="AB425">
        <v>34</v>
      </c>
      <c r="AC425">
        <v>274.40370000000001</v>
      </c>
      <c r="AD425">
        <v>2.4959910000000001</v>
      </c>
      <c r="AE425">
        <v>-15.730099999999901</v>
      </c>
      <c r="AF425">
        <v>18.521547340626199</v>
      </c>
      <c r="AG425">
        <v>2.4959910000000001</v>
      </c>
      <c r="AH425">
        <v>274.20671126505999</v>
      </c>
      <c r="AI425">
        <v>89.479660066956299</v>
      </c>
      <c r="AJ425">
        <v>86.135772935756094</v>
      </c>
      <c r="AK425">
        <v>274.842860903759</v>
      </c>
      <c r="AL425">
        <v>94.378701293578501</v>
      </c>
      <c r="AM425">
        <v>91.222238497326003</v>
      </c>
      <c r="AN425">
        <v>1.0000000541057701</v>
      </c>
    </row>
    <row r="426" spans="1:40" x14ac:dyDescent="0.25">
      <c r="A426" t="str">
        <f>"20190305134917615"</f>
        <v>20190305134917615</v>
      </c>
      <c r="B426" t="str">
        <f>"1551764957610932"</f>
        <v>1551764957610932</v>
      </c>
      <c r="C426" t="s">
        <v>40</v>
      </c>
      <c r="D426">
        <v>3.8556439999999998</v>
      </c>
      <c r="E426">
        <v>0.53470620000000002</v>
      </c>
      <c r="F426" t="s">
        <v>45</v>
      </c>
      <c r="G426">
        <v>-158.78319999999999</v>
      </c>
      <c r="H426">
        <v>3.9848870000000001</v>
      </c>
      <c r="I426">
        <v>352.16140000000001</v>
      </c>
      <c r="J426">
        <v>-433.00470000000001</v>
      </c>
      <c r="K426">
        <v>1.0651090000000001</v>
      </c>
      <c r="L426">
        <v>367.76850000000002</v>
      </c>
      <c r="M426">
        <v>0.99992700000000001</v>
      </c>
      <c r="N426">
        <v>-6.6414530000000003E-3</v>
      </c>
      <c r="O426">
        <v>1.0094799999999999E-2</v>
      </c>
      <c r="P426">
        <v>0.99605250000000001</v>
      </c>
      <c r="Q426">
        <v>-8.2839250000000003E-2</v>
      </c>
      <c r="R426">
        <v>3.189206E-2</v>
      </c>
      <c r="S426">
        <v>3.020111</v>
      </c>
      <c r="T426">
        <v>3.212893E-2</v>
      </c>
      <c r="U426">
        <v>-0.17175289999999999</v>
      </c>
      <c r="V426">
        <v>-2.185453E-2</v>
      </c>
      <c r="W426">
        <v>-7.6214820000000003E-2</v>
      </c>
      <c r="X426">
        <v>0.99685190000000001</v>
      </c>
      <c r="Y426">
        <v>6.6850939999999998E-2</v>
      </c>
      <c r="Z426">
        <v>3.074086E-4</v>
      </c>
      <c r="AA426">
        <v>0.99776290000000001</v>
      </c>
      <c r="AB426">
        <v>34</v>
      </c>
      <c r="AC426">
        <v>274.22149999999999</v>
      </c>
      <c r="AD426">
        <v>2.919778</v>
      </c>
      <c r="AE426">
        <v>-15.607100000000001</v>
      </c>
      <c r="AF426">
        <v>18.372500790875399</v>
      </c>
      <c r="AG426">
        <v>2.919778</v>
      </c>
      <c r="AH426">
        <v>274.01900760691098</v>
      </c>
      <c r="AI426">
        <v>89.3908820162316</v>
      </c>
      <c r="AJ426">
        <v>86.164158122256595</v>
      </c>
      <c r="AK426">
        <v>274.64975954614698</v>
      </c>
      <c r="AL426">
        <v>94.371026104822704</v>
      </c>
      <c r="AM426">
        <v>91.255925553801305</v>
      </c>
      <c r="AN426">
        <v>1.0000000149013799</v>
      </c>
    </row>
    <row r="427" spans="1:40" x14ac:dyDescent="0.25">
      <c r="A427" t="str">
        <f>"20190305134917626"</f>
        <v>20190305134917626</v>
      </c>
      <c r="B427" t="str">
        <f>"1551764957621667"</f>
        <v>1551764957621667</v>
      </c>
      <c r="C427" t="s">
        <v>40</v>
      </c>
      <c r="D427">
        <v>3.872973</v>
      </c>
      <c r="E427">
        <v>0.5347904</v>
      </c>
      <c r="F427" t="s">
        <v>45</v>
      </c>
      <c r="G427">
        <v>-158.78319999999999</v>
      </c>
      <c r="H427">
        <v>4.1968509999999997</v>
      </c>
      <c r="I427">
        <v>352.1884</v>
      </c>
      <c r="J427">
        <v>-432.82429999999999</v>
      </c>
      <c r="K427">
        <v>1.064506</v>
      </c>
      <c r="L427">
        <v>367.77019999999999</v>
      </c>
      <c r="M427">
        <v>0.99993109999999996</v>
      </c>
      <c r="N427">
        <v>-6.1828830000000001E-3</v>
      </c>
      <c r="O427">
        <v>9.9921109999999997E-3</v>
      </c>
      <c r="P427">
        <v>0.99612639999999997</v>
      </c>
      <c r="Q427">
        <v>-8.2072389999999995E-2</v>
      </c>
      <c r="R427">
        <v>3.1572299999999998E-2</v>
      </c>
      <c r="S427">
        <v>3.0202939999999998</v>
      </c>
      <c r="T427">
        <v>3.4494160000000003E-2</v>
      </c>
      <c r="U427">
        <v>-0.17160029999999901</v>
      </c>
      <c r="V427">
        <v>-2.1642089999999999E-2</v>
      </c>
      <c r="W427">
        <v>-7.5903239999999997E-2</v>
      </c>
      <c r="X427">
        <v>0.99688030000000005</v>
      </c>
      <c r="Y427">
        <v>6.6694149999999994E-2</v>
      </c>
      <c r="Z427">
        <v>3.4993170000000002E-4</v>
      </c>
      <c r="AA427">
        <v>0.99777340000000003</v>
      </c>
      <c r="AB427">
        <v>34</v>
      </c>
      <c r="AC427">
        <v>274.04109999999997</v>
      </c>
      <c r="AD427">
        <v>3.1323449999999999</v>
      </c>
      <c r="AE427">
        <v>-15.5817999999999</v>
      </c>
      <c r="AF427">
        <v>18.3169377564424</v>
      </c>
      <c r="AG427">
        <v>3.1323449999999999</v>
      </c>
      <c r="AH427">
        <v>273.83605941120402</v>
      </c>
      <c r="AI427">
        <v>89.346097021065304</v>
      </c>
      <c r="AJ427">
        <v>86.1731768054226</v>
      </c>
      <c r="AK427">
        <v>274.46586168015301</v>
      </c>
      <c r="AL427">
        <v>94.353122057104599</v>
      </c>
      <c r="AM427">
        <v>91.243685587077593</v>
      </c>
      <c r="AN427">
        <v>1.0000000072150701</v>
      </c>
    </row>
    <row r="428" spans="1:40" x14ac:dyDescent="0.25">
      <c r="A428" t="str">
        <f>"20190305134917639"</f>
        <v>20190305134917639</v>
      </c>
      <c r="B428" t="str">
        <f>"1551764957631429"</f>
        <v>1551764957631429</v>
      </c>
      <c r="C428" t="s">
        <v>40</v>
      </c>
      <c r="D428">
        <v>3.8831699999999998</v>
      </c>
      <c r="E428">
        <v>0.53489370000000003</v>
      </c>
      <c r="F428" t="s">
        <v>45</v>
      </c>
      <c r="G428">
        <v>-158.78319999999999</v>
      </c>
      <c r="H428">
        <v>4.422479</v>
      </c>
      <c r="I428">
        <v>352.02820000000003</v>
      </c>
      <c r="J428">
        <v>-432.63670000000002</v>
      </c>
      <c r="K428">
        <v>1.0639529999999999</v>
      </c>
      <c r="L428">
        <v>367.77199999999999</v>
      </c>
      <c r="M428">
        <v>0.9999344</v>
      </c>
      <c r="N428">
        <v>-5.8187710000000004E-3</v>
      </c>
      <c r="O428">
        <v>9.8617180000000002E-3</v>
      </c>
      <c r="P428">
        <v>0.99613390000000002</v>
      </c>
      <c r="Q428">
        <v>-8.1925109999999995E-2</v>
      </c>
      <c r="R428">
        <v>3.1708340000000002E-2</v>
      </c>
      <c r="S428">
        <v>3.020203</v>
      </c>
      <c r="T428">
        <v>3.700912E-2</v>
      </c>
      <c r="U428">
        <v>-0.17349239999999999</v>
      </c>
      <c r="V428">
        <v>-2.191363E-2</v>
      </c>
      <c r="W428">
        <v>-7.6117080000000004E-2</v>
      </c>
      <c r="X428">
        <v>0.99685809999999997</v>
      </c>
      <c r="Y428">
        <v>6.7188059999999994E-2</v>
      </c>
      <c r="Z428">
        <v>3.9373639999999997E-4</v>
      </c>
      <c r="AA428">
        <v>0.99774030000000002</v>
      </c>
      <c r="AB428">
        <v>34</v>
      </c>
      <c r="AC428">
        <v>273.8535</v>
      </c>
      <c r="AD428">
        <v>3.3585259999999999</v>
      </c>
      <c r="AE428">
        <v>-15.743799999999901</v>
      </c>
      <c r="AF428">
        <v>18.440981740605501</v>
      </c>
      <c r="AG428">
        <v>3.3585259999999999</v>
      </c>
      <c r="AH428">
        <v>273.643897375986</v>
      </c>
      <c r="AI428">
        <v>89.298415577105104</v>
      </c>
      <c r="AJ428">
        <v>86.144641679588403</v>
      </c>
      <c r="AK428">
        <v>274.28512915498902</v>
      </c>
      <c r="AL428">
        <v>94.365409572082001</v>
      </c>
      <c r="AM428">
        <v>91.259312961884405</v>
      </c>
      <c r="AN428">
        <v>1.00000004429155</v>
      </c>
    </row>
    <row r="429" spans="1:40" x14ac:dyDescent="0.25">
      <c r="A429" t="str">
        <f>"20190305134917650"</f>
        <v>20190305134917650</v>
      </c>
      <c r="B429" t="str">
        <f>"1551764957641188"</f>
        <v>1551764957641188</v>
      </c>
      <c r="C429" t="s">
        <v>40</v>
      </c>
      <c r="D429">
        <v>3.9206159999999999</v>
      </c>
      <c r="E429">
        <v>0.53504790000000002</v>
      </c>
      <c r="F429" t="s">
        <v>45</v>
      </c>
      <c r="G429">
        <v>-158.78319999999999</v>
      </c>
      <c r="H429">
        <v>4.5064399999999996</v>
      </c>
      <c r="I429">
        <v>351.9803</v>
      </c>
      <c r="J429">
        <v>-432.44850000000002</v>
      </c>
      <c r="K429">
        <v>1.063431</v>
      </c>
      <c r="L429">
        <v>367.77370000000002</v>
      </c>
      <c r="M429">
        <v>0.99993770000000004</v>
      </c>
      <c r="N429">
        <v>-5.5012300000000002E-3</v>
      </c>
      <c r="O429">
        <v>9.7196929999999997E-3</v>
      </c>
      <c r="P429">
        <v>0.99615960000000003</v>
      </c>
      <c r="Q429">
        <v>-8.1614359999999997E-2</v>
      </c>
      <c r="R429">
        <v>3.1710000000000002E-2</v>
      </c>
      <c r="S429">
        <v>3.0202939999999998</v>
      </c>
      <c r="T429">
        <v>3.7967679999999997E-2</v>
      </c>
      <c r="U429">
        <v>-0.17416379999999901</v>
      </c>
      <c r="V429">
        <v>-2.2063360000000001E-2</v>
      </c>
      <c r="W429">
        <v>-7.6120850000000004E-2</v>
      </c>
      <c r="X429">
        <v>0.99685449999999998</v>
      </c>
      <c r="Y429">
        <v>6.7265320000000003E-2</v>
      </c>
      <c r="Z429">
        <v>4.1274969999999998E-4</v>
      </c>
      <c r="AA429">
        <v>0.99773500000000004</v>
      </c>
      <c r="AB429">
        <v>35</v>
      </c>
      <c r="AC429">
        <v>273.6653</v>
      </c>
      <c r="AD429">
        <v>3.443009</v>
      </c>
      <c r="AE429">
        <v>-15.7934</v>
      </c>
      <c r="AF429">
        <v>18.449726103243901</v>
      </c>
      <c r="AG429">
        <v>3.443009</v>
      </c>
      <c r="AH429">
        <v>273.455723109963</v>
      </c>
      <c r="AI429">
        <v>89.280278112304103</v>
      </c>
      <c r="AJ429">
        <v>86.140172821114206</v>
      </c>
      <c r="AK429">
        <v>274.09903174920498</v>
      </c>
      <c r="AL429">
        <v>94.365626246685906</v>
      </c>
      <c r="AM429">
        <v>91.267919290174902</v>
      </c>
      <c r="AN429">
        <v>1.00000003491473</v>
      </c>
    </row>
    <row r="430" spans="1:40" x14ac:dyDescent="0.25">
      <c r="A430" t="str">
        <f>"20190305134917661"</f>
        <v>20190305134917661</v>
      </c>
      <c r="B430" t="str">
        <f>"1551764957650949"</f>
        <v>1551764957650949</v>
      </c>
      <c r="C430" t="s">
        <v>40</v>
      </c>
      <c r="D430">
        <v>3.8673359999999999</v>
      </c>
      <c r="E430">
        <v>0.53508169999999899</v>
      </c>
      <c r="F430" t="s">
        <v>45</v>
      </c>
      <c r="G430">
        <v>-158.78319999999999</v>
      </c>
      <c r="H430">
        <v>4.6761140000000001</v>
      </c>
      <c r="I430">
        <v>351.88839999999999</v>
      </c>
      <c r="J430">
        <v>-432.26949999999999</v>
      </c>
      <c r="K430">
        <v>1.0629980000000001</v>
      </c>
      <c r="L430">
        <v>367.77539999999999</v>
      </c>
      <c r="M430">
        <v>0.99994039999999995</v>
      </c>
      <c r="N430">
        <v>-5.2895939999999999E-3</v>
      </c>
      <c r="O430">
        <v>9.5573180000000004E-3</v>
      </c>
      <c r="P430">
        <v>0.99618010000000001</v>
      </c>
      <c r="Q430">
        <v>-8.1340510000000005E-2</v>
      </c>
      <c r="R430">
        <v>3.1769569999999997E-2</v>
      </c>
      <c r="S430">
        <v>3.0203859999999998</v>
      </c>
      <c r="T430">
        <v>3.9873359999999997E-2</v>
      </c>
      <c r="U430">
        <v>-0.17532349999999999</v>
      </c>
      <c r="V430">
        <v>-2.22902E-2</v>
      </c>
      <c r="W430">
        <v>-7.6056070000000003E-2</v>
      </c>
      <c r="X430">
        <v>0.99685440000000003</v>
      </c>
      <c r="Y430">
        <v>6.7482790000000001E-2</v>
      </c>
      <c r="Z430">
        <v>4.4297800000000001E-4</v>
      </c>
      <c r="AA430">
        <v>0.99772039999999995</v>
      </c>
      <c r="AB430">
        <v>35</v>
      </c>
      <c r="AC430">
        <v>273.48630000000003</v>
      </c>
      <c r="AD430">
        <v>3.6131160000000002</v>
      </c>
      <c r="AE430">
        <v>-15.887</v>
      </c>
      <c r="AF430">
        <v>18.4968887544422</v>
      </c>
      <c r="AG430">
        <v>3.6131160000000002</v>
      </c>
      <c r="AH430">
        <v>273.27443305162001</v>
      </c>
      <c r="AI430">
        <v>89.244233256765199</v>
      </c>
      <c r="AJ430">
        <v>86.127776639115297</v>
      </c>
      <c r="AK430">
        <v>273.92353907707201</v>
      </c>
      <c r="AL430">
        <v>94.361903826975393</v>
      </c>
      <c r="AM430">
        <v>91.280950954639295</v>
      </c>
      <c r="AN430">
        <v>1.00000003679962</v>
      </c>
    </row>
    <row r="431" spans="1:40" x14ac:dyDescent="0.25">
      <c r="A431" t="str">
        <f>"20190305134917675"</f>
        <v>20190305134917675</v>
      </c>
      <c r="B431" t="str">
        <f>"1551764957671444"</f>
        <v>1551764957671444</v>
      </c>
      <c r="C431" t="s">
        <v>40</v>
      </c>
      <c r="D431">
        <v>3.9228749999999999</v>
      </c>
      <c r="E431">
        <v>0.53514949999999994</v>
      </c>
      <c r="F431" t="s">
        <v>45</v>
      </c>
      <c r="G431">
        <v>-158.78319999999999</v>
      </c>
      <c r="H431">
        <v>4.7784509999999996</v>
      </c>
      <c r="I431">
        <v>351.89789999999999</v>
      </c>
      <c r="J431">
        <v>-432.08069999999998</v>
      </c>
      <c r="K431">
        <v>1.06257</v>
      </c>
      <c r="L431">
        <v>367.77699999999999</v>
      </c>
      <c r="M431">
        <v>0.99994320000000003</v>
      </c>
      <c r="N431">
        <v>-5.0947589999999999E-3</v>
      </c>
      <c r="O431">
        <v>9.3744410000000007E-3</v>
      </c>
      <c r="P431">
        <v>0.99619530000000001</v>
      </c>
      <c r="Q431">
        <v>-8.1225220000000001E-2</v>
      </c>
      <c r="R431">
        <v>3.1584599999999997E-2</v>
      </c>
      <c r="S431">
        <v>3.0204469999999999</v>
      </c>
      <c r="T431">
        <v>4.1035290000000002E-2</v>
      </c>
      <c r="U431">
        <v>-0.17535400000000001</v>
      </c>
      <c r="V431">
        <v>-2.2293400000000001E-2</v>
      </c>
      <c r="W431">
        <v>-7.6133229999999996E-2</v>
      </c>
      <c r="X431">
        <v>0.99684839999999997</v>
      </c>
      <c r="Y431">
        <v>6.730883E-2</v>
      </c>
      <c r="Z431">
        <v>4.6017509999999998E-4</v>
      </c>
      <c r="AA431">
        <v>0.99773210000000001</v>
      </c>
      <c r="AB431">
        <v>35</v>
      </c>
      <c r="AC431">
        <v>273.29750000000001</v>
      </c>
      <c r="AD431">
        <v>3.715881</v>
      </c>
      <c r="AE431">
        <v>-15.8790999999999</v>
      </c>
      <c r="AF431">
        <v>18.437049591997301</v>
      </c>
      <c r="AG431">
        <v>3.715881</v>
      </c>
      <c r="AH431">
        <v>273.08631714575102</v>
      </c>
      <c r="AI431">
        <v>89.222195803719202</v>
      </c>
      <c r="AJ431">
        <v>86.137614978939993</v>
      </c>
      <c r="AK431">
        <v>273.733208035659</v>
      </c>
      <c r="AL431">
        <v>94.366337792123105</v>
      </c>
      <c r="AM431">
        <v>91.281142496300902</v>
      </c>
      <c r="AN431">
        <v>0.999999998488176</v>
      </c>
    </row>
    <row r="432" spans="1:40" x14ac:dyDescent="0.25">
      <c r="A432" t="str">
        <f>"20190305134917694"</f>
        <v>20190305134917694</v>
      </c>
      <c r="B432" t="str">
        <f>"1551764957690964"</f>
        <v>1551764957690964</v>
      </c>
      <c r="C432" t="s">
        <v>40</v>
      </c>
      <c r="D432">
        <v>3.9504009999999998</v>
      </c>
      <c r="E432">
        <v>0.5351998</v>
      </c>
      <c r="F432" t="s">
        <v>45</v>
      </c>
      <c r="G432">
        <v>-158.78319999999999</v>
      </c>
      <c r="H432">
        <v>4.8847880000000004</v>
      </c>
      <c r="I432">
        <v>351.82249999999999</v>
      </c>
      <c r="J432">
        <v>-431.7792</v>
      </c>
      <c r="K432">
        <v>1.061963</v>
      </c>
      <c r="L432">
        <v>367.77949999999998</v>
      </c>
      <c r="M432">
        <v>0.99994709999999998</v>
      </c>
      <c r="N432">
        <v>-4.8675070000000001E-3</v>
      </c>
      <c r="O432">
        <v>9.0473759999999993E-3</v>
      </c>
      <c r="P432">
        <v>0.99613949999999996</v>
      </c>
      <c r="Q432">
        <v>-8.2154130000000006E-2</v>
      </c>
      <c r="R432">
        <v>3.0933800000000001E-2</v>
      </c>
      <c r="S432">
        <v>3.020508</v>
      </c>
      <c r="T432">
        <v>4.2244429999999999E-2</v>
      </c>
      <c r="U432">
        <v>-0.1763306</v>
      </c>
      <c r="V432">
        <v>-2.1978190000000002E-2</v>
      </c>
      <c r="W432">
        <v>-7.7286839999999996E-2</v>
      </c>
      <c r="X432">
        <v>0.99676659999999995</v>
      </c>
      <c r="Y432">
        <v>6.7302409999999993E-2</v>
      </c>
      <c r="Z432">
        <v>4.7669960000000001E-4</v>
      </c>
      <c r="AA432">
        <v>0.99773250000000002</v>
      </c>
      <c r="AB432">
        <v>35</v>
      </c>
      <c r="AC432">
        <v>272.99599999999998</v>
      </c>
      <c r="AD432">
        <v>3.8228249999999999</v>
      </c>
      <c r="AE432">
        <v>-15.956999999999899</v>
      </c>
      <c r="AF432">
        <v>18.422673708619801</v>
      </c>
      <c r="AG432">
        <v>3.8228249999999999</v>
      </c>
      <c r="AH432">
        <v>272.78714695151803</v>
      </c>
      <c r="AI432">
        <v>89.198936956472906</v>
      </c>
      <c r="AJ432">
        <v>86.136397647210501</v>
      </c>
      <c r="AK432">
        <v>273.43525090870003</v>
      </c>
      <c r="AL432">
        <v>94.432630215536307</v>
      </c>
      <c r="AM432">
        <v>91.263137742239294</v>
      </c>
      <c r="AN432">
        <v>0.99999997567420995</v>
      </c>
    </row>
    <row r="433" spans="1:40" x14ac:dyDescent="0.25">
      <c r="A433" t="str">
        <f>"20190305134917707"</f>
        <v>20190305134917707</v>
      </c>
      <c r="B433" t="str">
        <f>"1551764957701700"</f>
        <v>1551764957701700</v>
      </c>
      <c r="C433" t="s">
        <v>40</v>
      </c>
      <c r="D433">
        <v>3.9381020000000002</v>
      </c>
      <c r="E433">
        <v>0.53538609999999998</v>
      </c>
      <c r="F433" t="s">
        <v>45</v>
      </c>
      <c r="G433">
        <v>-158.78319999999999</v>
      </c>
      <c r="H433">
        <v>4.6748279999999998</v>
      </c>
      <c r="I433">
        <v>351.6053</v>
      </c>
      <c r="J433">
        <v>-431.56099999999998</v>
      </c>
      <c r="K433">
        <v>1.061577</v>
      </c>
      <c r="L433">
        <v>367.78129999999999</v>
      </c>
      <c r="M433">
        <v>0.99995020000000001</v>
      </c>
      <c r="N433">
        <v>-4.7466339999999996E-3</v>
      </c>
      <c r="O433">
        <v>8.7882529999999993E-3</v>
      </c>
      <c r="P433">
        <v>0.99612100000000003</v>
      </c>
      <c r="Q433">
        <v>-8.2617839999999998E-2</v>
      </c>
      <c r="R433">
        <v>3.029103E-2</v>
      </c>
      <c r="S433">
        <v>3.0204770000000001</v>
      </c>
      <c r="T433">
        <v>3.9974330000000002E-2</v>
      </c>
      <c r="U433">
        <v>-0.17895510000000001</v>
      </c>
      <c r="V433">
        <v>-2.159935E-2</v>
      </c>
      <c r="W433">
        <v>-7.7870030000000007E-2</v>
      </c>
      <c r="X433">
        <v>0.99672950000000005</v>
      </c>
      <c r="Y433">
        <v>6.7909059999999993E-2</v>
      </c>
      <c r="Z433">
        <v>4.4552049999999998E-4</v>
      </c>
      <c r="AA433">
        <v>0.99769140000000001</v>
      </c>
      <c r="AB433">
        <v>35</v>
      </c>
      <c r="AC433">
        <v>272.77780000000001</v>
      </c>
      <c r="AD433">
        <v>3.613251</v>
      </c>
      <c r="AE433">
        <v>-16.175999999999899</v>
      </c>
      <c r="AF433">
        <v>18.569395666790101</v>
      </c>
      <c r="AG433">
        <v>3.613251</v>
      </c>
      <c r="AH433">
        <v>272.57744656217</v>
      </c>
      <c r="AI433">
        <v>89.242295148172005</v>
      </c>
      <c r="AJ433">
        <v>86.102734697281093</v>
      </c>
      <c r="AK433">
        <v>273.23312832189902</v>
      </c>
      <c r="AL433">
        <v>94.466145508286999</v>
      </c>
      <c r="AM433">
        <v>91.241417989850305</v>
      </c>
      <c r="AN433">
        <v>0.99999998483143604</v>
      </c>
    </row>
    <row r="434" spans="1:40" x14ac:dyDescent="0.25">
      <c r="A434" t="str">
        <f>"20190305134917727"</f>
        <v>20190305134917727</v>
      </c>
      <c r="B434" t="str">
        <f>"1551764957721220"</f>
        <v>1551764957721220</v>
      </c>
      <c r="C434" t="s">
        <v>40</v>
      </c>
      <c r="D434">
        <v>3.945926</v>
      </c>
      <c r="E434">
        <v>0.5354428</v>
      </c>
      <c r="F434" t="s">
        <v>45</v>
      </c>
      <c r="G434">
        <v>-158.78319999999999</v>
      </c>
      <c r="H434">
        <v>4.712771</v>
      </c>
      <c r="I434">
        <v>351.31180000000001</v>
      </c>
      <c r="J434">
        <v>-431.26049999999998</v>
      </c>
      <c r="K434">
        <v>1.061104</v>
      </c>
      <c r="L434">
        <v>367.78359999999998</v>
      </c>
      <c r="M434">
        <v>0.99995400000000001</v>
      </c>
      <c r="N434">
        <v>-4.6295609999999999E-3</v>
      </c>
      <c r="O434">
        <v>8.4054850000000007E-3</v>
      </c>
      <c r="P434">
        <v>0.99606229999999996</v>
      </c>
      <c r="Q434">
        <v>-8.3689730000000004E-2</v>
      </c>
      <c r="R434">
        <v>2.926494E-2</v>
      </c>
      <c r="S434">
        <v>3.0205690000000001</v>
      </c>
      <c r="T434">
        <v>4.0431979999999999E-2</v>
      </c>
      <c r="U434">
        <v>-0.18237300000000001</v>
      </c>
      <c r="V434">
        <v>-2.0961460000000001E-2</v>
      </c>
      <c r="W434">
        <v>-7.9057950000000002E-2</v>
      </c>
      <c r="X434">
        <v>0.99664960000000002</v>
      </c>
      <c r="Y434">
        <v>6.8650100000000006E-2</v>
      </c>
      <c r="Z434">
        <v>4.5124610000000002E-4</v>
      </c>
      <c r="AA434">
        <v>0.99764070000000005</v>
      </c>
      <c r="AB434">
        <v>35</v>
      </c>
      <c r="AC434">
        <v>272.47730000000001</v>
      </c>
      <c r="AD434">
        <v>3.6516670000000002</v>
      </c>
      <c r="AE434">
        <v>-16.471799999999899</v>
      </c>
      <c r="AF434">
        <v>18.758189572908499</v>
      </c>
      <c r="AG434">
        <v>3.6516670000000002</v>
      </c>
      <c r="AH434">
        <v>272.28049388052898</v>
      </c>
      <c r="AI434">
        <v>89.233445277366698</v>
      </c>
      <c r="AJ434">
        <v>86.0589554411943</v>
      </c>
      <c r="AK434">
        <v>272.950309938928</v>
      </c>
      <c r="AL434">
        <v>94.534418810958897</v>
      </c>
      <c r="AM434">
        <v>91.204862925490602</v>
      </c>
      <c r="AN434">
        <v>0.99999998372184695</v>
      </c>
    </row>
    <row r="435" spans="1:40" x14ac:dyDescent="0.25">
      <c r="A435" t="str">
        <f>"20190305134917738"</f>
        <v>20190305134917738</v>
      </c>
      <c r="B435" t="str">
        <f>"1551764957730980"</f>
        <v>1551764957730980</v>
      </c>
      <c r="C435" t="s">
        <v>40</v>
      </c>
      <c r="D435">
        <v>3.9730750000000001</v>
      </c>
      <c r="E435">
        <v>0.53578230000000004</v>
      </c>
      <c r="F435" t="s">
        <v>45</v>
      </c>
      <c r="G435">
        <v>-158.78319999999999</v>
      </c>
      <c r="H435">
        <v>4.3961629999999996</v>
      </c>
      <c r="I435">
        <v>351.03120000000001</v>
      </c>
      <c r="J435">
        <v>-431.06869999999998</v>
      </c>
      <c r="K435">
        <v>1.0608359999999999</v>
      </c>
      <c r="L435">
        <v>367.78500000000003</v>
      </c>
      <c r="M435">
        <v>0.99995639999999997</v>
      </c>
      <c r="N435">
        <v>-4.5776310000000004E-3</v>
      </c>
      <c r="O435">
        <v>8.1501839999999996E-3</v>
      </c>
      <c r="P435">
        <v>0.99606130000000004</v>
      </c>
      <c r="Q435">
        <v>-8.3933549999999996E-2</v>
      </c>
      <c r="R435">
        <v>2.8588470000000001E-2</v>
      </c>
      <c r="S435">
        <v>3.0203859999999998</v>
      </c>
      <c r="T435">
        <v>3.6969780000000001E-2</v>
      </c>
      <c r="U435">
        <v>-0.18569949999999999</v>
      </c>
      <c r="V435">
        <v>-2.054276E-2</v>
      </c>
      <c r="W435">
        <v>-7.9353209999999993E-2</v>
      </c>
      <c r="X435">
        <v>0.99663480000000004</v>
      </c>
      <c r="Y435">
        <v>6.9494639999999996E-2</v>
      </c>
      <c r="Z435">
        <v>4.0261419999999999E-4</v>
      </c>
      <c r="AA435">
        <v>0.99758230000000003</v>
      </c>
      <c r="AB435">
        <v>35</v>
      </c>
      <c r="AC435">
        <v>272.28550000000001</v>
      </c>
      <c r="AD435">
        <v>3.3353269999999902</v>
      </c>
      <c r="AE435">
        <v>-16.753799999999998</v>
      </c>
      <c r="AF435">
        <v>18.969607913885799</v>
      </c>
      <c r="AG435">
        <v>3.3353269999999902</v>
      </c>
      <c r="AH435">
        <v>272.0992346104</v>
      </c>
      <c r="AI435">
        <v>89.299417564286301</v>
      </c>
      <c r="AJ435">
        <v>86.012033097083503</v>
      </c>
      <c r="AK435">
        <v>272.78006508205198</v>
      </c>
      <c r="AL435">
        <v>94.551389520840004</v>
      </c>
      <c r="AM435">
        <v>91.180820498662797</v>
      </c>
      <c r="AN435">
        <v>0.99999993074837801</v>
      </c>
    </row>
    <row r="436" spans="1:40" x14ac:dyDescent="0.25">
      <c r="A436" t="str">
        <f>"20190305134917750"</f>
        <v>20190305134917750</v>
      </c>
      <c r="B436" t="str">
        <f>"1551764957741716"</f>
        <v>1551764957741716</v>
      </c>
      <c r="C436" t="s">
        <v>40</v>
      </c>
      <c r="D436">
        <v>3.9676680000000002</v>
      </c>
      <c r="E436">
        <v>0.53610709999999995</v>
      </c>
      <c r="F436" t="s">
        <v>47</v>
      </c>
      <c r="G436">
        <v>0</v>
      </c>
      <c r="H436">
        <v>0</v>
      </c>
      <c r="I436">
        <v>0</v>
      </c>
      <c r="J436">
        <v>-430.88389999999998</v>
      </c>
      <c r="K436">
        <v>1.060592</v>
      </c>
      <c r="L436">
        <v>367.78629999999998</v>
      </c>
      <c r="M436">
        <v>0.99995860000000003</v>
      </c>
      <c r="N436">
        <v>-4.5347649999999996E-3</v>
      </c>
      <c r="O436">
        <v>7.9010669999999995E-3</v>
      </c>
      <c r="P436">
        <v>0.9960502</v>
      </c>
      <c r="Q436">
        <v>-8.428331E-2</v>
      </c>
      <c r="R436">
        <v>2.793261E-2</v>
      </c>
      <c r="S436">
        <v>3.0205690000000001</v>
      </c>
      <c r="T436">
        <v>3.8014050000000001E-2</v>
      </c>
      <c r="U436">
        <v>-0.19042970000000001</v>
      </c>
      <c r="V436">
        <v>-2.0138179999999999E-2</v>
      </c>
      <c r="W436">
        <v>-7.9745540000000004E-2</v>
      </c>
      <c r="X436">
        <v>0.99661180000000005</v>
      </c>
      <c r="Y436">
        <v>7.0798230000000004E-2</v>
      </c>
      <c r="Z436">
        <v>4.1947879999999999E-4</v>
      </c>
      <c r="AA436">
        <v>0.99749060000000001</v>
      </c>
      <c r="AB436">
        <v>35</v>
      </c>
      <c r="AC436">
        <v>3.0205690000000001</v>
      </c>
      <c r="AD436">
        <v>3.8014050000000001E-2</v>
      </c>
      <c r="AE436">
        <v>-0.19042970000000001</v>
      </c>
      <c r="AF436">
        <v>0.21425591663805299</v>
      </c>
      <c r="AG436">
        <v>3.8014050000000001E-2</v>
      </c>
      <c r="AH436">
        <v>3.0184939132550599</v>
      </c>
      <c r="AI436">
        <v>89.280282077505206</v>
      </c>
      <c r="AJ436">
        <v>85.939894030708302</v>
      </c>
      <c r="AK436">
        <v>3.0263271750043299</v>
      </c>
      <c r="AL436">
        <v>94.573939573836498</v>
      </c>
      <c r="AM436">
        <v>91.157597892826203</v>
      </c>
      <c r="AN436">
        <v>0.99999998867142204</v>
      </c>
    </row>
    <row r="437" spans="1:40" x14ac:dyDescent="0.25">
      <c r="A437" t="str">
        <f>"20190305134917762"</f>
        <v>20190305134917762</v>
      </c>
      <c r="B437" t="str">
        <f>"1551764957751476"</f>
        <v>1551764957751476</v>
      </c>
      <c r="C437" t="s">
        <v>40</v>
      </c>
      <c r="D437">
        <v>3.9820880000000001</v>
      </c>
      <c r="E437">
        <v>0.536385</v>
      </c>
      <c r="F437" t="s">
        <v>47</v>
      </c>
      <c r="G437">
        <v>0</v>
      </c>
      <c r="H437">
        <v>0</v>
      </c>
      <c r="I437">
        <v>0</v>
      </c>
      <c r="J437">
        <v>-430.69779999999997</v>
      </c>
      <c r="K437">
        <v>1.0603769999999999</v>
      </c>
      <c r="L437">
        <v>367.7876</v>
      </c>
      <c r="M437">
        <v>0.99996070000000004</v>
      </c>
      <c r="N437">
        <v>-4.5075810000000001E-3</v>
      </c>
      <c r="O437">
        <v>7.6431049999999999E-3</v>
      </c>
      <c r="P437">
        <v>0.99603560000000002</v>
      </c>
      <c r="Q437">
        <v>-8.4618090000000007E-2</v>
      </c>
      <c r="R437">
        <v>2.743893E-2</v>
      </c>
      <c r="S437">
        <v>3.0205989999999998</v>
      </c>
      <c r="T437">
        <v>3.8299199999999999E-2</v>
      </c>
      <c r="U437">
        <v>-0.19503780000000001</v>
      </c>
      <c r="V437">
        <v>-1.9903790000000001E-2</v>
      </c>
      <c r="W437">
        <v>-8.0107220000000007E-2</v>
      </c>
      <c r="X437">
        <v>0.99658749999999996</v>
      </c>
      <c r="Y437">
        <v>7.2055649999999999E-2</v>
      </c>
      <c r="Z437">
        <v>4.2496599999999998E-4</v>
      </c>
      <c r="AA437">
        <v>0.99740050000000002</v>
      </c>
      <c r="AB437">
        <v>35</v>
      </c>
      <c r="AC437">
        <v>3.0205989999999998</v>
      </c>
      <c r="AD437">
        <v>3.8299199999999999E-2</v>
      </c>
      <c r="AE437">
        <v>-0.19503780000000001</v>
      </c>
      <c r="AF437">
        <v>0.21808417644258399</v>
      </c>
      <c r="AG437">
        <v>3.8299199999999999E-2</v>
      </c>
      <c r="AH437">
        <v>3.0185367980419402</v>
      </c>
      <c r="AI437">
        <v>89.274959683098004</v>
      </c>
      <c r="AJ437">
        <v>85.867656917218298</v>
      </c>
      <c r="AK437">
        <v>3.0266469793929698</v>
      </c>
      <c r="AL437">
        <v>94.594728831989798</v>
      </c>
      <c r="AM437">
        <v>91.144156004501994</v>
      </c>
      <c r="AN437">
        <v>0.99999998635437104</v>
      </c>
    </row>
    <row r="438" spans="1:40" x14ac:dyDescent="0.25">
      <c r="A438" t="str">
        <f>"20190305134917772"</f>
        <v>20190305134917772</v>
      </c>
      <c r="B438" t="str">
        <f>"1551764957761236"</f>
        <v>1551764957761236</v>
      </c>
      <c r="C438" t="s">
        <v>40</v>
      </c>
      <c r="D438">
        <v>3.9950519999999998</v>
      </c>
      <c r="E438">
        <v>0.53662849999999995</v>
      </c>
      <c r="F438" t="s">
        <v>47</v>
      </c>
      <c r="G438">
        <v>0</v>
      </c>
      <c r="H438">
        <v>0</v>
      </c>
      <c r="I438">
        <v>0</v>
      </c>
      <c r="J438">
        <v>-430.52629999999999</v>
      </c>
      <c r="K438">
        <v>1.06019</v>
      </c>
      <c r="L438">
        <v>367.78870000000001</v>
      </c>
      <c r="M438">
        <v>0.99996249999999998</v>
      </c>
      <c r="N438">
        <v>-4.486093E-3</v>
      </c>
      <c r="O438">
        <v>7.4049240000000002E-3</v>
      </c>
      <c r="P438">
        <v>0.99601079999999997</v>
      </c>
      <c r="Q438">
        <v>-8.5064470000000003E-2</v>
      </c>
      <c r="R438">
        <v>2.6955739999999999E-2</v>
      </c>
      <c r="S438">
        <v>3.020721</v>
      </c>
      <c r="T438">
        <v>3.9162639999999999E-2</v>
      </c>
      <c r="U438">
        <v>-0.19879150000000001</v>
      </c>
      <c r="V438">
        <v>-1.9660690000000001E-2</v>
      </c>
      <c r="W438">
        <v>-8.0574960000000001E-2</v>
      </c>
      <c r="X438">
        <v>0.99655459999999996</v>
      </c>
      <c r="Y438">
        <v>7.3049340000000004E-2</v>
      </c>
      <c r="Z438">
        <v>4.3804299999999999E-4</v>
      </c>
      <c r="AA438">
        <v>0.9973282</v>
      </c>
      <c r="AB438">
        <v>35</v>
      </c>
      <c r="AC438">
        <v>3.020721</v>
      </c>
      <c r="AD438">
        <v>3.9162639999999999E-2</v>
      </c>
      <c r="AE438">
        <v>-0.19879150000000001</v>
      </c>
      <c r="AF438">
        <v>0.22111747889868</v>
      </c>
      <c r="AG438">
        <v>3.9162639999999999E-2</v>
      </c>
      <c r="AH438">
        <v>3.0186609325923701</v>
      </c>
      <c r="AI438">
        <v>89.258699972224306</v>
      </c>
      <c r="AJ438">
        <v>85.810555671273406</v>
      </c>
      <c r="AK438">
        <v>3.02700189590389</v>
      </c>
      <c r="AL438">
        <v>94.621615353917605</v>
      </c>
      <c r="AM438">
        <v>91.130222513217703</v>
      </c>
      <c r="AN438">
        <v>0.99999996884571796</v>
      </c>
    </row>
    <row r="439" spans="1:40" x14ac:dyDescent="0.25">
      <c r="A439" t="str">
        <f>"20190305134917785"</f>
        <v>20190305134917785</v>
      </c>
      <c r="B439" t="str">
        <f>"1551764957781732"</f>
        <v>1551764957781732</v>
      </c>
      <c r="C439" t="s">
        <v>40</v>
      </c>
      <c r="D439">
        <v>3.9563250000000001</v>
      </c>
      <c r="E439">
        <v>0.53698279999999998</v>
      </c>
      <c r="F439" t="s">
        <v>47</v>
      </c>
      <c r="G439">
        <v>0</v>
      </c>
      <c r="H439">
        <v>0</v>
      </c>
      <c r="I439">
        <v>0</v>
      </c>
      <c r="J439">
        <v>-430.33019999999999</v>
      </c>
      <c r="K439">
        <v>1.0599940000000001</v>
      </c>
      <c r="L439">
        <v>367.79</v>
      </c>
      <c r="M439">
        <v>0.99996459999999998</v>
      </c>
      <c r="N439">
        <v>-4.4702739999999998E-3</v>
      </c>
      <c r="O439">
        <v>7.1304860000000001E-3</v>
      </c>
      <c r="P439">
        <v>0.99603059999999999</v>
      </c>
      <c r="Q439">
        <v>-8.4915589999999999E-2</v>
      </c>
      <c r="R439">
        <v>2.668831E-2</v>
      </c>
      <c r="S439">
        <v>3.0208439999999999</v>
      </c>
      <c r="T439">
        <v>3.9799929999999997E-2</v>
      </c>
      <c r="U439">
        <v>-0.20205690000000001</v>
      </c>
      <c r="V439">
        <v>-1.9667549999999999E-2</v>
      </c>
      <c r="W439">
        <v>-8.044134E-2</v>
      </c>
      <c r="X439">
        <v>0.99656529999999999</v>
      </c>
      <c r="Y439">
        <v>7.3846090000000003E-2</v>
      </c>
      <c r="Z439">
        <v>4.463324E-4</v>
      </c>
      <c r="AA439">
        <v>0.99726959999999998</v>
      </c>
      <c r="AB439">
        <v>36</v>
      </c>
      <c r="AC439">
        <v>3.0208439999999999</v>
      </c>
      <c r="AD439">
        <v>3.9799929999999997E-2</v>
      </c>
      <c r="AE439">
        <v>-0.20205690000000001</v>
      </c>
      <c r="AF439">
        <v>0.22355343161692601</v>
      </c>
      <c r="AG439">
        <v>3.9799929999999997E-2</v>
      </c>
      <c r="AH439">
        <v>3.0188047433632699</v>
      </c>
      <c r="AI439">
        <v>89.246718460583907</v>
      </c>
      <c r="AJ439">
        <v>85.764770507418802</v>
      </c>
      <c r="AK439">
        <v>3.0273325304248102</v>
      </c>
      <c r="AL439">
        <v>94.613934371695905</v>
      </c>
      <c r="AM439">
        <v>91.130604631509698</v>
      </c>
      <c r="AN439">
        <v>1.00000000943404</v>
      </c>
    </row>
    <row r="440" spans="1:40" x14ac:dyDescent="0.25">
      <c r="A440" t="str">
        <f>"20190305134917797"</f>
        <v>20190305134917797</v>
      </c>
      <c r="B440" t="str">
        <f>"1551764957791493"</f>
        <v>1551764957791493</v>
      </c>
      <c r="C440" t="s">
        <v>40</v>
      </c>
      <c r="D440">
        <v>3.926078</v>
      </c>
      <c r="E440">
        <v>0.53717490000000001</v>
      </c>
      <c r="F440" t="s">
        <v>47</v>
      </c>
      <c r="G440">
        <v>0</v>
      </c>
      <c r="H440">
        <v>0</v>
      </c>
      <c r="I440">
        <v>0</v>
      </c>
      <c r="J440">
        <v>-430.142</v>
      </c>
      <c r="K440">
        <v>1.059822</v>
      </c>
      <c r="L440">
        <v>367.7912</v>
      </c>
      <c r="M440">
        <v>0.99996660000000004</v>
      </c>
      <c r="N440">
        <v>-4.4605529999999999E-3</v>
      </c>
      <c r="O440">
        <v>6.8663489999999999E-3</v>
      </c>
      <c r="P440">
        <v>0.99602970000000002</v>
      </c>
      <c r="Q440">
        <v>-8.5030880000000003E-2</v>
      </c>
      <c r="R440">
        <v>2.6368340000000001E-2</v>
      </c>
      <c r="S440">
        <v>3.0211489999999999</v>
      </c>
      <c r="T440">
        <v>4.3313740000000003E-2</v>
      </c>
      <c r="U440">
        <v>-0.20541380000000001</v>
      </c>
      <c r="V440">
        <v>-1.9613660000000002E-2</v>
      </c>
      <c r="W440">
        <v>-8.0565970000000001E-2</v>
      </c>
      <c r="X440">
        <v>0.99655629999999995</v>
      </c>
      <c r="Y440">
        <v>7.4677880000000002E-2</v>
      </c>
      <c r="Z440">
        <v>4.9684419999999896E-4</v>
      </c>
      <c r="AA440">
        <v>0.99720759999999997</v>
      </c>
      <c r="AB440">
        <v>36</v>
      </c>
      <c r="AC440">
        <v>3.0211489999999999</v>
      </c>
      <c r="AD440">
        <v>4.3313740000000003E-2</v>
      </c>
      <c r="AE440">
        <v>-0.20541380000000001</v>
      </c>
      <c r="AF440">
        <v>0.22610716345125401</v>
      </c>
      <c r="AG440">
        <v>4.3313740000000003E-2</v>
      </c>
      <c r="AH440">
        <v>3.0190496271412099</v>
      </c>
      <c r="AI440">
        <v>89.180339787925107</v>
      </c>
      <c r="AJ440">
        <v>85.716915150485406</v>
      </c>
      <c r="AK440">
        <v>3.0278145882101501</v>
      </c>
      <c r="AL440">
        <v>94.621098370456593</v>
      </c>
      <c r="AM440">
        <v>91.127517703156997</v>
      </c>
      <c r="AN440">
        <v>1.00000001512516</v>
      </c>
    </row>
    <row r="441" spans="1:40" x14ac:dyDescent="0.25">
      <c r="A441" t="str">
        <f>"20190305134917816"</f>
        <v>20190305134917816</v>
      </c>
      <c r="B441" t="str">
        <f>"1551764957811286"</f>
        <v>1551764957811286</v>
      </c>
      <c r="C441" t="s">
        <v>40</v>
      </c>
      <c r="D441">
        <v>3.9569999999999999</v>
      </c>
      <c r="E441">
        <v>0.5375759</v>
      </c>
      <c r="F441" t="s">
        <v>47</v>
      </c>
      <c r="G441">
        <v>0</v>
      </c>
      <c r="H441">
        <v>0</v>
      </c>
      <c r="I441">
        <v>0</v>
      </c>
      <c r="J441">
        <v>-429.84539999999998</v>
      </c>
      <c r="K441">
        <v>1.059574</v>
      </c>
      <c r="L441">
        <v>367.79289999999997</v>
      </c>
      <c r="M441">
        <v>0.99996929999999995</v>
      </c>
      <c r="N441">
        <v>-4.4532360000000002E-3</v>
      </c>
      <c r="O441">
        <v>6.4506049999999999E-3</v>
      </c>
      <c r="P441">
        <v>0.99602009999999996</v>
      </c>
      <c r="Q441">
        <v>-8.5186289999999998E-2</v>
      </c>
      <c r="R441">
        <v>2.6215829999999999E-2</v>
      </c>
      <c r="S441">
        <v>3.0212400000000001</v>
      </c>
      <c r="T441">
        <v>4.4236419999999999E-2</v>
      </c>
      <c r="U441">
        <v>-0.20788570000000001</v>
      </c>
      <c r="V441">
        <v>-1.987761E-2</v>
      </c>
      <c r="W441">
        <v>-8.072791E-2</v>
      </c>
      <c r="X441">
        <v>0.99653789999999998</v>
      </c>
      <c r="Y441">
        <v>7.5073070000000006E-2</v>
      </c>
      <c r="Z441">
        <v>5.045866E-4</v>
      </c>
      <c r="AA441">
        <v>0.99717789999999995</v>
      </c>
      <c r="AB441">
        <v>36</v>
      </c>
      <c r="AC441">
        <v>3.0212400000000001</v>
      </c>
      <c r="AD441">
        <v>4.4236419999999999E-2</v>
      </c>
      <c r="AE441">
        <v>-0.20788570000000001</v>
      </c>
      <c r="AF441">
        <v>0.22732188925104399</v>
      </c>
      <c r="AG441">
        <v>4.4236419999999999E-2</v>
      </c>
      <c r="AH441">
        <v>3.0191919268384901</v>
      </c>
      <c r="AI441">
        <v>89.162946015291894</v>
      </c>
      <c r="AJ441">
        <v>85.694193440632404</v>
      </c>
      <c r="AK441">
        <v>3.0280607644619399</v>
      </c>
      <c r="AL441">
        <v>94.630407470094795</v>
      </c>
      <c r="AM441">
        <v>91.142708321375693</v>
      </c>
      <c r="AN441">
        <v>0.99999995048434298</v>
      </c>
    </row>
    <row r="442" spans="1:40" x14ac:dyDescent="0.25">
      <c r="A442" t="str">
        <f>"20190305134917826"</f>
        <v>20190305134917826</v>
      </c>
      <c r="B442" t="str">
        <f>"1551764957821046"</f>
        <v>1551764957821046</v>
      </c>
      <c r="C442" t="s">
        <v>40</v>
      </c>
      <c r="D442">
        <v>3.9572889999999998</v>
      </c>
      <c r="E442">
        <v>0.53772619999999904</v>
      </c>
      <c r="F442" t="s">
        <v>47</v>
      </c>
      <c r="G442">
        <v>0</v>
      </c>
      <c r="H442">
        <v>0</v>
      </c>
      <c r="I442">
        <v>0</v>
      </c>
      <c r="J442">
        <v>-429.6558</v>
      </c>
      <c r="K442">
        <v>1.059431</v>
      </c>
      <c r="L442">
        <v>367.79390000000001</v>
      </c>
      <c r="M442">
        <v>0.9999711</v>
      </c>
      <c r="N442">
        <v>-4.4526449999999999E-3</v>
      </c>
      <c r="O442">
        <v>6.1851980000000003E-3</v>
      </c>
      <c r="P442">
        <v>0.99602040000000003</v>
      </c>
      <c r="Q442">
        <v>-8.521455E-2</v>
      </c>
      <c r="R442">
        <v>2.6120540000000001E-2</v>
      </c>
      <c r="S442">
        <v>3.0214840000000001</v>
      </c>
      <c r="T442">
        <v>4.5605420000000001E-2</v>
      </c>
      <c r="U442">
        <v>-0.21124270000000001</v>
      </c>
      <c r="V442">
        <v>-2.0047679999999998E-2</v>
      </c>
      <c r="W442">
        <v>-8.0756220000000004E-2</v>
      </c>
      <c r="X442">
        <v>0.99653230000000004</v>
      </c>
      <c r="Y442">
        <v>7.5904929999999995E-2</v>
      </c>
      <c r="Z442">
        <v>5.2365720000000003E-4</v>
      </c>
      <c r="AA442">
        <v>0.99711490000000003</v>
      </c>
      <c r="AB442">
        <v>36</v>
      </c>
      <c r="AC442">
        <v>3.0214840000000001</v>
      </c>
      <c r="AD442">
        <v>4.5605420000000001E-2</v>
      </c>
      <c r="AE442">
        <v>-0.21124270000000001</v>
      </c>
      <c r="AF442">
        <v>0.22987520307665299</v>
      </c>
      <c r="AG442">
        <v>4.5605420000000001E-2</v>
      </c>
      <c r="AH442">
        <v>3.01943506919091</v>
      </c>
      <c r="AI442">
        <v>89.137169277111497</v>
      </c>
      <c r="AJ442">
        <v>85.646364178255098</v>
      </c>
      <c r="AK442">
        <v>3.02851623743094</v>
      </c>
      <c r="AL442">
        <v>94.632034361551504</v>
      </c>
      <c r="AM442">
        <v>91.152489019897402</v>
      </c>
      <c r="AN442">
        <v>1.0000000507426701</v>
      </c>
    </row>
    <row r="443" spans="1:40" x14ac:dyDescent="0.25">
      <c r="A443" t="str">
        <f>"20190305134917838"</f>
        <v>20190305134917838</v>
      </c>
      <c r="B443" t="str">
        <f>"1551764957831781"</f>
        <v>1551764957831781</v>
      </c>
      <c r="C443" t="s">
        <v>40</v>
      </c>
      <c r="D443">
        <v>3.9692150000000002</v>
      </c>
      <c r="E443">
        <v>0.53783800000000004</v>
      </c>
      <c r="F443" t="s">
        <v>47</v>
      </c>
      <c r="G443">
        <v>0</v>
      </c>
      <c r="H443">
        <v>0</v>
      </c>
      <c r="I443">
        <v>0</v>
      </c>
      <c r="J443">
        <v>-429.47329999999999</v>
      </c>
      <c r="K443">
        <v>1.059312</v>
      </c>
      <c r="L443">
        <v>367.79480000000001</v>
      </c>
      <c r="M443">
        <v>0.99997250000000004</v>
      </c>
      <c r="N443">
        <v>-4.4553409999999998E-3</v>
      </c>
      <c r="O443">
        <v>5.9303369999999999E-3</v>
      </c>
      <c r="P443">
        <v>0.99599859999999896</v>
      </c>
      <c r="Q443">
        <v>-8.5505609999999996E-2</v>
      </c>
      <c r="R443">
        <v>2.5990940000000001E-2</v>
      </c>
      <c r="S443">
        <v>3.021515</v>
      </c>
      <c r="T443">
        <v>4.6228529999999997E-2</v>
      </c>
      <c r="U443">
        <v>-0.2128601</v>
      </c>
      <c r="V443">
        <v>-2.01736E-2</v>
      </c>
      <c r="W443">
        <v>-8.1044270000000002E-2</v>
      </c>
      <c r="X443">
        <v>0.99650629999999996</v>
      </c>
      <c r="Y443">
        <v>7.6181059999999995E-2</v>
      </c>
      <c r="Z443">
        <v>5.2910309999999999E-4</v>
      </c>
      <c r="AA443">
        <v>0.99709389999999998</v>
      </c>
      <c r="AB443">
        <v>36</v>
      </c>
      <c r="AC443">
        <v>3.021515</v>
      </c>
      <c r="AD443">
        <v>4.6228529999999997E-2</v>
      </c>
      <c r="AE443">
        <v>-0.2128601</v>
      </c>
      <c r="AF443">
        <v>0.23072139539584499</v>
      </c>
      <c r="AG443">
        <v>4.6228529999999997E-2</v>
      </c>
      <c r="AH443">
        <v>3.0194961987092301</v>
      </c>
      <c r="AI443">
        <v>89.125418364887096</v>
      </c>
      <c r="AJ443">
        <v>85.630488108869997</v>
      </c>
      <c r="AK443">
        <v>3.0286509758139601</v>
      </c>
      <c r="AL443">
        <v>94.648593028949506</v>
      </c>
      <c r="AM443">
        <v>91.159756112928306</v>
      </c>
      <c r="AN443">
        <v>0.99999997688824105</v>
      </c>
    </row>
    <row r="444" spans="1:40" x14ac:dyDescent="0.25">
      <c r="A444" t="str">
        <f>"20190305134917850"</f>
        <v>20190305134917850</v>
      </c>
      <c r="B444" t="str">
        <f>"1551764957841541"</f>
        <v>1551764957841541</v>
      </c>
      <c r="C444" t="s">
        <v>40</v>
      </c>
      <c r="D444">
        <v>3.944035</v>
      </c>
      <c r="E444">
        <v>0.53800930000000002</v>
      </c>
      <c r="F444" t="s">
        <v>47</v>
      </c>
      <c r="G444">
        <v>0</v>
      </c>
      <c r="H444">
        <v>0</v>
      </c>
      <c r="I444">
        <v>0</v>
      </c>
      <c r="J444">
        <v>-429.29320000000001</v>
      </c>
      <c r="K444">
        <v>1.0591950000000001</v>
      </c>
      <c r="L444">
        <v>367.79570000000001</v>
      </c>
      <c r="M444">
        <v>0.99997400000000003</v>
      </c>
      <c r="N444">
        <v>-4.4588539999999999E-3</v>
      </c>
      <c r="O444">
        <v>5.6788139999999999E-3</v>
      </c>
      <c r="P444">
        <v>0.99598690000000001</v>
      </c>
      <c r="Q444">
        <v>-8.5610430000000001E-2</v>
      </c>
      <c r="R444">
        <v>2.6100789999999999E-2</v>
      </c>
      <c r="S444">
        <v>3.0215450000000001</v>
      </c>
      <c r="T444">
        <v>4.6190740000000001E-2</v>
      </c>
      <c r="U444">
        <v>-0.2139587</v>
      </c>
      <c r="V444">
        <v>-2.0535979999999999E-2</v>
      </c>
      <c r="W444">
        <v>-8.1144939999999999E-2</v>
      </c>
      <c r="X444">
        <v>0.99649069999999995</v>
      </c>
      <c r="Y444">
        <v>7.6290330000000003E-2</v>
      </c>
      <c r="Z444">
        <v>5.2405219999999996E-4</v>
      </c>
      <c r="AA444">
        <v>0.99708549999999996</v>
      </c>
      <c r="AB444">
        <v>36</v>
      </c>
      <c r="AC444">
        <v>3.0215450000000001</v>
      </c>
      <c r="AD444">
        <v>4.6190740000000001E-2</v>
      </c>
      <c r="AE444">
        <v>-0.2139587</v>
      </c>
      <c r="AF444">
        <v>0.231060482873269</v>
      </c>
      <c r="AG444">
        <v>4.6190740000000001E-2</v>
      </c>
      <c r="AH444">
        <v>3.0195790906298798</v>
      </c>
      <c r="AI444">
        <v>89.126164494580493</v>
      </c>
      <c r="AJ444">
        <v>85.624210891915396</v>
      </c>
      <c r="AK444">
        <v>3.02875889033389</v>
      </c>
      <c r="AL444">
        <v>94.654380080563698</v>
      </c>
      <c r="AM444">
        <v>91.180601537891206</v>
      </c>
      <c r="AN444">
        <v>0.99999997147432595</v>
      </c>
    </row>
    <row r="445" spans="1:40" x14ac:dyDescent="0.25">
      <c r="A445" t="str">
        <f>"20190305134917861"</f>
        <v>20190305134917861</v>
      </c>
      <c r="B445" t="str">
        <f>"1551764957851301"</f>
        <v>1551764957851301</v>
      </c>
      <c r="C445" t="s">
        <v>40</v>
      </c>
      <c r="D445">
        <v>3.972461</v>
      </c>
      <c r="E445">
        <v>0.53812839999999995</v>
      </c>
      <c r="F445" t="s">
        <v>47</v>
      </c>
      <c r="G445">
        <v>0</v>
      </c>
      <c r="H445">
        <v>0</v>
      </c>
      <c r="I445">
        <v>0</v>
      </c>
      <c r="J445">
        <v>-429.11219999999997</v>
      </c>
      <c r="K445">
        <v>1.0590930000000001</v>
      </c>
      <c r="L445">
        <v>367.79660000000001</v>
      </c>
      <c r="M445">
        <v>0.99997539999999996</v>
      </c>
      <c r="N445">
        <v>-4.4650810000000001E-3</v>
      </c>
      <c r="O445">
        <v>5.4271090000000003E-3</v>
      </c>
      <c r="P445">
        <v>0.99598660000000006</v>
      </c>
      <c r="Q445">
        <v>-8.5602330000000004E-2</v>
      </c>
      <c r="R445">
        <v>2.614201E-2</v>
      </c>
      <c r="S445">
        <v>3.0216370000000001</v>
      </c>
      <c r="T445">
        <v>4.5963410000000003E-2</v>
      </c>
      <c r="U445">
        <v>-0.2151489</v>
      </c>
      <c r="V445">
        <v>-2.0829190000000001E-2</v>
      </c>
      <c r="W445">
        <v>-8.113004E-2</v>
      </c>
      <c r="X445">
        <v>0.99648579999999998</v>
      </c>
      <c r="Y445">
        <v>7.6428120000000002E-2</v>
      </c>
      <c r="Z445">
        <v>5.1631729999999996E-4</v>
      </c>
      <c r="AA445">
        <v>0.99707500000000004</v>
      </c>
      <c r="AB445">
        <v>36</v>
      </c>
      <c r="AC445">
        <v>3.0216370000000001</v>
      </c>
      <c r="AD445">
        <v>4.5963410000000003E-2</v>
      </c>
      <c r="AE445">
        <v>-0.2151489</v>
      </c>
      <c r="AF445">
        <v>0.231491352717766</v>
      </c>
      <c r="AG445">
        <v>4.5963410000000003E-2</v>
      </c>
      <c r="AH445">
        <v>3.0197296486782199</v>
      </c>
      <c r="AI445">
        <v>89.130516996408105</v>
      </c>
      <c r="AJ445">
        <v>85.616300644702093</v>
      </c>
      <c r="AK445">
        <v>3.0289384332713301</v>
      </c>
      <c r="AL445">
        <v>94.653523677160294</v>
      </c>
      <c r="AM445">
        <v>91.197459023111804</v>
      </c>
      <c r="AN445">
        <v>0.99999994407404702</v>
      </c>
    </row>
    <row r="446" spans="1:40" x14ac:dyDescent="0.25">
      <c r="A446" t="str">
        <f>"20190305134917872"</f>
        <v>20190305134917872</v>
      </c>
      <c r="B446" t="str">
        <f>"1551764957861061"</f>
        <v>1551764957861061</v>
      </c>
      <c r="C446" t="s">
        <v>40</v>
      </c>
      <c r="D446">
        <v>3.95702</v>
      </c>
      <c r="E446">
        <v>0.53821529999999995</v>
      </c>
      <c r="F446" t="s">
        <v>47</v>
      </c>
      <c r="G446">
        <v>0</v>
      </c>
      <c r="H446">
        <v>0</v>
      </c>
      <c r="I446">
        <v>0</v>
      </c>
      <c r="J446">
        <v>-428.93400000000003</v>
      </c>
      <c r="K446">
        <v>1.0589949999999999</v>
      </c>
      <c r="L446">
        <v>367.79739999999998</v>
      </c>
      <c r="M446">
        <v>0.99997659999999999</v>
      </c>
      <c r="N446">
        <v>-4.4716299999999999E-3</v>
      </c>
      <c r="O446">
        <v>5.1790400000000002E-3</v>
      </c>
      <c r="P446">
        <v>0.99595710000000004</v>
      </c>
      <c r="Q446">
        <v>-8.5953219999999997E-2</v>
      </c>
      <c r="R446">
        <v>2.6107970000000001E-2</v>
      </c>
      <c r="S446">
        <v>3.0216669999999999</v>
      </c>
      <c r="T446">
        <v>4.5419569999999999E-2</v>
      </c>
      <c r="U446">
        <v>-0.21621699999999999</v>
      </c>
      <c r="V446">
        <v>-2.1043369999999999E-2</v>
      </c>
      <c r="W446">
        <v>-8.1474060000000001E-2</v>
      </c>
      <c r="X446">
        <v>0.99645329999999999</v>
      </c>
      <c r="Y446">
        <v>7.6530970000000004E-2</v>
      </c>
      <c r="Z446">
        <v>5.0395180000000004E-4</v>
      </c>
      <c r="AA446">
        <v>0.99706709999999998</v>
      </c>
      <c r="AB446">
        <v>36</v>
      </c>
      <c r="AC446">
        <v>3.0216669999999999</v>
      </c>
      <c r="AD446">
        <v>4.5419569999999999E-2</v>
      </c>
      <c r="AE446">
        <v>-0.21621699999999999</v>
      </c>
      <c r="AF446">
        <v>0.23181148211782099</v>
      </c>
      <c r="AG446">
        <v>4.5419569999999999E-2</v>
      </c>
      <c r="AH446">
        <v>3.0198278432416701</v>
      </c>
      <c r="AI446">
        <v>89.140837901080602</v>
      </c>
      <c r="AJ446">
        <v>85.610404287249906</v>
      </c>
      <c r="AK446">
        <v>3.0290526082256002</v>
      </c>
      <c r="AL446">
        <v>94.673299721542193</v>
      </c>
      <c r="AM446">
        <v>91.209807922089993</v>
      </c>
      <c r="AN446">
        <v>1.00000001247736</v>
      </c>
    </row>
    <row r="447" spans="1:40" x14ac:dyDescent="0.25">
      <c r="A447" t="str">
        <f>"20190305134917886"</f>
        <v>20190305134917886</v>
      </c>
      <c r="B447" t="str">
        <f>"1551764957881557"</f>
        <v>1551764957881557</v>
      </c>
      <c r="C447" t="s">
        <v>40</v>
      </c>
      <c r="D447">
        <v>3.9732409999999998</v>
      </c>
      <c r="E447">
        <v>0.53839700000000001</v>
      </c>
      <c r="F447" t="s">
        <v>47</v>
      </c>
      <c r="G447">
        <v>0</v>
      </c>
      <c r="H447">
        <v>0</v>
      </c>
      <c r="I447">
        <v>0</v>
      </c>
      <c r="J447">
        <v>-428.70760000000001</v>
      </c>
      <c r="K447">
        <v>1.0588839999999999</v>
      </c>
      <c r="L447">
        <v>367.79829999999998</v>
      </c>
      <c r="M447">
        <v>0.99997820000000004</v>
      </c>
      <c r="N447">
        <v>-4.4816869999999998E-3</v>
      </c>
      <c r="O447">
        <v>4.8644969999999997E-3</v>
      </c>
      <c r="P447">
        <v>0.99592130000000001</v>
      </c>
      <c r="Q447">
        <v>-8.6252560000000006E-2</v>
      </c>
      <c r="R447">
        <v>2.648797E-2</v>
      </c>
      <c r="S447">
        <v>3.0216980000000002</v>
      </c>
      <c r="T447">
        <v>4.3963670000000003E-2</v>
      </c>
      <c r="U447">
        <v>-0.21679689999999999</v>
      </c>
      <c r="V447">
        <v>-2.1738939999999998E-2</v>
      </c>
      <c r="W447">
        <v>-8.1762399999999902E-2</v>
      </c>
      <c r="X447">
        <v>0.99641469999999999</v>
      </c>
      <c r="Y447">
        <v>7.6407550000000005E-2</v>
      </c>
      <c r="Z447">
        <v>4.761066E-4</v>
      </c>
      <c r="AA447">
        <v>0.99707659999999998</v>
      </c>
      <c r="AB447">
        <v>36</v>
      </c>
      <c r="AC447">
        <v>3.0216980000000002</v>
      </c>
      <c r="AD447">
        <v>4.3963670000000003E-2</v>
      </c>
      <c r="AE447">
        <v>-0.21679689999999999</v>
      </c>
      <c r="AF447">
        <v>0.23144478024780399</v>
      </c>
      <c r="AG447">
        <v>4.3963670000000003E-2</v>
      </c>
      <c r="AH447">
        <v>3.0199716265200198</v>
      </c>
      <c r="AI447">
        <v>89.168405608890893</v>
      </c>
      <c r="AJ447">
        <v>85.617528949483798</v>
      </c>
      <c r="AK447">
        <v>3.0291464334973601</v>
      </c>
      <c r="AL447">
        <v>94.689875922109906</v>
      </c>
      <c r="AM447">
        <v>91.249832973245603</v>
      </c>
      <c r="AN447">
        <v>0.99999996297108595</v>
      </c>
    </row>
    <row r="448" spans="1:40" x14ac:dyDescent="0.25">
      <c r="A448" t="str">
        <f>"20190305134917900"</f>
        <v>20190305134917900</v>
      </c>
      <c r="B448" t="str">
        <f>"1551764957891317"</f>
        <v>1551764957891317</v>
      </c>
      <c r="C448" t="s">
        <v>40</v>
      </c>
      <c r="D448">
        <v>4.0098330000000004</v>
      </c>
      <c r="E448">
        <v>0.53851780000000005</v>
      </c>
      <c r="F448" t="s">
        <v>47</v>
      </c>
      <c r="G448">
        <v>0</v>
      </c>
      <c r="H448">
        <v>0</v>
      </c>
      <c r="I448">
        <v>0</v>
      </c>
      <c r="J448">
        <v>-428.48860000000002</v>
      </c>
      <c r="K448">
        <v>1.0587850000000001</v>
      </c>
      <c r="L448">
        <v>367.79910000000001</v>
      </c>
      <c r="M448">
        <v>0.99997959999999997</v>
      </c>
      <c r="N448">
        <v>-4.4926609999999898E-3</v>
      </c>
      <c r="O448">
        <v>4.5605070000000001E-3</v>
      </c>
      <c r="P448">
        <v>0.99589689999999997</v>
      </c>
      <c r="Q448">
        <v>-8.6516780000000001E-2</v>
      </c>
      <c r="R448">
        <v>2.6543959999999998E-2</v>
      </c>
      <c r="S448">
        <v>3.0217290000000001</v>
      </c>
      <c r="T448">
        <v>4.2419079999999998E-2</v>
      </c>
      <c r="U448">
        <v>-0.21740719999999999</v>
      </c>
      <c r="V448">
        <v>-2.2098619999999999E-2</v>
      </c>
      <c r="W448">
        <v>-8.2015130000000006E-2</v>
      </c>
      <c r="X448">
        <v>0.99638610000000005</v>
      </c>
      <c r="Y448">
        <v>7.6304659999999996E-2</v>
      </c>
      <c r="Z448">
        <v>4.4762969999999997E-4</v>
      </c>
      <c r="AA448">
        <v>0.99708439999999998</v>
      </c>
      <c r="AB448">
        <v>36</v>
      </c>
      <c r="AC448">
        <v>3.0217290000000001</v>
      </c>
      <c r="AD448">
        <v>4.2419079999999998E-2</v>
      </c>
      <c r="AE448">
        <v>-0.21740719999999999</v>
      </c>
      <c r="AF448">
        <v>0.23114037786550301</v>
      </c>
      <c r="AG448">
        <v>4.2419079999999998E-2</v>
      </c>
      <c r="AH448">
        <v>3.0201139824699101</v>
      </c>
      <c r="AI448">
        <v>89.197649836210005</v>
      </c>
      <c r="AJ448">
        <v>85.623475981789397</v>
      </c>
      <c r="AK448">
        <v>3.0292430935364298</v>
      </c>
      <c r="AL448">
        <v>94.704404692868707</v>
      </c>
      <c r="AM448">
        <v>91.270541724278502</v>
      </c>
      <c r="AN448">
        <v>1.0000000454140101</v>
      </c>
    </row>
    <row r="449" spans="1:40" x14ac:dyDescent="0.25">
      <c r="A449" t="str">
        <f>"20190305134917918"</f>
        <v>20190305134917918</v>
      </c>
      <c r="B449" t="str">
        <f>"1551764957911345"</f>
        <v>1551764957911345</v>
      </c>
      <c r="C449" t="s">
        <v>40</v>
      </c>
      <c r="D449">
        <v>3.9694349999999998</v>
      </c>
      <c r="E449">
        <v>0.53875519999999999</v>
      </c>
      <c r="F449" t="s">
        <v>47</v>
      </c>
      <c r="G449">
        <v>0</v>
      </c>
      <c r="H449">
        <v>0</v>
      </c>
      <c r="I449">
        <v>0</v>
      </c>
      <c r="J449">
        <v>-428.20060000000001</v>
      </c>
      <c r="K449">
        <v>1.058665</v>
      </c>
      <c r="L449">
        <v>367.80009999999999</v>
      </c>
      <c r="M449">
        <v>0.99998129999999996</v>
      </c>
      <c r="N449">
        <v>-4.5082439999999998E-3</v>
      </c>
      <c r="O449">
        <v>4.1608920000000002E-3</v>
      </c>
      <c r="P449">
        <v>0.99581350000000002</v>
      </c>
      <c r="Q449">
        <v>-8.7298479999999998E-2</v>
      </c>
      <c r="R449">
        <v>2.7105850000000001E-2</v>
      </c>
      <c r="S449">
        <v>3.02182</v>
      </c>
      <c r="T449">
        <v>4.1449550000000002E-2</v>
      </c>
      <c r="U449">
        <v>-0.21817020000000001</v>
      </c>
      <c r="V449">
        <v>-2.306068E-2</v>
      </c>
      <c r="W449">
        <v>-8.2780240000000005E-2</v>
      </c>
      <c r="X449">
        <v>0.99630099999999999</v>
      </c>
      <c r="Y449">
        <v>7.6154879999999994E-2</v>
      </c>
      <c r="Z449">
        <v>4.2543479999999998E-4</v>
      </c>
      <c r="AA449">
        <v>0.99709590000000003</v>
      </c>
      <c r="AB449">
        <v>36</v>
      </c>
      <c r="AC449">
        <v>3.02182</v>
      </c>
      <c r="AD449">
        <v>4.1449550000000002E-2</v>
      </c>
      <c r="AE449">
        <v>-0.21817020000000001</v>
      </c>
      <c r="AF449">
        <v>0.23069872360069599</v>
      </c>
      <c r="AG449">
        <v>4.1449550000000002E-2</v>
      </c>
      <c r="AH449">
        <v>3.0203207249554</v>
      </c>
      <c r="AI449">
        <v>89.2160306608084</v>
      </c>
      <c r="AJ449">
        <v>85.632103928279506</v>
      </c>
      <c r="AK449">
        <v>3.0294021271302598</v>
      </c>
      <c r="AL449">
        <v>94.748391950241995</v>
      </c>
      <c r="AM449">
        <v>91.325948436775207</v>
      </c>
      <c r="AN449">
        <v>1.00000002284875</v>
      </c>
    </row>
    <row r="450" spans="1:40" x14ac:dyDescent="0.25">
      <c r="A450" t="str">
        <f>"20190305134917929"</f>
        <v>20190305134917929</v>
      </c>
      <c r="B450" t="str">
        <f>"1551764957921105"</f>
        <v>1551764957921105</v>
      </c>
      <c r="C450" t="s">
        <v>40</v>
      </c>
      <c r="D450">
        <v>3.9698609999999999</v>
      </c>
      <c r="E450">
        <v>0.53886179999999995</v>
      </c>
      <c r="F450" t="s">
        <v>47</v>
      </c>
      <c r="G450">
        <v>0</v>
      </c>
      <c r="H450">
        <v>0</v>
      </c>
      <c r="I450">
        <v>0</v>
      </c>
      <c r="J450">
        <v>-427.9975</v>
      </c>
      <c r="K450">
        <v>1.0585899999999999</v>
      </c>
      <c r="L450">
        <v>367.80079999999998</v>
      </c>
      <c r="M450">
        <v>0.99998240000000005</v>
      </c>
      <c r="N450">
        <v>-4.5197780000000003E-3</v>
      </c>
      <c r="O450">
        <v>3.8787259999999999E-3</v>
      </c>
      <c r="P450">
        <v>0.99577599999999999</v>
      </c>
      <c r="Q450">
        <v>-8.7710560000000007E-2</v>
      </c>
      <c r="R450">
        <v>2.715741E-2</v>
      </c>
      <c r="S450">
        <v>3.021973</v>
      </c>
      <c r="T450">
        <v>3.9201140000000002E-2</v>
      </c>
      <c r="U450">
        <v>-0.21823119999999999</v>
      </c>
      <c r="V450">
        <v>-2.3395289999999999E-2</v>
      </c>
      <c r="W450">
        <v>-8.3180379999999998E-2</v>
      </c>
      <c r="X450">
        <v>0.99625989999999998</v>
      </c>
      <c r="Y450">
        <v>7.5890680000000002E-2</v>
      </c>
      <c r="Z450">
        <v>3.8759029999999999E-4</v>
      </c>
      <c r="AA450">
        <v>0.99711609999999995</v>
      </c>
      <c r="AB450">
        <v>36</v>
      </c>
      <c r="AC450">
        <v>3.021973</v>
      </c>
      <c r="AD450">
        <v>3.9201140000000002E-2</v>
      </c>
      <c r="AE450">
        <v>-0.21823119999999999</v>
      </c>
      <c r="AF450">
        <v>0.229912594210716</v>
      </c>
      <c r="AG450">
        <v>3.9201140000000002E-2</v>
      </c>
      <c r="AH450">
        <v>3.0205981495769398</v>
      </c>
      <c r="AI450">
        <v>89.258604870215706</v>
      </c>
      <c r="AJ450">
        <v>85.647328939275695</v>
      </c>
      <c r="AK450">
        <v>3.0295890334468898</v>
      </c>
      <c r="AL450">
        <v>94.771397486999007</v>
      </c>
      <c r="AM450">
        <v>91.345236377172498</v>
      </c>
      <c r="AN450">
        <v>1.00000005177956</v>
      </c>
    </row>
    <row r="451" spans="1:40" x14ac:dyDescent="0.25">
      <c r="A451" t="str">
        <f>"20190305134917942"</f>
        <v>20190305134917942</v>
      </c>
      <c r="B451" t="str">
        <f>"1551764957930865"</f>
        <v>1551764957930865</v>
      </c>
      <c r="C451" t="s">
        <v>40</v>
      </c>
      <c r="D451">
        <v>3.9741710000000001</v>
      </c>
      <c r="E451">
        <v>0.53898669999999904</v>
      </c>
      <c r="F451" t="s">
        <v>47</v>
      </c>
      <c r="G451">
        <v>0</v>
      </c>
      <c r="H451">
        <v>0</v>
      </c>
      <c r="I451">
        <v>0</v>
      </c>
      <c r="J451">
        <v>-427.79070000000002</v>
      </c>
      <c r="K451">
        <v>1.0585199999999999</v>
      </c>
      <c r="L451">
        <v>367.8014</v>
      </c>
      <c r="M451">
        <v>0.99998330000000002</v>
      </c>
      <c r="N451">
        <v>-4.5321750000000003E-3</v>
      </c>
      <c r="O451">
        <v>3.5919110000000001E-3</v>
      </c>
      <c r="P451">
        <v>0.9957435</v>
      </c>
      <c r="Q451">
        <v>-8.8019840000000002E-2</v>
      </c>
      <c r="R451">
        <v>2.7348890000000001E-2</v>
      </c>
      <c r="S451">
        <v>3.0220030000000002</v>
      </c>
      <c r="T451">
        <v>3.8004639999999999E-2</v>
      </c>
      <c r="U451">
        <v>-0.2189941</v>
      </c>
      <c r="V451">
        <v>-2.387355E-2</v>
      </c>
      <c r="W451">
        <v>-8.3476720000000004E-2</v>
      </c>
      <c r="X451">
        <v>0.99622370000000005</v>
      </c>
      <c r="Y451">
        <v>7.5854770000000002E-2</v>
      </c>
      <c r="Z451">
        <v>3.6557549999999999E-4</v>
      </c>
      <c r="AA451">
        <v>0.99711879999999997</v>
      </c>
      <c r="AB451">
        <v>37</v>
      </c>
      <c r="AC451">
        <v>3.0220030000000002</v>
      </c>
      <c r="AD451">
        <v>3.8004639999999999E-2</v>
      </c>
      <c r="AE451">
        <v>-0.2189941</v>
      </c>
      <c r="AF451">
        <v>0.22981140832546401</v>
      </c>
      <c r="AG451">
        <v>3.8004639999999999E-2</v>
      </c>
      <c r="AH451">
        <v>3.0207216423723802</v>
      </c>
      <c r="AI451">
        <v>89.281258764980194</v>
      </c>
      <c r="AJ451">
        <v>85.649414402878506</v>
      </c>
      <c r="AK451">
        <v>3.0296892376537499</v>
      </c>
      <c r="AL451">
        <v>94.788436095895705</v>
      </c>
      <c r="AM451">
        <v>91.372775919280997</v>
      </c>
      <c r="AN451">
        <v>0.999999984806625</v>
      </c>
    </row>
    <row r="452" spans="1:40" x14ac:dyDescent="0.25">
      <c r="A452" t="str">
        <f>"20190305134917954"</f>
        <v>20190305134917954</v>
      </c>
      <c r="B452" t="str">
        <f>"1551764957951361"</f>
        <v>1551764957951361</v>
      </c>
      <c r="C452" t="s">
        <v>40</v>
      </c>
      <c r="D452">
        <v>3.9514309999999999</v>
      </c>
      <c r="E452">
        <v>0.53917930000000003</v>
      </c>
      <c r="F452" t="s">
        <v>47</v>
      </c>
      <c r="G452">
        <v>0</v>
      </c>
      <c r="H452">
        <v>0</v>
      </c>
      <c r="I452">
        <v>0</v>
      </c>
      <c r="J452">
        <v>-427.60520000000002</v>
      </c>
      <c r="K452">
        <v>1.0584629999999999</v>
      </c>
      <c r="L452">
        <v>367.80180000000001</v>
      </c>
      <c r="M452">
        <v>0.99998430000000005</v>
      </c>
      <c r="N452">
        <v>-4.5434459999999996E-3</v>
      </c>
      <c r="O452">
        <v>3.3343679999999999E-3</v>
      </c>
      <c r="P452">
        <v>0.99572669999999996</v>
      </c>
      <c r="Q452">
        <v>-8.8241790000000001E-2</v>
      </c>
      <c r="R452">
        <v>2.7233170000000001E-2</v>
      </c>
      <c r="S452">
        <v>3.0221559999999998</v>
      </c>
      <c r="T452">
        <v>3.7090060000000001E-2</v>
      </c>
      <c r="U452">
        <v>-0.2192993</v>
      </c>
      <c r="V452">
        <v>-2.4014690000000002E-2</v>
      </c>
      <c r="W452">
        <v>-8.3687250000000005E-2</v>
      </c>
      <c r="X452">
        <v>0.99620260000000005</v>
      </c>
      <c r="Y452">
        <v>7.5694810000000001E-2</v>
      </c>
      <c r="Z452">
        <v>3.4767110000000001E-4</v>
      </c>
      <c r="AA452">
        <v>0.99713099999999999</v>
      </c>
      <c r="AB452">
        <v>37</v>
      </c>
      <c r="AC452">
        <v>3.0221559999999998</v>
      </c>
      <c r="AD452">
        <v>3.7090060000000001E-2</v>
      </c>
      <c r="AE452">
        <v>-0.2192993</v>
      </c>
      <c r="AF452">
        <v>0.22934080106349899</v>
      </c>
      <c r="AG452">
        <v>3.7090060000000001E-2</v>
      </c>
      <c r="AH452">
        <v>3.0209553358850698</v>
      </c>
      <c r="AI452">
        <v>89.298599181406601</v>
      </c>
      <c r="AJ452">
        <v>85.658624000816303</v>
      </c>
      <c r="AK452">
        <v>3.0298752477611499</v>
      </c>
      <c r="AL452">
        <v>94.8005411447932</v>
      </c>
      <c r="AM452">
        <v>91.380917849235303</v>
      </c>
      <c r="AN452">
        <v>0.99999994069755704</v>
      </c>
    </row>
    <row r="453" spans="1:40" x14ac:dyDescent="0.25">
      <c r="A453" t="str">
        <f>"20190305134917972"</f>
        <v>20190305134917972</v>
      </c>
      <c r="B453" t="str">
        <f>"1551764957961125"</f>
        <v>1551764957961125</v>
      </c>
      <c r="C453" t="s">
        <v>40</v>
      </c>
      <c r="D453">
        <v>3.9365939999999999</v>
      </c>
      <c r="E453">
        <v>0.53928500000000001</v>
      </c>
      <c r="F453" t="s">
        <v>47</v>
      </c>
      <c r="G453">
        <v>0</v>
      </c>
      <c r="H453">
        <v>0</v>
      </c>
      <c r="I453">
        <v>0</v>
      </c>
      <c r="J453">
        <v>-427.29559999999998</v>
      </c>
      <c r="K453">
        <v>1.0583830000000001</v>
      </c>
      <c r="L453">
        <v>367.80250000000001</v>
      </c>
      <c r="M453">
        <v>0.99998529999999997</v>
      </c>
      <c r="N453">
        <v>-4.5627599999999999E-3</v>
      </c>
      <c r="O453">
        <v>2.9052489999999999E-3</v>
      </c>
      <c r="P453">
        <v>0.9956969</v>
      </c>
      <c r="Q453">
        <v>-8.8652410000000001E-2</v>
      </c>
      <c r="R453">
        <v>2.6990980000000001E-2</v>
      </c>
      <c r="S453">
        <v>3.022186</v>
      </c>
      <c r="T453">
        <v>3.7149550000000003E-2</v>
      </c>
      <c r="U453">
        <v>-0.22103880000000001</v>
      </c>
      <c r="V453">
        <v>-2.420199E-2</v>
      </c>
      <c r="W453">
        <v>-8.4078299999999995E-2</v>
      </c>
      <c r="X453">
        <v>0.99616519999999997</v>
      </c>
      <c r="Y453">
        <v>7.5837130000000003E-2</v>
      </c>
      <c r="Z453">
        <v>3.4111869999999998E-4</v>
      </c>
      <c r="AA453">
        <v>0.99712009999999995</v>
      </c>
      <c r="AB453">
        <v>37</v>
      </c>
      <c r="AC453">
        <v>3.022186</v>
      </c>
      <c r="AD453">
        <v>3.7149550000000003E-2</v>
      </c>
      <c r="AE453">
        <v>-0.22103880000000001</v>
      </c>
      <c r="AF453">
        <v>0.229783626424436</v>
      </c>
      <c r="AG453">
        <v>3.7149550000000003E-2</v>
      </c>
      <c r="AH453">
        <v>3.0210770097333901</v>
      </c>
      <c r="AI453">
        <v>89.297510201591194</v>
      </c>
      <c r="AJ453">
        <v>85.650448057473895</v>
      </c>
      <c r="AK453">
        <v>3.0300308418855399</v>
      </c>
      <c r="AL453">
        <v>94.823025612646504</v>
      </c>
      <c r="AM453">
        <v>91.391736179456004</v>
      </c>
      <c r="AN453">
        <v>1.00000000127094</v>
      </c>
    </row>
    <row r="454" spans="1:40" x14ac:dyDescent="0.25">
      <c r="A454" t="str">
        <f>"20190305134917984"</f>
        <v>20190305134917984</v>
      </c>
      <c r="B454" t="str">
        <f>"1551764957981618"</f>
        <v>1551764957981618</v>
      </c>
      <c r="C454" t="s">
        <v>40</v>
      </c>
      <c r="D454">
        <v>3.9719380000000002</v>
      </c>
      <c r="E454">
        <v>0.53951839999999995</v>
      </c>
      <c r="F454" t="s">
        <v>47</v>
      </c>
      <c r="G454">
        <v>0</v>
      </c>
      <c r="H454">
        <v>0</v>
      </c>
      <c r="I454">
        <v>0</v>
      </c>
      <c r="J454">
        <v>-427.0942</v>
      </c>
      <c r="K454">
        <v>1.0583359999999999</v>
      </c>
      <c r="L454">
        <v>367.80290000000002</v>
      </c>
      <c r="M454">
        <v>0.99998620000000005</v>
      </c>
      <c r="N454">
        <v>-4.5755750000000001E-3</v>
      </c>
      <c r="O454">
        <v>2.6257110000000002E-3</v>
      </c>
      <c r="P454">
        <v>0.99567119999999998</v>
      </c>
      <c r="Q454">
        <v>-8.8990040000000006E-2</v>
      </c>
      <c r="R454">
        <v>2.6832350000000001E-2</v>
      </c>
      <c r="S454">
        <v>3.0222470000000001</v>
      </c>
      <c r="T454">
        <v>3.6197899999999998E-2</v>
      </c>
      <c r="U454">
        <v>-0.22302250000000001</v>
      </c>
      <c r="V454">
        <v>-2.432198E-2</v>
      </c>
      <c r="W454">
        <v>-8.4403049999999993E-2</v>
      </c>
      <c r="X454">
        <v>0.99613479999999999</v>
      </c>
      <c r="Y454">
        <v>7.6208139999999994E-2</v>
      </c>
      <c r="Z454">
        <v>3.2455510000000001E-4</v>
      </c>
      <c r="AA454">
        <v>0.99709190000000003</v>
      </c>
      <c r="AB454">
        <v>37</v>
      </c>
      <c r="AC454">
        <v>3.0222470000000001</v>
      </c>
      <c r="AD454">
        <v>3.6197899999999998E-2</v>
      </c>
      <c r="AE454">
        <v>-0.22302250000000001</v>
      </c>
      <c r="AF454">
        <v>0.23092441335959199</v>
      </c>
      <c r="AG454">
        <v>3.6197899999999998E-2</v>
      </c>
      <c r="AH454">
        <v>3.0212199298678701</v>
      </c>
      <c r="AI454">
        <v>89.315555739016204</v>
      </c>
      <c r="AJ454">
        <v>85.629143668427005</v>
      </c>
      <c r="AK454">
        <v>3.0302485438129798</v>
      </c>
      <c r="AL454">
        <v>94.841698862981502</v>
      </c>
      <c r="AM454">
        <v>91.398676140579596</v>
      </c>
      <c r="AN454">
        <v>0.99999998666573098</v>
      </c>
    </row>
    <row r="455" spans="1:40" x14ac:dyDescent="0.25">
      <c r="A455" t="str">
        <f>"20190305134917996"</f>
        <v>20190305134917996</v>
      </c>
      <c r="B455" t="str">
        <f>"1551764957991377"</f>
        <v>1551764957991377</v>
      </c>
      <c r="C455" t="s">
        <v>40</v>
      </c>
      <c r="D455">
        <v>3.9614980000000002</v>
      </c>
      <c r="E455">
        <v>0.53961890000000001</v>
      </c>
      <c r="F455" t="s">
        <v>47</v>
      </c>
      <c r="G455">
        <v>0</v>
      </c>
      <c r="H455">
        <v>0</v>
      </c>
      <c r="I455">
        <v>0</v>
      </c>
      <c r="J455">
        <v>-426.9128</v>
      </c>
      <c r="K455">
        <v>1.0582959999999999</v>
      </c>
      <c r="L455">
        <v>367.8032</v>
      </c>
      <c r="M455">
        <v>0.99998659999999995</v>
      </c>
      <c r="N455">
        <v>-4.5872049999999996E-3</v>
      </c>
      <c r="O455">
        <v>2.374251E-3</v>
      </c>
      <c r="P455">
        <v>0.99564949999999997</v>
      </c>
      <c r="Q455">
        <v>-8.9284730000000007E-2</v>
      </c>
      <c r="R455">
        <v>2.6656300000000001E-2</v>
      </c>
      <c r="S455">
        <v>3.0223080000000002</v>
      </c>
      <c r="T455">
        <v>3.5985950000000003E-2</v>
      </c>
      <c r="U455">
        <v>-0.22518920000000001</v>
      </c>
      <c r="V455">
        <v>-2.43974E-2</v>
      </c>
      <c r="W455">
        <v>-8.4686059999999994E-2</v>
      </c>
      <c r="X455">
        <v>0.99610889999999996</v>
      </c>
      <c r="Y455">
        <v>7.6666910000000005E-2</v>
      </c>
      <c r="Z455">
        <v>3.1879389999999998E-4</v>
      </c>
      <c r="AA455">
        <v>0.99705670000000002</v>
      </c>
      <c r="AB455">
        <v>37</v>
      </c>
      <c r="AC455">
        <v>3.0223080000000002</v>
      </c>
      <c r="AD455">
        <v>3.5985950000000003E-2</v>
      </c>
      <c r="AE455">
        <v>-0.22518920000000001</v>
      </c>
      <c r="AF455">
        <v>0.23233160288530499</v>
      </c>
      <c r="AG455">
        <v>3.5985950000000003E-2</v>
      </c>
      <c r="AH455">
        <v>3.0213388455119801</v>
      </c>
      <c r="AI455">
        <v>89.319613769106198</v>
      </c>
      <c r="AJ455">
        <v>85.602785429933505</v>
      </c>
      <c r="AK455">
        <v>3.0304721384128102</v>
      </c>
      <c r="AL455">
        <v>94.857972578338007</v>
      </c>
      <c r="AM455">
        <v>91.403048028309897</v>
      </c>
      <c r="AN455">
        <v>0.99999995127214503</v>
      </c>
    </row>
    <row r="456" spans="1:40" x14ac:dyDescent="0.25">
      <c r="A456" t="str">
        <f>"20190305134918007"</f>
        <v>20190305134918007</v>
      </c>
      <c r="B456" t="str">
        <f>"1551764958001138"</f>
        <v>1551764958001138</v>
      </c>
      <c r="C456" t="s">
        <v>40</v>
      </c>
      <c r="D456">
        <v>3.9690460000000001</v>
      </c>
      <c r="E456">
        <v>0.5397227</v>
      </c>
      <c r="F456" t="s">
        <v>47</v>
      </c>
      <c r="G456">
        <v>0</v>
      </c>
      <c r="H456">
        <v>0</v>
      </c>
      <c r="I456">
        <v>0</v>
      </c>
      <c r="J456">
        <v>-426.71249999999998</v>
      </c>
      <c r="K456">
        <v>1.0582549999999999</v>
      </c>
      <c r="L456">
        <v>367.80349999999999</v>
      </c>
      <c r="M456">
        <v>0.99998730000000002</v>
      </c>
      <c r="N456">
        <v>-4.6001310000000004E-3</v>
      </c>
      <c r="O456">
        <v>2.0965609999999998E-3</v>
      </c>
      <c r="P456">
        <v>0.99563749999999995</v>
      </c>
      <c r="Q456">
        <v>-8.9446540000000005E-2</v>
      </c>
      <c r="R456">
        <v>2.6562039999999999E-2</v>
      </c>
      <c r="S456">
        <v>3.0223390000000001</v>
      </c>
      <c r="T456">
        <v>3.5333160000000002E-2</v>
      </c>
      <c r="U456">
        <v>-0.22692870000000001</v>
      </c>
      <c r="V456">
        <v>-2.457995E-2</v>
      </c>
      <c r="W456">
        <v>-8.4834729999999997E-2</v>
      </c>
      <c r="X456">
        <v>0.99609179999999997</v>
      </c>
      <c r="Y456">
        <v>7.6960150000000005E-2</v>
      </c>
      <c r="Z456">
        <v>3.0604930000000002E-4</v>
      </c>
      <c r="AA456">
        <v>0.99703410000000003</v>
      </c>
      <c r="AB456">
        <v>37</v>
      </c>
      <c r="AC456">
        <v>3.0223390000000001</v>
      </c>
      <c r="AD456">
        <v>3.5333160000000002E-2</v>
      </c>
      <c r="AE456">
        <v>-0.22692870000000001</v>
      </c>
      <c r="AF456">
        <v>0.23323308820732</v>
      </c>
      <c r="AG456">
        <v>3.5333160000000002E-2</v>
      </c>
      <c r="AH456">
        <v>3.021445951344</v>
      </c>
      <c r="AI456">
        <v>89.331993741878094</v>
      </c>
      <c r="AJ456">
        <v>85.585946668662402</v>
      </c>
      <c r="AK456">
        <v>3.0306404838785101</v>
      </c>
      <c r="AL456">
        <v>94.866521319377298</v>
      </c>
      <c r="AM456">
        <v>91.413566144346106</v>
      </c>
      <c r="AN456">
        <v>0.999999989691707</v>
      </c>
    </row>
    <row r="457" spans="1:40" x14ac:dyDescent="0.25">
      <c r="A457" t="str">
        <f>"20190305134918019"</f>
        <v>20190305134918019</v>
      </c>
      <c r="B457" t="str">
        <f>"1551764958010897"</f>
        <v>1551764958010897</v>
      </c>
      <c r="C457" t="s">
        <v>40</v>
      </c>
      <c r="D457">
        <v>3.9750800000000002</v>
      </c>
      <c r="E457">
        <v>0.5397227</v>
      </c>
      <c r="F457" t="s">
        <v>47</v>
      </c>
      <c r="G457">
        <v>0</v>
      </c>
      <c r="H457">
        <v>0</v>
      </c>
      <c r="I457">
        <v>0</v>
      </c>
      <c r="J457">
        <v>-426.51069999999999</v>
      </c>
      <c r="K457">
        <v>1.058219</v>
      </c>
      <c r="L457">
        <v>367.80369999999999</v>
      </c>
      <c r="M457">
        <v>0.99998770000000003</v>
      </c>
      <c r="N457">
        <v>-4.6132409999999997E-3</v>
      </c>
      <c r="O457">
        <v>1.817082E-3</v>
      </c>
      <c r="P457">
        <v>0.99559629999999999</v>
      </c>
      <c r="Q457">
        <v>-9.0029280000000003E-2</v>
      </c>
      <c r="R457">
        <v>2.6133190000000001E-2</v>
      </c>
      <c r="S457">
        <v>3.0224000000000002</v>
      </c>
      <c r="T457">
        <v>3.5181759999999999E-2</v>
      </c>
      <c r="U457">
        <v>-0.22787479999999999</v>
      </c>
      <c r="V457">
        <v>-2.4431029999999999E-2</v>
      </c>
      <c r="W457">
        <v>-8.5404690000000005E-2</v>
      </c>
      <c r="X457">
        <v>0.99604680000000001</v>
      </c>
      <c r="Y457">
        <v>7.6990400000000001E-2</v>
      </c>
      <c r="Z457">
        <v>2.9909460000000001E-4</v>
      </c>
      <c r="AA457">
        <v>0.99703180000000002</v>
      </c>
      <c r="AB457">
        <v>37</v>
      </c>
      <c r="AC457">
        <v>3.0224000000000002</v>
      </c>
      <c r="AD457">
        <v>3.5181759999999999E-2</v>
      </c>
      <c r="AE457">
        <v>-0.22787479999999999</v>
      </c>
      <c r="AF457">
        <v>0.23333499331655899</v>
      </c>
      <c r="AG457">
        <v>3.5181759999999999E-2</v>
      </c>
      <c r="AH457">
        <v>3.0215738371088001</v>
      </c>
      <c r="AI457">
        <v>89.334885545891694</v>
      </c>
      <c r="AJ457">
        <v>85.584211853654807</v>
      </c>
      <c r="AK457">
        <v>3.0307740642355898</v>
      </c>
      <c r="AL457">
        <v>94.899296364840197</v>
      </c>
      <c r="AM457">
        <v>91.405068811436294</v>
      </c>
      <c r="AN457">
        <v>1.00000003204554</v>
      </c>
    </row>
    <row r="458" spans="1:40" x14ac:dyDescent="0.25">
      <c r="A458" t="str">
        <f>"20190305134918032"</f>
        <v>20190305134918032</v>
      </c>
      <c r="B458" t="str">
        <f>"1551764958021634"</f>
        <v>1551764958021634</v>
      </c>
      <c r="C458" t="s">
        <v>40</v>
      </c>
      <c r="D458">
        <v>3.970027</v>
      </c>
      <c r="E458">
        <v>0.5462304</v>
      </c>
      <c r="F458" t="s">
        <v>47</v>
      </c>
      <c r="G458">
        <v>0</v>
      </c>
      <c r="H458">
        <v>0</v>
      </c>
      <c r="I458">
        <v>0</v>
      </c>
      <c r="J458">
        <v>-426.31569999999999</v>
      </c>
      <c r="K458">
        <v>1.058184</v>
      </c>
      <c r="L458">
        <v>367.80380000000002</v>
      </c>
      <c r="M458">
        <v>0.99998819999999999</v>
      </c>
      <c r="N458">
        <v>-4.6259400000000003E-3</v>
      </c>
      <c r="O458">
        <v>1.5470219999999999E-3</v>
      </c>
      <c r="P458">
        <v>0.99557090000000004</v>
      </c>
      <c r="Q458">
        <v>-9.0343060000000003E-2</v>
      </c>
      <c r="R458">
        <v>2.601966E-2</v>
      </c>
      <c r="S458">
        <v>3.0223390000000001</v>
      </c>
      <c r="T458">
        <v>3.343844E-2</v>
      </c>
      <c r="U458">
        <v>-0.2290344</v>
      </c>
      <c r="V458">
        <v>-2.458714E-2</v>
      </c>
      <c r="W458">
        <v>-8.5705619999999996E-2</v>
      </c>
      <c r="X458">
        <v>0.99601709999999999</v>
      </c>
      <c r="Y458">
        <v>7.7103469999999993E-2</v>
      </c>
      <c r="Z458">
        <v>2.7154330000000001E-4</v>
      </c>
      <c r="AA458">
        <v>0.99702299999999999</v>
      </c>
      <c r="AB458">
        <v>37</v>
      </c>
      <c r="AC458">
        <v>3.0223390000000001</v>
      </c>
      <c r="AD458">
        <v>3.343844E-2</v>
      </c>
      <c r="AE458">
        <v>-0.2290344</v>
      </c>
      <c r="AF458">
        <v>0.233681359556458</v>
      </c>
      <c r="AG458">
        <v>3.343844E-2</v>
      </c>
      <c r="AH458">
        <v>3.0216133040397799</v>
      </c>
      <c r="AI458">
        <v>89.367854202308195</v>
      </c>
      <c r="AJ458">
        <v>85.577740502452897</v>
      </c>
      <c r="AK458">
        <v>3.03082036191919</v>
      </c>
      <c r="AL458">
        <v>94.916601883801903</v>
      </c>
      <c r="AM458">
        <v>91.414085469154102</v>
      </c>
      <c r="AN458">
        <v>1.0000000221226799</v>
      </c>
    </row>
    <row r="459" spans="1:40" x14ac:dyDescent="0.25">
      <c r="A459" t="str">
        <f>"20190305134918050"</f>
        <v>20190305134918050</v>
      </c>
      <c r="B459" t="str">
        <f>"1551764958041169"</f>
        <v>1551764958041169</v>
      </c>
      <c r="C459" t="s">
        <v>40</v>
      </c>
      <c r="D459">
        <v>3.9821490000000002</v>
      </c>
      <c r="E459">
        <v>0.54643929999999996</v>
      </c>
      <c r="F459" t="s">
        <v>53</v>
      </c>
      <c r="G459">
        <v>-154.73439999999999</v>
      </c>
      <c r="H459">
        <v>6.3352409999999999</v>
      </c>
      <c r="I459">
        <v>342.64400000000001</v>
      </c>
      <c r="J459">
        <v>-426.00259999999997</v>
      </c>
      <c r="K459">
        <v>1.058135</v>
      </c>
      <c r="L459">
        <v>367.80399999999997</v>
      </c>
      <c r="M459">
        <v>0.99998860000000001</v>
      </c>
      <c r="N459">
        <v>-4.6464449999999999E-3</v>
      </c>
      <c r="O459">
        <v>1.1140900000000001E-3</v>
      </c>
      <c r="P459">
        <v>0.99549330000000003</v>
      </c>
      <c r="Q459">
        <v>-9.1367190000000001E-2</v>
      </c>
      <c r="R459">
        <v>2.540069E-2</v>
      </c>
      <c r="S459">
        <v>3.0260009999999999</v>
      </c>
      <c r="T459">
        <v>5.8797839999999997E-2</v>
      </c>
      <c r="U459">
        <v>-0.28033449999999999</v>
      </c>
      <c r="V459">
        <v>-2.4401679999999999E-2</v>
      </c>
      <c r="W459">
        <v>-8.6709789999999995E-2</v>
      </c>
      <c r="X459">
        <v>0.99593469999999995</v>
      </c>
      <c r="Y459">
        <v>9.3342590000000003E-2</v>
      </c>
      <c r="Z459">
        <v>7.1427060000000002E-4</v>
      </c>
      <c r="AA459">
        <v>0.99563380000000001</v>
      </c>
      <c r="AB459">
        <v>37</v>
      </c>
      <c r="AC459">
        <v>271.26819999999998</v>
      </c>
      <c r="AD459">
        <v>5.2771059999999999</v>
      </c>
      <c r="AE459">
        <v>-25.16</v>
      </c>
      <c r="AF459">
        <v>25.452654754050702</v>
      </c>
      <c r="AG459">
        <v>5.2771059999999999</v>
      </c>
      <c r="AH459">
        <v>271.13826718557698</v>
      </c>
      <c r="AI459">
        <v>88.889884615691798</v>
      </c>
      <c r="AJ459">
        <v>84.637169743560904</v>
      </c>
      <c r="AK459">
        <v>272.381433681082</v>
      </c>
      <c r="AL459">
        <v>94.974351798495903</v>
      </c>
      <c r="AM459">
        <v>91.4035394180396</v>
      </c>
      <c r="AN459">
        <v>0.99999997816637798</v>
      </c>
    </row>
    <row r="460" spans="1:40" x14ac:dyDescent="0.25">
      <c r="A460" t="str">
        <f>"20190305134918061"</f>
        <v>20190305134918061</v>
      </c>
      <c r="B460" t="str">
        <f>"1551764958050915"</f>
        <v>1551764958050915</v>
      </c>
      <c r="C460" t="s">
        <v>40</v>
      </c>
      <c r="D460">
        <v>3.9749089999999998</v>
      </c>
      <c r="E460">
        <v>0.5462089</v>
      </c>
      <c r="F460" t="s">
        <v>53</v>
      </c>
      <c r="G460">
        <v>-156.46899999999999</v>
      </c>
      <c r="H460">
        <v>6.0964910000000003</v>
      </c>
      <c r="I460">
        <v>342.51069999999999</v>
      </c>
      <c r="J460">
        <v>-425.81790000000001</v>
      </c>
      <c r="K460">
        <v>1.058111</v>
      </c>
      <c r="L460">
        <v>367.80399999999997</v>
      </c>
      <c r="M460">
        <v>0.99998889999999996</v>
      </c>
      <c r="N460">
        <v>-4.6585929999999999E-3</v>
      </c>
      <c r="O460">
        <v>8.5845720000000004E-4</v>
      </c>
      <c r="P460">
        <v>0.99545439999999996</v>
      </c>
      <c r="Q460">
        <v>-9.1902929999999994E-2</v>
      </c>
      <c r="R460">
        <v>2.4992150000000001E-2</v>
      </c>
      <c r="S460">
        <v>3.0260310000000001</v>
      </c>
      <c r="T460">
        <v>5.6565280000000003E-2</v>
      </c>
      <c r="U460">
        <v>-0.283966099999999</v>
      </c>
      <c r="V460">
        <v>-2.4248120000000001E-2</v>
      </c>
      <c r="W460">
        <v>-8.7233710000000006E-2</v>
      </c>
      <c r="X460">
        <v>0.99589269999999996</v>
      </c>
      <c r="Y460">
        <v>9.4272809999999999E-2</v>
      </c>
      <c r="Z460">
        <v>6.7902269999999996E-4</v>
      </c>
      <c r="AA460">
        <v>0.99554620000000005</v>
      </c>
      <c r="AB460">
        <v>37</v>
      </c>
      <c r="AC460">
        <v>269.34890000000001</v>
      </c>
      <c r="AD460">
        <v>5.0383800000000001</v>
      </c>
      <c r="AE460">
        <v>-25.293299999999999</v>
      </c>
      <c r="AF460">
        <v>25.515667619428498</v>
      </c>
      <c r="AG460">
        <v>5.0383800000000001</v>
      </c>
      <c r="AH460">
        <v>269.23370427609399</v>
      </c>
      <c r="AI460">
        <v>88.932685873476402</v>
      </c>
      <c r="AJ460">
        <v>84.586165800821803</v>
      </c>
      <c r="AK460">
        <v>270.48700908789903</v>
      </c>
      <c r="AL460">
        <v>95.004484370653898</v>
      </c>
      <c r="AM460">
        <v>91.394769227309794</v>
      </c>
      <c r="AN460">
        <v>0.99999998069859397</v>
      </c>
    </row>
    <row r="461" spans="1:40" x14ac:dyDescent="0.25">
      <c r="A461" t="str">
        <f>"20190305134918073"</f>
        <v>20190305134918073</v>
      </c>
      <c r="B461" t="str">
        <f>"1551764958061649"</f>
        <v>1551764958061649</v>
      </c>
      <c r="C461" t="s">
        <v>40</v>
      </c>
      <c r="D461">
        <v>3.9859819999999999</v>
      </c>
      <c r="E461">
        <v>0.54586140000000005</v>
      </c>
      <c r="F461" t="s">
        <v>53</v>
      </c>
      <c r="G461">
        <v>-156.46889999999999</v>
      </c>
      <c r="H461">
        <v>5.8225049999999996</v>
      </c>
      <c r="I461">
        <v>342.56619999999998</v>
      </c>
      <c r="J461">
        <v>-425.62979999999999</v>
      </c>
      <c r="K461">
        <v>1.0580860000000001</v>
      </c>
      <c r="L461">
        <v>367.80399999999997</v>
      </c>
      <c r="M461">
        <v>0.99998900000000002</v>
      </c>
      <c r="N461">
        <v>-4.6709680000000002E-3</v>
      </c>
      <c r="O461">
        <v>5.9853199999999895E-4</v>
      </c>
      <c r="P461">
        <v>0.99542359999999996</v>
      </c>
      <c r="Q461">
        <v>-9.2296110000000001E-2</v>
      </c>
      <c r="R461">
        <v>2.4777520000000001E-2</v>
      </c>
      <c r="S461">
        <v>3.0257260000000001</v>
      </c>
      <c r="T461">
        <v>5.35208E-2</v>
      </c>
      <c r="U461">
        <v>-0.28350829999999999</v>
      </c>
      <c r="V461">
        <v>-2.4293849999999999E-2</v>
      </c>
      <c r="W461">
        <v>-8.7614540000000005E-2</v>
      </c>
      <c r="X461">
        <v>0.99585820000000003</v>
      </c>
      <c r="Y461">
        <v>9.3875700000000006E-2</v>
      </c>
      <c r="Z461">
        <v>6.2199969999999995E-4</v>
      </c>
      <c r="AA461">
        <v>0.99558369999999996</v>
      </c>
      <c r="AB461">
        <v>37</v>
      </c>
      <c r="AC461">
        <v>269.16090000000003</v>
      </c>
      <c r="AD461">
        <v>4.7644190000000002</v>
      </c>
      <c r="AE461">
        <v>-25.2378</v>
      </c>
      <c r="AF461">
        <v>25.391012314035599</v>
      </c>
      <c r="AG461">
        <v>4.7644190000000002</v>
      </c>
      <c r="AH461">
        <v>269.06217663761902</v>
      </c>
      <c r="AI461">
        <v>88.990027113397204</v>
      </c>
      <c r="AJ461">
        <v>84.609044427134805</v>
      </c>
      <c r="AK461">
        <v>270.29957101651598</v>
      </c>
      <c r="AL461">
        <v>95.026387957175501</v>
      </c>
      <c r="AM461">
        <v>91.397446999218403</v>
      </c>
      <c r="AN461">
        <v>1.00000002663723</v>
      </c>
    </row>
    <row r="462" spans="1:40" x14ac:dyDescent="0.25">
      <c r="A462" t="str">
        <f>"20190305134918085"</f>
        <v>20190305134918085</v>
      </c>
      <c r="B462" t="str">
        <f>"1551764958081169"</f>
        <v>1551764958081169</v>
      </c>
      <c r="C462" t="s">
        <v>40</v>
      </c>
      <c r="D462">
        <v>4.002631</v>
      </c>
      <c r="E462">
        <v>0.54604799999999998</v>
      </c>
      <c r="F462" t="s">
        <v>53</v>
      </c>
      <c r="G462">
        <v>-155.17930000000001</v>
      </c>
      <c r="H462">
        <v>5.5789390000000001</v>
      </c>
      <c r="I462">
        <v>342.64400000000001</v>
      </c>
      <c r="J462">
        <v>-425.42110000000002</v>
      </c>
      <c r="K462">
        <v>1.0580620000000001</v>
      </c>
      <c r="L462">
        <v>367.8039</v>
      </c>
      <c r="M462">
        <v>0.99998900000000002</v>
      </c>
      <c r="N462">
        <v>-4.6847420000000004E-3</v>
      </c>
      <c r="O462">
        <v>3.1058639999999998E-4</v>
      </c>
      <c r="P462">
        <v>0.99539259999999996</v>
      </c>
      <c r="Q462">
        <v>-9.2728309999999994E-2</v>
      </c>
      <c r="R462">
        <v>2.4402449999999999E-2</v>
      </c>
      <c r="S462">
        <v>3.0255130000000001</v>
      </c>
      <c r="T462">
        <v>5.0574540000000001E-2</v>
      </c>
      <c r="U462">
        <v>-0.28146359999999998</v>
      </c>
      <c r="V462">
        <v>-2.420605E-2</v>
      </c>
      <c r="W462">
        <v>-8.8033210000000001E-2</v>
      </c>
      <c r="X462">
        <v>0.99582340000000003</v>
      </c>
      <c r="Y462">
        <v>9.2930020000000002E-2</v>
      </c>
      <c r="Z462">
        <v>5.6345750000000002E-4</v>
      </c>
      <c r="AA462">
        <v>0.99567249999999996</v>
      </c>
      <c r="AB462">
        <v>37</v>
      </c>
      <c r="AC462">
        <v>270.24180000000001</v>
      </c>
      <c r="AD462">
        <v>4.5208769999999996</v>
      </c>
      <c r="AE462">
        <v>-25.1599</v>
      </c>
      <c r="AF462">
        <v>25.236831055185799</v>
      </c>
      <c r="AG462">
        <v>4.5208769999999996</v>
      </c>
      <c r="AH462">
        <v>270.15901565871502</v>
      </c>
      <c r="AI462">
        <v>89.045449299277294</v>
      </c>
      <c r="AJ462">
        <v>84.663217837281707</v>
      </c>
      <c r="AK462">
        <v>271.37286104590999</v>
      </c>
      <c r="AL462">
        <v>95.050469106427698</v>
      </c>
      <c r="AM462">
        <v>91.392447140617406</v>
      </c>
      <c r="AN462">
        <v>1.0000000114535299</v>
      </c>
    </row>
    <row r="463" spans="1:40" x14ac:dyDescent="0.25">
      <c r="A463" t="str">
        <f>"20190305134918098"</f>
        <v>20190305134918098</v>
      </c>
      <c r="B463" t="str">
        <f>"1551764958090930"</f>
        <v>1551764958090930</v>
      </c>
      <c r="C463" t="s">
        <v>40</v>
      </c>
      <c r="D463">
        <v>4.0256970000000001</v>
      </c>
      <c r="E463">
        <v>0.54615519999999995</v>
      </c>
      <c r="F463" t="s">
        <v>53</v>
      </c>
      <c r="G463">
        <v>-156.46870000000001</v>
      </c>
      <c r="H463">
        <v>5.319922</v>
      </c>
      <c r="I463">
        <v>342.55110000000002</v>
      </c>
      <c r="J463">
        <v>-425.19720000000001</v>
      </c>
      <c r="K463">
        <v>1.05803799999999</v>
      </c>
      <c r="L463">
        <v>367.80380000000002</v>
      </c>
      <c r="M463">
        <v>0.99998889999999996</v>
      </c>
      <c r="N463">
        <v>-4.6995439999999999E-3</v>
      </c>
      <c r="O463" s="1">
        <v>1.5377220000000001E-6</v>
      </c>
      <c r="P463">
        <v>0.99535750000000001</v>
      </c>
      <c r="Q463">
        <v>-9.3233730000000001E-2</v>
      </c>
      <c r="R463">
        <v>2.389258E-2</v>
      </c>
      <c r="S463">
        <v>3.0253299999999999</v>
      </c>
      <c r="T463">
        <v>4.7939900000000001E-2</v>
      </c>
      <c r="U463">
        <v>-0.28405760000000002</v>
      </c>
      <c r="V463">
        <v>-2.4004609999999999E-2</v>
      </c>
      <c r="W463">
        <v>-8.8524249999999999E-2</v>
      </c>
      <c r="X463">
        <v>0.99578480000000003</v>
      </c>
      <c r="Y463">
        <v>9.3475320000000001E-2</v>
      </c>
      <c r="Z463">
        <v>5.1883490000000001E-4</v>
      </c>
      <c r="AA463">
        <v>0.99562139999999999</v>
      </c>
      <c r="AB463">
        <v>37</v>
      </c>
      <c r="AC463">
        <v>268.7285</v>
      </c>
      <c r="AD463">
        <v>4.2618839999999896</v>
      </c>
      <c r="AE463">
        <v>-25.252700000000001</v>
      </c>
      <c r="AF463">
        <v>25.246818690975001</v>
      </c>
      <c r="AG463">
        <v>4.2618839999999896</v>
      </c>
      <c r="AH463">
        <v>268.661478418944</v>
      </c>
      <c r="AI463">
        <v>89.095156287778707</v>
      </c>
      <c r="AJ463">
        <v>84.631532077071597</v>
      </c>
      <c r="AK463">
        <v>269.87877926116602</v>
      </c>
      <c r="AL463">
        <v>95.078713621076901</v>
      </c>
      <c r="AM463">
        <v>91.380917365234595</v>
      </c>
      <c r="AN463">
        <v>1.00000006602517</v>
      </c>
    </row>
    <row r="464" spans="1:40" x14ac:dyDescent="0.25">
      <c r="A464" t="str">
        <f>"20190305134918112"</f>
        <v>20190305134918112</v>
      </c>
      <c r="B464" t="str">
        <f>"1551764958101665"</f>
        <v>1551764958101665</v>
      </c>
      <c r="C464" t="s">
        <v>40</v>
      </c>
      <c r="D464">
        <v>3.9803500000000001</v>
      </c>
      <c r="E464">
        <v>0.5460064</v>
      </c>
      <c r="F464" t="s">
        <v>53</v>
      </c>
      <c r="G464">
        <v>-156.46860000000001</v>
      </c>
      <c r="H464">
        <v>5.0955180000000002</v>
      </c>
      <c r="I464">
        <v>342.36689999999999</v>
      </c>
      <c r="J464">
        <v>-424.97129999999999</v>
      </c>
      <c r="K464">
        <v>1.0580130000000001</v>
      </c>
      <c r="L464">
        <v>367.80360000000002</v>
      </c>
      <c r="M464">
        <v>0.99998889999999996</v>
      </c>
      <c r="N464">
        <v>-4.7145160000000002E-3</v>
      </c>
      <c r="O464">
        <v>-3.1025310000000001E-4</v>
      </c>
      <c r="P464">
        <v>0.99532089999999995</v>
      </c>
      <c r="Q464">
        <v>-9.3683089999999997E-2</v>
      </c>
      <c r="R464">
        <v>2.3663010000000002E-2</v>
      </c>
      <c r="S464">
        <v>3.0251160000000001</v>
      </c>
      <c r="T464">
        <v>4.5450570000000003E-2</v>
      </c>
      <c r="U464">
        <v>-0.2863464</v>
      </c>
      <c r="V464">
        <v>-2.4086300000000001E-2</v>
      </c>
      <c r="W464">
        <v>-8.895865E-2</v>
      </c>
      <c r="X464">
        <v>0.99574399999999996</v>
      </c>
      <c r="Y464">
        <v>9.3919130000000003E-2</v>
      </c>
      <c r="Z464">
        <v>4.7592179999999997E-4</v>
      </c>
      <c r="AA464">
        <v>0.99557969999999896</v>
      </c>
      <c r="AB464">
        <v>38</v>
      </c>
      <c r="AC464">
        <v>268.5027</v>
      </c>
      <c r="AD464">
        <v>4.0375050000000003</v>
      </c>
      <c r="AE464">
        <v>-25.436699999999998</v>
      </c>
      <c r="AF464">
        <v>25.3477135503081</v>
      </c>
      <c r="AG464">
        <v>4.0375050000000003</v>
      </c>
      <c r="AH464">
        <v>268.45041831790502</v>
      </c>
      <c r="AI464">
        <v>89.142149214277794</v>
      </c>
      <c r="AJ464">
        <v>84.605991389128405</v>
      </c>
      <c r="AK464">
        <v>269.67468387653997</v>
      </c>
      <c r="AL464">
        <v>95.103702072480203</v>
      </c>
      <c r="AM464">
        <v>91.385671683673195</v>
      </c>
      <c r="AN464">
        <v>0.99999995239675499</v>
      </c>
    </row>
    <row r="465" spans="1:40" x14ac:dyDescent="0.25">
      <c r="A465" t="str">
        <f>"20190305134918130"</f>
        <v>20190305134918130</v>
      </c>
      <c r="B465" t="str">
        <f>"1551764958121185"</f>
        <v>1551764958121185</v>
      </c>
      <c r="C465" t="s">
        <v>40</v>
      </c>
      <c r="D465">
        <v>4.035431</v>
      </c>
      <c r="E465">
        <v>0.54579109999999997</v>
      </c>
      <c r="F465" t="s">
        <v>53</v>
      </c>
      <c r="G465">
        <v>-156.46860000000001</v>
      </c>
      <c r="H465">
        <v>4.8633150000000001</v>
      </c>
      <c r="I465">
        <v>342.42469999999997</v>
      </c>
      <c r="J465">
        <v>-424.65309999999999</v>
      </c>
      <c r="K465">
        <v>1.057984</v>
      </c>
      <c r="L465">
        <v>367.80309999999997</v>
      </c>
      <c r="M465">
        <v>0.99998860000000001</v>
      </c>
      <c r="N465">
        <v>-4.73567E-3</v>
      </c>
      <c r="O465">
        <v>-7.487889E-4</v>
      </c>
      <c r="P465">
        <v>0.99521269999999995</v>
      </c>
      <c r="Q465">
        <v>-9.4858139999999994E-2</v>
      </c>
      <c r="R465">
        <v>2.3537209999999999E-2</v>
      </c>
      <c r="S465">
        <v>3.0249630000000001</v>
      </c>
      <c r="T465">
        <v>4.2870760000000001E-2</v>
      </c>
      <c r="U465">
        <v>-0.28591919999999998</v>
      </c>
      <c r="V465">
        <v>-2.4399500000000001E-2</v>
      </c>
      <c r="W465">
        <v>-9.0112579999999998E-2</v>
      </c>
      <c r="X465">
        <v>0.99563259999999998</v>
      </c>
      <c r="Y465">
        <v>9.3348940000000005E-2</v>
      </c>
      <c r="Z465">
        <v>4.2432119999999998E-4</v>
      </c>
      <c r="AA465">
        <v>0.9956334</v>
      </c>
      <c r="AB465">
        <v>38</v>
      </c>
      <c r="AC465">
        <v>268.18450000000001</v>
      </c>
      <c r="AD465">
        <v>3.8053309999999998</v>
      </c>
      <c r="AE465">
        <v>-25.378399999999999</v>
      </c>
      <c r="AF465">
        <v>25.172553961221301</v>
      </c>
      <c r="AG465">
        <v>3.8053309999999998</v>
      </c>
      <c r="AH465">
        <v>268.14991950808599</v>
      </c>
      <c r="AI465">
        <v>89.190525305980003</v>
      </c>
      <c r="AJ465">
        <v>84.637079645259504</v>
      </c>
      <c r="AK465">
        <v>269.355744971484</v>
      </c>
      <c r="AL465">
        <v>95.170084059807706</v>
      </c>
      <c r="AM465">
        <v>91.403839739416597</v>
      </c>
      <c r="AN465">
        <v>0.99999994342863097</v>
      </c>
    </row>
    <row r="466" spans="1:40" x14ac:dyDescent="0.25">
      <c r="A466" t="str">
        <f>"20190305134918142"</f>
        <v>20190305134918142</v>
      </c>
      <c r="B466" t="str">
        <f>"1551764958130947"</f>
        <v>1551764958130947</v>
      </c>
      <c r="C466" t="s">
        <v>40</v>
      </c>
      <c r="D466">
        <v>3.9882460000000002</v>
      </c>
      <c r="E466">
        <v>0.54576829999999998</v>
      </c>
      <c r="F466" t="s">
        <v>53</v>
      </c>
      <c r="G466">
        <v>-156.46850000000001</v>
      </c>
      <c r="H466">
        <v>4.5868549999999999</v>
      </c>
      <c r="I466">
        <v>342.5761</v>
      </c>
      <c r="J466">
        <v>-424.4409</v>
      </c>
      <c r="K466">
        <v>1.057968</v>
      </c>
      <c r="L466">
        <v>367.80270000000002</v>
      </c>
      <c r="M466">
        <v>0.99998819999999999</v>
      </c>
      <c r="N466">
        <v>-4.7497989999999999E-3</v>
      </c>
      <c r="O466">
        <v>-1.0415019999999999E-3</v>
      </c>
      <c r="P466">
        <v>0.99517389999999994</v>
      </c>
      <c r="Q466">
        <v>-9.5300659999999995E-2</v>
      </c>
      <c r="R466">
        <v>2.3381430000000002E-2</v>
      </c>
      <c r="S466">
        <v>3.0249630000000001</v>
      </c>
      <c r="T466">
        <v>3.9803619999999998E-2</v>
      </c>
      <c r="U466">
        <v>-0.28454590000000002</v>
      </c>
      <c r="V466">
        <v>-2.4535749999999999E-2</v>
      </c>
      <c r="W466">
        <v>-9.0540979999999993E-2</v>
      </c>
      <c r="X466">
        <v>0.99559039999999999</v>
      </c>
      <c r="Y466">
        <v>9.2610600000000001E-2</v>
      </c>
      <c r="Z466">
        <v>3.6889289999999999E-4</v>
      </c>
      <c r="AA466">
        <v>0.99570230000000004</v>
      </c>
      <c r="AB466">
        <v>38</v>
      </c>
      <c r="AC466">
        <v>267.97239999999999</v>
      </c>
      <c r="AD466">
        <v>3.5288870000000001</v>
      </c>
      <c r="AE466">
        <v>-25.226600000000001</v>
      </c>
      <c r="AF466">
        <v>24.943201770418899</v>
      </c>
      <c r="AG466">
        <v>3.5288870000000001</v>
      </c>
      <c r="AH466">
        <v>267.95246878546101</v>
      </c>
      <c r="AI466">
        <v>89.248715952111098</v>
      </c>
      <c r="AJ466">
        <v>84.681767629006401</v>
      </c>
      <c r="AK466">
        <v>269.13405932033498</v>
      </c>
      <c r="AL466">
        <v>95.194730245180097</v>
      </c>
      <c r="AM466">
        <v>91.411735613186195</v>
      </c>
      <c r="AN466">
        <v>0.99999995832979005</v>
      </c>
    </row>
    <row r="467" spans="1:40" x14ac:dyDescent="0.25">
      <c r="A467" t="str">
        <f>"20190305134918162"</f>
        <v>20190305134918162</v>
      </c>
      <c r="B467" t="str">
        <f>"1551764958151445"</f>
        <v>1551764958151445</v>
      </c>
      <c r="C467" t="s">
        <v>40</v>
      </c>
      <c r="D467">
        <v>4.0146199999999999</v>
      </c>
      <c r="E467">
        <v>0.54564159999999995</v>
      </c>
      <c r="F467" t="s">
        <v>53</v>
      </c>
      <c r="G467">
        <v>-156.46850000000001</v>
      </c>
      <c r="H467">
        <v>4.5180740000000004</v>
      </c>
      <c r="I467">
        <v>342.57150000000001</v>
      </c>
      <c r="J467">
        <v>-424.12279999999998</v>
      </c>
      <c r="K467">
        <v>1.0579430000000001</v>
      </c>
      <c r="L467">
        <v>367.8021</v>
      </c>
      <c r="M467">
        <v>0.99998770000000003</v>
      </c>
      <c r="N467">
        <v>-4.7709629999999996E-3</v>
      </c>
      <c r="O467">
        <v>-1.480512E-3</v>
      </c>
      <c r="P467">
        <v>0.99506919999999999</v>
      </c>
      <c r="Q467">
        <v>-9.6420199999999998E-2</v>
      </c>
      <c r="R467">
        <v>2.3252950000000001E-2</v>
      </c>
      <c r="S467">
        <v>3.024994</v>
      </c>
      <c r="T467">
        <v>3.9059280000000002E-2</v>
      </c>
      <c r="U467">
        <v>-0.28482059999999998</v>
      </c>
      <c r="V467">
        <v>-2.4846090000000001E-2</v>
      </c>
      <c r="W467">
        <v>-9.1639390000000001E-2</v>
      </c>
      <c r="X467">
        <v>0.99548230000000004</v>
      </c>
      <c r="Y467">
        <v>9.2262469999999999E-2</v>
      </c>
      <c r="Z467">
        <v>3.476121E-4</v>
      </c>
      <c r="AA467">
        <v>0.99573469999999997</v>
      </c>
      <c r="AB467">
        <v>38</v>
      </c>
      <c r="AC467">
        <v>267.65429999999998</v>
      </c>
      <c r="AD467">
        <v>3.4601310000000001</v>
      </c>
      <c r="AE467">
        <v>-25.2305999999999</v>
      </c>
      <c r="AF467">
        <v>24.830189354702501</v>
      </c>
      <c r="AG467">
        <v>3.4601310000000001</v>
      </c>
      <c r="AH467">
        <v>267.64702523445101</v>
      </c>
      <c r="AI467">
        <v>89.262490110735399</v>
      </c>
      <c r="AJ467">
        <v>84.699718664538096</v>
      </c>
      <c r="AK467">
        <v>268.81860227071002</v>
      </c>
      <c r="AL467">
        <v>95.257926715985107</v>
      </c>
      <c r="AM467">
        <v>91.429739737311095</v>
      </c>
      <c r="AN467">
        <v>1.0000000578005701</v>
      </c>
    </row>
    <row r="468" spans="1:40" x14ac:dyDescent="0.25">
      <c r="A468" t="str">
        <f>"20190305134918174"</f>
        <v>20190305134918174</v>
      </c>
      <c r="B468" t="str">
        <f>"1551764958170961"</f>
        <v>1551764958170961</v>
      </c>
      <c r="C468" t="s">
        <v>40</v>
      </c>
      <c r="D468">
        <v>3.9942169999999999</v>
      </c>
      <c r="E468">
        <v>0.54572449999999995</v>
      </c>
      <c r="F468" t="s">
        <v>53</v>
      </c>
      <c r="G468">
        <v>-156.4177</v>
      </c>
      <c r="H468">
        <v>4.1638359999999999</v>
      </c>
      <c r="I468">
        <v>342.64400000000001</v>
      </c>
      <c r="J468">
        <v>-423.91890000000001</v>
      </c>
      <c r="K468">
        <v>1.057936</v>
      </c>
      <c r="L468">
        <v>367.80149999999998</v>
      </c>
      <c r="M468">
        <v>0.99998710000000002</v>
      </c>
      <c r="N468">
        <v>-4.7845659999999996E-3</v>
      </c>
      <c r="O468">
        <v>-1.76166E-3</v>
      </c>
      <c r="P468">
        <v>0.9950386</v>
      </c>
      <c r="Q468">
        <v>-9.6742839999999997E-2</v>
      </c>
      <c r="R468">
        <v>2.322277E-2</v>
      </c>
      <c r="S468">
        <v>3.024902</v>
      </c>
      <c r="T468">
        <v>3.5094739999999999E-2</v>
      </c>
      <c r="U468">
        <v>-0.2842712</v>
      </c>
      <c r="V468">
        <v>-2.5096480000000001E-2</v>
      </c>
      <c r="W468">
        <v>-9.1948230000000006E-2</v>
      </c>
      <c r="X468">
        <v>0.99544750000000004</v>
      </c>
      <c r="Y468">
        <v>9.1807299999999994E-2</v>
      </c>
      <c r="Z468">
        <v>2.8246279999999998E-4</v>
      </c>
      <c r="AA468">
        <v>0.99577680000000002</v>
      </c>
      <c r="AB468">
        <v>38</v>
      </c>
      <c r="AC468">
        <v>267.50119999999998</v>
      </c>
      <c r="AD468">
        <v>3.1059000000000001</v>
      </c>
      <c r="AE468">
        <v>-25.157499999999899</v>
      </c>
      <c r="AF468">
        <v>24.682911108934199</v>
      </c>
      <c r="AG468">
        <v>3.1059000000000001</v>
      </c>
      <c r="AH468">
        <v>267.50935748821502</v>
      </c>
      <c r="AI468">
        <v>89.337614391645602</v>
      </c>
      <c r="AJ468">
        <v>84.7282830695775</v>
      </c>
      <c r="AK468">
        <v>268.66363553592299</v>
      </c>
      <c r="AL468">
        <v>95.275697180666697</v>
      </c>
      <c r="AM468">
        <v>91.444192535944097</v>
      </c>
      <c r="AN468">
        <v>1.00000001778238</v>
      </c>
    </row>
    <row r="469" spans="1:40" x14ac:dyDescent="0.25">
      <c r="A469" t="str">
        <f>"20190305134918195"</f>
        <v>20190305134918195</v>
      </c>
      <c r="B469" t="str">
        <f>"1551764958191457"</f>
        <v>1551764958191457</v>
      </c>
      <c r="C469" t="s">
        <v>40</v>
      </c>
      <c r="D469">
        <v>3.8309060000000001</v>
      </c>
      <c r="E469">
        <v>0.55939110000000003</v>
      </c>
      <c r="F469" t="s">
        <v>53</v>
      </c>
      <c r="G469">
        <v>-156.4683</v>
      </c>
      <c r="H469">
        <v>4.1655360000000003</v>
      </c>
      <c r="I469">
        <v>342.61169999999998</v>
      </c>
      <c r="J469">
        <v>-423.55520000000001</v>
      </c>
      <c r="K469">
        <v>1.0579179999999999</v>
      </c>
      <c r="L469">
        <v>367.8005</v>
      </c>
      <c r="M469">
        <v>0.99998600000000004</v>
      </c>
      <c r="N469">
        <v>-4.8089530000000004E-3</v>
      </c>
      <c r="O469">
        <v>-2.261955E-3</v>
      </c>
      <c r="P469">
        <v>0.99492009999999997</v>
      </c>
      <c r="Q469">
        <v>-9.7925810000000002E-2</v>
      </c>
      <c r="R469">
        <v>2.3336249999999999E-2</v>
      </c>
      <c r="S469">
        <v>3.0250240000000002</v>
      </c>
      <c r="T469">
        <v>3.5148859999999997E-2</v>
      </c>
      <c r="U469">
        <v>-0.284912099999999</v>
      </c>
      <c r="V469">
        <v>-2.5709820000000001E-2</v>
      </c>
      <c r="W469">
        <v>-9.3106599999999998E-2</v>
      </c>
      <c r="X469">
        <v>0.99532410000000004</v>
      </c>
      <c r="Y469">
        <v>9.1514540000000005E-2</v>
      </c>
      <c r="Z469">
        <v>2.7286649999999998E-4</v>
      </c>
      <c r="AA469">
        <v>0.99580369999999996</v>
      </c>
      <c r="AB469">
        <v>38</v>
      </c>
      <c r="AC469">
        <v>267.08690000000001</v>
      </c>
      <c r="AD469">
        <v>3.107618</v>
      </c>
      <c r="AE469">
        <v>-25.188800000000001</v>
      </c>
      <c r="AF469">
        <v>24.581291654458401</v>
      </c>
      <c r="AG469">
        <v>3.107618</v>
      </c>
      <c r="AH469">
        <v>267.10735146244002</v>
      </c>
      <c r="AI469">
        <v>89.336236005736396</v>
      </c>
      <c r="AJ469">
        <v>84.742007791674098</v>
      </c>
      <c r="AK469">
        <v>268.25404823471899</v>
      </c>
      <c r="AL469">
        <v>95.342353207988296</v>
      </c>
      <c r="AM469">
        <v>91.479655410593494</v>
      </c>
      <c r="AN469">
        <v>0.99999994892439903</v>
      </c>
    </row>
    <row r="470" spans="1:40" x14ac:dyDescent="0.25">
      <c r="A470" t="str">
        <f>"20190305134918207"</f>
        <v>20190305134918207</v>
      </c>
      <c r="B470" t="str">
        <f>"1551764958201217"</f>
        <v>1551764958201217</v>
      </c>
      <c r="C470" t="s">
        <v>40</v>
      </c>
      <c r="D470">
        <v>3.9897960000000001</v>
      </c>
      <c r="E470">
        <v>0.55939110000000003</v>
      </c>
      <c r="F470" t="s">
        <v>53</v>
      </c>
      <c r="G470">
        <v>-168.41849999999999</v>
      </c>
      <c r="H470">
        <v>55.486989999999999</v>
      </c>
      <c r="I470">
        <v>336.89780000000002</v>
      </c>
      <c r="J470">
        <v>-423.34980000000002</v>
      </c>
      <c r="K470">
        <v>1.057904</v>
      </c>
      <c r="L470">
        <v>367.79989999999998</v>
      </c>
      <c r="M470">
        <v>0.99998520000000002</v>
      </c>
      <c r="N470">
        <v>-4.822682E-3</v>
      </c>
      <c r="O470">
        <v>-2.5433389999999999E-3</v>
      </c>
      <c r="P470">
        <v>0.99489179999999999</v>
      </c>
      <c r="Q470">
        <v>-9.8293480000000003E-2</v>
      </c>
      <c r="R470">
        <v>2.2990429999999999E-2</v>
      </c>
      <c r="S470">
        <v>3.0889890000000002</v>
      </c>
      <c r="T470">
        <v>0.65898310000000004</v>
      </c>
      <c r="U470">
        <v>-0.37414550000000002</v>
      </c>
      <c r="V470">
        <v>-2.564394E-2</v>
      </c>
      <c r="W470">
        <v>-9.3460769999999999E-2</v>
      </c>
      <c r="X470">
        <v>0.99529270000000003</v>
      </c>
      <c r="Y470">
        <v>0.1152801</v>
      </c>
      <c r="Z470">
        <v>1.12882E-2</v>
      </c>
      <c r="AA470">
        <v>0.99326890000000001</v>
      </c>
      <c r="AB470">
        <v>38</v>
      </c>
      <c r="AC470">
        <v>254.93129999999999</v>
      </c>
      <c r="AD470">
        <v>54.429085999999998</v>
      </c>
      <c r="AE470">
        <v>-30.902099999999901</v>
      </c>
      <c r="AF470">
        <v>28.952927336263201</v>
      </c>
      <c r="AG470">
        <v>54.429085999999998</v>
      </c>
      <c r="AH470">
        <v>244.04550979081799</v>
      </c>
      <c r="AI470">
        <v>77.5119825879557</v>
      </c>
      <c r="AJ470">
        <v>83.234201315594404</v>
      </c>
      <c r="AK470">
        <v>251.71215356671701</v>
      </c>
      <c r="AL470">
        <v>95.362734021072399</v>
      </c>
      <c r="AM470">
        <v>91.475912094811704</v>
      </c>
      <c r="AN470">
        <v>1.0000000429305</v>
      </c>
    </row>
    <row r="471" spans="1:40" x14ac:dyDescent="0.25">
      <c r="A471" t="str">
        <f>"20190305134918219"</f>
        <v>20190305134918219</v>
      </c>
      <c r="B471" t="str">
        <f>"1551764958210977"</f>
        <v>1551764958210977</v>
      </c>
      <c r="C471" t="s">
        <v>40</v>
      </c>
      <c r="D471">
        <v>4.0388400000000004</v>
      </c>
      <c r="E471">
        <v>0.54547690000000004</v>
      </c>
      <c r="F471" t="s">
        <v>53</v>
      </c>
      <c r="G471">
        <v>-168.41839999999999</v>
      </c>
      <c r="H471">
        <v>55.340420000000002</v>
      </c>
      <c r="I471">
        <v>336.8467</v>
      </c>
      <c r="J471">
        <v>-423.14280000000002</v>
      </c>
      <c r="K471">
        <v>1.0578970000000001</v>
      </c>
      <c r="L471">
        <v>367.79919999999998</v>
      </c>
      <c r="M471">
        <v>0.9999844</v>
      </c>
      <c r="N471">
        <v>-4.8364790000000003E-3</v>
      </c>
      <c r="O471">
        <v>-2.8244799999999999E-3</v>
      </c>
      <c r="P471">
        <v>0.99486110000000005</v>
      </c>
      <c r="Q471">
        <v>-9.8629439999999999E-2</v>
      </c>
      <c r="R471">
        <v>2.2886420000000001E-2</v>
      </c>
      <c r="S471">
        <v>3.0890200000000001</v>
      </c>
      <c r="T471">
        <v>0.65774460000000001</v>
      </c>
      <c r="U471">
        <v>-0.37506099999999998</v>
      </c>
      <c r="V471">
        <v>-2.5820650000000001E-2</v>
      </c>
      <c r="W471">
        <v>-9.3782909999999997E-2</v>
      </c>
      <c r="X471">
        <v>0.99525779999999997</v>
      </c>
      <c r="Y471">
        <v>0.1153054</v>
      </c>
      <c r="Z471">
        <v>1.1208020000000001E-2</v>
      </c>
      <c r="AA471">
        <v>0.99326689999999995</v>
      </c>
      <c r="AB471">
        <v>38</v>
      </c>
      <c r="AC471">
        <v>254.7244</v>
      </c>
      <c r="AD471">
        <v>54.282522999999998</v>
      </c>
      <c r="AE471">
        <v>-30.952499999999901</v>
      </c>
      <c r="AF471">
        <v>28.937874137595099</v>
      </c>
      <c r="AG471">
        <v>54.282522999999998</v>
      </c>
      <c r="AH471">
        <v>243.89595814451599</v>
      </c>
      <c r="AI471">
        <v>77.537175422837606</v>
      </c>
      <c r="AJ471">
        <v>83.233578335714597</v>
      </c>
      <c r="AK471">
        <v>251.53375769880401</v>
      </c>
      <c r="AL471">
        <v>95.381272862260403</v>
      </c>
      <c r="AM471">
        <v>91.486130010306496</v>
      </c>
      <c r="AN471">
        <v>1.0000000143176599</v>
      </c>
    </row>
    <row r="472" spans="1:40" x14ac:dyDescent="0.25">
      <c r="A472" t="str">
        <f>"20190305134918231"</f>
        <v>20190305134918231</v>
      </c>
      <c r="B472" t="str">
        <f>"1551764958221713"</f>
        <v>1551764958221713</v>
      </c>
      <c r="C472" t="s">
        <v>40</v>
      </c>
      <c r="D472">
        <v>4.0261319999999996</v>
      </c>
      <c r="E472">
        <v>0.54588199999999998</v>
      </c>
      <c r="F472" t="s">
        <v>53</v>
      </c>
      <c r="G472">
        <v>-154.5538</v>
      </c>
      <c r="H472">
        <v>4.7643620000000002</v>
      </c>
      <c r="I472">
        <v>342.64400000000001</v>
      </c>
      <c r="J472">
        <v>-422.94060000000002</v>
      </c>
      <c r="K472">
        <v>1.0578890000000001</v>
      </c>
      <c r="L472">
        <v>367.79840000000002</v>
      </c>
      <c r="M472">
        <v>0.99998350000000003</v>
      </c>
      <c r="N472">
        <v>-4.8499650000000004E-3</v>
      </c>
      <c r="O472">
        <v>-3.0976290000000002E-3</v>
      </c>
      <c r="P472">
        <v>0.99483880000000002</v>
      </c>
      <c r="Q472">
        <v>-9.8902959999999998E-2</v>
      </c>
      <c r="R472">
        <v>2.267624E-2</v>
      </c>
      <c r="S472">
        <v>3.0261230000000001</v>
      </c>
      <c r="T472">
        <v>4.1759850000000001E-2</v>
      </c>
      <c r="U472">
        <v>-0.28341670000000002</v>
      </c>
      <c r="V472">
        <v>-2.5882180000000001E-2</v>
      </c>
      <c r="W472">
        <v>-9.4043050000000003E-2</v>
      </c>
      <c r="X472">
        <v>0.99523159999999999</v>
      </c>
      <c r="Y472">
        <v>9.0159059999999999E-2</v>
      </c>
      <c r="Z472">
        <v>3.4394090000000003E-4</v>
      </c>
      <c r="AA472">
        <v>0.99592729999999996</v>
      </c>
      <c r="AB472">
        <v>38</v>
      </c>
      <c r="AC472">
        <v>268.38679999999999</v>
      </c>
      <c r="AD472">
        <v>3.7064729999999999</v>
      </c>
      <c r="AE472">
        <v>-25.154399999999999</v>
      </c>
      <c r="AF472">
        <v>24.318309216360898</v>
      </c>
      <c r="AG472">
        <v>3.7064729999999999</v>
      </c>
      <c r="AH472">
        <v>268.412685982249</v>
      </c>
      <c r="AI472">
        <v>89.2120876764792</v>
      </c>
      <c r="AJ472">
        <v>84.823110646572999</v>
      </c>
      <c r="AK472">
        <v>269.537544882801</v>
      </c>
      <c r="AL472">
        <v>95.396244245875295</v>
      </c>
      <c r="AM472">
        <v>91.489709027908106</v>
      </c>
      <c r="AN472">
        <v>0.999999960066706</v>
      </c>
    </row>
    <row r="473" spans="1:40" x14ac:dyDescent="0.25">
      <c r="A473" t="str">
        <f>"20190305134918242"</f>
        <v>20190305134918242</v>
      </c>
      <c r="B473" t="str">
        <f>"1551764958231474"</f>
        <v>1551764958231474</v>
      </c>
      <c r="C473" t="s">
        <v>40</v>
      </c>
      <c r="D473">
        <v>4.0110910000000004</v>
      </c>
      <c r="E473">
        <v>0.545608599999999</v>
      </c>
      <c r="F473" t="s">
        <v>53</v>
      </c>
      <c r="G473">
        <v>-156.46860000000001</v>
      </c>
      <c r="H473">
        <v>4.8992809999999896</v>
      </c>
      <c r="I473">
        <v>342.5111</v>
      </c>
      <c r="J473">
        <v>-422.75069999999999</v>
      </c>
      <c r="K473">
        <v>1.0578809999999901</v>
      </c>
      <c r="L473">
        <v>367.79759999999999</v>
      </c>
      <c r="M473">
        <v>0.99998260000000005</v>
      </c>
      <c r="N473">
        <v>-4.8627100000000001E-3</v>
      </c>
      <c r="O473">
        <v>-3.3483470000000002E-3</v>
      </c>
      <c r="P473">
        <v>0.99481319999999995</v>
      </c>
      <c r="Q473">
        <v>-9.9176410000000007E-2</v>
      </c>
      <c r="R473">
        <v>2.2604849999999999E-2</v>
      </c>
      <c r="S473">
        <v>3.026459</v>
      </c>
      <c r="T473">
        <v>4.3628689999999998E-2</v>
      </c>
      <c r="U473">
        <v>-0.28720089999999998</v>
      </c>
      <c r="V473">
        <v>-2.6060440000000001E-2</v>
      </c>
      <c r="W473">
        <v>-9.4303880000000007E-2</v>
      </c>
      <c r="X473">
        <v>0.99520229999999998</v>
      </c>
      <c r="Y473">
        <v>9.1132749999999998E-2</v>
      </c>
      <c r="Z473">
        <v>3.6888470000000001E-4</v>
      </c>
      <c r="AA473">
        <v>0.99583869999999997</v>
      </c>
      <c r="AB473">
        <v>38</v>
      </c>
      <c r="AC473">
        <v>266.28210000000001</v>
      </c>
      <c r="AD473">
        <v>3.8413999999999899</v>
      </c>
      <c r="AE473">
        <v>-25.286499999999901</v>
      </c>
      <c r="AF473">
        <v>24.3897124548463</v>
      </c>
      <c r="AG473">
        <v>3.8413999999999899</v>
      </c>
      <c r="AH473">
        <v>266.310349421767</v>
      </c>
      <c r="AI473">
        <v>89.177036628575706</v>
      </c>
      <c r="AJ473">
        <v>84.767232598309704</v>
      </c>
      <c r="AK473">
        <v>267.45245677827302</v>
      </c>
      <c r="AL473">
        <v>95.411255237885399</v>
      </c>
      <c r="AM473">
        <v>91.500008665938395</v>
      </c>
      <c r="AN473">
        <v>0.99999999312066901</v>
      </c>
    </row>
    <row r="474" spans="1:40" x14ac:dyDescent="0.25">
      <c r="A474" t="str">
        <f>"20190305134918254"</f>
        <v>20190305134918254</v>
      </c>
      <c r="B474" t="str">
        <f>"1551764958250994"</f>
        <v>1551764958250994</v>
      </c>
      <c r="C474" t="s">
        <v>40</v>
      </c>
      <c r="D474">
        <v>3.975438</v>
      </c>
      <c r="E474">
        <v>0.54522230000000005</v>
      </c>
      <c r="F474" t="s">
        <v>53</v>
      </c>
      <c r="G474">
        <v>-155.81120000000001</v>
      </c>
      <c r="H474">
        <v>5.2148640000000004</v>
      </c>
      <c r="I474">
        <v>342.64400000000001</v>
      </c>
      <c r="J474">
        <v>-422.54259999999999</v>
      </c>
      <c r="K474">
        <v>1.057879</v>
      </c>
      <c r="L474">
        <v>367.79680000000002</v>
      </c>
      <c r="M474">
        <v>0.99998160000000003</v>
      </c>
      <c r="N474">
        <v>-4.8766840000000001E-3</v>
      </c>
      <c r="O474">
        <v>-3.6193240000000002E-3</v>
      </c>
      <c r="P474">
        <v>0.99473310000000004</v>
      </c>
      <c r="Q474">
        <v>-0.1000417</v>
      </c>
      <c r="R474">
        <v>2.2315740000000001E-2</v>
      </c>
      <c r="S474">
        <v>3.0268250000000001</v>
      </c>
      <c r="T474">
        <v>4.7136070000000002E-2</v>
      </c>
      <c r="U474">
        <v>-0.28521729999999901</v>
      </c>
      <c r="V474">
        <v>-2.604076E-2</v>
      </c>
      <c r="W474">
        <v>-9.5155950000000003E-2</v>
      </c>
      <c r="X474">
        <v>0.9951217</v>
      </c>
      <c r="Y474">
        <v>9.0203610000000004E-2</v>
      </c>
      <c r="Z474">
        <v>4.0647889999999998E-4</v>
      </c>
      <c r="AA474">
        <v>0.99592329999999996</v>
      </c>
      <c r="AB474">
        <v>38</v>
      </c>
      <c r="AC474">
        <v>266.73140000000001</v>
      </c>
      <c r="AD474">
        <v>4.1569849999999997</v>
      </c>
      <c r="AE474">
        <v>-25.152799999999999</v>
      </c>
      <c r="AF474">
        <v>24.181414812041101</v>
      </c>
      <c r="AG474">
        <v>4.1569849999999997</v>
      </c>
      <c r="AH474">
        <v>266.75646889941999</v>
      </c>
      <c r="AI474">
        <v>89.110851757391899</v>
      </c>
      <c r="AJ474">
        <v>84.820307161773599</v>
      </c>
      <c r="AK474">
        <v>267.88250231452099</v>
      </c>
      <c r="AL474">
        <v>95.460295823503003</v>
      </c>
      <c r="AM474">
        <v>91.498997771212103</v>
      </c>
      <c r="AN474">
        <v>0.99999998690633496</v>
      </c>
    </row>
    <row r="475" spans="1:40" x14ac:dyDescent="0.25">
      <c r="A475" t="str">
        <f>"20190305134918266"</f>
        <v>20190305134918266</v>
      </c>
      <c r="B475" t="str">
        <f>"1551764958261729"</f>
        <v>1551764958261729</v>
      </c>
      <c r="C475" t="s">
        <v>40</v>
      </c>
      <c r="D475">
        <v>3.9963669999999998</v>
      </c>
      <c r="E475">
        <v>0.54509129999999995</v>
      </c>
      <c r="F475" t="s">
        <v>53</v>
      </c>
      <c r="G475">
        <v>-149.96709999999999</v>
      </c>
      <c r="H475">
        <v>5.2294850000000004</v>
      </c>
      <c r="I475">
        <v>342.3134</v>
      </c>
      <c r="J475">
        <v>-422.33679999999998</v>
      </c>
      <c r="K475">
        <v>1.057877</v>
      </c>
      <c r="L475">
        <v>367.79579999999999</v>
      </c>
      <c r="M475">
        <v>0.9999806</v>
      </c>
      <c r="N475">
        <v>-4.8905210000000001E-3</v>
      </c>
      <c r="O475">
        <v>-3.88099E-3</v>
      </c>
      <c r="P475">
        <v>0.99468639999999997</v>
      </c>
      <c r="Q475">
        <v>-0.1005673</v>
      </c>
      <c r="R475">
        <v>2.203221E-2</v>
      </c>
      <c r="S475">
        <v>3.0269170000000001</v>
      </c>
      <c r="T475">
        <v>4.6325209999999999E-2</v>
      </c>
      <c r="U475">
        <v>-0.2829895</v>
      </c>
      <c r="V475">
        <v>-2.60167E-2</v>
      </c>
      <c r="W475">
        <v>-9.5668390000000006E-2</v>
      </c>
      <c r="X475">
        <v>0.99507319999999999</v>
      </c>
      <c r="Y475">
        <v>8.9213970000000004E-2</v>
      </c>
      <c r="Z475">
        <v>3.8432419999999998E-4</v>
      </c>
      <c r="AA475">
        <v>0.99601240000000002</v>
      </c>
      <c r="AB475">
        <v>38</v>
      </c>
      <c r="AC475">
        <v>272.36970000000002</v>
      </c>
      <c r="AD475">
        <v>4.1716079999999902</v>
      </c>
      <c r="AE475">
        <v>-25.482399999999899</v>
      </c>
      <c r="AF475">
        <v>24.419452868454002</v>
      </c>
      <c r="AG475">
        <v>4.1716079999999902</v>
      </c>
      <c r="AH475">
        <v>272.40320119167802</v>
      </c>
      <c r="AI475">
        <v>89.126139337770596</v>
      </c>
      <c r="AJ475">
        <v>84.877440216432106</v>
      </c>
      <c r="AK475">
        <v>273.52735879829999</v>
      </c>
      <c r="AL475">
        <v>95.489791010016901</v>
      </c>
      <c r="AM475">
        <v>91.497686384614397</v>
      </c>
      <c r="AN475">
        <v>0.99999999144116103</v>
      </c>
    </row>
    <row r="476" spans="1:40" x14ac:dyDescent="0.25">
      <c r="A476" t="str">
        <f>"20190305134918285"</f>
        <v>20190305134918285</v>
      </c>
      <c r="B476" t="str">
        <f>"1551764958281249"</f>
        <v>1551764958281249</v>
      </c>
      <c r="C476" t="s">
        <v>40</v>
      </c>
      <c r="D476">
        <v>4.0204019999999998</v>
      </c>
      <c r="E476">
        <v>0.54535279999999997</v>
      </c>
      <c r="F476" t="s">
        <v>53</v>
      </c>
      <c r="G476">
        <v>-149.96709999999999</v>
      </c>
      <c r="H476">
        <v>5.2663129999999896</v>
      </c>
      <c r="I476">
        <v>342.39260000000002</v>
      </c>
      <c r="J476">
        <v>-422.0102</v>
      </c>
      <c r="K476">
        <v>1.057879</v>
      </c>
      <c r="L476">
        <v>367.79430000000002</v>
      </c>
      <c r="M476">
        <v>0.99997879999999995</v>
      </c>
      <c r="N476">
        <v>-4.9124939999999999E-3</v>
      </c>
      <c r="O476">
        <v>-4.2782860000000001E-3</v>
      </c>
      <c r="P476">
        <v>0.99459819999999999</v>
      </c>
      <c r="Q476">
        <v>-0.101573</v>
      </c>
      <c r="R476">
        <v>2.1388799999999999E-2</v>
      </c>
      <c r="S476">
        <v>3.0269780000000002</v>
      </c>
      <c r="T476">
        <v>4.6770449999999998E-2</v>
      </c>
      <c r="U476">
        <v>-0.28231810000000002</v>
      </c>
      <c r="V476">
        <v>-2.576608E-2</v>
      </c>
      <c r="W476">
        <v>-9.6653790000000003E-2</v>
      </c>
      <c r="X476">
        <v>0.99498450000000005</v>
      </c>
      <c r="Y476">
        <v>8.8597350000000005E-2</v>
      </c>
      <c r="Z476">
        <v>3.779217E-4</v>
      </c>
      <c r="AA476">
        <v>0.99606749999999999</v>
      </c>
      <c r="AB476">
        <v>38</v>
      </c>
      <c r="AC476">
        <v>272.04309999999998</v>
      </c>
      <c r="AD476">
        <v>4.2084339999999996</v>
      </c>
      <c r="AE476">
        <v>-25.401700000000002</v>
      </c>
      <c r="AF476">
        <v>24.231826452106102</v>
      </c>
      <c r="AG476">
        <v>4.2084339999999996</v>
      </c>
      <c r="AH476">
        <v>272.084736755444</v>
      </c>
      <c r="AI476">
        <v>89.117348887225603</v>
      </c>
      <c r="AJ476">
        <v>84.910673597800496</v>
      </c>
      <c r="AK476">
        <v>273.194063451636</v>
      </c>
      <c r="AL476">
        <v>95.546513085499598</v>
      </c>
      <c r="AM476">
        <v>91.483397752847694</v>
      </c>
      <c r="AN476">
        <v>1.00000000062009</v>
      </c>
    </row>
    <row r="477" spans="1:40" x14ac:dyDescent="0.25">
      <c r="A477" t="str">
        <f>"20190305134918299"</f>
        <v>20190305134918299</v>
      </c>
      <c r="B477" t="str">
        <f>"1551764958291010"</f>
        <v>1551764958291010</v>
      </c>
      <c r="C477" t="s">
        <v>40</v>
      </c>
      <c r="D477">
        <v>4.0306709999999999</v>
      </c>
      <c r="E477">
        <v>0.545346</v>
      </c>
      <c r="F477" t="s">
        <v>53</v>
      </c>
      <c r="G477">
        <v>-156.25909999999999</v>
      </c>
      <c r="H477">
        <v>5.5181809999999896</v>
      </c>
      <c r="I477">
        <v>342.64400000000001</v>
      </c>
      <c r="J477">
        <v>-421.77319999999997</v>
      </c>
      <c r="K477">
        <v>1.0578860000000001</v>
      </c>
      <c r="L477">
        <v>367.79309999999998</v>
      </c>
      <c r="M477">
        <v>0.99997749999999996</v>
      </c>
      <c r="N477">
        <v>-4.9284730000000001E-3</v>
      </c>
      <c r="O477">
        <v>-4.5497940000000002E-3</v>
      </c>
      <c r="P477">
        <v>0.99456880000000003</v>
      </c>
      <c r="Q477">
        <v>-0.1019119</v>
      </c>
      <c r="R477">
        <v>2.1147570000000001E-2</v>
      </c>
      <c r="S477">
        <v>3.0276179999999999</v>
      </c>
      <c r="T477">
        <v>5.0814869999999998E-2</v>
      </c>
      <c r="U477">
        <v>-0.28652949999999999</v>
      </c>
      <c r="V477">
        <v>-2.5792309999999999E-2</v>
      </c>
      <c r="W477">
        <v>-9.6977670000000002E-2</v>
      </c>
      <c r="X477">
        <v>0.99495230000000001</v>
      </c>
      <c r="Y477">
        <v>8.967928E-2</v>
      </c>
      <c r="Z477">
        <v>4.3079670000000002E-4</v>
      </c>
      <c r="AA477">
        <v>0.99597060000000004</v>
      </c>
      <c r="AB477">
        <v>39</v>
      </c>
      <c r="AC477">
        <v>265.51409999999998</v>
      </c>
      <c r="AD477">
        <v>4.4602950000000003</v>
      </c>
      <c r="AE477">
        <v>-25.149099999999901</v>
      </c>
      <c r="AF477">
        <v>23.934096487499499</v>
      </c>
      <c r="AG477">
        <v>4.4602950000000003</v>
      </c>
      <c r="AH477">
        <v>265.55150494443302</v>
      </c>
      <c r="AI477">
        <v>89.041614797094198</v>
      </c>
      <c r="AJ477">
        <v>84.849859905419805</v>
      </c>
      <c r="AK477">
        <v>266.66521517515798</v>
      </c>
      <c r="AL477">
        <v>95.565157657238998</v>
      </c>
      <c r="AM477">
        <v>91.484955218589306</v>
      </c>
      <c r="AN477">
        <v>0.99999999550452701</v>
      </c>
    </row>
    <row r="478" spans="1:40" x14ac:dyDescent="0.25">
      <c r="A478" t="str">
        <f>"20190305134918313"</f>
        <v>20190305134918313</v>
      </c>
      <c r="B478" t="str">
        <f>"1551764958301746"</f>
        <v>1551764958301746</v>
      </c>
      <c r="C478" t="s">
        <v>40</v>
      </c>
      <c r="D478">
        <v>3.8821639999999999</v>
      </c>
      <c r="E478">
        <v>0.545346</v>
      </c>
      <c r="F478" t="s">
        <v>53</v>
      </c>
      <c r="G478">
        <v>-156.46879999999999</v>
      </c>
      <c r="H478">
        <v>5.6126469999999999</v>
      </c>
      <c r="I478">
        <v>342.6173</v>
      </c>
      <c r="J478">
        <v>-421.52280000000002</v>
      </c>
      <c r="K478">
        <v>1.0578959999999999</v>
      </c>
      <c r="L478">
        <v>367.79169999999999</v>
      </c>
      <c r="M478">
        <v>0.99997619999999998</v>
      </c>
      <c r="N478">
        <v>-4.9454199999999999E-3</v>
      </c>
      <c r="O478">
        <v>-4.8223509999999999E-3</v>
      </c>
      <c r="P478">
        <v>0.99451900000000004</v>
      </c>
      <c r="Q478">
        <v>-0.1024916</v>
      </c>
      <c r="R478">
        <v>2.0681370000000001E-2</v>
      </c>
      <c r="S478">
        <v>3.0278320000000001</v>
      </c>
      <c r="T478">
        <v>5.1982050000000002E-2</v>
      </c>
      <c r="U478">
        <v>-0.287323</v>
      </c>
      <c r="V478">
        <v>-2.5593999999999999E-2</v>
      </c>
      <c r="W478">
        <v>-9.7542089999999998E-2</v>
      </c>
      <c r="X478">
        <v>0.99490230000000002</v>
      </c>
      <c r="Y478">
        <v>8.9659530000000001E-2</v>
      </c>
      <c r="Z478">
        <v>4.3925970000000003E-4</v>
      </c>
      <c r="AA478">
        <v>0.99597239999999998</v>
      </c>
      <c r="AB478">
        <v>39</v>
      </c>
      <c r="AC478">
        <v>265.05399999999997</v>
      </c>
      <c r="AD478">
        <v>4.5547510000000004</v>
      </c>
      <c r="AE478">
        <v>-25.174399999999899</v>
      </c>
      <c r="AF478">
        <v>23.888917011849198</v>
      </c>
      <c r="AG478">
        <v>4.5547510000000004</v>
      </c>
      <c r="AH478">
        <v>265.09473715852403</v>
      </c>
      <c r="AI478">
        <v>89.019635615850703</v>
      </c>
      <c r="AJ478">
        <v>84.850719852759099</v>
      </c>
      <c r="AK478">
        <v>266.20789954811198</v>
      </c>
      <c r="AL478">
        <v>95.597650287688893</v>
      </c>
      <c r="AM478">
        <v>91.473616880375801</v>
      </c>
      <c r="AN478">
        <v>1.0000000493514201</v>
      </c>
    </row>
    <row r="479" spans="1:40" x14ac:dyDescent="0.25">
      <c r="A479" t="str">
        <f>"20190305134918331"</f>
        <v>20190305134918331</v>
      </c>
      <c r="B479" t="str">
        <f>"1551764958321265"</f>
        <v>1551764958321265</v>
      </c>
      <c r="C479" t="s">
        <v>40</v>
      </c>
      <c r="D479">
        <v>4.0378860000000003</v>
      </c>
      <c r="E479">
        <v>0.54576230000000003</v>
      </c>
      <c r="F479" t="s">
        <v>53</v>
      </c>
      <c r="G479">
        <v>-156.46879999999999</v>
      </c>
      <c r="H479">
        <v>5.4453239999999896</v>
      </c>
      <c r="I479">
        <v>342.52640000000002</v>
      </c>
      <c r="J479">
        <v>-421.21170000000001</v>
      </c>
      <c r="K479">
        <v>1.0579149999999999</v>
      </c>
      <c r="L479">
        <v>367.79</v>
      </c>
      <c r="M479">
        <v>0.99997469999999999</v>
      </c>
      <c r="N479">
        <v>-4.9666370000000003E-3</v>
      </c>
      <c r="O479">
        <v>-5.1319249999999999E-3</v>
      </c>
      <c r="P479">
        <v>0.99442710000000001</v>
      </c>
      <c r="Q479">
        <v>-0.1034987</v>
      </c>
      <c r="R479">
        <v>2.0076750000000001E-2</v>
      </c>
      <c r="S479">
        <v>3.0277099999999999</v>
      </c>
      <c r="T479">
        <v>5.011761E-2</v>
      </c>
      <c r="U479">
        <v>-0.28860469999999999</v>
      </c>
      <c r="V479">
        <v>-2.5291230000000001E-2</v>
      </c>
      <c r="W479">
        <v>-9.8530560000000003E-2</v>
      </c>
      <c r="X479">
        <v>0.99481260000000005</v>
      </c>
      <c r="Y479">
        <v>8.9773619999999998E-2</v>
      </c>
      <c r="Z479">
        <v>4.0765160000000002E-4</v>
      </c>
      <c r="AA479">
        <v>0.99596209999999996</v>
      </c>
      <c r="AB479">
        <v>39</v>
      </c>
      <c r="AC479">
        <v>264.74290000000002</v>
      </c>
      <c r="AD479">
        <v>4.3874089999999999</v>
      </c>
      <c r="AE479">
        <v>-25.2636</v>
      </c>
      <c r="AF479">
        <v>23.8981059166926</v>
      </c>
      <c r="AG479">
        <v>4.3874089999999999</v>
      </c>
      <c r="AH479">
        <v>264.79699793378097</v>
      </c>
      <c r="AI479">
        <v>89.054597512126094</v>
      </c>
      <c r="AJ479">
        <v>84.842988948708296</v>
      </c>
      <c r="AK479">
        <v>265.90941867275399</v>
      </c>
      <c r="AL479">
        <v>95.654559792086005</v>
      </c>
      <c r="AM479">
        <v>91.456323192673906</v>
      </c>
      <c r="AN479">
        <v>1.0000000133437901</v>
      </c>
    </row>
    <row r="480" spans="1:40" x14ac:dyDescent="0.25">
      <c r="A480" t="str">
        <f>"20190305134918342"</f>
        <v>20190305134918342</v>
      </c>
      <c r="B480" t="str">
        <f>"1551764958331026"</f>
        <v>1551764958331026</v>
      </c>
      <c r="C480" t="s">
        <v>40</v>
      </c>
      <c r="D480">
        <v>4.0424730000000002</v>
      </c>
      <c r="E480">
        <v>0.5456995</v>
      </c>
      <c r="F480" t="s">
        <v>53</v>
      </c>
      <c r="G480">
        <v>-162.0968</v>
      </c>
      <c r="H480">
        <v>5.34999</v>
      </c>
      <c r="I480">
        <v>342.64389999999997</v>
      </c>
      <c r="J480">
        <v>-421.0016</v>
      </c>
      <c r="K480">
        <v>1.057931</v>
      </c>
      <c r="L480">
        <v>367.78879999999998</v>
      </c>
      <c r="M480">
        <v>0.99997360000000002</v>
      </c>
      <c r="N480">
        <v>-4.9809160000000002E-3</v>
      </c>
      <c r="O480">
        <v>-5.3165879999999997E-3</v>
      </c>
      <c r="P480">
        <v>0.99437529999999996</v>
      </c>
      <c r="Q480">
        <v>-0.10405159999999999</v>
      </c>
      <c r="R480">
        <v>1.9781779999999999E-2</v>
      </c>
      <c r="S480">
        <v>3.0279850000000001</v>
      </c>
      <c r="T480">
        <v>5.015671E-2</v>
      </c>
      <c r="U480">
        <v>-0.2938538</v>
      </c>
      <c r="V480">
        <v>-2.5175070000000001E-2</v>
      </c>
      <c r="W480">
        <v>-9.9070820000000004E-2</v>
      </c>
      <c r="X480">
        <v>0.99476189999999998</v>
      </c>
      <c r="Y480">
        <v>9.1291620000000004E-2</v>
      </c>
      <c r="Z480">
        <v>4.1210200000000002E-4</v>
      </c>
      <c r="AA480">
        <v>0.99582409999999999</v>
      </c>
      <c r="AB480">
        <v>39</v>
      </c>
      <c r="AC480">
        <v>258.90480000000002</v>
      </c>
      <c r="AD480">
        <v>4.2920590000000001</v>
      </c>
      <c r="AE480">
        <v>-25.1449</v>
      </c>
      <c r="AF480">
        <v>23.7615683993263</v>
      </c>
      <c r="AG480">
        <v>4.2920590000000001</v>
      </c>
      <c r="AH480">
        <v>258.96432346187402</v>
      </c>
      <c r="AI480">
        <v>89.054441510680107</v>
      </c>
      <c r="AJ480">
        <v>84.757439878835697</v>
      </c>
      <c r="AK480">
        <v>260.08759049466602</v>
      </c>
      <c r="AL480">
        <v>95.685666543756298</v>
      </c>
      <c r="AM480">
        <v>91.449711163864706</v>
      </c>
      <c r="AN480">
        <v>1.0000000246082901</v>
      </c>
    </row>
    <row r="481" spans="1:40" x14ac:dyDescent="0.25">
      <c r="A481" t="str">
        <f>"20190305134918355"</f>
        <v>20190305134918355</v>
      </c>
      <c r="B481" t="str">
        <f>"1551764958351522"</f>
        <v>1551764958351522</v>
      </c>
      <c r="C481" t="s">
        <v>40</v>
      </c>
      <c r="D481">
        <v>4.1031769999999996</v>
      </c>
      <c r="E481">
        <v>0.54584769999999905</v>
      </c>
      <c r="F481" t="s">
        <v>53</v>
      </c>
      <c r="G481">
        <v>-162.27529999999999</v>
      </c>
      <c r="H481">
        <v>5.2398889999999998</v>
      </c>
      <c r="I481">
        <v>342.64389999999997</v>
      </c>
      <c r="J481">
        <v>-420.79480000000001</v>
      </c>
      <c r="K481">
        <v>1.057947</v>
      </c>
      <c r="L481">
        <v>367.7876</v>
      </c>
      <c r="M481">
        <v>0.99997250000000004</v>
      </c>
      <c r="N481">
        <v>-4.9950120000000001E-3</v>
      </c>
      <c r="O481">
        <v>-5.4869419999999999E-3</v>
      </c>
      <c r="P481">
        <v>0.99433389999999999</v>
      </c>
      <c r="Q481">
        <v>-0.1045546</v>
      </c>
      <c r="R481">
        <v>1.9196250000000002E-2</v>
      </c>
      <c r="S481">
        <v>3.0279850000000001</v>
      </c>
      <c r="T481">
        <v>4.8943279999999999E-2</v>
      </c>
      <c r="U481">
        <v>-0.29428100000000001</v>
      </c>
      <c r="V481">
        <v>-2.4754539999999998E-2</v>
      </c>
      <c r="W481">
        <v>-9.9561789999999997E-2</v>
      </c>
      <c r="X481">
        <v>0.99472340000000004</v>
      </c>
      <c r="Y481">
        <v>9.1261679999999998E-2</v>
      </c>
      <c r="Z481">
        <v>3.9149479999999999E-4</v>
      </c>
      <c r="AA481">
        <v>0.99582680000000001</v>
      </c>
      <c r="AB481">
        <v>39</v>
      </c>
      <c r="AC481">
        <v>258.51949999999999</v>
      </c>
      <c r="AD481">
        <v>4.1819419999999896</v>
      </c>
      <c r="AE481">
        <v>-25.143699999999999</v>
      </c>
      <c r="AF481">
        <v>23.7186738113964</v>
      </c>
      <c r="AG481">
        <v>4.1819419999999896</v>
      </c>
      <c r="AH481">
        <v>258.58653940349598</v>
      </c>
      <c r="AI481">
        <v>89.077348084007497</v>
      </c>
      <c r="AJ481">
        <v>84.759248331880002</v>
      </c>
      <c r="AK481">
        <v>259.70572286135399</v>
      </c>
      <c r="AL481">
        <v>95.7139370219368</v>
      </c>
      <c r="AM481">
        <v>91.425560091510704</v>
      </c>
      <c r="AN481">
        <v>0.99999998989308703</v>
      </c>
    </row>
    <row r="482" spans="1:40" x14ac:dyDescent="0.25">
      <c r="A482" t="str">
        <f>"20190305134918368"</f>
        <v>20190305134918368</v>
      </c>
      <c r="B482" t="str">
        <f>"1551764958361282"</f>
        <v>1551764958361282</v>
      </c>
      <c r="C482" t="s">
        <v>40</v>
      </c>
      <c r="D482">
        <v>4.0622819999999997</v>
      </c>
      <c r="E482">
        <v>0.54585159999999999</v>
      </c>
      <c r="F482" t="s">
        <v>53</v>
      </c>
      <c r="G482">
        <v>-162.62899999999999</v>
      </c>
      <c r="H482">
        <v>5.2296839999999998</v>
      </c>
      <c r="I482">
        <v>342.46039999999999</v>
      </c>
      <c r="J482">
        <v>-420.55869999999999</v>
      </c>
      <c r="K482">
        <v>1.0579700000000001</v>
      </c>
      <c r="L482">
        <v>367.78620000000001</v>
      </c>
      <c r="M482">
        <v>0.99997139999999995</v>
      </c>
      <c r="N482">
        <v>-5.0111349999999999E-3</v>
      </c>
      <c r="O482">
        <v>-5.6643040000000002E-3</v>
      </c>
      <c r="P482">
        <v>0.9942995</v>
      </c>
      <c r="Q482">
        <v>-0.1049366</v>
      </c>
      <c r="R482">
        <v>1.888569E-2</v>
      </c>
      <c r="S482">
        <v>3.0279850000000001</v>
      </c>
      <c r="T482">
        <v>4.8929689999999998E-2</v>
      </c>
      <c r="U482">
        <v>-0.29705809999999999</v>
      </c>
      <c r="V482">
        <v>-2.4613699999999999E-2</v>
      </c>
      <c r="W482">
        <v>-9.9929569999999995E-2</v>
      </c>
      <c r="X482">
        <v>0.99468999999999996</v>
      </c>
      <c r="Y482">
        <v>9.1989719999999997E-2</v>
      </c>
      <c r="Z482">
        <v>3.9074539999999999E-4</v>
      </c>
      <c r="AA482">
        <v>0.99575990000000003</v>
      </c>
      <c r="AB482">
        <v>39</v>
      </c>
      <c r="AC482">
        <v>257.92970000000003</v>
      </c>
      <c r="AD482">
        <v>4.1717139999999997</v>
      </c>
      <c r="AE482">
        <v>-25.325800000000001</v>
      </c>
      <c r="AF482">
        <v>23.8582015823525</v>
      </c>
      <c r="AG482">
        <v>4.1717139999999997</v>
      </c>
      <c r="AH482">
        <v>258.00216982066797</v>
      </c>
      <c r="AI482">
        <v>89.077583005758896</v>
      </c>
      <c r="AJ482">
        <v>84.7167200544189</v>
      </c>
      <c r="AK482">
        <v>259.13652118644899</v>
      </c>
      <c r="AL482">
        <v>95.7351149665392</v>
      </c>
      <c r="AM482">
        <v>91.417500316985993</v>
      </c>
      <c r="AN482">
        <v>0.999999974644037</v>
      </c>
    </row>
    <row r="483" spans="1:40" x14ac:dyDescent="0.25">
      <c r="A483" t="str">
        <f>"20190305134918385"</f>
        <v>20190305134918385</v>
      </c>
      <c r="B483" t="str">
        <f>"1551764958381779"</f>
        <v>1551764958381779</v>
      </c>
      <c r="C483" t="s">
        <v>40</v>
      </c>
      <c r="D483">
        <v>4.0785309999999999</v>
      </c>
      <c r="E483">
        <v>0.54532530000000001</v>
      </c>
      <c r="F483" t="s">
        <v>53</v>
      </c>
      <c r="G483">
        <v>-162.62899999999999</v>
      </c>
      <c r="H483">
        <v>5.1979699999999998</v>
      </c>
      <c r="I483">
        <v>342.399</v>
      </c>
      <c r="J483">
        <v>-420.25940000000003</v>
      </c>
      <c r="K483">
        <v>1.0580069999999999</v>
      </c>
      <c r="L483">
        <v>367.78440000000001</v>
      </c>
      <c r="M483">
        <v>0.99997040000000004</v>
      </c>
      <c r="N483">
        <v>-5.0316659999999997E-3</v>
      </c>
      <c r="O483">
        <v>-5.8479200000000004E-3</v>
      </c>
      <c r="P483">
        <v>0.99426309999999996</v>
      </c>
      <c r="Q483">
        <v>-0.1053804</v>
      </c>
      <c r="R483">
        <v>1.8330570000000001E-2</v>
      </c>
      <c r="S483">
        <v>3.0279850000000001</v>
      </c>
      <c r="T483">
        <v>4.8601869999999998E-2</v>
      </c>
      <c r="U483">
        <v>-0.29803469999999999</v>
      </c>
      <c r="V483">
        <v>-2.4232259999999999E-2</v>
      </c>
      <c r="W483">
        <v>-0.10035570000000001</v>
      </c>
      <c r="X483">
        <v>0.99465650000000005</v>
      </c>
      <c r="Y483">
        <v>9.2125120000000005E-2</v>
      </c>
      <c r="Z483">
        <v>3.8219589999999998E-4</v>
      </c>
      <c r="AA483">
        <v>0.99574739999999995</v>
      </c>
      <c r="AB483">
        <v>39</v>
      </c>
      <c r="AC483">
        <v>257.63040000000001</v>
      </c>
      <c r="AD483">
        <v>4.1399629999999998</v>
      </c>
      <c r="AE483">
        <v>-25.385400000000001</v>
      </c>
      <c r="AF483">
        <v>23.872239975595601</v>
      </c>
      <c r="AG483">
        <v>4.1399629999999998</v>
      </c>
      <c r="AH483">
        <v>257.70854129001401</v>
      </c>
      <c r="AI483">
        <v>89.083572970599107</v>
      </c>
      <c r="AJ483">
        <v>84.707639914803707</v>
      </c>
      <c r="AK483">
        <v>258.844964001466</v>
      </c>
      <c r="AL483">
        <v>95.759653562282494</v>
      </c>
      <c r="AM483">
        <v>91.395588967259798</v>
      </c>
      <c r="AN483">
        <v>1.00000001096972</v>
      </c>
    </row>
    <row r="484" spans="1:40" x14ac:dyDescent="0.25">
      <c r="A484" t="str">
        <f>"20190305134918397"</f>
        <v>20190305134918397</v>
      </c>
      <c r="B484" t="str">
        <f>"1551764958391538"</f>
        <v>1551764958391538</v>
      </c>
      <c r="C484" t="s">
        <v>40</v>
      </c>
      <c r="D484">
        <v>4.090954</v>
      </c>
      <c r="E484">
        <v>0.54519499999999999</v>
      </c>
      <c r="F484" t="s">
        <v>53</v>
      </c>
      <c r="G484">
        <v>-162.62889999999999</v>
      </c>
      <c r="H484">
        <v>4.8348769999999996</v>
      </c>
      <c r="I484">
        <v>342.60140000000001</v>
      </c>
      <c r="J484">
        <v>-420.04840000000002</v>
      </c>
      <c r="K484">
        <v>1.0580320000000001</v>
      </c>
      <c r="L484">
        <v>367.78300000000002</v>
      </c>
      <c r="M484">
        <v>0.99996949999999996</v>
      </c>
      <c r="N484">
        <v>-5.0461380000000004E-3</v>
      </c>
      <c r="O484">
        <v>-5.9537409999999898E-3</v>
      </c>
      <c r="P484">
        <v>0.99429699999999999</v>
      </c>
      <c r="Q484">
        <v>-0.1051322</v>
      </c>
      <c r="R484">
        <v>1.7916910000000001E-2</v>
      </c>
      <c r="S484">
        <v>3.027466</v>
      </c>
      <c r="T484">
        <v>4.4382810000000002E-2</v>
      </c>
      <c r="U484">
        <v>-0.295929</v>
      </c>
      <c r="V484">
        <v>-2.391749E-2</v>
      </c>
      <c r="W484">
        <v>-0.1000948</v>
      </c>
      <c r="X484">
        <v>0.99469039999999997</v>
      </c>
      <c r="Y484">
        <v>9.1351929999999998E-2</v>
      </c>
      <c r="Z484">
        <v>3.1990449999999999E-4</v>
      </c>
      <c r="AA484">
        <v>0.9958186</v>
      </c>
      <c r="AB484">
        <v>39</v>
      </c>
      <c r="AC484">
        <v>257.41950000000003</v>
      </c>
      <c r="AD484">
        <v>3.7768449999999998</v>
      </c>
      <c r="AE484">
        <v>-25.1816</v>
      </c>
      <c r="AF484">
        <v>23.643483670671799</v>
      </c>
      <c r="AG484">
        <v>3.7768449999999998</v>
      </c>
      <c r="AH484">
        <v>257.509956398832</v>
      </c>
      <c r="AI484">
        <v>89.163234083425294</v>
      </c>
      <c r="AJ484">
        <v>84.754050314395101</v>
      </c>
      <c r="AK484">
        <v>258.62068077160302</v>
      </c>
      <c r="AL484">
        <v>95.744629486253103</v>
      </c>
      <c r="AM484">
        <v>91.377420776091</v>
      </c>
      <c r="AN484">
        <v>1.0000000035835499</v>
      </c>
    </row>
    <row r="485" spans="1:40" x14ac:dyDescent="0.25">
      <c r="A485" t="str">
        <f>"20190305134918412"</f>
        <v>20190305134918412</v>
      </c>
      <c r="B485" t="str">
        <f>"1551764958401298"</f>
        <v>1551764958401298</v>
      </c>
      <c r="C485" t="s">
        <v>40</v>
      </c>
      <c r="D485">
        <v>4.1011100000000003</v>
      </c>
      <c r="E485">
        <v>0.54492149999999995</v>
      </c>
      <c r="F485" t="s">
        <v>53</v>
      </c>
      <c r="G485">
        <v>-162.62889999999999</v>
      </c>
      <c r="H485">
        <v>4.8752399999999998</v>
      </c>
      <c r="I485">
        <v>342.6293</v>
      </c>
      <c r="J485">
        <v>-419.79930000000002</v>
      </c>
      <c r="K485">
        <v>1.0580639999999999</v>
      </c>
      <c r="L485">
        <v>367.78149999999999</v>
      </c>
      <c r="M485">
        <v>0.99996890000000005</v>
      </c>
      <c r="N485">
        <v>-5.0632170000000001E-3</v>
      </c>
      <c r="O485">
        <v>-6.0606019999999896E-3</v>
      </c>
      <c r="P485">
        <v>0.9942955</v>
      </c>
      <c r="Q485">
        <v>-0.10515910000000001</v>
      </c>
      <c r="R485">
        <v>1.7840200000000001E-2</v>
      </c>
      <c r="S485">
        <v>3.0272519999999998</v>
      </c>
      <c r="T485">
        <v>4.4890399999999997E-2</v>
      </c>
      <c r="U485">
        <v>-0.29580689999999998</v>
      </c>
      <c r="V485">
        <v>-2.393928E-2</v>
      </c>
      <c r="W485">
        <v>-0.1001066</v>
      </c>
      <c r="X485">
        <v>0.99468869999999998</v>
      </c>
      <c r="Y485">
        <v>9.1212409999999994E-2</v>
      </c>
      <c r="Z485">
        <v>3.2290820000000002E-4</v>
      </c>
      <c r="AA485">
        <v>0.99583140000000003</v>
      </c>
      <c r="AB485">
        <v>39</v>
      </c>
      <c r="AC485">
        <v>257.17039999999997</v>
      </c>
      <c r="AD485">
        <v>3.8171759999999999</v>
      </c>
      <c r="AE485">
        <v>-25.152200000000001</v>
      </c>
      <c r="AF485">
        <v>23.587963240811199</v>
      </c>
      <c r="AG485">
        <v>3.8171759999999999</v>
      </c>
      <c r="AH485">
        <v>257.26197476964899</v>
      </c>
      <c r="AI485">
        <v>89.153475099990303</v>
      </c>
      <c r="AJ485">
        <v>84.761283696098502</v>
      </c>
      <c r="AK485">
        <v>258.36928320689401</v>
      </c>
      <c r="AL485">
        <v>95.745308922422197</v>
      </c>
      <c r="AM485">
        <v>91.378677544842702</v>
      </c>
      <c r="AN485">
        <v>1.00000001519908</v>
      </c>
    </row>
    <row r="486" spans="1:40" x14ac:dyDescent="0.25">
      <c r="A486" t="str">
        <f>"20190305134918424"</f>
        <v>20190305134918424</v>
      </c>
      <c r="B486" t="str">
        <f>"1551764958421794"</f>
        <v>1551764958421794</v>
      </c>
      <c r="C486" t="s">
        <v>40</v>
      </c>
      <c r="D486">
        <v>3.8927130000000001</v>
      </c>
      <c r="E486">
        <v>0.54471519999999995</v>
      </c>
      <c r="F486" t="s">
        <v>53</v>
      </c>
      <c r="G486">
        <v>-161.06039999999999</v>
      </c>
      <c r="H486">
        <v>4.8166859999999998</v>
      </c>
      <c r="I486">
        <v>342.64389999999997</v>
      </c>
      <c r="J486">
        <v>-419.56270000000001</v>
      </c>
      <c r="K486">
        <v>1.058093</v>
      </c>
      <c r="L486">
        <v>367.78</v>
      </c>
      <c r="M486">
        <v>0.99996839999999998</v>
      </c>
      <c r="N486">
        <v>-5.079465E-3</v>
      </c>
      <c r="O486">
        <v>-6.1351740000000002E-3</v>
      </c>
      <c r="P486">
        <v>0.99430960000000002</v>
      </c>
      <c r="Q486">
        <v>-0.10503220000000001</v>
      </c>
      <c r="R486">
        <v>1.7802309999999998E-2</v>
      </c>
      <c r="S486">
        <v>3.0271300000000001</v>
      </c>
      <c r="T486">
        <v>4.3974279999999998E-2</v>
      </c>
      <c r="U486">
        <v>-0.29409790000000002</v>
      </c>
      <c r="V486">
        <v>-2.3967599999999999E-2</v>
      </c>
      <c r="W486">
        <v>-9.9965269999999995E-2</v>
      </c>
      <c r="X486">
        <v>0.99470219999999998</v>
      </c>
      <c r="Y486">
        <v>9.0585470000000001E-2</v>
      </c>
      <c r="Z486">
        <v>3.057693E-4</v>
      </c>
      <c r="AA486">
        <v>0.99588869999999896</v>
      </c>
      <c r="AB486">
        <v>39</v>
      </c>
      <c r="AC486">
        <v>258.50229999999999</v>
      </c>
      <c r="AD486">
        <v>3.7585929999999999</v>
      </c>
      <c r="AE486">
        <v>-25.136099999999999</v>
      </c>
      <c r="AF486">
        <v>23.544719136145599</v>
      </c>
      <c r="AG486">
        <v>3.7585929999999999</v>
      </c>
      <c r="AH486">
        <v>258.59749352985699</v>
      </c>
      <c r="AI486">
        <v>89.170721071395704</v>
      </c>
      <c r="AJ486">
        <v>84.797691906614105</v>
      </c>
      <c r="AK486">
        <v>259.69432893396799</v>
      </c>
      <c r="AL486">
        <v>95.737170666540607</v>
      </c>
      <c r="AM486">
        <v>91.380289153935095</v>
      </c>
      <c r="AN486">
        <v>0.99999998387038602</v>
      </c>
    </row>
    <row r="487" spans="1:40" x14ac:dyDescent="0.25">
      <c r="A487" t="str">
        <f>"20190305134918442"</f>
        <v>20190305134918442</v>
      </c>
      <c r="B487" t="str">
        <f>"1551764958431553"</f>
        <v>1551764958431553</v>
      </c>
      <c r="C487" t="s">
        <v>40</v>
      </c>
      <c r="D487">
        <v>4.0986060000000002</v>
      </c>
      <c r="E487">
        <v>0.5444949</v>
      </c>
      <c r="F487" t="s">
        <v>53</v>
      </c>
      <c r="G487">
        <v>-156.46850000000001</v>
      </c>
      <c r="H487">
        <v>4.7817369999999997</v>
      </c>
      <c r="I487">
        <v>342.36070000000001</v>
      </c>
      <c r="J487">
        <v>-419.2568</v>
      </c>
      <c r="K487">
        <v>1.058125</v>
      </c>
      <c r="L487">
        <v>367.77809999999999</v>
      </c>
      <c r="M487">
        <v>0.99996770000000001</v>
      </c>
      <c r="N487">
        <v>-5.1005089999999996E-3</v>
      </c>
      <c r="O487">
        <v>-6.2091250000000002E-3</v>
      </c>
      <c r="P487">
        <v>0.99422909999999998</v>
      </c>
      <c r="Q487">
        <v>-0.1057966</v>
      </c>
      <c r="R487">
        <v>1.7765510000000002E-2</v>
      </c>
      <c r="S487">
        <v>3.0269170000000001</v>
      </c>
      <c r="T487">
        <v>4.2840839999999998E-2</v>
      </c>
      <c r="U487">
        <v>-0.29244999999999999</v>
      </c>
      <c r="V487">
        <v>-2.399519E-2</v>
      </c>
      <c r="W487">
        <v>-0.10071140000000001</v>
      </c>
      <c r="X487">
        <v>0.99462629999999996</v>
      </c>
      <c r="Y487">
        <v>8.9981820000000004E-2</v>
      </c>
      <c r="Z487">
        <v>2.8597969999999998E-4</v>
      </c>
      <c r="AA487">
        <v>0.99594340000000003</v>
      </c>
      <c r="AB487">
        <v>39</v>
      </c>
      <c r="AC487">
        <v>262.78829999999999</v>
      </c>
      <c r="AD487">
        <v>3.7236120000000001</v>
      </c>
      <c r="AE487">
        <v>-25.417399999999901</v>
      </c>
      <c r="AF487">
        <v>23.780473018098199</v>
      </c>
      <c r="AG487">
        <v>3.7236120000000001</v>
      </c>
      <c r="AH487">
        <v>262.88876286745102</v>
      </c>
      <c r="AI487">
        <v>89.191804172259296</v>
      </c>
      <c r="AJ487">
        <v>84.831188312519799</v>
      </c>
      <c r="AK487">
        <v>263.98840471746098</v>
      </c>
      <c r="AL487">
        <v>95.7801374202554</v>
      </c>
      <c r="AM487">
        <v>91.381982850884</v>
      </c>
      <c r="AN487">
        <v>1.0000000159423901</v>
      </c>
    </row>
    <row r="488" spans="1:40" x14ac:dyDescent="0.25">
      <c r="A488" t="str">
        <f>"20190305134918463"</f>
        <v>20190305134918463</v>
      </c>
      <c r="B488" t="str">
        <f>"1551764958461809"</f>
        <v>1551764958461809</v>
      </c>
      <c r="C488" t="s">
        <v>40</v>
      </c>
      <c r="D488">
        <v>4.0914449999999896</v>
      </c>
      <c r="E488">
        <v>0.54413180000000005</v>
      </c>
      <c r="F488" t="s">
        <v>53</v>
      </c>
      <c r="G488">
        <v>-156.46850000000001</v>
      </c>
      <c r="H488">
        <v>4.5275610000000004</v>
      </c>
      <c r="I488">
        <v>342.55720000000002</v>
      </c>
      <c r="J488">
        <v>-418.87759999999997</v>
      </c>
      <c r="K488">
        <v>1.0581609999999999</v>
      </c>
      <c r="L488">
        <v>367.77569999999997</v>
      </c>
      <c r="M488">
        <v>0.99996719999999895</v>
      </c>
      <c r="N488">
        <v>-5.1265319999999996E-3</v>
      </c>
      <c r="O488">
        <v>-6.2713949999999999E-3</v>
      </c>
      <c r="P488">
        <v>0.99408510000000005</v>
      </c>
      <c r="Q488">
        <v>-0.1070633</v>
      </c>
      <c r="R488">
        <v>1.8233909999999999E-2</v>
      </c>
      <c r="S488">
        <v>3.0268250000000001</v>
      </c>
      <c r="T488">
        <v>3.9961459999999997E-2</v>
      </c>
      <c r="U488">
        <v>-0.2904968</v>
      </c>
      <c r="V488">
        <v>-2.451567E-2</v>
      </c>
      <c r="W488">
        <v>-0.1019549</v>
      </c>
      <c r="X488">
        <v>0.99448689999999995</v>
      </c>
      <c r="Y488">
        <v>8.9286829999999998E-2</v>
      </c>
      <c r="Z488">
        <v>2.4395189999999999E-4</v>
      </c>
      <c r="AA488">
        <v>0.99600599999999995</v>
      </c>
      <c r="AB488">
        <v>40</v>
      </c>
      <c r="AC488">
        <v>262.40910000000002</v>
      </c>
      <c r="AD488">
        <v>3.4693999999999998</v>
      </c>
      <c r="AE488">
        <v>-25.218499999999899</v>
      </c>
      <c r="AF488">
        <v>23.5682292077129</v>
      </c>
      <c r="AG488">
        <v>3.4693999999999998</v>
      </c>
      <c r="AH488">
        <v>262.51662777307303</v>
      </c>
      <c r="AI488">
        <v>89.2458601380782</v>
      </c>
      <c r="AJ488">
        <v>84.869850685486497</v>
      </c>
      <c r="AK488">
        <v>263.59529210836303</v>
      </c>
      <c r="AL488">
        <v>95.851753417904902</v>
      </c>
      <c r="AM488">
        <v>91.412145290593003</v>
      </c>
      <c r="AN488">
        <v>1.0000000069905799</v>
      </c>
    </row>
    <row r="489" spans="1:40" x14ac:dyDescent="0.25">
      <c r="A489" t="str">
        <f>"20190305134918474"</f>
        <v>20190305134918474</v>
      </c>
      <c r="B489" t="str">
        <f>"1551764958471569"</f>
        <v>1551764958471569</v>
      </c>
      <c r="C489" t="s">
        <v>40</v>
      </c>
      <c r="D489">
        <v>4.1241459999999996</v>
      </c>
      <c r="E489">
        <v>0.54401169999999899</v>
      </c>
      <c r="F489" t="s">
        <v>53</v>
      </c>
      <c r="G489">
        <v>-149.9667</v>
      </c>
      <c r="H489">
        <v>4.113766</v>
      </c>
      <c r="I489">
        <v>342.36250000000001</v>
      </c>
      <c r="J489">
        <v>-418.68290000000002</v>
      </c>
      <c r="K489">
        <v>1.058168</v>
      </c>
      <c r="L489">
        <v>367.77449999999999</v>
      </c>
      <c r="M489">
        <v>0.99996700000000005</v>
      </c>
      <c r="N489">
        <v>-5.1399139999999998E-3</v>
      </c>
      <c r="O489">
        <v>-6.2934899999999997E-3</v>
      </c>
      <c r="P489">
        <v>0.99404389999999998</v>
      </c>
      <c r="Q489">
        <v>-0.1074079</v>
      </c>
      <c r="R489">
        <v>1.8455679999999999E-2</v>
      </c>
      <c r="S489">
        <v>3.026764</v>
      </c>
      <c r="T489">
        <v>3.4392829999999999E-2</v>
      </c>
      <c r="U489">
        <v>-0.2860413</v>
      </c>
      <c r="V489">
        <v>-2.4755240000000001E-2</v>
      </c>
      <c r="W489">
        <v>-0.1022874</v>
      </c>
      <c r="X489">
        <v>0.99444679999999996</v>
      </c>
      <c r="Y489">
        <v>8.7815050000000006E-2</v>
      </c>
      <c r="Z489">
        <v>1.6798139999999999E-4</v>
      </c>
      <c r="AA489">
        <v>0.99613680000000004</v>
      </c>
      <c r="AB489">
        <v>40</v>
      </c>
      <c r="AC489">
        <v>268.71620000000001</v>
      </c>
      <c r="AD489">
        <v>3.0555979999999998</v>
      </c>
      <c r="AE489">
        <v>-25.4119999999999</v>
      </c>
      <c r="AF489">
        <v>23.717272184214</v>
      </c>
      <c r="AG489">
        <v>3.0555979999999998</v>
      </c>
      <c r="AH489">
        <v>268.83635750645402</v>
      </c>
      <c r="AI489">
        <v>89.351322622948402</v>
      </c>
      <c r="AJ489">
        <v>84.9583066364453</v>
      </c>
      <c r="AK489">
        <v>269.89781917669501</v>
      </c>
      <c r="AL489">
        <v>95.870904509667795</v>
      </c>
      <c r="AM489">
        <v>91.425996745688593</v>
      </c>
      <c r="AN489">
        <v>0.99999998606822804</v>
      </c>
    </row>
    <row r="490" spans="1:40" x14ac:dyDescent="0.25">
      <c r="A490" t="str">
        <f>"20190305134918486"</f>
        <v>20190305134918486</v>
      </c>
      <c r="B490" t="str">
        <f>"1551764958481330"</f>
        <v>1551764958481330</v>
      </c>
      <c r="C490" t="s">
        <v>40</v>
      </c>
      <c r="D490">
        <v>4.1535659999999996</v>
      </c>
      <c r="E490">
        <v>0.54392700000000005</v>
      </c>
      <c r="F490" t="s">
        <v>53</v>
      </c>
      <c r="G490">
        <v>-149.9666</v>
      </c>
      <c r="H490">
        <v>3.9157609999999998</v>
      </c>
      <c r="I490">
        <v>342.50920000000002</v>
      </c>
      <c r="J490">
        <v>-418.47179999999997</v>
      </c>
      <c r="K490">
        <v>1.0581799999999999</v>
      </c>
      <c r="L490">
        <v>367.7731</v>
      </c>
      <c r="M490">
        <v>0.99996680000000004</v>
      </c>
      <c r="N490">
        <v>-5.1544809999999998E-3</v>
      </c>
      <c r="O490">
        <v>-6.3108239999999996E-3</v>
      </c>
      <c r="P490">
        <v>0.99400149999999998</v>
      </c>
      <c r="Q490">
        <v>-0.1077487</v>
      </c>
      <c r="R490">
        <v>1.874837E-2</v>
      </c>
      <c r="S490">
        <v>3.0267029999999999</v>
      </c>
      <c r="T490">
        <v>3.218675E-2</v>
      </c>
      <c r="U490">
        <v>-0.28457640000000001</v>
      </c>
      <c r="V490">
        <v>-2.5061190000000001E-2</v>
      </c>
      <c r="W490">
        <v>-0.10261480000000001</v>
      </c>
      <c r="X490">
        <v>0.99440539999999999</v>
      </c>
      <c r="Y490">
        <v>8.7322280000000002E-2</v>
      </c>
      <c r="Z490">
        <v>1.383039E-4</v>
      </c>
      <c r="AA490">
        <v>0.99618010000000001</v>
      </c>
      <c r="AB490">
        <v>40</v>
      </c>
      <c r="AC490">
        <v>268.50519999999898</v>
      </c>
      <c r="AD490">
        <v>2.8575810000000001</v>
      </c>
      <c r="AE490">
        <v>-25.2638999999999</v>
      </c>
      <c r="AF490">
        <v>23.566239539250301</v>
      </c>
      <c r="AG490">
        <v>2.8575810000000001</v>
      </c>
      <c r="AH490">
        <v>268.62913214278598</v>
      </c>
      <c r="AI490">
        <v>89.392862560745897</v>
      </c>
      <c r="AJ490">
        <v>84.986403535929298</v>
      </c>
      <c r="AK490">
        <v>269.67599828494099</v>
      </c>
      <c r="AL490">
        <v>95.889762413489805</v>
      </c>
      <c r="AM490">
        <v>91.443673302896997</v>
      </c>
      <c r="AN490">
        <v>0.99999997998620704</v>
      </c>
    </row>
    <row r="491" spans="1:40" x14ac:dyDescent="0.25">
      <c r="A491" t="str">
        <f>"20190305134918499"</f>
        <v>20190305134918499</v>
      </c>
      <c r="B491" t="str">
        <f>"1551764958491091"</f>
        <v>1551764958491091</v>
      </c>
      <c r="C491" t="s">
        <v>40</v>
      </c>
      <c r="D491">
        <v>4.1549509999999996</v>
      </c>
      <c r="E491">
        <v>0.54383709999999996</v>
      </c>
      <c r="F491" t="s">
        <v>53</v>
      </c>
      <c r="G491">
        <v>-149.881</v>
      </c>
      <c r="H491">
        <v>3.7263039999999998</v>
      </c>
      <c r="I491">
        <v>342.64400000000001</v>
      </c>
      <c r="J491">
        <v>-418.24079999999998</v>
      </c>
      <c r="K491">
        <v>1.0581940000000001</v>
      </c>
      <c r="L491">
        <v>367.77170000000001</v>
      </c>
      <c r="M491">
        <v>0.99996680000000004</v>
      </c>
      <c r="N491">
        <v>-5.1704339999999998E-3</v>
      </c>
      <c r="O491">
        <v>-6.3236409999999996E-3</v>
      </c>
      <c r="P491">
        <v>0.99397429999999998</v>
      </c>
      <c r="Q491">
        <v>-0.10795539999999899</v>
      </c>
      <c r="R491">
        <v>1.9008569999999999E-2</v>
      </c>
      <c r="S491">
        <v>3.026672</v>
      </c>
      <c r="T491">
        <v>3.0066369999999999E-2</v>
      </c>
      <c r="U491">
        <v>-0.283172599999999</v>
      </c>
      <c r="V491">
        <v>-2.5329540000000001E-2</v>
      </c>
      <c r="W491">
        <v>-0.1028065</v>
      </c>
      <c r="X491">
        <v>0.99437880000000001</v>
      </c>
      <c r="Y491">
        <v>8.6852860000000004E-2</v>
      </c>
      <c r="Z491">
        <v>1.101115E-4</v>
      </c>
      <c r="AA491">
        <v>0.99622109999999997</v>
      </c>
      <c r="AB491">
        <v>40</v>
      </c>
      <c r="AC491">
        <v>268.35979999999898</v>
      </c>
      <c r="AD491">
        <v>2.66811</v>
      </c>
      <c r="AE491">
        <v>-25.127700000000001</v>
      </c>
      <c r="AF491">
        <v>23.4278684336089</v>
      </c>
      <c r="AG491">
        <v>2.66811</v>
      </c>
      <c r="AH491">
        <v>268.48702578427401</v>
      </c>
      <c r="AI491">
        <v>89.432792777992404</v>
      </c>
      <c r="AJ491">
        <v>85.013067728068705</v>
      </c>
      <c r="AK491">
        <v>269.52043864018901</v>
      </c>
      <c r="AL491">
        <v>95.900804412880504</v>
      </c>
      <c r="AM491">
        <v>91.459164223575101</v>
      </c>
      <c r="AN491">
        <v>0.99999997996415002</v>
      </c>
    </row>
    <row r="492" spans="1:40" x14ac:dyDescent="0.25">
      <c r="A492" t="str">
        <f>"20190305134918514"</f>
        <v>20190305134918514</v>
      </c>
      <c r="B492" t="str">
        <f>"1551764958511587"</f>
        <v>1551764958511587</v>
      </c>
      <c r="C492" t="s">
        <v>40</v>
      </c>
      <c r="D492">
        <v>4.1361610000000004</v>
      </c>
      <c r="E492">
        <v>0.54363359999999905</v>
      </c>
      <c r="F492" t="s">
        <v>53</v>
      </c>
      <c r="G492">
        <v>-147.91210000000001</v>
      </c>
      <c r="H492">
        <v>3.6639080000000002</v>
      </c>
      <c r="I492">
        <v>342.64400000000001</v>
      </c>
      <c r="J492">
        <v>-417.97519999999997</v>
      </c>
      <c r="K492">
        <v>1.0582100000000001</v>
      </c>
      <c r="L492">
        <v>367.77</v>
      </c>
      <c r="M492">
        <v>0.99996649999999998</v>
      </c>
      <c r="N492">
        <v>-5.1887920000000002E-3</v>
      </c>
      <c r="O492">
        <v>-6.3333640000000002E-3</v>
      </c>
      <c r="P492">
        <v>0.99395460000000002</v>
      </c>
      <c r="Q492">
        <v>-0.1081013</v>
      </c>
      <c r="R492">
        <v>1.9188710000000001E-2</v>
      </c>
      <c r="S492">
        <v>3.0267330000000001</v>
      </c>
      <c r="T492">
        <v>2.917492E-2</v>
      </c>
      <c r="U492">
        <v>-0.28134160000000002</v>
      </c>
      <c r="V492">
        <v>-2.551554E-2</v>
      </c>
      <c r="W492">
        <v>-0.1029352</v>
      </c>
      <c r="X492">
        <v>0.99436069999999999</v>
      </c>
      <c r="Y492">
        <v>8.6243990000000006E-2</v>
      </c>
      <c r="Z492" s="1">
        <v>9.6812900000000003E-5</v>
      </c>
      <c r="AA492">
        <v>0.99627410000000005</v>
      </c>
      <c r="AB492">
        <v>40</v>
      </c>
      <c r="AC492">
        <v>270.06310000000002</v>
      </c>
      <c r="AD492">
        <v>2.6056979999999998</v>
      </c>
      <c r="AE492">
        <v>-25.125999999999902</v>
      </c>
      <c r="AF492">
        <v>23.412904274513</v>
      </c>
      <c r="AG492">
        <v>2.6056979999999998</v>
      </c>
      <c r="AH492">
        <v>270.19188057122801</v>
      </c>
      <c r="AI492">
        <v>89.449526206907194</v>
      </c>
      <c r="AJ492">
        <v>85.047526621345796</v>
      </c>
      <c r="AK492">
        <v>271.21689857981102</v>
      </c>
      <c r="AL492">
        <v>95.908217887470101</v>
      </c>
      <c r="AM492">
        <v>91.469901225680502</v>
      </c>
      <c r="AN492">
        <v>0.99999994994250896</v>
      </c>
    </row>
    <row r="493" spans="1:40" x14ac:dyDescent="0.25">
      <c r="A493" t="str">
        <f>"20190305134918532"</f>
        <v>20190305134918532</v>
      </c>
      <c r="B493" t="str">
        <f>"1551764958521346"</f>
        <v>1551764958521346</v>
      </c>
      <c r="C493" t="s">
        <v>40</v>
      </c>
      <c r="D493">
        <v>4.1214969999999997</v>
      </c>
      <c r="E493">
        <v>0.543516</v>
      </c>
      <c r="F493" t="s">
        <v>53</v>
      </c>
      <c r="G493">
        <v>-143.6311</v>
      </c>
      <c r="H493">
        <v>3.5572279999999998</v>
      </c>
      <c r="I493">
        <v>342.45339999999999</v>
      </c>
      <c r="J493">
        <v>-417.65499999999997</v>
      </c>
      <c r="K493">
        <v>1.0582229999999999</v>
      </c>
      <c r="L493">
        <v>367.7679</v>
      </c>
      <c r="M493">
        <v>0.99996640000000003</v>
      </c>
      <c r="N493">
        <v>-5.2109410000000002E-3</v>
      </c>
      <c r="O493">
        <v>-6.3399959999999997E-3</v>
      </c>
      <c r="P493">
        <v>0.9939424</v>
      </c>
      <c r="Q493">
        <v>-0.1081343</v>
      </c>
      <c r="R493">
        <v>1.9634329999999998E-2</v>
      </c>
      <c r="S493">
        <v>3.0266109999999999</v>
      </c>
      <c r="T493">
        <v>2.7569650000000001E-2</v>
      </c>
      <c r="U493">
        <v>-0.27929690000000001</v>
      </c>
      <c r="V493">
        <v>-2.596358E-2</v>
      </c>
      <c r="W493">
        <v>-0.1029471</v>
      </c>
      <c r="X493">
        <v>0.99434789999999995</v>
      </c>
      <c r="Y493">
        <v>8.5573999999999997E-2</v>
      </c>
      <c r="Z493" s="1">
        <v>7.4886830000000005E-5</v>
      </c>
      <c r="AA493">
        <v>0.99633179999999999</v>
      </c>
      <c r="AB493">
        <v>40</v>
      </c>
      <c r="AC493">
        <v>274.02390000000003</v>
      </c>
      <c r="AD493">
        <v>2.4990049999999999</v>
      </c>
      <c r="AE493">
        <v>-25.314499999999999</v>
      </c>
      <c r="AF493">
        <v>23.574713253423099</v>
      </c>
      <c r="AG493">
        <v>2.4990049999999999</v>
      </c>
      <c r="AH493">
        <v>274.15628037545798</v>
      </c>
      <c r="AI493">
        <v>89.479668789513397</v>
      </c>
      <c r="AJ493">
        <v>85.085222814225205</v>
      </c>
      <c r="AK493">
        <v>275.17935642100298</v>
      </c>
      <c r="AL493">
        <v>95.908903173202006</v>
      </c>
      <c r="AM493">
        <v>91.495719570723594</v>
      </c>
      <c r="AN493">
        <v>0.99999997955961795</v>
      </c>
    </row>
    <row r="494" spans="1:40" x14ac:dyDescent="0.25">
      <c r="A494" t="str">
        <f>"20190305134918553"</f>
        <v>20190305134918553</v>
      </c>
      <c r="B494" t="str">
        <f>"1551764958541842"</f>
        <v>1551764958541842</v>
      </c>
      <c r="C494" t="s">
        <v>40</v>
      </c>
      <c r="D494">
        <v>4.1740589999999997</v>
      </c>
      <c r="E494">
        <v>0.54337800000000003</v>
      </c>
      <c r="F494" t="s">
        <v>53</v>
      </c>
      <c r="G494">
        <v>-143.6215</v>
      </c>
      <c r="H494">
        <v>3.4952420000000002</v>
      </c>
      <c r="I494">
        <v>342.64400000000001</v>
      </c>
      <c r="J494">
        <v>-417.27260000000001</v>
      </c>
      <c r="K494">
        <v>1.0582339999999999</v>
      </c>
      <c r="L494">
        <v>367.76549999999997</v>
      </c>
      <c r="M494">
        <v>0.99996620000000003</v>
      </c>
      <c r="N494">
        <v>-5.2374229999999997E-3</v>
      </c>
      <c r="O494">
        <v>-6.3431809999999998E-3</v>
      </c>
      <c r="P494">
        <v>0.99391379999999996</v>
      </c>
      <c r="Q494">
        <v>-0.1083794</v>
      </c>
      <c r="R494">
        <v>1.9738019999999998E-2</v>
      </c>
      <c r="S494">
        <v>3.0267330000000001</v>
      </c>
      <c r="T494">
        <v>2.6917219999999999E-2</v>
      </c>
      <c r="U494">
        <v>-0.27749629999999997</v>
      </c>
      <c r="V494">
        <v>-2.6066349999999999E-2</v>
      </c>
      <c r="W494">
        <v>-0.10316690000000001</v>
      </c>
      <c r="X494">
        <v>0.99432240000000005</v>
      </c>
      <c r="Y494">
        <v>8.4979550000000001E-2</v>
      </c>
      <c r="Z494" s="1">
        <v>6.4622790000000007E-5</v>
      </c>
      <c r="AA494">
        <v>0.99638269999999995</v>
      </c>
      <c r="AB494">
        <v>40</v>
      </c>
      <c r="AC494">
        <v>273.65109999999999</v>
      </c>
      <c r="AD494">
        <v>2.4370080000000001</v>
      </c>
      <c r="AE494">
        <v>-25.121499999999902</v>
      </c>
      <c r="AF494">
        <v>23.383313383789101</v>
      </c>
      <c r="AG494">
        <v>2.4370080000000001</v>
      </c>
      <c r="AH494">
        <v>273.78341500857198</v>
      </c>
      <c r="AI494">
        <v>89.491860653439105</v>
      </c>
      <c r="AJ494">
        <v>85.118324842211095</v>
      </c>
      <c r="AK494">
        <v>274.79096907750198</v>
      </c>
      <c r="AL494">
        <v>95.921564378708695</v>
      </c>
      <c r="AM494">
        <v>91.501675770473199</v>
      </c>
      <c r="AN494">
        <v>0.99999994949984505</v>
      </c>
    </row>
    <row r="495" spans="1:40" x14ac:dyDescent="0.25">
      <c r="A495" t="str">
        <f>"20190305134918564"</f>
        <v>20190305134918564</v>
      </c>
      <c r="B495" t="str">
        <f>"1551764958561361"</f>
        <v>1551764958561361</v>
      </c>
      <c r="C495" t="s">
        <v>40</v>
      </c>
      <c r="D495">
        <v>4.1656300000000002</v>
      </c>
      <c r="E495">
        <v>0.54335929999999999</v>
      </c>
      <c r="F495" t="s">
        <v>53</v>
      </c>
      <c r="G495">
        <v>-141.37360000000001</v>
      </c>
      <c r="H495">
        <v>3.3575729999999999</v>
      </c>
      <c r="I495">
        <v>342.64400000000001</v>
      </c>
      <c r="J495">
        <v>-417.07150000000001</v>
      </c>
      <c r="K495">
        <v>1.0582400000000001</v>
      </c>
      <c r="L495">
        <v>367.76420000000002</v>
      </c>
      <c r="M495">
        <v>0.99996609999999997</v>
      </c>
      <c r="N495">
        <v>-5.2513730000000002E-3</v>
      </c>
      <c r="O495">
        <v>-6.3444800000000004E-3</v>
      </c>
      <c r="P495">
        <v>0.99387320000000001</v>
      </c>
      <c r="Q495">
        <v>-0.10875849999999999</v>
      </c>
      <c r="R495">
        <v>1.9699959999999999E-2</v>
      </c>
      <c r="S495">
        <v>3.0265200000000001</v>
      </c>
      <c r="T495">
        <v>2.5223019999999999E-2</v>
      </c>
      <c r="U495">
        <v>-0.27557369999999998</v>
      </c>
      <c r="V495">
        <v>-2.6027890000000001E-2</v>
      </c>
      <c r="W495">
        <v>-0.1035329</v>
      </c>
      <c r="X495">
        <v>0.99428539999999999</v>
      </c>
      <c r="Y495">
        <v>8.4357180000000004E-2</v>
      </c>
      <c r="Z495" s="1">
        <v>4.2818139999999999E-5</v>
      </c>
      <c r="AA495">
        <v>0.99643559999999998</v>
      </c>
      <c r="AB495">
        <v>40</v>
      </c>
      <c r="AC495">
        <v>275.6979</v>
      </c>
      <c r="AD495">
        <v>2.2993329999999998</v>
      </c>
      <c r="AE495">
        <v>-25.120200000000001</v>
      </c>
      <c r="AF495">
        <v>23.368898429715799</v>
      </c>
      <c r="AG495">
        <v>2.2993329999999998</v>
      </c>
      <c r="AH495">
        <v>275.83269988922098</v>
      </c>
      <c r="AI495">
        <v>89.524099986290494</v>
      </c>
      <c r="AJ495">
        <v>85.157392581517499</v>
      </c>
      <c r="AK495">
        <v>276.83040056005399</v>
      </c>
      <c r="AL495">
        <v>95.942647325185007</v>
      </c>
      <c r="AM495">
        <v>91.499516885422395</v>
      </c>
      <c r="AN495">
        <v>0.99999998454671002</v>
      </c>
    </row>
    <row r="496" spans="1:40" x14ac:dyDescent="0.25">
      <c r="A496" t="str">
        <f>"20190305134918576"</f>
        <v>20190305134918576</v>
      </c>
      <c r="B496" t="str">
        <f>"1551764958571122"</f>
        <v>1551764958571122</v>
      </c>
      <c r="C496" t="s">
        <v>40</v>
      </c>
      <c r="D496">
        <v>4.1804399999999999</v>
      </c>
      <c r="E496">
        <v>0.54334369999999999</v>
      </c>
      <c r="F496" t="s">
        <v>53</v>
      </c>
      <c r="G496">
        <v>-141.5778</v>
      </c>
      <c r="H496">
        <v>3.2398920000000002</v>
      </c>
      <c r="I496">
        <v>342.64400000000001</v>
      </c>
      <c r="J496">
        <v>-416.87119999999999</v>
      </c>
      <c r="K496">
        <v>1.0582480000000001</v>
      </c>
      <c r="L496">
        <v>367.7629</v>
      </c>
      <c r="M496">
        <v>0.99996600000000002</v>
      </c>
      <c r="N496">
        <v>-5.2652710000000002E-3</v>
      </c>
      <c r="O496">
        <v>-6.3455430000000004E-3</v>
      </c>
      <c r="P496">
        <v>0.99385049999999997</v>
      </c>
      <c r="Q496">
        <v>-0.1090009</v>
      </c>
      <c r="R496">
        <v>1.9499499999999999E-2</v>
      </c>
      <c r="S496">
        <v>3.0265810000000002</v>
      </c>
      <c r="T496">
        <v>2.3967740000000001E-2</v>
      </c>
      <c r="U496">
        <v>-0.27597050000000001</v>
      </c>
      <c r="V496">
        <v>-2.5826729999999999E-2</v>
      </c>
      <c r="W496">
        <v>-0.1037621</v>
      </c>
      <c r="X496">
        <v>0.99426669999999995</v>
      </c>
      <c r="Y496">
        <v>8.4484000000000004E-2</v>
      </c>
      <c r="Z496" s="1">
        <v>2.745562E-5</v>
      </c>
      <c r="AA496">
        <v>0.99642489999999995</v>
      </c>
      <c r="AB496">
        <v>40</v>
      </c>
      <c r="AC496">
        <v>275.29340000000002</v>
      </c>
      <c r="AD496">
        <v>2.1816439999999999</v>
      </c>
      <c r="AE496">
        <v>-25.1189</v>
      </c>
      <c r="AF496">
        <v>23.370028356917899</v>
      </c>
      <c r="AG496">
        <v>2.1816439999999999</v>
      </c>
      <c r="AH496">
        <v>275.430097744492</v>
      </c>
      <c r="AI496">
        <v>89.547802272181599</v>
      </c>
      <c r="AJ496">
        <v>85.150114402388795</v>
      </c>
      <c r="AK496">
        <v>276.428393149991</v>
      </c>
      <c r="AL496">
        <v>95.955850943614195</v>
      </c>
      <c r="AM496">
        <v>91.487960872628406</v>
      </c>
      <c r="AN496">
        <v>0.99999993205389404</v>
      </c>
    </row>
    <row r="497" spans="1:40" x14ac:dyDescent="0.25">
      <c r="A497" t="str">
        <f>"20190305134918587"</f>
        <v>20190305134918587</v>
      </c>
      <c r="B497" t="str">
        <f>"1551764958581858"</f>
        <v>1551764958581858</v>
      </c>
      <c r="C497" t="s">
        <v>40</v>
      </c>
      <c r="D497">
        <v>4.1485260000000004</v>
      </c>
      <c r="E497">
        <v>0.54332340000000001</v>
      </c>
      <c r="F497" t="s">
        <v>53</v>
      </c>
      <c r="G497">
        <v>-142.2115</v>
      </c>
      <c r="H497">
        <v>3.1393949999999999</v>
      </c>
      <c r="I497">
        <v>342.64400000000001</v>
      </c>
      <c r="J497">
        <v>-416.63619999999997</v>
      </c>
      <c r="K497">
        <v>1.058252</v>
      </c>
      <c r="L497">
        <v>367.76139999999998</v>
      </c>
      <c r="M497">
        <v>0.99996600000000002</v>
      </c>
      <c r="N497">
        <v>-5.2815969999999999E-3</v>
      </c>
      <c r="O497">
        <v>-6.3469640000000001E-3</v>
      </c>
      <c r="P497">
        <v>0.99382099999999995</v>
      </c>
      <c r="Q497">
        <v>-0.109270699999999</v>
      </c>
      <c r="R497">
        <v>1.950153E-2</v>
      </c>
      <c r="S497">
        <v>3.0265810000000002</v>
      </c>
      <c r="T497">
        <v>2.293301E-2</v>
      </c>
      <c r="U497">
        <v>-0.2767944</v>
      </c>
      <c r="V497">
        <v>-2.5827929999999999E-2</v>
      </c>
      <c r="W497">
        <v>-0.10401630000000001</v>
      </c>
      <c r="X497">
        <v>0.99424020000000002</v>
      </c>
      <c r="Y497">
        <v>8.4751709999999994E-2</v>
      </c>
      <c r="Z497" s="1">
        <v>1.4694469999999999E-5</v>
      </c>
      <c r="AA497">
        <v>0.99640209999999996</v>
      </c>
      <c r="AB497">
        <v>40</v>
      </c>
      <c r="AC497">
        <v>274.42469999999997</v>
      </c>
      <c r="AD497">
        <v>2.081143</v>
      </c>
      <c r="AE497">
        <v>-25.1173999999999</v>
      </c>
      <c r="AF497">
        <v>23.373773136790401</v>
      </c>
      <c r="AG497">
        <v>2.081143</v>
      </c>
      <c r="AH497">
        <v>274.56293433535598</v>
      </c>
      <c r="AI497">
        <v>89.567280623363104</v>
      </c>
      <c r="AJ497">
        <v>85.134094377563798</v>
      </c>
      <c r="AK497">
        <v>275.56391152993399</v>
      </c>
      <c r="AL497">
        <v>95.970494220612807</v>
      </c>
      <c r="AM497">
        <v>91.488069620802705</v>
      </c>
      <c r="AN497">
        <v>1.0000000239649001</v>
      </c>
    </row>
    <row r="498" spans="1:40" x14ac:dyDescent="0.25">
      <c r="A498" t="str">
        <f>"20190305134918599"</f>
        <v>20190305134918599</v>
      </c>
      <c r="B498" t="str">
        <f>"1551764958591618"</f>
        <v>1551764958591618</v>
      </c>
      <c r="C498" t="s">
        <v>40</v>
      </c>
      <c r="D498">
        <v>4.1572469999999999</v>
      </c>
      <c r="E498">
        <v>0.54330559999999894</v>
      </c>
      <c r="F498" t="s">
        <v>53</v>
      </c>
      <c r="G498">
        <v>-141.5763</v>
      </c>
      <c r="H498">
        <v>3.0711059999999999</v>
      </c>
      <c r="I498">
        <v>342.64400000000001</v>
      </c>
      <c r="J498">
        <v>-416.43189999999998</v>
      </c>
      <c r="K498">
        <v>1.058257</v>
      </c>
      <c r="L498">
        <v>367.76010000000002</v>
      </c>
      <c r="M498">
        <v>0.99996580000000002</v>
      </c>
      <c r="N498">
        <v>-5.2958019999999996E-3</v>
      </c>
      <c r="O498">
        <v>-6.3485109999999898E-3</v>
      </c>
      <c r="P498">
        <v>0.99376019999999998</v>
      </c>
      <c r="Q498">
        <v>-0.1098445</v>
      </c>
      <c r="R498">
        <v>1.936156E-2</v>
      </c>
      <c r="S498">
        <v>3.0264890000000002</v>
      </c>
      <c r="T498">
        <v>2.214754E-2</v>
      </c>
      <c r="U498">
        <v>-0.27636719999999998</v>
      </c>
      <c r="V498">
        <v>-2.568703E-2</v>
      </c>
      <c r="W498">
        <v>-0.10457669999999999</v>
      </c>
      <c r="X498">
        <v>0.99418499999999999</v>
      </c>
      <c r="Y498">
        <v>8.461349E-2</v>
      </c>
      <c r="Z498" s="1">
        <v>4.5240740000000001E-6</v>
      </c>
      <c r="AA498">
        <v>0.99641380000000002</v>
      </c>
      <c r="AB498">
        <v>40</v>
      </c>
      <c r="AC498">
        <v>274.85559999999998</v>
      </c>
      <c r="AD498">
        <v>2.0128490000000001</v>
      </c>
      <c r="AE498">
        <v>-25.116099999999999</v>
      </c>
      <c r="AF498">
        <v>23.369402595654599</v>
      </c>
      <c r="AG498">
        <v>2.0128490000000001</v>
      </c>
      <c r="AH498">
        <v>274.99488700177398</v>
      </c>
      <c r="AI498">
        <v>89.582132159212193</v>
      </c>
      <c r="AJ498">
        <v>85.142605047056804</v>
      </c>
      <c r="AK498">
        <v>275.99342096487197</v>
      </c>
      <c r="AL498">
        <v>96.002779221025193</v>
      </c>
      <c r="AM498">
        <v>91.480037458164503</v>
      </c>
      <c r="AN498">
        <v>0.99999996195905405</v>
      </c>
    </row>
    <row r="499" spans="1:40" x14ac:dyDescent="0.25">
      <c r="A499" t="str">
        <f>"20190305134918612"</f>
        <v>20190305134918612</v>
      </c>
      <c r="B499" t="str">
        <f>"1551764958601378"</f>
        <v>1551764958601378</v>
      </c>
      <c r="C499" t="s">
        <v>40</v>
      </c>
      <c r="D499">
        <v>4.130458</v>
      </c>
      <c r="E499">
        <v>0.54330029999999996</v>
      </c>
      <c r="F499" t="s">
        <v>53</v>
      </c>
      <c r="G499">
        <v>-141.99279999999999</v>
      </c>
      <c r="H499">
        <v>2.9255330000000002</v>
      </c>
      <c r="I499">
        <v>342.64400000000001</v>
      </c>
      <c r="J499">
        <v>-416.21289999999999</v>
      </c>
      <c r="K499">
        <v>1.058263</v>
      </c>
      <c r="L499">
        <v>367.75869999999998</v>
      </c>
      <c r="M499">
        <v>0.99996589999999996</v>
      </c>
      <c r="N499">
        <v>-5.3110259999999999E-3</v>
      </c>
      <c r="O499">
        <v>-6.3504169999999997E-3</v>
      </c>
      <c r="P499">
        <v>0.99373409999999995</v>
      </c>
      <c r="Q499">
        <v>-0.11010880000000001</v>
      </c>
      <c r="R499">
        <v>1.9209380000000002E-2</v>
      </c>
      <c r="S499">
        <v>3.0264890000000002</v>
      </c>
      <c r="T499">
        <v>2.059221E-2</v>
      </c>
      <c r="U499">
        <v>-0.27697749999999999</v>
      </c>
      <c r="V499">
        <v>-2.5535599999999999E-2</v>
      </c>
      <c r="W499">
        <v>-0.1048264</v>
      </c>
      <c r="X499">
        <v>0.99416260000000001</v>
      </c>
      <c r="Y499">
        <v>8.4811049999999999E-2</v>
      </c>
      <c r="Z499" s="1">
        <v>-1.4539870000000001E-5</v>
      </c>
      <c r="AA499">
        <v>0.99639710000000004</v>
      </c>
      <c r="AB499">
        <v>40</v>
      </c>
      <c r="AC499">
        <v>274.2201</v>
      </c>
      <c r="AD499">
        <v>1.86727</v>
      </c>
      <c r="AE499">
        <v>-25.1146999999999</v>
      </c>
      <c r="AF499">
        <v>23.371682640669999</v>
      </c>
      <c r="AG499">
        <v>1.86727</v>
      </c>
      <c r="AH499">
        <v>274.36144579201402</v>
      </c>
      <c r="AI499">
        <v>89.611465176891699</v>
      </c>
      <c r="AJ499">
        <v>85.130971496766705</v>
      </c>
      <c r="AK499">
        <v>275.36144462105301</v>
      </c>
      <c r="AL499">
        <v>96.017165069921603</v>
      </c>
      <c r="AM499">
        <v>91.471349334667707</v>
      </c>
      <c r="AN499">
        <v>0.99999995812153897</v>
      </c>
    </row>
    <row r="500" spans="1:40" x14ac:dyDescent="0.25">
      <c r="A500" t="str">
        <f>"20190305134918622"</f>
        <v>20190305134918622</v>
      </c>
      <c r="B500" t="str">
        <f>"1551764958611138"</f>
        <v>1551764958611138</v>
      </c>
      <c r="C500" t="s">
        <v>40</v>
      </c>
      <c r="D500">
        <v>4.129829</v>
      </c>
      <c r="E500">
        <v>0.5432515</v>
      </c>
      <c r="F500" t="s">
        <v>53</v>
      </c>
      <c r="G500">
        <v>-141.9708</v>
      </c>
      <c r="H500">
        <v>2.8508840000000002</v>
      </c>
      <c r="I500">
        <v>342.64400000000001</v>
      </c>
      <c r="J500">
        <v>-415.99650000000003</v>
      </c>
      <c r="K500">
        <v>1.058268</v>
      </c>
      <c r="L500">
        <v>367.75729999999999</v>
      </c>
      <c r="M500">
        <v>0.99996569999999996</v>
      </c>
      <c r="N500">
        <v>-5.3259960000000004E-3</v>
      </c>
      <c r="O500">
        <v>-6.3520900000000003E-3</v>
      </c>
      <c r="P500">
        <v>0.99371880000000001</v>
      </c>
      <c r="Q500">
        <v>-0.1102648</v>
      </c>
      <c r="R500">
        <v>1.9097099999999999E-2</v>
      </c>
      <c r="S500">
        <v>3.0264890000000002</v>
      </c>
      <c r="T500">
        <v>1.9783140000000001E-2</v>
      </c>
      <c r="U500">
        <v>-0.27716059999999998</v>
      </c>
      <c r="V500">
        <v>-2.5423339999999999E-2</v>
      </c>
      <c r="W500">
        <v>-0.10496800000000001</v>
      </c>
      <c r="X500">
        <v>0.9941506</v>
      </c>
      <c r="Y500">
        <v>8.4869239999999999E-2</v>
      </c>
      <c r="Z500" s="1">
        <v>-2.4875630000000002E-5</v>
      </c>
      <c r="AA500">
        <v>0.9963921</v>
      </c>
      <c r="AB500">
        <v>41</v>
      </c>
      <c r="AC500">
        <v>274.02569999999997</v>
      </c>
      <c r="AD500">
        <v>1.792616</v>
      </c>
      <c r="AE500">
        <v>-25.113299999999899</v>
      </c>
      <c r="AF500">
        <v>23.371141001082801</v>
      </c>
      <c r="AG500">
        <v>1.792616</v>
      </c>
      <c r="AH500">
        <v>274.16806037637099</v>
      </c>
      <c r="AI500">
        <v>89.626737209035198</v>
      </c>
      <c r="AJ500">
        <v>85.127666013970398</v>
      </c>
      <c r="AK500">
        <v>275.16821952100003</v>
      </c>
      <c r="AL500">
        <v>96.025322777814495</v>
      </c>
      <c r="AM500">
        <v>91.464901464928801</v>
      </c>
      <c r="AN500">
        <v>1.00000002136055</v>
      </c>
    </row>
    <row r="501" spans="1:40" x14ac:dyDescent="0.25">
      <c r="A501" t="str">
        <f>"20190305134918635"</f>
        <v>20190305134918635</v>
      </c>
      <c r="B501" t="str">
        <f>"1551764958631634"</f>
        <v>1551764958631634</v>
      </c>
      <c r="C501" t="s">
        <v>40</v>
      </c>
      <c r="D501">
        <v>4.1334770000000001</v>
      </c>
      <c r="E501">
        <v>0.5432015</v>
      </c>
      <c r="F501" t="s">
        <v>53</v>
      </c>
      <c r="G501">
        <v>-141.77770000000001</v>
      </c>
      <c r="H501">
        <v>2.801453</v>
      </c>
      <c r="I501">
        <v>342.64400000000001</v>
      </c>
      <c r="J501">
        <v>-415.78629999999998</v>
      </c>
      <c r="K501">
        <v>1.058273</v>
      </c>
      <c r="L501">
        <v>367.75599999999997</v>
      </c>
      <c r="M501">
        <v>0.99996569999999996</v>
      </c>
      <c r="N501">
        <v>-5.3405830000000003E-3</v>
      </c>
      <c r="O501">
        <v>-6.3537649999999999E-3</v>
      </c>
      <c r="P501">
        <v>0.99370809999999998</v>
      </c>
      <c r="Q501">
        <v>-0.110383</v>
      </c>
      <c r="R501">
        <v>1.8976349999999999E-2</v>
      </c>
      <c r="S501">
        <v>3.0263979999999999</v>
      </c>
      <c r="T501">
        <v>1.923859E-2</v>
      </c>
      <c r="U501">
        <v>-0.27716059999999998</v>
      </c>
      <c r="V501">
        <v>-2.530313E-2</v>
      </c>
      <c r="W501">
        <v>-0.105072</v>
      </c>
      <c r="X501">
        <v>0.99414270000000005</v>
      </c>
      <c r="Y501">
        <v>8.4870349999999997E-2</v>
      </c>
      <c r="Z501" s="1">
        <v>-3.207906E-5</v>
      </c>
      <c r="AA501">
        <v>0.99639200000000006</v>
      </c>
      <c r="AB501">
        <v>41</v>
      </c>
      <c r="AC501">
        <v>274.0086</v>
      </c>
      <c r="AD501">
        <v>1.74318</v>
      </c>
      <c r="AE501">
        <v>-25.111999999999899</v>
      </c>
      <c r="AF501">
        <v>23.369544327683101</v>
      </c>
      <c r="AG501">
        <v>1.74318</v>
      </c>
      <c r="AH501">
        <v>274.15162379366598</v>
      </c>
      <c r="AI501">
        <v>89.637008828959395</v>
      </c>
      <c r="AJ501">
        <v>85.127706588936206</v>
      </c>
      <c r="AK501">
        <v>275.151389433708</v>
      </c>
      <c r="AL501">
        <v>96.031314555797195</v>
      </c>
      <c r="AM501">
        <v>91.457989501667498</v>
      </c>
      <c r="AN501">
        <v>1.00000004076754</v>
      </c>
    </row>
    <row r="502" spans="1:40" x14ac:dyDescent="0.25">
      <c r="A502" t="str">
        <f>"20190305134918647"</f>
        <v>20190305134918647</v>
      </c>
      <c r="B502" t="str">
        <f>"1551764958641394"</f>
        <v>1551764958641394</v>
      </c>
      <c r="C502" t="s">
        <v>40</v>
      </c>
      <c r="D502">
        <v>4.152736</v>
      </c>
      <c r="E502">
        <v>0.54319700000000004</v>
      </c>
      <c r="F502" t="s">
        <v>53</v>
      </c>
      <c r="G502">
        <v>-141.61539999999999</v>
      </c>
      <c r="H502">
        <v>2.7451080000000001</v>
      </c>
      <c r="I502">
        <v>342.64400000000001</v>
      </c>
      <c r="J502">
        <v>-415.55470000000003</v>
      </c>
      <c r="K502">
        <v>1.058276</v>
      </c>
      <c r="L502">
        <v>367.75450000000001</v>
      </c>
      <c r="M502">
        <v>0.99996560000000001</v>
      </c>
      <c r="N502">
        <v>-5.3567010000000002E-3</v>
      </c>
      <c r="O502">
        <v>-6.3553269999999896E-3</v>
      </c>
      <c r="P502">
        <v>0.99371810000000005</v>
      </c>
      <c r="Q502">
        <v>-0.1103235</v>
      </c>
      <c r="R502">
        <v>1.879256E-2</v>
      </c>
      <c r="S502">
        <v>3.026367</v>
      </c>
      <c r="T502">
        <v>1.8619779999999999E-2</v>
      </c>
      <c r="U502">
        <v>-0.27719120000000003</v>
      </c>
      <c r="V502">
        <v>-2.51194E-2</v>
      </c>
      <c r="W502">
        <v>-0.1049968</v>
      </c>
      <c r="X502">
        <v>0.99415529999999996</v>
      </c>
      <c r="Y502">
        <v>8.487973E-2</v>
      </c>
      <c r="Z502" s="1">
        <v>-4.0240990000000002E-5</v>
      </c>
      <c r="AA502">
        <v>0.99639120000000003</v>
      </c>
      <c r="AB502">
        <v>41</v>
      </c>
      <c r="AC502">
        <v>273.9393</v>
      </c>
      <c r="AD502">
        <v>1.6868319999999899</v>
      </c>
      <c r="AE502">
        <v>-25.110499999999998</v>
      </c>
      <c r="AF502">
        <v>23.368115644120699</v>
      </c>
      <c r="AG502">
        <v>1.6868319999999899</v>
      </c>
      <c r="AH502">
        <v>274.08304942580003</v>
      </c>
      <c r="AI502">
        <v>89.648654756768593</v>
      </c>
      <c r="AJ502">
        <v>85.126789937338501</v>
      </c>
      <c r="AK502">
        <v>275.08259162204098</v>
      </c>
      <c r="AL502">
        <v>96.026981974387098</v>
      </c>
      <c r="AM502">
        <v>91.447388994171604</v>
      </c>
      <c r="AN502">
        <v>1.00000003639234</v>
      </c>
    </row>
    <row r="503" spans="1:40" x14ac:dyDescent="0.25">
      <c r="A503" t="str">
        <f>"20190305134918664"</f>
        <v>20190305134918664</v>
      </c>
      <c r="B503" t="str">
        <f>"1551764958661890"</f>
        <v>1551764958661890</v>
      </c>
      <c r="C503" t="s">
        <v>40</v>
      </c>
      <c r="D503">
        <v>4.1518739999999896</v>
      </c>
      <c r="E503">
        <v>0.54318559999999905</v>
      </c>
      <c r="F503" t="s">
        <v>53</v>
      </c>
      <c r="G503">
        <v>-141.97730000000001</v>
      </c>
      <c r="H503">
        <v>2.7426140000000001</v>
      </c>
      <c r="I503">
        <v>342.64400000000001</v>
      </c>
      <c r="J503">
        <v>-415.23989999999998</v>
      </c>
      <c r="K503">
        <v>1.0582830000000001</v>
      </c>
      <c r="L503">
        <v>367.7525</v>
      </c>
      <c r="M503">
        <v>0.99996529999999995</v>
      </c>
      <c r="N503">
        <v>-5.3825619999999996E-3</v>
      </c>
      <c r="O503">
        <v>-6.3573869999999999E-3</v>
      </c>
      <c r="P503">
        <v>0.99377769999999999</v>
      </c>
      <c r="Q503">
        <v>-0.1097867</v>
      </c>
      <c r="R503">
        <v>1.8781260000000001E-2</v>
      </c>
      <c r="S503">
        <v>3.0263059999999999</v>
      </c>
      <c r="T503">
        <v>1.863217E-2</v>
      </c>
      <c r="U503">
        <v>-0.27777099999999999</v>
      </c>
      <c r="V503">
        <v>-2.5109039999999999E-2</v>
      </c>
      <c r="W503">
        <v>-0.10443429999999999</v>
      </c>
      <c r="X503">
        <v>0.99421479999999995</v>
      </c>
      <c r="Y503">
        <v>8.5068809999999995E-2</v>
      </c>
      <c r="Z503" s="1">
        <v>-4.1309449999999998E-5</v>
      </c>
      <c r="AA503">
        <v>0.99637509999999996</v>
      </c>
      <c r="AB503">
        <v>41</v>
      </c>
      <c r="AC503">
        <v>273.26260000000002</v>
      </c>
      <c r="AD503">
        <v>1.684331</v>
      </c>
      <c r="AE503">
        <v>-25.1084999999999</v>
      </c>
      <c r="AF503">
        <v>23.3698508680583</v>
      </c>
      <c r="AG503">
        <v>1.684331</v>
      </c>
      <c r="AH503">
        <v>273.406404058509</v>
      </c>
      <c r="AI503">
        <v>89.648313924907896</v>
      </c>
      <c r="AJ503">
        <v>85.114426669449003</v>
      </c>
      <c r="AK503">
        <v>274.40854338142901</v>
      </c>
      <c r="AL503">
        <v>95.994574984330697</v>
      </c>
      <c r="AM503">
        <v>91.446705752708596</v>
      </c>
      <c r="AN503">
        <v>1.00000002772262</v>
      </c>
    </row>
    <row r="504" spans="1:40" x14ac:dyDescent="0.25">
      <c r="A504" t="str">
        <f>"20190305134918676"</f>
        <v>20190305134918676</v>
      </c>
      <c r="B504" t="str">
        <f>"1551764958671650"</f>
        <v>1551764958671650</v>
      </c>
      <c r="C504" t="s">
        <v>40</v>
      </c>
      <c r="D504">
        <v>4.1867999999999999</v>
      </c>
      <c r="E504">
        <v>0.54317340000000003</v>
      </c>
      <c r="F504" t="s">
        <v>53</v>
      </c>
      <c r="G504">
        <v>-141.38929999999999</v>
      </c>
      <c r="H504">
        <v>2.8713489999999999</v>
      </c>
      <c r="I504">
        <v>342.64400000000001</v>
      </c>
      <c r="J504">
        <v>-415.02760000000001</v>
      </c>
      <c r="K504">
        <v>1.058284</v>
      </c>
      <c r="L504">
        <v>367.75119999999998</v>
      </c>
      <c r="M504">
        <v>0.9999652</v>
      </c>
      <c r="N504">
        <v>-5.4076760000000001E-3</v>
      </c>
      <c r="O504">
        <v>-6.3586249999999997E-3</v>
      </c>
      <c r="P504">
        <v>0.99379130000000004</v>
      </c>
      <c r="Q504">
        <v>-0.1097057</v>
      </c>
      <c r="R504">
        <v>1.8541200000000001E-2</v>
      </c>
      <c r="S504">
        <v>3.0262449999999999</v>
      </c>
      <c r="T504">
        <v>2.003574E-2</v>
      </c>
      <c r="U504">
        <v>-0.27746579999999998</v>
      </c>
      <c r="V504">
        <v>-2.486944E-2</v>
      </c>
      <c r="W504">
        <v>-0.1043285</v>
      </c>
      <c r="X504">
        <v>0.99423189999999995</v>
      </c>
      <c r="Y504">
        <v>8.4969649999999994E-2</v>
      </c>
      <c r="Z504" s="1">
        <v>-2.586335E-5</v>
      </c>
      <c r="AA504">
        <v>0.99638349999999998</v>
      </c>
      <c r="AB504">
        <v>41</v>
      </c>
      <c r="AC504">
        <v>273.63830000000002</v>
      </c>
      <c r="AD504">
        <v>1.8130649999999999</v>
      </c>
      <c r="AE504">
        <v>-25.107199999999899</v>
      </c>
      <c r="AF504">
        <v>23.3656864910594</v>
      </c>
      <c r="AG504">
        <v>1.8130649999999999</v>
      </c>
      <c r="AH504">
        <v>273.78049863611</v>
      </c>
      <c r="AI504">
        <v>89.621948217011095</v>
      </c>
      <c r="AJ504">
        <v>85.121935289832706</v>
      </c>
      <c r="AK504">
        <v>274.78173873700098</v>
      </c>
      <c r="AL504">
        <v>95.9884799739242</v>
      </c>
      <c r="AM504">
        <v>91.432881885340805</v>
      </c>
      <c r="AN504">
        <v>0.99999999796788597</v>
      </c>
    </row>
    <row r="505" spans="1:40" x14ac:dyDescent="0.25">
      <c r="A505" t="str">
        <f>"20190305134918688"</f>
        <v>20190305134918688</v>
      </c>
      <c r="B505" t="str">
        <f>"1551764958681410"</f>
        <v>1551764958681410</v>
      </c>
      <c r="C505" t="s">
        <v>40</v>
      </c>
      <c r="D505">
        <v>4.1556810000000004</v>
      </c>
      <c r="E505">
        <v>0.54315040000000003</v>
      </c>
      <c r="F505" t="s">
        <v>53</v>
      </c>
      <c r="G505">
        <v>-141.86089999999999</v>
      </c>
      <c r="H505">
        <v>2.87751</v>
      </c>
      <c r="I505">
        <v>342.64400000000001</v>
      </c>
      <c r="J505">
        <v>-414.8134</v>
      </c>
      <c r="K505">
        <v>1.058292</v>
      </c>
      <c r="L505">
        <v>367.74979999999999</v>
      </c>
      <c r="M505">
        <v>0.99996510000000005</v>
      </c>
      <c r="N505">
        <v>-5.4382120000000004E-3</v>
      </c>
      <c r="O505">
        <v>-6.3598810000000004E-3</v>
      </c>
      <c r="P505">
        <v>0.99376059999999999</v>
      </c>
      <c r="Q505">
        <v>-0.1099533</v>
      </c>
      <c r="R505">
        <v>1.8713919999999998E-2</v>
      </c>
      <c r="S505">
        <v>3.026154</v>
      </c>
      <c r="T505">
        <v>2.0153520000000001E-2</v>
      </c>
      <c r="U505">
        <v>-0.27813719999999997</v>
      </c>
      <c r="V505">
        <v>-2.5042849999999998E-2</v>
      </c>
      <c r="W505">
        <v>-0.1045461</v>
      </c>
      <c r="X505">
        <v>0.99420469999999905</v>
      </c>
      <c r="Y505">
        <v>8.5190370000000001E-2</v>
      </c>
      <c r="Z505" s="1">
        <v>-2.5834540000000001E-5</v>
      </c>
      <c r="AA505">
        <v>0.99636469999999999</v>
      </c>
      <c r="AB505">
        <v>41</v>
      </c>
      <c r="AC505">
        <v>272.95249999999999</v>
      </c>
      <c r="AD505">
        <v>1.819218</v>
      </c>
      <c r="AE505">
        <v>-25.105799999999899</v>
      </c>
      <c r="AF505">
        <v>23.368291993105402</v>
      </c>
      <c r="AG505">
        <v>1.819218</v>
      </c>
      <c r="AH505">
        <v>273.09462226172502</v>
      </c>
      <c r="AI505">
        <v>89.619719812385995</v>
      </c>
      <c r="AJ505">
        <v>85.109200715800796</v>
      </c>
      <c r="AK505">
        <v>274.09863066619101</v>
      </c>
      <c r="AL505">
        <v>96.001016026663507</v>
      </c>
      <c r="AM505">
        <v>91.442908354546404</v>
      </c>
      <c r="AN505">
        <v>1.00000000843171</v>
      </c>
    </row>
    <row r="506" spans="1:40" x14ac:dyDescent="0.25">
      <c r="A506" t="str">
        <f>"20190305134918699"</f>
        <v>20190305134918699</v>
      </c>
      <c r="B506" t="str">
        <f>"1551764958691170"</f>
        <v>1551764958691170</v>
      </c>
      <c r="C506" t="s">
        <v>40</v>
      </c>
      <c r="D506">
        <v>4.1819439999999997</v>
      </c>
      <c r="E506">
        <v>0.54313219999999995</v>
      </c>
      <c r="F506" t="s">
        <v>53</v>
      </c>
      <c r="G506">
        <v>-140.9982</v>
      </c>
      <c r="H506">
        <v>2.7982230000000001</v>
      </c>
      <c r="I506">
        <v>342.64400000000001</v>
      </c>
      <c r="J506">
        <v>-414.60849999999999</v>
      </c>
      <c r="K506">
        <v>1.0583049999999901</v>
      </c>
      <c r="L506">
        <v>367.7484</v>
      </c>
      <c r="M506">
        <v>0.99996479999999999</v>
      </c>
      <c r="N506">
        <v>-5.4953449999999996E-3</v>
      </c>
      <c r="O506">
        <v>-6.360976E-3</v>
      </c>
      <c r="P506">
        <v>0.99375400000000003</v>
      </c>
      <c r="Q506">
        <v>-0.10994130000000001</v>
      </c>
      <c r="R506">
        <v>1.9136710000000001E-2</v>
      </c>
      <c r="S506">
        <v>3.0261840000000002</v>
      </c>
      <c r="T506">
        <v>1.9229650000000001E-2</v>
      </c>
      <c r="U506">
        <v>-0.27746579999999998</v>
      </c>
      <c r="V506">
        <v>-2.5465910000000001E-2</v>
      </c>
      <c r="W506">
        <v>-0.104477399999999</v>
      </c>
      <c r="X506">
        <v>0.99420120000000001</v>
      </c>
      <c r="Y506">
        <v>8.4969240000000001E-2</v>
      </c>
      <c r="Z506" s="1">
        <v>-3.9777719999999998E-5</v>
      </c>
      <c r="AA506">
        <v>0.99638349999999998</v>
      </c>
      <c r="AB506">
        <v>41</v>
      </c>
      <c r="AC506">
        <v>273.6103</v>
      </c>
      <c r="AD506">
        <v>1.7399180000000001</v>
      </c>
      <c r="AE506">
        <v>-25.104399999999998</v>
      </c>
      <c r="AF506">
        <v>23.362500636269498</v>
      </c>
      <c r="AG506">
        <v>1.7399180000000001</v>
      </c>
      <c r="AH506">
        <v>273.75347753836701</v>
      </c>
      <c r="AI506">
        <v>89.637164160676804</v>
      </c>
      <c r="AJ506">
        <v>85.122118087484495</v>
      </c>
      <c r="AK506">
        <v>274.75407224457302</v>
      </c>
      <c r="AL506">
        <v>95.997057984665105</v>
      </c>
      <c r="AM506">
        <v>91.467278642762295</v>
      </c>
      <c r="AN506">
        <v>1.0000000328821601</v>
      </c>
    </row>
    <row r="507" spans="1:40" x14ac:dyDescent="0.25">
      <c r="A507" t="str">
        <f>"20190305134918712"</f>
        <v>20190305134918712</v>
      </c>
      <c r="B507" t="str">
        <f>"1551764958700930"</f>
        <v>1551764958700930</v>
      </c>
      <c r="C507" t="s">
        <v>40</v>
      </c>
      <c r="D507">
        <v>4.1627359999999998</v>
      </c>
      <c r="E507">
        <v>0.54312280000000002</v>
      </c>
      <c r="F507" t="s">
        <v>47</v>
      </c>
      <c r="G507">
        <v>0</v>
      </c>
      <c r="H507">
        <v>0</v>
      </c>
      <c r="I507">
        <v>0</v>
      </c>
      <c r="J507">
        <v>-414.37509999999997</v>
      </c>
      <c r="K507">
        <v>1.058325</v>
      </c>
      <c r="L507">
        <v>367.74689999999998</v>
      </c>
      <c r="M507">
        <v>0.99996419999999997</v>
      </c>
      <c r="N507">
        <v>-5.5799999999999999E-3</v>
      </c>
      <c r="O507">
        <v>-6.3626259999999997E-3</v>
      </c>
      <c r="P507">
        <v>0.99373080000000003</v>
      </c>
      <c r="Q507">
        <v>-0.1101723</v>
      </c>
      <c r="R507">
        <v>1.9016290000000002E-2</v>
      </c>
      <c r="S507">
        <v>3.0262760000000002</v>
      </c>
      <c r="T507">
        <v>1.911962E-2</v>
      </c>
      <c r="U507">
        <v>-0.27584839999999999</v>
      </c>
      <c r="V507">
        <v>-2.5346529999999999E-2</v>
      </c>
      <c r="W507">
        <v>-0.1046245</v>
      </c>
      <c r="X507">
        <v>0.99418870000000004</v>
      </c>
      <c r="Y507">
        <v>8.4436750000000005E-2</v>
      </c>
      <c r="Z507" s="1">
        <v>-4.5436029999999999E-5</v>
      </c>
      <c r="AA507">
        <v>0.9964288</v>
      </c>
      <c r="AB507">
        <v>41</v>
      </c>
      <c r="AC507">
        <v>3.0262760000000002</v>
      </c>
      <c r="AD507">
        <v>1.911962E-2</v>
      </c>
      <c r="AE507">
        <v>-0.27584839999999999</v>
      </c>
      <c r="AF507">
        <v>0.25657729722954797</v>
      </c>
      <c r="AG507">
        <v>1.911962E-2</v>
      </c>
      <c r="AH507">
        <v>3.0278500263682999</v>
      </c>
      <c r="AI507">
        <v>89.639497652792301</v>
      </c>
      <c r="AJ507">
        <v>85.156378440518495</v>
      </c>
      <c r="AK507">
        <v>3.0387617957814799</v>
      </c>
      <c r="AL507">
        <v>96.005533126789203</v>
      </c>
      <c r="AM507">
        <v>91.460421621254795</v>
      </c>
      <c r="AN507">
        <v>0.99999995189548896</v>
      </c>
    </row>
    <row r="508" spans="1:40" x14ac:dyDescent="0.25">
      <c r="A508" t="str">
        <f>"20190305134918726"</f>
        <v>20190305134918726</v>
      </c>
      <c r="B508" t="str">
        <f>"1551764958721427"</f>
        <v>1551764958721427</v>
      </c>
      <c r="C508" t="s">
        <v>40</v>
      </c>
      <c r="D508">
        <v>4.1590720000000001</v>
      </c>
      <c r="E508">
        <v>0.54313109999999998</v>
      </c>
      <c r="F508" t="s">
        <v>47</v>
      </c>
      <c r="G508">
        <v>0</v>
      </c>
      <c r="H508">
        <v>0</v>
      </c>
      <c r="I508">
        <v>0</v>
      </c>
      <c r="J508">
        <v>-414.12580000000003</v>
      </c>
      <c r="K508">
        <v>1.0583629999999999</v>
      </c>
      <c r="L508">
        <v>367.74529999999999</v>
      </c>
      <c r="M508">
        <v>0.9999633</v>
      </c>
      <c r="N508">
        <v>-5.7390389999999996E-3</v>
      </c>
      <c r="O508">
        <v>-6.3650959999999998E-3</v>
      </c>
      <c r="P508">
        <v>0.99372479999999996</v>
      </c>
      <c r="Q508">
        <v>-0.1101506</v>
      </c>
      <c r="R508">
        <v>1.944272E-2</v>
      </c>
      <c r="S508">
        <v>3.0262760000000002</v>
      </c>
      <c r="T508">
        <v>1.8303750000000001E-2</v>
      </c>
      <c r="U508">
        <v>-0.276001</v>
      </c>
      <c r="V508">
        <v>-2.5775090000000001E-2</v>
      </c>
      <c r="W508">
        <v>-0.1044448</v>
      </c>
      <c r="X508">
        <v>0.99419669999999905</v>
      </c>
      <c r="Y508">
        <v>8.4484229999999993E-2</v>
      </c>
      <c r="Z508" s="1">
        <v>-6.2843900000000003E-5</v>
      </c>
      <c r="AA508">
        <v>0.9964248</v>
      </c>
      <c r="AB508">
        <v>41</v>
      </c>
      <c r="AC508">
        <v>3.0262760000000002</v>
      </c>
      <c r="AD508">
        <v>1.8303750000000001E-2</v>
      </c>
      <c r="AE508">
        <v>-0.276001</v>
      </c>
      <c r="AF508">
        <v>0.25672324087362403</v>
      </c>
      <c r="AG508">
        <v>1.8303750000000001E-2</v>
      </c>
      <c r="AH508">
        <v>3.0278616447431399</v>
      </c>
      <c r="AI508">
        <v>89.654883297572098</v>
      </c>
      <c r="AJ508">
        <v>85.153654968118303</v>
      </c>
      <c r="AK508">
        <v>3.0387806747732502</v>
      </c>
      <c r="AL508">
        <v>95.9951796142483</v>
      </c>
      <c r="AM508">
        <v>91.485091568899605</v>
      </c>
      <c r="AN508">
        <v>1.0000000749012099</v>
      </c>
    </row>
    <row r="509" spans="1:40" x14ac:dyDescent="0.25">
      <c r="A509" t="str">
        <f>"20190305134918743"</f>
        <v>20190305134918743</v>
      </c>
      <c r="B509" t="str">
        <f>"1551764958731185"</f>
        <v>1551764958731185</v>
      </c>
      <c r="C509" t="s">
        <v>40</v>
      </c>
      <c r="D509">
        <v>4.2094639999999997</v>
      </c>
      <c r="E509">
        <v>0.54313109999999998</v>
      </c>
      <c r="F509" t="s">
        <v>47</v>
      </c>
      <c r="G509">
        <v>0</v>
      </c>
      <c r="H509">
        <v>0</v>
      </c>
      <c r="I509">
        <v>0</v>
      </c>
      <c r="J509">
        <v>-413.80399999999997</v>
      </c>
      <c r="K509">
        <v>1.058441</v>
      </c>
      <c r="L509">
        <v>367.74329999999998</v>
      </c>
      <c r="M509">
        <v>0.99996130000000005</v>
      </c>
      <c r="N509">
        <v>-6.064051E-3</v>
      </c>
      <c r="O509">
        <v>-6.3710669999999898E-3</v>
      </c>
      <c r="P509">
        <v>0.99369479999999999</v>
      </c>
      <c r="Q509">
        <v>-0.1102897</v>
      </c>
      <c r="R509">
        <v>2.017209E-2</v>
      </c>
      <c r="S509">
        <v>3.026367</v>
      </c>
      <c r="T509">
        <v>1.808274E-2</v>
      </c>
      <c r="U509">
        <v>-0.27465820000000002</v>
      </c>
      <c r="V509">
        <v>-2.6509930000000001E-2</v>
      </c>
      <c r="W509">
        <v>-0.1042609</v>
      </c>
      <c r="X509">
        <v>0.99419659999999999</v>
      </c>
      <c r="Y509">
        <v>8.4037180000000003E-2</v>
      </c>
      <c r="Z509" s="1">
        <v>-8.1325069999999895E-5</v>
      </c>
      <c r="AA509">
        <v>0.99646259999999998</v>
      </c>
      <c r="AB509">
        <v>41</v>
      </c>
      <c r="AC509">
        <v>3.026367</v>
      </c>
      <c r="AD509">
        <v>1.808274E-2</v>
      </c>
      <c r="AE509">
        <v>-0.27465820000000002</v>
      </c>
      <c r="AF509">
        <v>0.25536204139124402</v>
      </c>
      <c r="AG509">
        <v>1.808274E-2</v>
      </c>
      <c r="AH509">
        <v>3.0279482553529</v>
      </c>
      <c r="AI509">
        <v>89.659047150434503</v>
      </c>
      <c r="AJ509">
        <v>85.179367106901793</v>
      </c>
      <c r="AK509">
        <v>3.0387509596484001</v>
      </c>
      <c r="AL509">
        <v>95.984585555179706</v>
      </c>
      <c r="AM509">
        <v>91.527411453828407</v>
      </c>
      <c r="AN509">
        <v>0.99999999555448704</v>
      </c>
    </row>
    <row r="510" spans="1:40" x14ac:dyDescent="0.25">
      <c r="A510" t="str">
        <f>"20190305134918756"</f>
        <v>20190305134918756</v>
      </c>
      <c r="B510" t="str">
        <f>"1551764958751681"</f>
        <v>1551764958751681</v>
      </c>
      <c r="C510" t="s">
        <v>40</v>
      </c>
      <c r="D510">
        <v>4.3033099999999997</v>
      </c>
      <c r="E510">
        <v>0.51672019999999996</v>
      </c>
      <c r="F510" t="s">
        <v>47</v>
      </c>
      <c r="G510">
        <v>0</v>
      </c>
      <c r="H510">
        <v>0</v>
      </c>
      <c r="I510">
        <v>0</v>
      </c>
      <c r="J510">
        <v>-413.55829999999997</v>
      </c>
      <c r="K510">
        <v>1.0585169999999999</v>
      </c>
      <c r="L510">
        <v>367.74180000000001</v>
      </c>
      <c r="M510">
        <v>0.99995919999999905</v>
      </c>
      <c r="N510">
        <v>-6.4046019999999997E-3</v>
      </c>
      <c r="O510">
        <v>-6.3790599999999998E-3</v>
      </c>
      <c r="P510">
        <v>0.99365000000000003</v>
      </c>
      <c r="Q510">
        <v>-0.110615</v>
      </c>
      <c r="R510">
        <v>2.0598729999999999E-2</v>
      </c>
      <c r="S510">
        <v>3.0264890000000002</v>
      </c>
      <c r="T510">
        <v>1.7454270000000001E-2</v>
      </c>
      <c r="U510">
        <v>-0.27270509999999998</v>
      </c>
      <c r="V510">
        <v>-2.694469E-2</v>
      </c>
      <c r="W510">
        <v>-0.1042478</v>
      </c>
      <c r="X510">
        <v>0.99418629999999997</v>
      </c>
      <c r="Y510">
        <v>8.3387849999999999E-2</v>
      </c>
      <c r="Z510">
        <v>-1.050947E-4</v>
      </c>
      <c r="AA510">
        <v>0.99651719999999999</v>
      </c>
      <c r="AB510">
        <v>41</v>
      </c>
      <c r="AC510">
        <v>3.0264890000000002</v>
      </c>
      <c r="AD510">
        <v>1.7454270000000001E-2</v>
      </c>
      <c r="AE510">
        <v>-0.27270509999999998</v>
      </c>
      <c r="AF510">
        <v>0.25338464164625402</v>
      </c>
      <c r="AG510">
        <v>1.7454270000000001E-2</v>
      </c>
      <c r="AH510">
        <v>3.0280671540001398</v>
      </c>
      <c r="AI510">
        <v>89.670891688061701</v>
      </c>
      <c r="AJ510">
        <v>85.216708816527898</v>
      </c>
      <c r="AK510">
        <v>3.03870023485337</v>
      </c>
      <c r="AL510">
        <v>95.9838307834749</v>
      </c>
      <c r="AM510">
        <v>91.552464753696199</v>
      </c>
      <c r="AN510">
        <v>1.0000000096158601</v>
      </c>
    </row>
    <row r="511" spans="1:40" x14ac:dyDescent="0.25">
      <c r="A511" t="str">
        <f>"20190305134918769"</f>
        <v>20190305134918769</v>
      </c>
      <c r="B511" t="str">
        <f>"1551764958761443"</f>
        <v>1551764958761443</v>
      </c>
      <c r="C511" t="s">
        <v>40</v>
      </c>
      <c r="D511">
        <v>4.2893509999999999</v>
      </c>
      <c r="E511">
        <v>0.50658740000000002</v>
      </c>
      <c r="F511" t="s">
        <v>42</v>
      </c>
      <c r="G511">
        <v>-364.20209999999997</v>
      </c>
      <c r="H511" s="1">
        <v>-2.9858479999999999E-6</v>
      </c>
      <c r="I511">
        <v>366.70589999999999</v>
      </c>
      <c r="J511">
        <v>-413.32209999999998</v>
      </c>
      <c r="K511">
        <v>1.058602</v>
      </c>
      <c r="L511">
        <v>367.74020000000002</v>
      </c>
      <c r="M511">
        <v>0.99995659999999997</v>
      </c>
      <c r="N511">
        <v>-6.7929560000000002E-3</v>
      </c>
      <c r="O511">
        <v>-6.3891919999999897E-3</v>
      </c>
      <c r="P511">
        <v>0.99355599999999999</v>
      </c>
      <c r="Q511">
        <v>-0.111399</v>
      </c>
      <c r="R511">
        <v>2.0901619999999999E-2</v>
      </c>
      <c r="S511">
        <v>3.0132750000000001</v>
      </c>
      <c r="T511">
        <v>-6.4624189999999998E-2</v>
      </c>
      <c r="U511">
        <v>-6.3232419999999998E-2</v>
      </c>
      <c r="V511">
        <v>-2.725737E-2</v>
      </c>
      <c r="W511">
        <v>-0.10464619999999999</v>
      </c>
      <c r="X511">
        <v>0.99413589999999996</v>
      </c>
      <c r="Y511">
        <v>1.4587910000000001E-2</v>
      </c>
      <c r="Z511">
        <v>-1.123584E-4</v>
      </c>
      <c r="AA511">
        <v>0.99989360000000005</v>
      </c>
      <c r="AB511">
        <v>41</v>
      </c>
      <c r="AC511">
        <v>49.12</v>
      </c>
      <c r="AD511">
        <v>-1.058604985848</v>
      </c>
      <c r="AE511">
        <v>-1.03430000000003</v>
      </c>
      <c r="AF511">
        <v>0.72010025028411995</v>
      </c>
      <c r="AG511">
        <v>-1.058604985848</v>
      </c>
      <c r="AH511">
        <v>49.102809521692798</v>
      </c>
      <c r="AI511">
        <v>91.234912744076297</v>
      </c>
      <c r="AJ511">
        <v>89.159808814211999</v>
      </c>
      <c r="AK511">
        <v>49.119498081822499</v>
      </c>
      <c r="AL511">
        <v>96.006783081038407</v>
      </c>
      <c r="AM511">
        <v>91.570550959197604</v>
      </c>
      <c r="AN511">
        <v>0.999999989531283</v>
      </c>
    </row>
    <row r="512" spans="1:40" x14ac:dyDescent="0.25">
      <c r="A512" t="str">
        <f>"20190305134918780"</f>
        <v>20190305134918780</v>
      </c>
      <c r="B512" t="str">
        <f>"1551764958771202"</f>
        <v>1551764958771202</v>
      </c>
      <c r="C512" t="s">
        <v>40</v>
      </c>
      <c r="D512">
        <v>4.3300780000000003</v>
      </c>
      <c r="E512">
        <v>0.50162390000000001</v>
      </c>
      <c r="F512" t="s">
        <v>42</v>
      </c>
      <c r="G512">
        <v>-360.83409999999998</v>
      </c>
      <c r="H512" s="1">
        <v>-4.1891490000000001E-6</v>
      </c>
      <c r="I512">
        <v>368.0677</v>
      </c>
      <c r="J512">
        <v>-413.10930000000002</v>
      </c>
      <c r="K512">
        <v>1.0586799999999901</v>
      </c>
      <c r="L512">
        <v>367.7389</v>
      </c>
      <c r="M512">
        <v>0.9999536</v>
      </c>
      <c r="N512">
        <v>-7.2042259999999898E-3</v>
      </c>
      <c r="O512">
        <v>-6.4031929999999997E-3</v>
      </c>
      <c r="P512">
        <v>0.99346460000000003</v>
      </c>
      <c r="Q512">
        <v>-0.1121254</v>
      </c>
      <c r="R512">
        <v>2.1357089999999999E-2</v>
      </c>
      <c r="S512">
        <v>3.012238</v>
      </c>
      <c r="T512">
        <v>-6.0752390000000003E-2</v>
      </c>
      <c r="U512">
        <v>1.8798829999999999E-2</v>
      </c>
      <c r="V512">
        <v>-2.772763E-2</v>
      </c>
      <c r="W512">
        <v>-0.104964</v>
      </c>
      <c r="X512">
        <v>0.99408940000000001</v>
      </c>
      <c r="Y512">
        <v>-1.263978E-2</v>
      </c>
      <c r="Z512">
        <v>2.5598720000000001E-4</v>
      </c>
      <c r="AA512">
        <v>0.99992009999999998</v>
      </c>
      <c r="AB512">
        <v>41</v>
      </c>
      <c r="AC512">
        <v>52.275199999999998</v>
      </c>
      <c r="AD512">
        <v>-1.05868418914899</v>
      </c>
      <c r="AE512">
        <v>0.32880000000000098</v>
      </c>
      <c r="AF512">
        <v>-0.66325809928615398</v>
      </c>
      <c r="AG512">
        <v>-1.05868418914899</v>
      </c>
      <c r="AH512">
        <v>52.250593174050103</v>
      </c>
      <c r="AI512">
        <v>91.160655775774998</v>
      </c>
      <c r="AJ512">
        <v>90.727261579150706</v>
      </c>
      <c r="AK512">
        <v>52.265526023935799</v>
      </c>
      <c r="AL512">
        <v>96.0250924569809</v>
      </c>
      <c r="AM512">
        <v>91.597707786792398</v>
      </c>
      <c r="AN512">
        <v>0.99999999897688796</v>
      </c>
    </row>
    <row r="513" spans="1:40" x14ac:dyDescent="0.25">
      <c r="A513" t="str">
        <f>"20190305134918799"</f>
        <v>20190305134918799</v>
      </c>
      <c r="B513" t="str">
        <f>"1551764958791706"</f>
        <v>1551764958791706</v>
      </c>
      <c r="C513" t="s">
        <v>40</v>
      </c>
      <c r="D513">
        <v>4.2910349999999999</v>
      </c>
      <c r="E513">
        <v>0.4965908</v>
      </c>
      <c r="F513" t="s">
        <v>42</v>
      </c>
      <c r="G513">
        <v>-366.33390000000003</v>
      </c>
      <c r="H513" s="1">
        <v>-1.7237889999999901E-6</v>
      </c>
      <c r="I513">
        <v>368.66520000000003</v>
      </c>
      <c r="J513">
        <v>-412.7704</v>
      </c>
      <c r="K513">
        <v>1.0587959999999901</v>
      </c>
      <c r="L513">
        <v>367.73669999999998</v>
      </c>
      <c r="M513">
        <v>0.99994830000000001</v>
      </c>
      <c r="N513">
        <v>-7.8728519999999996E-3</v>
      </c>
      <c r="O513">
        <v>-6.4327469999999999E-3</v>
      </c>
      <c r="P513">
        <v>0.99330149999999995</v>
      </c>
      <c r="Q513">
        <v>-0.1134482</v>
      </c>
      <c r="R513">
        <v>2.1951720000000001E-2</v>
      </c>
      <c r="S513">
        <v>3.0108030000000001</v>
      </c>
      <c r="T513">
        <v>-6.8144319999999994E-2</v>
      </c>
      <c r="U513">
        <v>5.963135E-2</v>
      </c>
      <c r="V513">
        <v>-2.8352769999999999E-2</v>
      </c>
      <c r="W513">
        <v>-0.1056228</v>
      </c>
      <c r="X513">
        <v>0.99400200000000005</v>
      </c>
      <c r="Y513">
        <v>-2.6223440000000001E-2</v>
      </c>
      <c r="Z513">
        <v>4.9487789999999999E-4</v>
      </c>
      <c r="AA513">
        <v>0.99965599999999999</v>
      </c>
      <c r="AB513">
        <v>41</v>
      </c>
      <c r="AC513">
        <v>46.436499999999903</v>
      </c>
      <c r="AD513">
        <v>-1.0587977237889901</v>
      </c>
      <c r="AE513">
        <v>0.92850000000004196</v>
      </c>
      <c r="AF513">
        <v>-1.22656688850399</v>
      </c>
      <c r="AG513">
        <v>-1.0587977237889901</v>
      </c>
      <c r="AH513">
        <v>46.405450320771102</v>
      </c>
      <c r="AI513">
        <v>91.306591101494007</v>
      </c>
      <c r="AJ513">
        <v>91.514062390902396</v>
      </c>
      <c r="AK513">
        <v>46.433730610682403</v>
      </c>
      <c r="AL513">
        <v>96.063049813274901</v>
      </c>
      <c r="AM513">
        <v>91.6338535586939</v>
      </c>
      <c r="AN513">
        <v>1.00000001572525</v>
      </c>
    </row>
    <row r="514" spans="1:40" x14ac:dyDescent="0.25">
      <c r="A514" t="str">
        <f>"20190305134918812"</f>
        <v>20190305134918812</v>
      </c>
      <c r="B514" t="str">
        <f>"1551764958801462"</f>
        <v>1551764958801462</v>
      </c>
      <c r="C514" t="s">
        <v>40</v>
      </c>
      <c r="D514">
        <v>4.2650560000000004</v>
      </c>
      <c r="E514">
        <v>0.49510870000000001</v>
      </c>
      <c r="F514" t="s">
        <v>42</v>
      </c>
      <c r="G514">
        <v>-374.82150000000001</v>
      </c>
      <c r="H514" s="1">
        <v>-2.3104770000000002E-6</v>
      </c>
      <c r="I514">
        <v>369.0154</v>
      </c>
      <c r="J514">
        <v>-412.53269999999998</v>
      </c>
      <c r="K514">
        <v>1.0588649999999999</v>
      </c>
      <c r="L514">
        <v>367.73509999999999</v>
      </c>
      <c r="M514">
        <v>0.99994430000000001</v>
      </c>
      <c r="N514">
        <v>-8.3444030000000002E-3</v>
      </c>
      <c r="O514">
        <v>-6.4591809999999996E-3</v>
      </c>
      <c r="P514">
        <v>0.99316769999999999</v>
      </c>
      <c r="Q514">
        <v>-0.1145741</v>
      </c>
      <c r="R514">
        <v>2.2156459999999999E-2</v>
      </c>
      <c r="S514">
        <v>3.0083920000000002</v>
      </c>
      <c r="T514">
        <v>-8.3935860000000001E-2</v>
      </c>
      <c r="U514">
        <v>0.10137939999999999</v>
      </c>
      <c r="V514">
        <v>-2.85849E-2</v>
      </c>
      <c r="W514">
        <v>-0.1062805</v>
      </c>
      <c r="X514">
        <v>0.99392519999999995</v>
      </c>
      <c r="Y514">
        <v>-4.0113290000000003E-2</v>
      </c>
      <c r="Z514">
        <v>8.5303519999999999E-4</v>
      </c>
      <c r="AA514">
        <v>0.99919480000000005</v>
      </c>
      <c r="AB514">
        <v>41</v>
      </c>
      <c r="AC514">
        <v>37.711199999999899</v>
      </c>
      <c r="AD514">
        <v>-1.0588673104769999</v>
      </c>
      <c r="AE514">
        <v>1.28030000000001</v>
      </c>
      <c r="AF514">
        <v>-1.5226661668444099</v>
      </c>
      <c r="AG514">
        <v>-1.0588673104769999</v>
      </c>
      <c r="AH514">
        <v>37.672476787660401</v>
      </c>
      <c r="AI514">
        <v>91.608686450394401</v>
      </c>
      <c r="AJ514">
        <v>92.3145513880267</v>
      </c>
      <c r="AK514">
        <v>37.718102014200902</v>
      </c>
      <c r="AL514">
        <v>96.1009468242368</v>
      </c>
      <c r="AM514">
        <v>91.647350126221298</v>
      </c>
      <c r="AN514">
        <v>0.99999997219164904</v>
      </c>
    </row>
    <row r="515" spans="1:40" x14ac:dyDescent="0.25">
      <c r="A515" t="str">
        <f>"20190305134918824"</f>
        <v>20190305134918824</v>
      </c>
      <c r="B515" t="str">
        <f>"1551764958820982"</f>
        <v>1551764958820982</v>
      </c>
      <c r="C515" t="s">
        <v>40</v>
      </c>
      <c r="D515">
        <v>4.3861999999999997</v>
      </c>
      <c r="E515">
        <v>0.49292069999999999</v>
      </c>
      <c r="F515" t="s">
        <v>42</v>
      </c>
      <c r="G515">
        <v>-376.52390000000003</v>
      </c>
      <c r="H515" s="1">
        <v>-1.5653930000000001E-6</v>
      </c>
      <c r="I515">
        <v>369.0985</v>
      </c>
      <c r="J515">
        <v>-412.30889999999999</v>
      </c>
      <c r="K515">
        <v>1.0589189999999999</v>
      </c>
      <c r="L515">
        <v>367.73360000000002</v>
      </c>
      <c r="M515">
        <v>0.99994039999999995</v>
      </c>
      <c r="N515">
        <v>-8.7740040000000002E-3</v>
      </c>
      <c r="O515">
        <v>-6.4913929999999998E-3</v>
      </c>
      <c r="P515">
        <v>0.99305149999999998</v>
      </c>
      <c r="Q515">
        <v>-0.11553139999999899</v>
      </c>
      <c r="R515">
        <v>2.238795E-2</v>
      </c>
      <c r="S515">
        <v>3.0078740000000002</v>
      </c>
      <c r="T515">
        <v>-8.8448639999999995E-2</v>
      </c>
      <c r="U515">
        <v>0.1138916</v>
      </c>
      <c r="V515">
        <v>-2.88496E-2</v>
      </c>
      <c r="W515">
        <v>-0.1068112</v>
      </c>
      <c r="X515">
        <v>0.99386070000000004</v>
      </c>
      <c r="Y515">
        <v>-4.4297360000000001E-2</v>
      </c>
      <c r="Z515">
        <v>9.7923749999999994E-4</v>
      </c>
      <c r="AA515">
        <v>0.99901790000000001</v>
      </c>
      <c r="AB515">
        <v>41</v>
      </c>
      <c r="AC515">
        <v>35.784999999999897</v>
      </c>
      <c r="AD515">
        <v>-1.0589205653929901</v>
      </c>
      <c r="AE515">
        <v>1.36489999999997</v>
      </c>
      <c r="AF515">
        <v>-1.5957793937942499</v>
      </c>
      <c r="AG515">
        <v>-1.0589205653929901</v>
      </c>
      <c r="AH515">
        <v>35.744132070837097</v>
      </c>
      <c r="AI515">
        <v>91.695204653307002</v>
      </c>
      <c r="AJ515">
        <v>92.556244803299805</v>
      </c>
      <c r="AK515">
        <v>35.795401969176403</v>
      </c>
      <c r="AL515">
        <v>96.131527527257603</v>
      </c>
      <c r="AM515">
        <v>91.662704125610205</v>
      </c>
      <c r="AN515">
        <v>1.00000001143504</v>
      </c>
    </row>
    <row r="516" spans="1:40" x14ac:dyDescent="0.25">
      <c r="A516" t="str">
        <f>"20190305134918843"</f>
        <v>20190305134918843</v>
      </c>
      <c r="B516" t="str">
        <f>"1551764958831718"</f>
        <v>1551764958831718</v>
      </c>
      <c r="C516" t="s">
        <v>40</v>
      </c>
      <c r="D516">
        <v>4.2669620000000004</v>
      </c>
      <c r="E516">
        <v>0.49265189999999998</v>
      </c>
      <c r="F516" t="s">
        <v>42</v>
      </c>
      <c r="G516">
        <v>-377.89260000000002</v>
      </c>
      <c r="H516" s="1">
        <v>-9.5278699999999997E-7</v>
      </c>
      <c r="I516">
        <v>369.24200000000002</v>
      </c>
      <c r="J516">
        <v>-411.97300000000001</v>
      </c>
      <c r="K516">
        <v>1.058989</v>
      </c>
      <c r="L516">
        <v>367.73140000000001</v>
      </c>
      <c r="M516">
        <v>0.99993449999999995</v>
      </c>
      <c r="N516">
        <v>-9.3873240000000007E-3</v>
      </c>
      <c r="O516">
        <v>-6.5476220000000003E-3</v>
      </c>
      <c r="P516">
        <v>0.99285690000000004</v>
      </c>
      <c r="Q516">
        <v>-0.1171151</v>
      </c>
      <c r="R516">
        <v>2.2791200000000001E-2</v>
      </c>
      <c r="S516">
        <v>3.007263</v>
      </c>
      <c r="T516">
        <v>-9.2527150000000002E-2</v>
      </c>
      <c r="U516">
        <v>0.13180539999999999</v>
      </c>
      <c r="V516">
        <v>-2.9310449999999998E-2</v>
      </c>
      <c r="W516">
        <v>-0.1077862</v>
      </c>
      <c r="X516">
        <v>0.99374189999999996</v>
      </c>
      <c r="Y516">
        <v>-5.029517E-2</v>
      </c>
      <c r="Z516">
        <v>1.149338E-3</v>
      </c>
      <c r="AA516">
        <v>0.9987338</v>
      </c>
      <c r="AB516">
        <v>41</v>
      </c>
      <c r="AC516">
        <v>34.080399999999997</v>
      </c>
      <c r="AD516">
        <v>-1.0589899527869999</v>
      </c>
      <c r="AE516">
        <v>1.51059999999995</v>
      </c>
      <c r="AF516">
        <v>-1.7320539221317399</v>
      </c>
      <c r="AG516">
        <v>-1.0589899527869999</v>
      </c>
      <c r="AH516">
        <v>34.036978188922198</v>
      </c>
      <c r="AI516">
        <v>91.779763022941594</v>
      </c>
      <c r="AJ516">
        <v>92.913121453721701</v>
      </c>
      <c r="AK516">
        <v>34.097468450640697</v>
      </c>
      <c r="AL516">
        <v>96.187715580211503</v>
      </c>
      <c r="AM516">
        <v>91.689451096795196</v>
      </c>
      <c r="AN516">
        <v>0.99999996560262505</v>
      </c>
    </row>
    <row r="517" spans="1:40" x14ac:dyDescent="0.25">
      <c r="A517" t="str">
        <f>"20190305134918855"</f>
        <v>20190305134918855</v>
      </c>
      <c r="B517" t="str">
        <f>"1551764958851238"</f>
        <v>1551764958851238</v>
      </c>
      <c r="C517" t="s">
        <v>40</v>
      </c>
      <c r="D517">
        <v>4.247261</v>
      </c>
      <c r="E517">
        <v>0.49196709999999999</v>
      </c>
      <c r="F517" t="s">
        <v>42</v>
      </c>
      <c r="G517">
        <v>-382.38720000000001</v>
      </c>
      <c r="H517" s="1">
        <v>-3.347248E-6</v>
      </c>
      <c r="I517">
        <v>369.05779999999999</v>
      </c>
      <c r="J517">
        <v>-411.7593</v>
      </c>
      <c r="K517">
        <v>1.059026</v>
      </c>
      <c r="L517">
        <v>367.72989999999999</v>
      </c>
      <c r="M517">
        <v>0.99993080000000001</v>
      </c>
      <c r="N517">
        <v>-9.7573190000000004E-3</v>
      </c>
      <c r="O517">
        <v>-6.5881219999999897E-3</v>
      </c>
      <c r="P517">
        <v>0.99281189999999997</v>
      </c>
      <c r="Q517">
        <v>-0.1174934</v>
      </c>
      <c r="R517">
        <v>2.281062E-2</v>
      </c>
      <c r="S517">
        <v>3.005798</v>
      </c>
      <c r="T517">
        <v>-0.107589</v>
      </c>
      <c r="U517">
        <v>0.13476560000000001</v>
      </c>
      <c r="V517">
        <v>-2.9372019999999999E-2</v>
      </c>
      <c r="W517">
        <v>-0.1077968</v>
      </c>
      <c r="X517">
        <v>0.99373889999999998</v>
      </c>
      <c r="Y517">
        <v>-5.1327079999999997E-2</v>
      </c>
      <c r="Z517">
        <v>1.3398749999999999E-3</v>
      </c>
      <c r="AA517">
        <v>0.99868100000000004</v>
      </c>
      <c r="AB517">
        <v>41</v>
      </c>
      <c r="AC517">
        <v>29.3720999999999</v>
      </c>
      <c r="AD517">
        <v>-1.0590293472479999</v>
      </c>
      <c r="AE517">
        <v>1.3278999999999901</v>
      </c>
      <c r="AF517">
        <v>-1.51941612495615</v>
      </c>
      <c r="AG517">
        <v>-1.0590293472479999</v>
      </c>
      <c r="AH517">
        <v>29.324669183589801</v>
      </c>
      <c r="AI517">
        <v>92.065509184315601</v>
      </c>
      <c r="AJ517">
        <v>92.966047152607103</v>
      </c>
      <c r="AK517">
        <v>29.3830970329217</v>
      </c>
      <c r="AL517">
        <v>96.188326674227795</v>
      </c>
      <c r="AM517">
        <v>91.693003029623199</v>
      </c>
      <c r="AN517">
        <v>0.99999993351116301</v>
      </c>
    </row>
    <row r="518" spans="1:40" x14ac:dyDescent="0.25">
      <c r="A518" t="str">
        <f>"20190305134918865"</f>
        <v>20190305134918865</v>
      </c>
      <c r="B518" t="str">
        <f>"1551764958860998"</f>
        <v>1551764958860998</v>
      </c>
      <c r="C518" t="s">
        <v>40</v>
      </c>
      <c r="D518">
        <v>4.2423190000000002</v>
      </c>
      <c r="E518">
        <v>0.4916585</v>
      </c>
      <c r="F518" t="s">
        <v>42</v>
      </c>
      <c r="G518">
        <v>-380.06290000000001</v>
      </c>
      <c r="H518" s="1">
        <v>-4.3169390000000001E-6</v>
      </c>
      <c r="I518">
        <v>369.2124</v>
      </c>
      <c r="J518">
        <v>-411.54989999999998</v>
      </c>
      <c r="K518">
        <v>1.059056</v>
      </c>
      <c r="L518">
        <v>367.72859999999997</v>
      </c>
      <c r="M518">
        <v>0.99992700000000001</v>
      </c>
      <c r="N518">
        <v>-1.0102979999999999E-2</v>
      </c>
      <c r="O518">
        <v>-6.6310689999999999E-3</v>
      </c>
      <c r="P518">
        <v>0.99278860000000002</v>
      </c>
      <c r="Q518">
        <v>-0.1177275</v>
      </c>
      <c r="R518">
        <v>2.2604340000000001E-2</v>
      </c>
      <c r="S518">
        <v>3.0065919999999999</v>
      </c>
      <c r="T518">
        <v>-0.10045519999999999</v>
      </c>
      <c r="U518">
        <v>0.140625</v>
      </c>
      <c r="V518">
        <v>-2.9209840000000001E-2</v>
      </c>
      <c r="W518">
        <v>-0.10768709999999999</v>
      </c>
      <c r="X518">
        <v>0.99375559999999996</v>
      </c>
      <c r="Y518">
        <v>-5.3303830000000003E-2</v>
      </c>
      <c r="Z518">
        <v>1.313701E-3</v>
      </c>
      <c r="AA518">
        <v>0.99857750000000001</v>
      </c>
      <c r="AB518">
        <v>41</v>
      </c>
      <c r="AC518">
        <v>31.486999999999899</v>
      </c>
      <c r="AD518">
        <v>-1.059060316939</v>
      </c>
      <c r="AE518">
        <v>1.48380000000003</v>
      </c>
      <c r="AF518">
        <v>-1.6906620828903001</v>
      </c>
      <c r="AG518">
        <v>-1.059060316939</v>
      </c>
      <c r="AH518">
        <v>31.440977531647501</v>
      </c>
      <c r="AI518">
        <v>91.926445006055005</v>
      </c>
      <c r="AJ518">
        <v>93.0779768032519</v>
      </c>
      <c r="AK518">
        <v>31.504206309301001</v>
      </c>
      <c r="AL518">
        <v>96.182004364244605</v>
      </c>
      <c r="AM518">
        <v>91.683632093397506</v>
      </c>
      <c r="AN518">
        <v>0.99999995939529596</v>
      </c>
    </row>
    <row r="519" spans="1:40" x14ac:dyDescent="0.25">
      <c r="A519" t="str">
        <f>"20190305134918878"</f>
        <v>20190305134918878</v>
      </c>
      <c r="B519" t="str">
        <f>"1551764958871734"</f>
        <v>1551764958871734</v>
      </c>
      <c r="C519" t="s">
        <v>40</v>
      </c>
      <c r="D519">
        <v>4.2682690000000001</v>
      </c>
      <c r="E519">
        <v>0.49128240000000001</v>
      </c>
      <c r="F519" t="s">
        <v>42</v>
      </c>
      <c r="G519">
        <v>-379.53280000000001</v>
      </c>
      <c r="H519" s="1">
        <v>-2.4824530000000001E-7</v>
      </c>
      <c r="I519">
        <v>369.24709999999999</v>
      </c>
      <c r="J519">
        <v>-411.3374</v>
      </c>
      <c r="K519">
        <v>1.059078</v>
      </c>
      <c r="L519">
        <v>367.72710000000001</v>
      </c>
      <c r="M519">
        <v>0.99992329999999996</v>
      </c>
      <c r="N519">
        <v>-1.043346E-2</v>
      </c>
      <c r="O519">
        <v>-6.6781640000000003E-3</v>
      </c>
      <c r="P519">
        <v>0.99274059999999997</v>
      </c>
      <c r="Q519">
        <v>-0.1181408</v>
      </c>
      <c r="R519">
        <v>2.256234E-2</v>
      </c>
      <c r="S519">
        <v>3.0067439999999999</v>
      </c>
      <c r="T519">
        <v>-9.9456310000000006E-2</v>
      </c>
      <c r="U519">
        <v>0.1426086</v>
      </c>
      <c r="V519">
        <v>-2.9215720000000001E-2</v>
      </c>
      <c r="W519">
        <v>-0.1077721</v>
      </c>
      <c r="X519">
        <v>0.99374629999999997</v>
      </c>
      <c r="Y519">
        <v>-5.4005810000000001E-2</v>
      </c>
      <c r="Z519">
        <v>1.3255490000000001E-3</v>
      </c>
      <c r="AA519">
        <v>0.99853970000000003</v>
      </c>
      <c r="AB519">
        <v>41</v>
      </c>
      <c r="AC519">
        <v>31.804599999999901</v>
      </c>
      <c r="AD519">
        <v>-1.0590782482453001</v>
      </c>
      <c r="AE519">
        <v>1.51999999999998</v>
      </c>
      <c r="AF519">
        <v>-1.73045952879335</v>
      </c>
      <c r="AG519">
        <v>-1.0590782482453001</v>
      </c>
      <c r="AH519">
        <v>31.758603791160301</v>
      </c>
      <c r="AI519">
        <v>91.907151106237905</v>
      </c>
      <c r="AJ519">
        <v>93.118842423744397</v>
      </c>
      <c r="AK519">
        <v>31.823341302895901</v>
      </c>
      <c r="AL519">
        <v>96.1869024749532</v>
      </c>
      <c r="AM519">
        <v>91.683986567236801</v>
      </c>
      <c r="AN519">
        <v>1.0000000462986001</v>
      </c>
    </row>
    <row r="520" spans="1:40" x14ac:dyDescent="0.25">
      <c r="A520" t="str">
        <f>"20190305134918890"</f>
        <v>20190305134918890</v>
      </c>
      <c r="B520" t="str">
        <f>"1551764958881495"</f>
        <v>1551764958881495</v>
      </c>
      <c r="C520" t="s">
        <v>40</v>
      </c>
      <c r="D520">
        <v>4.2555430000000003</v>
      </c>
      <c r="E520">
        <v>0.49121930000000003</v>
      </c>
      <c r="F520" t="s">
        <v>42</v>
      </c>
      <c r="G520">
        <v>-378.92899999999997</v>
      </c>
      <c r="H520" s="1">
        <v>-4.9931889999999998E-7</v>
      </c>
      <c r="I520">
        <v>369.29199999999997</v>
      </c>
      <c r="J520">
        <v>-411.1123</v>
      </c>
      <c r="K520">
        <v>1.059102</v>
      </c>
      <c r="L520">
        <v>367.72559999999999</v>
      </c>
      <c r="M520">
        <v>0.99991940000000001</v>
      </c>
      <c r="N520">
        <v>-1.077299E-2</v>
      </c>
      <c r="O520">
        <v>-6.7294210000000002E-3</v>
      </c>
      <c r="P520">
        <v>0.99274600000000002</v>
      </c>
      <c r="Q520">
        <v>-0.1181232</v>
      </c>
      <c r="R520">
        <v>2.241485E-2</v>
      </c>
      <c r="S520">
        <v>3.0069889999999999</v>
      </c>
      <c r="T520">
        <v>-9.8265409999999997E-2</v>
      </c>
      <c r="U520">
        <v>0.14520259999999999</v>
      </c>
      <c r="V520">
        <v>-2.912066E-2</v>
      </c>
      <c r="W520">
        <v>-0.1074166</v>
      </c>
      <c r="X520">
        <v>0.99378750000000005</v>
      </c>
      <c r="Y520">
        <v>-5.4912559999999999E-2</v>
      </c>
      <c r="Z520">
        <v>1.339846E-3</v>
      </c>
      <c r="AA520">
        <v>0.99849030000000005</v>
      </c>
      <c r="AB520">
        <v>41</v>
      </c>
      <c r="AC520">
        <v>32.183299999999903</v>
      </c>
      <c r="AD520">
        <v>-1.0591024993189</v>
      </c>
      <c r="AE520">
        <v>1.56639999999998</v>
      </c>
      <c r="AF520">
        <v>-1.78102782122378</v>
      </c>
      <c r="AG520">
        <v>-1.0591024993189</v>
      </c>
      <c r="AH520">
        <v>32.137308256635301</v>
      </c>
      <c r="AI520">
        <v>91.884640652385002</v>
      </c>
      <c r="AJ520">
        <v>93.172048447115699</v>
      </c>
      <c r="AK520">
        <v>32.204042295743498</v>
      </c>
      <c r="AL520">
        <v>96.166415384308806</v>
      </c>
      <c r="AM520">
        <v>91.678440925742606</v>
      </c>
      <c r="AN520">
        <v>0.99999996697532201</v>
      </c>
    </row>
    <row r="521" spans="1:40" x14ac:dyDescent="0.25">
      <c r="A521" t="str">
        <f>"20190305134918901"</f>
        <v>20190305134918901</v>
      </c>
      <c r="B521" t="str">
        <f>"1551764958891254"</f>
        <v>1551764958891254</v>
      </c>
      <c r="C521" t="s">
        <v>40</v>
      </c>
      <c r="D521">
        <v>4.1679579999999996</v>
      </c>
      <c r="E521">
        <v>0.49159069999999999</v>
      </c>
      <c r="F521" t="s">
        <v>42</v>
      </c>
      <c r="G521">
        <v>-377.75229999999999</v>
      </c>
      <c r="H521" s="1">
        <v>-9.9594339999999996E-7</v>
      </c>
      <c r="I521">
        <v>369.33800000000002</v>
      </c>
      <c r="J521">
        <v>-410.89870000000002</v>
      </c>
      <c r="K521">
        <v>1.0591189999999999</v>
      </c>
      <c r="L521">
        <v>367.72410000000002</v>
      </c>
      <c r="M521">
        <v>0.99991580000000002</v>
      </c>
      <c r="N521">
        <v>-1.106655E-2</v>
      </c>
      <c r="O521">
        <v>-6.781891E-3</v>
      </c>
      <c r="P521">
        <v>0.99273630000000002</v>
      </c>
      <c r="Q521">
        <v>-0.1182324</v>
      </c>
      <c r="R521">
        <v>2.2272110000000001E-2</v>
      </c>
      <c r="S521">
        <v>3.0072329999999998</v>
      </c>
      <c r="T521">
        <v>-9.5472570000000007E-2</v>
      </c>
      <c r="U521">
        <v>0.14535519999999999</v>
      </c>
      <c r="V521">
        <v>-2.90312E-2</v>
      </c>
      <c r="W521">
        <v>-0.1072337</v>
      </c>
      <c r="X521">
        <v>0.99380990000000002</v>
      </c>
      <c r="Y521">
        <v>-5.5013369999999999E-2</v>
      </c>
      <c r="Z521">
        <v>1.317379E-3</v>
      </c>
      <c r="AA521">
        <v>0.9984847</v>
      </c>
      <c r="AB521">
        <v>41</v>
      </c>
      <c r="AC521">
        <v>33.1464</v>
      </c>
      <c r="AD521">
        <v>-1.0591199959433999</v>
      </c>
      <c r="AE521">
        <v>1.6138999999999999</v>
      </c>
      <c r="AF521">
        <v>-1.8368010072995</v>
      </c>
      <c r="AG521">
        <v>-1.0591199959433999</v>
      </c>
      <c r="AH521">
        <v>33.100976132632603</v>
      </c>
      <c r="AI521">
        <v>91.829833993252706</v>
      </c>
      <c r="AJ521">
        <v>93.176133651068398</v>
      </c>
      <c r="AK521">
        <v>33.168813575998399</v>
      </c>
      <c r="AL521">
        <v>96.155874918398396</v>
      </c>
      <c r="AM521">
        <v>91.673249920595197</v>
      </c>
      <c r="AN521">
        <v>0.99999999716357002</v>
      </c>
    </row>
    <row r="522" spans="1:40" x14ac:dyDescent="0.25">
      <c r="A522" t="str">
        <f>"20190305134918914"</f>
        <v>20190305134918914</v>
      </c>
      <c r="B522" t="str">
        <f>"1551764958911272"</f>
        <v>1551764958911272</v>
      </c>
      <c r="C522" t="s">
        <v>40</v>
      </c>
      <c r="D522">
        <v>4.1833729999999996</v>
      </c>
      <c r="E522">
        <v>0.49213440000000003</v>
      </c>
      <c r="F522" t="s">
        <v>42</v>
      </c>
      <c r="G522">
        <v>-374.065</v>
      </c>
      <c r="H522" s="1">
        <v>-2.555026E-6</v>
      </c>
      <c r="I522">
        <v>369.46629999999999</v>
      </c>
      <c r="J522">
        <v>-410.6712</v>
      </c>
      <c r="K522">
        <v>1.0591390000000001</v>
      </c>
      <c r="L522">
        <v>367.72250000000003</v>
      </c>
      <c r="M522">
        <v>0.99991209999999997</v>
      </c>
      <c r="N522">
        <v>-1.136817E-2</v>
      </c>
      <c r="O522">
        <v>-6.8382670000000003E-3</v>
      </c>
      <c r="P522">
        <v>0.99271140000000002</v>
      </c>
      <c r="Q522">
        <v>-0.1184868</v>
      </c>
      <c r="R522">
        <v>2.2028249999999999E-2</v>
      </c>
      <c r="S522">
        <v>3.0084230000000001</v>
      </c>
      <c r="T522">
        <v>-8.6504339999999999E-2</v>
      </c>
      <c r="U522">
        <v>0.1423035</v>
      </c>
      <c r="V522">
        <v>-2.8844160000000001E-2</v>
      </c>
      <c r="W522">
        <v>-0.1071884</v>
      </c>
      <c r="X522">
        <v>0.99382029999999999</v>
      </c>
      <c r="Y522">
        <v>-5.4046669999999998E-2</v>
      </c>
      <c r="Z522">
        <v>1.202711E-3</v>
      </c>
      <c r="AA522">
        <v>0.99853769999999997</v>
      </c>
      <c r="AB522">
        <v>41</v>
      </c>
      <c r="AC522">
        <v>36.606200000000001</v>
      </c>
      <c r="AD522">
        <v>-1.0591415550259999</v>
      </c>
      <c r="AE522">
        <v>1.74379999999996</v>
      </c>
      <c r="AF522">
        <v>-1.9924341709112099</v>
      </c>
      <c r="AG522">
        <v>-1.0591415550259999</v>
      </c>
      <c r="AH522">
        <v>36.562879660231197</v>
      </c>
      <c r="AI522">
        <v>91.656804653813197</v>
      </c>
      <c r="AJ522">
        <v>93.119154521002002</v>
      </c>
      <c r="AK522">
        <v>36.632441139071602</v>
      </c>
      <c r="AL522">
        <v>96.153263962288705</v>
      </c>
      <c r="AM522">
        <v>91.662458315458693</v>
      </c>
      <c r="AN522">
        <v>1.00000006367637</v>
      </c>
    </row>
    <row r="523" spans="1:40" x14ac:dyDescent="0.25">
      <c r="A523" t="str">
        <f>"20190305134918933"</f>
        <v>20190305134918933</v>
      </c>
      <c r="B523" t="str">
        <f>"1551764958921033"</f>
        <v>1551764958921033</v>
      </c>
      <c r="C523" t="s">
        <v>40</v>
      </c>
      <c r="D523">
        <v>4.1913280000000004</v>
      </c>
      <c r="E523">
        <v>0.49244979999999999</v>
      </c>
      <c r="F523" t="s">
        <v>42</v>
      </c>
      <c r="G523">
        <v>-372.19740000000002</v>
      </c>
      <c r="H523" s="1">
        <v>-3.3543019999999999E-6</v>
      </c>
      <c r="I523">
        <v>369.47710000000001</v>
      </c>
      <c r="J523">
        <v>-410.33159999999998</v>
      </c>
      <c r="K523">
        <v>1.059151</v>
      </c>
      <c r="L523">
        <v>367.7201</v>
      </c>
      <c r="M523">
        <v>0.99990670000000004</v>
      </c>
      <c r="N523">
        <v>-1.178182E-2</v>
      </c>
      <c r="O523">
        <v>-6.9254140000000004E-3</v>
      </c>
      <c r="P523">
        <v>0.99262289999999997</v>
      </c>
      <c r="Q523">
        <v>-0.1193403</v>
      </c>
      <c r="R523">
        <v>2.1399069999999999E-2</v>
      </c>
      <c r="S523">
        <v>3.0090940000000002</v>
      </c>
      <c r="T523">
        <v>-8.2836989999999999E-2</v>
      </c>
      <c r="U523">
        <v>0.13723750000000001</v>
      </c>
      <c r="V523">
        <v>-2.8302549999999999E-2</v>
      </c>
      <c r="W523">
        <v>-0.1076315</v>
      </c>
      <c r="X523">
        <v>0.99378789999999995</v>
      </c>
      <c r="Y523">
        <v>-5.2448660000000001E-2</v>
      </c>
      <c r="Z523">
        <v>1.1396170000000001E-3</v>
      </c>
      <c r="AA523">
        <v>0.99862300000000004</v>
      </c>
      <c r="AB523">
        <v>41</v>
      </c>
      <c r="AC523">
        <v>38.1341999999999</v>
      </c>
      <c r="AD523">
        <v>-1.0591543543019999</v>
      </c>
      <c r="AE523">
        <v>1.7569999999999999</v>
      </c>
      <c r="AF523">
        <v>-2.0195167003176802</v>
      </c>
      <c r="AG523">
        <v>-1.0591543543019999</v>
      </c>
      <c r="AH523">
        <v>38.0917941692705</v>
      </c>
      <c r="AI523">
        <v>91.590484288809094</v>
      </c>
      <c r="AJ523">
        <v>93.0348151275102</v>
      </c>
      <c r="AK523">
        <v>38.159992645218999</v>
      </c>
      <c r="AL523">
        <v>96.178799953878297</v>
      </c>
      <c r="AM523">
        <v>91.631312332720398</v>
      </c>
      <c r="AN523">
        <v>0.99999998215758101</v>
      </c>
    </row>
    <row r="524" spans="1:40" x14ac:dyDescent="0.25">
      <c r="A524" t="str">
        <f>"20190305134918956"</f>
        <v>20190305134918956</v>
      </c>
      <c r="B524" t="str">
        <f>"1551764958951290"</f>
        <v>1551764958951290</v>
      </c>
      <c r="C524" t="s">
        <v>40</v>
      </c>
      <c r="D524">
        <v>4.2117930000000001</v>
      </c>
      <c r="E524">
        <v>0.4931662</v>
      </c>
      <c r="F524" t="s">
        <v>42</v>
      </c>
      <c r="G524">
        <v>-369.23680000000002</v>
      </c>
      <c r="H524" s="1">
        <v>-3.23878099999999E-7</v>
      </c>
      <c r="I524">
        <v>369.53660000000002</v>
      </c>
      <c r="J524">
        <v>-409.93759999999997</v>
      </c>
      <c r="K524">
        <v>1.0591649999999999</v>
      </c>
      <c r="L524">
        <v>367.71730000000002</v>
      </c>
      <c r="M524">
        <v>0.99990080000000003</v>
      </c>
      <c r="N524">
        <v>-1.220944E-2</v>
      </c>
      <c r="O524">
        <v>-7.0295359999999899E-3</v>
      </c>
      <c r="P524">
        <v>0.99250910000000003</v>
      </c>
      <c r="Q524">
        <v>-0.120370699999999</v>
      </c>
      <c r="R524">
        <v>2.0900800000000001E-2</v>
      </c>
      <c r="S524">
        <v>3.0101010000000001</v>
      </c>
      <c r="T524">
        <v>-7.7580209999999997E-2</v>
      </c>
      <c r="U524">
        <v>0.1330566</v>
      </c>
      <c r="V524">
        <v>-2.790786E-2</v>
      </c>
      <c r="W524">
        <v>-0.108238</v>
      </c>
      <c r="X524">
        <v>0.99373319999999998</v>
      </c>
      <c r="Y524">
        <v>-5.1156710000000001E-2</v>
      </c>
      <c r="Z524">
        <v>1.0666289999999999E-3</v>
      </c>
      <c r="AA524">
        <v>0.99869010000000003</v>
      </c>
      <c r="AB524">
        <v>41</v>
      </c>
      <c r="AC524">
        <v>40.700799999999902</v>
      </c>
      <c r="AD524">
        <v>-1.05916532387809</v>
      </c>
      <c r="AE524">
        <v>1.8192999999999899</v>
      </c>
      <c r="AF524">
        <v>-2.1039621184320501</v>
      </c>
      <c r="AG524">
        <v>-1.05916532387809</v>
      </c>
      <c r="AH524">
        <v>40.659524428005703</v>
      </c>
      <c r="AI524">
        <v>91.490203173742103</v>
      </c>
      <c r="AJ524">
        <v>92.962177478712704</v>
      </c>
      <c r="AK524">
        <v>40.727698369668502</v>
      </c>
      <c r="AL524">
        <v>96.213753979970093</v>
      </c>
      <c r="AM524">
        <v>91.608663585660395</v>
      </c>
      <c r="AN524">
        <v>0.99999999303800902</v>
      </c>
    </row>
    <row r="525" spans="1:40" x14ac:dyDescent="0.25">
      <c r="A525" t="str">
        <f>"20190305134918967"</f>
        <v>20190305134918967</v>
      </c>
      <c r="B525" t="str">
        <f>"1551764958961050"</f>
        <v>1551764958961050</v>
      </c>
      <c r="C525" t="s">
        <v>40</v>
      </c>
      <c r="D525">
        <v>4.2156330000000004</v>
      </c>
      <c r="E525">
        <v>0.49341990000000002</v>
      </c>
      <c r="F525" t="s">
        <v>42</v>
      </c>
      <c r="G525">
        <v>-358.17180000000002</v>
      </c>
      <c r="H525" s="1">
        <v>-8.3939219999999898E-7</v>
      </c>
      <c r="I525">
        <v>369.88990000000001</v>
      </c>
      <c r="J525">
        <v>-409.69200000000001</v>
      </c>
      <c r="K525">
        <v>1.0591740000000001</v>
      </c>
      <c r="L525">
        <v>367.71550000000002</v>
      </c>
      <c r="M525">
        <v>0.99989740000000005</v>
      </c>
      <c r="N525">
        <v>-1.245317E-2</v>
      </c>
      <c r="O525">
        <v>-7.0947609999999998E-3</v>
      </c>
      <c r="P525">
        <v>0.99242229999999998</v>
      </c>
      <c r="Q525">
        <v>-0.12111710000000001</v>
      </c>
      <c r="R525">
        <v>2.0705930000000001E-2</v>
      </c>
      <c r="S525">
        <v>3.0124819999999999</v>
      </c>
      <c r="T525">
        <v>-6.1637520000000001E-2</v>
      </c>
      <c r="U525">
        <v>0.1264343</v>
      </c>
      <c r="V525">
        <v>-2.7778379999999998E-2</v>
      </c>
      <c r="W525">
        <v>-0.10874300000000001</v>
      </c>
      <c r="X525">
        <v>0.9936817</v>
      </c>
      <c r="Y525">
        <v>-4.9004539999999999E-2</v>
      </c>
      <c r="Z525">
        <v>8.6316819999999995E-4</v>
      </c>
      <c r="AA525">
        <v>0.99879819999999997</v>
      </c>
      <c r="AB525">
        <v>41</v>
      </c>
      <c r="AC525">
        <v>51.520199999999903</v>
      </c>
      <c r="AD525">
        <v>-1.0591748393922</v>
      </c>
      <c r="AE525">
        <v>2.1743999999999901</v>
      </c>
      <c r="AF525">
        <v>-2.5388259509900899</v>
      </c>
      <c r="AG525">
        <v>-1.0591748393922</v>
      </c>
      <c r="AH525">
        <v>51.481755046147299</v>
      </c>
      <c r="AI525">
        <v>91.177194900695696</v>
      </c>
      <c r="AJ525">
        <v>92.823257713730001</v>
      </c>
      <c r="AK525">
        <v>51.555199458263502</v>
      </c>
      <c r="AL525">
        <v>96.242860107094899</v>
      </c>
      <c r="AM525">
        <v>91.601286942974596</v>
      </c>
      <c r="AN525">
        <v>0.99999999967965703</v>
      </c>
    </row>
    <row r="526" spans="1:40" x14ac:dyDescent="0.25">
      <c r="A526" t="str">
        <f>"20190305134918980"</f>
        <v>20190305134918980</v>
      </c>
      <c r="B526" t="str">
        <f>"1551764958971785"</f>
        <v>1551764958971785</v>
      </c>
      <c r="C526" t="s">
        <v>40</v>
      </c>
      <c r="D526">
        <v>4.2208059999999996</v>
      </c>
      <c r="E526">
        <v>0.49363119999999999</v>
      </c>
      <c r="F526" t="s">
        <v>42</v>
      </c>
      <c r="G526">
        <v>-356.11779999999999</v>
      </c>
      <c r="H526" s="1">
        <v>-1.7284470000000001E-6</v>
      </c>
      <c r="I526">
        <v>369.9196</v>
      </c>
      <c r="J526">
        <v>-409.4717</v>
      </c>
      <c r="K526">
        <v>1.0591839999999999</v>
      </c>
      <c r="L526">
        <v>367.71390000000002</v>
      </c>
      <c r="M526">
        <v>0.99989439999999996</v>
      </c>
      <c r="N526">
        <v>-1.265031E-2</v>
      </c>
      <c r="O526">
        <v>-7.1535059999999996E-3</v>
      </c>
      <c r="P526">
        <v>0.99238939999999998</v>
      </c>
      <c r="Q526">
        <v>-0.1214466</v>
      </c>
      <c r="R526">
        <v>2.0345269999999999E-2</v>
      </c>
      <c r="S526">
        <v>3.0130919999999999</v>
      </c>
      <c r="T526">
        <v>-5.95696E-2</v>
      </c>
      <c r="U526">
        <v>0.1239624</v>
      </c>
      <c r="V526">
        <v>-2.7476150000000001E-2</v>
      </c>
      <c r="W526">
        <v>-0.108877</v>
      </c>
      <c r="X526">
        <v>0.99367539999999999</v>
      </c>
      <c r="Y526">
        <v>-4.8237849999999999E-2</v>
      </c>
      <c r="Z526">
        <v>8.3279479999999895E-4</v>
      </c>
      <c r="AA526">
        <v>0.99883549999999999</v>
      </c>
      <c r="AB526">
        <v>41</v>
      </c>
      <c r="AC526">
        <v>53.353900000000003</v>
      </c>
      <c r="AD526">
        <v>-1.0591857284469901</v>
      </c>
      <c r="AE526">
        <v>2.2056999999999798</v>
      </c>
      <c r="AF526">
        <v>-2.5863239943607801</v>
      </c>
      <c r="AG526">
        <v>-1.0591857284469901</v>
      </c>
      <c r="AH526">
        <v>53.3157787201215</v>
      </c>
      <c r="AI526">
        <v>91.136767425946303</v>
      </c>
      <c r="AJ526">
        <v>92.777214949488396</v>
      </c>
      <c r="AK526">
        <v>53.388980199514201</v>
      </c>
      <c r="AL526">
        <v>96.250583783933095</v>
      </c>
      <c r="AM526">
        <v>91.583883830334599</v>
      </c>
      <c r="AN526">
        <v>0.99999997025649001</v>
      </c>
    </row>
    <row r="527" spans="1:40" x14ac:dyDescent="0.25">
      <c r="A527" t="str">
        <f>"20190305134918992"</f>
        <v>20190305134918992</v>
      </c>
      <c r="B527" t="str">
        <f>"1551764958981545"</f>
        <v>1551764958981545</v>
      </c>
      <c r="C527" t="s">
        <v>40</v>
      </c>
      <c r="D527">
        <v>4.2159750000000003</v>
      </c>
      <c r="E527">
        <v>0.49380760000000001</v>
      </c>
      <c r="F527" t="s">
        <v>42</v>
      </c>
      <c r="G527">
        <v>-353.27140000000003</v>
      </c>
      <c r="H527" s="1">
        <v>-2.9650410000000001E-6</v>
      </c>
      <c r="I527">
        <v>369.9778</v>
      </c>
      <c r="J527">
        <v>-409.25630000000001</v>
      </c>
      <c r="K527">
        <v>1.0591889999999999</v>
      </c>
      <c r="L527">
        <v>367.71230000000003</v>
      </c>
      <c r="M527">
        <v>0.99989170000000005</v>
      </c>
      <c r="N527">
        <v>-1.283546E-2</v>
      </c>
      <c r="O527">
        <v>-7.2109979999999997E-3</v>
      </c>
      <c r="P527">
        <v>0.9923689</v>
      </c>
      <c r="Q527">
        <v>-0.1216289</v>
      </c>
      <c r="R527">
        <v>2.025484E-2</v>
      </c>
      <c r="S527">
        <v>3.01355</v>
      </c>
      <c r="T527">
        <v>-5.6795239999999997E-2</v>
      </c>
      <c r="U527">
        <v>0.1213989</v>
      </c>
      <c r="V527">
        <v>-2.7442979999999999E-2</v>
      </c>
      <c r="W527">
        <v>-0.1088754</v>
      </c>
      <c r="X527">
        <v>0.99367649999999996</v>
      </c>
      <c r="Y527">
        <v>-4.7442129999999999E-2</v>
      </c>
      <c r="Z527">
        <v>7.9481579999999999E-4</v>
      </c>
      <c r="AA527">
        <v>0.99887369999999998</v>
      </c>
      <c r="AB527">
        <v>41</v>
      </c>
      <c r="AC527">
        <v>55.984899999999897</v>
      </c>
      <c r="AD527">
        <v>-1.059191965041</v>
      </c>
      <c r="AE527">
        <v>2.2654999999999701</v>
      </c>
      <c r="AF527">
        <v>-2.6682278191270501</v>
      </c>
      <c r="AG527">
        <v>-1.059191965041</v>
      </c>
      <c r="AH527">
        <v>55.947113468732297</v>
      </c>
      <c r="AI527">
        <v>91.083364296409101</v>
      </c>
      <c r="AJ527">
        <v>92.730479428105895</v>
      </c>
      <c r="AK527">
        <v>56.020717888980897</v>
      </c>
      <c r="AL527">
        <v>96.250491512203098</v>
      </c>
      <c r="AM527">
        <v>91.581970942014195</v>
      </c>
      <c r="AN527">
        <v>0.99999997826434495</v>
      </c>
    </row>
    <row r="528" spans="1:40" x14ac:dyDescent="0.25">
      <c r="A528" t="str">
        <f>"20190305134919003"</f>
        <v>20190305134919003</v>
      </c>
      <c r="B528" t="str">
        <f>"1551764958991305"</f>
        <v>1551764958991305</v>
      </c>
      <c r="C528" t="s">
        <v>40</v>
      </c>
      <c r="D528">
        <v>4.2646769999999998</v>
      </c>
      <c r="E528">
        <v>0.49427359999999998</v>
      </c>
      <c r="F528" t="s">
        <v>42</v>
      </c>
      <c r="G528">
        <v>-349.6848</v>
      </c>
      <c r="H528" s="1">
        <v>-2.5310849999999998E-7</v>
      </c>
      <c r="I528">
        <v>370.08100000000002</v>
      </c>
      <c r="J528">
        <v>-409.03449999999998</v>
      </c>
      <c r="K528">
        <v>1.059194</v>
      </c>
      <c r="L528">
        <v>367.71069999999997</v>
      </c>
      <c r="M528">
        <v>0.99988900000000003</v>
      </c>
      <c r="N528">
        <v>-1.300866E-2</v>
      </c>
      <c r="O528">
        <v>-7.269859E-3</v>
      </c>
      <c r="P528">
        <v>0.99233789999999999</v>
      </c>
      <c r="Q528">
        <v>-0.121906399999999</v>
      </c>
      <c r="R528">
        <v>2.011104E-2</v>
      </c>
      <c r="S528">
        <v>3.0140380000000002</v>
      </c>
      <c r="T528">
        <v>-5.3589940000000003E-2</v>
      </c>
      <c r="U528">
        <v>0.1198425</v>
      </c>
      <c r="V528">
        <v>-2.735785E-2</v>
      </c>
      <c r="W528">
        <v>-0.1089811</v>
      </c>
      <c r="X528">
        <v>0.99366730000000003</v>
      </c>
      <c r="Y528">
        <v>-4.698082E-2</v>
      </c>
      <c r="Z528">
        <v>7.5788690000000002E-4</v>
      </c>
      <c r="AA528">
        <v>0.99889550000000005</v>
      </c>
      <c r="AB528">
        <v>41</v>
      </c>
      <c r="AC528">
        <v>59.349699999999899</v>
      </c>
      <c r="AD528">
        <v>-1.0591942531084999</v>
      </c>
      <c r="AE528">
        <v>2.3702999999999799</v>
      </c>
      <c r="AF528">
        <v>-2.80084713701845</v>
      </c>
      <c r="AG528">
        <v>-1.0591942531084999</v>
      </c>
      <c r="AH528">
        <v>59.312037162642</v>
      </c>
      <c r="AI528">
        <v>91.021940624197697</v>
      </c>
      <c r="AJ528">
        <v>92.7036264905922</v>
      </c>
      <c r="AK528">
        <v>59.387577737548703</v>
      </c>
      <c r="AL528">
        <v>96.256583681358904</v>
      </c>
      <c r="AM528">
        <v>91.577080636221893</v>
      </c>
      <c r="AN528">
        <v>1.00000001760156</v>
      </c>
    </row>
    <row r="529" spans="1:40" x14ac:dyDescent="0.25">
      <c r="A529" t="str">
        <f>"20190305134919021"</f>
        <v>20190305134919021</v>
      </c>
      <c r="B529" t="str">
        <f>"1551764959011803"</f>
        <v>1551764959011803</v>
      </c>
      <c r="C529" t="s">
        <v>40</v>
      </c>
      <c r="D529">
        <v>4.3051830000000004</v>
      </c>
      <c r="E529">
        <v>0.4946546</v>
      </c>
      <c r="F529" t="s">
        <v>42</v>
      </c>
      <c r="G529">
        <v>-351.78030000000001</v>
      </c>
      <c r="H529" s="1">
        <v>-3.5860850000000001E-6</v>
      </c>
      <c r="I529">
        <v>369.90780000000001</v>
      </c>
      <c r="J529">
        <v>-408.72640000000001</v>
      </c>
      <c r="K529">
        <v>1.0591980000000001</v>
      </c>
      <c r="L529">
        <v>367.70839999999998</v>
      </c>
      <c r="M529">
        <v>0.99988549999999998</v>
      </c>
      <c r="N529">
        <v>-1.3229899999999999E-2</v>
      </c>
      <c r="O529">
        <v>-7.35171E-3</v>
      </c>
      <c r="P529">
        <v>0.99230059999999998</v>
      </c>
      <c r="Q529">
        <v>-0.12217699999999999</v>
      </c>
      <c r="R529">
        <v>2.030773E-2</v>
      </c>
      <c r="S529">
        <v>3.0139469999999999</v>
      </c>
      <c r="T529">
        <v>-5.5757639999999997E-2</v>
      </c>
      <c r="U529">
        <v>0.1156616</v>
      </c>
      <c r="V529">
        <v>-2.7636770000000001E-2</v>
      </c>
      <c r="W529">
        <v>-0.10903210000000001</v>
      </c>
      <c r="X529">
        <v>0.99365400000000004</v>
      </c>
      <c r="Y529">
        <v>-4.5679659999999997E-2</v>
      </c>
      <c r="Z529">
        <v>7.6340220000000001E-4</v>
      </c>
      <c r="AA529">
        <v>0.99895579999999995</v>
      </c>
      <c r="AB529">
        <v>41</v>
      </c>
      <c r="AC529">
        <v>56.946100000000001</v>
      </c>
      <c r="AD529">
        <v>-1.0592015860849999</v>
      </c>
      <c r="AE529">
        <v>2.1994000000000198</v>
      </c>
      <c r="AF529">
        <v>-2.6171243107388</v>
      </c>
      <c r="AG529">
        <v>-1.0592015860849999</v>
      </c>
      <c r="AH529">
        <v>56.908731070526301</v>
      </c>
      <c r="AI529">
        <v>91.065156829471206</v>
      </c>
      <c r="AJ529">
        <v>92.633068747978996</v>
      </c>
      <c r="AK529">
        <v>56.978723394924501</v>
      </c>
      <c r="AL529">
        <v>96.259523200118906</v>
      </c>
      <c r="AM529">
        <v>91.593172429349195</v>
      </c>
      <c r="AN529">
        <v>1.00000003080122</v>
      </c>
    </row>
    <row r="530" spans="1:40" x14ac:dyDescent="0.25">
      <c r="A530" t="str">
        <f>"20190305134919034"</f>
        <v>20190305134919034</v>
      </c>
      <c r="B530" t="str">
        <f>"1551764959021561"</f>
        <v>1551764959021561</v>
      </c>
      <c r="C530" t="s">
        <v>40</v>
      </c>
      <c r="D530">
        <v>4.2057169999999999</v>
      </c>
      <c r="E530">
        <v>0.49465290000000001</v>
      </c>
      <c r="F530" t="s">
        <v>42</v>
      </c>
      <c r="G530">
        <v>-348.36130000000003</v>
      </c>
      <c r="H530" s="1">
        <v>-8.5069940000000001E-7</v>
      </c>
      <c r="I530">
        <v>369.97559999999999</v>
      </c>
      <c r="J530">
        <v>-408.50459999999998</v>
      </c>
      <c r="K530">
        <v>1.0592029999999999</v>
      </c>
      <c r="L530">
        <v>367.70670000000001</v>
      </c>
      <c r="M530">
        <v>0.99988310000000002</v>
      </c>
      <c r="N530">
        <v>-1.337693E-2</v>
      </c>
      <c r="O530">
        <v>-7.4104189999999997E-3</v>
      </c>
      <c r="P530">
        <v>0.99228640000000001</v>
      </c>
      <c r="Q530">
        <v>-0.1222559</v>
      </c>
      <c r="R530">
        <v>2.0525290000000002E-2</v>
      </c>
      <c r="S530">
        <v>3.0144350000000002</v>
      </c>
      <c r="T530">
        <v>-5.2892920000000003E-2</v>
      </c>
      <c r="U530">
        <v>0.11322019999999999</v>
      </c>
      <c r="V530">
        <v>-2.7912739999999998E-2</v>
      </c>
      <c r="W530">
        <v>-0.1089649</v>
      </c>
      <c r="X530">
        <v>0.99365360000000003</v>
      </c>
      <c r="Y530">
        <v>-4.4925479999999997E-2</v>
      </c>
      <c r="Z530">
        <v>7.2549829999999998E-4</v>
      </c>
      <c r="AA530">
        <v>0.99899009999999999</v>
      </c>
      <c r="AB530">
        <v>40</v>
      </c>
      <c r="AC530">
        <v>60.143299999999897</v>
      </c>
      <c r="AD530">
        <v>-1.0592038506993999</v>
      </c>
      <c r="AE530">
        <v>2.2688999999999702</v>
      </c>
      <c r="AF530">
        <v>-2.7137241191232002</v>
      </c>
      <c r="AG530">
        <v>-1.0592038506993999</v>
      </c>
      <c r="AH530">
        <v>60.106217314944097</v>
      </c>
      <c r="AI530">
        <v>91.008546072325402</v>
      </c>
      <c r="AJ530">
        <v>92.585080664637005</v>
      </c>
      <c r="AK530">
        <v>60.1767693657888</v>
      </c>
      <c r="AL530">
        <v>96.255650205089395</v>
      </c>
      <c r="AM530">
        <v>91.609073552786299</v>
      </c>
      <c r="AN530">
        <v>0.999999973639638</v>
      </c>
    </row>
    <row r="531" spans="1:40" x14ac:dyDescent="0.25">
      <c r="A531" t="str">
        <f>"20190305134919044"</f>
        <v>20190305134919044</v>
      </c>
      <c r="B531" t="str">
        <f>"1551764959041081"</f>
        <v>1551764959041081</v>
      </c>
      <c r="C531" t="s">
        <v>40</v>
      </c>
      <c r="D531">
        <v>4.168336</v>
      </c>
      <c r="E531">
        <v>0.49465290000000001</v>
      </c>
      <c r="F531" t="s">
        <v>42</v>
      </c>
      <c r="G531">
        <v>-344.78320000000002</v>
      </c>
      <c r="H531" s="1">
        <v>-2.580089E-6</v>
      </c>
      <c r="I531">
        <v>370.11849999999998</v>
      </c>
      <c r="J531">
        <v>-408.2989</v>
      </c>
      <c r="K531">
        <v>1.059213</v>
      </c>
      <c r="L531">
        <v>367.70510000000002</v>
      </c>
      <c r="M531">
        <v>0.99988100000000002</v>
      </c>
      <c r="N531">
        <v>-1.3501869999999999E-2</v>
      </c>
      <c r="O531">
        <v>-7.4646929999999997E-3</v>
      </c>
      <c r="P531">
        <v>0.99226289999999995</v>
      </c>
      <c r="Q531">
        <v>-0.1223843</v>
      </c>
      <c r="R531">
        <v>2.0892930000000001E-2</v>
      </c>
      <c r="S531">
        <v>3.0148009999999998</v>
      </c>
      <c r="T531">
        <v>-5.0113440000000002E-2</v>
      </c>
      <c r="U531">
        <v>0.1141052</v>
      </c>
      <c r="V531">
        <v>-2.8333939999999998E-2</v>
      </c>
      <c r="W531">
        <v>-0.10896939999999999</v>
      </c>
      <c r="X531">
        <v>0.9936412</v>
      </c>
      <c r="Y531">
        <v>-4.5268889999999999E-2</v>
      </c>
      <c r="Z531">
        <v>7.0512919999999896E-4</v>
      </c>
      <c r="AA531">
        <v>0.99897460000000005</v>
      </c>
      <c r="AB531">
        <v>40</v>
      </c>
      <c r="AC531">
        <v>63.515699999999903</v>
      </c>
      <c r="AD531">
        <v>-1.059215580089</v>
      </c>
      <c r="AE531">
        <v>2.4133999999999598</v>
      </c>
      <c r="AF531">
        <v>-2.8866995185951598</v>
      </c>
      <c r="AG531">
        <v>-1.059215580089</v>
      </c>
      <c r="AH531">
        <v>63.478285035106502</v>
      </c>
      <c r="AI531">
        <v>90.954977170030403</v>
      </c>
      <c r="AJ531">
        <v>92.603753818267506</v>
      </c>
      <c r="AK531">
        <v>63.552715463259197</v>
      </c>
      <c r="AL531">
        <v>96.255909488420698</v>
      </c>
      <c r="AM531">
        <v>91.633361602713705</v>
      </c>
      <c r="AN531">
        <v>0.99999998831486103</v>
      </c>
    </row>
    <row r="532" spans="1:40" x14ac:dyDescent="0.25">
      <c r="A532" t="str">
        <f>"20190305134919057"</f>
        <v>20190305134919057</v>
      </c>
      <c r="B532" t="str">
        <f>"1551764959051817"</f>
        <v>1551764959051817</v>
      </c>
      <c r="C532" t="s">
        <v>40</v>
      </c>
      <c r="D532">
        <v>4.309952</v>
      </c>
      <c r="E532">
        <v>0.49438749999999998</v>
      </c>
      <c r="F532" t="s">
        <v>42</v>
      </c>
      <c r="G532">
        <v>-345.053</v>
      </c>
      <c r="H532" s="1">
        <v>-2.4528059999999998E-6</v>
      </c>
      <c r="I532">
        <v>370.11939999999998</v>
      </c>
      <c r="J532">
        <v>-408.07979999999998</v>
      </c>
      <c r="K532">
        <v>1.0592189999999999</v>
      </c>
      <c r="L532">
        <v>367.70350000000002</v>
      </c>
      <c r="M532">
        <v>0.99987910000000002</v>
      </c>
      <c r="N532">
        <v>-1.3625E-2</v>
      </c>
      <c r="O532">
        <v>-7.5228949999999999E-3</v>
      </c>
      <c r="P532">
        <v>0.99226840000000005</v>
      </c>
      <c r="Q532">
        <v>-0.12227880000000001</v>
      </c>
      <c r="R532">
        <v>2.1253970000000001E-2</v>
      </c>
      <c r="S532">
        <v>3.0147400000000002</v>
      </c>
      <c r="T532">
        <v>-5.0489659999999999E-2</v>
      </c>
      <c r="U532">
        <v>0.1150818</v>
      </c>
      <c r="V532">
        <v>-2.8753500000000001E-2</v>
      </c>
      <c r="W532">
        <v>-0.1087413</v>
      </c>
      <c r="X532">
        <v>0.99365409999999998</v>
      </c>
      <c r="Y532">
        <v>-4.5650660000000003E-2</v>
      </c>
      <c r="Z532">
        <v>7.1674270000000005E-4</v>
      </c>
      <c r="AA532">
        <v>0.99895719999999999</v>
      </c>
      <c r="AB532">
        <v>40</v>
      </c>
      <c r="AC532">
        <v>63.026799999999902</v>
      </c>
      <c r="AD532">
        <v>-1.059221452806</v>
      </c>
      <c r="AE532">
        <v>2.4158999999999602</v>
      </c>
      <c r="AF532">
        <v>-2.8892047083102899</v>
      </c>
      <c r="AG532">
        <v>-1.059221452806</v>
      </c>
      <c r="AH532">
        <v>62.9890755284083</v>
      </c>
      <c r="AI532">
        <v>90.9623807860536</v>
      </c>
      <c r="AJ532">
        <v>92.626221895242594</v>
      </c>
      <c r="AK532">
        <v>63.064198162318199</v>
      </c>
      <c r="AL532">
        <v>96.242762420384807</v>
      </c>
      <c r="AM532">
        <v>91.657513002777407</v>
      </c>
      <c r="AN532">
        <v>0.99999995226737304</v>
      </c>
    </row>
    <row r="533" spans="1:40" x14ac:dyDescent="0.25">
      <c r="A533" t="str">
        <f>"20190305134919068"</f>
        <v>20190305134919068</v>
      </c>
      <c r="B533" t="str">
        <f>"1551764959061578"</f>
        <v>1551764959061578</v>
      </c>
      <c r="C533" t="s">
        <v>40</v>
      </c>
      <c r="D533">
        <v>4.3097219999999998</v>
      </c>
      <c r="E533">
        <v>0.4934885</v>
      </c>
      <c r="F533" t="s">
        <v>43</v>
      </c>
      <c r="G533">
        <v>-301.69979999999998</v>
      </c>
      <c r="H533">
        <v>-0.05</v>
      </c>
      <c r="I533">
        <v>371.89580000000001</v>
      </c>
      <c r="J533">
        <v>-407.87209999999999</v>
      </c>
      <c r="K533">
        <v>1.0592239999999999</v>
      </c>
      <c r="L533">
        <v>367.70190000000002</v>
      </c>
      <c r="M533">
        <v>0.99987700000000002</v>
      </c>
      <c r="N533">
        <v>-1.373606E-2</v>
      </c>
      <c r="O533">
        <v>-7.5776810000000002E-3</v>
      </c>
      <c r="P533">
        <v>0.9922723</v>
      </c>
      <c r="Q533">
        <v>-0.1221739</v>
      </c>
      <c r="R533">
        <v>2.166585E-2</v>
      </c>
      <c r="S533">
        <v>3.0169679999999999</v>
      </c>
      <c r="T533">
        <v>-3.1457779999999998E-2</v>
      </c>
      <c r="U533">
        <v>0.1188965</v>
      </c>
      <c r="V533">
        <v>-2.921994E-2</v>
      </c>
      <c r="W533">
        <v>-0.10852580000000001</v>
      </c>
      <c r="X533">
        <v>0.99366410000000005</v>
      </c>
      <c r="Y533">
        <v>-4.6944140000000002E-2</v>
      </c>
      <c r="Z533">
        <v>5.4214669999999999E-4</v>
      </c>
      <c r="AA533">
        <v>0.99889740000000005</v>
      </c>
      <c r="AB533">
        <v>40</v>
      </c>
      <c r="AC533">
        <v>106.17230000000001</v>
      </c>
      <c r="AD533">
        <v>-1.109224</v>
      </c>
      <c r="AE533">
        <v>4.1938999999999798</v>
      </c>
      <c r="AF533">
        <v>-4.9978505947957901</v>
      </c>
      <c r="AG533">
        <v>-1.109224</v>
      </c>
      <c r="AH533">
        <v>106.12590268337701</v>
      </c>
      <c r="AI533">
        <v>90.5981686618873</v>
      </c>
      <c r="AJ533">
        <v>92.696272312536607</v>
      </c>
      <c r="AK533">
        <v>106.24931109805701</v>
      </c>
      <c r="AL533">
        <v>96.230341379944093</v>
      </c>
      <c r="AM533">
        <v>91.684368913043599</v>
      </c>
      <c r="AN533">
        <v>0.99999999889402602</v>
      </c>
    </row>
    <row r="534" spans="1:40" x14ac:dyDescent="0.25">
      <c r="A534" t="str">
        <f>"20190305134919080"</f>
        <v>20190305134919080</v>
      </c>
      <c r="B534" t="str">
        <f>"1551764959071337"</f>
        <v>1551764959071337</v>
      </c>
      <c r="C534" t="s">
        <v>40</v>
      </c>
      <c r="D534">
        <v>4.2990409999999999</v>
      </c>
      <c r="E534">
        <v>0.49270730000000001</v>
      </c>
      <c r="F534" t="s">
        <v>43</v>
      </c>
      <c r="G534">
        <v>-282.98950000000002</v>
      </c>
      <c r="H534">
        <v>-0.05</v>
      </c>
      <c r="I534">
        <v>372.9753</v>
      </c>
      <c r="J534">
        <v>-407.6678</v>
      </c>
      <c r="K534">
        <v>1.059234</v>
      </c>
      <c r="L534">
        <v>367.70030000000003</v>
      </c>
      <c r="M534">
        <v>0.99987519999999996</v>
      </c>
      <c r="N534">
        <v>-1.383299E-2</v>
      </c>
      <c r="O534">
        <v>-7.6320099999999998E-3</v>
      </c>
      <c r="P534">
        <v>0.99227770000000004</v>
      </c>
      <c r="Q534">
        <v>-0.1220548</v>
      </c>
      <c r="R534">
        <v>2.2086229999999998E-2</v>
      </c>
      <c r="S534">
        <v>3.017242</v>
      </c>
      <c r="T534">
        <v>-2.679956E-2</v>
      </c>
      <c r="U534">
        <v>0.12741089999999999</v>
      </c>
      <c r="V534">
        <v>-2.969399E-2</v>
      </c>
      <c r="W534">
        <v>-0.1083103</v>
      </c>
      <c r="X534">
        <v>0.99367360000000005</v>
      </c>
      <c r="Y534">
        <v>-4.9809600000000002E-2</v>
      </c>
      <c r="Z534">
        <v>5.280301E-4</v>
      </c>
      <c r="AA534">
        <v>0.99875860000000005</v>
      </c>
      <c r="AB534">
        <v>40</v>
      </c>
      <c r="AC534">
        <v>124.678299999999</v>
      </c>
      <c r="AD534">
        <v>-1.1092340000000001</v>
      </c>
      <c r="AE534">
        <v>5.2749999999999702</v>
      </c>
      <c r="AF534">
        <v>-6.2259914965446299</v>
      </c>
      <c r="AG534">
        <v>-1.1092340000000001</v>
      </c>
      <c r="AH534">
        <v>124.624558724419</v>
      </c>
      <c r="AI534">
        <v>90.509318500193601</v>
      </c>
      <c r="AJ534">
        <v>92.860003786708802</v>
      </c>
      <c r="AK534">
        <v>124.7849109766</v>
      </c>
      <c r="AL534">
        <v>96.2179206769963</v>
      </c>
      <c r="AM534">
        <v>91.711662808522405</v>
      </c>
      <c r="AN534">
        <v>1.00000003873258</v>
      </c>
    </row>
    <row r="535" spans="1:40" x14ac:dyDescent="0.25">
      <c r="A535" t="str">
        <f>"20190305134919091"</f>
        <v>20190305134919091</v>
      </c>
      <c r="B535" t="str">
        <f>"1551764959081098"</f>
        <v>1551764959081098</v>
      </c>
      <c r="C535" t="s">
        <v>40</v>
      </c>
      <c r="D535">
        <v>4.2889689999999998</v>
      </c>
      <c r="E535">
        <v>0.49200719999999998</v>
      </c>
      <c r="F535" t="s">
        <v>42</v>
      </c>
      <c r="G535">
        <v>-267.94459999999998</v>
      </c>
      <c r="H535" s="1">
        <v>-2.0191560000000001E-6</v>
      </c>
      <c r="I535">
        <v>373.95740000000001</v>
      </c>
      <c r="J535">
        <v>-407.46170000000001</v>
      </c>
      <c r="K535">
        <v>1.0592410000000001</v>
      </c>
      <c r="L535">
        <v>367.6986</v>
      </c>
      <c r="M535">
        <v>0.99987349999999997</v>
      </c>
      <c r="N535">
        <v>-1.392785E-2</v>
      </c>
      <c r="O535">
        <v>-7.6869240000000004E-3</v>
      </c>
      <c r="P535">
        <v>0.99233819999999995</v>
      </c>
      <c r="Q535">
        <v>-0.1214819</v>
      </c>
      <c r="R535">
        <v>2.252258E-2</v>
      </c>
      <c r="S535">
        <v>3.017487</v>
      </c>
      <c r="T535">
        <v>-2.2875429999999999E-2</v>
      </c>
      <c r="U535">
        <v>0.1351318</v>
      </c>
      <c r="V535">
        <v>-3.0185179999999999E-2</v>
      </c>
      <c r="W535">
        <v>-0.10764219999999999</v>
      </c>
      <c r="X535">
        <v>0.99373140000000004</v>
      </c>
      <c r="Y535">
        <v>-5.2412300000000002E-2</v>
      </c>
      <c r="Z535">
        <v>5.1501080000000005E-4</v>
      </c>
      <c r="AA535">
        <v>0.9986254</v>
      </c>
      <c r="AB535">
        <v>40</v>
      </c>
      <c r="AC535">
        <v>139.5171</v>
      </c>
      <c r="AD535">
        <v>-1.0592430191559901</v>
      </c>
      <c r="AE535">
        <v>6.2587999999999999</v>
      </c>
      <c r="AF535">
        <v>-7.3307546725386699</v>
      </c>
      <c r="AG535">
        <v>-1.0592430191559901</v>
      </c>
      <c r="AH535">
        <v>139.456839229384</v>
      </c>
      <c r="AI535">
        <v>90.434581160612794</v>
      </c>
      <c r="AJ535">
        <v>93.009067704409503</v>
      </c>
      <c r="AK535">
        <v>139.653399413307</v>
      </c>
      <c r="AL535">
        <v>96.179416231107993</v>
      </c>
      <c r="AM535">
        <v>91.739858269701998</v>
      </c>
      <c r="AN535">
        <v>1.0000000418292101</v>
      </c>
    </row>
    <row r="536" spans="1:40" x14ac:dyDescent="0.25">
      <c r="A536" t="str">
        <f>"20190305134919103"</f>
        <v>20190305134919103</v>
      </c>
      <c r="B536" t="str">
        <f>"1551764959091834"</f>
        <v>1551764959091834</v>
      </c>
      <c r="C536" t="s">
        <v>40</v>
      </c>
      <c r="D536">
        <v>4.271979</v>
      </c>
      <c r="E536">
        <v>0.49132219999999999</v>
      </c>
      <c r="F536" t="s">
        <v>42</v>
      </c>
      <c r="G536">
        <v>-229.10839999999999</v>
      </c>
      <c r="H536" s="1">
        <v>-2.0846400000000002E-6</v>
      </c>
      <c r="I536">
        <v>376.08</v>
      </c>
      <c r="J536">
        <v>-407.24369999999999</v>
      </c>
      <c r="K536">
        <v>1.059248</v>
      </c>
      <c r="L536">
        <v>367.69690000000003</v>
      </c>
      <c r="M536">
        <v>0.99987179999999998</v>
      </c>
      <c r="N536">
        <v>-1.401754E-2</v>
      </c>
      <c r="O536">
        <v>-7.7446679999999997E-3</v>
      </c>
      <c r="P536">
        <v>0.99240130000000004</v>
      </c>
      <c r="Q536">
        <v>-0.12095400000000001</v>
      </c>
      <c r="R536">
        <v>2.2583720000000002E-2</v>
      </c>
      <c r="S536">
        <v>3.0177610000000001</v>
      </c>
      <c r="T536">
        <v>-1.7922520000000001E-2</v>
      </c>
      <c r="U536">
        <v>0.1418152</v>
      </c>
      <c r="V536">
        <v>-3.0303770000000001E-2</v>
      </c>
      <c r="W536">
        <v>-0.1070242</v>
      </c>
      <c r="X536">
        <v>0.99379450000000003</v>
      </c>
      <c r="Y536">
        <v>-5.4673699999999999E-2</v>
      </c>
      <c r="Z536">
        <v>4.8316759999999999E-4</v>
      </c>
      <c r="AA536">
        <v>0.99850419999999995</v>
      </c>
      <c r="AB536">
        <v>40</v>
      </c>
      <c r="AC536">
        <v>178.1353</v>
      </c>
      <c r="AD536">
        <v>-1.0592500846399999</v>
      </c>
      <c r="AE536">
        <v>8.3830999999999491</v>
      </c>
      <c r="AF536">
        <v>-9.7622383769643104</v>
      </c>
      <c r="AG536">
        <v>-1.0592500846399999</v>
      </c>
      <c r="AH536">
        <v>178.05874387639</v>
      </c>
      <c r="AI536">
        <v>90.340330589859406</v>
      </c>
      <c r="AJ536">
        <v>93.138153296722507</v>
      </c>
      <c r="AK536">
        <v>178.32930095670801</v>
      </c>
      <c r="AL536">
        <v>96.143801938087506</v>
      </c>
      <c r="AM536">
        <v>91.746578674724304</v>
      </c>
      <c r="AN536">
        <v>1.0000000030460501</v>
      </c>
    </row>
    <row r="537" spans="1:40" x14ac:dyDescent="0.25">
      <c r="A537" t="str">
        <f>"20190305134919117"</f>
        <v>20190305134919117</v>
      </c>
      <c r="B537" t="str">
        <f>"1551764959111354"</f>
        <v>1551764959111354</v>
      </c>
      <c r="C537" t="s">
        <v>40</v>
      </c>
      <c r="D537">
        <v>4.1137459999999999</v>
      </c>
      <c r="E537">
        <v>0.49206830000000001</v>
      </c>
      <c r="F537" t="s">
        <v>44</v>
      </c>
      <c r="G537">
        <v>-180.07550000000001</v>
      </c>
      <c r="H537">
        <v>7.9988899999999905E-2</v>
      </c>
      <c r="I537">
        <v>378.7919</v>
      </c>
      <c r="J537">
        <v>-407.01029999999997</v>
      </c>
      <c r="K537">
        <v>1.059261</v>
      </c>
      <c r="L537">
        <v>367.69510000000002</v>
      </c>
      <c r="M537">
        <v>0.99987000000000004</v>
      </c>
      <c r="N537">
        <v>-1.410719E-2</v>
      </c>
      <c r="O537">
        <v>-7.8068240000000004E-3</v>
      </c>
      <c r="P537">
        <v>0.99242399999999997</v>
      </c>
      <c r="Q537">
        <v>-0.1206893</v>
      </c>
      <c r="R537">
        <v>2.299236E-2</v>
      </c>
      <c r="S537">
        <v>3.018005</v>
      </c>
      <c r="T537">
        <v>-1.300979E-2</v>
      </c>
      <c r="U537">
        <v>0.1473999</v>
      </c>
      <c r="V537">
        <v>-3.0774559999999999E-2</v>
      </c>
      <c r="W537">
        <v>-0.10667</v>
      </c>
      <c r="X537">
        <v>0.99381810000000004</v>
      </c>
      <c r="Y537">
        <v>-5.6576229999999998E-2</v>
      </c>
      <c r="Z537">
        <v>4.447656E-4</v>
      </c>
      <c r="AA537">
        <v>0.99839820000000001</v>
      </c>
      <c r="AB537">
        <v>40</v>
      </c>
      <c r="AC537">
        <v>226.9348</v>
      </c>
      <c r="AD537">
        <v>-0.97927209999999998</v>
      </c>
      <c r="AE537">
        <v>11.096799999999901</v>
      </c>
      <c r="AF537">
        <v>-12.868039106919399</v>
      </c>
      <c r="AG537">
        <v>-0.97927209999999998</v>
      </c>
      <c r="AH537">
        <v>226.83702981782599</v>
      </c>
      <c r="AI537">
        <v>90.246951516368398</v>
      </c>
      <c r="AJ537">
        <v>93.246802233307506</v>
      </c>
      <c r="AK537">
        <v>227.203836897347</v>
      </c>
      <c r="AL537">
        <v>96.123391014691805</v>
      </c>
      <c r="AM537">
        <v>91.773653688331606</v>
      </c>
      <c r="AN537">
        <v>0.999999989165401</v>
      </c>
    </row>
    <row r="538" spans="1:40" x14ac:dyDescent="0.25">
      <c r="A538" t="str">
        <f>"20190305134919134"</f>
        <v>20190305134919134</v>
      </c>
      <c r="B538" t="str">
        <f>"1551764959131849"</f>
        <v>1551764959131849</v>
      </c>
      <c r="C538" t="s">
        <v>40</v>
      </c>
      <c r="D538">
        <v>4.2372259999999997</v>
      </c>
      <c r="E538">
        <v>0.49099579999999998</v>
      </c>
      <c r="F538" t="s">
        <v>45</v>
      </c>
      <c r="G538">
        <v>-158.19499999999999</v>
      </c>
      <c r="H538">
        <v>1.7053659999999999</v>
      </c>
      <c r="I538">
        <v>379.49279999999999</v>
      </c>
      <c r="J538">
        <v>-406.70089999999999</v>
      </c>
      <c r="K538">
        <v>1.0592729999999999</v>
      </c>
      <c r="L538">
        <v>367.69260000000003</v>
      </c>
      <c r="M538">
        <v>0.99986790000000003</v>
      </c>
      <c r="N538">
        <v>-1.421528E-2</v>
      </c>
      <c r="O538">
        <v>-7.8894989999999995E-3</v>
      </c>
      <c r="P538">
        <v>0.99253210000000003</v>
      </c>
      <c r="Q538">
        <v>-0.1197235</v>
      </c>
      <c r="R538">
        <v>2.3372270000000001E-2</v>
      </c>
      <c r="S538">
        <v>3.0205380000000002</v>
      </c>
      <c r="T538">
        <v>7.8445670000000002E-3</v>
      </c>
      <c r="U538">
        <v>0.14321900000000001</v>
      </c>
      <c r="V538">
        <v>-3.123689E-2</v>
      </c>
      <c r="W538">
        <v>-0.1055953</v>
      </c>
      <c r="X538">
        <v>0.99391850000000004</v>
      </c>
      <c r="Y538">
        <v>-5.5241539999999999E-2</v>
      </c>
      <c r="Z538">
        <v>1.886139E-4</v>
      </c>
      <c r="AA538">
        <v>0.99847300000000005</v>
      </c>
      <c r="AB538">
        <v>40</v>
      </c>
      <c r="AC538">
        <v>248.5059</v>
      </c>
      <c r="AD538">
        <v>0.64609300000000003</v>
      </c>
      <c r="AE538">
        <v>11.800199999999901</v>
      </c>
      <c r="AF538">
        <v>-13.7605249060679</v>
      </c>
      <c r="AG538">
        <v>0.64609300000000003</v>
      </c>
      <c r="AH538">
        <v>248.40338191191299</v>
      </c>
      <c r="AI538">
        <v>89.851203112345004</v>
      </c>
      <c r="AJ538">
        <v>93.170709676883106</v>
      </c>
      <c r="AK538">
        <v>248.785067130507</v>
      </c>
      <c r="AL538">
        <v>96.061465124136006</v>
      </c>
      <c r="AM538">
        <v>91.800100366570902</v>
      </c>
      <c r="AN538">
        <v>1.0000000476605999</v>
      </c>
    </row>
    <row r="539" spans="1:40" x14ac:dyDescent="0.25">
      <c r="A539" t="str">
        <f>"20190305134919147"</f>
        <v>20190305134919147</v>
      </c>
      <c r="B539" t="str">
        <f>"1551764959141610"</f>
        <v>1551764959141610</v>
      </c>
      <c r="C539" t="s">
        <v>40</v>
      </c>
      <c r="D539">
        <v>4.2326069999999998</v>
      </c>
      <c r="E539">
        <v>0.49050549999999998</v>
      </c>
      <c r="F539" t="s">
        <v>45</v>
      </c>
      <c r="G539">
        <v>-158.19499999999999</v>
      </c>
      <c r="H539">
        <v>2.3462079999999998</v>
      </c>
      <c r="I539">
        <v>380.29500000000002</v>
      </c>
      <c r="J539">
        <v>-406.45460000000003</v>
      </c>
      <c r="K539">
        <v>1.0592820000000001</v>
      </c>
      <c r="L539">
        <v>367.69060000000002</v>
      </c>
      <c r="M539">
        <v>0.99986620000000004</v>
      </c>
      <c r="N539">
        <v>-1.4292829999999999E-2</v>
      </c>
      <c r="O539">
        <v>-7.9550309999999996E-3</v>
      </c>
      <c r="P539">
        <v>0.99255570000000004</v>
      </c>
      <c r="Q539">
        <v>-0.1194944</v>
      </c>
      <c r="R539">
        <v>2.3545969999999999E-2</v>
      </c>
      <c r="S539">
        <v>3.020905</v>
      </c>
      <c r="T539">
        <v>1.564538E-2</v>
      </c>
      <c r="U539">
        <v>0.15319820000000001</v>
      </c>
      <c r="V539">
        <v>-3.1475820000000002E-2</v>
      </c>
      <c r="W539">
        <v>-0.1052887</v>
      </c>
      <c r="X539">
        <v>0.99394349999999998</v>
      </c>
      <c r="Y539">
        <v>-5.8591530000000003E-2</v>
      </c>
      <c r="Z539">
        <v>1.125797E-4</v>
      </c>
      <c r="AA539">
        <v>0.998282</v>
      </c>
      <c r="AB539">
        <v>40</v>
      </c>
      <c r="AC539">
        <v>248.25960000000001</v>
      </c>
      <c r="AD539">
        <v>1.286926</v>
      </c>
      <c r="AE539">
        <v>12.604399999999901</v>
      </c>
      <c r="AF539">
        <v>-14.5787249271918</v>
      </c>
      <c r="AG539">
        <v>1.286926</v>
      </c>
      <c r="AH539">
        <v>248.14481346004999</v>
      </c>
      <c r="AI539">
        <v>89.7033673880279</v>
      </c>
      <c r="AJ539">
        <v>93.362312211296199</v>
      </c>
      <c r="AK539">
        <v>248.57603232442801</v>
      </c>
      <c r="AL539">
        <v>96.043799691382603</v>
      </c>
      <c r="AM539">
        <v>91.813814523021307</v>
      </c>
      <c r="AN539">
        <v>1.0000000593923</v>
      </c>
    </row>
    <row r="540" spans="1:40" x14ac:dyDescent="0.25">
      <c r="A540" t="str">
        <f>"20190305134919161"</f>
        <v>20190305134919161</v>
      </c>
      <c r="B540" t="str">
        <f>"1551764959151369"</f>
        <v>1551764959151369</v>
      </c>
      <c r="C540" t="s">
        <v>40</v>
      </c>
      <c r="D540">
        <v>4.2382819999999999</v>
      </c>
      <c r="E540">
        <v>0.4900041</v>
      </c>
      <c r="F540" t="s">
        <v>45</v>
      </c>
      <c r="G540">
        <v>-158.19499999999999</v>
      </c>
      <c r="H540">
        <v>2.5977549999999998</v>
      </c>
      <c r="I540">
        <v>380.63350000000003</v>
      </c>
      <c r="J540">
        <v>-406.22050000000002</v>
      </c>
      <c r="K540">
        <v>1.0592919999999999</v>
      </c>
      <c r="L540">
        <v>367.68869999999998</v>
      </c>
      <c r="M540">
        <v>0.9998648</v>
      </c>
      <c r="N540">
        <v>-1.435879E-2</v>
      </c>
      <c r="O540">
        <v>-8.0176169999999995E-3</v>
      </c>
      <c r="P540">
        <v>0.99259509999999995</v>
      </c>
      <c r="Q540">
        <v>-0.11915050000000001</v>
      </c>
      <c r="R540">
        <v>2.3623160000000001E-2</v>
      </c>
      <c r="S540">
        <v>3.0210569999999999</v>
      </c>
      <c r="T540">
        <v>1.872265E-2</v>
      </c>
      <c r="U540">
        <v>0.15750120000000001</v>
      </c>
      <c r="V540">
        <v>-3.1615600000000001E-2</v>
      </c>
      <c r="W540">
        <v>-0.10487870000000001</v>
      </c>
      <c r="X540">
        <v>0.99398240000000004</v>
      </c>
      <c r="Y540">
        <v>-6.006951E-2</v>
      </c>
      <c r="Z540" s="1">
        <v>8.0864639999999994E-5</v>
      </c>
      <c r="AA540">
        <v>0.99819420000000003</v>
      </c>
      <c r="AB540">
        <v>40</v>
      </c>
      <c r="AC540">
        <v>248.02549999999999</v>
      </c>
      <c r="AD540">
        <v>1.5384629999999999</v>
      </c>
      <c r="AE540">
        <v>12.944800000000001</v>
      </c>
      <c r="AF540">
        <v>-14.932589292149199</v>
      </c>
      <c r="AG540">
        <v>1.5384629999999999</v>
      </c>
      <c r="AH540">
        <v>247.904217007211</v>
      </c>
      <c r="AI540">
        <v>89.645077304814706</v>
      </c>
      <c r="AJ540">
        <v>93.447064525573694</v>
      </c>
      <c r="AK540">
        <v>248.35830950731</v>
      </c>
      <c r="AL540">
        <v>96.020177695307396</v>
      </c>
      <c r="AM540">
        <v>91.821792768209704</v>
      </c>
      <c r="AN540">
        <v>1.0000000496934001</v>
      </c>
    </row>
    <row r="541" spans="1:40" x14ac:dyDescent="0.25">
      <c r="A541" t="str">
        <f>"20190305134919178"</f>
        <v>20190305134919178</v>
      </c>
      <c r="B541" t="str">
        <f>"1551764959171865"</f>
        <v>1551764959171865</v>
      </c>
      <c r="C541" t="s">
        <v>40</v>
      </c>
      <c r="D541">
        <v>4.2209050000000001</v>
      </c>
      <c r="E541">
        <v>0.4890524</v>
      </c>
      <c r="F541" t="s">
        <v>45</v>
      </c>
      <c r="G541">
        <v>-158.19499999999999</v>
      </c>
      <c r="H541">
        <v>2.8761380000000001</v>
      </c>
      <c r="I541">
        <v>380.97480000000002</v>
      </c>
      <c r="J541">
        <v>-405.89100000000002</v>
      </c>
      <c r="K541">
        <v>1.0593060000000001</v>
      </c>
      <c r="L541">
        <v>367.68599999999998</v>
      </c>
      <c r="M541">
        <v>0.99986280000000005</v>
      </c>
      <c r="N541">
        <v>-1.4443559999999999E-2</v>
      </c>
      <c r="O541">
        <v>-8.1056140000000006E-3</v>
      </c>
      <c r="P541">
        <v>0.99258999999999997</v>
      </c>
      <c r="Q541">
        <v>-0.11919399999999999</v>
      </c>
      <c r="R541">
        <v>2.362069E-2</v>
      </c>
      <c r="S541">
        <v>3.0211489999999999</v>
      </c>
      <c r="T541">
        <v>2.2131680000000001E-2</v>
      </c>
      <c r="U541">
        <v>0.1618347</v>
      </c>
      <c r="V541">
        <v>-3.1700099999999898E-2</v>
      </c>
      <c r="W541">
        <v>-0.104838</v>
      </c>
      <c r="X541">
        <v>0.99398399999999998</v>
      </c>
      <c r="Y541">
        <v>-6.158338E-2</v>
      </c>
      <c r="Z541" s="1">
        <v>4.3351199999999999E-5</v>
      </c>
      <c r="AA541">
        <v>0.99810189999999999</v>
      </c>
      <c r="AB541">
        <v>40</v>
      </c>
      <c r="AC541">
        <v>247.696</v>
      </c>
      <c r="AD541">
        <v>1.816832</v>
      </c>
      <c r="AE541">
        <v>13.2888</v>
      </c>
      <c r="AF541">
        <v>-15.295480490172</v>
      </c>
      <c r="AG541">
        <v>1.816832</v>
      </c>
      <c r="AH541">
        <v>247.56685495475401</v>
      </c>
      <c r="AI541">
        <v>89.580328161777203</v>
      </c>
      <c r="AJ541">
        <v>93.535424584605806</v>
      </c>
      <c r="AK541">
        <v>248.04556088374099</v>
      </c>
      <c r="AL541">
        <v>96.017832844082093</v>
      </c>
      <c r="AM541">
        <v>91.826655697880994</v>
      </c>
      <c r="AN541">
        <v>1.0000000474199999</v>
      </c>
    </row>
    <row r="542" spans="1:40" x14ac:dyDescent="0.25">
      <c r="A542" t="str">
        <f>"20190305134919191"</f>
        <v>20190305134919191</v>
      </c>
      <c r="B542" t="str">
        <f>"1551764959181626"</f>
        <v>1551764959181626</v>
      </c>
      <c r="C542" t="s">
        <v>40</v>
      </c>
      <c r="D542">
        <v>4.2350649999999996</v>
      </c>
      <c r="E542">
        <v>0.48860419999999999</v>
      </c>
      <c r="F542" t="s">
        <v>45</v>
      </c>
      <c r="G542">
        <v>-158.19499999999999</v>
      </c>
      <c r="H542">
        <v>3.1644570000000001</v>
      </c>
      <c r="I542">
        <v>381.5686</v>
      </c>
      <c r="J542">
        <v>-405.66910000000001</v>
      </c>
      <c r="K542">
        <v>1.059312</v>
      </c>
      <c r="L542">
        <v>367.6841</v>
      </c>
      <c r="M542">
        <v>0.99986180000000002</v>
      </c>
      <c r="N542">
        <v>-1.44958E-2</v>
      </c>
      <c r="O542">
        <v>-8.1646469999999902E-3</v>
      </c>
      <c r="P542">
        <v>0.99262269999999997</v>
      </c>
      <c r="Q542">
        <v>-0.118969699999999</v>
      </c>
      <c r="R542">
        <v>2.338498E-2</v>
      </c>
      <c r="S542">
        <v>3.021423</v>
      </c>
      <c r="T542">
        <v>2.567995E-2</v>
      </c>
      <c r="U542">
        <v>0.16934199999999999</v>
      </c>
      <c r="V542">
        <v>-3.1523290000000002E-2</v>
      </c>
      <c r="W542">
        <v>-0.1045614</v>
      </c>
      <c r="X542">
        <v>0.99401870000000003</v>
      </c>
      <c r="Y542">
        <v>-6.4109620000000006E-2</v>
      </c>
      <c r="Z542" s="1">
        <v>5.222042E-6</v>
      </c>
      <c r="AA542">
        <v>0.99794289999999997</v>
      </c>
      <c r="AB542">
        <v>40</v>
      </c>
      <c r="AC542">
        <v>247.47409999999999</v>
      </c>
      <c r="AD542">
        <v>2.1051449999999998</v>
      </c>
      <c r="AE542">
        <v>13.884499999999999</v>
      </c>
      <c r="AF542">
        <v>-15.903640497126499</v>
      </c>
      <c r="AG542">
        <v>2.1051449999999998</v>
      </c>
      <c r="AH542">
        <v>247.33463448934401</v>
      </c>
      <c r="AI542">
        <v>89.513353814536501</v>
      </c>
      <c r="AJ542">
        <v>93.679059284986295</v>
      </c>
      <c r="AK542">
        <v>247.854350041532</v>
      </c>
      <c r="AL542">
        <v>96.001897593770195</v>
      </c>
      <c r="AM542">
        <v>91.816410846803805</v>
      </c>
      <c r="AN542">
        <v>0.99999999006603701</v>
      </c>
    </row>
    <row r="543" spans="1:40" x14ac:dyDescent="0.25">
      <c r="A543" t="str">
        <f>"20190305134919204"</f>
        <v>20190305134919204</v>
      </c>
      <c r="B543" t="str">
        <f>"1551764959201146"</f>
        <v>1551764959201146</v>
      </c>
      <c r="C543" t="s">
        <v>40</v>
      </c>
      <c r="D543">
        <v>4.2831989999999998</v>
      </c>
      <c r="E543">
        <v>0.48766910000000002</v>
      </c>
      <c r="F543" t="s">
        <v>54</v>
      </c>
      <c r="G543">
        <v>-179.99289999999999</v>
      </c>
      <c r="H543">
        <v>3.1714950000000002</v>
      </c>
      <c r="I543">
        <v>380.5437</v>
      </c>
      <c r="J543">
        <v>-405.44549999999998</v>
      </c>
      <c r="K543">
        <v>1.059321</v>
      </c>
      <c r="L543">
        <v>367.68220000000002</v>
      </c>
      <c r="M543">
        <v>0.99986050000000004</v>
      </c>
      <c r="N543">
        <v>-1.454256E-2</v>
      </c>
      <c r="O543">
        <v>-8.22411199999999E-3</v>
      </c>
      <c r="P543">
        <v>0.99260740000000003</v>
      </c>
      <c r="Q543">
        <v>-0.1190799</v>
      </c>
      <c r="R543">
        <v>2.3465110000000001E-2</v>
      </c>
      <c r="S543">
        <v>3.0216370000000001</v>
      </c>
      <c r="T543">
        <v>2.828228E-2</v>
      </c>
      <c r="U543">
        <v>0.17218020000000001</v>
      </c>
      <c r="V543">
        <v>-3.1662429999999998E-2</v>
      </c>
      <c r="W543">
        <v>-0.1046252</v>
      </c>
      <c r="X543">
        <v>0.99400759999999999</v>
      </c>
      <c r="Y543">
        <v>-6.5099110000000002E-2</v>
      </c>
      <c r="Z543" s="1">
        <v>-2.7064119999999999E-5</v>
      </c>
      <c r="AA543">
        <v>0.99787879999999995</v>
      </c>
      <c r="AB543">
        <v>40</v>
      </c>
      <c r="AC543">
        <v>225.45259999999999</v>
      </c>
      <c r="AD543">
        <v>2.112174</v>
      </c>
      <c r="AE543">
        <v>12.8614999999999</v>
      </c>
      <c r="AF543">
        <v>-14.7141210691087</v>
      </c>
      <c r="AG543">
        <v>2.112174</v>
      </c>
      <c r="AH543">
        <v>225.31947603995701</v>
      </c>
      <c r="AI543">
        <v>89.464059146579402</v>
      </c>
      <c r="AJ543">
        <v>93.736302313301493</v>
      </c>
      <c r="AK543">
        <v>225.80928439894399</v>
      </c>
      <c r="AL543">
        <v>96.005573012089101</v>
      </c>
      <c r="AM543">
        <v>91.824443218229902</v>
      </c>
      <c r="AN543">
        <v>1.00000002540315</v>
      </c>
    </row>
    <row r="544" spans="1:40" x14ac:dyDescent="0.25">
      <c r="A544" t="str">
        <f>"20190305134919215"</f>
        <v>20190305134919215</v>
      </c>
      <c r="B544" t="str">
        <f>"1551764959211881"</f>
        <v>1551764959211881</v>
      </c>
      <c r="C544" t="s">
        <v>40</v>
      </c>
      <c r="D544">
        <v>4.2655329999999996</v>
      </c>
      <c r="E544">
        <v>0.48728290000000002</v>
      </c>
      <c r="F544" t="s">
        <v>45</v>
      </c>
      <c r="G544">
        <v>-169.2955</v>
      </c>
      <c r="H544">
        <v>3.482831</v>
      </c>
      <c r="I544">
        <v>381.73410000000001</v>
      </c>
      <c r="J544">
        <v>-405.24160000000001</v>
      </c>
      <c r="K544">
        <v>1.0593300000000001</v>
      </c>
      <c r="L544">
        <v>367.68060000000003</v>
      </c>
      <c r="M544">
        <v>0.99985939999999995</v>
      </c>
      <c r="N544">
        <v>-1.458251E-2</v>
      </c>
      <c r="O544">
        <v>-8.2780430000000006E-3</v>
      </c>
      <c r="P544">
        <v>0.99260990000000004</v>
      </c>
      <c r="Q544">
        <v>-0.1190508</v>
      </c>
      <c r="R544">
        <v>2.350909E-2</v>
      </c>
      <c r="S544">
        <v>3.02182</v>
      </c>
      <c r="T544">
        <v>3.1012769999999999E-2</v>
      </c>
      <c r="U544">
        <v>0.17980960000000001</v>
      </c>
      <c r="V544">
        <v>-3.1759820000000001E-2</v>
      </c>
      <c r="W544">
        <v>-0.1045565</v>
      </c>
      <c r="X544">
        <v>0.99401170000000005</v>
      </c>
      <c r="Y544">
        <v>-6.7659910000000004E-2</v>
      </c>
      <c r="Z544" s="1">
        <v>-5.8581349999999998E-5</v>
      </c>
      <c r="AA544">
        <v>0.99770840000000005</v>
      </c>
      <c r="AB544">
        <v>40</v>
      </c>
      <c r="AC544">
        <v>235.9461</v>
      </c>
      <c r="AD544">
        <v>2.4235009999999999</v>
      </c>
      <c r="AE544">
        <v>14.0534999999999</v>
      </c>
      <c r="AF544">
        <v>-16.004715483304899</v>
      </c>
      <c r="AG544">
        <v>2.4235009999999999</v>
      </c>
      <c r="AH544">
        <v>235.79687696762699</v>
      </c>
      <c r="AI544">
        <v>89.412491084074304</v>
      </c>
      <c r="AJ544">
        <v>93.882995930671697</v>
      </c>
      <c r="AK544">
        <v>236.351838288778</v>
      </c>
      <c r="AL544">
        <v>96.001615214376898</v>
      </c>
      <c r="AM544">
        <v>91.830043642755498</v>
      </c>
      <c r="AN544">
        <v>1.0000000037977801</v>
      </c>
    </row>
    <row r="545" spans="1:40" x14ac:dyDescent="0.25">
      <c r="A545" t="str">
        <f>"20190305134919227"</f>
        <v>20190305134919227</v>
      </c>
      <c r="B545" t="str">
        <f>"1551764959221642"</f>
        <v>1551764959221642</v>
      </c>
      <c r="C545" t="s">
        <v>40</v>
      </c>
      <c r="D545">
        <v>4.3276949999999896</v>
      </c>
      <c r="E545">
        <v>0.48698930000000001</v>
      </c>
      <c r="F545" t="s">
        <v>45</v>
      </c>
      <c r="G545">
        <v>-169.2955</v>
      </c>
      <c r="H545">
        <v>3.5674440000000001</v>
      </c>
      <c r="I545">
        <v>381.9966</v>
      </c>
      <c r="J545">
        <v>-405.02480000000003</v>
      </c>
      <c r="K545">
        <v>1.059337</v>
      </c>
      <c r="L545">
        <v>367.67869999999999</v>
      </c>
      <c r="M545">
        <v>0.99985840000000004</v>
      </c>
      <c r="N545">
        <v>-1.462195E-2</v>
      </c>
      <c r="O545">
        <v>-8.3354259999999999E-3</v>
      </c>
      <c r="P545">
        <v>0.99262119999999998</v>
      </c>
      <c r="Q545">
        <v>-0.1189862</v>
      </c>
      <c r="R545">
        <v>2.3360990000000002E-2</v>
      </c>
      <c r="S545">
        <v>3.0218509999999998</v>
      </c>
      <c r="T545">
        <v>3.2123449999999998E-2</v>
      </c>
      <c r="U545">
        <v>0.1833496</v>
      </c>
      <c r="V545">
        <v>-3.1668689999999999E-2</v>
      </c>
      <c r="W545">
        <v>-0.10445260000000001</v>
      </c>
      <c r="X545">
        <v>0.99402550000000001</v>
      </c>
      <c r="Y545">
        <v>-6.888097E-2</v>
      </c>
      <c r="Z545" s="1">
        <v>-7.1987679999999994E-5</v>
      </c>
      <c r="AA545">
        <v>0.99762490000000004</v>
      </c>
      <c r="AB545">
        <v>40</v>
      </c>
      <c r="AC545">
        <v>235.72929999999999</v>
      </c>
      <c r="AD545">
        <v>2.5081069999999999</v>
      </c>
      <c r="AE545">
        <v>14.3179</v>
      </c>
      <c r="AF545">
        <v>-16.2806803290757</v>
      </c>
      <c r="AG545">
        <v>2.5081069999999999</v>
      </c>
      <c r="AH545">
        <v>235.57518017329801</v>
      </c>
      <c r="AI545">
        <v>89.391461370745404</v>
      </c>
      <c r="AJ545">
        <v>93.953444487178004</v>
      </c>
      <c r="AK545">
        <v>236.15041110780001</v>
      </c>
      <c r="AL545">
        <v>95.995629591726896</v>
      </c>
      <c r="AM545">
        <v>91.824770848161407</v>
      </c>
      <c r="AN545">
        <v>0.999999973111662</v>
      </c>
    </row>
    <row r="546" spans="1:40" x14ac:dyDescent="0.25">
      <c r="A546" t="str">
        <f>"20190305134919239"</f>
        <v>20190305134919239</v>
      </c>
      <c r="B546" t="str">
        <f>"1551764959231401"</f>
        <v>1551764959231401</v>
      </c>
      <c r="C546" t="s">
        <v>40</v>
      </c>
      <c r="D546">
        <v>4.2704740000000001</v>
      </c>
      <c r="E546">
        <v>0.48659639999999998</v>
      </c>
      <c r="F546" t="s">
        <v>45</v>
      </c>
      <c r="G546">
        <v>-169.2955</v>
      </c>
      <c r="H546">
        <v>3.621362</v>
      </c>
      <c r="I546">
        <v>382.11470000000003</v>
      </c>
      <c r="J546">
        <v>-404.81450000000001</v>
      </c>
      <c r="K546">
        <v>1.0593459999999999</v>
      </c>
      <c r="L546">
        <v>367.67689999999999</v>
      </c>
      <c r="M546">
        <v>0.99985740000000001</v>
      </c>
      <c r="N546">
        <v>-1.465611E-2</v>
      </c>
      <c r="O546">
        <v>-8.3897869999999992E-3</v>
      </c>
      <c r="P546">
        <v>0.99263040000000002</v>
      </c>
      <c r="Q546">
        <v>-0.1188951</v>
      </c>
      <c r="R546">
        <v>2.342822E-2</v>
      </c>
      <c r="S546">
        <v>3.021881</v>
      </c>
      <c r="T546">
        <v>3.2844419999999999E-2</v>
      </c>
      <c r="U546">
        <v>0.18505859999999999</v>
      </c>
      <c r="V546">
        <v>-3.1789980000000002E-2</v>
      </c>
      <c r="W546">
        <v>-0.1043274</v>
      </c>
      <c r="X546">
        <v>0.9940348</v>
      </c>
      <c r="Y546">
        <v>-6.9496589999999997E-2</v>
      </c>
      <c r="Z546" s="1">
        <v>-8.1478789999999996E-5</v>
      </c>
      <c r="AA546">
        <v>0.99758219999999997</v>
      </c>
      <c r="AB546">
        <v>40</v>
      </c>
      <c r="AC546">
        <v>235.51900000000001</v>
      </c>
      <c r="AD546">
        <v>2.5620159999999998</v>
      </c>
      <c r="AE546">
        <v>14.437799999999999</v>
      </c>
      <c r="AF546">
        <v>-16.411523461127899</v>
      </c>
      <c r="AG546">
        <v>2.5620159999999998</v>
      </c>
      <c r="AH546">
        <v>235.36181890163499</v>
      </c>
      <c r="AI546">
        <v>89.377845637252406</v>
      </c>
      <c r="AJ546">
        <v>93.988716164036504</v>
      </c>
      <c r="AK546">
        <v>235.94721406489501</v>
      </c>
      <c r="AL546">
        <v>95.988416612079703</v>
      </c>
      <c r="AM546">
        <v>91.831737780163493</v>
      </c>
      <c r="AN546">
        <v>0.99999999641509996</v>
      </c>
    </row>
    <row r="547" spans="1:40" x14ac:dyDescent="0.25">
      <c r="A547" t="str">
        <f>"20190305134919250"</f>
        <v>20190305134919250</v>
      </c>
      <c r="B547" t="str">
        <f>"1551764959241163"</f>
        <v>1551764959241163</v>
      </c>
      <c r="C547" t="s">
        <v>40</v>
      </c>
      <c r="D547">
        <v>4.264462</v>
      </c>
      <c r="E547">
        <v>0.48622900000000002</v>
      </c>
      <c r="F547" t="s">
        <v>45</v>
      </c>
      <c r="G547">
        <v>-169.2955</v>
      </c>
      <c r="H547">
        <v>3.7164640000000002</v>
      </c>
      <c r="I547">
        <v>382.39710000000002</v>
      </c>
      <c r="J547">
        <v>-404.60539999999997</v>
      </c>
      <c r="K547">
        <v>1.0593490000000001</v>
      </c>
      <c r="L547">
        <v>367.67509999999999</v>
      </c>
      <c r="M547">
        <v>0.99985650000000004</v>
      </c>
      <c r="N547">
        <v>-1.4688639999999999E-2</v>
      </c>
      <c r="O547">
        <v>-8.4434190000000006E-3</v>
      </c>
      <c r="P547">
        <v>0.99262119999999998</v>
      </c>
      <c r="Q547">
        <v>-0.1189678</v>
      </c>
      <c r="R547">
        <v>2.3450140000000001E-2</v>
      </c>
      <c r="S547">
        <v>3.0219119999999999</v>
      </c>
      <c r="T547">
        <v>3.409421E-2</v>
      </c>
      <c r="U547">
        <v>0.18887329999999999</v>
      </c>
      <c r="V547">
        <v>-3.1864249999999997E-2</v>
      </c>
      <c r="W547">
        <v>-0.104368</v>
      </c>
      <c r="X547">
        <v>0.99402820000000003</v>
      </c>
      <c r="Y547">
        <v>-7.0803740000000004E-2</v>
      </c>
      <c r="Z547" s="1">
        <v>-9.7541779999999994E-5</v>
      </c>
      <c r="AA547">
        <v>0.99749030000000005</v>
      </c>
      <c r="AB547">
        <v>40</v>
      </c>
      <c r="AC547">
        <v>235.3099</v>
      </c>
      <c r="AD547">
        <v>2.6571150000000001</v>
      </c>
      <c r="AE547">
        <v>14.722</v>
      </c>
      <c r="AF547">
        <v>-16.7063875775318</v>
      </c>
      <c r="AG547">
        <v>2.6571150000000001</v>
      </c>
      <c r="AH547">
        <v>235.14732638417101</v>
      </c>
      <c r="AI547">
        <v>89.354224993898498</v>
      </c>
      <c r="AJ547">
        <v>94.0638345474798</v>
      </c>
      <c r="AK547">
        <v>235.75501850785199</v>
      </c>
      <c r="AL547">
        <v>95.990755350745303</v>
      </c>
      <c r="AM547">
        <v>91.836026472140503</v>
      </c>
      <c r="AN547">
        <v>1.0000000361236501</v>
      </c>
    </row>
    <row r="548" spans="1:40" x14ac:dyDescent="0.25">
      <c r="A548" t="str">
        <f>"20190305134919268"</f>
        <v>20190305134919268</v>
      </c>
      <c r="B548" t="str">
        <f>"1551764959261658"</f>
        <v>1551764959261658</v>
      </c>
      <c r="C548" t="s">
        <v>40</v>
      </c>
      <c r="D548">
        <v>4.309577</v>
      </c>
      <c r="E548">
        <v>0.48543409999999898</v>
      </c>
      <c r="F548" t="s">
        <v>45</v>
      </c>
      <c r="G548">
        <v>-169.2955</v>
      </c>
      <c r="H548">
        <v>3.7842199999999999</v>
      </c>
      <c r="I548">
        <v>382.62439999999998</v>
      </c>
      <c r="J548">
        <v>-404.28890000000001</v>
      </c>
      <c r="K548">
        <v>1.0593669999999999</v>
      </c>
      <c r="L548">
        <v>367.67239999999998</v>
      </c>
      <c r="M548">
        <v>0.99985520000000006</v>
      </c>
      <c r="N548">
        <v>-1.473202E-2</v>
      </c>
      <c r="O548">
        <v>-8.5228630000000003E-3</v>
      </c>
      <c r="P548">
        <v>0.99273370000000005</v>
      </c>
      <c r="Q548">
        <v>-0.117992</v>
      </c>
      <c r="R548">
        <v>2.3622959999999998E-2</v>
      </c>
      <c r="S548">
        <v>3.021973</v>
      </c>
      <c r="T548">
        <v>3.4995320000000003E-2</v>
      </c>
      <c r="U548">
        <v>0.19198609999999999</v>
      </c>
      <c r="V548">
        <v>-3.2116539999999999E-2</v>
      </c>
      <c r="W548">
        <v>-0.1033477</v>
      </c>
      <c r="X548">
        <v>0.99412659999999997</v>
      </c>
      <c r="Y548">
        <v>-7.1904960000000004E-2</v>
      </c>
      <c r="Z548">
        <v>-1.0971990000000001E-4</v>
      </c>
      <c r="AA548">
        <v>0.99741150000000001</v>
      </c>
      <c r="AB548">
        <v>40</v>
      </c>
      <c r="AC548">
        <v>234.99340000000001</v>
      </c>
      <c r="AD548">
        <v>2.724853</v>
      </c>
      <c r="AE548">
        <v>14.9519999999999</v>
      </c>
      <c r="AF548">
        <v>-16.9522205472556</v>
      </c>
      <c r="AG548">
        <v>2.724853</v>
      </c>
      <c r="AH548">
        <v>234.82596939142999</v>
      </c>
      <c r="AI548">
        <v>89.336911528714097</v>
      </c>
      <c r="AJ548">
        <v>94.129052092619105</v>
      </c>
      <c r="AK548">
        <v>235.45283711601201</v>
      </c>
      <c r="AL548">
        <v>95.931979075564499</v>
      </c>
      <c r="AM548">
        <v>91.850370377377004</v>
      </c>
      <c r="AN548">
        <v>0.99999995803220898</v>
      </c>
    </row>
    <row r="549" spans="1:40" x14ac:dyDescent="0.25">
      <c r="A549" t="str">
        <f>"20190305134919280"</f>
        <v>20190305134919280</v>
      </c>
      <c r="B549" t="str">
        <f>"1551764959271417"</f>
        <v>1551764959271417</v>
      </c>
      <c r="C549" t="s">
        <v>40</v>
      </c>
      <c r="D549">
        <v>4.3161769999999997</v>
      </c>
      <c r="E549">
        <v>0.4850507</v>
      </c>
      <c r="F549" t="s">
        <v>45</v>
      </c>
      <c r="G549">
        <v>-169.2955</v>
      </c>
      <c r="H549">
        <v>4.0362609999999997</v>
      </c>
      <c r="I549">
        <v>383.08659999999998</v>
      </c>
      <c r="J549">
        <v>-404.08789999999999</v>
      </c>
      <c r="K549">
        <v>1.059374</v>
      </c>
      <c r="L549">
        <v>367.67059999999998</v>
      </c>
      <c r="M549">
        <v>0.99985449999999998</v>
      </c>
      <c r="N549">
        <v>-1.475626E-2</v>
      </c>
      <c r="O549">
        <v>-8.5720150000000005E-3</v>
      </c>
      <c r="P549">
        <v>0.99282519999999996</v>
      </c>
      <c r="Q549">
        <v>-0.11716269999999999</v>
      </c>
      <c r="R549">
        <v>2.390246E-2</v>
      </c>
      <c r="S549">
        <v>3.0217900000000002</v>
      </c>
      <c r="T549">
        <v>3.8281080000000002E-2</v>
      </c>
      <c r="U549">
        <v>0.19821169999999999</v>
      </c>
      <c r="V549">
        <v>-3.2445090000000003E-2</v>
      </c>
      <c r="W549">
        <v>-0.102493</v>
      </c>
      <c r="X549">
        <v>0.99420450000000005</v>
      </c>
      <c r="Y549">
        <v>-7.4003429999999995E-2</v>
      </c>
      <c r="Z549">
        <v>-1.564321E-4</v>
      </c>
      <c r="AA549">
        <v>0.99725790000000003</v>
      </c>
      <c r="AB549">
        <v>40</v>
      </c>
      <c r="AC549">
        <v>234.79239999999999</v>
      </c>
      <c r="AD549">
        <v>2.9768870000000001</v>
      </c>
      <c r="AE549">
        <v>15.415999999999899</v>
      </c>
      <c r="AF549">
        <v>-17.425507208955398</v>
      </c>
      <c r="AG549">
        <v>2.9768870000000001</v>
      </c>
      <c r="AH549">
        <v>234.614058390119</v>
      </c>
      <c r="AI549">
        <v>89.275041453322302</v>
      </c>
      <c r="AJ549">
        <v>94.2477342412963</v>
      </c>
      <c r="AK549">
        <v>235.27912476882</v>
      </c>
      <c r="AL549">
        <v>95.882746423034206</v>
      </c>
      <c r="AM549">
        <v>91.869139815603603</v>
      </c>
      <c r="AN549">
        <v>1.0000000433671701</v>
      </c>
    </row>
    <row r="550" spans="1:40" x14ac:dyDescent="0.25">
      <c r="A550" t="str">
        <f>"20190305134919291"</f>
        <v>20190305134919291</v>
      </c>
      <c r="B550" t="str">
        <f>"1551764959281178"</f>
        <v>1551764959281178</v>
      </c>
      <c r="C550" t="s">
        <v>40</v>
      </c>
      <c r="D550">
        <v>4.3294319999999997</v>
      </c>
      <c r="E550">
        <v>0.48465059999999899</v>
      </c>
      <c r="F550" t="s">
        <v>45</v>
      </c>
      <c r="G550">
        <v>-169.2955</v>
      </c>
      <c r="H550">
        <v>4.1937680000000004</v>
      </c>
      <c r="I550">
        <v>383.38099999999997</v>
      </c>
      <c r="J550">
        <v>-403.8766</v>
      </c>
      <c r="K550">
        <v>1.0593900000000001</v>
      </c>
      <c r="L550">
        <v>367.66879999999998</v>
      </c>
      <c r="M550">
        <v>0.99985360000000001</v>
      </c>
      <c r="N550">
        <v>-1.478078E-2</v>
      </c>
      <c r="O550">
        <v>-8.6227140000000001E-3</v>
      </c>
      <c r="P550">
        <v>0.99289070000000001</v>
      </c>
      <c r="Q550">
        <v>-0.1165833</v>
      </c>
      <c r="R550">
        <v>2.401286E-2</v>
      </c>
      <c r="S550">
        <v>3.021576</v>
      </c>
      <c r="T550">
        <v>4.0338039999999999E-2</v>
      </c>
      <c r="U550">
        <v>0.202179</v>
      </c>
      <c r="V550">
        <v>-3.2605929999999998E-2</v>
      </c>
      <c r="W550">
        <v>-0.1018884</v>
      </c>
      <c r="X550">
        <v>0.99426130000000001</v>
      </c>
      <c r="Y550">
        <v>-7.5361750000000005E-2</v>
      </c>
      <c r="Z550">
        <v>-1.8713510000000001E-4</v>
      </c>
      <c r="AA550">
        <v>0.9971563</v>
      </c>
      <c r="AB550">
        <v>40</v>
      </c>
      <c r="AC550">
        <v>234.58109999999999</v>
      </c>
      <c r="AD550">
        <v>3.1343779999999999</v>
      </c>
      <c r="AE550">
        <v>15.7121999999999</v>
      </c>
      <c r="AF550">
        <v>-17.731410941363102</v>
      </c>
      <c r="AG550">
        <v>3.1343779999999999</v>
      </c>
      <c r="AH550">
        <v>234.395220425502</v>
      </c>
      <c r="AI550">
        <v>89.236057939558805</v>
      </c>
      <c r="AJ550">
        <v>94.326042681269897</v>
      </c>
      <c r="AK550">
        <v>235.08582819416799</v>
      </c>
      <c r="AL550">
        <v>95.847923562900107</v>
      </c>
      <c r="AM550">
        <v>91.878291846248004</v>
      </c>
      <c r="AN550">
        <v>0.99999996270170599</v>
      </c>
    </row>
    <row r="551" spans="1:40" x14ac:dyDescent="0.25">
      <c r="A551" t="str">
        <f>"20190305134919303"</f>
        <v>20190305134919303</v>
      </c>
      <c r="B551" t="str">
        <f>"1551764959291913"</f>
        <v>1551764959291913</v>
      </c>
      <c r="C551" t="s">
        <v>40</v>
      </c>
      <c r="D551">
        <v>4.3448659999999997</v>
      </c>
      <c r="E551">
        <v>0.48424460000000003</v>
      </c>
      <c r="F551" t="s">
        <v>45</v>
      </c>
      <c r="G551">
        <v>-169.2955</v>
      </c>
      <c r="H551">
        <v>4.2966559999999996</v>
      </c>
      <c r="I551">
        <v>383.62900000000002</v>
      </c>
      <c r="J551">
        <v>-403.66</v>
      </c>
      <c r="K551">
        <v>1.0594059999999901</v>
      </c>
      <c r="L551">
        <v>367.66680000000002</v>
      </c>
      <c r="M551">
        <v>0.99985290000000004</v>
      </c>
      <c r="N551">
        <v>-1.480304E-2</v>
      </c>
      <c r="O551">
        <v>-8.6719469999999993E-3</v>
      </c>
      <c r="P551">
        <v>0.99299899999999997</v>
      </c>
      <c r="Q551">
        <v>-0.11558880000000001</v>
      </c>
      <c r="R551">
        <v>2.4339909999999999E-2</v>
      </c>
      <c r="S551">
        <v>3.0213930000000002</v>
      </c>
      <c r="T551">
        <v>4.1696909999999997E-2</v>
      </c>
      <c r="U551">
        <v>0.20556640000000001</v>
      </c>
      <c r="V551">
        <v>-3.2982020000000001E-2</v>
      </c>
      <c r="W551">
        <v>-0.1008704</v>
      </c>
      <c r="X551">
        <v>0.99435269999999998</v>
      </c>
      <c r="Y551">
        <v>-7.6527390000000001E-2</v>
      </c>
      <c r="Z551">
        <v>-2.0807430000000001E-4</v>
      </c>
      <c r="AA551">
        <v>0.9970675</v>
      </c>
      <c r="AB551">
        <v>40</v>
      </c>
      <c r="AC551">
        <v>234.36449999999999</v>
      </c>
      <c r="AD551">
        <v>3.2372499999999902</v>
      </c>
      <c r="AE551">
        <v>15.9621999999999</v>
      </c>
      <c r="AF551">
        <v>-17.990802019002299</v>
      </c>
      <c r="AG551">
        <v>3.2372499999999902</v>
      </c>
      <c r="AH551">
        <v>234.172774092053</v>
      </c>
      <c r="AI551">
        <v>89.210309253590907</v>
      </c>
      <c r="AJ551">
        <v>94.393235400071703</v>
      </c>
      <c r="AK551">
        <v>234.885156769893</v>
      </c>
      <c r="AL551">
        <v>95.7892943356225</v>
      </c>
      <c r="AM551">
        <v>91.899766524146102</v>
      </c>
      <c r="AN551">
        <v>0.99999997161836396</v>
      </c>
    </row>
    <row r="552" spans="1:40" x14ac:dyDescent="0.25">
      <c r="A552" t="str">
        <f>"20190305134919317"</f>
        <v>20190305134919317</v>
      </c>
      <c r="B552" t="str">
        <f>"1551764959311798"</f>
        <v>1551764959311798</v>
      </c>
      <c r="C552" t="s">
        <v>40</v>
      </c>
      <c r="D552">
        <v>4.335375</v>
      </c>
      <c r="E552">
        <v>0.48348210000000003</v>
      </c>
      <c r="F552" t="s">
        <v>45</v>
      </c>
      <c r="G552">
        <v>-169.2955</v>
      </c>
      <c r="H552">
        <v>4.5148279999999996</v>
      </c>
      <c r="I552">
        <v>383.92110000000002</v>
      </c>
      <c r="J552">
        <v>-403.44450000000001</v>
      </c>
      <c r="K552">
        <v>1.059429</v>
      </c>
      <c r="L552">
        <v>367.66489999999999</v>
      </c>
      <c r="M552">
        <v>0.99985219999999997</v>
      </c>
      <c r="N552">
        <v>-1.4823650000000001E-2</v>
      </c>
      <c r="O552">
        <v>-8.7187719999999996E-3</v>
      </c>
      <c r="P552">
        <v>0.99309190000000003</v>
      </c>
      <c r="Q552">
        <v>-0.1147415</v>
      </c>
      <c r="R552">
        <v>2.4560329999999998E-2</v>
      </c>
      <c r="S552">
        <v>3.02121</v>
      </c>
      <c r="T552">
        <v>4.4545170000000002E-2</v>
      </c>
      <c r="U552">
        <v>0.20953369999999999</v>
      </c>
      <c r="V552">
        <v>-3.3248569999999998E-2</v>
      </c>
      <c r="W552">
        <v>-0.1000016</v>
      </c>
      <c r="X552">
        <v>0.99443159999999997</v>
      </c>
      <c r="Y552">
        <v>-7.788051E-2</v>
      </c>
      <c r="Z552">
        <v>-2.5293210000000002E-4</v>
      </c>
      <c r="AA552">
        <v>0.99696269999999998</v>
      </c>
      <c r="AB552">
        <v>40</v>
      </c>
      <c r="AC552">
        <v>234.149</v>
      </c>
      <c r="AD552">
        <v>3.4553989999999901</v>
      </c>
      <c r="AE552">
        <v>16.2562</v>
      </c>
      <c r="AF552">
        <v>-18.293333122204999</v>
      </c>
      <c r="AG552">
        <v>3.4553989999999901</v>
      </c>
      <c r="AH552">
        <v>233.947644568577</v>
      </c>
      <c r="AI552">
        <v>89.156379533899496</v>
      </c>
      <c r="AJ552">
        <v>94.471096012516597</v>
      </c>
      <c r="AK552">
        <v>234.687209319457</v>
      </c>
      <c r="AL552">
        <v>95.739262628224395</v>
      </c>
      <c r="AM552">
        <v>91.9149565995871</v>
      </c>
      <c r="AN552">
        <v>0.99999999724408195</v>
      </c>
    </row>
    <row r="553" spans="1:40" x14ac:dyDescent="0.25">
      <c r="A553" t="str">
        <f>"20190305134919330"</f>
        <v>20190305134919330</v>
      </c>
      <c r="B553" t="str">
        <f>"1551764959321557"</f>
        <v>1551764959321557</v>
      </c>
      <c r="C553" t="s">
        <v>40</v>
      </c>
      <c r="D553">
        <v>4.3687480000000001</v>
      </c>
      <c r="E553">
        <v>0.48329569999999999</v>
      </c>
      <c r="F553" t="s">
        <v>45</v>
      </c>
      <c r="G553">
        <v>-158.78319999999999</v>
      </c>
      <c r="H553">
        <v>4.8120940000000001</v>
      </c>
      <c r="I553">
        <v>385.20609999999999</v>
      </c>
      <c r="J553">
        <v>-403.19439999999997</v>
      </c>
      <c r="K553">
        <v>1.0594479999999999</v>
      </c>
      <c r="L553">
        <v>367.66269999999997</v>
      </c>
      <c r="M553">
        <v>0.99985139999999995</v>
      </c>
      <c r="N553">
        <v>-1.4845850000000001E-2</v>
      </c>
      <c r="O553">
        <v>-8.7703550000000005E-3</v>
      </c>
      <c r="P553">
        <v>0.9931816</v>
      </c>
      <c r="Q553">
        <v>-0.1139428</v>
      </c>
      <c r="R553">
        <v>2.4648349999999999E-2</v>
      </c>
      <c r="S553">
        <v>3.0208740000000001</v>
      </c>
      <c r="T553">
        <v>4.633582E-2</v>
      </c>
      <c r="U553">
        <v>0.21658330000000001</v>
      </c>
      <c r="V553">
        <v>-3.3387420000000001E-2</v>
      </c>
      <c r="W553">
        <v>-9.9179900000000001E-2</v>
      </c>
      <c r="X553">
        <v>0.99450919999999998</v>
      </c>
      <c r="Y553">
        <v>-8.0253870000000005E-2</v>
      </c>
      <c r="Z553">
        <v>-2.825212E-4</v>
      </c>
      <c r="AA553">
        <v>0.99677439999999995</v>
      </c>
      <c r="AB553">
        <v>40</v>
      </c>
      <c r="AC553">
        <v>244.41120000000001</v>
      </c>
      <c r="AD553">
        <v>3.7526459999999999</v>
      </c>
      <c r="AE553">
        <v>17.543399999999998</v>
      </c>
      <c r="AF553">
        <v>-19.681918196258</v>
      </c>
      <c r="AG553">
        <v>3.7526459999999999</v>
      </c>
      <c r="AH553">
        <v>244.19064860530901</v>
      </c>
      <c r="AI553">
        <v>89.122411120201406</v>
      </c>
      <c r="AJ553">
        <v>94.608113893225493</v>
      </c>
      <c r="AK553">
        <v>245.01129182584</v>
      </c>
      <c r="AL553">
        <v>95.691947665607103</v>
      </c>
      <c r="AM553">
        <v>91.922797763708104</v>
      </c>
      <c r="AN553">
        <v>0.99999996063145202</v>
      </c>
    </row>
    <row r="554" spans="1:40" x14ac:dyDescent="0.25">
      <c r="A554" t="str">
        <f>"20190305134919346"</f>
        <v>20190305134919346</v>
      </c>
      <c r="B554" t="str">
        <f>"1551764959341077"</f>
        <v>1551764959341077</v>
      </c>
      <c r="C554" t="s">
        <v>40</v>
      </c>
      <c r="D554">
        <v>4.2703850000000001</v>
      </c>
      <c r="E554">
        <v>0.48275400000000002</v>
      </c>
      <c r="F554" t="s">
        <v>45</v>
      </c>
      <c r="G554">
        <v>-158.78319999999999</v>
      </c>
      <c r="H554">
        <v>4.740488</v>
      </c>
      <c r="I554">
        <v>385.33449999999999</v>
      </c>
      <c r="J554">
        <v>-402.9024</v>
      </c>
      <c r="K554">
        <v>1.0594779999999999</v>
      </c>
      <c r="L554">
        <v>367.6601</v>
      </c>
      <c r="M554">
        <v>0.99985060000000003</v>
      </c>
      <c r="N554">
        <v>-1.486794E-2</v>
      </c>
      <c r="O554">
        <v>-8.8220030000000001E-3</v>
      </c>
      <c r="P554">
        <v>0.99335549999999995</v>
      </c>
      <c r="Q554">
        <v>-0.1123059</v>
      </c>
      <c r="R554">
        <v>2.51503E-2</v>
      </c>
      <c r="S554">
        <v>3.0203859999999998</v>
      </c>
      <c r="T554">
        <v>4.5490620000000002E-2</v>
      </c>
      <c r="U554">
        <v>0.21838379999999999</v>
      </c>
      <c r="V554">
        <v>-3.394026E-2</v>
      </c>
      <c r="W554">
        <v>-9.7519159999999994E-2</v>
      </c>
      <c r="X554">
        <v>0.99465479999999995</v>
      </c>
      <c r="Y554">
        <v>-8.0908190000000005E-2</v>
      </c>
      <c r="Z554">
        <v>-2.6984790000000002E-4</v>
      </c>
      <c r="AA554">
        <v>0.99672150000000004</v>
      </c>
      <c r="AB554">
        <v>40</v>
      </c>
      <c r="AC554">
        <v>244.11920000000001</v>
      </c>
      <c r="AD554">
        <v>3.6810100000000001</v>
      </c>
      <c r="AE554">
        <v>17.674399999999899</v>
      </c>
      <c r="AF554">
        <v>-19.823086689656002</v>
      </c>
      <c r="AG554">
        <v>3.6810100000000001</v>
      </c>
      <c r="AH554">
        <v>243.89859159146499</v>
      </c>
      <c r="AI554">
        <v>89.138177411495604</v>
      </c>
      <c r="AJ554">
        <v>94.646554786509498</v>
      </c>
      <c r="AK554">
        <v>244.73052032965899</v>
      </c>
      <c r="AL554">
        <v>95.596330201278604</v>
      </c>
      <c r="AM554">
        <v>91.954325693878204</v>
      </c>
      <c r="AN554">
        <v>1.0000000494895001</v>
      </c>
    </row>
    <row r="555" spans="1:40" x14ac:dyDescent="0.25">
      <c r="A555" t="str">
        <f>"20190305134919369"</f>
        <v>20190305134919369</v>
      </c>
      <c r="B555" t="str">
        <f>"1551764959361573"</f>
        <v>1551764959361573</v>
      </c>
      <c r="C555" t="s">
        <v>40</v>
      </c>
      <c r="D555">
        <v>4.2657290000000003</v>
      </c>
      <c r="E555">
        <v>0.4823771</v>
      </c>
      <c r="F555" t="s">
        <v>45</v>
      </c>
      <c r="G555">
        <v>-158.78319999999999</v>
      </c>
      <c r="H555">
        <v>5.1874159999999998</v>
      </c>
      <c r="I555">
        <v>385.78309999999999</v>
      </c>
      <c r="J555">
        <v>-402.49259999999998</v>
      </c>
      <c r="K555">
        <v>1.0595049999999999</v>
      </c>
      <c r="L555">
        <v>367.65640000000002</v>
      </c>
      <c r="M555">
        <v>0.99984969999999995</v>
      </c>
      <c r="N555">
        <v>-1.489539E-2</v>
      </c>
      <c r="O555">
        <v>-8.8828929999999993E-3</v>
      </c>
      <c r="P555">
        <v>0.99341049999999997</v>
      </c>
      <c r="Q555">
        <v>-0.1117161</v>
      </c>
      <c r="R555">
        <v>2.5594309999999999E-2</v>
      </c>
      <c r="S555">
        <v>3.0201720000000001</v>
      </c>
      <c r="T555">
        <v>5.1070690000000002E-2</v>
      </c>
      <c r="U555">
        <v>0.22421260000000001</v>
      </c>
      <c r="V555">
        <v>-3.4441769999999997E-2</v>
      </c>
      <c r="W555">
        <v>-9.690232E-2</v>
      </c>
      <c r="X555">
        <v>0.99469779999999997</v>
      </c>
      <c r="Y555">
        <v>-8.2885379999999995E-2</v>
      </c>
      <c r="Z555">
        <v>-3.636995E-4</v>
      </c>
      <c r="AA555">
        <v>0.99655899999999997</v>
      </c>
      <c r="AB555">
        <v>40</v>
      </c>
      <c r="AC555">
        <v>243.70939999999999</v>
      </c>
      <c r="AD555">
        <v>4.1279110000000001</v>
      </c>
      <c r="AE555">
        <v>18.1266999999999</v>
      </c>
      <c r="AF555">
        <v>-20.2852815465139</v>
      </c>
      <c r="AG555">
        <v>4.1279110000000001</v>
      </c>
      <c r="AH555">
        <v>243.469282527974</v>
      </c>
      <c r="AI555">
        <v>89.032022484398695</v>
      </c>
      <c r="AJ555">
        <v>94.762747680451199</v>
      </c>
      <c r="AK555">
        <v>244.34775184423501</v>
      </c>
      <c r="AL555">
        <v>95.560819942117703</v>
      </c>
      <c r="AM555">
        <v>91.983094757889006</v>
      </c>
      <c r="AN555">
        <v>1.00000000423347</v>
      </c>
    </row>
    <row r="556" spans="1:40" x14ac:dyDescent="0.25">
      <c r="A556" t="str">
        <f>"20190305134919382"</f>
        <v>20190305134919382</v>
      </c>
      <c r="B556" t="str">
        <f>"1551764959371333"</f>
        <v>1551764959371333</v>
      </c>
      <c r="C556" t="s">
        <v>40</v>
      </c>
      <c r="D556">
        <v>4.2941570000000002</v>
      </c>
      <c r="E556">
        <v>0.48219050000000002</v>
      </c>
      <c r="F556" t="s">
        <v>45</v>
      </c>
      <c r="G556">
        <v>-158.78319999999999</v>
      </c>
      <c r="H556">
        <v>5.4563689999999996</v>
      </c>
      <c r="I556">
        <v>386.07900000000001</v>
      </c>
      <c r="J556">
        <v>-402.28320000000002</v>
      </c>
      <c r="K556">
        <v>1.05952</v>
      </c>
      <c r="L556">
        <v>367.65449999999998</v>
      </c>
      <c r="M556">
        <v>0.99984930000000005</v>
      </c>
      <c r="N556">
        <v>-1.490709E-2</v>
      </c>
      <c r="O556">
        <v>-8.9057289999999994E-3</v>
      </c>
      <c r="P556">
        <v>0.99340289999999998</v>
      </c>
      <c r="Q556">
        <v>-0.111776</v>
      </c>
      <c r="R556">
        <v>2.562627E-2</v>
      </c>
      <c r="S556">
        <v>3.0201720000000001</v>
      </c>
      <c r="T556">
        <v>5.4489250000000003E-2</v>
      </c>
      <c r="U556">
        <v>0.228302</v>
      </c>
      <c r="V556">
        <v>-3.449472E-2</v>
      </c>
      <c r="W556">
        <v>-9.6951289999999996E-2</v>
      </c>
      <c r="X556">
        <v>0.9946912</v>
      </c>
      <c r="Y556">
        <v>-8.4248569999999995E-2</v>
      </c>
      <c r="Z556">
        <v>-4.2295629999999999E-4</v>
      </c>
      <c r="AA556">
        <v>0.99644469999999996</v>
      </c>
      <c r="AB556">
        <v>40</v>
      </c>
      <c r="AC556">
        <v>243.5</v>
      </c>
      <c r="AD556">
        <v>4.3968489999999996</v>
      </c>
      <c r="AE556">
        <v>18.424499999999998</v>
      </c>
      <c r="AF556">
        <v>-20.585881179830899</v>
      </c>
      <c r="AG556">
        <v>4.3968489999999996</v>
      </c>
      <c r="AH556">
        <v>243.247380105487</v>
      </c>
      <c r="AI556">
        <v>88.968143365174399</v>
      </c>
      <c r="AJ556">
        <v>94.837381074313797</v>
      </c>
      <c r="AK556">
        <v>244.15650454833701</v>
      </c>
      <c r="AL556">
        <v>95.563638952958001</v>
      </c>
      <c r="AM556">
        <v>91.986154251068598</v>
      </c>
      <c r="AN556">
        <v>1.0000000108489899</v>
      </c>
    </row>
    <row r="557" spans="1:40" x14ac:dyDescent="0.25">
      <c r="A557" t="str">
        <f>"20190305134919393"</f>
        <v>20190305134919393</v>
      </c>
      <c r="B557" t="str">
        <f>"1551764959391830"</f>
        <v>1551764959391830</v>
      </c>
      <c r="C557" t="s">
        <v>40</v>
      </c>
      <c r="D557">
        <v>4.261933</v>
      </c>
      <c r="E557">
        <v>0.4818057</v>
      </c>
      <c r="F557" t="s">
        <v>45</v>
      </c>
      <c r="G557">
        <v>-158.78319999999999</v>
      </c>
      <c r="H557">
        <v>5.486103</v>
      </c>
      <c r="I557">
        <v>386.18439999999998</v>
      </c>
      <c r="J557">
        <v>-402.07089999999999</v>
      </c>
      <c r="K557">
        <v>1.059531</v>
      </c>
      <c r="L557">
        <v>367.65260000000001</v>
      </c>
      <c r="M557">
        <v>0.99984899999999999</v>
      </c>
      <c r="N557">
        <v>-1.49184E-2</v>
      </c>
      <c r="O557">
        <v>-8.9266539999999991E-3</v>
      </c>
      <c r="P557">
        <v>0.99337520000000001</v>
      </c>
      <c r="Q557">
        <v>-0.11205660000000001</v>
      </c>
      <c r="R557">
        <v>2.5483080000000002E-2</v>
      </c>
      <c r="S557">
        <v>3.0201720000000001</v>
      </c>
      <c r="T557">
        <v>5.4904700000000001E-2</v>
      </c>
      <c r="U557">
        <v>0.2298279</v>
      </c>
      <c r="V557">
        <v>-3.4370020000000001E-2</v>
      </c>
      <c r="W557">
        <v>-9.7221669999999996E-2</v>
      </c>
      <c r="X557">
        <v>0.99466909999999997</v>
      </c>
      <c r="Y557">
        <v>-8.4769789999999998E-2</v>
      </c>
      <c r="Z557">
        <v>-4.3108330000000001E-4</v>
      </c>
      <c r="AA557">
        <v>0.99640050000000002</v>
      </c>
      <c r="AB557">
        <v>40</v>
      </c>
      <c r="AC557">
        <v>243.2877</v>
      </c>
      <c r="AD557">
        <v>4.4265720000000002</v>
      </c>
      <c r="AE557">
        <v>18.531799999999901</v>
      </c>
      <c r="AF557">
        <v>-20.696236025241301</v>
      </c>
      <c r="AG557">
        <v>4.4265720000000002</v>
      </c>
      <c r="AH557">
        <v>243.03256707115301</v>
      </c>
      <c r="AI557">
        <v>88.960297798948602</v>
      </c>
      <c r="AJ557">
        <v>94.867466670104207</v>
      </c>
      <c r="AK557">
        <v>243.95236703602299</v>
      </c>
      <c r="AL557">
        <v>95.579204261311901</v>
      </c>
      <c r="AM557">
        <v>91.979023866421599</v>
      </c>
      <c r="AN557">
        <v>0.99999998494359899</v>
      </c>
    </row>
    <row r="558" spans="1:40" x14ac:dyDescent="0.25">
      <c r="A558" t="str">
        <f>"20190305134919406"</f>
        <v>20190305134919406</v>
      </c>
      <c r="B558" t="str">
        <f>"1551764959401589"</f>
        <v>1551764959401589</v>
      </c>
      <c r="C558" t="s">
        <v>40</v>
      </c>
      <c r="D558">
        <v>4.287382</v>
      </c>
      <c r="E558">
        <v>0.48159879999999999</v>
      </c>
      <c r="F558" t="s">
        <v>45</v>
      </c>
      <c r="G558">
        <v>-158.78319999999999</v>
      </c>
      <c r="H558">
        <v>5.4615359999999997</v>
      </c>
      <c r="I558">
        <v>386.3972</v>
      </c>
      <c r="J558">
        <v>-401.8356</v>
      </c>
      <c r="K558">
        <v>1.0595349999999999</v>
      </c>
      <c r="L558">
        <v>367.65050000000002</v>
      </c>
      <c r="M558">
        <v>0.99984870000000003</v>
      </c>
      <c r="N558">
        <v>-1.492959E-2</v>
      </c>
      <c r="O558">
        <v>-8.9442269999999904E-3</v>
      </c>
      <c r="P558">
        <v>0.99335099999999998</v>
      </c>
      <c r="Q558">
        <v>-0.1122587</v>
      </c>
      <c r="R558">
        <v>2.554097E-2</v>
      </c>
      <c r="S558">
        <v>3.020203</v>
      </c>
      <c r="T558">
        <v>5.4648040000000002E-2</v>
      </c>
      <c r="U558">
        <v>0.2326965</v>
      </c>
      <c r="V558">
        <v>-3.4443840000000003E-2</v>
      </c>
      <c r="W558">
        <v>-9.7413700000000006E-2</v>
      </c>
      <c r="X558">
        <v>0.99464779999999997</v>
      </c>
      <c r="Y558">
        <v>-8.572747E-2</v>
      </c>
      <c r="Z558">
        <v>-4.2835470000000001E-4</v>
      </c>
      <c r="AA558">
        <v>0.9963185</v>
      </c>
      <c r="AB558">
        <v>40</v>
      </c>
      <c r="AC558">
        <v>243.05240000000001</v>
      </c>
      <c r="AD558">
        <v>4.4020009999999896</v>
      </c>
      <c r="AE558">
        <v>18.746699999999901</v>
      </c>
      <c r="AF558">
        <v>-20.913288359742399</v>
      </c>
      <c r="AG558">
        <v>4.4020009999999896</v>
      </c>
      <c r="AH558">
        <v>242.79581132868501</v>
      </c>
      <c r="AI558">
        <v>88.965145674711806</v>
      </c>
      <c r="AJ558">
        <v>94.923037608101595</v>
      </c>
      <c r="AK558">
        <v>243.734587700589</v>
      </c>
      <c r="AL558">
        <v>95.590259010612101</v>
      </c>
      <c r="AM558">
        <v>91.983313464228203</v>
      </c>
      <c r="AN558">
        <v>1.0000000265532301</v>
      </c>
    </row>
    <row r="559" spans="1:40" x14ac:dyDescent="0.25">
      <c r="A559" t="str">
        <f>"20190305134919425"</f>
        <v>20190305134919425</v>
      </c>
      <c r="B559" t="str">
        <f>"1551764959421109"</f>
        <v>1551764959421109</v>
      </c>
      <c r="C559" t="s">
        <v>40</v>
      </c>
      <c r="D559">
        <v>4.2576890000000001</v>
      </c>
      <c r="E559">
        <v>0.48123880000000002</v>
      </c>
      <c r="F559" t="s">
        <v>45</v>
      </c>
      <c r="G559">
        <v>-158.78319999999999</v>
      </c>
      <c r="H559">
        <v>5.4374599999999997</v>
      </c>
      <c r="I559">
        <v>386.52679999999998</v>
      </c>
      <c r="J559">
        <v>-401.52760000000001</v>
      </c>
      <c r="K559">
        <v>1.059544</v>
      </c>
      <c r="L559">
        <v>367.64780000000002</v>
      </c>
      <c r="M559">
        <v>0.99984819999999996</v>
      </c>
      <c r="N559">
        <v>-1.494241E-2</v>
      </c>
      <c r="O559">
        <v>-8.9609479999999998E-3</v>
      </c>
      <c r="P559">
        <v>0.99333570000000004</v>
      </c>
      <c r="Q559">
        <v>-0.1124449</v>
      </c>
      <c r="R559">
        <v>2.5313470000000001E-2</v>
      </c>
      <c r="S559">
        <v>3.020203</v>
      </c>
      <c r="T559">
        <v>5.440176E-2</v>
      </c>
      <c r="U559">
        <v>0.23455809999999999</v>
      </c>
      <c r="V559">
        <v>-3.4230299999999998E-2</v>
      </c>
      <c r="W559">
        <v>-9.7588179999999997E-2</v>
      </c>
      <c r="X559">
        <v>0.99463800000000002</v>
      </c>
      <c r="Y559">
        <v>-8.635466E-2</v>
      </c>
      <c r="Z559">
        <v>-4.251581E-4</v>
      </c>
      <c r="AA559">
        <v>0.99626440000000005</v>
      </c>
      <c r="AB559">
        <v>40</v>
      </c>
      <c r="AC559">
        <v>242.74440000000001</v>
      </c>
      <c r="AD559">
        <v>4.3779159999999999</v>
      </c>
      <c r="AE559">
        <v>18.878999999999898</v>
      </c>
      <c r="AF559">
        <v>-21.046900016773701</v>
      </c>
      <c r="AG559">
        <v>4.3779159999999999</v>
      </c>
      <c r="AH559">
        <v>242.48706080279001</v>
      </c>
      <c r="AI559">
        <v>88.969554792767795</v>
      </c>
      <c r="AJ559">
        <v>94.960610784691397</v>
      </c>
      <c r="AK559">
        <v>243.438108778382</v>
      </c>
      <c r="AL559">
        <v>95.600304218550207</v>
      </c>
      <c r="AM559">
        <v>91.9710467342708</v>
      </c>
      <c r="AN559">
        <v>0.99999995867890001</v>
      </c>
    </row>
    <row r="560" spans="1:40" x14ac:dyDescent="0.25">
      <c r="A560" t="str">
        <f>"20190305134919437"</f>
        <v>20190305134919437</v>
      </c>
      <c r="B560" t="str">
        <f>"1551764959431846"</f>
        <v>1551764959431846</v>
      </c>
      <c r="C560" t="s">
        <v>40</v>
      </c>
      <c r="D560">
        <v>4.2664869999999997</v>
      </c>
      <c r="E560">
        <v>0.48108689999999998</v>
      </c>
      <c r="F560" t="s">
        <v>45</v>
      </c>
      <c r="G560">
        <v>-158.78319999999999</v>
      </c>
      <c r="H560">
        <v>5.4286399999999997</v>
      </c>
      <c r="I560">
        <v>386.65159999999997</v>
      </c>
      <c r="J560">
        <v>-401.3021</v>
      </c>
      <c r="K560">
        <v>1.0595559999999999</v>
      </c>
      <c r="L560">
        <v>367.64580000000001</v>
      </c>
      <c r="M560">
        <v>0.99984799999999996</v>
      </c>
      <c r="N560">
        <v>-1.4950720000000001E-2</v>
      </c>
      <c r="O560">
        <v>-8.9664749999999998E-3</v>
      </c>
      <c r="P560">
        <v>0.99330229999999997</v>
      </c>
      <c r="Q560">
        <v>-0.1127713</v>
      </c>
      <c r="R560">
        <v>2.5161909999999999E-2</v>
      </c>
      <c r="S560">
        <v>3.0202939999999998</v>
      </c>
      <c r="T560">
        <v>5.4362540000000001E-2</v>
      </c>
      <c r="U560">
        <v>0.2364502</v>
      </c>
      <c r="V560">
        <v>-3.4081720000000003E-2</v>
      </c>
      <c r="W560">
        <v>-9.7907380000000002E-2</v>
      </c>
      <c r="X560">
        <v>0.99461180000000005</v>
      </c>
      <c r="Y560">
        <v>-8.6978150000000004E-2</v>
      </c>
      <c r="Z560">
        <v>-4.2524259999999998E-4</v>
      </c>
      <c r="AA560">
        <v>0.99621020000000005</v>
      </c>
      <c r="AB560">
        <v>40</v>
      </c>
      <c r="AC560">
        <v>242.5189</v>
      </c>
      <c r="AD560">
        <v>4.369084</v>
      </c>
      <c r="AE560">
        <v>19.005799999999901</v>
      </c>
      <c r="AF560">
        <v>-21.172988714620299</v>
      </c>
      <c r="AG560">
        <v>4.369084</v>
      </c>
      <c r="AH560">
        <v>242.260567395094</v>
      </c>
      <c r="AI560">
        <v>88.970725450279303</v>
      </c>
      <c r="AJ560">
        <v>94.994821226730707</v>
      </c>
      <c r="AK560">
        <v>243.223286016576</v>
      </c>
      <c r="AL560">
        <v>95.618680656982406</v>
      </c>
      <c r="AM560">
        <v>91.962549571269093</v>
      </c>
      <c r="AN560">
        <v>1.00000002569793</v>
      </c>
    </row>
    <row r="561" spans="1:40" x14ac:dyDescent="0.25">
      <c r="A561" t="str">
        <f>"20190305134919450"</f>
        <v>20190305134919450</v>
      </c>
      <c r="B561" t="str">
        <f>"1551764959441605"</f>
        <v>1551764959441605</v>
      </c>
      <c r="C561" t="s">
        <v>40</v>
      </c>
      <c r="D561">
        <v>4.2713210000000004</v>
      </c>
      <c r="E561">
        <v>0.48092220000000002</v>
      </c>
      <c r="F561" t="s">
        <v>45</v>
      </c>
      <c r="G561">
        <v>-158.78319999999999</v>
      </c>
      <c r="H561">
        <v>5.3691409999999999</v>
      </c>
      <c r="I561">
        <v>386.69069999999999</v>
      </c>
      <c r="J561">
        <v>-401.06220000000002</v>
      </c>
      <c r="K561">
        <v>1.059577</v>
      </c>
      <c r="L561">
        <v>367.64359999999999</v>
      </c>
      <c r="M561">
        <v>0.9998475</v>
      </c>
      <c r="N561">
        <v>-1.499206E-2</v>
      </c>
      <c r="O561">
        <v>-8.9672280000000007E-3</v>
      </c>
      <c r="P561">
        <v>0.99327949999999998</v>
      </c>
      <c r="Q561">
        <v>-0.1131012</v>
      </c>
      <c r="R561">
        <v>2.4583460000000001E-2</v>
      </c>
      <c r="S561">
        <v>3.0202939999999998</v>
      </c>
      <c r="T561">
        <v>5.3671959999999998E-2</v>
      </c>
      <c r="U561">
        <v>0.23718259999999999</v>
      </c>
      <c r="V561">
        <v>-3.3502619999999997E-2</v>
      </c>
      <c r="W561">
        <v>-9.8197160000000006E-2</v>
      </c>
      <c r="X561">
        <v>0.99460289999999996</v>
      </c>
      <c r="Y561">
        <v>-8.7219290000000005E-2</v>
      </c>
      <c r="Z561">
        <v>-4.121776E-4</v>
      </c>
      <c r="AA561">
        <v>0.99618910000000005</v>
      </c>
      <c r="AB561">
        <v>40</v>
      </c>
      <c r="AC561">
        <v>242.279</v>
      </c>
      <c r="AD561">
        <v>4.309564</v>
      </c>
      <c r="AE561">
        <v>19.0471</v>
      </c>
      <c r="AF561">
        <v>-21.2124786478971</v>
      </c>
      <c r="AG561">
        <v>4.309564</v>
      </c>
      <c r="AH561">
        <v>242.02233252009</v>
      </c>
      <c r="AI561">
        <v>88.983767128058901</v>
      </c>
      <c r="AJ561">
        <v>95.008990587621199</v>
      </c>
      <c r="AK561">
        <v>242.988376328421</v>
      </c>
      <c r="AL561">
        <v>95.635364263456495</v>
      </c>
      <c r="AM561">
        <v>91.929245550921294</v>
      </c>
      <c r="AN561">
        <v>1.0000000182336599</v>
      </c>
    </row>
    <row r="562" spans="1:40" x14ac:dyDescent="0.25">
      <c r="A562" t="str">
        <f>"20190305134919463"</f>
        <v>20190305134919463</v>
      </c>
      <c r="B562" t="str">
        <f>"1551764959451366"</f>
        <v>1551764959451366</v>
      </c>
      <c r="C562" t="s">
        <v>40</v>
      </c>
      <c r="D562">
        <v>4.2604839999999999</v>
      </c>
      <c r="E562">
        <v>0.48078310000000002</v>
      </c>
      <c r="F562" t="s">
        <v>45</v>
      </c>
      <c r="G562">
        <v>-158.78319999999999</v>
      </c>
      <c r="H562">
        <v>5.3016759999999996</v>
      </c>
      <c r="I562">
        <v>386.60730000000001</v>
      </c>
      <c r="J562">
        <v>-400.83949999999999</v>
      </c>
      <c r="K562">
        <v>1.059741</v>
      </c>
      <c r="L562">
        <v>367.64159999999998</v>
      </c>
      <c r="M562">
        <v>0.99983880000000003</v>
      </c>
      <c r="N562">
        <v>-1.556314E-2</v>
      </c>
      <c r="O562">
        <v>-8.9652810000000003E-3</v>
      </c>
      <c r="P562">
        <v>0.99320739999999996</v>
      </c>
      <c r="Q562">
        <v>-0.1138248</v>
      </c>
      <c r="R562">
        <v>2.4152570000000002E-2</v>
      </c>
      <c r="S562">
        <v>3.0204770000000001</v>
      </c>
      <c r="T562">
        <v>5.2887080000000003E-2</v>
      </c>
      <c r="U562">
        <v>0.23641970000000001</v>
      </c>
      <c r="V562">
        <v>-3.3067659999999999E-2</v>
      </c>
      <c r="W562">
        <v>-9.8354179999999999E-2</v>
      </c>
      <c r="X562">
        <v>0.99460190000000004</v>
      </c>
      <c r="Y562">
        <v>-8.6963199999999893E-2</v>
      </c>
      <c r="Z562">
        <v>-3.7836139999999999E-4</v>
      </c>
      <c r="AA562">
        <v>0.99621150000000003</v>
      </c>
      <c r="AB562">
        <v>40</v>
      </c>
      <c r="AC562">
        <v>242.05629999999999</v>
      </c>
      <c r="AD562">
        <v>4.2419349999999998</v>
      </c>
      <c r="AE562">
        <v>18.965699999999998</v>
      </c>
      <c r="AF562">
        <v>-21.128853670712001</v>
      </c>
      <c r="AG562">
        <v>4.2419349999999998</v>
      </c>
      <c r="AH562">
        <v>241.80270911275201</v>
      </c>
      <c r="AI562">
        <v>88.998779873856904</v>
      </c>
      <c r="AJ562">
        <v>94.9938525372486</v>
      </c>
      <c r="AK562">
        <v>242.76114311036</v>
      </c>
      <c r="AL562">
        <v>95.644404841352596</v>
      </c>
      <c r="AM562">
        <v>91.904218890125094</v>
      </c>
      <c r="AN562">
        <v>0.99999997717247802</v>
      </c>
    </row>
    <row r="563" spans="1:40" x14ac:dyDescent="0.25">
      <c r="A563" t="str">
        <f>"20190305134919480"</f>
        <v>20190305134919480</v>
      </c>
      <c r="B563" t="str">
        <f>"1551764959471861"</f>
        <v>1551764959471861</v>
      </c>
      <c r="C563" t="s">
        <v>40</v>
      </c>
      <c r="D563">
        <v>4.2725780000000002</v>
      </c>
      <c r="E563">
        <v>0.48052830000000002</v>
      </c>
      <c r="F563" t="s">
        <v>45</v>
      </c>
      <c r="G563">
        <v>-158.78319999999999</v>
      </c>
      <c r="H563">
        <v>5.1462899999999996</v>
      </c>
      <c r="I563">
        <v>386.60160000000002</v>
      </c>
      <c r="J563">
        <v>-400.53590000000003</v>
      </c>
      <c r="K563">
        <v>1.060163</v>
      </c>
      <c r="L563">
        <v>367.63889999999998</v>
      </c>
      <c r="M563">
        <v>0.99982400000000005</v>
      </c>
      <c r="N563">
        <v>-1.6486310000000001E-2</v>
      </c>
      <c r="O563">
        <v>-8.9544829999999992E-3</v>
      </c>
      <c r="P563">
        <v>0.99311839999999996</v>
      </c>
      <c r="Q563">
        <v>-0.1147478</v>
      </c>
      <c r="R563">
        <v>2.3433889999999999E-2</v>
      </c>
      <c r="S563">
        <v>3.0206300000000001</v>
      </c>
      <c r="T563">
        <v>5.0997260000000003E-2</v>
      </c>
      <c r="U563">
        <v>0.2366028</v>
      </c>
      <c r="V563">
        <v>-3.2335379999999997E-2</v>
      </c>
      <c r="W563">
        <v>-9.8360810000000007E-2</v>
      </c>
      <c r="X563">
        <v>0.99462530000000005</v>
      </c>
      <c r="Y563">
        <v>-8.7009790000000004E-2</v>
      </c>
      <c r="Z563">
        <v>-3.1326249999999998E-4</v>
      </c>
      <c r="AA563">
        <v>0.99620739999999997</v>
      </c>
      <c r="AB563">
        <v>40</v>
      </c>
      <c r="AC563">
        <v>241.7527</v>
      </c>
      <c r="AD563">
        <v>4.0861269999999896</v>
      </c>
      <c r="AE563">
        <v>18.962700000000002</v>
      </c>
      <c r="AF563">
        <v>-21.121007247565501</v>
      </c>
      <c r="AG563">
        <v>4.0861269999999896</v>
      </c>
      <c r="AH563">
        <v>241.504609377078</v>
      </c>
      <c r="AI563">
        <v>89.034364090671104</v>
      </c>
      <c r="AJ563">
        <v>94.998138050258703</v>
      </c>
      <c r="AK563">
        <v>242.460862267267</v>
      </c>
      <c r="AL563">
        <v>95.644786679957406</v>
      </c>
      <c r="AM563">
        <v>91.862036399575004</v>
      </c>
      <c r="AN563">
        <v>0.99999995657184404</v>
      </c>
    </row>
    <row r="564" spans="1:40" x14ac:dyDescent="0.25">
      <c r="A564" t="str">
        <f>"20190305134919493"</f>
        <v>20190305134919493</v>
      </c>
      <c r="B564" t="str">
        <f>"1551764959491383"</f>
        <v>1551764959491383</v>
      </c>
      <c r="C564" t="s">
        <v>40</v>
      </c>
      <c r="D564">
        <v>4.2764389999999999</v>
      </c>
      <c r="E564">
        <v>0.48028989999999999</v>
      </c>
      <c r="F564" t="s">
        <v>45</v>
      </c>
      <c r="G564">
        <v>-158.78319999999999</v>
      </c>
      <c r="H564">
        <v>4.965338</v>
      </c>
      <c r="I564">
        <v>386.60090000000002</v>
      </c>
      <c r="J564">
        <v>-400.31240000000003</v>
      </c>
      <c r="K564">
        <v>1.060589</v>
      </c>
      <c r="L564">
        <v>367.63690000000003</v>
      </c>
      <c r="M564">
        <v>0.9998146</v>
      </c>
      <c r="N564">
        <v>-1.7061460000000001E-2</v>
      </c>
      <c r="O564">
        <v>-8.9359680000000007E-3</v>
      </c>
      <c r="P564">
        <v>0.9930909</v>
      </c>
      <c r="Q564">
        <v>-0.1150376</v>
      </c>
      <c r="R564">
        <v>2.3172979999999999E-2</v>
      </c>
      <c r="S564">
        <v>3.020813</v>
      </c>
      <c r="T564">
        <v>4.8798080000000001E-2</v>
      </c>
      <c r="U564">
        <v>0.2369385</v>
      </c>
      <c r="V564">
        <v>-3.2053129999999999E-2</v>
      </c>
      <c r="W564">
        <v>-9.8079609999999998E-2</v>
      </c>
      <c r="X564">
        <v>0.99466220000000005</v>
      </c>
      <c r="Y564">
        <v>-8.7097729999999998E-2</v>
      </c>
      <c r="Z564">
        <v>-2.545022E-4</v>
      </c>
      <c r="AA564">
        <v>0.99619970000000002</v>
      </c>
      <c r="AB564">
        <v>39</v>
      </c>
      <c r="AC564">
        <v>241.5292</v>
      </c>
      <c r="AD564">
        <v>3.9047489999999998</v>
      </c>
      <c r="AE564">
        <v>18.963999999999999</v>
      </c>
      <c r="AF564">
        <v>-21.1163685646777</v>
      </c>
      <c r="AG564">
        <v>3.9047489999999998</v>
      </c>
      <c r="AH564">
        <v>241.28738979802699</v>
      </c>
      <c r="AI564">
        <v>89.076394040963606</v>
      </c>
      <c r="AJ564">
        <v>95.001521692112803</v>
      </c>
      <c r="AK564">
        <v>242.24110419509199</v>
      </c>
      <c r="AL564">
        <v>95.628596845836697</v>
      </c>
      <c r="AM564">
        <v>91.845725866946793</v>
      </c>
      <c r="AN564">
        <v>0.99999995257469299</v>
      </c>
    </row>
    <row r="565" spans="1:40" x14ac:dyDescent="0.25">
      <c r="A565" t="str">
        <f>"20190305134919505"</f>
        <v>20190305134919505</v>
      </c>
      <c r="B565" t="str">
        <f>"1551764959501141"</f>
        <v>1551764959501141</v>
      </c>
      <c r="C565" t="s">
        <v>40</v>
      </c>
      <c r="D565">
        <v>4.2919619999999998</v>
      </c>
      <c r="E565">
        <v>0.4801859</v>
      </c>
      <c r="F565" t="s">
        <v>45</v>
      </c>
      <c r="G565">
        <v>-158.78319999999999</v>
      </c>
      <c r="H565">
        <v>4.9533809999999896</v>
      </c>
      <c r="I565">
        <v>386.66309999999999</v>
      </c>
      <c r="J565">
        <v>-400.11079999999998</v>
      </c>
      <c r="K565">
        <v>1.061037</v>
      </c>
      <c r="L565">
        <v>367.63510000000002</v>
      </c>
      <c r="M565">
        <v>0.99981189999999998</v>
      </c>
      <c r="N565">
        <v>-1.723268E-2</v>
      </c>
      <c r="O565">
        <v>-8.9031779999999994E-3</v>
      </c>
      <c r="P565">
        <v>0.99308969999999996</v>
      </c>
      <c r="Q565">
        <v>-0.1151158</v>
      </c>
      <c r="R565">
        <v>2.2838259999999999E-2</v>
      </c>
      <c r="S565">
        <v>3.0209959999999998</v>
      </c>
      <c r="T565">
        <v>4.8691270000000002E-2</v>
      </c>
      <c r="U565">
        <v>0.2379761</v>
      </c>
      <c r="V565">
        <v>-3.1683469999999998E-2</v>
      </c>
      <c r="W565">
        <v>-9.7988389999999995E-2</v>
      </c>
      <c r="X565">
        <v>0.99468310000000004</v>
      </c>
      <c r="Y565">
        <v>-8.7400549999999994E-2</v>
      </c>
      <c r="Z565">
        <v>-2.4536540000000002E-4</v>
      </c>
      <c r="AA565">
        <v>0.99617319999999998</v>
      </c>
      <c r="AB565">
        <v>39</v>
      </c>
      <c r="AC565">
        <v>241.32759999999999</v>
      </c>
      <c r="AD565">
        <v>3.892344</v>
      </c>
      <c r="AE565">
        <v>19.027999999999899</v>
      </c>
      <c r="AF565">
        <v>-21.170673895302901</v>
      </c>
      <c r="AG565">
        <v>3.892344</v>
      </c>
      <c r="AH565">
        <v>241.08626865815799</v>
      </c>
      <c r="AI565">
        <v>89.078583725104593</v>
      </c>
      <c r="AJ565">
        <v>95.018480435789499</v>
      </c>
      <c r="AK565">
        <v>242.045319538531</v>
      </c>
      <c r="AL565">
        <v>95.623344657051007</v>
      </c>
      <c r="AM565">
        <v>91.824415775118496</v>
      </c>
      <c r="AN565">
        <v>1.00000001813582</v>
      </c>
    </row>
    <row r="566" spans="1:40" x14ac:dyDescent="0.25">
      <c r="A566" t="str">
        <f>"20190305134919517"</f>
        <v>20190305134919517</v>
      </c>
      <c r="B566" t="str">
        <f>"1551764959511409"</f>
        <v>1551764959511409</v>
      </c>
      <c r="C566" t="s">
        <v>40</v>
      </c>
      <c r="D566">
        <v>4.2829560000000004</v>
      </c>
      <c r="E566">
        <v>0.48007949999999999</v>
      </c>
      <c r="F566" t="s">
        <v>45</v>
      </c>
      <c r="G566">
        <v>-158.78319999999999</v>
      </c>
      <c r="H566">
        <v>4.9661790000000003</v>
      </c>
      <c r="I566">
        <v>386.65039999999999</v>
      </c>
      <c r="J566">
        <v>-399.90390000000002</v>
      </c>
      <c r="K566">
        <v>1.0614629999999901</v>
      </c>
      <c r="L566">
        <v>367.63330000000002</v>
      </c>
      <c r="M566">
        <v>0.99982020000000005</v>
      </c>
      <c r="N566">
        <v>-1.6773260000000002E-2</v>
      </c>
      <c r="O566">
        <v>-8.8557029999999995E-3</v>
      </c>
      <c r="P566">
        <v>0.99315520000000002</v>
      </c>
      <c r="Q566">
        <v>-0.1146239</v>
      </c>
      <c r="R566">
        <v>2.2453509999999999E-2</v>
      </c>
      <c r="S566">
        <v>3.0209959999999998</v>
      </c>
      <c r="T566">
        <v>4.8886539999999999E-2</v>
      </c>
      <c r="U566">
        <v>0.2380371</v>
      </c>
      <c r="V566">
        <v>-3.1247690000000002E-2</v>
      </c>
      <c r="W566">
        <v>-9.7953730000000003E-2</v>
      </c>
      <c r="X566">
        <v>0.99470029999999998</v>
      </c>
      <c r="Y566">
        <v>-8.7372969999999994E-2</v>
      </c>
      <c r="Z566">
        <v>-2.6323129999999999E-4</v>
      </c>
      <c r="AA566">
        <v>0.99617560000000005</v>
      </c>
      <c r="AB566">
        <v>39</v>
      </c>
      <c r="AC566">
        <v>241.1207</v>
      </c>
      <c r="AD566">
        <v>3.9047160000000001</v>
      </c>
      <c r="AE566">
        <v>19.0170999999999</v>
      </c>
      <c r="AF566">
        <v>-21.1464363154147</v>
      </c>
      <c r="AG566">
        <v>3.9047160000000001</v>
      </c>
      <c r="AH566">
        <v>240.880029464778</v>
      </c>
      <c r="AI566">
        <v>89.074862139674906</v>
      </c>
      <c r="AJ566">
        <v>95.017034225440199</v>
      </c>
      <c r="AK566">
        <v>241.83797710623301</v>
      </c>
      <c r="AL566">
        <v>95.621349180327002</v>
      </c>
      <c r="AM566">
        <v>91.799307957958703</v>
      </c>
      <c r="AN566">
        <v>1.0000000190856599</v>
      </c>
    </row>
    <row r="567" spans="1:40" x14ac:dyDescent="0.25">
      <c r="A567" t="str">
        <f>"20190305134919531"</f>
        <v>20190305134919531</v>
      </c>
      <c r="B567" t="str">
        <f>"1551764959521169"</f>
        <v>1551764959521169</v>
      </c>
      <c r="C567" t="s">
        <v>40</v>
      </c>
      <c r="D567">
        <v>4.2698679999999998</v>
      </c>
      <c r="E567">
        <v>0.47996519999999998</v>
      </c>
      <c r="F567" t="s">
        <v>45</v>
      </c>
      <c r="G567">
        <v>-158.78319999999999</v>
      </c>
      <c r="H567">
        <v>5.1083829999999999</v>
      </c>
      <c r="I567">
        <v>386.62380000000002</v>
      </c>
      <c r="J567">
        <v>-399.66579999999999</v>
      </c>
      <c r="K567">
        <v>1.0619400000000001</v>
      </c>
      <c r="L567">
        <v>367.63119999999998</v>
      </c>
      <c r="M567">
        <v>0.99983690000000003</v>
      </c>
      <c r="N567">
        <v>-1.578564E-2</v>
      </c>
      <c r="O567">
        <v>-8.7910869999999995E-3</v>
      </c>
      <c r="P567">
        <v>0.99331910000000001</v>
      </c>
      <c r="Q567">
        <v>-0.11323030000000001</v>
      </c>
      <c r="R567">
        <v>2.2279469999999999E-2</v>
      </c>
      <c r="S567">
        <v>3.0211790000000001</v>
      </c>
      <c r="T567">
        <v>5.070794E-2</v>
      </c>
      <c r="U567">
        <v>0.23794560000000001</v>
      </c>
      <c r="V567">
        <v>-3.1006100000000002E-2</v>
      </c>
      <c r="W567">
        <v>-9.7541589999999997E-2</v>
      </c>
      <c r="X567">
        <v>0.99474839999999998</v>
      </c>
      <c r="Y567">
        <v>-8.7272699999999995E-2</v>
      </c>
      <c r="Z567">
        <v>-3.2713870000000001E-4</v>
      </c>
      <c r="AA567">
        <v>0.99618439999999997</v>
      </c>
      <c r="AB567">
        <v>38</v>
      </c>
      <c r="AC567">
        <v>240.8826</v>
      </c>
      <c r="AD567">
        <v>4.046443</v>
      </c>
      <c r="AE567">
        <v>18.992599999999999</v>
      </c>
      <c r="AF567">
        <v>-21.103830948511799</v>
      </c>
      <c r="AG567">
        <v>4.046443</v>
      </c>
      <c r="AH567">
        <v>240.638817578188</v>
      </c>
      <c r="AI567">
        <v>89.040320900707499</v>
      </c>
      <c r="AJ567">
        <v>95.011970802530797</v>
      </c>
      <c r="AK567">
        <v>241.59632842219199</v>
      </c>
      <c r="AL567">
        <v>95.597621444650102</v>
      </c>
      <c r="AM567">
        <v>91.785319458919204</v>
      </c>
      <c r="AN567">
        <v>1.00000005965974</v>
      </c>
    </row>
    <row r="568" spans="1:40" x14ac:dyDescent="0.25">
      <c r="A568" t="str">
        <f>"20190305134919547"</f>
        <v>20190305134919547</v>
      </c>
      <c r="B568" t="str">
        <f>"1551764959541665"</f>
        <v>1551764959541665</v>
      </c>
      <c r="C568" t="s">
        <v>40</v>
      </c>
      <c r="D568">
        <v>4.2739659999999997</v>
      </c>
      <c r="E568">
        <v>0.4797611</v>
      </c>
      <c r="F568" t="s">
        <v>45</v>
      </c>
      <c r="G568">
        <v>-158.78319999999999</v>
      </c>
      <c r="H568">
        <v>5.4824909999999996</v>
      </c>
      <c r="I568">
        <v>386.61759999999998</v>
      </c>
      <c r="J568">
        <v>-399.37450000000001</v>
      </c>
      <c r="K568">
        <v>1.0626530000000001</v>
      </c>
      <c r="L568">
        <v>367.62869999999998</v>
      </c>
      <c r="M568">
        <v>0.9998631</v>
      </c>
      <c r="N568">
        <v>-1.4074059999999999E-2</v>
      </c>
      <c r="O568">
        <v>-8.7023059999999999E-3</v>
      </c>
      <c r="P568">
        <v>0.99356160000000004</v>
      </c>
      <c r="Q568">
        <v>-0.111155</v>
      </c>
      <c r="R568">
        <v>2.1912600000000001E-2</v>
      </c>
      <c r="S568">
        <v>3.0211790000000001</v>
      </c>
      <c r="T568">
        <v>5.544412E-2</v>
      </c>
      <c r="U568">
        <v>0.2381287</v>
      </c>
      <c r="V568">
        <v>-3.054664E-2</v>
      </c>
      <c r="W568">
        <v>-9.7167699999999996E-2</v>
      </c>
      <c r="X568">
        <v>0.99479910000000005</v>
      </c>
      <c r="Y568">
        <v>-8.7241449999999998E-2</v>
      </c>
      <c r="Z568">
        <v>-4.6601969999999999E-4</v>
      </c>
      <c r="AA568">
        <v>0.99618709999999999</v>
      </c>
      <c r="AB568">
        <v>39</v>
      </c>
      <c r="AC568">
        <v>240.59129999999999</v>
      </c>
      <c r="AD568">
        <v>4.4198379999999897</v>
      </c>
      <c r="AE568">
        <v>18.988900000000001</v>
      </c>
      <c r="AF568">
        <v>-21.0750188572325</v>
      </c>
      <c r="AG568">
        <v>4.4198379999999897</v>
      </c>
      <c r="AH568">
        <v>240.33631696052399</v>
      </c>
      <c r="AI568">
        <v>88.950463273343004</v>
      </c>
      <c r="AJ568">
        <v>95.011430685593396</v>
      </c>
      <c r="AK568">
        <v>241.29906058235699</v>
      </c>
      <c r="AL568">
        <v>95.576097469472998</v>
      </c>
      <c r="AM568">
        <v>91.758791084049307</v>
      </c>
      <c r="AN568">
        <v>0.99999995424969301</v>
      </c>
    </row>
    <row r="569" spans="1:40" x14ac:dyDescent="0.25">
      <c r="A569" t="str">
        <f>"20190305134919561"</f>
        <v>20190305134919561</v>
      </c>
      <c r="B569" t="str">
        <f>"1551764959551424"</f>
        <v>1551764959551424</v>
      </c>
      <c r="C569" t="s">
        <v>40</v>
      </c>
      <c r="D569">
        <v>4.3031350000000002</v>
      </c>
      <c r="E569">
        <v>0.47965039999999998</v>
      </c>
      <c r="F569" t="s">
        <v>45</v>
      </c>
      <c r="G569">
        <v>-158.78319999999999</v>
      </c>
      <c r="H569">
        <v>6.0452519999999996</v>
      </c>
      <c r="I569">
        <v>386.64049999999997</v>
      </c>
      <c r="J569">
        <v>-399.1395</v>
      </c>
      <c r="K569">
        <v>1.063388</v>
      </c>
      <c r="L569">
        <v>367.6268</v>
      </c>
      <c r="M569">
        <v>0.99988189999999999</v>
      </c>
      <c r="N569">
        <v>-1.2731900000000001E-2</v>
      </c>
      <c r="O569">
        <v>-8.6207190000000006E-3</v>
      </c>
      <c r="P569">
        <v>0.99370429999999998</v>
      </c>
      <c r="Q569">
        <v>-0.109834</v>
      </c>
      <c r="R569">
        <v>2.2101519999999999E-2</v>
      </c>
      <c r="S569">
        <v>3.02121</v>
      </c>
      <c r="T569">
        <v>6.2569739999999999E-2</v>
      </c>
      <c r="U569">
        <v>0.23873900000000001</v>
      </c>
      <c r="V569">
        <v>-3.0650960000000001E-2</v>
      </c>
      <c r="W569">
        <v>-9.7181630000000005E-2</v>
      </c>
      <c r="X569">
        <v>0.99479450000000003</v>
      </c>
      <c r="Y569">
        <v>-8.7355230000000006E-2</v>
      </c>
      <c r="Z569">
        <v>-6.3387459999999997E-4</v>
      </c>
      <c r="AA569">
        <v>0.99617699999999998</v>
      </c>
      <c r="AB569">
        <v>39</v>
      </c>
      <c r="AC569">
        <v>240.3563</v>
      </c>
      <c r="AD569">
        <v>4.9818639999999998</v>
      </c>
      <c r="AE569">
        <v>19.013699999999901</v>
      </c>
      <c r="AF569">
        <v>-21.0762069910229</v>
      </c>
      <c r="AG569">
        <v>4.9818639999999998</v>
      </c>
      <c r="AH569">
        <v>240.080942743734</v>
      </c>
      <c r="AI569">
        <v>88.815792279294001</v>
      </c>
      <c r="AJ569">
        <v>95.017015539968497</v>
      </c>
      <c r="AK569">
        <v>241.05577059834701</v>
      </c>
      <c r="AL569">
        <v>95.576899564782096</v>
      </c>
      <c r="AM569">
        <v>91.764801904797494</v>
      </c>
      <c r="AN569">
        <v>0.99999992389431103</v>
      </c>
    </row>
    <row r="570" spans="1:40" x14ac:dyDescent="0.25">
      <c r="A570" t="str">
        <f>"20190305134919573"</f>
        <v>20190305134919573</v>
      </c>
      <c r="B570" t="str">
        <f>"1551764959571920"</f>
        <v>1551764959571920</v>
      </c>
      <c r="C570" t="s">
        <v>40</v>
      </c>
      <c r="D570">
        <v>4.2921199999999997</v>
      </c>
      <c r="E570">
        <v>0.47945910000000003</v>
      </c>
      <c r="F570" t="s">
        <v>45</v>
      </c>
      <c r="G570">
        <v>-158.78319999999999</v>
      </c>
      <c r="H570">
        <v>6.3853229999999996</v>
      </c>
      <c r="I570">
        <v>386.7355</v>
      </c>
      <c r="J570">
        <v>-398.92450000000002</v>
      </c>
      <c r="K570">
        <v>1.0641229999999999</v>
      </c>
      <c r="L570">
        <v>367.625</v>
      </c>
      <c r="M570">
        <v>0.99989689999999998</v>
      </c>
      <c r="N570">
        <v>-1.154902E-2</v>
      </c>
      <c r="O570">
        <v>-8.5400700000000003E-3</v>
      </c>
      <c r="P570">
        <v>0.99383100000000002</v>
      </c>
      <c r="Q570">
        <v>-0.1086295</v>
      </c>
      <c r="R570">
        <v>2.2350419999999999E-2</v>
      </c>
      <c r="S570">
        <v>3.0209959999999998</v>
      </c>
      <c r="T570">
        <v>6.6891549999999994E-2</v>
      </c>
      <c r="U570">
        <v>0.24017330000000001</v>
      </c>
      <c r="V570">
        <v>-3.0817540000000001E-2</v>
      </c>
      <c r="W570">
        <v>-9.7153519999999993E-2</v>
      </c>
      <c r="X570">
        <v>0.99479220000000002</v>
      </c>
      <c r="Y570">
        <v>-8.7747199999999997E-2</v>
      </c>
      <c r="Z570">
        <v>-7.4951E-4</v>
      </c>
      <c r="AA570">
        <v>0.99614250000000004</v>
      </c>
      <c r="AB570">
        <v>39</v>
      </c>
      <c r="AC570">
        <v>240.1413</v>
      </c>
      <c r="AD570">
        <v>5.3212000000000002</v>
      </c>
      <c r="AE570">
        <v>19.110499999999998</v>
      </c>
      <c r="AF570">
        <v>-21.150443563503799</v>
      </c>
      <c r="AG570">
        <v>5.3212000000000002</v>
      </c>
      <c r="AH570">
        <v>239.85229828652101</v>
      </c>
      <c r="AI570">
        <v>88.733994310352003</v>
      </c>
      <c r="AJ570">
        <v>95.0393709112859</v>
      </c>
      <c r="AK570">
        <v>240.84181826605399</v>
      </c>
      <c r="AL570">
        <v>95.575280761825994</v>
      </c>
      <c r="AM570">
        <v>91.774391129496294</v>
      </c>
      <c r="AN570">
        <v>1.0000000242004401</v>
      </c>
    </row>
    <row r="571" spans="1:40" x14ac:dyDescent="0.25">
      <c r="A571" t="str">
        <f>"20190305134919592"</f>
        <v>20190305134919592</v>
      </c>
      <c r="B571" t="str">
        <f>"1551764959581684"</f>
        <v>1551764959581684</v>
      </c>
      <c r="C571" t="s">
        <v>40</v>
      </c>
      <c r="D571">
        <v>4.3037720000000004</v>
      </c>
      <c r="E571">
        <v>0.47937550000000001</v>
      </c>
      <c r="F571" t="s">
        <v>45</v>
      </c>
      <c r="G571">
        <v>-159.35079999999999</v>
      </c>
      <c r="H571">
        <v>6.700056</v>
      </c>
      <c r="I571">
        <v>386.8655</v>
      </c>
      <c r="J571">
        <v>-398.60829999999999</v>
      </c>
      <c r="K571">
        <v>1.065375</v>
      </c>
      <c r="L571">
        <v>367.6225</v>
      </c>
      <c r="M571">
        <v>0.99991470000000005</v>
      </c>
      <c r="N571">
        <v>-1.0013879999999999E-2</v>
      </c>
      <c r="O571">
        <v>-8.4041580000000001E-3</v>
      </c>
      <c r="P571">
        <v>0.99399599999999999</v>
      </c>
      <c r="Q571">
        <v>-0.1069952</v>
      </c>
      <c r="R571">
        <v>2.2902369999999998E-2</v>
      </c>
      <c r="S571">
        <v>3.0209350000000001</v>
      </c>
      <c r="T571">
        <v>7.1068049999999994E-2</v>
      </c>
      <c r="U571">
        <v>0.24261469999999999</v>
      </c>
      <c r="V571">
        <v>-3.1231510000000001E-2</v>
      </c>
      <c r="W571">
        <v>-9.7046110000000005E-2</v>
      </c>
      <c r="X571">
        <v>0.99478979999999995</v>
      </c>
      <c r="Y571">
        <v>-8.8409589999999996E-2</v>
      </c>
      <c r="Z571">
        <v>-8.7607440000000004E-4</v>
      </c>
      <c r="AA571">
        <v>0.99608379999999996</v>
      </c>
      <c r="AB571">
        <v>39</v>
      </c>
      <c r="AC571">
        <v>239.25749999999999</v>
      </c>
      <c r="AD571">
        <v>5.6346809999999996</v>
      </c>
      <c r="AE571">
        <v>19.242999999999899</v>
      </c>
      <c r="AF571">
        <v>-21.241473142854201</v>
      </c>
      <c r="AG571">
        <v>5.6346809999999996</v>
      </c>
      <c r="AH571">
        <v>238.95563890470601</v>
      </c>
      <c r="AI571">
        <v>88.654493828555005</v>
      </c>
      <c r="AJ571">
        <v>95.079839072814295</v>
      </c>
      <c r="AK571">
        <v>239.96405392393001</v>
      </c>
      <c r="AL571">
        <v>95.569097257199005</v>
      </c>
      <c r="AM571">
        <v>91.798215199854496</v>
      </c>
      <c r="AN571">
        <v>1.00000005043352</v>
      </c>
    </row>
    <row r="572" spans="1:40" x14ac:dyDescent="0.25">
      <c r="A572" t="str">
        <f>"20190305134919603"</f>
        <v>20190305134919603</v>
      </c>
      <c r="B572" t="str">
        <f>"1551764959591441"</f>
        <v>1551764959591441</v>
      </c>
      <c r="C572" t="s">
        <v>40</v>
      </c>
      <c r="D572">
        <v>4.2721039999999997</v>
      </c>
      <c r="E572">
        <v>0.47926999999999997</v>
      </c>
      <c r="F572" t="s">
        <v>45</v>
      </c>
      <c r="G572">
        <v>-159.35079999999999</v>
      </c>
      <c r="H572">
        <v>7.1071070000000001</v>
      </c>
      <c r="I572">
        <v>387.0206</v>
      </c>
      <c r="J572">
        <v>-398.41219999999998</v>
      </c>
      <c r="K572">
        <v>1.066303</v>
      </c>
      <c r="L572">
        <v>367.62090000000001</v>
      </c>
      <c r="M572">
        <v>0.99992080000000005</v>
      </c>
      <c r="N572">
        <v>-9.4522359999999993E-3</v>
      </c>
      <c r="O572">
        <v>-8.3077480000000002E-3</v>
      </c>
      <c r="P572">
        <v>0.99403540000000001</v>
      </c>
      <c r="Q572">
        <v>-0.10653020000000001</v>
      </c>
      <c r="R572">
        <v>2.3342149999999999E-2</v>
      </c>
      <c r="S572">
        <v>3.0206599999999999</v>
      </c>
      <c r="T572">
        <v>7.6278810000000002E-2</v>
      </c>
      <c r="U572">
        <v>0.2449036</v>
      </c>
      <c r="V572">
        <v>-3.1574169999999999E-2</v>
      </c>
      <c r="W572">
        <v>-9.714014E-2</v>
      </c>
      <c r="X572">
        <v>0.99476980000000004</v>
      </c>
      <c r="Y572">
        <v>-8.9066590000000001E-2</v>
      </c>
      <c r="Z572">
        <v>-9.8867709999999991E-4</v>
      </c>
      <c r="AA572">
        <v>0.99602520000000005</v>
      </c>
      <c r="AB572">
        <v>39</v>
      </c>
      <c r="AC572">
        <v>239.06139999999999</v>
      </c>
      <c r="AD572">
        <v>6.0408039999999996</v>
      </c>
      <c r="AE572">
        <v>19.399699999999999</v>
      </c>
      <c r="AF572">
        <v>-21.371624272442901</v>
      </c>
      <c r="AG572">
        <v>6.0408039999999996</v>
      </c>
      <c r="AH572">
        <v>238.740532303907</v>
      </c>
      <c r="AI572">
        <v>88.556336015263497</v>
      </c>
      <c r="AJ572">
        <v>95.115380450116504</v>
      </c>
      <c r="AK572">
        <v>239.771306460472</v>
      </c>
      <c r="AL572">
        <v>95.5745103847065</v>
      </c>
      <c r="AM572">
        <v>91.817967877142607</v>
      </c>
      <c r="AN572">
        <v>1.0000000450012201</v>
      </c>
    </row>
    <row r="573" spans="1:40" x14ac:dyDescent="0.25">
      <c r="A573" t="str">
        <f>"20190305134919614"</f>
        <v>20190305134919614</v>
      </c>
      <c r="B573" t="str">
        <f>"1551764959610960"</f>
        <v>1551764959610960</v>
      </c>
      <c r="C573" t="s">
        <v>40</v>
      </c>
      <c r="D573">
        <v>4.2311740000000002</v>
      </c>
      <c r="E573">
        <v>0.47905579999999998</v>
      </c>
      <c r="F573" t="s">
        <v>45</v>
      </c>
      <c r="G573">
        <v>-159.35079999999999</v>
      </c>
      <c r="H573">
        <v>7.2153739999999997</v>
      </c>
      <c r="I573">
        <v>387.18259999999998</v>
      </c>
      <c r="J573">
        <v>-398.21510000000001</v>
      </c>
      <c r="K573">
        <v>1.0673619999999999</v>
      </c>
      <c r="L573">
        <v>367.61939999999998</v>
      </c>
      <c r="M573">
        <v>0.99992499999999995</v>
      </c>
      <c r="N573">
        <v>-9.0909370000000003E-3</v>
      </c>
      <c r="O573">
        <v>-8.2059419999999904E-3</v>
      </c>
      <c r="P573">
        <v>0.99408759999999996</v>
      </c>
      <c r="Q573">
        <v>-0.1060026</v>
      </c>
      <c r="R573">
        <v>2.352982E-2</v>
      </c>
      <c r="S573">
        <v>3.0205380000000002</v>
      </c>
      <c r="T573">
        <v>7.7694540000000006E-2</v>
      </c>
      <c r="U573">
        <v>0.24716189999999999</v>
      </c>
      <c r="V573">
        <v>-3.1660069999999998E-2</v>
      </c>
      <c r="W573">
        <v>-9.6971929999999998E-2</v>
      </c>
      <c r="X573">
        <v>0.99478350000000004</v>
      </c>
      <c r="Y573">
        <v>-8.9706759999999997E-2</v>
      </c>
      <c r="Z573">
        <v>-1.028274E-3</v>
      </c>
      <c r="AA573">
        <v>0.99596770000000001</v>
      </c>
      <c r="AB573">
        <v>39</v>
      </c>
      <c r="AC573">
        <v>238.86429999999999</v>
      </c>
      <c r="AD573">
        <v>6.1480119999999996</v>
      </c>
      <c r="AE573">
        <v>19.563199999999899</v>
      </c>
      <c r="AF573">
        <v>-21.508575002877201</v>
      </c>
      <c r="AG573">
        <v>6.1480119999999996</v>
      </c>
      <c r="AH573">
        <v>238.53874373226799</v>
      </c>
      <c r="AI573">
        <v>88.529568762542397</v>
      </c>
      <c r="AJ573">
        <v>95.152315994220402</v>
      </c>
      <c r="AK573">
        <v>239.585369151739</v>
      </c>
      <c r="AL573">
        <v>95.564826842176799</v>
      </c>
      <c r="AM573">
        <v>91.822885380645502</v>
      </c>
      <c r="AN573">
        <v>1.00000006355628</v>
      </c>
    </row>
    <row r="574" spans="1:40" x14ac:dyDescent="0.25">
      <c r="A574" t="str">
        <f>"20190305134919626"</f>
        <v>20190305134919626</v>
      </c>
      <c r="B574" t="str">
        <f>"1551764959621696"</f>
        <v>1551764959621696</v>
      </c>
      <c r="C574" t="s">
        <v>40</v>
      </c>
      <c r="D574">
        <v>4.2534280000000004</v>
      </c>
      <c r="E574">
        <v>0.47893659999999999</v>
      </c>
      <c r="F574" t="s">
        <v>45</v>
      </c>
      <c r="G574">
        <v>-159.35079999999999</v>
      </c>
      <c r="H574">
        <v>7.3516349999999999</v>
      </c>
      <c r="I574">
        <v>387.35899999999998</v>
      </c>
      <c r="J574">
        <v>-398.0086</v>
      </c>
      <c r="K574">
        <v>1.0686580000000001</v>
      </c>
      <c r="L574">
        <v>367.61779999999999</v>
      </c>
      <c r="M574">
        <v>0.9999266</v>
      </c>
      <c r="N574">
        <v>-9.0045339999999998E-3</v>
      </c>
      <c r="O574">
        <v>-8.0922749999999995E-3</v>
      </c>
      <c r="P574">
        <v>0.99410949999999998</v>
      </c>
      <c r="Q574">
        <v>-0.10570499999999999</v>
      </c>
      <c r="R574">
        <v>2.393023E-2</v>
      </c>
      <c r="S574">
        <v>3.0203859999999998</v>
      </c>
      <c r="T574">
        <v>7.9464320000000005E-2</v>
      </c>
      <c r="U574">
        <v>0.2496033</v>
      </c>
      <c r="V574">
        <v>-3.1946769999999999E-2</v>
      </c>
      <c r="W574">
        <v>-9.6760490000000005E-2</v>
      </c>
      <c r="X574">
        <v>0.99479479999999998</v>
      </c>
      <c r="Y574">
        <v>-9.0395820000000002E-2</v>
      </c>
      <c r="Z574">
        <v>-1.064408E-3</v>
      </c>
      <c r="AA574">
        <v>0.99590529999999999</v>
      </c>
      <c r="AB574">
        <v>39</v>
      </c>
      <c r="AC574">
        <v>238.65780000000001</v>
      </c>
      <c r="AD574">
        <v>6.2829769999999998</v>
      </c>
      <c r="AE574">
        <v>19.741199999999999</v>
      </c>
      <c r="AF574">
        <v>-21.657008721753002</v>
      </c>
      <c r="AG574">
        <v>6.2829769999999998</v>
      </c>
      <c r="AH574">
        <v>238.326172079282</v>
      </c>
      <c r="AI574">
        <v>88.496058803715698</v>
      </c>
      <c r="AJ574">
        <v>95.192281303225499</v>
      </c>
      <c r="AK574">
        <v>239.39061411158099</v>
      </c>
      <c r="AL574">
        <v>95.552655664924004</v>
      </c>
      <c r="AM574">
        <v>91.839360479903107</v>
      </c>
      <c r="AN574">
        <v>0.99999994132275405</v>
      </c>
    </row>
    <row r="575" spans="1:40" x14ac:dyDescent="0.25">
      <c r="A575" t="str">
        <f>"20190305134919639"</f>
        <v>20190305134919639</v>
      </c>
      <c r="B575" t="str">
        <f>"1551764959631456"</f>
        <v>1551764959631456</v>
      </c>
      <c r="C575" t="s">
        <v>40</v>
      </c>
      <c r="D575">
        <v>4.2295600000000002</v>
      </c>
      <c r="E575">
        <v>0.47880539999999999</v>
      </c>
      <c r="F575" t="s">
        <v>45</v>
      </c>
      <c r="G575">
        <v>-159.35079999999999</v>
      </c>
      <c r="H575">
        <v>7.4446369999999904</v>
      </c>
      <c r="I575">
        <v>387.51220000000001</v>
      </c>
      <c r="J575">
        <v>-397.80779999999999</v>
      </c>
      <c r="K575">
        <v>1.070066</v>
      </c>
      <c r="L575">
        <v>367.61619999999999</v>
      </c>
      <c r="M575">
        <v>0.99992769999999997</v>
      </c>
      <c r="N575">
        <v>-8.9999060000000002E-3</v>
      </c>
      <c r="O575">
        <v>-7.9764650000000003E-3</v>
      </c>
      <c r="P575">
        <v>0.99409800000000004</v>
      </c>
      <c r="Q575">
        <v>-0.1057362</v>
      </c>
      <c r="R575">
        <v>2.4265510000000001E-2</v>
      </c>
      <c r="S575">
        <v>3.0202939999999998</v>
      </c>
      <c r="T575">
        <v>8.0691219999999994E-2</v>
      </c>
      <c r="U575">
        <v>0.25176999999999999</v>
      </c>
      <c r="V575">
        <v>-3.2165329999999999E-2</v>
      </c>
      <c r="W575">
        <v>-9.6796820000000006E-2</v>
      </c>
      <c r="X575">
        <v>0.99478429999999995</v>
      </c>
      <c r="Y575">
        <v>-9.0991530000000001E-2</v>
      </c>
      <c r="Z575">
        <v>-1.0872919999999999E-3</v>
      </c>
      <c r="AA575">
        <v>0.99585109999999999</v>
      </c>
      <c r="AB575">
        <v>39</v>
      </c>
      <c r="AC575">
        <v>238.45699999999999</v>
      </c>
      <c r="AD575">
        <v>6.3745710000000004</v>
      </c>
      <c r="AE575">
        <v>19.896000000000001</v>
      </c>
      <c r="AF575">
        <v>-21.7820294371008</v>
      </c>
      <c r="AG575">
        <v>6.3745710000000004</v>
      </c>
      <c r="AH575">
        <v>238.121714635736</v>
      </c>
      <c r="AI575">
        <v>88.472918171116604</v>
      </c>
      <c r="AJ575">
        <v>95.226548848971007</v>
      </c>
      <c r="AK575">
        <v>239.200842270457</v>
      </c>
      <c r="AL575">
        <v>95.554746609553504</v>
      </c>
      <c r="AM575">
        <v>91.851955045046594</v>
      </c>
      <c r="AN575">
        <v>1.0000000181713</v>
      </c>
    </row>
    <row r="576" spans="1:40" x14ac:dyDescent="0.25">
      <c r="A576" t="str">
        <f>"20190305134919651"</f>
        <v>20190305134919651</v>
      </c>
      <c r="B576" t="str">
        <f>"1551764959641218"</f>
        <v>1551764959641218</v>
      </c>
      <c r="C576" t="s">
        <v>40</v>
      </c>
      <c r="D576">
        <v>4.2210869999999998</v>
      </c>
      <c r="E576">
        <v>0.47868630000000001</v>
      </c>
      <c r="F576" t="s">
        <v>45</v>
      </c>
      <c r="G576">
        <v>-159.35079999999999</v>
      </c>
      <c r="H576">
        <v>7.4615939999999998</v>
      </c>
      <c r="I576">
        <v>387.65550000000002</v>
      </c>
      <c r="J576">
        <v>-397.57600000000002</v>
      </c>
      <c r="K576">
        <v>1.0717749999999999</v>
      </c>
      <c r="L576">
        <v>367.61450000000002</v>
      </c>
      <c r="M576">
        <v>0.99992879999999995</v>
      </c>
      <c r="N576">
        <v>-8.997774E-3</v>
      </c>
      <c r="O576">
        <v>-7.8393209999999998E-3</v>
      </c>
      <c r="P576">
        <v>0.99408969999999997</v>
      </c>
      <c r="Q576">
        <v>-0.10566209999999999</v>
      </c>
      <c r="R576">
        <v>2.4924290000000002E-2</v>
      </c>
      <c r="S576">
        <v>3.0202640000000001</v>
      </c>
      <c r="T576">
        <v>8.0955269999999996E-2</v>
      </c>
      <c r="U576">
        <v>0.2538147</v>
      </c>
      <c r="V576">
        <v>-3.268687E-2</v>
      </c>
      <c r="W576">
        <v>-9.6725359999999996E-2</v>
      </c>
      <c r="X576">
        <v>0.99477420000000005</v>
      </c>
      <c r="Y576">
        <v>-9.1524990000000001E-2</v>
      </c>
      <c r="Z576">
        <v>-1.0918270000000001E-3</v>
      </c>
      <c r="AA576">
        <v>0.99580219999999997</v>
      </c>
      <c r="AB576">
        <v>38</v>
      </c>
      <c r="AC576">
        <v>238.2252</v>
      </c>
      <c r="AD576">
        <v>6.3898190000000001</v>
      </c>
      <c r="AE576">
        <v>20.041</v>
      </c>
      <c r="AF576">
        <v>-21.892343727728001</v>
      </c>
      <c r="AG576">
        <v>6.3898190000000001</v>
      </c>
      <c r="AH576">
        <v>237.890816827924</v>
      </c>
      <c r="AI576">
        <v>88.467859078151704</v>
      </c>
      <c r="AJ576">
        <v>95.257940706974495</v>
      </c>
      <c r="AK576">
        <v>238.98147466237401</v>
      </c>
      <c r="AL576">
        <v>95.550633230567897</v>
      </c>
      <c r="AM576">
        <v>91.881980969603802</v>
      </c>
      <c r="AN576">
        <v>0.99999996786158196</v>
      </c>
    </row>
    <row r="577" spans="1:40" x14ac:dyDescent="0.25">
      <c r="A577" t="str">
        <f>"20190305134919662"</f>
        <v>20190305134919662</v>
      </c>
      <c r="B577" t="str">
        <f>"1551764959650977"</f>
        <v>1551764959650977</v>
      </c>
      <c r="C577" t="s">
        <v>40</v>
      </c>
      <c r="D577">
        <v>4.2435749999999999</v>
      </c>
      <c r="E577">
        <v>0.47856959999999998</v>
      </c>
      <c r="F577" t="s">
        <v>47</v>
      </c>
      <c r="G577">
        <v>0</v>
      </c>
      <c r="H577">
        <v>0</v>
      </c>
      <c r="I577">
        <v>0</v>
      </c>
      <c r="J577">
        <v>-397.37869999999998</v>
      </c>
      <c r="K577">
        <v>1.073302</v>
      </c>
      <c r="L577">
        <v>367.613</v>
      </c>
      <c r="M577">
        <v>0.99993100000000001</v>
      </c>
      <c r="N577">
        <v>-8.8581449999999996E-3</v>
      </c>
      <c r="O577">
        <v>-7.7172079999999997E-3</v>
      </c>
      <c r="P577">
        <v>0.99408750000000001</v>
      </c>
      <c r="Q577">
        <v>-0.1055938</v>
      </c>
      <c r="R577">
        <v>2.529986E-2</v>
      </c>
      <c r="S577">
        <v>3.0200499999999999</v>
      </c>
      <c r="T577">
        <v>8.1599350000000001E-2</v>
      </c>
      <c r="U577">
        <v>0.257019</v>
      </c>
      <c r="V577">
        <v>-3.2939929999999999E-2</v>
      </c>
      <c r="W577">
        <v>-9.6796480000000004E-2</v>
      </c>
      <c r="X577">
        <v>0.99475899999999995</v>
      </c>
      <c r="Y577">
        <v>-9.2457490000000003E-2</v>
      </c>
      <c r="Z577">
        <v>-1.1126179999999999E-3</v>
      </c>
      <c r="AA577">
        <v>0.99571600000000005</v>
      </c>
      <c r="AB577">
        <v>38</v>
      </c>
      <c r="AC577">
        <v>3.0200499999999999</v>
      </c>
      <c r="AD577">
        <v>8.1599350000000001E-2</v>
      </c>
      <c r="AE577">
        <v>0.257019</v>
      </c>
      <c r="AF577">
        <v>-0.28011558959597099</v>
      </c>
      <c r="AG577">
        <v>8.1599350000000001E-2</v>
      </c>
      <c r="AH577">
        <v>3.0157907058364102</v>
      </c>
      <c r="AI577">
        <v>88.456744822656404</v>
      </c>
      <c r="AJ577">
        <v>95.306576586870506</v>
      </c>
      <c r="AK577">
        <v>3.0298707528316098</v>
      </c>
      <c r="AL577">
        <v>95.554726955538698</v>
      </c>
      <c r="AM577">
        <v>91.896569524211898</v>
      </c>
      <c r="AN577">
        <v>1.0000000328048899</v>
      </c>
    </row>
    <row r="578" spans="1:40" x14ac:dyDescent="0.25">
      <c r="A578" t="str">
        <f>"20190305134919681"</f>
        <v>20190305134919681</v>
      </c>
      <c r="B578" t="str">
        <f>"1551764959671475"</f>
        <v>1551764959671475</v>
      </c>
      <c r="C578" t="s">
        <v>40</v>
      </c>
      <c r="D578">
        <v>4.2520989999999896</v>
      </c>
      <c r="E578">
        <v>0.47839520000000002</v>
      </c>
      <c r="F578" t="s">
        <v>47</v>
      </c>
      <c r="G578">
        <v>0</v>
      </c>
      <c r="H578">
        <v>0</v>
      </c>
      <c r="I578">
        <v>0</v>
      </c>
      <c r="J578">
        <v>-397.0718</v>
      </c>
      <c r="K578">
        <v>1.075742</v>
      </c>
      <c r="L578">
        <v>367.61079999999998</v>
      </c>
      <c r="M578">
        <v>0.99993489999999996</v>
      </c>
      <c r="N578">
        <v>-8.5949310000000001E-3</v>
      </c>
      <c r="O578">
        <v>-7.5290130000000002E-3</v>
      </c>
      <c r="P578">
        <v>0.99411450000000001</v>
      </c>
      <c r="Q578">
        <v>-0.1050714</v>
      </c>
      <c r="R578">
        <v>2.6394529999999999E-2</v>
      </c>
      <c r="S578">
        <v>3.0199889999999998</v>
      </c>
      <c r="T578">
        <v>8.22798E-2</v>
      </c>
      <c r="U578">
        <v>0.2590942</v>
      </c>
      <c r="V578">
        <v>-3.3846290000000001E-2</v>
      </c>
      <c r="W578">
        <v>-9.6536490000000003E-2</v>
      </c>
      <c r="X578">
        <v>0.99475380000000002</v>
      </c>
      <c r="Y578">
        <v>-9.295022E-2</v>
      </c>
      <c r="Z578">
        <v>-1.1327259999999999E-3</v>
      </c>
      <c r="AA578">
        <v>0.9956701</v>
      </c>
      <c r="AB578">
        <v>38</v>
      </c>
      <c r="AC578">
        <v>3.0199889999999998</v>
      </c>
      <c r="AD578">
        <v>8.22798E-2</v>
      </c>
      <c r="AE578">
        <v>0.2590942</v>
      </c>
      <c r="AF578">
        <v>-0.28161771242225297</v>
      </c>
      <c r="AG578">
        <v>8.22798E-2</v>
      </c>
      <c r="AH578">
        <v>3.0157304005382102</v>
      </c>
      <c r="AI578">
        <v>88.443922746369296</v>
      </c>
      <c r="AJ578">
        <v>95.334975471767905</v>
      </c>
      <c r="AK578">
        <v>3.0299683744501902</v>
      </c>
      <c r="AL578">
        <v>95.539760751998799</v>
      </c>
      <c r="AM578">
        <v>91.948725142788703</v>
      </c>
      <c r="AN578">
        <v>0.99999999393136196</v>
      </c>
    </row>
    <row r="579" spans="1:40" x14ac:dyDescent="0.25">
      <c r="A579" t="str">
        <f>"20190305134919691"</f>
        <v>20190305134919691</v>
      </c>
      <c r="B579" t="str">
        <f>"1551764959681236"</f>
        <v>1551764959681236</v>
      </c>
      <c r="C579" t="s">
        <v>40</v>
      </c>
      <c r="D579">
        <v>4.2767429999999997</v>
      </c>
      <c r="E579">
        <v>0.47832940000000002</v>
      </c>
      <c r="F579" t="s">
        <v>47</v>
      </c>
      <c r="G579">
        <v>0</v>
      </c>
      <c r="H579">
        <v>0</v>
      </c>
      <c r="I579">
        <v>0</v>
      </c>
      <c r="J579">
        <v>-396.88409999999999</v>
      </c>
      <c r="K579">
        <v>1.0772630000000001</v>
      </c>
      <c r="L579">
        <v>367.60939999999999</v>
      </c>
      <c r="M579">
        <v>0.99993699999999996</v>
      </c>
      <c r="N579">
        <v>-8.4301889999999994E-3</v>
      </c>
      <c r="O579">
        <v>-7.4151829999999997E-3</v>
      </c>
      <c r="P579">
        <v>0.99409619999999999</v>
      </c>
      <c r="Q579">
        <v>-0.1051363</v>
      </c>
      <c r="R579">
        <v>2.682035E-2</v>
      </c>
      <c r="S579">
        <v>3.0197449999999999</v>
      </c>
      <c r="T579">
        <v>8.4830520000000006E-2</v>
      </c>
      <c r="U579">
        <v>0.26379390000000003</v>
      </c>
      <c r="V579">
        <v>-3.4158109999999998E-2</v>
      </c>
      <c r="W579">
        <v>-9.6765749999999998E-2</v>
      </c>
      <c r="X579">
        <v>0.99472090000000002</v>
      </c>
      <c r="Y579">
        <v>-9.4379160000000004E-2</v>
      </c>
      <c r="Z579">
        <v>-1.194493E-3</v>
      </c>
      <c r="AA579">
        <v>0.99553559999999996</v>
      </c>
      <c r="AB579">
        <v>38</v>
      </c>
      <c r="AC579">
        <v>3.0197449999999999</v>
      </c>
      <c r="AD579">
        <v>8.4830520000000006E-2</v>
      </c>
      <c r="AE579">
        <v>0.26379390000000003</v>
      </c>
      <c r="AF579">
        <v>-0.28595544903618603</v>
      </c>
      <c r="AG579">
        <v>8.4830520000000006E-2</v>
      </c>
      <c r="AH579">
        <v>3.0153442629001099</v>
      </c>
      <c r="AI579">
        <v>88.395719945271793</v>
      </c>
      <c r="AJ579">
        <v>95.417354141818606</v>
      </c>
      <c r="AK579">
        <v>3.0300606858215899</v>
      </c>
      <c r="AL579">
        <v>95.552957979506402</v>
      </c>
      <c r="AM579">
        <v>91.966729371158607</v>
      </c>
      <c r="AN579">
        <v>1.00000002787432</v>
      </c>
    </row>
    <row r="580" spans="1:40" x14ac:dyDescent="0.25">
      <c r="A580" t="str">
        <f>"20190305134919703"</f>
        <v>20190305134919703</v>
      </c>
      <c r="B580" t="str">
        <f>"1551764959690993"</f>
        <v>1551764959690993</v>
      </c>
      <c r="C580" t="s">
        <v>40</v>
      </c>
      <c r="D580">
        <v>4.338552</v>
      </c>
      <c r="E580">
        <v>0.47817759999999998</v>
      </c>
      <c r="F580" t="s">
        <v>47</v>
      </c>
      <c r="G580">
        <v>0</v>
      </c>
      <c r="H580">
        <v>0</v>
      </c>
      <c r="I580">
        <v>0</v>
      </c>
      <c r="J580">
        <v>-396.68369999999999</v>
      </c>
      <c r="K580">
        <v>1.0789249999999999</v>
      </c>
      <c r="L580">
        <v>367.608</v>
      </c>
      <c r="M580">
        <v>0.99993900000000002</v>
      </c>
      <c r="N580">
        <v>-8.3025900000000003E-3</v>
      </c>
      <c r="O580">
        <v>-7.2971049999999999E-3</v>
      </c>
      <c r="P580">
        <v>0.99407409999999996</v>
      </c>
      <c r="Q580">
        <v>-0.1052558</v>
      </c>
      <c r="R580">
        <v>2.7166800000000001E-2</v>
      </c>
      <c r="S580">
        <v>3.0196529999999999</v>
      </c>
      <c r="T580">
        <v>8.5158349999999994E-2</v>
      </c>
      <c r="U580">
        <v>0.2654724</v>
      </c>
      <c r="V580">
        <v>-3.4386369999999999E-2</v>
      </c>
      <c r="W580">
        <v>-9.7012680000000004E-2</v>
      </c>
      <c r="X580">
        <v>0.99468889999999999</v>
      </c>
      <c r="Y580">
        <v>-9.481291E-2</v>
      </c>
      <c r="Z580">
        <v>-1.20549E-3</v>
      </c>
      <c r="AA580">
        <v>0.9954944</v>
      </c>
      <c r="AB580">
        <v>39</v>
      </c>
      <c r="AC580">
        <v>3.0196529999999999</v>
      </c>
      <c r="AD580">
        <v>8.5158349999999994E-2</v>
      </c>
      <c r="AE580">
        <v>0.2654724</v>
      </c>
      <c r="AF580">
        <v>-0.287274092287224</v>
      </c>
      <c r="AG580">
        <v>8.5158349999999994E-2</v>
      </c>
      <c r="AH580">
        <v>3.0152556598659102</v>
      </c>
      <c r="AI580">
        <v>88.389542853349894</v>
      </c>
      <c r="AJ580">
        <v>95.44234482265</v>
      </c>
      <c r="AK580">
        <v>3.03010644087425</v>
      </c>
      <c r="AL580">
        <v>95.567173366734096</v>
      </c>
      <c r="AM580">
        <v>91.979925168135395</v>
      </c>
      <c r="AN580">
        <v>0.99999994515288304</v>
      </c>
    </row>
    <row r="581" spans="1:40" x14ac:dyDescent="0.25">
      <c r="A581" t="str">
        <f>"20190305134919715"</f>
        <v>20190305134919715</v>
      </c>
      <c r="B581" t="str">
        <f>"1551764959711489"</f>
        <v>1551764959711489</v>
      </c>
      <c r="C581" t="s">
        <v>40</v>
      </c>
      <c r="D581">
        <v>4.2485299999999997</v>
      </c>
      <c r="E581">
        <v>0.47802600000000001</v>
      </c>
      <c r="F581" t="s">
        <v>47</v>
      </c>
      <c r="G581">
        <v>0</v>
      </c>
      <c r="H581">
        <v>0</v>
      </c>
      <c r="I581">
        <v>0</v>
      </c>
      <c r="J581">
        <v>-396.49579999999997</v>
      </c>
      <c r="K581">
        <v>1.080484</v>
      </c>
      <c r="L581">
        <v>367.60669999999999</v>
      </c>
      <c r="M581">
        <v>0.99994039999999995</v>
      </c>
      <c r="N581">
        <v>-8.224828E-3</v>
      </c>
      <c r="O581">
        <v>-7.1881719999999996E-3</v>
      </c>
      <c r="P581">
        <v>0.99405259999999995</v>
      </c>
      <c r="Q581">
        <v>-0.1053593</v>
      </c>
      <c r="R581">
        <v>2.7550310000000001E-2</v>
      </c>
      <c r="S581">
        <v>3.0196529999999999</v>
      </c>
      <c r="T581">
        <v>8.5397239999999999E-2</v>
      </c>
      <c r="U581">
        <v>0.26776119999999998</v>
      </c>
      <c r="V581">
        <v>-3.466085E-2</v>
      </c>
      <c r="W581">
        <v>-9.719411E-2</v>
      </c>
      <c r="X581">
        <v>0.99466169999999998</v>
      </c>
      <c r="Y581">
        <v>-9.5452780000000001E-2</v>
      </c>
      <c r="Z581">
        <v>-1.215292E-3</v>
      </c>
      <c r="AA581">
        <v>0.99543320000000002</v>
      </c>
      <c r="AB581">
        <v>39</v>
      </c>
      <c r="AC581">
        <v>3.0196529999999999</v>
      </c>
      <c r="AD581">
        <v>8.5397239999999999E-2</v>
      </c>
      <c r="AE581">
        <v>0.26776119999999998</v>
      </c>
      <c r="AF581">
        <v>-0.28923128155202399</v>
      </c>
      <c r="AG581">
        <v>8.5397239999999999E-2</v>
      </c>
      <c r="AH581">
        <v>3.01525745701904</v>
      </c>
      <c r="AI581">
        <v>88.385127719062396</v>
      </c>
      <c r="AJ581">
        <v>95.479195210348294</v>
      </c>
      <c r="AK581">
        <v>3.0303011327154898</v>
      </c>
      <c r="AL581">
        <v>95.577617683801606</v>
      </c>
      <c r="AM581">
        <v>91.995771192438696</v>
      </c>
      <c r="AN581">
        <v>0.99999998349415198</v>
      </c>
    </row>
    <row r="582" spans="1:40" x14ac:dyDescent="0.25">
      <c r="A582" t="str">
        <f>"20190305134919728"</f>
        <v>20190305134919728</v>
      </c>
      <c r="B582" t="str">
        <f>"1551764959721249"</f>
        <v>1551764959721249</v>
      </c>
      <c r="C582" t="s">
        <v>40</v>
      </c>
      <c r="D582">
        <v>4.2457070000000003</v>
      </c>
      <c r="E582">
        <v>0.47795939999999998</v>
      </c>
      <c r="F582" t="s">
        <v>47</v>
      </c>
      <c r="G582">
        <v>0</v>
      </c>
      <c r="H582">
        <v>0</v>
      </c>
      <c r="I582">
        <v>0</v>
      </c>
      <c r="J582">
        <v>-396.25740000000002</v>
      </c>
      <c r="K582">
        <v>1.08247</v>
      </c>
      <c r="L582">
        <v>367.60509999999999</v>
      </c>
      <c r="M582">
        <v>0.99994150000000004</v>
      </c>
      <c r="N582">
        <v>-8.1942690000000006E-3</v>
      </c>
      <c r="O582">
        <v>-7.0523560000000001E-3</v>
      </c>
      <c r="P582">
        <v>0.99401649999999997</v>
      </c>
      <c r="Q582">
        <v>-0.1056093</v>
      </c>
      <c r="R582">
        <v>2.7893089999999999E-2</v>
      </c>
      <c r="S582">
        <v>3.0195919999999998</v>
      </c>
      <c r="T582">
        <v>8.5797910000000005E-2</v>
      </c>
      <c r="U582">
        <v>0.26995849999999999</v>
      </c>
      <c r="V582">
        <v>-3.4866689999999999E-2</v>
      </c>
      <c r="W582">
        <v>-9.7475190000000003E-2</v>
      </c>
      <c r="X582">
        <v>0.99462700000000004</v>
      </c>
      <c r="Y582">
        <v>-9.6037510000000006E-2</v>
      </c>
      <c r="Z582">
        <v>-1.224695E-3</v>
      </c>
      <c r="AA582">
        <v>0.99537690000000001</v>
      </c>
      <c r="AB582">
        <v>39</v>
      </c>
      <c r="AC582">
        <v>3.0195919999999998</v>
      </c>
      <c r="AD582">
        <v>8.5797910000000005E-2</v>
      </c>
      <c r="AE582">
        <v>0.26995849999999999</v>
      </c>
      <c r="AF582">
        <v>-0.29101465513619301</v>
      </c>
      <c r="AG582">
        <v>8.5797910000000005E-2</v>
      </c>
      <c r="AH582">
        <v>3.0151980059200501</v>
      </c>
      <c r="AI582">
        <v>88.377614796550205</v>
      </c>
      <c r="AJ582">
        <v>95.512879964284494</v>
      </c>
      <c r="AK582">
        <v>3.0304240339874302</v>
      </c>
      <c r="AL582">
        <v>95.593799213980105</v>
      </c>
      <c r="AM582">
        <v>92.007683769358493</v>
      </c>
      <c r="AN582">
        <v>0.99999998393304601</v>
      </c>
    </row>
    <row r="583" spans="1:40" x14ac:dyDescent="0.25">
      <c r="A583" t="str">
        <f>"20190305134919742"</f>
        <v>20190305134919742</v>
      </c>
      <c r="B583" t="str">
        <f>"1551764959731008"</f>
        <v>1551764959731008</v>
      </c>
      <c r="C583" t="s">
        <v>40</v>
      </c>
      <c r="D583">
        <v>4.2347539999999997</v>
      </c>
      <c r="E583">
        <v>0.47791359999999999</v>
      </c>
      <c r="F583" t="s">
        <v>47</v>
      </c>
      <c r="G583">
        <v>0</v>
      </c>
      <c r="H583">
        <v>0</v>
      </c>
      <c r="I583">
        <v>0</v>
      </c>
      <c r="J583">
        <v>-396.02510000000001</v>
      </c>
      <c r="K583">
        <v>1.0843689999999999</v>
      </c>
      <c r="L583">
        <v>367.6035</v>
      </c>
      <c r="M583">
        <v>0.999942</v>
      </c>
      <c r="N583">
        <v>-8.2605719999999903E-3</v>
      </c>
      <c r="O583">
        <v>-6.9237079999999998E-3</v>
      </c>
      <c r="P583">
        <v>0.99398500000000001</v>
      </c>
      <c r="Q583">
        <v>-0.1057915</v>
      </c>
      <c r="R583">
        <v>2.8324269999999999E-2</v>
      </c>
      <c r="S583">
        <v>3.019501</v>
      </c>
      <c r="T583">
        <v>8.531511E-2</v>
      </c>
      <c r="U583">
        <v>0.27172849999999998</v>
      </c>
      <c r="V583">
        <v>-3.5168860000000003E-2</v>
      </c>
      <c r="W583">
        <v>-9.7592150000000003E-2</v>
      </c>
      <c r="X583">
        <v>0.99460490000000001</v>
      </c>
      <c r="Y583">
        <v>-9.6491389999999996E-2</v>
      </c>
      <c r="Z583">
        <v>-1.213015E-3</v>
      </c>
      <c r="AA583">
        <v>0.99533309999999997</v>
      </c>
      <c r="AB583">
        <v>39</v>
      </c>
      <c r="AC583">
        <v>3.019501</v>
      </c>
      <c r="AD583">
        <v>8.531511E-2</v>
      </c>
      <c r="AE583">
        <v>0.27172849999999998</v>
      </c>
      <c r="AF583">
        <v>-0.29239728731888298</v>
      </c>
      <c r="AG583">
        <v>8.531511E-2</v>
      </c>
      <c r="AH583">
        <v>3.0151594370967798</v>
      </c>
      <c r="AI583">
        <v>88.386789840692401</v>
      </c>
      <c r="AJ583">
        <v>95.538979976682697</v>
      </c>
      <c r="AK583">
        <v>3.0305051184149998</v>
      </c>
      <c r="AL583">
        <v>95.6005325877952</v>
      </c>
      <c r="AM583">
        <v>92.025113770594004</v>
      </c>
      <c r="AN583">
        <v>0.99999999177966603</v>
      </c>
    </row>
    <row r="584" spans="1:40" x14ac:dyDescent="0.25">
      <c r="A584" t="str">
        <f>"20190305134919760"</f>
        <v>20190305134919760</v>
      </c>
      <c r="B584" t="str">
        <f>"1551764959751505"</f>
        <v>1551764959751505</v>
      </c>
      <c r="C584" t="s">
        <v>40</v>
      </c>
      <c r="D584">
        <v>4.2295119999999997</v>
      </c>
      <c r="E584">
        <v>0.4778367</v>
      </c>
      <c r="F584" t="s">
        <v>47</v>
      </c>
      <c r="G584">
        <v>0</v>
      </c>
      <c r="H584">
        <v>0</v>
      </c>
      <c r="I584">
        <v>0</v>
      </c>
      <c r="J584">
        <v>-395.70650000000001</v>
      </c>
      <c r="K584">
        <v>1.0869009999999999</v>
      </c>
      <c r="L584">
        <v>367.60140000000001</v>
      </c>
      <c r="M584">
        <v>0.99994179999999999</v>
      </c>
      <c r="N584">
        <v>-8.4280599999999994E-3</v>
      </c>
      <c r="O584">
        <v>-6.7493090000000002E-3</v>
      </c>
      <c r="P584">
        <v>0.9938787</v>
      </c>
      <c r="Q584">
        <v>-0.1066718</v>
      </c>
      <c r="R584">
        <v>2.8753230000000001E-2</v>
      </c>
      <c r="S584">
        <v>3.0193789999999998</v>
      </c>
      <c r="T584">
        <v>8.4990739999999995E-2</v>
      </c>
      <c r="U584">
        <v>0.27310180000000001</v>
      </c>
      <c r="V584">
        <v>-3.5422460000000003E-2</v>
      </c>
      <c r="W584">
        <v>-9.8307389999999995E-2</v>
      </c>
      <c r="X584">
        <v>0.99452549999999995</v>
      </c>
      <c r="Y584">
        <v>-9.6770949999999994E-2</v>
      </c>
      <c r="Z584">
        <v>-1.1965649999999999E-3</v>
      </c>
      <c r="AA584">
        <v>0.99530600000000002</v>
      </c>
      <c r="AB584">
        <v>39</v>
      </c>
      <c r="AC584">
        <v>3.0193789999999998</v>
      </c>
      <c r="AD584">
        <v>8.4990739999999995E-2</v>
      </c>
      <c r="AE584">
        <v>0.27310180000000001</v>
      </c>
      <c r="AF584">
        <v>-0.29324456089236201</v>
      </c>
      <c r="AG584">
        <v>8.4990739999999995E-2</v>
      </c>
      <c r="AH584">
        <v>3.0150973330002002</v>
      </c>
      <c r="AI584">
        <v>88.392930730380797</v>
      </c>
      <c r="AJ584">
        <v>95.555043622593502</v>
      </c>
      <c r="AK584">
        <v>3.0305160824261601</v>
      </c>
      <c r="AL584">
        <v>95.641710606808203</v>
      </c>
      <c r="AM584">
        <v>92.039867129289803</v>
      </c>
      <c r="AN584">
        <v>1.0000000318756499</v>
      </c>
    </row>
    <row r="585" spans="1:40" x14ac:dyDescent="0.25">
      <c r="A585" t="str">
        <f>"20190305134919772"</f>
        <v>20190305134919772</v>
      </c>
      <c r="B585" t="str">
        <f>"1551764959761264"</f>
        <v>1551764959761264</v>
      </c>
      <c r="C585" t="s">
        <v>40</v>
      </c>
      <c r="D585">
        <v>4.2146339999999904</v>
      </c>
      <c r="E585">
        <v>0.4778192</v>
      </c>
      <c r="F585" t="s">
        <v>47</v>
      </c>
      <c r="G585">
        <v>0</v>
      </c>
      <c r="H585">
        <v>0</v>
      </c>
      <c r="I585">
        <v>0</v>
      </c>
      <c r="J585">
        <v>-395.49250000000001</v>
      </c>
      <c r="K585">
        <v>1.088544</v>
      </c>
      <c r="L585">
        <v>367.6</v>
      </c>
      <c r="M585">
        <v>0.99994119999999997</v>
      </c>
      <c r="N585">
        <v>-8.5823889999999993E-3</v>
      </c>
      <c r="O585">
        <v>-6.6335389999999999E-3</v>
      </c>
      <c r="P585">
        <v>0.99382300000000001</v>
      </c>
      <c r="Q585">
        <v>-0.1071125</v>
      </c>
      <c r="R585">
        <v>2.903238E-2</v>
      </c>
      <c r="S585">
        <v>3.0193479999999999</v>
      </c>
      <c r="T585">
        <v>8.2798239999999995E-2</v>
      </c>
      <c r="U585">
        <v>0.27548220000000001</v>
      </c>
      <c r="V585">
        <v>-3.5584570000000003E-2</v>
      </c>
      <c r="W585">
        <v>-9.8595500000000003E-2</v>
      </c>
      <c r="X585">
        <v>0.99449120000000002</v>
      </c>
      <c r="Y585">
        <v>-9.7436729999999999E-2</v>
      </c>
      <c r="Z585">
        <v>-1.1522240000000001E-3</v>
      </c>
      <c r="AA585">
        <v>0.99524100000000004</v>
      </c>
      <c r="AB585">
        <v>39</v>
      </c>
      <c r="AC585">
        <v>3.0193479999999999</v>
      </c>
      <c r="AD585">
        <v>8.2798239999999995E-2</v>
      </c>
      <c r="AE585">
        <v>0.27548220000000001</v>
      </c>
      <c r="AF585">
        <v>-0.29528561755685301</v>
      </c>
      <c r="AG585">
        <v>8.2798239999999995E-2</v>
      </c>
      <c r="AH585">
        <v>3.0152053690776999</v>
      </c>
      <c r="AI585">
        <v>88.434525214730201</v>
      </c>
      <c r="AJ585">
        <v>95.593264637476395</v>
      </c>
      <c r="AK585">
        <v>3.0307610532996501</v>
      </c>
      <c r="AL585">
        <v>95.658298631329501</v>
      </c>
      <c r="AM585">
        <v>92.049265205747105</v>
      </c>
      <c r="AN585">
        <v>1.0000000405598799</v>
      </c>
    </row>
    <row r="586" spans="1:40" x14ac:dyDescent="0.25">
      <c r="A586" t="str">
        <f>"20190305134919783"</f>
        <v>20190305134919783</v>
      </c>
      <c r="B586" t="str">
        <f>"1551764959771024"</f>
        <v>1551764959771024</v>
      </c>
      <c r="C586" t="s">
        <v>40</v>
      </c>
      <c r="D586">
        <v>4.1922300000000003</v>
      </c>
      <c r="E586">
        <v>0.47780699999999998</v>
      </c>
      <c r="F586" t="s">
        <v>47</v>
      </c>
      <c r="G586">
        <v>0</v>
      </c>
      <c r="H586">
        <v>0</v>
      </c>
      <c r="I586">
        <v>0</v>
      </c>
      <c r="J586">
        <v>-395.29649999999998</v>
      </c>
      <c r="K586">
        <v>1.0899799999999999</v>
      </c>
      <c r="L586">
        <v>367.59879999999998</v>
      </c>
      <c r="M586">
        <v>0.99994039999999995</v>
      </c>
      <c r="N586">
        <v>-8.7568630000000001E-3</v>
      </c>
      <c r="O586">
        <v>-6.528715E-3</v>
      </c>
      <c r="P586">
        <v>0.99377689999999996</v>
      </c>
      <c r="Q586">
        <v>-0.1074306</v>
      </c>
      <c r="R586">
        <v>2.9433730000000002E-2</v>
      </c>
      <c r="S586">
        <v>3.0193180000000002</v>
      </c>
      <c r="T586">
        <v>8.1533789999999995E-2</v>
      </c>
      <c r="U586">
        <v>0.2766113</v>
      </c>
      <c r="V586">
        <v>-3.5880429999999998E-2</v>
      </c>
      <c r="W586">
        <v>-9.8740939999999999E-2</v>
      </c>
      <c r="X586">
        <v>0.99446610000000002</v>
      </c>
      <c r="Y586">
        <v>-9.7703639999999994E-2</v>
      </c>
      <c r="Z586">
        <v>-1.120408E-3</v>
      </c>
      <c r="AA586">
        <v>0.99521490000000001</v>
      </c>
      <c r="AB586">
        <v>39</v>
      </c>
      <c r="AC586">
        <v>3.0193180000000002</v>
      </c>
      <c r="AD586">
        <v>8.1533789999999995E-2</v>
      </c>
      <c r="AE586">
        <v>0.2766113</v>
      </c>
      <c r="AF586">
        <v>-0.29610429832017998</v>
      </c>
      <c r="AG586">
        <v>8.1533789999999995E-2</v>
      </c>
      <c r="AH586">
        <v>3.0152671740939598</v>
      </c>
      <c r="AI586">
        <v>88.458492591889296</v>
      </c>
      <c r="AJ586">
        <v>95.608559019696401</v>
      </c>
      <c r="AK586">
        <v>3.03086813397812</v>
      </c>
      <c r="AL586">
        <v>95.666672814236193</v>
      </c>
      <c r="AM586">
        <v>92.066340764842906</v>
      </c>
      <c r="AN586">
        <v>1.0000000012691299</v>
      </c>
    </row>
    <row r="587" spans="1:40" x14ac:dyDescent="0.25">
      <c r="A587" t="str">
        <f>"20190305134919794"</f>
        <v>20190305134919794</v>
      </c>
      <c r="B587" t="str">
        <f>"1551764959791521"</f>
        <v>1551764959791521</v>
      </c>
      <c r="C587" t="s">
        <v>40</v>
      </c>
      <c r="D587">
        <v>4.2192410000000002</v>
      </c>
      <c r="E587">
        <v>0.47766370000000002</v>
      </c>
      <c r="F587" t="s">
        <v>47</v>
      </c>
      <c r="G587">
        <v>0</v>
      </c>
      <c r="H587">
        <v>0</v>
      </c>
      <c r="I587">
        <v>0</v>
      </c>
      <c r="J587">
        <v>-395.1123</v>
      </c>
      <c r="K587">
        <v>1.0912809999999999</v>
      </c>
      <c r="L587">
        <v>367.59769999999997</v>
      </c>
      <c r="M587">
        <v>0.99993960000000004</v>
      </c>
      <c r="N587">
        <v>-8.9315469999999998E-3</v>
      </c>
      <c r="O587">
        <v>-6.4305839999999996E-3</v>
      </c>
      <c r="P587">
        <v>0.99372740000000004</v>
      </c>
      <c r="Q587">
        <v>-0.1077716</v>
      </c>
      <c r="R587">
        <v>2.9856669999999998E-2</v>
      </c>
      <c r="S587">
        <v>3.0192869999999998</v>
      </c>
      <c r="T587">
        <v>8.0698489999999998E-2</v>
      </c>
      <c r="U587">
        <v>0.27810669999999998</v>
      </c>
      <c r="V587">
        <v>-3.6204649999999998E-2</v>
      </c>
      <c r="W587">
        <v>-9.8909090000000005E-2</v>
      </c>
      <c r="X587">
        <v>0.99443760000000003</v>
      </c>
      <c r="Y587">
        <v>-9.8096489999999995E-2</v>
      </c>
      <c r="Z587">
        <v>-1.0976720000000001E-3</v>
      </c>
      <c r="AA587">
        <v>0.99517630000000001</v>
      </c>
      <c r="AB587">
        <v>39</v>
      </c>
      <c r="AC587">
        <v>3.0192869999999998</v>
      </c>
      <c r="AD587">
        <v>8.0698489999999998E-2</v>
      </c>
      <c r="AE587">
        <v>0.27810669999999998</v>
      </c>
      <c r="AF587">
        <v>-0.29730689947866801</v>
      </c>
      <c r="AG587">
        <v>8.0698489999999998E-2</v>
      </c>
      <c r="AH587">
        <v>3.0153001949804099</v>
      </c>
      <c r="AI587">
        <v>88.474353387681603</v>
      </c>
      <c r="AJ587">
        <v>95.631130298699802</v>
      </c>
      <c r="AK587">
        <v>3.0309963550975798</v>
      </c>
      <c r="AL587">
        <v>95.6763547136743</v>
      </c>
      <c r="AM587">
        <v>92.085055771625804</v>
      </c>
      <c r="AN587">
        <v>0.99999996253000401</v>
      </c>
    </row>
    <row r="588" spans="1:40" x14ac:dyDescent="0.25">
      <c r="A588" t="str">
        <f>"20190305134919806"</f>
        <v>20190305134919806</v>
      </c>
      <c r="B588" t="str">
        <f>"1551764959801281"</f>
        <v>1551764959801281</v>
      </c>
      <c r="C588" t="s">
        <v>40</v>
      </c>
      <c r="D588">
        <v>4.220828</v>
      </c>
      <c r="E588">
        <v>0.47756929999999997</v>
      </c>
      <c r="F588" t="s">
        <v>47</v>
      </c>
      <c r="G588">
        <v>0</v>
      </c>
      <c r="H588">
        <v>0</v>
      </c>
      <c r="I588">
        <v>0</v>
      </c>
      <c r="J588">
        <v>-394.91719999999998</v>
      </c>
      <c r="K588">
        <v>1.092606</v>
      </c>
      <c r="L588">
        <v>367.59649999999999</v>
      </c>
      <c r="M588">
        <v>0.99993840000000001</v>
      </c>
      <c r="N588">
        <v>-9.1306500000000006E-3</v>
      </c>
      <c r="O588">
        <v>-6.327208E-3</v>
      </c>
      <c r="P588">
        <v>0.9937068</v>
      </c>
      <c r="Q588">
        <v>-0.10782949999999999</v>
      </c>
      <c r="R588">
        <v>3.0323570000000001E-2</v>
      </c>
      <c r="S588">
        <v>3.0190730000000001</v>
      </c>
      <c r="T588">
        <v>7.8906299999999999E-2</v>
      </c>
      <c r="U588">
        <v>0.28057860000000001</v>
      </c>
      <c r="V588">
        <v>-3.6567429999999998E-2</v>
      </c>
      <c r="W588">
        <v>-9.8769689999999993E-2</v>
      </c>
      <c r="X588">
        <v>0.99443820000000005</v>
      </c>
      <c r="Y588">
        <v>-9.8809460000000002E-2</v>
      </c>
      <c r="Z588">
        <v>-1.058745E-3</v>
      </c>
      <c r="AA588">
        <v>0.99510580000000004</v>
      </c>
      <c r="AB588">
        <v>39</v>
      </c>
      <c r="AC588">
        <v>3.0190730000000001</v>
      </c>
      <c r="AD588">
        <v>7.8906299999999999E-2</v>
      </c>
      <c r="AE588">
        <v>0.28057860000000001</v>
      </c>
      <c r="AF588">
        <v>-0.29947326574245098</v>
      </c>
      <c r="AG588">
        <v>7.8906299999999999E-2</v>
      </c>
      <c r="AH588">
        <v>3.0151952048423301</v>
      </c>
      <c r="AI588">
        <v>88.508273752916097</v>
      </c>
      <c r="AJ588">
        <v>95.6720919042547</v>
      </c>
      <c r="AK588">
        <v>3.0310579942287998</v>
      </c>
      <c r="AL588">
        <v>95.668328274289806</v>
      </c>
      <c r="AM588">
        <v>92.105928584104703</v>
      </c>
      <c r="AN588">
        <v>0.99999998110937005</v>
      </c>
    </row>
    <row r="589" spans="1:40" x14ac:dyDescent="0.25">
      <c r="A589" t="str">
        <f>"20190305134919817"</f>
        <v>20190305134919817</v>
      </c>
      <c r="B589" t="str">
        <f>"1551764959811041"</f>
        <v>1551764959811041</v>
      </c>
      <c r="C589" t="s">
        <v>40</v>
      </c>
      <c r="D589">
        <v>4.2092970000000003</v>
      </c>
      <c r="E589">
        <v>0.47747669999999998</v>
      </c>
      <c r="F589" t="s">
        <v>47</v>
      </c>
      <c r="G589">
        <v>0</v>
      </c>
      <c r="H589">
        <v>0</v>
      </c>
      <c r="I589">
        <v>0</v>
      </c>
      <c r="J589">
        <v>-394.70670000000001</v>
      </c>
      <c r="K589">
        <v>1.0939449999999999</v>
      </c>
      <c r="L589">
        <v>367.59519999999998</v>
      </c>
      <c r="M589">
        <v>0.99993690000000002</v>
      </c>
      <c r="N589">
        <v>-9.3550679999999994E-3</v>
      </c>
      <c r="O589">
        <v>-6.2158600000000001E-3</v>
      </c>
      <c r="P589">
        <v>0.99366770000000004</v>
      </c>
      <c r="Q589">
        <v>-0.1080337</v>
      </c>
      <c r="R589">
        <v>3.087705E-2</v>
      </c>
      <c r="S589">
        <v>3.0188899999999999</v>
      </c>
      <c r="T589">
        <v>7.7927469999999999E-2</v>
      </c>
      <c r="U589">
        <v>0.28274539999999998</v>
      </c>
      <c r="V589">
        <v>-3.7009439999999998E-2</v>
      </c>
      <c r="W589">
        <v>-9.8751519999999995E-2</v>
      </c>
      <c r="X589">
        <v>0.99442370000000002</v>
      </c>
      <c r="Y589">
        <v>-9.9413180000000004E-2</v>
      </c>
      <c r="Z589">
        <v>-1.0320869999999999E-3</v>
      </c>
      <c r="AA589">
        <v>0.99504570000000003</v>
      </c>
      <c r="AB589">
        <v>39</v>
      </c>
      <c r="AC589">
        <v>3.0188899999999999</v>
      </c>
      <c r="AD589">
        <v>7.7927469999999999E-2</v>
      </c>
      <c r="AE589">
        <v>0.28274539999999998</v>
      </c>
      <c r="AF589">
        <v>-0.30130673382863499</v>
      </c>
      <c r="AG589">
        <v>7.7927469999999999E-2</v>
      </c>
      <c r="AH589">
        <v>3.01508253408285</v>
      </c>
      <c r="AI589">
        <v>88.526804208291907</v>
      </c>
      <c r="AJ589">
        <v>95.706801540458699</v>
      </c>
      <c r="AK589">
        <v>3.0311022954962401</v>
      </c>
      <c r="AL589">
        <v>95.667281827461693</v>
      </c>
      <c r="AM589">
        <v>92.131391776969494</v>
      </c>
      <c r="AN589">
        <v>1.00000002823655</v>
      </c>
    </row>
    <row r="590" spans="1:40" x14ac:dyDescent="0.25">
      <c r="A590" t="str">
        <f>"20190305134919828"</f>
        <v>20190305134919828</v>
      </c>
      <c r="B590" t="str">
        <f>"1551764959821777"</f>
        <v>1551764959821777</v>
      </c>
      <c r="C590" t="s">
        <v>40</v>
      </c>
      <c r="D590">
        <v>4.1265530000000004</v>
      </c>
      <c r="E590">
        <v>0.47729840000000001</v>
      </c>
      <c r="F590" t="s">
        <v>47</v>
      </c>
      <c r="G590">
        <v>0</v>
      </c>
      <c r="H590">
        <v>0</v>
      </c>
      <c r="I590">
        <v>0</v>
      </c>
      <c r="J590">
        <v>-394.50749999999999</v>
      </c>
      <c r="K590">
        <v>1.0951709999999999</v>
      </c>
      <c r="L590">
        <v>367.59410000000003</v>
      </c>
      <c r="M590">
        <v>0.99993560000000004</v>
      </c>
      <c r="N590">
        <v>-9.5715869999999995E-3</v>
      </c>
      <c r="O590">
        <v>-6.1107019999999904E-3</v>
      </c>
      <c r="P590">
        <v>0.99364059999999998</v>
      </c>
      <c r="Q590">
        <v>-0.10816919999999999</v>
      </c>
      <c r="R590">
        <v>3.1274799999999998E-2</v>
      </c>
      <c r="S590">
        <v>3.0185849999999999</v>
      </c>
      <c r="T590">
        <v>7.6528910000000006E-2</v>
      </c>
      <c r="U590">
        <v>0.28552250000000001</v>
      </c>
      <c r="V590">
        <v>-3.7301819999999999E-2</v>
      </c>
      <c r="W590">
        <v>-9.8672319999999994E-2</v>
      </c>
      <c r="X590">
        <v>0.99442059999999999</v>
      </c>
      <c r="Y590">
        <v>-0.10022639999999999</v>
      </c>
      <c r="Z590">
        <v>-9.9958430000000008E-4</v>
      </c>
      <c r="AA590">
        <v>0.99496410000000002</v>
      </c>
      <c r="AB590">
        <v>39</v>
      </c>
      <c r="AC590">
        <v>3.0185849999999999</v>
      </c>
      <c r="AD590">
        <v>7.6528910000000006E-2</v>
      </c>
      <c r="AE590">
        <v>0.28552250000000001</v>
      </c>
      <c r="AF590">
        <v>-0.30377016773894699</v>
      </c>
      <c r="AG590">
        <v>7.6528910000000006E-2</v>
      </c>
      <c r="AH590">
        <v>3.0148631844307601</v>
      </c>
      <c r="AI590">
        <v>88.553245454602603</v>
      </c>
      <c r="AJ590">
        <v>95.753563442801607</v>
      </c>
      <c r="AK590">
        <v>3.0310943584306198</v>
      </c>
      <c r="AL590">
        <v>95.6627219415182</v>
      </c>
      <c r="AM590">
        <v>92.148221060736006</v>
      </c>
      <c r="AN590">
        <v>0.99999999110692706</v>
      </c>
    </row>
    <row r="591" spans="1:40" x14ac:dyDescent="0.25">
      <c r="A591" t="str">
        <f>"20190305134919840"</f>
        <v>20190305134919840</v>
      </c>
      <c r="B591" t="str">
        <f>"1551764959831537"</f>
        <v>1551764959831537</v>
      </c>
      <c r="C591" t="s">
        <v>40</v>
      </c>
      <c r="D591">
        <v>4.1437369999999998</v>
      </c>
      <c r="E591">
        <v>0.47714529999999999</v>
      </c>
      <c r="F591" t="s">
        <v>47</v>
      </c>
      <c r="G591">
        <v>0</v>
      </c>
      <c r="H591">
        <v>0</v>
      </c>
      <c r="I591">
        <v>0</v>
      </c>
      <c r="J591">
        <v>-394.32639999999998</v>
      </c>
      <c r="K591">
        <v>1.096184</v>
      </c>
      <c r="L591">
        <v>367.59300000000002</v>
      </c>
      <c r="M591">
        <v>0.99993430000000005</v>
      </c>
      <c r="N591">
        <v>-9.772088E-3</v>
      </c>
      <c r="O591">
        <v>-6.0150400000000001E-3</v>
      </c>
      <c r="P591">
        <v>0.99356259999999996</v>
      </c>
      <c r="Q591">
        <v>-0.1087337</v>
      </c>
      <c r="R591">
        <v>3.1790270000000002E-2</v>
      </c>
      <c r="S591">
        <v>3.0182500000000001</v>
      </c>
      <c r="T591">
        <v>7.4762819999999994E-2</v>
      </c>
      <c r="U591">
        <v>0.28833009999999998</v>
      </c>
      <c r="V591">
        <v>-3.7721030000000003E-2</v>
      </c>
      <c r="W591">
        <v>-9.9038639999999997E-2</v>
      </c>
      <c r="X591">
        <v>0.99436840000000004</v>
      </c>
      <c r="Y591">
        <v>-0.10106030000000001</v>
      </c>
      <c r="Z591">
        <v>-9.6092219999999997E-4</v>
      </c>
      <c r="AA591">
        <v>0.99487979999999998</v>
      </c>
      <c r="AB591">
        <v>39</v>
      </c>
      <c r="AC591">
        <v>3.0182500000000001</v>
      </c>
      <c r="AD591">
        <v>7.4762819999999994E-2</v>
      </c>
      <c r="AE591">
        <v>0.28833009999999998</v>
      </c>
      <c r="AF591">
        <v>-0.30629441014340703</v>
      </c>
      <c r="AG591">
        <v>7.4762819999999994E-2</v>
      </c>
      <c r="AH591">
        <v>3.0146280487161601</v>
      </c>
      <c r="AI591">
        <v>88.586628519642005</v>
      </c>
      <c r="AJ591">
        <v>95.801498540077901</v>
      </c>
      <c r="AK591">
        <v>3.03107044079244</v>
      </c>
      <c r="AL591">
        <v>95.683813670129098</v>
      </c>
      <c r="AM591">
        <v>92.172454396048906</v>
      </c>
      <c r="AN591">
        <v>1.0000000216179299</v>
      </c>
    </row>
    <row r="592" spans="1:40" x14ac:dyDescent="0.25">
      <c r="A592" t="str">
        <f>"20190305134919851"</f>
        <v>20190305134919851</v>
      </c>
      <c r="B592" t="str">
        <f>"1551764959841297"</f>
        <v>1551764959841297</v>
      </c>
      <c r="C592" t="s">
        <v>40</v>
      </c>
      <c r="D592">
        <v>4.1359709999999996</v>
      </c>
      <c r="E592">
        <v>0.47700179999999998</v>
      </c>
      <c r="F592" t="s">
        <v>47</v>
      </c>
      <c r="G592">
        <v>0</v>
      </c>
      <c r="H592">
        <v>0</v>
      </c>
      <c r="I592">
        <v>0</v>
      </c>
      <c r="J592">
        <v>-394.13959999999997</v>
      </c>
      <c r="K592">
        <v>1.09721</v>
      </c>
      <c r="L592">
        <v>367.59199999999998</v>
      </c>
      <c r="M592">
        <v>0.99993279999999995</v>
      </c>
      <c r="N592">
        <v>-9.9786600000000003E-3</v>
      </c>
      <c r="O592">
        <v>-5.9163250000000001E-3</v>
      </c>
      <c r="P592">
        <v>0.99351140000000004</v>
      </c>
      <c r="Q592">
        <v>-0.1090338</v>
      </c>
      <c r="R592">
        <v>3.2356389999999999E-2</v>
      </c>
      <c r="S592">
        <v>3.018005</v>
      </c>
      <c r="T592">
        <v>7.1846370000000007E-2</v>
      </c>
      <c r="U592">
        <v>0.29095460000000001</v>
      </c>
      <c r="V592">
        <v>-3.8188180000000002E-2</v>
      </c>
      <c r="W592">
        <v>-9.9134189999999997E-2</v>
      </c>
      <c r="X592">
        <v>0.99434100000000003</v>
      </c>
      <c r="Y592">
        <v>-0.10182910000000001</v>
      </c>
      <c r="Z592">
        <v>-8.9919929999999896E-4</v>
      </c>
      <c r="AA592">
        <v>0.99480150000000001</v>
      </c>
      <c r="AB592">
        <v>39</v>
      </c>
      <c r="AC592">
        <v>3.018005</v>
      </c>
      <c r="AD592">
        <v>7.1846370000000007E-2</v>
      </c>
      <c r="AE592">
        <v>0.29095460000000001</v>
      </c>
      <c r="AF592">
        <v>-0.30863259508089003</v>
      </c>
      <c r="AG592">
        <v>7.1846370000000007E-2</v>
      </c>
      <c r="AH592">
        <v>3.0145380355100402</v>
      </c>
      <c r="AI592">
        <v>88.641808344910999</v>
      </c>
      <c r="AJ592">
        <v>95.845653727214895</v>
      </c>
      <c r="AK592">
        <v>3.0311475627500002</v>
      </c>
      <c r="AL592">
        <v>95.689315625419994</v>
      </c>
      <c r="AM592">
        <v>92.199393092450293</v>
      </c>
      <c r="AN592">
        <v>0.99999997449983302</v>
      </c>
    </row>
    <row r="593" spans="1:40" x14ac:dyDescent="0.25">
      <c r="A593" t="str">
        <f>"20190305134919861"</f>
        <v>20190305134919861</v>
      </c>
      <c r="B593" t="str">
        <f>"1551764959851057"</f>
        <v>1551764959851057</v>
      </c>
      <c r="C593" t="s">
        <v>40</v>
      </c>
      <c r="D593">
        <v>4.1497699999999904</v>
      </c>
      <c r="E593">
        <v>0.47685270000000002</v>
      </c>
      <c r="F593" t="s">
        <v>47</v>
      </c>
      <c r="G593">
        <v>0</v>
      </c>
      <c r="H593">
        <v>0</v>
      </c>
      <c r="I593">
        <v>0</v>
      </c>
      <c r="J593">
        <v>-393.93970000000002</v>
      </c>
      <c r="K593">
        <v>1.098206</v>
      </c>
      <c r="L593">
        <v>367.59089999999998</v>
      </c>
      <c r="M593">
        <v>0.99993129999999997</v>
      </c>
      <c r="N593">
        <v>-1.0197599999999999E-2</v>
      </c>
      <c r="O593">
        <v>-5.8103069999999998E-3</v>
      </c>
      <c r="P593">
        <v>0.99350989999999995</v>
      </c>
      <c r="Q593">
        <v>-0.108941</v>
      </c>
      <c r="R593">
        <v>3.2716290000000002E-2</v>
      </c>
      <c r="S593">
        <v>3.0177</v>
      </c>
      <c r="T593">
        <v>6.9926740000000001E-2</v>
      </c>
      <c r="U593">
        <v>0.29382320000000001</v>
      </c>
      <c r="V593">
        <v>-3.8442560000000001E-2</v>
      </c>
      <c r="W593">
        <v>-9.8823910000000001E-2</v>
      </c>
      <c r="X593">
        <v>0.99436210000000003</v>
      </c>
      <c r="Y593">
        <v>-0.102671499999999</v>
      </c>
      <c r="Z593">
        <v>-8.5521839999999996E-4</v>
      </c>
      <c r="AA593">
        <v>0.99471489999999996</v>
      </c>
      <c r="AB593">
        <v>39</v>
      </c>
      <c r="AC593">
        <v>3.0177</v>
      </c>
      <c r="AD593">
        <v>6.9926740000000001E-2</v>
      </c>
      <c r="AE593">
        <v>0.29382320000000001</v>
      </c>
      <c r="AF593">
        <v>-0.31118738872841001</v>
      </c>
      <c r="AG593">
        <v>6.9926740000000001E-2</v>
      </c>
      <c r="AH593">
        <v>3.0143384135132898</v>
      </c>
      <c r="AI593">
        <v>88.678111530190705</v>
      </c>
      <c r="AJ593">
        <v>95.894091102295505</v>
      </c>
      <c r="AK593">
        <v>3.0311653552804501</v>
      </c>
      <c r="AL593">
        <v>95.671450069844596</v>
      </c>
      <c r="AM593">
        <v>92.213982275318301</v>
      </c>
      <c r="AN593">
        <v>0.99999999076172497</v>
      </c>
    </row>
    <row r="594" spans="1:40" x14ac:dyDescent="0.25">
      <c r="A594" t="str">
        <f>"20190305134919873"</f>
        <v>20190305134919873</v>
      </c>
      <c r="B594" t="str">
        <f>"1551764959871553"</f>
        <v>1551764959871553</v>
      </c>
      <c r="C594" t="s">
        <v>40</v>
      </c>
      <c r="D594">
        <v>4.1441619999999997</v>
      </c>
      <c r="E594">
        <v>0.47655130000000001</v>
      </c>
      <c r="F594" t="s">
        <v>47</v>
      </c>
      <c r="G594">
        <v>0</v>
      </c>
      <c r="H594">
        <v>0</v>
      </c>
      <c r="I594">
        <v>0</v>
      </c>
      <c r="J594">
        <v>-393.75259999999997</v>
      </c>
      <c r="K594">
        <v>1.0990949999999999</v>
      </c>
      <c r="L594">
        <v>367.5899</v>
      </c>
      <c r="M594">
        <v>0.99992970000000003</v>
      </c>
      <c r="N594">
        <v>-1.040018E-2</v>
      </c>
      <c r="O594">
        <v>-5.7110299999999998E-3</v>
      </c>
      <c r="P594">
        <v>0.99349430000000005</v>
      </c>
      <c r="Q594">
        <v>-0.1089252</v>
      </c>
      <c r="R594">
        <v>3.3239850000000001E-2</v>
      </c>
      <c r="S594">
        <v>3.0174259999999999</v>
      </c>
      <c r="T594">
        <v>6.9168090000000002E-2</v>
      </c>
      <c r="U594">
        <v>0.29605100000000001</v>
      </c>
      <c r="V594">
        <v>-3.8867760000000001E-2</v>
      </c>
      <c r="W594">
        <v>-9.8607120000000006E-2</v>
      </c>
      <c r="X594">
        <v>0.99436709999999995</v>
      </c>
      <c r="Y594">
        <v>-0.1033096</v>
      </c>
      <c r="Z594">
        <v>-8.3236020000000005E-4</v>
      </c>
      <c r="AA594">
        <v>0.99464889999999995</v>
      </c>
      <c r="AB594">
        <v>39</v>
      </c>
      <c r="AC594">
        <v>3.0174259999999999</v>
      </c>
      <c r="AD594">
        <v>6.9168090000000002E-2</v>
      </c>
      <c r="AE594">
        <v>0.29605100000000001</v>
      </c>
      <c r="AF594">
        <v>-0.313116751223326</v>
      </c>
      <c r="AG594">
        <v>6.9168090000000002E-2</v>
      </c>
      <c r="AH594">
        <v>3.0141172464715802</v>
      </c>
      <c r="AI594">
        <v>88.692438806091801</v>
      </c>
      <c r="AJ594">
        <v>95.930806886320994</v>
      </c>
      <c r="AK594">
        <v>3.0311267047169599</v>
      </c>
      <c r="AL594">
        <v>95.658967908835606</v>
      </c>
      <c r="AM594">
        <v>92.238434357124902</v>
      </c>
      <c r="AN594">
        <v>0.99999999822226004</v>
      </c>
    </row>
    <row r="595" spans="1:40" x14ac:dyDescent="0.25">
      <c r="A595" t="str">
        <f>"20190305134919885"</f>
        <v>20190305134919885</v>
      </c>
      <c r="B595" t="str">
        <f>"1551764959881313"</f>
        <v>1551764959881313</v>
      </c>
      <c r="C595" t="s">
        <v>40</v>
      </c>
      <c r="D595">
        <v>4.2216879999999897</v>
      </c>
      <c r="E595">
        <v>0.47637119999999999</v>
      </c>
      <c r="F595" t="s">
        <v>47</v>
      </c>
      <c r="G595">
        <v>0</v>
      </c>
      <c r="H595">
        <v>0</v>
      </c>
      <c r="I595">
        <v>0</v>
      </c>
      <c r="J595">
        <v>-393.55</v>
      </c>
      <c r="K595">
        <v>1.0999890000000001</v>
      </c>
      <c r="L595">
        <v>367.58879999999999</v>
      </c>
      <c r="M595">
        <v>0.99992789999999998</v>
      </c>
      <c r="N595">
        <v>-1.061468E-2</v>
      </c>
      <c r="O595">
        <v>-5.6032540000000002E-3</v>
      </c>
      <c r="P595">
        <v>0.99348259999999999</v>
      </c>
      <c r="Q595">
        <v>-0.1089055</v>
      </c>
      <c r="R595">
        <v>3.3643310000000003E-2</v>
      </c>
      <c r="S595">
        <v>3.017029</v>
      </c>
      <c r="T595">
        <v>6.7442420000000003E-2</v>
      </c>
      <c r="U595">
        <v>0.30017090000000002</v>
      </c>
      <c r="V595">
        <v>-3.9163589999999998E-2</v>
      </c>
      <c r="W595">
        <v>-9.8374489999999995E-2</v>
      </c>
      <c r="X595">
        <v>0.99437850000000005</v>
      </c>
      <c r="Y595">
        <v>-0.1045614</v>
      </c>
      <c r="Z595">
        <v>-7.9355089999999897E-4</v>
      </c>
      <c r="AA595">
        <v>0.99451809999999996</v>
      </c>
      <c r="AB595">
        <v>39</v>
      </c>
      <c r="AC595">
        <v>3.017029</v>
      </c>
      <c r="AD595">
        <v>6.7442420000000003E-2</v>
      </c>
      <c r="AE595">
        <v>0.30017090000000002</v>
      </c>
      <c r="AF595">
        <v>-0.31691551088276798</v>
      </c>
      <c r="AG595">
        <v>6.7442420000000003E-2</v>
      </c>
      <c r="AH595">
        <v>3.0138083718591102</v>
      </c>
      <c r="AI595">
        <v>88.7250870370016</v>
      </c>
      <c r="AJ595">
        <v>96.002848446006297</v>
      </c>
      <c r="AK595">
        <v>3.03117548540853</v>
      </c>
      <c r="AL595">
        <v>95.645574263132801</v>
      </c>
      <c r="AM595">
        <v>92.255428152048694</v>
      </c>
      <c r="AN595">
        <v>0.99999996416334802</v>
      </c>
    </row>
    <row r="596" spans="1:40" x14ac:dyDescent="0.25">
      <c r="A596" t="str">
        <f>"20190305134919897"</f>
        <v>20190305134919897</v>
      </c>
      <c r="B596" t="str">
        <f>"1551764959891073"</f>
        <v>1551764959891073</v>
      </c>
      <c r="C596" t="s">
        <v>40</v>
      </c>
      <c r="D596">
        <v>4.2087139999999996</v>
      </c>
      <c r="E596">
        <v>0.47619739999999999</v>
      </c>
      <c r="F596" t="s">
        <v>47</v>
      </c>
      <c r="G596">
        <v>0</v>
      </c>
      <c r="H596">
        <v>0</v>
      </c>
      <c r="I596">
        <v>0</v>
      </c>
      <c r="J596">
        <v>-393.334</v>
      </c>
      <c r="K596">
        <v>1.1008709999999999</v>
      </c>
      <c r="L596">
        <v>367.58769999999998</v>
      </c>
      <c r="M596">
        <v>0.99992630000000005</v>
      </c>
      <c r="N596">
        <v>-1.0836810000000001E-2</v>
      </c>
      <c r="O596">
        <v>-5.4880340000000001E-3</v>
      </c>
      <c r="P596">
        <v>0.99350240000000001</v>
      </c>
      <c r="Q596">
        <v>-0.1086023</v>
      </c>
      <c r="R596">
        <v>3.4036200000000003E-2</v>
      </c>
      <c r="S596">
        <v>3.0166629999999999</v>
      </c>
      <c r="T596">
        <v>6.6267610000000005E-2</v>
      </c>
      <c r="U596">
        <v>0.30249019999999999</v>
      </c>
      <c r="V596">
        <v>-3.9442060000000001E-2</v>
      </c>
      <c r="W596">
        <v>-9.7850350000000003E-2</v>
      </c>
      <c r="X596">
        <v>0.99441919999999995</v>
      </c>
      <c r="Y596">
        <v>-0.1052167</v>
      </c>
      <c r="Z596">
        <v>-7.6060560000000001E-4</v>
      </c>
      <c r="AA596">
        <v>0.99444900000000003</v>
      </c>
      <c r="AB596">
        <v>39</v>
      </c>
      <c r="AC596">
        <v>3.0166629999999999</v>
      </c>
      <c r="AD596">
        <v>6.6267610000000005E-2</v>
      </c>
      <c r="AE596">
        <v>0.30249019999999999</v>
      </c>
      <c r="AF596">
        <v>-0.31888981332114902</v>
      </c>
      <c r="AG596">
        <v>6.6267610000000005E-2</v>
      </c>
      <c r="AH596">
        <v>3.0135176723168802</v>
      </c>
      <c r="AI596">
        <v>88.747254303313994</v>
      </c>
      <c r="AJ596">
        <v>96.040547402351194</v>
      </c>
      <c r="AK596">
        <v>3.03106761233418</v>
      </c>
      <c r="AL596">
        <v>95.615397704701707</v>
      </c>
      <c r="AM596">
        <v>92.271355609832298</v>
      </c>
      <c r="AN596">
        <v>0.99999995621040205</v>
      </c>
    </row>
    <row r="597" spans="1:40" x14ac:dyDescent="0.25">
      <c r="A597" t="str">
        <f>"20190305134919910"</f>
        <v>20190305134919910</v>
      </c>
      <c r="B597" t="str">
        <f>"1551764959901811"</f>
        <v>1551764959901811</v>
      </c>
      <c r="C597" t="s">
        <v>40</v>
      </c>
      <c r="D597">
        <v>4.1878270000000004</v>
      </c>
      <c r="E597">
        <v>0.47603299999999998</v>
      </c>
      <c r="F597" t="s">
        <v>47</v>
      </c>
      <c r="G597">
        <v>0</v>
      </c>
      <c r="H597">
        <v>0</v>
      </c>
      <c r="I597">
        <v>0</v>
      </c>
      <c r="J597">
        <v>-393.11579999999998</v>
      </c>
      <c r="K597">
        <v>1.10171</v>
      </c>
      <c r="L597">
        <v>367.58659999999998</v>
      </c>
      <c r="M597">
        <v>0.99992449999999999</v>
      </c>
      <c r="N597">
        <v>-1.105652E-2</v>
      </c>
      <c r="O597">
        <v>-5.3717549999999998E-3</v>
      </c>
      <c r="P597">
        <v>0.99346860000000003</v>
      </c>
      <c r="Q597">
        <v>-0.1088012</v>
      </c>
      <c r="R597">
        <v>3.4389210000000003E-2</v>
      </c>
      <c r="S597">
        <v>3.0163570000000002</v>
      </c>
      <c r="T597">
        <v>6.5932989999999997E-2</v>
      </c>
      <c r="U597">
        <v>0.30526730000000002</v>
      </c>
      <c r="V597">
        <v>-3.967971E-2</v>
      </c>
      <c r="W597">
        <v>-9.7831210000000002E-2</v>
      </c>
      <c r="X597">
        <v>0.99441159999999995</v>
      </c>
      <c r="Y597">
        <v>-0.1060178</v>
      </c>
      <c r="Z597">
        <v>-7.443075E-4</v>
      </c>
      <c r="AA597">
        <v>0.99436400000000003</v>
      </c>
      <c r="AB597">
        <v>38</v>
      </c>
      <c r="AC597">
        <v>3.0163570000000002</v>
      </c>
      <c r="AD597">
        <v>6.5932989999999997E-2</v>
      </c>
      <c r="AE597">
        <v>0.30526730000000002</v>
      </c>
      <c r="AF597">
        <v>-0.32131504976230102</v>
      </c>
      <c r="AG597">
        <v>6.5932989999999997E-2</v>
      </c>
      <c r="AH597">
        <v>3.0132484398774002</v>
      </c>
      <c r="AI597">
        <v>88.753573328345993</v>
      </c>
      <c r="AJ597">
        <v>96.086683475481294</v>
      </c>
      <c r="AK597">
        <v>3.0310487757206501</v>
      </c>
      <c r="AL597">
        <v>95.614295937472406</v>
      </c>
      <c r="AM597">
        <v>92.285044176597097</v>
      </c>
      <c r="AN597">
        <v>0.999999927625151</v>
      </c>
    </row>
    <row r="598" spans="1:40" x14ac:dyDescent="0.25">
      <c r="A598" t="str">
        <f>"20190305134919926"</f>
        <v>20190305134919926</v>
      </c>
      <c r="B598" t="str">
        <f>"1551764959921329"</f>
        <v>1551764959921329</v>
      </c>
      <c r="C598" t="s">
        <v>40</v>
      </c>
      <c r="D598">
        <v>4.1988880000000002</v>
      </c>
      <c r="E598">
        <v>0.47571530000000001</v>
      </c>
      <c r="F598" t="s">
        <v>47</v>
      </c>
      <c r="G598">
        <v>0</v>
      </c>
      <c r="H598">
        <v>0</v>
      </c>
      <c r="I598">
        <v>0</v>
      </c>
      <c r="J598">
        <v>-392.84339999999997</v>
      </c>
      <c r="K598">
        <v>1.102635</v>
      </c>
      <c r="L598">
        <v>367.58530000000002</v>
      </c>
      <c r="M598">
        <v>0.99992239999999999</v>
      </c>
      <c r="N598">
        <v>-1.1315510000000001E-2</v>
      </c>
      <c r="O598">
        <v>-5.2262719999999997E-3</v>
      </c>
      <c r="P598">
        <v>0.99341069999999998</v>
      </c>
      <c r="Q598">
        <v>-0.1091601</v>
      </c>
      <c r="R598">
        <v>3.4923620000000002E-2</v>
      </c>
      <c r="S598">
        <v>3.0161129999999998</v>
      </c>
      <c r="T598">
        <v>6.4195989999999994E-2</v>
      </c>
      <c r="U598">
        <v>0.307403599999999</v>
      </c>
      <c r="V598">
        <v>-4.0069059999999997E-2</v>
      </c>
      <c r="W598">
        <v>-9.7933279999999998E-2</v>
      </c>
      <c r="X598">
        <v>0.99438599999999999</v>
      </c>
      <c r="Y598">
        <v>-0.1065796</v>
      </c>
      <c r="Z598">
        <v>-6.9648910000000004E-4</v>
      </c>
      <c r="AA598">
        <v>0.99430390000000002</v>
      </c>
      <c r="AB598">
        <v>38</v>
      </c>
      <c r="AC598">
        <v>3.0161129999999998</v>
      </c>
      <c r="AD598">
        <v>6.4195989999999994E-2</v>
      </c>
      <c r="AE598">
        <v>0.307403599999999</v>
      </c>
      <c r="AF598">
        <v>-0.32301860563900597</v>
      </c>
      <c r="AG598">
        <v>6.4195989999999994E-2</v>
      </c>
      <c r="AH598">
        <v>3.0131141485532398</v>
      </c>
      <c r="AI598">
        <v>88.786419447359094</v>
      </c>
      <c r="AJ598">
        <v>96.118980481287394</v>
      </c>
      <c r="AK598">
        <v>3.0310590586349102</v>
      </c>
      <c r="AL598">
        <v>95.6201720020849</v>
      </c>
      <c r="AM598">
        <v>92.307500982504806</v>
      </c>
      <c r="AN598">
        <v>0.99999998694842096</v>
      </c>
    </row>
    <row r="599" spans="1:40" x14ac:dyDescent="0.25">
      <c r="A599" t="str">
        <f>"20190305134919938"</f>
        <v>20190305134919938</v>
      </c>
      <c r="B599" t="str">
        <f>"1551764959931090"</f>
        <v>1551764959931090</v>
      </c>
      <c r="C599" t="s">
        <v>40</v>
      </c>
      <c r="D599">
        <v>4.1774950000000004</v>
      </c>
      <c r="E599">
        <v>0.47556159999999997</v>
      </c>
      <c r="F599" t="s">
        <v>47</v>
      </c>
      <c r="G599">
        <v>0</v>
      </c>
      <c r="H599">
        <v>0</v>
      </c>
      <c r="I599">
        <v>0</v>
      </c>
      <c r="J599">
        <v>-392.63260000000002</v>
      </c>
      <c r="K599">
        <v>1.1032919999999999</v>
      </c>
      <c r="L599">
        <v>367.58429999999998</v>
      </c>
      <c r="M599">
        <v>0.99992080000000005</v>
      </c>
      <c r="N599">
        <v>-1.150676E-2</v>
      </c>
      <c r="O599">
        <v>-5.1134709999999996E-3</v>
      </c>
      <c r="P599">
        <v>0.99335220000000002</v>
      </c>
      <c r="Q599">
        <v>-0.10964019999999999</v>
      </c>
      <c r="R599">
        <v>3.5083639999999999E-2</v>
      </c>
      <c r="S599">
        <v>3.015625</v>
      </c>
      <c r="T599">
        <v>6.0953380000000001E-2</v>
      </c>
      <c r="U599">
        <v>0.31167600000000001</v>
      </c>
      <c r="V599">
        <v>-4.011675E-2</v>
      </c>
      <c r="W599">
        <v>-9.8223870000000005E-2</v>
      </c>
      <c r="X599">
        <v>0.9943554</v>
      </c>
      <c r="Y599">
        <v>-0.10787960000000001</v>
      </c>
      <c r="Z599">
        <v>-6.2663430000000004E-4</v>
      </c>
      <c r="AA599">
        <v>0.99416380000000004</v>
      </c>
      <c r="AB599">
        <v>38</v>
      </c>
      <c r="AC599">
        <v>3.015625</v>
      </c>
      <c r="AD599">
        <v>6.0953380000000001E-2</v>
      </c>
      <c r="AE599">
        <v>0.31167600000000001</v>
      </c>
      <c r="AF599">
        <v>-0.326961088544519</v>
      </c>
      <c r="AG599">
        <v>6.0953380000000001E-2</v>
      </c>
      <c r="AH599">
        <v>3.0127738697398598</v>
      </c>
      <c r="AI599">
        <v>88.847733883375199</v>
      </c>
      <c r="AJ599">
        <v>96.193780568976507</v>
      </c>
      <c r="AK599">
        <v>3.0310765840115099</v>
      </c>
      <c r="AL599">
        <v>95.6369023300539</v>
      </c>
      <c r="AM599">
        <v>92.310315402679606</v>
      </c>
      <c r="AN599">
        <v>0.99999997188874901</v>
      </c>
    </row>
    <row r="600" spans="1:40" x14ac:dyDescent="0.25">
      <c r="A600" t="str">
        <f>"20190305134919951"</f>
        <v>20190305134919951</v>
      </c>
      <c r="B600" t="str">
        <f>"1551764959941825"</f>
        <v>1551764959941825</v>
      </c>
      <c r="C600" t="s">
        <v>40</v>
      </c>
      <c r="D600">
        <v>4.2096580000000001</v>
      </c>
      <c r="E600">
        <v>0.4754139</v>
      </c>
      <c r="F600" t="s">
        <v>47</v>
      </c>
      <c r="G600">
        <v>0</v>
      </c>
      <c r="H600">
        <v>0</v>
      </c>
      <c r="I600">
        <v>0</v>
      </c>
      <c r="J600">
        <v>-392.41180000000003</v>
      </c>
      <c r="K600">
        <v>1.103939</v>
      </c>
      <c r="L600">
        <v>367.58330000000001</v>
      </c>
      <c r="M600">
        <v>0.99991909999999895</v>
      </c>
      <c r="N600">
        <v>-1.1701309999999999E-2</v>
      </c>
      <c r="O600">
        <v>-4.9955820000000001E-3</v>
      </c>
      <c r="P600">
        <v>0.99330759999999996</v>
      </c>
      <c r="Q600">
        <v>-0.109967</v>
      </c>
      <c r="R600">
        <v>3.531985E-2</v>
      </c>
      <c r="S600">
        <v>3.0155029999999998</v>
      </c>
      <c r="T600">
        <v>5.8658960000000003E-2</v>
      </c>
      <c r="U600">
        <v>0.31301879999999999</v>
      </c>
      <c r="V600">
        <v>-4.0235699999999999E-2</v>
      </c>
      <c r="W600">
        <v>-9.8357700000000006E-2</v>
      </c>
      <c r="X600">
        <v>0.99433740000000004</v>
      </c>
      <c r="Y600">
        <v>-0.108206</v>
      </c>
      <c r="Z600">
        <v>-5.699015E-4</v>
      </c>
      <c r="AA600">
        <v>0.99412829999999996</v>
      </c>
      <c r="AB600">
        <v>38</v>
      </c>
      <c r="AC600">
        <v>3.0155029999999998</v>
      </c>
      <c r="AD600">
        <v>5.8658960000000003E-2</v>
      </c>
      <c r="AE600">
        <v>0.31301879999999999</v>
      </c>
      <c r="AF600">
        <v>-0.32795734132079302</v>
      </c>
      <c r="AG600">
        <v>5.8658960000000003E-2</v>
      </c>
      <c r="AH600">
        <v>3.0127736738351798</v>
      </c>
      <c r="AI600">
        <v>88.891135993967495</v>
      </c>
      <c r="AJ600">
        <v>96.212506112452999</v>
      </c>
      <c r="AK600">
        <v>3.0311387465882902</v>
      </c>
      <c r="AL600">
        <v>95.644607336974701</v>
      </c>
      <c r="AM600">
        <v>92.317200153504203</v>
      </c>
      <c r="AN600">
        <v>1.00000000687127</v>
      </c>
    </row>
    <row r="601" spans="1:40" x14ac:dyDescent="0.25">
      <c r="A601" t="str">
        <f>"20190305134919964"</f>
        <v>20190305134919964</v>
      </c>
      <c r="B601" t="str">
        <f>"1551764959961345"</f>
        <v>1551764959961345</v>
      </c>
      <c r="C601" t="s">
        <v>40</v>
      </c>
      <c r="D601">
        <v>4.2184400000000002</v>
      </c>
      <c r="E601">
        <v>0.4751127</v>
      </c>
      <c r="F601" t="s">
        <v>47</v>
      </c>
      <c r="G601">
        <v>0</v>
      </c>
      <c r="H601">
        <v>0</v>
      </c>
      <c r="I601">
        <v>0</v>
      </c>
      <c r="J601">
        <v>-392.1891</v>
      </c>
      <c r="K601">
        <v>1.1045119999999999</v>
      </c>
      <c r="L601">
        <v>367.58229999999998</v>
      </c>
      <c r="M601">
        <v>0.99991759999999996</v>
      </c>
      <c r="N601">
        <v>-1.188524E-2</v>
      </c>
      <c r="O601">
        <v>-4.8766979999999996E-3</v>
      </c>
      <c r="P601">
        <v>0.99330499999999999</v>
      </c>
      <c r="Q601">
        <v>-0.10991140000000001</v>
      </c>
      <c r="R601">
        <v>3.5562209999999997E-2</v>
      </c>
      <c r="S601">
        <v>3.0152890000000001</v>
      </c>
      <c r="T601">
        <v>5.6550740000000002E-2</v>
      </c>
      <c r="U601">
        <v>0.3150635</v>
      </c>
      <c r="V601">
        <v>-4.0359440000000003E-2</v>
      </c>
      <c r="W601">
        <v>-9.8119300000000007E-2</v>
      </c>
      <c r="X601">
        <v>0.99435589999999996</v>
      </c>
      <c r="Y601">
        <v>-0.1087632</v>
      </c>
      <c r="Z601">
        <v>-5.179192E-4</v>
      </c>
      <c r="AA601">
        <v>0.99406749999999999</v>
      </c>
      <c r="AB601">
        <v>38</v>
      </c>
      <c r="AC601">
        <v>3.0152890000000001</v>
      </c>
      <c r="AD601">
        <v>5.6550740000000002E-2</v>
      </c>
      <c r="AE601">
        <v>0.3150635</v>
      </c>
      <c r="AF601">
        <v>-0.32965074543103201</v>
      </c>
      <c r="AG601">
        <v>5.6550740000000002E-2</v>
      </c>
      <c r="AH601">
        <v>3.01266833766398</v>
      </c>
      <c r="AI601">
        <v>88.931007329947093</v>
      </c>
      <c r="AJ601">
        <v>96.244548162266696</v>
      </c>
      <c r="AK601">
        <v>3.0311776775571699</v>
      </c>
      <c r="AL601">
        <v>95.630881846513503</v>
      </c>
      <c r="AM601">
        <v>92.324275420260406</v>
      </c>
      <c r="AN601">
        <v>0.99999996864720597</v>
      </c>
    </row>
    <row r="602" spans="1:40" x14ac:dyDescent="0.25">
      <c r="A602" t="str">
        <f>"20190305134919981"</f>
        <v>20190305134919981</v>
      </c>
      <c r="B602" t="str">
        <f>"1551764959971105"</f>
        <v>1551764959971105</v>
      </c>
      <c r="C602" t="s">
        <v>40</v>
      </c>
      <c r="D602">
        <v>4.1759680000000001</v>
      </c>
      <c r="E602">
        <v>0.47495969999999998</v>
      </c>
      <c r="F602" t="s">
        <v>47</v>
      </c>
      <c r="G602">
        <v>0</v>
      </c>
      <c r="H602">
        <v>0</v>
      </c>
      <c r="I602">
        <v>0</v>
      </c>
      <c r="J602">
        <v>-391.89179999999999</v>
      </c>
      <c r="K602">
        <v>1.10521</v>
      </c>
      <c r="L602">
        <v>367.58089999999999</v>
      </c>
      <c r="M602">
        <v>0.99991560000000002</v>
      </c>
      <c r="N602">
        <v>-1.211775E-2</v>
      </c>
      <c r="O602">
        <v>-4.7179420000000001E-3</v>
      </c>
      <c r="P602">
        <v>0.99323450000000002</v>
      </c>
      <c r="Q602">
        <v>-0.1102601</v>
      </c>
      <c r="R602">
        <v>3.645027E-2</v>
      </c>
      <c r="S602">
        <v>3.0148929999999998</v>
      </c>
      <c r="T602">
        <v>5.4808019999999999E-2</v>
      </c>
      <c r="U602">
        <v>0.3180847</v>
      </c>
      <c r="V602">
        <v>-4.1090090000000003E-2</v>
      </c>
      <c r="W602">
        <v>-9.8237809999999995E-2</v>
      </c>
      <c r="X602">
        <v>0.99431429999999998</v>
      </c>
      <c r="Y602">
        <v>-0.1096052</v>
      </c>
      <c r="Z602">
        <v>-4.6999150000000001E-4</v>
      </c>
      <c r="AA602">
        <v>0.9939751</v>
      </c>
      <c r="AB602">
        <v>38</v>
      </c>
      <c r="AC602">
        <v>3.0148929999999998</v>
      </c>
      <c r="AD602">
        <v>5.4808019999999999E-2</v>
      </c>
      <c r="AE602">
        <v>0.3180847</v>
      </c>
      <c r="AF602">
        <v>-0.33219771599335701</v>
      </c>
      <c r="AG602">
        <v>5.4808019999999999E-2</v>
      </c>
      <c r="AH602">
        <v>3.0123740573392399</v>
      </c>
      <c r="AI602">
        <v>88.963938178578999</v>
      </c>
      <c r="AJ602">
        <v>96.293019458664602</v>
      </c>
      <c r="AK602">
        <v>3.03113125794611</v>
      </c>
      <c r="AL602">
        <v>95.637704784118696</v>
      </c>
      <c r="AM602">
        <v>92.366404588297101</v>
      </c>
      <c r="AN602">
        <v>0.99999999499714698</v>
      </c>
    </row>
    <row r="603" spans="1:40" x14ac:dyDescent="0.25">
      <c r="A603" t="str">
        <f>"20190305134920004"</f>
        <v>20190305134920004</v>
      </c>
      <c r="B603" t="str">
        <f>"1551764960001360"</f>
        <v>1551764960001360</v>
      </c>
      <c r="C603" t="s">
        <v>40</v>
      </c>
      <c r="D603">
        <v>4.2858000000000001</v>
      </c>
      <c r="E603">
        <v>0.47501569999999999</v>
      </c>
      <c r="F603" t="s">
        <v>47</v>
      </c>
      <c r="G603">
        <v>0</v>
      </c>
      <c r="H603">
        <v>0</v>
      </c>
      <c r="I603">
        <v>0</v>
      </c>
      <c r="J603">
        <v>-391.51400000000001</v>
      </c>
      <c r="K603">
        <v>1.105979</v>
      </c>
      <c r="L603">
        <v>367.57929999999999</v>
      </c>
      <c r="M603">
        <v>0.99991300000000005</v>
      </c>
      <c r="N603">
        <v>-1.239353E-2</v>
      </c>
      <c r="O603">
        <v>-4.5163180000000001E-3</v>
      </c>
      <c r="P603">
        <v>0.99303680000000005</v>
      </c>
      <c r="Q603">
        <v>-0.111790899999999</v>
      </c>
      <c r="R603">
        <v>3.7160569999999997E-2</v>
      </c>
      <c r="S603">
        <v>3.014465</v>
      </c>
      <c r="T603">
        <v>5.2912710000000002E-2</v>
      </c>
      <c r="U603">
        <v>0.32226559999999999</v>
      </c>
      <c r="V603">
        <v>-4.1598339999999998E-2</v>
      </c>
      <c r="W603">
        <v>-9.9496879999999996E-2</v>
      </c>
      <c r="X603">
        <v>0.99416800000000005</v>
      </c>
      <c r="Y603">
        <v>-0.1107838</v>
      </c>
      <c r="Z603">
        <v>-4.1581499999999999E-4</v>
      </c>
      <c r="AA603">
        <v>0.99384439999999996</v>
      </c>
      <c r="AB603">
        <v>38</v>
      </c>
      <c r="AC603">
        <v>3.014465</v>
      </c>
      <c r="AD603">
        <v>5.2912710000000002E-2</v>
      </c>
      <c r="AE603">
        <v>0.32226559999999999</v>
      </c>
      <c r="AF603">
        <v>-0.33577535580291501</v>
      </c>
      <c r="AG603">
        <v>5.2912710000000002E-2</v>
      </c>
      <c r="AH603">
        <v>3.01206114005402</v>
      </c>
      <c r="AI603">
        <v>88.999786177387193</v>
      </c>
      <c r="AJ603">
        <v>96.360895689991096</v>
      </c>
      <c r="AK603">
        <v>3.0311808187351001</v>
      </c>
      <c r="AL603">
        <v>95.7101991550647</v>
      </c>
      <c r="AM603">
        <v>92.395993264234505</v>
      </c>
      <c r="AN603">
        <v>1.0000000316222399</v>
      </c>
    </row>
    <row r="604" spans="1:40" x14ac:dyDescent="0.25">
      <c r="A604" t="str">
        <f>"20190305134920016"</f>
        <v>20190305134920016</v>
      </c>
      <c r="B604" t="str">
        <f>"1551764960011121"</f>
        <v>1551764960011121</v>
      </c>
      <c r="C604" t="s">
        <v>40</v>
      </c>
      <c r="D604">
        <v>4.2667310000000001</v>
      </c>
      <c r="E604">
        <v>0.47533069999999999</v>
      </c>
      <c r="F604" t="s">
        <v>47</v>
      </c>
      <c r="G604">
        <v>0</v>
      </c>
      <c r="H604">
        <v>0</v>
      </c>
      <c r="I604">
        <v>0</v>
      </c>
      <c r="J604">
        <v>-391.3193</v>
      </c>
      <c r="K604">
        <v>1.1063270000000001</v>
      </c>
      <c r="L604">
        <v>367.57850000000002</v>
      </c>
      <c r="M604">
        <v>0.99991180000000002</v>
      </c>
      <c r="N604">
        <v>-1.2527460000000001E-2</v>
      </c>
      <c r="O604">
        <v>-4.4122199999999997E-3</v>
      </c>
      <c r="P604">
        <v>0.99292170000000002</v>
      </c>
      <c r="Q604">
        <v>-0.112692899999999</v>
      </c>
      <c r="R604">
        <v>3.7506829999999998E-2</v>
      </c>
      <c r="S604">
        <v>3.013855</v>
      </c>
      <c r="T604">
        <v>4.3817160000000001E-2</v>
      </c>
      <c r="U604">
        <v>0.32336429999999999</v>
      </c>
      <c r="V604">
        <v>-4.1840170000000003E-2</v>
      </c>
      <c r="W604">
        <v>-0.1002672</v>
      </c>
      <c r="X604">
        <v>0.99408039999999998</v>
      </c>
      <c r="Y604">
        <v>-0.1110635</v>
      </c>
      <c r="Z604">
        <v>-2.2637929999999999E-4</v>
      </c>
      <c r="AA604">
        <v>0.99381330000000001</v>
      </c>
      <c r="AB604">
        <v>38</v>
      </c>
      <c r="AC604">
        <v>3.013855</v>
      </c>
      <c r="AD604">
        <v>4.3817160000000001E-2</v>
      </c>
      <c r="AE604">
        <v>0.32336429999999999</v>
      </c>
      <c r="AF604">
        <v>-0.33658965137913399</v>
      </c>
      <c r="AG604">
        <v>4.3817160000000001E-2</v>
      </c>
      <c r="AH604">
        <v>3.0117694391119501</v>
      </c>
      <c r="AI604">
        <v>89.171639215511306</v>
      </c>
      <c r="AJ604">
        <v>96.376807202487797</v>
      </c>
      <c r="AK604">
        <v>3.0308361373216401</v>
      </c>
      <c r="AL604">
        <v>95.7545573794944</v>
      </c>
      <c r="AM604">
        <v>92.410117998474604</v>
      </c>
      <c r="AN604">
        <v>0.99999997644281402</v>
      </c>
    </row>
    <row r="605" spans="1:40" x14ac:dyDescent="0.25">
      <c r="A605" t="str">
        <f>"20190305134920026"</f>
        <v>20190305134920026</v>
      </c>
      <c r="B605" t="str">
        <f>"1551764960021856"</f>
        <v>1551764960021856</v>
      </c>
      <c r="C605" t="s">
        <v>40</v>
      </c>
      <c r="D605">
        <v>4.2350989999999999</v>
      </c>
      <c r="E605">
        <v>0.4757054</v>
      </c>
      <c r="F605" t="s">
        <v>47</v>
      </c>
      <c r="G605">
        <v>0</v>
      </c>
      <c r="H605">
        <v>0</v>
      </c>
      <c r="I605">
        <v>0</v>
      </c>
      <c r="J605">
        <v>-391.12009999999998</v>
      </c>
      <c r="K605">
        <v>1.106654</v>
      </c>
      <c r="L605">
        <v>367.57769999999999</v>
      </c>
      <c r="M605">
        <v>0.99991070000000004</v>
      </c>
      <c r="N605">
        <v>-1.265938E-2</v>
      </c>
      <c r="O605">
        <v>-4.3060920000000001E-3</v>
      </c>
      <c r="P605">
        <v>0.99286269999999999</v>
      </c>
      <c r="Q605">
        <v>-0.1132407</v>
      </c>
      <c r="R605">
        <v>3.7423150000000002E-2</v>
      </c>
      <c r="S605">
        <v>3.0136720000000001</v>
      </c>
      <c r="T605">
        <v>3.9320470000000003E-2</v>
      </c>
      <c r="U605">
        <v>0.3215942</v>
      </c>
      <c r="V605">
        <v>-4.1651170000000001E-2</v>
      </c>
      <c r="W605">
        <v>-0.10068439999999999</v>
      </c>
      <c r="X605">
        <v>0.99404619999999999</v>
      </c>
      <c r="Y605">
        <v>-0.1103888</v>
      </c>
      <c r="Z605">
        <v>-1.2771669999999999E-4</v>
      </c>
      <c r="AA605">
        <v>0.99388849999999995</v>
      </c>
      <c r="AB605">
        <v>38</v>
      </c>
      <c r="AC605">
        <v>3.0136720000000001</v>
      </c>
      <c r="AD605">
        <v>3.9320470000000003E-2</v>
      </c>
      <c r="AE605">
        <v>0.3215942</v>
      </c>
      <c r="AF605">
        <v>-0.33451310121776101</v>
      </c>
      <c r="AG605">
        <v>3.9320470000000003E-2</v>
      </c>
      <c r="AH605">
        <v>3.0117522009585</v>
      </c>
      <c r="AI605">
        <v>89.256578184616103</v>
      </c>
      <c r="AJ605">
        <v>96.337823329015507</v>
      </c>
      <c r="AK605">
        <v>3.0305274184909901</v>
      </c>
      <c r="AL605">
        <v>95.778582576567004</v>
      </c>
      <c r="AM605">
        <v>92.399326237680498</v>
      </c>
      <c r="AN605">
        <v>1.0000000080500799</v>
      </c>
    </row>
    <row r="606" spans="1:40" x14ac:dyDescent="0.25">
      <c r="A606" t="str">
        <f>"20190305134920038"</f>
        <v>20190305134920038</v>
      </c>
      <c r="B606" t="str">
        <f>"1551764960031617"</f>
        <v>1551764960031617</v>
      </c>
      <c r="C606" t="s">
        <v>40</v>
      </c>
      <c r="D606">
        <v>4.1921439999999999</v>
      </c>
      <c r="E606">
        <v>0.47608719999999999</v>
      </c>
      <c r="F606" t="s">
        <v>47</v>
      </c>
      <c r="G606">
        <v>0</v>
      </c>
      <c r="H606">
        <v>0</v>
      </c>
      <c r="I606">
        <v>0</v>
      </c>
      <c r="J606">
        <v>-390.92270000000002</v>
      </c>
      <c r="K606">
        <v>1.1069469999999999</v>
      </c>
      <c r="L606">
        <v>367.577</v>
      </c>
      <c r="M606">
        <v>0.99990959999999995</v>
      </c>
      <c r="N606">
        <v>-1.27825E-2</v>
      </c>
      <c r="O606">
        <v>-4.2005159999999996E-3</v>
      </c>
      <c r="P606">
        <v>0.99278560000000005</v>
      </c>
      <c r="Q606">
        <v>-0.1138622</v>
      </c>
      <c r="R606">
        <v>3.7582360000000002E-2</v>
      </c>
      <c r="S606">
        <v>3.0136409999999998</v>
      </c>
      <c r="T606">
        <v>3.5922410000000002E-2</v>
      </c>
      <c r="U606">
        <v>0.31826779999999999</v>
      </c>
      <c r="V606">
        <v>-4.1704980000000003E-2</v>
      </c>
      <c r="W606">
        <v>-0.10118439999999999</v>
      </c>
      <c r="X606">
        <v>0.99399320000000002</v>
      </c>
      <c r="Y606">
        <v>-0.10920100000000001</v>
      </c>
      <c r="Z606" s="1">
        <v>-5.2585849999999997E-5</v>
      </c>
      <c r="AA606">
        <v>0.99401969999999995</v>
      </c>
      <c r="AB606">
        <v>38</v>
      </c>
      <c r="AC606">
        <v>3.0136409999999998</v>
      </c>
      <c r="AD606">
        <v>3.5922410000000002E-2</v>
      </c>
      <c r="AE606">
        <v>0.31826779999999999</v>
      </c>
      <c r="AF606">
        <v>-0.33087837745726401</v>
      </c>
      <c r="AG606">
        <v>3.5922410000000002E-2</v>
      </c>
      <c r="AH606">
        <v>3.0118541919433901</v>
      </c>
      <c r="AI606">
        <v>89.320751385690599</v>
      </c>
      <c r="AJ606">
        <v>96.269299099559902</v>
      </c>
      <c r="AK606">
        <v>3.0301875509175802</v>
      </c>
      <c r="AL606">
        <v>95.807377363299693</v>
      </c>
      <c r="AM606">
        <v>92.402550294585296</v>
      </c>
      <c r="AN606">
        <v>1.0000000349031899</v>
      </c>
    </row>
    <row r="607" spans="1:40" x14ac:dyDescent="0.25">
      <c r="A607" t="str">
        <f>"20190305134920049"</f>
        <v>20190305134920049</v>
      </c>
      <c r="B607" t="str">
        <f>"1551764960041377"</f>
        <v>1551764960041377</v>
      </c>
      <c r="C607" t="s">
        <v>40</v>
      </c>
      <c r="D607">
        <v>4.2467980000000001</v>
      </c>
      <c r="E607">
        <v>0.47646159999999999</v>
      </c>
      <c r="F607" t="s">
        <v>47</v>
      </c>
      <c r="G607">
        <v>0</v>
      </c>
      <c r="H607">
        <v>0</v>
      </c>
      <c r="I607">
        <v>0</v>
      </c>
      <c r="J607">
        <v>-390.73649999999998</v>
      </c>
      <c r="K607">
        <v>1.107208</v>
      </c>
      <c r="L607">
        <v>367.5763</v>
      </c>
      <c r="M607">
        <v>0.99990860000000004</v>
      </c>
      <c r="N607">
        <v>-1.289625E-2</v>
      </c>
      <c r="O607">
        <v>-4.1012069999999999E-3</v>
      </c>
      <c r="P607">
        <v>0.99273990000000001</v>
      </c>
      <c r="Q607">
        <v>-0.11420950000000001</v>
      </c>
      <c r="R607">
        <v>3.773721E-2</v>
      </c>
      <c r="S607">
        <v>3.01355</v>
      </c>
      <c r="T607">
        <v>3.2300229999999999E-2</v>
      </c>
      <c r="U607">
        <v>0.31573489999999999</v>
      </c>
      <c r="V607">
        <v>-4.1761329999999999E-2</v>
      </c>
      <c r="W607">
        <v>-0.1014192</v>
      </c>
      <c r="X607">
        <v>0.99396689999999999</v>
      </c>
      <c r="Y607">
        <v>-0.1082799</v>
      </c>
      <c r="Z607" s="1">
        <v>2.4861770000000001E-5</v>
      </c>
      <c r="AA607">
        <v>0.99412040000000002</v>
      </c>
      <c r="AB607">
        <v>38</v>
      </c>
      <c r="AC607">
        <v>3.01355</v>
      </c>
      <c r="AD607">
        <v>3.2300229999999999E-2</v>
      </c>
      <c r="AE607">
        <v>0.31573489999999999</v>
      </c>
      <c r="AF607">
        <v>-0.32805518371918202</v>
      </c>
      <c r="AG607">
        <v>3.2300229999999999E-2</v>
      </c>
      <c r="AH607">
        <v>3.01188739363071</v>
      </c>
      <c r="AI607">
        <v>89.389181647285</v>
      </c>
      <c r="AJ607">
        <v>96.216159368936005</v>
      </c>
      <c r="AK607">
        <v>3.0298727993654602</v>
      </c>
      <c r="AL607">
        <v>95.820900001113102</v>
      </c>
      <c r="AM607">
        <v>92.4058562885849</v>
      </c>
      <c r="AN607">
        <v>1.0000000305537999</v>
      </c>
    </row>
    <row r="608" spans="1:40" x14ac:dyDescent="0.25">
      <c r="A608" t="str">
        <f>"20190305134920060"</f>
        <v>20190305134920060</v>
      </c>
      <c r="B608" t="str">
        <f>"1551764960051137"</f>
        <v>1551764960051137</v>
      </c>
      <c r="C608" t="s">
        <v>40</v>
      </c>
      <c r="D608">
        <v>4.200469</v>
      </c>
      <c r="E608">
        <v>0.47681079999999998</v>
      </c>
      <c r="F608" t="s">
        <v>47</v>
      </c>
      <c r="G608">
        <v>0</v>
      </c>
      <c r="H608">
        <v>0</v>
      </c>
      <c r="I608">
        <v>0</v>
      </c>
      <c r="J608">
        <v>-390.54950000000002</v>
      </c>
      <c r="K608">
        <v>1.107434</v>
      </c>
      <c r="L608">
        <v>367.57560000000001</v>
      </c>
      <c r="M608">
        <v>0.99990749999999995</v>
      </c>
      <c r="N608">
        <v>-1.3000940000000001E-2</v>
      </c>
      <c r="O608">
        <v>-4.0010130000000003E-3</v>
      </c>
      <c r="P608">
        <v>0.99267859999999997</v>
      </c>
      <c r="Q608">
        <v>-0.1147334</v>
      </c>
      <c r="R608">
        <v>3.7759090000000002E-2</v>
      </c>
      <c r="S608">
        <v>3.0133969999999999</v>
      </c>
      <c r="T608">
        <v>2.9649729999999999E-2</v>
      </c>
      <c r="U608">
        <v>0.31332399999999999</v>
      </c>
      <c r="V608">
        <v>-4.168322E-2</v>
      </c>
      <c r="W608">
        <v>-0.10183970000000001</v>
      </c>
      <c r="X608">
        <v>0.99392720000000001</v>
      </c>
      <c r="Y608">
        <v>-0.1073992</v>
      </c>
      <c r="Z608" s="1">
        <v>8.1975939999999998E-5</v>
      </c>
      <c r="AA608">
        <v>0.99421599999999999</v>
      </c>
      <c r="AB608">
        <v>38</v>
      </c>
      <c r="AC608">
        <v>3.0133969999999999</v>
      </c>
      <c r="AD608">
        <v>2.9649729999999999E-2</v>
      </c>
      <c r="AE608">
        <v>0.31332399999999999</v>
      </c>
      <c r="AF608">
        <v>-0.325347990415224</v>
      </c>
      <c r="AG608">
        <v>2.9649729999999999E-2</v>
      </c>
      <c r="AH608">
        <v>3.0118306946607101</v>
      </c>
      <c r="AI608">
        <v>89.4392365186809</v>
      </c>
      <c r="AJ608">
        <v>96.165373914859401</v>
      </c>
      <c r="AK608">
        <v>3.0294974095807898</v>
      </c>
      <c r="AL608">
        <v>95.845118173081502</v>
      </c>
      <c r="AM608">
        <v>92.401457474505094</v>
      </c>
      <c r="AN608">
        <v>1.0000000471127399</v>
      </c>
    </row>
    <row r="609" spans="1:40" x14ac:dyDescent="0.25">
      <c r="A609" t="str">
        <f>"20190305134920071"</f>
        <v>20190305134920071</v>
      </c>
      <c r="B609" t="str">
        <f>"1551764960061873"</f>
        <v>1551764960061873</v>
      </c>
      <c r="C609" t="s">
        <v>40</v>
      </c>
      <c r="D609">
        <v>4.1962320000000002</v>
      </c>
      <c r="E609">
        <v>0.47717100000000001</v>
      </c>
      <c r="F609" t="s">
        <v>47</v>
      </c>
      <c r="G609">
        <v>0</v>
      </c>
      <c r="H609">
        <v>0</v>
      </c>
      <c r="I609">
        <v>0</v>
      </c>
      <c r="J609">
        <v>-390.35559999999998</v>
      </c>
      <c r="K609">
        <v>1.1076539999999999</v>
      </c>
      <c r="L609">
        <v>367.57490000000001</v>
      </c>
      <c r="M609">
        <v>0.99990659999999998</v>
      </c>
      <c r="N609">
        <v>-1.3107399999999899E-2</v>
      </c>
      <c r="O609">
        <v>-3.8974980000000001E-3</v>
      </c>
      <c r="P609">
        <v>0.99263939999999995</v>
      </c>
      <c r="Q609">
        <v>-0.1150052</v>
      </c>
      <c r="R609">
        <v>3.7962370000000002E-2</v>
      </c>
      <c r="S609">
        <v>3.013458</v>
      </c>
      <c r="T609">
        <v>2.6531099999999998E-2</v>
      </c>
      <c r="U609">
        <v>0.31018069999999998</v>
      </c>
      <c r="V609">
        <v>-4.1783920000000002E-2</v>
      </c>
      <c r="W609">
        <v>-0.1020061</v>
      </c>
      <c r="X609">
        <v>0.99390579999999995</v>
      </c>
      <c r="Y609">
        <v>-0.1062685</v>
      </c>
      <c r="Z609">
        <v>1.4657289999999999E-4</v>
      </c>
      <c r="AA609">
        <v>0.99433740000000004</v>
      </c>
      <c r="AB609">
        <v>38</v>
      </c>
      <c r="AC609">
        <v>3.013458</v>
      </c>
      <c r="AD609">
        <v>2.6531099999999998E-2</v>
      </c>
      <c r="AE609">
        <v>0.31018069999999998</v>
      </c>
      <c r="AF609">
        <v>-0.32189960792729</v>
      </c>
      <c r="AG609">
        <v>2.6531099999999998E-2</v>
      </c>
      <c r="AH609">
        <v>3.0119950514985701</v>
      </c>
      <c r="AI609">
        <v>89.4981818244907</v>
      </c>
      <c r="AJ609">
        <v>96.100191746101501</v>
      </c>
      <c r="AK609">
        <v>3.0292635156259999</v>
      </c>
      <c r="AL609">
        <v>95.854702730799005</v>
      </c>
      <c r="AM609">
        <v>92.407303965490897</v>
      </c>
      <c r="AN609">
        <v>0.99999993984070601</v>
      </c>
    </row>
    <row r="610" spans="1:40" x14ac:dyDescent="0.25">
      <c r="A610" t="str">
        <f>"20190305134920082"</f>
        <v>20190305134920082</v>
      </c>
      <c r="B610" t="str">
        <f>"1551764960071634"</f>
        <v>1551764960071634</v>
      </c>
      <c r="C610" t="s">
        <v>40</v>
      </c>
      <c r="D610">
        <v>4.2182399999999998</v>
      </c>
      <c r="E610">
        <v>0.4775315</v>
      </c>
      <c r="F610" t="s">
        <v>47</v>
      </c>
      <c r="G610">
        <v>0</v>
      </c>
      <c r="H610">
        <v>0</v>
      </c>
      <c r="I610">
        <v>0</v>
      </c>
      <c r="J610">
        <v>-390.16719999999998</v>
      </c>
      <c r="K610">
        <v>1.1078479999999999</v>
      </c>
      <c r="L610">
        <v>367.57429999999999</v>
      </c>
      <c r="M610">
        <v>0.99990559999999995</v>
      </c>
      <c r="N610">
        <v>-1.320292E-2</v>
      </c>
      <c r="O610">
        <v>-3.7966609999999998E-3</v>
      </c>
      <c r="P610">
        <v>0.99257399999999996</v>
      </c>
      <c r="Q610">
        <v>-0.11554639999999999</v>
      </c>
      <c r="R610">
        <v>3.8024490000000001E-2</v>
      </c>
      <c r="S610">
        <v>3.013245</v>
      </c>
      <c r="T610">
        <v>2.4121050000000002E-2</v>
      </c>
      <c r="U610">
        <v>0.30761719999999998</v>
      </c>
      <c r="V610">
        <v>-4.1745020000000001E-2</v>
      </c>
      <c r="W610">
        <v>-0.102453</v>
      </c>
      <c r="X610">
        <v>0.99386149999999995</v>
      </c>
      <c r="Y610">
        <v>-0.1053385</v>
      </c>
      <c r="Z610">
        <v>1.9638580000000001E-4</v>
      </c>
      <c r="AA610">
        <v>0.9944364</v>
      </c>
      <c r="AB610">
        <v>38</v>
      </c>
      <c r="AC610">
        <v>3.013245</v>
      </c>
      <c r="AD610">
        <v>2.4121050000000002E-2</v>
      </c>
      <c r="AE610">
        <v>0.30761719999999998</v>
      </c>
      <c r="AF610">
        <v>-0.31903601686557198</v>
      </c>
      <c r="AG610">
        <v>2.4121050000000002E-2</v>
      </c>
      <c r="AH610">
        <v>3.0118642486480698</v>
      </c>
      <c r="AI610">
        <v>89.543699070618203</v>
      </c>
      <c r="AJ610">
        <v>96.04658938115</v>
      </c>
      <c r="AK610">
        <v>3.0288103369796802</v>
      </c>
      <c r="AL610">
        <v>95.880442881363706</v>
      </c>
      <c r="AM610">
        <v>92.405172522778997</v>
      </c>
      <c r="AN610">
        <v>0.99999997254302397</v>
      </c>
    </row>
    <row r="611" spans="1:40" x14ac:dyDescent="0.25">
      <c r="A611" t="str">
        <f>"20190305134920093"</f>
        <v>20190305134920093</v>
      </c>
      <c r="B611" t="str">
        <f>"1551764960081393"</f>
        <v>1551764960081393</v>
      </c>
      <c r="C611" t="s">
        <v>40</v>
      </c>
      <c r="D611">
        <v>4.2055579999999999</v>
      </c>
      <c r="E611">
        <v>0.47787459999999998</v>
      </c>
      <c r="F611" t="s">
        <v>47</v>
      </c>
      <c r="G611">
        <v>0</v>
      </c>
      <c r="H611">
        <v>0</v>
      </c>
      <c r="I611">
        <v>0</v>
      </c>
      <c r="J611">
        <v>-389.99029999999999</v>
      </c>
      <c r="K611">
        <v>1.108025</v>
      </c>
      <c r="L611">
        <v>367.57369999999997</v>
      </c>
      <c r="M611">
        <v>0.99990489999999999</v>
      </c>
      <c r="N611">
        <v>-1.3289850000000001E-2</v>
      </c>
      <c r="O611">
        <v>-3.701972E-3</v>
      </c>
      <c r="P611">
        <v>0.9925697</v>
      </c>
      <c r="Q611">
        <v>-0.1155345</v>
      </c>
      <c r="R611">
        <v>3.8176059999999998E-2</v>
      </c>
      <c r="S611">
        <v>3.0131839999999999</v>
      </c>
      <c r="T611">
        <v>2.0998240000000001E-2</v>
      </c>
      <c r="U611">
        <v>0.30520629999999999</v>
      </c>
      <c r="V611">
        <v>-4.1802789999999999E-2</v>
      </c>
      <c r="W611">
        <v>-0.1023548</v>
      </c>
      <c r="X611">
        <v>0.99386920000000001</v>
      </c>
      <c r="Y611">
        <v>-0.104459</v>
      </c>
      <c r="Z611">
        <v>2.5806880000000003E-4</v>
      </c>
      <c r="AA611">
        <v>0.9945292</v>
      </c>
      <c r="AB611">
        <v>38</v>
      </c>
      <c r="AC611">
        <v>3.0131839999999999</v>
      </c>
      <c r="AD611">
        <v>2.0998240000000001E-2</v>
      </c>
      <c r="AE611">
        <v>0.30520629999999999</v>
      </c>
      <c r="AF611">
        <v>-0.31634470856983499</v>
      </c>
      <c r="AG611">
        <v>2.0998240000000001E-2</v>
      </c>
      <c r="AH611">
        <v>3.0118886002294798</v>
      </c>
      <c r="AI611">
        <v>89.602737773656798</v>
      </c>
      <c r="AJ611">
        <v>95.9959068869737</v>
      </c>
      <c r="AK611">
        <v>3.02852898961121</v>
      </c>
      <c r="AL611">
        <v>95.874786641731703</v>
      </c>
      <c r="AM611">
        <v>92.408478432477594</v>
      </c>
      <c r="AN611">
        <v>0.99999998252173194</v>
      </c>
    </row>
    <row r="612" spans="1:40" x14ac:dyDescent="0.25">
      <c r="A612" t="str">
        <f>"20190305134920104"</f>
        <v>20190305134920104</v>
      </c>
      <c r="B612" t="str">
        <f>"1551764960101890"</f>
        <v>1551764960101890</v>
      </c>
      <c r="C612" t="s">
        <v>40</v>
      </c>
      <c r="D612">
        <v>4.2041950000000003</v>
      </c>
      <c r="E612">
        <v>0.47854170000000001</v>
      </c>
      <c r="F612" t="s">
        <v>47</v>
      </c>
      <c r="G612">
        <v>0</v>
      </c>
      <c r="H612">
        <v>0</v>
      </c>
      <c r="I612">
        <v>0</v>
      </c>
      <c r="J612">
        <v>-389.7919</v>
      </c>
      <c r="K612">
        <v>1.1082019999999999</v>
      </c>
      <c r="L612">
        <v>367.57310000000001</v>
      </c>
      <c r="M612">
        <v>0.99990400000000002</v>
      </c>
      <c r="N612">
        <v>-1.338107E-2</v>
      </c>
      <c r="O612">
        <v>-3.5957519999999998E-3</v>
      </c>
      <c r="P612">
        <v>0.99260970000000004</v>
      </c>
      <c r="Q612">
        <v>-0.1151664</v>
      </c>
      <c r="R612">
        <v>3.8247059999999999E-2</v>
      </c>
      <c r="S612">
        <v>3.0131230000000002</v>
      </c>
      <c r="T612">
        <v>1.9630430000000001E-2</v>
      </c>
      <c r="U612">
        <v>0.30282589999999998</v>
      </c>
      <c r="V612">
        <v>-4.1768760000000002E-2</v>
      </c>
      <c r="W612">
        <v>-0.1018954</v>
      </c>
      <c r="X612">
        <v>0.99391790000000002</v>
      </c>
      <c r="Y612">
        <v>-0.10357760000000001</v>
      </c>
      <c r="Z612">
        <v>2.8684179999999997E-4</v>
      </c>
      <c r="AA612">
        <v>0.99462130000000004</v>
      </c>
      <c r="AB612">
        <v>38</v>
      </c>
      <c r="AC612">
        <v>3.0131230000000002</v>
      </c>
      <c r="AD612">
        <v>1.9630430000000001E-2</v>
      </c>
      <c r="AE612">
        <v>0.30282589999999998</v>
      </c>
      <c r="AF612">
        <v>-0.31364617558897201</v>
      </c>
      <c r="AG612">
        <v>1.9630430000000001E-2</v>
      </c>
      <c r="AH612">
        <v>3.0118879720849101</v>
      </c>
      <c r="AI612">
        <v>89.628579893801998</v>
      </c>
      <c r="AJ612">
        <v>95.945128785589901</v>
      </c>
      <c r="AK612">
        <v>3.02823850342627</v>
      </c>
      <c r="AL612">
        <v>95.848326237555696</v>
      </c>
      <c r="AM612">
        <v>92.406402315281795</v>
      </c>
      <c r="AN612">
        <v>1.00000004689675</v>
      </c>
    </row>
    <row r="613" spans="1:40" x14ac:dyDescent="0.25">
      <c r="A613" t="str">
        <f>"20190305134920116"</f>
        <v>20190305134920116</v>
      </c>
      <c r="B613" t="str">
        <f>"1551764960111649"</f>
        <v>1551764960111649</v>
      </c>
      <c r="C613" t="s">
        <v>40</v>
      </c>
      <c r="D613">
        <v>4.2299850000000001</v>
      </c>
      <c r="E613">
        <v>0.4789002</v>
      </c>
      <c r="F613" t="s">
        <v>47</v>
      </c>
      <c r="G613">
        <v>0</v>
      </c>
      <c r="H613">
        <v>0</v>
      </c>
      <c r="I613">
        <v>0</v>
      </c>
      <c r="J613">
        <v>-389.60719999999998</v>
      </c>
      <c r="K613">
        <v>1.1083540000000001</v>
      </c>
      <c r="L613">
        <v>367.57249999999999</v>
      </c>
      <c r="M613">
        <v>0.99990330000000005</v>
      </c>
      <c r="N613">
        <v>-1.3461580000000001E-2</v>
      </c>
      <c r="O613">
        <v>-3.4972150000000001E-3</v>
      </c>
      <c r="P613">
        <v>0.99264629999999998</v>
      </c>
      <c r="Q613">
        <v>-0.1148613</v>
      </c>
      <c r="R613">
        <v>3.8213070000000002E-2</v>
      </c>
      <c r="S613">
        <v>3.0129389999999998</v>
      </c>
      <c r="T613">
        <v>1.7933729999999998E-2</v>
      </c>
      <c r="U613">
        <v>0.29742429999999997</v>
      </c>
      <c r="V613">
        <v>-4.1637229999999997E-2</v>
      </c>
      <c r="W613">
        <v>-0.10150969999999999</v>
      </c>
      <c r="X613">
        <v>0.99396280000000004</v>
      </c>
      <c r="Y613">
        <v>-0.1017198</v>
      </c>
      <c r="Z613">
        <v>3.1661530000000001E-4</v>
      </c>
      <c r="AA613">
        <v>0.99481299999999995</v>
      </c>
      <c r="AB613">
        <v>38</v>
      </c>
      <c r="AC613">
        <v>3.0129389999999998</v>
      </c>
      <c r="AD613">
        <v>1.7933729999999998E-2</v>
      </c>
      <c r="AE613">
        <v>0.29742429999999997</v>
      </c>
      <c r="AF613">
        <v>-0.307949525773625</v>
      </c>
      <c r="AG613">
        <v>1.7933729999999998E-2</v>
      </c>
      <c r="AH613">
        <v>3.01177464595815</v>
      </c>
      <c r="AI613">
        <v>89.660603570327694</v>
      </c>
      <c r="AJ613">
        <v>95.838120173706102</v>
      </c>
      <c r="AK613">
        <v>3.0275305196037698</v>
      </c>
      <c r="AL613">
        <v>95.826112563362202</v>
      </c>
      <c r="AM613">
        <v>92.398725175267899</v>
      </c>
      <c r="AN613">
        <v>0.99999996295000004</v>
      </c>
    </row>
    <row r="614" spans="1:40" x14ac:dyDescent="0.25">
      <c r="A614" t="str">
        <f>"20190305134920127"</f>
        <v>20190305134920127</v>
      </c>
      <c r="B614" t="str">
        <f>"1551764960121409"</f>
        <v>1551764960121409</v>
      </c>
      <c r="C614" t="s">
        <v>40</v>
      </c>
      <c r="D614">
        <v>4.214442</v>
      </c>
      <c r="E614">
        <v>0.4792168</v>
      </c>
      <c r="F614" t="s">
        <v>47</v>
      </c>
      <c r="G614">
        <v>0</v>
      </c>
      <c r="H614">
        <v>0</v>
      </c>
      <c r="I614">
        <v>0</v>
      </c>
      <c r="J614">
        <v>-389.41390000000001</v>
      </c>
      <c r="K614">
        <v>1.1085</v>
      </c>
      <c r="L614">
        <v>367.57190000000003</v>
      </c>
      <c r="M614">
        <v>0.99990270000000003</v>
      </c>
      <c r="N614">
        <v>-1.35421E-2</v>
      </c>
      <c r="O614">
        <v>-3.393793E-3</v>
      </c>
      <c r="P614">
        <v>0.99263590000000002</v>
      </c>
      <c r="Q614">
        <v>-0.1148189</v>
      </c>
      <c r="R614">
        <v>3.861361E-2</v>
      </c>
      <c r="S614">
        <v>3.012848</v>
      </c>
      <c r="T614">
        <v>1.6750339999999999E-2</v>
      </c>
      <c r="U614">
        <v>0.29412840000000001</v>
      </c>
      <c r="V614">
        <v>-4.1934930000000002E-2</v>
      </c>
      <c r="W614">
        <v>-0.1013874</v>
      </c>
      <c r="X614">
        <v>0.99396280000000004</v>
      </c>
      <c r="Y614">
        <v>-0.1005419</v>
      </c>
      <c r="Z614">
        <v>3.3891580000000002E-4</v>
      </c>
      <c r="AA614">
        <v>0.99493279999999995</v>
      </c>
      <c r="AB614">
        <v>38</v>
      </c>
      <c r="AC614">
        <v>3.012848</v>
      </c>
      <c r="AD614">
        <v>1.6750339999999999E-2</v>
      </c>
      <c r="AE614">
        <v>0.29412840000000001</v>
      </c>
      <c r="AF614">
        <v>-0.30434330605446402</v>
      </c>
      <c r="AG614">
        <v>1.6750339999999999E-2</v>
      </c>
      <c r="AH614">
        <v>3.0117401310273602</v>
      </c>
      <c r="AI614">
        <v>89.682957005246493</v>
      </c>
      <c r="AJ614">
        <v>95.7702830227352</v>
      </c>
      <c r="AK614">
        <v>3.0271247147534202</v>
      </c>
      <c r="AL614">
        <v>95.819068759645404</v>
      </c>
      <c r="AM614">
        <v>92.415855455175404</v>
      </c>
      <c r="AN614">
        <v>0.99999999550835195</v>
      </c>
    </row>
    <row r="615" spans="1:40" x14ac:dyDescent="0.25">
      <c r="A615" t="str">
        <f>"20190305134920139"</f>
        <v>20190305134920139</v>
      </c>
      <c r="B615" t="str">
        <f>"1551764960131169"</f>
        <v>1551764960131169</v>
      </c>
      <c r="C615" t="s">
        <v>40</v>
      </c>
      <c r="D615">
        <v>4.196383</v>
      </c>
      <c r="E615">
        <v>0.4795353</v>
      </c>
      <c r="F615" t="s">
        <v>47</v>
      </c>
      <c r="G615">
        <v>0</v>
      </c>
      <c r="H615">
        <v>0</v>
      </c>
      <c r="I615">
        <v>0</v>
      </c>
      <c r="J615">
        <v>-389.19380000000001</v>
      </c>
      <c r="K615">
        <v>1.1086469999999999</v>
      </c>
      <c r="L615">
        <v>367.57130000000001</v>
      </c>
      <c r="M615">
        <v>0.99990179999999995</v>
      </c>
      <c r="N615">
        <v>-1.3626589999999999E-2</v>
      </c>
      <c r="O615">
        <v>-3.2758589999999999E-3</v>
      </c>
      <c r="P615">
        <v>0.99264419999999998</v>
      </c>
      <c r="Q615">
        <v>-0.1146161</v>
      </c>
      <c r="R615">
        <v>3.8992659999999998E-2</v>
      </c>
      <c r="S615">
        <v>3.0126949999999999</v>
      </c>
      <c r="T615">
        <v>1.5595909999999999E-2</v>
      </c>
      <c r="U615">
        <v>0.29278559999999998</v>
      </c>
      <c r="V615">
        <v>-4.2197320000000003E-2</v>
      </c>
      <c r="W615">
        <v>-0.1011007</v>
      </c>
      <c r="X615">
        <v>0.99398089999999995</v>
      </c>
      <c r="Y615">
        <v>-9.9990140000000005E-2</v>
      </c>
      <c r="Z615">
        <v>3.632342E-4</v>
      </c>
      <c r="AA615">
        <v>0.9949884</v>
      </c>
      <c r="AB615">
        <v>38</v>
      </c>
      <c r="AC615">
        <v>3.0126949999999999</v>
      </c>
      <c r="AD615">
        <v>1.5595909999999999E-2</v>
      </c>
      <c r="AE615">
        <v>0.29278559999999998</v>
      </c>
      <c r="AF615">
        <v>-0.30264607444568198</v>
      </c>
      <c r="AG615">
        <v>1.5595909999999999E-2</v>
      </c>
      <c r="AH615">
        <v>3.0116396661567402</v>
      </c>
      <c r="AI615">
        <v>89.704780798178703</v>
      </c>
      <c r="AJ615">
        <v>95.7385093732142</v>
      </c>
      <c r="AK615">
        <v>3.0268484199832</v>
      </c>
      <c r="AL615">
        <v>95.802557205575198</v>
      </c>
      <c r="AM615">
        <v>92.430909352115805</v>
      </c>
      <c r="AN615">
        <v>0.99999999746024104</v>
      </c>
    </row>
    <row r="616" spans="1:40" x14ac:dyDescent="0.25">
      <c r="A616" t="str">
        <f>"20190305134920152"</f>
        <v>20190305134920152</v>
      </c>
      <c r="B616" t="str">
        <f>"1551764960141906"</f>
        <v>1551764960141906</v>
      </c>
      <c r="C616" t="s">
        <v>40</v>
      </c>
      <c r="D616">
        <v>4.2041890000000004</v>
      </c>
      <c r="E616">
        <v>0.47984080000000001</v>
      </c>
      <c r="F616" t="s">
        <v>47</v>
      </c>
      <c r="G616">
        <v>0</v>
      </c>
      <c r="H616">
        <v>0</v>
      </c>
      <c r="I616">
        <v>0</v>
      </c>
      <c r="J616">
        <v>-388.98270000000002</v>
      </c>
      <c r="K616">
        <v>1.108776</v>
      </c>
      <c r="L616">
        <v>367.57060000000001</v>
      </c>
      <c r="M616">
        <v>0.99990109999999999</v>
      </c>
      <c r="N616">
        <v>-1.370413E-2</v>
      </c>
      <c r="O616">
        <v>-3.1628889999999999E-3</v>
      </c>
      <c r="P616">
        <v>0.99262249999999996</v>
      </c>
      <c r="Q616">
        <v>-0.114734</v>
      </c>
      <c r="R616">
        <v>3.9201390000000003E-2</v>
      </c>
      <c r="S616">
        <v>3.012543</v>
      </c>
      <c r="T616">
        <v>1.4909270000000001E-2</v>
      </c>
      <c r="U616">
        <v>0.290802</v>
      </c>
      <c r="V616">
        <v>-4.2293829999999998E-2</v>
      </c>
      <c r="W616">
        <v>-0.1011417</v>
      </c>
      <c r="X616">
        <v>0.99397259999999998</v>
      </c>
      <c r="Y616">
        <v>-9.9233459999999996E-2</v>
      </c>
      <c r="Z616">
        <v>3.7770890000000002E-4</v>
      </c>
      <c r="AA616">
        <v>0.99506410000000001</v>
      </c>
      <c r="AB616">
        <v>38</v>
      </c>
      <c r="AC616">
        <v>3.012543</v>
      </c>
      <c r="AD616">
        <v>1.4909270000000001E-2</v>
      </c>
      <c r="AE616">
        <v>0.290802</v>
      </c>
      <c r="AF616">
        <v>-0.300322491078722</v>
      </c>
      <c r="AG616">
        <v>1.4909270000000001E-2</v>
      </c>
      <c r="AH616">
        <v>3.0115349865016698</v>
      </c>
      <c r="AI616">
        <v>89.717746881878696</v>
      </c>
      <c r="AJ616">
        <v>95.694938962623894</v>
      </c>
      <c r="AK616">
        <v>3.0265093523568098</v>
      </c>
      <c r="AL616">
        <v>95.804918592728896</v>
      </c>
      <c r="AM616">
        <v>92.436482742508801</v>
      </c>
      <c r="AN616">
        <v>0.99999997054285905</v>
      </c>
    </row>
    <row r="617" spans="1:40" x14ac:dyDescent="0.25">
      <c r="A617" t="str">
        <f>"20190305134920165"</f>
        <v>20190305134920165</v>
      </c>
      <c r="B617" t="str">
        <f>"1551764960161425"</f>
        <v>1551764960161425</v>
      </c>
      <c r="C617" t="s">
        <v>40</v>
      </c>
      <c r="D617">
        <v>4.2323529999999998</v>
      </c>
      <c r="E617">
        <v>0.48043219999999998</v>
      </c>
      <c r="F617" t="s">
        <v>47</v>
      </c>
      <c r="G617">
        <v>0</v>
      </c>
      <c r="H617">
        <v>0</v>
      </c>
      <c r="I617">
        <v>0</v>
      </c>
      <c r="J617">
        <v>-388.76319999999998</v>
      </c>
      <c r="K617">
        <v>1.1088929999999999</v>
      </c>
      <c r="L617">
        <v>367.57010000000002</v>
      </c>
      <c r="M617">
        <v>0.99990049999999997</v>
      </c>
      <c r="N617">
        <v>-1.37784E-2</v>
      </c>
      <c r="O617">
        <v>-3.0453709999999998E-3</v>
      </c>
      <c r="P617">
        <v>0.99258570000000002</v>
      </c>
      <c r="Q617">
        <v>-0.1148483</v>
      </c>
      <c r="R617">
        <v>3.9793960000000003E-2</v>
      </c>
      <c r="S617">
        <v>3.012451</v>
      </c>
      <c r="T617">
        <v>1.3296479999999999E-2</v>
      </c>
      <c r="U617">
        <v>0.28897089999999998</v>
      </c>
      <c r="V617">
        <v>-4.2769979999999999E-2</v>
      </c>
      <c r="W617">
        <v>-0.10118290000000001</v>
      </c>
      <c r="X617">
        <v>0.99394800000000005</v>
      </c>
      <c r="Y617">
        <v>-9.8520029999999995E-2</v>
      </c>
      <c r="Z617">
        <v>4.0810109999999999E-4</v>
      </c>
      <c r="AA617">
        <v>0.99513499999999999</v>
      </c>
      <c r="AB617">
        <v>38</v>
      </c>
      <c r="AC617">
        <v>3.012451</v>
      </c>
      <c r="AD617">
        <v>1.3296479999999999E-2</v>
      </c>
      <c r="AE617">
        <v>0.28897089999999998</v>
      </c>
      <c r="AF617">
        <v>-0.29813870563404199</v>
      </c>
      <c r="AG617">
        <v>1.3296479999999999E-2</v>
      </c>
      <c r="AH617">
        <v>3.0114987860081301</v>
      </c>
      <c r="AI617">
        <v>89.748257855699194</v>
      </c>
      <c r="AJ617">
        <v>95.6538651829987</v>
      </c>
      <c r="AK617">
        <v>3.0262498942265101</v>
      </c>
      <c r="AL617">
        <v>95.807291537617104</v>
      </c>
      <c r="AM617">
        <v>92.463940303280694</v>
      </c>
      <c r="AN617">
        <v>0.999999938572803</v>
      </c>
    </row>
    <row r="618" spans="1:40" x14ac:dyDescent="0.25">
      <c r="A618" t="str">
        <f>"20190305134920178"</f>
        <v>20190305134920178</v>
      </c>
      <c r="B618" t="str">
        <f>"1551764960171187"</f>
        <v>1551764960171187</v>
      </c>
      <c r="C618" t="s">
        <v>40</v>
      </c>
      <c r="D618">
        <v>4.2698729999999996</v>
      </c>
      <c r="E618">
        <v>0.4807323</v>
      </c>
      <c r="F618" t="s">
        <v>47</v>
      </c>
      <c r="G618">
        <v>0</v>
      </c>
      <c r="H618">
        <v>0</v>
      </c>
      <c r="I618">
        <v>0</v>
      </c>
      <c r="J618">
        <v>-388.55489999999998</v>
      </c>
      <c r="K618">
        <v>1.1089910000000001</v>
      </c>
      <c r="L618">
        <v>367.56950000000001</v>
      </c>
      <c r="M618">
        <v>0.99990000000000001</v>
      </c>
      <c r="N618">
        <v>-1.3844270000000001E-2</v>
      </c>
      <c r="O618">
        <v>-2.9337600000000001E-3</v>
      </c>
      <c r="P618">
        <v>0.99249319999999996</v>
      </c>
      <c r="Q618">
        <v>-0.11547780000000001</v>
      </c>
      <c r="R618">
        <v>4.0279849999999999E-2</v>
      </c>
      <c r="S618">
        <v>3.0121150000000001</v>
      </c>
      <c r="T618">
        <v>1.025701E-2</v>
      </c>
      <c r="U618">
        <v>0.2861938</v>
      </c>
      <c r="V618">
        <v>-4.3144269999999998E-2</v>
      </c>
      <c r="W618">
        <v>-0.1017482</v>
      </c>
      <c r="X618">
        <v>0.99387420000000004</v>
      </c>
      <c r="Y618">
        <v>-9.7510009999999994E-2</v>
      </c>
      <c r="Z618">
        <v>4.6037809999999998E-4</v>
      </c>
      <c r="AA618">
        <v>0.99523439999999996</v>
      </c>
      <c r="AB618">
        <v>38</v>
      </c>
      <c r="AC618">
        <v>3.0121150000000001</v>
      </c>
      <c r="AD618">
        <v>1.025701E-2</v>
      </c>
      <c r="AE618">
        <v>0.2861938</v>
      </c>
      <c r="AF618">
        <v>-0.29502684592029998</v>
      </c>
      <c r="AG618">
        <v>1.025701E-2</v>
      </c>
      <c r="AH618">
        <v>3.0112277256442201</v>
      </c>
      <c r="AI618">
        <v>89.805766719902905</v>
      </c>
      <c r="AJ618">
        <v>95.595729156187005</v>
      </c>
      <c r="AK618">
        <v>3.0256633093846199</v>
      </c>
      <c r="AL618">
        <v>95.839848365405501</v>
      </c>
      <c r="AM618">
        <v>92.485660219035793</v>
      </c>
      <c r="AN618">
        <v>1.0000000248313501</v>
      </c>
    </row>
    <row r="619" spans="1:40" x14ac:dyDescent="0.25">
      <c r="A619" t="str">
        <f>"20190305134920195"</f>
        <v>20190305134920195</v>
      </c>
      <c r="B619" t="str">
        <f>"1551764960191682"</f>
        <v>1551764960191682</v>
      </c>
      <c r="C619" t="s">
        <v>40</v>
      </c>
      <c r="D619">
        <v>4.2405059999999999</v>
      </c>
      <c r="E619">
        <v>0.48128539999999997</v>
      </c>
      <c r="F619" t="s">
        <v>47</v>
      </c>
      <c r="G619">
        <v>0</v>
      </c>
      <c r="H619">
        <v>0</v>
      </c>
      <c r="I619">
        <v>0</v>
      </c>
      <c r="J619">
        <v>-388.26799999999997</v>
      </c>
      <c r="K619">
        <v>1.109103</v>
      </c>
      <c r="L619">
        <v>367.56880000000001</v>
      </c>
      <c r="M619">
        <v>0.99989910000000004</v>
      </c>
      <c r="N619">
        <v>-1.3928970000000001E-2</v>
      </c>
      <c r="O619">
        <v>-2.7796040000000002E-3</v>
      </c>
      <c r="P619">
        <v>0.99209669999999905</v>
      </c>
      <c r="Q619">
        <v>-0.11855309999999999</v>
      </c>
      <c r="R619">
        <v>4.1102939999999998E-2</v>
      </c>
      <c r="S619">
        <v>3.0119020000000001</v>
      </c>
      <c r="T619">
        <v>7.028103E-3</v>
      </c>
      <c r="U619">
        <v>0.28536990000000001</v>
      </c>
      <c r="V619">
        <v>-4.3812520000000001E-2</v>
      </c>
      <c r="W619">
        <v>-0.1047448</v>
      </c>
      <c r="X619">
        <v>0.99353360000000002</v>
      </c>
      <c r="Y619">
        <v>-9.7093020000000002E-2</v>
      </c>
      <c r="Z619">
        <v>5.1961219999999999E-4</v>
      </c>
      <c r="AA619">
        <v>0.99527520000000003</v>
      </c>
      <c r="AB619">
        <v>38</v>
      </c>
      <c r="AC619">
        <v>3.0119020000000001</v>
      </c>
      <c r="AD619">
        <v>7.028103E-3</v>
      </c>
      <c r="AE619">
        <v>0.28536990000000001</v>
      </c>
      <c r="AF619">
        <v>-0.29373991950540301</v>
      </c>
      <c r="AG619">
        <v>7.028103E-3</v>
      </c>
      <c r="AH619">
        <v>3.0110808208108701</v>
      </c>
      <c r="AI619">
        <v>89.866899150547695</v>
      </c>
      <c r="AJ619">
        <v>95.571744242208695</v>
      </c>
      <c r="AK619">
        <v>3.02538266075514</v>
      </c>
      <c r="AL619">
        <v>96.012463526905606</v>
      </c>
      <c r="AM619">
        <v>92.524974715587305</v>
      </c>
      <c r="AN619">
        <v>1.00000001218237</v>
      </c>
    </row>
    <row r="620" spans="1:40" x14ac:dyDescent="0.25">
      <c r="A620" t="str">
        <f>"20190305134920206"</f>
        <v>20190305134920206</v>
      </c>
      <c r="B620" t="str">
        <f>"1551764960201441"</f>
        <v>1551764960201441</v>
      </c>
      <c r="C620" t="s">
        <v>40</v>
      </c>
      <c r="D620">
        <v>4.2461979999999997</v>
      </c>
      <c r="E620">
        <v>0.48157729999999999</v>
      </c>
      <c r="F620" t="s">
        <v>47</v>
      </c>
      <c r="G620">
        <v>0</v>
      </c>
      <c r="H620">
        <v>0</v>
      </c>
      <c r="I620">
        <v>0</v>
      </c>
      <c r="J620">
        <v>-388.07639999999998</v>
      </c>
      <c r="K620">
        <v>1.1091679999999999</v>
      </c>
      <c r="L620">
        <v>367.5684</v>
      </c>
      <c r="M620">
        <v>0.99989870000000003</v>
      </c>
      <c r="N620">
        <v>-1.3981210000000001E-2</v>
      </c>
      <c r="O620">
        <v>-2.6770850000000001E-3</v>
      </c>
      <c r="P620">
        <v>0.99183770000000004</v>
      </c>
      <c r="Q620">
        <v>-0.1206835</v>
      </c>
      <c r="R620">
        <v>4.1149650000000003E-2</v>
      </c>
      <c r="S620">
        <v>3.0116269999999998</v>
      </c>
      <c r="T620">
        <v>-4.6751500000000003E-3</v>
      </c>
      <c r="U620">
        <v>0.28356930000000002</v>
      </c>
      <c r="V620">
        <v>-4.3754920000000003E-2</v>
      </c>
      <c r="W620">
        <v>-0.10682659999999999</v>
      </c>
      <c r="X620">
        <v>0.99331440000000004</v>
      </c>
      <c r="Y620">
        <v>-9.6407380000000001E-2</v>
      </c>
      <c r="Z620">
        <v>7.1693460000000001E-4</v>
      </c>
      <c r="AA620">
        <v>0.9953417</v>
      </c>
      <c r="AB620">
        <v>38</v>
      </c>
      <c r="AC620">
        <v>3.0116269999999998</v>
      </c>
      <c r="AD620">
        <v>-4.6751500000000003E-3</v>
      </c>
      <c r="AE620">
        <v>0.28356930000000002</v>
      </c>
      <c r="AF620">
        <v>-0.291630756421217</v>
      </c>
      <c r="AG620">
        <v>-4.6751500000000003E-3</v>
      </c>
      <c r="AH620">
        <v>3.01084980081077</v>
      </c>
      <c r="AI620">
        <v>90.088552535303407</v>
      </c>
      <c r="AJ620">
        <v>95.532407915933206</v>
      </c>
      <c r="AK620">
        <v>3.02494411157637</v>
      </c>
      <c r="AL620">
        <v>96.132415298682204</v>
      </c>
      <c r="AM620">
        <v>92.522215187103697</v>
      </c>
      <c r="AN620">
        <v>0.99999995636956196</v>
      </c>
    </row>
    <row r="621" spans="1:40" x14ac:dyDescent="0.25">
      <c r="A621" t="str">
        <f>"20190305134920217"</f>
        <v>20190305134920217</v>
      </c>
      <c r="B621" t="str">
        <f>"1551764960211202"</f>
        <v>1551764960211202</v>
      </c>
      <c r="C621" t="s">
        <v>40</v>
      </c>
      <c r="D621">
        <v>4.2446890000000002</v>
      </c>
      <c r="E621">
        <v>0.48185410000000001</v>
      </c>
      <c r="F621" t="s">
        <v>43</v>
      </c>
      <c r="G621">
        <v>-105.3947</v>
      </c>
      <c r="H621">
        <v>-0.05</v>
      </c>
      <c r="I621">
        <v>394.02589999999998</v>
      </c>
      <c r="J621">
        <v>-387.8963</v>
      </c>
      <c r="K621">
        <v>1.109226</v>
      </c>
      <c r="L621">
        <v>367.56799999999998</v>
      </c>
      <c r="M621">
        <v>0.99989839999999997</v>
      </c>
      <c r="N621">
        <v>-1.402693E-2</v>
      </c>
      <c r="O621">
        <v>-2.5802450000000001E-3</v>
      </c>
      <c r="P621">
        <v>0.99177539999999997</v>
      </c>
      <c r="Q621">
        <v>-0.12136710000000001</v>
      </c>
      <c r="R621">
        <v>4.0641169999999997E-2</v>
      </c>
      <c r="S621">
        <v>3.0115050000000001</v>
      </c>
      <c r="T621">
        <v>-1.2349010000000001E-2</v>
      </c>
      <c r="U621">
        <v>0.28186040000000001</v>
      </c>
      <c r="V621">
        <v>-4.3150389999999997E-2</v>
      </c>
      <c r="W621">
        <v>-0.1074652</v>
      </c>
      <c r="X621">
        <v>0.99327200000000004</v>
      </c>
      <c r="Y621">
        <v>-9.5752519999999994E-2</v>
      </c>
      <c r="Z621">
        <v>8.4340269999999995E-4</v>
      </c>
      <c r="AA621">
        <v>0.99540479999999998</v>
      </c>
      <c r="AB621">
        <v>38</v>
      </c>
      <c r="AC621">
        <v>282.5016</v>
      </c>
      <c r="AD621">
        <v>-1.1592260000000001</v>
      </c>
      <c r="AE621">
        <v>26.457899999999899</v>
      </c>
      <c r="AF621">
        <v>-27.186353100900899</v>
      </c>
      <c r="AG621">
        <v>-1.1592260000000001</v>
      </c>
      <c r="AH621">
        <v>282.42767063001202</v>
      </c>
      <c r="AI621">
        <v>90.234087533671001</v>
      </c>
      <c r="AJ621">
        <v>95.498323915491397</v>
      </c>
      <c r="AK621">
        <v>283.73549432057399</v>
      </c>
      <c r="AL621">
        <v>96.169215993971306</v>
      </c>
      <c r="AM621">
        <v>92.487517691288701</v>
      </c>
      <c r="AN621">
        <v>0.99999999567609599</v>
      </c>
    </row>
    <row r="622" spans="1:40" x14ac:dyDescent="0.25">
      <c r="A622" t="str">
        <f>"20190305134920227"</f>
        <v>20190305134920227</v>
      </c>
      <c r="B622" t="str">
        <f>"1551764960220961"</f>
        <v>1551764960220961</v>
      </c>
      <c r="C622" t="s">
        <v>40</v>
      </c>
      <c r="D622">
        <v>4.2123900000000001</v>
      </c>
      <c r="E622">
        <v>0.48215459999999899</v>
      </c>
      <c r="F622" t="s">
        <v>43</v>
      </c>
      <c r="G622">
        <v>-164.4032</v>
      </c>
      <c r="H622">
        <v>-0.05</v>
      </c>
      <c r="I622">
        <v>388.2201</v>
      </c>
      <c r="J622">
        <v>-387.70830000000001</v>
      </c>
      <c r="K622">
        <v>1.109289</v>
      </c>
      <c r="L622">
        <v>367.56760000000003</v>
      </c>
      <c r="M622">
        <v>0.99989799999999995</v>
      </c>
      <c r="N622">
        <v>-1.4072869999999999E-2</v>
      </c>
      <c r="O622">
        <v>-2.4791169999999999E-3</v>
      </c>
      <c r="P622">
        <v>0.9918112</v>
      </c>
      <c r="Q622">
        <v>-0.1211013</v>
      </c>
      <c r="R622">
        <v>4.0560300000000001E-2</v>
      </c>
      <c r="S622">
        <v>3.0115970000000001</v>
      </c>
      <c r="T622">
        <v>-1.5620709999999999E-2</v>
      </c>
      <c r="U622">
        <v>0.27828979999999998</v>
      </c>
      <c r="V622">
        <v>-4.2969500000000001E-2</v>
      </c>
      <c r="W622">
        <v>-0.1071531</v>
      </c>
      <c r="X622">
        <v>0.99331360000000002</v>
      </c>
      <c r="Y622">
        <v>-9.4477800000000001E-2</v>
      </c>
      <c r="Z622">
        <v>8.8876470000000003E-4</v>
      </c>
      <c r="AA622">
        <v>0.99552660000000004</v>
      </c>
      <c r="AB622">
        <v>38</v>
      </c>
      <c r="AC622">
        <v>223.30510000000001</v>
      </c>
      <c r="AD622">
        <v>-1.159289</v>
      </c>
      <c r="AE622">
        <v>20.6524999999999</v>
      </c>
      <c r="AF622">
        <v>-21.205524084990302</v>
      </c>
      <c r="AG622">
        <v>-1.159289</v>
      </c>
      <c r="AH622">
        <v>223.24724275186401</v>
      </c>
      <c r="AI622">
        <v>90.296192429807903</v>
      </c>
      <c r="AJ622">
        <v>95.426058605259001</v>
      </c>
      <c r="AK622">
        <v>224.25509938240901</v>
      </c>
      <c r="AL622">
        <v>96.151229874057705</v>
      </c>
      <c r="AM622">
        <v>92.476999216258505</v>
      </c>
      <c r="AN622">
        <v>1.0000000363574</v>
      </c>
    </row>
    <row r="623" spans="1:40" x14ac:dyDescent="0.25">
      <c r="A623" t="str">
        <f>"20190305134920239"</f>
        <v>20190305134920239</v>
      </c>
      <c r="B623" t="str">
        <f>"1551764960231697"</f>
        <v>1551764960231697</v>
      </c>
      <c r="C623" t="s">
        <v>40</v>
      </c>
      <c r="D623">
        <v>4.2173569999999998</v>
      </c>
      <c r="E623">
        <v>0.48242230000000003</v>
      </c>
      <c r="F623" t="s">
        <v>43</v>
      </c>
      <c r="G623">
        <v>-177.9213</v>
      </c>
      <c r="H623">
        <v>-0.05</v>
      </c>
      <c r="I623">
        <v>386.76479999999998</v>
      </c>
      <c r="J623">
        <v>-387.51560000000001</v>
      </c>
      <c r="K623">
        <v>1.109351</v>
      </c>
      <c r="L623">
        <v>367.56720000000001</v>
      </c>
      <c r="M623">
        <v>0.99989749999999999</v>
      </c>
      <c r="N623">
        <v>-1.4115600000000001E-2</v>
      </c>
      <c r="O623">
        <v>-2.3754639999999999E-3</v>
      </c>
      <c r="P623">
        <v>0.99193810000000004</v>
      </c>
      <c r="Q623">
        <v>-0.1201118</v>
      </c>
      <c r="R623">
        <v>4.0401890000000003E-2</v>
      </c>
      <c r="S623">
        <v>3.0114749999999999</v>
      </c>
      <c r="T623">
        <v>-1.66415E-2</v>
      </c>
      <c r="U623">
        <v>0.27557369999999998</v>
      </c>
      <c r="V623">
        <v>-4.270902E-2</v>
      </c>
      <c r="W623">
        <v>-0.1061193</v>
      </c>
      <c r="X623">
        <v>0.99343579999999998</v>
      </c>
      <c r="Y623">
        <v>-9.3487580000000001E-2</v>
      </c>
      <c r="Z623">
        <v>8.9864719999999999E-4</v>
      </c>
      <c r="AA623">
        <v>0.99561999999999995</v>
      </c>
      <c r="AB623">
        <v>38</v>
      </c>
      <c r="AC623">
        <v>209.5943</v>
      </c>
      <c r="AD623">
        <v>-1.159351</v>
      </c>
      <c r="AE623">
        <v>19.197599999999898</v>
      </c>
      <c r="AF623">
        <v>-19.6948815921928</v>
      </c>
      <c r="AG623">
        <v>-1.159351</v>
      </c>
      <c r="AH623">
        <v>209.54174288236501</v>
      </c>
      <c r="AI623">
        <v>90.315611440525501</v>
      </c>
      <c r="AJ623">
        <v>95.369470333863305</v>
      </c>
      <c r="AK623">
        <v>210.46846430249499</v>
      </c>
      <c r="AL623">
        <v>96.091657877345895</v>
      </c>
      <c r="AM623">
        <v>92.461699771653798</v>
      </c>
      <c r="AN623">
        <v>1.00000002747174</v>
      </c>
    </row>
    <row r="624" spans="1:40" x14ac:dyDescent="0.25">
      <c r="A624" t="str">
        <f>"20190305134920250"</f>
        <v>20190305134920250</v>
      </c>
      <c r="B624" t="str">
        <f>"1551764960241457"</f>
        <v>1551764960241457</v>
      </c>
      <c r="C624" t="s">
        <v>40</v>
      </c>
      <c r="D624">
        <v>4.2394970000000001</v>
      </c>
      <c r="E624">
        <v>0.48270730000000001</v>
      </c>
      <c r="F624" t="s">
        <v>43</v>
      </c>
      <c r="G624">
        <v>-148.1688</v>
      </c>
      <c r="H624">
        <v>-0.05</v>
      </c>
      <c r="I624">
        <v>389.24599999999998</v>
      </c>
      <c r="J624">
        <v>-387.33179999999999</v>
      </c>
      <c r="K624">
        <v>1.109402</v>
      </c>
      <c r="L624">
        <v>367.56689999999998</v>
      </c>
      <c r="M624">
        <v>0.99989729999999999</v>
      </c>
      <c r="N624">
        <v>-1.415538E-2</v>
      </c>
      <c r="O624">
        <v>-2.2766800000000001E-3</v>
      </c>
      <c r="P624">
        <v>0.99209639999999999</v>
      </c>
      <c r="Q624">
        <v>-0.1187363</v>
      </c>
      <c r="R624">
        <v>4.057972E-2</v>
      </c>
      <c r="S624">
        <v>3.0115050000000001</v>
      </c>
      <c r="T624">
        <v>-1.458716E-2</v>
      </c>
      <c r="U624">
        <v>0.27276610000000001</v>
      </c>
      <c r="V624">
        <v>-4.2790330000000001E-2</v>
      </c>
      <c r="W624">
        <v>-0.10470210000000001</v>
      </c>
      <c r="X624">
        <v>0.99358270000000004</v>
      </c>
      <c r="Y624">
        <v>-9.2468469999999997E-2</v>
      </c>
      <c r="Z624">
        <v>8.5818190000000005E-4</v>
      </c>
      <c r="AA624">
        <v>0.99571529999999997</v>
      </c>
      <c r="AB624">
        <v>38</v>
      </c>
      <c r="AC624">
        <v>239.16300000000001</v>
      </c>
      <c r="AD624">
        <v>-1.159402</v>
      </c>
      <c r="AE624">
        <v>21.679099999999998</v>
      </c>
      <c r="AF624">
        <v>-22.223077936436901</v>
      </c>
      <c r="AG624">
        <v>-1.159402</v>
      </c>
      <c r="AH624">
        <v>239.10744534798599</v>
      </c>
      <c r="AI624">
        <v>90.276625684832396</v>
      </c>
      <c r="AJ624">
        <v>95.309918973638105</v>
      </c>
      <c r="AK624">
        <v>240.140750033822</v>
      </c>
      <c r="AL624">
        <v>96.010003170258898</v>
      </c>
      <c r="AM624">
        <v>92.466016405318001</v>
      </c>
      <c r="AN624">
        <v>1.0000000619125999</v>
      </c>
    </row>
    <row r="625" spans="1:40" x14ac:dyDescent="0.25">
      <c r="A625" t="str">
        <f>"20190305134920260"</f>
        <v>20190305134920260</v>
      </c>
      <c r="B625" t="str">
        <f>"1551764960251217"</f>
        <v>1551764960251217</v>
      </c>
      <c r="C625" t="s">
        <v>40</v>
      </c>
      <c r="D625">
        <v>4.2050929999999997</v>
      </c>
      <c r="E625">
        <v>0.48296509999999998</v>
      </c>
      <c r="F625" t="s">
        <v>43</v>
      </c>
      <c r="G625">
        <v>-98.099000000000004</v>
      </c>
      <c r="H625">
        <v>-0.05</v>
      </c>
      <c r="I625">
        <v>393.57780000000002</v>
      </c>
      <c r="J625">
        <v>-387.14670000000001</v>
      </c>
      <c r="K625">
        <v>1.1094469999999901</v>
      </c>
      <c r="L625">
        <v>367.56650000000002</v>
      </c>
      <c r="M625">
        <v>0.99989689999999998</v>
      </c>
      <c r="N625">
        <v>-1.41913E-2</v>
      </c>
      <c r="O625">
        <v>-2.1771550000000001E-3</v>
      </c>
      <c r="P625">
        <v>0.99213530000000005</v>
      </c>
      <c r="Q625">
        <v>-0.1182694</v>
      </c>
      <c r="R625">
        <v>4.0988610000000002E-2</v>
      </c>
      <c r="S625">
        <v>3.0113530000000002</v>
      </c>
      <c r="T625">
        <v>-1.2071129999999999E-2</v>
      </c>
      <c r="U625">
        <v>0.27081300000000003</v>
      </c>
      <c r="V625">
        <v>-4.3100569999999998E-2</v>
      </c>
      <c r="W625">
        <v>-0.1041991</v>
      </c>
      <c r="X625">
        <v>0.99362209999999995</v>
      </c>
      <c r="Y625">
        <v>-9.1734170000000004E-2</v>
      </c>
      <c r="Z625">
        <v>8.136323E-4</v>
      </c>
      <c r="AA625">
        <v>0.99578319999999998</v>
      </c>
      <c r="AB625">
        <v>38</v>
      </c>
      <c r="AC625">
        <v>289.04770000000002</v>
      </c>
      <c r="AD625">
        <v>-1.1594469999999999</v>
      </c>
      <c r="AE625">
        <v>26.011299999999999</v>
      </c>
      <c r="AF625">
        <v>-26.640178178010899</v>
      </c>
      <c r="AG625">
        <v>-1.1594469999999999</v>
      </c>
      <c r="AH625">
        <v>288.98576598043798</v>
      </c>
      <c r="AI625">
        <v>90.228906028670295</v>
      </c>
      <c r="AJ625">
        <v>95.266930502027094</v>
      </c>
      <c r="AK625">
        <v>290.21339795054701</v>
      </c>
      <c r="AL625">
        <v>95.981025289753802</v>
      </c>
      <c r="AM625">
        <v>92.483774925011005</v>
      </c>
      <c r="AN625">
        <v>0.99999999459177202</v>
      </c>
    </row>
    <row r="626" spans="1:40" x14ac:dyDescent="0.25">
      <c r="A626" t="str">
        <f>"20190305134920272"</f>
        <v>20190305134920272</v>
      </c>
      <c r="B626" t="str">
        <f>"1551764960260978"</f>
        <v>1551764960260978</v>
      </c>
      <c r="C626" t="s">
        <v>40</v>
      </c>
      <c r="D626">
        <v>4.2143189999999997</v>
      </c>
      <c r="E626">
        <v>0.4832322</v>
      </c>
      <c r="F626" t="s">
        <v>43</v>
      </c>
      <c r="G626">
        <v>-87.347899999999996</v>
      </c>
      <c r="H626">
        <v>-0.05</v>
      </c>
      <c r="I626">
        <v>394.4461</v>
      </c>
      <c r="J626">
        <v>-386.9545</v>
      </c>
      <c r="K626">
        <v>1.109491</v>
      </c>
      <c r="L626">
        <v>367.56619999999998</v>
      </c>
      <c r="M626">
        <v>0.99989660000000002</v>
      </c>
      <c r="N626">
        <v>-1.422753E-2</v>
      </c>
      <c r="O626">
        <v>-2.0738190000000002E-3</v>
      </c>
      <c r="P626">
        <v>0.99222069999999996</v>
      </c>
      <c r="Q626">
        <v>-0.1172816</v>
      </c>
      <c r="R626">
        <v>4.1754300000000001E-2</v>
      </c>
      <c r="S626">
        <v>3.0112920000000001</v>
      </c>
      <c r="T626">
        <v>-1.1645910000000001E-2</v>
      </c>
      <c r="U626">
        <v>0.26998899999999998</v>
      </c>
      <c r="V626">
        <v>-4.3764780000000003E-2</v>
      </c>
      <c r="W626">
        <v>-0.1031744</v>
      </c>
      <c r="X626">
        <v>0.99370000000000003</v>
      </c>
      <c r="Y626">
        <v>-9.1362890000000002E-2</v>
      </c>
      <c r="Z626">
        <v>8.0615119999999905E-4</v>
      </c>
      <c r="AA626">
        <v>0.99581739999999996</v>
      </c>
      <c r="AB626">
        <v>38</v>
      </c>
      <c r="AC626">
        <v>299.60660000000001</v>
      </c>
      <c r="AD626">
        <v>-1.159491</v>
      </c>
      <c r="AE626">
        <v>26.879899999999999</v>
      </c>
      <c r="AF626">
        <v>-27.500826364157302</v>
      </c>
      <c r="AG626">
        <v>-1.159491</v>
      </c>
      <c r="AH626">
        <v>299.54575536639402</v>
      </c>
      <c r="AI626">
        <v>90.220852376006704</v>
      </c>
      <c r="AJ626">
        <v>95.245530882684804</v>
      </c>
      <c r="AK626">
        <v>300.807744960322</v>
      </c>
      <c r="AL626">
        <v>95.921996094094794</v>
      </c>
      <c r="AM626">
        <v>92.521805135777697</v>
      </c>
      <c r="AN626">
        <v>1.0000000013918999</v>
      </c>
    </row>
    <row r="627" spans="1:40" x14ac:dyDescent="0.25">
      <c r="A627" t="str">
        <f>"20190305134920283"</f>
        <v>20190305134920283</v>
      </c>
      <c r="B627" t="str">
        <f>"1551764960271713"</f>
        <v>1551764960271713</v>
      </c>
      <c r="C627" t="s">
        <v>40</v>
      </c>
      <c r="D627">
        <v>4.5052070000000004</v>
      </c>
      <c r="E627">
        <v>0.48330010000000001</v>
      </c>
      <c r="F627" t="s">
        <v>47</v>
      </c>
      <c r="G627">
        <v>0</v>
      </c>
      <c r="H627">
        <v>0</v>
      </c>
      <c r="I627">
        <v>0</v>
      </c>
      <c r="J627">
        <v>-386.76600000000002</v>
      </c>
      <c r="K627">
        <v>1.109534</v>
      </c>
      <c r="L627">
        <v>367.5659</v>
      </c>
      <c r="M627">
        <v>0.99989649999999997</v>
      </c>
      <c r="N627">
        <v>-1.426002E-2</v>
      </c>
      <c r="O627">
        <v>-1.9726029999999999E-3</v>
      </c>
      <c r="P627">
        <v>0.99234469999999997</v>
      </c>
      <c r="Q627">
        <v>-0.1157593</v>
      </c>
      <c r="R627">
        <v>4.3034719999999999E-2</v>
      </c>
      <c r="S627">
        <v>3.0109249999999999</v>
      </c>
      <c r="T627">
        <v>-1.037097E-2</v>
      </c>
      <c r="U627">
        <v>0.27047729999999998</v>
      </c>
      <c r="V627">
        <v>-4.4945190000000003E-2</v>
      </c>
      <c r="W627">
        <v>-0.1016188</v>
      </c>
      <c r="X627">
        <v>0.99380760000000001</v>
      </c>
      <c r="Y627">
        <v>-9.1433470000000003E-2</v>
      </c>
      <c r="Z627">
        <v>7.8913349999999998E-4</v>
      </c>
      <c r="AA627">
        <v>0.99581090000000005</v>
      </c>
      <c r="AB627">
        <v>38</v>
      </c>
      <c r="AC627">
        <v>3.0109249999999999</v>
      </c>
      <c r="AD627">
        <v>-1.037097E-2</v>
      </c>
      <c r="AE627">
        <v>0.27047729999999998</v>
      </c>
      <c r="AF627">
        <v>-0.27641348339746702</v>
      </c>
      <c r="AG627">
        <v>-1.037097E-2</v>
      </c>
      <c r="AH627">
        <v>3.0103501127603698</v>
      </c>
      <c r="AI627">
        <v>90.196562280470005</v>
      </c>
      <c r="AJ627">
        <v>95.246247281015101</v>
      </c>
      <c r="AK627">
        <v>3.02303155329531</v>
      </c>
      <c r="AL627">
        <v>95.832395818630303</v>
      </c>
      <c r="AM627">
        <v>92.589451080458502</v>
      </c>
      <c r="AN627">
        <v>0.99999999821766805</v>
      </c>
    </row>
    <row r="628" spans="1:40" x14ac:dyDescent="0.25">
      <c r="A628" t="str">
        <f>"20190305134920295"</f>
        <v>20190305134920295</v>
      </c>
      <c r="B628" t="str">
        <f>"1551764960291233"</f>
        <v>1551764960291233</v>
      </c>
      <c r="C628" t="s">
        <v>40</v>
      </c>
      <c r="D628">
        <v>4.3123259999999997</v>
      </c>
      <c r="E628">
        <v>0.48316399999999998</v>
      </c>
      <c r="F628" t="s">
        <v>47</v>
      </c>
      <c r="G628">
        <v>0</v>
      </c>
      <c r="H628">
        <v>0</v>
      </c>
      <c r="I628">
        <v>0</v>
      </c>
      <c r="J628">
        <v>-386.58629999999999</v>
      </c>
      <c r="K628">
        <v>1.109577</v>
      </c>
      <c r="L628">
        <v>367.56560000000002</v>
      </c>
      <c r="M628">
        <v>0.99989629999999996</v>
      </c>
      <c r="N628">
        <v>-1.4289430000000001E-2</v>
      </c>
      <c r="O628">
        <v>-1.876015E-3</v>
      </c>
      <c r="P628">
        <v>0.99250280000000002</v>
      </c>
      <c r="Q628">
        <v>-0.1137575</v>
      </c>
      <c r="R628">
        <v>4.4694650000000002E-2</v>
      </c>
      <c r="S628">
        <v>3.010345</v>
      </c>
      <c r="T628">
        <v>-8.3277230000000004E-3</v>
      </c>
      <c r="U628">
        <v>0.27365109999999998</v>
      </c>
      <c r="V628">
        <v>-4.6510509999999998E-2</v>
      </c>
      <c r="W628">
        <v>-9.9586380000000002E-2</v>
      </c>
      <c r="X628">
        <v>0.99394130000000003</v>
      </c>
      <c r="Y628">
        <v>-9.2396300000000001E-2</v>
      </c>
      <c r="Z628">
        <v>7.6750910000000002E-4</v>
      </c>
      <c r="AA628">
        <v>0.995722</v>
      </c>
      <c r="AB628">
        <v>38</v>
      </c>
      <c r="AC628">
        <v>3.010345</v>
      </c>
      <c r="AD628">
        <v>-8.3277230000000004E-3</v>
      </c>
      <c r="AE628">
        <v>0.27365109999999998</v>
      </c>
      <c r="AF628">
        <v>-0.27929652660774601</v>
      </c>
      <c r="AG628">
        <v>-8.3277230000000004E-3</v>
      </c>
      <c r="AH628">
        <v>3.0098034310265902</v>
      </c>
      <c r="AI628">
        <v>90.1578511740599</v>
      </c>
      <c r="AJ628">
        <v>95.301613798628196</v>
      </c>
      <c r="AK628">
        <v>3.0227458699277001</v>
      </c>
      <c r="AL628">
        <v>95.7153529544902</v>
      </c>
      <c r="AM628">
        <v>92.6791455557006</v>
      </c>
      <c r="AN628">
        <v>0.99999999123382699</v>
      </c>
    </row>
    <row r="629" spans="1:40" x14ac:dyDescent="0.25">
      <c r="A629" t="str">
        <f>"20190305134920317"</f>
        <v>20190305134920317</v>
      </c>
      <c r="B629" t="str">
        <f>"1551764960311730"</f>
        <v>1551764960311730</v>
      </c>
      <c r="C629" t="s">
        <v>40</v>
      </c>
      <c r="D629">
        <v>4.1083569999999998</v>
      </c>
      <c r="E629">
        <v>0.3838934</v>
      </c>
      <c r="F629" t="s">
        <v>47</v>
      </c>
      <c r="G629">
        <v>0</v>
      </c>
      <c r="H629">
        <v>0</v>
      </c>
      <c r="I629">
        <v>0</v>
      </c>
      <c r="J629">
        <v>-386.20159999999998</v>
      </c>
      <c r="K629">
        <v>1.1096490000000001</v>
      </c>
      <c r="L629">
        <v>367.56509999999997</v>
      </c>
      <c r="M629">
        <v>0.9998958</v>
      </c>
      <c r="N629">
        <v>-1.4345979999999999E-2</v>
      </c>
      <c r="O629">
        <v>-1.668997E-3</v>
      </c>
      <c r="P629">
        <v>0.99264289999999999</v>
      </c>
      <c r="Q629">
        <v>-0.1108773</v>
      </c>
      <c r="R629">
        <v>4.8647099999999999E-2</v>
      </c>
      <c r="S629">
        <v>3.0097049999999999</v>
      </c>
      <c r="T629">
        <v>-3.2448770000000002E-3</v>
      </c>
      <c r="U629">
        <v>0.27960210000000002</v>
      </c>
      <c r="V629">
        <v>-5.0259499999999999E-2</v>
      </c>
      <c r="W629">
        <v>-9.6649910000000006E-2</v>
      </c>
      <c r="X629">
        <v>0.99404870000000001</v>
      </c>
      <c r="Y629">
        <v>-9.4162789999999996E-2</v>
      </c>
      <c r="Z629">
        <v>7.0547119999999903E-4</v>
      </c>
      <c r="AA629">
        <v>0.99555660000000001</v>
      </c>
      <c r="AB629">
        <v>38</v>
      </c>
      <c r="AC629">
        <v>3.0097049999999999</v>
      </c>
      <c r="AD629">
        <v>-3.2448770000000002E-3</v>
      </c>
      <c r="AE629">
        <v>0.27960210000000002</v>
      </c>
      <c r="AF629">
        <v>-0.28462508757303601</v>
      </c>
      <c r="AG629">
        <v>-3.2448770000000002E-3</v>
      </c>
      <c r="AH629">
        <v>3.0092306363016301</v>
      </c>
      <c r="AI629">
        <v>90.061507948173798</v>
      </c>
      <c r="AJ629">
        <v>95.403190039785002</v>
      </c>
      <c r="AK629">
        <v>3.0226628975390302</v>
      </c>
      <c r="AL629">
        <v>95.546289623213099</v>
      </c>
      <c r="AM629">
        <v>92.894432817469806</v>
      </c>
      <c r="AN629">
        <v>1.0000000202074699</v>
      </c>
    </row>
    <row r="630" spans="1:40" x14ac:dyDescent="0.25">
      <c r="A630" t="str">
        <f>"20190305134920340"</f>
        <v>20190305134920340</v>
      </c>
      <c r="B630" t="str">
        <f>"1551764960331250"</f>
        <v>1551764960331250</v>
      </c>
      <c r="C630" t="s">
        <v>40</v>
      </c>
      <c r="D630">
        <v>3.8884840000000001</v>
      </c>
      <c r="E630">
        <v>0.3838934</v>
      </c>
      <c r="F630" t="s">
        <v>42</v>
      </c>
      <c r="G630">
        <v>-372.74090000000001</v>
      </c>
      <c r="H630" s="1">
        <v>-3.8511219999999996E-6</v>
      </c>
      <c r="I630">
        <v>372.47919999999999</v>
      </c>
      <c r="J630">
        <v>-385.82279999999997</v>
      </c>
      <c r="K630">
        <v>1.1096969999999999</v>
      </c>
      <c r="L630">
        <v>367.56470000000002</v>
      </c>
      <c r="M630">
        <v>0.99989530000000004</v>
      </c>
      <c r="N630">
        <v>-1.4394550000000001E-2</v>
      </c>
      <c r="O630">
        <v>-1.4650259999999999E-3</v>
      </c>
      <c r="P630">
        <v>0.99251210000000001</v>
      </c>
      <c r="Q630">
        <v>-0.11026329999999999</v>
      </c>
      <c r="R630">
        <v>5.255452E-2</v>
      </c>
      <c r="S630">
        <v>2.9425349999999999</v>
      </c>
      <c r="T630">
        <v>-0.24257219999999999</v>
      </c>
      <c r="U630">
        <v>1.074249</v>
      </c>
      <c r="V630">
        <v>-5.3964539999999998E-2</v>
      </c>
      <c r="W630">
        <v>-9.5991160000000006E-2</v>
      </c>
      <c r="X630">
        <v>0.99391819999999997</v>
      </c>
      <c r="Y630">
        <v>-0.34308430000000001</v>
      </c>
      <c r="Z630">
        <v>1.6325490000000002E-2</v>
      </c>
      <c r="AA630">
        <v>0.93916270000000002</v>
      </c>
      <c r="AB630">
        <v>38</v>
      </c>
      <c r="AC630">
        <v>13.0818999999999</v>
      </c>
      <c r="AD630">
        <v>-1.1097008511219999</v>
      </c>
      <c r="AE630">
        <v>4.9144999999999701</v>
      </c>
      <c r="AF630">
        <v>-4.9027466396228503</v>
      </c>
      <c r="AG630">
        <v>-1.1097008511219999</v>
      </c>
      <c r="AH630">
        <v>12.9927565308779</v>
      </c>
      <c r="AI630">
        <v>94.568760631600995</v>
      </c>
      <c r="AJ630">
        <v>110.673728568751</v>
      </c>
      <c r="AK630">
        <v>13.9312627877729</v>
      </c>
      <c r="AL630">
        <v>95.508370205956197</v>
      </c>
      <c r="AM630">
        <v>93.107808553921103</v>
      </c>
      <c r="AN630">
        <v>0.99999993133339604</v>
      </c>
    </row>
    <row r="631" spans="1:40" x14ac:dyDescent="0.25">
      <c r="A631" t="str">
        <f>"20190305134920353"</f>
        <v>20190305134920353</v>
      </c>
      <c r="B631" t="str">
        <f>"1551764960341986"</f>
        <v>1551764960341986</v>
      </c>
      <c r="C631" t="s">
        <v>40</v>
      </c>
      <c r="D631">
        <v>4.0472669999999997</v>
      </c>
      <c r="E631">
        <v>0.3838934</v>
      </c>
      <c r="F631" t="s">
        <v>42</v>
      </c>
      <c r="G631">
        <v>-372.24450000000002</v>
      </c>
      <c r="H631" s="1">
        <v>-4.0381369999999999E-6</v>
      </c>
      <c r="I631">
        <v>372.58109999999999</v>
      </c>
      <c r="J631">
        <v>-385.60539999999997</v>
      </c>
      <c r="K631">
        <v>1.1097220000000001</v>
      </c>
      <c r="L631">
        <v>367.56450000000001</v>
      </c>
      <c r="M631">
        <v>0.99989519999999998</v>
      </c>
      <c r="N631">
        <v>-1.441988E-2</v>
      </c>
      <c r="O631">
        <v>-1.348148E-3</v>
      </c>
      <c r="P631">
        <v>0.99235370000000001</v>
      </c>
      <c r="Q631">
        <v>-0.11061550000000001</v>
      </c>
      <c r="R631">
        <v>5.4755459999999999E-2</v>
      </c>
      <c r="S631">
        <v>2.9384459999999999</v>
      </c>
      <c r="T631">
        <v>-0.24014679999999999</v>
      </c>
      <c r="U631">
        <v>1.085602</v>
      </c>
      <c r="V631">
        <v>-5.6049359999999999E-2</v>
      </c>
      <c r="W631">
        <v>-9.6321320000000002E-2</v>
      </c>
      <c r="X631">
        <v>0.99377099999999996</v>
      </c>
      <c r="Y631">
        <v>-0.34659849999999998</v>
      </c>
      <c r="Z631">
        <v>1.636052E-2</v>
      </c>
      <c r="AA631">
        <v>0.93787089999999995</v>
      </c>
      <c r="AB631">
        <v>38</v>
      </c>
      <c r="AC631">
        <v>13.3608999999999</v>
      </c>
      <c r="AD631">
        <v>-1.10972603813699</v>
      </c>
      <c r="AE631">
        <v>5.01659999999998</v>
      </c>
      <c r="AF631">
        <v>-5.0043524097855201</v>
      </c>
      <c r="AG631">
        <v>-1.10972603813699</v>
      </c>
      <c r="AH631">
        <v>13.2738674252885</v>
      </c>
      <c r="AI631">
        <v>94.472997665560996</v>
      </c>
      <c r="AJ631">
        <v>110.65683745496101</v>
      </c>
      <c r="AK631">
        <v>14.229216118436799</v>
      </c>
      <c r="AL631">
        <v>95.527374310280194</v>
      </c>
      <c r="AM631">
        <v>93.228100912459695</v>
      </c>
      <c r="AN631">
        <v>1.0000000639419699</v>
      </c>
    </row>
    <row r="632" spans="1:40" x14ac:dyDescent="0.25">
      <c r="A632" t="str">
        <f>"20190305134920368"</f>
        <v>20190305134920368</v>
      </c>
      <c r="B632" t="str">
        <f>"1551764960361505"</f>
        <v>1551764960361505</v>
      </c>
      <c r="C632" t="s">
        <v>40</v>
      </c>
      <c r="D632">
        <v>3.9335330000000002</v>
      </c>
      <c r="E632">
        <v>0.28347850000000002</v>
      </c>
      <c r="F632" t="s">
        <v>42</v>
      </c>
      <c r="G632">
        <v>-372.07060000000001</v>
      </c>
      <c r="H632" s="1">
        <v>-4.1004139999999997E-6</v>
      </c>
      <c r="I632">
        <v>372.5985</v>
      </c>
      <c r="J632">
        <v>-385.35860000000002</v>
      </c>
      <c r="K632">
        <v>1.109747</v>
      </c>
      <c r="L632">
        <v>367.56420000000003</v>
      </c>
      <c r="M632">
        <v>0.99989510000000004</v>
      </c>
      <c r="N632">
        <v>-1.4445919999999999E-2</v>
      </c>
      <c r="O632">
        <v>-1.2156630000000001E-3</v>
      </c>
      <c r="P632">
        <v>0.99222460000000001</v>
      </c>
      <c r="Q632">
        <v>-0.1106047</v>
      </c>
      <c r="R632">
        <v>5.7071650000000002E-2</v>
      </c>
      <c r="S632">
        <v>2.9360050000000002</v>
      </c>
      <c r="T632">
        <v>-0.24072279999999999</v>
      </c>
      <c r="U632">
        <v>1.0920099999999999</v>
      </c>
      <c r="V632">
        <v>-5.8233939999999998E-2</v>
      </c>
      <c r="W632">
        <v>-9.628739E-2</v>
      </c>
      <c r="X632">
        <v>0.99364859999999999</v>
      </c>
      <c r="Y632">
        <v>-0.34851369999999998</v>
      </c>
      <c r="Z632">
        <v>1.6486399999999998E-2</v>
      </c>
      <c r="AA632">
        <v>0.93715870000000001</v>
      </c>
      <c r="AB632">
        <v>38</v>
      </c>
      <c r="AC632">
        <v>13.288</v>
      </c>
      <c r="AD632">
        <v>-1.1097511004139999</v>
      </c>
      <c r="AE632">
        <v>5.0342999999999698</v>
      </c>
      <c r="AF632">
        <v>-5.0198340538074202</v>
      </c>
      <c r="AG632">
        <v>-1.1097511004139999</v>
      </c>
      <c r="AH632">
        <v>13.2013501025534</v>
      </c>
      <c r="AI632">
        <v>94.492760480042307</v>
      </c>
      <c r="AJ632">
        <v>110.81938493377601</v>
      </c>
      <c r="AK632">
        <v>14.167071890931499</v>
      </c>
      <c r="AL632">
        <v>95.525421558712296</v>
      </c>
      <c r="AM632">
        <v>93.354049743187403</v>
      </c>
      <c r="AN632">
        <v>0.99999999676144702</v>
      </c>
    </row>
    <row r="633" spans="1:40" x14ac:dyDescent="0.25">
      <c r="A633" t="str">
        <f>"20190305134920384"</f>
        <v>20190305134920384</v>
      </c>
      <c r="B633" t="str">
        <f>"1551764960382001"</f>
        <v>1551764960382001</v>
      </c>
      <c r="C633" t="s">
        <v>40</v>
      </c>
      <c r="D633">
        <v>3.9417800000000001</v>
      </c>
      <c r="E633">
        <v>0.28599950000000002</v>
      </c>
      <c r="F633" t="s">
        <v>55</v>
      </c>
      <c r="G633">
        <v>-349.30250000000001</v>
      </c>
      <c r="H633">
        <v>0.83883859999999999</v>
      </c>
      <c r="I633">
        <v>391.16840000000002</v>
      </c>
      <c r="J633">
        <v>-385.08049999999997</v>
      </c>
      <c r="K633">
        <v>1.1097699999999999</v>
      </c>
      <c r="L633">
        <v>367.5641</v>
      </c>
      <c r="M633">
        <v>0.99989470000000003</v>
      </c>
      <c r="N633">
        <v>-1.4472169999999999E-2</v>
      </c>
      <c r="O633">
        <v>-1.066977E-3</v>
      </c>
      <c r="P633">
        <v>0.99208339999999995</v>
      </c>
      <c r="Q633">
        <v>-0.10978350000000001</v>
      </c>
      <c r="R633">
        <v>6.0977509999999999E-2</v>
      </c>
      <c r="S633">
        <v>2.911438</v>
      </c>
      <c r="T633">
        <v>-2.1863219999999999E-2</v>
      </c>
      <c r="U633">
        <v>1.905975</v>
      </c>
      <c r="V633">
        <v>-6.1993039999999999E-2</v>
      </c>
      <c r="W633">
        <v>-9.5443700000000006E-2</v>
      </c>
      <c r="X633">
        <v>0.99350260000000001</v>
      </c>
      <c r="Y633">
        <v>-0.54857029999999996</v>
      </c>
      <c r="Z633">
        <v>6.1926699999999999E-3</v>
      </c>
      <c r="AA633">
        <v>0.83608139999999997</v>
      </c>
      <c r="AB633">
        <v>38</v>
      </c>
      <c r="AC633">
        <v>35.777999999999899</v>
      </c>
      <c r="AD633">
        <v>-0.27093139999999999</v>
      </c>
      <c r="AE633">
        <v>23.604299999999999</v>
      </c>
      <c r="AF633">
        <v>-23.641520299611201</v>
      </c>
      <c r="AG633">
        <v>-0.27093139999999999</v>
      </c>
      <c r="AH633">
        <v>35.751363352518702</v>
      </c>
      <c r="AI633">
        <v>90.362169590269005</v>
      </c>
      <c r="AJ633">
        <v>123.47570929468399</v>
      </c>
      <c r="AK633">
        <v>42.8620446020049</v>
      </c>
      <c r="AL633">
        <v>95.4768578477441</v>
      </c>
      <c r="AM633">
        <v>93.570539607779807</v>
      </c>
      <c r="AN633">
        <v>1.00000002654244</v>
      </c>
    </row>
    <row r="634" spans="1:40" x14ac:dyDescent="0.25">
      <c r="A634" t="str">
        <f>"20190305134920398"</f>
        <v>20190305134920398</v>
      </c>
      <c r="B634" t="str">
        <f>"1551764960391761"</f>
        <v>1551764960391761</v>
      </c>
      <c r="C634" t="s">
        <v>40</v>
      </c>
      <c r="D634">
        <v>3.8867240000000001</v>
      </c>
      <c r="E634">
        <v>0.28718480000000002</v>
      </c>
      <c r="F634" t="s">
        <v>56</v>
      </c>
      <c r="G634">
        <v>-332.89920000000001</v>
      </c>
      <c r="H634">
        <v>0.51071929999999999</v>
      </c>
      <c r="I634">
        <v>401.65</v>
      </c>
      <c r="J634">
        <v>-384.85199999999998</v>
      </c>
      <c r="K634">
        <v>1.1097900000000001</v>
      </c>
      <c r="L634">
        <v>367.56389999999999</v>
      </c>
      <c r="M634">
        <v>0.99989459999999997</v>
      </c>
      <c r="N634">
        <v>-1.4491810000000001E-2</v>
      </c>
      <c r="O634">
        <v>-9.462626E-4</v>
      </c>
      <c r="P634">
        <v>0.99198160000000002</v>
      </c>
      <c r="Q634">
        <v>-0.109654</v>
      </c>
      <c r="R634">
        <v>6.2838640000000001E-2</v>
      </c>
      <c r="S634">
        <v>2.9036559999999998</v>
      </c>
      <c r="T634">
        <v>-3.3335450000000003E-2</v>
      </c>
      <c r="U634">
        <v>1.8967290000000001</v>
      </c>
      <c r="V634">
        <v>-6.3733890000000001E-2</v>
      </c>
      <c r="W634">
        <v>-9.5296759999999994E-2</v>
      </c>
      <c r="X634">
        <v>0.99340649999999997</v>
      </c>
      <c r="Y634">
        <v>-0.54760279999999995</v>
      </c>
      <c r="Z634">
        <v>7.182145E-3</v>
      </c>
      <c r="AA634">
        <v>0.836707599999999</v>
      </c>
      <c r="AB634">
        <v>37</v>
      </c>
      <c r="AC634">
        <v>51.952799999999897</v>
      </c>
      <c r="AD634">
        <v>-0.59907069999999996</v>
      </c>
      <c r="AE634">
        <v>34.086099999999902</v>
      </c>
      <c r="AF634">
        <v>-34.132078223944497</v>
      </c>
      <c r="AG634">
        <v>-0.59907069999999996</v>
      </c>
      <c r="AH634">
        <v>51.915693251876696</v>
      </c>
      <c r="AI634">
        <v>90.552433764071793</v>
      </c>
      <c r="AJ634">
        <v>123.323001037068</v>
      </c>
      <c r="AK634">
        <v>62.133701446252303</v>
      </c>
      <c r="AL634">
        <v>95.468400523111001</v>
      </c>
      <c r="AM634">
        <v>93.670889011475495</v>
      </c>
      <c r="AN634">
        <v>0.99999997772163896</v>
      </c>
    </row>
    <row r="635" spans="1:40" x14ac:dyDescent="0.25">
      <c r="A635" t="str">
        <f>"20190305134920411"</f>
        <v>20190305134920411</v>
      </c>
      <c r="B635" t="str">
        <f>"1551764960401522"</f>
        <v>1551764960401522</v>
      </c>
      <c r="C635" t="s">
        <v>40</v>
      </c>
      <c r="D635">
        <v>3.9519099999999998</v>
      </c>
      <c r="E635">
        <v>0.2884929</v>
      </c>
      <c r="F635" t="s">
        <v>56</v>
      </c>
      <c r="G635">
        <v>-332.61</v>
      </c>
      <c r="H635">
        <v>0.41932340000000001</v>
      </c>
      <c r="I635">
        <v>401.65</v>
      </c>
      <c r="J635">
        <v>-384.62869999999998</v>
      </c>
      <c r="K635">
        <v>1.109807</v>
      </c>
      <c r="L635">
        <v>367.56380000000001</v>
      </c>
      <c r="M635">
        <v>0.99989439999999996</v>
      </c>
      <c r="N635">
        <v>-1.450971E-2</v>
      </c>
      <c r="O635">
        <v>-8.2923729999999905E-4</v>
      </c>
      <c r="P635">
        <v>0.9919713</v>
      </c>
      <c r="Q635">
        <v>-0.1089413</v>
      </c>
      <c r="R635">
        <v>6.4227599999999996E-2</v>
      </c>
      <c r="S635">
        <v>2.9001459999999999</v>
      </c>
      <c r="T635">
        <v>-3.8331270000000001E-2</v>
      </c>
      <c r="U635">
        <v>1.892242</v>
      </c>
      <c r="V635">
        <v>-6.5007869999999995E-2</v>
      </c>
      <c r="W635">
        <v>-9.4566769999999994E-2</v>
      </c>
      <c r="X635">
        <v>0.99339370000000005</v>
      </c>
      <c r="Y635">
        <v>-0.54704640000000004</v>
      </c>
      <c r="Z635">
        <v>7.6146390000000003E-3</v>
      </c>
      <c r="AA635">
        <v>0.83706769999999997</v>
      </c>
      <c r="AB635">
        <v>37</v>
      </c>
      <c r="AC635">
        <v>52.018699999999903</v>
      </c>
      <c r="AD635">
        <v>-0.69048359999999998</v>
      </c>
      <c r="AE635">
        <v>34.086199999999899</v>
      </c>
      <c r="AF635">
        <v>-34.125122218925803</v>
      </c>
      <c r="AG635">
        <v>-0.69048359999999998</v>
      </c>
      <c r="AH635">
        <v>51.984005758958901</v>
      </c>
      <c r="AI635">
        <v>90.636178344895995</v>
      </c>
      <c r="AJ635">
        <v>123.283067644436</v>
      </c>
      <c r="AK635">
        <v>62.187921566860297</v>
      </c>
      <c r="AL635">
        <v>95.426385466851798</v>
      </c>
      <c r="AM635">
        <v>93.744108032633804</v>
      </c>
      <c r="AN635">
        <v>0.99999997017492903</v>
      </c>
    </row>
    <row r="636" spans="1:40" x14ac:dyDescent="0.25">
      <c r="A636" t="str">
        <f>"20190305134920423"</f>
        <v>20190305134920423</v>
      </c>
      <c r="B636" t="str">
        <f>"1551764960411282"</f>
        <v>1551764960411282</v>
      </c>
      <c r="C636" t="s">
        <v>40</v>
      </c>
      <c r="D636">
        <v>3.754337</v>
      </c>
      <c r="E636">
        <v>0.2884929</v>
      </c>
      <c r="F636" t="s">
        <v>56</v>
      </c>
      <c r="G636">
        <v>-332.23689999999999</v>
      </c>
      <c r="H636">
        <v>0.42184500000000003</v>
      </c>
      <c r="I636">
        <v>401.65</v>
      </c>
      <c r="J636">
        <v>-384.41950000000003</v>
      </c>
      <c r="K636">
        <v>1.1098220000000001</v>
      </c>
      <c r="L636">
        <v>367.56380000000001</v>
      </c>
      <c r="M636">
        <v>0.99989430000000001</v>
      </c>
      <c r="N636">
        <v>-1.4524459999999999E-2</v>
      </c>
      <c r="O636">
        <v>-7.2137660000000001E-4</v>
      </c>
      <c r="P636">
        <v>0.99191119999999999</v>
      </c>
      <c r="Q636">
        <v>-0.1085293</v>
      </c>
      <c r="R636">
        <v>6.5829490000000004E-2</v>
      </c>
      <c r="S636">
        <v>2.8980410000000001</v>
      </c>
      <c r="T636">
        <v>-3.805542E-2</v>
      </c>
      <c r="U636">
        <v>1.8854679999999999</v>
      </c>
      <c r="V636">
        <v>-6.6503080000000006E-2</v>
      </c>
      <c r="W636">
        <v>-9.4141269999999999E-2</v>
      </c>
      <c r="X636">
        <v>0.99333519999999997</v>
      </c>
      <c r="Y636">
        <v>-0.54586129999999999</v>
      </c>
      <c r="Z636">
        <v>7.5811330000000003E-3</v>
      </c>
      <c r="AA636">
        <v>0.83784130000000001</v>
      </c>
      <c r="AB636">
        <v>37</v>
      </c>
      <c r="AC636">
        <v>52.182600000000001</v>
      </c>
      <c r="AD636">
        <v>-0.68797699999999895</v>
      </c>
      <c r="AE636">
        <v>34.086199999999899</v>
      </c>
      <c r="AF636">
        <v>-34.119681465117701</v>
      </c>
      <c r="AG636">
        <v>-0.68797699999999895</v>
      </c>
      <c r="AH636">
        <v>52.151640992230298</v>
      </c>
      <c r="AI636">
        <v>90.632473453282103</v>
      </c>
      <c r="AJ636">
        <v>123.194310245057</v>
      </c>
      <c r="AK636">
        <v>62.325112385106102</v>
      </c>
      <c r="AL636">
        <v>95.401896542409702</v>
      </c>
      <c r="AM636">
        <v>93.830195638762206</v>
      </c>
      <c r="AN636">
        <v>1.0000000289628601</v>
      </c>
    </row>
    <row r="637" spans="1:40" x14ac:dyDescent="0.25">
      <c r="A637" t="str">
        <f>"20190305134920440"</f>
        <v>20190305134920440</v>
      </c>
      <c r="B637" t="str">
        <f>"1551764960431777"</f>
        <v>1551764960431777</v>
      </c>
      <c r="C637" t="s">
        <v>40</v>
      </c>
      <c r="D637">
        <v>3.8914219999999999</v>
      </c>
      <c r="E637">
        <v>0.29018969999999999</v>
      </c>
      <c r="F637" t="s">
        <v>56</v>
      </c>
      <c r="G637">
        <v>-332.20389999999998</v>
      </c>
      <c r="H637">
        <v>0.46099519999999999</v>
      </c>
      <c r="I637">
        <v>401.65</v>
      </c>
      <c r="J637">
        <v>-384.14170000000001</v>
      </c>
      <c r="K637">
        <v>1.1098410000000001</v>
      </c>
      <c r="L637">
        <v>367.56380000000001</v>
      </c>
      <c r="M637">
        <v>0.99989419999999996</v>
      </c>
      <c r="N637">
        <v>-1.454245E-2</v>
      </c>
      <c r="O637">
        <v>-5.8005649999999997E-4</v>
      </c>
      <c r="P637">
        <v>0.99180789999999996</v>
      </c>
      <c r="Q637">
        <v>-0.1078455</v>
      </c>
      <c r="R637">
        <v>6.8460010000000002E-2</v>
      </c>
      <c r="S637">
        <v>2.895111</v>
      </c>
      <c r="T637">
        <v>-3.5975340000000001E-2</v>
      </c>
      <c r="U637">
        <v>1.889923</v>
      </c>
      <c r="V637">
        <v>-6.8994159999999999E-2</v>
      </c>
      <c r="W637">
        <v>-9.3441679999999999E-2</v>
      </c>
      <c r="X637">
        <v>0.99323130000000004</v>
      </c>
      <c r="Y637">
        <v>-0.54704039999999998</v>
      </c>
      <c r="Z637">
        <v>7.4270369999999896E-3</v>
      </c>
      <c r="AA637">
        <v>0.83707330000000002</v>
      </c>
      <c r="AB637">
        <v>37</v>
      </c>
      <c r="AC637">
        <v>51.937800000000003</v>
      </c>
      <c r="AD637">
        <v>-0.64884580000000003</v>
      </c>
      <c r="AE637">
        <v>34.086199999999899</v>
      </c>
      <c r="AF637">
        <v>-34.112603151889203</v>
      </c>
      <c r="AG637">
        <v>-0.64884580000000003</v>
      </c>
      <c r="AH637">
        <v>51.912354420611997</v>
      </c>
      <c r="AI637">
        <v>90.598460624150206</v>
      </c>
      <c r="AJ637">
        <v>123.309682884127</v>
      </c>
      <c r="AK637">
        <v>62.120715032601602</v>
      </c>
      <c r="AL637">
        <v>95.361635783662507</v>
      </c>
      <c r="AM637">
        <v>93.973630587781201</v>
      </c>
      <c r="AN637">
        <v>0.99999997848750799</v>
      </c>
    </row>
    <row r="638" spans="1:40" x14ac:dyDescent="0.25">
      <c r="A638" t="str">
        <f>"20190305134920453"</f>
        <v>20190305134920453</v>
      </c>
      <c r="B638" t="str">
        <f>"1551764960441538"</f>
        <v>1551764960441538</v>
      </c>
      <c r="C638" t="s">
        <v>40</v>
      </c>
      <c r="D638">
        <v>3.901062</v>
      </c>
      <c r="E638">
        <v>0.29079749999999999</v>
      </c>
      <c r="F638" t="s">
        <v>43</v>
      </c>
      <c r="G638">
        <v>-346.35489999999999</v>
      </c>
      <c r="H638">
        <v>-0.05</v>
      </c>
      <c r="I638">
        <v>392.22039999999998</v>
      </c>
      <c r="J638">
        <v>-383.93970000000002</v>
      </c>
      <c r="K638">
        <v>1.109847</v>
      </c>
      <c r="L638">
        <v>367.56369999999998</v>
      </c>
      <c r="M638">
        <v>0.99989399999999995</v>
      </c>
      <c r="N638">
        <v>-1.4554499999999901E-2</v>
      </c>
      <c r="O638">
        <v>-4.7801940000000002E-4</v>
      </c>
      <c r="P638">
        <v>0.99171419999999999</v>
      </c>
      <c r="Q638">
        <v>-0.10799449999999999</v>
      </c>
      <c r="R638">
        <v>6.9570590000000002E-2</v>
      </c>
      <c r="S638">
        <v>2.8851619999999998</v>
      </c>
      <c r="T638">
        <v>-8.8558319999999996E-2</v>
      </c>
      <c r="U638">
        <v>1.8826290000000001</v>
      </c>
      <c r="V638">
        <v>-7.0004369999999996E-2</v>
      </c>
      <c r="W638">
        <v>-9.3580109999999994E-2</v>
      </c>
      <c r="X638">
        <v>0.99314760000000002</v>
      </c>
      <c r="Y638">
        <v>-0.54657509999999998</v>
      </c>
      <c r="Z638">
        <v>1.198283E-2</v>
      </c>
      <c r="AA638">
        <v>0.83732439999999997</v>
      </c>
      <c r="AB638">
        <v>37</v>
      </c>
      <c r="AC638">
        <v>37.584800000000001</v>
      </c>
      <c r="AD638">
        <v>-1.1598469999999901</v>
      </c>
      <c r="AE638">
        <v>24.656700000000001</v>
      </c>
      <c r="AF638">
        <v>-24.6582485025633</v>
      </c>
      <c r="AG638">
        <v>-1.1598469999999901</v>
      </c>
      <c r="AH638">
        <v>37.548009549076298</v>
      </c>
      <c r="AI638">
        <v>91.479036683295107</v>
      </c>
      <c r="AJ638">
        <v>123.293407798055</v>
      </c>
      <c r="AK638">
        <v>44.935815174258202</v>
      </c>
      <c r="AL638">
        <v>95.369602018010596</v>
      </c>
      <c r="AM638">
        <v>94.031960517022696</v>
      </c>
      <c r="AN638">
        <v>1.0000000020962301</v>
      </c>
    </row>
    <row r="639" spans="1:40" x14ac:dyDescent="0.25">
      <c r="A639" t="str">
        <f>"20190305134920465"</f>
        <v>20190305134920465</v>
      </c>
      <c r="B639" t="str">
        <f>"1551764960461057"</f>
        <v>1551764960461057</v>
      </c>
      <c r="C639" t="s">
        <v>40</v>
      </c>
      <c r="D639">
        <v>3.9032490000000002</v>
      </c>
      <c r="E639">
        <v>0.2913771</v>
      </c>
      <c r="F639" t="s">
        <v>43</v>
      </c>
      <c r="G639">
        <v>-354.0496</v>
      </c>
      <c r="H639">
        <v>-0.05</v>
      </c>
      <c r="I639">
        <v>387.07190000000003</v>
      </c>
      <c r="J639">
        <v>-383.71910000000003</v>
      </c>
      <c r="K639">
        <v>1.10985</v>
      </c>
      <c r="L639">
        <v>367.56369999999998</v>
      </c>
      <c r="M639">
        <v>0.9998939</v>
      </c>
      <c r="N639">
        <v>-1.4566269999999999E-2</v>
      </c>
      <c r="O639">
        <v>-3.6823349999999999E-4</v>
      </c>
      <c r="P639">
        <v>0.99164890000000006</v>
      </c>
      <c r="Q639">
        <v>-0.1081421</v>
      </c>
      <c r="R639">
        <v>7.0270589999999994E-2</v>
      </c>
      <c r="S639">
        <v>2.8809809999999998</v>
      </c>
      <c r="T639">
        <v>-0.11179260000000001</v>
      </c>
      <c r="U639">
        <v>1.8803099999999999</v>
      </c>
      <c r="V639">
        <v>-7.0595870000000005E-2</v>
      </c>
      <c r="W639">
        <v>-9.37167E-2</v>
      </c>
      <c r="X639">
        <v>0.9930928</v>
      </c>
      <c r="Y639">
        <v>-0.54642899999999905</v>
      </c>
      <c r="Z639">
        <v>1.400272E-2</v>
      </c>
      <c r="AA639">
        <v>0.83738829999999997</v>
      </c>
      <c r="AB639">
        <v>37</v>
      </c>
      <c r="AC639">
        <v>29.669499999999999</v>
      </c>
      <c r="AD639">
        <v>-1.15985</v>
      </c>
      <c r="AE639">
        <v>19.508199999999999</v>
      </c>
      <c r="AF639">
        <v>-19.498321574188399</v>
      </c>
      <c r="AG639">
        <v>-1.15985</v>
      </c>
      <c r="AH639">
        <v>29.630699435418801</v>
      </c>
      <c r="AI639">
        <v>91.872842729310406</v>
      </c>
      <c r="AJ639">
        <v>123.346699409644</v>
      </c>
      <c r="AK639">
        <v>35.489549803640699</v>
      </c>
      <c r="AL639">
        <v>95.377462857581193</v>
      </c>
      <c r="AM639">
        <v>94.066138283519805</v>
      </c>
      <c r="AN639">
        <v>0.99999995306589196</v>
      </c>
    </row>
    <row r="640" spans="1:40" x14ac:dyDescent="0.25">
      <c r="A640" t="str">
        <f>"20190305134920479"</f>
        <v>20190305134920479</v>
      </c>
      <c r="B640" t="str">
        <f>"1551764960471794"</f>
        <v>1551764960471794</v>
      </c>
      <c r="C640" t="s">
        <v>40</v>
      </c>
      <c r="D640">
        <v>3.8940549999999998</v>
      </c>
      <c r="E640">
        <v>0.29202260000000002</v>
      </c>
      <c r="F640" t="s">
        <v>54</v>
      </c>
      <c r="G640">
        <v>-362.75749999999999</v>
      </c>
      <c r="H640">
        <v>0.16029170000000001</v>
      </c>
      <c r="I640">
        <v>381.23540000000003</v>
      </c>
      <c r="J640">
        <v>-383.49639999999999</v>
      </c>
      <c r="K640">
        <v>1.1098539999999999</v>
      </c>
      <c r="L640">
        <v>367.56380000000001</v>
      </c>
      <c r="M640">
        <v>0.9998937</v>
      </c>
      <c r="N640">
        <v>-1.4577E-2</v>
      </c>
      <c r="O640">
        <v>-2.5808100000000001E-4</v>
      </c>
      <c r="P640">
        <v>0.99152890000000005</v>
      </c>
      <c r="Q640">
        <v>-0.1087161</v>
      </c>
      <c r="R640">
        <v>7.1072150000000001E-2</v>
      </c>
      <c r="S640">
        <v>2.8780519999999998</v>
      </c>
      <c r="T640">
        <v>-0.13036439999999999</v>
      </c>
      <c r="U640">
        <v>1.8771359999999999</v>
      </c>
      <c r="V640">
        <v>-7.128814E-2</v>
      </c>
      <c r="W640">
        <v>-9.4281649999999995E-2</v>
      </c>
      <c r="X640">
        <v>0.99298989999999998</v>
      </c>
      <c r="Y640">
        <v>-0.54595139999999998</v>
      </c>
      <c r="Z640">
        <v>1.5607899999999999E-2</v>
      </c>
      <c r="AA640">
        <v>0.83767150000000001</v>
      </c>
      <c r="AB640">
        <v>37</v>
      </c>
      <c r="AC640">
        <v>20.738900000000001</v>
      </c>
      <c r="AD640">
        <v>-0.94956229999999997</v>
      </c>
      <c r="AE640">
        <v>13.6716</v>
      </c>
      <c r="AF640">
        <v>-13.656994907313001</v>
      </c>
      <c r="AG640">
        <v>-0.94956229999999997</v>
      </c>
      <c r="AH640">
        <v>20.705113329688199</v>
      </c>
      <c r="AI640">
        <v>92.192403682897293</v>
      </c>
      <c r="AJ640">
        <v>123.408655299304</v>
      </c>
      <c r="AK640">
        <v>24.821702126469599</v>
      </c>
      <c r="AL640">
        <v>95.409975896655098</v>
      </c>
      <c r="AM640">
        <v>94.1062995468873</v>
      </c>
      <c r="AN640">
        <v>0.99999998496669495</v>
      </c>
    </row>
    <row r="641" spans="1:40" x14ac:dyDescent="0.25">
      <c r="A641" t="str">
        <f>"20190305134920492"</f>
        <v>20190305134920492</v>
      </c>
      <c r="B641" t="str">
        <f>"1551764960481554"</f>
        <v>1551764960481554</v>
      </c>
      <c r="C641" t="s">
        <v>40</v>
      </c>
      <c r="D641">
        <v>3.8767559999999999</v>
      </c>
      <c r="E641">
        <v>0.2926106</v>
      </c>
      <c r="F641" t="s">
        <v>41</v>
      </c>
      <c r="G641">
        <v>-382.5813</v>
      </c>
      <c r="H641">
        <v>1.0634699999999999</v>
      </c>
      <c r="I641">
        <v>368.1601</v>
      </c>
      <c r="J641">
        <v>-383.28559999999999</v>
      </c>
      <c r="K641">
        <v>1.109856</v>
      </c>
      <c r="L641">
        <v>367.56380000000001</v>
      </c>
      <c r="M641">
        <v>0.9998937</v>
      </c>
      <c r="N641">
        <v>-1.4586480000000001E-2</v>
      </c>
      <c r="O641">
        <v>-1.5435239999999999E-4</v>
      </c>
      <c r="P641">
        <v>0.99141400000000002</v>
      </c>
      <c r="Q641">
        <v>-0.1092986</v>
      </c>
      <c r="R641">
        <v>7.1778599999999998E-2</v>
      </c>
      <c r="S641">
        <v>2.8753660000000001</v>
      </c>
      <c r="T641">
        <v>-0.14573529999999901</v>
      </c>
      <c r="U641">
        <v>1.8739619999999999</v>
      </c>
      <c r="V641">
        <v>-7.1891689999999994E-2</v>
      </c>
      <c r="W641">
        <v>-9.4856140000000005E-2</v>
      </c>
      <c r="X641">
        <v>0.99289170000000004</v>
      </c>
      <c r="Y641">
        <v>-0.54545559999999904</v>
      </c>
      <c r="Z641">
        <v>1.6933759999999999E-2</v>
      </c>
      <c r="AA641">
        <v>0.83796859999999995</v>
      </c>
      <c r="AB641">
        <v>37</v>
      </c>
      <c r="AC641">
        <v>0.70429999999998905</v>
      </c>
      <c r="AD641">
        <v>-4.6385999999999802E-2</v>
      </c>
      <c r="AE641">
        <v>0.59629999999998495</v>
      </c>
      <c r="AF641">
        <v>-0.59490564185612005</v>
      </c>
      <c r="AG641">
        <v>-4.6385999999999802E-2</v>
      </c>
      <c r="AH641">
        <v>0.70243319220994904</v>
      </c>
      <c r="AI641">
        <v>92.884810641826803</v>
      </c>
      <c r="AJ641">
        <v>130.261974051496</v>
      </c>
      <c r="AK641">
        <v>0.92167064248922603</v>
      </c>
      <c r="AL641">
        <v>95.443039767618799</v>
      </c>
      <c r="AM641">
        <v>94.141352592272696</v>
      </c>
      <c r="AN641">
        <v>1.0000000151578201</v>
      </c>
    </row>
    <row r="642" spans="1:40" x14ac:dyDescent="0.25">
      <c r="A642" t="str">
        <f>"20190305134920506"</f>
        <v>20190305134920506</v>
      </c>
      <c r="B642" t="str">
        <f>"1551764960501073"</f>
        <v>1551764960501073</v>
      </c>
      <c r="C642" t="s">
        <v>40</v>
      </c>
      <c r="D642">
        <v>3.8814190000000002</v>
      </c>
      <c r="E642">
        <v>0.29311399999999999</v>
      </c>
      <c r="F642" t="s">
        <v>42</v>
      </c>
      <c r="G642">
        <v>-364.73869999999999</v>
      </c>
      <c r="H642">
        <v>7.470512E-2</v>
      </c>
      <c r="I642">
        <v>379.64100000000002</v>
      </c>
      <c r="J642">
        <v>-383.03410000000002</v>
      </c>
      <c r="K642">
        <v>1.1098479999999999</v>
      </c>
      <c r="L642">
        <v>367.56389999999999</v>
      </c>
      <c r="M642">
        <v>0.99989349999999999</v>
      </c>
      <c r="N642">
        <v>-1.459647E-2</v>
      </c>
      <c r="O642" s="1">
        <v>-3.1848660000000003E-5</v>
      </c>
      <c r="P642">
        <v>0.99121950000000003</v>
      </c>
      <c r="Q642">
        <v>-0.110594899999999</v>
      </c>
      <c r="R642">
        <v>7.2475659999999997E-2</v>
      </c>
      <c r="S642">
        <v>2.8728639999999999</v>
      </c>
      <c r="T642">
        <v>-0.16034100000000001</v>
      </c>
      <c r="U642">
        <v>1.8707279999999999</v>
      </c>
      <c r="V642">
        <v>-7.2467390000000007E-2</v>
      </c>
      <c r="W642">
        <v>-9.6145069999999999E-2</v>
      </c>
      <c r="X642">
        <v>0.99272579999999999</v>
      </c>
      <c r="Y642">
        <v>-0.54490179999999999</v>
      </c>
      <c r="Z642">
        <v>1.818931E-2</v>
      </c>
      <c r="AA642">
        <v>0.83830260000000001</v>
      </c>
      <c r="AB642">
        <v>37</v>
      </c>
      <c r="AC642">
        <v>18.295400000000001</v>
      </c>
      <c r="AD642">
        <v>-1.03514288</v>
      </c>
      <c r="AE642">
        <v>12.0770999999999</v>
      </c>
      <c r="AF642">
        <v>-12.0508136424721</v>
      </c>
      <c r="AG642">
        <v>-1.03514288</v>
      </c>
      <c r="AH642">
        <v>18.254314576592002</v>
      </c>
      <c r="AI642">
        <v>92.709469904775702</v>
      </c>
      <c r="AJ642">
        <v>123.43129551943601</v>
      </c>
      <c r="AK642">
        <v>21.897799681447101</v>
      </c>
      <c r="AL642">
        <v>95.517229442717706</v>
      </c>
      <c r="AM642">
        <v>94.175094416042896</v>
      </c>
      <c r="AN642">
        <v>0.99999995554217702</v>
      </c>
    </row>
    <row r="643" spans="1:40" x14ac:dyDescent="0.25">
      <c r="A643" t="str">
        <f>"20190305134920519"</f>
        <v>20190305134920519</v>
      </c>
      <c r="B643" t="str">
        <f>"1551764960511810"</f>
        <v>1551764960511810</v>
      </c>
      <c r="C643" t="s">
        <v>40</v>
      </c>
      <c r="D643">
        <v>3.893008</v>
      </c>
      <c r="E643">
        <v>0.2936511</v>
      </c>
      <c r="F643" t="s">
        <v>41</v>
      </c>
      <c r="G643">
        <v>-382.26979999999998</v>
      </c>
      <c r="H643">
        <v>1.063223</v>
      </c>
      <c r="I643">
        <v>368.06119999999999</v>
      </c>
      <c r="J643">
        <v>-382.834</v>
      </c>
      <c r="K643">
        <v>1.1098509999999999</v>
      </c>
      <c r="L643">
        <v>367.56400000000002</v>
      </c>
      <c r="M643">
        <v>0.99989340000000004</v>
      </c>
      <c r="N643">
        <v>-1.460351E-2</v>
      </c>
      <c r="O643" s="1">
        <v>6.4997159999999999E-5</v>
      </c>
      <c r="P643">
        <v>0.99112480000000003</v>
      </c>
      <c r="Q643">
        <v>-0.1113104</v>
      </c>
      <c r="R643">
        <v>7.2674429999999998E-2</v>
      </c>
      <c r="S643">
        <v>2.8704529999999999</v>
      </c>
      <c r="T643">
        <v>-0.17507899999999901</v>
      </c>
      <c r="U643">
        <v>1.8685</v>
      </c>
      <c r="V643">
        <v>-7.2569809999999998E-2</v>
      </c>
      <c r="W643">
        <v>-9.6854629999999997E-2</v>
      </c>
      <c r="X643">
        <v>0.99264940000000002</v>
      </c>
      <c r="Y643">
        <v>-0.54455159999999903</v>
      </c>
      <c r="Z643">
        <v>1.9460789999999999E-2</v>
      </c>
      <c r="AA643">
        <v>0.83850149999999901</v>
      </c>
      <c r="AB643">
        <v>37</v>
      </c>
      <c r="AC643">
        <v>0.56420000000002701</v>
      </c>
      <c r="AD643">
        <v>-4.6627999999999802E-2</v>
      </c>
      <c r="AE643">
        <v>0.497199999999963</v>
      </c>
      <c r="AF643">
        <v>-0.49525930598531498</v>
      </c>
      <c r="AG643">
        <v>-4.6627999999999802E-2</v>
      </c>
      <c r="AH643">
        <v>0.56207144283399402</v>
      </c>
      <c r="AI643">
        <v>93.561626214226294</v>
      </c>
      <c r="AJ643">
        <v>131.384319079525</v>
      </c>
      <c r="AK643">
        <v>0.75058660885906003</v>
      </c>
      <c r="AL643">
        <v>95.558074538435704</v>
      </c>
      <c r="AM643">
        <v>94.181294923139205</v>
      </c>
      <c r="AN643">
        <v>1.00000001399811</v>
      </c>
    </row>
    <row r="644" spans="1:40" x14ac:dyDescent="0.25">
      <c r="A644" t="str">
        <f>"20190305134920531"</f>
        <v>20190305134920531</v>
      </c>
      <c r="B644" t="str">
        <f>"1551764960521570"</f>
        <v>1551764960521570</v>
      </c>
      <c r="C644" t="s">
        <v>40</v>
      </c>
      <c r="D644">
        <v>3.849926</v>
      </c>
      <c r="E644">
        <v>0.29414990000000002</v>
      </c>
      <c r="F644" t="s">
        <v>41</v>
      </c>
      <c r="G644">
        <v>-381.9545</v>
      </c>
      <c r="H644">
        <v>1.0525789999999999</v>
      </c>
      <c r="I644">
        <v>368.13549999999998</v>
      </c>
      <c r="J644">
        <v>-382.6395</v>
      </c>
      <c r="K644">
        <v>1.1098509999999999</v>
      </c>
      <c r="L644">
        <v>367.5641</v>
      </c>
      <c r="M644">
        <v>0.99989340000000004</v>
      </c>
      <c r="N644">
        <v>-1.461002E-2</v>
      </c>
      <c r="O644">
        <v>1.5880899999999999E-4</v>
      </c>
      <c r="P644">
        <v>0.99103980000000003</v>
      </c>
      <c r="Q644">
        <v>-0.1120623</v>
      </c>
      <c r="R644">
        <v>7.2678859999999998E-2</v>
      </c>
      <c r="S644">
        <v>2.8691710000000001</v>
      </c>
      <c r="T644">
        <v>-0.1867994</v>
      </c>
      <c r="U644">
        <v>1.8646849999999999</v>
      </c>
      <c r="V644">
        <v>-7.2481210000000004E-2</v>
      </c>
      <c r="W644">
        <v>-9.7601010000000002E-2</v>
      </c>
      <c r="X644">
        <v>0.99258270000000004</v>
      </c>
      <c r="Y644">
        <v>-0.54374769999999994</v>
      </c>
      <c r="Z644">
        <v>2.0450260000000001E-2</v>
      </c>
      <c r="AA644">
        <v>0.83899950000000001</v>
      </c>
      <c r="AB644">
        <v>37</v>
      </c>
      <c r="AC644">
        <v>0.68500000000000205</v>
      </c>
      <c r="AD644">
        <v>-5.7271999999999698E-2</v>
      </c>
      <c r="AE644">
        <v>0.57139999999998203</v>
      </c>
      <c r="AF644">
        <v>-0.56894592190194804</v>
      </c>
      <c r="AG644">
        <v>-5.7271999999999698E-2</v>
      </c>
      <c r="AH644">
        <v>0.68227829737078205</v>
      </c>
      <c r="AI644">
        <v>93.688671586456493</v>
      </c>
      <c r="AJ644">
        <v>129.82443223029199</v>
      </c>
      <c r="AK644">
        <v>0.89021526559368303</v>
      </c>
      <c r="AL644">
        <v>95.601042900215006</v>
      </c>
      <c r="AM644">
        <v>94.176487722026806</v>
      </c>
      <c r="AN644">
        <v>0.99999994964768502</v>
      </c>
    </row>
    <row r="645" spans="1:40" x14ac:dyDescent="0.25">
      <c r="A645" t="str">
        <f>"20190305134920541"</f>
        <v>20190305134920541</v>
      </c>
      <c r="B645" t="str">
        <f>"1551764960531330"</f>
        <v>1551764960531330</v>
      </c>
      <c r="C645" t="s">
        <v>40</v>
      </c>
      <c r="D645">
        <v>3.7114769999999999</v>
      </c>
      <c r="E645">
        <v>0.29414990000000002</v>
      </c>
      <c r="F645" t="s">
        <v>42</v>
      </c>
      <c r="G645">
        <v>-366.65620000000001</v>
      </c>
      <c r="H645" s="1">
        <v>-3.4855820000000001E-6</v>
      </c>
      <c r="I645">
        <v>377.9298</v>
      </c>
      <c r="J645">
        <v>-382.45780000000002</v>
      </c>
      <c r="K645">
        <v>1.109847</v>
      </c>
      <c r="L645">
        <v>367.5641</v>
      </c>
      <c r="M645">
        <v>0.99989320000000004</v>
      </c>
      <c r="N645">
        <v>-1.461524E-2</v>
      </c>
      <c r="O645">
        <v>2.4625660000000002E-4</v>
      </c>
      <c r="P645">
        <v>0.99097369999999996</v>
      </c>
      <c r="Q645">
        <v>-0.1127611</v>
      </c>
      <c r="R645">
        <v>7.2499209999999994E-2</v>
      </c>
      <c r="S645">
        <v>2.8681640000000002</v>
      </c>
      <c r="T645">
        <v>-0.19915949999999999</v>
      </c>
      <c r="U645">
        <v>1.860107</v>
      </c>
      <c r="V645">
        <v>-7.2214979999999998E-2</v>
      </c>
      <c r="W645">
        <v>-9.8295170000000001E-2</v>
      </c>
      <c r="X645">
        <v>0.99253369999999996</v>
      </c>
      <c r="Y645">
        <v>-0.54274140000000004</v>
      </c>
      <c r="Z645">
        <v>2.148359E-2</v>
      </c>
      <c r="AA645">
        <v>0.83962510000000001</v>
      </c>
      <c r="AB645">
        <v>37</v>
      </c>
      <c r="AC645">
        <v>15.801600000000001</v>
      </c>
      <c r="AD645">
        <v>-1.1098504855819999</v>
      </c>
      <c r="AE645">
        <v>10.3657</v>
      </c>
      <c r="AF645">
        <v>-10.3261930367826</v>
      </c>
      <c r="AG645">
        <v>-1.1098504855819999</v>
      </c>
      <c r="AH645">
        <v>15.7498313306108</v>
      </c>
      <c r="AI645">
        <v>93.372579608706602</v>
      </c>
      <c r="AJ645">
        <v>123.250384528296</v>
      </c>
      <c r="AK645">
        <v>18.865821415351402</v>
      </c>
      <c r="AL645">
        <v>95.641006972217497</v>
      </c>
      <c r="AM645">
        <v>94.161405804131604</v>
      </c>
      <c r="AN645">
        <v>1.0000000447087001</v>
      </c>
    </row>
    <row r="646" spans="1:40" x14ac:dyDescent="0.25">
      <c r="A646" t="str">
        <f>"20190305134920553"</f>
        <v>20190305134920553</v>
      </c>
      <c r="B646" t="str">
        <f>"1551764960551825"</f>
        <v>1551764960551825</v>
      </c>
      <c r="C646" t="s">
        <v>40</v>
      </c>
      <c r="D646">
        <v>3.871791</v>
      </c>
      <c r="E646">
        <v>0.29617179999999999</v>
      </c>
      <c r="F646" t="s">
        <v>41</v>
      </c>
      <c r="G646">
        <v>-381.61700000000002</v>
      </c>
      <c r="H646">
        <v>1.050697</v>
      </c>
      <c r="I646">
        <v>368.10930000000002</v>
      </c>
      <c r="J646">
        <v>-382.2627</v>
      </c>
      <c r="K646">
        <v>1.1098490000000001</v>
      </c>
      <c r="L646">
        <v>367.5643</v>
      </c>
      <c r="M646">
        <v>0.99989320000000004</v>
      </c>
      <c r="N646">
        <v>-1.4620559999999999E-2</v>
      </c>
      <c r="O646">
        <v>3.3960430000000002E-4</v>
      </c>
      <c r="P646">
        <v>0.99091940000000001</v>
      </c>
      <c r="Q646">
        <v>-0.1133887</v>
      </c>
      <c r="R646">
        <v>7.2264629999999996E-2</v>
      </c>
      <c r="S646">
        <v>2.868347</v>
      </c>
      <c r="T646">
        <v>-0.2017814</v>
      </c>
      <c r="U646">
        <v>1.8598939999999999</v>
      </c>
      <c r="V646">
        <v>-7.188775E-2</v>
      </c>
      <c r="W646">
        <v>-9.8917859999999996E-2</v>
      </c>
      <c r="X646">
        <v>0.99249549999999997</v>
      </c>
      <c r="Y646">
        <v>-0.54256729999999997</v>
      </c>
      <c r="Z646">
        <v>2.169836E-2</v>
      </c>
      <c r="AA646">
        <v>0.83973209999999998</v>
      </c>
      <c r="AB646">
        <v>37</v>
      </c>
      <c r="AC646">
        <v>0.64570000000003303</v>
      </c>
      <c r="AD646">
        <v>-5.9152000000000003E-2</v>
      </c>
      <c r="AE646">
        <v>0.54500000000001503</v>
      </c>
      <c r="AF646">
        <v>-0.54212381026262701</v>
      </c>
      <c r="AG646">
        <v>-5.9152000000000003E-2</v>
      </c>
      <c r="AH646">
        <v>0.64273513624356904</v>
      </c>
      <c r="AI646">
        <v>94.024068833268998</v>
      </c>
      <c r="AJ646">
        <v>130.146418962833</v>
      </c>
      <c r="AK646">
        <v>0.84291496612630401</v>
      </c>
      <c r="AL646">
        <v>95.676859719301504</v>
      </c>
      <c r="AM646">
        <v>94.1427737820445</v>
      </c>
      <c r="AN646">
        <v>0.99999995457364499</v>
      </c>
    </row>
    <row r="647" spans="1:40" x14ac:dyDescent="0.25">
      <c r="A647" t="str">
        <f>"20190305134920567"</f>
        <v>20190305134920567</v>
      </c>
      <c r="B647" t="str">
        <f>"1551764960561585"</f>
        <v>1551764960561585</v>
      </c>
      <c r="C647" t="s">
        <v>40</v>
      </c>
      <c r="D647">
        <v>3.7690549999999998</v>
      </c>
      <c r="E647">
        <v>0.2964156</v>
      </c>
      <c r="F647" t="s">
        <v>42</v>
      </c>
      <c r="G647">
        <v>-368.15910000000002</v>
      </c>
      <c r="H647" s="1">
        <v>-2.6368989999999999E-6</v>
      </c>
      <c r="I647">
        <v>376.62490000000003</v>
      </c>
      <c r="J647">
        <v>-382.03379999999999</v>
      </c>
      <c r="K647">
        <v>1.1098520000000001</v>
      </c>
      <c r="L647">
        <v>367.56450000000001</v>
      </c>
      <c r="M647">
        <v>0.99989300000000003</v>
      </c>
      <c r="N647">
        <v>-1.4626109999999999E-2</v>
      </c>
      <c r="O647">
        <v>4.4910419999999999E-4</v>
      </c>
      <c r="P647">
        <v>0.99089210000000005</v>
      </c>
      <c r="Q647">
        <v>-0.1137832</v>
      </c>
      <c r="R647">
        <v>7.2017899999999996E-2</v>
      </c>
      <c r="S647">
        <v>2.8673099999999998</v>
      </c>
      <c r="T647">
        <v>-0.22563510000000001</v>
      </c>
      <c r="U647">
        <v>1.8420719999999999</v>
      </c>
      <c r="V647">
        <v>-7.1532380000000007E-2</v>
      </c>
      <c r="W647">
        <v>-9.9306900000000004E-2</v>
      </c>
      <c r="X647">
        <v>0.99248239999999999</v>
      </c>
      <c r="Y647">
        <v>-0.53866359999999902</v>
      </c>
      <c r="Z647">
        <v>2.360319E-2</v>
      </c>
      <c r="AA647">
        <v>0.84219029999999995</v>
      </c>
      <c r="AB647">
        <v>37</v>
      </c>
      <c r="AC647">
        <v>13.874699999999899</v>
      </c>
      <c r="AD647">
        <v>-1.1098546368989901</v>
      </c>
      <c r="AE647">
        <v>9.0604000000000102</v>
      </c>
      <c r="AF647">
        <v>-9.01373392053749</v>
      </c>
      <c r="AG647">
        <v>-1.1098546368989901</v>
      </c>
      <c r="AH647">
        <v>13.816789502527</v>
      </c>
      <c r="AI647">
        <v>93.848839256557895</v>
      </c>
      <c r="AJ647">
        <v>123.119441628366</v>
      </c>
      <c r="AK647">
        <v>16.534293110454801</v>
      </c>
      <c r="AL647">
        <v>95.699259945689107</v>
      </c>
      <c r="AM647">
        <v>94.122419390518303</v>
      </c>
      <c r="AN647">
        <v>1.00000002804291</v>
      </c>
    </row>
    <row r="648" spans="1:40" x14ac:dyDescent="0.25">
      <c r="A648" t="str">
        <f>"20190305134920580"</f>
        <v>20190305134920580</v>
      </c>
      <c r="B648" t="str">
        <f>"1551764960571346"</f>
        <v>1551764960571346</v>
      </c>
      <c r="C648" t="s">
        <v>40</v>
      </c>
      <c r="D648">
        <v>3.6698</v>
      </c>
      <c r="E648">
        <v>0.2964156</v>
      </c>
      <c r="F648" t="s">
        <v>41</v>
      </c>
      <c r="G648">
        <v>-381.27330000000001</v>
      </c>
      <c r="H648">
        <v>1.04782999999999</v>
      </c>
      <c r="I648">
        <v>368.05250000000001</v>
      </c>
      <c r="J648">
        <v>-381.82600000000002</v>
      </c>
      <c r="K648">
        <v>1.109856</v>
      </c>
      <c r="L648">
        <v>367.56459999999998</v>
      </c>
      <c r="M648">
        <v>0.99989280000000003</v>
      </c>
      <c r="N648">
        <v>-1.463047E-2</v>
      </c>
      <c r="O648">
        <v>5.4883639999999995E-4</v>
      </c>
      <c r="P648">
        <v>0.99090310000000004</v>
      </c>
      <c r="Q648">
        <v>-0.113854399999999</v>
      </c>
      <c r="R648">
        <v>7.1750770000000005E-2</v>
      </c>
      <c r="S648">
        <v>2.8670650000000002</v>
      </c>
      <c r="T648">
        <v>-0.23384579999999999</v>
      </c>
      <c r="U648">
        <v>1.8394170000000001</v>
      </c>
      <c r="V648">
        <v>-7.116654E-2</v>
      </c>
      <c r="W648">
        <v>-9.9373230000000007E-2</v>
      </c>
      <c r="X648">
        <v>0.992502</v>
      </c>
      <c r="Y648">
        <v>-0.53796339999999998</v>
      </c>
      <c r="Z648">
        <v>2.4273340000000001E-2</v>
      </c>
      <c r="AA648">
        <v>0.8426186</v>
      </c>
      <c r="AB648">
        <v>37</v>
      </c>
      <c r="AC648">
        <v>0.552699999999958</v>
      </c>
      <c r="AD648">
        <v>-6.2026000000000102E-2</v>
      </c>
      <c r="AE648">
        <v>0.48790000000002398</v>
      </c>
      <c r="AF648">
        <v>-0.48416945472041001</v>
      </c>
      <c r="AG648">
        <v>-6.2026000000000102E-2</v>
      </c>
      <c r="AH648">
        <v>0.54908116062914403</v>
      </c>
      <c r="AI648">
        <v>94.842998954124994</v>
      </c>
      <c r="AJ648">
        <v>131.40524237809299</v>
      </c>
      <c r="AK648">
        <v>0.73468184033505801</v>
      </c>
      <c r="AL648">
        <v>95.703079612429903</v>
      </c>
      <c r="AM648">
        <v>94.101327403170302</v>
      </c>
      <c r="AN648">
        <v>0.99999996763010102</v>
      </c>
    </row>
    <row r="649" spans="1:40" x14ac:dyDescent="0.25">
      <c r="A649" t="str">
        <f>"20190305134920596"</f>
        <v>20190305134920596</v>
      </c>
      <c r="B649" t="str">
        <f>"1551764960591841"</f>
        <v>1551764960591841</v>
      </c>
      <c r="C649" t="s">
        <v>40</v>
      </c>
      <c r="D649">
        <v>3.7256809999999998</v>
      </c>
      <c r="E649">
        <v>0.29695500000000002</v>
      </c>
      <c r="F649" t="s">
        <v>41</v>
      </c>
      <c r="G649">
        <v>-380.95690000000002</v>
      </c>
      <c r="H649">
        <v>1.038921</v>
      </c>
      <c r="I649">
        <v>368.12169999999998</v>
      </c>
      <c r="J649">
        <v>-381.54140000000001</v>
      </c>
      <c r="K649">
        <v>1.1098650000000001</v>
      </c>
      <c r="L649">
        <v>367.56490000000002</v>
      </c>
      <c r="M649">
        <v>0.99989269999999997</v>
      </c>
      <c r="N649">
        <v>-1.4635769999999999E-2</v>
      </c>
      <c r="O649">
        <v>6.8562829999999997E-4</v>
      </c>
      <c r="P649">
        <v>0.99096200000000001</v>
      </c>
      <c r="Q649">
        <v>-0.1137548</v>
      </c>
      <c r="R649">
        <v>7.1093400000000001E-2</v>
      </c>
      <c r="S649">
        <v>2.8675229999999998</v>
      </c>
      <c r="T649">
        <v>-0.23401469999999999</v>
      </c>
      <c r="U649">
        <v>1.8384400000000001</v>
      </c>
      <c r="V649">
        <v>-7.0373610000000003E-2</v>
      </c>
      <c r="W649">
        <v>-9.9266950000000007E-2</v>
      </c>
      <c r="X649">
        <v>0.99256920000000004</v>
      </c>
      <c r="Y649">
        <v>-0.53758309999999998</v>
      </c>
      <c r="Z649">
        <v>2.4262349999999999E-2</v>
      </c>
      <c r="AA649">
        <v>0.84286170000000005</v>
      </c>
      <c r="AB649">
        <v>37</v>
      </c>
      <c r="AC649">
        <v>0.58449999999999103</v>
      </c>
      <c r="AD649">
        <v>-7.0943999999999896E-2</v>
      </c>
      <c r="AE649">
        <v>0.556799999999952</v>
      </c>
      <c r="AF649">
        <v>-0.55213474424043296</v>
      </c>
      <c r="AG649">
        <v>-7.0943999999999896E-2</v>
      </c>
      <c r="AH649">
        <v>0.58039903397385795</v>
      </c>
      <c r="AI649">
        <v>95.060988680564094</v>
      </c>
      <c r="AJ649">
        <v>133.57038398559101</v>
      </c>
      <c r="AK649">
        <v>0.80420697931020002</v>
      </c>
      <c r="AL649">
        <v>95.696959804401899</v>
      </c>
      <c r="AM649">
        <v>94.055510529230006</v>
      </c>
      <c r="AN649">
        <v>0.99999999456768696</v>
      </c>
    </row>
    <row r="650" spans="1:40" x14ac:dyDescent="0.25">
      <c r="A650" t="str">
        <f>"20190305134920608"</f>
        <v>20190305134920608</v>
      </c>
      <c r="B650" t="str">
        <f>"1551764960601602"</f>
        <v>1551764960601602</v>
      </c>
      <c r="C650" t="s">
        <v>40</v>
      </c>
      <c r="D650">
        <v>3.6993049999999998</v>
      </c>
      <c r="E650">
        <v>0.29716009999999998</v>
      </c>
      <c r="F650" t="s">
        <v>41</v>
      </c>
      <c r="G650">
        <v>-380.63130000000001</v>
      </c>
      <c r="H650">
        <v>1.0324139999999999</v>
      </c>
      <c r="I650">
        <v>368.1465</v>
      </c>
      <c r="J650">
        <v>-381.34460000000001</v>
      </c>
      <c r="K650">
        <v>1.1098680000000001</v>
      </c>
      <c r="L650">
        <v>367.5652</v>
      </c>
      <c r="M650">
        <v>0.99989269999999997</v>
      </c>
      <c r="N650">
        <v>-1.4639020000000001E-2</v>
      </c>
      <c r="O650">
        <v>7.8047879999999998E-4</v>
      </c>
      <c r="P650">
        <v>0.99102630000000003</v>
      </c>
      <c r="Q650">
        <v>-0.1133813</v>
      </c>
      <c r="R650">
        <v>7.0793750000000003E-2</v>
      </c>
      <c r="S650">
        <v>2.8678889999999999</v>
      </c>
      <c r="T650">
        <v>-0.24408569999999999</v>
      </c>
      <c r="U650">
        <v>1.8321529999999999</v>
      </c>
      <c r="V650">
        <v>-6.9980109999999998E-2</v>
      </c>
      <c r="W650">
        <v>-9.8888939999999995E-2</v>
      </c>
      <c r="X650">
        <v>0.99263480000000004</v>
      </c>
      <c r="Y650">
        <v>-0.53602249999999996</v>
      </c>
      <c r="Z650">
        <v>2.5048859999999999E-2</v>
      </c>
      <c r="AA650">
        <v>0.84383199999999903</v>
      </c>
      <c r="AB650">
        <v>37</v>
      </c>
      <c r="AC650">
        <v>0.71330000000000304</v>
      </c>
      <c r="AD650">
        <v>-7.7454000000000106E-2</v>
      </c>
      <c r="AE650">
        <v>0.58129999999999804</v>
      </c>
      <c r="AF650">
        <v>-0.576657290613108</v>
      </c>
      <c r="AG650">
        <v>-7.7454000000000106E-2</v>
      </c>
      <c r="AH650">
        <v>0.70873198503317902</v>
      </c>
      <c r="AI650">
        <v>94.845395075703493</v>
      </c>
      <c r="AJ650">
        <v>129.13340460982801</v>
      </c>
      <c r="AK650">
        <v>0.91696989020486497</v>
      </c>
      <c r="AL650">
        <v>95.6751940620873</v>
      </c>
      <c r="AM650">
        <v>94.032643191086706</v>
      </c>
      <c r="AN650">
        <v>1.00000004221048</v>
      </c>
    </row>
    <row r="651" spans="1:40" x14ac:dyDescent="0.25">
      <c r="A651" t="str">
        <f>"20190305134920620"</f>
        <v>20190305134920620</v>
      </c>
      <c r="B651" t="str">
        <f>"1551764960611361"</f>
        <v>1551764960611361</v>
      </c>
      <c r="C651" t="s">
        <v>40</v>
      </c>
      <c r="D651">
        <v>3.5842010000000002</v>
      </c>
      <c r="E651">
        <v>0.29716009999999998</v>
      </c>
      <c r="F651" t="s">
        <v>41</v>
      </c>
      <c r="G651">
        <v>-380.60739999999998</v>
      </c>
      <c r="H651">
        <v>1.0464059999999999</v>
      </c>
      <c r="I651">
        <v>368.03559999999999</v>
      </c>
      <c r="J651">
        <v>-381.16309999999999</v>
      </c>
      <c r="K651">
        <v>1.109874</v>
      </c>
      <c r="L651">
        <v>367.56540000000001</v>
      </c>
      <c r="M651">
        <v>0.99989249999999996</v>
      </c>
      <c r="N651">
        <v>-1.4641609999999999E-2</v>
      </c>
      <c r="O651">
        <v>8.6771129999999995E-4</v>
      </c>
      <c r="P651">
        <v>0.99108830000000003</v>
      </c>
      <c r="Q651">
        <v>-0.1130888</v>
      </c>
      <c r="R651">
        <v>7.0392319999999994E-2</v>
      </c>
      <c r="S651">
        <v>2.8681640000000002</v>
      </c>
      <c r="T651">
        <v>-0.246951</v>
      </c>
      <c r="U651">
        <v>1.8300479999999999</v>
      </c>
      <c r="V651">
        <v>-6.9492730000000003E-2</v>
      </c>
      <c r="W651">
        <v>-9.8592650000000004E-2</v>
      </c>
      <c r="X651">
        <v>0.99269850000000004</v>
      </c>
      <c r="Y651">
        <v>-0.53543750000000001</v>
      </c>
      <c r="Z651">
        <v>2.5260959999999999E-2</v>
      </c>
      <c r="AA651">
        <v>0.84419699999999998</v>
      </c>
      <c r="AB651">
        <v>37</v>
      </c>
      <c r="AC651">
        <v>0.55570000000000097</v>
      </c>
      <c r="AD651">
        <v>-6.3467999999999997E-2</v>
      </c>
      <c r="AE651">
        <v>0.47019999999997703</v>
      </c>
      <c r="AF651">
        <v>-0.46617376702524699</v>
      </c>
      <c r="AG651">
        <v>-6.3467999999999997E-2</v>
      </c>
      <c r="AH651">
        <v>0.55191223796662903</v>
      </c>
      <c r="AI651">
        <v>95.020648150773894</v>
      </c>
      <c r="AJ651">
        <v>130.18617458070901</v>
      </c>
      <c r="AK651">
        <v>0.72522636914541505</v>
      </c>
      <c r="AL651">
        <v>95.658134592962398</v>
      </c>
      <c r="AM651">
        <v>94.0043932068142</v>
      </c>
      <c r="AN651">
        <v>1.00000003102956</v>
      </c>
    </row>
    <row r="652" spans="1:40" x14ac:dyDescent="0.25">
      <c r="A652" t="str">
        <f>"20190305134920631"</f>
        <v>20190305134920631</v>
      </c>
      <c r="B652" t="str">
        <f>"1551764960621122"</f>
        <v>1551764960621122</v>
      </c>
      <c r="C652" t="s">
        <v>40</v>
      </c>
      <c r="D652">
        <v>3.6891370000000001</v>
      </c>
      <c r="E652">
        <v>0.29731020000000002</v>
      </c>
      <c r="F652" t="s">
        <v>41</v>
      </c>
      <c r="G652">
        <v>-380.29480000000001</v>
      </c>
      <c r="H652">
        <v>1.03538</v>
      </c>
      <c r="I652">
        <v>368.11869999999999</v>
      </c>
      <c r="J652">
        <v>-380.96620000000001</v>
      </c>
      <c r="K652">
        <v>1.1098790000000001</v>
      </c>
      <c r="L652">
        <v>367.56560000000002</v>
      </c>
      <c r="M652">
        <v>0.99989240000000001</v>
      </c>
      <c r="N652">
        <v>-1.4644269999999999E-2</v>
      </c>
      <c r="O652">
        <v>9.6221459999999996E-4</v>
      </c>
      <c r="P652">
        <v>0.99114570000000002</v>
      </c>
      <c r="Q652">
        <v>-0.1128996</v>
      </c>
      <c r="R652">
        <v>6.9887229999999995E-2</v>
      </c>
      <c r="S652">
        <v>2.8689879999999999</v>
      </c>
      <c r="T652">
        <v>-0.24610760000000001</v>
      </c>
      <c r="U652">
        <v>1.8283689999999999</v>
      </c>
      <c r="V652">
        <v>-6.8893819999999995E-2</v>
      </c>
      <c r="W652">
        <v>-9.8399669999999995E-2</v>
      </c>
      <c r="X652">
        <v>0.99275930000000001</v>
      </c>
      <c r="Y652">
        <v>-0.53490939999999998</v>
      </c>
      <c r="Z652">
        <v>2.515645E-2</v>
      </c>
      <c r="AA652">
        <v>0.84453489999999998</v>
      </c>
      <c r="AB652">
        <v>37</v>
      </c>
      <c r="AC652">
        <v>0.67140000000000499</v>
      </c>
      <c r="AD652">
        <v>-7.4498999999999996E-2</v>
      </c>
      <c r="AE652">
        <v>0.55309999999997195</v>
      </c>
      <c r="AF652">
        <v>-0.54843110146707796</v>
      </c>
      <c r="AG652">
        <v>-7.4498999999999996E-2</v>
      </c>
      <c r="AH652">
        <v>0.66703945564707801</v>
      </c>
      <c r="AI652">
        <v>94.930735448207798</v>
      </c>
      <c r="AJ652">
        <v>129.426594645894</v>
      </c>
      <c r="AK652">
        <v>0.86675741095611303</v>
      </c>
      <c r="AL652">
        <v>95.647024138158002</v>
      </c>
      <c r="AM652">
        <v>93.969750570152996</v>
      </c>
      <c r="AN652">
        <v>0.99999994061339303</v>
      </c>
    </row>
    <row r="653" spans="1:40" x14ac:dyDescent="0.25">
      <c r="A653" t="str">
        <f>"20190305134920643"</f>
        <v>20190305134920643</v>
      </c>
      <c r="B653" t="str">
        <f>"1551764960631859"</f>
        <v>1551764960631859</v>
      </c>
      <c r="C653" t="s">
        <v>40</v>
      </c>
      <c r="D653">
        <v>3.6333579999999999</v>
      </c>
      <c r="E653">
        <v>0.2974522</v>
      </c>
      <c r="F653" t="s">
        <v>42</v>
      </c>
      <c r="G653">
        <v>-368.17430000000002</v>
      </c>
      <c r="H653" s="1">
        <v>-2.3853190000000002E-6</v>
      </c>
      <c r="I653">
        <v>375.70389999999998</v>
      </c>
      <c r="J653">
        <v>-380.76420000000002</v>
      </c>
      <c r="K653">
        <v>1.109877</v>
      </c>
      <c r="L653">
        <v>367.5659</v>
      </c>
      <c r="M653">
        <v>0.99989220000000001</v>
      </c>
      <c r="N653">
        <v>-1.464645E-2</v>
      </c>
      <c r="O653">
        <v>1.059225E-3</v>
      </c>
      <c r="P653">
        <v>0.99119710000000005</v>
      </c>
      <c r="Q653">
        <v>-0.1126262</v>
      </c>
      <c r="R653">
        <v>6.9597300000000001E-2</v>
      </c>
      <c r="S653">
        <v>2.8696899999999999</v>
      </c>
      <c r="T653">
        <v>-0.2489845</v>
      </c>
      <c r="U653">
        <v>1.8257140000000001</v>
      </c>
      <c r="V653">
        <v>-6.8507520000000002E-2</v>
      </c>
      <c r="W653">
        <v>-9.8123020000000005E-2</v>
      </c>
      <c r="X653">
        <v>0.99281350000000002</v>
      </c>
      <c r="Y653">
        <v>-0.5341437</v>
      </c>
      <c r="Z653">
        <v>2.5357330000000001E-2</v>
      </c>
      <c r="AA653">
        <v>0.84501329999999997</v>
      </c>
      <c r="AB653">
        <v>37</v>
      </c>
      <c r="AC653">
        <v>12.5899</v>
      </c>
      <c r="AD653">
        <v>-1.1098793853190001</v>
      </c>
      <c r="AE653">
        <v>8.1379999999999697</v>
      </c>
      <c r="AF653">
        <v>-8.0803673582869902</v>
      </c>
      <c r="AG653">
        <v>-1.1098793853190001</v>
      </c>
      <c r="AH653">
        <v>12.529833759685999</v>
      </c>
      <c r="AI653">
        <v>94.257347071375705</v>
      </c>
      <c r="AJ653">
        <v>122.817574241317</v>
      </c>
      <c r="AK653">
        <v>14.950615470280599</v>
      </c>
      <c r="AL653">
        <v>95.631095693118397</v>
      </c>
      <c r="AM653">
        <v>93.947347213839706</v>
      </c>
      <c r="AN653">
        <v>1.00000002656636</v>
      </c>
    </row>
    <row r="654" spans="1:40" x14ac:dyDescent="0.25">
      <c r="A654" t="str">
        <f>"20190305134920655"</f>
        <v>20190305134920655</v>
      </c>
      <c r="B654" t="str">
        <f>"1551764960651378"</f>
        <v>1551764960651378</v>
      </c>
      <c r="C654" t="s">
        <v>40</v>
      </c>
      <c r="D654">
        <v>3.6185839999999998</v>
      </c>
      <c r="E654">
        <v>0.29769449999999997</v>
      </c>
      <c r="F654" t="s">
        <v>41</v>
      </c>
      <c r="G654">
        <v>-379.95609999999999</v>
      </c>
      <c r="H654">
        <v>1.039218</v>
      </c>
      <c r="I654">
        <v>368.0795</v>
      </c>
      <c r="J654">
        <v>-380.577</v>
      </c>
      <c r="K654">
        <v>1.1098779999999999</v>
      </c>
      <c r="L654">
        <v>367.56619999999998</v>
      </c>
      <c r="M654">
        <v>0.99989209999999995</v>
      </c>
      <c r="N654">
        <v>-1.464819E-2</v>
      </c>
      <c r="O654">
        <v>1.149202E-3</v>
      </c>
      <c r="P654">
        <v>0.99121459999999995</v>
      </c>
      <c r="Q654">
        <v>-0.1125796</v>
      </c>
      <c r="R654">
        <v>6.9423719999999994E-2</v>
      </c>
      <c r="S654">
        <v>2.8700559999999999</v>
      </c>
      <c r="T654">
        <v>-0.25095299999999998</v>
      </c>
      <c r="U654">
        <v>1.8238529999999999</v>
      </c>
      <c r="V654">
        <v>-6.8245120000000006E-2</v>
      </c>
      <c r="W654">
        <v>-9.8074149999999999E-2</v>
      </c>
      <c r="X654">
        <v>0.99283639999999995</v>
      </c>
      <c r="Y654">
        <v>-0.5336052</v>
      </c>
      <c r="Z654">
        <v>2.5492859999999999E-2</v>
      </c>
      <c r="AA654">
        <v>0.84534940000000003</v>
      </c>
      <c r="AB654">
        <v>37</v>
      </c>
      <c r="AC654">
        <v>0.620900000000006</v>
      </c>
      <c r="AD654">
        <v>-7.0660000000000098E-2</v>
      </c>
      <c r="AE654">
        <v>0.51330000000001497</v>
      </c>
      <c r="AF654">
        <v>-0.50867272605464398</v>
      </c>
      <c r="AG654">
        <v>-7.0660000000000098E-2</v>
      </c>
      <c r="AH654">
        <v>0.61674480006503496</v>
      </c>
      <c r="AI654">
        <v>95.050998683052299</v>
      </c>
      <c r="AJ654">
        <v>129.51479572362101</v>
      </c>
      <c r="AK654">
        <v>0.80256770819608902</v>
      </c>
      <c r="AL654">
        <v>95.6282820794207</v>
      </c>
      <c r="AM654">
        <v>93.932185049276796</v>
      </c>
      <c r="AN654">
        <v>1.00000002623349</v>
      </c>
    </row>
    <row r="655" spans="1:40" x14ac:dyDescent="0.25">
      <c r="A655" t="str">
        <f>"20190305134920666"</f>
        <v>20190305134920666</v>
      </c>
      <c r="B655" t="str">
        <f>"1551764960661137"</f>
        <v>1551764960661137</v>
      </c>
      <c r="C655" t="s">
        <v>40</v>
      </c>
      <c r="D655">
        <v>3.6294379999999999</v>
      </c>
      <c r="E655">
        <v>0.29781049999999998</v>
      </c>
      <c r="F655" t="s">
        <v>41</v>
      </c>
      <c r="G655">
        <v>-379.64330000000001</v>
      </c>
      <c r="H655">
        <v>1.027094</v>
      </c>
      <c r="I655">
        <v>368.15859999999998</v>
      </c>
      <c r="J655">
        <v>-380.39530000000002</v>
      </c>
      <c r="K655">
        <v>1.10988</v>
      </c>
      <c r="L655">
        <v>367.56650000000002</v>
      </c>
      <c r="M655">
        <v>0.999892</v>
      </c>
      <c r="N655">
        <v>-1.46496E-2</v>
      </c>
      <c r="O655">
        <v>1.2366160000000001E-3</v>
      </c>
      <c r="P655">
        <v>0.9912088</v>
      </c>
      <c r="Q655">
        <v>-0.1127734</v>
      </c>
      <c r="R655">
        <v>6.9193920000000006E-2</v>
      </c>
      <c r="S655">
        <v>2.870117</v>
      </c>
      <c r="T655">
        <v>-0.25447259999999999</v>
      </c>
      <c r="U655">
        <v>1.820953</v>
      </c>
      <c r="V655">
        <v>-6.7929459999999997E-2</v>
      </c>
      <c r="W655">
        <v>-9.8266300000000001E-2</v>
      </c>
      <c r="X655">
        <v>0.99283900000000003</v>
      </c>
      <c r="Y655">
        <v>-0.53287099999999998</v>
      </c>
      <c r="Z655">
        <v>2.5752850000000001E-2</v>
      </c>
      <c r="AA655">
        <v>0.84580449999999996</v>
      </c>
      <c r="AB655">
        <v>37</v>
      </c>
      <c r="AC655">
        <v>0.75200000000000899</v>
      </c>
      <c r="AD655">
        <v>-8.2785999999999998E-2</v>
      </c>
      <c r="AE655">
        <v>0.59209999999995899</v>
      </c>
      <c r="AF655">
        <v>-0.58677963482475604</v>
      </c>
      <c r="AG655">
        <v>-8.2785999999999998E-2</v>
      </c>
      <c r="AH655">
        <v>0.74714210581340601</v>
      </c>
      <c r="AI655">
        <v>94.980266838514495</v>
      </c>
      <c r="AJ655">
        <v>128.14486854970801</v>
      </c>
      <c r="AK655">
        <v>0.95361689787899895</v>
      </c>
      <c r="AL655">
        <v>95.6393451701895</v>
      </c>
      <c r="AM655">
        <v>93.914043621419495</v>
      </c>
      <c r="AN655">
        <v>0.99999997858628997</v>
      </c>
    </row>
    <row r="656" spans="1:40" x14ac:dyDescent="0.25">
      <c r="A656" t="str">
        <f>"20190305134920677"</f>
        <v>20190305134920677</v>
      </c>
      <c r="B656" t="str">
        <f>"1551764960671873"</f>
        <v>1551764960671873</v>
      </c>
      <c r="C656" t="s">
        <v>40</v>
      </c>
      <c r="D656">
        <v>3.6029620000000002</v>
      </c>
      <c r="E656">
        <v>0.29790260000000002</v>
      </c>
      <c r="F656" t="s">
        <v>41</v>
      </c>
      <c r="G656">
        <v>-379.62139999999999</v>
      </c>
      <c r="H656">
        <v>1.040554</v>
      </c>
      <c r="I656">
        <v>368.05709999999999</v>
      </c>
      <c r="J656">
        <v>-380.19839999999999</v>
      </c>
      <c r="K656">
        <v>1.1098790000000001</v>
      </c>
      <c r="L656">
        <v>367.5668</v>
      </c>
      <c r="M656">
        <v>0.99989189999999994</v>
      </c>
      <c r="N656">
        <v>-1.465077E-2</v>
      </c>
      <c r="O656">
        <v>1.329928E-3</v>
      </c>
      <c r="P656">
        <v>0.99123510000000004</v>
      </c>
      <c r="Q656">
        <v>-0.1126369</v>
      </c>
      <c r="R656">
        <v>6.9035109999999997E-2</v>
      </c>
      <c r="S656">
        <v>2.8703609999999999</v>
      </c>
      <c r="T656">
        <v>-0.25713989999999998</v>
      </c>
      <c r="U656">
        <v>1.8197019999999999</v>
      </c>
      <c r="V656">
        <v>-6.7678050000000003E-2</v>
      </c>
      <c r="W656">
        <v>-9.8127950000000005E-2</v>
      </c>
      <c r="X656">
        <v>0.99286989999999997</v>
      </c>
      <c r="Y656">
        <v>-0.53246340000000003</v>
      </c>
      <c r="Z656">
        <v>2.595196E-2</v>
      </c>
      <c r="AA656">
        <v>0.84605520000000001</v>
      </c>
      <c r="AB656">
        <v>37</v>
      </c>
      <c r="AC656">
        <v>0.57699999999999796</v>
      </c>
      <c r="AD656">
        <v>-6.9324999999999998E-2</v>
      </c>
      <c r="AE656">
        <v>0.49029999999999002</v>
      </c>
      <c r="AF656">
        <v>-0.48546266145302502</v>
      </c>
      <c r="AG656">
        <v>-6.9324999999999998E-2</v>
      </c>
      <c r="AH656">
        <v>0.57284963639682096</v>
      </c>
      <c r="AI656">
        <v>95.274833363106197</v>
      </c>
      <c r="AJ656">
        <v>130.27968074257899</v>
      </c>
      <c r="AK656">
        <v>0.75408000716769097</v>
      </c>
      <c r="AL656">
        <v>95.631379536130297</v>
      </c>
      <c r="AM656">
        <v>93.899481357423895</v>
      </c>
      <c r="AN656">
        <v>1.0000000256745001</v>
      </c>
    </row>
    <row r="657" spans="1:40" x14ac:dyDescent="0.25">
      <c r="A657" t="str">
        <f>"20190305134920690"</f>
        <v>20190305134920690</v>
      </c>
      <c r="B657" t="str">
        <f>"1551764960681634"</f>
        <v>1551764960681634</v>
      </c>
      <c r="C657" t="s">
        <v>40</v>
      </c>
      <c r="D657">
        <v>3.572838</v>
      </c>
      <c r="E657">
        <v>0.2980062</v>
      </c>
      <c r="F657" t="s">
        <v>41</v>
      </c>
      <c r="G657">
        <v>-379.30779999999999</v>
      </c>
      <c r="H657">
        <v>1.0299419999999999</v>
      </c>
      <c r="I657">
        <v>368.1311</v>
      </c>
      <c r="J657">
        <v>-380.00880000000001</v>
      </c>
      <c r="K657">
        <v>1.109882</v>
      </c>
      <c r="L657">
        <v>367.56709999999998</v>
      </c>
      <c r="M657">
        <v>0.9998918</v>
      </c>
      <c r="N657">
        <v>-1.465175E-2</v>
      </c>
      <c r="O657">
        <v>1.4191869999999999E-3</v>
      </c>
      <c r="P657">
        <v>0.99123439999999996</v>
      </c>
      <c r="Q657">
        <v>-0.1126625</v>
      </c>
      <c r="R657">
        <v>6.9005549999999999E-2</v>
      </c>
      <c r="S657">
        <v>2.8706049999999999</v>
      </c>
      <c r="T657">
        <v>-0.2576852</v>
      </c>
      <c r="U657">
        <v>1.818573</v>
      </c>
      <c r="V657">
        <v>-6.7560010000000004E-2</v>
      </c>
      <c r="W657">
        <v>-9.8152229999999993E-2</v>
      </c>
      <c r="X657">
        <v>0.99287550000000002</v>
      </c>
      <c r="Y657">
        <v>-0.53211219999999904</v>
      </c>
      <c r="Z657">
        <v>2.5974939999999998E-2</v>
      </c>
      <c r="AA657">
        <v>0.84627540000000001</v>
      </c>
      <c r="AB657">
        <v>37</v>
      </c>
      <c r="AC657">
        <v>0.70100000000002105</v>
      </c>
      <c r="AD657">
        <v>-7.9940000000000094E-2</v>
      </c>
      <c r="AE657">
        <v>0.56400000000002104</v>
      </c>
      <c r="AF657">
        <v>-0.55859476641209005</v>
      </c>
      <c r="AG657">
        <v>-7.9940000000000094E-2</v>
      </c>
      <c r="AH657">
        <v>0.69630298390906398</v>
      </c>
      <c r="AI657">
        <v>95.117256939391496</v>
      </c>
      <c r="AJ657">
        <v>128.73761299188101</v>
      </c>
      <c r="AK657">
        <v>0.89624570406984005</v>
      </c>
      <c r="AL657">
        <v>95.632777645161795</v>
      </c>
      <c r="AM657">
        <v>93.892679155742698</v>
      </c>
      <c r="AN657">
        <v>0.99999998685271096</v>
      </c>
    </row>
    <row r="658" spans="1:40" x14ac:dyDescent="0.25">
      <c r="A658" t="str">
        <f>"20190305134920701"</f>
        <v>20190305134920701</v>
      </c>
      <c r="B658" t="str">
        <f>"1551764960691393"</f>
        <v>1551764960691393</v>
      </c>
      <c r="C658" t="s">
        <v>40</v>
      </c>
      <c r="D658">
        <v>3.5871620000000002</v>
      </c>
      <c r="E658">
        <v>0.29810759999999997</v>
      </c>
      <c r="F658" t="s">
        <v>42</v>
      </c>
      <c r="G658">
        <v>-367.72699999999998</v>
      </c>
      <c r="H658" s="1">
        <v>-2.481313E-6</v>
      </c>
      <c r="I658">
        <v>375.34350000000001</v>
      </c>
      <c r="J658">
        <v>-379.8109</v>
      </c>
      <c r="K658">
        <v>1.109882</v>
      </c>
      <c r="L658">
        <v>367.5675</v>
      </c>
      <c r="M658">
        <v>0.99989159999999999</v>
      </c>
      <c r="N658">
        <v>-1.4652419999999999E-2</v>
      </c>
      <c r="O658">
        <v>1.5099200000000001E-3</v>
      </c>
      <c r="P658">
        <v>0.99126669999999995</v>
      </c>
      <c r="Q658">
        <v>-0.1124227</v>
      </c>
      <c r="R658">
        <v>6.8932950000000007E-2</v>
      </c>
      <c r="S658">
        <v>2.870514</v>
      </c>
      <c r="T658">
        <v>-0.2594014</v>
      </c>
      <c r="U658">
        <v>1.8175049999999999</v>
      </c>
      <c r="V658">
        <v>-6.7398269999999996E-2</v>
      </c>
      <c r="W658">
        <v>-9.7910839999999999E-2</v>
      </c>
      <c r="X658">
        <v>0.99291030000000002</v>
      </c>
      <c r="Y658">
        <v>-0.53180109999999903</v>
      </c>
      <c r="Z658">
        <v>2.6100100000000001E-2</v>
      </c>
      <c r="AA658">
        <v>0.84646699999999997</v>
      </c>
      <c r="AB658">
        <v>37</v>
      </c>
      <c r="AC658">
        <v>12.0839</v>
      </c>
      <c r="AD658">
        <v>-1.109884481313</v>
      </c>
      <c r="AE658">
        <v>7.7760000000000096</v>
      </c>
      <c r="AF658">
        <v>-7.7117373499373203</v>
      </c>
      <c r="AG658">
        <v>-1.109884481313</v>
      </c>
      <c r="AH658">
        <v>12.0238973542509</v>
      </c>
      <c r="AI658">
        <v>94.442891915018706</v>
      </c>
      <c r="AJ658">
        <v>122.674794338876</v>
      </c>
      <c r="AK658">
        <v>14.3274856168778</v>
      </c>
      <c r="AL658">
        <v>95.618880218680999</v>
      </c>
      <c r="AM658">
        <v>93.883252862746502</v>
      </c>
      <c r="AN658">
        <v>0.99999996161729299</v>
      </c>
    </row>
    <row r="659" spans="1:40" x14ac:dyDescent="0.25">
      <c r="A659" t="str">
        <f>"20190305134920712"</f>
        <v>20190305134920712</v>
      </c>
      <c r="B659" t="str">
        <f>"1551764960701154"</f>
        <v>1551764960701154</v>
      </c>
      <c r="C659" t="s">
        <v>40</v>
      </c>
      <c r="D659">
        <v>3.5608409999999999</v>
      </c>
      <c r="E659">
        <v>0.29817909999999997</v>
      </c>
      <c r="F659" t="s">
        <v>41</v>
      </c>
      <c r="G659">
        <v>-378.97160000000002</v>
      </c>
      <c r="H659">
        <v>1.0340119999999999</v>
      </c>
      <c r="I659">
        <v>368.09870000000001</v>
      </c>
      <c r="J659">
        <v>-379.6379</v>
      </c>
      <c r="K659">
        <v>1.10989</v>
      </c>
      <c r="L659">
        <v>367.56779999999998</v>
      </c>
      <c r="M659">
        <v>0.99989150000000004</v>
      </c>
      <c r="N659">
        <v>-1.465293E-2</v>
      </c>
      <c r="O659">
        <v>1.5885539999999901E-3</v>
      </c>
      <c r="P659">
        <v>0.99131009999999997</v>
      </c>
      <c r="Q659">
        <v>-0.1120796</v>
      </c>
      <c r="R659">
        <v>6.8868180000000001E-2</v>
      </c>
      <c r="S659">
        <v>2.8706969999999998</v>
      </c>
      <c r="T659">
        <v>-0.2594535</v>
      </c>
      <c r="U659">
        <v>1.8164670000000001</v>
      </c>
      <c r="V659">
        <v>-6.7256170000000004E-2</v>
      </c>
      <c r="W659">
        <v>-9.7566189999999997E-2</v>
      </c>
      <c r="X659">
        <v>0.99295389999999994</v>
      </c>
      <c r="Y659">
        <v>-0.53149219999999997</v>
      </c>
      <c r="Z659">
        <v>2.6084360000000001E-2</v>
      </c>
      <c r="AA659">
        <v>0.84666140000000001</v>
      </c>
      <c r="AB659">
        <v>37</v>
      </c>
      <c r="AC659">
        <v>0.66629999999997802</v>
      </c>
      <c r="AD659">
        <v>-7.5877999999999807E-2</v>
      </c>
      <c r="AE659">
        <v>0.53090000000003101</v>
      </c>
      <c r="AF659">
        <v>-0.52567089372061004</v>
      </c>
      <c r="AG659">
        <v>-7.5877999999999807E-2</v>
      </c>
      <c r="AH659">
        <v>0.66189217229215302</v>
      </c>
      <c r="AI659">
        <v>95.129744580823996</v>
      </c>
      <c r="AJ659">
        <v>128.45639736348599</v>
      </c>
      <c r="AK659">
        <v>0.84863926796410305</v>
      </c>
      <c r="AL659">
        <v>95.599038007105094</v>
      </c>
      <c r="AM659">
        <v>93.874920893176395</v>
      </c>
      <c r="AN659">
        <v>1.0000000006796901</v>
      </c>
    </row>
    <row r="660" spans="1:40" x14ac:dyDescent="0.25">
      <c r="A660" t="str">
        <f>"20190305134920723"</f>
        <v>20190305134920723</v>
      </c>
      <c r="B660" t="str">
        <f>"1551764960711890"</f>
        <v>1551764960711890</v>
      </c>
      <c r="C660" t="s">
        <v>40</v>
      </c>
      <c r="D660">
        <v>3.5423330000000002</v>
      </c>
      <c r="E660">
        <v>0.2982689</v>
      </c>
      <c r="F660" t="s">
        <v>42</v>
      </c>
      <c r="G660">
        <v>-367.34730000000002</v>
      </c>
      <c r="H660" s="1">
        <v>-2.6433249999999998E-6</v>
      </c>
      <c r="I660">
        <v>375.34019999999998</v>
      </c>
      <c r="J660">
        <v>-379.44310000000002</v>
      </c>
      <c r="K660">
        <v>1.109891</v>
      </c>
      <c r="L660">
        <v>367.56819999999999</v>
      </c>
      <c r="M660">
        <v>0.99989130000000004</v>
      </c>
      <c r="N660">
        <v>-1.465324E-2</v>
      </c>
      <c r="O660">
        <v>1.674383E-3</v>
      </c>
      <c r="P660">
        <v>0.99133269999999996</v>
      </c>
      <c r="Q660">
        <v>-0.1117562</v>
      </c>
      <c r="R660">
        <v>6.9063949999999999E-2</v>
      </c>
      <c r="S660">
        <v>2.8708499999999999</v>
      </c>
      <c r="T660">
        <v>-0.2592468</v>
      </c>
      <c r="U660">
        <v>1.815491</v>
      </c>
      <c r="V660">
        <v>-6.7367200000000002E-2</v>
      </c>
      <c r="W660">
        <v>-9.7241679999999997E-2</v>
      </c>
      <c r="X660">
        <v>0.99297820000000003</v>
      </c>
      <c r="Y660">
        <v>-0.53119729999999998</v>
      </c>
      <c r="Z660">
        <v>2.6047150000000002E-2</v>
      </c>
      <c r="AA660">
        <v>0.84684769999999898</v>
      </c>
      <c r="AB660">
        <v>37</v>
      </c>
      <c r="AC660">
        <v>12.095799999999899</v>
      </c>
      <c r="AD660">
        <v>-1.109893643325</v>
      </c>
      <c r="AE660">
        <v>7.7719999999999896</v>
      </c>
      <c r="AF660">
        <v>-7.7058125699900799</v>
      </c>
      <c r="AG660">
        <v>-1.109893643325</v>
      </c>
      <c r="AH660">
        <v>12.037065089651501</v>
      </c>
      <c r="AI660">
        <v>94.440485429059805</v>
      </c>
      <c r="AJ660">
        <v>122.626303120955</v>
      </c>
      <c r="AK660">
        <v>14.3353530558482</v>
      </c>
      <c r="AL660">
        <v>95.580356152770307</v>
      </c>
      <c r="AM660">
        <v>93.881203586967999</v>
      </c>
      <c r="AN660">
        <v>0.99999999482015101</v>
      </c>
    </row>
    <row r="661" spans="1:40" x14ac:dyDescent="0.25">
      <c r="A661" t="str">
        <f>"20190305134920735"</f>
        <v>20190305134920735</v>
      </c>
      <c r="B661" t="str">
        <f>"1551764960731409"</f>
        <v>1551764960731409</v>
      </c>
      <c r="C661" t="s">
        <v>40</v>
      </c>
      <c r="D661">
        <v>3.4288199999999902</v>
      </c>
      <c r="E661">
        <v>0.29830269999999998</v>
      </c>
      <c r="F661" t="s">
        <v>41</v>
      </c>
      <c r="G661">
        <v>-378.63810000000001</v>
      </c>
      <c r="H661">
        <v>1.03739</v>
      </c>
      <c r="I661">
        <v>368.07729999999998</v>
      </c>
      <c r="J661">
        <v>-379.26069999999999</v>
      </c>
      <c r="K661">
        <v>1.10989</v>
      </c>
      <c r="L661">
        <v>367.5686</v>
      </c>
      <c r="M661">
        <v>0.99989119999999998</v>
      </c>
      <c r="N661">
        <v>-1.46534E-2</v>
      </c>
      <c r="O661">
        <v>1.751978E-3</v>
      </c>
      <c r="P661">
        <v>0.99137529999999996</v>
      </c>
      <c r="Q661">
        <v>-0.1112793</v>
      </c>
      <c r="R661">
        <v>6.9224800000000003E-2</v>
      </c>
      <c r="S661">
        <v>2.8706360000000002</v>
      </c>
      <c r="T661">
        <v>-0.25853229999999999</v>
      </c>
      <c r="U661">
        <v>1.8152470000000001</v>
      </c>
      <c r="V661">
        <v>-6.7452300000000007E-2</v>
      </c>
      <c r="W661">
        <v>-9.6763279999999993E-2</v>
      </c>
      <c r="X661">
        <v>0.99301919999999999</v>
      </c>
      <c r="Y661">
        <v>-0.53111819999999998</v>
      </c>
      <c r="Z661">
        <v>2.5979809999999999E-2</v>
      </c>
      <c r="AA661">
        <v>0.84689930000000002</v>
      </c>
      <c r="AB661">
        <v>37</v>
      </c>
      <c r="AC661">
        <v>0.62259999999997695</v>
      </c>
      <c r="AD661">
        <v>-7.2499999999999995E-2</v>
      </c>
      <c r="AE661">
        <v>0.50869999999997595</v>
      </c>
      <c r="AF661">
        <v>-0.50351399966995003</v>
      </c>
      <c r="AG661">
        <v>-7.2499999999999995E-2</v>
      </c>
      <c r="AH661">
        <v>0.61846135645168399</v>
      </c>
      <c r="AI661">
        <v>95.194369827974299</v>
      </c>
      <c r="AJ661">
        <v>129.15040642528001</v>
      </c>
      <c r="AK661">
        <v>0.80079775679486498</v>
      </c>
      <c r="AL661">
        <v>95.552815733337596</v>
      </c>
      <c r="AM661">
        <v>93.885931453201295</v>
      </c>
      <c r="AN661">
        <v>1.00000003835014</v>
      </c>
    </row>
    <row r="662" spans="1:40" x14ac:dyDescent="0.25">
      <c r="A662" t="str">
        <f>"20190305134920752"</f>
        <v>20190305134920752</v>
      </c>
      <c r="B662" t="str">
        <f>"1551764960741169"</f>
        <v>1551764960741169</v>
      </c>
      <c r="C662" t="s">
        <v>40</v>
      </c>
      <c r="D662">
        <v>3.5050849999999998</v>
      </c>
      <c r="E662">
        <v>0.298351599999999</v>
      </c>
      <c r="F662" t="s">
        <v>41</v>
      </c>
      <c r="G662">
        <v>-378.3272</v>
      </c>
      <c r="H662">
        <v>1.0260940000000001</v>
      </c>
      <c r="I662">
        <v>368.15890000000002</v>
      </c>
      <c r="J662">
        <v>-378.9837</v>
      </c>
      <c r="K662">
        <v>1.109883</v>
      </c>
      <c r="L662">
        <v>367.56920000000002</v>
      </c>
      <c r="M662">
        <v>0.99989090000000003</v>
      </c>
      <c r="N662">
        <v>-1.4653380000000001E-2</v>
      </c>
      <c r="O662">
        <v>1.8645630000000001E-3</v>
      </c>
      <c r="P662">
        <v>0.99141469999999998</v>
      </c>
      <c r="Q662">
        <v>-0.1108359</v>
      </c>
      <c r="R662">
        <v>6.9372420000000004E-2</v>
      </c>
      <c r="S662">
        <v>2.870422</v>
      </c>
      <c r="T662">
        <v>-0.25762699999999999</v>
      </c>
      <c r="U662">
        <v>1.8156429999999999</v>
      </c>
      <c r="V662">
        <v>-6.7490259999999996E-2</v>
      </c>
      <c r="W662">
        <v>-9.6318239999999999E-2</v>
      </c>
      <c r="X662">
        <v>0.9930599</v>
      </c>
      <c r="Y662">
        <v>-0.53114689999999998</v>
      </c>
      <c r="Z662">
        <v>2.589837E-2</v>
      </c>
      <c r="AA662">
        <v>0.84688379999999996</v>
      </c>
      <c r="AB662">
        <v>37</v>
      </c>
      <c r="AC662">
        <v>0.65649999999999398</v>
      </c>
      <c r="AD662">
        <v>-8.3788999999999794E-2</v>
      </c>
      <c r="AE662">
        <v>0.58969999999999301</v>
      </c>
      <c r="AF662">
        <v>-0.58321685521298505</v>
      </c>
      <c r="AG662">
        <v>-8.3788999999999794E-2</v>
      </c>
      <c r="AH662">
        <v>0.65172300029034003</v>
      </c>
      <c r="AI662">
        <v>95.472529927832497</v>
      </c>
      <c r="AJ662">
        <v>131.824870332042</v>
      </c>
      <c r="AK662">
        <v>0.878581450881457</v>
      </c>
      <c r="AL662">
        <v>95.527197082433105</v>
      </c>
      <c r="AM662">
        <v>93.887952762279298</v>
      </c>
      <c r="AN662">
        <v>1.00000005176978</v>
      </c>
    </row>
    <row r="663" spans="1:40" x14ac:dyDescent="0.25">
      <c r="A663" t="str">
        <f>"20190305134920764"</f>
        <v>20190305134920764</v>
      </c>
      <c r="B663" t="str">
        <f>"1551764960761667"</f>
        <v>1551764960761667</v>
      </c>
      <c r="C663" t="s">
        <v>40</v>
      </c>
      <c r="D663">
        <v>3.4813339999999902</v>
      </c>
      <c r="E663">
        <v>0.29846129999999998</v>
      </c>
      <c r="F663" t="s">
        <v>42</v>
      </c>
      <c r="G663">
        <v>-366.56880000000001</v>
      </c>
      <c r="H663" s="1">
        <v>-2.9991819999999999E-6</v>
      </c>
      <c r="I663">
        <v>375.42239999999998</v>
      </c>
      <c r="J663">
        <v>-378.77379999999999</v>
      </c>
      <c r="K663">
        <v>1.1098749999999999</v>
      </c>
      <c r="L663">
        <v>367.56970000000001</v>
      </c>
      <c r="M663">
        <v>0.99989070000000002</v>
      </c>
      <c r="N663">
        <v>-1.465314E-2</v>
      </c>
      <c r="O663">
        <v>1.9430700000000001E-3</v>
      </c>
      <c r="P663">
        <v>0.99138599999999999</v>
      </c>
      <c r="Q663">
        <v>-0.1110044</v>
      </c>
      <c r="R663">
        <v>6.9511329999999996E-2</v>
      </c>
      <c r="S663">
        <v>2.870209</v>
      </c>
      <c r="T663">
        <v>-0.25659169999999998</v>
      </c>
      <c r="U663">
        <v>1.815582</v>
      </c>
      <c r="V663">
        <v>-6.7552600000000004E-2</v>
      </c>
      <c r="W663">
        <v>-9.6486299999999997E-2</v>
      </c>
      <c r="X663">
        <v>0.99303929999999996</v>
      </c>
      <c r="Y663">
        <v>-0.53110959999999996</v>
      </c>
      <c r="Z663">
        <v>2.580582E-2</v>
      </c>
      <c r="AA663">
        <v>0.8469101</v>
      </c>
      <c r="AB663">
        <v>37</v>
      </c>
      <c r="AC663">
        <v>12.204999999999901</v>
      </c>
      <c r="AD663">
        <v>-1.109877999182</v>
      </c>
      <c r="AE663">
        <v>7.8526999999999703</v>
      </c>
      <c r="AF663">
        <v>-7.7834467943846901</v>
      </c>
      <c r="AG663">
        <v>-1.109877999182</v>
      </c>
      <c r="AH663">
        <v>12.1491837297764</v>
      </c>
      <c r="AI663">
        <v>94.398646646409603</v>
      </c>
      <c r="AJ663">
        <v>122.64589725657601</v>
      </c>
      <c r="AK663">
        <v>14.4712314083477</v>
      </c>
      <c r="AL663">
        <v>95.536871525043793</v>
      </c>
      <c r="AM663">
        <v>93.891613470919097</v>
      </c>
      <c r="AN663">
        <v>1.00000000559947</v>
      </c>
    </row>
    <row r="664" spans="1:40" x14ac:dyDescent="0.25">
      <c r="A664" t="str">
        <f>"20190305134920786"</f>
        <v>20190305134920786</v>
      </c>
      <c r="B664" t="str">
        <f>"1551764960781186"</f>
        <v>1551764960781186</v>
      </c>
      <c r="C664" t="s">
        <v>40</v>
      </c>
      <c r="D664">
        <v>3.690906</v>
      </c>
      <c r="E664">
        <v>0.29924450000000002</v>
      </c>
      <c r="F664" t="s">
        <v>41</v>
      </c>
      <c r="G664">
        <v>-377.98</v>
      </c>
      <c r="H664">
        <v>1.038931</v>
      </c>
      <c r="I664">
        <v>368.07170000000002</v>
      </c>
      <c r="J664">
        <v>-378.4357</v>
      </c>
      <c r="K664">
        <v>1.1098650000000001</v>
      </c>
      <c r="L664">
        <v>367.57049999999998</v>
      </c>
      <c r="M664">
        <v>0.99989059999999996</v>
      </c>
      <c r="N664">
        <v>-1.465258E-2</v>
      </c>
      <c r="O664">
        <v>2.0590869999999998E-3</v>
      </c>
      <c r="P664">
        <v>0.99134849999999997</v>
      </c>
      <c r="Q664">
        <v>-0.111356</v>
      </c>
      <c r="R664">
        <v>6.9483970000000006E-2</v>
      </c>
      <c r="S664">
        <v>2.8700869999999998</v>
      </c>
      <c r="T664">
        <v>-0.25647589999999998</v>
      </c>
      <c r="U664">
        <v>1.8150329999999999</v>
      </c>
      <c r="V664">
        <v>-6.74125E-2</v>
      </c>
      <c r="W664">
        <v>-9.6836740000000004E-2</v>
      </c>
      <c r="X664">
        <v>0.99301470000000003</v>
      </c>
      <c r="Y664">
        <v>-0.53091409999999895</v>
      </c>
      <c r="Z664">
        <v>2.578012E-2</v>
      </c>
      <c r="AA664">
        <v>0.84703340000000005</v>
      </c>
      <c r="AB664">
        <v>37</v>
      </c>
      <c r="AC664">
        <v>0.45569999999997801</v>
      </c>
      <c r="AD664">
        <v>-7.0933999999999803E-2</v>
      </c>
      <c r="AE664">
        <v>0.50120000000003895</v>
      </c>
      <c r="AF664">
        <v>-0.49483444673078297</v>
      </c>
      <c r="AG664">
        <v>-7.0933999999999803E-2</v>
      </c>
      <c r="AH664">
        <v>0.45177723505351602</v>
      </c>
      <c r="AI664">
        <v>96.043059020983407</v>
      </c>
      <c r="AJ664">
        <v>137.604338512168</v>
      </c>
      <c r="AK664">
        <v>0.673791831458323</v>
      </c>
      <c r="AL664">
        <v>95.557044771345005</v>
      </c>
      <c r="AM664">
        <v>93.883663136693897</v>
      </c>
      <c r="AN664">
        <v>0.99999999689308305</v>
      </c>
    </row>
    <row r="665" spans="1:40" x14ac:dyDescent="0.25">
      <c r="A665" t="str">
        <f>"20190305134920799"</f>
        <v>20190305134920799</v>
      </c>
      <c r="B665" t="str">
        <f>"1551764960791921"</f>
        <v>1551764960791921</v>
      </c>
      <c r="C665" t="s">
        <v>40</v>
      </c>
      <c r="D665">
        <v>4.2156149999999997</v>
      </c>
      <c r="E665">
        <v>0.29924450000000002</v>
      </c>
      <c r="F665" t="s">
        <v>41</v>
      </c>
      <c r="G665">
        <v>-377.65069999999997</v>
      </c>
      <c r="H665">
        <v>1.038829</v>
      </c>
      <c r="I665">
        <v>368.065</v>
      </c>
      <c r="J665">
        <v>-378.21620000000001</v>
      </c>
      <c r="K665">
        <v>1.1098539999999999</v>
      </c>
      <c r="L665">
        <v>367.57100000000003</v>
      </c>
      <c r="M665">
        <v>0.99989050000000002</v>
      </c>
      <c r="N665">
        <v>-1.465201E-2</v>
      </c>
      <c r="O665">
        <v>2.12473E-3</v>
      </c>
      <c r="P665">
        <v>0.99129800000000001</v>
      </c>
      <c r="Q665">
        <v>-0.1120255</v>
      </c>
      <c r="R665">
        <v>6.9129880000000005E-2</v>
      </c>
      <c r="S665">
        <v>2.8702700000000001</v>
      </c>
      <c r="T665">
        <v>-0.25966889999999998</v>
      </c>
      <c r="U665">
        <v>1.809021</v>
      </c>
      <c r="V665">
        <v>-6.6995669999999993E-2</v>
      </c>
      <c r="W665">
        <v>-9.7505789999999995E-2</v>
      </c>
      <c r="X665">
        <v>0.99297740000000001</v>
      </c>
      <c r="Y665">
        <v>-0.52952650000000001</v>
      </c>
      <c r="Z665">
        <v>2.5982390000000001E-2</v>
      </c>
      <c r="AA665">
        <v>0.84789539999999997</v>
      </c>
      <c r="AB665">
        <v>37</v>
      </c>
      <c r="AC665">
        <v>0.56550000000004197</v>
      </c>
      <c r="AD665">
        <v>-7.1025000000000102E-2</v>
      </c>
      <c r="AE665">
        <v>0.49400000000002797</v>
      </c>
      <c r="AF665">
        <v>-0.48842726471654702</v>
      </c>
      <c r="AG665">
        <v>-7.1025000000000102E-2</v>
      </c>
      <c r="AH665">
        <v>0.56152449561178397</v>
      </c>
      <c r="AI665">
        <v>95.451503117539403</v>
      </c>
      <c r="AJ665">
        <v>131.017516164988</v>
      </c>
      <c r="AK665">
        <v>0.74760651596649197</v>
      </c>
      <c r="AL665">
        <v>95.595561002676504</v>
      </c>
      <c r="AM665">
        <v>93.859866737361699</v>
      </c>
      <c r="AN665">
        <v>0.99999995789651497</v>
      </c>
    </row>
    <row r="666" spans="1:40" x14ac:dyDescent="0.25">
      <c r="A666" t="str">
        <f>"20190305134920811"</f>
        <v>20190305134920811</v>
      </c>
      <c r="B666" t="str">
        <f>"1551764960801682"</f>
        <v>1551764960801682</v>
      </c>
      <c r="C666" t="s">
        <v>40</v>
      </c>
      <c r="D666">
        <v>3.9694340000000001</v>
      </c>
      <c r="E666">
        <v>0.39710709999999999</v>
      </c>
      <c r="F666" t="s">
        <v>41</v>
      </c>
      <c r="G666">
        <v>-377.33620000000002</v>
      </c>
      <c r="H666">
        <v>1.0298659999999999</v>
      </c>
      <c r="I666">
        <v>368.12520000000001</v>
      </c>
      <c r="J666">
        <v>-378.01639999999998</v>
      </c>
      <c r="K666">
        <v>1.1098460000000001</v>
      </c>
      <c r="L666">
        <v>367.57139999999998</v>
      </c>
      <c r="M666">
        <v>0.99989039999999996</v>
      </c>
      <c r="N666">
        <v>-1.46514E-2</v>
      </c>
      <c r="O666">
        <v>2.180366E-3</v>
      </c>
      <c r="P666">
        <v>0.99133249999999995</v>
      </c>
      <c r="Q666">
        <v>-0.1118097</v>
      </c>
      <c r="R666">
        <v>6.8984450000000003E-2</v>
      </c>
      <c r="S666">
        <v>2.8707579999999999</v>
      </c>
      <c r="T666">
        <v>-0.26090350000000001</v>
      </c>
      <c r="U666">
        <v>1.8081050000000001</v>
      </c>
      <c r="V666">
        <v>-6.6797280000000001E-2</v>
      </c>
      <c r="W666">
        <v>-9.7288620000000006E-2</v>
      </c>
      <c r="X666">
        <v>0.99301209999999995</v>
      </c>
      <c r="Y666">
        <v>-0.52920590000000001</v>
      </c>
      <c r="Z666">
        <v>2.6063759999999998E-2</v>
      </c>
      <c r="AA666">
        <v>0.84809299999999999</v>
      </c>
      <c r="AB666">
        <v>37</v>
      </c>
      <c r="AC666">
        <v>0.68019999999995595</v>
      </c>
      <c r="AD666">
        <v>-7.9979999999999898E-2</v>
      </c>
      <c r="AE666">
        <v>0.55380000000002305</v>
      </c>
      <c r="AF666">
        <v>-0.54776114847639701</v>
      </c>
      <c r="AG666">
        <v>-7.9979999999999898E-2</v>
      </c>
      <c r="AH666">
        <v>0.67578725126693495</v>
      </c>
      <c r="AI666">
        <v>95.253080939859402</v>
      </c>
      <c r="AJ666">
        <v>129.026587370134</v>
      </c>
      <c r="AK666">
        <v>0.87357168289448395</v>
      </c>
      <c r="AL666">
        <v>95.583058448262406</v>
      </c>
      <c r="AM666">
        <v>93.848337080970097</v>
      </c>
      <c r="AN666">
        <v>0.99999999147165597</v>
      </c>
    </row>
    <row r="667" spans="1:40" x14ac:dyDescent="0.25">
      <c r="A667" t="str">
        <f>"20190305134920822"</f>
        <v>20190305134920822</v>
      </c>
      <c r="B667" t="str">
        <f>"1551764960811443"</f>
        <v>1551764960811443</v>
      </c>
      <c r="C667" t="s">
        <v>40</v>
      </c>
      <c r="D667">
        <v>4.1862370000000002</v>
      </c>
      <c r="E667">
        <v>0.39710709999999999</v>
      </c>
      <c r="F667" t="s">
        <v>42</v>
      </c>
      <c r="G667">
        <v>-366.47859999999997</v>
      </c>
      <c r="H667" s="1">
        <v>-2.0283410000000002E-6</v>
      </c>
      <c r="I667">
        <v>371.62830000000002</v>
      </c>
      <c r="J667">
        <v>-377.83760000000001</v>
      </c>
      <c r="K667">
        <v>1.109834</v>
      </c>
      <c r="L667">
        <v>367.5718</v>
      </c>
      <c r="M667">
        <v>0.99989019999999995</v>
      </c>
      <c r="N667">
        <v>-1.4650710000000001E-2</v>
      </c>
      <c r="O667">
        <v>2.222478E-3</v>
      </c>
      <c r="P667">
        <v>0.99139180000000005</v>
      </c>
      <c r="Q667">
        <v>-0.1115063</v>
      </c>
      <c r="R667">
        <v>6.8617559999999994E-2</v>
      </c>
      <c r="S667">
        <v>2.9230040000000002</v>
      </c>
      <c r="T667">
        <v>-0.28116829999999998</v>
      </c>
      <c r="U667">
        <v>1.027771</v>
      </c>
      <c r="V667">
        <v>-6.6390160000000004E-2</v>
      </c>
      <c r="W667">
        <v>-9.6983550000000002E-2</v>
      </c>
      <c r="X667">
        <v>0.99306919999999999</v>
      </c>
      <c r="Y667">
        <v>-0.32804229999999901</v>
      </c>
      <c r="Z667">
        <v>1.7588880000000001E-2</v>
      </c>
      <c r="AA667">
        <v>0.94449930000000004</v>
      </c>
      <c r="AB667">
        <v>37</v>
      </c>
      <c r="AC667">
        <v>11.359</v>
      </c>
      <c r="AD667">
        <v>-1.109836028341</v>
      </c>
      <c r="AE667">
        <v>4.0565000000000202</v>
      </c>
      <c r="AF667">
        <v>-3.9973978424657499</v>
      </c>
      <c r="AG667">
        <v>-1.109836028341</v>
      </c>
      <c r="AH667">
        <v>11.2725484264149</v>
      </c>
      <c r="AI667">
        <v>95.301470430909106</v>
      </c>
      <c r="AJ667">
        <v>109.525193525235</v>
      </c>
      <c r="AK667">
        <v>12.011714013687801</v>
      </c>
      <c r="AL667">
        <v>95.565496410785698</v>
      </c>
      <c r="AM667">
        <v>93.824732570454302</v>
      </c>
      <c r="AN667">
        <v>0.99999994915203205</v>
      </c>
    </row>
    <row r="668" spans="1:40" x14ac:dyDescent="0.25">
      <c r="A668" t="str">
        <f>"20190305134920845"</f>
        <v>20190305134920845</v>
      </c>
      <c r="B668" t="str">
        <f>"1551764960841697"</f>
        <v>1551764960841697</v>
      </c>
      <c r="C668" t="s">
        <v>40</v>
      </c>
      <c r="D668">
        <v>3.6288649999999998</v>
      </c>
      <c r="E668">
        <v>0.39710709999999999</v>
      </c>
      <c r="F668" t="s">
        <v>42</v>
      </c>
      <c r="G668">
        <v>-366.2638</v>
      </c>
      <c r="H668" s="1">
        <v>-2.1227480000000001E-6</v>
      </c>
      <c r="I668">
        <v>371.63670000000002</v>
      </c>
      <c r="J668">
        <v>-377.45060000000001</v>
      </c>
      <c r="K668">
        <v>1.10982</v>
      </c>
      <c r="L668">
        <v>367.57279999999997</v>
      </c>
      <c r="M668">
        <v>0.9998901</v>
      </c>
      <c r="N668">
        <v>-1.4648960000000001E-2</v>
      </c>
      <c r="O668">
        <v>2.302162E-3</v>
      </c>
      <c r="P668">
        <v>0.99152169999999895</v>
      </c>
      <c r="Q668">
        <v>-0.110919</v>
      </c>
      <c r="R668">
        <v>6.7691059999999997E-2</v>
      </c>
      <c r="S668">
        <v>2.9234619999999998</v>
      </c>
      <c r="T668">
        <v>-0.28033409999999997</v>
      </c>
      <c r="U668">
        <v>1.026764</v>
      </c>
      <c r="V668">
        <v>-6.5389050000000004E-2</v>
      </c>
      <c r="W668">
        <v>-9.6392950000000005E-2</v>
      </c>
      <c r="X668">
        <v>0.99319310000000005</v>
      </c>
      <c r="Y668">
        <v>-0.32764219999999999</v>
      </c>
      <c r="Z668">
        <v>1.751459E-2</v>
      </c>
      <c r="AA668">
        <v>0.94463949999999997</v>
      </c>
      <c r="AB668">
        <v>37</v>
      </c>
      <c r="AC668">
        <v>11.1868</v>
      </c>
      <c r="AD668">
        <v>-1.1098221227480001</v>
      </c>
      <c r="AE668">
        <v>4.0639000000000403</v>
      </c>
      <c r="AF668">
        <v>-4.0033244860937902</v>
      </c>
      <c r="AG668">
        <v>-1.1098221227480001</v>
      </c>
      <c r="AH668">
        <v>11.0996180157229</v>
      </c>
      <c r="AI668">
        <v>95.373245903189797</v>
      </c>
      <c r="AJ668">
        <v>109.832968324375</v>
      </c>
      <c r="AK668">
        <v>11.851575092790799</v>
      </c>
      <c r="AL668">
        <v>95.531498329173701</v>
      </c>
      <c r="AM668">
        <v>93.766757429457101</v>
      </c>
      <c r="AN668">
        <v>0.99999993127860498</v>
      </c>
    </row>
    <row r="669" spans="1:40" x14ac:dyDescent="0.25">
      <c r="A669" t="str">
        <f>"20190305134920857"</f>
        <v>20190305134920857</v>
      </c>
      <c r="B669" t="str">
        <f>"1551764960851458"</f>
        <v>1551764960851458</v>
      </c>
      <c r="C669" t="s">
        <v>40</v>
      </c>
      <c r="D669">
        <v>3.841367</v>
      </c>
      <c r="E669">
        <v>0.53510639999999998</v>
      </c>
      <c r="F669" t="s">
        <v>42</v>
      </c>
      <c r="G669">
        <v>-365.80099999999999</v>
      </c>
      <c r="H669" s="1">
        <v>-2.3254129999999999E-6</v>
      </c>
      <c r="I669">
        <v>371.65230000000003</v>
      </c>
      <c r="J669">
        <v>-377.26729999999998</v>
      </c>
      <c r="K669">
        <v>1.1098140000000001</v>
      </c>
      <c r="L669">
        <v>367.57330000000002</v>
      </c>
      <c r="M669">
        <v>0.9998901</v>
      </c>
      <c r="N669">
        <v>-1.4648E-2</v>
      </c>
      <c r="O669">
        <v>2.3336860000000002E-3</v>
      </c>
      <c r="P669">
        <v>0.99160950000000003</v>
      </c>
      <c r="Q669">
        <v>-0.11044130000000001</v>
      </c>
      <c r="R669">
        <v>6.7182000000000006E-2</v>
      </c>
      <c r="S669">
        <v>2.9245610000000002</v>
      </c>
      <c r="T669">
        <v>-0.27861190000000002</v>
      </c>
      <c r="U669">
        <v>1.0241389999999999</v>
      </c>
      <c r="V669">
        <v>-6.4850270000000002E-2</v>
      </c>
      <c r="W669">
        <v>-9.5913670000000006E-2</v>
      </c>
      <c r="X669">
        <v>0.99327489999999996</v>
      </c>
      <c r="Y669">
        <v>-0.32676880000000003</v>
      </c>
      <c r="Z669">
        <v>1.736967E-2</v>
      </c>
      <c r="AA669">
        <v>0.94494469999999997</v>
      </c>
      <c r="AB669">
        <v>37</v>
      </c>
      <c r="AC669">
        <v>11.466299999999899</v>
      </c>
      <c r="AD669">
        <v>-1.10981632541299</v>
      </c>
      <c r="AE669">
        <v>4.0789999999999997</v>
      </c>
      <c r="AF669">
        <v>-4.0188075812409201</v>
      </c>
      <c r="AG669">
        <v>-1.10981632541299</v>
      </c>
      <c r="AH669">
        <v>11.3811452928819</v>
      </c>
      <c r="AI669">
        <v>95.2535440784049</v>
      </c>
      <c r="AJ669">
        <v>109.44868667097001</v>
      </c>
      <c r="AK669">
        <v>12.1207662640974</v>
      </c>
      <c r="AL669">
        <v>95.503909350041695</v>
      </c>
      <c r="AM669">
        <v>93.735502298809493</v>
      </c>
      <c r="AN669">
        <v>1.0000000082909699</v>
      </c>
    </row>
    <row r="670" spans="1:40" x14ac:dyDescent="0.25">
      <c r="A670" t="str">
        <f>"20190305134920868"</f>
        <v>20190305134920868</v>
      </c>
      <c r="B670" t="str">
        <f>"1551764960861218"</f>
        <v>1551764960861218</v>
      </c>
      <c r="C670" t="s">
        <v>40</v>
      </c>
      <c r="D670">
        <v>3.7172969999999999</v>
      </c>
      <c r="E670">
        <v>0.53803650000000003</v>
      </c>
      <c r="F670" t="s">
        <v>42</v>
      </c>
      <c r="G670">
        <v>-351.45960000000002</v>
      </c>
      <c r="H670" s="1">
        <v>-4.115922E-6</v>
      </c>
      <c r="I670">
        <v>366.96789999999999</v>
      </c>
      <c r="J670">
        <v>-377.07170000000002</v>
      </c>
      <c r="K670">
        <v>1.109809</v>
      </c>
      <c r="L670">
        <v>367.57369999999997</v>
      </c>
      <c r="M670">
        <v>0.99988999999999995</v>
      </c>
      <c r="N670">
        <v>-1.4646950000000001E-2</v>
      </c>
      <c r="O670">
        <v>2.3652109999999999E-3</v>
      </c>
      <c r="P670">
        <v>0.9916777</v>
      </c>
      <c r="Q670">
        <v>-0.1103707</v>
      </c>
      <c r="R670">
        <v>6.6287170000000006E-2</v>
      </c>
      <c r="S670">
        <v>3.0157470000000002</v>
      </c>
      <c r="T670">
        <v>-0.12968669999999999</v>
      </c>
      <c r="U670">
        <v>-7.0739750000000004E-2</v>
      </c>
      <c r="V670">
        <v>-6.3926159999999996E-2</v>
      </c>
      <c r="W670">
        <v>-9.5841830000000003E-2</v>
      </c>
      <c r="X670">
        <v>0.99334169999999999</v>
      </c>
      <c r="Y670">
        <v>2.5782200000000002E-2</v>
      </c>
      <c r="Z670">
        <v>-8.1001610000000003E-4</v>
      </c>
      <c r="AA670">
        <v>0.99966719999999998</v>
      </c>
      <c r="AB670">
        <v>37</v>
      </c>
      <c r="AC670">
        <v>25.612100000000002</v>
      </c>
      <c r="AD670">
        <v>-1.1098131159219999</v>
      </c>
      <c r="AE670">
        <v>-0.60579999999998702</v>
      </c>
      <c r="AF670">
        <v>0.66513464413133505</v>
      </c>
      <c r="AG670">
        <v>-1.1098131159219999</v>
      </c>
      <c r="AH670">
        <v>25.562625107727001</v>
      </c>
      <c r="AI670">
        <v>92.485121395719304</v>
      </c>
      <c r="AJ670">
        <v>88.509511020972795</v>
      </c>
      <c r="AK670">
        <v>25.5953490237052</v>
      </c>
      <c r="AL670">
        <v>95.499774373212105</v>
      </c>
      <c r="AM670">
        <v>93.682172321849094</v>
      </c>
      <c r="AN670">
        <v>0.99999997163449095</v>
      </c>
    </row>
    <row r="671" spans="1:40" x14ac:dyDescent="0.25">
      <c r="A671" t="str">
        <f>"20190305134920879"</f>
        <v>20190305134920879</v>
      </c>
      <c r="B671" t="str">
        <f>"1551764960871954"</f>
        <v>1551764960871954</v>
      </c>
      <c r="C671" t="s">
        <v>40</v>
      </c>
      <c r="D671">
        <v>3.780821</v>
      </c>
      <c r="E671">
        <v>0.53812629999999995</v>
      </c>
      <c r="F671" t="s">
        <v>42</v>
      </c>
      <c r="G671">
        <v>-344.23390000000001</v>
      </c>
      <c r="H671" s="1">
        <v>-3.2532149999999998E-6</v>
      </c>
      <c r="I671">
        <v>366.53219999999999</v>
      </c>
      <c r="J671">
        <v>-376.8963</v>
      </c>
      <c r="K671">
        <v>1.109807</v>
      </c>
      <c r="L671">
        <v>367.57420000000002</v>
      </c>
      <c r="M671">
        <v>0.9998899</v>
      </c>
      <c r="N671">
        <v>-1.46459E-2</v>
      </c>
      <c r="O671">
        <v>2.389384E-3</v>
      </c>
      <c r="P671">
        <v>0.99175630000000004</v>
      </c>
      <c r="Q671">
        <v>-0.1101622</v>
      </c>
      <c r="R671">
        <v>6.5450850000000005E-2</v>
      </c>
      <c r="S671">
        <v>3.0202330000000002</v>
      </c>
      <c r="T671">
        <v>-0.1020744</v>
      </c>
      <c r="U671">
        <v>-9.5794679999999993E-2</v>
      </c>
      <c r="V671">
        <v>-6.3066300000000006E-2</v>
      </c>
      <c r="W671">
        <v>-9.5632330000000002E-2</v>
      </c>
      <c r="X671">
        <v>0.99341690000000005</v>
      </c>
      <c r="Y671">
        <v>3.4061760000000003E-2</v>
      </c>
      <c r="Z671">
        <v>-8.7062130000000002E-4</v>
      </c>
      <c r="AA671">
        <v>0.99941930000000001</v>
      </c>
      <c r="AB671">
        <v>37</v>
      </c>
      <c r="AC671">
        <v>32.662399999999899</v>
      </c>
      <c r="AD671">
        <v>-1.109810253215</v>
      </c>
      <c r="AE671">
        <v>-1.04200000000003</v>
      </c>
      <c r="AF671">
        <v>1.11875809663236</v>
      </c>
      <c r="AG671">
        <v>-1.109810253215</v>
      </c>
      <c r="AH671">
        <v>32.622192072194999</v>
      </c>
      <c r="AI671">
        <v>91.947312812938605</v>
      </c>
      <c r="AJ671">
        <v>88.035846109924094</v>
      </c>
      <c r="AK671">
        <v>32.660231384240099</v>
      </c>
      <c r="AL671">
        <v>95.487715255997202</v>
      </c>
      <c r="AM671">
        <v>93.632503315169402</v>
      </c>
      <c r="AN671">
        <v>1.0000000189712599</v>
      </c>
    </row>
    <row r="672" spans="1:40" x14ac:dyDescent="0.25">
      <c r="A672" t="str">
        <f>"20190305134920890"</f>
        <v>20190305134920890</v>
      </c>
      <c r="B672" t="str">
        <f>"1551764960881714"</f>
        <v>1551764960881714</v>
      </c>
      <c r="C672" t="s">
        <v>40</v>
      </c>
      <c r="D672">
        <v>3.9051999999999998</v>
      </c>
      <c r="E672">
        <v>0.53766080000000005</v>
      </c>
      <c r="F672" t="s">
        <v>42</v>
      </c>
      <c r="G672">
        <v>-340.45800000000003</v>
      </c>
      <c r="H672" s="1">
        <v>-5.065107E-6</v>
      </c>
      <c r="I672">
        <v>366.3802</v>
      </c>
      <c r="J672">
        <v>-376.7208</v>
      </c>
      <c r="K672">
        <v>1.1098030000000001</v>
      </c>
      <c r="L672">
        <v>367.57459999999998</v>
      </c>
      <c r="M672">
        <v>0.9998899</v>
      </c>
      <c r="N672">
        <v>-1.4644849999999999E-2</v>
      </c>
      <c r="O672">
        <v>2.4130250000000001E-3</v>
      </c>
      <c r="P672">
        <v>0.99181960000000002</v>
      </c>
      <c r="Q672">
        <v>-0.1101154</v>
      </c>
      <c r="R672">
        <v>6.4566219999999994E-2</v>
      </c>
      <c r="S672">
        <v>3.0212400000000001</v>
      </c>
      <c r="T672">
        <v>-9.2018719999999998E-2</v>
      </c>
      <c r="U672">
        <v>-9.8999019999999993E-2</v>
      </c>
      <c r="V672">
        <v>-6.2159899999999997E-2</v>
      </c>
      <c r="W672">
        <v>-9.5584719999999998E-2</v>
      </c>
      <c r="X672">
        <v>0.99347859999999999</v>
      </c>
      <c r="Y672">
        <v>3.5137580000000002E-2</v>
      </c>
      <c r="Z672">
        <v>-8.3042509999999904E-4</v>
      </c>
      <c r="AA672">
        <v>0.99938210000000005</v>
      </c>
      <c r="AB672">
        <v>37</v>
      </c>
      <c r="AC672">
        <v>36.262799999999899</v>
      </c>
      <c r="AD672">
        <v>-1.1098080651069999</v>
      </c>
      <c r="AE672">
        <v>-1.1943999999999699</v>
      </c>
      <c r="AF672">
        <v>1.2807106792724701</v>
      </c>
      <c r="AG672">
        <v>-1.1098080651069999</v>
      </c>
      <c r="AH672">
        <v>36.2259180742628</v>
      </c>
      <c r="AI672">
        <v>91.753655286582998</v>
      </c>
      <c r="AJ672">
        <v>87.975240598985593</v>
      </c>
      <c r="AK672">
        <v>36.265535072691002</v>
      </c>
      <c r="AL672">
        <v>95.484974898139299</v>
      </c>
      <c r="AM672">
        <v>93.580211345179706</v>
      </c>
      <c r="AN672">
        <v>1.0000000102617199</v>
      </c>
    </row>
    <row r="673" spans="1:40" x14ac:dyDescent="0.25">
      <c r="A673" t="str">
        <f>"20190305134920902"</f>
        <v>20190305134920902</v>
      </c>
      <c r="B673" t="str">
        <f>"1551764960891474"</f>
        <v>1551764960891474</v>
      </c>
      <c r="C673" t="s">
        <v>40</v>
      </c>
      <c r="D673">
        <v>3.7380930000000001</v>
      </c>
      <c r="E673">
        <v>0.53697479999999997</v>
      </c>
      <c r="F673" t="s">
        <v>42</v>
      </c>
      <c r="G673">
        <v>-338.5883</v>
      </c>
      <c r="H673" s="1">
        <v>-1.337689E-6</v>
      </c>
      <c r="I673">
        <v>366.34199999999998</v>
      </c>
      <c r="J673">
        <v>-376.5342</v>
      </c>
      <c r="K673">
        <v>1.1097999999999999</v>
      </c>
      <c r="L673">
        <v>367.57499999999999</v>
      </c>
      <c r="M673">
        <v>0.9998899</v>
      </c>
      <c r="N673">
        <v>-1.4643639999999999E-2</v>
      </c>
      <c r="O673">
        <v>2.4351960000000001E-3</v>
      </c>
      <c r="P673">
        <v>0.99191180000000001</v>
      </c>
      <c r="Q673">
        <v>-0.10976610000000001</v>
      </c>
      <c r="R673">
        <v>6.3735570000000005E-2</v>
      </c>
      <c r="S673">
        <v>3.0213619999999999</v>
      </c>
      <c r="T673">
        <v>-8.7933300000000006E-2</v>
      </c>
      <c r="U673">
        <v>-9.765625E-2</v>
      </c>
      <c r="V673">
        <v>-6.1307800000000003E-2</v>
      </c>
      <c r="W673">
        <v>-9.5234650000000004E-2</v>
      </c>
      <c r="X673">
        <v>0.99356509999999998</v>
      </c>
      <c r="Y673">
        <v>3.4716810000000001E-2</v>
      </c>
      <c r="Z673">
        <v>-7.9450089999999896E-4</v>
      </c>
      <c r="AA673">
        <v>0.99939690000000003</v>
      </c>
      <c r="AB673">
        <v>36</v>
      </c>
      <c r="AC673">
        <v>37.945900000000002</v>
      </c>
      <c r="AD673">
        <v>-1.1098013376889999</v>
      </c>
      <c r="AE673">
        <v>-1.2330000000000001</v>
      </c>
      <c r="AF673">
        <v>1.3242803754836201</v>
      </c>
      <c r="AG673">
        <v>-1.1098013376889999</v>
      </c>
      <c r="AH673">
        <v>37.910390831191002</v>
      </c>
      <c r="AI673">
        <v>91.675795196388194</v>
      </c>
      <c r="AJ673">
        <v>87.999365470095796</v>
      </c>
      <c r="AK673">
        <v>37.949744537950103</v>
      </c>
      <c r="AL673">
        <v>95.464825794670702</v>
      </c>
      <c r="AM673">
        <v>93.530951505367995</v>
      </c>
      <c r="AN673">
        <v>0.999999946419734</v>
      </c>
    </row>
    <row r="674" spans="1:40" x14ac:dyDescent="0.25">
      <c r="A674" t="str">
        <f>"20190305134920912"</f>
        <v>20190305134920912</v>
      </c>
      <c r="B674" t="str">
        <f>"1551764960901234"</f>
        <v>1551764960901234</v>
      </c>
      <c r="C674" t="s">
        <v>40</v>
      </c>
      <c r="D674">
        <v>3.7678940000000001</v>
      </c>
      <c r="E674">
        <v>0.53647140000000004</v>
      </c>
      <c r="F674" t="s">
        <v>42</v>
      </c>
      <c r="G674">
        <v>-336.61329999999998</v>
      </c>
      <c r="H674" s="1">
        <v>-2.0190660000000002E-6</v>
      </c>
      <c r="I674">
        <v>366.32490000000001</v>
      </c>
      <c r="J674">
        <v>-376.36259999999999</v>
      </c>
      <c r="K674">
        <v>1.109799</v>
      </c>
      <c r="L674">
        <v>367.57549999999998</v>
      </c>
      <c r="M674">
        <v>0.9998899</v>
      </c>
      <c r="N674">
        <v>-1.4642499999999999E-2</v>
      </c>
      <c r="O674">
        <v>2.4549929999999999E-3</v>
      </c>
      <c r="P674">
        <v>0.99199800000000005</v>
      </c>
      <c r="Q674">
        <v>-0.10955860000000001</v>
      </c>
      <c r="R674">
        <v>6.2747380000000005E-2</v>
      </c>
      <c r="S674">
        <v>3.0212400000000001</v>
      </c>
      <c r="T674">
        <v>-8.3990220000000004E-2</v>
      </c>
      <c r="U674">
        <v>-9.4604489999999999E-2</v>
      </c>
      <c r="V674">
        <v>-6.0300340000000001E-2</v>
      </c>
      <c r="W674">
        <v>-9.5026490000000005E-2</v>
      </c>
      <c r="X674">
        <v>0.99364669999999999</v>
      </c>
      <c r="Y674">
        <v>3.3731650000000002E-2</v>
      </c>
      <c r="Z674">
        <v>-7.4805029999999999E-4</v>
      </c>
      <c r="AA674">
        <v>0.99943070000000001</v>
      </c>
      <c r="AB674">
        <v>36</v>
      </c>
      <c r="AC674">
        <v>39.749299999999998</v>
      </c>
      <c r="AD674">
        <v>-1.1098010190659999</v>
      </c>
      <c r="AE674">
        <v>-1.25059999999996</v>
      </c>
      <c r="AF674">
        <v>1.3471418395816099</v>
      </c>
      <c r="AG674">
        <v>-1.1098010190659999</v>
      </c>
      <c r="AH674">
        <v>39.715181198256801</v>
      </c>
      <c r="AI674">
        <v>91.599737146972998</v>
      </c>
      <c r="AJ674">
        <v>88.057267840309606</v>
      </c>
      <c r="AK674">
        <v>39.753516411108102</v>
      </c>
      <c r="AL674">
        <v>95.452844668721198</v>
      </c>
      <c r="AM674">
        <v>93.472786710910199</v>
      </c>
      <c r="AN674">
        <v>0.99999996461336205</v>
      </c>
    </row>
    <row r="675" spans="1:40" x14ac:dyDescent="0.25">
      <c r="A675" t="str">
        <f>"20190305134920923"</f>
        <v>20190305134920923</v>
      </c>
      <c r="B675" t="str">
        <f>"1551764960921867"</f>
        <v>1551764960921867</v>
      </c>
      <c r="C675" t="s">
        <v>40</v>
      </c>
      <c r="D675">
        <v>3.7024729999999999</v>
      </c>
      <c r="E675">
        <v>0.53577629999999998</v>
      </c>
      <c r="F675" t="s">
        <v>42</v>
      </c>
      <c r="G675">
        <v>-335.72449999999998</v>
      </c>
      <c r="H675" s="1">
        <v>-2.4020960000000002E-6</v>
      </c>
      <c r="I675">
        <v>366.3152</v>
      </c>
      <c r="J675">
        <v>-376.16640000000001</v>
      </c>
      <c r="K675">
        <v>1.109799</v>
      </c>
      <c r="L675">
        <v>367.57600000000002</v>
      </c>
      <c r="M675">
        <v>0.99988980000000005</v>
      </c>
      <c r="N675">
        <v>-1.464114E-2</v>
      </c>
      <c r="O675">
        <v>2.4759909999999999E-3</v>
      </c>
      <c r="P675">
        <v>0.99210900000000002</v>
      </c>
      <c r="Q675">
        <v>-0.1089739</v>
      </c>
      <c r="R675">
        <v>6.2003700000000002E-2</v>
      </c>
      <c r="S675">
        <v>3.0210270000000001</v>
      </c>
      <c r="T675">
        <v>-8.2502130000000007E-2</v>
      </c>
      <c r="U675">
        <v>-9.3688960000000002E-2</v>
      </c>
      <c r="V675">
        <v>-5.9536079999999998E-2</v>
      </c>
      <c r="W675">
        <v>-9.4441040000000004E-2</v>
      </c>
      <c r="X675">
        <v>0.99374859999999998</v>
      </c>
      <c r="Y675">
        <v>3.345302E-2</v>
      </c>
      <c r="Z675">
        <v>-7.3298000000000005E-4</v>
      </c>
      <c r="AA675">
        <v>0.99944</v>
      </c>
      <c r="AB675">
        <v>36</v>
      </c>
      <c r="AC675">
        <v>40.441899999999997</v>
      </c>
      <c r="AD675">
        <v>-1.1098014020960001</v>
      </c>
      <c r="AE675">
        <v>-1.26079999999996</v>
      </c>
      <c r="AF675">
        <v>1.35991754374165</v>
      </c>
      <c r="AG675">
        <v>-1.1098014020960001</v>
      </c>
      <c r="AH675">
        <v>40.408253801153599</v>
      </c>
      <c r="AI675">
        <v>91.572327365589103</v>
      </c>
      <c r="AJ675">
        <v>88.072469573606995</v>
      </c>
      <c r="AK675">
        <v>40.446359664824101</v>
      </c>
      <c r="AL675">
        <v>95.419149297583303</v>
      </c>
      <c r="AM675">
        <v>93.428526760846097</v>
      </c>
      <c r="AN675">
        <v>0.99999996743000297</v>
      </c>
    </row>
    <row r="676" spans="1:40" x14ac:dyDescent="0.25">
      <c r="A676" t="str">
        <f>"20190305134920935"</f>
        <v>20190305134920935</v>
      </c>
      <c r="B676" t="str">
        <f>"1551764960931627"</f>
        <v>1551764960931627</v>
      </c>
      <c r="C676" t="s">
        <v>40</v>
      </c>
      <c r="D676">
        <v>3.8014950000000001</v>
      </c>
      <c r="E676">
        <v>0.53499909999999995</v>
      </c>
      <c r="F676" t="s">
        <v>42</v>
      </c>
      <c r="G676">
        <v>-335.65629999999999</v>
      </c>
      <c r="H676" s="1">
        <v>-2.4234049999999999E-6</v>
      </c>
      <c r="I676">
        <v>366.35989999999998</v>
      </c>
      <c r="J676">
        <v>-375.98770000000002</v>
      </c>
      <c r="K676">
        <v>1.1097999999999999</v>
      </c>
      <c r="L676">
        <v>367.57650000000001</v>
      </c>
      <c r="M676">
        <v>0.99988980000000005</v>
      </c>
      <c r="N676">
        <v>-1.4639859999999999E-2</v>
      </c>
      <c r="O676">
        <v>2.4948510000000002E-3</v>
      </c>
      <c r="P676">
        <v>0.99218759999999995</v>
      </c>
      <c r="Q676">
        <v>-0.108776</v>
      </c>
      <c r="R676">
        <v>6.1088660000000003E-2</v>
      </c>
      <c r="S676">
        <v>3.0204770000000001</v>
      </c>
      <c r="T676">
        <v>-8.2747699999999993E-2</v>
      </c>
      <c r="U676">
        <v>-9.0667719999999993E-2</v>
      </c>
      <c r="V676">
        <v>-5.8603189999999999E-2</v>
      </c>
      <c r="W676">
        <v>-9.4242859999999998E-2</v>
      </c>
      <c r="X676">
        <v>0.99382289999999995</v>
      </c>
      <c r="Y676">
        <v>3.2479180000000003E-2</v>
      </c>
      <c r="Z676">
        <v>-7.1439509999999997E-4</v>
      </c>
      <c r="AA676">
        <v>0.99947209999999997</v>
      </c>
      <c r="AB676">
        <v>36</v>
      </c>
      <c r="AC676">
        <v>40.331400000000002</v>
      </c>
      <c r="AD676">
        <v>-1.1098024234049999</v>
      </c>
      <c r="AE676">
        <v>-1.2166000000000201</v>
      </c>
      <c r="AF676">
        <v>1.31623209152684</v>
      </c>
      <c r="AG676">
        <v>-1.1098024234049999</v>
      </c>
      <c r="AH676">
        <v>40.297753587603701</v>
      </c>
      <c r="AI676">
        <v>91.576689878692704</v>
      </c>
      <c r="AJ676">
        <v>88.1292321411741</v>
      </c>
      <c r="AK676">
        <v>40.334514656122799</v>
      </c>
      <c r="AL676">
        <v>95.407743352354998</v>
      </c>
      <c r="AM676">
        <v>93.374677502824198</v>
      </c>
      <c r="AN676">
        <v>1.00000000355178</v>
      </c>
    </row>
    <row r="677" spans="1:40" x14ac:dyDescent="0.25">
      <c r="A677" t="str">
        <f>"20190305134920946"</f>
        <v>20190305134920946</v>
      </c>
      <c r="B677" t="str">
        <f>"1551764960941387"</f>
        <v>1551764960941387</v>
      </c>
      <c r="C677" t="s">
        <v>40</v>
      </c>
      <c r="D677">
        <v>3.7994880000000002</v>
      </c>
      <c r="E677">
        <v>0.53431819999999997</v>
      </c>
      <c r="F677" t="s">
        <v>42</v>
      </c>
      <c r="G677">
        <v>-336.67439999999999</v>
      </c>
      <c r="H677" s="1">
        <v>-1.9725449999999999E-6</v>
      </c>
      <c r="I677">
        <v>366.4393</v>
      </c>
      <c r="J677">
        <v>-375.81119999999999</v>
      </c>
      <c r="K677">
        <v>1.1097950000000001</v>
      </c>
      <c r="L677">
        <v>367.57690000000002</v>
      </c>
      <c r="M677">
        <v>0.9998899</v>
      </c>
      <c r="N677">
        <v>-1.463856E-2</v>
      </c>
      <c r="O677">
        <v>2.5133569999999999E-3</v>
      </c>
      <c r="P677">
        <v>0.99228629999999995</v>
      </c>
      <c r="Q677">
        <v>-0.10826189999999999</v>
      </c>
      <c r="R677">
        <v>6.0396310000000002E-2</v>
      </c>
      <c r="S677">
        <v>3.0196230000000002</v>
      </c>
      <c r="T677">
        <v>-8.5242990000000005E-2</v>
      </c>
      <c r="U677">
        <v>-8.7341310000000005E-2</v>
      </c>
      <c r="V677">
        <v>-5.7892800000000001E-2</v>
      </c>
      <c r="W677">
        <v>-9.3728240000000004E-2</v>
      </c>
      <c r="X677">
        <v>0.99391320000000005</v>
      </c>
      <c r="Y677">
        <v>3.1405750000000003E-2</v>
      </c>
      <c r="Z677">
        <v>-7.0724429999999901E-4</v>
      </c>
      <c r="AA677">
        <v>0.99950649999999996</v>
      </c>
      <c r="AB677">
        <v>36</v>
      </c>
      <c r="AC677">
        <v>39.136800000000001</v>
      </c>
      <c r="AD677">
        <v>-1.1097969725450001</v>
      </c>
      <c r="AE677">
        <v>-1.1376000000000199</v>
      </c>
      <c r="AF677">
        <v>1.2349794535020899</v>
      </c>
      <c r="AG677">
        <v>-1.1097969725450001</v>
      </c>
      <c r="AH677">
        <v>39.102400700916498</v>
      </c>
      <c r="AI677">
        <v>91.624911808812897</v>
      </c>
      <c r="AJ677">
        <v>88.191016513427996</v>
      </c>
      <c r="AK677">
        <v>39.137636159403897</v>
      </c>
      <c r="AL677">
        <v>95.378126698293499</v>
      </c>
      <c r="AM677">
        <v>93.333560167757199</v>
      </c>
      <c r="AN677">
        <v>1.0000000041997801</v>
      </c>
    </row>
    <row r="678" spans="1:40" x14ac:dyDescent="0.25">
      <c r="A678" t="str">
        <f>"20190305134920957"</f>
        <v>20190305134920957</v>
      </c>
      <c r="B678" t="str">
        <f>"1551764960951148"</f>
        <v>1551764960951148</v>
      </c>
      <c r="C678" t="s">
        <v>40</v>
      </c>
      <c r="D678">
        <v>3.7911160000000002</v>
      </c>
      <c r="E678">
        <v>0.53378009999999998</v>
      </c>
      <c r="F678" t="s">
        <v>42</v>
      </c>
      <c r="G678">
        <v>-337.19119999999998</v>
      </c>
      <c r="H678" s="1">
        <v>-1.7710690000000001E-6</v>
      </c>
      <c r="I678">
        <v>366.50009999999997</v>
      </c>
      <c r="J678">
        <v>-375.62220000000002</v>
      </c>
      <c r="K678">
        <v>1.1097969999999999</v>
      </c>
      <c r="L678">
        <v>367.57740000000001</v>
      </c>
      <c r="M678">
        <v>0.99988969999999999</v>
      </c>
      <c r="N678">
        <v>-1.463713E-2</v>
      </c>
      <c r="O678">
        <v>2.533179E-3</v>
      </c>
      <c r="P678">
        <v>0.99234409999999895</v>
      </c>
      <c r="Q678">
        <v>-0.10810790000000001</v>
      </c>
      <c r="R678">
        <v>5.9713919999999997E-2</v>
      </c>
      <c r="S678">
        <v>3.0189819999999998</v>
      </c>
      <c r="T678">
        <v>-8.6754199999999906E-2</v>
      </c>
      <c r="U678">
        <v>-8.4167480000000003E-2</v>
      </c>
      <c r="V678">
        <v>-5.7191230000000003E-2</v>
      </c>
      <c r="W678">
        <v>-9.3574539999999998E-2</v>
      </c>
      <c r="X678">
        <v>0.99396830000000003</v>
      </c>
      <c r="Y678">
        <v>3.03818E-2</v>
      </c>
      <c r="Z678">
        <v>-6.9452640000000003E-4</v>
      </c>
      <c r="AA678">
        <v>0.99953809999999998</v>
      </c>
      <c r="AB678">
        <v>36</v>
      </c>
      <c r="AC678">
        <v>38.430999999999997</v>
      </c>
      <c r="AD678">
        <v>-1.1097987710689901</v>
      </c>
      <c r="AE678">
        <v>-1.0773000000000299</v>
      </c>
      <c r="AF678">
        <v>1.1736815819427899</v>
      </c>
      <c r="AG678">
        <v>-1.1097987710689901</v>
      </c>
      <c r="AH678">
        <v>38.396153149491902</v>
      </c>
      <c r="AI678">
        <v>91.654838314323797</v>
      </c>
      <c r="AJ678">
        <v>88.249145746932996</v>
      </c>
      <c r="AK678">
        <v>38.4301152541505</v>
      </c>
      <c r="AL678">
        <v>95.369281450989405</v>
      </c>
      <c r="AM678">
        <v>93.293069945395999</v>
      </c>
      <c r="AN678">
        <v>1.0000000063650001</v>
      </c>
    </row>
    <row r="679" spans="1:40" x14ac:dyDescent="0.25">
      <c r="A679" t="str">
        <f>"20190305134920971"</f>
        <v>20190305134920971</v>
      </c>
      <c r="B679" t="str">
        <f>"1551764960961885"</f>
        <v>1551764960961885</v>
      </c>
      <c r="C679" t="s">
        <v>40</v>
      </c>
      <c r="D679">
        <v>3.7780040000000001</v>
      </c>
      <c r="E679">
        <v>0.53325549999999999</v>
      </c>
      <c r="F679" t="s">
        <v>42</v>
      </c>
      <c r="G679">
        <v>-337.68950000000001</v>
      </c>
      <c r="H679" s="1">
        <v>-1.588673E-6</v>
      </c>
      <c r="I679">
        <v>366.54829999999998</v>
      </c>
      <c r="J679">
        <v>-375.40390000000002</v>
      </c>
      <c r="K679">
        <v>1.1097950000000001</v>
      </c>
      <c r="L679">
        <v>367.57799999999997</v>
      </c>
      <c r="M679">
        <v>0.99988980000000005</v>
      </c>
      <c r="N679">
        <v>-1.463543E-2</v>
      </c>
      <c r="O679">
        <v>2.5558619999999999E-3</v>
      </c>
      <c r="P679">
        <v>0.99240430000000002</v>
      </c>
      <c r="Q679">
        <v>-0.1079712</v>
      </c>
      <c r="R679">
        <v>5.8960209999999999E-2</v>
      </c>
      <c r="S679">
        <v>3.0184329999999999</v>
      </c>
      <c r="T679">
        <v>-8.8310120000000006E-2</v>
      </c>
      <c r="U679">
        <v>-8.1878660000000006E-2</v>
      </c>
      <c r="V679">
        <v>-5.6415130000000001E-2</v>
      </c>
      <c r="W679">
        <v>-9.3438320000000005E-2</v>
      </c>
      <c r="X679">
        <v>0.99402550000000001</v>
      </c>
      <c r="Y679">
        <v>2.9652049999999999E-2</v>
      </c>
      <c r="Z679">
        <v>-6.8804869999999896E-4</v>
      </c>
      <c r="AA679">
        <v>0.99956009999999995</v>
      </c>
      <c r="AB679">
        <v>36</v>
      </c>
      <c r="AC679">
        <v>37.714399999999998</v>
      </c>
      <c r="AD679">
        <v>-1.1097965886729999</v>
      </c>
      <c r="AE679">
        <v>-1.02970000000004</v>
      </c>
      <c r="AF679">
        <v>1.12512621511484</v>
      </c>
      <c r="AG679">
        <v>-1.1097965886729999</v>
      </c>
      <c r="AH679">
        <v>37.679042409981903</v>
      </c>
      <c r="AI679">
        <v>91.686347971826194</v>
      </c>
      <c r="AJ679">
        <v>88.289610636800205</v>
      </c>
      <c r="AK679">
        <v>37.712170375110802</v>
      </c>
      <c r="AL679">
        <v>95.361442089918597</v>
      </c>
      <c r="AM679">
        <v>93.248291953301802</v>
      </c>
      <c r="AN679">
        <v>1.0000000405937901</v>
      </c>
    </row>
    <row r="680" spans="1:40" x14ac:dyDescent="0.25">
      <c r="A680" t="str">
        <f>"20190305134920988"</f>
        <v>20190305134920988</v>
      </c>
      <c r="B680" t="str">
        <f>"1551764960981403"</f>
        <v>1551764960981403</v>
      </c>
      <c r="C680" t="s">
        <v>40</v>
      </c>
      <c r="D680">
        <v>3.7662840000000002</v>
      </c>
      <c r="E680">
        <v>0.53281230000000002</v>
      </c>
      <c r="F680" t="s">
        <v>42</v>
      </c>
      <c r="G680">
        <v>-337.69319999999999</v>
      </c>
      <c r="H680" s="1">
        <v>-1.579583E-6</v>
      </c>
      <c r="I680">
        <v>366.57769999999999</v>
      </c>
      <c r="J680">
        <v>-375.13600000000002</v>
      </c>
      <c r="K680">
        <v>1.1097939999999999</v>
      </c>
      <c r="L680">
        <v>367.57870000000003</v>
      </c>
      <c r="M680">
        <v>0.99988969999999999</v>
      </c>
      <c r="N680">
        <v>-1.463326E-2</v>
      </c>
      <c r="O680">
        <v>2.584453E-3</v>
      </c>
      <c r="P680">
        <v>0.99240309999999998</v>
      </c>
      <c r="Q680">
        <v>-0.108507199999999</v>
      </c>
      <c r="R680">
        <v>5.7985309999999998E-2</v>
      </c>
      <c r="S680">
        <v>3.0180660000000001</v>
      </c>
      <c r="T680">
        <v>-8.8819149999999999E-2</v>
      </c>
      <c r="U680">
        <v>-8.0047610000000005E-2</v>
      </c>
      <c r="V680">
        <v>-5.5412160000000002E-2</v>
      </c>
      <c r="W680">
        <v>-9.3976009999999999E-2</v>
      </c>
      <c r="X680">
        <v>0.9940312</v>
      </c>
      <c r="Y680">
        <v>2.9078099999999999E-2</v>
      </c>
      <c r="Z680">
        <v>-6.7879460000000002E-4</v>
      </c>
      <c r="AA680">
        <v>0.99957689999999999</v>
      </c>
      <c r="AB680">
        <v>36</v>
      </c>
      <c r="AC680">
        <v>37.442799999999899</v>
      </c>
      <c r="AD680">
        <v>-1.1097955795829999</v>
      </c>
      <c r="AE680">
        <v>-1.0010000000000301</v>
      </c>
      <c r="AF680">
        <v>1.0968132854544199</v>
      </c>
      <c r="AG680">
        <v>-1.1097955795829999</v>
      </c>
      <c r="AH680">
        <v>37.407248240804499</v>
      </c>
      <c r="AI680">
        <v>91.698619068175901</v>
      </c>
      <c r="AJ680">
        <v>88.320518736965596</v>
      </c>
      <c r="AK680">
        <v>37.439776529257998</v>
      </c>
      <c r="AL680">
        <v>95.392385767619402</v>
      </c>
      <c r="AM680">
        <v>93.190644697968196</v>
      </c>
      <c r="AN680">
        <v>1.00000001225241</v>
      </c>
    </row>
    <row r="681" spans="1:40" x14ac:dyDescent="0.25">
      <c r="A681" t="str">
        <f>"20190305134921000"</f>
        <v>20190305134921000</v>
      </c>
      <c r="B681" t="str">
        <f>"1551764960991165"</f>
        <v>1551764960991165</v>
      </c>
      <c r="C681" t="s">
        <v>40</v>
      </c>
      <c r="D681">
        <v>3.7737370000000001</v>
      </c>
      <c r="E681">
        <v>0.53257869999999996</v>
      </c>
      <c r="F681" t="s">
        <v>42</v>
      </c>
      <c r="G681">
        <v>-340.61059999999998</v>
      </c>
      <c r="H681" s="1">
        <v>-4.9428740000000003E-6</v>
      </c>
      <c r="I681">
        <v>366.66269999999997</v>
      </c>
      <c r="J681">
        <v>-374.94229999999999</v>
      </c>
      <c r="K681">
        <v>1.1097900000000001</v>
      </c>
      <c r="L681">
        <v>367.57920000000001</v>
      </c>
      <c r="M681">
        <v>0.99988969999999999</v>
      </c>
      <c r="N681">
        <v>-1.4629629999999999E-2</v>
      </c>
      <c r="O681">
        <v>2.6062099999999999E-3</v>
      </c>
      <c r="P681">
        <v>0.99239219999999895</v>
      </c>
      <c r="Q681">
        <v>-0.1088021</v>
      </c>
      <c r="R681">
        <v>5.7620589999999999E-2</v>
      </c>
      <c r="S681">
        <v>3.0170590000000002</v>
      </c>
      <c r="T681">
        <v>-9.6981410000000004E-2</v>
      </c>
      <c r="U681">
        <v>-8.0047610000000005E-2</v>
      </c>
      <c r="V681">
        <v>-5.5026190000000003E-2</v>
      </c>
      <c r="W681">
        <v>-9.4274499999999997E-2</v>
      </c>
      <c r="X681">
        <v>0.99402429999999997</v>
      </c>
      <c r="Y681">
        <v>2.9105550000000001E-2</v>
      </c>
      <c r="Z681">
        <v>-7.2623860000000002E-4</v>
      </c>
      <c r="AA681">
        <v>0.99957609999999997</v>
      </c>
      <c r="AB681">
        <v>36</v>
      </c>
      <c r="AC681">
        <v>34.331699999999998</v>
      </c>
      <c r="AD681">
        <v>-1.1097949428739999</v>
      </c>
      <c r="AE681">
        <v>-0.91650000000004095</v>
      </c>
      <c r="AF681">
        <v>1.00493271781306</v>
      </c>
      <c r="AG681">
        <v>-1.1097949428739999</v>
      </c>
      <c r="AH681">
        <v>34.293385231614103</v>
      </c>
      <c r="AI681">
        <v>91.852751677426596</v>
      </c>
      <c r="AJ681">
        <v>88.3214859012256</v>
      </c>
      <c r="AK681">
        <v>34.326051407443401</v>
      </c>
      <c r="AL681">
        <v>95.409564664852098</v>
      </c>
      <c r="AM681">
        <v>93.168487847156001</v>
      </c>
      <c r="AN681">
        <v>0.99999993596332504</v>
      </c>
    </row>
    <row r="682" spans="1:40" x14ac:dyDescent="0.25">
      <c r="A682" t="str">
        <f>"20190305134921013"</f>
        <v>20190305134921013</v>
      </c>
      <c r="B682" t="str">
        <f>"1551764961001898"</f>
        <v>1551764961001898</v>
      </c>
      <c r="C682" t="s">
        <v>40</v>
      </c>
      <c r="D682">
        <v>3.9539529999999998</v>
      </c>
      <c r="E682">
        <v>0.53245929999999997</v>
      </c>
      <c r="F682" t="s">
        <v>42</v>
      </c>
      <c r="G682">
        <v>-340.89060000000001</v>
      </c>
      <c r="H682" s="1">
        <v>-4.8069560000000004E-6</v>
      </c>
      <c r="I682">
        <v>366.68259999999998</v>
      </c>
      <c r="J682">
        <v>-374.72809999999998</v>
      </c>
      <c r="K682">
        <v>1.109788</v>
      </c>
      <c r="L682">
        <v>367.57979999999998</v>
      </c>
      <c r="M682">
        <v>0.99988960000000005</v>
      </c>
      <c r="N682">
        <v>-1.462461E-2</v>
      </c>
      <c r="O682">
        <v>2.6307790000000002E-3</v>
      </c>
      <c r="P682">
        <v>0.99237839999999999</v>
      </c>
      <c r="Q682">
        <v>-0.10913970000000001</v>
      </c>
      <c r="R682">
        <v>5.7216169999999997E-2</v>
      </c>
      <c r="S682">
        <v>3.0168460000000001</v>
      </c>
      <c r="T682">
        <v>-9.8323460000000001E-2</v>
      </c>
      <c r="U682">
        <v>-7.9437259999999996E-2</v>
      </c>
      <c r="V682">
        <v>-5.4597819999999998E-2</v>
      </c>
      <c r="W682">
        <v>-9.4617060000000003E-2</v>
      </c>
      <c r="X682">
        <v>0.99401550000000005</v>
      </c>
      <c r="Y682">
        <v>2.8929489999999999E-2</v>
      </c>
      <c r="Z682">
        <v>-7.3013179999999905E-4</v>
      </c>
      <c r="AA682">
        <v>0.99958119999999995</v>
      </c>
      <c r="AB682">
        <v>36</v>
      </c>
      <c r="AC682">
        <v>33.837499999999899</v>
      </c>
      <c r="AD682">
        <v>-1.1097928069559999</v>
      </c>
      <c r="AE682">
        <v>-0.897199999999997</v>
      </c>
      <c r="AF682">
        <v>0.98516641012568495</v>
      </c>
      <c r="AG682">
        <v>-1.1097928069559999</v>
      </c>
      <c r="AH682">
        <v>33.798690909536496</v>
      </c>
      <c r="AI682">
        <v>91.879855086191299</v>
      </c>
      <c r="AJ682">
        <v>88.330411670103402</v>
      </c>
      <c r="AK682">
        <v>33.831253304132801</v>
      </c>
      <c r="AL682">
        <v>95.429279349047206</v>
      </c>
      <c r="AM682">
        <v>93.143899131790306</v>
      </c>
      <c r="AN682">
        <v>1.0000000621160201</v>
      </c>
    </row>
    <row r="683" spans="1:40" x14ac:dyDescent="0.25">
      <c r="A683" t="str">
        <f>"20190305134921025"</f>
        <v>20190305134921025</v>
      </c>
      <c r="B683" t="str">
        <f>"1551764961021926"</f>
        <v>1551764961021926</v>
      </c>
      <c r="C683" t="s">
        <v>40</v>
      </c>
      <c r="D683">
        <v>3.8351639999999998</v>
      </c>
      <c r="E683">
        <v>0.53195879999999995</v>
      </c>
      <c r="F683" t="s">
        <v>42</v>
      </c>
      <c r="G683">
        <v>-341.09219999999999</v>
      </c>
      <c r="H683" s="1">
        <v>-4.7094979999999999E-6</v>
      </c>
      <c r="I683">
        <v>366.69470000000001</v>
      </c>
      <c r="J683">
        <v>-374.52780000000001</v>
      </c>
      <c r="K683">
        <v>1.1097840000000001</v>
      </c>
      <c r="L683">
        <v>367.58030000000002</v>
      </c>
      <c r="M683">
        <v>0.99988960000000005</v>
      </c>
      <c r="N683">
        <v>-1.4618330000000001E-2</v>
      </c>
      <c r="O683">
        <v>2.6535170000000002E-3</v>
      </c>
      <c r="P683">
        <v>0.99236670000000005</v>
      </c>
      <c r="Q683">
        <v>-0.1093749</v>
      </c>
      <c r="R683">
        <v>5.6969770000000003E-2</v>
      </c>
      <c r="S683">
        <v>3.016632</v>
      </c>
      <c r="T683">
        <v>-9.9531770000000006E-2</v>
      </c>
      <c r="U683">
        <v>-7.9376219999999997E-2</v>
      </c>
      <c r="V683">
        <v>-5.4329229999999999E-2</v>
      </c>
      <c r="W683">
        <v>-9.4858449999999997E-2</v>
      </c>
      <c r="X683">
        <v>0.99400719999999998</v>
      </c>
      <c r="Y683">
        <v>2.893339E-2</v>
      </c>
      <c r="Z683">
        <v>-7.3744999999999995E-4</v>
      </c>
      <c r="AA683">
        <v>0.9995811</v>
      </c>
      <c r="AB683">
        <v>36</v>
      </c>
      <c r="AC683">
        <v>33.435600000000001</v>
      </c>
      <c r="AD683">
        <v>-1.1097887094979999</v>
      </c>
      <c r="AE683">
        <v>-0.88560000000001005</v>
      </c>
      <c r="AF683">
        <v>0.97325681513927298</v>
      </c>
      <c r="AG683">
        <v>-1.1097887094979999</v>
      </c>
      <c r="AH683">
        <v>33.396365158051999</v>
      </c>
      <c r="AI683">
        <v>91.902478426110207</v>
      </c>
      <c r="AJ683">
        <v>88.330724640710898</v>
      </c>
      <c r="AK683">
        <v>33.4289704534539</v>
      </c>
      <c r="AL683">
        <v>95.443172518075201</v>
      </c>
      <c r="AM683">
        <v>93.128489817566802</v>
      </c>
      <c r="AN683">
        <v>1.0000000522103101</v>
      </c>
    </row>
    <row r="684" spans="1:40" x14ac:dyDescent="0.25">
      <c r="A684" t="str">
        <f>"20190305134921036"</f>
        <v>20190305134921036</v>
      </c>
      <c r="B684" t="str">
        <f>"1551764961031686"</f>
        <v>1551764961031686</v>
      </c>
      <c r="C684" t="s">
        <v>40</v>
      </c>
      <c r="D684">
        <v>3.690153</v>
      </c>
      <c r="E684">
        <v>0.53179670000000001</v>
      </c>
      <c r="F684" t="s">
        <v>42</v>
      </c>
      <c r="G684">
        <v>-341.56229999999999</v>
      </c>
      <c r="H684" s="1">
        <v>-4.4778609999999999E-6</v>
      </c>
      <c r="I684">
        <v>366.74779999999998</v>
      </c>
      <c r="J684">
        <v>-374.34859999999998</v>
      </c>
      <c r="K684">
        <v>1.1097809999999999</v>
      </c>
      <c r="L684">
        <v>367.58080000000001</v>
      </c>
      <c r="M684">
        <v>0.99988969999999999</v>
      </c>
      <c r="N684">
        <v>-1.461228E-2</v>
      </c>
      <c r="O684">
        <v>2.6739340000000002E-3</v>
      </c>
      <c r="P684">
        <v>0.99235700000000004</v>
      </c>
      <c r="Q684">
        <v>-0.1096295</v>
      </c>
      <c r="R684">
        <v>5.6650859999999997E-2</v>
      </c>
      <c r="S684">
        <v>3.0162659999999999</v>
      </c>
      <c r="T684">
        <v>-0.1015431</v>
      </c>
      <c r="U684">
        <v>-7.6171879999999997E-2</v>
      </c>
      <c r="V684">
        <v>-5.3989929999999998E-2</v>
      </c>
      <c r="W684">
        <v>-9.511907E-2</v>
      </c>
      <c r="X684">
        <v>0.99400069999999996</v>
      </c>
      <c r="Y684">
        <v>2.789579E-2</v>
      </c>
      <c r="Z684">
        <v>-7.2420470000000002E-4</v>
      </c>
      <c r="AA684">
        <v>0.99961060000000002</v>
      </c>
      <c r="AB684">
        <v>36</v>
      </c>
      <c r="AC684">
        <v>32.786299999999898</v>
      </c>
      <c r="AD684">
        <v>-1.1097854778609999</v>
      </c>
      <c r="AE684">
        <v>-0.83300000000002605</v>
      </c>
      <c r="AF684">
        <v>0.91962179591151705</v>
      </c>
      <c r="AG684">
        <v>-1.1097854778609999</v>
      </c>
      <c r="AH684">
        <v>32.746459794610097</v>
      </c>
      <c r="AI684">
        <v>91.940260626972005</v>
      </c>
      <c r="AJ684">
        <v>88.391380231038994</v>
      </c>
      <c r="AK684">
        <v>32.7781628090166</v>
      </c>
      <c r="AL684">
        <v>95.458173214996506</v>
      </c>
      <c r="AM684">
        <v>93.109010334791506</v>
      </c>
      <c r="AN684">
        <v>0.99999997080977898</v>
      </c>
    </row>
    <row r="685" spans="1:40" x14ac:dyDescent="0.25">
      <c r="A685" t="str">
        <f>"20190305134921048"</f>
        <v>20190305134921048</v>
      </c>
      <c r="B685" t="str">
        <f>"1551764961041446"</f>
        <v>1551764961041446</v>
      </c>
      <c r="C685" t="s">
        <v>40</v>
      </c>
      <c r="D685">
        <v>3.8167179999999998</v>
      </c>
      <c r="E685">
        <v>0.53170729999999999</v>
      </c>
      <c r="F685" t="s">
        <v>42</v>
      </c>
      <c r="G685">
        <v>-341.69240000000002</v>
      </c>
      <c r="H685" s="1">
        <v>-4.4149169999999997E-6</v>
      </c>
      <c r="I685">
        <v>366.7561</v>
      </c>
      <c r="J685">
        <v>-374.1628</v>
      </c>
      <c r="K685">
        <v>1.1097779999999999</v>
      </c>
      <c r="L685">
        <v>367.58139999999997</v>
      </c>
      <c r="M685">
        <v>0.99988969999999999</v>
      </c>
      <c r="N685">
        <v>-1.4605730000000001E-2</v>
      </c>
      <c r="O685">
        <v>2.6955479999999999E-3</v>
      </c>
      <c r="P685">
        <v>0.99235739999999995</v>
      </c>
      <c r="Q685">
        <v>-0.1097694</v>
      </c>
      <c r="R685">
        <v>5.6373010000000001E-2</v>
      </c>
      <c r="S685">
        <v>3.0162049999999998</v>
      </c>
      <c r="T685">
        <v>-0.1025022</v>
      </c>
      <c r="U685">
        <v>-7.6171879999999997E-2</v>
      </c>
      <c r="V685">
        <v>-5.369057E-2</v>
      </c>
      <c r="W685">
        <v>-9.5265320000000001E-2</v>
      </c>
      <c r="X685">
        <v>0.99400290000000002</v>
      </c>
      <c r="Y685">
        <v>2.791751E-2</v>
      </c>
      <c r="Z685">
        <v>-7.303702E-4</v>
      </c>
      <c r="AA685">
        <v>0.99960990000000005</v>
      </c>
      <c r="AB685">
        <v>36</v>
      </c>
      <c r="AC685">
        <v>32.470399999999898</v>
      </c>
      <c r="AD685">
        <v>-1.1097824149169999</v>
      </c>
      <c r="AE685">
        <v>-0.82529999999996995</v>
      </c>
      <c r="AF685">
        <v>0.911767461957674</v>
      </c>
      <c r="AG685">
        <v>-1.1097824149169999</v>
      </c>
      <c r="AH685">
        <v>32.4301981029366</v>
      </c>
      <c r="AI685">
        <v>91.959160373672603</v>
      </c>
      <c r="AJ685">
        <v>88.389566739122003</v>
      </c>
      <c r="AK685">
        <v>32.461988323404597</v>
      </c>
      <c r="AL685">
        <v>95.466590997773096</v>
      </c>
      <c r="AM685">
        <v>93.091798396732898</v>
      </c>
      <c r="AN685">
        <v>0.99999996185501705</v>
      </c>
    </row>
    <row r="686" spans="1:40" x14ac:dyDescent="0.25">
      <c r="A686" t="str">
        <f>"20190305134921064"</f>
        <v>20190305134921064</v>
      </c>
      <c r="B686" t="str">
        <f>"1551764961061942"</f>
        <v>1551764961061942</v>
      </c>
      <c r="C686" t="s">
        <v>40</v>
      </c>
      <c r="D686">
        <v>3.8046310000000001</v>
      </c>
      <c r="E686">
        <v>0.53156300000000001</v>
      </c>
      <c r="F686" t="s">
        <v>42</v>
      </c>
      <c r="G686">
        <v>-341.57010000000002</v>
      </c>
      <c r="H686" s="1">
        <v>-4.4725330000000002E-6</v>
      </c>
      <c r="I686">
        <v>366.75720000000001</v>
      </c>
      <c r="J686">
        <v>-373.89460000000003</v>
      </c>
      <c r="K686">
        <v>1.109772</v>
      </c>
      <c r="L686">
        <v>367.58210000000003</v>
      </c>
      <c r="M686">
        <v>0.99988980000000005</v>
      </c>
      <c r="N686">
        <v>-1.4596380000000001E-2</v>
      </c>
      <c r="O686">
        <v>2.7265980000000002E-3</v>
      </c>
      <c r="P686">
        <v>0.99232469999999995</v>
      </c>
      <c r="Q686">
        <v>-0.1100043</v>
      </c>
      <c r="R686">
        <v>5.6490459999999999E-2</v>
      </c>
      <c r="S686">
        <v>3.0160830000000001</v>
      </c>
      <c r="T686">
        <v>-0.1026977</v>
      </c>
      <c r="U686">
        <v>-7.6263429999999993E-2</v>
      </c>
      <c r="V686">
        <v>-5.3777930000000002E-2</v>
      </c>
      <c r="W686">
        <v>-9.550989E-2</v>
      </c>
      <c r="X686">
        <v>0.99397469999999999</v>
      </c>
      <c r="Y686">
        <v>2.7979759999999999E-2</v>
      </c>
      <c r="Z686">
        <v>-7.3348399999999996E-4</v>
      </c>
      <c r="AA686">
        <v>0.99960819999999995</v>
      </c>
      <c r="AB686">
        <v>36</v>
      </c>
      <c r="AC686">
        <v>32.3245</v>
      </c>
      <c r="AD686">
        <v>-1.1097764725329999</v>
      </c>
      <c r="AE686">
        <v>-0.82490000000001296</v>
      </c>
      <c r="AF686">
        <v>0.91196798877018703</v>
      </c>
      <c r="AG686">
        <v>-1.1097764725329999</v>
      </c>
      <c r="AH686">
        <v>32.284101543406798</v>
      </c>
      <c r="AI686">
        <v>91.968001367198696</v>
      </c>
      <c r="AJ686">
        <v>88.381927245101906</v>
      </c>
      <c r="AK686">
        <v>32.316040937845898</v>
      </c>
      <c r="AL686">
        <v>95.480668055642894</v>
      </c>
      <c r="AM686">
        <v>93.096906970826197</v>
      </c>
      <c r="AN686">
        <v>0.99999995454149204</v>
      </c>
    </row>
    <row r="687" spans="1:40" x14ac:dyDescent="0.25">
      <c r="A687" t="str">
        <f>"20190305134921076"</f>
        <v>20190305134921076</v>
      </c>
      <c r="B687" t="str">
        <f>"1551764961071702"</f>
        <v>1551764961071702</v>
      </c>
      <c r="C687" t="s">
        <v>40</v>
      </c>
      <c r="D687">
        <v>3.8038129999999999</v>
      </c>
      <c r="E687">
        <v>0.53151199999999998</v>
      </c>
      <c r="F687" t="s">
        <v>42</v>
      </c>
      <c r="G687">
        <v>-341.33690000000001</v>
      </c>
      <c r="H687" s="1">
        <v>-4.5797119999999999E-6</v>
      </c>
      <c r="I687">
        <v>366.77429999999998</v>
      </c>
      <c r="J687">
        <v>-373.70440000000002</v>
      </c>
      <c r="K687">
        <v>1.1097790000000001</v>
      </c>
      <c r="L687">
        <v>367.58260000000001</v>
      </c>
      <c r="M687">
        <v>0.9998899</v>
      </c>
      <c r="N687">
        <v>-1.4589909999999999E-2</v>
      </c>
      <c r="O687">
        <v>2.748515E-3</v>
      </c>
      <c r="P687">
        <v>0.99231340000000001</v>
      </c>
      <c r="Q687">
        <v>-0.11007599999999999</v>
      </c>
      <c r="R687">
        <v>5.6548479999999998E-2</v>
      </c>
      <c r="S687">
        <v>3.0160830000000001</v>
      </c>
      <c r="T687">
        <v>-0.1028075</v>
      </c>
      <c r="U687">
        <v>-7.4829099999999996E-2</v>
      </c>
      <c r="V687">
        <v>-5.3814019999999997E-2</v>
      </c>
      <c r="W687">
        <v>-9.5588099999999995E-2</v>
      </c>
      <c r="X687">
        <v>0.99396530000000005</v>
      </c>
      <c r="Y687">
        <v>2.752692E-2</v>
      </c>
      <c r="Z687">
        <v>-7.2342800000000003E-4</v>
      </c>
      <c r="AA687">
        <v>0.99962079999999998</v>
      </c>
      <c r="AB687">
        <v>36</v>
      </c>
      <c r="AC687">
        <v>32.3675</v>
      </c>
      <c r="AD687">
        <v>-1.1097835797119999</v>
      </c>
      <c r="AE687">
        <v>-0.80830000000003099</v>
      </c>
      <c r="AF687">
        <v>0.89621603347132905</v>
      </c>
      <c r="AG687">
        <v>-1.1097835797119999</v>
      </c>
      <c r="AH687">
        <v>32.327175826841099</v>
      </c>
      <c r="AI687">
        <v>91.965422568566495</v>
      </c>
      <c r="AJ687">
        <v>88.411978603060703</v>
      </c>
      <c r="AK687">
        <v>32.358632846768202</v>
      </c>
      <c r="AL687">
        <v>95.485169364262305</v>
      </c>
      <c r="AM687">
        <v>93.099010484405497</v>
      </c>
      <c r="AN687">
        <v>1.00000002560713</v>
      </c>
    </row>
    <row r="688" spans="1:40" x14ac:dyDescent="0.25">
      <c r="A688" t="str">
        <f>"20190305134921087"</f>
        <v>20190305134921087</v>
      </c>
      <c r="B688" t="str">
        <f>"1551764961081461"</f>
        <v>1551764961081461</v>
      </c>
      <c r="C688" t="s">
        <v>40</v>
      </c>
      <c r="D688">
        <v>3.6929789999999998</v>
      </c>
      <c r="E688">
        <v>0.53146839999999995</v>
      </c>
      <c r="F688" t="s">
        <v>42</v>
      </c>
      <c r="G688">
        <v>-341.15910000000002</v>
      </c>
      <c r="H688" s="1">
        <v>-4.6621760000000002E-6</v>
      </c>
      <c r="I688">
        <v>366.78339999999997</v>
      </c>
      <c r="J688">
        <v>-373.51819999999998</v>
      </c>
      <c r="K688">
        <v>1.1097760000000001</v>
      </c>
      <c r="L688">
        <v>367.58319999999998</v>
      </c>
      <c r="M688">
        <v>0.9998899</v>
      </c>
      <c r="N688">
        <v>-1.458367E-2</v>
      </c>
      <c r="O688">
        <v>2.770074E-3</v>
      </c>
      <c r="P688">
        <v>0.9923052</v>
      </c>
      <c r="Q688">
        <v>-0.11008130000000001</v>
      </c>
      <c r="R688">
        <v>5.6683270000000001E-2</v>
      </c>
      <c r="S688">
        <v>3.0160830000000001</v>
      </c>
      <c r="T688">
        <v>-0.1028471</v>
      </c>
      <c r="U688">
        <v>-7.4066160000000006E-2</v>
      </c>
      <c r="V688">
        <v>-5.3927240000000001E-2</v>
      </c>
      <c r="W688">
        <v>-9.5599799999999999E-2</v>
      </c>
      <c r="X688">
        <v>0.99395800000000001</v>
      </c>
      <c r="Y688">
        <v>2.7295940000000001E-2</v>
      </c>
      <c r="Z688">
        <v>-7.1837569999999996E-4</v>
      </c>
      <c r="AA688">
        <v>0.99962709999999999</v>
      </c>
      <c r="AB688">
        <v>36</v>
      </c>
      <c r="AC688">
        <v>32.359099999999899</v>
      </c>
      <c r="AD688">
        <v>-1.109780662176</v>
      </c>
      <c r="AE688">
        <v>-0.79980000000000395</v>
      </c>
      <c r="AF688">
        <v>0.88839926059085805</v>
      </c>
      <c r="AG688">
        <v>-1.109780662176</v>
      </c>
      <c r="AH688">
        <v>32.318769930022398</v>
      </c>
      <c r="AI688">
        <v>91.965940911936002</v>
      </c>
      <c r="AJ688">
        <v>88.425413057504599</v>
      </c>
      <c r="AK688">
        <v>32.350019415049502</v>
      </c>
      <c r="AL688">
        <v>95.485843019376105</v>
      </c>
      <c r="AM688">
        <v>93.105540546465605</v>
      </c>
      <c r="AN688">
        <v>0.99999998736902795</v>
      </c>
    </row>
    <row r="689" spans="1:40" x14ac:dyDescent="0.25">
      <c r="A689" t="str">
        <f>"20190305134921099"</f>
        <v>20190305134921099</v>
      </c>
      <c r="B689" t="str">
        <f>"1551764961091222"</f>
        <v>1551764961091222</v>
      </c>
      <c r="C689" t="s">
        <v>40</v>
      </c>
      <c r="D689">
        <v>3.777841</v>
      </c>
      <c r="E689">
        <v>0.53140690000000002</v>
      </c>
      <c r="F689" t="s">
        <v>42</v>
      </c>
      <c r="G689">
        <v>-340.86610000000002</v>
      </c>
      <c r="H689" s="1">
        <v>-4.7994899999999997E-6</v>
      </c>
      <c r="I689">
        <v>366.78989999999999</v>
      </c>
      <c r="J689">
        <v>-373.34089999999998</v>
      </c>
      <c r="K689">
        <v>1.1097790000000001</v>
      </c>
      <c r="L689">
        <v>367.58370000000002</v>
      </c>
      <c r="M689">
        <v>0.99988999999999995</v>
      </c>
      <c r="N689">
        <v>-1.457608E-2</v>
      </c>
      <c r="O689">
        <v>2.7908640000000001E-3</v>
      </c>
      <c r="P689">
        <v>0.99226499999999995</v>
      </c>
      <c r="Q689">
        <v>-0.110254</v>
      </c>
      <c r="R689">
        <v>5.7047670000000002E-2</v>
      </c>
      <c r="S689">
        <v>3.0160830000000001</v>
      </c>
      <c r="T689">
        <v>-0.1025109</v>
      </c>
      <c r="U689">
        <v>-7.3272710000000005E-2</v>
      </c>
      <c r="V689">
        <v>-5.4271340000000001E-2</v>
      </c>
      <c r="W689">
        <v>-9.5780580000000004E-2</v>
      </c>
      <c r="X689">
        <v>0.99392190000000002</v>
      </c>
      <c r="Y689">
        <v>2.7054229999999999E-2</v>
      </c>
      <c r="Z689">
        <v>-7.110002E-4</v>
      </c>
      <c r="AA689">
        <v>0.99963369999999996</v>
      </c>
      <c r="AB689">
        <v>36</v>
      </c>
      <c r="AC689">
        <v>32.474799999999902</v>
      </c>
      <c r="AD689">
        <v>-1.1097837994899999</v>
      </c>
      <c r="AE689">
        <v>-0.79380000000003204</v>
      </c>
      <c r="AF689">
        <v>0.88340821130728098</v>
      </c>
      <c r="AG689">
        <v>-1.1097837994899999</v>
      </c>
      <c r="AH689">
        <v>32.434602032106902</v>
      </c>
      <c r="AI689">
        <v>91.958944546608194</v>
      </c>
      <c r="AJ689">
        <v>88.439843611235304</v>
      </c>
      <c r="AK689">
        <v>32.465603939101001</v>
      </c>
      <c r="AL689">
        <v>95.496248517425599</v>
      </c>
      <c r="AM689">
        <v>93.125430570825301</v>
      </c>
      <c r="AN689">
        <v>1.0000000205750701</v>
      </c>
    </row>
    <row r="690" spans="1:40" x14ac:dyDescent="0.25">
      <c r="A690" t="str">
        <f>"20190305134921109"</f>
        <v>20190305134921109</v>
      </c>
      <c r="B690" t="str">
        <f>"1551764961101958"</f>
        <v>1551764961101958</v>
      </c>
      <c r="C690" t="s">
        <v>40</v>
      </c>
      <c r="D690">
        <v>3.813447</v>
      </c>
      <c r="E690">
        <v>0.53137060000000003</v>
      </c>
      <c r="F690" t="s">
        <v>42</v>
      </c>
      <c r="G690">
        <v>-340.77289999999999</v>
      </c>
      <c r="H690" s="1">
        <v>-4.8402039999999999E-6</v>
      </c>
      <c r="I690">
        <v>366.80889999999999</v>
      </c>
      <c r="J690">
        <v>-373.16289999999998</v>
      </c>
      <c r="K690">
        <v>1.1097760000000001</v>
      </c>
      <c r="L690">
        <v>367.58420000000001</v>
      </c>
      <c r="M690">
        <v>0.9998901</v>
      </c>
      <c r="N690">
        <v>-1.45681E-2</v>
      </c>
      <c r="O690">
        <v>2.8117760000000002E-3</v>
      </c>
      <c r="P690">
        <v>0.99223640000000002</v>
      </c>
      <c r="Q690">
        <v>-0.110322</v>
      </c>
      <c r="R690">
        <v>5.7412390000000001E-2</v>
      </c>
      <c r="S690">
        <v>3.0160520000000002</v>
      </c>
      <c r="T690">
        <v>-0.10277459999999999</v>
      </c>
      <c r="U690">
        <v>-7.1746829999999998E-2</v>
      </c>
      <c r="V690">
        <v>-5.4615480000000001E-2</v>
      </c>
      <c r="W690">
        <v>-9.5856759999999999E-2</v>
      </c>
      <c r="X690">
        <v>0.99389570000000005</v>
      </c>
      <c r="Y690">
        <v>2.6570239999999998E-2</v>
      </c>
      <c r="Z690">
        <v>-7.0098519999999996E-4</v>
      </c>
      <c r="AA690">
        <v>0.9996467</v>
      </c>
      <c r="AB690">
        <v>36</v>
      </c>
      <c r="AC690">
        <v>32.389999999999901</v>
      </c>
      <c r="AD690">
        <v>-1.1097808402039999</v>
      </c>
      <c r="AE690">
        <v>-0.77530000000001498</v>
      </c>
      <c r="AF690">
        <v>0.86536468908016095</v>
      </c>
      <c r="AG690">
        <v>-1.1097808402039999</v>
      </c>
      <c r="AH690">
        <v>32.349736248541603</v>
      </c>
      <c r="AI690">
        <v>91.964100101739305</v>
      </c>
      <c r="AJ690">
        <v>88.467686951556104</v>
      </c>
      <c r="AK690">
        <v>32.380332069152601</v>
      </c>
      <c r="AL690">
        <v>95.500633512335895</v>
      </c>
      <c r="AM690">
        <v>93.145292317924202</v>
      </c>
      <c r="AN690">
        <v>1.0000000157858999</v>
      </c>
    </row>
    <row r="691" spans="1:40" x14ac:dyDescent="0.25">
      <c r="A691" t="str">
        <f>"20190305134921121"</f>
        <v>20190305134921121</v>
      </c>
      <c r="B691" t="str">
        <f>"1551764961111717"</f>
        <v>1551764961111717</v>
      </c>
      <c r="C691" t="s">
        <v>40</v>
      </c>
      <c r="D691">
        <v>3.806273</v>
      </c>
      <c r="E691">
        <v>0.53132409999999997</v>
      </c>
      <c r="F691" t="s">
        <v>42</v>
      </c>
      <c r="G691">
        <v>-340.55869999999999</v>
      </c>
      <c r="H691" s="1">
        <v>-4.9383130000000004E-6</v>
      </c>
      <c r="I691">
        <v>366.82639999999998</v>
      </c>
      <c r="J691">
        <v>-372.98129999999998</v>
      </c>
      <c r="K691">
        <v>1.1097729999999999</v>
      </c>
      <c r="L691">
        <v>367.5847</v>
      </c>
      <c r="M691">
        <v>0.99988999999999995</v>
      </c>
      <c r="N691">
        <v>-1.4558339999999999E-2</v>
      </c>
      <c r="O691">
        <v>2.8333590000000001E-3</v>
      </c>
      <c r="P691">
        <v>0.99219849999999998</v>
      </c>
      <c r="Q691">
        <v>-0.1105173</v>
      </c>
      <c r="R691">
        <v>5.7691760000000002E-2</v>
      </c>
      <c r="S691">
        <v>3.0161129999999998</v>
      </c>
      <c r="T691">
        <v>-0.1026627</v>
      </c>
      <c r="U691">
        <v>-7.0098880000000002E-2</v>
      </c>
      <c r="V691">
        <v>-5.4873150000000002E-2</v>
      </c>
      <c r="W691">
        <v>-9.6062250000000002E-2</v>
      </c>
      <c r="X691">
        <v>0.99386169999999996</v>
      </c>
      <c r="Y691">
        <v>2.604592E-2</v>
      </c>
      <c r="Z691">
        <v>-6.8795819999999998E-4</v>
      </c>
      <c r="AA691">
        <v>0.99966049999999995</v>
      </c>
      <c r="AB691">
        <v>36</v>
      </c>
      <c r="AC691">
        <v>32.422599999999903</v>
      </c>
      <c r="AD691">
        <v>-1.109777938313</v>
      </c>
      <c r="AE691">
        <v>-0.75830000000001896</v>
      </c>
      <c r="AF691">
        <v>0.84917721290835502</v>
      </c>
      <c r="AG691">
        <v>-1.109777938313</v>
      </c>
      <c r="AH691">
        <v>32.382402833620297</v>
      </c>
      <c r="AI691">
        <v>91.962142529102593</v>
      </c>
      <c r="AJ691">
        <v>88.497853215107398</v>
      </c>
      <c r="AK691">
        <v>32.412539584089103</v>
      </c>
      <c r="AL691">
        <v>95.512461625230003</v>
      </c>
      <c r="AM691">
        <v>93.160209354044099</v>
      </c>
      <c r="AN691">
        <v>1.00000004859643</v>
      </c>
    </row>
    <row r="692" spans="1:40" x14ac:dyDescent="0.25">
      <c r="A692" t="str">
        <f>"20190305134921131"</f>
        <v>20190305134921131</v>
      </c>
      <c r="B692" t="str">
        <f>"1551764961121987"</f>
        <v>1551764961121987</v>
      </c>
      <c r="C692" t="s">
        <v>40</v>
      </c>
      <c r="D692">
        <v>3.770905</v>
      </c>
      <c r="E692">
        <v>0.53125819999999901</v>
      </c>
      <c r="F692" t="s">
        <v>42</v>
      </c>
      <c r="G692">
        <v>-340.38119999999998</v>
      </c>
      <c r="H692" s="1">
        <v>-5.0202130000000004E-6</v>
      </c>
      <c r="I692">
        <v>366.83789999999999</v>
      </c>
      <c r="J692">
        <v>-372.8125</v>
      </c>
      <c r="K692">
        <v>1.1097709999999901</v>
      </c>
      <c r="L692">
        <v>367.58519999999999</v>
      </c>
      <c r="M692">
        <v>0.99989019999999995</v>
      </c>
      <c r="N692">
        <v>-1.454919E-2</v>
      </c>
      <c r="O692">
        <v>2.85315E-3</v>
      </c>
      <c r="P692">
        <v>0.99218550000000005</v>
      </c>
      <c r="Q692">
        <v>-0.11042829999999999</v>
      </c>
      <c r="R692">
        <v>5.8083959999999997E-2</v>
      </c>
      <c r="S692">
        <v>3.0161440000000002</v>
      </c>
      <c r="T692">
        <v>-0.102676</v>
      </c>
      <c r="U692">
        <v>-6.9091799999999995E-2</v>
      </c>
      <c r="V692">
        <v>-5.5246070000000001E-2</v>
      </c>
      <c r="W692">
        <v>-9.5982620000000005E-2</v>
      </c>
      <c r="X692">
        <v>0.99384870000000003</v>
      </c>
      <c r="Y692">
        <v>2.5732120000000001E-2</v>
      </c>
      <c r="Z692">
        <v>-6.806933E-4</v>
      </c>
      <c r="AA692">
        <v>0.99966869999999997</v>
      </c>
      <c r="AB692">
        <v>36</v>
      </c>
      <c r="AC692">
        <v>32.4313</v>
      </c>
      <c r="AD692">
        <v>-1.10977602021299</v>
      </c>
      <c r="AE692">
        <v>-0.74729999999999497</v>
      </c>
      <c r="AF692">
        <v>0.83885635982921003</v>
      </c>
      <c r="AG692">
        <v>-1.10977602021299</v>
      </c>
      <c r="AH692">
        <v>32.391127007185197</v>
      </c>
      <c r="AI692">
        <v>91.961627699545502</v>
      </c>
      <c r="AJ692">
        <v>88.516501503404001</v>
      </c>
      <c r="AK692">
        <v>32.4209869005104</v>
      </c>
      <c r="AL692">
        <v>95.507878167679493</v>
      </c>
      <c r="AM692">
        <v>93.1816838129579</v>
      </c>
      <c r="AN692">
        <v>1.00000001504209</v>
      </c>
    </row>
    <row r="693" spans="1:40" x14ac:dyDescent="0.25">
      <c r="A693" t="str">
        <f>"20190305134921142"</f>
        <v>20190305134921142</v>
      </c>
      <c r="B693" t="str">
        <f>"1551764961131746"</f>
        <v>1551764961131746</v>
      </c>
      <c r="C693" t="s">
        <v>40</v>
      </c>
      <c r="D693">
        <v>3.7796789999999998</v>
      </c>
      <c r="E693">
        <v>0.53116719999999995</v>
      </c>
      <c r="F693" t="s">
        <v>42</v>
      </c>
      <c r="G693">
        <v>-340.0059</v>
      </c>
      <c r="H693" s="1">
        <v>-5.1947569999999997E-6</v>
      </c>
      <c r="I693">
        <v>366.85399999999998</v>
      </c>
      <c r="J693">
        <v>-372.64210000000003</v>
      </c>
      <c r="K693">
        <v>1.1097669999999999</v>
      </c>
      <c r="L693">
        <v>367.58580000000001</v>
      </c>
      <c r="M693">
        <v>0.9998901</v>
      </c>
      <c r="N693">
        <v>-1.4539679999999999E-2</v>
      </c>
      <c r="O693">
        <v>2.873067E-3</v>
      </c>
      <c r="P693">
        <v>0.9921546</v>
      </c>
      <c r="Q693">
        <v>-0.1105773</v>
      </c>
      <c r="R693">
        <v>5.8328249999999998E-2</v>
      </c>
      <c r="S693">
        <v>3.0162049999999998</v>
      </c>
      <c r="T693">
        <v>-0.1020317</v>
      </c>
      <c r="U693">
        <v>-6.7230219999999993E-2</v>
      </c>
      <c r="V693">
        <v>-5.5470779999999997E-2</v>
      </c>
      <c r="W693">
        <v>-9.6141420000000005E-2</v>
      </c>
      <c r="X693">
        <v>0.99382079999999995</v>
      </c>
      <c r="Y693">
        <v>2.5135620000000001E-2</v>
      </c>
      <c r="Z693">
        <v>-6.6319380000000002E-4</v>
      </c>
      <c r="AA693">
        <v>0.99968389999999996</v>
      </c>
      <c r="AB693">
        <v>36</v>
      </c>
      <c r="AC693">
        <v>32.636200000000002</v>
      </c>
      <c r="AD693">
        <v>-1.1097721947569901</v>
      </c>
      <c r="AE693">
        <v>-0.73179999999996403</v>
      </c>
      <c r="AF693">
        <v>0.82461986280130894</v>
      </c>
      <c r="AG693">
        <v>-1.1097721947569901</v>
      </c>
      <c r="AH693">
        <v>32.596290565853501</v>
      </c>
      <c r="AI693">
        <v>91.949313788780898</v>
      </c>
      <c r="AJ693">
        <v>88.550842390894502</v>
      </c>
      <c r="AK693">
        <v>32.6255996250786</v>
      </c>
      <c r="AL693">
        <v>95.517019197304407</v>
      </c>
      <c r="AM693">
        <v>93.194687864194506</v>
      </c>
      <c r="AN693">
        <v>0.99999998129303203</v>
      </c>
    </row>
    <row r="694" spans="1:40" x14ac:dyDescent="0.25">
      <c r="A694" t="str">
        <f>"20190305134921155"</f>
        <v>20190305134921155</v>
      </c>
      <c r="B694" t="str">
        <f>"1551764961151269"</f>
        <v>1551764961151269</v>
      </c>
      <c r="C694" t="s">
        <v>40</v>
      </c>
      <c r="D694">
        <v>4.0404939999999998</v>
      </c>
      <c r="E694">
        <v>0.53110000000000002</v>
      </c>
      <c r="F694" t="s">
        <v>42</v>
      </c>
      <c r="G694">
        <v>-340.01549999999997</v>
      </c>
      <c r="H694" s="1">
        <v>-5.1865159999999998E-6</v>
      </c>
      <c r="I694">
        <v>366.875</v>
      </c>
      <c r="J694">
        <v>-372.44080000000002</v>
      </c>
      <c r="K694">
        <v>1.109766</v>
      </c>
      <c r="L694">
        <v>367.58629999999999</v>
      </c>
      <c r="M694">
        <v>0.99989039999999996</v>
      </c>
      <c r="N694">
        <v>-1.4526529999999999E-2</v>
      </c>
      <c r="O694">
        <v>2.896703E-3</v>
      </c>
      <c r="P694">
        <v>0.99216539999999998</v>
      </c>
      <c r="Q694">
        <v>-0.1104203</v>
      </c>
      <c r="R694">
        <v>5.8441420000000001E-2</v>
      </c>
      <c r="S694">
        <v>3.0161440000000002</v>
      </c>
      <c r="T694">
        <v>-0.10259210000000001</v>
      </c>
      <c r="U694">
        <v>-6.5704349999999995E-2</v>
      </c>
      <c r="V694">
        <v>-5.5560180000000001E-2</v>
      </c>
      <c r="W694">
        <v>-9.5997299999999994E-2</v>
      </c>
      <c r="X694">
        <v>0.99382979999999999</v>
      </c>
      <c r="Y694">
        <v>2.46544E-2</v>
      </c>
      <c r="Z694">
        <v>-6.5472739999999897E-4</v>
      </c>
      <c r="AA694">
        <v>0.99969580000000002</v>
      </c>
      <c r="AB694">
        <v>36</v>
      </c>
      <c r="AC694">
        <v>32.4253</v>
      </c>
      <c r="AD694">
        <v>-1.109771186516</v>
      </c>
      <c r="AE694">
        <v>-0.71129999999999405</v>
      </c>
      <c r="AF694">
        <v>0.804291699806015</v>
      </c>
      <c r="AG694">
        <v>-1.109771186516</v>
      </c>
      <c r="AH694">
        <v>32.385186083170403</v>
      </c>
      <c r="AI694">
        <v>91.962031538389795</v>
      </c>
      <c r="AJ694">
        <v>88.577341845918497</v>
      </c>
      <c r="AK694">
        <v>32.414175214963798</v>
      </c>
      <c r="AL694">
        <v>95.508723015600395</v>
      </c>
      <c r="AM694">
        <v>93.199797005161699</v>
      </c>
      <c r="AN694">
        <v>1.0000000432884799</v>
      </c>
    </row>
    <row r="695" spans="1:40" x14ac:dyDescent="0.25">
      <c r="A695" t="str">
        <f>"20190305134921165"</f>
        <v>20190305134921165</v>
      </c>
      <c r="B695" t="str">
        <f>"1551764961162003"</f>
        <v>1551764961162003</v>
      </c>
      <c r="C695" t="s">
        <v>40</v>
      </c>
      <c r="D695">
        <v>3.7870050000000002</v>
      </c>
      <c r="E695">
        <v>0.53109259999999903</v>
      </c>
      <c r="F695" t="s">
        <v>42</v>
      </c>
      <c r="G695">
        <v>-339.7715</v>
      </c>
      <c r="H695" s="1">
        <v>-7.9167999999999995E-7</v>
      </c>
      <c r="I695">
        <v>366.88080000000002</v>
      </c>
      <c r="J695">
        <v>-372.26769999999999</v>
      </c>
      <c r="K695">
        <v>1.109764</v>
      </c>
      <c r="L695">
        <v>367.58690000000001</v>
      </c>
      <c r="M695">
        <v>0.99989050000000002</v>
      </c>
      <c r="N695">
        <v>-1.451296E-2</v>
      </c>
      <c r="O695">
        <v>2.917359E-3</v>
      </c>
      <c r="P695">
        <v>0.99219250000000003</v>
      </c>
      <c r="Q695">
        <v>-0.1101055</v>
      </c>
      <c r="R695">
        <v>5.8575269999999999E-2</v>
      </c>
      <c r="S695">
        <v>3.0161129999999998</v>
      </c>
      <c r="T695">
        <v>-0.1024563</v>
      </c>
      <c r="U695">
        <v>-6.5124509999999997E-2</v>
      </c>
      <c r="V695">
        <v>-5.5673649999999998E-2</v>
      </c>
      <c r="W695">
        <v>-9.569561E-2</v>
      </c>
      <c r="X695">
        <v>0.99385250000000003</v>
      </c>
      <c r="Y695">
        <v>2.4483359999999999E-2</v>
      </c>
      <c r="Z695">
        <v>-6.5017630000000002E-4</v>
      </c>
      <c r="AA695">
        <v>0.99970000000000003</v>
      </c>
      <c r="AB695">
        <v>36</v>
      </c>
      <c r="AC695">
        <v>32.496199999999902</v>
      </c>
      <c r="AD695">
        <v>-1.10976479168</v>
      </c>
      <c r="AE695">
        <v>-0.70609999999999196</v>
      </c>
      <c r="AF695">
        <v>0.79997751022972396</v>
      </c>
      <c r="AG695">
        <v>-1.10976479168</v>
      </c>
      <c r="AH695">
        <v>32.456166935773901</v>
      </c>
      <c r="AI695">
        <v>91.957741749925603</v>
      </c>
      <c r="AJ695">
        <v>88.588063200988799</v>
      </c>
      <c r="AK695">
        <v>32.484985979257402</v>
      </c>
      <c r="AL695">
        <v>95.491357751184097</v>
      </c>
      <c r="AM695">
        <v>93.206245216929801</v>
      </c>
      <c r="AN695">
        <v>0.999999998416922</v>
      </c>
    </row>
    <row r="696" spans="1:40" x14ac:dyDescent="0.25">
      <c r="A696" t="str">
        <f>"20190305134921178"</f>
        <v>20190305134921178</v>
      </c>
      <c r="B696" t="str">
        <f>"1551764961171763"</f>
        <v>1551764961171763</v>
      </c>
      <c r="C696" t="s">
        <v>40</v>
      </c>
      <c r="D696">
        <v>3.8015330000000001</v>
      </c>
      <c r="E696">
        <v>0.53106790000000004</v>
      </c>
      <c r="F696" t="s">
        <v>42</v>
      </c>
      <c r="G696">
        <v>-339.28840000000002</v>
      </c>
      <c r="H696" s="1">
        <v>-9.5604220000000002E-7</v>
      </c>
      <c r="I696">
        <v>366.88099999999997</v>
      </c>
      <c r="J696">
        <v>-372.06310000000002</v>
      </c>
      <c r="K696">
        <v>1.109769</v>
      </c>
      <c r="L696">
        <v>367.5874</v>
      </c>
      <c r="M696">
        <v>0.99989070000000002</v>
      </c>
      <c r="N696">
        <v>-1.4492629999999999E-2</v>
      </c>
      <c r="O696">
        <v>2.9415819999999999E-3</v>
      </c>
      <c r="P696">
        <v>0.99220620000000004</v>
      </c>
      <c r="Q696">
        <v>-0.1099484</v>
      </c>
      <c r="R696">
        <v>5.8637189999999999E-2</v>
      </c>
      <c r="S696">
        <v>3.0161440000000002</v>
      </c>
      <c r="T696">
        <v>-0.1014941</v>
      </c>
      <c r="U696">
        <v>-6.4544679999999993E-2</v>
      </c>
      <c r="V696">
        <v>-5.571135E-2</v>
      </c>
      <c r="W696">
        <v>-9.5558530000000003E-2</v>
      </c>
      <c r="X696">
        <v>0.99386359999999996</v>
      </c>
      <c r="Y696">
        <v>2.4315739999999999E-2</v>
      </c>
      <c r="Z696">
        <v>-6.4157829999999996E-4</v>
      </c>
      <c r="AA696">
        <v>0.99970409999999998</v>
      </c>
      <c r="AB696">
        <v>36</v>
      </c>
      <c r="AC696">
        <v>32.774700000000003</v>
      </c>
      <c r="AD696">
        <v>-1.1097699560421901</v>
      </c>
      <c r="AE696">
        <v>-0.70640000000003</v>
      </c>
      <c r="AF696">
        <v>0.80189755302045795</v>
      </c>
      <c r="AG696">
        <v>-1.1097699560421901</v>
      </c>
      <c r="AH696">
        <v>32.734965563115502</v>
      </c>
      <c r="AI696">
        <v>91.941097008007603</v>
      </c>
      <c r="AJ696">
        <v>88.596725015271105</v>
      </c>
      <c r="AK696">
        <v>32.763586486513297</v>
      </c>
      <c r="AL696">
        <v>95.483467360640901</v>
      </c>
      <c r="AM696">
        <v>93.208376067006199</v>
      </c>
      <c r="AN696">
        <v>1.0000000212897699</v>
      </c>
    </row>
    <row r="697" spans="1:40" x14ac:dyDescent="0.25">
      <c r="A697" t="str">
        <f>"20190305134921191"</f>
        <v>20190305134921191</v>
      </c>
      <c r="B697" t="str">
        <f>"1551764961181523"</f>
        <v>1551764961181523</v>
      </c>
      <c r="C697" t="s">
        <v>40</v>
      </c>
      <c r="D697">
        <v>3.7913389999999998</v>
      </c>
      <c r="E697">
        <v>0.5309547</v>
      </c>
      <c r="F697" t="s">
        <v>42</v>
      </c>
      <c r="G697">
        <v>-338.93560000000002</v>
      </c>
      <c r="H697" s="1">
        <v>-1.075548E-6</v>
      </c>
      <c r="I697">
        <v>366.88310000000001</v>
      </c>
      <c r="J697">
        <v>-371.8569</v>
      </c>
      <c r="K697">
        <v>1.109769</v>
      </c>
      <c r="L697">
        <v>367.5881</v>
      </c>
      <c r="M697">
        <v>0.99989099999999997</v>
      </c>
      <c r="N697">
        <v>-1.446949E-2</v>
      </c>
      <c r="O697">
        <v>2.9658269999999999E-3</v>
      </c>
      <c r="P697">
        <v>0.99226150000000002</v>
      </c>
      <c r="Q697">
        <v>-0.1094367</v>
      </c>
      <c r="R697">
        <v>5.866035E-2</v>
      </c>
      <c r="S697">
        <v>3.0161129999999998</v>
      </c>
      <c r="T697">
        <v>-0.1010394</v>
      </c>
      <c r="U697">
        <v>-6.4117430000000003E-2</v>
      </c>
      <c r="V697">
        <v>-5.5710660000000002E-2</v>
      </c>
      <c r="W697">
        <v>-9.5069009999999995E-2</v>
      </c>
      <c r="X697">
        <v>0.99391059999999998</v>
      </c>
      <c r="Y697">
        <v>2.4198899999999999E-2</v>
      </c>
      <c r="Z697">
        <v>-6.3675489999999999E-4</v>
      </c>
      <c r="AA697">
        <v>0.99970700000000001</v>
      </c>
      <c r="AB697">
        <v>36</v>
      </c>
      <c r="AC697">
        <v>32.921299999999903</v>
      </c>
      <c r="AD697">
        <v>-1.109770075548</v>
      </c>
      <c r="AE697">
        <v>-0.70499999999998397</v>
      </c>
      <c r="AF697">
        <v>0.801735359096721</v>
      </c>
      <c r="AG697">
        <v>-1.109770075548</v>
      </c>
      <c r="AH697">
        <v>32.881716046184103</v>
      </c>
      <c r="AI697">
        <v>91.9324461082917</v>
      </c>
      <c r="AJ697">
        <v>88.603267769757494</v>
      </c>
      <c r="AK697">
        <v>32.910205398151</v>
      </c>
      <c r="AL697">
        <v>95.455291565885602</v>
      </c>
      <c r="AM697">
        <v>93.208185014673305</v>
      </c>
      <c r="AN697">
        <v>1.0000000375461799</v>
      </c>
    </row>
    <row r="698" spans="1:40" x14ac:dyDescent="0.25">
      <c r="A698" t="str">
        <f>"20190305134921203"</f>
        <v>20190305134921203</v>
      </c>
      <c r="B698" t="str">
        <f>"1551764961191283"</f>
        <v>1551764961191283</v>
      </c>
      <c r="C698" t="s">
        <v>40</v>
      </c>
      <c r="D698">
        <v>3.8129300000000002</v>
      </c>
      <c r="E698">
        <v>0.53089569999999997</v>
      </c>
      <c r="F698" t="s">
        <v>42</v>
      </c>
      <c r="G698">
        <v>-338.22070000000002</v>
      </c>
      <c r="H698" s="1">
        <v>-1.3188979999999999E-6</v>
      </c>
      <c r="I698">
        <v>366.88279999999997</v>
      </c>
      <c r="J698">
        <v>-371.65440000000001</v>
      </c>
      <c r="K698">
        <v>1.1097680000000001</v>
      </c>
      <c r="L698">
        <v>367.58870000000002</v>
      </c>
      <c r="M698">
        <v>0.99989130000000004</v>
      </c>
      <c r="N698">
        <v>-1.4442150000000001E-2</v>
      </c>
      <c r="O698">
        <v>2.9897449999999998E-3</v>
      </c>
      <c r="P698">
        <v>0.99232679999999995</v>
      </c>
      <c r="Q698">
        <v>-0.108751399999999</v>
      </c>
      <c r="R698">
        <v>5.8829190000000003E-2</v>
      </c>
      <c r="S698">
        <v>3.0161739999999999</v>
      </c>
      <c r="T698">
        <v>-9.9513530000000003E-2</v>
      </c>
      <c r="U698">
        <v>-6.3232419999999998E-2</v>
      </c>
      <c r="V698">
        <v>-5.5855879999999997E-2</v>
      </c>
      <c r="W698">
        <v>-9.4410069999999999E-2</v>
      </c>
      <c r="X698">
        <v>0.99396519999999999</v>
      </c>
      <c r="Y698">
        <v>2.392992E-2</v>
      </c>
      <c r="Z698">
        <v>-6.2294369999999996E-4</v>
      </c>
      <c r="AA698">
        <v>0.99971339999999997</v>
      </c>
      <c r="AB698">
        <v>36</v>
      </c>
      <c r="AC698">
        <v>33.433699999999902</v>
      </c>
      <c r="AD698">
        <v>-1.109769318898</v>
      </c>
      <c r="AE698">
        <v>-0.70590000000004205</v>
      </c>
      <c r="AF698">
        <v>0.80497898368104404</v>
      </c>
      <c r="AG698">
        <v>-1.109769318898</v>
      </c>
      <c r="AH698">
        <v>33.394662545163897</v>
      </c>
      <c r="AI698">
        <v>91.902796949188897</v>
      </c>
      <c r="AJ698">
        <v>88.619151538384301</v>
      </c>
      <c r="AK698">
        <v>33.4227926064043</v>
      </c>
      <c r="AL698">
        <v>95.417366816443106</v>
      </c>
      <c r="AM698">
        <v>93.216353879638405</v>
      </c>
      <c r="AN698">
        <v>0.99999997972950905</v>
      </c>
    </row>
    <row r="699" spans="1:40" x14ac:dyDescent="0.25">
      <c r="A699" t="str">
        <f>"20190305134921216"</f>
        <v>20190305134921216</v>
      </c>
      <c r="B699" t="str">
        <f>"1551764961211778"</f>
        <v>1551764961211778</v>
      </c>
      <c r="C699" t="s">
        <v>40</v>
      </c>
      <c r="D699">
        <v>3.8779889999999999</v>
      </c>
      <c r="E699">
        <v>0.53179129999999997</v>
      </c>
      <c r="F699" t="s">
        <v>42</v>
      </c>
      <c r="G699">
        <v>-337.05239999999998</v>
      </c>
      <c r="H699" s="1">
        <v>-1.7327679999999999E-6</v>
      </c>
      <c r="I699">
        <v>366.87689999999998</v>
      </c>
      <c r="J699">
        <v>-371.46719999999999</v>
      </c>
      <c r="K699">
        <v>1.1097619999999999</v>
      </c>
      <c r="L699">
        <v>367.58929999999998</v>
      </c>
      <c r="M699">
        <v>0.99989159999999999</v>
      </c>
      <c r="N699">
        <v>-1.441593E-2</v>
      </c>
      <c r="O699">
        <v>3.0116280000000001E-3</v>
      </c>
      <c r="P699">
        <v>0.99239350000000004</v>
      </c>
      <c r="Q699">
        <v>-0.1081318</v>
      </c>
      <c r="R699">
        <v>5.8843039999999999E-2</v>
      </c>
      <c r="S699">
        <v>3.0162659999999999</v>
      </c>
      <c r="T699">
        <v>-9.6738820000000003E-2</v>
      </c>
      <c r="U699">
        <v>-6.2042239999999999E-2</v>
      </c>
      <c r="V699">
        <v>-5.5847170000000002E-2</v>
      </c>
      <c r="W699">
        <v>-9.3815480000000007E-2</v>
      </c>
      <c r="X699">
        <v>0.99402199999999996</v>
      </c>
      <c r="Y699">
        <v>2.3558059999999999E-2</v>
      </c>
      <c r="Z699">
        <v>-6.0068909999999999E-4</v>
      </c>
      <c r="AA699">
        <v>0.99972229999999995</v>
      </c>
      <c r="AB699">
        <v>36</v>
      </c>
      <c r="AC699">
        <v>34.4148</v>
      </c>
      <c r="AD699">
        <v>-1.1097637327680001</v>
      </c>
      <c r="AE699">
        <v>-0.71240000000000203</v>
      </c>
      <c r="AF699">
        <v>0.81520478269938201</v>
      </c>
      <c r="AG699">
        <v>-1.1097637327680001</v>
      </c>
      <c r="AH699">
        <v>34.376766832797003</v>
      </c>
      <c r="AI699">
        <v>91.848482486630104</v>
      </c>
      <c r="AJ699">
        <v>88.641552262357195</v>
      </c>
      <c r="AK699">
        <v>34.404334498094798</v>
      </c>
      <c r="AL699">
        <v>95.383147361630904</v>
      </c>
      <c r="AM699">
        <v>93.215670010395499</v>
      </c>
      <c r="AN699">
        <v>0.99999999358431901</v>
      </c>
    </row>
    <row r="700" spans="1:40" x14ac:dyDescent="0.25">
      <c r="A700" t="str">
        <f>"20190305134921226"</f>
        <v>20190305134921226</v>
      </c>
      <c r="B700" t="str">
        <f>"1551764961221071"</f>
        <v>1551764961221071</v>
      </c>
      <c r="C700" t="s">
        <v>40</v>
      </c>
      <c r="D700">
        <v>3.786629</v>
      </c>
      <c r="E700">
        <v>0.53179129999999997</v>
      </c>
      <c r="F700" t="s">
        <v>42</v>
      </c>
      <c r="G700">
        <v>-335.6266</v>
      </c>
      <c r="H700" s="1">
        <v>-2.3641980000000001E-6</v>
      </c>
      <c r="I700">
        <v>366.76549999999997</v>
      </c>
      <c r="J700">
        <v>-371.28109999999998</v>
      </c>
      <c r="K700">
        <v>1.1097600000000001</v>
      </c>
      <c r="L700">
        <v>367.5899</v>
      </c>
      <c r="M700">
        <v>0.99989189999999994</v>
      </c>
      <c r="N700">
        <v>-1.4388919999999999E-2</v>
      </c>
      <c r="O700">
        <v>3.033577E-3</v>
      </c>
      <c r="P700">
        <v>0.99248700000000001</v>
      </c>
      <c r="Q700">
        <v>-0.1071754</v>
      </c>
      <c r="R700">
        <v>5.9017210000000001E-2</v>
      </c>
      <c r="S700">
        <v>3.016937</v>
      </c>
      <c r="T700">
        <v>-9.3415979999999996E-2</v>
      </c>
      <c r="U700">
        <v>-6.9335939999999999E-2</v>
      </c>
      <c r="V700">
        <v>-5.5999970000000003E-2</v>
      </c>
      <c r="W700">
        <v>-9.2884670000000003E-2</v>
      </c>
      <c r="X700">
        <v>0.99410080000000001</v>
      </c>
      <c r="Y700">
        <v>2.5990490000000002E-2</v>
      </c>
      <c r="Z700">
        <v>-6.3957749999999996E-4</v>
      </c>
      <c r="AA700">
        <v>0.99966200000000005</v>
      </c>
      <c r="AB700">
        <v>36</v>
      </c>
      <c r="AC700">
        <v>35.654499999999899</v>
      </c>
      <c r="AD700">
        <v>-1.1097623641979999</v>
      </c>
      <c r="AE700">
        <v>-0.824400000000025</v>
      </c>
      <c r="AF700">
        <v>0.93166596285987802</v>
      </c>
      <c r="AG700">
        <v>-1.1097623641979999</v>
      </c>
      <c r="AH700">
        <v>35.617347346859198</v>
      </c>
      <c r="AI700">
        <v>91.784029954347105</v>
      </c>
      <c r="AJ700">
        <v>88.501618962650895</v>
      </c>
      <c r="AK700">
        <v>35.646809197993498</v>
      </c>
      <c r="AL700">
        <v>95.329582048305397</v>
      </c>
      <c r="AM700">
        <v>93.2241946120715</v>
      </c>
      <c r="AN700">
        <v>0.99999997956082398</v>
      </c>
    </row>
    <row r="701" spans="1:40" x14ac:dyDescent="0.25">
      <c r="A701" t="str">
        <f>"20190305134921243"</f>
        <v>20190305134921243</v>
      </c>
      <c r="B701" t="str">
        <f>"1551764961231807"</f>
        <v>1551764961231807</v>
      </c>
      <c r="C701" t="s">
        <v>40</v>
      </c>
      <c r="D701">
        <v>3.8253490000000001</v>
      </c>
      <c r="E701">
        <v>0.56769510000000001</v>
      </c>
      <c r="F701" t="s">
        <v>42</v>
      </c>
      <c r="G701">
        <v>-334.34390000000002</v>
      </c>
      <c r="H701" s="1">
        <v>-2.918052E-6</v>
      </c>
      <c r="I701">
        <v>366.74540000000002</v>
      </c>
      <c r="J701">
        <v>-371.02350000000001</v>
      </c>
      <c r="K701">
        <v>1.109766</v>
      </c>
      <c r="L701">
        <v>367.59070000000003</v>
      </c>
      <c r="M701">
        <v>0.99989240000000001</v>
      </c>
      <c r="N701">
        <v>-1.435239E-2</v>
      </c>
      <c r="O701">
        <v>3.0634640000000001E-3</v>
      </c>
      <c r="P701">
        <v>0.99261560000000004</v>
      </c>
      <c r="Q701">
        <v>-0.1060176</v>
      </c>
      <c r="R701">
        <v>5.8946480000000002E-2</v>
      </c>
      <c r="S701">
        <v>3.0169980000000001</v>
      </c>
      <c r="T701">
        <v>-9.0644240000000001E-2</v>
      </c>
      <c r="U701">
        <v>-6.8969730000000007E-2</v>
      </c>
      <c r="V701">
        <v>-5.5899160000000003E-2</v>
      </c>
      <c r="W701">
        <v>-9.1761529999999994E-2</v>
      </c>
      <c r="X701">
        <v>0.99421079999999995</v>
      </c>
      <c r="Y701">
        <v>2.5899640000000002E-2</v>
      </c>
      <c r="Z701">
        <v>-6.2293829999999996E-4</v>
      </c>
      <c r="AA701">
        <v>0.99966440000000001</v>
      </c>
      <c r="AB701">
        <v>36</v>
      </c>
      <c r="AC701">
        <v>36.679599999999901</v>
      </c>
      <c r="AD701">
        <v>-1.1097689180520001</v>
      </c>
      <c r="AE701">
        <v>-0.84530000000000804</v>
      </c>
      <c r="AF701">
        <v>0.95679883246898301</v>
      </c>
      <c r="AG701">
        <v>-1.1097689180520001</v>
      </c>
      <c r="AH701">
        <v>36.6433121653914</v>
      </c>
      <c r="AI701">
        <v>91.734122725499702</v>
      </c>
      <c r="AJ701">
        <v>88.504281461833003</v>
      </c>
      <c r="AK701">
        <v>36.672597092483201</v>
      </c>
      <c r="AL701">
        <v>95.264954713005096</v>
      </c>
      <c r="AM701">
        <v>93.218047357893198</v>
      </c>
      <c r="AN701">
        <v>1.00000000465664</v>
      </c>
    </row>
    <row r="702" spans="1:40" x14ac:dyDescent="0.25">
      <c r="A702" t="str">
        <f>"20190305134921255"</f>
        <v>20190305134921255</v>
      </c>
      <c r="B702" t="str">
        <f>"1551764961251327"</f>
        <v>1551764961251327</v>
      </c>
      <c r="C702" t="s">
        <v>40</v>
      </c>
      <c r="D702">
        <v>3.7739400000000001</v>
      </c>
      <c r="E702">
        <v>0.56102649999999998</v>
      </c>
      <c r="F702" t="s">
        <v>53</v>
      </c>
      <c r="G702">
        <v>-159.02629999999999</v>
      </c>
      <c r="H702">
        <v>7.5412879999999998</v>
      </c>
      <c r="I702">
        <v>343.2867</v>
      </c>
      <c r="J702">
        <v>-370.84589999999997</v>
      </c>
      <c r="K702">
        <v>1.1097649999999999</v>
      </c>
      <c r="L702">
        <v>367.59120000000001</v>
      </c>
      <c r="M702">
        <v>0.99989260000000002</v>
      </c>
      <c r="N702">
        <v>-1.4327889999999999E-2</v>
      </c>
      <c r="O702">
        <v>3.0841419999999998E-3</v>
      </c>
      <c r="P702">
        <v>0.99265170000000003</v>
      </c>
      <c r="Q702">
        <v>-0.10570259999999999</v>
      </c>
      <c r="R702">
        <v>5.8904520000000002E-2</v>
      </c>
      <c r="S702">
        <v>3.0530089999999999</v>
      </c>
      <c r="T702">
        <v>9.2621560000000006E-2</v>
      </c>
      <c r="U702">
        <v>-0.35000609999999999</v>
      </c>
      <c r="V702">
        <v>-5.5836660000000003E-2</v>
      </c>
      <c r="W702">
        <v>-9.1470369999999995E-2</v>
      </c>
      <c r="X702">
        <v>0.99424109999999999</v>
      </c>
      <c r="Y702">
        <v>0.11693000000000001</v>
      </c>
      <c r="Z702">
        <v>1.064223E-3</v>
      </c>
      <c r="AA702">
        <v>0.99313960000000001</v>
      </c>
      <c r="AB702">
        <v>36</v>
      </c>
      <c r="AC702">
        <v>211.81960000000001</v>
      </c>
      <c r="AD702">
        <v>6.4315230000000003</v>
      </c>
      <c r="AE702">
        <v>-24.304500000000001</v>
      </c>
      <c r="AF702">
        <v>24.9350436644831</v>
      </c>
      <c r="AG702">
        <v>6.4315230000000003</v>
      </c>
      <c r="AH702">
        <v>211.55112636662699</v>
      </c>
      <c r="AI702">
        <v>88.270609043195904</v>
      </c>
      <c r="AJ702">
        <v>83.277694563776706</v>
      </c>
      <c r="AK702">
        <v>213.112646170136</v>
      </c>
      <c r="AL702">
        <v>95.248202237915095</v>
      </c>
      <c r="AM702">
        <v>93.214359100783</v>
      </c>
      <c r="AN702">
        <v>0.99999996305854999</v>
      </c>
    </row>
    <row r="703" spans="1:40" x14ac:dyDescent="0.25">
      <c r="A703" t="str">
        <f>"20190305134921265"</f>
        <v>20190305134921265</v>
      </c>
      <c r="B703" t="str">
        <f>"1551764961261087"</f>
        <v>1551764961261087</v>
      </c>
      <c r="C703" t="s">
        <v>40</v>
      </c>
      <c r="D703">
        <v>3.8791169999999999</v>
      </c>
      <c r="E703">
        <v>0.55935519999999905</v>
      </c>
      <c r="F703" t="s">
        <v>47</v>
      </c>
      <c r="G703">
        <v>0</v>
      </c>
      <c r="H703">
        <v>0</v>
      </c>
      <c r="I703">
        <v>0</v>
      </c>
      <c r="J703">
        <v>-370.65940000000001</v>
      </c>
      <c r="K703">
        <v>1.1097649999999999</v>
      </c>
      <c r="L703">
        <v>367.59190000000001</v>
      </c>
      <c r="M703">
        <v>0.99989309999999998</v>
      </c>
      <c r="N703">
        <v>-1.430297E-2</v>
      </c>
      <c r="O703">
        <v>3.1060110000000001E-3</v>
      </c>
      <c r="P703">
        <v>0.99268970000000001</v>
      </c>
      <c r="Q703">
        <v>-0.105392899999999</v>
      </c>
      <c r="R703">
        <v>5.8819290000000003E-2</v>
      </c>
      <c r="S703">
        <v>3.0409549999999999</v>
      </c>
      <c r="T703">
        <v>8.6599590000000001E-3</v>
      </c>
      <c r="U703">
        <v>-0.29965209999999998</v>
      </c>
      <c r="V703">
        <v>-5.572908E-2</v>
      </c>
      <c r="W703">
        <v>-9.1184890000000005E-2</v>
      </c>
      <c r="X703">
        <v>0.99427339999999997</v>
      </c>
      <c r="Y703">
        <v>0.101156</v>
      </c>
      <c r="Z703">
        <v>-5.2836509999999997E-4</v>
      </c>
      <c r="AA703">
        <v>0.99487040000000004</v>
      </c>
      <c r="AB703">
        <v>36</v>
      </c>
      <c r="AC703">
        <v>3.0409549999999999</v>
      </c>
      <c r="AD703">
        <v>8.6599590000000001E-3</v>
      </c>
      <c r="AE703">
        <v>-0.29965209999999998</v>
      </c>
      <c r="AF703">
        <v>0.30909437559692099</v>
      </c>
      <c r="AG703">
        <v>8.6599590000000001E-3</v>
      </c>
      <c r="AH703">
        <v>3.03998509405243</v>
      </c>
      <c r="AI703">
        <v>89.837620016315199</v>
      </c>
      <c r="AJ703">
        <v>84.194329889081999</v>
      </c>
      <c r="AK703">
        <v>3.05567074469363</v>
      </c>
      <c r="AL703">
        <v>95.231776578509795</v>
      </c>
      <c r="AM703">
        <v>93.208074969039004</v>
      </c>
      <c r="AN703">
        <v>1.0000000042347501</v>
      </c>
    </row>
    <row r="704" spans="1:40" x14ac:dyDescent="0.25">
      <c r="A704" t="str">
        <f>"20190305134921277"</f>
        <v>20190305134921277</v>
      </c>
      <c r="B704" t="str">
        <f>"1551764961271823"</f>
        <v>1551764961271823</v>
      </c>
      <c r="C704" t="s">
        <v>40</v>
      </c>
      <c r="D704">
        <v>3.8241809999999998</v>
      </c>
      <c r="E704">
        <v>0.55794109999999997</v>
      </c>
      <c r="F704" t="s">
        <v>47</v>
      </c>
      <c r="G704">
        <v>0</v>
      </c>
      <c r="H704">
        <v>0</v>
      </c>
      <c r="I704">
        <v>0</v>
      </c>
      <c r="J704">
        <v>-370.47899999999998</v>
      </c>
      <c r="K704">
        <v>1.1097629999999901</v>
      </c>
      <c r="L704">
        <v>367.5924</v>
      </c>
      <c r="M704">
        <v>0.99989329999999998</v>
      </c>
      <c r="N704">
        <v>-1.427987E-2</v>
      </c>
      <c r="O704">
        <v>3.1270930000000001E-3</v>
      </c>
      <c r="P704">
        <v>0.99269499999999999</v>
      </c>
      <c r="Q704">
        <v>-0.10534689999999999</v>
      </c>
      <c r="R704">
        <v>5.8812959999999997E-2</v>
      </c>
      <c r="S704">
        <v>3.038513</v>
      </c>
      <c r="T704">
        <v>-5.5601599999999998E-3</v>
      </c>
      <c r="U704">
        <v>-0.28677370000000002</v>
      </c>
      <c r="V704">
        <v>-5.5702179999999997E-2</v>
      </c>
      <c r="W704">
        <v>-9.1161759999999994E-2</v>
      </c>
      <c r="X704">
        <v>0.99427699999999997</v>
      </c>
      <c r="Y704">
        <v>9.7073489999999998E-2</v>
      </c>
      <c r="Z704">
        <v>-7.4444899999999902E-4</v>
      </c>
      <c r="AA704">
        <v>0.99527690000000002</v>
      </c>
      <c r="AB704">
        <v>36</v>
      </c>
      <c r="AC704">
        <v>3.038513</v>
      </c>
      <c r="AD704">
        <v>-5.5601599999999998E-3</v>
      </c>
      <c r="AE704">
        <v>-0.28677370000000002</v>
      </c>
      <c r="AF704">
        <v>0.29627399445508401</v>
      </c>
      <c r="AG704">
        <v>-5.5601599999999998E-3</v>
      </c>
      <c r="AH704">
        <v>3.03759119960861</v>
      </c>
      <c r="AI704">
        <v>90.104381637519495</v>
      </c>
      <c r="AJ704">
        <v>84.429229061475596</v>
      </c>
      <c r="AK704">
        <v>3.0520107291930101</v>
      </c>
      <c r="AL704">
        <v>95.230445932332799</v>
      </c>
      <c r="AM704">
        <v>93.206518102177498</v>
      </c>
      <c r="AN704">
        <v>0.99999997603602397</v>
      </c>
    </row>
    <row r="705" spans="1:40" x14ac:dyDescent="0.25">
      <c r="A705" t="str">
        <f>"20190305134921288"</f>
        <v>20190305134921288</v>
      </c>
      <c r="B705" t="str">
        <f>"1551764961281583"</f>
        <v>1551764961281583</v>
      </c>
      <c r="C705" t="s">
        <v>40</v>
      </c>
      <c r="D705">
        <v>3.798003</v>
      </c>
      <c r="E705">
        <v>0.55884209999999901</v>
      </c>
      <c r="F705" t="s">
        <v>44</v>
      </c>
      <c r="G705">
        <v>-196.0581</v>
      </c>
      <c r="H705" s="1">
        <v>-2.8680470000000001E-6</v>
      </c>
      <c r="I705">
        <v>351.75189999999998</v>
      </c>
      <c r="J705">
        <v>-370.2912</v>
      </c>
      <c r="K705">
        <v>1.109761</v>
      </c>
      <c r="L705">
        <v>367.59300000000002</v>
      </c>
      <c r="M705">
        <v>0.99989349999999999</v>
      </c>
      <c r="N705">
        <v>-1.42563E-2</v>
      </c>
      <c r="O705">
        <v>3.1491330000000001E-3</v>
      </c>
      <c r="P705">
        <v>0.99268670000000003</v>
      </c>
      <c r="Q705">
        <v>-0.1056105</v>
      </c>
      <c r="R705">
        <v>5.8482029999999997E-2</v>
      </c>
      <c r="S705">
        <v>3.0363769999999999</v>
      </c>
      <c r="T705">
        <v>-1.9319179999999998E-2</v>
      </c>
      <c r="U705">
        <v>-0.27575680000000002</v>
      </c>
      <c r="V705">
        <v>-5.53494E-2</v>
      </c>
      <c r="W705">
        <v>-9.1448870000000002E-2</v>
      </c>
      <c r="X705">
        <v>0.9942704</v>
      </c>
      <c r="Y705">
        <v>9.3575370000000005E-2</v>
      </c>
      <c r="Z705">
        <v>-9.407126E-4</v>
      </c>
      <c r="AA705">
        <v>0.99561169999999999</v>
      </c>
      <c r="AB705">
        <v>36</v>
      </c>
      <c r="AC705">
        <v>174.23310000000001</v>
      </c>
      <c r="AD705">
        <v>-1.1097638680469999</v>
      </c>
      <c r="AE705">
        <v>-15.841100000000001</v>
      </c>
      <c r="AF705">
        <v>16.389100913090999</v>
      </c>
      <c r="AG705">
        <v>-1.1097638680469999</v>
      </c>
      <c r="AH705">
        <v>174.1753368105</v>
      </c>
      <c r="AI705">
        <v>90.363451595888606</v>
      </c>
      <c r="AJ705">
        <v>84.624557091160298</v>
      </c>
      <c r="AK705">
        <v>174.948227077708</v>
      </c>
      <c r="AL705">
        <v>95.246964788470805</v>
      </c>
      <c r="AM705">
        <v>93.186273264004598</v>
      </c>
      <c r="AN705">
        <v>1.0000000401103899</v>
      </c>
    </row>
    <row r="706" spans="1:40" x14ac:dyDescent="0.25">
      <c r="A706" t="str">
        <f>"20190305134921300"</f>
        <v>20190305134921300</v>
      </c>
      <c r="B706" t="str">
        <f>"1551764961291342"</f>
        <v>1551764961291342</v>
      </c>
      <c r="C706" t="s">
        <v>40</v>
      </c>
      <c r="D706">
        <v>3.8038379999999998</v>
      </c>
      <c r="E706">
        <v>0.55923299999999998</v>
      </c>
      <c r="F706" t="s">
        <v>47</v>
      </c>
      <c r="G706">
        <v>0</v>
      </c>
      <c r="H706">
        <v>0</v>
      </c>
      <c r="I706">
        <v>0</v>
      </c>
      <c r="J706">
        <v>-370.1173</v>
      </c>
      <c r="K706">
        <v>1.1097600000000001</v>
      </c>
      <c r="L706">
        <v>367.59359999999998</v>
      </c>
      <c r="M706">
        <v>0.99989360000000005</v>
      </c>
      <c r="N706">
        <v>-1.4237959999999999E-2</v>
      </c>
      <c r="O706">
        <v>3.1694689999999998E-3</v>
      </c>
      <c r="P706">
        <v>0.99269339999999995</v>
      </c>
      <c r="Q706">
        <v>-0.105654399999999</v>
      </c>
      <c r="R706">
        <v>5.8283979999999999E-2</v>
      </c>
      <c r="S706">
        <v>3.038116</v>
      </c>
      <c r="T706">
        <v>-6.9507359999999999E-3</v>
      </c>
      <c r="U706">
        <v>-0.28353879999999998</v>
      </c>
      <c r="V706">
        <v>-5.5130999999999902E-2</v>
      </c>
      <c r="W706">
        <v>-9.1510859999999999E-2</v>
      </c>
      <c r="X706">
        <v>0.99427679999999996</v>
      </c>
      <c r="Y706">
        <v>9.6076930000000005E-2</v>
      </c>
      <c r="Z706">
        <v>-7.5736589999999995E-4</v>
      </c>
      <c r="AA706">
        <v>0.99537359999999997</v>
      </c>
      <c r="AB706">
        <v>36</v>
      </c>
      <c r="AC706">
        <v>3.038116</v>
      </c>
      <c r="AD706">
        <v>-6.9507359999999999E-3</v>
      </c>
      <c r="AE706">
        <v>-0.28353879999999998</v>
      </c>
      <c r="AF706">
        <v>0.29316604506703198</v>
      </c>
      <c r="AG706">
        <v>-6.9507359999999999E-3</v>
      </c>
      <c r="AH706">
        <v>3.0371862185041199</v>
      </c>
      <c r="AI706">
        <v>90.130517101781194</v>
      </c>
      <c r="AJ706">
        <v>84.486574698609004</v>
      </c>
      <c r="AK706">
        <v>3.05131033632808</v>
      </c>
      <c r="AL706">
        <v>95.250531668612595</v>
      </c>
      <c r="AM706">
        <v>93.1737060976468</v>
      </c>
      <c r="AN706">
        <v>1.00000000983858</v>
      </c>
    </row>
    <row r="707" spans="1:40" x14ac:dyDescent="0.25">
      <c r="A707" t="str">
        <f>"20190305134921310"</f>
        <v>20190305134921310</v>
      </c>
      <c r="B707" t="str">
        <f>"1551764961301103"</f>
        <v>1551764961301103</v>
      </c>
      <c r="C707" t="s">
        <v>40</v>
      </c>
      <c r="D707">
        <v>3.8143449999999999</v>
      </c>
      <c r="E707">
        <v>0.55972489999999997</v>
      </c>
      <c r="F707" t="s">
        <v>47</v>
      </c>
      <c r="G707">
        <v>0</v>
      </c>
      <c r="H707">
        <v>0</v>
      </c>
      <c r="I707">
        <v>0</v>
      </c>
      <c r="J707">
        <v>-369.94760000000002</v>
      </c>
      <c r="K707">
        <v>1.109758</v>
      </c>
      <c r="L707">
        <v>367.59410000000003</v>
      </c>
      <c r="M707">
        <v>0.99989380000000005</v>
      </c>
      <c r="N707">
        <v>-1.422055E-2</v>
      </c>
      <c r="O707">
        <v>3.1892610000000001E-3</v>
      </c>
      <c r="P707">
        <v>0.99269229999999997</v>
      </c>
      <c r="Q707">
        <v>-0.1058364</v>
      </c>
      <c r="R707">
        <v>5.7973110000000001E-2</v>
      </c>
      <c r="S707">
        <v>3.0390320000000002</v>
      </c>
      <c r="T707">
        <v>1.2614729999999999E-3</v>
      </c>
      <c r="U707">
        <v>-0.28701779999999999</v>
      </c>
      <c r="V707">
        <v>-5.4800479999999999E-2</v>
      </c>
      <c r="W707">
        <v>-9.1710139999999996E-2</v>
      </c>
      <c r="X707">
        <v>0.99427670000000001</v>
      </c>
      <c r="Y707">
        <v>9.7200309999999998E-2</v>
      </c>
      <c r="Z707">
        <v>-6.2598699999999897E-4</v>
      </c>
      <c r="AA707">
        <v>0.99526460000000005</v>
      </c>
      <c r="AB707">
        <v>36</v>
      </c>
      <c r="AC707">
        <v>3.0390320000000002</v>
      </c>
      <c r="AD707">
        <v>1.2614729999999999E-3</v>
      </c>
      <c r="AE707">
        <v>-0.28701779999999999</v>
      </c>
      <c r="AF707">
        <v>0.29670953570170999</v>
      </c>
      <c r="AG707">
        <v>1.2614729999999999E-3</v>
      </c>
      <c r="AH707">
        <v>3.0381005551720999</v>
      </c>
      <c r="AI707">
        <v>89.976322432624599</v>
      </c>
      <c r="AJ707">
        <v>84.422020745293295</v>
      </c>
      <c r="AK707">
        <v>3.0525551793911099</v>
      </c>
      <c r="AL707">
        <v>95.261997843186606</v>
      </c>
      <c r="AM707">
        <v>93.154718037665802</v>
      </c>
      <c r="AN707">
        <v>0.99999999927496996</v>
      </c>
    </row>
    <row r="708" spans="1:40" x14ac:dyDescent="0.25">
      <c r="A708" t="str">
        <f>"20190305134921321"</f>
        <v>20190305134921321</v>
      </c>
      <c r="B708" t="str">
        <f>"1551764961311840"</f>
        <v>1551764961311840</v>
      </c>
      <c r="C708" t="s">
        <v>40</v>
      </c>
      <c r="D708">
        <v>3.8196189999999999</v>
      </c>
      <c r="E708">
        <v>0.56000139999999998</v>
      </c>
      <c r="F708" t="s">
        <v>47</v>
      </c>
      <c r="G708">
        <v>0</v>
      </c>
      <c r="H708">
        <v>0</v>
      </c>
      <c r="I708">
        <v>0</v>
      </c>
      <c r="J708">
        <v>-369.76639999999998</v>
      </c>
      <c r="K708">
        <v>1.109756</v>
      </c>
      <c r="L708">
        <v>367.59480000000002</v>
      </c>
      <c r="M708">
        <v>0.99989410000000001</v>
      </c>
      <c r="N708">
        <v>-1.4205280000000001E-2</v>
      </c>
      <c r="O708">
        <v>3.2107609999999999E-3</v>
      </c>
      <c r="P708">
        <v>0.99271609999999999</v>
      </c>
      <c r="Q708">
        <v>-0.1058596</v>
      </c>
      <c r="R708">
        <v>5.7522150000000001E-2</v>
      </c>
      <c r="S708">
        <v>3.0398860000000001</v>
      </c>
      <c r="T708">
        <v>7.5527429999999998E-3</v>
      </c>
      <c r="U708">
        <v>-0.29159550000000001</v>
      </c>
      <c r="V708">
        <v>-5.4328069999999999E-2</v>
      </c>
      <c r="W708">
        <v>-9.1748159999999995E-2</v>
      </c>
      <c r="X708">
        <v>0.99429909999999999</v>
      </c>
      <c r="Y708">
        <v>9.8681740000000004E-2</v>
      </c>
      <c r="Z708">
        <v>-5.2676250000000002E-4</v>
      </c>
      <c r="AA708">
        <v>0.99511890000000003</v>
      </c>
      <c r="AB708">
        <v>36</v>
      </c>
      <c r="AC708">
        <v>3.0398860000000001</v>
      </c>
      <c r="AD708">
        <v>7.5527429999999998E-3</v>
      </c>
      <c r="AE708">
        <v>-0.29159550000000001</v>
      </c>
      <c r="AF708">
        <v>0.30135348419625801</v>
      </c>
      <c r="AG708">
        <v>7.5527429999999998E-3</v>
      </c>
      <c r="AH708">
        <v>3.0389154018123099</v>
      </c>
      <c r="AI708">
        <v>89.858295734832197</v>
      </c>
      <c r="AJ708">
        <v>84.336789546851506</v>
      </c>
      <c r="AK708">
        <v>3.0538300191294501</v>
      </c>
      <c r="AL708">
        <v>95.264185542061895</v>
      </c>
      <c r="AM708">
        <v>93.127506553861096</v>
      </c>
      <c r="AN708">
        <v>0.99999998215705999</v>
      </c>
    </row>
    <row r="709" spans="1:40" x14ac:dyDescent="0.25">
      <c r="A709" t="str">
        <f>"20190305134921332"</f>
        <v>20190305134921332</v>
      </c>
      <c r="B709" t="str">
        <f>"1551764961321099"</f>
        <v>1551764961321099</v>
      </c>
      <c r="C709" t="s">
        <v>40</v>
      </c>
      <c r="D709">
        <v>3.813485</v>
      </c>
      <c r="E709">
        <v>0.5602606</v>
      </c>
      <c r="F709" t="s">
        <v>47</v>
      </c>
      <c r="G709">
        <v>0</v>
      </c>
      <c r="H709">
        <v>0</v>
      </c>
      <c r="I709">
        <v>0</v>
      </c>
      <c r="J709">
        <v>-369.59039999999999</v>
      </c>
      <c r="K709">
        <v>1.1097490000000001</v>
      </c>
      <c r="L709">
        <v>367.59530000000001</v>
      </c>
      <c r="M709">
        <v>0.99989419999999996</v>
      </c>
      <c r="N709">
        <v>-1.419109E-2</v>
      </c>
      <c r="O709">
        <v>3.2317190000000001E-3</v>
      </c>
      <c r="P709">
        <v>0.99270800000000003</v>
      </c>
      <c r="Q709">
        <v>-0.1061821</v>
      </c>
      <c r="R709">
        <v>5.7064049999999998E-2</v>
      </c>
      <c r="S709">
        <v>3.0404969999999998</v>
      </c>
      <c r="T709">
        <v>1.3015509999999999E-2</v>
      </c>
      <c r="U709">
        <v>-0.29504390000000003</v>
      </c>
      <c r="V709">
        <v>-5.3849420000000002E-2</v>
      </c>
      <c r="W709">
        <v>-9.2084780000000005E-2</v>
      </c>
      <c r="X709">
        <v>0.99429400000000001</v>
      </c>
      <c r="Y709">
        <v>9.9802370000000001E-2</v>
      </c>
      <c r="Z709">
        <v>-4.3717220000000001E-4</v>
      </c>
      <c r="AA709">
        <v>0.99500719999999998</v>
      </c>
      <c r="AB709">
        <v>36</v>
      </c>
      <c r="AC709">
        <v>3.0404969999999998</v>
      </c>
      <c r="AD709">
        <v>1.3015509999999999E-2</v>
      </c>
      <c r="AE709">
        <v>-0.29504390000000003</v>
      </c>
      <c r="AF709">
        <v>0.304863844888974</v>
      </c>
      <c r="AG709">
        <v>1.3015509999999999E-2</v>
      </c>
      <c r="AH709">
        <v>3.03947234701028</v>
      </c>
      <c r="AI709">
        <v>89.755876647946195</v>
      </c>
      <c r="AJ709">
        <v>84.272299826784007</v>
      </c>
      <c r="AK709">
        <v>3.05475097441039</v>
      </c>
      <c r="AL709">
        <v>95.283554545443295</v>
      </c>
      <c r="AM709">
        <v>93.100021938254997</v>
      </c>
      <c r="AN709">
        <v>0.99999996258899104</v>
      </c>
    </row>
    <row r="710" spans="1:40" x14ac:dyDescent="0.25">
      <c r="A710" t="str">
        <f>"20190305134921343"</f>
        <v>20190305134921343</v>
      </c>
      <c r="B710" t="str">
        <f>"1551764961331835"</f>
        <v>1551764961331835</v>
      </c>
      <c r="C710" t="s">
        <v>40</v>
      </c>
      <c r="D710">
        <v>3.826797</v>
      </c>
      <c r="E710">
        <v>0.56045040000000002</v>
      </c>
      <c r="F710" t="s">
        <v>47</v>
      </c>
      <c r="G710">
        <v>0</v>
      </c>
      <c r="H710">
        <v>0</v>
      </c>
      <c r="I710">
        <v>0</v>
      </c>
      <c r="J710">
        <v>-369.41770000000002</v>
      </c>
      <c r="K710">
        <v>1.109747</v>
      </c>
      <c r="L710">
        <v>367.59589999999997</v>
      </c>
      <c r="M710">
        <v>0.99989430000000001</v>
      </c>
      <c r="N710">
        <v>-1.417873E-2</v>
      </c>
      <c r="O710">
        <v>3.2521289999999999E-3</v>
      </c>
      <c r="P710">
        <v>0.99272229999999995</v>
      </c>
      <c r="Q710">
        <v>-0.1062636</v>
      </c>
      <c r="R710">
        <v>5.6663329999999998E-2</v>
      </c>
      <c r="S710">
        <v>3.041077</v>
      </c>
      <c r="T710">
        <v>1.7611499999999999E-2</v>
      </c>
      <c r="U710">
        <v>-0.2984619</v>
      </c>
      <c r="V710">
        <v>-5.3428410000000003E-2</v>
      </c>
      <c r="W710">
        <v>-9.2178259999999998E-2</v>
      </c>
      <c r="X710">
        <v>0.99430810000000003</v>
      </c>
      <c r="Y710">
        <v>0.1009124</v>
      </c>
      <c r="Z710">
        <v>-3.6085799999999998E-4</v>
      </c>
      <c r="AA710">
        <v>0.99489519999999998</v>
      </c>
      <c r="AB710">
        <v>36</v>
      </c>
      <c r="AC710">
        <v>3.041077</v>
      </c>
      <c r="AD710">
        <v>1.7611499999999999E-2</v>
      </c>
      <c r="AE710">
        <v>-0.2984619</v>
      </c>
      <c r="AF710">
        <v>0.30834104672734902</v>
      </c>
      <c r="AG710">
        <v>1.7611499999999999E-2</v>
      </c>
      <c r="AH710">
        <v>3.0399891982747298</v>
      </c>
      <c r="AI710">
        <v>89.669767664812596</v>
      </c>
      <c r="AJ710">
        <v>84.208391006124302</v>
      </c>
      <c r="AK710">
        <v>3.05563719895805</v>
      </c>
      <c r="AL710">
        <v>95.288933169374999</v>
      </c>
      <c r="AM710">
        <v>93.075788277492705</v>
      </c>
      <c r="AN710">
        <v>1.0000000121686801</v>
      </c>
    </row>
    <row r="711" spans="1:40" x14ac:dyDescent="0.25">
      <c r="A711" t="str">
        <f>"20190305134921355"</f>
        <v>20190305134921355</v>
      </c>
      <c r="B711" t="str">
        <f>"1551764961351355"</f>
        <v>1551764961351355</v>
      </c>
      <c r="C711" t="s">
        <v>40</v>
      </c>
      <c r="D711">
        <v>3.8399000000000001</v>
      </c>
      <c r="E711">
        <v>0.56077069999999996</v>
      </c>
      <c r="F711" t="s">
        <v>47</v>
      </c>
      <c r="G711">
        <v>0</v>
      </c>
      <c r="H711">
        <v>0</v>
      </c>
      <c r="I711">
        <v>0</v>
      </c>
      <c r="J711">
        <v>-369.2364</v>
      </c>
      <c r="K711">
        <v>1.1097459999999999</v>
      </c>
      <c r="L711">
        <v>367.59649999999999</v>
      </c>
      <c r="M711">
        <v>0.99989430000000001</v>
      </c>
      <c r="N711">
        <v>-1.4167580000000001E-2</v>
      </c>
      <c r="O711">
        <v>3.2736029999999999E-3</v>
      </c>
      <c r="P711">
        <v>0.992699</v>
      </c>
      <c r="Q711">
        <v>-0.1065209</v>
      </c>
      <c r="R711">
        <v>5.658792E-2</v>
      </c>
      <c r="S711">
        <v>3.0414430000000001</v>
      </c>
      <c r="T711">
        <v>2.1735069999999999E-2</v>
      </c>
      <c r="U711">
        <v>-0.30120849999999999</v>
      </c>
      <c r="V711">
        <v>-5.3331780000000002E-2</v>
      </c>
      <c r="W711">
        <v>-9.244695E-2</v>
      </c>
      <c r="X711">
        <v>0.99428830000000001</v>
      </c>
      <c r="Y711">
        <v>0.1018119</v>
      </c>
      <c r="Z711">
        <v>-2.9050160000000002E-4</v>
      </c>
      <c r="AA711">
        <v>0.99480360000000001</v>
      </c>
      <c r="AB711">
        <v>36</v>
      </c>
      <c r="AC711">
        <v>3.0414430000000001</v>
      </c>
      <c r="AD711">
        <v>2.1735069999999999E-2</v>
      </c>
      <c r="AE711">
        <v>-0.30120849999999999</v>
      </c>
      <c r="AF711">
        <v>0.31114862588940501</v>
      </c>
      <c r="AG711">
        <v>2.1735069999999999E-2</v>
      </c>
      <c r="AH711">
        <v>3.0402868056258501</v>
      </c>
      <c r="AI711">
        <v>89.5925266048514</v>
      </c>
      <c r="AJ711">
        <v>84.1565873452478</v>
      </c>
      <c r="AK711">
        <v>3.0562443850457099</v>
      </c>
      <c r="AL711">
        <v>95.304394210853701</v>
      </c>
      <c r="AM711">
        <v>93.070297117912105</v>
      </c>
      <c r="AN711">
        <v>0.99999997041958</v>
      </c>
    </row>
    <row r="712" spans="1:40" x14ac:dyDescent="0.25">
      <c r="A712" t="str">
        <f>"20190305134921367"</f>
        <v>20190305134921367</v>
      </c>
      <c r="B712" t="str">
        <f>"1551764961361115"</f>
        <v>1551764961361115</v>
      </c>
      <c r="C712" t="s">
        <v>40</v>
      </c>
      <c r="D712">
        <v>3.8444199999999999</v>
      </c>
      <c r="E712">
        <v>0.56085940000000001</v>
      </c>
      <c r="F712" t="s">
        <v>47</v>
      </c>
      <c r="G712">
        <v>0</v>
      </c>
      <c r="H712">
        <v>0</v>
      </c>
      <c r="I712">
        <v>0</v>
      </c>
      <c r="J712">
        <v>-369.03370000000001</v>
      </c>
      <c r="K712">
        <v>1.1097459999999999</v>
      </c>
      <c r="L712">
        <v>367.59719999999999</v>
      </c>
      <c r="M712">
        <v>0.99989439999999996</v>
      </c>
      <c r="N712">
        <v>-1.4157370000000001E-2</v>
      </c>
      <c r="O712">
        <v>3.2973960000000002E-3</v>
      </c>
      <c r="P712">
        <v>0.99271560000000003</v>
      </c>
      <c r="Q712">
        <v>-0.1066358</v>
      </c>
      <c r="R712">
        <v>5.6078019999999999E-2</v>
      </c>
      <c r="S712">
        <v>3.0422359999999999</v>
      </c>
      <c r="T712">
        <v>2.6544689999999999E-2</v>
      </c>
      <c r="U712">
        <v>-0.30380249999999998</v>
      </c>
      <c r="V712">
        <v>-5.2798249999999998E-2</v>
      </c>
      <c r="W712">
        <v>-9.2571689999999998E-2</v>
      </c>
      <c r="X712">
        <v>0.9943052</v>
      </c>
      <c r="Y712">
        <v>0.1026498</v>
      </c>
      <c r="Z712">
        <v>-2.0648039999999999E-4</v>
      </c>
      <c r="AA712">
        <v>0.99471750000000003</v>
      </c>
      <c r="AB712">
        <v>36</v>
      </c>
      <c r="AC712">
        <v>3.0422359999999999</v>
      </c>
      <c r="AD712">
        <v>2.6544689999999999E-2</v>
      </c>
      <c r="AE712">
        <v>-0.30380249999999998</v>
      </c>
      <c r="AF712">
        <v>0.31380965458451698</v>
      </c>
      <c r="AG712">
        <v>2.6544689999999999E-2</v>
      </c>
      <c r="AH712">
        <v>3.0409883685383798</v>
      </c>
      <c r="AI712">
        <v>89.502521321020794</v>
      </c>
      <c r="AJ712">
        <v>84.108313068641806</v>
      </c>
      <c r="AK712">
        <v>3.0572522593765998</v>
      </c>
      <c r="AL712">
        <v>95.311571899025296</v>
      </c>
      <c r="AM712">
        <v>93.039588252521895</v>
      </c>
      <c r="AN712">
        <v>1.0000000018697699</v>
      </c>
    </row>
    <row r="713" spans="1:40" x14ac:dyDescent="0.25">
      <c r="A713" t="str">
        <f>"20190305134921380"</f>
        <v>20190305134921380</v>
      </c>
      <c r="B713" t="str">
        <f>"1551764961371850"</f>
        <v>1551764961371850</v>
      </c>
      <c r="C713" t="s">
        <v>40</v>
      </c>
      <c r="D713">
        <v>3.8414280000000001</v>
      </c>
      <c r="E713">
        <v>0.56099790000000005</v>
      </c>
      <c r="F713" t="s">
        <v>47</v>
      </c>
      <c r="G713">
        <v>0</v>
      </c>
      <c r="H713">
        <v>0</v>
      </c>
      <c r="I713">
        <v>0</v>
      </c>
      <c r="J713">
        <v>-368.84010000000001</v>
      </c>
      <c r="K713">
        <v>1.1097459999999999</v>
      </c>
      <c r="L713">
        <v>367.59789999999998</v>
      </c>
      <c r="M713">
        <v>0.99989439999999996</v>
      </c>
      <c r="N713">
        <v>-1.4150569999999999E-2</v>
      </c>
      <c r="O713">
        <v>3.3203289999999999E-3</v>
      </c>
      <c r="P713">
        <v>0.99267609999999995</v>
      </c>
      <c r="Q713">
        <v>-0.10701860000000001</v>
      </c>
      <c r="R713">
        <v>5.604754E-2</v>
      </c>
      <c r="S713">
        <v>3.042389</v>
      </c>
      <c r="T713">
        <v>2.8360369999999999E-2</v>
      </c>
      <c r="U713">
        <v>-0.30593870000000001</v>
      </c>
      <c r="V713">
        <v>-5.2745109999999998E-2</v>
      </c>
      <c r="W713">
        <v>-9.2961710000000003E-2</v>
      </c>
      <c r="X713">
        <v>0.99427160000000003</v>
      </c>
      <c r="Y713">
        <v>0.10335900000000001</v>
      </c>
      <c r="Z713">
        <v>-1.74902799999999E-4</v>
      </c>
      <c r="AA713">
        <v>0.99464410000000003</v>
      </c>
      <c r="AB713">
        <v>36</v>
      </c>
      <c r="AC713">
        <v>3.042389</v>
      </c>
      <c r="AD713">
        <v>2.8360369999999999E-2</v>
      </c>
      <c r="AE713">
        <v>-0.30593870000000001</v>
      </c>
      <c r="AF713">
        <v>0.31601257182924802</v>
      </c>
      <c r="AG713">
        <v>2.8360369999999999E-2</v>
      </c>
      <c r="AH713">
        <v>3.04109469702937</v>
      </c>
      <c r="AI713">
        <v>89.468553061517298</v>
      </c>
      <c r="AJ713">
        <v>84.067453856519407</v>
      </c>
      <c r="AK713">
        <v>3.0576012186746699</v>
      </c>
      <c r="AL713">
        <v>95.334015345890407</v>
      </c>
      <c r="AM713">
        <v>93.036637141210903</v>
      </c>
      <c r="AN713">
        <v>0.99999997036079702</v>
      </c>
    </row>
    <row r="714" spans="1:40" x14ac:dyDescent="0.25">
      <c r="A714" t="str">
        <f>"20190305134921392"</f>
        <v>20190305134921392</v>
      </c>
      <c r="B714" t="str">
        <f>"1551764961381611"</f>
        <v>1551764961381611</v>
      </c>
      <c r="C714" t="s">
        <v>40</v>
      </c>
      <c r="D714">
        <v>3.8463949999999998</v>
      </c>
      <c r="E714">
        <v>0.5610115</v>
      </c>
      <c r="F714" t="s">
        <v>47</v>
      </c>
      <c r="G714">
        <v>0</v>
      </c>
      <c r="H714">
        <v>0</v>
      </c>
      <c r="I714">
        <v>0</v>
      </c>
      <c r="J714">
        <v>-368.65559999999999</v>
      </c>
      <c r="K714">
        <v>1.109747</v>
      </c>
      <c r="L714">
        <v>367.5985</v>
      </c>
      <c r="M714">
        <v>0.99989450000000002</v>
      </c>
      <c r="N714">
        <v>-1.414491E-2</v>
      </c>
      <c r="O714">
        <v>3.3420630000000002E-3</v>
      </c>
      <c r="P714">
        <v>0.99266750000000004</v>
      </c>
      <c r="Q714">
        <v>-0.1072664</v>
      </c>
      <c r="R714">
        <v>5.5725410000000003E-2</v>
      </c>
      <c r="S714">
        <v>3.0426639999999998</v>
      </c>
      <c r="T714">
        <v>2.9749040000000001E-2</v>
      </c>
      <c r="U714">
        <v>-0.30700680000000002</v>
      </c>
      <c r="V714">
        <v>-5.2401089999999997E-2</v>
      </c>
      <c r="W714">
        <v>-9.3215300000000001E-2</v>
      </c>
      <c r="X714">
        <v>0.99426610000000004</v>
      </c>
      <c r="Y714">
        <v>0.1037172</v>
      </c>
      <c r="Z714">
        <v>-1.4993529999999999E-4</v>
      </c>
      <c r="AA714">
        <v>0.99460680000000001</v>
      </c>
      <c r="AB714">
        <v>36</v>
      </c>
      <c r="AC714">
        <v>3.0426639999999998</v>
      </c>
      <c r="AD714">
        <v>2.9749040000000001E-2</v>
      </c>
      <c r="AE714">
        <v>-0.30700680000000002</v>
      </c>
      <c r="AF714">
        <v>0.31714486389858998</v>
      </c>
      <c r="AG714">
        <v>2.9749040000000001E-2</v>
      </c>
      <c r="AH714">
        <v>3.0413330577069901</v>
      </c>
      <c r="AI714">
        <v>89.4425968724249</v>
      </c>
      <c r="AJ714">
        <v>84.046812857709796</v>
      </c>
      <c r="AK714">
        <v>3.0579687110857598</v>
      </c>
      <c r="AL714">
        <v>95.348608071279699</v>
      </c>
      <c r="AM714">
        <v>93.016884614641796</v>
      </c>
      <c r="AN714">
        <v>1.0000000219982399</v>
      </c>
    </row>
    <row r="715" spans="1:40" x14ac:dyDescent="0.25">
      <c r="A715" t="str">
        <f>"20190305134921406"</f>
        <v>20190305134921406</v>
      </c>
      <c r="B715" t="str">
        <f>"1551764961401131"</f>
        <v>1551764961401131</v>
      </c>
      <c r="C715" t="s">
        <v>40</v>
      </c>
      <c r="D715">
        <v>3.914514</v>
      </c>
      <c r="E715">
        <v>0.561123699999999</v>
      </c>
      <c r="F715" t="s">
        <v>47</v>
      </c>
      <c r="G715">
        <v>0</v>
      </c>
      <c r="H715">
        <v>0</v>
      </c>
      <c r="I715">
        <v>0</v>
      </c>
      <c r="J715">
        <v>-368.43369999999999</v>
      </c>
      <c r="K715">
        <v>1.1097490000000001</v>
      </c>
      <c r="L715">
        <v>367.5992</v>
      </c>
      <c r="M715">
        <v>0.99989439999999996</v>
      </c>
      <c r="N715">
        <v>-1.4140049999999999E-2</v>
      </c>
      <c r="O715">
        <v>3.3682030000000002E-3</v>
      </c>
      <c r="P715">
        <v>0.99265190000000003</v>
      </c>
      <c r="Q715">
        <v>-0.10747329999999999</v>
      </c>
      <c r="R715">
        <v>5.5605389999999998E-2</v>
      </c>
      <c r="S715">
        <v>3.0427249999999999</v>
      </c>
      <c r="T715">
        <v>3.036904E-2</v>
      </c>
      <c r="U715">
        <v>-0.30789179999999999</v>
      </c>
      <c r="V715">
        <v>-5.2255450000000002E-2</v>
      </c>
      <c r="W715">
        <v>-9.3427170000000004E-2</v>
      </c>
      <c r="X715">
        <v>0.99425390000000002</v>
      </c>
      <c r="Y715">
        <v>0.10402749999999999</v>
      </c>
      <c r="Z715">
        <v>-1.3853610000000001E-4</v>
      </c>
      <c r="AA715">
        <v>0.99457439999999997</v>
      </c>
      <c r="AB715">
        <v>36</v>
      </c>
      <c r="AC715">
        <v>3.0427249999999999</v>
      </c>
      <c r="AD715">
        <v>3.036904E-2</v>
      </c>
      <c r="AE715">
        <v>-0.30789179999999999</v>
      </c>
      <c r="AF715">
        <v>0.31810822480302497</v>
      </c>
      <c r="AG715">
        <v>3.036904E-2</v>
      </c>
      <c r="AH715">
        <v>3.0413706875453901</v>
      </c>
      <c r="AI715">
        <v>89.431006367528994</v>
      </c>
      <c r="AJ715">
        <v>84.028933226545902</v>
      </c>
      <c r="AK715">
        <v>3.0581122903415698</v>
      </c>
      <c r="AL715">
        <v>95.360800422707001</v>
      </c>
      <c r="AM715">
        <v>93.008551965580196</v>
      </c>
      <c r="AN715">
        <v>1.0000000429070499</v>
      </c>
    </row>
    <row r="716" spans="1:40" x14ac:dyDescent="0.25">
      <c r="A716" t="str">
        <f>"20190305134921420"</f>
        <v>20190305134921420</v>
      </c>
      <c r="B716" t="str">
        <f>"1551764961411867"</f>
        <v>1551764961411867</v>
      </c>
      <c r="C716" t="s">
        <v>40</v>
      </c>
      <c r="D716">
        <v>3.938437</v>
      </c>
      <c r="E716">
        <v>0.56129969999999996</v>
      </c>
      <c r="F716" t="s">
        <v>47</v>
      </c>
      <c r="G716">
        <v>0</v>
      </c>
      <c r="H716">
        <v>0</v>
      </c>
      <c r="I716">
        <v>0</v>
      </c>
      <c r="J716">
        <v>-368.21530000000001</v>
      </c>
      <c r="K716">
        <v>1.1097520000000001</v>
      </c>
      <c r="L716">
        <v>367.6</v>
      </c>
      <c r="M716">
        <v>0.99989439999999996</v>
      </c>
      <c r="N716">
        <v>-1.4136009999999999E-2</v>
      </c>
      <c r="O716">
        <v>3.3938000000000002E-3</v>
      </c>
      <c r="P716">
        <v>0.99264949999999996</v>
      </c>
      <c r="Q716">
        <v>-0.107603</v>
      </c>
      <c r="R716">
        <v>5.5398910000000003E-2</v>
      </c>
      <c r="S716">
        <v>3.0429379999999999</v>
      </c>
      <c r="T716">
        <v>3.1778929999999997E-2</v>
      </c>
      <c r="U716">
        <v>-0.30935669999999998</v>
      </c>
      <c r="V716">
        <v>-5.2023899999999998E-2</v>
      </c>
      <c r="W716">
        <v>-9.3560870000000004E-2</v>
      </c>
      <c r="X716">
        <v>0.99425350000000001</v>
      </c>
      <c r="Y716">
        <v>0.1045196</v>
      </c>
      <c r="Z716">
        <v>-1.131146E-4</v>
      </c>
      <c r="AA716">
        <v>0.99452280000000004</v>
      </c>
      <c r="AB716">
        <v>36</v>
      </c>
      <c r="AC716">
        <v>3.0429379999999999</v>
      </c>
      <c r="AD716">
        <v>3.1778929999999997E-2</v>
      </c>
      <c r="AE716">
        <v>-0.30935669999999998</v>
      </c>
      <c r="AF716">
        <v>0.31964856583953899</v>
      </c>
      <c r="AG716">
        <v>3.1778929999999997E-2</v>
      </c>
      <c r="AH716">
        <v>3.0415421352110101</v>
      </c>
      <c r="AI716">
        <v>89.404657022017105</v>
      </c>
      <c r="AJ716">
        <v>84.000566304789899</v>
      </c>
      <c r="AK716">
        <v>3.05845772674712</v>
      </c>
      <c r="AL716">
        <v>95.368494410813</v>
      </c>
      <c r="AM716">
        <v>92.995246252379999</v>
      </c>
      <c r="AN716">
        <v>1.0000000724142999</v>
      </c>
    </row>
    <row r="717" spans="1:40" x14ac:dyDescent="0.25">
      <c r="A717" t="str">
        <f>"20190305134921433"</f>
        <v>20190305134921433</v>
      </c>
      <c r="B717" t="str">
        <f>"1551764961421159"</f>
        <v>1551764961421159</v>
      </c>
      <c r="C717" t="s">
        <v>40</v>
      </c>
      <c r="D717">
        <v>3.8931809999999998</v>
      </c>
      <c r="E717">
        <v>0.56137869999999901</v>
      </c>
      <c r="F717" t="s">
        <v>47</v>
      </c>
      <c r="G717">
        <v>0</v>
      </c>
      <c r="H717">
        <v>0</v>
      </c>
      <c r="I717">
        <v>0</v>
      </c>
      <c r="J717">
        <v>-367.98349999999999</v>
      </c>
      <c r="K717">
        <v>1.109756</v>
      </c>
      <c r="L717">
        <v>367.60079999999999</v>
      </c>
      <c r="M717">
        <v>0.99989439999999996</v>
      </c>
      <c r="N717">
        <v>-1.4133079999999999E-2</v>
      </c>
      <c r="O717">
        <v>3.4211179999999999E-3</v>
      </c>
      <c r="P717">
        <v>0.99266849999999995</v>
      </c>
      <c r="Q717">
        <v>-0.10759929999999999</v>
      </c>
      <c r="R717">
        <v>5.5064420000000003E-2</v>
      </c>
      <c r="S717">
        <v>3.0431210000000002</v>
      </c>
      <c r="T717">
        <v>3.2828690000000001E-2</v>
      </c>
      <c r="U717">
        <v>-0.31103520000000001</v>
      </c>
      <c r="V717">
        <v>-5.1661699999999998E-2</v>
      </c>
      <c r="W717">
        <v>-9.3559790000000004E-2</v>
      </c>
      <c r="X717">
        <v>0.99427239999999995</v>
      </c>
      <c r="Y717">
        <v>0.1050835</v>
      </c>
      <c r="Z717" s="1">
        <v>-9.4180110000000004E-5</v>
      </c>
      <c r="AA717">
        <v>0.9944634</v>
      </c>
      <c r="AB717">
        <v>36</v>
      </c>
      <c r="AC717">
        <v>3.0431210000000002</v>
      </c>
      <c r="AD717">
        <v>3.2828690000000001E-2</v>
      </c>
      <c r="AE717">
        <v>-0.31103520000000001</v>
      </c>
      <c r="AF717">
        <v>0.32140827609244998</v>
      </c>
      <c r="AG717">
        <v>3.2828690000000001E-2</v>
      </c>
      <c r="AH717">
        <v>3.0416886696184902</v>
      </c>
      <c r="AI717">
        <v>89.3850587986026</v>
      </c>
      <c r="AJ717">
        <v>83.968069901824506</v>
      </c>
      <c r="AK717">
        <v>3.0587989416948198</v>
      </c>
      <c r="AL717">
        <v>95.368432726841604</v>
      </c>
      <c r="AM717">
        <v>92.974373933457699</v>
      </c>
      <c r="AN717">
        <v>0.99999998547674596</v>
      </c>
    </row>
    <row r="718" spans="1:40" x14ac:dyDescent="0.25">
      <c r="A718" t="str">
        <f>"20190305134921445"</f>
        <v>20190305134921445</v>
      </c>
      <c r="B718" t="str">
        <f>"1551764961441654"</f>
        <v>1551764961441654</v>
      </c>
      <c r="C718" t="s">
        <v>40</v>
      </c>
      <c r="D718">
        <v>4.0409949999999997</v>
      </c>
      <c r="E718">
        <v>0.574322</v>
      </c>
      <c r="F718" t="s">
        <v>47</v>
      </c>
      <c r="G718">
        <v>0</v>
      </c>
      <c r="H718">
        <v>0</v>
      </c>
      <c r="I718">
        <v>0</v>
      </c>
      <c r="J718">
        <v>-367.79849999999999</v>
      </c>
      <c r="K718">
        <v>1.1097600000000001</v>
      </c>
      <c r="L718">
        <v>367.60149999999999</v>
      </c>
      <c r="M718">
        <v>0.99989419999999996</v>
      </c>
      <c r="N718">
        <v>-1.4132840000000001E-2</v>
      </c>
      <c r="O718">
        <v>3.442994E-3</v>
      </c>
      <c r="P718">
        <v>0.99265530000000002</v>
      </c>
      <c r="Q718">
        <v>-0.1077811</v>
      </c>
      <c r="R718">
        <v>5.4942310000000001E-2</v>
      </c>
      <c r="S718">
        <v>3.0432739999999998</v>
      </c>
      <c r="T718">
        <v>3.4476880000000001E-2</v>
      </c>
      <c r="U718">
        <v>-0.31268309999999999</v>
      </c>
      <c r="V718">
        <v>-5.1518099999999997E-2</v>
      </c>
      <c r="W718">
        <v>-9.3742039999999999E-2</v>
      </c>
      <c r="X718">
        <v>0.99426270000000005</v>
      </c>
      <c r="Y718">
        <v>0.1056329</v>
      </c>
      <c r="Z718" s="1">
        <v>-6.4244380000000003E-5</v>
      </c>
      <c r="AA718">
        <v>0.99440519999999999</v>
      </c>
      <c r="AB718">
        <v>36</v>
      </c>
      <c r="AC718">
        <v>3.0432739999999998</v>
      </c>
      <c r="AD718">
        <v>3.4476880000000001E-2</v>
      </c>
      <c r="AE718">
        <v>-0.31268309999999999</v>
      </c>
      <c r="AF718">
        <v>0.32311922997363601</v>
      </c>
      <c r="AG718">
        <v>3.4476880000000001E-2</v>
      </c>
      <c r="AH718">
        <v>3.0417929688959</v>
      </c>
      <c r="AI718">
        <v>89.354247698467503</v>
      </c>
      <c r="AJ718">
        <v>83.9364050822943</v>
      </c>
      <c r="AK718">
        <v>3.0591010375039702</v>
      </c>
      <c r="AL718">
        <v>95.378920895824606</v>
      </c>
      <c r="AM718">
        <v>92.966149967867906</v>
      </c>
      <c r="AN718">
        <v>1.00000000065113</v>
      </c>
    </row>
    <row r="719" spans="1:40" x14ac:dyDescent="0.25">
      <c r="A719" t="str">
        <f>"20190305134921457"</f>
        <v>20190305134921457</v>
      </c>
      <c r="B719" t="str">
        <f>"1551764961451415"</f>
        <v>1551764961451415</v>
      </c>
      <c r="C719" t="s">
        <v>40</v>
      </c>
      <c r="D719">
        <v>4.0514640000000002</v>
      </c>
      <c r="E719">
        <v>0.574322</v>
      </c>
      <c r="F719" t="s">
        <v>53</v>
      </c>
      <c r="G719">
        <v>-168.9837</v>
      </c>
      <c r="H719">
        <v>5.0539529999999999</v>
      </c>
      <c r="I719">
        <v>340.56270000000001</v>
      </c>
      <c r="J719">
        <v>-367.61290000000002</v>
      </c>
      <c r="K719">
        <v>1.109766</v>
      </c>
      <c r="L719">
        <v>367.60219999999998</v>
      </c>
      <c r="M719">
        <v>0.99989410000000001</v>
      </c>
      <c r="N719">
        <v>-1.413418E-2</v>
      </c>
      <c r="O719">
        <v>3.4655189999999998E-3</v>
      </c>
      <c r="P719">
        <v>0.99265369999999997</v>
      </c>
      <c r="Q719">
        <v>-0.1077647</v>
      </c>
      <c r="R719">
        <v>5.500265E-2</v>
      </c>
      <c r="S719">
        <v>3.051758</v>
      </c>
      <c r="T719">
        <v>6.0542459999999999E-2</v>
      </c>
      <c r="U719">
        <v>-0.41503909999999999</v>
      </c>
      <c r="V719">
        <v>-5.1556110000000002E-2</v>
      </c>
      <c r="W719">
        <v>-9.3724360000000007E-2</v>
      </c>
      <c r="X719">
        <v>0.99426239999999999</v>
      </c>
      <c r="Y719">
        <v>0.13818349999999999</v>
      </c>
      <c r="Z719">
        <v>5.0034629999999895E-4</v>
      </c>
      <c r="AA719">
        <v>0.99040649999999997</v>
      </c>
      <c r="AB719">
        <v>36</v>
      </c>
      <c r="AC719">
        <v>198.6292</v>
      </c>
      <c r="AD719">
        <v>3.9441869999999999</v>
      </c>
      <c r="AE719">
        <v>-27.039499999999901</v>
      </c>
      <c r="AF719">
        <v>27.717029601355101</v>
      </c>
      <c r="AG719">
        <v>3.9441869999999999</v>
      </c>
      <c r="AH719">
        <v>198.45746334832799</v>
      </c>
      <c r="AI719">
        <v>88.872382474019503</v>
      </c>
      <c r="AJ719">
        <v>82.049366242490507</v>
      </c>
      <c r="AK719">
        <v>200.42244160688799</v>
      </c>
      <c r="AL719">
        <v>95.377903408311795</v>
      </c>
      <c r="AM719">
        <v>92.968335371974206</v>
      </c>
      <c r="AN719">
        <v>1.0000000040947501</v>
      </c>
    </row>
    <row r="720" spans="1:40" x14ac:dyDescent="0.25">
      <c r="A720" t="str">
        <f>"20190305134921468"</f>
        <v>20190305134921468</v>
      </c>
      <c r="B720" t="str">
        <f>"1551764961461175"</f>
        <v>1551764961461175</v>
      </c>
      <c r="C720" t="s">
        <v>40</v>
      </c>
      <c r="D720">
        <v>4.0232720000000004</v>
      </c>
      <c r="E720">
        <v>0.56863710000000001</v>
      </c>
      <c r="F720" t="s">
        <v>53</v>
      </c>
      <c r="G720">
        <v>-168.9837</v>
      </c>
      <c r="H720">
        <v>5.0605409999999997</v>
      </c>
      <c r="I720">
        <v>340.60070000000002</v>
      </c>
      <c r="J720">
        <v>-367.41559999999998</v>
      </c>
      <c r="K720">
        <v>1.109769</v>
      </c>
      <c r="L720">
        <v>367.60289999999998</v>
      </c>
      <c r="M720">
        <v>0.99989399999999995</v>
      </c>
      <c r="N720">
        <v>-1.4136549999999999E-2</v>
      </c>
      <c r="O720">
        <v>3.4897690000000002E-3</v>
      </c>
      <c r="P720">
        <v>0.99269249999999998</v>
      </c>
      <c r="Q720">
        <v>-0.1074735</v>
      </c>
      <c r="R720">
        <v>5.4875149999999998E-2</v>
      </c>
      <c r="S720">
        <v>3.0517880000000002</v>
      </c>
      <c r="T720">
        <v>6.0700770000000001E-2</v>
      </c>
      <c r="U720">
        <v>-0.414856</v>
      </c>
      <c r="V720">
        <v>-5.1404419999999999E-2</v>
      </c>
      <c r="W720">
        <v>-9.3430239999999998E-2</v>
      </c>
      <c r="X720">
        <v>0.99429789999999996</v>
      </c>
      <c r="Y720">
        <v>0.13814770000000001</v>
      </c>
      <c r="Z720">
        <v>5.0465120000000002E-4</v>
      </c>
      <c r="AA720">
        <v>0.9904115</v>
      </c>
      <c r="AB720">
        <v>36</v>
      </c>
      <c r="AC720">
        <v>198.43190000000001</v>
      </c>
      <c r="AD720">
        <v>3.9507720000000002</v>
      </c>
      <c r="AE720">
        <v>-27.002199999999899</v>
      </c>
      <c r="AF720">
        <v>27.683811696317999</v>
      </c>
      <c r="AG720">
        <v>3.9507720000000002</v>
      </c>
      <c r="AH720">
        <v>198.25928812733599</v>
      </c>
      <c r="AI720">
        <v>88.869367297989797</v>
      </c>
      <c r="AJ720">
        <v>82.050936728125805</v>
      </c>
      <c r="AK720">
        <v>200.221745467847</v>
      </c>
      <c r="AL720">
        <v>95.360977490647599</v>
      </c>
      <c r="AM720">
        <v>92.959511911695799</v>
      </c>
      <c r="AN720">
        <v>0.99999996904320099</v>
      </c>
    </row>
    <row r="721" spans="1:40" x14ac:dyDescent="0.25">
      <c r="A721" t="str">
        <f>"20190305134921481"</f>
        <v>20190305134921481</v>
      </c>
      <c r="B721" t="str">
        <f>"1551764961471911"</f>
        <v>1551764961471911</v>
      </c>
      <c r="C721" t="s">
        <v>40</v>
      </c>
      <c r="D721">
        <v>4.0262699999999896</v>
      </c>
      <c r="E721">
        <v>0.56845829999999997</v>
      </c>
      <c r="F721" t="s">
        <v>43</v>
      </c>
      <c r="G721">
        <v>-301.17700000000002</v>
      </c>
      <c r="H721">
        <v>-0.05</v>
      </c>
      <c r="I721">
        <v>359.45769999999999</v>
      </c>
      <c r="J721">
        <v>-367.226</v>
      </c>
      <c r="K721">
        <v>1.109774</v>
      </c>
      <c r="L721">
        <v>367.6035</v>
      </c>
      <c r="M721">
        <v>0.9998939</v>
      </c>
      <c r="N721">
        <v>-1.4139860000000001E-2</v>
      </c>
      <c r="O721">
        <v>3.5168399999999998E-3</v>
      </c>
      <c r="P721">
        <v>0.99270170000000002</v>
      </c>
      <c r="Q721">
        <v>-0.1073733</v>
      </c>
      <c r="R721">
        <v>5.4907530000000003E-2</v>
      </c>
      <c r="S721">
        <v>3.0369570000000001</v>
      </c>
      <c r="T721">
        <v>-5.3173900000000003E-2</v>
      </c>
      <c r="U721">
        <v>-0.37344359999999999</v>
      </c>
      <c r="V721">
        <v>-5.1409179999999999E-2</v>
      </c>
      <c r="W721">
        <v>-9.3326839999999994E-2</v>
      </c>
      <c r="X721">
        <v>0.99430739999999995</v>
      </c>
      <c r="Y721">
        <v>0.1255028</v>
      </c>
      <c r="Z721">
        <v>-1.9970999999999999E-3</v>
      </c>
      <c r="AA721">
        <v>0.99209119999999995</v>
      </c>
      <c r="AB721">
        <v>36</v>
      </c>
      <c r="AC721">
        <v>66.048999999999893</v>
      </c>
      <c r="AD721">
        <v>-1.1597740000000001</v>
      </c>
      <c r="AE721">
        <v>-8.1457999999999995</v>
      </c>
      <c r="AF721">
        <v>8.3755128694595697</v>
      </c>
      <c r="AG721">
        <v>-1.1597740000000001</v>
      </c>
      <c r="AH721">
        <v>65.999896336220104</v>
      </c>
      <c r="AI721">
        <v>90.998710599956794</v>
      </c>
      <c r="AJ721">
        <v>82.7677139838447</v>
      </c>
      <c r="AK721">
        <v>66.539316257002199</v>
      </c>
      <c r="AL721">
        <v>95.355026918511399</v>
      </c>
      <c r="AM721">
        <v>92.959757243742203</v>
      </c>
      <c r="AN721">
        <v>1.0000000042737001</v>
      </c>
    </row>
    <row r="722" spans="1:40" x14ac:dyDescent="0.25">
      <c r="A722" t="str">
        <f>"20190305134921494"</f>
        <v>20190305134921494</v>
      </c>
      <c r="B722" t="str">
        <f>"1551764961491430"</f>
        <v>1551764961491430</v>
      </c>
      <c r="C722" t="s">
        <v>40</v>
      </c>
      <c r="D722">
        <v>4.0295239999999897</v>
      </c>
      <c r="E722">
        <v>0.56837280000000001</v>
      </c>
      <c r="F722" t="s">
        <v>43</v>
      </c>
      <c r="G722">
        <v>-305.62700000000001</v>
      </c>
      <c r="H722">
        <v>-0.05</v>
      </c>
      <c r="I722">
        <v>360.05369999999999</v>
      </c>
      <c r="J722">
        <v>-367.03039999999999</v>
      </c>
      <c r="K722">
        <v>1.10978</v>
      </c>
      <c r="L722">
        <v>367.60430000000002</v>
      </c>
      <c r="M722">
        <v>0.99989380000000005</v>
      </c>
      <c r="N722">
        <v>-1.4143319999999999E-2</v>
      </c>
      <c r="O722">
        <v>3.5475039999999999E-3</v>
      </c>
      <c r="P722">
        <v>0.99273330000000004</v>
      </c>
      <c r="Q722">
        <v>-0.10707270000000001</v>
      </c>
      <c r="R722">
        <v>5.4919179999999998E-2</v>
      </c>
      <c r="S722">
        <v>3.0364689999999999</v>
      </c>
      <c r="T722">
        <v>-5.7170150000000003E-2</v>
      </c>
      <c r="U722">
        <v>-0.37216189999999999</v>
      </c>
      <c r="V722">
        <v>-5.1389310000000001E-2</v>
      </c>
      <c r="W722">
        <v>-9.3022789999999994E-2</v>
      </c>
      <c r="X722">
        <v>0.99433689999999997</v>
      </c>
      <c r="Y722">
        <v>0.12513589999999999</v>
      </c>
      <c r="Z722">
        <v>-2.0784789999999998E-3</v>
      </c>
      <c r="AA722">
        <v>0.99213739999999995</v>
      </c>
      <c r="AB722">
        <v>36</v>
      </c>
      <c r="AC722">
        <v>61.403399999999898</v>
      </c>
      <c r="AD722">
        <v>-1.15978</v>
      </c>
      <c r="AE722">
        <v>-7.5506000000000304</v>
      </c>
      <c r="AF722">
        <v>7.7656738986642297</v>
      </c>
      <c r="AG722">
        <v>-1.15978</v>
      </c>
      <c r="AH722">
        <v>61.354662732388</v>
      </c>
      <c r="AI722">
        <v>91.074357047687499</v>
      </c>
      <c r="AJ722">
        <v>82.786417287262196</v>
      </c>
      <c r="AK722">
        <v>61.855035524635099</v>
      </c>
      <c r="AL722">
        <v>95.337530120712003</v>
      </c>
      <c r="AM722">
        <v>92.958527689864496</v>
      </c>
      <c r="AN722">
        <v>0.99999998567163495</v>
      </c>
    </row>
    <row r="723" spans="1:40" x14ac:dyDescent="0.25">
      <c r="A723" t="str">
        <f>"20190305134921504"</f>
        <v>20190305134921504</v>
      </c>
      <c r="B723" t="str">
        <f>"1551764961501191"</f>
        <v>1551764961501191</v>
      </c>
      <c r="C723" t="s">
        <v>40</v>
      </c>
      <c r="D723">
        <v>4.0157119999999997</v>
      </c>
      <c r="E723">
        <v>0.56786729999999996</v>
      </c>
      <c r="F723" t="s">
        <v>43</v>
      </c>
      <c r="G723">
        <v>-300.89359999999999</v>
      </c>
      <c r="H723">
        <v>-0.05</v>
      </c>
      <c r="I723">
        <v>359.51170000000002</v>
      </c>
      <c r="J723">
        <v>-366.85849999999999</v>
      </c>
      <c r="K723">
        <v>1.1097870000000001</v>
      </c>
      <c r="L723">
        <v>367.60489999999999</v>
      </c>
      <c r="M723">
        <v>0.9998937</v>
      </c>
      <c r="N723">
        <v>-1.414644E-2</v>
      </c>
      <c r="O723">
        <v>3.5785489999999999E-3</v>
      </c>
      <c r="P723">
        <v>0.99275789999999997</v>
      </c>
      <c r="Q723">
        <v>-0.1067763</v>
      </c>
      <c r="R723">
        <v>5.5052440000000001E-2</v>
      </c>
      <c r="S723">
        <v>3.0367739999999999</v>
      </c>
      <c r="T723">
        <v>-5.3253170000000002E-2</v>
      </c>
      <c r="U723">
        <v>-0.37158200000000002</v>
      </c>
      <c r="V723">
        <v>-5.1490790000000002E-2</v>
      </c>
      <c r="W723">
        <v>-9.2723470000000002E-2</v>
      </c>
      <c r="X723">
        <v>0.99435960000000001</v>
      </c>
      <c r="Y723">
        <v>0.1249721</v>
      </c>
      <c r="Z723">
        <v>-1.9910980000000002E-3</v>
      </c>
      <c r="AA723">
        <v>0.99215819999999999</v>
      </c>
      <c r="AB723">
        <v>35</v>
      </c>
      <c r="AC723">
        <v>65.9649</v>
      </c>
      <c r="AD723">
        <v>-1.1597869999999999</v>
      </c>
      <c r="AE723">
        <v>-8.0931999999999604</v>
      </c>
      <c r="AF723">
        <v>8.3266945811058601</v>
      </c>
      <c r="AG723">
        <v>-1.1597869999999999</v>
      </c>
      <c r="AH723">
        <v>65.915438952058906</v>
      </c>
      <c r="AI723">
        <v>91.000073212045393</v>
      </c>
      <c r="AJ723">
        <v>82.8003095923209</v>
      </c>
      <c r="AK723">
        <v>66.449409634510602</v>
      </c>
      <c r="AL723">
        <v>95.3203059408103</v>
      </c>
      <c r="AM723">
        <v>92.964292020622395</v>
      </c>
      <c r="AN723">
        <v>0.99999997872791202</v>
      </c>
    </row>
    <row r="724" spans="1:40" x14ac:dyDescent="0.25">
      <c r="A724" t="str">
        <f>"20190305134921514"</f>
        <v>20190305134921514</v>
      </c>
      <c r="B724" t="str">
        <f>"1551764961511927"</f>
        <v>1551764961511927</v>
      </c>
      <c r="C724" t="s">
        <v>40</v>
      </c>
      <c r="D724">
        <v>4.0035069999999999</v>
      </c>
      <c r="E724">
        <v>0.56789089999999998</v>
      </c>
      <c r="F724" t="s">
        <v>43</v>
      </c>
      <c r="G724">
        <v>-301.54849999999999</v>
      </c>
      <c r="H724">
        <v>-0.05</v>
      </c>
      <c r="I724">
        <v>359.71249999999998</v>
      </c>
      <c r="J724">
        <v>-366.6968</v>
      </c>
      <c r="K724">
        <v>1.1097900000000001</v>
      </c>
      <c r="L724">
        <v>367.60550000000001</v>
      </c>
      <c r="M724">
        <v>0.99989340000000004</v>
      </c>
      <c r="N724">
        <v>-1.414932E-2</v>
      </c>
      <c r="O724">
        <v>3.6119339999999998E-3</v>
      </c>
      <c r="P724">
        <v>0.99278429999999995</v>
      </c>
      <c r="Q724">
        <v>-0.10657949999999999</v>
      </c>
      <c r="R724">
        <v>5.4959470000000003E-2</v>
      </c>
      <c r="S724">
        <v>3.0364689999999999</v>
      </c>
      <c r="T724">
        <v>-5.392218E-2</v>
      </c>
      <c r="U724">
        <v>-0.36694339999999998</v>
      </c>
      <c r="V724">
        <v>-5.1363730000000003E-2</v>
      </c>
      <c r="W724">
        <v>-9.2524099999999998E-2</v>
      </c>
      <c r="X724">
        <v>0.99438479999999996</v>
      </c>
      <c r="Y724">
        <v>0.1235233</v>
      </c>
      <c r="Z724">
        <v>-1.9829209999999999E-3</v>
      </c>
      <c r="AA724">
        <v>0.99233970000000005</v>
      </c>
      <c r="AB724">
        <v>35</v>
      </c>
      <c r="AC724">
        <v>65.148300000000006</v>
      </c>
      <c r="AD724">
        <v>-1.1597899999999901</v>
      </c>
      <c r="AE724">
        <v>-7.8930000000000202</v>
      </c>
      <c r="AF724">
        <v>8.1257454394085293</v>
      </c>
      <c r="AG724">
        <v>-1.1597899999999901</v>
      </c>
      <c r="AH724">
        <v>65.099030231783203</v>
      </c>
      <c r="AI724">
        <v>91.012803257713401</v>
      </c>
      <c r="AJ724">
        <v>82.885065233011602</v>
      </c>
      <c r="AK724">
        <v>65.614454115757098</v>
      </c>
      <c r="AL724">
        <v>95.308833257516994</v>
      </c>
      <c r="AM724">
        <v>92.956915451037901</v>
      </c>
      <c r="AN724">
        <v>1.00000003615568</v>
      </c>
    </row>
    <row r="725" spans="1:40" x14ac:dyDescent="0.25">
      <c r="A725" t="str">
        <f>"20190305134921526"</f>
        <v>20190305134921526</v>
      </c>
      <c r="B725" t="str">
        <f>"1551764961521687"</f>
        <v>1551764961521687</v>
      </c>
      <c r="C725" t="s">
        <v>40</v>
      </c>
      <c r="D725">
        <v>4.0344930000000003</v>
      </c>
      <c r="E725">
        <v>0.56799009999999905</v>
      </c>
      <c r="F725" t="s">
        <v>43</v>
      </c>
      <c r="G725">
        <v>-298.65300000000002</v>
      </c>
      <c r="H725">
        <v>-0.05</v>
      </c>
      <c r="I725">
        <v>359.37079999999997</v>
      </c>
      <c r="J725">
        <v>-366.52100000000002</v>
      </c>
      <c r="K725">
        <v>1.1097980000000001</v>
      </c>
      <c r="L725">
        <v>367.6062</v>
      </c>
      <c r="M725">
        <v>0.99989320000000004</v>
      </c>
      <c r="N725">
        <v>-1.4152390000000001E-2</v>
      </c>
      <c r="O725">
        <v>3.6523770000000001E-3</v>
      </c>
      <c r="P725">
        <v>0.99277939999999998</v>
      </c>
      <c r="Q725">
        <v>-0.1064292</v>
      </c>
      <c r="R725">
        <v>5.5337919999999999E-2</v>
      </c>
      <c r="S725">
        <v>3.036591</v>
      </c>
      <c r="T725">
        <v>-5.1757930000000001E-2</v>
      </c>
      <c r="U725">
        <v>-0.36749270000000001</v>
      </c>
      <c r="V725">
        <v>-5.1700650000000001E-2</v>
      </c>
      <c r="W725">
        <v>-9.2371629999999996E-2</v>
      </c>
      <c r="X725">
        <v>0.99438150000000003</v>
      </c>
      <c r="Y725">
        <v>0.12373770000000001</v>
      </c>
      <c r="Z725">
        <v>-1.94009E-3</v>
      </c>
      <c r="AA725">
        <v>0.99231309999999995</v>
      </c>
      <c r="AB725">
        <v>35</v>
      </c>
      <c r="AC725">
        <v>67.867999999999896</v>
      </c>
      <c r="AD725">
        <v>-1.1597979999999899</v>
      </c>
      <c r="AE725">
        <v>-8.2354000000000198</v>
      </c>
      <c r="AF725">
        <v>8.4808086515139198</v>
      </c>
      <c r="AG725">
        <v>-1.1597979999999899</v>
      </c>
      <c r="AH725">
        <v>67.817947623798005</v>
      </c>
      <c r="AI725">
        <v>90.972185550216295</v>
      </c>
      <c r="AJ725">
        <v>82.872017962710103</v>
      </c>
      <c r="AK725">
        <v>68.356003881799694</v>
      </c>
      <c r="AL725">
        <v>95.300059876695002</v>
      </c>
      <c r="AM725">
        <v>92.976286415777906</v>
      </c>
      <c r="AN725">
        <v>1.0000000213907601</v>
      </c>
    </row>
    <row r="726" spans="1:40" x14ac:dyDescent="0.25">
      <c r="A726" t="str">
        <f>"20190305134921537"</f>
        <v>20190305134921537</v>
      </c>
      <c r="B726" t="str">
        <f>"1551764961531447"</f>
        <v>1551764961531447</v>
      </c>
      <c r="C726" t="s">
        <v>40</v>
      </c>
      <c r="D726">
        <v>3.9861810000000002</v>
      </c>
      <c r="E726">
        <v>0.56812269999999998</v>
      </c>
      <c r="F726" t="s">
        <v>43</v>
      </c>
      <c r="G726">
        <v>-295.95260000000002</v>
      </c>
      <c r="H726">
        <v>-0.05</v>
      </c>
      <c r="I726">
        <v>359.0795</v>
      </c>
      <c r="J726">
        <v>-366.34249999999997</v>
      </c>
      <c r="K726">
        <v>1.109815</v>
      </c>
      <c r="L726">
        <v>367.6069</v>
      </c>
      <c r="M726">
        <v>0.99989300000000003</v>
      </c>
      <c r="N726">
        <v>-1.41554E-2</v>
      </c>
      <c r="O726">
        <v>3.7009569999999999E-3</v>
      </c>
      <c r="P726">
        <v>0.99278509999999998</v>
      </c>
      <c r="Q726">
        <v>-0.1063548</v>
      </c>
      <c r="R726">
        <v>5.5375470000000003E-2</v>
      </c>
      <c r="S726">
        <v>3.036896</v>
      </c>
      <c r="T726">
        <v>-4.9911619999999997E-2</v>
      </c>
      <c r="U726">
        <v>-0.36694339999999998</v>
      </c>
      <c r="V726">
        <v>-5.1687740000000003E-2</v>
      </c>
      <c r="W726">
        <v>-9.2295249999999995E-2</v>
      </c>
      <c r="X726">
        <v>0.99438919999999997</v>
      </c>
      <c r="Y726">
        <v>0.1235989</v>
      </c>
      <c r="Z726">
        <v>-1.898456E-3</v>
      </c>
      <c r="AA726">
        <v>0.99233039999999995</v>
      </c>
      <c r="AB726">
        <v>35</v>
      </c>
      <c r="AC726">
        <v>70.389899999999898</v>
      </c>
      <c r="AD726">
        <v>-1.159815</v>
      </c>
      <c r="AE726">
        <v>-8.5274000000000001</v>
      </c>
      <c r="AF726">
        <v>8.7855269744273699</v>
      </c>
      <c r="AG726">
        <v>-1.159815</v>
      </c>
      <c r="AH726">
        <v>70.339034868698107</v>
      </c>
      <c r="AI726">
        <v>90.9373779045562</v>
      </c>
      <c r="AJ726">
        <v>82.880479562882101</v>
      </c>
      <c r="AK726">
        <v>70.895066692348493</v>
      </c>
      <c r="AL726">
        <v>95.295665184982496</v>
      </c>
      <c r="AM726">
        <v>92.9755215532156</v>
      </c>
      <c r="AN726">
        <v>0.99999995835775402</v>
      </c>
    </row>
    <row r="727" spans="1:40" x14ac:dyDescent="0.25">
      <c r="A727" t="str">
        <f>"20190305134921548"</f>
        <v>20190305134921548</v>
      </c>
      <c r="B727" t="str">
        <f>"1551764961541207"</f>
        <v>1551764961541207</v>
      </c>
      <c r="C727" t="s">
        <v>40</v>
      </c>
      <c r="D727">
        <v>4.020321</v>
      </c>
      <c r="E727">
        <v>0.5683068</v>
      </c>
      <c r="F727" t="s">
        <v>43</v>
      </c>
      <c r="G727">
        <v>-290.9135</v>
      </c>
      <c r="H727">
        <v>-0.05</v>
      </c>
      <c r="I727">
        <v>358.47300000000001</v>
      </c>
      <c r="J727">
        <v>-366.1628</v>
      </c>
      <c r="K727">
        <v>1.109826</v>
      </c>
      <c r="L727">
        <v>367.60759999999999</v>
      </c>
      <c r="M727">
        <v>0.99989269999999997</v>
      </c>
      <c r="N727">
        <v>-1.415838E-2</v>
      </c>
      <c r="O727">
        <v>3.7534259999999998E-3</v>
      </c>
      <c r="P727">
        <v>0.99276609999999998</v>
      </c>
      <c r="Q727">
        <v>-0.1064804</v>
      </c>
      <c r="R727">
        <v>5.547498E-2</v>
      </c>
      <c r="S727">
        <v>3.0373230000000002</v>
      </c>
      <c r="T727">
        <v>-4.670262E-2</v>
      </c>
      <c r="U727">
        <v>-0.36779790000000001</v>
      </c>
      <c r="V727">
        <v>-5.1733130000000002E-2</v>
      </c>
      <c r="W727">
        <v>-9.2419280000000006E-2</v>
      </c>
      <c r="X727">
        <v>0.99437529999999996</v>
      </c>
      <c r="Y727">
        <v>0.12391240000000001</v>
      </c>
      <c r="Z727">
        <v>-1.834221E-3</v>
      </c>
      <c r="AA727">
        <v>0.99229149999999999</v>
      </c>
      <c r="AB727">
        <v>35</v>
      </c>
      <c r="AC727">
        <v>75.249300000000005</v>
      </c>
      <c r="AD727">
        <v>-1.159826</v>
      </c>
      <c r="AE727">
        <v>-9.1345999999999705</v>
      </c>
      <c r="AF727">
        <v>9.4148025010913994</v>
      </c>
      <c r="AG727">
        <v>-1.159826</v>
      </c>
      <c r="AH727">
        <v>75.196875688480404</v>
      </c>
      <c r="AI727">
        <v>90.876807533474206</v>
      </c>
      <c r="AJ727">
        <v>82.863585790788505</v>
      </c>
      <c r="AK727">
        <v>75.792834857878205</v>
      </c>
      <c r="AL727">
        <v>95.302802189189293</v>
      </c>
      <c r="AM727">
        <v>92.978171384578701</v>
      </c>
      <c r="AN727">
        <v>0.99999993865269998</v>
      </c>
    </row>
    <row r="728" spans="1:40" x14ac:dyDescent="0.25">
      <c r="A728" t="str">
        <f>"20190305134921558"</f>
        <v>20190305134921558</v>
      </c>
      <c r="B728" t="str">
        <f>"1551764961551943"</f>
        <v>1551764961551943</v>
      </c>
      <c r="C728" t="s">
        <v>40</v>
      </c>
      <c r="D728">
        <v>4.0237759999999998</v>
      </c>
      <c r="E728">
        <v>0.56822659999999903</v>
      </c>
      <c r="F728" t="s">
        <v>43</v>
      </c>
      <c r="G728">
        <v>-290.91750000000002</v>
      </c>
      <c r="H728">
        <v>-0.05</v>
      </c>
      <c r="I728">
        <v>358.47199999999998</v>
      </c>
      <c r="J728">
        <v>-366.00630000000001</v>
      </c>
      <c r="K728">
        <v>1.1098330000000001</v>
      </c>
      <c r="L728">
        <v>367.60829999999999</v>
      </c>
      <c r="M728">
        <v>0.99989249999999996</v>
      </c>
      <c r="N728">
        <v>-1.415718E-2</v>
      </c>
      <c r="O728">
        <v>3.809986E-3</v>
      </c>
      <c r="P728">
        <v>0.99278639999999996</v>
      </c>
      <c r="Q728">
        <v>-0.1061546</v>
      </c>
      <c r="R728">
        <v>5.573388E-2</v>
      </c>
      <c r="S728">
        <v>3.0374150000000002</v>
      </c>
      <c r="T728">
        <v>-4.6818489999999997E-2</v>
      </c>
      <c r="U728">
        <v>-0.3687744</v>
      </c>
      <c r="V728">
        <v>-5.1933359999999998E-2</v>
      </c>
      <c r="W728">
        <v>-9.2095640000000006E-2</v>
      </c>
      <c r="X728">
        <v>0.99439500000000003</v>
      </c>
      <c r="Y728">
        <v>0.12427920000000001</v>
      </c>
      <c r="Z728">
        <v>-1.8421100000000001E-3</v>
      </c>
      <c r="AA728">
        <v>0.99224559999999995</v>
      </c>
      <c r="AB728">
        <v>35</v>
      </c>
      <c r="AC728">
        <v>75.088799999999907</v>
      </c>
      <c r="AD728">
        <v>-1.1598329999999999</v>
      </c>
      <c r="AE728">
        <v>-9.1363000000000003</v>
      </c>
      <c r="AF728">
        <v>9.4201349301712796</v>
      </c>
      <c r="AG728">
        <v>-1.1598329999999999</v>
      </c>
      <c r="AH728">
        <v>75.035801084182395</v>
      </c>
      <c r="AI728">
        <v>90.878657877446003</v>
      </c>
      <c r="AJ728">
        <v>82.844416363505204</v>
      </c>
      <c r="AK728">
        <v>75.633693543522696</v>
      </c>
      <c r="AL728">
        <v>95.284178978221902</v>
      </c>
      <c r="AM728">
        <v>92.989618227130606</v>
      </c>
      <c r="AN728">
        <v>1.00000004840644</v>
      </c>
    </row>
    <row r="729" spans="1:40" x14ac:dyDescent="0.25">
      <c r="A729" t="str">
        <f>"20190305134921569"</f>
        <v>20190305134921569</v>
      </c>
      <c r="B729" t="str">
        <f>"1551764961561703"</f>
        <v>1551764961561703</v>
      </c>
      <c r="C729" t="s">
        <v>40</v>
      </c>
      <c r="D729">
        <v>4.004969</v>
      </c>
      <c r="E729">
        <v>0.56827130000000003</v>
      </c>
      <c r="F729" t="s">
        <v>43</v>
      </c>
      <c r="G729">
        <v>-292.50369999999998</v>
      </c>
      <c r="H729">
        <v>-0.05</v>
      </c>
      <c r="I729">
        <v>358.7122</v>
      </c>
      <c r="J729">
        <v>-365.82749999999999</v>
      </c>
      <c r="K729">
        <v>1.1098440000000001</v>
      </c>
      <c r="L729">
        <v>367.60899999999998</v>
      </c>
      <c r="M729">
        <v>0.99989229999999996</v>
      </c>
      <c r="N729">
        <v>-1.415523E-2</v>
      </c>
      <c r="O729">
        <v>3.8762940000000002E-3</v>
      </c>
      <c r="P729">
        <v>0.99277930000000003</v>
      </c>
      <c r="Q729">
        <v>-0.1061093</v>
      </c>
      <c r="R729">
        <v>5.5949440000000003E-2</v>
      </c>
      <c r="S729">
        <v>3.0373540000000001</v>
      </c>
      <c r="T729">
        <v>-4.7927860000000003E-2</v>
      </c>
      <c r="U729">
        <v>-0.36761470000000002</v>
      </c>
      <c r="V729">
        <v>-5.208103E-2</v>
      </c>
      <c r="W729">
        <v>-9.2053819999999995E-2</v>
      </c>
      <c r="X729">
        <v>0.99439109999999997</v>
      </c>
      <c r="Y729">
        <v>0.1239731</v>
      </c>
      <c r="Z729">
        <v>-1.8615439999999999E-3</v>
      </c>
      <c r="AA729">
        <v>0.99228380000000005</v>
      </c>
      <c r="AB729">
        <v>35</v>
      </c>
      <c r="AC729">
        <v>73.323800000000006</v>
      </c>
      <c r="AD729">
        <v>-1.1598440000000001</v>
      </c>
      <c r="AE729">
        <v>-8.8968000000000398</v>
      </c>
      <c r="AF729">
        <v>9.1787229193969502</v>
      </c>
      <c r="AG729">
        <v>-1.1598440000000001</v>
      </c>
      <c r="AH729">
        <v>73.270691690805805</v>
      </c>
      <c r="AI729">
        <v>90.899860103079703</v>
      </c>
      <c r="AJ729">
        <v>82.859672710229205</v>
      </c>
      <c r="AK729">
        <v>73.852477638766601</v>
      </c>
      <c r="AL729">
        <v>95.2817729054442</v>
      </c>
      <c r="AM729">
        <v>92.998115312260893</v>
      </c>
      <c r="AN729">
        <v>0.99999999961083097</v>
      </c>
    </row>
    <row r="730" spans="1:40" x14ac:dyDescent="0.25">
      <c r="A730" t="str">
        <f>"20190305134921581"</f>
        <v>20190305134921581</v>
      </c>
      <c r="B730" t="str">
        <f>"1551764961571462"</f>
        <v>1551764961571462</v>
      </c>
      <c r="C730" t="s">
        <v>40</v>
      </c>
      <c r="D730">
        <v>4.138369</v>
      </c>
      <c r="E730">
        <v>0.56838699999999998</v>
      </c>
      <c r="F730" t="s">
        <v>43</v>
      </c>
      <c r="G730">
        <v>-293.51150000000001</v>
      </c>
      <c r="H730">
        <v>-0.05</v>
      </c>
      <c r="I730">
        <v>358.85930000000002</v>
      </c>
      <c r="J730">
        <v>-365.64550000000003</v>
      </c>
      <c r="K730">
        <v>1.109853</v>
      </c>
      <c r="L730">
        <v>367.60969999999998</v>
      </c>
      <c r="M730">
        <v>0.99989209999999995</v>
      </c>
      <c r="N730">
        <v>-1.41491E-2</v>
      </c>
      <c r="O730">
        <v>3.959537E-3</v>
      </c>
      <c r="P730">
        <v>0.99274799999999996</v>
      </c>
      <c r="Q730">
        <v>-0.1062044</v>
      </c>
      <c r="R730">
        <v>5.6321589999999998E-2</v>
      </c>
      <c r="S730">
        <v>3.0373230000000002</v>
      </c>
      <c r="T730">
        <v>-4.8714279999999999E-2</v>
      </c>
      <c r="U730">
        <v>-0.36749270000000001</v>
      </c>
      <c r="V730">
        <v>-5.2367400000000001E-2</v>
      </c>
      <c r="W730">
        <v>-9.2157130000000004E-2</v>
      </c>
      <c r="X730">
        <v>0.99436650000000004</v>
      </c>
      <c r="Y730">
        <v>0.1240168</v>
      </c>
      <c r="Z730">
        <v>-1.8790040000000001E-3</v>
      </c>
      <c r="AA730">
        <v>0.99227829999999995</v>
      </c>
      <c r="AB730">
        <v>35</v>
      </c>
      <c r="AC730">
        <v>72.134</v>
      </c>
      <c r="AD730">
        <v>-1.159853</v>
      </c>
      <c r="AE730">
        <v>-8.7503999999999493</v>
      </c>
      <c r="AF730">
        <v>9.0336755297802807</v>
      </c>
      <c r="AG730">
        <v>-1.159853</v>
      </c>
      <c r="AH730">
        <v>72.080418093570302</v>
      </c>
      <c r="AI730">
        <v>90.9147178512398</v>
      </c>
      <c r="AJ730">
        <v>82.8564954609773</v>
      </c>
      <c r="AK730">
        <v>72.653556176575805</v>
      </c>
      <c r="AL730">
        <v>95.287717352455104</v>
      </c>
      <c r="AM730">
        <v>93.014644707859105</v>
      </c>
      <c r="AN730">
        <v>1.0000000087574199</v>
      </c>
    </row>
    <row r="731" spans="1:40" x14ac:dyDescent="0.25">
      <c r="A731" t="str">
        <f>"20190305134921593"</f>
        <v>20190305134921593</v>
      </c>
      <c r="B731" t="str">
        <f>"1551764961581222"</f>
        <v>1551764961581222</v>
      </c>
      <c r="C731" t="s">
        <v>40</v>
      </c>
      <c r="D731">
        <v>3.9728319999999999</v>
      </c>
      <c r="E731">
        <v>0.56839450000000002</v>
      </c>
      <c r="F731" t="s">
        <v>43</v>
      </c>
      <c r="G731">
        <v>-291.44330000000002</v>
      </c>
      <c r="H731">
        <v>-0.05</v>
      </c>
      <c r="I731">
        <v>358.64319999999998</v>
      </c>
      <c r="J731">
        <v>-365.45589999999999</v>
      </c>
      <c r="K731">
        <v>1.1098619999999999</v>
      </c>
      <c r="L731">
        <v>367.61059999999998</v>
      </c>
      <c r="M731">
        <v>0.9998918</v>
      </c>
      <c r="N731">
        <v>-1.4142190000000001E-2</v>
      </c>
      <c r="O731">
        <v>4.0510190000000003E-3</v>
      </c>
      <c r="P731">
        <v>0.99269499999999999</v>
      </c>
      <c r="Q731">
        <v>-0.1065131</v>
      </c>
      <c r="R731">
        <v>5.6672239999999999E-2</v>
      </c>
      <c r="S731">
        <v>3.0376590000000001</v>
      </c>
      <c r="T731">
        <v>-4.7481540000000003E-2</v>
      </c>
      <c r="U731">
        <v>-0.36706539999999999</v>
      </c>
      <c r="V731">
        <v>-5.262377E-2</v>
      </c>
      <c r="W731">
        <v>-9.2475299999999996E-2</v>
      </c>
      <c r="X731">
        <v>0.99432339999999997</v>
      </c>
      <c r="Y731">
        <v>0.1239581</v>
      </c>
      <c r="Z731">
        <v>-1.851075E-3</v>
      </c>
      <c r="AA731">
        <v>0.99228570000000005</v>
      </c>
      <c r="AB731">
        <v>35</v>
      </c>
      <c r="AC731">
        <v>74.012599999999907</v>
      </c>
      <c r="AD731">
        <v>-1.1598619999999999</v>
      </c>
      <c r="AE731">
        <v>-8.9673999999999907</v>
      </c>
      <c r="AF731">
        <v>9.2649404272606404</v>
      </c>
      <c r="AG731">
        <v>-1.1598619999999999</v>
      </c>
      <c r="AH731">
        <v>73.957761710095397</v>
      </c>
      <c r="AI731">
        <v>90.891515343241295</v>
      </c>
      <c r="AJ731">
        <v>82.859560376050297</v>
      </c>
      <c r="AK731">
        <v>74.544851721275805</v>
      </c>
      <c r="AL731">
        <v>95.306025467238996</v>
      </c>
      <c r="AM731">
        <v>93.029506855510306</v>
      </c>
      <c r="AN731">
        <v>0.99999998303333104</v>
      </c>
    </row>
    <row r="732" spans="1:40" x14ac:dyDescent="0.25">
      <c r="A732" t="str">
        <f>"20190305134921606"</f>
        <v>20190305134921606</v>
      </c>
      <c r="B732" t="str">
        <f>"1551764961601719"</f>
        <v>1551764961601719</v>
      </c>
      <c r="C732" t="s">
        <v>40</v>
      </c>
      <c r="D732">
        <v>3.9435389999999999</v>
      </c>
      <c r="E732">
        <v>0.56840990000000002</v>
      </c>
      <c r="F732" t="s">
        <v>43</v>
      </c>
      <c r="G732">
        <v>-291.08240000000001</v>
      </c>
      <c r="H732">
        <v>-0.05</v>
      </c>
      <c r="I732">
        <v>358.64949999999999</v>
      </c>
      <c r="J732">
        <v>-365.25259999999997</v>
      </c>
      <c r="K732">
        <v>1.1098760000000001</v>
      </c>
      <c r="L732">
        <v>367.61149999999998</v>
      </c>
      <c r="M732">
        <v>0.99989150000000004</v>
      </c>
      <c r="N732">
        <v>-1.413358E-2</v>
      </c>
      <c r="O732">
        <v>4.1608319999999997E-3</v>
      </c>
      <c r="P732">
        <v>0.99267269999999996</v>
      </c>
      <c r="Q732">
        <v>-0.1065609</v>
      </c>
      <c r="R732">
        <v>5.6970930000000003E-2</v>
      </c>
      <c r="S732">
        <v>3.037903</v>
      </c>
      <c r="T732">
        <v>-4.7376389999999997E-2</v>
      </c>
      <c r="U732">
        <v>-0.36602780000000001</v>
      </c>
      <c r="V732">
        <v>-5.280982E-2</v>
      </c>
      <c r="W732">
        <v>-9.2533920000000006E-2</v>
      </c>
      <c r="X732">
        <v>0.99430810000000003</v>
      </c>
      <c r="Y732">
        <v>0.12372379999999999</v>
      </c>
      <c r="Z732">
        <v>-1.844893E-3</v>
      </c>
      <c r="AA732">
        <v>0.99231499999999995</v>
      </c>
      <c r="AB732">
        <v>35</v>
      </c>
      <c r="AC732">
        <v>74.170199999999895</v>
      </c>
      <c r="AD732">
        <v>-1.1598759999999999</v>
      </c>
      <c r="AE732">
        <v>-8.9619999999999802</v>
      </c>
      <c r="AF732">
        <v>9.2683290273486598</v>
      </c>
      <c r="AG732">
        <v>-1.1598759999999999</v>
      </c>
      <c r="AH732">
        <v>74.114401008681099</v>
      </c>
      <c r="AI732">
        <v>90.889666193862197</v>
      </c>
      <c r="AJ732">
        <v>82.8719169576529</v>
      </c>
      <c r="AK732">
        <v>74.700680533514301</v>
      </c>
      <c r="AL732">
        <v>95.3093985156179</v>
      </c>
      <c r="AM732">
        <v>93.040244235865899</v>
      </c>
      <c r="AN732">
        <v>1.0000000005823</v>
      </c>
    </row>
    <row r="733" spans="1:40" x14ac:dyDescent="0.25">
      <c r="A733" t="str">
        <f>"20190305134921618"</f>
        <v>20190305134921618</v>
      </c>
      <c r="B733" t="str">
        <f>"1551764961611478"</f>
        <v>1551764961611478</v>
      </c>
      <c r="C733" t="s">
        <v>40</v>
      </c>
      <c r="D733">
        <v>3.9798969999999998</v>
      </c>
      <c r="E733">
        <v>0.56845939999999995</v>
      </c>
      <c r="F733" t="s">
        <v>43</v>
      </c>
      <c r="G733">
        <v>-290.0693</v>
      </c>
      <c r="H733">
        <v>-0.05</v>
      </c>
      <c r="I733">
        <v>358.57830000000001</v>
      </c>
      <c r="J733">
        <v>-365.05880000000002</v>
      </c>
      <c r="K733">
        <v>1.10989</v>
      </c>
      <c r="L733">
        <v>367.61239999999998</v>
      </c>
      <c r="M733">
        <v>0.99989119999999998</v>
      </c>
      <c r="N733">
        <v>-1.412532E-2</v>
      </c>
      <c r="O733">
        <v>4.276406E-3</v>
      </c>
      <c r="P733">
        <v>0.992649</v>
      </c>
      <c r="Q733">
        <v>-0.10677</v>
      </c>
      <c r="R733">
        <v>5.6995419999999998E-2</v>
      </c>
      <c r="S733">
        <v>3.0380549999999999</v>
      </c>
      <c r="T733">
        <v>-4.6869040000000001E-2</v>
      </c>
      <c r="U733">
        <v>-0.36502079999999998</v>
      </c>
      <c r="V733">
        <v>-5.2716760000000001E-2</v>
      </c>
      <c r="W733">
        <v>-9.275332E-2</v>
      </c>
      <c r="X733">
        <v>0.99429259999999997</v>
      </c>
      <c r="Y733">
        <v>0.1235088</v>
      </c>
      <c r="Z733">
        <v>-1.8303519999999999E-3</v>
      </c>
      <c r="AA733">
        <v>0.99234180000000005</v>
      </c>
      <c r="AB733">
        <v>35</v>
      </c>
      <c r="AC733">
        <v>74.989500000000007</v>
      </c>
      <c r="AD733">
        <v>-1.1598899999999901</v>
      </c>
      <c r="AE733">
        <v>-9.0340999999999596</v>
      </c>
      <c r="AF733">
        <v>9.3525294014406697</v>
      </c>
      <c r="AG733">
        <v>-1.1598899999999901</v>
      </c>
      <c r="AH733">
        <v>74.932506488819101</v>
      </c>
      <c r="AI733">
        <v>90.879991218323397</v>
      </c>
      <c r="AJ733">
        <v>82.885549579717207</v>
      </c>
      <c r="AK733">
        <v>75.522815623583696</v>
      </c>
      <c r="AL733">
        <v>95.322023483119196</v>
      </c>
      <c r="AM733">
        <v>93.034944048403801</v>
      </c>
      <c r="AN733">
        <v>1.0000000047853399</v>
      </c>
    </row>
    <row r="734" spans="1:40" x14ac:dyDescent="0.25">
      <c r="A734" t="str">
        <f>"20190305134921631"</f>
        <v>20190305134921631</v>
      </c>
      <c r="B734" t="str">
        <f>"1551764961621747"</f>
        <v>1551764961621747</v>
      </c>
      <c r="C734" t="s">
        <v>40</v>
      </c>
      <c r="D734">
        <v>3.998904</v>
      </c>
      <c r="E734">
        <v>0.56844119999999998</v>
      </c>
      <c r="F734" t="s">
        <v>43</v>
      </c>
      <c r="G734">
        <v>-288.99189999999999</v>
      </c>
      <c r="H734">
        <v>-0.05</v>
      </c>
      <c r="I734">
        <v>358.46809999999999</v>
      </c>
      <c r="J734">
        <v>-364.85890000000001</v>
      </c>
      <c r="K734">
        <v>1.109904</v>
      </c>
      <c r="L734">
        <v>367.61340000000001</v>
      </c>
      <c r="M734">
        <v>0.99989079999999997</v>
      </c>
      <c r="N734">
        <v>-1.411682E-2</v>
      </c>
      <c r="O734">
        <v>4.401996E-3</v>
      </c>
      <c r="P734">
        <v>0.99267640000000001</v>
      </c>
      <c r="Q734">
        <v>-0.10651529999999999</v>
      </c>
      <c r="R734">
        <v>5.6992359999999999E-2</v>
      </c>
      <c r="S734">
        <v>3.038208</v>
      </c>
      <c r="T734">
        <v>-4.6327470000000003E-2</v>
      </c>
      <c r="U734">
        <v>-0.36523440000000001</v>
      </c>
      <c r="V734">
        <v>-5.2585680000000003E-2</v>
      </c>
      <c r="W734">
        <v>-9.2508460000000001E-2</v>
      </c>
      <c r="X734">
        <v>0.99432240000000005</v>
      </c>
      <c r="Y734">
        <v>0.1236968</v>
      </c>
      <c r="Z734">
        <v>-1.820985E-3</v>
      </c>
      <c r="AA734">
        <v>0.99231840000000004</v>
      </c>
      <c r="AB734">
        <v>35</v>
      </c>
      <c r="AC734">
        <v>75.867000000000004</v>
      </c>
      <c r="AD734">
        <v>-1.159904</v>
      </c>
      <c r="AE734">
        <v>-9.1453000000000095</v>
      </c>
      <c r="AF734">
        <v>9.4770273823788802</v>
      </c>
      <c r="AG734">
        <v>-1.159904</v>
      </c>
      <c r="AH734">
        <v>75.808537303684901</v>
      </c>
      <c r="AI734">
        <v>90.869812867011007</v>
      </c>
      <c r="AJ734">
        <v>82.874269087415101</v>
      </c>
      <c r="AK734">
        <v>76.407419491956105</v>
      </c>
      <c r="AL734">
        <v>95.307933207272896</v>
      </c>
      <c r="AM734">
        <v>93.027321165023594</v>
      </c>
      <c r="AN734">
        <v>1.0000000520271899</v>
      </c>
    </row>
    <row r="735" spans="1:40" x14ac:dyDescent="0.25">
      <c r="A735" t="str">
        <f>"20190305134921645"</f>
        <v>20190305134921645</v>
      </c>
      <c r="B735" t="str">
        <f>"1551764961641267"</f>
        <v>1551764961641267</v>
      </c>
      <c r="C735" t="s">
        <v>40</v>
      </c>
      <c r="D735">
        <v>3.9396450000000001</v>
      </c>
      <c r="E735">
        <v>0.56841119999999901</v>
      </c>
      <c r="F735" t="s">
        <v>43</v>
      </c>
      <c r="G735">
        <v>-287.55840000000001</v>
      </c>
      <c r="H735">
        <v>-0.05</v>
      </c>
      <c r="I735">
        <v>358.32839999999999</v>
      </c>
      <c r="J735">
        <v>-364.63580000000002</v>
      </c>
      <c r="K735">
        <v>1.1099239999999999</v>
      </c>
      <c r="L735">
        <v>367.61450000000002</v>
      </c>
      <c r="M735">
        <v>0.99989019999999995</v>
      </c>
      <c r="N735">
        <v>-1.410756E-2</v>
      </c>
      <c r="O735">
        <v>4.5565700000000002E-3</v>
      </c>
      <c r="P735">
        <v>0.99274119999999999</v>
      </c>
      <c r="Q735">
        <v>-0.10596949999999999</v>
      </c>
      <c r="R735">
        <v>5.6882549999999997E-2</v>
      </c>
      <c r="S735">
        <v>3.0381770000000001</v>
      </c>
      <c r="T735">
        <v>-4.5588249999999997E-2</v>
      </c>
      <c r="U735">
        <v>-0.36492920000000001</v>
      </c>
      <c r="V735">
        <v>-5.2318509999999999E-2</v>
      </c>
      <c r="W735">
        <v>-9.1972789999999999E-2</v>
      </c>
      <c r="X735">
        <v>0.99438610000000005</v>
      </c>
      <c r="Y735">
        <v>0.12375369999999999</v>
      </c>
      <c r="Z735">
        <v>-1.805367E-3</v>
      </c>
      <c r="AA735">
        <v>0.99231130000000001</v>
      </c>
      <c r="AB735">
        <v>35</v>
      </c>
      <c r="AC735">
        <v>77.077399999999997</v>
      </c>
      <c r="AD735">
        <v>-1.159924</v>
      </c>
      <c r="AE735">
        <v>-9.2861000000000296</v>
      </c>
      <c r="AF735">
        <v>9.6350962553849406</v>
      </c>
      <c r="AG735">
        <v>-1.159924</v>
      </c>
      <c r="AH735">
        <v>77.017090424685193</v>
      </c>
      <c r="AI735">
        <v>90.856171002295994</v>
      </c>
      <c r="AJ735">
        <v>82.869153133890805</v>
      </c>
      <c r="AK735">
        <v>77.626108501073503</v>
      </c>
      <c r="AL735">
        <v>95.277110615315294</v>
      </c>
      <c r="AM735">
        <v>93.011776175611004</v>
      </c>
      <c r="AN735">
        <v>0.99999996823110604</v>
      </c>
    </row>
    <row r="736" spans="1:40" x14ac:dyDescent="0.25">
      <c r="A736" t="str">
        <f>"20190305134921657"</f>
        <v>20190305134921657</v>
      </c>
      <c r="B736" t="str">
        <f>"1551764961652003"</f>
        <v>1551764961652003</v>
      </c>
      <c r="C736" t="s">
        <v>40</v>
      </c>
      <c r="D736">
        <v>3.972359</v>
      </c>
      <c r="E736">
        <v>0.56851359999999995</v>
      </c>
      <c r="F736" t="s">
        <v>43</v>
      </c>
      <c r="G736">
        <v>-283.26280000000003</v>
      </c>
      <c r="H736">
        <v>-0.05</v>
      </c>
      <c r="I736">
        <v>357.84050000000002</v>
      </c>
      <c r="J736">
        <v>-364.452</v>
      </c>
      <c r="K736">
        <v>1.109936</v>
      </c>
      <c r="L736">
        <v>367.6155</v>
      </c>
      <c r="M736">
        <v>0.99988969999999999</v>
      </c>
      <c r="N736">
        <v>-1.409853E-2</v>
      </c>
      <c r="O736">
        <v>4.6912350000000002E-3</v>
      </c>
      <c r="P736">
        <v>0.99277530000000003</v>
      </c>
      <c r="Q736">
        <v>-0.1055536</v>
      </c>
      <c r="R736">
        <v>5.7060380000000001E-2</v>
      </c>
      <c r="S736">
        <v>3.0381770000000001</v>
      </c>
      <c r="T736">
        <v>-4.3307419999999999E-2</v>
      </c>
      <c r="U736">
        <v>-0.36492920000000001</v>
      </c>
      <c r="V736">
        <v>-5.2359830000000003E-2</v>
      </c>
      <c r="W736">
        <v>-9.1566910000000001E-2</v>
      </c>
      <c r="X736">
        <v>0.99442140000000001</v>
      </c>
      <c r="Y736">
        <v>0.12388929999999999</v>
      </c>
      <c r="Z736">
        <v>-1.757097E-3</v>
      </c>
      <c r="AA736">
        <v>0.99229449999999997</v>
      </c>
      <c r="AB736">
        <v>35</v>
      </c>
      <c r="AC736">
        <v>81.1891999999999</v>
      </c>
      <c r="AD736">
        <v>-1.1599360000000001</v>
      </c>
      <c r="AE736">
        <v>-9.7749999999999702</v>
      </c>
      <c r="AF736">
        <v>10.153764948797599</v>
      </c>
      <c r="AG736">
        <v>-1.1599360000000001</v>
      </c>
      <c r="AH736">
        <v>81.126122721603707</v>
      </c>
      <c r="AI736">
        <v>90.812814687399694</v>
      </c>
      <c r="AJ736">
        <v>82.865944029784998</v>
      </c>
      <c r="AK736">
        <v>81.7673050919513</v>
      </c>
      <c r="AL736">
        <v>95.253756763738593</v>
      </c>
      <c r="AM736">
        <v>93.014043626195999</v>
      </c>
      <c r="AN736">
        <v>0.99999998579126803</v>
      </c>
    </row>
    <row r="737" spans="1:40" x14ac:dyDescent="0.25">
      <c r="A737" t="str">
        <f>"20190305134921668"</f>
        <v>20190305134921668</v>
      </c>
      <c r="B737" t="str">
        <f>"1551764961661762"</f>
        <v>1551764961661762</v>
      </c>
      <c r="C737" t="s">
        <v>40</v>
      </c>
      <c r="D737">
        <v>3.9626540000000001</v>
      </c>
      <c r="E737">
        <v>0.56854850000000001</v>
      </c>
      <c r="F737" t="s">
        <v>43</v>
      </c>
      <c r="G737">
        <v>-279.76600000000002</v>
      </c>
      <c r="H737">
        <v>-0.05</v>
      </c>
      <c r="I737">
        <v>357.4348</v>
      </c>
      <c r="J737">
        <v>-364.27050000000003</v>
      </c>
      <c r="K737">
        <v>1.10995</v>
      </c>
      <c r="L737">
        <v>367.61649999999997</v>
      </c>
      <c r="M737">
        <v>0.99988920000000003</v>
      </c>
      <c r="N737">
        <v>-1.408884E-2</v>
      </c>
      <c r="O737">
        <v>4.8280390000000001E-3</v>
      </c>
      <c r="P737">
        <v>0.99282969999999904</v>
      </c>
      <c r="Q737">
        <v>-0.1049486</v>
      </c>
      <c r="R737">
        <v>5.7227060000000003E-2</v>
      </c>
      <c r="S737">
        <v>3.0383909999999998</v>
      </c>
      <c r="T737">
        <v>-4.1616559999999997E-2</v>
      </c>
      <c r="U737">
        <v>-0.3652649</v>
      </c>
      <c r="V737">
        <v>-5.2388299999999999E-2</v>
      </c>
      <c r="W737">
        <v>-9.0972239999999996E-2</v>
      </c>
      <c r="X737">
        <v>0.99447450000000004</v>
      </c>
      <c r="Y737">
        <v>0.12412629999999999</v>
      </c>
      <c r="Z737">
        <v>-1.7227620000000001E-3</v>
      </c>
      <c r="AA737">
        <v>0.99226490000000001</v>
      </c>
      <c r="AB737">
        <v>35</v>
      </c>
      <c r="AC737">
        <v>84.504499999999993</v>
      </c>
      <c r="AD737">
        <v>-1.15995</v>
      </c>
      <c r="AE737">
        <v>-10.1816999999999</v>
      </c>
      <c r="AF737">
        <v>10.587646442389101</v>
      </c>
      <c r="AG737">
        <v>-1.15995</v>
      </c>
      <c r="AH737">
        <v>84.438670402912194</v>
      </c>
      <c r="AI737">
        <v>90.780919249284807</v>
      </c>
      <c r="AJ737">
        <v>82.853062251826699</v>
      </c>
      <c r="AK737">
        <v>85.1077716815754</v>
      </c>
      <c r="AL737">
        <v>95.219541766285701</v>
      </c>
      <c r="AM737">
        <v>93.015518725228802</v>
      </c>
      <c r="AN737">
        <v>1.0000000067888699</v>
      </c>
    </row>
    <row r="738" spans="1:40" x14ac:dyDescent="0.25">
      <c r="A738" t="str">
        <f>"20190305134921679"</f>
        <v>20190305134921679</v>
      </c>
      <c r="B738" t="str">
        <f>"1551764961671523"</f>
        <v>1551764961671523</v>
      </c>
      <c r="C738" t="s">
        <v>40</v>
      </c>
      <c r="D738">
        <v>3.9735819999999999</v>
      </c>
      <c r="E738">
        <v>0.56864499999999996</v>
      </c>
      <c r="F738" t="s">
        <v>43</v>
      </c>
      <c r="G738">
        <v>-276.57990000000001</v>
      </c>
      <c r="H738">
        <v>-0.05</v>
      </c>
      <c r="I738">
        <v>357.0924</v>
      </c>
      <c r="J738">
        <v>-364.09890000000001</v>
      </c>
      <c r="K738">
        <v>1.109961</v>
      </c>
      <c r="L738">
        <v>367.61739999999998</v>
      </c>
      <c r="M738">
        <v>0.99988869999999996</v>
      </c>
      <c r="N738">
        <v>-1.407826E-2</v>
      </c>
      <c r="O738">
        <v>4.9649869999999997E-3</v>
      </c>
      <c r="P738">
        <v>0.99285990000000002</v>
      </c>
      <c r="Q738">
        <v>-0.1045894</v>
      </c>
      <c r="R738">
        <v>5.7362660000000003E-2</v>
      </c>
      <c r="S738">
        <v>3.0384519999999999</v>
      </c>
      <c r="T738">
        <v>-4.0191890000000001E-2</v>
      </c>
      <c r="U738">
        <v>-0.36465449999999999</v>
      </c>
      <c r="V738">
        <v>-5.23857E-2</v>
      </c>
      <c r="W738">
        <v>-9.0624209999999997E-2</v>
      </c>
      <c r="X738">
        <v>0.99450640000000001</v>
      </c>
      <c r="Y738">
        <v>0.1240646</v>
      </c>
      <c r="Z738">
        <v>-1.6899250000000001E-3</v>
      </c>
      <c r="AA738">
        <v>0.99227270000000001</v>
      </c>
      <c r="AB738">
        <v>35</v>
      </c>
      <c r="AC738">
        <v>87.518999999999906</v>
      </c>
      <c r="AD738">
        <v>-1.159961</v>
      </c>
      <c r="AE738">
        <v>-10.524999999999901</v>
      </c>
      <c r="AF738">
        <v>10.9575465530312</v>
      </c>
      <c r="AG738">
        <v>-1.159961</v>
      </c>
      <c r="AH738">
        <v>87.450516518181502</v>
      </c>
      <c r="AI738">
        <v>90.754042497923706</v>
      </c>
      <c r="AJ738">
        <v>82.858062027353895</v>
      </c>
      <c r="AK738">
        <v>88.1419660279943</v>
      </c>
      <c r="AL738">
        <v>95.199518470878402</v>
      </c>
      <c r="AM738">
        <v>93.015272799887796</v>
      </c>
      <c r="AN738">
        <v>0.99999999432178699</v>
      </c>
    </row>
    <row r="739" spans="1:40" x14ac:dyDescent="0.25">
      <c r="A739" t="str">
        <f>"20190305134921692"</f>
        <v>20190305134921692</v>
      </c>
      <c r="B739" t="str">
        <f>"1551764961681283"</f>
        <v>1551764961681283</v>
      </c>
      <c r="C739" t="s">
        <v>40</v>
      </c>
      <c r="D739">
        <v>3.8960059999999999</v>
      </c>
      <c r="E739">
        <v>0.56880410000000003</v>
      </c>
      <c r="F739" t="s">
        <v>43</v>
      </c>
      <c r="G739">
        <v>-274.9649</v>
      </c>
      <c r="H739">
        <v>-0.05</v>
      </c>
      <c r="I739">
        <v>356.8997</v>
      </c>
      <c r="J739">
        <v>-363.9144</v>
      </c>
      <c r="K739">
        <v>1.109972</v>
      </c>
      <c r="L739">
        <v>367.61840000000001</v>
      </c>
      <c r="M739">
        <v>0.99988809999999995</v>
      </c>
      <c r="N739">
        <v>-1.406666E-2</v>
      </c>
      <c r="O739">
        <v>5.1139849999999997E-3</v>
      </c>
      <c r="P739">
        <v>0.99289099999999997</v>
      </c>
      <c r="Q739">
        <v>-0.1041426</v>
      </c>
      <c r="R739">
        <v>5.7637300000000002E-2</v>
      </c>
      <c r="S739">
        <v>3.038513</v>
      </c>
      <c r="T739">
        <v>-3.95422E-2</v>
      </c>
      <c r="U739">
        <v>-0.36535640000000003</v>
      </c>
      <c r="V739">
        <v>-5.2510599999999998E-2</v>
      </c>
      <c r="W739">
        <v>-9.0189649999999996E-2</v>
      </c>
      <c r="X739">
        <v>0.99453930000000001</v>
      </c>
      <c r="Y739">
        <v>0.12443650000000001</v>
      </c>
      <c r="Z739">
        <v>-1.6798500000000001E-3</v>
      </c>
      <c r="AA739">
        <v>0.9922261</v>
      </c>
      <c r="AB739">
        <v>35</v>
      </c>
      <c r="AC739">
        <v>88.9495</v>
      </c>
      <c r="AD739">
        <v>-1.159972</v>
      </c>
      <c r="AE739">
        <v>-10.7187</v>
      </c>
      <c r="AF739">
        <v>11.171618497531201</v>
      </c>
      <c r="AG739">
        <v>-1.159972</v>
      </c>
      <c r="AH739">
        <v>88.8786173750552</v>
      </c>
      <c r="AI739">
        <v>90.741898721638606</v>
      </c>
      <c r="AJ739">
        <v>82.835765939834303</v>
      </c>
      <c r="AK739">
        <v>89.585485550934195</v>
      </c>
      <c r="AL739">
        <v>95.174517722325902</v>
      </c>
      <c r="AM739">
        <v>93.022348816297296</v>
      </c>
      <c r="AN739">
        <v>0.99999997766198501</v>
      </c>
    </row>
    <row r="740" spans="1:40" x14ac:dyDescent="0.25">
      <c r="A740" t="str">
        <f>"20190305134921702"</f>
        <v>20190305134921702</v>
      </c>
      <c r="B740" t="str">
        <f>"1551764961692019"</f>
        <v>1551764961692019</v>
      </c>
      <c r="C740" t="s">
        <v>40</v>
      </c>
      <c r="D740">
        <v>3.9511370000000001</v>
      </c>
      <c r="E740">
        <v>0.56885559999999902</v>
      </c>
      <c r="F740" t="s">
        <v>43</v>
      </c>
      <c r="G740">
        <v>-270.0634</v>
      </c>
      <c r="H740">
        <v>-0.05</v>
      </c>
      <c r="I740">
        <v>356.32619999999997</v>
      </c>
      <c r="J740">
        <v>-363.73140000000001</v>
      </c>
      <c r="K740">
        <v>1.1099829999999999</v>
      </c>
      <c r="L740">
        <v>367.61950000000002</v>
      </c>
      <c r="M740">
        <v>0.99988750000000004</v>
      </c>
      <c r="N740">
        <v>-1.4054860000000001E-2</v>
      </c>
      <c r="O740">
        <v>5.2660559999999999E-3</v>
      </c>
      <c r="P740">
        <v>0.99291309999999999</v>
      </c>
      <c r="Q740">
        <v>-0.1037425</v>
      </c>
      <c r="R740">
        <v>5.7976010000000001E-2</v>
      </c>
      <c r="S740">
        <v>3.0387879999999998</v>
      </c>
      <c r="T740">
        <v>-3.7558559999999998E-2</v>
      </c>
      <c r="U740">
        <v>-0.36563109999999999</v>
      </c>
      <c r="V740">
        <v>-5.2696449999999999E-2</v>
      </c>
      <c r="W740">
        <v>-8.9801939999999997E-2</v>
      </c>
      <c r="X740">
        <v>0.99456460000000002</v>
      </c>
      <c r="Y740">
        <v>0.12466670000000001</v>
      </c>
      <c r="Z740">
        <v>-1.6380839999999999E-3</v>
      </c>
      <c r="AA740">
        <v>0.99219729999999995</v>
      </c>
      <c r="AB740">
        <v>35</v>
      </c>
      <c r="AC740">
        <v>93.667999999999907</v>
      </c>
      <c r="AD740">
        <v>-1.159983</v>
      </c>
      <c r="AE740">
        <v>-11.2933</v>
      </c>
      <c r="AF740">
        <v>11.7846715313472</v>
      </c>
      <c r="AG740">
        <v>-1.159983</v>
      </c>
      <c r="AH740">
        <v>93.593075891073596</v>
      </c>
      <c r="AI740">
        <v>90.704519361350407</v>
      </c>
      <c r="AJ740">
        <v>82.823431023386206</v>
      </c>
      <c r="AK740">
        <v>94.339217181479199</v>
      </c>
      <c r="AL740">
        <v>95.152212826968594</v>
      </c>
      <c r="AM740">
        <v>93.032948823084595</v>
      </c>
      <c r="AN740">
        <v>1.0000000239217599</v>
      </c>
    </row>
    <row r="741" spans="1:40" x14ac:dyDescent="0.25">
      <c r="A741" t="str">
        <f>"20190305134921714"</f>
        <v>20190305134921714</v>
      </c>
      <c r="B741" t="str">
        <f>"1551764961711538"</f>
        <v>1551764961711538</v>
      </c>
      <c r="C741" t="s">
        <v>40</v>
      </c>
      <c r="D741">
        <v>3.97682</v>
      </c>
      <c r="E741">
        <v>0.56901809999999997</v>
      </c>
      <c r="F741" t="s">
        <v>42</v>
      </c>
      <c r="G741">
        <v>-277.99489999999997</v>
      </c>
      <c r="H741">
        <v>7.9986039999999994E-2</v>
      </c>
      <c r="I741">
        <v>357.31760000000003</v>
      </c>
      <c r="J741">
        <v>-363.56130000000002</v>
      </c>
      <c r="K741">
        <v>1.109993</v>
      </c>
      <c r="L741">
        <v>367.62049999999999</v>
      </c>
      <c r="M741">
        <v>0.99988679999999996</v>
      </c>
      <c r="N741">
        <v>-1.404409E-2</v>
      </c>
      <c r="O741">
        <v>5.4089809999999898E-3</v>
      </c>
      <c r="P741">
        <v>0.99294439999999995</v>
      </c>
      <c r="Q741">
        <v>-0.1032135</v>
      </c>
      <c r="R741">
        <v>5.8384659999999998E-2</v>
      </c>
      <c r="S741">
        <v>3.0388790000000001</v>
      </c>
      <c r="T741">
        <v>-3.6507610000000003E-2</v>
      </c>
      <c r="U741">
        <v>-0.36514279999999999</v>
      </c>
      <c r="V741">
        <v>-5.2961660000000001E-2</v>
      </c>
      <c r="W741">
        <v>-8.9284169999999996E-2</v>
      </c>
      <c r="X741">
        <v>0.99459710000000001</v>
      </c>
      <c r="Y741">
        <v>0.1246487</v>
      </c>
      <c r="Z741">
        <v>-1.613621E-3</v>
      </c>
      <c r="AA741">
        <v>0.99219959999999996</v>
      </c>
      <c r="AB741">
        <v>35</v>
      </c>
      <c r="AC741">
        <v>85.566400000000002</v>
      </c>
      <c r="AD741">
        <v>-1.0300069599999999</v>
      </c>
      <c r="AE741">
        <v>-10.3028999999999</v>
      </c>
      <c r="AF741">
        <v>10.764084464802099</v>
      </c>
      <c r="AG741">
        <v>-1.0300069599999999</v>
      </c>
      <c r="AH741">
        <v>85.497202695978203</v>
      </c>
      <c r="AI741">
        <v>90.684818126723201</v>
      </c>
      <c r="AJ741">
        <v>82.824225222378004</v>
      </c>
      <c r="AK741">
        <v>86.178292496081795</v>
      </c>
      <c r="AL741">
        <v>95.122427285060397</v>
      </c>
      <c r="AM741">
        <v>93.0480848780511</v>
      </c>
      <c r="AN741">
        <v>0.99999999588547706</v>
      </c>
    </row>
    <row r="742" spans="1:40" x14ac:dyDescent="0.25">
      <c r="A742" t="str">
        <f>"20190305134921724"</f>
        <v>20190305134921724</v>
      </c>
      <c r="B742" t="str">
        <f>"1551764961711538"</f>
        <v>1551764961711538</v>
      </c>
      <c r="C742" t="s">
        <v>40</v>
      </c>
      <c r="D742">
        <v>3.97682</v>
      </c>
      <c r="E742">
        <v>0.56901809999999997</v>
      </c>
      <c r="F742" t="s">
        <v>42</v>
      </c>
      <c r="G742">
        <v>-275.48419999999999</v>
      </c>
      <c r="H742">
        <v>7.9986810000000005E-2</v>
      </c>
      <c r="I742">
        <v>357.04070000000002</v>
      </c>
      <c r="J742">
        <v>-363.40039999999999</v>
      </c>
      <c r="K742">
        <v>1.109999</v>
      </c>
      <c r="L742">
        <v>367.6216</v>
      </c>
      <c r="M742">
        <v>0.99988619999999995</v>
      </c>
      <c r="N742">
        <v>-1.40342E-2</v>
      </c>
      <c r="O742">
        <v>5.5457980000000002E-3</v>
      </c>
      <c r="P742">
        <v>0.99300010000000005</v>
      </c>
      <c r="Q742">
        <v>-0.102470699999999</v>
      </c>
      <c r="R742">
        <v>5.874099E-2</v>
      </c>
      <c r="S742">
        <v>3.0390630000000001</v>
      </c>
      <c r="T742">
        <v>-3.5539870000000001E-2</v>
      </c>
      <c r="U742">
        <v>-0.36505130000000002</v>
      </c>
      <c r="V742">
        <v>-5.3181409999999998E-2</v>
      </c>
      <c r="W742">
        <v>-8.8551130000000006E-2</v>
      </c>
      <c r="X742">
        <v>0.9946509</v>
      </c>
      <c r="Y742">
        <v>0.1247486</v>
      </c>
      <c r="Z742">
        <v>-1.59248299999999E-3</v>
      </c>
      <c r="AA742">
        <v>0.99218709999999999</v>
      </c>
      <c r="AB742">
        <v>35</v>
      </c>
      <c r="AC742">
        <v>87.916200000000003</v>
      </c>
      <c r="AD742">
        <v>-1.0300121900000001</v>
      </c>
      <c r="AE742">
        <v>-10.5808999999999</v>
      </c>
      <c r="AF742">
        <v>11.066853373723699</v>
      </c>
      <c r="AG742">
        <v>-1.0300121900000001</v>
      </c>
      <c r="AH742">
        <v>87.844277013285506</v>
      </c>
      <c r="AI742">
        <v>90.666518975953096</v>
      </c>
      <c r="AJ742">
        <v>82.819555773517095</v>
      </c>
      <c r="AK742">
        <v>88.544639435111407</v>
      </c>
      <c r="AL742">
        <v>95.080260196334905</v>
      </c>
      <c r="AM742">
        <v>93.060542843046406</v>
      </c>
      <c r="AN742">
        <v>0.99999998893233699</v>
      </c>
    </row>
    <row r="743" spans="1:40" x14ac:dyDescent="0.25">
      <c r="A743" t="str">
        <f>"20190305134921735"</f>
        <v>20190305134921735</v>
      </c>
      <c r="B743" t="str">
        <f>"1551764961732035"</f>
        <v>1551764961732035</v>
      </c>
      <c r="C743" t="s">
        <v>40</v>
      </c>
      <c r="D743">
        <v>3.9174739999999999</v>
      </c>
      <c r="E743">
        <v>0.56908300000000001</v>
      </c>
      <c r="F743" t="s">
        <v>42</v>
      </c>
      <c r="G743">
        <v>-269.50619999999998</v>
      </c>
      <c r="H743">
        <v>7.9985639999999997E-2</v>
      </c>
      <c r="I743">
        <v>356.37099999999998</v>
      </c>
      <c r="J743">
        <v>-363.22750000000002</v>
      </c>
      <c r="K743">
        <v>1.109999</v>
      </c>
      <c r="L743">
        <v>367.62270000000001</v>
      </c>
      <c r="M743">
        <v>0.99988540000000004</v>
      </c>
      <c r="N743">
        <v>-1.4023900000000001E-2</v>
      </c>
      <c r="O743">
        <v>5.6938780000000003E-3</v>
      </c>
      <c r="P743">
        <v>0.99303450000000004</v>
      </c>
      <c r="Q743">
        <v>-0.1019912</v>
      </c>
      <c r="R743">
        <v>5.8997359999999999E-2</v>
      </c>
      <c r="S743">
        <v>3.0392459999999999</v>
      </c>
      <c r="T743">
        <v>-3.3340330000000001E-2</v>
      </c>
      <c r="U743">
        <v>-0.3641663</v>
      </c>
      <c r="V743">
        <v>-5.3289879999999998E-2</v>
      </c>
      <c r="W743">
        <v>-8.8081989999999999E-2</v>
      </c>
      <c r="X743">
        <v>0.99468679999999998</v>
      </c>
      <c r="Y743">
        <v>0.1246053</v>
      </c>
      <c r="Z743">
        <v>-1.540621E-3</v>
      </c>
      <c r="AA743">
        <v>0.99220520000000001</v>
      </c>
      <c r="AB743">
        <v>35</v>
      </c>
      <c r="AC743">
        <v>93.721299999999999</v>
      </c>
      <c r="AD743">
        <v>-1.0300133600000001</v>
      </c>
      <c r="AE743">
        <v>-11.2517</v>
      </c>
      <c r="AF743">
        <v>11.7838046568062</v>
      </c>
      <c r="AG743">
        <v>-1.0300133600000001</v>
      </c>
      <c r="AH743">
        <v>93.644558294934299</v>
      </c>
      <c r="AI743">
        <v>90.6252507378193</v>
      </c>
      <c r="AJ743">
        <v>82.827857462426707</v>
      </c>
      <c r="AK743">
        <v>94.388676640605993</v>
      </c>
      <c r="AL743">
        <v>95.053274753434494</v>
      </c>
      <c r="AM743">
        <v>93.066662817293704</v>
      </c>
      <c r="AN743">
        <v>1.0000000391835</v>
      </c>
    </row>
    <row r="744" spans="1:40" x14ac:dyDescent="0.25">
      <c r="A744" t="str">
        <f>"20190305134921745"</f>
        <v>20190305134921745</v>
      </c>
      <c r="B744" t="str">
        <f>"1551764961741796"</f>
        <v>1551764961741796</v>
      </c>
      <c r="C744" t="s">
        <v>40</v>
      </c>
      <c r="D744">
        <v>3.9377019999999998</v>
      </c>
      <c r="E744">
        <v>0.56915930000000003</v>
      </c>
      <c r="F744" t="s">
        <v>42</v>
      </c>
      <c r="G744">
        <v>-268.44380000000001</v>
      </c>
      <c r="H744">
        <v>7.9985970000000003E-2</v>
      </c>
      <c r="I744">
        <v>356.27609999999999</v>
      </c>
      <c r="J744">
        <v>-363.05459999999999</v>
      </c>
      <c r="K744">
        <v>1.110004</v>
      </c>
      <c r="L744">
        <v>367.62380000000002</v>
      </c>
      <c r="M744">
        <v>0.99988469999999996</v>
      </c>
      <c r="N744">
        <v>-1.4013919999999999E-2</v>
      </c>
      <c r="O744">
        <v>5.8428949999999999E-3</v>
      </c>
      <c r="P744">
        <v>0.99306070000000002</v>
      </c>
      <c r="Q744">
        <v>-0.1015146</v>
      </c>
      <c r="R744">
        <v>5.9374509999999998E-2</v>
      </c>
      <c r="S744">
        <v>3.0392760000000001</v>
      </c>
      <c r="T744">
        <v>-3.3027769999999998E-2</v>
      </c>
      <c r="U744">
        <v>-0.3638306</v>
      </c>
      <c r="V744">
        <v>-5.3518330000000003E-2</v>
      </c>
      <c r="W744">
        <v>-8.7615540000000006E-2</v>
      </c>
      <c r="X744">
        <v>0.99471569999999998</v>
      </c>
      <c r="Y744">
        <v>0.1246442</v>
      </c>
      <c r="Z744">
        <v>-1.533094E-3</v>
      </c>
      <c r="AA744">
        <v>0.99220030000000004</v>
      </c>
      <c r="AB744">
        <v>35</v>
      </c>
      <c r="AC744">
        <v>94.610799999999898</v>
      </c>
      <c r="AD744">
        <v>-1.0300180299999999</v>
      </c>
      <c r="AE744">
        <v>-11.3477</v>
      </c>
      <c r="AF744">
        <v>11.8989712156681</v>
      </c>
      <c r="AG744">
        <v>-1.0300180299999999</v>
      </c>
      <c r="AH744">
        <v>94.531829314193203</v>
      </c>
      <c r="AI744">
        <v>90.619382578820705</v>
      </c>
      <c r="AJ744">
        <v>82.825759393470193</v>
      </c>
      <c r="AK744">
        <v>95.283331210769404</v>
      </c>
      <c r="AL744">
        <v>95.026445562209702</v>
      </c>
      <c r="AM744">
        <v>93.079694826030106</v>
      </c>
      <c r="AN744">
        <v>1.00000000916098</v>
      </c>
    </row>
    <row r="745" spans="1:40" x14ac:dyDescent="0.25">
      <c r="A745" t="str">
        <f>"20190305134921758"</f>
        <v>20190305134921758</v>
      </c>
      <c r="B745" t="str">
        <f>"1551764961751554"</f>
        <v>1551764961751554</v>
      </c>
      <c r="C745" t="s">
        <v>40</v>
      </c>
      <c r="D745">
        <v>3.8635130000000002</v>
      </c>
      <c r="E745">
        <v>0.56915930000000003</v>
      </c>
      <c r="F745" t="s">
        <v>42</v>
      </c>
      <c r="G745">
        <v>-266.9966</v>
      </c>
      <c r="H745">
        <v>7.9986399999999902E-2</v>
      </c>
      <c r="I745">
        <v>356.1404</v>
      </c>
      <c r="J745">
        <v>-362.86680000000001</v>
      </c>
      <c r="K745">
        <v>1.1100080000000001</v>
      </c>
      <c r="L745">
        <v>367.625</v>
      </c>
      <c r="M745">
        <v>0.99988390000000005</v>
      </c>
      <c r="N745">
        <v>-1.400358E-2</v>
      </c>
      <c r="O745">
        <v>6.0054369999999998E-3</v>
      </c>
      <c r="P745">
        <v>0.99306799999999995</v>
      </c>
      <c r="Q745">
        <v>-0.10127559999999999</v>
      </c>
      <c r="R745">
        <v>5.9656979999999998E-2</v>
      </c>
      <c r="S745">
        <v>3.0393680000000001</v>
      </c>
      <c r="T745">
        <v>-3.2590750000000002E-2</v>
      </c>
      <c r="U745">
        <v>-0.36334230000000001</v>
      </c>
      <c r="V745">
        <v>-5.3638470000000001E-2</v>
      </c>
      <c r="W745">
        <v>-8.7387080000000006E-2</v>
      </c>
      <c r="X745">
        <v>0.99472930000000004</v>
      </c>
      <c r="Y745">
        <v>0.1246452</v>
      </c>
      <c r="Z745">
        <v>-1.5221970000000001E-3</v>
      </c>
      <c r="AA745">
        <v>0.99220019999999998</v>
      </c>
      <c r="AB745">
        <v>35</v>
      </c>
      <c r="AC745">
        <v>95.870199999999997</v>
      </c>
      <c r="AD745">
        <v>-1.0300216</v>
      </c>
      <c r="AE745">
        <v>-11.4846</v>
      </c>
      <c r="AF745">
        <v>12.0588194938827</v>
      </c>
      <c r="AG745">
        <v>-1.0300216</v>
      </c>
      <c r="AH745">
        <v>95.788593427236606</v>
      </c>
      <c r="AI745">
        <v>90.611257594180799</v>
      </c>
      <c r="AJ745">
        <v>82.824784277351995</v>
      </c>
      <c r="AK745">
        <v>96.550146052975705</v>
      </c>
      <c r="AL745">
        <v>95.013305495779605</v>
      </c>
      <c r="AM745">
        <v>93.086552771604104</v>
      </c>
      <c r="AN745">
        <v>0.99999998374667798</v>
      </c>
    </row>
    <row r="746" spans="1:40" x14ac:dyDescent="0.25">
      <c r="A746" t="str">
        <f>"20190305134921768"</f>
        <v>20190305134921768</v>
      </c>
      <c r="B746" t="str">
        <f>"1551764961761314"</f>
        <v>1551764961761314</v>
      </c>
      <c r="C746" t="s">
        <v>40</v>
      </c>
      <c r="D746">
        <v>3.979762</v>
      </c>
      <c r="E746">
        <v>0.56922209999999995</v>
      </c>
      <c r="F746" t="s">
        <v>42</v>
      </c>
      <c r="G746">
        <v>-265.29969999999997</v>
      </c>
      <c r="H746">
        <v>7.9986899999999903E-2</v>
      </c>
      <c r="I746">
        <v>355.9862</v>
      </c>
      <c r="J746">
        <v>-362.70069999999998</v>
      </c>
      <c r="K746">
        <v>1.1100139999999901</v>
      </c>
      <c r="L746">
        <v>367.62610000000001</v>
      </c>
      <c r="M746">
        <v>0.99988330000000003</v>
      </c>
      <c r="N746">
        <v>-1.3994619999999999E-2</v>
      </c>
      <c r="O746">
        <v>6.1491829999999999E-3</v>
      </c>
      <c r="P746">
        <v>0.99306729999999999</v>
      </c>
      <c r="Q746">
        <v>-0.1011246</v>
      </c>
      <c r="R746">
        <v>5.9929929999999999E-2</v>
      </c>
      <c r="S746">
        <v>3.0394899999999998</v>
      </c>
      <c r="T746">
        <v>-3.2088039999999998E-2</v>
      </c>
      <c r="U746">
        <v>-0.36257929999999999</v>
      </c>
      <c r="V746">
        <v>-5.3767679999999998E-2</v>
      </c>
      <c r="W746">
        <v>-8.7245320000000001E-2</v>
      </c>
      <c r="X746">
        <v>0.99473480000000003</v>
      </c>
      <c r="Y746">
        <v>0.12453790000000001</v>
      </c>
      <c r="Z746">
        <v>-1.508587E-3</v>
      </c>
      <c r="AA746">
        <v>0.99221369999999998</v>
      </c>
      <c r="AB746">
        <v>35</v>
      </c>
      <c r="AC746">
        <v>97.400999999999996</v>
      </c>
      <c r="AD746">
        <v>-1.0300271000000001</v>
      </c>
      <c r="AE746">
        <v>-11.639900000000001</v>
      </c>
      <c r="AF746">
        <v>12.237325769532699</v>
      </c>
      <c r="AG746">
        <v>-1.0300271000000001</v>
      </c>
      <c r="AH746">
        <v>97.316845254320597</v>
      </c>
      <c r="AI746">
        <v>90.6016730354212</v>
      </c>
      <c r="AJ746">
        <v>82.832831887186103</v>
      </c>
      <c r="AK746">
        <v>98.088640871763502</v>
      </c>
      <c r="AL746">
        <v>95.005151944403295</v>
      </c>
      <c r="AM746">
        <v>93.093956483213304</v>
      </c>
      <c r="AN746">
        <v>1.00000001580276</v>
      </c>
    </row>
    <row r="747" spans="1:40" x14ac:dyDescent="0.25">
      <c r="A747" t="str">
        <f>"20190305134921781"</f>
        <v>20190305134921781</v>
      </c>
      <c r="B747" t="str">
        <f>"1551764961771075"</f>
        <v>1551764961771075</v>
      </c>
      <c r="C747" t="s">
        <v>40</v>
      </c>
      <c r="D747">
        <v>3.9733710000000002</v>
      </c>
      <c r="E747">
        <v>0.5693511</v>
      </c>
      <c r="F747" t="s">
        <v>42</v>
      </c>
      <c r="G747">
        <v>-265.16199999999998</v>
      </c>
      <c r="H747">
        <v>7.9986940000000006E-2</v>
      </c>
      <c r="I747">
        <v>355.9939</v>
      </c>
      <c r="J747">
        <v>-362.5068</v>
      </c>
      <c r="K747">
        <v>1.110015</v>
      </c>
      <c r="L747">
        <v>367.6275</v>
      </c>
      <c r="M747">
        <v>0.99988250000000001</v>
      </c>
      <c r="N747">
        <v>-1.398249E-2</v>
      </c>
      <c r="O747">
        <v>6.3177390000000002E-3</v>
      </c>
      <c r="P747">
        <v>0.99310140000000002</v>
      </c>
      <c r="Q747">
        <v>-0.1008797</v>
      </c>
      <c r="R747">
        <v>5.9777999999999998E-2</v>
      </c>
      <c r="S747">
        <v>3.0395509999999999</v>
      </c>
      <c r="T747">
        <v>-3.2098170000000002E-2</v>
      </c>
      <c r="U747">
        <v>-0.36248780000000003</v>
      </c>
      <c r="V747">
        <v>-5.3447649999999999E-2</v>
      </c>
      <c r="W747">
        <v>-8.7012039999999999E-2</v>
      </c>
      <c r="X747">
        <v>0.99477249999999995</v>
      </c>
      <c r="Y747">
        <v>0.1246734</v>
      </c>
      <c r="Z747">
        <v>-1.5092040000000001E-3</v>
      </c>
      <c r="AA747">
        <v>0.99219669999999904</v>
      </c>
      <c r="AB747">
        <v>35</v>
      </c>
      <c r="AC747">
        <v>97.344799999999907</v>
      </c>
      <c r="AD747">
        <v>-1.03002806</v>
      </c>
      <c r="AE747">
        <v>-11.633599999999999</v>
      </c>
      <c r="AF747">
        <v>12.2470749098387</v>
      </c>
      <c r="AG747">
        <v>-1.03002806</v>
      </c>
      <c r="AH747">
        <v>97.258615699776001</v>
      </c>
      <c r="AI747">
        <v>90.602020707826199</v>
      </c>
      <c r="AJ747">
        <v>82.822931791476407</v>
      </c>
      <c r="AK747">
        <v>98.032087244372704</v>
      </c>
      <c r="AL747">
        <v>94.991734857273599</v>
      </c>
      <c r="AM747">
        <v>93.075460105482705</v>
      </c>
      <c r="AN747">
        <v>1.0000000365758599</v>
      </c>
    </row>
    <row r="748" spans="1:40" x14ac:dyDescent="0.25">
      <c r="A748" t="str">
        <f>"20190305134921793"</f>
        <v>20190305134921793</v>
      </c>
      <c r="B748" t="str">
        <f>"1551764961781811"</f>
        <v>1551764961781811</v>
      </c>
      <c r="C748" t="s">
        <v>40</v>
      </c>
      <c r="D748">
        <v>3.9580630000000001</v>
      </c>
      <c r="E748">
        <v>0.56942729999999997</v>
      </c>
      <c r="F748" t="s">
        <v>42</v>
      </c>
      <c r="G748">
        <v>-263.327</v>
      </c>
      <c r="H748">
        <v>7.998603E-2</v>
      </c>
      <c r="I748">
        <v>355.75279999999998</v>
      </c>
      <c r="J748">
        <v>-362.31389999999999</v>
      </c>
      <c r="K748">
        <v>1.1100139999999901</v>
      </c>
      <c r="L748">
        <v>367.62880000000001</v>
      </c>
      <c r="M748">
        <v>0.99988149999999998</v>
      </c>
      <c r="N748">
        <v>-1.39691E-2</v>
      </c>
      <c r="O748">
        <v>6.485228E-3</v>
      </c>
      <c r="P748">
        <v>0.99312389999999995</v>
      </c>
      <c r="Q748">
        <v>-0.1006435</v>
      </c>
      <c r="R748">
        <v>5.9801199999999902E-2</v>
      </c>
      <c r="S748">
        <v>3.0395810000000001</v>
      </c>
      <c r="T748">
        <v>-3.1567449999999997E-2</v>
      </c>
      <c r="U748">
        <v>-0.36392210000000003</v>
      </c>
      <c r="V748">
        <v>-5.3304490000000003E-2</v>
      </c>
      <c r="W748">
        <v>-8.6788959999999998E-2</v>
      </c>
      <c r="X748">
        <v>0.99479960000000001</v>
      </c>
      <c r="Y748">
        <v>0.1253003</v>
      </c>
      <c r="Z748">
        <v>-1.503545E-3</v>
      </c>
      <c r="AA748">
        <v>0.99211769999999999</v>
      </c>
      <c r="AB748">
        <v>35</v>
      </c>
      <c r="AC748">
        <v>98.986900000000006</v>
      </c>
      <c r="AD748">
        <v>-1.0300279699999999</v>
      </c>
      <c r="AE748">
        <v>-11.875999999999999</v>
      </c>
      <c r="AF748">
        <v>12.5164293687134</v>
      </c>
      <c r="AG748">
        <v>-1.0300279699999999</v>
      </c>
      <c r="AH748">
        <v>98.897235390724205</v>
      </c>
      <c r="AI748">
        <v>90.5919996726102</v>
      </c>
      <c r="AJ748">
        <v>82.786997001049698</v>
      </c>
      <c r="AK748">
        <v>99.691449631797894</v>
      </c>
      <c r="AL748">
        <v>94.978905120301903</v>
      </c>
      <c r="AM748">
        <v>93.067154811912005</v>
      </c>
      <c r="AN748">
        <v>0.99999996819610004</v>
      </c>
    </row>
    <row r="749" spans="1:40" x14ac:dyDescent="0.25">
      <c r="A749" t="str">
        <f>"20190305134921806"</f>
        <v>20190305134921806</v>
      </c>
      <c r="B749" t="str">
        <f>"1551764961801331"</f>
        <v>1551764961801331</v>
      </c>
      <c r="C749" t="s">
        <v>40</v>
      </c>
      <c r="D749">
        <v>3.9994149999999999</v>
      </c>
      <c r="E749">
        <v>0.56963980000000003</v>
      </c>
      <c r="F749" t="s">
        <v>42</v>
      </c>
      <c r="G749">
        <v>-262.45089999999999</v>
      </c>
      <c r="H749">
        <v>7.9986290000000002E-2</v>
      </c>
      <c r="I749">
        <v>355.6662</v>
      </c>
      <c r="J749">
        <v>-362.11950000000002</v>
      </c>
      <c r="K749">
        <v>1.1100159999999999</v>
      </c>
      <c r="L749">
        <v>367.63029999999998</v>
      </c>
      <c r="M749">
        <v>0.99988069999999896</v>
      </c>
      <c r="N749">
        <v>-1.3952829999999999E-2</v>
      </c>
      <c r="O749">
        <v>6.653684E-3</v>
      </c>
      <c r="P749">
        <v>0.99312389999999995</v>
      </c>
      <c r="Q749">
        <v>-0.1006621</v>
      </c>
      <c r="R749">
        <v>5.9768809999999999E-2</v>
      </c>
      <c r="S749">
        <v>3.03952</v>
      </c>
      <c r="T749">
        <v>-3.135085E-2</v>
      </c>
      <c r="U749">
        <v>-0.36410520000000002</v>
      </c>
      <c r="V749">
        <v>-5.310368E-2</v>
      </c>
      <c r="W749">
        <v>-8.6823769999999995E-2</v>
      </c>
      <c r="X749">
        <v>0.99480740000000001</v>
      </c>
      <c r="Y749">
        <v>0.1255288</v>
      </c>
      <c r="Z749">
        <v>-1.4998979999999999E-3</v>
      </c>
      <c r="AA749">
        <v>0.99208890000000005</v>
      </c>
      <c r="AB749">
        <v>35</v>
      </c>
      <c r="AC749">
        <v>99.668599999999998</v>
      </c>
      <c r="AD749">
        <v>-1.03002971</v>
      </c>
      <c r="AE749">
        <v>-11.964099999999901</v>
      </c>
      <c r="AF749">
        <v>12.6257336110476</v>
      </c>
      <c r="AG749">
        <v>-1.03002971</v>
      </c>
      <c r="AH749">
        <v>99.576296266788006</v>
      </c>
      <c r="AI749">
        <v>90.587946609230897</v>
      </c>
      <c r="AJ749">
        <v>82.773766723010098</v>
      </c>
      <c r="AK749">
        <v>100.37882689408001</v>
      </c>
      <c r="AL749">
        <v>94.980906657893001</v>
      </c>
      <c r="AM749">
        <v>93.055598174877403</v>
      </c>
      <c r="AN749">
        <v>1.00000006548065</v>
      </c>
    </row>
    <row r="750" spans="1:40" x14ac:dyDescent="0.25">
      <c r="A750" t="str">
        <f>"20190305134921818"</f>
        <v>20190305134921818</v>
      </c>
      <c r="B750" t="str">
        <f>"1551764961812067"</f>
        <v>1551764961812067</v>
      </c>
      <c r="C750" t="s">
        <v>40</v>
      </c>
      <c r="D750">
        <v>3.90483</v>
      </c>
      <c r="E750">
        <v>0.56975989999999999</v>
      </c>
      <c r="F750" t="s">
        <v>42</v>
      </c>
      <c r="G750">
        <v>-264.5745</v>
      </c>
      <c r="H750">
        <v>7.998566E-2</v>
      </c>
      <c r="I750">
        <v>355.88470000000001</v>
      </c>
      <c r="J750">
        <v>-361.92700000000002</v>
      </c>
      <c r="K750">
        <v>1.1100159999999999</v>
      </c>
      <c r="L750">
        <v>367.63170000000002</v>
      </c>
      <c r="M750">
        <v>0.99987959999999998</v>
      </c>
      <c r="N750">
        <v>-1.3935350000000001E-2</v>
      </c>
      <c r="O750">
        <v>6.8203550000000002E-3</v>
      </c>
      <c r="P750">
        <v>0.99311640000000001</v>
      </c>
      <c r="Q750">
        <v>-0.1005872</v>
      </c>
      <c r="R750">
        <v>6.001459E-2</v>
      </c>
      <c r="S750">
        <v>3.0395509999999999</v>
      </c>
      <c r="T750">
        <v>-3.2096270000000003E-2</v>
      </c>
      <c r="U750">
        <v>-0.36599730000000003</v>
      </c>
      <c r="V750">
        <v>-5.3184099999999998E-2</v>
      </c>
      <c r="W750">
        <v>-8.6766529999999994E-2</v>
      </c>
      <c r="X750">
        <v>0.99480800000000003</v>
      </c>
      <c r="Y750">
        <v>0.1263011</v>
      </c>
      <c r="Z750">
        <v>-1.5247819999999999E-3</v>
      </c>
      <c r="AA750">
        <v>0.9919907</v>
      </c>
      <c r="AB750">
        <v>35</v>
      </c>
      <c r="AC750">
        <v>97.352499999999907</v>
      </c>
      <c r="AD750">
        <v>-1.0300303399999999</v>
      </c>
      <c r="AE750">
        <v>-11.747</v>
      </c>
      <c r="AF750">
        <v>12.4094006013376</v>
      </c>
      <c r="AG750">
        <v>-1.0300303399999999</v>
      </c>
      <c r="AH750">
        <v>97.259377275957704</v>
      </c>
      <c r="AI750">
        <v>90.601892076128806</v>
      </c>
      <c r="AJ750">
        <v>82.728873042395307</v>
      </c>
      <c r="AK750">
        <v>98.053254172887407</v>
      </c>
      <c r="AL750">
        <v>94.977615110380498</v>
      </c>
      <c r="AM750">
        <v>93.060214929519304</v>
      </c>
      <c r="AN750">
        <v>0.999999968042525</v>
      </c>
    </row>
    <row r="751" spans="1:40" x14ac:dyDescent="0.25">
      <c r="A751" t="str">
        <f>"20190305134921830"</f>
        <v>20190305134921830</v>
      </c>
      <c r="B751" t="str">
        <f>"1551764961821827"</f>
        <v>1551764961821827</v>
      </c>
      <c r="C751" t="s">
        <v>40</v>
      </c>
      <c r="D751">
        <v>3.9904660000000001</v>
      </c>
      <c r="E751">
        <v>0.56974169999999902</v>
      </c>
      <c r="F751" t="s">
        <v>42</v>
      </c>
      <c r="G751">
        <v>-261.80950000000001</v>
      </c>
      <c r="H751">
        <v>7.9986470000000004E-2</v>
      </c>
      <c r="I751">
        <v>355.56920000000002</v>
      </c>
      <c r="J751">
        <v>-361.73809999999997</v>
      </c>
      <c r="K751">
        <v>1.110017</v>
      </c>
      <c r="L751">
        <v>367.63310000000001</v>
      </c>
      <c r="M751">
        <v>0.99987879999999996</v>
      </c>
      <c r="N751">
        <v>-1.3917479999999999E-2</v>
      </c>
      <c r="O751">
        <v>6.9837469999999898E-3</v>
      </c>
      <c r="P751">
        <v>0.99312250000000002</v>
      </c>
      <c r="Q751">
        <v>-0.100579</v>
      </c>
      <c r="R751">
        <v>5.9930209999999998E-2</v>
      </c>
      <c r="S751">
        <v>3.0397639999999999</v>
      </c>
      <c r="T751">
        <v>-3.1273719999999998E-2</v>
      </c>
      <c r="U751">
        <v>-0.3662415</v>
      </c>
      <c r="V751">
        <v>-5.293693E-2</v>
      </c>
      <c r="W751">
        <v>-8.6775899999999906E-2</v>
      </c>
      <c r="X751">
        <v>0.99482040000000005</v>
      </c>
      <c r="Y751">
        <v>0.12653410000000001</v>
      </c>
      <c r="Z751">
        <v>-1.5070839999999999E-3</v>
      </c>
      <c r="AA751">
        <v>0.99196110000000004</v>
      </c>
      <c r="AB751">
        <v>35</v>
      </c>
      <c r="AC751">
        <v>99.928599999999904</v>
      </c>
      <c r="AD751">
        <v>-1.0300305300000001</v>
      </c>
      <c r="AE751">
        <v>-12.063899999999901</v>
      </c>
      <c r="AF751">
        <v>12.760213102894401</v>
      </c>
      <c r="AG751">
        <v>-1.0300305300000001</v>
      </c>
      <c r="AH751">
        <v>99.831448703422893</v>
      </c>
      <c r="AI751">
        <v>90.586369341319696</v>
      </c>
      <c r="AJ751">
        <v>82.716087949163494</v>
      </c>
      <c r="AK751">
        <v>100.64890536686499</v>
      </c>
      <c r="AL751">
        <v>94.978153835856403</v>
      </c>
      <c r="AM751">
        <v>93.0459817082006</v>
      </c>
      <c r="AN751">
        <v>1.00000000181739</v>
      </c>
    </row>
    <row r="752" spans="1:40" x14ac:dyDescent="0.25">
      <c r="A752" t="str">
        <f>"20190305134921840"</f>
        <v>20190305134921840</v>
      </c>
      <c r="B752" t="str">
        <f>"1551764961831587"</f>
        <v>1551764961831587</v>
      </c>
      <c r="C752" t="s">
        <v>40</v>
      </c>
      <c r="D752">
        <v>3.965328</v>
      </c>
      <c r="E752">
        <v>0.56974169999999902</v>
      </c>
      <c r="F752" t="s">
        <v>42</v>
      </c>
      <c r="G752">
        <v>-262.2586</v>
      </c>
      <c r="H752">
        <v>7.9986340000000003E-2</v>
      </c>
      <c r="I752">
        <v>355.65390000000002</v>
      </c>
      <c r="J752">
        <v>-361.5711</v>
      </c>
      <c r="K752">
        <v>1.1100139999999901</v>
      </c>
      <c r="L752">
        <v>367.6345</v>
      </c>
      <c r="M752">
        <v>0.99987809999999999</v>
      </c>
      <c r="N752">
        <v>-1.3899760000000001E-2</v>
      </c>
      <c r="O752">
        <v>7.1268719999999898E-3</v>
      </c>
      <c r="P752">
        <v>0.99316899999999997</v>
      </c>
      <c r="Q752">
        <v>-0.1001456</v>
      </c>
      <c r="R752">
        <v>5.9888999999999998E-2</v>
      </c>
      <c r="S752">
        <v>3.0396420000000002</v>
      </c>
      <c r="T752">
        <v>-3.1473040000000001E-2</v>
      </c>
      <c r="U752">
        <v>-0.36602780000000001</v>
      </c>
      <c r="V752">
        <v>-5.2752880000000002E-2</v>
      </c>
      <c r="W752">
        <v>-8.6359480000000002E-2</v>
      </c>
      <c r="X752">
        <v>0.99486640000000004</v>
      </c>
      <c r="Y752">
        <v>0.1266119</v>
      </c>
      <c r="Z752">
        <v>-1.51114E-3</v>
      </c>
      <c r="AA752">
        <v>0.99195120000000003</v>
      </c>
      <c r="AB752">
        <v>35</v>
      </c>
      <c r="AC752">
        <v>99.3125</v>
      </c>
      <c r="AD752">
        <v>-1.03002765999999</v>
      </c>
      <c r="AE752">
        <v>-11.9805999999999</v>
      </c>
      <c r="AF752">
        <v>12.6868063203737</v>
      </c>
      <c r="AG752">
        <v>-1.03002765999999</v>
      </c>
      <c r="AH752">
        <v>99.214065542443095</v>
      </c>
      <c r="AI752">
        <v>90.590012145010803</v>
      </c>
      <c r="AJ752">
        <v>82.712959596639607</v>
      </c>
      <c r="AK752">
        <v>100.027230357794</v>
      </c>
      <c r="AL752">
        <v>94.954204880662701</v>
      </c>
      <c r="AM752">
        <v>93.035271255092098</v>
      </c>
      <c r="AN752">
        <v>0.99999998999156203</v>
      </c>
    </row>
    <row r="753" spans="1:40" x14ac:dyDescent="0.25">
      <c r="A753" t="str">
        <f>"20190305134921851"</f>
        <v>20190305134921851</v>
      </c>
      <c r="B753" t="str">
        <f>"1551764961841347"</f>
        <v>1551764961841347</v>
      </c>
      <c r="C753" t="s">
        <v>40</v>
      </c>
      <c r="D753">
        <v>3.8819089999999998</v>
      </c>
      <c r="E753">
        <v>0.55594299999999996</v>
      </c>
      <c r="F753" t="s">
        <v>42</v>
      </c>
      <c r="G753">
        <v>-257.18349999999998</v>
      </c>
      <c r="H753">
        <v>7.9986379999999996E-2</v>
      </c>
      <c r="I753">
        <v>355.05090000000001</v>
      </c>
      <c r="J753">
        <v>-361.40519999999998</v>
      </c>
      <c r="K753">
        <v>1.1100139999999901</v>
      </c>
      <c r="L753">
        <v>367.63580000000002</v>
      </c>
      <c r="M753">
        <v>0.99987729999999997</v>
      </c>
      <c r="N753">
        <v>-1.3881610000000001E-2</v>
      </c>
      <c r="O753">
        <v>7.2691049999999997E-3</v>
      </c>
      <c r="P753">
        <v>0.9931622</v>
      </c>
      <c r="Q753">
        <v>-0.1001369</v>
      </c>
      <c r="R753">
        <v>6.0012910000000003E-2</v>
      </c>
      <c r="S753">
        <v>3.0397029999999998</v>
      </c>
      <c r="T753">
        <v>-2.9993769999999999E-2</v>
      </c>
      <c r="U753">
        <v>-0.36642459999999999</v>
      </c>
      <c r="V753">
        <v>-5.2735289999999997E-2</v>
      </c>
      <c r="W753">
        <v>-8.6368929999999997E-2</v>
      </c>
      <c r="X753">
        <v>0.99486649999999999</v>
      </c>
      <c r="Y753">
        <v>0.1268793</v>
      </c>
      <c r="Z753">
        <v>-1.4785569999999999E-3</v>
      </c>
      <c r="AA753">
        <v>0.9919171</v>
      </c>
      <c r="AB753">
        <v>35</v>
      </c>
      <c r="AC753">
        <v>104.2217</v>
      </c>
      <c r="AD753">
        <v>-1.03002761999999</v>
      </c>
      <c r="AE753">
        <v>-12.584899999999999</v>
      </c>
      <c r="AF753">
        <v>13.3409545213377</v>
      </c>
      <c r="AG753">
        <v>-1.03002761999999</v>
      </c>
      <c r="AH753">
        <v>104.117432661115</v>
      </c>
      <c r="AI753">
        <v>90.562209119426498</v>
      </c>
      <c r="AJ753">
        <v>82.698265428933496</v>
      </c>
      <c r="AK753">
        <v>104.97371960819601</v>
      </c>
      <c r="AL753">
        <v>94.954748416711396</v>
      </c>
      <c r="AM753">
        <v>93.034260756775893</v>
      </c>
      <c r="AN753">
        <v>0.99999997785148897</v>
      </c>
    </row>
    <row r="754" spans="1:40" x14ac:dyDescent="0.25">
      <c r="A754" t="str">
        <f>"20190305134921861"</f>
        <v>20190305134921861</v>
      </c>
      <c r="B754" t="str">
        <f>"1551764961851107"</f>
        <v>1551764961851107</v>
      </c>
      <c r="C754" t="s">
        <v>40</v>
      </c>
      <c r="D754">
        <v>3.9179020000000002</v>
      </c>
      <c r="E754">
        <v>0.55165759999999997</v>
      </c>
      <c r="F754" t="s">
        <v>47</v>
      </c>
      <c r="G754">
        <v>0</v>
      </c>
      <c r="H754">
        <v>0</v>
      </c>
      <c r="I754">
        <v>0</v>
      </c>
      <c r="J754">
        <v>-361.23430000000002</v>
      </c>
      <c r="K754">
        <v>1.110009</v>
      </c>
      <c r="L754">
        <v>367.63720000000001</v>
      </c>
      <c r="M754">
        <v>0.9998764</v>
      </c>
      <c r="N754">
        <v>-1.3860310000000001E-2</v>
      </c>
      <c r="O754">
        <v>7.41552599999999E-3</v>
      </c>
      <c r="P754">
        <v>0.99318269999999997</v>
      </c>
      <c r="Q754">
        <v>-0.100117</v>
      </c>
      <c r="R754">
        <v>5.9708259999999999E-2</v>
      </c>
      <c r="S754">
        <v>3.0410460000000001</v>
      </c>
      <c r="T754">
        <v>5.0209999999999998E-2</v>
      </c>
      <c r="U754">
        <v>-0.25326539999999997</v>
      </c>
      <c r="V754">
        <v>-5.2285089999999999E-2</v>
      </c>
      <c r="W754">
        <v>-8.636974E-2</v>
      </c>
      <c r="X754">
        <v>0.99489019999999995</v>
      </c>
      <c r="Y754">
        <v>9.0378029999999998E-2</v>
      </c>
      <c r="Z754">
        <v>3.42126E-4</v>
      </c>
      <c r="AA754">
        <v>0.99590749999999995</v>
      </c>
      <c r="AB754">
        <v>35</v>
      </c>
      <c r="AC754">
        <v>3.0410460000000001</v>
      </c>
      <c r="AD754">
        <v>5.0209999999999998E-2</v>
      </c>
      <c r="AE754">
        <v>-0.25326539999999997</v>
      </c>
      <c r="AF754">
        <v>0.27573690850368299</v>
      </c>
      <c r="AG754">
        <v>5.0209999999999998E-2</v>
      </c>
      <c r="AH754">
        <v>3.0382615510933499</v>
      </c>
      <c r="AI754">
        <v>89.057096402078898</v>
      </c>
      <c r="AJ754">
        <v>84.814337304999995</v>
      </c>
      <c r="AK754">
        <v>3.0511612772292702</v>
      </c>
      <c r="AL754">
        <v>94.954794958204204</v>
      </c>
      <c r="AM754">
        <v>93.008333593756205</v>
      </c>
      <c r="AN754">
        <v>0.99999998634000697</v>
      </c>
    </row>
    <row r="755" spans="1:40" x14ac:dyDescent="0.25">
      <c r="A755" t="str">
        <f>"20190305134921872"</f>
        <v>20190305134921872</v>
      </c>
      <c r="B755" t="str">
        <f>"1551764961861843"</f>
        <v>1551764961861843</v>
      </c>
      <c r="C755" t="s">
        <v>40</v>
      </c>
      <c r="D755">
        <v>3.895988</v>
      </c>
      <c r="E755">
        <v>0.54945699999999997</v>
      </c>
      <c r="F755" t="s">
        <v>45</v>
      </c>
      <c r="G755">
        <v>-169.2955</v>
      </c>
      <c r="H755">
        <v>3.7204670000000002</v>
      </c>
      <c r="I755">
        <v>353.71839999999997</v>
      </c>
      <c r="J755">
        <v>-361.07080000000002</v>
      </c>
      <c r="K755">
        <v>1.1100099999999999</v>
      </c>
      <c r="L755">
        <v>367.63850000000002</v>
      </c>
      <c r="M755">
        <v>0.99987570000000003</v>
      </c>
      <c r="N755">
        <v>-1.383889E-2</v>
      </c>
      <c r="O755">
        <v>7.5557469999999998E-3</v>
      </c>
      <c r="P755">
        <v>0.99316479999999996</v>
      </c>
      <c r="Q755">
        <v>-0.1001114</v>
      </c>
      <c r="R755">
        <v>6.0010599999999997E-2</v>
      </c>
      <c r="S755">
        <v>3.0379939999999999</v>
      </c>
      <c r="T755">
        <v>4.131949E-2</v>
      </c>
      <c r="U755">
        <v>-0.22030640000000001</v>
      </c>
      <c r="V755">
        <v>-5.2447729999999998E-2</v>
      </c>
      <c r="W755">
        <v>-8.6385820000000002E-2</v>
      </c>
      <c r="X755">
        <v>0.99488030000000005</v>
      </c>
      <c r="Y755">
        <v>7.9859079999999999E-2</v>
      </c>
      <c r="Z755">
        <v>1.9605689999999999E-4</v>
      </c>
      <c r="AA755">
        <v>0.99680610000000003</v>
      </c>
      <c r="AB755">
        <v>35</v>
      </c>
      <c r="AC755">
        <v>191.77529999999999</v>
      </c>
      <c r="AD755">
        <v>2.6104569999999998</v>
      </c>
      <c r="AE755">
        <v>-13.9201</v>
      </c>
      <c r="AF755">
        <v>15.366014761032099</v>
      </c>
      <c r="AG755">
        <v>2.6104569999999998</v>
      </c>
      <c r="AH755">
        <v>191.62931732936499</v>
      </c>
      <c r="AI755">
        <v>89.222037280037796</v>
      </c>
      <c r="AJ755">
        <v>85.415481833247696</v>
      </c>
      <c r="AK755">
        <v>192.262123559228</v>
      </c>
      <c r="AL755">
        <v>94.955719450212598</v>
      </c>
      <c r="AM755">
        <v>93.017704135318198</v>
      </c>
      <c r="AN755">
        <v>1.00000004280365</v>
      </c>
    </row>
    <row r="756" spans="1:40" x14ac:dyDescent="0.25">
      <c r="A756" t="str">
        <f>"20190305134921883"</f>
        <v>20190305134921883</v>
      </c>
      <c r="B756" t="str">
        <f>"1551764961871602"</f>
        <v>1551764961871602</v>
      </c>
      <c r="C756" t="s">
        <v>40</v>
      </c>
      <c r="D756">
        <v>3.8978440000000001</v>
      </c>
      <c r="E756">
        <v>0.54839749999999998</v>
      </c>
      <c r="F756" t="s">
        <v>45</v>
      </c>
      <c r="G756">
        <v>-169.2955</v>
      </c>
      <c r="H756">
        <v>3.0378620000000001</v>
      </c>
      <c r="I756">
        <v>354.84980000000002</v>
      </c>
      <c r="J756">
        <v>-360.90159999999997</v>
      </c>
      <c r="K756">
        <v>1.110006</v>
      </c>
      <c r="L756">
        <v>367.64</v>
      </c>
      <c r="M756">
        <v>0.99987510000000002</v>
      </c>
      <c r="N756">
        <v>-1.381435E-2</v>
      </c>
      <c r="O756">
        <v>7.7003979999999998E-3</v>
      </c>
      <c r="P756">
        <v>0.99314230000000003</v>
      </c>
      <c r="Q756">
        <v>-0.1002075</v>
      </c>
      <c r="R756">
        <v>6.0226790000000002E-2</v>
      </c>
      <c r="S756">
        <v>3.0359189999999998</v>
      </c>
      <c r="T756">
        <v>3.0520439999999999E-2</v>
      </c>
      <c r="U756">
        <v>-0.20245360000000001</v>
      </c>
      <c r="V756">
        <v>-5.2520240000000003E-2</v>
      </c>
      <c r="W756">
        <v>-8.6506559999999996E-2</v>
      </c>
      <c r="X756">
        <v>0.99486600000000003</v>
      </c>
      <c r="Y756">
        <v>7.4219629999999995E-2</v>
      </c>
      <c r="Z756" s="1">
        <v>4.2989789999999999E-5</v>
      </c>
      <c r="AA756">
        <v>0.99724190000000001</v>
      </c>
      <c r="AB756">
        <v>35</v>
      </c>
      <c r="AC756">
        <v>191.6061</v>
      </c>
      <c r="AD756">
        <v>1.927856</v>
      </c>
      <c r="AE756">
        <v>-12.790199999999899</v>
      </c>
      <c r="AF756">
        <v>14.2639668877788</v>
      </c>
      <c r="AG756">
        <v>1.927856</v>
      </c>
      <c r="AH756">
        <v>191.48262032874101</v>
      </c>
      <c r="AI756">
        <v>89.424756618872394</v>
      </c>
      <c r="AJ756">
        <v>85.739778259916505</v>
      </c>
      <c r="AK756">
        <v>192.02284048543001</v>
      </c>
      <c r="AL756">
        <v>94.9626632548336</v>
      </c>
      <c r="AM756">
        <v>93.021911797603906</v>
      </c>
      <c r="AN756">
        <v>1.0000000592443401</v>
      </c>
    </row>
    <row r="757" spans="1:40" x14ac:dyDescent="0.25">
      <c r="A757" t="str">
        <f>"20190305134921894"</f>
        <v>20190305134921894</v>
      </c>
      <c r="B757" t="str">
        <f>"1551764961891124"</f>
        <v>1551764961891124</v>
      </c>
      <c r="C757" t="s">
        <v>40</v>
      </c>
      <c r="D757">
        <v>3.8802249999999998</v>
      </c>
      <c r="E757">
        <v>0.5478963</v>
      </c>
      <c r="F757" t="s">
        <v>45</v>
      </c>
      <c r="G757">
        <v>-169.2955</v>
      </c>
      <c r="H757">
        <v>2.792996</v>
      </c>
      <c r="I757">
        <v>355.42739999999998</v>
      </c>
      <c r="J757">
        <v>-360.74470000000002</v>
      </c>
      <c r="K757">
        <v>1.1100030000000001</v>
      </c>
      <c r="L757">
        <v>367.6413</v>
      </c>
      <c r="M757">
        <v>0.99987420000000005</v>
      </c>
      <c r="N757">
        <v>-1.3791060000000001E-2</v>
      </c>
      <c r="O757">
        <v>7.8343690000000007E-3</v>
      </c>
      <c r="P757">
        <v>0.99314550000000001</v>
      </c>
      <c r="Q757">
        <v>-0.1002769</v>
      </c>
      <c r="R757">
        <v>6.0055659999999997E-2</v>
      </c>
      <c r="S757">
        <v>3.0350950000000001</v>
      </c>
      <c r="T757">
        <v>2.6660440000000001E-2</v>
      </c>
      <c r="U757">
        <v>-0.19345090000000001</v>
      </c>
      <c r="V757">
        <v>-5.2215730000000002E-2</v>
      </c>
      <c r="W757">
        <v>-8.6598969999999997E-2</v>
      </c>
      <c r="X757">
        <v>0.99487389999999998</v>
      </c>
      <c r="Y757">
        <v>7.1425810000000006E-2</v>
      </c>
      <c r="Z757" s="1">
        <v>-2.9770890000000002E-6</v>
      </c>
      <c r="AA757">
        <v>0.9974459</v>
      </c>
      <c r="AB757">
        <v>35</v>
      </c>
      <c r="AC757">
        <v>191.44919999999999</v>
      </c>
      <c r="AD757">
        <v>1.682993</v>
      </c>
      <c r="AE757">
        <v>-12.213900000000001</v>
      </c>
      <c r="AF757">
        <v>13.712496053800299</v>
      </c>
      <c r="AG757">
        <v>1.682993</v>
      </c>
      <c r="AH757">
        <v>191.332900225977</v>
      </c>
      <c r="AI757">
        <v>89.49731994151</v>
      </c>
      <c r="AJ757">
        <v>85.900720016740607</v>
      </c>
      <c r="AK757">
        <v>191.831029091613</v>
      </c>
      <c r="AL757">
        <v>94.967978344024601</v>
      </c>
      <c r="AM757">
        <v>93.004399267982095</v>
      </c>
      <c r="AN757">
        <v>0.99999997048285105</v>
      </c>
    </row>
    <row r="758" spans="1:40" x14ac:dyDescent="0.25">
      <c r="A758" t="str">
        <f>"20190305134921905"</f>
        <v>20190305134921905</v>
      </c>
      <c r="B758" t="str">
        <f>"1551764961901859"</f>
        <v>1551764961901859</v>
      </c>
      <c r="C758" t="s">
        <v>40</v>
      </c>
      <c r="D758">
        <v>3.872868</v>
      </c>
      <c r="E758">
        <v>0.54767259999999995</v>
      </c>
      <c r="F758" t="s">
        <v>45</v>
      </c>
      <c r="G758">
        <v>-169.2955</v>
      </c>
      <c r="H758">
        <v>2.765288</v>
      </c>
      <c r="I758">
        <v>355.66879999999998</v>
      </c>
      <c r="J758">
        <v>-360.55799999999999</v>
      </c>
      <c r="K758">
        <v>1.109993</v>
      </c>
      <c r="L758">
        <v>367.6429</v>
      </c>
      <c r="M758">
        <v>0.99987349999999997</v>
      </c>
      <c r="N758">
        <v>-1.3762389999999999E-2</v>
      </c>
      <c r="O758">
        <v>7.9937680000000001E-3</v>
      </c>
      <c r="P758">
        <v>0.99309179999999997</v>
      </c>
      <c r="Q758">
        <v>-0.1007031</v>
      </c>
      <c r="R758">
        <v>6.0230899999999997E-2</v>
      </c>
      <c r="S758">
        <v>3.0348510000000002</v>
      </c>
      <c r="T758">
        <v>2.6240940000000001E-2</v>
      </c>
      <c r="U758">
        <v>-0.18978880000000001</v>
      </c>
      <c r="V758">
        <v>-5.223262E-2</v>
      </c>
      <c r="W758">
        <v>-8.7054359999999997E-2</v>
      </c>
      <c r="X758">
        <v>0.99483330000000003</v>
      </c>
      <c r="Y758">
        <v>7.0391019999999999E-2</v>
      </c>
      <c r="Z758" s="1">
        <v>-1.894659E-6</v>
      </c>
      <c r="AA758">
        <v>0.9975195</v>
      </c>
      <c r="AB758">
        <v>35</v>
      </c>
      <c r="AC758">
        <v>191.26249999999999</v>
      </c>
      <c r="AD758">
        <v>1.655295</v>
      </c>
      <c r="AE758">
        <v>-11.9741</v>
      </c>
      <c r="AF758">
        <v>13.5017626099943</v>
      </c>
      <c r="AG758">
        <v>1.655295</v>
      </c>
      <c r="AH758">
        <v>191.146399373977</v>
      </c>
      <c r="AI758">
        <v>89.505073884632097</v>
      </c>
      <c r="AJ758">
        <v>85.959582482830101</v>
      </c>
      <c r="AK758">
        <v>191.62980871657101</v>
      </c>
      <c r="AL758">
        <v>94.994169026256202</v>
      </c>
      <c r="AM758">
        <v>93.0054917337674</v>
      </c>
      <c r="AN758">
        <v>1.00000000148798</v>
      </c>
    </row>
    <row r="759" spans="1:40" x14ac:dyDescent="0.25">
      <c r="A759" t="str">
        <f>"20190305134921916"</f>
        <v>20190305134921916</v>
      </c>
      <c r="B759" t="str">
        <f>"1551764961911619"</f>
        <v>1551764961911619</v>
      </c>
      <c r="C759" t="s">
        <v>40</v>
      </c>
      <c r="D759">
        <v>3.8740429999999999</v>
      </c>
      <c r="E759">
        <v>0.54760319999999996</v>
      </c>
      <c r="F759" t="s">
        <v>45</v>
      </c>
      <c r="G759">
        <v>-169.2955</v>
      </c>
      <c r="H759">
        <v>2.6634159999999998</v>
      </c>
      <c r="I759">
        <v>355.83539999999999</v>
      </c>
      <c r="J759">
        <v>-360.39890000000003</v>
      </c>
      <c r="K759">
        <v>1.109988</v>
      </c>
      <c r="L759">
        <v>367.64429999999999</v>
      </c>
      <c r="M759">
        <v>0.99987269999999995</v>
      </c>
      <c r="N759">
        <v>-1.373839E-2</v>
      </c>
      <c r="O759">
        <v>8.1292280000000005E-3</v>
      </c>
      <c r="P759">
        <v>0.99305829999999995</v>
      </c>
      <c r="Q759">
        <v>-0.1008945</v>
      </c>
      <c r="R759">
        <v>6.0462040000000002E-2</v>
      </c>
      <c r="S759">
        <v>3.034729</v>
      </c>
      <c r="T759">
        <v>2.4649259999999999E-2</v>
      </c>
      <c r="U759">
        <v>-0.1873474</v>
      </c>
      <c r="V759">
        <v>-5.2329349999999997E-2</v>
      </c>
      <c r="W759">
        <v>-8.7270059999999997E-2</v>
      </c>
      <c r="X759">
        <v>0.99480930000000001</v>
      </c>
      <c r="Y759">
        <v>6.9729340000000001E-2</v>
      </c>
      <c r="Z759" s="1">
        <v>-1.9007479999999999E-5</v>
      </c>
      <c r="AA759">
        <v>0.99756590000000001</v>
      </c>
      <c r="AB759">
        <v>35</v>
      </c>
      <c r="AC759">
        <v>191.10339999999999</v>
      </c>
      <c r="AD759">
        <v>1.55342799999999</v>
      </c>
      <c r="AE759">
        <v>-11.8088999999999</v>
      </c>
      <c r="AF759">
        <v>13.3612997719018</v>
      </c>
      <c r="AG759">
        <v>1.55342799999999</v>
      </c>
      <c r="AH759">
        <v>190.988506142555</v>
      </c>
      <c r="AI759">
        <v>89.535124320070295</v>
      </c>
      <c r="AJ759">
        <v>85.998184181704801</v>
      </c>
      <c r="AK759">
        <v>191.46160698351699</v>
      </c>
      <c r="AL759">
        <v>95.006575029931099</v>
      </c>
      <c r="AM759">
        <v>93.011119903310103</v>
      </c>
      <c r="AN759">
        <v>0.99999998380515698</v>
      </c>
    </row>
    <row r="760" spans="1:40" x14ac:dyDescent="0.25">
      <c r="A760" t="str">
        <f>"20190305134921926"</f>
        <v>20190305134921926</v>
      </c>
      <c r="B760" t="str">
        <f>"1551764961921379"</f>
        <v>1551764961921379</v>
      </c>
      <c r="C760" t="s">
        <v>40</v>
      </c>
      <c r="D760">
        <v>3.907273</v>
      </c>
      <c r="E760">
        <v>0.54764369999999996</v>
      </c>
      <c r="F760" t="s">
        <v>45</v>
      </c>
      <c r="G760">
        <v>-169.2955</v>
      </c>
      <c r="H760">
        <v>2.609629</v>
      </c>
      <c r="I760">
        <v>355.92160000000001</v>
      </c>
      <c r="J760">
        <v>-360.23480000000001</v>
      </c>
      <c r="K760">
        <v>1.109982</v>
      </c>
      <c r="L760">
        <v>367.64580000000001</v>
      </c>
      <c r="M760">
        <v>0.99987179999999998</v>
      </c>
      <c r="N760">
        <v>-1.3713909999999999E-2</v>
      </c>
      <c r="O760">
        <v>8.2690999999999997E-3</v>
      </c>
      <c r="P760">
        <v>0.99300350000000004</v>
      </c>
      <c r="Q760">
        <v>-0.10129829999999999</v>
      </c>
      <c r="R760">
        <v>6.0686459999999998E-2</v>
      </c>
      <c r="S760">
        <v>3.034729</v>
      </c>
      <c r="T760">
        <v>2.381575E-2</v>
      </c>
      <c r="U760">
        <v>-0.18615719999999999</v>
      </c>
      <c r="V760">
        <v>-5.2414660000000002E-2</v>
      </c>
      <c r="W760">
        <v>-8.7698899999999996E-2</v>
      </c>
      <c r="X760">
        <v>0.99476710000000002</v>
      </c>
      <c r="Y760">
        <v>6.9479159999999998E-2</v>
      </c>
      <c r="Z760" s="1">
        <v>-2.638792E-5</v>
      </c>
      <c r="AA760">
        <v>0.99758340000000001</v>
      </c>
      <c r="AB760">
        <v>35</v>
      </c>
      <c r="AC760">
        <v>190.9393</v>
      </c>
      <c r="AD760">
        <v>1.499647</v>
      </c>
      <c r="AE760">
        <v>-11.7241999999999</v>
      </c>
      <c r="AF760">
        <v>13.3020262179451</v>
      </c>
      <c r="AG760">
        <v>1.499647</v>
      </c>
      <c r="AH760">
        <v>190.82408595606</v>
      </c>
      <c r="AI760">
        <v>89.550823558612507</v>
      </c>
      <c r="AJ760">
        <v>86.012458008637907</v>
      </c>
      <c r="AK760">
        <v>191.29303339011901</v>
      </c>
      <c r="AL760">
        <v>95.031240298842107</v>
      </c>
      <c r="AM760">
        <v>93.016147439612396</v>
      </c>
      <c r="AN760">
        <v>0.99999998844326698</v>
      </c>
    </row>
    <row r="761" spans="1:40" x14ac:dyDescent="0.25">
      <c r="A761" t="str">
        <f>"20190305134921937"</f>
        <v>20190305134921937</v>
      </c>
      <c r="B761" t="str">
        <f>"1551764961931139"</f>
        <v>1551764961931139</v>
      </c>
      <c r="C761" t="s">
        <v>40</v>
      </c>
      <c r="D761">
        <v>3.9110939999999998</v>
      </c>
      <c r="E761">
        <v>0.54779500000000003</v>
      </c>
      <c r="F761" t="s">
        <v>45</v>
      </c>
      <c r="G761">
        <v>-169.2955</v>
      </c>
      <c r="H761">
        <v>2.399858</v>
      </c>
      <c r="I761">
        <v>355.96699999999998</v>
      </c>
      <c r="J761">
        <v>-360.06459999999998</v>
      </c>
      <c r="K761">
        <v>1.1099760000000001</v>
      </c>
      <c r="L761">
        <v>367.64729999999997</v>
      </c>
      <c r="M761">
        <v>0.99987099999999995</v>
      </c>
      <c r="N761">
        <v>-1.368978E-2</v>
      </c>
      <c r="O761">
        <v>8.4137940000000005E-3</v>
      </c>
      <c r="P761">
        <v>0.99297690000000005</v>
      </c>
      <c r="Q761">
        <v>-0.1014535</v>
      </c>
      <c r="R761">
        <v>6.0862930000000003E-2</v>
      </c>
      <c r="S761">
        <v>3.0345460000000002</v>
      </c>
      <c r="T761">
        <v>2.0501019999999998E-2</v>
      </c>
      <c r="U761">
        <v>-0.18560789999999999</v>
      </c>
      <c r="V761">
        <v>-5.2447500000000001E-2</v>
      </c>
      <c r="W761">
        <v>-8.7878330000000004E-2</v>
      </c>
      <c r="X761">
        <v>0.99474949999999995</v>
      </c>
      <c r="Y761">
        <v>6.9447480000000006E-2</v>
      </c>
      <c r="Z761" s="1">
        <v>-6.9590519999999999E-5</v>
      </c>
      <c r="AA761">
        <v>0.99758559999999996</v>
      </c>
      <c r="AB761">
        <v>35</v>
      </c>
      <c r="AC761">
        <v>190.76910000000001</v>
      </c>
      <c r="AD761">
        <v>1.289882</v>
      </c>
      <c r="AE761">
        <v>-11.6802999999999</v>
      </c>
      <c r="AF761">
        <v>13.2845235706467</v>
      </c>
      <c r="AG761">
        <v>1.289882</v>
      </c>
      <c r="AH761">
        <v>190.65537756009201</v>
      </c>
      <c r="AI761">
        <v>89.613307943094995</v>
      </c>
      <c r="AJ761">
        <v>86.014175334667698</v>
      </c>
      <c r="AK761">
        <v>191.121990766773</v>
      </c>
      <c r="AL761">
        <v>95.041560898409202</v>
      </c>
      <c r="AM761">
        <v>93.018086989997599</v>
      </c>
      <c r="AN761">
        <v>0.99999995444504297</v>
      </c>
    </row>
    <row r="762" spans="1:40" x14ac:dyDescent="0.25">
      <c r="A762" t="str">
        <f>"20190305134921948"</f>
        <v>20190305134921948</v>
      </c>
      <c r="B762" t="str">
        <f>"1551764961941875"</f>
        <v>1551764961941875</v>
      </c>
      <c r="C762" t="s">
        <v>40</v>
      </c>
      <c r="D762">
        <v>3.887095</v>
      </c>
      <c r="E762">
        <v>0.54773859999999996</v>
      </c>
      <c r="F762" t="s">
        <v>45</v>
      </c>
      <c r="G762">
        <v>-169.2955</v>
      </c>
      <c r="H762">
        <v>2.3225440000000002</v>
      </c>
      <c r="I762">
        <v>355.94470000000001</v>
      </c>
      <c r="J762">
        <v>-359.88479999999998</v>
      </c>
      <c r="K762">
        <v>1.1099730000000001</v>
      </c>
      <c r="L762">
        <v>367.649</v>
      </c>
      <c r="M762">
        <v>0.99986989999999998</v>
      </c>
      <c r="N762">
        <v>-1.3664829999999999E-2</v>
      </c>
      <c r="O762">
        <v>8.5665369999999904E-3</v>
      </c>
      <c r="P762">
        <v>0.99294079999999996</v>
      </c>
      <c r="Q762">
        <v>-0.1016353</v>
      </c>
      <c r="R762">
        <v>6.1144280000000002E-2</v>
      </c>
      <c r="S762">
        <v>3.0346069999999998</v>
      </c>
      <c r="T762">
        <v>1.928997E-2</v>
      </c>
      <c r="U762">
        <v>-0.18615719999999999</v>
      </c>
      <c r="V762">
        <v>-5.2576970000000001E-2</v>
      </c>
      <c r="W762">
        <v>-8.8085350000000007E-2</v>
      </c>
      <c r="X762">
        <v>0.99472439999999995</v>
      </c>
      <c r="Y762">
        <v>6.9778590000000001E-2</v>
      </c>
      <c r="Z762" s="1">
        <v>-8.4300180000000002E-5</v>
      </c>
      <c r="AA762">
        <v>0.99756250000000002</v>
      </c>
      <c r="AB762">
        <v>35</v>
      </c>
      <c r="AC762">
        <v>190.58930000000001</v>
      </c>
      <c r="AD762">
        <v>1.2125709999999901</v>
      </c>
      <c r="AE762">
        <v>-11.7042999999999</v>
      </c>
      <c r="AF762">
        <v>13.3361754600802</v>
      </c>
      <c r="AG762">
        <v>1.2125709999999901</v>
      </c>
      <c r="AH762">
        <v>190.47434960667101</v>
      </c>
      <c r="AI762">
        <v>89.636147320660598</v>
      </c>
      <c r="AJ762">
        <v>85.994937727829793</v>
      </c>
      <c r="AK762">
        <v>190.944499167733</v>
      </c>
      <c r="AL762">
        <v>95.053468220489805</v>
      </c>
      <c r="AM762">
        <v>93.025599706850599</v>
      </c>
      <c r="AN762">
        <v>0.99999999930718098</v>
      </c>
    </row>
    <row r="763" spans="1:40" x14ac:dyDescent="0.25">
      <c r="A763" t="str">
        <f>"20190305134921958"</f>
        <v>20190305134921958</v>
      </c>
      <c r="B763" t="str">
        <f>"1551764961951635"</f>
        <v>1551764961951635</v>
      </c>
      <c r="C763" t="s">
        <v>40</v>
      </c>
      <c r="D763">
        <v>3.886819</v>
      </c>
      <c r="E763">
        <v>0.54801309999999903</v>
      </c>
      <c r="F763" t="s">
        <v>45</v>
      </c>
      <c r="G763">
        <v>-169.2955</v>
      </c>
      <c r="H763">
        <v>2.2214390000000002</v>
      </c>
      <c r="I763">
        <v>356.05489999999998</v>
      </c>
      <c r="J763">
        <v>-359.7353</v>
      </c>
      <c r="K763">
        <v>1.10997099999999</v>
      </c>
      <c r="L763">
        <v>367.65050000000002</v>
      </c>
      <c r="M763">
        <v>0.99986909999999896</v>
      </c>
      <c r="N763">
        <v>-1.364541E-2</v>
      </c>
      <c r="O763">
        <v>8.6940239999999998E-3</v>
      </c>
      <c r="P763">
        <v>0.99292990000000003</v>
      </c>
      <c r="Q763">
        <v>-0.1015829</v>
      </c>
      <c r="R763">
        <v>6.1411640000000003E-2</v>
      </c>
      <c r="S763">
        <v>3.0345460000000002</v>
      </c>
      <c r="T763">
        <v>1.769805E-2</v>
      </c>
      <c r="U763">
        <v>-0.18460080000000001</v>
      </c>
      <c r="V763">
        <v>-5.2718000000000001E-2</v>
      </c>
      <c r="W763">
        <v>-8.8052290000000005E-2</v>
      </c>
      <c r="X763">
        <v>0.99471989999999999</v>
      </c>
      <c r="Y763">
        <v>6.939729E-2</v>
      </c>
      <c r="Z763">
        <v>-1.025703E-4</v>
      </c>
      <c r="AA763">
        <v>0.99758910000000001</v>
      </c>
      <c r="AB763">
        <v>35</v>
      </c>
      <c r="AC763">
        <v>190.43979999999999</v>
      </c>
      <c r="AD763">
        <v>1.1114679999999999</v>
      </c>
      <c r="AE763">
        <v>-11.595599999999999</v>
      </c>
      <c r="AF763">
        <v>13.2505543505959</v>
      </c>
      <c r="AG763">
        <v>1.1114679999999999</v>
      </c>
      <c r="AH763">
        <v>190.32532037629301</v>
      </c>
      <c r="AI763">
        <v>89.666213983529502</v>
      </c>
      <c r="AJ763">
        <v>86.017462243024696</v>
      </c>
      <c r="AK763">
        <v>190.789255798255</v>
      </c>
      <c r="AL763">
        <v>95.051566445447804</v>
      </c>
      <c r="AM763">
        <v>93.033713992614594</v>
      </c>
      <c r="AN763">
        <v>1.00000003637712</v>
      </c>
    </row>
    <row r="764" spans="1:40" x14ac:dyDescent="0.25">
      <c r="A764" t="str">
        <f>"20190305134921969"</f>
        <v>20190305134921969</v>
      </c>
      <c r="B764" t="str">
        <f>"1551764961961395"</f>
        <v>1551764961961395</v>
      </c>
      <c r="C764" t="s">
        <v>40</v>
      </c>
      <c r="D764">
        <v>3.9137940000000002</v>
      </c>
      <c r="E764">
        <v>0.548095</v>
      </c>
      <c r="F764" t="s">
        <v>45</v>
      </c>
      <c r="G764">
        <v>-169.2955</v>
      </c>
      <c r="H764">
        <v>2.1316480000000002</v>
      </c>
      <c r="I764">
        <v>355.9828</v>
      </c>
      <c r="J764">
        <v>-359.56420000000003</v>
      </c>
      <c r="K764">
        <v>1.1099749999999999</v>
      </c>
      <c r="L764">
        <v>367.65210000000002</v>
      </c>
      <c r="M764">
        <v>0.99986819999999998</v>
      </c>
      <c r="N764">
        <v>-1.362332E-2</v>
      </c>
      <c r="O764">
        <v>8.8400019999999996E-3</v>
      </c>
      <c r="P764">
        <v>0.99292939999999996</v>
      </c>
      <c r="Q764">
        <v>-0.101424</v>
      </c>
      <c r="R764">
        <v>6.168117E-2</v>
      </c>
      <c r="S764">
        <v>3.0344850000000001</v>
      </c>
      <c r="T764">
        <v>1.6280889999999999E-2</v>
      </c>
      <c r="U764">
        <v>-0.1859131</v>
      </c>
      <c r="V764">
        <v>-5.2842920000000002E-2</v>
      </c>
      <c r="W764">
        <v>-8.791525E-2</v>
      </c>
      <c r="X764">
        <v>0.99472530000000003</v>
      </c>
      <c r="Y764">
        <v>6.9973949999999993E-2</v>
      </c>
      <c r="Z764">
        <v>-1.21864E-4</v>
      </c>
      <c r="AA764">
        <v>0.99754880000000001</v>
      </c>
      <c r="AB764">
        <v>35</v>
      </c>
      <c r="AC764">
        <v>190.2687</v>
      </c>
      <c r="AD764">
        <v>1.0216729999999901</v>
      </c>
      <c r="AE764">
        <v>-11.6693</v>
      </c>
      <c r="AF764">
        <v>13.350592120071401</v>
      </c>
      <c r="AG764">
        <v>1.0216729999999901</v>
      </c>
      <c r="AH764">
        <v>190.15263582378401</v>
      </c>
      <c r="AI764">
        <v>89.692913829414493</v>
      </c>
      <c r="AJ764">
        <v>85.983861119133095</v>
      </c>
      <c r="AK764">
        <v>190.623469269678</v>
      </c>
      <c r="AL764">
        <v>95.043684531045898</v>
      </c>
      <c r="AM764">
        <v>93.040872695603596</v>
      </c>
      <c r="AN764">
        <v>0.99999994391838698</v>
      </c>
    </row>
    <row r="765" spans="1:40" x14ac:dyDescent="0.25">
      <c r="A765" t="str">
        <f>"20190305134921981"</f>
        <v>20190305134921981</v>
      </c>
      <c r="B765" t="str">
        <f>"1551764961971155"</f>
        <v>1551764961971155</v>
      </c>
      <c r="C765" t="s">
        <v>40</v>
      </c>
      <c r="D765">
        <v>3.90855</v>
      </c>
      <c r="E765">
        <v>0.54821009999999903</v>
      </c>
      <c r="F765" t="s">
        <v>45</v>
      </c>
      <c r="G765">
        <v>-169.2955</v>
      </c>
      <c r="H765">
        <v>2.1536659999999999</v>
      </c>
      <c r="I765">
        <v>356.01639999999998</v>
      </c>
      <c r="J765">
        <v>-359.37400000000002</v>
      </c>
      <c r="K765">
        <v>1.10997099999999</v>
      </c>
      <c r="L765">
        <v>367.654</v>
      </c>
      <c r="M765">
        <v>0.99986699999999995</v>
      </c>
      <c r="N765">
        <v>-1.3600660000000001E-2</v>
      </c>
      <c r="O765">
        <v>9.0001999999999999E-3</v>
      </c>
      <c r="P765">
        <v>0.99289539999999998</v>
      </c>
      <c r="Q765">
        <v>-0.1015407</v>
      </c>
      <c r="R765">
        <v>6.2035369999999999E-2</v>
      </c>
      <c r="S765">
        <v>3.0345759999999999</v>
      </c>
      <c r="T765">
        <v>1.6647099999999901E-2</v>
      </c>
      <c r="U765">
        <v>-0.1855774</v>
      </c>
      <c r="V765">
        <v>-5.3038630000000003E-2</v>
      </c>
      <c r="W765">
        <v>-8.8054579999999993E-2</v>
      </c>
      <c r="X765">
        <v>0.99470259999999999</v>
      </c>
      <c r="Y765">
        <v>7.0021970000000003E-2</v>
      </c>
      <c r="Z765">
        <v>-1.131312E-4</v>
      </c>
      <c r="AA765">
        <v>0.99754540000000003</v>
      </c>
      <c r="AB765">
        <v>35</v>
      </c>
      <c r="AC765">
        <v>190.07849999999999</v>
      </c>
      <c r="AD765">
        <v>1.043695</v>
      </c>
      <c r="AE765">
        <v>-11.637600000000001</v>
      </c>
      <c r="AF765">
        <v>13.347630400278801</v>
      </c>
      <c r="AG765">
        <v>1.043695</v>
      </c>
      <c r="AH765">
        <v>189.96034364665499</v>
      </c>
      <c r="AI765">
        <v>89.685978434373098</v>
      </c>
      <c r="AJ765">
        <v>85.980697927370997</v>
      </c>
      <c r="AK765">
        <v>190.43156433456801</v>
      </c>
      <c r="AL765">
        <v>95.051698430250497</v>
      </c>
      <c r="AM765">
        <v>93.052183193181804</v>
      </c>
      <c r="AN765">
        <v>0.99999998388900602</v>
      </c>
    </row>
    <row r="766" spans="1:40" x14ac:dyDescent="0.25">
      <c r="A766" t="str">
        <f>"20190305134921995"</f>
        <v>20190305134921995</v>
      </c>
      <c r="B766" t="str">
        <f>"1551764961991651"</f>
        <v>1551764961991651</v>
      </c>
      <c r="C766" t="s">
        <v>40</v>
      </c>
      <c r="D766">
        <v>3.8938489999999999</v>
      </c>
      <c r="E766">
        <v>0.5484715</v>
      </c>
      <c r="F766" t="s">
        <v>45</v>
      </c>
      <c r="G766">
        <v>-169.2955</v>
      </c>
      <c r="H766">
        <v>2.1575169999999999</v>
      </c>
      <c r="I766">
        <v>356.03829999999999</v>
      </c>
      <c r="J766">
        <v>-359.17230000000001</v>
      </c>
      <c r="K766">
        <v>1.109964</v>
      </c>
      <c r="L766">
        <v>367.65589999999997</v>
      </c>
      <c r="M766">
        <v>0.99986580000000003</v>
      </c>
      <c r="N766">
        <v>-1.357739E-2</v>
      </c>
      <c r="O766">
        <v>9.1671180000000001E-3</v>
      </c>
      <c r="P766">
        <v>0.9928823</v>
      </c>
      <c r="Q766">
        <v>-0.1014636</v>
      </c>
      <c r="R766">
        <v>6.2368590000000002E-2</v>
      </c>
      <c r="S766">
        <v>3.0347900000000001</v>
      </c>
      <c r="T766">
        <v>1.672649E-2</v>
      </c>
      <c r="U766">
        <v>-0.18545529999999999</v>
      </c>
      <c r="V766">
        <v>-5.3206789999999997E-2</v>
      </c>
      <c r="W766">
        <v>-8.8000270000000005E-2</v>
      </c>
      <c r="X766">
        <v>0.99469850000000004</v>
      </c>
      <c r="Y766">
        <v>7.0144200000000004E-2</v>
      </c>
      <c r="Z766">
        <v>-1.087014E-4</v>
      </c>
      <c r="AA766">
        <v>0.9975368</v>
      </c>
      <c r="AB766">
        <v>35</v>
      </c>
      <c r="AC766">
        <v>189.8768</v>
      </c>
      <c r="AD766">
        <v>1.047553</v>
      </c>
      <c r="AE766">
        <v>-11.6175999999999</v>
      </c>
      <c r="AF766">
        <v>13.3574901912234</v>
      </c>
      <c r="AG766">
        <v>1.047553</v>
      </c>
      <c r="AH766">
        <v>189.75655622149401</v>
      </c>
      <c r="AI766">
        <v>89.684482015634501</v>
      </c>
      <c r="AJ766">
        <v>85.973433169822201</v>
      </c>
      <c r="AK766">
        <v>190.22899500480301</v>
      </c>
      <c r="AL766">
        <v>95.048574194813497</v>
      </c>
      <c r="AM766">
        <v>93.061854411464793</v>
      </c>
      <c r="AN766">
        <v>1.0000000579622099</v>
      </c>
    </row>
    <row r="767" spans="1:40" x14ac:dyDescent="0.25">
      <c r="A767" t="str">
        <f>"20190305134922007"</f>
        <v>20190305134922007</v>
      </c>
      <c r="B767" t="str">
        <f>"1551764962001411"</f>
        <v>1551764962001411</v>
      </c>
      <c r="C767" t="s">
        <v>40</v>
      </c>
      <c r="D767">
        <v>3.8931200000000001</v>
      </c>
      <c r="E767">
        <v>0.54845739999999998</v>
      </c>
      <c r="F767" t="s">
        <v>45</v>
      </c>
      <c r="G767">
        <v>-169.2955</v>
      </c>
      <c r="H767">
        <v>2.1471830000000001</v>
      </c>
      <c r="I767">
        <v>355.98630000000003</v>
      </c>
      <c r="J767">
        <v>-358.98439999999999</v>
      </c>
      <c r="K767">
        <v>1.1099570000000001</v>
      </c>
      <c r="L767">
        <v>367.65780000000001</v>
      </c>
      <c r="M767">
        <v>0.99986470000000005</v>
      </c>
      <c r="N767">
        <v>-1.3556790000000001E-2</v>
      </c>
      <c r="O767">
        <v>9.3180260000000001E-3</v>
      </c>
      <c r="P767">
        <v>0.99289430000000001</v>
      </c>
      <c r="Q767">
        <v>-0.101231</v>
      </c>
      <c r="R767">
        <v>6.255782E-2</v>
      </c>
      <c r="S767">
        <v>3.0349119999999998</v>
      </c>
      <c r="T767">
        <v>1.657987E-2</v>
      </c>
      <c r="U767">
        <v>-0.18652340000000001</v>
      </c>
      <c r="V767">
        <v>-5.3247639999999999E-2</v>
      </c>
      <c r="W767">
        <v>-8.7787299999999999E-2</v>
      </c>
      <c r="X767">
        <v>0.99471509999999996</v>
      </c>
      <c r="Y767">
        <v>7.0642049999999998E-2</v>
      </c>
      <c r="Z767">
        <v>-1.0947309999999999E-4</v>
      </c>
      <c r="AA767">
        <v>0.99750170000000005</v>
      </c>
      <c r="AB767">
        <v>35</v>
      </c>
      <c r="AC767">
        <v>189.68889999999999</v>
      </c>
      <c r="AD767">
        <v>1.037226</v>
      </c>
      <c r="AE767">
        <v>-11.671499999999901</v>
      </c>
      <c r="AF767">
        <v>13.4382814430927</v>
      </c>
      <c r="AG767">
        <v>1.037226</v>
      </c>
      <c r="AH767">
        <v>189.56625150036299</v>
      </c>
      <c r="AI767">
        <v>89.687289699768897</v>
      </c>
      <c r="AJ767">
        <v>85.945106712386604</v>
      </c>
      <c r="AK767">
        <v>190.04480249093299</v>
      </c>
      <c r="AL767">
        <v>95.036324668197295</v>
      </c>
      <c r="AM767">
        <v>93.064149661588402</v>
      </c>
      <c r="AN767">
        <v>1.00000002568743</v>
      </c>
    </row>
    <row r="768" spans="1:40" x14ac:dyDescent="0.25">
      <c r="A768" t="str">
        <f>"20190305134922018"</f>
        <v>20190305134922018</v>
      </c>
      <c r="B768" t="str">
        <f>"1551764962011171"</f>
        <v>1551764962011171</v>
      </c>
      <c r="C768" t="s">
        <v>40</v>
      </c>
      <c r="D768">
        <v>3.87222</v>
      </c>
      <c r="E768">
        <v>0.54845880000000002</v>
      </c>
      <c r="F768" t="s">
        <v>45</v>
      </c>
      <c r="G768">
        <v>-169.2955</v>
      </c>
      <c r="H768">
        <v>2.1754829999999998</v>
      </c>
      <c r="I768">
        <v>356.04739999999998</v>
      </c>
      <c r="J768">
        <v>-358.80430000000001</v>
      </c>
      <c r="K768">
        <v>1.10995</v>
      </c>
      <c r="L768">
        <v>367.65960000000001</v>
      </c>
      <c r="M768">
        <v>0.99986370000000002</v>
      </c>
      <c r="N768">
        <v>-1.353857E-2</v>
      </c>
      <c r="O768">
        <v>9.4552969999999997E-3</v>
      </c>
      <c r="P768">
        <v>0.99288240000000005</v>
      </c>
      <c r="Q768">
        <v>-0.1011764</v>
      </c>
      <c r="R768">
        <v>6.2834020000000004E-2</v>
      </c>
      <c r="S768">
        <v>3.0349119999999998</v>
      </c>
      <c r="T768">
        <v>1.7049189999999999E-2</v>
      </c>
      <c r="U768">
        <v>-0.1857605</v>
      </c>
      <c r="V768">
        <v>-5.3388690000000003E-2</v>
      </c>
      <c r="W768">
        <v>-8.774999E-2</v>
      </c>
      <c r="X768">
        <v>0.99471080000000001</v>
      </c>
      <c r="Y768">
        <v>7.0529149999999999E-2</v>
      </c>
      <c r="Z768" s="1">
        <v>-9.9020019999999999E-5</v>
      </c>
      <c r="AA768">
        <v>0.99750970000000005</v>
      </c>
      <c r="AB768">
        <v>35</v>
      </c>
      <c r="AC768">
        <v>189.50880000000001</v>
      </c>
      <c r="AD768">
        <v>1.0655330000000001</v>
      </c>
      <c r="AE768">
        <v>-11.6122</v>
      </c>
      <c r="AF768">
        <v>13.403284796675999</v>
      </c>
      <c r="AG768">
        <v>1.0655330000000001</v>
      </c>
      <c r="AH768">
        <v>189.38455536041599</v>
      </c>
      <c r="AI768">
        <v>89.678444836980404</v>
      </c>
      <c r="AJ768">
        <v>85.951764295616996</v>
      </c>
      <c r="AK768">
        <v>189.86124726488299</v>
      </c>
      <c r="AL768">
        <v>95.034178839524202</v>
      </c>
      <c r="AM768">
        <v>93.072264148197306</v>
      </c>
      <c r="AN768">
        <v>0.99999999430077802</v>
      </c>
    </row>
    <row r="769" spans="1:40" x14ac:dyDescent="0.25">
      <c r="A769" t="str">
        <f>"20190305134922030"</f>
        <v>20190305134922030</v>
      </c>
      <c r="B769" t="str">
        <f>"1551764962021907"</f>
        <v>1551764962021907</v>
      </c>
      <c r="C769" t="s">
        <v>40</v>
      </c>
      <c r="D769">
        <v>3.9299900000000001</v>
      </c>
      <c r="E769">
        <v>0.54854230000000004</v>
      </c>
      <c r="F769" t="s">
        <v>45</v>
      </c>
      <c r="G769">
        <v>-169.2955</v>
      </c>
      <c r="H769">
        <v>2.1744829999999999</v>
      </c>
      <c r="I769">
        <v>356.10230000000001</v>
      </c>
      <c r="J769">
        <v>-358.61649999999997</v>
      </c>
      <c r="K769">
        <v>1.1099410000000001</v>
      </c>
      <c r="L769">
        <v>367.66149999999999</v>
      </c>
      <c r="M769">
        <v>0.99986260000000005</v>
      </c>
      <c r="N769">
        <v>-1.3520219999999999E-2</v>
      </c>
      <c r="O769">
        <v>9.5949899999999994E-3</v>
      </c>
      <c r="P769">
        <v>0.99289090000000002</v>
      </c>
      <c r="Q769">
        <v>-0.1010897</v>
      </c>
      <c r="R769">
        <v>6.2839430000000002E-2</v>
      </c>
      <c r="S769">
        <v>3.0349430000000002</v>
      </c>
      <c r="T769">
        <v>1.7049669999999999E-2</v>
      </c>
      <c r="U769">
        <v>-0.18508910000000001</v>
      </c>
      <c r="V769">
        <v>-5.3257159999999998E-2</v>
      </c>
      <c r="W769">
        <v>-8.7680149999999998E-2</v>
      </c>
      <c r="X769">
        <v>0.99472400000000005</v>
      </c>
      <c r="Y769">
        <v>7.044802E-2</v>
      </c>
      <c r="Z769" s="1">
        <v>-9.5542990000000003E-5</v>
      </c>
      <c r="AA769">
        <v>0.99751540000000005</v>
      </c>
      <c r="AB769">
        <v>35</v>
      </c>
      <c r="AC769">
        <v>189.321</v>
      </c>
      <c r="AD769">
        <v>1.0645420000000001</v>
      </c>
      <c r="AE769">
        <v>-11.559199999999899</v>
      </c>
      <c r="AF769">
        <v>13.374945566679401</v>
      </c>
      <c r="AG769">
        <v>1.0645420000000001</v>
      </c>
      <c r="AH769">
        <v>189.19540318008899</v>
      </c>
      <c r="AI769">
        <v>89.678420928742398</v>
      </c>
      <c r="AJ769">
        <v>85.956269922784202</v>
      </c>
      <c r="AK769">
        <v>189.67056440855001</v>
      </c>
      <c r="AL769">
        <v>95.030161866053305</v>
      </c>
      <c r="AM769">
        <v>93.064669080098497</v>
      </c>
      <c r="AN769">
        <v>0.99999998498564402</v>
      </c>
    </row>
    <row r="770" spans="1:40" x14ac:dyDescent="0.25">
      <c r="A770" t="str">
        <f>"20190305134922041"</f>
        <v>20190305134922041</v>
      </c>
      <c r="B770" t="str">
        <f>"1551764962031667"</f>
        <v>1551764962031667</v>
      </c>
      <c r="C770" t="s">
        <v>40</v>
      </c>
      <c r="D770">
        <v>3.9195829999999998</v>
      </c>
      <c r="E770">
        <v>0.54858739999999995</v>
      </c>
      <c r="F770" t="s">
        <v>45</v>
      </c>
      <c r="G770">
        <v>-169.2955</v>
      </c>
      <c r="H770">
        <v>2.2049910000000001</v>
      </c>
      <c r="I770">
        <v>356.07810000000001</v>
      </c>
      <c r="J770">
        <v>-358.44510000000002</v>
      </c>
      <c r="K770">
        <v>1.1099330000000001</v>
      </c>
      <c r="L770">
        <v>367.66340000000002</v>
      </c>
      <c r="M770">
        <v>0.99986180000000002</v>
      </c>
      <c r="N770">
        <v>-1.350502E-2</v>
      </c>
      <c r="O770">
        <v>9.7081530000000006E-3</v>
      </c>
      <c r="P770">
        <v>0.99290080000000003</v>
      </c>
      <c r="Q770">
        <v>-0.1008048</v>
      </c>
      <c r="R770">
        <v>6.3139529999999999E-2</v>
      </c>
      <c r="S770">
        <v>3.0350950000000001</v>
      </c>
      <c r="T770">
        <v>1.755667E-2</v>
      </c>
      <c r="U770">
        <v>-0.18569949999999999</v>
      </c>
      <c r="V770">
        <v>-5.3447679999999997E-2</v>
      </c>
      <c r="W770">
        <v>-8.740879E-2</v>
      </c>
      <c r="X770">
        <v>0.99473769999999995</v>
      </c>
      <c r="Y770">
        <v>7.0757669999999995E-2</v>
      </c>
      <c r="Z770" s="1">
        <v>-8.6708630000000001E-5</v>
      </c>
      <c r="AA770">
        <v>0.99749350000000003</v>
      </c>
      <c r="AB770">
        <v>35</v>
      </c>
      <c r="AC770">
        <v>189.14959999999999</v>
      </c>
      <c r="AD770">
        <v>1.0950580000000001</v>
      </c>
      <c r="AE770">
        <v>-11.5853</v>
      </c>
      <c r="AF770">
        <v>13.420766303852901</v>
      </c>
      <c r="AG770">
        <v>1.0950580000000001</v>
      </c>
      <c r="AH770">
        <v>189.02189080669999</v>
      </c>
      <c r="AI770">
        <v>89.668906318013697</v>
      </c>
      <c r="AJ770">
        <v>85.9387506947769</v>
      </c>
      <c r="AK770">
        <v>189.500900589802</v>
      </c>
      <c r="AL770">
        <v>95.014553975763704</v>
      </c>
      <c r="AM770">
        <v>93.075569214113401</v>
      </c>
      <c r="AN770">
        <v>1.0000000214339599</v>
      </c>
    </row>
    <row r="771" spans="1:40" x14ac:dyDescent="0.25">
      <c r="A771" t="str">
        <f>"20190305134922052"</f>
        <v>20190305134922052</v>
      </c>
      <c r="B771" t="str">
        <f>"1551764962041428"</f>
        <v>1551764962041428</v>
      </c>
      <c r="C771" t="s">
        <v>40</v>
      </c>
      <c r="D771">
        <v>3.9135559999999998</v>
      </c>
      <c r="E771">
        <v>0.54867339999999998</v>
      </c>
      <c r="F771" t="s">
        <v>45</v>
      </c>
      <c r="G771">
        <v>-169.2955</v>
      </c>
      <c r="H771">
        <v>2.2874490000000001</v>
      </c>
      <c r="I771">
        <v>356.12639999999999</v>
      </c>
      <c r="J771">
        <v>-358.28250000000003</v>
      </c>
      <c r="K771">
        <v>1.1099220000000001</v>
      </c>
      <c r="L771">
        <v>367.66500000000002</v>
      </c>
      <c r="M771">
        <v>0.99986090000000005</v>
      </c>
      <c r="N771">
        <v>-1.349091E-2</v>
      </c>
      <c r="O771">
        <v>9.8120700000000009E-3</v>
      </c>
      <c r="P771">
        <v>0.99293489999999995</v>
      </c>
      <c r="Q771">
        <v>-0.10032720000000001</v>
      </c>
      <c r="R771">
        <v>6.3365009999999999E-2</v>
      </c>
      <c r="S771">
        <v>3.0350649999999999</v>
      </c>
      <c r="T771">
        <v>1.889563E-2</v>
      </c>
      <c r="U771">
        <v>-0.1851196</v>
      </c>
      <c r="V771">
        <v>-5.3572259999999997E-2</v>
      </c>
      <c r="W771">
        <v>-8.6943339999999994E-2</v>
      </c>
      <c r="X771">
        <v>0.99477179999999998</v>
      </c>
      <c r="Y771">
        <v>7.0672029999999997E-2</v>
      </c>
      <c r="Z771" s="1">
        <v>-6.4107299999999995E-5</v>
      </c>
      <c r="AA771">
        <v>0.99749960000000004</v>
      </c>
      <c r="AB771">
        <v>35</v>
      </c>
      <c r="AC771">
        <v>188.98699999999999</v>
      </c>
      <c r="AD771">
        <v>1.177527</v>
      </c>
      <c r="AE771">
        <v>-11.538600000000001</v>
      </c>
      <c r="AF771">
        <v>13.392048814284401</v>
      </c>
      <c r="AG771">
        <v>1.177527</v>
      </c>
      <c r="AH771">
        <v>188.85736816106601</v>
      </c>
      <c r="AI771">
        <v>89.643659803065106</v>
      </c>
      <c r="AJ771">
        <v>85.943893265527294</v>
      </c>
      <c r="AK771">
        <v>189.33525569741201</v>
      </c>
      <c r="AL771">
        <v>94.987783682529596</v>
      </c>
      <c r="AM771">
        <v>93.082618709009793</v>
      </c>
      <c r="AN771">
        <v>1.0000000327435501</v>
      </c>
    </row>
    <row r="772" spans="1:40" x14ac:dyDescent="0.25">
      <c r="A772" t="str">
        <f>"20190305134922062"</f>
        <v>20190305134922062</v>
      </c>
      <c r="B772" t="str">
        <f>"1551764962051187"</f>
        <v>1551764962051187</v>
      </c>
      <c r="C772" t="s">
        <v>40</v>
      </c>
      <c r="D772">
        <v>3.9111639999999999</v>
      </c>
      <c r="E772">
        <v>0.54869869999999898</v>
      </c>
      <c r="F772" t="s">
        <v>45</v>
      </c>
      <c r="G772">
        <v>-169.2955</v>
      </c>
      <c r="H772">
        <v>2.4079359999999999</v>
      </c>
      <c r="I772">
        <v>356.13699999999898</v>
      </c>
      <c r="J772">
        <v>-358.10539999999997</v>
      </c>
      <c r="K772">
        <v>1.109907</v>
      </c>
      <c r="L772">
        <v>367.6669</v>
      </c>
      <c r="M772">
        <v>0.99986019999999998</v>
      </c>
      <c r="N772">
        <v>-1.3476790000000001E-2</v>
      </c>
      <c r="O772">
        <v>9.9113970000000006E-3</v>
      </c>
      <c r="P772">
        <v>0.99294130000000003</v>
      </c>
      <c r="Q772">
        <v>-0.10017230000000001</v>
      </c>
      <c r="R772">
        <v>6.3509460000000004E-2</v>
      </c>
      <c r="S772">
        <v>3.0352779999999999</v>
      </c>
      <c r="T772">
        <v>2.0848510000000001E-2</v>
      </c>
      <c r="U772">
        <v>-0.18515010000000001</v>
      </c>
      <c r="V772">
        <v>-5.3620830000000001E-2</v>
      </c>
      <c r="W772">
        <v>-8.6800310000000006E-2</v>
      </c>
      <c r="X772">
        <v>0.99478160000000004</v>
      </c>
      <c r="Y772">
        <v>7.0776699999999998E-2</v>
      </c>
      <c r="Z772" s="1">
        <v>-3.3074119999999997E-5</v>
      </c>
      <c r="AA772">
        <v>0.99749219999999905</v>
      </c>
      <c r="AB772">
        <v>35</v>
      </c>
      <c r="AC772">
        <v>188.8099</v>
      </c>
      <c r="AD772">
        <v>1.2980290000000001</v>
      </c>
      <c r="AE772">
        <v>-11.5299</v>
      </c>
      <c r="AF772">
        <v>13.400242160202501</v>
      </c>
      <c r="AG772">
        <v>1.2980290000000001</v>
      </c>
      <c r="AH772">
        <v>188.67745207494099</v>
      </c>
      <c r="AI772">
        <v>89.606823416420298</v>
      </c>
      <c r="AJ772">
        <v>85.937562836655403</v>
      </c>
      <c r="AK772">
        <v>189.15716293793599</v>
      </c>
      <c r="AL772">
        <v>94.979557934429806</v>
      </c>
      <c r="AM772">
        <v>93.085377756722707</v>
      </c>
      <c r="AN772">
        <v>0.99999995946227105</v>
      </c>
    </row>
    <row r="773" spans="1:40" x14ac:dyDescent="0.25">
      <c r="A773" t="str">
        <f>"20190305134922073"</f>
        <v>20190305134922073</v>
      </c>
      <c r="B773" t="str">
        <f>"1551764962071684"</f>
        <v>1551764962071684</v>
      </c>
      <c r="C773" t="s">
        <v>40</v>
      </c>
      <c r="D773">
        <v>3.9327179999999999</v>
      </c>
      <c r="E773">
        <v>0.54868950000000005</v>
      </c>
      <c r="F773" t="s">
        <v>45</v>
      </c>
      <c r="G773">
        <v>-169.2955</v>
      </c>
      <c r="H773">
        <v>2.4282599999999999</v>
      </c>
      <c r="I773">
        <v>356.16469999999998</v>
      </c>
      <c r="J773">
        <v>-357.9434</v>
      </c>
      <c r="K773">
        <v>1.1098950000000001</v>
      </c>
      <c r="L773">
        <v>367.66860000000003</v>
      </c>
      <c r="M773">
        <v>0.99985930000000001</v>
      </c>
      <c r="N773">
        <v>-1.346437E-2</v>
      </c>
      <c r="O773">
        <v>9.9941449999999994E-3</v>
      </c>
      <c r="P773">
        <v>0.99295650000000002</v>
      </c>
      <c r="Q773">
        <v>-9.9856420000000001E-2</v>
      </c>
      <c r="R773">
        <v>6.3766370000000003E-2</v>
      </c>
      <c r="S773">
        <v>3.0352480000000002</v>
      </c>
      <c r="T773">
        <v>2.119482E-2</v>
      </c>
      <c r="U773">
        <v>-0.18490599999999999</v>
      </c>
      <c r="V773">
        <v>-5.3798720000000001E-2</v>
      </c>
      <c r="W773">
        <v>-8.6494619999999994E-2</v>
      </c>
      <c r="X773">
        <v>0.99479870000000004</v>
      </c>
      <c r="Y773">
        <v>7.0779880000000003E-2</v>
      </c>
      <c r="Z773" s="1">
        <v>-2.590829E-5</v>
      </c>
      <c r="AA773">
        <v>0.99749200000000005</v>
      </c>
      <c r="AB773">
        <v>35</v>
      </c>
      <c r="AC773">
        <v>188.64789999999999</v>
      </c>
      <c r="AD773">
        <v>1.31836499999999</v>
      </c>
      <c r="AE773">
        <v>-11.5039</v>
      </c>
      <c r="AF773">
        <v>13.3882194990319</v>
      </c>
      <c r="AG773">
        <v>1.31836499999999</v>
      </c>
      <c r="AH773">
        <v>188.51432186817701</v>
      </c>
      <c r="AI773">
        <v>89.600318165139797</v>
      </c>
      <c r="AJ773">
        <v>85.937694938859295</v>
      </c>
      <c r="AK773">
        <v>188.99373549683099</v>
      </c>
      <c r="AL773">
        <v>94.961976677388407</v>
      </c>
      <c r="AM773">
        <v>93.095540681130103</v>
      </c>
      <c r="AN773">
        <v>1.0000000375421301</v>
      </c>
    </row>
    <row r="774" spans="1:40" x14ac:dyDescent="0.25">
      <c r="A774" t="str">
        <f>"20190305134922085"</f>
        <v>20190305134922085</v>
      </c>
      <c r="B774" t="str">
        <f>"1551764962081444"</f>
        <v>1551764962081444</v>
      </c>
      <c r="C774" t="s">
        <v>40</v>
      </c>
      <c r="D774">
        <v>3.9366850000000002</v>
      </c>
      <c r="E774">
        <v>0.54871819999999905</v>
      </c>
      <c r="F774" t="s">
        <v>45</v>
      </c>
      <c r="G774">
        <v>-169.2955</v>
      </c>
      <c r="H774">
        <v>2.4787219999999999</v>
      </c>
      <c r="I774">
        <v>356.25209999999998</v>
      </c>
      <c r="J774">
        <v>-357.7654</v>
      </c>
      <c r="K774">
        <v>1.1098790000000001</v>
      </c>
      <c r="L774">
        <v>367.6705</v>
      </c>
      <c r="M774">
        <v>0.99985889999999999</v>
      </c>
      <c r="N774">
        <v>-1.3451589999999999E-2</v>
      </c>
      <c r="O774">
        <v>1.007022E-2</v>
      </c>
      <c r="P774">
        <v>0.99296260000000003</v>
      </c>
      <c r="Q774">
        <v>-9.9683900000000006E-2</v>
      </c>
      <c r="R774">
        <v>6.3941750000000006E-2</v>
      </c>
      <c r="S774">
        <v>3.0352480000000002</v>
      </c>
      <c r="T774">
        <v>2.2025110000000001E-2</v>
      </c>
      <c r="U774">
        <v>-0.1836853</v>
      </c>
      <c r="V774">
        <v>-5.390242E-2</v>
      </c>
      <c r="W774">
        <v>-8.6332220000000001E-2</v>
      </c>
      <c r="X774">
        <v>0.9948072</v>
      </c>
      <c r="Y774">
        <v>7.0455999999999894E-2</v>
      </c>
      <c r="Z774" s="1">
        <v>-1.058867E-5</v>
      </c>
      <c r="AA774">
        <v>0.99751489999999998</v>
      </c>
      <c r="AB774">
        <v>35</v>
      </c>
      <c r="AC774">
        <v>188.4699</v>
      </c>
      <c r="AD774">
        <v>1.368843</v>
      </c>
      <c r="AE774">
        <v>-11.4184</v>
      </c>
      <c r="AF774">
        <v>13.3152260287246</v>
      </c>
      <c r="AG774">
        <v>1.368843</v>
      </c>
      <c r="AH774">
        <v>188.335447150742</v>
      </c>
      <c r="AI774">
        <v>89.584612039168803</v>
      </c>
      <c r="AJ774">
        <v>85.955944801846002</v>
      </c>
      <c r="AK774">
        <v>188.81051249552999</v>
      </c>
      <c r="AL774">
        <v>94.952636873737504</v>
      </c>
      <c r="AM774">
        <v>93.101469419942603</v>
      </c>
      <c r="AN774">
        <v>1.0000000441319099</v>
      </c>
    </row>
    <row r="775" spans="1:40" x14ac:dyDescent="0.25">
      <c r="A775" t="str">
        <f>"20190305134922096"</f>
        <v>20190305134922096</v>
      </c>
      <c r="B775" t="str">
        <f>"1551764962091202"</f>
        <v>1551764962091202</v>
      </c>
      <c r="C775" t="s">
        <v>40</v>
      </c>
      <c r="D775">
        <v>3.9291339999999999</v>
      </c>
      <c r="E775">
        <v>0.54872699999999996</v>
      </c>
      <c r="F775" t="s">
        <v>45</v>
      </c>
      <c r="G775">
        <v>-169.2955</v>
      </c>
      <c r="H775">
        <v>2.4706130000000002</v>
      </c>
      <c r="I775">
        <v>356.28769999999997</v>
      </c>
      <c r="J775">
        <v>-357.60520000000002</v>
      </c>
      <c r="K775">
        <v>1.1098619999999999</v>
      </c>
      <c r="L775">
        <v>367.6721</v>
      </c>
      <c r="M775">
        <v>0.99985840000000004</v>
      </c>
      <c r="N775">
        <v>-1.344076E-2</v>
      </c>
      <c r="O775">
        <v>1.0126690000000001E-2</v>
      </c>
      <c r="P775">
        <v>0.99300339999999998</v>
      </c>
      <c r="Q775">
        <v>-9.9231059999999996E-2</v>
      </c>
      <c r="R775">
        <v>6.4012089999999994E-2</v>
      </c>
      <c r="S775">
        <v>3.0352779999999999</v>
      </c>
      <c r="T775">
        <v>2.1915790000000001E-2</v>
      </c>
      <c r="U775">
        <v>-0.18331910000000001</v>
      </c>
      <c r="V775">
        <v>-5.3920629999999997E-2</v>
      </c>
      <c r="W775">
        <v>-8.5887229999999995E-2</v>
      </c>
      <c r="X775">
        <v>0.99484470000000003</v>
      </c>
      <c r="Y775">
        <v>7.0391800000000004E-2</v>
      </c>
      <c r="Z775" s="1">
        <v>-1.05797699999999E-5</v>
      </c>
      <c r="AA775">
        <v>0.99751939999999995</v>
      </c>
      <c r="AB775">
        <v>35</v>
      </c>
      <c r="AC775">
        <v>188.30969999999999</v>
      </c>
      <c r="AD775">
        <v>1.360751</v>
      </c>
      <c r="AE775">
        <v>-11.384399999999999</v>
      </c>
      <c r="AF775">
        <v>13.290250901286999</v>
      </c>
      <c r="AG775">
        <v>1.360751</v>
      </c>
      <c r="AH775">
        <v>188.17495558880299</v>
      </c>
      <c r="AI775">
        <v>89.586713269372893</v>
      </c>
      <c r="AJ775">
        <v>85.960073794707199</v>
      </c>
      <c r="AK775">
        <v>188.648605410036</v>
      </c>
      <c r="AL775">
        <v>94.927045921144497</v>
      </c>
      <c r="AM775">
        <v>93.102398432366698</v>
      </c>
      <c r="AN775">
        <v>1.0000000138673799</v>
      </c>
    </row>
    <row r="776" spans="1:40" x14ac:dyDescent="0.25">
      <c r="A776" t="str">
        <f>"20190305134922105"</f>
        <v>20190305134922105</v>
      </c>
      <c r="B776" t="str">
        <f>"1551764962101939"</f>
        <v>1551764962101939</v>
      </c>
      <c r="C776" t="s">
        <v>40</v>
      </c>
      <c r="D776">
        <v>3.9455429999999998</v>
      </c>
      <c r="E776">
        <v>0.54874659999999997</v>
      </c>
      <c r="F776" t="s">
        <v>45</v>
      </c>
      <c r="G776">
        <v>-169.2955</v>
      </c>
      <c r="H776">
        <v>2.5385970000000002</v>
      </c>
      <c r="I776">
        <v>356.2989</v>
      </c>
      <c r="J776">
        <v>-357.44560000000001</v>
      </c>
      <c r="K776">
        <v>1.1098380000000001</v>
      </c>
      <c r="L776">
        <v>367.67380000000003</v>
      </c>
      <c r="M776">
        <v>0.99985809999999997</v>
      </c>
      <c r="N776">
        <v>-1.34305E-2</v>
      </c>
      <c r="O776">
        <v>1.0173420000000001E-2</v>
      </c>
      <c r="P776">
        <v>0.99301609999999996</v>
      </c>
      <c r="Q776">
        <v>-9.9103060000000007E-2</v>
      </c>
      <c r="R776">
        <v>6.4015779999999994E-2</v>
      </c>
      <c r="S776">
        <v>3.0352480000000002</v>
      </c>
      <c r="T776">
        <v>2.303028E-2</v>
      </c>
      <c r="U776">
        <v>-0.18331910000000001</v>
      </c>
      <c r="V776">
        <v>-5.3881819999999997E-2</v>
      </c>
      <c r="W776">
        <v>-8.5766750000000003E-2</v>
      </c>
      <c r="X776">
        <v>0.9948572</v>
      </c>
      <c r="Y776">
        <v>7.0438929999999997E-2</v>
      </c>
      <c r="Z776" s="1">
        <v>7.1500540000000004E-6</v>
      </c>
      <c r="AA776">
        <v>0.99751610000000002</v>
      </c>
      <c r="AB776">
        <v>35</v>
      </c>
      <c r="AC776">
        <v>188.15010000000001</v>
      </c>
      <c r="AD776">
        <v>1.4287589999999999</v>
      </c>
      <c r="AE776">
        <v>-11.3749</v>
      </c>
      <c r="AF776">
        <v>13.287850343136</v>
      </c>
      <c r="AG776">
        <v>1.4287589999999999</v>
      </c>
      <c r="AH776">
        <v>188.01382704616799</v>
      </c>
      <c r="AI776">
        <v>89.565688261904199</v>
      </c>
      <c r="AJ776">
        <v>85.957350956940203</v>
      </c>
      <c r="AK776">
        <v>188.48821575782401</v>
      </c>
      <c r="AL776">
        <v>94.920117343467894</v>
      </c>
      <c r="AM776">
        <v>93.100130925927601</v>
      </c>
      <c r="AN776">
        <v>1.0000000171619501</v>
      </c>
    </row>
    <row r="777" spans="1:40" x14ac:dyDescent="0.25">
      <c r="A777" t="str">
        <f>"20190305134922115"</f>
        <v>20190305134922115</v>
      </c>
      <c r="B777" t="str">
        <f>"1551764962111699"</f>
        <v>1551764962111699</v>
      </c>
      <c r="C777" t="s">
        <v>40</v>
      </c>
      <c r="D777">
        <v>3.9000360000000001</v>
      </c>
      <c r="E777">
        <v>0.54876809999999998</v>
      </c>
      <c r="F777" t="s">
        <v>45</v>
      </c>
      <c r="G777">
        <v>-169.2955</v>
      </c>
      <c r="H777">
        <v>2.5678049999999999</v>
      </c>
      <c r="I777">
        <v>356.28370000000001</v>
      </c>
      <c r="J777">
        <v>-357.30149999999998</v>
      </c>
      <c r="K777">
        <v>1.1098220000000001</v>
      </c>
      <c r="L777">
        <v>367.67529999999999</v>
      </c>
      <c r="M777">
        <v>0.99985789999999997</v>
      </c>
      <c r="N777">
        <v>-1.3421809999999999E-2</v>
      </c>
      <c r="O777">
        <v>1.0206109999999999E-2</v>
      </c>
      <c r="P777">
        <v>0.99300480000000002</v>
      </c>
      <c r="Q777">
        <v>-9.9148150000000004E-2</v>
      </c>
      <c r="R777">
        <v>6.4118729999999999E-2</v>
      </c>
      <c r="S777">
        <v>3.0352480000000002</v>
      </c>
      <c r="T777">
        <v>2.3521420000000001E-2</v>
      </c>
      <c r="U777">
        <v>-0.1837463</v>
      </c>
      <c r="V777">
        <v>-5.3955580000000003E-2</v>
      </c>
      <c r="W777">
        <v>-8.5818420000000006E-2</v>
      </c>
      <c r="X777">
        <v>0.99484870000000003</v>
      </c>
      <c r="Y777">
        <v>7.0611380000000001E-2</v>
      </c>
      <c r="Z777" s="1">
        <v>1.490267E-5</v>
      </c>
      <c r="AA777">
        <v>0.9975039</v>
      </c>
      <c r="AB777">
        <v>35</v>
      </c>
      <c r="AC777">
        <v>188.006</v>
      </c>
      <c r="AD777">
        <v>1.457983</v>
      </c>
      <c r="AE777">
        <v>-11.391599999999899</v>
      </c>
      <c r="AF777">
        <v>13.309191740508799</v>
      </c>
      <c r="AG777">
        <v>1.457983</v>
      </c>
      <c r="AH777">
        <v>187.86867475714001</v>
      </c>
      <c r="AI777">
        <v>89.556467992762805</v>
      </c>
      <c r="AJ777">
        <v>85.947761665231596</v>
      </c>
      <c r="AK777">
        <v>188.345159890606</v>
      </c>
      <c r="AL777">
        <v>94.923089000464898</v>
      </c>
      <c r="AM777">
        <v>93.104392939702294</v>
      </c>
      <c r="AN777">
        <v>0.99999997085806103</v>
      </c>
    </row>
    <row r="778" spans="1:40" x14ac:dyDescent="0.25">
      <c r="A778" t="str">
        <f>"20190305134922126"</f>
        <v>20190305134922126</v>
      </c>
      <c r="B778" t="str">
        <f>"1551764962121460"</f>
        <v>1551764962121460</v>
      </c>
      <c r="C778" t="s">
        <v>40</v>
      </c>
      <c r="D778">
        <v>3.8986510000000001</v>
      </c>
      <c r="E778">
        <v>0.54883280000000001</v>
      </c>
      <c r="F778" t="s">
        <v>45</v>
      </c>
      <c r="G778">
        <v>-169.2955</v>
      </c>
      <c r="H778">
        <v>2.546907</v>
      </c>
      <c r="I778">
        <v>356.31479999999999</v>
      </c>
      <c r="J778">
        <v>-357.12610000000001</v>
      </c>
      <c r="K778">
        <v>1.109802</v>
      </c>
      <c r="L778">
        <v>367.67720000000003</v>
      </c>
      <c r="M778">
        <v>0.99985780000000002</v>
      </c>
      <c r="N778">
        <v>-1.341172E-2</v>
      </c>
      <c r="O778">
        <v>1.02372E-2</v>
      </c>
      <c r="P778">
        <v>0.99299340000000003</v>
      </c>
      <c r="Q778">
        <v>-9.9265469999999995E-2</v>
      </c>
      <c r="R778">
        <v>6.4117740000000006E-2</v>
      </c>
      <c r="S778">
        <v>3.0352779999999999</v>
      </c>
      <c r="T778">
        <v>2.3202540000000001E-2</v>
      </c>
      <c r="U778">
        <v>-0.18341060000000001</v>
      </c>
      <c r="V778">
        <v>-5.3927959999999997E-2</v>
      </c>
      <c r="W778">
        <v>-8.5943249999999999E-2</v>
      </c>
      <c r="X778">
        <v>0.99483940000000004</v>
      </c>
      <c r="Y778">
        <v>7.0531899999999995E-2</v>
      </c>
      <c r="Z778" s="1">
        <v>1.1263469999999999E-5</v>
      </c>
      <c r="AA778">
        <v>0.99750950000000005</v>
      </c>
      <c r="AB778">
        <v>35</v>
      </c>
      <c r="AC778">
        <v>187.8306</v>
      </c>
      <c r="AD778">
        <v>1.4371049999999901</v>
      </c>
      <c r="AE778">
        <v>-11.362399999999999</v>
      </c>
      <c r="AF778">
        <v>13.2840617822169</v>
      </c>
      <c r="AG778">
        <v>1.4371049999999901</v>
      </c>
      <c r="AH778">
        <v>187.69347871588201</v>
      </c>
      <c r="AI778">
        <v>89.562408881689805</v>
      </c>
      <c r="AJ778">
        <v>85.951624787391907</v>
      </c>
      <c r="AK778">
        <v>188.16847111215</v>
      </c>
      <c r="AL778">
        <v>94.930267861199994</v>
      </c>
      <c r="AM778">
        <v>93.102835848036506</v>
      </c>
      <c r="AN778">
        <v>0.99999994944133996</v>
      </c>
    </row>
    <row r="779" spans="1:40" x14ac:dyDescent="0.25">
      <c r="A779" t="str">
        <f>"20190305134922138"</f>
        <v>20190305134922138</v>
      </c>
      <c r="B779" t="str">
        <f>"1551764962131219"</f>
        <v>1551764962131219</v>
      </c>
      <c r="C779" t="s">
        <v>40</v>
      </c>
      <c r="D779">
        <v>3.8963779999999999</v>
      </c>
      <c r="E779">
        <v>0.5489134</v>
      </c>
      <c r="F779" t="s">
        <v>45</v>
      </c>
      <c r="G779">
        <v>-169.2955</v>
      </c>
      <c r="H779">
        <v>2.5492279999999998</v>
      </c>
      <c r="I779">
        <v>356.27870000000001</v>
      </c>
      <c r="J779">
        <v>-356.952</v>
      </c>
      <c r="K779">
        <v>1.1097840000000001</v>
      </c>
      <c r="L779">
        <v>367.67899999999997</v>
      </c>
      <c r="M779">
        <v>0.99985769999999996</v>
      </c>
      <c r="N779">
        <v>-1.340245E-2</v>
      </c>
      <c r="O779">
        <v>1.0256940000000001E-2</v>
      </c>
      <c r="P779">
        <v>0.99299789999999999</v>
      </c>
      <c r="Q779">
        <v>-9.9301780000000006E-2</v>
      </c>
      <c r="R779">
        <v>6.3986520000000005E-2</v>
      </c>
      <c r="S779">
        <v>3.0354000000000001</v>
      </c>
      <c r="T779">
        <v>2.3262979999999999E-2</v>
      </c>
      <c r="U779">
        <v>-0.18420410000000001</v>
      </c>
      <c r="V779">
        <v>-5.3781179999999998E-2</v>
      </c>
      <c r="W779">
        <v>-8.5986309999999996E-2</v>
      </c>
      <c r="X779">
        <v>0.9948437</v>
      </c>
      <c r="Y779">
        <v>7.0808969999999999E-2</v>
      </c>
      <c r="Z779" s="1">
        <v>1.199718E-5</v>
      </c>
      <c r="AA779">
        <v>0.99748990000000004</v>
      </c>
      <c r="AB779">
        <v>35</v>
      </c>
      <c r="AC779">
        <v>187.65649999999999</v>
      </c>
      <c r="AD779">
        <v>1.43944399999999</v>
      </c>
      <c r="AE779">
        <v>-11.4003</v>
      </c>
      <c r="AF779">
        <v>13.323873231156499</v>
      </c>
      <c r="AG779">
        <v>1.43944399999999</v>
      </c>
      <c r="AH779">
        <v>187.51869133707399</v>
      </c>
      <c r="AI779">
        <v>89.561296780278496</v>
      </c>
      <c r="AJ779">
        <v>85.935760487855305</v>
      </c>
      <c r="AK779">
        <v>187.99696060755301</v>
      </c>
      <c r="AL779">
        <v>94.932743815172103</v>
      </c>
      <c r="AM779">
        <v>93.094393699932496</v>
      </c>
      <c r="AN779">
        <v>1.0000000241296401</v>
      </c>
    </row>
    <row r="780" spans="1:40" x14ac:dyDescent="0.25">
      <c r="A780" t="str">
        <f>"20190305134922147"</f>
        <v>20190305134922147</v>
      </c>
      <c r="B780" t="str">
        <f>"1551764962141955"</f>
        <v>1551764962141955</v>
      </c>
      <c r="C780" t="s">
        <v>40</v>
      </c>
      <c r="D780">
        <v>3.7690260000000002</v>
      </c>
      <c r="E780">
        <v>0.5489134</v>
      </c>
      <c r="F780" t="s">
        <v>45</v>
      </c>
      <c r="G780">
        <v>-169.2955</v>
      </c>
      <c r="H780">
        <v>2.5284789999999999</v>
      </c>
      <c r="I780">
        <v>356.21550000000002</v>
      </c>
      <c r="J780">
        <v>-356.78050000000002</v>
      </c>
      <c r="K780">
        <v>1.109766</v>
      </c>
      <c r="L780">
        <v>367.68079999999998</v>
      </c>
      <c r="M780">
        <v>0.99985769999999996</v>
      </c>
      <c r="N780">
        <v>-1.339363E-2</v>
      </c>
      <c r="O780">
        <v>1.027144E-2</v>
      </c>
      <c r="P780">
        <v>0.99295679999999997</v>
      </c>
      <c r="Q780">
        <v>-9.9573079999999994E-2</v>
      </c>
      <c r="R780">
        <v>6.4206390000000002E-2</v>
      </c>
      <c r="S780">
        <v>3.0354000000000001</v>
      </c>
      <c r="T780">
        <v>2.2949219999999999E-2</v>
      </c>
      <c r="U780">
        <v>-0.1854248</v>
      </c>
      <c r="V780">
        <v>-5.399002E-2</v>
      </c>
      <c r="W780">
        <v>-8.6264629999999995E-2</v>
      </c>
      <c r="X780">
        <v>0.99480829999999998</v>
      </c>
      <c r="Y780">
        <v>7.1223120000000001E-2</v>
      </c>
      <c r="Z780" s="1">
        <v>6.5838100000000002E-6</v>
      </c>
      <c r="AA780">
        <v>0.99746040000000002</v>
      </c>
      <c r="AB780">
        <v>35</v>
      </c>
      <c r="AC780">
        <v>187.48500000000001</v>
      </c>
      <c r="AD780">
        <v>1.4187129999999999</v>
      </c>
      <c r="AE780">
        <v>-11.4652999999999</v>
      </c>
      <c r="AF780">
        <v>13.389844592497001</v>
      </c>
      <c r="AG780">
        <v>1.4187129999999999</v>
      </c>
      <c r="AH780">
        <v>187.346644598095</v>
      </c>
      <c r="AI780">
        <v>89.567230529359804</v>
      </c>
      <c r="AJ780">
        <v>85.911966854116997</v>
      </c>
      <c r="AK780">
        <v>187.82988560650401</v>
      </c>
      <c r="AL780">
        <v>94.948749814768206</v>
      </c>
      <c r="AM780">
        <v>93.106496508234898</v>
      </c>
      <c r="AN780">
        <v>1.00000003119876</v>
      </c>
    </row>
    <row r="781" spans="1:40" x14ac:dyDescent="0.25">
      <c r="A781" t="str">
        <f>"20190305134922159"</f>
        <v>20190305134922159</v>
      </c>
      <c r="B781" t="str">
        <f>"1551764962151715"</f>
        <v>1551764962151715</v>
      </c>
      <c r="C781" t="s">
        <v>40</v>
      </c>
      <c r="D781">
        <v>3.9097400000000002</v>
      </c>
      <c r="E781">
        <v>0.5489733</v>
      </c>
      <c r="F781" t="s">
        <v>45</v>
      </c>
      <c r="G781">
        <v>-169.2955</v>
      </c>
      <c r="H781">
        <v>2.4695209999999999</v>
      </c>
      <c r="I781">
        <v>356.27690000000001</v>
      </c>
      <c r="J781">
        <v>-356.60520000000002</v>
      </c>
      <c r="K781">
        <v>1.1097490000000001</v>
      </c>
      <c r="L781">
        <v>367.68259999999998</v>
      </c>
      <c r="M781">
        <v>0.99985769999999996</v>
      </c>
      <c r="N781">
        <v>-1.338547E-2</v>
      </c>
      <c r="O781">
        <v>1.0272069999999999E-2</v>
      </c>
      <c r="P781">
        <v>0.99296249999999997</v>
      </c>
      <c r="Q781">
        <v>-9.9674960000000007E-2</v>
      </c>
      <c r="R781">
        <v>6.3956020000000002E-2</v>
      </c>
      <c r="S781">
        <v>3.035431</v>
      </c>
      <c r="T781">
        <v>2.2016170000000002E-2</v>
      </c>
      <c r="U781">
        <v>-0.1846313</v>
      </c>
      <c r="V781">
        <v>-5.3742850000000002E-2</v>
      </c>
      <c r="W781">
        <v>-8.6372459999999998E-2</v>
      </c>
      <c r="X781">
        <v>0.99481229999999998</v>
      </c>
      <c r="Y781">
        <v>7.0963440000000003E-2</v>
      </c>
      <c r="Z781" s="1">
        <v>-6.4831109999999999E-6</v>
      </c>
      <c r="AA781">
        <v>0.99747889999999995</v>
      </c>
      <c r="AB781">
        <v>35</v>
      </c>
      <c r="AC781">
        <v>187.30969999999999</v>
      </c>
      <c r="AD781">
        <v>1.359772</v>
      </c>
      <c r="AE781">
        <v>-11.4056999999999</v>
      </c>
      <c r="AF781">
        <v>13.328628950485299</v>
      </c>
      <c r="AG781">
        <v>1.359772</v>
      </c>
      <c r="AH781">
        <v>187.17281770684599</v>
      </c>
      <c r="AI781">
        <v>89.584816585491097</v>
      </c>
      <c r="AJ781">
        <v>85.926827043382701</v>
      </c>
      <c r="AK781">
        <v>187.65171200367999</v>
      </c>
      <c r="AL781">
        <v>94.954951299564001</v>
      </c>
      <c r="AM781">
        <v>93.092290009857095</v>
      </c>
      <c r="AN781">
        <v>1.0000000040019299</v>
      </c>
    </row>
    <row r="782" spans="1:40" x14ac:dyDescent="0.25">
      <c r="A782" t="str">
        <f>"20190305134922171"</f>
        <v>20190305134922171</v>
      </c>
      <c r="B782" t="str">
        <f>"1551764962161475"</f>
        <v>1551764962161475</v>
      </c>
      <c r="C782" t="s">
        <v>40</v>
      </c>
      <c r="D782">
        <v>3.9106909999999999</v>
      </c>
      <c r="E782">
        <v>0.54906049999999995</v>
      </c>
      <c r="F782" t="s">
        <v>45</v>
      </c>
      <c r="G782">
        <v>-169.2955</v>
      </c>
      <c r="H782">
        <v>2.4467560000000002</v>
      </c>
      <c r="I782">
        <v>356.21190000000001</v>
      </c>
      <c r="J782">
        <v>-356.43099999999998</v>
      </c>
      <c r="K782">
        <v>1.1097349999999999</v>
      </c>
      <c r="L782">
        <v>367.68439999999998</v>
      </c>
      <c r="M782">
        <v>0.99985780000000002</v>
      </c>
      <c r="N782">
        <v>-1.337758E-2</v>
      </c>
      <c r="O782">
        <v>1.0269189999999999E-2</v>
      </c>
      <c r="P782">
        <v>0.99292460000000005</v>
      </c>
      <c r="Q782">
        <v>-0.1000596</v>
      </c>
      <c r="R782">
        <v>6.3943100000000003E-2</v>
      </c>
      <c r="S782">
        <v>3.0353699999999999</v>
      </c>
      <c r="T782">
        <v>2.1667720000000001E-2</v>
      </c>
      <c r="U782">
        <v>-0.18588260000000001</v>
      </c>
      <c r="V782">
        <v>-5.3736270000000003E-2</v>
      </c>
      <c r="W782">
        <v>-8.6763350000000003E-2</v>
      </c>
      <c r="X782">
        <v>0.99477859999999996</v>
      </c>
      <c r="Y782">
        <v>7.1371470000000006E-2</v>
      </c>
      <c r="Z782" s="1">
        <v>-1.287222E-5</v>
      </c>
      <c r="AA782">
        <v>0.99744980000000005</v>
      </c>
      <c r="AB782">
        <v>35</v>
      </c>
      <c r="AC782">
        <v>187.13550000000001</v>
      </c>
      <c r="AD782">
        <v>1.337021</v>
      </c>
      <c r="AE782">
        <v>-11.472499999999901</v>
      </c>
      <c r="AF782">
        <v>13.3931157931172</v>
      </c>
      <c r="AG782">
        <v>1.337021</v>
      </c>
      <c r="AH782">
        <v>186.99829701966399</v>
      </c>
      <c r="AI782">
        <v>89.591393939154202</v>
      </c>
      <c r="AJ782">
        <v>85.903380227314202</v>
      </c>
      <c r="AK782">
        <v>187.482069180113</v>
      </c>
      <c r="AL782">
        <v>94.977432238670701</v>
      </c>
      <c r="AM782">
        <v>93.092016681416794</v>
      </c>
      <c r="AN782">
        <v>0.99999996431734695</v>
      </c>
    </row>
    <row r="783" spans="1:40" x14ac:dyDescent="0.25">
      <c r="A783" t="str">
        <f>"20190305134922183"</f>
        <v>20190305134922183</v>
      </c>
      <c r="B783" t="str">
        <f>"1551764962171236"</f>
        <v>1551764962171236</v>
      </c>
      <c r="C783" t="s">
        <v>40</v>
      </c>
      <c r="D783">
        <v>3.9138000000000002</v>
      </c>
      <c r="E783">
        <v>0.54907850000000002</v>
      </c>
      <c r="F783" t="s">
        <v>45</v>
      </c>
      <c r="G783">
        <v>-169.2955</v>
      </c>
      <c r="H783">
        <v>2.3918919999999999</v>
      </c>
      <c r="I783">
        <v>356.19119999999998</v>
      </c>
      <c r="J783">
        <v>-356.2364</v>
      </c>
      <c r="K783">
        <v>1.109715</v>
      </c>
      <c r="L783">
        <v>367.68630000000002</v>
      </c>
      <c r="M783">
        <v>0.99985829999999998</v>
      </c>
      <c r="N783">
        <v>-1.336967E-2</v>
      </c>
      <c r="O783">
        <v>1.024971E-2</v>
      </c>
      <c r="P783">
        <v>0.99291099999999999</v>
      </c>
      <c r="Q783">
        <v>-0.1002739</v>
      </c>
      <c r="R783">
        <v>6.3822489999999996E-2</v>
      </c>
      <c r="S783">
        <v>3.0355219999999998</v>
      </c>
      <c r="T783">
        <v>2.079928E-2</v>
      </c>
      <c r="U783">
        <v>-0.18643190000000001</v>
      </c>
      <c r="V783">
        <v>-5.3638949999999998E-2</v>
      </c>
      <c r="W783">
        <v>-8.6983399999999905E-2</v>
      </c>
      <c r="X783">
        <v>0.99476469999999995</v>
      </c>
      <c r="Y783">
        <v>7.1528869999999994E-2</v>
      </c>
      <c r="Z783" s="1">
        <v>-2.6734720000000001E-5</v>
      </c>
      <c r="AA783">
        <v>0.99743850000000001</v>
      </c>
      <c r="AB783">
        <v>35</v>
      </c>
      <c r="AC783">
        <v>186.9409</v>
      </c>
      <c r="AD783">
        <v>1.2821769999999999</v>
      </c>
      <c r="AE783">
        <v>-11.495100000000001</v>
      </c>
      <c r="AF783">
        <v>13.410128470238201</v>
      </c>
      <c r="AG783">
        <v>1.2821769999999999</v>
      </c>
      <c r="AH783">
        <v>186.804491773173</v>
      </c>
      <c r="AI783">
        <v>89.607752351633806</v>
      </c>
      <c r="AJ783">
        <v>85.893953245743901</v>
      </c>
      <c r="AK783">
        <v>187.28959840333101</v>
      </c>
      <c r="AL783">
        <v>94.990087700785594</v>
      </c>
      <c r="AM783">
        <v>93.086470711529401</v>
      </c>
      <c r="AN783">
        <v>1.00000002859937</v>
      </c>
    </row>
    <row r="784" spans="1:40" x14ac:dyDescent="0.25">
      <c r="A784" t="str">
        <f>"20190305134922205"</f>
        <v>20190305134922205</v>
      </c>
      <c r="B784" t="str">
        <f>"1551764962201491"</f>
        <v>1551764962201491</v>
      </c>
      <c r="C784" t="s">
        <v>40</v>
      </c>
      <c r="D784">
        <v>3.9064390000000002</v>
      </c>
      <c r="E784">
        <v>0.54923959999999905</v>
      </c>
      <c r="F784" t="s">
        <v>45</v>
      </c>
      <c r="G784">
        <v>-169.2955</v>
      </c>
      <c r="H784">
        <v>2.3305950000000002</v>
      </c>
      <c r="I784">
        <v>356.15570000000002</v>
      </c>
      <c r="J784">
        <v>-355.91269999999997</v>
      </c>
      <c r="K784">
        <v>1.109683</v>
      </c>
      <c r="L784">
        <v>367.68970000000002</v>
      </c>
      <c r="M784">
        <v>0.99985889999999999</v>
      </c>
      <c r="N784">
        <v>-1.335742E-2</v>
      </c>
      <c r="O784">
        <v>1.0200499999999999E-2</v>
      </c>
      <c r="P784">
        <v>0.99287879999999995</v>
      </c>
      <c r="Q784">
        <v>-0.10073989999999999</v>
      </c>
      <c r="R784">
        <v>6.3587309999999994E-2</v>
      </c>
      <c r="S784">
        <v>3.0354000000000001</v>
      </c>
      <c r="T784">
        <v>1.9825099999999998E-2</v>
      </c>
      <c r="U784">
        <v>-0.18722530000000001</v>
      </c>
      <c r="V784">
        <v>-5.3458840000000001E-2</v>
      </c>
      <c r="W784">
        <v>-8.7458240000000007E-2</v>
      </c>
      <c r="X784">
        <v>0.99473270000000003</v>
      </c>
      <c r="Y784">
        <v>7.1742070000000005E-2</v>
      </c>
      <c r="Z784" s="1">
        <v>-4.2877280000000002E-5</v>
      </c>
      <c r="AA784">
        <v>0.99742319999999995</v>
      </c>
      <c r="AB784">
        <v>35</v>
      </c>
      <c r="AC784">
        <v>186.6172</v>
      </c>
      <c r="AD784">
        <v>1.220912</v>
      </c>
      <c r="AE784">
        <v>-11.533999999999899</v>
      </c>
      <c r="AF784">
        <v>13.4365852083235</v>
      </c>
      <c r="AG784">
        <v>1.220912</v>
      </c>
      <c r="AH784">
        <v>186.48187474449799</v>
      </c>
      <c r="AI784">
        <v>89.625855159126303</v>
      </c>
      <c r="AJ784">
        <v>85.878787248061201</v>
      </c>
      <c r="AK784">
        <v>186.96930779246799</v>
      </c>
      <c r="AL784">
        <v>95.017398413520993</v>
      </c>
      <c r="AM784">
        <v>93.076225599645795</v>
      </c>
      <c r="AN784">
        <v>0.99999996788366596</v>
      </c>
    </row>
    <row r="785" spans="1:40" x14ac:dyDescent="0.25">
      <c r="A785" t="str">
        <f>"20190305134922219"</f>
        <v>20190305134922219</v>
      </c>
      <c r="B785" t="str">
        <f>"1551764962211251"</f>
        <v>1551764962211251</v>
      </c>
      <c r="C785" t="s">
        <v>40</v>
      </c>
      <c r="D785">
        <v>3.8860480000000002</v>
      </c>
      <c r="E785">
        <v>0.54927990000000004</v>
      </c>
      <c r="F785" t="s">
        <v>45</v>
      </c>
      <c r="G785">
        <v>-169.2955</v>
      </c>
      <c r="H785">
        <v>2.2376589999999998</v>
      </c>
      <c r="I785">
        <v>356.06869999999998</v>
      </c>
      <c r="J785">
        <v>-355.70170000000002</v>
      </c>
      <c r="K785">
        <v>1.109664</v>
      </c>
      <c r="L785">
        <v>367.6918</v>
      </c>
      <c r="M785">
        <v>0.99985950000000001</v>
      </c>
      <c r="N785">
        <v>-1.335017E-2</v>
      </c>
      <c r="O785">
        <v>1.0155300000000001E-2</v>
      </c>
      <c r="P785">
        <v>0.99285789999999996</v>
      </c>
      <c r="Q785">
        <v>-0.1010162</v>
      </c>
      <c r="R785">
        <v>6.3477580000000006E-2</v>
      </c>
      <c r="S785">
        <v>3.0354920000000001</v>
      </c>
      <c r="T785">
        <v>1.8348929999999999E-2</v>
      </c>
      <c r="U785">
        <v>-0.1890259</v>
      </c>
      <c r="V785">
        <v>-5.3398699999999903E-2</v>
      </c>
      <c r="W785">
        <v>-8.7739650000000002E-2</v>
      </c>
      <c r="X785">
        <v>0.99471120000000002</v>
      </c>
      <c r="Y785">
        <v>7.2284589999999996E-2</v>
      </c>
      <c r="Z785" s="1">
        <v>-6.7961519999999896E-5</v>
      </c>
      <c r="AA785">
        <v>0.9973841</v>
      </c>
      <c r="AB785">
        <v>35</v>
      </c>
      <c r="AC785">
        <v>186.40620000000001</v>
      </c>
      <c r="AD785">
        <v>1.1279950000000001</v>
      </c>
      <c r="AE785">
        <v>-11.623100000000001</v>
      </c>
      <c r="AF785">
        <v>13.515186792236699</v>
      </c>
      <c r="AG785">
        <v>1.1279950000000001</v>
      </c>
      <c r="AH785">
        <v>186.271744963662</v>
      </c>
      <c r="AI785">
        <v>89.653951167389394</v>
      </c>
      <c r="AJ785">
        <v>85.850102857314297</v>
      </c>
      <c r="AK785">
        <v>186.764813652242</v>
      </c>
      <c r="AL785">
        <v>95.033583980732402</v>
      </c>
      <c r="AM785">
        <v>93.072837838776707</v>
      </c>
      <c r="AN785">
        <v>1.0000000193746199</v>
      </c>
    </row>
    <row r="786" spans="1:40" x14ac:dyDescent="0.25">
      <c r="A786" t="str">
        <f>"20190305134922228"</f>
        <v>20190305134922228</v>
      </c>
      <c r="B786" t="str">
        <f>"1551764962221988"</f>
        <v>1551764962221988</v>
      </c>
      <c r="C786" t="s">
        <v>40</v>
      </c>
      <c r="D786">
        <v>3.884684</v>
      </c>
      <c r="E786">
        <v>0.54933120000000002</v>
      </c>
      <c r="F786" t="s">
        <v>45</v>
      </c>
      <c r="G786">
        <v>-169.2955</v>
      </c>
      <c r="H786">
        <v>2.1941989999999998</v>
      </c>
      <c r="I786">
        <v>356.02800000000002</v>
      </c>
      <c r="J786">
        <v>-355.52589999999998</v>
      </c>
      <c r="K786">
        <v>1.1096459999999999</v>
      </c>
      <c r="L786">
        <v>367.6936</v>
      </c>
      <c r="M786">
        <v>0.99985979999999997</v>
      </c>
      <c r="N786">
        <v>-1.3344379999999999E-2</v>
      </c>
      <c r="O786">
        <v>1.011331E-2</v>
      </c>
      <c r="P786">
        <v>0.99285500000000004</v>
      </c>
      <c r="Q786">
        <v>-0.1011402</v>
      </c>
      <c r="R786">
        <v>6.3324980000000003E-2</v>
      </c>
      <c r="S786">
        <v>3.0355530000000002</v>
      </c>
      <c r="T786">
        <v>1.766264E-2</v>
      </c>
      <c r="U786">
        <v>-0.18994140000000001</v>
      </c>
      <c r="V786">
        <v>-5.3291369999999998E-2</v>
      </c>
      <c r="W786">
        <v>-8.7867559999999997E-2</v>
      </c>
      <c r="X786">
        <v>0.99470559999999997</v>
      </c>
      <c r="Y786">
        <v>7.2541140000000004E-2</v>
      </c>
      <c r="Z786" s="1">
        <v>-8.0053230000000003E-5</v>
      </c>
      <c r="AA786">
        <v>0.99736539999999996</v>
      </c>
      <c r="AB786">
        <v>35</v>
      </c>
      <c r="AC786">
        <v>186.2304</v>
      </c>
      <c r="AD786">
        <v>1.0845530000000001</v>
      </c>
      <c r="AE786">
        <v>-11.6655999999999</v>
      </c>
      <c r="AF786">
        <v>13.5481191152282</v>
      </c>
      <c r="AG786">
        <v>1.0845530000000001</v>
      </c>
      <c r="AH786">
        <v>186.09659906819101</v>
      </c>
      <c r="AI786">
        <v>89.666970864549498</v>
      </c>
      <c r="AJ786">
        <v>85.8361248811797</v>
      </c>
      <c r="AK786">
        <v>186.592261285181</v>
      </c>
      <c r="AL786">
        <v>95.040941426531603</v>
      </c>
      <c r="AM786">
        <v>93.066690547269801</v>
      </c>
      <c r="AN786">
        <v>0.99999995444409395</v>
      </c>
    </row>
    <row r="787" spans="1:40" x14ac:dyDescent="0.25">
      <c r="A787" t="str">
        <f>"20190305134922239"</f>
        <v>20190305134922239</v>
      </c>
      <c r="B787" t="str">
        <f>"1551764962231747"</f>
        <v>1551764962231747</v>
      </c>
      <c r="C787" t="s">
        <v>40</v>
      </c>
      <c r="D787">
        <v>3.876741</v>
      </c>
      <c r="E787">
        <v>0.54938759999999998</v>
      </c>
      <c r="F787" t="s">
        <v>45</v>
      </c>
      <c r="G787">
        <v>-169.2955</v>
      </c>
      <c r="H787">
        <v>2.192682</v>
      </c>
      <c r="I787">
        <v>355.9923</v>
      </c>
      <c r="J787">
        <v>-355.37419999999997</v>
      </c>
      <c r="K787">
        <v>1.1096269999999999</v>
      </c>
      <c r="L787">
        <v>367.69510000000002</v>
      </c>
      <c r="M787">
        <v>0.99986039999999998</v>
      </c>
      <c r="N787">
        <v>-1.333988E-2</v>
      </c>
      <c r="O787">
        <v>1.006922E-2</v>
      </c>
      <c r="P787">
        <v>0.99283460000000001</v>
      </c>
      <c r="Q787">
        <v>-0.1013746</v>
      </c>
      <c r="R787">
        <v>6.3269560000000002E-2</v>
      </c>
      <c r="S787">
        <v>3.0356139999999998</v>
      </c>
      <c r="T787">
        <v>1.7655250000000001E-2</v>
      </c>
      <c r="U787">
        <v>-0.19073490000000001</v>
      </c>
      <c r="V787">
        <v>-5.328219E-2</v>
      </c>
      <c r="W787">
        <v>-8.8105119999999995E-2</v>
      </c>
      <c r="X787">
        <v>0.99468509999999999</v>
      </c>
      <c r="Y787">
        <v>7.2755589999999995E-2</v>
      </c>
      <c r="Z787" s="1">
        <v>-8.1713310000000003E-5</v>
      </c>
      <c r="AA787">
        <v>0.99734979999999995</v>
      </c>
      <c r="AB787">
        <v>35</v>
      </c>
      <c r="AC787">
        <v>186.0787</v>
      </c>
      <c r="AD787">
        <v>1.0830550000000001</v>
      </c>
      <c r="AE787">
        <v>-11.7028</v>
      </c>
      <c r="AF787">
        <v>13.575582470463001</v>
      </c>
      <c r="AG787">
        <v>1.0830550000000001</v>
      </c>
      <c r="AH787">
        <v>185.94514186875401</v>
      </c>
      <c r="AI787">
        <v>89.667164954729998</v>
      </c>
      <c r="AJ787">
        <v>85.824327658212397</v>
      </c>
      <c r="AK787">
        <v>186.44319572496201</v>
      </c>
      <c r="AL787">
        <v>95.054605497113499</v>
      </c>
      <c r="AM787">
        <v>93.066226357223599</v>
      </c>
      <c r="AN787">
        <v>0.99999997605170898</v>
      </c>
    </row>
    <row r="788" spans="1:40" x14ac:dyDescent="0.25">
      <c r="A788" t="str">
        <f>"20190305134922250"</f>
        <v>20190305134922250</v>
      </c>
      <c r="B788" t="str">
        <f>"1551764962241506"</f>
        <v>1551764962241506</v>
      </c>
      <c r="C788" t="s">
        <v>40</v>
      </c>
      <c r="D788">
        <v>3.8750339999999999</v>
      </c>
      <c r="E788">
        <v>0.54941289999999998</v>
      </c>
      <c r="F788" t="s">
        <v>45</v>
      </c>
      <c r="G788">
        <v>-169.2955</v>
      </c>
      <c r="H788">
        <v>2.1602290000000002</v>
      </c>
      <c r="I788">
        <v>355.95839999999998</v>
      </c>
      <c r="J788">
        <v>-355.20909999999998</v>
      </c>
      <c r="K788">
        <v>1.109613</v>
      </c>
      <c r="L788">
        <v>367.69670000000002</v>
      </c>
      <c r="M788">
        <v>0.99986090000000005</v>
      </c>
      <c r="N788">
        <v>-1.3335E-2</v>
      </c>
      <c r="O788">
        <v>1.0021240000000001E-2</v>
      </c>
      <c r="P788">
        <v>0.99281129999999995</v>
      </c>
      <c r="Q788">
        <v>-0.1016022</v>
      </c>
      <c r="R788">
        <v>6.3267729999999994E-2</v>
      </c>
      <c r="S788">
        <v>3.0356139999999998</v>
      </c>
      <c r="T788">
        <v>1.7140510000000001E-2</v>
      </c>
      <c r="U788">
        <v>-0.19146730000000001</v>
      </c>
      <c r="V788">
        <v>-5.3331360000000001E-2</v>
      </c>
      <c r="W788">
        <v>-8.8336209999999998E-2</v>
      </c>
      <c r="X788">
        <v>0.99466200000000005</v>
      </c>
      <c r="Y788">
        <v>7.2947449999999997E-2</v>
      </c>
      <c r="Z788" s="1">
        <v>-9.1108549999999994E-5</v>
      </c>
      <c r="AA788">
        <v>0.99733579999999999</v>
      </c>
      <c r="AB788">
        <v>35</v>
      </c>
      <c r="AC788">
        <v>185.9136</v>
      </c>
      <c r="AD788">
        <v>1.050616</v>
      </c>
      <c r="AE788">
        <v>-11.738300000000001</v>
      </c>
      <c r="AF788">
        <v>13.6005282761027</v>
      </c>
      <c r="AG788">
        <v>1.050616</v>
      </c>
      <c r="AH788">
        <v>185.780710785125</v>
      </c>
      <c r="AI788">
        <v>89.676852528581406</v>
      </c>
      <c r="AJ788">
        <v>85.812992452684099</v>
      </c>
      <c r="AK788">
        <v>186.28083815356501</v>
      </c>
      <c r="AL788">
        <v>95.067897648689197</v>
      </c>
      <c r="AM788">
        <v>93.069121672092507</v>
      </c>
      <c r="AN788">
        <v>1.0000000071002999</v>
      </c>
    </row>
    <row r="789" spans="1:40" x14ac:dyDescent="0.25">
      <c r="A789" t="str">
        <f>"20190305134922260"</f>
        <v>20190305134922260</v>
      </c>
      <c r="B789" t="str">
        <f>"1551764962251268"</f>
        <v>1551764962251268</v>
      </c>
      <c r="C789" t="s">
        <v>40</v>
      </c>
      <c r="D789">
        <v>3.8885360000000002</v>
      </c>
      <c r="E789">
        <v>0.54946629999999996</v>
      </c>
      <c r="F789" t="s">
        <v>45</v>
      </c>
      <c r="G789">
        <v>-169.2955</v>
      </c>
      <c r="H789">
        <v>2.1059260000000002</v>
      </c>
      <c r="I789">
        <v>355.96460000000002</v>
      </c>
      <c r="J789">
        <v>-355.05239999999998</v>
      </c>
      <c r="K789">
        <v>1.109599</v>
      </c>
      <c r="L789">
        <v>367.69819999999999</v>
      </c>
      <c r="M789">
        <v>0.99986149999999996</v>
      </c>
      <c r="N789">
        <v>-1.33308E-2</v>
      </c>
      <c r="O789">
        <v>9.9689640000000003E-3</v>
      </c>
      <c r="P789">
        <v>0.99283639999999995</v>
      </c>
      <c r="Q789">
        <v>-0.1013372</v>
      </c>
      <c r="R789">
        <v>6.3300239999999994E-2</v>
      </c>
      <c r="S789">
        <v>3.0355530000000002</v>
      </c>
      <c r="T789">
        <v>1.6268970000000001E-2</v>
      </c>
      <c r="U789">
        <v>-0.1915588</v>
      </c>
      <c r="V789">
        <v>-5.3417510000000001E-2</v>
      </c>
      <c r="W789">
        <v>-8.8073949999999998E-2</v>
      </c>
      <c r="X789">
        <v>0.99468060000000003</v>
      </c>
      <c r="Y789">
        <v>7.2926569999999996E-2</v>
      </c>
      <c r="Z789">
        <v>-1.052212E-4</v>
      </c>
      <c r="AA789">
        <v>0.99733729999999998</v>
      </c>
      <c r="AB789">
        <v>35</v>
      </c>
      <c r="AC789">
        <v>185.7569</v>
      </c>
      <c r="AD789">
        <v>0.99632699999999896</v>
      </c>
      <c r="AE789">
        <v>-11.7335999999999</v>
      </c>
      <c r="AF789">
        <v>13.584595897066</v>
      </c>
      <c r="AG789">
        <v>0.99632699999999896</v>
      </c>
      <c r="AH789">
        <v>185.62536672348901</v>
      </c>
      <c r="AI789">
        <v>89.693293358750594</v>
      </c>
      <c r="AJ789">
        <v>85.814392469936607</v>
      </c>
      <c r="AK789">
        <v>186.124449453604</v>
      </c>
      <c r="AL789">
        <v>95.052812630689999</v>
      </c>
      <c r="AM789">
        <v>93.074012571702497</v>
      </c>
      <c r="AN789">
        <v>0.99999997352978098</v>
      </c>
    </row>
    <row r="790" spans="1:40" x14ac:dyDescent="0.25">
      <c r="A790" t="str">
        <f>"20190305134922270"</f>
        <v>20190305134922270</v>
      </c>
      <c r="B790" t="str">
        <f>"1551764962262004"</f>
        <v>1551764962262004</v>
      </c>
      <c r="C790" t="s">
        <v>40</v>
      </c>
      <c r="D790">
        <v>3.8474740000000001</v>
      </c>
      <c r="E790">
        <v>0.54952239999999997</v>
      </c>
      <c r="F790" t="s">
        <v>45</v>
      </c>
      <c r="G790">
        <v>-169.2955</v>
      </c>
      <c r="H790">
        <v>2.15646</v>
      </c>
      <c r="I790">
        <v>355.95389999999998</v>
      </c>
      <c r="J790">
        <v>-354.88440000000003</v>
      </c>
      <c r="K790">
        <v>1.109594</v>
      </c>
      <c r="L790">
        <v>367.69979999999998</v>
      </c>
      <c r="M790">
        <v>0.99986229999999998</v>
      </c>
      <c r="N790">
        <v>-1.3326360000000001E-2</v>
      </c>
      <c r="O790">
        <v>9.9122700000000008E-3</v>
      </c>
      <c r="P790">
        <v>0.9928536</v>
      </c>
      <c r="Q790">
        <v>-0.1012006</v>
      </c>
      <c r="R790">
        <v>6.3251730000000006E-2</v>
      </c>
      <c r="S790">
        <v>3.0356450000000001</v>
      </c>
      <c r="T790">
        <v>1.7109269999999999E-2</v>
      </c>
      <c r="U790">
        <v>-0.19192500000000001</v>
      </c>
      <c r="V790">
        <v>-5.3427160000000001E-2</v>
      </c>
      <c r="W790">
        <v>-8.7940260000000006E-2</v>
      </c>
      <c r="X790">
        <v>0.99469189999999996</v>
      </c>
      <c r="Y790">
        <v>7.2987930000000006E-2</v>
      </c>
      <c r="Z790" s="1">
        <v>-9.3584469999999996E-5</v>
      </c>
      <c r="AA790">
        <v>0.99733280000000002</v>
      </c>
      <c r="AB790">
        <v>35</v>
      </c>
      <c r="AC790">
        <v>185.5889</v>
      </c>
      <c r="AD790">
        <v>1.0468660000000001</v>
      </c>
      <c r="AE790">
        <v>-11.745900000000001</v>
      </c>
      <c r="AF790">
        <v>13.584662560845899</v>
      </c>
      <c r="AG790">
        <v>1.0468660000000001</v>
      </c>
      <c r="AH790">
        <v>185.45746455851801</v>
      </c>
      <c r="AI790">
        <v>89.677445700405102</v>
      </c>
      <c r="AJ790">
        <v>85.810596070005303</v>
      </c>
      <c r="AK790">
        <v>185.95728043233001</v>
      </c>
      <c r="AL790">
        <v>95.045122972005601</v>
      </c>
      <c r="AM790">
        <v>93.0745319730284</v>
      </c>
      <c r="AN790">
        <v>0.99999996334007002</v>
      </c>
    </row>
    <row r="791" spans="1:40" x14ac:dyDescent="0.25">
      <c r="A791" t="str">
        <f>"20190305134922282"</f>
        <v>20190305134922282</v>
      </c>
      <c r="B791" t="str">
        <f>"1551764962271764"</f>
        <v>1551764962271764</v>
      </c>
      <c r="C791" t="s">
        <v>40</v>
      </c>
      <c r="D791">
        <v>3.8840469999999998</v>
      </c>
      <c r="E791">
        <v>0.5495544</v>
      </c>
      <c r="F791" t="s">
        <v>45</v>
      </c>
      <c r="G791">
        <v>-169.2955</v>
      </c>
      <c r="H791">
        <v>2.193568</v>
      </c>
      <c r="I791">
        <v>355.91980000000001</v>
      </c>
      <c r="J791">
        <v>-354.71109999999999</v>
      </c>
      <c r="K791">
        <v>1.109586</v>
      </c>
      <c r="L791">
        <v>367.70139999999998</v>
      </c>
      <c r="M791">
        <v>0.99986280000000005</v>
      </c>
      <c r="N791">
        <v>-1.332216E-2</v>
      </c>
      <c r="O791">
        <v>9.8499450000000006E-3</v>
      </c>
      <c r="P791">
        <v>0.99286620000000003</v>
      </c>
      <c r="Q791">
        <v>-0.10113419999999999</v>
      </c>
      <c r="R791">
        <v>6.3156030000000002E-2</v>
      </c>
      <c r="S791">
        <v>3.0357059999999998</v>
      </c>
      <c r="T791">
        <v>1.773214E-2</v>
      </c>
      <c r="U791">
        <v>-0.192688</v>
      </c>
      <c r="V791">
        <v>-5.339472E-2</v>
      </c>
      <c r="W791">
        <v>-8.7876899999999994E-2</v>
      </c>
      <c r="X791">
        <v>0.99469929999999995</v>
      </c>
      <c r="Y791">
        <v>7.3174139999999999E-2</v>
      </c>
      <c r="Z791" s="1">
        <v>-8.5864679999999997E-5</v>
      </c>
      <c r="AA791">
        <v>0.99731919999999996</v>
      </c>
      <c r="AB791">
        <v>35</v>
      </c>
      <c r="AC791">
        <v>185.41560000000001</v>
      </c>
      <c r="AD791">
        <v>1.083982</v>
      </c>
      <c r="AE791">
        <v>-11.7815999999999</v>
      </c>
      <c r="AF791">
        <v>13.6070605964587</v>
      </c>
      <c r="AG791">
        <v>1.083982</v>
      </c>
      <c r="AH791">
        <v>185.284237888392</v>
      </c>
      <c r="AI791">
        <v>89.665702357658304</v>
      </c>
      <c r="AJ791">
        <v>85.7998041694416</v>
      </c>
      <c r="AK791">
        <v>185.78637174167</v>
      </c>
      <c r="AL791">
        <v>95.041478308055005</v>
      </c>
      <c r="AM791">
        <v>93.072645936289604</v>
      </c>
      <c r="AN791">
        <v>1.0000000215489799</v>
      </c>
    </row>
    <row r="792" spans="1:40" x14ac:dyDescent="0.25">
      <c r="A792" t="str">
        <f>"20190305134922293"</f>
        <v>20190305134922293</v>
      </c>
      <c r="B792" t="str">
        <f>"1551764962281523"</f>
        <v>1551764962281523</v>
      </c>
      <c r="C792" t="s">
        <v>40</v>
      </c>
      <c r="D792">
        <v>3.8670070000000001</v>
      </c>
      <c r="E792">
        <v>0.54963549999999906</v>
      </c>
      <c r="F792" t="s">
        <v>45</v>
      </c>
      <c r="G792">
        <v>-169.2955</v>
      </c>
      <c r="H792">
        <v>2.2191230000000002</v>
      </c>
      <c r="I792">
        <v>355.89699999999999</v>
      </c>
      <c r="J792">
        <v>-354.5462</v>
      </c>
      <c r="K792">
        <v>1.109578</v>
      </c>
      <c r="L792">
        <v>367.70299999999997</v>
      </c>
      <c r="M792">
        <v>0.99986350000000002</v>
      </c>
      <c r="N792">
        <v>-1.331762E-2</v>
      </c>
      <c r="O792">
        <v>9.7894899999999997E-3</v>
      </c>
      <c r="P792">
        <v>0.99289749999999999</v>
      </c>
      <c r="Q792">
        <v>-0.10101449999999999</v>
      </c>
      <c r="R792">
        <v>6.2856430000000005E-2</v>
      </c>
      <c r="S792">
        <v>3.0357059999999998</v>
      </c>
      <c r="T792">
        <v>1.8167260000000001E-2</v>
      </c>
      <c r="U792">
        <v>-0.19326779999999999</v>
      </c>
      <c r="V792">
        <v>-5.3156219999999997E-2</v>
      </c>
      <c r="W792">
        <v>-8.7760649999999996E-2</v>
      </c>
      <c r="X792">
        <v>0.99472229999999995</v>
      </c>
      <c r="Y792">
        <v>7.3303569999999998E-2</v>
      </c>
      <c r="Z792" s="1">
        <v>-8.0740950000000002E-5</v>
      </c>
      <c r="AA792">
        <v>0.99730969999999997</v>
      </c>
      <c r="AB792">
        <v>35</v>
      </c>
      <c r="AC792">
        <v>185.25069999999999</v>
      </c>
      <c r="AD792">
        <v>1.10954499999999</v>
      </c>
      <c r="AE792">
        <v>-11.805999999999999</v>
      </c>
      <c r="AF792">
        <v>13.6186181358357</v>
      </c>
      <c r="AG792">
        <v>1.10954499999999</v>
      </c>
      <c r="AH792">
        <v>185.11962261816899</v>
      </c>
      <c r="AI792">
        <v>89.657517895858405</v>
      </c>
      <c r="AJ792">
        <v>85.792524685417106</v>
      </c>
      <c r="AK792">
        <v>185.62320040428699</v>
      </c>
      <c r="AL792">
        <v>95.034792026122304</v>
      </c>
      <c r="AM792">
        <v>93.058876773689505</v>
      </c>
      <c r="AN792">
        <v>0.99999998476520002</v>
      </c>
    </row>
    <row r="793" spans="1:40" x14ac:dyDescent="0.25">
      <c r="A793" t="str">
        <f>"20190305134922303"</f>
        <v>20190305134922303</v>
      </c>
      <c r="B793" t="str">
        <f>"1551764962301043"</f>
        <v>1551764962301043</v>
      </c>
      <c r="C793" t="s">
        <v>40</v>
      </c>
      <c r="D793">
        <v>3.9973619999999999</v>
      </c>
      <c r="E793">
        <v>0.54968509999999904</v>
      </c>
      <c r="F793" t="s">
        <v>45</v>
      </c>
      <c r="G793">
        <v>-169.2955</v>
      </c>
      <c r="H793">
        <v>2.2697409999999998</v>
      </c>
      <c r="I793">
        <v>355.82709999999997</v>
      </c>
      <c r="J793">
        <v>-354.37139999999999</v>
      </c>
      <c r="K793">
        <v>1.109572</v>
      </c>
      <c r="L793">
        <v>367.7047</v>
      </c>
      <c r="M793">
        <v>0.99986410000000003</v>
      </c>
      <c r="N793">
        <v>-1.3311440000000001E-2</v>
      </c>
      <c r="O793">
        <v>9.7223369999999993E-3</v>
      </c>
      <c r="P793">
        <v>0.99292639999999999</v>
      </c>
      <c r="Q793">
        <v>-0.1008684</v>
      </c>
      <c r="R793">
        <v>6.2631060000000002E-2</v>
      </c>
      <c r="S793">
        <v>3.0357059999999998</v>
      </c>
      <c r="T793">
        <v>1.901305E-2</v>
      </c>
      <c r="U793">
        <v>-0.19461059999999999</v>
      </c>
      <c r="V793">
        <v>-5.2998450000000003E-2</v>
      </c>
      <c r="W793">
        <v>-8.7619790000000003E-2</v>
      </c>
      <c r="X793">
        <v>0.99474320000000005</v>
      </c>
      <c r="Y793">
        <v>7.3675899999999905E-2</v>
      </c>
      <c r="Z793" s="1">
        <v>-7.0290760000000005E-5</v>
      </c>
      <c r="AA793">
        <v>0.99728220000000001</v>
      </c>
      <c r="AB793">
        <v>35</v>
      </c>
      <c r="AC793">
        <v>185.07589999999999</v>
      </c>
      <c r="AD793">
        <v>1.16016899999999</v>
      </c>
      <c r="AE793">
        <v>-11.877599999999999</v>
      </c>
      <c r="AF793">
        <v>13.6760330945626</v>
      </c>
      <c r="AG793">
        <v>1.16016899999999</v>
      </c>
      <c r="AH793">
        <v>184.94442526111499</v>
      </c>
      <c r="AI793">
        <v>89.641563005830903</v>
      </c>
      <c r="AJ793">
        <v>85.770862465915599</v>
      </c>
      <c r="AK793">
        <v>185.453013748703</v>
      </c>
      <c r="AL793">
        <v>95.026689810491305</v>
      </c>
      <c r="AM793">
        <v>93.049751100686606</v>
      </c>
      <c r="AN793">
        <v>1.00000004862414</v>
      </c>
    </row>
    <row r="794" spans="1:40" x14ac:dyDescent="0.25">
      <c r="A794" t="str">
        <f>"20190305134922315"</f>
        <v>20190305134922315</v>
      </c>
      <c r="B794" t="str">
        <f>"1551764962311780"</f>
        <v>1551764962311780</v>
      </c>
      <c r="C794" t="s">
        <v>40</v>
      </c>
      <c r="D794">
        <v>3.8974419999999999</v>
      </c>
      <c r="E794">
        <v>0.54972929999999998</v>
      </c>
      <c r="F794" t="s">
        <v>45</v>
      </c>
      <c r="G794">
        <v>-169.2955</v>
      </c>
      <c r="H794">
        <v>2.2864900000000001</v>
      </c>
      <c r="I794">
        <v>355.78050000000002</v>
      </c>
      <c r="J794">
        <v>-354.19499999999999</v>
      </c>
      <c r="K794">
        <v>1.1095660000000001</v>
      </c>
      <c r="L794">
        <v>367.7063</v>
      </c>
      <c r="M794">
        <v>0.99986489999999995</v>
      </c>
      <c r="N794">
        <v>-1.3304369999999999E-2</v>
      </c>
      <c r="O794">
        <v>9.65389E-3</v>
      </c>
      <c r="P794">
        <v>0.99292899999999995</v>
      </c>
      <c r="Q794">
        <v>-0.1009448</v>
      </c>
      <c r="R794">
        <v>6.2468839999999998E-2</v>
      </c>
      <c r="S794">
        <v>3.0357059999999998</v>
      </c>
      <c r="T794">
        <v>1.930583E-2</v>
      </c>
      <c r="U794">
        <v>-0.19558719999999999</v>
      </c>
      <c r="V794">
        <v>-5.2905099999999899E-2</v>
      </c>
      <c r="W794">
        <v>-8.7702680000000005E-2</v>
      </c>
      <c r="X794">
        <v>0.99474079999999998</v>
      </c>
      <c r="Y794">
        <v>7.3927129999999994E-2</v>
      </c>
      <c r="Z794" s="1">
        <v>-6.7841899999999998E-5</v>
      </c>
      <c r="AA794">
        <v>0.99726369999999998</v>
      </c>
      <c r="AB794">
        <v>35</v>
      </c>
      <c r="AC794">
        <v>184.89949999999999</v>
      </c>
      <c r="AD794">
        <v>1.1769240000000001</v>
      </c>
      <c r="AE794">
        <v>-11.925799999999899</v>
      </c>
      <c r="AF794">
        <v>13.7098484086226</v>
      </c>
      <c r="AG794">
        <v>1.1769240000000001</v>
      </c>
      <c r="AH794">
        <v>184.76828659148799</v>
      </c>
      <c r="AI794">
        <v>89.636046821934102</v>
      </c>
      <c r="AJ794">
        <v>85.756416804115503</v>
      </c>
      <c r="AK794">
        <v>185.279963362052</v>
      </c>
      <c r="AL794">
        <v>95.031457734843997</v>
      </c>
      <c r="AM794">
        <v>93.044396798864398</v>
      </c>
      <c r="AN794">
        <v>0.999999984434916</v>
      </c>
    </row>
    <row r="795" spans="1:40" x14ac:dyDescent="0.25">
      <c r="A795" t="str">
        <f>"20190305134922326"</f>
        <v>20190305134922326</v>
      </c>
      <c r="B795" t="str">
        <f>"1551764962321543"</f>
        <v>1551764962321543</v>
      </c>
      <c r="C795" t="s">
        <v>40</v>
      </c>
      <c r="D795">
        <v>3.9321380000000001</v>
      </c>
      <c r="E795">
        <v>0.54979929999999999</v>
      </c>
      <c r="F795" t="s">
        <v>45</v>
      </c>
      <c r="G795">
        <v>-169.2955</v>
      </c>
      <c r="H795">
        <v>2.2712370000000002</v>
      </c>
      <c r="I795">
        <v>355.74130000000002</v>
      </c>
      <c r="J795">
        <v>-354.01990000000001</v>
      </c>
      <c r="K795">
        <v>1.1095600000000001</v>
      </c>
      <c r="L795">
        <v>367.7079</v>
      </c>
      <c r="M795">
        <v>0.99986569999999997</v>
      </c>
      <c r="N795">
        <v>-1.329659E-2</v>
      </c>
      <c r="O795">
        <v>9.5852200000000002E-3</v>
      </c>
      <c r="P795">
        <v>0.99291459999999998</v>
      </c>
      <c r="Q795">
        <v>-0.1010436</v>
      </c>
      <c r="R795">
        <v>6.2540650000000003E-2</v>
      </c>
      <c r="S795">
        <v>3.0356749999999999</v>
      </c>
      <c r="T795">
        <v>1.9073719999999999E-2</v>
      </c>
      <c r="U795">
        <v>-0.1964417</v>
      </c>
      <c r="V795">
        <v>-5.3046419999999997E-2</v>
      </c>
      <c r="W795">
        <v>-8.7808940000000002E-2</v>
      </c>
      <c r="X795">
        <v>0.99472389999999999</v>
      </c>
      <c r="Y795">
        <v>7.4138860000000001E-2</v>
      </c>
      <c r="Z795" s="1">
        <v>-7.3282629999999997E-5</v>
      </c>
      <c r="AA795">
        <v>0.99724789999999996</v>
      </c>
      <c r="AB795">
        <v>35</v>
      </c>
      <c r="AC795">
        <v>184.7244</v>
      </c>
      <c r="AD795">
        <v>1.1616769999999901</v>
      </c>
      <c r="AE795">
        <v>-11.9665999999999</v>
      </c>
      <c r="AF795">
        <v>13.736289669786</v>
      </c>
      <c r="AG795">
        <v>1.1616769999999901</v>
      </c>
      <c r="AH795">
        <v>184.59392999108599</v>
      </c>
      <c r="AI795">
        <v>89.640428057222394</v>
      </c>
      <c r="AJ795">
        <v>85.744261280261995</v>
      </c>
      <c r="AK795">
        <v>185.107952657087</v>
      </c>
      <c r="AL795">
        <v>95.037569561331296</v>
      </c>
      <c r="AM795">
        <v>93.052565389703503</v>
      </c>
      <c r="AN795">
        <v>0.99999998492497399</v>
      </c>
    </row>
    <row r="796" spans="1:40" x14ac:dyDescent="0.25">
      <c r="A796" t="str">
        <f>"20190305134922339"</f>
        <v>20190305134922339</v>
      </c>
      <c r="B796" t="str">
        <f>"1551764962331299"</f>
        <v>1551764962331299</v>
      </c>
      <c r="C796" t="s">
        <v>40</v>
      </c>
      <c r="D796">
        <v>3.9081589999999999</v>
      </c>
      <c r="E796">
        <v>0.54979929999999999</v>
      </c>
      <c r="F796" t="s">
        <v>45</v>
      </c>
      <c r="G796">
        <v>-169.2955</v>
      </c>
      <c r="H796">
        <v>2.2518899999999999</v>
      </c>
      <c r="I796">
        <v>355.73390000000001</v>
      </c>
      <c r="J796">
        <v>-353.84059999999999</v>
      </c>
      <c r="K796">
        <v>1.1095520000000001</v>
      </c>
      <c r="L796">
        <v>367.70960000000002</v>
      </c>
      <c r="M796">
        <v>0.99986660000000005</v>
      </c>
      <c r="N796">
        <v>-1.3286589999999999E-2</v>
      </c>
      <c r="O796">
        <v>9.5151449999999992E-3</v>
      </c>
      <c r="P796">
        <v>0.99291689999999999</v>
      </c>
      <c r="Q796">
        <v>-0.1011039</v>
      </c>
      <c r="R796">
        <v>6.2403559999999997E-2</v>
      </c>
      <c r="S796">
        <v>3.0357059999999998</v>
      </c>
      <c r="T796">
        <v>1.877415E-2</v>
      </c>
      <c r="U796">
        <v>-0.19677729999999999</v>
      </c>
      <c r="V796">
        <v>-5.297922E-2</v>
      </c>
      <c r="W796">
        <v>-8.787884E-2</v>
      </c>
      <c r="X796">
        <v>0.99472139999999998</v>
      </c>
      <c r="Y796">
        <v>7.4178170000000002E-2</v>
      </c>
      <c r="Z796" s="1">
        <v>-7.9115150000000001E-5</v>
      </c>
      <c r="AA796">
        <v>0.99724500000000005</v>
      </c>
      <c r="AB796">
        <v>35</v>
      </c>
      <c r="AC796">
        <v>184.54509999999999</v>
      </c>
      <c r="AD796">
        <v>1.1423380000000001</v>
      </c>
      <c r="AE796">
        <v>-11.9757</v>
      </c>
      <c r="AF796">
        <v>13.730762003817601</v>
      </c>
      <c r="AG796">
        <v>1.1423380000000001</v>
      </c>
      <c r="AH796">
        <v>184.41574709456501</v>
      </c>
      <c r="AI796">
        <v>89.646073343710995</v>
      </c>
      <c r="AJ796">
        <v>85.741872413286302</v>
      </c>
      <c r="AK796">
        <v>184.929734055284</v>
      </c>
      <c r="AL796">
        <v>95.041589618609507</v>
      </c>
      <c r="AM796">
        <v>93.048713301502801</v>
      </c>
      <c r="AN796">
        <v>1.00000007594475</v>
      </c>
    </row>
    <row r="797" spans="1:40" x14ac:dyDescent="0.25">
      <c r="A797" t="str">
        <f>"20190305134922349"</f>
        <v>20190305134922349</v>
      </c>
      <c r="B797" t="str">
        <f>"1551764962341059"</f>
        <v>1551764962341059</v>
      </c>
      <c r="C797" t="s">
        <v>40</v>
      </c>
      <c r="D797">
        <v>3.9147690000000002</v>
      </c>
      <c r="E797">
        <v>0.54939209999999905</v>
      </c>
      <c r="F797" t="s">
        <v>45</v>
      </c>
      <c r="G797">
        <v>-169.2955</v>
      </c>
      <c r="H797">
        <v>2.239357</v>
      </c>
      <c r="I797">
        <v>355.73779999999999</v>
      </c>
      <c r="J797">
        <v>-353.66919999999999</v>
      </c>
      <c r="K797">
        <v>1.109545</v>
      </c>
      <c r="L797">
        <v>367.71120000000002</v>
      </c>
      <c r="M797">
        <v>0.99986730000000001</v>
      </c>
      <c r="N797">
        <v>-1.3276410000000001E-2</v>
      </c>
      <c r="O797">
        <v>9.4483540000000008E-3</v>
      </c>
      <c r="P797">
        <v>0.99291470000000004</v>
      </c>
      <c r="Q797">
        <v>-0.10104920000000001</v>
      </c>
      <c r="R797">
        <v>6.2527620000000006E-2</v>
      </c>
      <c r="S797">
        <v>3.0356749999999999</v>
      </c>
      <c r="T797">
        <v>1.8586160000000001E-2</v>
      </c>
      <c r="U797">
        <v>-0.19692989999999999</v>
      </c>
      <c r="V797">
        <v>-5.3170580000000002E-2</v>
      </c>
      <c r="W797">
        <v>-8.7833869999999994E-2</v>
      </c>
      <c r="X797">
        <v>0.99471509999999996</v>
      </c>
      <c r="Y797">
        <v>7.4162140000000001E-2</v>
      </c>
      <c r="Z797" s="1">
        <v>-8.2952380000000001E-5</v>
      </c>
      <c r="AA797">
        <v>0.99724619999999997</v>
      </c>
      <c r="AB797">
        <v>35</v>
      </c>
      <c r="AC797">
        <v>184.37370000000001</v>
      </c>
      <c r="AD797">
        <v>1.129812</v>
      </c>
      <c r="AE797">
        <v>-11.9734</v>
      </c>
      <c r="AF797">
        <v>13.7145340308507</v>
      </c>
      <c r="AG797">
        <v>1.129812</v>
      </c>
      <c r="AH797">
        <v>184.24544040068201</v>
      </c>
      <c r="AI797">
        <v>89.649630078932901</v>
      </c>
      <c r="AJ797">
        <v>85.7429695818619</v>
      </c>
      <c r="AK797">
        <v>184.75861881731001</v>
      </c>
      <c r="AL797">
        <v>95.039003334892698</v>
      </c>
      <c r="AM797">
        <v>93.059723655347995</v>
      </c>
      <c r="AN797">
        <v>1.00000001473236</v>
      </c>
    </row>
    <row r="798" spans="1:40" x14ac:dyDescent="0.25">
      <c r="A798" t="str">
        <f>"20190305134922360"</f>
        <v>20190305134922360</v>
      </c>
      <c r="B798" t="str">
        <f>"1551764962351795"</f>
        <v>1551764962351795</v>
      </c>
      <c r="C798" t="s">
        <v>40</v>
      </c>
      <c r="D798">
        <v>3.8858640000000002</v>
      </c>
      <c r="E798">
        <v>0.54905800000000005</v>
      </c>
      <c r="F798" t="s">
        <v>45</v>
      </c>
      <c r="G798">
        <v>-169.2955</v>
      </c>
      <c r="H798">
        <v>2.0579939999999999</v>
      </c>
      <c r="I798">
        <v>355.97640000000001</v>
      </c>
      <c r="J798">
        <v>-353.50349999999997</v>
      </c>
      <c r="K798">
        <v>1.1095389999999901</v>
      </c>
      <c r="L798">
        <v>367.71260000000001</v>
      </c>
      <c r="M798">
        <v>0.99986799999999998</v>
      </c>
      <c r="N798">
        <v>-1.326074E-2</v>
      </c>
      <c r="O798">
        <v>9.3835040000000008E-3</v>
      </c>
      <c r="P798">
        <v>0.99294939999999998</v>
      </c>
      <c r="Q798">
        <v>-0.10081320000000001</v>
      </c>
      <c r="R798">
        <v>6.235392E-2</v>
      </c>
      <c r="S798">
        <v>3.035126</v>
      </c>
      <c r="T798">
        <v>1.5614629999999999E-2</v>
      </c>
      <c r="U798">
        <v>-0.1931763</v>
      </c>
      <c r="V798">
        <v>-5.3061570000000002E-2</v>
      </c>
      <c r="W798">
        <v>-8.7612789999999996E-2</v>
      </c>
      <c r="X798">
        <v>0.99474039999999997</v>
      </c>
      <c r="Y798">
        <v>7.2880879999999995E-2</v>
      </c>
      <c r="Z798">
        <v>-1.2391959999999999E-4</v>
      </c>
      <c r="AA798">
        <v>0.99734060000000002</v>
      </c>
      <c r="AB798">
        <v>35</v>
      </c>
      <c r="AC798">
        <v>184.208</v>
      </c>
      <c r="AD798">
        <v>0.94845499999999905</v>
      </c>
      <c r="AE798">
        <v>-11.736199999999901</v>
      </c>
      <c r="AF798">
        <v>13.463996293498999</v>
      </c>
      <c r="AG798">
        <v>0.94845499999999905</v>
      </c>
      <c r="AH798">
        <v>184.08489181822199</v>
      </c>
      <c r="AI798">
        <v>89.705585724183507</v>
      </c>
      <c r="AJ798">
        <v>85.816826845250901</v>
      </c>
      <c r="AK798">
        <v>184.57905124581399</v>
      </c>
      <c r="AL798">
        <v>95.026287450400204</v>
      </c>
      <c r="AM798">
        <v>93.053384997325196</v>
      </c>
      <c r="AN798">
        <v>0.99999999728730404</v>
      </c>
    </row>
    <row r="799" spans="1:40" x14ac:dyDescent="0.25">
      <c r="A799" t="str">
        <f>"20190305134922373"</f>
        <v>20190305134922373</v>
      </c>
      <c r="B799" t="str">
        <f>"1551764962361556"</f>
        <v>1551764962361556</v>
      </c>
      <c r="C799" t="s">
        <v>40</v>
      </c>
      <c r="D799">
        <v>3.9256600000000001</v>
      </c>
      <c r="E799">
        <v>0.54867569999999999</v>
      </c>
      <c r="F799" t="s">
        <v>45</v>
      </c>
      <c r="G799">
        <v>-169.2955</v>
      </c>
      <c r="H799">
        <v>2.109229</v>
      </c>
      <c r="I799">
        <v>356.09359999999998</v>
      </c>
      <c r="J799">
        <v>-353.31479999999999</v>
      </c>
      <c r="K799">
        <v>1.109537</v>
      </c>
      <c r="L799">
        <v>367.71440000000001</v>
      </c>
      <c r="M799">
        <v>0.99986900000000001</v>
      </c>
      <c r="N799">
        <v>-1.3241259999999999E-2</v>
      </c>
      <c r="O799">
        <v>9.3090659999999995E-3</v>
      </c>
      <c r="P799">
        <v>0.99298310000000001</v>
      </c>
      <c r="Q799">
        <v>-0.1004331</v>
      </c>
      <c r="R799">
        <v>6.2436890000000002E-2</v>
      </c>
      <c r="S799">
        <v>3.035034</v>
      </c>
      <c r="T799">
        <v>1.6472460000000001E-2</v>
      </c>
      <c r="U799">
        <v>-0.19143679999999999</v>
      </c>
      <c r="V799">
        <v>-5.3218849999999998E-2</v>
      </c>
      <c r="W799">
        <v>-8.7251019999999999E-2</v>
      </c>
      <c r="X799">
        <v>0.99476379999999998</v>
      </c>
      <c r="Y799">
        <v>7.2239159999999997E-2</v>
      </c>
      <c r="Z799">
        <v>-1.0930570000000001E-4</v>
      </c>
      <c r="AA799">
        <v>0.99738729999999998</v>
      </c>
      <c r="AB799">
        <v>35</v>
      </c>
      <c r="AC799">
        <v>184.01929999999999</v>
      </c>
      <c r="AD799">
        <v>0.99969200000000003</v>
      </c>
      <c r="AE799">
        <v>-11.620799999999999</v>
      </c>
      <c r="AF799">
        <v>13.333102447136101</v>
      </c>
      <c r="AG799">
        <v>0.99969200000000003</v>
      </c>
      <c r="AH799">
        <v>183.89773099253401</v>
      </c>
      <c r="AI799">
        <v>89.6893511546442</v>
      </c>
      <c r="AJ799">
        <v>85.853150953534794</v>
      </c>
      <c r="AK799">
        <v>184.38315126161299</v>
      </c>
      <c r="AL799">
        <v>95.005479849080302</v>
      </c>
      <c r="AM799">
        <v>93.062346444643296</v>
      </c>
      <c r="AN799">
        <v>1.0000000021383999</v>
      </c>
    </row>
    <row r="800" spans="1:40" x14ac:dyDescent="0.25">
      <c r="A800" t="str">
        <f>"20190305134922384"</f>
        <v>20190305134922384</v>
      </c>
      <c r="B800" t="str">
        <f>"1551764962371316"</f>
        <v>1551764962371316</v>
      </c>
      <c r="C800" t="s">
        <v>40</v>
      </c>
      <c r="D800">
        <v>3.8084410000000002</v>
      </c>
      <c r="E800">
        <v>0.54824169999999905</v>
      </c>
      <c r="F800" t="s">
        <v>45</v>
      </c>
      <c r="G800">
        <v>-169.2955</v>
      </c>
      <c r="H800">
        <v>2.178706</v>
      </c>
      <c r="I800">
        <v>356.31900000000002</v>
      </c>
      <c r="J800">
        <v>-353.1422</v>
      </c>
      <c r="K800">
        <v>1.1095269999999999</v>
      </c>
      <c r="L800">
        <v>367.71589999999998</v>
      </c>
      <c r="M800">
        <v>0.99987009999999998</v>
      </c>
      <c r="N800">
        <v>-1.3218789999999999E-2</v>
      </c>
      <c r="O800">
        <v>9.2408190000000008E-3</v>
      </c>
      <c r="P800">
        <v>0.99301059999999997</v>
      </c>
      <c r="Q800">
        <v>-0.1001992</v>
      </c>
      <c r="R800">
        <v>6.2372799999999999E-2</v>
      </c>
      <c r="S800">
        <v>3.0347599999999999</v>
      </c>
      <c r="T800">
        <v>1.7633679999999999E-2</v>
      </c>
      <c r="U800">
        <v>-0.18792719999999999</v>
      </c>
      <c r="V800">
        <v>-5.3223640000000003E-2</v>
      </c>
      <c r="W800">
        <v>-8.7038480000000001E-2</v>
      </c>
      <c r="X800">
        <v>0.9947821</v>
      </c>
      <c r="Y800">
        <v>7.1027709999999994E-2</v>
      </c>
      <c r="Z800" s="1">
        <v>-8.8082390000000002E-5</v>
      </c>
      <c r="AA800">
        <v>0.99747430000000004</v>
      </c>
      <c r="AB800">
        <v>35</v>
      </c>
      <c r="AC800">
        <v>183.8467</v>
      </c>
      <c r="AD800">
        <v>1.0691790000000001</v>
      </c>
      <c r="AE800">
        <v>-11.396899999999899</v>
      </c>
      <c r="AF800">
        <v>13.095014337946299</v>
      </c>
      <c r="AG800">
        <v>1.0691790000000001</v>
      </c>
      <c r="AH800">
        <v>183.72733290955699</v>
      </c>
      <c r="AI800">
        <v>89.667421563786604</v>
      </c>
      <c r="AJ800">
        <v>85.923184594734806</v>
      </c>
      <c r="AK800">
        <v>184.19651300256501</v>
      </c>
      <c r="AL800">
        <v>94.9932560120033</v>
      </c>
      <c r="AM800">
        <v>93.062565315894304</v>
      </c>
      <c r="AN800">
        <v>0.99999993966798295</v>
      </c>
    </row>
    <row r="801" spans="1:40" x14ac:dyDescent="0.25">
      <c r="A801" t="str">
        <f>"20190305134922406"</f>
        <v>20190305134922406</v>
      </c>
      <c r="B801" t="str">
        <f>"1551764962401571"</f>
        <v>1551764962401571</v>
      </c>
      <c r="C801" t="s">
        <v>40</v>
      </c>
      <c r="D801">
        <v>3.7707670000000002</v>
      </c>
      <c r="E801">
        <v>0.54724229999999996</v>
      </c>
      <c r="F801" t="s">
        <v>45</v>
      </c>
      <c r="G801">
        <v>-169.2955</v>
      </c>
      <c r="H801">
        <v>2.1120969999999999</v>
      </c>
      <c r="I801">
        <v>356.51839999999999</v>
      </c>
      <c r="J801">
        <v>-352.80020000000002</v>
      </c>
      <c r="K801">
        <v>1.10951</v>
      </c>
      <c r="L801">
        <v>367.71890000000002</v>
      </c>
      <c r="M801">
        <v>0.99987190000000004</v>
      </c>
      <c r="N801">
        <v>-1.3167440000000001E-2</v>
      </c>
      <c r="O801">
        <v>9.0970359999999993E-3</v>
      </c>
      <c r="P801">
        <v>0.99307350000000005</v>
      </c>
      <c r="Q801">
        <v>-9.961499E-2</v>
      </c>
      <c r="R801">
        <v>6.230546E-2</v>
      </c>
      <c r="S801">
        <v>3.0343930000000001</v>
      </c>
      <c r="T801">
        <v>1.654887E-2</v>
      </c>
      <c r="U801">
        <v>-0.18481449999999999</v>
      </c>
      <c r="V801">
        <v>-5.3300599999999997E-2</v>
      </c>
      <c r="W801">
        <v>-8.6503140000000006E-2</v>
      </c>
      <c r="X801">
        <v>0.99482470000000001</v>
      </c>
      <c r="Y801">
        <v>6.9872290000000004E-2</v>
      </c>
      <c r="Z801">
        <v>-1.008661E-4</v>
      </c>
      <c r="AA801">
        <v>0.99755590000000005</v>
      </c>
      <c r="AB801">
        <v>35</v>
      </c>
      <c r="AC801">
        <v>183.50470000000001</v>
      </c>
      <c r="AD801">
        <v>1.0025869999999999</v>
      </c>
      <c r="AE801">
        <v>-11.2005</v>
      </c>
      <c r="AF801">
        <v>12.8691473687723</v>
      </c>
      <c r="AG801">
        <v>1.0025869999999999</v>
      </c>
      <c r="AH801">
        <v>183.389751340234</v>
      </c>
      <c r="AI801">
        <v>89.687536963921502</v>
      </c>
      <c r="AJ801">
        <v>85.985920329459702</v>
      </c>
      <c r="AK801">
        <v>183.84346882966699</v>
      </c>
      <c r="AL801">
        <v>94.962467032545604</v>
      </c>
      <c r="AM801">
        <v>93.066854174857696</v>
      </c>
      <c r="AN801">
        <v>0.99999996546015402</v>
      </c>
    </row>
    <row r="802" spans="1:40" x14ac:dyDescent="0.25">
      <c r="A802" t="str">
        <f>"20190305134922421"</f>
        <v>20190305134922421</v>
      </c>
      <c r="B802" t="str">
        <f>"1551764962411333"</f>
        <v>1551764962411333</v>
      </c>
      <c r="C802" t="s">
        <v>40</v>
      </c>
      <c r="D802">
        <v>3.9060009999999998</v>
      </c>
      <c r="E802">
        <v>0.54695240000000001</v>
      </c>
      <c r="F802" t="s">
        <v>45</v>
      </c>
      <c r="G802">
        <v>-158.19499999999999</v>
      </c>
      <c r="H802">
        <v>2.3247969999999998</v>
      </c>
      <c r="I802">
        <v>356.3657</v>
      </c>
      <c r="J802">
        <v>-352.58109999999999</v>
      </c>
      <c r="K802">
        <v>1.109499</v>
      </c>
      <c r="L802">
        <v>367.7208</v>
      </c>
      <c r="M802">
        <v>0.99987340000000002</v>
      </c>
      <c r="N802">
        <v>-1.3129399999999901E-2</v>
      </c>
      <c r="O802">
        <v>8.9919230000000006E-3</v>
      </c>
      <c r="P802">
        <v>0.9930755</v>
      </c>
      <c r="Q802">
        <v>-9.9584870000000006E-2</v>
      </c>
      <c r="R802">
        <v>6.2322099999999998E-2</v>
      </c>
      <c r="S802">
        <v>3.0339969999999998</v>
      </c>
      <c r="T802">
        <v>1.8948320000000001E-2</v>
      </c>
      <c r="U802">
        <v>-0.17700199999999999</v>
      </c>
      <c r="V802">
        <v>-5.3422959999999999E-2</v>
      </c>
      <c r="W802">
        <v>-8.6509959999999997E-2</v>
      </c>
      <c r="X802">
        <v>0.99481759999999997</v>
      </c>
      <c r="Y802">
        <v>6.7215349999999993E-2</v>
      </c>
      <c r="Z802" s="1">
        <v>-5.7861269999999897E-5</v>
      </c>
      <c r="AA802">
        <v>0.99773849999999997</v>
      </c>
      <c r="AB802">
        <v>35</v>
      </c>
      <c r="AC802">
        <v>194.3861</v>
      </c>
      <c r="AD802">
        <v>1.215298</v>
      </c>
      <c r="AE802">
        <v>-11.355099999999901</v>
      </c>
      <c r="AF802">
        <v>13.102185938801901</v>
      </c>
      <c r="AG802">
        <v>1.215298</v>
      </c>
      <c r="AH802">
        <v>194.26855938874701</v>
      </c>
      <c r="AI802">
        <v>89.642388258726399</v>
      </c>
      <c r="AJ802">
        <v>86.141605045374703</v>
      </c>
      <c r="AK802">
        <v>194.71368054808801</v>
      </c>
      <c r="AL802">
        <v>94.962858981051497</v>
      </c>
      <c r="AM802">
        <v>93.073903036027701</v>
      </c>
      <c r="AN802">
        <v>1.0000000215520599</v>
      </c>
    </row>
    <row r="803" spans="1:40" x14ac:dyDescent="0.25">
      <c r="A803" t="str">
        <f>"20190305134922433"</f>
        <v>20190305134922433</v>
      </c>
      <c r="B803" t="str">
        <f>"1551764962422067"</f>
        <v>1551764962422067</v>
      </c>
      <c r="C803" t="s">
        <v>40</v>
      </c>
      <c r="D803">
        <v>3.9353690000000001</v>
      </c>
      <c r="E803">
        <v>0.54668570000000005</v>
      </c>
      <c r="F803" t="s">
        <v>45</v>
      </c>
      <c r="G803">
        <v>-158.19499999999999</v>
      </c>
      <c r="H803">
        <v>2.3498459999999999</v>
      </c>
      <c r="I803">
        <v>356.53820000000002</v>
      </c>
      <c r="J803">
        <v>-352.392</v>
      </c>
      <c r="K803">
        <v>1.109488</v>
      </c>
      <c r="L803">
        <v>367.72239999999999</v>
      </c>
      <c r="M803">
        <v>0.99987479999999995</v>
      </c>
      <c r="N803">
        <v>-1.3094690000000001E-2</v>
      </c>
      <c r="O803">
        <v>8.8947319999999903E-3</v>
      </c>
      <c r="P803">
        <v>0.99309650000000005</v>
      </c>
      <c r="Q803">
        <v>-9.9464440000000001E-2</v>
      </c>
      <c r="R803">
        <v>6.2179659999999998E-2</v>
      </c>
      <c r="S803">
        <v>3.0338440000000002</v>
      </c>
      <c r="T803">
        <v>1.9359830000000001E-2</v>
      </c>
      <c r="U803">
        <v>-0.17452999999999999</v>
      </c>
      <c r="V803">
        <v>-5.3378780000000001E-2</v>
      </c>
      <c r="W803">
        <v>-8.6423120000000006E-2</v>
      </c>
      <c r="X803">
        <v>0.99482749999999998</v>
      </c>
      <c r="Y803">
        <v>6.6311010000000004E-2</v>
      </c>
      <c r="Z803" s="1">
        <v>-5.0047589999999998E-5</v>
      </c>
      <c r="AA803">
        <v>0.99779899999999999</v>
      </c>
      <c r="AB803">
        <v>35</v>
      </c>
      <c r="AC803">
        <v>194.197</v>
      </c>
      <c r="AD803">
        <v>1.2403579999999901</v>
      </c>
      <c r="AE803">
        <v>-11.184199999999899</v>
      </c>
      <c r="AF803">
        <v>12.9107107430591</v>
      </c>
      <c r="AG803">
        <v>1.2403579999999901</v>
      </c>
      <c r="AH803">
        <v>194.08193604369399</v>
      </c>
      <c r="AI803">
        <v>89.634640934078902</v>
      </c>
      <c r="AJ803">
        <v>86.194179652684994</v>
      </c>
      <c r="AK803">
        <v>194.514839635252</v>
      </c>
      <c r="AL803">
        <v>94.957864806636294</v>
      </c>
      <c r="AM803">
        <v>93.071335326501597</v>
      </c>
      <c r="AN803">
        <v>1.00000000229053</v>
      </c>
    </row>
    <row r="804" spans="1:40" x14ac:dyDescent="0.25">
      <c r="A804" t="str">
        <f>"20190305134922444"</f>
        <v>20190305134922444</v>
      </c>
      <c r="B804" t="str">
        <f>"1551764962431828"</f>
        <v>1551764962431828</v>
      </c>
      <c r="C804" t="s">
        <v>40</v>
      </c>
      <c r="D804">
        <v>3.908779</v>
      </c>
      <c r="E804">
        <v>0.54644539999999997</v>
      </c>
      <c r="F804" t="s">
        <v>45</v>
      </c>
      <c r="G804">
        <v>-158.19499999999999</v>
      </c>
      <c r="H804">
        <v>2.4054009999999999</v>
      </c>
      <c r="I804">
        <v>356.65550000000002</v>
      </c>
      <c r="J804">
        <v>-352.20659999999998</v>
      </c>
      <c r="K804">
        <v>1.109477</v>
      </c>
      <c r="L804">
        <v>367.72390000000001</v>
      </c>
      <c r="M804">
        <v>0.99987610000000005</v>
      </c>
      <c r="N804">
        <v>-1.305798E-2</v>
      </c>
      <c r="O804">
        <v>8.7888480000000001E-3</v>
      </c>
      <c r="P804">
        <v>0.99311079999999996</v>
      </c>
      <c r="Q804">
        <v>-9.9281850000000005E-2</v>
      </c>
      <c r="R804">
        <v>6.2242999999999903E-2</v>
      </c>
      <c r="S804">
        <v>3.0336609999999999</v>
      </c>
      <c r="T804">
        <v>2.0245550000000001E-2</v>
      </c>
      <c r="U804">
        <v>-0.17288210000000001</v>
      </c>
      <c r="V804">
        <v>-5.354834E-2</v>
      </c>
      <c r="W804">
        <v>-8.6276069999999996E-2</v>
      </c>
      <c r="X804">
        <v>0.99483109999999997</v>
      </c>
      <c r="Y804">
        <v>6.5668480000000001E-2</v>
      </c>
      <c r="Z804" s="1">
        <v>-3.6891139999999999E-5</v>
      </c>
      <c r="AA804">
        <v>0.99784150000000005</v>
      </c>
      <c r="AB804">
        <v>35</v>
      </c>
      <c r="AC804">
        <v>194.01159999999999</v>
      </c>
      <c r="AD804">
        <v>1.2959240000000001</v>
      </c>
      <c r="AE804">
        <v>-11.068399999999899</v>
      </c>
      <c r="AF804">
        <v>12.7726882804164</v>
      </c>
      <c r="AG804">
        <v>1.2959240000000001</v>
      </c>
      <c r="AH804">
        <v>193.89819553888199</v>
      </c>
      <c r="AI804">
        <v>89.617895865970198</v>
      </c>
      <c r="AJ804">
        <v>86.231190534202298</v>
      </c>
      <c r="AK804">
        <v>194.32275013018199</v>
      </c>
      <c r="AL804">
        <v>94.949408128023506</v>
      </c>
      <c r="AM804">
        <v>93.081061660051304</v>
      </c>
      <c r="AN804">
        <v>0.99999995124930396</v>
      </c>
    </row>
    <row r="805" spans="1:40" x14ac:dyDescent="0.25">
      <c r="A805" t="str">
        <f>"20190305134922456"</f>
        <v>20190305134922456</v>
      </c>
      <c r="B805" t="str">
        <f>"1551764962451347"</f>
        <v>1551764962451347</v>
      </c>
      <c r="C805" t="s">
        <v>40</v>
      </c>
      <c r="D805">
        <v>3.8892920000000002</v>
      </c>
      <c r="E805">
        <v>0.54600170000000003</v>
      </c>
      <c r="F805" t="s">
        <v>45</v>
      </c>
      <c r="G805">
        <v>-158.19499999999999</v>
      </c>
      <c r="H805">
        <v>2.4626100000000002</v>
      </c>
      <c r="I805">
        <v>356.79039999999998</v>
      </c>
      <c r="J805">
        <v>-352.03250000000003</v>
      </c>
      <c r="K805">
        <v>1.1094660000000001</v>
      </c>
      <c r="L805">
        <v>367.7253</v>
      </c>
      <c r="M805">
        <v>0.99987760000000003</v>
      </c>
      <c r="N805">
        <v>-1.302298E-2</v>
      </c>
      <c r="O805">
        <v>8.6830599999999994E-3</v>
      </c>
      <c r="P805">
        <v>0.99314049999999998</v>
      </c>
      <c r="Q805">
        <v>-9.9095440000000007E-2</v>
      </c>
      <c r="R805">
        <v>6.2068600000000002E-2</v>
      </c>
      <c r="S805">
        <v>3.03363</v>
      </c>
      <c r="T805">
        <v>2.115941E-2</v>
      </c>
      <c r="U805">
        <v>-0.17095949999999999</v>
      </c>
      <c r="V805">
        <v>-5.3480260000000002E-2</v>
      </c>
      <c r="W805">
        <v>-8.6123329999999998E-2</v>
      </c>
      <c r="X805">
        <v>0.99484810000000001</v>
      </c>
      <c r="Y805">
        <v>6.4933019999999994E-2</v>
      </c>
      <c r="Z805" s="1">
        <v>-2.338644E-5</v>
      </c>
      <c r="AA805">
        <v>0.99788960000000004</v>
      </c>
      <c r="AB805">
        <v>35</v>
      </c>
      <c r="AC805">
        <v>193.83750000000001</v>
      </c>
      <c r="AD805">
        <v>1.3531439999999899</v>
      </c>
      <c r="AE805">
        <v>-10.934900000000001</v>
      </c>
      <c r="AF805">
        <v>12.617120007466999</v>
      </c>
      <c r="AG805">
        <v>1.3531439999999899</v>
      </c>
      <c r="AH805">
        <v>193.72582428892801</v>
      </c>
      <c r="AI805">
        <v>89.600650668998</v>
      </c>
      <c r="AJ805">
        <v>86.273660519594003</v>
      </c>
      <c r="AK805">
        <v>194.14097381127999</v>
      </c>
      <c r="AL805">
        <v>94.940623565368995</v>
      </c>
      <c r="AM805">
        <v>93.077099527911599</v>
      </c>
      <c r="AN805">
        <v>1.0000000541267799</v>
      </c>
    </row>
    <row r="806" spans="1:40" x14ac:dyDescent="0.25">
      <c r="A806" t="str">
        <f>"20190305134922467"</f>
        <v>20190305134922467</v>
      </c>
      <c r="B806" t="str">
        <f>"1551764962462083"</f>
        <v>1551764962462083</v>
      </c>
      <c r="C806" t="s">
        <v>40</v>
      </c>
      <c r="D806">
        <v>3.7836720000000001</v>
      </c>
      <c r="E806">
        <v>0.54582079999999999</v>
      </c>
      <c r="F806" t="s">
        <v>45</v>
      </c>
      <c r="G806">
        <v>-158.19499999999999</v>
      </c>
      <c r="H806">
        <v>2.5422889999999998</v>
      </c>
      <c r="I806">
        <v>357.01369999999997</v>
      </c>
      <c r="J806">
        <v>-351.8408</v>
      </c>
      <c r="K806">
        <v>1.1094520000000001</v>
      </c>
      <c r="L806">
        <v>367.7269</v>
      </c>
      <c r="M806">
        <v>0.99987910000000002</v>
      </c>
      <c r="N806">
        <v>-1.2983929999999999E-2</v>
      </c>
      <c r="O806">
        <v>8.5604630000000008E-3</v>
      </c>
      <c r="P806">
        <v>0.99314590000000003</v>
      </c>
      <c r="Q806">
        <v>-9.9040429999999999E-2</v>
      </c>
      <c r="R806">
        <v>6.206586E-2</v>
      </c>
      <c r="S806">
        <v>3.0334780000000001</v>
      </c>
      <c r="T806">
        <v>2.242446E-2</v>
      </c>
      <c r="U806">
        <v>-0.16763310000000001</v>
      </c>
      <c r="V806">
        <v>-5.3600830000000002E-2</v>
      </c>
      <c r="W806">
        <v>-8.610603E-2</v>
      </c>
      <c r="X806">
        <v>0.99484309999999998</v>
      </c>
      <c r="Y806">
        <v>6.3722490000000007E-2</v>
      </c>
      <c r="Z806" s="1">
        <v>-4.3722679999999996E-6</v>
      </c>
      <c r="AA806">
        <v>0.99796770000000001</v>
      </c>
      <c r="AB806">
        <v>35</v>
      </c>
      <c r="AC806">
        <v>193.64580000000001</v>
      </c>
      <c r="AD806">
        <v>1.4328369999999899</v>
      </c>
      <c r="AE806">
        <v>-10.713200000000001</v>
      </c>
      <c r="AF806">
        <v>12.3699695958689</v>
      </c>
      <c r="AG806">
        <v>1.4328369999999899</v>
      </c>
      <c r="AH806">
        <v>193.53642204114999</v>
      </c>
      <c r="AI806">
        <v>89.576685124411</v>
      </c>
      <c r="AJ806">
        <v>86.342888430942494</v>
      </c>
      <c r="AK806">
        <v>193.936628376801</v>
      </c>
      <c r="AL806">
        <v>94.939628695293706</v>
      </c>
      <c r="AM806">
        <v>93.084038870578297</v>
      </c>
      <c r="AN806">
        <v>1.00000004549832</v>
      </c>
    </row>
    <row r="807" spans="1:40" x14ac:dyDescent="0.25">
      <c r="A807" t="str">
        <f>"20190305134922483"</f>
        <v>20190305134922483</v>
      </c>
      <c r="B807" t="str">
        <f>"1551764962471844"</f>
        <v>1551764962471844</v>
      </c>
      <c r="C807" t="s">
        <v>40</v>
      </c>
      <c r="D807">
        <v>4.1765850000000002</v>
      </c>
      <c r="E807">
        <v>0.54591659999999997</v>
      </c>
      <c r="F807" t="s">
        <v>45</v>
      </c>
      <c r="G807">
        <v>-158.19499999999999</v>
      </c>
      <c r="H807">
        <v>2.587831</v>
      </c>
      <c r="I807">
        <v>357.11709999999999</v>
      </c>
      <c r="J807">
        <v>-351.61399999999998</v>
      </c>
      <c r="K807">
        <v>1.1094299999999999</v>
      </c>
      <c r="L807">
        <v>367.72859999999997</v>
      </c>
      <c r="M807">
        <v>0.99988109999999997</v>
      </c>
      <c r="N807">
        <v>-1.293673E-2</v>
      </c>
      <c r="O807">
        <v>8.4013119999999993E-3</v>
      </c>
      <c r="P807">
        <v>0.99313969999999896</v>
      </c>
      <c r="Q807">
        <v>-9.9176410000000007E-2</v>
      </c>
      <c r="R807">
        <v>6.1949480000000001E-2</v>
      </c>
      <c r="S807">
        <v>3.0333860000000001</v>
      </c>
      <c r="T807">
        <v>2.3159619999999999E-2</v>
      </c>
      <c r="U807">
        <v>-0.1661987</v>
      </c>
      <c r="V807">
        <v>-5.3645529999999997E-2</v>
      </c>
      <c r="W807">
        <v>-8.6287429999999998E-2</v>
      </c>
      <c r="X807">
        <v>0.99482490000000001</v>
      </c>
      <c r="Y807">
        <v>6.3094799999999895E-2</v>
      </c>
      <c r="Z807" s="1">
        <v>4.9352529999999998E-6</v>
      </c>
      <c r="AA807">
        <v>0.99800750000000005</v>
      </c>
      <c r="AB807">
        <v>35</v>
      </c>
      <c r="AC807">
        <v>193.41900000000001</v>
      </c>
      <c r="AD807">
        <v>1.4784010000000001</v>
      </c>
      <c r="AE807">
        <v>-10.6114999999999</v>
      </c>
      <c r="AF807">
        <v>12.2355219790769</v>
      </c>
      <c r="AG807">
        <v>1.4784010000000001</v>
      </c>
      <c r="AH807">
        <v>193.311754784904</v>
      </c>
      <c r="AI807">
        <v>89.562699478968497</v>
      </c>
      <c r="AJ807">
        <v>86.3783379378403</v>
      </c>
      <c r="AK807">
        <v>193.70422867257199</v>
      </c>
      <c r="AL807">
        <v>94.950061338709006</v>
      </c>
      <c r="AM807">
        <v>93.086662169280402</v>
      </c>
      <c r="AN807">
        <v>0.99999997256249695</v>
      </c>
    </row>
    <row r="808" spans="1:40" x14ac:dyDescent="0.25">
      <c r="A808" t="str">
        <f>"20190305134922495"</f>
        <v>20190305134922495</v>
      </c>
      <c r="B808" t="str">
        <f>"1551764962491364"</f>
        <v>1551764962491364</v>
      </c>
      <c r="C808" t="s">
        <v>40</v>
      </c>
      <c r="D808">
        <v>4.0940649999999996</v>
      </c>
      <c r="E808">
        <v>0.54736399999999996</v>
      </c>
      <c r="F808" t="s">
        <v>45</v>
      </c>
      <c r="G808">
        <v>-158.19499999999999</v>
      </c>
      <c r="H808">
        <v>2.6395300000000002</v>
      </c>
      <c r="I808">
        <v>357.04430000000002</v>
      </c>
      <c r="J808">
        <v>-351.43699999999899</v>
      </c>
      <c r="K808">
        <v>1.1094109999999999</v>
      </c>
      <c r="L808">
        <v>367.73</v>
      </c>
      <c r="M808">
        <v>0.99988259999999995</v>
      </c>
      <c r="N808">
        <v>-1.2898990000000001E-2</v>
      </c>
      <c r="O808">
        <v>8.2707309999999999E-3</v>
      </c>
      <c r="P808">
        <v>0.99312990000000001</v>
      </c>
      <c r="Q808">
        <v>-9.9256499999999998E-2</v>
      </c>
      <c r="R808">
        <v>6.1976660000000003E-2</v>
      </c>
      <c r="S808">
        <v>3.0335390000000002</v>
      </c>
      <c r="T808">
        <v>2.3999090000000001E-2</v>
      </c>
      <c r="U808">
        <v>-0.167572</v>
      </c>
      <c r="V808">
        <v>-5.3805319999999997E-2</v>
      </c>
      <c r="W808">
        <v>-8.6403679999999997E-2</v>
      </c>
      <c r="X808">
        <v>0.99480619999999997</v>
      </c>
      <c r="Y808">
        <v>6.3412109999999994E-2</v>
      </c>
      <c r="Z808" s="1">
        <v>1.33209999999999E-5</v>
      </c>
      <c r="AA808">
        <v>0.99798739999999997</v>
      </c>
      <c r="AB808">
        <v>35</v>
      </c>
      <c r="AC808">
        <v>193.24199999999999</v>
      </c>
      <c r="AD808">
        <v>1.53011899999999</v>
      </c>
      <c r="AE808">
        <v>-10.685699999999899</v>
      </c>
      <c r="AF808">
        <v>12.28295227371</v>
      </c>
      <c r="AG808">
        <v>1.53011899999999</v>
      </c>
      <c r="AH808">
        <v>193.13493144073001</v>
      </c>
      <c r="AI808">
        <v>89.546996620462593</v>
      </c>
      <c r="AJ808">
        <v>86.361016689935198</v>
      </c>
      <c r="AK808">
        <v>193.53117041791501</v>
      </c>
      <c r="AL808">
        <v>94.956746845904803</v>
      </c>
      <c r="AM808">
        <v>93.095896406583805</v>
      </c>
      <c r="AN808">
        <v>0.99999999196814204</v>
      </c>
    </row>
    <row r="809" spans="1:40" x14ac:dyDescent="0.25">
      <c r="A809" t="str">
        <f>"20190305134922505"</f>
        <v>20190305134922505</v>
      </c>
      <c r="B809" t="str">
        <f>"1551764962502100"</f>
        <v>1551764962502100</v>
      </c>
      <c r="C809" t="s">
        <v>40</v>
      </c>
      <c r="D809">
        <v>3.9840469999999999</v>
      </c>
      <c r="E809">
        <v>0.54818020000000001</v>
      </c>
      <c r="F809" t="s">
        <v>45</v>
      </c>
      <c r="G809">
        <v>-158.19499999999999</v>
      </c>
      <c r="H809">
        <v>2.7512020000000001</v>
      </c>
      <c r="I809">
        <v>356.32619999999997</v>
      </c>
      <c r="J809">
        <v>-351.26729999999998</v>
      </c>
      <c r="K809">
        <v>1.1093869999999999</v>
      </c>
      <c r="L809">
        <v>367.73129999999998</v>
      </c>
      <c r="M809">
        <v>0.9998842</v>
      </c>
      <c r="N809">
        <v>-1.2861640000000001E-2</v>
      </c>
      <c r="O809">
        <v>8.1383429999999993E-3</v>
      </c>
      <c r="P809">
        <v>0.99309250000000004</v>
      </c>
      <c r="Q809">
        <v>-9.9618440000000003E-2</v>
      </c>
      <c r="R809">
        <v>6.1996959999999997E-2</v>
      </c>
      <c r="S809">
        <v>3.0345149999999999</v>
      </c>
      <c r="T809">
        <v>2.5782699999999999E-2</v>
      </c>
      <c r="U809">
        <v>-0.17907709999999999</v>
      </c>
      <c r="V809">
        <v>-5.3959970000000003E-2</v>
      </c>
      <c r="W809">
        <v>-8.6801580000000003E-2</v>
      </c>
      <c r="X809">
        <v>0.99476319999999996</v>
      </c>
      <c r="Y809">
        <v>6.7033259999999997E-2</v>
      </c>
      <c r="Z809" s="1">
        <v>2.671871E-5</v>
      </c>
      <c r="AA809">
        <v>0.99775080000000005</v>
      </c>
      <c r="AB809">
        <v>35</v>
      </c>
      <c r="AC809">
        <v>193.07230000000001</v>
      </c>
      <c r="AD809">
        <v>1.641815</v>
      </c>
      <c r="AE809">
        <v>-11.405099999999999</v>
      </c>
      <c r="AF809">
        <v>12.9752057667303</v>
      </c>
      <c r="AG809">
        <v>1.641815</v>
      </c>
      <c r="AH809">
        <v>192.95917401951601</v>
      </c>
      <c r="AI809">
        <v>89.513602499034704</v>
      </c>
      <c r="AJ809">
        <v>86.153035692633793</v>
      </c>
      <c r="AK809">
        <v>193.40189854155199</v>
      </c>
      <c r="AL809">
        <v>94.979630731629001</v>
      </c>
      <c r="AM809">
        <v>93.104911351488596</v>
      </c>
      <c r="AN809">
        <v>1.0000000083635601</v>
      </c>
    </row>
    <row r="810" spans="1:40" x14ac:dyDescent="0.25">
      <c r="A810" t="str">
        <f>"20190305134922516"</f>
        <v>20190305134922516</v>
      </c>
      <c r="B810" t="str">
        <f>"1551764962511860"</f>
        <v>1551764962511860</v>
      </c>
      <c r="C810" t="s">
        <v>40</v>
      </c>
      <c r="D810">
        <v>3.9768599999999998</v>
      </c>
      <c r="E810">
        <v>0.54903599999999997</v>
      </c>
      <c r="F810" t="s">
        <v>45</v>
      </c>
      <c r="G810">
        <v>-169.1534</v>
      </c>
      <c r="H810">
        <v>2.5042779999999998</v>
      </c>
      <c r="I810">
        <v>356.61509999999998</v>
      </c>
      <c r="J810">
        <v>-351.09059999999999</v>
      </c>
      <c r="K810">
        <v>1.1093660000000001</v>
      </c>
      <c r="L810">
        <v>367.73259999999999</v>
      </c>
      <c r="M810">
        <v>0.99988589999999999</v>
      </c>
      <c r="N810">
        <v>-1.282296E-2</v>
      </c>
      <c r="O810">
        <v>7.9924809999999992E-3</v>
      </c>
      <c r="P810">
        <v>0.99308750000000001</v>
      </c>
      <c r="Q810">
        <v>-9.9802260000000004E-2</v>
      </c>
      <c r="R810">
        <v>6.1780880000000003E-2</v>
      </c>
      <c r="S810">
        <v>3.0347599999999999</v>
      </c>
      <c r="T810">
        <v>2.3246050000000001E-2</v>
      </c>
      <c r="U810">
        <v>-0.18524170000000001</v>
      </c>
      <c r="V810">
        <v>-5.3892059999999999E-2</v>
      </c>
      <c r="W810">
        <v>-8.7022340000000004E-2</v>
      </c>
      <c r="X810">
        <v>0.99474759999999995</v>
      </c>
      <c r="Y810">
        <v>6.8902649999999996E-2</v>
      </c>
      <c r="Z810" s="1">
        <v>-1.4992719999999999E-5</v>
      </c>
      <c r="AA810">
        <v>0.99762340000000005</v>
      </c>
      <c r="AB810">
        <v>35</v>
      </c>
      <c r="AC810">
        <v>181.93719999999999</v>
      </c>
      <c r="AD810">
        <v>1.3949119999999899</v>
      </c>
      <c r="AE810">
        <v>-11.1175</v>
      </c>
      <c r="AF810">
        <v>12.5706577451977</v>
      </c>
      <c r="AG810">
        <v>1.3949119999999899</v>
      </c>
      <c r="AH810">
        <v>181.83187535962901</v>
      </c>
      <c r="AI810">
        <v>89.561514154619104</v>
      </c>
      <c r="AJ810">
        <v>86.045239822641406</v>
      </c>
      <c r="AK810">
        <v>182.271221295174</v>
      </c>
      <c r="AL810">
        <v>94.992327360090897</v>
      </c>
      <c r="AM810">
        <v>93.101059908887194</v>
      </c>
      <c r="AN810">
        <v>1.00000001474793</v>
      </c>
    </row>
    <row r="811" spans="1:40" x14ac:dyDescent="0.25">
      <c r="A811" t="str">
        <f>"20190305134922527"</f>
        <v>20190305134922527</v>
      </c>
      <c r="B811" t="str">
        <f>"1551764962521619"</f>
        <v>1551764962521619</v>
      </c>
      <c r="C811" t="s">
        <v>40</v>
      </c>
      <c r="D811">
        <v>4.1365069999999999</v>
      </c>
      <c r="E811">
        <v>0.54981720000000001</v>
      </c>
      <c r="F811" t="s">
        <v>45</v>
      </c>
      <c r="G811">
        <v>-169.2955</v>
      </c>
      <c r="H811">
        <v>2.4116240000000002</v>
      </c>
      <c r="I811">
        <v>356.17809999999997</v>
      </c>
      <c r="J811">
        <v>-350.9171</v>
      </c>
      <c r="K811">
        <v>1.109348</v>
      </c>
      <c r="L811">
        <v>367.73390000000001</v>
      </c>
      <c r="M811">
        <v>0.99988750000000004</v>
      </c>
      <c r="N811">
        <v>-1.2785090000000001E-2</v>
      </c>
      <c r="O811">
        <v>7.8444080000000006E-3</v>
      </c>
      <c r="P811">
        <v>0.99309159999999996</v>
      </c>
      <c r="Q811">
        <v>-9.9958549999999993E-2</v>
      </c>
      <c r="R811">
        <v>6.1460630000000002E-2</v>
      </c>
      <c r="S811">
        <v>3.0350649999999999</v>
      </c>
      <c r="T811">
        <v>2.1742580000000001E-2</v>
      </c>
      <c r="U811">
        <v>-0.19290160000000001</v>
      </c>
      <c r="V811">
        <v>-5.3721810000000002E-2</v>
      </c>
      <c r="W811">
        <v>-8.7214749999999994E-2</v>
      </c>
      <c r="X811">
        <v>0.99473990000000001</v>
      </c>
      <c r="Y811">
        <v>7.1256849999999997E-2</v>
      </c>
      <c r="Z811" s="1">
        <v>-4.4684739999999999E-5</v>
      </c>
      <c r="AA811">
        <v>0.99745799999999996</v>
      </c>
      <c r="AB811">
        <v>35</v>
      </c>
      <c r="AC811">
        <v>181.6216</v>
      </c>
      <c r="AD811">
        <v>1.302276</v>
      </c>
      <c r="AE811">
        <v>-11.5558</v>
      </c>
      <c r="AF811">
        <v>12.9796101504755</v>
      </c>
      <c r="AG811">
        <v>1.302276</v>
      </c>
      <c r="AH811">
        <v>181.51606054419801</v>
      </c>
      <c r="AI811">
        <v>89.589988810386899</v>
      </c>
      <c r="AJ811">
        <v>85.909930892106502</v>
      </c>
      <c r="AK811">
        <v>181.98419282433201</v>
      </c>
      <c r="AL811">
        <v>95.003394005021605</v>
      </c>
      <c r="AM811">
        <v>93.091306286580604</v>
      </c>
      <c r="AN811">
        <v>0.99999995706962297</v>
      </c>
    </row>
    <row r="812" spans="1:40" x14ac:dyDescent="0.25">
      <c r="A812" t="str">
        <f>"20190305134922539"</f>
        <v>20190305134922539</v>
      </c>
      <c r="B812" t="str">
        <f>"1551764962531380"</f>
        <v>1551764962531380</v>
      </c>
      <c r="C812" t="s">
        <v>40</v>
      </c>
      <c r="D812">
        <v>3.9638360000000001</v>
      </c>
      <c r="E812">
        <v>0.5505331</v>
      </c>
      <c r="F812" t="s">
        <v>45</v>
      </c>
      <c r="G812">
        <v>-169.2955</v>
      </c>
      <c r="H812">
        <v>2.3064179999999999</v>
      </c>
      <c r="I812">
        <v>355.74200000000002</v>
      </c>
      <c r="J812">
        <v>-350.74450000000002</v>
      </c>
      <c r="K812">
        <v>1.1093329999999999</v>
      </c>
      <c r="L812">
        <v>367.73509999999999</v>
      </c>
      <c r="M812">
        <v>0.99988909999999998</v>
      </c>
      <c r="N812">
        <v>-1.2749E-2</v>
      </c>
      <c r="O812">
        <v>7.6870929999999999E-3</v>
      </c>
      <c r="P812">
        <v>0.99311329999999998</v>
      </c>
      <c r="Q812">
        <v>-9.9962960000000003E-2</v>
      </c>
      <c r="R812">
        <v>6.1102440000000001E-2</v>
      </c>
      <c r="S812">
        <v>3.0352779999999999</v>
      </c>
      <c r="T812">
        <v>2.0007009999999999E-2</v>
      </c>
      <c r="U812">
        <v>-0.2004089</v>
      </c>
      <c r="V812">
        <v>-5.3522409999999999E-2</v>
      </c>
      <c r="W812">
        <v>-8.725339E-2</v>
      </c>
      <c r="X812">
        <v>0.9947473</v>
      </c>
      <c r="Y812">
        <v>7.3552210000000007E-2</v>
      </c>
      <c r="Z812" s="1">
        <v>-7.8731390000000002E-5</v>
      </c>
      <c r="AA812">
        <v>0.99729140000000005</v>
      </c>
      <c r="AB812">
        <v>35</v>
      </c>
      <c r="AC812">
        <v>181.44900000000001</v>
      </c>
      <c r="AD812">
        <v>1.197085</v>
      </c>
      <c r="AE812">
        <v>-11.9931</v>
      </c>
      <c r="AF812">
        <v>13.3870942682876</v>
      </c>
      <c r="AG812">
        <v>1.197085</v>
      </c>
      <c r="AH812">
        <v>181.34357975114301</v>
      </c>
      <c r="AI812">
        <v>89.622811016251703</v>
      </c>
      <c r="AJ812">
        <v>85.777985609128507</v>
      </c>
      <c r="AK812">
        <v>181.840977841642</v>
      </c>
      <c r="AL812">
        <v>95.005616187485401</v>
      </c>
      <c r="AM812">
        <v>93.079831504969505</v>
      </c>
      <c r="AN812">
        <v>0.99999999664799499</v>
      </c>
    </row>
    <row r="813" spans="1:40" x14ac:dyDescent="0.25">
      <c r="A813" t="str">
        <f>"20190305134922548"</f>
        <v>20190305134922548</v>
      </c>
      <c r="B813" t="str">
        <f>"1551764962542116"</f>
        <v>1551764962542116</v>
      </c>
      <c r="C813" t="s">
        <v>40</v>
      </c>
      <c r="D813">
        <v>3.9489610000000002</v>
      </c>
      <c r="E813">
        <v>0.55122530000000003</v>
      </c>
      <c r="F813" t="s">
        <v>45</v>
      </c>
      <c r="G813">
        <v>-169.2955</v>
      </c>
      <c r="H813">
        <v>2.212993</v>
      </c>
      <c r="I813">
        <v>355.34280000000001</v>
      </c>
      <c r="J813">
        <v>-350.5831</v>
      </c>
      <c r="K813">
        <v>1.1093170000000001</v>
      </c>
      <c r="L813">
        <v>367.73610000000002</v>
      </c>
      <c r="M813">
        <v>0.99989070000000002</v>
      </c>
      <c r="N813">
        <v>-1.2715529999999999E-2</v>
      </c>
      <c r="O813">
        <v>7.53835599999999E-3</v>
      </c>
      <c r="P813">
        <v>0.99312529999999999</v>
      </c>
      <c r="Q813">
        <v>-9.9994589999999994E-2</v>
      </c>
      <c r="R813">
        <v>6.0851740000000001E-2</v>
      </c>
      <c r="S813">
        <v>3.0354000000000001</v>
      </c>
      <c r="T813">
        <v>1.8464210000000002E-2</v>
      </c>
      <c r="U813">
        <v>-0.20730589999999999</v>
      </c>
      <c r="V813">
        <v>-5.3422030000000002E-2</v>
      </c>
      <c r="W813">
        <v>-8.7316820000000003E-2</v>
      </c>
      <c r="X813">
        <v>0.99474720000000005</v>
      </c>
      <c r="Y813">
        <v>7.5657050000000003E-2</v>
      </c>
      <c r="Z813">
        <v>-1.1020170000000001E-4</v>
      </c>
      <c r="AA813">
        <v>0.99713390000000002</v>
      </c>
      <c r="AB813">
        <v>35</v>
      </c>
      <c r="AC813">
        <v>181.2876</v>
      </c>
      <c r="AD813">
        <v>1.1036760000000001</v>
      </c>
      <c r="AE813">
        <v>-12.3933</v>
      </c>
      <c r="AF813">
        <v>13.759161223926901</v>
      </c>
      <c r="AG813">
        <v>1.1036760000000001</v>
      </c>
      <c r="AH813">
        <v>181.182331408012</v>
      </c>
      <c r="AI813">
        <v>89.651987896128901</v>
      </c>
      <c r="AJ813">
        <v>85.657238649154905</v>
      </c>
      <c r="AK813">
        <v>181.707374183718</v>
      </c>
      <c r="AL813">
        <v>95.009264033673503</v>
      </c>
      <c r="AM813">
        <v>93.074066751882995</v>
      </c>
      <c r="AN813">
        <v>1.00000006612603</v>
      </c>
    </row>
    <row r="814" spans="1:40" x14ac:dyDescent="0.25">
      <c r="A814" t="str">
        <f>"20190305134922560"</f>
        <v>20190305134922560</v>
      </c>
      <c r="B814" t="str">
        <f>"1551764962551876"</f>
        <v>1551764962551876</v>
      </c>
      <c r="C814" t="s">
        <v>40</v>
      </c>
      <c r="D814">
        <v>3.935934</v>
      </c>
      <c r="E814">
        <v>0.55189840000000001</v>
      </c>
      <c r="F814" t="s">
        <v>45</v>
      </c>
      <c r="G814">
        <v>-169.2955</v>
      </c>
      <c r="H814">
        <v>2.1388470000000002</v>
      </c>
      <c r="I814">
        <v>354.95330000000001</v>
      </c>
      <c r="J814">
        <v>-350.41059999999999</v>
      </c>
      <c r="K814">
        <v>1.109302</v>
      </c>
      <c r="L814">
        <v>367.7373</v>
      </c>
      <c r="M814">
        <v>0.99989249999999996</v>
      </c>
      <c r="N814">
        <v>-1.268234E-2</v>
      </c>
      <c r="O814">
        <v>7.3696100000000004E-3</v>
      </c>
      <c r="P814">
        <v>0.9931432</v>
      </c>
      <c r="Q814">
        <v>-9.9953589999999995E-2</v>
      </c>
      <c r="R814">
        <v>6.063019E-2</v>
      </c>
      <c r="S814">
        <v>3.0356749999999999</v>
      </c>
      <c r="T814">
        <v>1.7240999999999999E-2</v>
      </c>
      <c r="U814">
        <v>-0.2140503</v>
      </c>
      <c r="V814">
        <v>-5.337037E-2</v>
      </c>
      <c r="W814">
        <v>-8.7307330000000002E-2</v>
      </c>
      <c r="X814">
        <v>0.99475069999999999</v>
      </c>
      <c r="Y814">
        <v>7.7687300000000001E-2</v>
      </c>
      <c r="Z814">
        <v>-1.3776889999999901E-4</v>
      </c>
      <c r="AA814">
        <v>0.99697769999999997</v>
      </c>
      <c r="AB814">
        <v>35</v>
      </c>
      <c r="AC814">
        <v>181.11510000000001</v>
      </c>
      <c r="AD814">
        <v>1.0295449999999999</v>
      </c>
      <c r="AE814">
        <v>-12.783999999999899</v>
      </c>
      <c r="AF814">
        <v>14.1180537401587</v>
      </c>
      <c r="AG814">
        <v>1.0295449999999999</v>
      </c>
      <c r="AH814">
        <v>181.01014015525399</v>
      </c>
      <c r="AI814">
        <v>89.675104704628296</v>
      </c>
      <c r="AJ814">
        <v>85.540191467039506</v>
      </c>
      <c r="AK814">
        <v>181.562799723241</v>
      </c>
      <c r="AL814">
        <v>95.008718741632805</v>
      </c>
      <c r="AM814">
        <v>93.071088986060104</v>
      </c>
      <c r="AN814">
        <v>0.99999996070807695</v>
      </c>
    </row>
    <row r="815" spans="1:40" x14ac:dyDescent="0.25">
      <c r="A815" t="str">
        <f>"20190305134922572"</f>
        <v>20190305134922572</v>
      </c>
      <c r="B815" t="str">
        <f>"1551764962561636"</f>
        <v>1551764962561636</v>
      </c>
      <c r="C815" t="s">
        <v>40</v>
      </c>
      <c r="D815">
        <v>3.9609960000000002</v>
      </c>
      <c r="E815">
        <v>0.55255129999999997</v>
      </c>
      <c r="F815" t="s">
        <v>45</v>
      </c>
      <c r="G815">
        <v>-169.2955</v>
      </c>
      <c r="H815">
        <v>2.077429</v>
      </c>
      <c r="I815">
        <v>354.6157</v>
      </c>
      <c r="J815">
        <v>-350.2353</v>
      </c>
      <c r="K815">
        <v>1.1092900000000001</v>
      </c>
      <c r="L815">
        <v>367.73849999999999</v>
      </c>
      <c r="M815">
        <v>0.99989410000000001</v>
      </c>
      <c r="N815">
        <v>-1.264931E-2</v>
      </c>
      <c r="O815">
        <v>7.1966950000000003E-3</v>
      </c>
      <c r="P815">
        <v>0.99315629999999999</v>
      </c>
      <c r="Q815">
        <v>-0.1000378</v>
      </c>
      <c r="R815">
        <v>6.0275929999999998E-2</v>
      </c>
      <c r="S815">
        <v>3.0357970000000001</v>
      </c>
      <c r="T815">
        <v>1.6228909999999999E-2</v>
      </c>
      <c r="U815">
        <v>-0.2199402</v>
      </c>
      <c r="V815">
        <v>-5.3190059999999997E-2</v>
      </c>
      <c r="W815">
        <v>-8.7423169999999994E-2</v>
      </c>
      <c r="X815">
        <v>0.99475020000000003</v>
      </c>
      <c r="Y815">
        <v>7.9436489999999998E-2</v>
      </c>
      <c r="Z815">
        <v>-1.616985E-4</v>
      </c>
      <c r="AA815">
        <v>0.9968399</v>
      </c>
      <c r="AB815">
        <v>35</v>
      </c>
      <c r="AC815">
        <v>180.93979999999999</v>
      </c>
      <c r="AD815">
        <v>0.96813899999999997</v>
      </c>
      <c r="AE815">
        <v>-13.1227999999999</v>
      </c>
      <c r="AF815">
        <v>14.424322053888901</v>
      </c>
      <c r="AG815">
        <v>0.96813899999999997</v>
      </c>
      <c r="AH815">
        <v>180.83551512630501</v>
      </c>
      <c r="AI815">
        <v>89.694229707630598</v>
      </c>
      <c r="AJ815">
        <v>85.439465054577695</v>
      </c>
      <c r="AK815">
        <v>181.41246343852399</v>
      </c>
      <c r="AL815">
        <v>95.015381279792905</v>
      </c>
      <c r="AM815">
        <v>93.060734711861699</v>
      </c>
      <c r="AN815">
        <v>0.99999997676784602</v>
      </c>
    </row>
    <row r="816" spans="1:40" x14ac:dyDescent="0.25">
      <c r="A816" t="str">
        <f>"20190305134922583"</f>
        <v>20190305134922583</v>
      </c>
      <c r="B816" t="str">
        <f>"1551764962571395"</f>
        <v>1551764962571395</v>
      </c>
      <c r="C816" t="s">
        <v>40</v>
      </c>
      <c r="D816">
        <v>3.8810500000000001</v>
      </c>
      <c r="E816">
        <v>0.55306889999999997</v>
      </c>
      <c r="F816" t="s">
        <v>45</v>
      </c>
      <c r="G816">
        <v>-169.2955</v>
      </c>
      <c r="H816">
        <v>1.9814369999999999</v>
      </c>
      <c r="I816">
        <v>354.24259999999998</v>
      </c>
      <c r="J816">
        <v>-350.0668</v>
      </c>
      <c r="K816">
        <v>1.1092789999999999</v>
      </c>
      <c r="L816">
        <v>367.73950000000002</v>
      </c>
      <c r="M816">
        <v>0.99989570000000005</v>
      </c>
      <c r="N816">
        <v>-1.261987E-2</v>
      </c>
      <c r="O816">
        <v>7.0250440000000003E-3</v>
      </c>
      <c r="P816">
        <v>0.99314970000000002</v>
      </c>
      <c r="Q816">
        <v>-0.10033590000000001</v>
      </c>
      <c r="R816">
        <v>5.988885E-2</v>
      </c>
      <c r="S816">
        <v>3.0358890000000001</v>
      </c>
      <c r="T816">
        <v>1.463473E-2</v>
      </c>
      <c r="U816">
        <v>-0.22644039999999999</v>
      </c>
      <c r="V816">
        <v>-5.2975550000000003E-2</v>
      </c>
      <c r="W816">
        <v>-8.7749830000000001E-2</v>
      </c>
      <c r="X816">
        <v>0.99473290000000003</v>
      </c>
      <c r="Y816">
        <v>8.1386009999999995E-2</v>
      </c>
      <c r="Z816">
        <v>-1.960295E-4</v>
      </c>
      <c r="AA816">
        <v>0.99668259999999997</v>
      </c>
      <c r="AB816">
        <v>35</v>
      </c>
      <c r="AC816">
        <v>180.7713</v>
      </c>
      <c r="AD816">
        <v>0.87215799999999899</v>
      </c>
      <c r="AE816">
        <v>-13.4969</v>
      </c>
      <c r="AF816">
        <v>14.76625254508</v>
      </c>
      <c r="AG816">
        <v>0.87215799999999899</v>
      </c>
      <c r="AH816">
        <v>180.66783258992999</v>
      </c>
      <c r="AI816">
        <v>89.724331027721803</v>
      </c>
      <c r="AJ816">
        <v>85.327515782951295</v>
      </c>
      <c r="AK816">
        <v>181.27236029396499</v>
      </c>
      <c r="AL816">
        <v>95.034169648551398</v>
      </c>
      <c r="AM816">
        <v>93.048467331116797</v>
      </c>
      <c r="AN816">
        <v>0.99999999195262002</v>
      </c>
    </row>
    <row r="817" spans="1:40" x14ac:dyDescent="0.25">
      <c r="A817" t="str">
        <f>"20190305134922595"</f>
        <v>20190305134922595</v>
      </c>
      <c r="B817" t="str">
        <f>"1551764962591892"</f>
        <v>1551764962591892</v>
      </c>
      <c r="C817" t="s">
        <v>40</v>
      </c>
      <c r="D817">
        <v>3.7520169999999999</v>
      </c>
      <c r="E817">
        <v>0.5536991</v>
      </c>
      <c r="F817" t="s">
        <v>45</v>
      </c>
      <c r="G817">
        <v>-169.2955</v>
      </c>
      <c r="H817">
        <v>1.761182</v>
      </c>
      <c r="I817">
        <v>353.93400000000003</v>
      </c>
      <c r="J817">
        <v>-349.88510000000002</v>
      </c>
      <c r="K817">
        <v>1.1092690000000001</v>
      </c>
      <c r="L817">
        <v>367.74059999999997</v>
      </c>
      <c r="M817">
        <v>0.99989749999999999</v>
      </c>
      <c r="N817">
        <v>-1.2589339999999999E-2</v>
      </c>
      <c r="O817">
        <v>6.8376720000000004E-3</v>
      </c>
      <c r="P817">
        <v>0.99313410000000002</v>
      </c>
      <c r="Q817">
        <v>-0.1007161</v>
      </c>
      <c r="R817">
        <v>5.9508859999999997E-2</v>
      </c>
      <c r="S817">
        <v>3.0357669999999999</v>
      </c>
      <c r="T817">
        <v>1.094913E-2</v>
      </c>
      <c r="U817">
        <v>-0.23184199999999999</v>
      </c>
      <c r="V817">
        <v>-5.2783900000000002E-2</v>
      </c>
      <c r="W817">
        <v>-8.8159899999999999E-2</v>
      </c>
      <c r="X817">
        <v>0.9947068</v>
      </c>
      <c r="Y817">
        <v>8.2965479999999994E-2</v>
      </c>
      <c r="Z817">
        <v>-2.6303699999999998E-4</v>
      </c>
      <c r="AA817">
        <v>0.9965524</v>
      </c>
      <c r="AB817">
        <v>35</v>
      </c>
      <c r="AC817">
        <v>180.58959999999999</v>
      </c>
      <c r="AD817">
        <v>0.65191299999999996</v>
      </c>
      <c r="AE817">
        <v>-13.8065999999999</v>
      </c>
      <c r="AF817">
        <v>15.0409924812468</v>
      </c>
      <c r="AG817">
        <v>0.65191299999999996</v>
      </c>
      <c r="AH817">
        <v>180.488626822572</v>
      </c>
      <c r="AI817">
        <v>89.793767195328897</v>
      </c>
      <c r="AJ817">
        <v>85.236272060969497</v>
      </c>
      <c r="AK817">
        <v>181.115435172373</v>
      </c>
      <c r="AL817">
        <v>95.057756487093599</v>
      </c>
      <c r="AM817">
        <v>93.037539109916693</v>
      </c>
      <c r="AN817">
        <v>0.999999963016729</v>
      </c>
    </row>
    <row r="818" spans="1:40" x14ac:dyDescent="0.25">
      <c r="A818" t="str">
        <f>"20190305134922606"</f>
        <v>20190305134922606</v>
      </c>
      <c r="B818" t="str">
        <f>"1551764962601652"</f>
        <v>1551764962601652</v>
      </c>
      <c r="C818" t="s">
        <v>40</v>
      </c>
      <c r="D818">
        <v>3.947136</v>
      </c>
      <c r="E818">
        <v>0.55431009999999903</v>
      </c>
      <c r="F818" t="s">
        <v>45</v>
      </c>
      <c r="G818">
        <v>-158.78319999999999</v>
      </c>
      <c r="H818">
        <v>1.6479569999999999</v>
      </c>
      <c r="I818">
        <v>352.73750000000001</v>
      </c>
      <c r="J818">
        <v>-349.69729999999998</v>
      </c>
      <c r="K818">
        <v>1.109254</v>
      </c>
      <c r="L818">
        <v>367.74169999999998</v>
      </c>
      <c r="M818">
        <v>0.99989919999999999</v>
      </c>
      <c r="N818">
        <v>-1.25594E-2</v>
      </c>
      <c r="O818">
        <v>6.6410150000000001E-3</v>
      </c>
      <c r="P818">
        <v>0.9931295</v>
      </c>
      <c r="Q818">
        <v>-0.10098749999999999</v>
      </c>
      <c r="R818">
        <v>5.9121239999999999E-2</v>
      </c>
      <c r="S818">
        <v>3.0358890000000001</v>
      </c>
      <c r="T818">
        <v>8.5591079999999993E-3</v>
      </c>
      <c r="U818">
        <v>-0.23834230000000001</v>
      </c>
      <c r="V818">
        <v>-5.2593239999999999E-2</v>
      </c>
      <c r="W818">
        <v>-8.8460540000000004E-2</v>
      </c>
      <c r="X818">
        <v>0.99469019999999997</v>
      </c>
      <c r="Y818">
        <v>8.4887219999999999E-2</v>
      </c>
      <c r="Z818">
        <v>-3.124534E-4</v>
      </c>
      <c r="AA818">
        <v>0.99639049999999996</v>
      </c>
      <c r="AB818">
        <v>35</v>
      </c>
      <c r="AC818">
        <v>190.91409999999999</v>
      </c>
      <c r="AD818">
        <v>0.53870299999999904</v>
      </c>
      <c r="AE818">
        <v>-15.0041999999999</v>
      </c>
      <c r="AF818">
        <v>16.271703567787501</v>
      </c>
      <c r="AG818">
        <v>0.53870299999999904</v>
      </c>
      <c r="AH818">
        <v>190.808728480897</v>
      </c>
      <c r="AI818">
        <v>89.838824433268499</v>
      </c>
      <c r="AJ818">
        <v>85.125748278323499</v>
      </c>
      <c r="AK818">
        <v>191.50203498244301</v>
      </c>
      <c r="AL818">
        <v>95.075049495002006</v>
      </c>
      <c r="AM818">
        <v>93.026638108076796</v>
      </c>
      <c r="AN818">
        <v>0.99999995500341299</v>
      </c>
    </row>
    <row r="819" spans="1:40" x14ac:dyDescent="0.25">
      <c r="A819" t="str">
        <f>"20190305134922619"</f>
        <v>20190305134922619</v>
      </c>
      <c r="B819" t="str">
        <f>"1551764962611411"</f>
        <v>1551764962611411</v>
      </c>
      <c r="C819" t="s">
        <v>40</v>
      </c>
      <c r="D819">
        <v>3.9413649999999998</v>
      </c>
      <c r="E819">
        <v>0.55490779999999995</v>
      </c>
      <c r="F819" t="s">
        <v>45</v>
      </c>
      <c r="G819">
        <v>-158.78319999999999</v>
      </c>
      <c r="H819">
        <v>1.5219180000000001</v>
      </c>
      <c r="I819">
        <v>352.36790000000002</v>
      </c>
      <c r="J819">
        <v>-349.51639999999998</v>
      </c>
      <c r="K819">
        <v>1.109245</v>
      </c>
      <c r="L819">
        <v>367.74270000000001</v>
      </c>
      <c r="M819">
        <v>0.99990060000000003</v>
      </c>
      <c r="N819">
        <v>-1.2532740000000001E-2</v>
      </c>
      <c r="O819">
        <v>6.4497259999999898E-3</v>
      </c>
      <c r="P819">
        <v>0.99315419999999999</v>
      </c>
      <c r="Q819">
        <v>-0.1009318</v>
      </c>
      <c r="R819">
        <v>5.8801480000000003E-2</v>
      </c>
      <c r="S819">
        <v>3.0359500000000001</v>
      </c>
      <c r="T819">
        <v>6.563663E-3</v>
      </c>
      <c r="U819">
        <v>-0.24447630000000001</v>
      </c>
      <c r="V819">
        <v>-5.2464839999999999E-2</v>
      </c>
      <c r="W819">
        <v>-8.8430640000000005E-2</v>
      </c>
      <c r="X819">
        <v>0.99469969999999996</v>
      </c>
      <c r="Y819">
        <v>8.6695320000000006E-2</v>
      </c>
      <c r="Z819">
        <v>-3.5597379999999999E-4</v>
      </c>
      <c r="AA819">
        <v>0.99623479999999998</v>
      </c>
      <c r="AB819">
        <v>35</v>
      </c>
      <c r="AC819">
        <v>190.73320000000001</v>
      </c>
      <c r="AD819">
        <v>0.41267300000000001</v>
      </c>
      <c r="AE819">
        <v>-15.374799999999899</v>
      </c>
      <c r="AF819">
        <v>16.604676507062599</v>
      </c>
      <c r="AG819">
        <v>0.41267300000000001</v>
      </c>
      <c r="AH819">
        <v>190.62917452410599</v>
      </c>
      <c r="AI819">
        <v>89.8764344735023</v>
      </c>
      <c r="AJ819">
        <v>85.021839235840901</v>
      </c>
      <c r="AK819">
        <v>191.351424767758</v>
      </c>
      <c r="AL819">
        <v>95.073329303928602</v>
      </c>
      <c r="AM819">
        <v>93.019233844990296</v>
      </c>
      <c r="AN819">
        <v>1.00000001535356</v>
      </c>
    </row>
    <row r="820" spans="1:40" x14ac:dyDescent="0.25">
      <c r="A820" t="str">
        <f>"20190305134922630"</f>
        <v>20190305134922630</v>
      </c>
      <c r="B820" t="str">
        <f>"1551764962621171"</f>
        <v>1551764962621171</v>
      </c>
      <c r="C820" t="s">
        <v>40</v>
      </c>
      <c r="D820">
        <v>3.9565060000000001</v>
      </c>
      <c r="E820">
        <v>0.55546340000000005</v>
      </c>
      <c r="F820" t="s">
        <v>45</v>
      </c>
      <c r="G820">
        <v>-158.78319999999999</v>
      </c>
      <c r="H820">
        <v>1.4841139999999999</v>
      </c>
      <c r="I820">
        <v>352.03530000000001</v>
      </c>
      <c r="J820">
        <v>-349.33449999999999</v>
      </c>
      <c r="K820">
        <v>1.1092390000000001</v>
      </c>
      <c r="L820">
        <v>367.74369999999999</v>
      </c>
      <c r="M820">
        <v>0.99990219999999996</v>
      </c>
      <c r="N820">
        <v>-1.250676E-2</v>
      </c>
      <c r="O820">
        <v>6.2565919999999896E-3</v>
      </c>
      <c r="P820">
        <v>0.99314800000000003</v>
      </c>
      <c r="Q820">
        <v>-0.10123450000000001</v>
      </c>
      <c r="R820">
        <v>5.8381460000000003E-2</v>
      </c>
      <c r="S820">
        <v>3.0361020000000001</v>
      </c>
      <c r="T820">
        <v>5.9685709999999998E-3</v>
      </c>
      <c r="U820">
        <v>-0.25003049999999999</v>
      </c>
      <c r="V820">
        <v>-5.2238020000000003E-2</v>
      </c>
      <c r="W820">
        <v>-8.8759009999999999E-2</v>
      </c>
      <c r="X820">
        <v>0.99468239999999997</v>
      </c>
      <c r="Y820">
        <v>8.8309250000000006E-2</v>
      </c>
      <c r="Z820">
        <v>-3.7613289999999998E-4</v>
      </c>
      <c r="AA820">
        <v>0.99609300000000001</v>
      </c>
      <c r="AB820">
        <v>35</v>
      </c>
      <c r="AC820">
        <v>190.5513</v>
      </c>
      <c r="AD820">
        <v>0.37487500000000001</v>
      </c>
      <c r="AE820">
        <v>-15.7083999999999</v>
      </c>
      <c r="AF820">
        <v>16.900322535592</v>
      </c>
      <c r="AG820">
        <v>0.37487500000000001</v>
      </c>
      <c r="AH820">
        <v>190.44854895622601</v>
      </c>
      <c r="AI820">
        <v>89.887661760819796</v>
      </c>
      <c r="AJ820">
        <v>84.9288804680575</v>
      </c>
      <c r="AK820">
        <v>191.197309689767</v>
      </c>
      <c r="AL820">
        <v>95.092217745286703</v>
      </c>
      <c r="AM820">
        <v>93.006257046719497</v>
      </c>
      <c r="AN820">
        <v>1.00000002472973</v>
      </c>
    </row>
    <row r="821" spans="1:40" x14ac:dyDescent="0.25">
      <c r="A821" t="str">
        <f>"20190305134922642"</f>
        <v>20190305134922642</v>
      </c>
      <c r="B821" t="str">
        <f>"1551764962631908"</f>
        <v>1551764962631908</v>
      </c>
      <c r="C821" t="s">
        <v>40</v>
      </c>
      <c r="D821">
        <v>3.9658009999999999</v>
      </c>
      <c r="E821">
        <v>0.55604880000000001</v>
      </c>
      <c r="F821" t="s">
        <v>45</v>
      </c>
      <c r="G821">
        <v>-158.78319999999999</v>
      </c>
      <c r="H821">
        <v>1.3509949999999999</v>
      </c>
      <c r="I821">
        <v>351.67619999999999</v>
      </c>
      <c r="J821">
        <v>-349.14729999999997</v>
      </c>
      <c r="K821">
        <v>1.109235</v>
      </c>
      <c r="L821">
        <v>367.74459999999999</v>
      </c>
      <c r="M821">
        <v>0.99990369999999995</v>
      </c>
      <c r="N821">
        <v>-1.248259E-2</v>
      </c>
      <c r="O821">
        <v>6.0563759999999996E-3</v>
      </c>
      <c r="P821">
        <v>0.9931605</v>
      </c>
      <c r="Q821">
        <v>-0.10123169999999999</v>
      </c>
      <c r="R821">
        <v>5.8175329999999997E-2</v>
      </c>
      <c r="S821">
        <v>3.0361630000000002</v>
      </c>
      <c r="T821">
        <v>3.8534400000000001E-3</v>
      </c>
      <c r="U821">
        <v>-0.25601200000000002</v>
      </c>
      <c r="V821">
        <v>-5.2231760000000002E-2</v>
      </c>
      <c r="W821">
        <v>-8.8779789999999997E-2</v>
      </c>
      <c r="X821">
        <v>0.99468080000000003</v>
      </c>
      <c r="Y821">
        <v>9.0056659999999997E-2</v>
      </c>
      <c r="Z821">
        <v>-4.2290120000000001E-4</v>
      </c>
      <c r="AA821">
        <v>0.99593659999999995</v>
      </c>
      <c r="AB821">
        <v>35</v>
      </c>
      <c r="AC821">
        <v>190.36410000000001</v>
      </c>
      <c r="AD821">
        <v>0.24176</v>
      </c>
      <c r="AE821">
        <v>-16.068399999999901</v>
      </c>
      <c r="AF821">
        <v>17.221084133758399</v>
      </c>
      <c r="AG821">
        <v>0.24176</v>
      </c>
      <c r="AH821">
        <v>190.262979617984</v>
      </c>
      <c r="AI821">
        <v>89.927492849289393</v>
      </c>
      <c r="AJ821">
        <v>84.828136648366893</v>
      </c>
      <c r="AK821">
        <v>191.04090033224</v>
      </c>
      <c r="AL821">
        <v>95.093413447611994</v>
      </c>
      <c r="AM821">
        <v>93.005902275633602</v>
      </c>
      <c r="AN821">
        <v>0.99999995087688898</v>
      </c>
    </row>
    <row r="822" spans="1:40" x14ac:dyDescent="0.25">
      <c r="A822" t="str">
        <f>"20190305134922652"</f>
        <v>20190305134922652</v>
      </c>
      <c r="B822" t="str">
        <f>"1551764962641668"</f>
        <v>1551764962641668</v>
      </c>
      <c r="C822" t="s">
        <v>40</v>
      </c>
      <c r="D822">
        <v>3.9437609999999999</v>
      </c>
      <c r="E822">
        <v>0.55662840000000002</v>
      </c>
      <c r="F822" t="s">
        <v>45</v>
      </c>
      <c r="G822">
        <v>-158.78319999999999</v>
      </c>
      <c r="H822">
        <v>1.3155269999999999</v>
      </c>
      <c r="I822">
        <v>351.36070000000001</v>
      </c>
      <c r="J822">
        <v>-349.00020000000001</v>
      </c>
      <c r="K822">
        <v>1.1092329999999999</v>
      </c>
      <c r="L822">
        <v>367.74540000000002</v>
      </c>
      <c r="M822">
        <v>0.99990500000000004</v>
      </c>
      <c r="N822">
        <v>-1.246364E-2</v>
      </c>
      <c r="O822">
        <v>5.8992929999999999E-3</v>
      </c>
      <c r="P822">
        <v>0.99319820000000003</v>
      </c>
      <c r="Q822">
        <v>-0.1011817</v>
      </c>
      <c r="R822">
        <v>5.7618900000000001E-2</v>
      </c>
      <c r="S822">
        <v>3.0362849999999999</v>
      </c>
      <c r="T822">
        <v>3.291726E-3</v>
      </c>
      <c r="U822">
        <v>-0.261322</v>
      </c>
      <c r="V822">
        <v>-5.183111E-2</v>
      </c>
      <c r="W822">
        <v>-8.874833E-2</v>
      </c>
      <c r="X822">
        <v>0.99470460000000005</v>
      </c>
      <c r="Y822">
        <v>9.1625910000000005E-2</v>
      </c>
      <c r="Z822">
        <v>-4.427209E-4</v>
      </c>
      <c r="AA822">
        <v>0.99579340000000005</v>
      </c>
      <c r="AB822">
        <v>35</v>
      </c>
      <c r="AC822">
        <v>190.21700000000001</v>
      </c>
      <c r="AD822">
        <v>0.20629400000000001</v>
      </c>
      <c r="AE822">
        <v>-16.384699999999999</v>
      </c>
      <c r="AF822">
        <v>17.506627305812898</v>
      </c>
      <c r="AG822">
        <v>0.20629400000000001</v>
      </c>
      <c r="AH822">
        <v>190.11680191183899</v>
      </c>
      <c r="AI822">
        <v>89.938090820353494</v>
      </c>
      <c r="AJ822">
        <v>84.738839025491203</v>
      </c>
      <c r="AK822">
        <v>190.921247968958</v>
      </c>
      <c r="AL822">
        <v>95.091603601432695</v>
      </c>
      <c r="AM822">
        <v>92.982815698884806</v>
      </c>
      <c r="AN822">
        <v>0.99999998565139003</v>
      </c>
    </row>
    <row r="823" spans="1:40" x14ac:dyDescent="0.25">
      <c r="A823" t="str">
        <f>"20190305134922662"</f>
        <v>20190305134922662</v>
      </c>
      <c r="B823" t="str">
        <f>"1551764962651428"</f>
        <v>1551764962651428</v>
      </c>
      <c r="C823" t="s">
        <v>40</v>
      </c>
      <c r="D823">
        <v>3.953274</v>
      </c>
      <c r="E823">
        <v>0.55719890000000005</v>
      </c>
      <c r="F823" t="s">
        <v>45</v>
      </c>
      <c r="G823">
        <v>-158.78319999999999</v>
      </c>
      <c r="H823">
        <v>1.282707</v>
      </c>
      <c r="I823">
        <v>350.97329999999999</v>
      </c>
      <c r="J823">
        <v>-348.84460000000001</v>
      </c>
      <c r="K823">
        <v>1.109232</v>
      </c>
      <c r="L823">
        <v>367.74619999999999</v>
      </c>
      <c r="M823">
        <v>0.99990619999999997</v>
      </c>
      <c r="N823">
        <v>-1.2443620000000001E-2</v>
      </c>
      <c r="O823">
        <v>5.7335260000000001E-3</v>
      </c>
      <c r="P823">
        <v>0.99322069999999996</v>
      </c>
      <c r="Q823">
        <v>-0.1010081</v>
      </c>
      <c r="R823">
        <v>5.7532489999999999E-2</v>
      </c>
      <c r="S823">
        <v>3.0364070000000001</v>
      </c>
      <c r="T823">
        <v>2.7705429999999999E-3</v>
      </c>
      <c r="U823">
        <v>-0.26773069999999999</v>
      </c>
      <c r="V823">
        <v>-5.1909619999999997E-2</v>
      </c>
      <c r="W823">
        <v>-8.8594199999999998E-2</v>
      </c>
      <c r="X823">
        <v>0.99471430000000005</v>
      </c>
      <c r="Y823">
        <v>9.3543089999999995E-2</v>
      </c>
      <c r="Z823">
        <v>-4.6413390000000002E-4</v>
      </c>
      <c r="AA823">
        <v>0.99561509999999998</v>
      </c>
      <c r="AB823">
        <v>35</v>
      </c>
      <c r="AC823">
        <v>190.06139999999999</v>
      </c>
      <c r="AD823">
        <v>0.17347499999999999</v>
      </c>
      <c r="AE823">
        <v>-16.7728999999999</v>
      </c>
      <c r="AF823">
        <v>17.8624157868338</v>
      </c>
      <c r="AG823">
        <v>0.17347499999999999</v>
      </c>
      <c r="AH823">
        <v>189.96194318744901</v>
      </c>
      <c r="AI823">
        <v>89.947906775226201</v>
      </c>
      <c r="AJ823">
        <v>84.628184347293299</v>
      </c>
      <c r="AK823">
        <v>190.79998912701399</v>
      </c>
      <c r="AL823">
        <v>95.0827374036365</v>
      </c>
      <c r="AM823">
        <v>92.987296595538794</v>
      </c>
      <c r="AN823">
        <v>1.00000003977333</v>
      </c>
    </row>
    <row r="824" spans="1:40" x14ac:dyDescent="0.25">
      <c r="A824" t="str">
        <f>"20190305134922672"</f>
        <v>20190305134922672</v>
      </c>
      <c r="B824" t="str">
        <f>"1551764962661187"</f>
        <v>1551764962661187</v>
      </c>
      <c r="C824" t="s">
        <v>40</v>
      </c>
      <c r="D824">
        <v>4.9738519999999999</v>
      </c>
      <c r="E824">
        <v>0.55780169999999996</v>
      </c>
      <c r="F824" t="s">
        <v>47</v>
      </c>
      <c r="G824">
        <v>0</v>
      </c>
      <c r="H824">
        <v>0</v>
      </c>
      <c r="I824">
        <v>0</v>
      </c>
      <c r="J824">
        <v>-348.68770000000001</v>
      </c>
      <c r="K824">
        <v>1.109226</v>
      </c>
      <c r="L824">
        <v>367.74689999999998</v>
      </c>
      <c r="M824">
        <v>0.9999074</v>
      </c>
      <c r="N824">
        <v>-1.242354E-2</v>
      </c>
      <c r="O824">
        <v>5.5671679999999999E-3</v>
      </c>
      <c r="P824">
        <v>0.99327019999999999</v>
      </c>
      <c r="Q824">
        <v>-0.10063950000000001</v>
      </c>
      <c r="R824">
        <v>5.732723E-2</v>
      </c>
      <c r="S824">
        <v>3.0365600000000001</v>
      </c>
      <c r="T824">
        <v>2.8930900000000001E-3</v>
      </c>
      <c r="U824">
        <v>-0.27233889999999999</v>
      </c>
      <c r="V824">
        <v>-5.1869489999999997E-2</v>
      </c>
      <c r="W824">
        <v>-8.8244970000000006E-2</v>
      </c>
      <c r="X824">
        <v>0.99474739999999995</v>
      </c>
      <c r="Y824">
        <v>9.4872059999999994E-2</v>
      </c>
      <c r="Z824">
        <v>-4.7110300000000001E-4</v>
      </c>
      <c r="AA824">
        <v>0.99548939999999997</v>
      </c>
      <c r="AB824">
        <v>35</v>
      </c>
      <c r="AC824">
        <v>3.0365600000000001</v>
      </c>
      <c r="AD824">
        <v>2.8930900000000001E-3</v>
      </c>
      <c r="AE824">
        <v>-0.27233889999999999</v>
      </c>
      <c r="AF824">
        <v>0.28924076168318102</v>
      </c>
      <c r="AG824">
        <v>2.8930900000000001E-3</v>
      </c>
      <c r="AH824">
        <v>3.03499392946958</v>
      </c>
      <c r="AI824">
        <v>89.945629504425398</v>
      </c>
      <c r="AJ824">
        <v>84.556043728744498</v>
      </c>
      <c r="AK824">
        <v>3.0487467490931501</v>
      </c>
      <c r="AL824">
        <v>95.062649500862904</v>
      </c>
      <c r="AM824">
        <v>92.984892225730604</v>
      </c>
      <c r="AN824">
        <v>1.0000000042649599</v>
      </c>
    </row>
    <row r="825" spans="1:40" x14ac:dyDescent="0.25">
      <c r="A825" t="str">
        <f>"20190305134922683"</f>
        <v>20190305134922683</v>
      </c>
      <c r="B825" t="str">
        <f>"1551764962671924"</f>
        <v>1551764962671924</v>
      </c>
      <c r="C825" t="s">
        <v>40</v>
      </c>
      <c r="D825">
        <v>4.9677569999999998</v>
      </c>
      <c r="E825">
        <v>0.55836739999999996</v>
      </c>
      <c r="F825" t="s">
        <v>47</v>
      </c>
      <c r="G825">
        <v>0</v>
      </c>
      <c r="H825">
        <v>0</v>
      </c>
      <c r="I825">
        <v>0</v>
      </c>
      <c r="J825">
        <v>-348.51240000000001</v>
      </c>
      <c r="K825">
        <v>1.109224</v>
      </c>
      <c r="L825">
        <v>367.74770000000001</v>
      </c>
      <c r="M825">
        <v>0.99990869999999998</v>
      </c>
      <c r="N825">
        <v>-1.24014E-2</v>
      </c>
      <c r="O825">
        <v>5.3839140000000001E-3</v>
      </c>
      <c r="P825">
        <v>0.99330390000000002</v>
      </c>
      <c r="Q825">
        <v>-0.1002672</v>
      </c>
      <c r="R825">
        <v>5.7395410000000001E-2</v>
      </c>
      <c r="S825">
        <v>3.036835</v>
      </c>
      <c r="T825">
        <v>4.6279429999999998E-3</v>
      </c>
      <c r="U825">
        <v>-0.27780149999999998</v>
      </c>
      <c r="V825">
        <v>-5.2119659999999998E-2</v>
      </c>
      <c r="W825">
        <v>-8.789421E-2</v>
      </c>
      <c r="X825">
        <v>0.99476540000000002</v>
      </c>
      <c r="Y825">
        <v>9.6457849999999998E-2</v>
      </c>
      <c r="Z825">
        <v>-4.51213E-4</v>
      </c>
      <c r="AA825">
        <v>0.99533689999999997</v>
      </c>
      <c r="AB825">
        <v>35</v>
      </c>
      <c r="AC825">
        <v>3.036835</v>
      </c>
      <c r="AD825">
        <v>4.6279429999999998E-3</v>
      </c>
      <c r="AE825">
        <v>-0.27780149999999998</v>
      </c>
      <c r="AF825">
        <v>0.29414810998966001</v>
      </c>
      <c r="AG825">
        <v>4.6279429999999998E-3</v>
      </c>
      <c r="AH825">
        <v>3.0352882143961</v>
      </c>
      <c r="AI825">
        <v>89.913047803798094</v>
      </c>
      <c r="AJ825">
        <v>84.464782255132903</v>
      </c>
      <c r="AK825">
        <v>3.0495112842747099</v>
      </c>
      <c r="AL825">
        <v>95.042473927663096</v>
      </c>
      <c r="AM825">
        <v>92.999208165733904</v>
      </c>
      <c r="AN825">
        <v>1.00000002607359</v>
      </c>
    </row>
    <row r="826" spans="1:40" x14ac:dyDescent="0.25">
      <c r="A826" t="str">
        <f>"20190305134922695"</f>
        <v>20190305134922695</v>
      </c>
      <c r="B826" t="str">
        <f>"1551764962691443"</f>
        <v>1551764962691443</v>
      </c>
      <c r="C826" t="s">
        <v>40</v>
      </c>
      <c r="D826">
        <v>3.9791449999999999</v>
      </c>
      <c r="E826">
        <v>0.5594481</v>
      </c>
      <c r="F826" t="s">
        <v>47</v>
      </c>
      <c r="G826">
        <v>0</v>
      </c>
      <c r="H826">
        <v>0</v>
      </c>
      <c r="I826">
        <v>0</v>
      </c>
      <c r="J826">
        <v>-348.33940000000001</v>
      </c>
      <c r="K826">
        <v>1.109224</v>
      </c>
      <c r="L826">
        <v>367.74849999999998</v>
      </c>
      <c r="M826">
        <v>0.99990990000000002</v>
      </c>
      <c r="N826">
        <v>-1.2380260000000001E-2</v>
      </c>
      <c r="O826">
        <v>5.2053780000000001E-3</v>
      </c>
      <c r="P826">
        <v>0.99334509999999998</v>
      </c>
      <c r="Q826">
        <v>-9.9964830000000005E-2</v>
      </c>
      <c r="R826">
        <v>5.7207279999999999E-2</v>
      </c>
      <c r="S826">
        <v>3.0371090000000001</v>
      </c>
      <c r="T826">
        <v>5.9224369999999896E-3</v>
      </c>
      <c r="U826">
        <v>-0.28207399999999999</v>
      </c>
      <c r="V826">
        <v>-5.2108149999999999E-2</v>
      </c>
      <c r="W826">
        <v>-8.7612570000000001E-2</v>
      </c>
      <c r="X826">
        <v>0.99479079999999998</v>
      </c>
      <c r="Y826">
        <v>9.7660479999999994E-2</v>
      </c>
      <c r="Z826">
        <v>-4.3640060000000002E-4</v>
      </c>
      <c r="AA826">
        <v>0.99521970000000004</v>
      </c>
      <c r="AB826">
        <v>35</v>
      </c>
      <c r="AC826">
        <v>3.0371090000000001</v>
      </c>
      <c r="AD826">
        <v>5.9224369999999896E-3</v>
      </c>
      <c r="AE826">
        <v>-0.28207399999999999</v>
      </c>
      <c r="AF826">
        <v>0.29787956550853201</v>
      </c>
      <c r="AG826">
        <v>5.9224369999999896E-3</v>
      </c>
      <c r="AH826">
        <v>3.0355879881311498</v>
      </c>
      <c r="AI826">
        <v>89.888750329646697</v>
      </c>
      <c r="AJ826">
        <v>84.395558842807802</v>
      </c>
      <c r="AK826">
        <v>3.0501740515081499</v>
      </c>
      <c r="AL826">
        <v>95.026274890126203</v>
      </c>
      <c r="AM826">
        <v>92.998470613338597</v>
      </c>
      <c r="AN826">
        <v>0.99999997874153301</v>
      </c>
    </row>
    <row r="827" spans="1:40" x14ac:dyDescent="0.25">
      <c r="A827" t="str">
        <f>"20190305134922707"</f>
        <v>20190305134922707</v>
      </c>
      <c r="B827" t="str">
        <f>"1551764962701207"</f>
        <v>1551764962701207</v>
      </c>
      <c r="C827" t="s">
        <v>40</v>
      </c>
      <c r="D827">
        <v>3.9562430000000002</v>
      </c>
      <c r="E827">
        <v>0.55998760000000003</v>
      </c>
      <c r="F827" t="s">
        <v>47</v>
      </c>
      <c r="G827">
        <v>0</v>
      </c>
      <c r="H827">
        <v>0</v>
      </c>
      <c r="I827">
        <v>0</v>
      </c>
      <c r="J827">
        <v>-348.1583</v>
      </c>
      <c r="K827">
        <v>1.1092249999999999</v>
      </c>
      <c r="L827">
        <v>367.74919999999997</v>
      </c>
      <c r="M827">
        <v>0.99991110000000005</v>
      </c>
      <c r="N827">
        <v>-1.235899E-2</v>
      </c>
      <c r="O827">
        <v>5.0210819999999996E-3</v>
      </c>
      <c r="P827">
        <v>0.99336720000000001</v>
      </c>
      <c r="Q827">
        <v>-9.9736439999999996E-2</v>
      </c>
      <c r="R827">
        <v>5.7221500000000002E-2</v>
      </c>
      <c r="S827">
        <v>3.0375369999999999</v>
      </c>
      <c r="T827">
        <v>6.9396500000000003E-3</v>
      </c>
      <c r="U827">
        <v>-0.29141240000000002</v>
      </c>
      <c r="V827">
        <v>-5.2304539999999997E-2</v>
      </c>
      <c r="W827">
        <v>-8.7405319999999995E-2</v>
      </c>
      <c r="X827">
        <v>0.99479870000000004</v>
      </c>
      <c r="Y827">
        <v>0.1004965</v>
      </c>
      <c r="Z827">
        <v>-4.3456730000000001E-4</v>
      </c>
      <c r="AA827">
        <v>0.99493730000000002</v>
      </c>
      <c r="AB827">
        <v>35</v>
      </c>
      <c r="AC827">
        <v>3.0375369999999999</v>
      </c>
      <c r="AD827">
        <v>6.9396500000000003E-3</v>
      </c>
      <c r="AE827">
        <v>-0.29141240000000002</v>
      </c>
      <c r="AF827">
        <v>0.30666002600146702</v>
      </c>
      <c r="AG827">
        <v>6.9396500000000003E-3</v>
      </c>
      <c r="AH827">
        <v>3.03601968454727</v>
      </c>
      <c r="AI827">
        <v>89.869698127780595</v>
      </c>
      <c r="AJ827">
        <v>84.232272303978604</v>
      </c>
      <c r="AK827">
        <v>3.0514757176238199</v>
      </c>
      <c r="AL827">
        <v>95.014354733577605</v>
      </c>
      <c r="AM827">
        <v>93.009726929584602</v>
      </c>
      <c r="AN827">
        <v>0.99999995419530097</v>
      </c>
    </row>
    <row r="828" spans="1:40" x14ac:dyDescent="0.25">
      <c r="A828" t="str">
        <f>"20190305134922718"</f>
        <v>20190305134922718</v>
      </c>
      <c r="B828" t="str">
        <f>"1551764962711940"</f>
        <v>1551764962711940</v>
      </c>
      <c r="C828" t="s">
        <v>40</v>
      </c>
      <c r="D828">
        <v>3.9673799999999999</v>
      </c>
      <c r="E828">
        <v>0.56050269999999902</v>
      </c>
      <c r="F828" t="s">
        <v>47</v>
      </c>
      <c r="G828">
        <v>0</v>
      </c>
      <c r="H828">
        <v>0</v>
      </c>
      <c r="I828">
        <v>0</v>
      </c>
      <c r="J828">
        <v>-347.97609999999997</v>
      </c>
      <c r="K828">
        <v>1.1092249999999999</v>
      </c>
      <c r="L828">
        <v>367.75</v>
      </c>
      <c r="M828">
        <v>0.99991229999999998</v>
      </c>
      <c r="N828">
        <v>-1.2339050000000001E-2</v>
      </c>
      <c r="O828">
        <v>4.8421749999999998E-3</v>
      </c>
      <c r="P828">
        <v>0.99338610000000005</v>
      </c>
      <c r="Q828">
        <v>-9.956458E-2</v>
      </c>
      <c r="R828">
        <v>5.7193670000000002E-2</v>
      </c>
      <c r="S828">
        <v>3.037811</v>
      </c>
      <c r="T828">
        <v>7.701159E-3</v>
      </c>
      <c r="U828">
        <v>-0.29562379999999999</v>
      </c>
      <c r="V828">
        <v>-5.2453710000000001E-2</v>
      </c>
      <c r="W828">
        <v>-8.7253579999999997E-2</v>
      </c>
      <c r="X828">
        <v>0.99480420000000003</v>
      </c>
      <c r="Y828">
        <v>0.1016765</v>
      </c>
      <c r="Z828">
        <v>-4.2836529999999999E-4</v>
      </c>
      <c r="AA828">
        <v>0.99481739999999996</v>
      </c>
      <c r="AB828">
        <v>35</v>
      </c>
      <c r="AC828">
        <v>3.037811</v>
      </c>
      <c r="AD828">
        <v>7.701159E-3</v>
      </c>
      <c r="AE828">
        <v>-0.29562379999999999</v>
      </c>
      <c r="AF828">
        <v>0.31032908820094202</v>
      </c>
      <c r="AG828">
        <v>7.701159E-3</v>
      </c>
      <c r="AH828">
        <v>3.0363244795799802</v>
      </c>
      <c r="AI828">
        <v>89.855431700501597</v>
      </c>
      <c r="AJ828">
        <v>84.164319184522896</v>
      </c>
      <c r="AK828">
        <v>3.0521516666329398</v>
      </c>
      <c r="AL828">
        <v>95.005627160633793</v>
      </c>
      <c r="AM828">
        <v>93.018278018809298</v>
      </c>
      <c r="AN828">
        <v>0.99999998762661002</v>
      </c>
    </row>
    <row r="829" spans="1:40" x14ac:dyDescent="0.25">
      <c r="A829" t="str">
        <f>"20190305134922728"</f>
        <v>20190305134922728</v>
      </c>
      <c r="B829" t="str">
        <f>"1551764962721700"</f>
        <v>1551764962721700</v>
      </c>
      <c r="C829" t="s">
        <v>40</v>
      </c>
      <c r="D829">
        <v>5.0361929999999999</v>
      </c>
      <c r="E829">
        <v>0.56100969999999994</v>
      </c>
      <c r="F829" t="s">
        <v>54</v>
      </c>
      <c r="G829">
        <v>-249.69919999999999</v>
      </c>
      <c r="H829">
        <v>1.369602</v>
      </c>
      <c r="I829">
        <v>358.05459999999999</v>
      </c>
      <c r="J829">
        <v>-347.8116</v>
      </c>
      <c r="K829">
        <v>1.1092280000000001</v>
      </c>
      <c r="L829">
        <v>367.75060000000002</v>
      </c>
      <c r="M829">
        <v>0.9999133</v>
      </c>
      <c r="N829">
        <v>-1.2321479999999999E-2</v>
      </c>
      <c r="O829">
        <v>4.682449E-3</v>
      </c>
      <c r="P829">
        <v>0.99338539999999997</v>
      </c>
      <c r="Q829">
        <v>-9.9566680000000005E-2</v>
      </c>
      <c r="R829">
        <v>5.7202969999999999E-2</v>
      </c>
      <c r="S829">
        <v>3.0380250000000002</v>
      </c>
      <c r="T829">
        <v>8.0516340000000002E-3</v>
      </c>
      <c r="U829">
        <v>-0.29971310000000001</v>
      </c>
      <c r="V829">
        <v>-5.2620590000000002E-2</v>
      </c>
      <c r="W829">
        <v>-8.7273740000000002E-2</v>
      </c>
      <c r="X829">
        <v>0.9947937</v>
      </c>
      <c r="Y829">
        <v>0.1028372</v>
      </c>
      <c r="Z829">
        <v>-4.2923000000000001E-4</v>
      </c>
      <c r="AA829">
        <v>0.99469810000000003</v>
      </c>
      <c r="AB829">
        <v>35</v>
      </c>
      <c r="AC829">
        <v>98.112399999999994</v>
      </c>
      <c r="AD829">
        <v>0.260373999999999</v>
      </c>
      <c r="AE829">
        <v>-9.6960000000000193</v>
      </c>
      <c r="AF829">
        <v>10.1552639649498</v>
      </c>
      <c r="AG829">
        <v>0.260373999999999</v>
      </c>
      <c r="AH829">
        <v>98.065235816475607</v>
      </c>
      <c r="AI829">
        <v>89.848682939676706</v>
      </c>
      <c r="AJ829">
        <v>84.087740371962795</v>
      </c>
      <c r="AK829">
        <v>98.589997751083501</v>
      </c>
      <c r="AL829">
        <v>95.006786258968603</v>
      </c>
      <c r="AM829">
        <v>93.027894644794003</v>
      </c>
      <c r="AN829">
        <v>1.0000000688726101</v>
      </c>
    </row>
    <row r="830" spans="1:40" x14ac:dyDescent="0.25">
      <c r="A830" t="str">
        <f>"20190305134922740"</f>
        <v>20190305134922740</v>
      </c>
      <c r="B830" t="str">
        <f>"1551764962731459"</f>
        <v>1551764962731459</v>
      </c>
      <c r="C830" t="s">
        <v>40</v>
      </c>
      <c r="D830">
        <v>3.9894440000000002</v>
      </c>
      <c r="E830">
        <v>0.56152440000000003</v>
      </c>
      <c r="F830" t="s">
        <v>54</v>
      </c>
      <c r="G830">
        <v>-249.6781</v>
      </c>
      <c r="H830">
        <v>1.3679779999999999</v>
      </c>
      <c r="I830">
        <v>357.935</v>
      </c>
      <c r="J830">
        <v>-347.64980000000003</v>
      </c>
      <c r="K830">
        <v>1.1092340000000001</v>
      </c>
      <c r="L830">
        <v>367.75130000000001</v>
      </c>
      <c r="M830">
        <v>0.99991399999999997</v>
      </c>
      <c r="N830">
        <v>-1.230588E-2</v>
      </c>
      <c r="O830">
        <v>4.5380230000000004E-3</v>
      </c>
      <c r="P830">
        <v>0.99338289999999996</v>
      </c>
      <c r="Q830">
        <v>-9.9421170000000003E-2</v>
      </c>
      <c r="R830">
        <v>5.7497529999999998E-2</v>
      </c>
      <c r="S830">
        <v>3.0382389999999999</v>
      </c>
      <c r="T830">
        <v>8.0136059999999995E-3</v>
      </c>
      <c r="U830">
        <v>-0.303894</v>
      </c>
      <c r="V830">
        <v>-5.3057119999999999E-2</v>
      </c>
      <c r="W830">
        <v>-8.7144520000000003E-2</v>
      </c>
      <c r="X830">
        <v>0.99478180000000005</v>
      </c>
      <c r="Y830">
        <v>0.1040421</v>
      </c>
      <c r="Z830">
        <v>-4.3726570000000002E-4</v>
      </c>
      <c r="AA830">
        <v>0.99457280000000003</v>
      </c>
      <c r="AB830">
        <v>35</v>
      </c>
      <c r="AC830">
        <v>97.971699999999998</v>
      </c>
      <c r="AD830">
        <v>0.25874399999999997</v>
      </c>
      <c r="AE830">
        <v>-9.8163000000000107</v>
      </c>
      <c r="AF830">
        <v>10.2607595383811</v>
      </c>
      <c r="AG830">
        <v>0.25874399999999997</v>
      </c>
      <c r="AH830">
        <v>97.925464843152</v>
      </c>
      <c r="AI830">
        <v>89.849434599212501</v>
      </c>
      <c r="AJ830">
        <v>84.018300101685398</v>
      </c>
      <c r="AK830">
        <v>98.461905321344503</v>
      </c>
      <c r="AL830">
        <v>94.999354390293803</v>
      </c>
      <c r="AM830">
        <v>93.053002587961998</v>
      </c>
      <c r="AN830">
        <v>1.0000000274799801</v>
      </c>
    </row>
    <row r="831" spans="1:40" x14ac:dyDescent="0.25">
      <c r="A831" t="str">
        <f>"20190305134922750"</f>
        <v>20190305134922750</v>
      </c>
      <c r="B831" t="str">
        <f>"1551764962741220"</f>
        <v>1551764962741220</v>
      </c>
      <c r="C831" t="s">
        <v>40</v>
      </c>
      <c r="D831">
        <v>3.9654430000000001</v>
      </c>
      <c r="E831">
        <v>0.5620153</v>
      </c>
      <c r="F831" t="s">
        <v>47</v>
      </c>
      <c r="G831">
        <v>0</v>
      </c>
      <c r="H831">
        <v>0</v>
      </c>
      <c r="I831">
        <v>0</v>
      </c>
      <c r="J831">
        <v>-347.47719999999998</v>
      </c>
      <c r="K831">
        <v>1.1092409999999999</v>
      </c>
      <c r="L831">
        <v>367.75189999999998</v>
      </c>
      <c r="M831">
        <v>0.99991490000000005</v>
      </c>
      <c r="N831">
        <v>-1.22895E-2</v>
      </c>
      <c r="O831">
        <v>4.3860510000000002E-3</v>
      </c>
      <c r="P831">
        <v>0.9933845</v>
      </c>
      <c r="Q831">
        <v>-9.9384029999999998E-2</v>
      </c>
      <c r="R831">
        <v>5.753283E-2</v>
      </c>
      <c r="S831">
        <v>3.0385439999999999</v>
      </c>
      <c r="T831">
        <v>8.3098410000000001E-3</v>
      </c>
      <c r="U831">
        <v>-0.30679319999999999</v>
      </c>
      <c r="V831">
        <v>-5.3241259999999999E-2</v>
      </c>
      <c r="W831">
        <v>-8.7124820000000006E-2</v>
      </c>
      <c r="X831">
        <v>0.99477369999999998</v>
      </c>
      <c r="Y831">
        <v>0.1048205</v>
      </c>
      <c r="Z831">
        <v>-4.3705129999999998E-4</v>
      </c>
      <c r="AA831">
        <v>0.99449100000000001</v>
      </c>
      <c r="AB831">
        <v>35</v>
      </c>
      <c r="AC831">
        <v>3.0385439999999999</v>
      </c>
      <c r="AD831">
        <v>8.3098410000000001E-3</v>
      </c>
      <c r="AE831">
        <v>-0.30679319999999999</v>
      </c>
      <c r="AF831">
        <v>0.32011609350515602</v>
      </c>
      <c r="AG831">
        <v>8.3098410000000001E-3</v>
      </c>
      <c r="AH831">
        <v>3.0371465701872302</v>
      </c>
      <c r="AI831">
        <v>89.844098789043201</v>
      </c>
      <c r="AJ831">
        <v>83.983223835029406</v>
      </c>
      <c r="AK831">
        <v>3.0539814432275998</v>
      </c>
      <c r="AL831">
        <v>94.9982212906786</v>
      </c>
      <c r="AM831">
        <v>93.063603085154497</v>
      </c>
      <c r="AN831">
        <v>1.0000000401190501</v>
      </c>
    </row>
    <row r="832" spans="1:40" x14ac:dyDescent="0.25">
      <c r="A832" t="str">
        <f>"20190305134922761"</f>
        <v>20190305134922761</v>
      </c>
      <c r="B832" t="str">
        <f>"1551764962751956"</f>
        <v>1551764962751956</v>
      </c>
      <c r="C832" t="s">
        <v>40</v>
      </c>
      <c r="D832">
        <v>3.9706579999999998</v>
      </c>
      <c r="E832">
        <v>0.56249879999999997</v>
      </c>
      <c r="F832" t="s">
        <v>47</v>
      </c>
      <c r="G832">
        <v>0</v>
      </c>
      <c r="H832">
        <v>0</v>
      </c>
      <c r="I832">
        <v>0</v>
      </c>
      <c r="J832">
        <v>-347.30790000000002</v>
      </c>
      <c r="K832">
        <v>1.1092519999999999</v>
      </c>
      <c r="L832">
        <v>367.7525</v>
      </c>
      <c r="M832">
        <v>0.99991580000000002</v>
      </c>
      <c r="N832">
        <v>-1.227492E-2</v>
      </c>
      <c r="O832">
        <v>4.2533149999999997E-3</v>
      </c>
      <c r="P832">
        <v>0.9933767</v>
      </c>
      <c r="Q832">
        <v>-9.9366280000000001E-2</v>
      </c>
      <c r="R832">
        <v>5.770107E-2</v>
      </c>
      <c r="S832">
        <v>3.0387569999999999</v>
      </c>
      <c r="T832">
        <v>8.1436630000000006E-3</v>
      </c>
      <c r="U832">
        <v>-0.31097409999999998</v>
      </c>
      <c r="V832">
        <v>-5.3539160000000002E-2</v>
      </c>
      <c r="W832">
        <v>-8.7123160000000005E-2</v>
      </c>
      <c r="X832">
        <v>0.99475780000000003</v>
      </c>
      <c r="Y832">
        <v>0.1060358</v>
      </c>
      <c r="Z832">
        <v>-4.4735E-4</v>
      </c>
      <c r="AA832">
        <v>0.99436219999999997</v>
      </c>
      <c r="AB832">
        <v>35</v>
      </c>
      <c r="AC832">
        <v>3.0387569999999999</v>
      </c>
      <c r="AD832">
        <v>8.1436630000000006E-3</v>
      </c>
      <c r="AE832">
        <v>-0.31097409999999998</v>
      </c>
      <c r="AF832">
        <v>0.323894746733148</v>
      </c>
      <c r="AG832">
        <v>8.1436630000000006E-3</v>
      </c>
      <c r="AH832">
        <v>3.0373851504013198</v>
      </c>
      <c r="AI832">
        <v>89.8472482373773</v>
      </c>
      <c r="AJ832">
        <v>83.913206472609403</v>
      </c>
      <c r="AK832">
        <v>3.0546166172020399</v>
      </c>
      <c r="AL832">
        <v>94.998126099546695</v>
      </c>
      <c r="AM832">
        <v>93.080761034970493</v>
      </c>
      <c r="AN832">
        <v>0.999999983661365</v>
      </c>
    </row>
    <row r="833" spans="1:40" x14ac:dyDescent="0.25">
      <c r="A833" t="str">
        <f>"20190305134922773"</f>
        <v>20190305134922773</v>
      </c>
      <c r="B833" t="str">
        <f>"1551764962761716"</f>
        <v>1551764962761716</v>
      </c>
      <c r="C833" t="s">
        <v>40</v>
      </c>
      <c r="D833">
        <v>3.9903499999999998</v>
      </c>
      <c r="E833">
        <v>0.56294489999999997</v>
      </c>
      <c r="F833" t="s">
        <v>47</v>
      </c>
      <c r="G833">
        <v>0</v>
      </c>
      <c r="H833">
        <v>0</v>
      </c>
      <c r="I833">
        <v>0</v>
      </c>
      <c r="J833">
        <v>-347.1311</v>
      </c>
      <c r="K833">
        <v>1.1092630000000001</v>
      </c>
      <c r="L833">
        <v>367.75310000000002</v>
      </c>
      <c r="M833">
        <v>0.99991640000000004</v>
      </c>
      <c r="N833">
        <v>-1.2260180000000001E-2</v>
      </c>
      <c r="O833">
        <v>4.1205440000000003E-3</v>
      </c>
      <c r="P833">
        <v>0.99334599999999995</v>
      </c>
      <c r="Q833">
        <v>-9.9420809999999998E-2</v>
      </c>
      <c r="R833">
        <v>5.8133049999999999E-2</v>
      </c>
      <c r="S833">
        <v>3.0390320000000002</v>
      </c>
      <c r="T833">
        <v>7.411361E-3</v>
      </c>
      <c r="U833">
        <v>-0.31417850000000003</v>
      </c>
      <c r="V833">
        <v>-5.4099950000000001E-2</v>
      </c>
      <c r="W833">
        <v>-8.7194199999999999E-2</v>
      </c>
      <c r="X833">
        <v>0.99472119999999997</v>
      </c>
      <c r="Y833">
        <v>0.106932</v>
      </c>
      <c r="Z833">
        <v>-4.6681789999999999E-4</v>
      </c>
      <c r="AA833">
        <v>0.99426619999999999</v>
      </c>
      <c r="AB833">
        <v>35</v>
      </c>
      <c r="AC833">
        <v>3.0390320000000002</v>
      </c>
      <c r="AD833">
        <v>7.411361E-3</v>
      </c>
      <c r="AE833">
        <v>-0.31417850000000003</v>
      </c>
      <c r="AF833">
        <v>0.32669731564764198</v>
      </c>
      <c r="AG833">
        <v>7.411361E-3</v>
      </c>
      <c r="AH833">
        <v>3.0376936374922301</v>
      </c>
      <c r="AI833">
        <v>89.861011601554296</v>
      </c>
      <c r="AJ833">
        <v>83.861558330860305</v>
      </c>
      <c r="AK833">
        <v>3.0552199101838799</v>
      </c>
      <c r="AL833">
        <v>95.002212112436794</v>
      </c>
      <c r="AM833">
        <v>93.1130813007277</v>
      </c>
      <c r="AN833">
        <v>0.99999994941653902</v>
      </c>
    </row>
    <row r="834" spans="1:40" x14ac:dyDescent="0.25">
      <c r="A834" t="str">
        <f>"20190305134922784"</f>
        <v>20190305134922784</v>
      </c>
      <c r="B834" t="str">
        <f>"1551764962781236"</f>
        <v>1551764962781236</v>
      </c>
      <c r="C834" t="s">
        <v>40</v>
      </c>
      <c r="D834">
        <v>3.8941910000000002</v>
      </c>
      <c r="E834">
        <v>0.56389389999999995</v>
      </c>
      <c r="F834" t="s">
        <v>47</v>
      </c>
      <c r="G834">
        <v>0</v>
      </c>
      <c r="H834">
        <v>0</v>
      </c>
      <c r="I834">
        <v>0</v>
      </c>
      <c r="J834">
        <v>-346.9547</v>
      </c>
      <c r="K834">
        <v>1.1092789999999999</v>
      </c>
      <c r="L834">
        <v>367.75369999999998</v>
      </c>
      <c r="M834">
        <v>0.9999171</v>
      </c>
      <c r="N834">
        <v>-1.224658E-2</v>
      </c>
      <c r="O834">
        <v>4.0004330000000003E-3</v>
      </c>
      <c r="P834">
        <v>0.99333020000000005</v>
      </c>
      <c r="Q834">
        <v>-9.9581810000000007E-2</v>
      </c>
      <c r="R834">
        <v>5.812589E-2</v>
      </c>
      <c r="S834">
        <v>3.0392760000000001</v>
      </c>
      <c r="T834">
        <v>6.3115360000000004E-3</v>
      </c>
      <c r="U834">
        <v>-0.31658940000000002</v>
      </c>
      <c r="V834">
        <v>-5.420867E-2</v>
      </c>
      <c r="W834">
        <v>-8.7371099999999993E-2</v>
      </c>
      <c r="X834">
        <v>0.99469980000000002</v>
      </c>
      <c r="Y834">
        <v>0.1075845</v>
      </c>
      <c r="Z834">
        <v>-4.9201949999999996E-4</v>
      </c>
      <c r="AA834">
        <v>0.99419579999999996</v>
      </c>
      <c r="AB834">
        <v>35</v>
      </c>
      <c r="AC834">
        <v>3.0392760000000001</v>
      </c>
      <c r="AD834">
        <v>6.3115360000000004E-3</v>
      </c>
      <c r="AE834">
        <v>-0.31658940000000002</v>
      </c>
      <c r="AF834">
        <v>0.32874479456197198</v>
      </c>
      <c r="AG834">
        <v>6.3115360000000004E-3</v>
      </c>
      <c r="AH834">
        <v>3.0379721265925399</v>
      </c>
      <c r="AI834">
        <v>89.881656254299997</v>
      </c>
      <c r="AJ834">
        <v>83.823945740429394</v>
      </c>
      <c r="AK834">
        <v>3.0557139292465698</v>
      </c>
      <c r="AL834">
        <v>95.012386359479905</v>
      </c>
      <c r="AM834">
        <v>93.119392025938097</v>
      </c>
      <c r="AN834">
        <v>0.99999999056920896</v>
      </c>
    </row>
    <row r="835" spans="1:40" x14ac:dyDescent="0.25">
      <c r="A835" t="str">
        <f>"20190305134922796"</f>
        <v>20190305134922796</v>
      </c>
      <c r="B835" t="str">
        <f>"1551764962791972"</f>
        <v>1551764962791972</v>
      </c>
      <c r="C835" t="s">
        <v>40</v>
      </c>
      <c r="D835">
        <v>3.954777</v>
      </c>
      <c r="E835">
        <v>0.56436560000000002</v>
      </c>
      <c r="F835" t="s">
        <v>47</v>
      </c>
      <c r="G835">
        <v>0</v>
      </c>
      <c r="H835">
        <v>0</v>
      </c>
      <c r="I835">
        <v>0</v>
      </c>
      <c r="J835">
        <v>-346.77420000000001</v>
      </c>
      <c r="K835">
        <v>1.1092959999999901</v>
      </c>
      <c r="L835">
        <v>367.7543</v>
      </c>
      <c r="M835">
        <v>0.99991770000000002</v>
      </c>
      <c r="N835">
        <v>-1.2233529999999999E-2</v>
      </c>
      <c r="O835">
        <v>3.890592E-3</v>
      </c>
      <c r="P835">
        <v>0.99332299999999996</v>
      </c>
      <c r="Q835">
        <v>-9.9493620000000005E-2</v>
      </c>
      <c r="R835">
        <v>5.8404280000000003E-2</v>
      </c>
      <c r="S835">
        <v>3.0397340000000002</v>
      </c>
      <c r="T835">
        <v>5.5986639999999997E-3</v>
      </c>
      <c r="U835">
        <v>-0.3246155</v>
      </c>
      <c r="V835">
        <v>-5.4592729999999999E-2</v>
      </c>
      <c r="W835">
        <v>-8.7298169999999994E-2</v>
      </c>
      <c r="X835">
        <v>0.99468520000000005</v>
      </c>
      <c r="Y835">
        <v>0.11005570000000001</v>
      </c>
      <c r="Z835">
        <v>-5.19445E-4</v>
      </c>
      <c r="AA835">
        <v>0.99392530000000001</v>
      </c>
      <c r="AB835">
        <v>35</v>
      </c>
      <c r="AC835">
        <v>3.0397340000000002</v>
      </c>
      <c r="AD835">
        <v>5.5986639999999997E-3</v>
      </c>
      <c r="AE835">
        <v>-0.3246155</v>
      </c>
      <c r="AF835">
        <v>0.336439163021583</v>
      </c>
      <c r="AG835">
        <v>5.5986639999999997E-3</v>
      </c>
      <c r="AH835">
        <v>3.03843775868781</v>
      </c>
      <c r="AI835">
        <v>89.895067496097099</v>
      </c>
      <c r="AJ835">
        <v>83.681510251631707</v>
      </c>
      <c r="AK835">
        <v>3.0570127034202899</v>
      </c>
      <c r="AL835">
        <v>95.008191744204396</v>
      </c>
      <c r="AM835">
        <v>93.141494341377907</v>
      </c>
      <c r="AN835">
        <v>0.99999999187662003</v>
      </c>
    </row>
    <row r="836" spans="1:40" x14ac:dyDescent="0.25">
      <c r="A836" t="str">
        <f>"20190305134922808"</f>
        <v>20190305134922808</v>
      </c>
      <c r="B836" t="str">
        <f>"1551764962801731"</f>
        <v>1551764962801731</v>
      </c>
      <c r="C836" t="s">
        <v>40</v>
      </c>
      <c r="D836">
        <v>3.990494</v>
      </c>
      <c r="E836">
        <v>0.56479950000000001</v>
      </c>
      <c r="F836" t="s">
        <v>47</v>
      </c>
      <c r="G836">
        <v>0</v>
      </c>
      <c r="H836">
        <v>0</v>
      </c>
      <c r="I836">
        <v>0</v>
      </c>
      <c r="J836">
        <v>-346.58260000000001</v>
      </c>
      <c r="K836">
        <v>1.1093109999999999</v>
      </c>
      <c r="L836">
        <v>367.755</v>
      </c>
      <c r="M836">
        <v>0.99991819999999998</v>
      </c>
      <c r="N836">
        <v>-1.2220379999999999E-2</v>
      </c>
      <c r="O836">
        <v>3.784478E-3</v>
      </c>
      <c r="P836">
        <v>0.99332710000000002</v>
      </c>
      <c r="Q836">
        <v>-9.9464620000000004E-2</v>
      </c>
      <c r="R836">
        <v>5.8380649999999999E-2</v>
      </c>
      <c r="S836">
        <v>3.0399479999999999</v>
      </c>
      <c r="T836">
        <v>5.2154059999999997E-3</v>
      </c>
      <c r="U836">
        <v>-0.32736209999999999</v>
      </c>
      <c r="V836">
        <v>-5.4670110000000001E-2</v>
      </c>
      <c r="W836">
        <v>-8.7284879999999995E-2</v>
      </c>
      <c r="X836">
        <v>0.99468210000000001</v>
      </c>
      <c r="Y836">
        <v>0.1108306</v>
      </c>
      <c r="Z836">
        <v>-5.3178449999999897E-4</v>
      </c>
      <c r="AA836">
        <v>0.99383909999999998</v>
      </c>
      <c r="AB836">
        <v>35</v>
      </c>
      <c r="AC836">
        <v>3.0399479999999999</v>
      </c>
      <c r="AD836">
        <v>5.2154059999999997E-3</v>
      </c>
      <c r="AE836">
        <v>-0.32736209999999999</v>
      </c>
      <c r="AF836">
        <v>0.338864244466066</v>
      </c>
      <c r="AG836">
        <v>5.2154059999999997E-3</v>
      </c>
      <c r="AH836">
        <v>3.0386783986399002</v>
      </c>
      <c r="AI836">
        <v>89.902266872345294</v>
      </c>
      <c r="AJ836">
        <v>83.636838179997497</v>
      </c>
      <c r="AK836">
        <v>3.0575190247973998</v>
      </c>
      <c r="AL836">
        <v>95.007427447059598</v>
      </c>
      <c r="AM836">
        <v>93.145947957833201</v>
      </c>
      <c r="AN836">
        <v>0.99999997563221799</v>
      </c>
    </row>
    <row r="837" spans="1:40" x14ac:dyDescent="0.25">
      <c r="A837" t="str">
        <f>"20190305134922820"</f>
        <v>20190305134922820</v>
      </c>
      <c r="B837" t="str">
        <f>"1551764962811491"</f>
        <v>1551764962811491</v>
      </c>
      <c r="C837" t="s">
        <v>40</v>
      </c>
      <c r="D837">
        <v>3.9794960000000001</v>
      </c>
      <c r="E837">
        <v>0.56524799999999997</v>
      </c>
      <c r="F837" t="s">
        <v>47</v>
      </c>
      <c r="G837">
        <v>0</v>
      </c>
      <c r="H837">
        <v>0</v>
      </c>
      <c r="I837">
        <v>0</v>
      </c>
      <c r="J837">
        <v>-346.40699999999998</v>
      </c>
      <c r="K837">
        <v>1.109332</v>
      </c>
      <c r="L837">
        <v>367.75549999999998</v>
      </c>
      <c r="M837">
        <v>0.99991859999999999</v>
      </c>
      <c r="N837">
        <v>-1.2209569999999999E-2</v>
      </c>
      <c r="O837">
        <v>3.7110250000000002E-3</v>
      </c>
      <c r="P837">
        <v>0.99333419999999895</v>
      </c>
      <c r="Q837">
        <v>-9.9412390000000003E-2</v>
      </c>
      <c r="R837">
        <v>5.8348619999999997E-2</v>
      </c>
      <c r="S837">
        <v>3.0400390000000002</v>
      </c>
      <c r="T837">
        <v>4.5843120000000001E-3</v>
      </c>
      <c r="U837">
        <v>-0.33102419999999999</v>
      </c>
      <c r="V837">
        <v>-5.4706820000000003E-2</v>
      </c>
      <c r="W837">
        <v>-8.7246149999999995E-2</v>
      </c>
      <c r="X837">
        <v>0.99468350000000005</v>
      </c>
      <c r="Y837">
        <v>0.1119376</v>
      </c>
      <c r="Z837">
        <v>-5.5048480000000001E-4</v>
      </c>
      <c r="AA837">
        <v>0.99371509999999996</v>
      </c>
      <c r="AB837">
        <v>35</v>
      </c>
      <c r="AC837">
        <v>3.0400390000000002</v>
      </c>
      <c r="AD837">
        <v>4.5843120000000001E-3</v>
      </c>
      <c r="AE837">
        <v>-0.33102419999999999</v>
      </c>
      <c r="AF837">
        <v>0.34230365242153798</v>
      </c>
      <c r="AG837">
        <v>4.5843120000000001E-3</v>
      </c>
      <c r="AH837">
        <v>3.0387827037078798</v>
      </c>
      <c r="AI837">
        <v>89.914106795651406</v>
      </c>
      <c r="AJ837">
        <v>83.573009816408003</v>
      </c>
      <c r="AK837">
        <v>3.05800476237886</v>
      </c>
      <c r="AL837">
        <v>95.005199781259293</v>
      </c>
      <c r="AM837">
        <v>93.148051736199093</v>
      </c>
      <c r="AN837">
        <v>0.99999999600829204</v>
      </c>
    </row>
    <row r="838" spans="1:40" x14ac:dyDescent="0.25">
      <c r="A838" t="str">
        <f>"20190305134922832"</f>
        <v>20190305134922832</v>
      </c>
      <c r="B838" t="str">
        <f>"1551764962821252"</f>
        <v>1551764962821252</v>
      </c>
      <c r="C838" t="s">
        <v>40</v>
      </c>
      <c r="D838">
        <v>4.0732160000000004</v>
      </c>
      <c r="E838">
        <v>0.56561209999999995</v>
      </c>
      <c r="F838" t="s">
        <v>47</v>
      </c>
      <c r="G838">
        <v>0</v>
      </c>
      <c r="H838">
        <v>0</v>
      </c>
      <c r="I838">
        <v>0</v>
      </c>
      <c r="J838">
        <v>-346.21170000000001</v>
      </c>
      <c r="K838">
        <v>1.1093550000000001</v>
      </c>
      <c r="L838">
        <v>367.75619999999998</v>
      </c>
      <c r="M838">
        <v>0.99991909999999895</v>
      </c>
      <c r="N838">
        <v>-1.219802E-2</v>
      </c>
      <c r="O838">
        <v>3.6382760000000002E-3</v>
      </c>
      <c r="P838">
        <v>0.99336860000000005</v>
      </c>
      <c r="Q838">
        <v>-9.9057080000000006E-2</v>
      </c>
      <c r="R838">
        <v>5.8368320000000001E-2</v>
      </c>
      <c r="S838">
        <v>3.0402529999999999</v>
      </c>
      <c r="T838">
        <v>4.3027400000000002E-3</v>
      </c>
      <c r="U838">
        <v>-0.33456419999999998</v>
      </c>
      <c r="V838">
        <v>-5.4792880000000002E-2</v>
      </c>
      <c r="W838">
        <v>-8.6905109999999994E-2</v>
      </c>
      <c r="X838">
        <v>0.99470860000000005</v>
      </c>
      <c r="Y838">
        <v>0.11300109999999999</v>
      </c>
      <c r="Z838">
        <v>-5.6219029999999995E-4</v>
      </c>
      <c r="AA838">
        <v>0.99359470000000005</v>
      </c>
      <c r="AB838">
        <v>35</v>
      </c>
      <c r="AC838">
        <v>3.0402529999999999</v>
      </c>
      <c r="AD838">
        <v>4.3027400000000002E-3</v>
      </c>
      <c r="AE838">
        <v>-0.33456419999999998</v>
      </c>
      <c r="AF838">
        <v>0.34562340258463597</v>
      </c>
      <c r="AG838">
        <v>4.3027400000000002E-3</v>
      </c>
      <c r="AH838">
        <v>3.0390095334637102</v>
      </c>
      <c r="AI838">
        <v>89.919398197589601</v>
      </c>
      <c r="AJ838">
        <v>83.511688450949904</v>
      </c>
      <c r="AK838">
        <v>3.0586031116293899</v>
      </c>
      <c r="AL838">
        <v>94.985585214286104</v>
      </c>
      <c r="AM838">
        <v>93.152914592044695</v>
      </c>
      <c r="AN838">
        <v>0.99999997837838295</v>
      </c>
    </row>
    <row r="839" spans="1:40" x14ac:dyDescent="0.25">
      <c r="A839" t="str">
        <f>"20190305134922844"</f>
        <v>20190305134922844</v>
      </c>
      <c r="B839" t="str">
        <f>"1551764962841748"</f>
        <v>1551764962841748</v>
      </c>
      <c r="C839" t="s">
        <v>40</v>
      </c>
      <c r="D839">
        <v>4.3161680000000002</v>
      </c>
      <c r="E839">
        <v>0.56566649999999996</v>
      </c>
      <c r="F839" t="s">
        <v>47</v>
      </c>
      <c r="G839">
        <v>0</v>
      </c>
      <c r="H839">
        <v>0</v>
      </c>
      <c r="I839">
        <v>0</v>
      </c>
      <c r="J839">
        <v>-346.0308</v>
      </c>
      <c r="K839">
        <v>1.109375</v>
      </c>
      <c r="L839">
        <v>367.75670000000002</v>
      </c>
      <c r="M839">
        <v>0.99991929999999996</v>
      </c>
      <c r="N839">
        <v>-1.2188279999999999E-2</v>
      </c>
      <c r="O839">
        <v>3.5907119999999998E-3</v>
      </c>
      <c r="P839">
        <v>0.99336840000000004</v>
      </c>
      <c r="Q839">
        <v>-9.9088999999999997E-2</v>
      </c>
      <c r="R839">
        <v>5.8315119999999998E-2</v>
      </c>
      <c r="S839">
        <v>3.0404360000000001</v>
      </c>
      <c r="T839">
        <v>5.3592919999999999E-3</v>
      </c>
      <c r="U839">
        <v>-0.33749390000000001</v>
      </c>
      <c r="V839">
        <v>-5.4782230000000001E-2</v>
      </c>
      <c r="W839">
        <v>-8.6949830000000006E-2</v>
      </c>
      <c r="X839">
        <v>0.99470530000000001</v>
      </c>
      <c r="Y839">
        <v>0.1138933</v>
      </c>
      <c r="Z839">
        <v>-5.462183E-4</v>
      </c>
      <c r="AA839">
        <v>0.99349279999999995</v>
      </c>
      <c r="AB839">
        <v>35</v>
      </c>
      <c r="AC839">
        <v>3.0404360000000001</v>
      </c>
      <c r="AD839">
        <v>5.3592919999999999E-3</v>
      </c>
      <c r="AE839">
        <v>-0.33749390000000001</v>
      </c>
      <c r="AF839">
        <v>0.34840879537846903</v>
      </c>
      <c r="AG839">
        <v>5.3592919999999999E-3</v>
      </c>
      <c r="AH839">
        <v>3.0391951352585198</v>
      </c>
      <c r="AI839">
        <v>89.899622617681899</v>
      </c>
      <c r="AJ839">
        <v>83.460246071070102</v>
      </c>
      <c r="AK839">
        <v>3.05910517649964</v>
      </c>
      <c r="AL839">
        <v>94.988157110655095</v>
      </c>
      <c r="AM839">
        <v>93.152313438265097</v>
      </c>
      <c r="AN839">
        <v>0.99999999975444598</v>
      </c>
    </row>
    <row r="840" spans="1:40" x14ac:dyDescent="0.25">
      <c r="A840" t="str">
        <f>"20190305134922856"</f>
        <v>20190305134922856</v>
      </c>
      <c r="B840" t="str">
        <f>"1551764962851508"</f>
        <v>1551764962851508</v>
      </c>
      <c r="C840" t="s">
        <v>40</v>
      </c>
      <c r="D840">
        <v>3.9762499999999998</v>
      </c>
      <c r="E840">
        <v>0.49145339999999998</v>
      </c>
      <c r="F840" t="s">
        <v>47</v>
      </c>
      <c r="G840">
        <v>0</v>
      </c>
      <c r="H840">
        <v>0</v>
      </c>
      <c r="I840">
        <v>0</v>
      </c>
      <c r="J840">
        <v>-345.86419999999998</v>
      </c>
      <c r="K840">
        <v>1.1093959999999901</v>
      </c>
      <c r="L840">
        <v>367.75729999999999</v>
      </c>
      <c r="M840">
        <v>0.99991960000000002</v>
      </c>
      <c r="N840">
        <v>-1.2179870000000001E-2</v>
      </c>
      <c r="O840">
        <v>3.5560909999999999E-3</v>
      </c>
      <c r="P840">
        <v>0.99339149999999998</v>
      </c>
      <c r="Q840">
        <v>-9.8861340000000006E-2</v>
      </c>
      <c r="R840">
        <v>5.8309560000000003E-2</v>
      </c>
      <c r="S840">
        <v>3.0404360000000001</v>
      </c>
      <c r="T840">
        <v>5.8130029999999997E-3</v>
      </c>
      <c r="U840">
        <v>-0.33804319999999999</v>
      </c>
      <c r="V840">
        <v>-5.4806519999999997E-2</v>
      </c>
      <c r="W840">
        <v>-8.6733009999999999E-2</v>
      </c>
      <c r="X840">
        <v>0.99472289999999997</v>
      </c>
      <c r="Y840">
        <v>0.1140362</v>
      </c>
      <c r="Z840">
        <v>-5.3799360000000005E-4</v>
      </c>
      <c r="AA840">
        <v>0.99347649999999998</v>
      </c>
      <c r="AB840">
        <v>35</v>
      </c>
      <c r="AC840">
        <v>3.0404360000000001</v>
      </c>
      <c r="AD840">
        <v>5.8130029999999997E-3</v>
      </c>
      <c r="AE840">
        <v>-0.33804319999999999</v>
      </c>
      <c r="AF840">
        <v>0.34885267073336801</v>
      </c>
      <c r="AG840">
        <v>5.8130029999999997E-3</v>
      </c>
      <c r="AH840">
        <v>3.0392035975963601</v>
      </c>
      <c r="AI840">
        <v>89.8911269124564</v>
      </c>
      <c r="AJ840">
        <v>83.452004762356495</v>
      </c>
      <c r="AK840">
        <v>3.05916499792417</v>
      </c>
      <c r="AL840">
        <v>94.975687085240295</v>
      </c>
      <c r="AM840">
        <v>93.153652640834906</v>
      </c>
      <c r="AN840">
        <v>1.0000000087212899</v>
      </c>
    </row>
    <row r="841" spans="1:40" x14ac:dyDescent="0.25">
      <c r="A841" t="str">
        <f>"20190305134922866"</f>
        <v>20190305134922866</v>
      </c>
      <c r="B841" t="str">
        <f>"1551764962862244"</f>
        <v>1551764962862244</v>
      </c>
      <c r="C841" t="s">
        <v>40</v>
      </c>
      <c r="D841">
        <v>4.1471640000000001</v>
      </c>
      <c r="E841">
        <v>0.49145339999999998</v>
      </c>
      <c r="F841" t="s">
        <v>43</v>
      </c>
      <c r="G841">
        <v>-277.74630000000002</v>
      </c>
      <c r="H841">
        <v>-0.05</v>
      </c>
      <c r="I841">
        <v>373.4633</v>
      </c>
      <c r="J841">
        <v>-345.69490000000002</v>
      </c>
      <c r="K841">
        <v>1.109416</v>
      </c>
      <c r="L841">
        <v>367.75790000000001</v>
      </c>
      <c r="M841">
        <v>0.99991969999999997</v>
      </c>
      <c r="N841">
        <v>-1.217184E-2</v>
      </c>
      <c r="O841">
        <v>3.530161E-3</v>
      </c>
      <c r="P841">
        <v>0.99342980000000003</v>
      </c>
      <c r="Q841">
        <v>-9.8724770000000003E-2</v>
      </c>
      <c r="R841">
        <v>5.7887500000000001E-2</v>
      </c>
      <c r="S841">
        <v>3.0001220000000002</v>
      </c>
      <c r="T841">
        <v>-5.1063299999999999E-2</v>
      </c>
      <c r="U841">
        <v>0.25131229999999999</v>
      </c>
      <c r="V841">
        <v>-5.4406309999999999E-2</v>
      </c>
      <c r="W841">
        <v>-8.6606820000000001E-2</v>
      </c>
      <c r="X841">
        <v>0.99475590000000003</v>
      </c>
      <c r="Y841">
        <v>-7.9936629999999995E-2</v>
      </c>
      <c r="Z841">
        <v>1.1493779999999999E-3</v>
      </c>
      <c r="AA841">
        <v>0.99679930000000005</v>
      </c>
      <c r="AB841">
        <v>35</v>
      </c>
      <c r="AC841">
        <v>67.948599999999999</v>
      </c>
      <c r="AD841">
        <v>-1.159416</v>
      </c>
      <c r="AE841">
        <v>5.7053999999999903</v>
      </c>
      <c r="AF841">
        <v>-5.4638974991254496</v>
      </c>
      <c r="AG841">
        <v>-1.159416</v>
      </c>
      <c r="AH841">
        <v>67.948674231222498</v>
      </c>
      <c r="AI841">
        <v>90.974404955749506</v>
      </c>
      <c r="AJ841">
        <v>94.597383529456195</v>
      </c>
      <c r="AK841">
        <v>68.177861150983603</v>
      </c>
      <c r="AL841">
        <v>94.968429444875795</v>
      </c>
      <c r="AM841">
        <v>93.130566259754801</v>
      </c>
      <c r="AN841">
        <v>1.00000004421156</v>
      </c>
    </row>
    <row r="842" spans="1:40" x14ac:dyDescent="0.25">
      <c r="A842" t="str">
        <f>"20190305134922876"</f>
        <v>20190305134922876</v>
      </c>
      <c r="B842" t="str">
        <f>"1551764962872004"</f>
        <v>1551764962872004</v>
      </c>
      <c r="C842" t="s">
        <v>40</v>
      </c>
      <c r="D842">
        <v>4.0091999999999999</v>
      </c>
      <c r="E842">
        <v>0.43544070000000001</v>
      </c>
      <c r="F842" t="s">
        <v>43</v>
      </c>
      <c r="G842">
        <v>-277.04349999999999</v>
      </c>
      <c r="H842">
        <v>-0.05</v>
      </c>
      <c r="I842">
        <v>373.47910000000002</v>
      </c>
      <c r="J842">
        <v>-345.54169999999999</v>
      </c>
      <c r="K842">
        <v>1.109432</v>
      </c>
      <c r="L842">
        <v>367.75839999999999</v>
      </c>
      <c r="M842">
        <v>0.99991989999999997</v>
      </c>
      <c r="N842">
        <v>-1.2165199999999999E-2</v>
      </c>
      <c r="O842">
        <v>3.514648E-3</v>
      </c>
      <c r="P842">
        <v>0.99344339999999998</v>
      </c>
      <c r="Q842">
        <v>-9.8597539999999997E-2</v>
      </c>
      <c r="R842">
        <v>5.7869339999999998E-2</v>
      </c>
      <c r="S842">
        <v>3.0002439999999999</v>
      </c>
      <c r="T842">
        <v>-5.0669550000000001E-2</v>
      </c>
      <c r="U842">
        <v>0.25003049999999999</v>
      </c>
      <c r="V842">
        <v>-5.4399749999999997E-2</v>
      </c>
      <c r="W842">
        <v>-8.6488140000000005E-2</v>
      </c>
      <c r="X842">
        <v>0.9947665</v>
      </c>
      <c r="Y842">
        <v>-7.9526159999999999E-2</v>
      </c>
      <c r="Z842">
        <v>1.1384050000000001E-3</v>
      </c>
      <c r="AA842">
        <v>0.9968321</v>
      </c>
      <c r="AB842">
        <v>35</v>
      </c>
      <c r="AC842">
        <v>68.498199999999997</v>
      </c>
      <c r="AD842">
        <v>-1.159432</v>
      </c>
      <c r="AE842">
        <v>5.7207000000000203</v>
      </c>
      <c r="AF842">
        <v>-5.4783411013107504</v>
      </c>
      <c r="AG842">
        <v>-1.159432</v>
      </c>
      <c r="AH842">
        <v>68.498395400003403</v>
      </c>
      <c r="AI842">
        <v>90.966633333240907</v>
      </c>
      <c r="AJ842">
        <v>94.572649179914805</v>
      </c>
      <c r="AK842">
        <v>68.726899218283805</v>
      </c>
      <c r="AL842">
        <v>94.961604388194701</v>
      </c>
      <c r="AM842">
        <v>93.130156256504506</v>
      </c>
      <c r="AN842">
        <v>0.99999996034148497</v>
      </c>
    </row>
    <row r="843" spans="1:40" x14ac:dyDescent="0.25">
      <c r="A843" t="str">
        <f>"20190305134922886"</f>
        <v>20190305134922886</v>
      </c>
      <c r="B843" t="str">
        <f>"1551764962881764"</f>
        <v>1551764962881764</v>
      </c>
      <c r="C843" t="s">
        <v>40</v>
      </c>
      <c r="D843">
        <v>3.9317989999999998</v>
      </c>
      <c r="E843">
        <v>0.43240849999999997</v>
      </c>
      <c r="F843" t="s">
        <v>57</v>
      </c>
      <c r="G843">
        <v>-250.85640000000001</v>
      </c>
      <c r="H843">
        <v>7.654617</v>
      </c>
      <c r="I843">
        <v>389.99860000000001</v>
      </c>
      <c r="J843">
        <v>-345.3766</v>
      </c>
      <c r="K843">
        <v>1.10945</v>
      </c>
      <c r="L843">
        <v>367.75900000000001</v>
      </c>
      <c r="M843">
        <v>0.99992009999999998</v>
      </c>
      <c r="N843">
        <v>-1.215838E-2</v>
      </c>
      <c r="O843">
        <v>3.502649E-3</v>
      </c>
      <c r="P843">
        <v>0.99343570000000003</v>
      </c>
      <c r="Q843">
        <v>-9.8850530000000006E-2</v>
      </c>
      <c r="R843">
        <v>5.7570839999999998E-2</v>
      </c>
      <c r="S843">
        <v>2.9993289999999999</v>
      </c>
      <c r="T843">
        <v>0.2073314</v>
      </c>
      <c r="U843">
        <v>0.70449830000000002</v>
      </c>
      <c r="V843">
        <v>-5.4110119999999998E-2</v>
      </c>
      <c r="W843">
        <v>-8.6750160000000007E-2</v>
      </c>
      <c r="X843">
        <v>0.99475950000000002</v>
      </c>
      <c r="Y843">
        <v>-0.2248463</v>
      </c>
      <c r="Z843">
        <v>-5.9911699999999997E-3</v>
      </c>
      <c r="AA843">
        <v>0.97437580000000001</v>
      </c>
      <c r="AB843">
        <v>35</v>
      </c>
      <c r="AC843">
        <v>94.520200000000003</v>
      </c>
      <c r="AD843">
        <v>6.5451670000000002</v>
      </c>
      <c r="AE843">
        <v>22.239599999999999</v>
      </c>
      <c r="AF843">
        <v>-21.809277462138699</v>
      </c>
      <c r="AG843">
        <v>6.5451670000000002</v>
      </c>
      <c r="AH843">
        <v>94.169662917017504</v>
      </c>
      <c r="AI843">
        <v>86.126312988787205</v>
      </c>
      <c r="AJ843">
        <v>103.039560915138</v>
      </c>
      <c r="AK843">
        <v>96.883482639628198</v>
      </c>
      <c r="AL843">
        <v>94.976673573339795</v>
      </c>
      <c r="AM843">
        <v>93.113545717372702</v>
      </c>
      <c r="AN843">
        <v>0.99999997909334404</v>
      </c>
    </row>
    <row r="844" spans="1:40" x14ac:dyDescent="0.25">
      <c r="A844" t="str">
        <f>"20190305134922897"</f>
        <v>20190305134922897</v>
      </c>
      <c r="B844" t="str">
        <f>"1551764962891523"</f>
        <v>1551764962891523</v>
      </c>
      <c r="C844" t="s">
        <v>40</v>
      </c>
      <c r="D844">
        <v>3.9155129999999998</v>
      </c>
      <c r="E844">
        <v>0.43171359999999998</v>
      </c>
      <c r="F844" t="s">
        <v>57</v>
      </c>
      <c r="G844">
        <v>-253.7859</v>
      </c>
      <c r="H844">
        <v>7.2900089999999897</v>
      </c>
      <c r="I844">
        <v>389.99860000000001</v>
      </c>
      <c r="J844">
        <v>-345.2192</v>
      </c>
      <c r="K844">
        <v>1.109461</v>
      </c>
      <c r="L844">
        <v>367.7595</v>
      </c>
      <c r="M844">
        <v>0.99992009999999998</v>
      </c>
      <c r="N844">
        <v>-1.2152380000000001E-2</v>
      </c>
      <c r="O844">
        <v>3.4973299999999999E-3</v>
      </c>
      <c r="P844">
        <v>0.99345640000000002</v>
      </c>
      <c r="Q844">
        <v>-9.875863E-2</v>
      </c>
      <c r="R844">
        <v>5.7370280000000003E-2</v>
      </c>
      <c r="S844">
        <v>2.9977719999999999</v>
      </c>
      <c r="T844">
        <v>0.20229130000000001</v>
      </c>
      <c r="U844">
        <v>0.72790529999999998</v>
      </c>
      <c r="V844">
        <v>-5.391224E-2</v>
      </c>
      <c r="W844">
        <v>-8.666567E-2</v>
      </c>
      <c r="X844">
        <v>0.99477760000000004</v>
      </c>
      <c r="Y844">
        <v>-0.23216439999999999</v>
      </c>
      <c r="Z844">
        <v>-6.0063640000000001E-3</v>
      </c>
      <c r="AA844">
        <v>0.97265800000000002</v>
      </c>
      <c r="AB844">
        <v>35</v>
      </c>
      <c r="AC844">
        <v>91.433300000000003</v>
      </c>
      <c r="AD844">
        <v>6.1805479999999999</v>
      </c>
      <c r="AE844">
        <v>22.239100000000001</v>
      </c>
      <c r="AF844">
        <v>-21.8250140609711</v>
      </c>
      <c r="AG844">
        <v>6.1805479999999999</v>
      </c>
      <c r="AH844">
        <v>91.117440049425397</v>
      </c>
      <c r="AI844">
        <v>86.225970390911499</v>
      </c>
      <c r="AJ844">
        <v>103.47006220910799</v>
      </c>
      <c r="AK844">
        <v>93.898446704418504</v>
      </c>
      <c r="AL844">
        <v>94.971814393646696</v>
      </c>
      <c r="AM844">
        <v>93.102125467480107</v>
      </c>
      <c r="AN844">
        <v>0.99999997072006197</v>
      </c>
    </row>
    <row r="845" spans="1:40" x14ac:dyDescent="0.25">
      <c r="A845" t="str">
        <f>"20190305134922909"</f>
        <v>20190305134922909</v>
      </c>
      <c r="B845" t="str">
        <f>"1551764962901283"</f>
        <v>1551764962901283</v>
      </c>
      <c r="C845" t="s">
        <v>40</v>
      </c>
      <c r="D845">
        <v>3.8642609999999999</v>
      </c>
      <c r="E845">
        <v>0.43162810000000001</v>
      </c>
      <c r="F845" t="s">
        <v>57</v>
      </c>
      <c r="G845">
        <v>-254.23990000000001</v>
      </c>
      <c r="H845">
        <v>6.7599530000000003</v>
      </c>
      <c r="I845">
        <v>389.99860000000001</v>
      </c>
      <c r="J845">
        <v>-345.03250000000003</v>
      </c>
      <c r="K845">
        <v>1.1094729999999999</v>
      </c>
      <c r="L845">
        <v>367.76010000000002</v>
      </c>
      <c r="M845">
        <v>0.99992009999999998</v>
      </c>
      <c r="N845">
        <v>-1.214549E-2</v>
      </c>
      <c r="O845">
        <v>3.4935209999999999E-3</v>
      </c>
      <c r="P845">
        <v>0.99344030000000005</v>
      </c>
      <c r="Q845">
        <v>-9.9029820000000005E-2</v>
      </c>
      <c r="R845">
        <v>5.718115E-2</v>
      </c>
      <c r="S845">
        <v>2.9959410000000002</v>
      </c>
      <c r="T845">
        <v>0.18607099999999999</v>
      </c>
      <c r="U845">
        <v>0.73233029999999999</v>
      </c>
      <c r="V845">
        <v>-5.3724029999999999E-2</v>
      </c>
      <c r="W845">
        <v>-8.6945709999999995E-2</v>
      </c>
      <c r="X845">
        <v>0.99476339999999996</v>
      </c>
      <c r="Y845">
        <v>-0.2337253</v>
      </c>
      <c r="Z845">
        <v>-5.4497819999999898E-3</v>
      </c>
      <c r="AA845">
        <v>0.97228740000000002</v>
      </c>
      <c r="AB845">
        <v>35</v>
      </c>
      <c r="AC845">
        <v>90.792599999999993</v>
      </c>
      <c r="AD845">
        <v>5.6504799999999999</v>
      </c>
      <c r="AE845">
        <v>22.238499999999899</v>
      </c>
      <c r="AF845">
        <v>-21.8413471487805</v>
      </c>
      <c r="AG845">
        <v>5.6504799999999999</v>
      </c>
      <c r="AH845">
        <v>90.538914826332004</v>
      </c>
      <c r="AI845">
        <v>86.528175425666404</v>
      </c>
      <c r="AJ845">
        <v>103.562735819152</v>
      </c>
      <c r="AK845">
        <v>93.3073816342188</v>
      </c>
      <c r="AL845">
        <v>94.987920028752796</v>
      </c>
      <c r="AM845">
        <v>93.091360894460806</v>
      </c>
      <c r="AN845">
        <v>1.0000000249331999</v>
      </c>
    </row>
    <row r="846" spans="1:40" x14ac:dyDescent="0.25">
      <c r="A846" t="str">
        <f>"20190305134922919"</f>
        <v>20190305134922919</v>
      </c>
      <c r="B846" t="str">
        <f>"1551764962912020"</f>
        <v>1551764962912020</v>
      </c>
      <c r="C846" t="s">
        <v>40</v>
      </c>
      <c r="D846">
        <v>3.8359079999999999</v>
      </c>
      <c r="E846">
        <v>0.43223820000000002</v>
      </c>
      <c r="F846" t="s">
        <v>57</v>
      </c>
      <c r="G846">
        <v>-254.0633</v>
      </c>
      <c r="H846">
        <v>6.3312339999999896</v>
      </c>
      <c r="I846">
        <v>389.99860000000001</v>
      </c>
      <c r="J846">
        <v>-344.86470000000003</v>
      </c>
      <c r="K846">
        <v>1.109483</v>
      </c>
      <c r="L846">
        <v>367.76069999999999</v>
      </c>
      <c r="M846">
        <v>0.99992040000000004</v>
      </c>
      <c r="N846">
        <v>-1.213992E-2</v>
      </c>
      <c r="O846">
        <v>3.4982279999999999E-3</v>
      </c>
      <c r="P846">
        <v>0.99343479999999995</v>
      </c>
      <c r="Q846">
        <v>-9.90563E-2</v>
      </c>
      <c r="R846">
        <v>5.722965E-2</v>
      </c>
      <c r="S846">
        <v>2.994812</v>
      </c>
      <c r="T846">
        <v>0.17190730000000001</v>
      </c>
      <c r="U846">
        <v>0.73211669999999995</v>
      </c>
      <c r="V846">
        <v>-5.3765609999999998E-2</v>
      </c>
      <c r="W846">
        <v>-8.6979000000000001E-2</v>
      </c>
      <c r="X846">
        <v>0.99475820000000004</v>
      </c>
      <c r="Y846">
        <v>-0.233794</v>
      </c>
      <c r="Z846">
        <v>-4.9273679999999997E-3</v>
      </c>
      <c r="AA846">
        <v>0.97227359999999896</v>
      </c>
      <c r="AB846">
        <v>35</v>
      </c>
      <c r="AC846">
        <v>90.801400000000001</v>
      </c>
      <c r="AD846">
        <v>5.2217509999999896</v>
      </c>
      <c r="AE846">
        <v>22.2379</v>
      </c>
      <c r="AF846">
        <v>-21.851919334829599</v>
      </c>
      <c r="AG846">
        <v>5.2217509999999896</v>
      </c>
      <c r="AH846">
        <v>90.595986933871202</v>
      </c>
      <c r="AI846">
        <v>86.793017930858198</v>
      </c>
      <c r="AJ846">
        <v>103.560825874873</v>
      </c>
      <c r="AK846">
        <v>93.340269501668303</v>
      </c>
      <c r="AL846">
        <v>94.989834874047602</v>
      </c>
      <c r="AM846">
        <v>93.093764964595394</v>
      </c>
      <c r="AN846">
        <v>0.99999998186345596</v>
      </c>
    </row>
    <row r="847" spans="1:40" x14ac:dyDescent="0.25">
      <c r="A847" t="str">
        <f>"20190305134922930"</f>
        <v>20190305134922930</v>
      </c>
      <c r="B847" t="str">
        <f>"1551764962921780"</f>
        <v>1551764962921780</v>
      </c>
      <c r="C847" t="s">
        <v>40</v>
      </c>
      <c r="D847">
        <v>3.80321</v>
      </c>
      <c r="E847">
        <v>0.43303700000000001</v>
      </c>
      <c r="F847" t="s">
        <v>57</v>
      </c>
      <c r="G847">
        <v>-253.30330000000001</v>
      </c>
      <c r="H847">
        <v>5.9189470000000002</v>
      </c>
      <c r="I847">
        <v>389.99860000000001</v>
      </c>
      <c r="J847">
        <v>-344.69850000000002</v>
      </c>
      <c r="K847">
        <v>1.1094919999999999</v>
      </c>
      <c r="L847">
        <v>367.76130000000001</v>
      </c>
      <c r="M847">
        <v>0.99992020000000004</v>
      </c>
      <c r="N847">
        <v>-1.2134509999999999E-2</v>
      </c>
      <c r="O847">
        <v>3.5042979999999999E-3</v>
      </c>
      <c r="P847">
        <v>0.99343210000000004</v>
      </c>
      <c r="Q847">
        <v>-9.9079879999999995E-2</v>
      </c>
      <c r="R847">
        <v>5.7234689999999998E-2</v>
      </c>
      <c r="S847">
        <v>2.993652</v>
      </c>
      <c r="T847">
        <v>0.15724920000000001</v>
      </c>
      <c r="U847">
        <v>0.72708130000000004</v>
      </c>
      <c r="V847">
        <v>-5.3762629999999999E-2</v>
      </c>
      <c r="W847">
        <v>-8.7009199999999995E-2</v>
      </c>
      <c r="X847">
        <v>0.99475570000000002</v>
      </c>
      <c r="Y847">
        <v>-0.23238339999999999</v>
      </c>
      <c r="Z847">
        <v>-4.3577950000000002E-3</v>
      </c>
      <c r="AA847">
        <v>0.97261450000000005</v>
      </c>
      <c r="AB847">
        <v>35</v>
      </c>
      <c r="AC847">
        <v>91.395200000000003</v>
      </c>
      <c r="AD847">
        <v>4.8094549999999998</v>
      </c>
      <c r="AE847">
        <v>22.237300000000001</v>
      </c>
      <c r="AF847">
        <v>-21.859714426714799</v>
      </c>
      <c r="AG847">
        <v>4.8094549999999998</v>
      </c>
      <c r="AH847">
        <v>91.234050947657394</v>
      </c>
      <c r="AI847">
        <v>87.065324043257405</v>
      </c>
      <c r="AJ847">
        <v>103.474082475107</v>
      </c>
      <c r="AK847">
        <v>93.939501938930306</v>
      </c>
      <c r="AL847">
        <v>94.991571891098303</v>
      </c>
      <c r="AM847">
        <v>93.093601583044702</v>
      </c>
      <c r="AN847">
        <v>0.99999996197582197</v>
      </c>
    </row>
    <row r="848" spans="1:40" x14ac:dyDescent="0.25">
      <c r="A848" t="str">
        <f>"20190305134922941"</f>
        <v>20190305134922941</v>
      </c>
      <c r="B848" t="str">
        <f>"1551764962931540"</f>
        <v>1551764962931540</v>
      </c>
      <c r="C848" t="s">
        <v>40</v>
      </c>
      <c r="D848">
        <v>3.820147</v>
      </c>
      <c r="E848">
        <v>0.43398359999999903</v>
      </c>
      <c r="F848" t="s">
        <v>57</v>
      </c>
      <c r="G848">
        <v>-247.7114</v>
      </c>
      <c r="H848">
        <v>5.9002530000000002</v>
      </c>
      <c r="I848">
        <v>391.10399999999998</v>
      </c>
      <c r="J848">
        <v>-344.52960000000002</v>
      </c>
      <c r="K848">
        <v>1.10951</v>
      </c>
      <c r="L848">
        <v>367.76190000000003</v>
      </c>
      <c r="M848">
        <v>0.99992029999999998</v>
      </c>
      <c r="N848">
        <v>-1.21297E-2</v>
      </c>
      <c r="O848">
        <v>3.515411E-3</v>
      </c>
      <c r="P848">
        <v>0.99344429999999995</v>
      </c>
      <c r="Q848">
        <v>-9.8874260000000005E-2</v>
      </c>
      <c r="R848">
        <v>5.7377820000000003E-2</v>
      </c>
      <c r="S848">
        <v>2.9930729999999999</v>
      </c>
      <c r="T848">
        <v>0.14784620000000001</v>
      </c>
      <c r="U848">
        <v>0.72036739999999999</v>
      </c>
      <c r="V848">
        <v>-5.3893539999999997E-2</v>
      </c>
      <c r="W848">
        <v>-8.6809209999999998E-2</v>
      </c>
      <c r="X848">
        <v>0.99476609999999999</v>
      </c>
      <c r="Y848">
        <v>-0.2303856</v>
      </c>
      <c r="Z848">
        <v>-3.9760350000000002E-3</v>
      </c>
      <c r="AA848">
        <v>0.97309129999999999</v>
      </c>
      <c r="AB848">
        <v>35</v>
      </c>
      <c r="AC848">
        <v>96.818200000000004</v>
      </c>
      <c r="AD848">
        <v>4.790743</v>
      </c>
      <c r="AE848">
        <v>23.342099999999999</v>
      </c>
      <c r="AF848">
        <v>-22.948473258579</v>
      </c>
      <c r="AG848">
        <v>4.790743</v>
      </c>
      <c r="AH848">
        <v>96.675961106031593</v>
      </c>
      <c r="AI848">
        <v>87.239628600957701</v>
      </c>
      <c r="AJ848">
        <v>103.353448224272</v>
      </c>
      <c r="AK848">
        <v>99.477761832314499</v>
      </c>
      <c r="AL848">
        <v>94.980069730654094</v>
      </c>
      <c r="AM848">
        <v>93.101087344437303</v>
      </c>
      <c r="AN848">
        <v>0.99999997315188205</v>
      </c>
    </row>
    <row r="849" spans="1:40" x14ac:dyDescent="0.25">
      <c r="A849" t="str">
        <f>"20190305134922952"</f>
        <v>20190305134922952</v>
      </c>
      <c r="B849" t="str">
        <f>"1551764962941301"</f>
        <v>1551764962941301</v>
      </c>
      <c r="C849" t="s">
        <v>40</v>
      </c>
      <c r="D849">
        <v>3.849955</v>
      </c>
      <c r="E849">
        <v>0.43510199999999999</v>
      </c>
      <c r="F849" t="s">
        <v>57</v>
      </c>
      <c r="G849">
        <v>-245.1704</v>
      </c>
      <c r="H849">
        <v>5.7988949999999999</v>
      </c>
      <c r="I849">
        <v>391.44589999999999</v>
      </c>
      <c r="J849">
        <v>-344.37639999999999</v>
      </c>
      <c r="K849">
        <v>1.1095170000000001</v>
      </c>
      <c r="L849">
        <v>367.76240000000001</v>
      </c>
      <c r="M849">
        <v>0.99992029999999998</v>
      </c>
      <c r="N849">
        <v>-1.2125449999999999E-2</v>
      </c>
      <c r="O849">
        <v>3.5257909999999999E-3</v>
      </c>
      <c r="P849">
        <v>0.99342969999999997</v>
      </c>
      <c r="Q849">
        <v>-9.8951220000000006E-2</v>
      </c>
      <c r="R849">
        <v>5.7501339999999998E-2</v>
      </c>
      <c r="S849">
        <v>2.992645</v>
      </c>
      <c r="T849">
        <v>0.14124249999999999</v>
      </c>
      <c r="U849">
        <v>0.71334839999999999</v>
      </c>
      <c r="V849">
        <v>-5.4005099999999903E-2</v>
      </c>
      <c r="W849">
        <v>-8.6891460000000004E-2</v>
      </c>
      <c r="X849">
        <v>0.99475290000000005</v>
      </c>
      <c r="Y849">
        <v>-0.22826920000000001</v>
      </c>
      <c r="Z849">
        <v>-3.69973E-3</v>
      </c>
      <c r="AA849">
        <v>0.97359099999999998</v>
      </c>
      <c r="AB849">
        <v>35</v>
      </c>
      <c r="AC849">
        <v>99.206000000000003</v>
      </c>
      <c r="AD849">
        <v>4.6893779999999996</v>
      </c>
      <c r="AE849">
        <v>23.683499999999899</v>
      </c>
      <c r="AF849">
        <v>-23.284326891128</v>
      </c>
      <c r="AG849">
        <v>4.6893779999999996</v>
      </c>
      <c r="AH849">
        <v>99.079449234161402</v>
      </c>
      <c r="AI849">
        <v>87.362004297718002</v>
      </c>
      <c r="AJ849">
        <v>103.22491086675799</v>
      </c>
      <c r="AK849">
        <v>101.88663997475101</v>
      </c>
      <c r="AL849">
        <v>94.984800027351795</v>
      </c>
      <c r="AM849">
        <v>93.107535203102998</v>
      </c>
      <c r="AN849">
        <v>1.00000000435267</v>
      </c>
    </row>
    <row r="850" spans="1:40" x14ac:dyDescent="0.25">
      <c r="A850" t="str">
        <f>"20190305134922962"</f>
        <v>20190305134922962</v>
      </c>
      <c r="B850" t="str">
        <f>"1551764962941301"</f>
        <v>1551764962941301</v>
      </c>
      <c r="C850" t="s">
        <v>40</v>
      </c>
      <c r="D850">
        <v>3.849955</v>
      </c>
      <c r="E850">
        <v>0.43510199999999999</v>
      </c>
      <c r="F850" t="s">
        <v>57</v>
      </c>
      <c r="G850">
        <v>-245.1705</v>
      </c>
      <c r="H850">
        <v>5.5247380000000001</v>
      </c>
      <c r="I850">
        <v>391.1148</v>
      </c>
      <c r="J850">
        <v>-344.20499999999998</v>
      </c>
      <c r="K850">
        <v>1.1095219999999999</v>
      </c>
      <c r="L850">
        <v>367.76310000000001</v>
      </c>
      <c r="M850">
        <v>0.99992029999999998</v>
      </c>
      <c r="N850">
        <v>-1.2121170000000001E-2</v>
      </c>
      <c r="O850">
        <v>3.5400430000000001E-3</v>
      </c>
      <c r="P850">
        <v>0.993452</v>
      </c>
      <c r="Q850">
        <v>-9.8481890000000002E-2</v>
      </c>
      <c r="R850">
        <v>5.7918280000000003E-2</v>
      </c>
      <c r="S850">
        <v>2.99234</v>
      </c>
      <c r="T850">
        <v>0.13317679999999901</v>
      </c>
      <c r="U850">
        <v>0.70437620000000001</v>
      </c>
      <c r="V850">
        <v>-5.4406690000000001E-2</v>
      </c>
      <c r="W850">
        <v>-8.6427000000000004E-2</v>
      </c>
      <c r="X850">
        <v>0.99477150000000003</v>
      </c>
      <c r="Y850">
        <v>-0.22553680000000001</v>
      </c>
      <c r="Z850">
        <v>-3.3653759999999998E-3</v>
      </c>
      <c r="AA850">
        <v>0.97422889999999995</v>
      </c>
      <c r="AB850">
        <v>35</v>
      </c>
      <c r="AC850">
        <v>99.034499999999895</v>
      </c>
      <c r="AD850">
        <v>4.415216</v>
      </c>
      <c r="AE850">
        <v>23.351699999999902</v>
      </c>
      <c r="AF850">
        <v>-22.9577139632772</v>
      </c>
      <c r="AG850">
        <v>4.415216</v>
      </c>
      <c r="AH850">
        <v>98.930273576824206</v>
      </c>
      <c r="AI850">
        <v>87.510671238878999</v>
      </c>
      <c r="AJ850">
        <v>103.064788296671</v>
      </c>
      <c r="AK850">
        <v>101.65505296212</v>
      </c>
      <c r="AL850">
        <v>94.958087832679695</v>
      </c>
      <c r="AM850">
        <v>93.130539085441299</v>
      </c>
      <c r="AN850">
        <v>1.000000025729</v>
      </c>
    </row>
    <row r="851" spans="1:40" x14ac:dyDescent="0.25">
      <c r="A851" t="str">
        <f>"20190305134922974"</f>
        <v>20190305134922974</v>
      </c>
      <c r="B851" t="str">
        <f>"1551764962971556"</f>
        <v>1551764962971556</v>
      </c>
      <c r="C851" t="s">
        <v>40</v>
      </c>
      <c r="D851">
        <v>3.8802159999999999</v>
      </c>
      <c r="E851">
        <v>0.43636570000000002</v>
      </c>
      <c r="F851" t="s">
        <v>57</v>
      </c>
      <c r="G851">
        <v>-245.1705</v>
      </c>
      <c r="H851">
        <v>5.5601099999999999</v>
      </c>
      <c r="I851">
        <v>391.13099999999997</v>
      </c>
      <c r="J851">
        <v>-344.02960000000002</v>
      </c>
      <c r="K851">
        <v>1.109537</v>
      </c>
      <c r="L851">
        <v>367.76369999999997</v>
      </c>
      <c r="M851">
        <v>0.99992029999999998</v>
      </c>
      <c r="N851">
        <v>-1.211696E-2</v>
      </c>
      <c r="O851">
        <v>3.5548260000000001E-3</v>
      </c>
      <c r="P851">
        <v>0.99347920000000001</v>
      </c>
      <c r="Q851">
        <v>-9.8101149999999998E-2</v>
      </c>
      <c r="R851">
        <v>5.8097070000000001E-2</v>
      </c>
      <c r="S851">
        <v>2.9919129999999998</v>
      </c>
      <c r="T851">
        <v>0.13445660000000001</v>
      </c>
      <c r="U851">
        <v>0.70596309999999995</v>
      </c>
      <c r="V851">
        <v>-5.4568789999999999E-2</v>
      </c>
      <c r="W851">
        <v>-8.6050950000000001E-2</v>
      </c>
      <c r="X851">
        <v>0.99479519999999999</v>
      </c>
      <c r="Y851">
        <v>-0.22603909999999999</v>
      </c>
      <c r="Z851">
        <v>-3.4193930000000002E-3</v>
      </c>
      <c r="AA851">
        <v>0.97411219999999998</v>
      </c>
      <c r="AB851">
        <v>35</v>
      </c>
      <c r="AC851">
        <v>98.859099999999998</v>
      </c>
      <c r="AD851">
        <v>4.4505730000000003</v>
      </c>
      <c r="AE851">
        <v>23.3673</v>
      </c>
      <c r="AF851">
        <v>-22.971605676734999</v>
      </c>
      <c r="AG851">
        <v>4.4505730000000003</v>
      </c>
      <c r="AH851">
        <v>98.751993728949998</v>
      </c>
      <c r="AI851">
        <v>87.486547591009696</v>
      </c>
      <c r="AJ851">
        <v>103.095209765616</v>
      </c>
      <c r="AK851">
        <v>101.48624799862399</v>
      </c>
      <c r="AL851">
        <v>94.936461290306696</v>
      </c>
      <c r="AM851">
        <v>93.139772965399999</v>
      </c>
      <c r="AN851">
        <v>1.0000000043905</v>
      </c>
    </row>
    <row r="852" spans="1:40" x14ac:dyDescent="0.25">
      <c r="A852" t="str">
        <f>"20190305134922985"</f>
        <v>20190305134922985</v>
      </c>
      <c r="B852" t="str">
        <f>"1551764962981316"</f>
        <v>1551764962981316</v>
      </c>
      <c r="C852" t="s">
        <v>40</v>
      </c>
      <c r="D852">
        <v>3.8637730000000001</v>
      </c>
      <c r="E852">
        <v>0.43685889999999999</v>
      </c>
      <c r="F852" t="s">
        <v>57</v>
      </c>
      <c r="G852">
        <v>-244.65539999999999</v>
      </c>
      <c r="H852">
        <v>5.4579139999999997</v>
      </c>
      <c r="I852">
        <v>390.88350000000003</v>
      </c>
      <c r="J852">
        <v>-343.84859999999998</v>
      </c>
      <c r="K852">
        <v>1.1095429999999999</v>
      </c>
      <c r="L852">
        <v>367.76429999999999</v>
      </c>
      <c r="M852">
        <v>0.99992029999999998</v>
      </c>
      <c r="N852">
        <v>-1.2112919999999999E-2</v>
      </c>
      <c r="O852">
        <v>3.5705519999999998E-3</v>
      </c>
      <c r="P852">
        <v>0.99345360000000005</v>
      </c>
      <c r="Q852">
        <v>-9.8205509999999996E-2</v>
      </c>
      <c r="R852">
        <v>5.836007E-2</v>
      </c>
      <c r="S852">
        <v>2.9918819999999999</v>
      </c>
      <c r="T852">
        <v>0.13091849999999999</v>
      </c>
      <c r="U852">
        <v>0.69607540000000001</v>
      </c>
      <c r="V852">
        <v>-5.4815419999999997E-2</v>
      </c>
      <c r="W852">
        <v>-8.6160379999999995E-2</v>
      </c>
      <c r="X852">
        <v>0.99477210000000005</v>
      </c>
      <c r="Y852">
        <v>-0.2229844</v>
      </c>
      <c r="Z852">
        <v>-3.246629E-3</v>
      </c>
      <c r="AA852">
        <v>0.97481660000000003</v>
      </c>
      <c r="AB852">
        <v>35</v>
      </c>
      <c r="AC852">
        <v>99.193200000000004</v>
      </c>
      <c r="AD852">
        <v>4.3483710000000002</v>
      </c>
      <c r="AE852">
        <v>23.119199999999999</v>
      </c>
      <c r="AF852">
        <v>-22.7234340949237</v>
      </c>
      <c r="AG852">
        <v>4.3483710000000002</v>
      </c>
      <c r="AH852">
        <v>99.094502164300394</v>
      </c>
      <c r="AI852">
        <v>87.550898497729904</v>
      </c>
      <c r="AJ852">
        <v>102.915251590656</v>
      </c>
      <c r="AK852">
        <v>101.759437629197</v>
      </c>
      <c r="AL852">
        <v>94.942754878660594</v>
      </c>
      <c r="AM852">
        <v>93.154008041307605</v>
      </c>
      <c r="AN852">
        <v>0.99999993614496296</v>
      </c>
    </row>
    <row r="853" spans="1:40" x14ac:dyDescent="0.25">
      <c r="A853" t="str">
        <f>"20190305134922996"</f>
        <v>20190305134922996</v>
      </c>
      <c r="B853" t="str">
        <f>"1551764962992052"</f>
        <v>1551764962992052</v>
      </c>
      <c r="C853" t="s">
        <v>40</v>
      </c>
      <c r="D853">
        <v>3.8209399999999998</v>
      </c>
      <c r="E853">
        <v>0.43710660000000001</v>
      </c>
      <c r="F853" t="s">
        <v>57</v>
      </c>
      <c r="G853">
        <v>-244.06010000000001</v>
      </c>
      <c r="H853">
        <v>5.3708530000000003</v>
      </c>
      <c r="I853">
        <v>390.88350000000003</v>
      </c>
      <c r="J853">
        <v>-343.68020000000001</v>
      </c>
      <c r="K853">
        <v>1.109545</v>
      </c>
      <c r="L853">
        <v>367.76499999999999</v>
      </c>
      <c r="M853">
        <v>0.99992029999999998</v>
      </c>
      <c r="N853">
        <v>-1.210953E-2</v>
      </c>
      <c r="O853">
        <v>3.5853019999999998E-3</v>
      </c>
      <c r="P853">
        <v>0.99343060000000005</v>
      </c>
      <c r="Q853">
        <v>-9.8158640000000005E-2</v>
      </c>
      <c r="R853">
        <v>5.8832639999999999E-2</v>
      </c>
      <c r="S853">
        <v>2.9916689999999999</v>
      </c>
      <c r="T853">
        <v>0.12775539999999999</v>
      </c>
      <c r="U853">
        <v>0.69311519999999904</v>
      </c>
      <c r="V853">
        <v>-5.5272880000000003E-2</v>
      </c>
      <c r="W853">
        <v>-8.611771E-2</v>
      </c>
      <c r="X853">
        <v>0.99475060000000004</v>
      </c>
      <c r="Y853">
        <v>-0.22207859999999999</v>
      </c>
      <c r="Z853">
        <v>-3.1212430000000001E-3</v>
      </c>
      <c r="AA853">
        <v>0.9750238</v>
      </c>
      <c r="AB853">
        <v>35</v>
      </c>
      <c r="AC853">
        <v>99.620099999999994</v>
      </c>
      <c r="AD853">
        <v>4.2613079999999997</v>
      </c>
      <c r="AE853">
        <v>23.118500000000001</v>
      </c>
      <c r="AF853">
        <v>-22.7217066185422</v>
      </c>
      <c r="AG853">
        <v>4.2613079999999997</v>
      </c>
      <c r="AH853">
        <v>99.529544801943999</v>
      </c>
      <c r="AI853">
        <v>87.609825940165607</v>
      </c>
      <c r="AJ853">
        <v>102.859735013166</v>
      </c>
      <c r="AK853">
        <v>102.179082918238</v>
      </c>
      <c r="AL853">
        <v>94.940300364333794</v>
      </c>
      <c r="AM853">
        <v>93.1803444833604</v>
      </c>
      <c r="AN853">
        <v>1.00000005371974</v>
      </c>
    </row>
    <row r="854" spans="1:40" x14ac:dyDescent="0.25">
      <c r="A854" t="str">
        <f>"20190305134923008"</f>
        <v>20190305134923008</v>
      </c>
      <c r="B854" t="str">
        <f>"1551764963001811"</f>
        <v>1551764963001811</v>
      </c>
      <c r="C854" t="s">
        <v>40</v>
      </c>
      <c r="D854">
        <v>3.837234</v>
      </c>
      <c r="E854">
        <v>0.43741750000000001</v>
      </c>
      <c r="F854" t="s">
        <v>57</v>
      </c>
      <c r="G854">
        <v>-243.86609999999999</v>
      </c>
      <c r="H854">
        <v>5.3399830000000001</v>
      </c>
      <c r="I854">
        <v>390.88350000000003</v>
      </c>
      <c r="J854">
        <v>-343.48739999999998</v>
      </c>
      <c r="K854">
        <v>1.1095469999999901</v>
      </c>
      <c r="L854">
        <v>367.76569999999998</v>
      </c>
      <c r="M854">
        <v>0.99992020000000004</v>
      </c>
      <c r="N854">
        <v>-1.2105869999999999E-2</v>
      </c>
      <c r="O854">
        <v>3.6021999999999998E-3</v>
      </c>
      <c r="P854">
        <v>0.99342350000000001</v>
      </c>
      <c r="Q854">
        <v>-9.7915470000000004E-2</v>
      </c>
      <c r="R854">
        <v>5.9349480000000003E-2</v>
      </c>
      <c r="S854">
        <v>2.991333</v>
      </c>
      <c r="T854">
        <v>0.12678299999999901</v>
      </c>
      <c r="U854">
        <v>0.69284060000000003</v>
      </c>
      <c r="V854">
        <v>-5.5771130000000002E-2</v>
      </c>
      <c r="W854">
        <v>-8.5878880000000005E-2</v>
      </c>
      <c r="X854">
        <v>0.99474340000000006</v>
      </c>
      <c r="Y854">
        <v>-0.2220036</v>
      </c>
      <c r="Z854">
        <v>-3.0857800000000002E-3</v>
      </c>
      <c r="AA854">
        <v>0.97504100000000005</v>
      </c>
      <c r="AB854">
        <v>35</v>
      </c>
      <c r="AC854">
        <v>99.621300000000005</v>
      </c>
      <c r="AD854">
        <v>4.2304360000000001</v>
      </c>
      <c r="AE854">
        <v>23.117799999999999</v>
      </c>
      <c r="AF854">
        <v>-22.719890798439899</v>
      </c>
      <c r="AG854">
        <v>4.2304360000000001</v>
      </c>
      <c r="AH854">
        <v>99.533618124591001</v>
      </c>
      <c r="AI854">
        <v>87.627205037211596</v>
      </c>
      <c r="AJ854">
        <v>102.858232742287</v>
      </c>
      <c r="AK854">
        <v>102.181364072002</v>
      </c>
      <c r="AL854">
        <v>94.926565714638301</v>
      </c>
      <c r="AM854">
        <v>93.208976805159693</v>
      </c>
      <c r="AN854">
        <v>1.00000001640754</v>
      </c>
    </row>
    <row r="855" spans="1:40" x14ac:dyDescent="0.25">
      <c r="A855" t="str">
        <f>"20190305134923021"</f>
        <v>20190305134923021</v>
      </c>
      <c r="B855" t="str">
        <f>"1551764963011572"</f>
        <v>1551764963011572</v>
      </c>
      <c r="C855" t="s">
        <v>40</v>
      </c>
      <c r="D855">
        <v>3.8209689999999998</v>
      </c>
      <c r="E855">
        <v>0.43767210000000001</v>
      </c>
      <c r="F855" t="s">
        <v>57</v>
      </c>
      <c r="G855">
        <v>-243.5899</v>
      </c>
      <c r="H855">
        <v>5.3893069999999996</v>
      </c>
      <c r="I855">
        <v>390.88350000000003</v>
      </c>
      <c r="J855">
        <v>-343.3</v>
      </c>
      <c r="K855">
        <v>1.1095469999999901</v>
      </c>
      <c r="L855">
        <v>367.7663</v>
      </c>
      <c r="M855">
        <v>0.99992029999999998</v>
      </c>
      <c r="N855">
        <v>-1.2102770000000001E-2</v>
      </c>
      <c r="O855">
        <v>3.6185980000000002E-3</v>
      </c>
      <c r="P855">
        <v>0.99338170000000003</v>
      </c>
      <c r="Q855">
        <v>-9.8096139999999998E-2</v>
      </c>
      <c r="R855">
        <v>5.9750560000000001E-2</v>
      </c>
      <c r="S855">
        <v>2.9911500000000002</v>
      </c>
      <c r="T855">
        <v>0.12814619999999999</v>
      </c>
      <c r="U855">
        <v>0.69219969999999997</v>
      </c>
      <c r="V855">
        <v>-5.6155389999999999E-2</v>
      </c>
      <c r="W855">
        <v>-8.6063550000000003E-2</v>
      </c>
      <c r="X855">
        <v>0.99470579999999997</v>
      </c>
      <c r="Y855">
        <v>-0.2217992</v>
      </c>
      <c r="Z855">
        <v>-3.130823E-3</v>
      </c>
      <c r="AA855">
        <v>0.97508729999999999</v>
      </c>
      <c r="AB855">
        <v>35</v>
      </c>
      <c r="AC855">
        <v>99.710099999999997</v>
      </c>
      <c r="AD855">
        <v>4.2797599999999996</v>
      </c>
      <c r="AE855">
        <v>23.1172</v>
      </c>
      <c r="AF855">
        <v>-22.7164956376532</v>
      </c>
      <c r="AG855">
        <v>4.2797599999999996</v>
      </c>
      <c r="AH855">
        <v>99.618938750686198</v>
      </c>
      <c r="AI855">
        <v>87.601506260574993</v>
      </c>
      <c r="AJ855">
        <v>102.84572946432</v>
      </c>
      <c r="AK855">
        <v>102.265773734549</v>
      </c>
      <c r="AL855">
        <v>94.937185949264602</v>
      </c>
      <c r="AM855">
        <v>93.231161668427404</v>
      </c>
      <c r="AN855">
        <v>0.99999999550914698</v>
      </c>
    </row>
    <row r="856" spans="1:40" x14ac:dyDescent="0.25">
      <c r="A856" t="str">
        <f>"20190305134923034"</f>
        <v>20190305134923034</v>
      </c>
      <c r="B856" t="str">
        <f>"1551764963021334"</f>
        <v>1551764963021334</v>
      </c>
      <c r="C856" t="s">
        <v>40</v>
      </c>
      <c r="D856">
        <v>3.8385419999999999</v>
      </c>
      <c r="E856">
        <v>0.43782739999999998</v>
      </c>
      <c r="F856" t="s">
        <v>57</v>
      </c>
      <c r="G856">
        <v>-243.24289999999999</v>
      </c>
      <c r="H856">
        <v>5.3670479999999996</v>
      </c>
      <c r="I856">
        <v>390.88350000000003</v>
      </c>
      <c r="J856">
        <v>-343.11259999999999</v>
      </c>
      <c r="K856">
        <v>1.109548</v>
      </c>
      <c r="L856">
        <v>367.767</v>
      </c>
      <c r="M856">
        <v>0.99992040000000004</v>
      </c>
      <c r="N856">
        <v>-1.2099779999999999E-2</v>
      </c>
      <c r="O856">
        <v>3.6349889999999999E-3</v>
      </c>
      <c r="P856">
        <v>0.99332580000000004</v>
      </c>
      <c r="Q856">
        <v>-9.8403190000000001E-2</v>
      </c>
      <c r="R856">
        <v>6.0172690000000001E-2</v>
      </c>
      <c r="S856">
        <v>2.9909970000000001</v>
      </c>
      <c r="T856">
        <v>0.12726999999999999</v>
      </c>
      <c r="U856">
        <v>0.69103999999999999</v>
      </c>
      <c r="V856">
        <v>-5.6560810000000003E-2</v>
      </c>
      <c r="W856">
        <v>-8.6374580000000006E-2</v>
      </c>
      <c r="X856">
        <v>0.99465579999999998</v>
      </c>
      <c r="Y856">
        <v>-0.22143760000000001</v>
      </c>
      <c r="Z856">
        <v>-3.094416E-3</v>
      </c>
      <c r="AA856">
        <v>0.97516970000000003</v>
      </c>
      <c r="AB856">
        <v>35</v>
      </c>
      <c r="AC856">
        <v>99.869699999999995</v>
      </c>
      <c r="AD856">
        <v>4.2575000000000003</v>
      </c>
      <c r="AE856">
        <v>23.116499999999998</v>
      </c>
      <c r="AF856">
        <v>-22.714114862351199</v>
      </c>
      <c r="AG856">
        <v>4.2575000000000003</v>
      </c>
      <c r="AH856">
        <v>99.780957648814706</v>
      </c>
      <c r="AI856">
        <v>87.617633627701593</v>
      </c>
      <c r="AJ856">
        <v>102.824261904492</v>
      </c>
      <c r="AK856">
        <v>102.422150092373</v>
      </c>
      <c r="AL856">
        <v>94.955073605334107</v>
      </c>
      <c r="AM856">
        <v>93.254602675591599</v>
      </c>
      <c r="AN856">
        <v>0.99999992688583295</v>
      </c>
    </row>
    <row r="857" spans="1:40" x14ac:dyDescent="0.25">
      <c r="A857" t="str">
        <f>"20190305134923045"</f>
        <v>20190305134923045</v>
      </c>
      <c r="B857" t="str">
        <f>"1551764963041828"</f>
        <v>1551764963041828</v>
      </c>
      <c r="C857" t="s">
        <v>40</v>
      </c>
      <c r="D857">
        <v>3.8603139999999998</v>
      </c>
      <c r="E857">
        <v>0.43774750000000001</v>
      </c>
      <c r="F857" t="s">
        <v>57</v>
      </c>
      <c r="G857">
        <v>-243.0599</v>
      </c>
      <c r="H857">
        <v>5.2802910000000001</v>
      </c>
      <c r="I857">
        <v>390.88350000000003</v>
      </c>
      <c r="J857">
        <v>-342.92869999999999</v>
      </c>
      <c r="K857">
        <v>1.1095469999999901</v>
      </c>
      <c r="L857">
        <v>367.76769999999999</v>
      </c>
      <c r="M857">
        <v>0.99992020000000004</v>
      </c>
      <c r="N857">
        <v>-1.209703E-2</v>
      </c>
      <c r="O857">
        <v>3.6514870000000001E-3</v>
      </c>
      <c r="P857">
        <v>0.99325339999999995</v>
      </c>
      <c r="Q857">
        <v>-9.8756220000000006E-2</v>
      </c>
      <c r="R857">
        <v>6.0786720000000002E-2</v>
      </c>
      <c r="S857">
        <v>2.9906920000000001</v>
      </c>
      <c r="T857">
        <v>0.12466919999999999</v>
      </c>
      <c r="U857">
        <v>0.69097900000000001</v>
      </c>
      <c r="V857">
        <v>-5.7159000000000001E-2</v>
      </c>
      <c r="W857">
        <v>-8.6731450000000002E-2</v>
      </c>
      <c r="X857">
        <v>0.99459059999999999</v>
      </c>
      <c r="Y857">
        <v>-0.22143080000000001</v>
      </c>
      <c r="Z857">
        <v>-3.002439E-3</v>
      </c>
      <c r="AA857">
        <v>0.97517140000000002</v>
      </c>
      <c r="AB857">
        <v>35</v>
      </c>
      <c r="AC857">
        <v>99.868799999999993</v>
      </c>
      <c r="AD857">
        <v>4.170744</v>
      </c>
      <c r="AE857">
        <v>23.1158</v>
      </c>
      <c r="AF857">
        <v>-22.7133499649463</v>
      </c>
      <c r="AG857">
        <v>4.170744</v>
      </c>
      <c r="AH857">
        <v>99.787359633153699</v>
      </c>
      <c r="AI857">
        <v>87.666263716364796</v>
      </c>
      <c r="AJ857">
        <v>102.823048796384</v>
      </c>
      <c r="AK857">
        <v>102.42464798426199</v>
      </c>
      <c r="AL857">
        <v>94.975597515710206</v>
      </c>
      <c r="AM857">
        <v>93.289163481584495</v>
      </c>
      <c r="AN857">
        <v>0.99999997865423096</v>
      </c>
    </row>
    <row r="858" spans="1:40" x14ac:dyDescent="0.25">
      <c r="A858" t="str">
        <f>"20190305134923056"</f>
        <v>20190305134923056</v>
      </c>
      <c r="B858" t="str">
        <f>"1551764963051587"</f>
        <v>1551764963051587</v>
      </c>
      <c r="C858" t="s">
        <v>40</v>
      </c>
      <c r="D858">
        <v>3.845342</v>
      </c>
      <c r="E858">
        <v>0.4377588</v>
      </c>
      <c r="F858" t="s">
        <v>57</v>
      </c>
      <c r="G858">
        <v>-243.2713</v>
      </c>
      <c r="H858">
        <v>5.1579269999999999</v>
      </c>
      <c r="I858">
        <v>390.88350000000003</v>
      </c>
      <c r="J858">
        <v>-342.75150000000002</v>
      </c>
      <c r="K858">
        <v>1.1095469999999901</v>
      </c>
      <c r="L858">
        <v>367.76839999999999</v>
      </c>
      <c r="M858">
        <v>0.99992020000000004</v>
      </c>
      <c r="N858">
        <v>-1.209465E-2</v>
      </c>
      <c r="O858">
        <v>3.6671999999999998E-3</v>
      </c>
      <c r="P858">
        <v>0.99322600000000005</v>
      </c>
      <c r="Q858">
        <v>-9.8814369999999999E-2</v>
      </c>
      <c r="R858">
        <v>6.1138829999999998E-2</v>
      </c>
      <c r="S858">
        <v>2.990021</v>
      </c>
      <c r="T858">
        <v>0.1214644</v>
      </c>
      <c r="U858">
        <v>0.69354249999999995</v>
      </c>
      <c r="V858">
        <v>-5.749493E-2</v>
      </c>
      <c r="W858">
        <v>-8.6792480000000005E-2</v>
      </c>
      <c r="X858">
        <v>0.9945659</v>
      </c>
      <c r="Y858">
        <v>-0.22226409999999999</v>
      </c>
      <c r="Z858">
        <v>-2.9008110000000001E-3</v>
      </c>
      <c r="AA858">
        <v>0.97498220000000002</v>
      </c>
      <c r="AB858">
        <v>35</v>
      </c>
      <c r="AC858">
        <v>99.480199999999996</v>
      </c>
      <c r="AD858">
        <v>4.0483799999999999</v>
      </c>
      <c r="AE858">
        <v>23.115100000000002</v>
      </c>
      <c r="AF858">
        <v>-22.714413481873301</v>
      </c>
      <c r="AG858">
        <v>4.0483799999999999</v>
      </c>
      <c r="AH858">
        <v>99.408107285888306</v>
      </c>
      <c r="AI858">
        <v>87.726459380719902</v>
      </c>
      <c r="AJ858">
        <v>102.870926430743</v>
      </c>
      <c r="AK858">
        <v>102.05050590081601</v>
      </c>
      <c r="AL858">
        <v>94.9791075788157</v>
      </c>
      <c r="AM858">
        <v>93.308533439319305</v>
      </c>
      <c r="AN858">
        <v>0.99999996550153203</v>
      </c>
    </row>
    <row r="859" spans="1:40" x14ac:dyDescent="0.25">
      <c r="A859" t="str">
        <f>"20190305134923067"</f>
        <v>20190305134923067</v>
      </c>
      <c r="B859" t="str">
        <f>"1551764963061350"</f>
        <v>1551764963061350</v>
      </c>
      <c r="C859" t="s">
        <v>40</v>
      </c>
      <c r="D859">
        <v>3.8472279999999999</v>
      </c>
      <c r="E859">
        <v>0.43773069999999997</v>
      </c>
      <c r="F859" t="s">
        <v>57</v>
      </c>
      <c r="G859">
        <v>-243.22730000000001</v>
      </c>
      <c r="H859">
        <v>5.1076550000000003</v>
      </c>
      <c r="I859">
        <v>390.88350000000003</v>
      </c>
      <c r="J859">
        <v>-342.58909999999997</v>
      </c>
      <c r="K859">
        <v>1.109548</v>
      </c>
      <c r="L859">
        <v>367.76900000000001</v>
      </c>
      <c r="M859">
        <v>0.99992020000000004</v>
      </c>
      <c r="N859">
        <v>-1.209261E-2</v>
      </c>
      <c r="O859">
        <v>3.6817130000000001E-3</v>
      </c>
      <c r="P859">
        <v>0.99316669999999996</v>
      </c>
      <c r="Q859">
        <v>-9.919277E-2</v>
      </c>
      <c r="R859">
        <v>6.1488899999999999E-2</v>
      </c>
      <c r="S859">
        <v>2.989655</v>
      </c>
      <c r="T859">
        <v>0.1201019</v>
      </c>
      <c r="U859">
        <v>0.6943665</v>
      </c>
      <c r="V859">
        <v>-5.7830670000000001E-2</v>
      </c>
      <c r="W859">
        <v>-8.7173719999999996E-2</v>
      </c>
      <c r="X859">
        <v>0.99451319999999999</v>
      </c>
      <c r="Y859">
        <v>-0.22253429999999999</v>
      </c>
      <c r="Z859">
        <v>-2.8560719999999999E-3</v>
      </c>
      <c r="AA859">
        <v>0.97492069999999997</v>
      </c>
      <c r="AB859">
        <v>35</v>
      </c>
      <c r="AC859">
        <v>99.361799999999903</v>
      </c>
      <c r="AD859">
        <v>3.9981070000000001</v>
      </c>
      <c r="AE859">
        <v>23.1145</v>
      </c>
      <c r="AF859">
        <v>-22.713607667969001</v>
      </c>
      <c r="AG859">
        <v>3.9981070000000001</v>
      </c>
      <c r="AH859">
        <v>99.293721971847503</v>
      </c>
      <c r="AI859">
        <v>87.752203764567795</v>
      </c>
      <c r="AJ859">
        <v>102.88481711565601</v>
      </c>
      <c r="AK859">
        <v>101.93692194637001</v>
      </c>
      <c r="AL859">
        <v>95.0010335829257</v>
      </c>
      <c r="AM859">
        <v>93.327986177466798</v>
      </c>
      <c r="AN859">
        <v>1.00000007441276</v>
      </c>
    </row>
    <row r="860" spans="1:40" x14ac:dyDescent="0.25">
      <c r="A860" t="str">
        <f>"20190305134923078"</f>
        <v>20190305134923078</v>
      </c>
      <c r="B860" t="str">
        <f>"1551764963072084"</f>
        <v>1551764963072084</v>
      </c>
      <c r="C860" t="s">
        <v>40</v>
      </c>
      <c r="D860">
        <v>3.8305069999999999</v>
      </c>
      <c r="E860">
        <v>0.43767879999999998</v>
      </c>
      <c r="F860" t="s">
        <v>57</v>
      </c>
      <c r="G860">
        <v>-243.20330000000001</v>
      </c>
      <c r="H860">
        <v>5.0261149999999999</v>
      </c>
      <c r="I860">
        <v>390.88350000000003</v>
      </c>
      <c r="J860">
        <v>-342.4169</v>
      </c>
      <c r="K860">
        <v>1.1095469999999901</v>
      </c>
      <c r="L860">
        <v>367.7697</v>
      </c>
      <c r="M860">
        <v>0.99992009999999998</v>
      </c>
      <c r="N860">
        <v>-1.209065E-2</v>
      </c>
      <c r="O860">
        <v>3.6966999999999998E-3</v>
      </c>
      <c r="P860">
        <v>0.9931354</v>
      </c>
      <c r="Q860">
        <v>-9.9367419999999998E-2</v>
      </c>
      <c r="R860">
        <v>6.1714690000000003E-2</v>
      </c>
      <c r="S860">
        <v>2.9893800000000001</v>
      </c>
      <c r="T860">
        <v>0.11780549999999999</v>
      </c>
      <c r="U860">
        <v>0.69525150000000002</v>
      </c>
      <c r="V860">
        <v>-5.8041269999999999E-2</v>
      </c>
      <c r="W860">
        <v>-8.7350849999999994E-2</v>
      </c>
      <c r="X860">
        <v>0.99448530000000002</v>
      </c>
      <c r="Y860">
        <v>-0.2228184</v>
      </c>
      <c r="Z860">
        <v>-2.7780639999999998E-3</v>
      </c>
      <c r="AA860">
        <v>0.97485599999999994</v>
      </c>
      <c r="AB860">
        <v>35</v>
      </c>
      <c r="AC860">
        <v>99.2136</v>
      </c>
      <c r="AD860">
        <v>3.9165679999999998</v>
      </c>
      <c r="AE860">
        <v>23.113800000000001</v>
      </c>
      <c r="AF860">
        <v>-22.713278967608101</v>
      </c>
      <c r="AG860">
        <v>3.9165679999999998</v>
      </c>
      <c r="AH860">
        <v>99.151812953904795</v>
      </c>
      <c r="AI860">
        <v>87.795007457790504</v>
      </c>
      <c r="AJ860">
        <v>102.902461027382</v>
      </c>
      <c r="AK860">
        <v>101.795454507581</v>
      </c>
      <c r="AL860">
        <v>95.011221690108798</v>
      </c>
      <c r="AM860">
        <v>93.340171696155494</v>
      </c>
      <c r="AN860">
        <v>0.99999998596751205</v>
      </c>
    </row>
    <row r="861" spans="1:40" x14ac:dyDescent="0.25">
      <c r="A861" t="str">
        <f>"20190305134923088"</f>
        <v>20190305134923088</v>
      </c>
      <c r="B861" t="str">
        <f>"1551764963081844"</f>
        <v>1551764963081844</v>
      </c>
      <c r="C861" t="s">
        <v>40</v>
      </c>
      <c r="D861">
        <v>3.8860489999999999</v>
      </c>
      <c r="E861">
        <v>0.43764950000000002</v>
      </c>
      <c r="F861" t="s">
        <v>57</v>
      </c>
      <c r="G861">
        <v>-243.2261</v>
      </c>
      <c r="H861">
        <v>4.9828890000000001</v>
      </c>
      <c r="I861">
        <v>390.88350000000003</v>
      </c>
      <c r="J861">
        <v>-342.2509</v>
      </c>
      <c r="K861">
        <v>1.1095489999999999</v>
      </c>
      <c r="L861">
        <v>367.77030000000002</v>
      </c>
      <c r="M861">
        <v>0.99992000000000003</v>
      </c>
      <c r="N861">
        <v>-1.208883E-2</v>
      </c>
      <c r="O861">
        <v>3.711209E-3</v>
      </c>
      <c r="P861">
        <v>0.99312630000000002</v>
      </c>
      <c r="Q861">
        <v>-9.9328949999999999E-2</v>
      </c>
      <c r="R861">
        <v>6.191762E-2</v>
      </c>
      <c r="S861">
        <v>2.9891049999999999</v>
      </c>
      <c r="T861">
        <v>0.1167238</v>
      </c>
      <c r="U861">
        <v>0.69653319999999996</v>
      </c>
      <c r="V861">
        <v>-5.8229709999999997E-2</v>
      </c>
      <c r="W861">
        <v>-8.7314409999999995E-2</v>
      </c>
      <c r="X861">
        <v>0.99447750000000001</v>
      </c>
      <c r="Y861">
        <v>-0.2232227</v>
      </c>
      <c r="Z861">
        <v>-2.7445490000000002E-3</v>
      </c>
      <c r="AA861">
        <v>0.97476359999999995</v>
      </c>
      <c r="AB861">
        <v>35</v>
      </c>
      <c r="AC861">
        <v>99.024799999999999</v>
      </c>
      <c r="AD861">
        <v>3.8733399999999998</v>
      </c>
      <c r="AE861">
        <v>23.113199999999999</v>
      </c>
      <c r="AF861">
        <v>-22.7125579701523</v>
      </c>
      <c r="AG861">
        <v>3.8733399999999998</v>
      </c>
      <c r="AH861">
        <v>98.966309377493204</v>
      </c>
      <c r="AI861">
        <v>87.815437952957495</v>
      </c>
      <c r="AJ861">
        <v>102.92543747385</v>
      </c>
      <c r="AK861">
        <v>101.61295903625999</v>
      </c>
      <c r="AL861">
        <v>95.009125745179304</v>
      </c>
      <c r="AM861">
        <v>93.351017632729395</v>
      </c>
      <c r="AN861">
        <v>1.00000000166329</v>
      </c>
    </row>
    <row r="862" spans="1:40" x14ac:dyDescent="0.25">
      <c r="A862" t="str">
        <f>"20190305134923099"</f>
        <v>20190305134923099</v>
      </c>
      <c r="B862" t="str">
        <f>"1551764963091604"</f>
        <v>1551764963091604</v>
      </c>
      <c r="C862" t="s">
        <v>40</v>
      </c>
      <c r="D862">
        <v>3.8762989999999999</v>
      </c>
      <c r="E862">
        <v>0.43767909999999999</v>
      </c>
      <c r="F862" t="s">
        <v>57</v>
      </c>
      <c r="G862">
        <v>-243.17930000000001</v>
      </c>
      <c r="H862">
        <v>4.9547619999999997</v>
      </c>
      <c r="I862">
        <v>390.88350000000003</v>
      </c>
      <c r="J862">
        <v>-342.09280000000001</v>
      </c>
      <c r="K862">
        <v>1.10955</v>
      </c>
      <c r="L862">
        <v>367.77089999999998</v>
      </c>
      <c r="M862">
        <v>0.99992020000000004</v>
      </c>
      <c r="N862">
        <v>-1.208733E-2</v>
      </c>
      <c r="O862">
        <v>3.7249929999999998E-3</v>
      </c>
      <c r="P862">
        <v>0.99310140000000002</v>
      </c>
      <c r="Q862">
        <v>-9.947549E-2</v>
      </c>
      <c r="R862">
        <v>6.2087549999999998E-2</v>
      </c>
      <c r="S862">
        <v>2.988861</v>
      </c>
      <c r="T862">
        <v>0.1160059</v>
      </c>
      <c r="U862">
        <v>0.69729609999999997</v>
      </c>
      <c r="V862">
        <v>-5.8385899999999998E-2</v>
      </c>
      <c r="W862">
        <v>-8.7462780000000004E-2</v>
      </c>
      <c r="X862">
        <v>0.99445530000000004</v>
      </c>
      <c r="Y862">
        <v>-0.22346440000000001</v>
      </c>
      <c r="Z862">
        <v>-2.7218110000000002E-3</v>
      </c>
      <c r="AA862">
        <v>0.97470829999999997</v>
      </c>
      <c r="AB862">
        <v>35</v>
      </c>
      <c r="AC862">
        <v>98.913499999999999</v>
      </c>
      <c r="AD862">
        <v>3.8452120000000001</v>
      </c>
      <c r="AE862">
        <v>23.1126</v>
      </c>
      <c r="AF862">
        <v>-22.7114155388557</v>
      </c>
      <c r="AG862">
        <v>3.8452120000000001</v>
      </c>
      <c r="AH862">
        <v>98.857253129297803</v>
      </c>
      <c r="AI862">
        <v>87.829011068242593</v>
      </c>
      <c r="AJ862">
        <v>102.938587846979</v>
      </c>
      <c r="AK862">
        <v>101.505421270854</v>
      </c>
      <c r="AL862">
        <v>95.017659388257002</v>
      </c>
      <c r="AM862">
        <v>93.3600603630709</v>
      </c>
      <c r="AN862">
        <v>0.99999999745111401</v>
      </c>
    </row>
    <row r="863" spans="1:40" x14ac:dyDescent="0.25">
      <c r="A863" t="str">
        <f>"20190305134923111"</f>
        <v>20190305134923111</v>
      </c>
      <c r="B863" t="str">
        <f>"1551764963101365"</f>
        <v>1551764963101365</v>
      </c>
      <c r="C863" t="s">
        <v>40</v>
      </c>
      <c r="D863">
        <v>3.8792149999999999</v>
      </c>
      <c r="E863">
        <v>0.43760909999999897</v>
      </c>
      <c r="F863" t="s">
        <v>57</v>
      </c>
      <c r="G863">
        <v>-243.09819999999999</v>
      </c>
      <c r="H863">
        <v>4.8847639999999997</v>
      </c>
      <c r="I863">
        <v>390.88350000000003</v>
      </c>
      <c r="J863">
        <v>-341.91629999999998</v>
      </c>
      <c r="K863">
        <v>1.1095469999999901</v>
      </c>
      <c r="L863">
        <v>367.77159999999998</v>
      </c>
      <c r="M863">
        <v>0.99992009999999998</v>
      </c>
      <c r="N863">
        <v>-1.208617E-2</v>
      </c>
      <c r="O863">
        <v>3.7405030000000001E-3</v>
      </c>
      <c r="P863">
        <v>0.99312290000000003</v>
      </c>
      <c r="Q863">
        <v>-9.9320409999999998E-2</v>
      </c>
      <c r="R863">
        <v>6.1988849999999998E-2</v>
      </c>
      <c r="S863">
        <v>2.9887079999999999</v>
      </c>
      <c r="T863">
        <v>0.11397699999999999</v>
      </c>
      <c r="U863">
        <v>0.69778439999999997</v>
      </c>
      <c r="V863">
        <v>-5.8271469999999999E-2</v>
      </c>
      <c r="W863">
        <v>-8.7308629999999998E-2</v>
      </c>
      <c r="X863">
        <v>0.99447549999999996</v>
      </c>
      <c r="Y863">
        <v>-0.2236157</v>
      </c>
      <c r="Z863">
        <v>-2.6509419999999999E-3</v>
      </c>
      <c r="AA863">
        <v>0.97467380000000003</v>
      </c>
      <c r="AB863">
        <v>35</v>
      </c>
      <c r="AC863">
        <v>98.818100000000001</v>
      </c>
      <c r="AD863">
        <v>3.775217</v>
      </c>
      <c r="AE863">
        <v>23.111899999999999</v>
      </c>
      <c r="AF863">
        <v>-22.710654361113399</v>
      </c>
      <c r="AG863">
        <v>3.775217</v>
      </c>
      <c r="AH863">
        <v>98.767188478106107</v>
      </c>
      <c r="AI863">
        <v>87.866645125998204</v>
      </c>
      <c r="AJ863">
        <v>102.94956944130401</v>
      </c>
      <c r="AK863">
        <v>101.414908197842</v>
      </c>
      <c r="AL863">
        <v>95.008793612671397</v>
      </c>
      <c r="AM863">
        <v>93.353422093655595</v>
      </c>
      <c r="AN863">
        <v>0.99999994059434205</v>
      </c>
    </row>
    <row r="864" spans="1:40" x14ac:dyDescent="0.25">
      <c r="A864" t="str">
        <f>"20190305134923121"</f>
        <v>20190305134923121</v>
      </c>
      <c r="B864" t="str">
        <f>"1551764963111123"</f>
        <v>1551764963111123</v>
      </c>
      <c r="C864" t="s">
        <v>40</v>
      </c>
      <c r="D864">
        <v>3.8640469999999998</v>
      </c>
      <c r="E864">
        <v>0.4375909</v>
      </c>
      <c r="F864" t="s">
        <v>57</v>
      </c>
      <c r="G864">
        <v>-242.96430000000001</v>
      </c>
      <c r="H864">
        <v>4.8614100000000002</v>
      </c>
      <c r="I864">
        <v>390.88350000000003</v>
      </c>
      <c r="J864">
        <v>-341.74579999999997</v>
      </c>
      <c r="K864">
        <v>1.10955</v>
      </c>
      <c r="L864">
        <v>367.7722</v>
      </c>
      <c r="M864">
        <v>0.99992000000000003</v>
      </c>
      <c r="N864">
        <v>-1.2089330000000001E-2</v>
      </c>
      <c r="O864">
        <v>3.755628E-3</v>
      </c>
      <c r="P864">
        <v>0.99313490000000004</v>
      </c>
      <c r="Q864">
        <v>-9.9113759999999995E-2</v>
      </c>
      <c r="R864">
        <v>6.2127090000000003E-2</v>
      </c>
      <c r="S864">
        <v>2.988556</v>
      </c>
      <c r="T864">
        <v>0.113314899999999</v>
      </c>
      <c r="U864">
        <v>0.6980286</v>
      </c>
      <c r="V864">
        <v>-5.8394420000000002E-2</v>
      </c>
      <c r="W864">
        <v>-8.7098809999999999E-2</v>
      </c>
      <c r="X864">
        <v>0.99448669999999995</v>
      </c>
      <c r="Y864">
        <v>-0.223689</v>
      </c>
      <c r="Z864">
        <v>-2.6273030000000001E-3</v>
      </c>
      <c r="AA864">
        <v>0.97465710000000005</v>
      </c>
      <c r="AB864">
        <v>35</v>
      </c>
      <c r="AC864">
        <v>98.781499999999895</v>
      </c>
      <c r="AD864">
        <v>3.75185999999999</v>
      </c>
      <c r="AE864">
        <v>23.1113</v>
      </c>
      <c r="AF864">
        <v>-22.709063729701001</v>
      </c>
      <c r="AG864">
        <v>3.75185999999999</v>
      </c>
      <c r="AH864">
        <v>98.732568589617401</v>
      </c>
      <c r="AI864">
        <v>87.879119075227095</v>
      </c>
      <c r="AJ864">
        <v>102.953080300445</v>
      </c>
      <c r="AK864">
        <v>101.37996907300101</v>
      </c>
      <c r="AL864">
        <v>94.996725773461606</v>
      </c>
      <c r="AM864">
        <v>93.360443695302294</v>
      </c>
      <c r="AN864">
        <v>0.99999995373371997</v>
      </c>
    </row>
    <row r="865" spans="1:40" x14ac:dyDescent="0.25">
      <c r="A865" t="str">
        <f>"20190305134923130"</f>
        <v>20190305134923130</v>
      </c>
      <c r="B865" t="str">
        <f>"1551764963121861"</f>
        <v>1551764963121861</v>
      </c>
      <c r="C865" t="s">
        <v>40</v>
      </c>
      <c r="D865">
        <v>4.0101740000000001</v>
      </c>
      <c r="E865">
        <v>0.4375909</v>
      </c>
      <c r="F865" t="s">
        <v>57</v>
      </c>
      <c r="G865">
        <v>-242.89009999999999</v>
      </c>
      <c r="H865">
        <v>4.8531529999999998</v>
      </c>
      <c r="I865">
        <v>390.88350000000003</v>
      </c>
      <c r="J865">
        <v>-341.60509999999999</v>
      </c>
      <c r="K865">
        <v>1.109553</v>
      </c>
      <c r="L865">
        <v>367.77280000000002</v>
      </c>
      <c r="M865">
        <v>0.99992000000000003</v>
      </c>
      <c r="N865">
        <v>-1.209239E-2</v>
      </c>
      <c r="O865">
        <v>3.767893E-3</v>
      </c>
      <c r="P865">
        <v>0.99317630000000001</v>
      </c>
      <c r="Q865">
        <v>-9.8857680000000003E-2</v>
      </c>
      <c r="R865">
        <v>6.187057E-2</v>
      </c>
      <c r="S865">
        <v>2.9883419999999998</v>
      </c>
      <c r="T865">
        <v>0.1131675</v>
      </c>
      <c r="U865">
        <v>0.69863889999999995</v>
      </c>
      <c r="V865">
        <v>-5.812544E-2</v>
      </c>
      <c r="W865">
        <v>-8.6839219999999995E-2</v>
      </c>
      <c r="X865">
        <v>0.9945252</v>
      </c>
      <c r="Y865">
        <v>-0.22388140000000001</v>
      </c>
      <c r="Z865">
        <v>-2.6236599999999999E-3</v>
      </c>
      <c r="AA865">
        <v>0.97461279999999995</v>
      </c>
      <c r="AB865">
        <v>35</v>
      </c>
      <c r="AC865">
        <v>98.715000000000003</v>
      </c>
      <c r="AD865">
        <v>3.7435999999999998</v>
      </c>
      <c r="AE865">
        <v>23.110700000000001</v>
      </c>
      <c r="AF865">
        <v>-22.7076006339998</v>
      </c>
      <c r="AG865">
        <v>3.7435999999999998</v>
      </c>
      <c r="AH865">
        <v>98.666857106344295</v>
      </c>
      <c r="AI865">
        <v>87.882439959250405</v>
      </c>
      <c r="AJ865">
        <v>102.96060886398701</v>
      </c>
      <c r="AK865">
        <v>101.315341181664</v>
      </c>
      <c r="AL865">
        <v>94.981795584925294</v>
      </c>
      <c r="AM865">
        <v>93.344870643042697</v>
      </c>
      <c r="AN865">
        <v>0.99999999517022098</v>
      </c>
    </row>
    <row r="866" spans="1:40" x14ac:dyDescent="0.25">
      <c r="A866" t="str">
        <f>"20190305134923140"</f>
        <v>20190305134923140</v>
      </c>
      <c r="B866" t="str">
        <f>"1551764963131901"</f>
        <v>1551764963131901</v>
      </c>
      <c r="C866" t="s">
        <v>40</v>
      </c>
      <c r="D866">
        <v>3.8551700000000002</v>
      </c>
      <c r="E866">
        <v>0.43776130000000002</v>
      </c>
      <c r="F866" t="s">
        <v>54</v>
      </c>
      <c r="G866">
        <v>-285.2423</v>
      </c>
      <c r="H866">
        <v>3.253768</v>
      </c>
      <c r="I866">
        <v>380.93779999999998</v>
      </c>
      <c r="J866">
        <v>-341.44319999999999</v>
      </c>
      <c r="K866">
        <v>1.109558</v>
      </c>
      <c r="L866">
        <v>367.77339999999998</v>
      </c>
      <c r="M866">
        <v>0.99991969999999997</v>
      </c>
      <c r="N866">
        <v>-1.20991E-2</v>
      </c>
      <c r="O866">
        <v>3.7815100000000001E-3</v>
      </c>
      <c r="P866">
        <v>0.9932067</v>
      </c>
      <c r="Q866">
        <v>-9.8603670000000004E-2</v>
      </c>
      <c r="R866">
        <v>6.1789599999999903E-2</v>
      </c>
      <c r="S866">
        <v>2.9884339999999998</v>
      </c>
      <c r="T866">
        <v>0.11369310000000001</v>
      </c>
      <c r="U866">
        <v>0.6980286</v>
      </c>
      <c r="V866">
        <v>-5.8030959999999999E-2</v>
      </c>
      <c r="W866">
        <v>-8.6578290000000002E-2</v>
      </c>
      <c r="X866">
        <v>0.99455340000000003</v>
      </c>
      <c r="Y866">
        <v>-0.2236717</v>
      </c>
      <c r="Z866">
        <v>-2.6383050000000001E-3</v>
      </c>
      <c r="AA866">
        <v>0.97466090000000005</v>
      </c>
      <c r="AB866">
        <v>35</v>
      </c>
      <c r="AC866">
        <v>56.200899999999898</v>
      </c>
      <c r="AD866">
        <v>2.14420999999999</v>
      </c>
      <c r="AE866">
        <v>13.164400000000001</v>
      </c>
      <c r="AF866">
        <v>-12.9339184304732</v>
      </c>
      <c r="AG866">
        <v>2.14420999999999</v>
      </c>
      <c r="AH866">
        <v>56.1727698012578</v>
      </c>
      <c r="AI866">
        <v>87.869672412380893</v>
      </c>
      <c r="AJ866">
        <v>102.966501898921</v>
      </c>
      <c r="AK866">
        <v>57.682440565871801</v>
      </c>
      <c r="AL866">
        <v>94.966789206655307</v>
      </c>
      <c r="AM866">
        <v>93.339351563688794</v>
      </c>
      <c r="AN866">
        <v>0.99999992903470003</v>
      </c>
    </row>
    <row r="867" spans="1:40" x14ac:dyDescent="0.25">
      <c r="A867" t="str">
        <f>"20190305134923153"</f>
        <v>20190305134923153</v>
      </c>
      <c r="B867" t="str">
        <f>"1551764963141662"</f>
        <v>1551764963141662</v>
      </c>
      <c r="C867" t="s">
        <v>40</v>
      </c>
      <c r="D867">
        <v>3.8680270000000001</v>
      </c>
      <c r="E867">
        <v>0.43758239999999998</v>
      </c>
      <c r="F867" t="s">
        <v>54</v>
      </c>
      <c r="G867">
        <v>-285.40969999999999</v>
      </c>
      <c r="H867">
        <v>0.73220249999999998</v>
      </c>
      <c r="I867">
        <v>380.79020000000003</v>
      </c>
      <c r="J867">
        <v>-341.26609999999999</v>
      </c>
      <c r="K867">
        <v>1.1095630000000001</v>
      </c>
      <c r="L867">
        <v>367.77409999999998</v>
      </c>
      <c r="M867">
        <v>0.99991960000000002</v>
      </c>
      <c r="N867">
        <v>-1.21075E-2</v>
      </c>
      <c r="O867">
        <v>3.7962500000000001E-3</v>
      </c>
      <c r="P867">
        <v>0.99322180000000004</v>
      </c>
      <c r="Q867">
        <v>-9.8449040000000002E-2</v>
      </c>
      <c r="R867">
        <v>6.1795379999999997E-2</v>
      </c>
      <c r="S867">
        <v>2.9755250000000002</v>
      </c>
      <c r="T867">
        <v>-2.0034550000000002E-2</v>
      </c>
      <c r="U867">
        <v>0.69122309999999998</v>
      </c>
      <c r="V867">
        <v>-5.8021830000000003E-2</v>
      </c>
      <c r="W867">
        <v>-8.6415190000000003E-2</v>
      </c>
      <c r="X867">
        <v>0.99456820000000001</v>
      </c>
      <c r="Y867">
        <v>-0.22256409999999999</v>
      </c>
      <c r="Z867">
        <v>2.1247100000000001E-3</v>
      </c>
      <c r="AA867">
        <v>0.97491570000000005</v>
      </c>
      <c r="AB867">
        <v>35</v>
      </c>
      <c r="AC867">
        <v>55.856400000000001</v>
      </c>
      <c r="AD867">
        <v>-0.37736049999999899</v>
      </c>
      <c r="AE867">
        <v>13.0161</v>
      </c>
      <c r="AF867">
        <v>-12.803391537928301</v>
      </c>
      <c r="AG867">
        <v>-0.37736049999999899</v>
      </c>
      <c r="AH867">
        <v>55.902993317851397</v>
      </c>
      <c r="AI867">
        <v>90.376995482834005</v>
      </c>
      <c r="AJ867">
        <v>102.89989957742</v>
      </c>
      <c r="AK867">
        <v>57.351668656772297</v>
      </c>
      <c r="AL867">
        <v>94.957408700961494</v>
      </c>
      <c r="AM867">
        <v>93.338777800692</v>
      </c>
      <c r="AN867">
        <v>1.00000001113526</v>
      </c>
    </row>
    <row r="868" spans="1:40" x14ac:dyDescent="0.25">
      <c r="A868" t="str">
        <f>"20190305134923164"</f>
        <v>20190305134923164</v>
      </c>
      <c r="B868" t="str">
        <f>"1551764963151420"</f>
        <v>1551764963151420</v>
      </c>
      <c r="C868" t="s">
        <v>40</v>
      </c>
      <c r="D868">
        <v>3.866787</v>
      </c>
      <c r="E868">
        <v>0.43718190000000001</v>
      </c>
      <c r="F868" t="s">
        <v>54</v>
      </c>
      <c r="G868">
        <v>-285.27719999999999</v>
      </c>
      <c r="H868">
        <v>1.451776</v>
      </c>
      <c r="I868">
        <v>380.82990000000001</v>
      </c>
      <c r="J868">
        <v>-341.0958</v>
      </c>
      <c r="K868">
        <v>1.109567</v>
      </c>
      <c r="L868">
        <v>367.7747</v>
      </c>
      <c r="M868">
        <v>0.99991940000000001</v>
      </c>
      <c r="N868">
        <v>-1.2118210000000001E-2</v>
      </c>
      <c r="O868">
        <v>3.8108550000000001E-3</v>
      </c>
      <c r="P868">
        <v>0.99325799999999997</v>
      </c>
      <c r="Q868">
        <v>-9.8207520000000006E-2</v>
      </c>
      <c r="R868">
        <v>6.1596619999999998E-2</v>
      </c>
      <c r="S868">
        <v>2.9790649999999999</v>
      </c>
      <c r="T868">
        <v>1.821244E-2</v>
      </c>
      <c r="U868">
        <v>0.69467159999999994</v>
      </c>
      <c r="V868">
        <v>-5.7808730000000003E-2</v>
      </c>
      <c r="W868">
        <v>-8.6162660000000002E-2</v>
      </c>
      <c r="X868">
        <v>0.99460249999999994</v>
      </c>
      <c r="Y868">
        <v>-0.22338350000000001</v>
      </c>
      <c r="Z868">
        <v>7.6623800000000003E-4</v>
      </c>
      <c r="AA868">
        <v>0.97473030000000005</v>
      </c>
      <c r="AB868">
        <v>35</v>
      </c>
      <c r="AC868">
        <v>55.818600000000004</v>
      </c>
      <c r="AD868">
        <v>0.34220899999999999</v>
      </c>
      <c r="AE868">
        <v>13.055199999999999</v>
      </c>
      <c r="AF868">
        <v>-12.8419153548771</v>
      </c>
      <c r="AG868">
        <v>0.34220899999999999</v>
      </c>
      <c r="AH868">
        <v>55.865958879608002</v>
      </c>
      <c r="AI868">
        <v>89.657957243683398</v>
      </c>
      <c r="AJ868">
        <v>102.945697283718</v>
      </c>
      <c r="AK868">
        <v>57.323967574824799</v>
      </c>
      <c r="AL868">
        <v>94.942885718321705</v>
      </c>
      <c r="AM868">
        <v>93.326428412716893</v>
      </c>
      <c r="AN868">
        <v>0.99999999312436905</v>
      </c>
    </row>
    <row r="869" spans="1:40" x14ac:dyDescent="0.25">
      <c r="A869" t="str">
        <f>"20190305134923176"</f>
        <v>20190305134923176</v>
      </c>
      <c r="B869" t="str">
        <f>"1551764963171916"</f>
        <v>1551764963171916</v>
      </c>
      <c r="C869" t="s">
        <v>40</v>
      </c>
      <c r="D869">
        <v>3.901691</v>
      </c>
      <c r="E869">
        <v>0.4370732</v>
      </c>
      <c r="F869" t="s">
        <v>54</v>
      </c>
      <c r="G869">
        <v>-285.27719999999999</v>
      </c>
      <c r="H869">
        <v>1.783318</v>
      </c>
      <c r="I869">
        <v>380.84440000000001</v>
      </c>
      <c r="J869">
        <v>-340.91320000000002</v>
      </c>
      <c r="K869">
        <v>1.1095729999999999</v>
      </c>
      <c r="L869">
        <v>367.77550000000002</v>
      </c>
      <c r="M869">
        <v>0.99991920000000001</v>
      </c>
      <c r="N869">
        <v>-1.213059E-2</v>
      </c>
      <c r="O869">
        <v>3.8261060000000001E-3</v>
      </c>
      <c r="P869">
        <v>0.99325989999999997</v>
      </c>
      <c r="Q869">
        <v>-9.8200099999999999E-2</v>
      </c>
      <c r="R869">
        <v>6.1576039999999999E-2</v>
      </c>
      <c r="S869">
        <v>2.9806520000000001</v>
      </c>
      <c r="T869">
        <v>3.5981539999999999E-2</v>
      </c>
      <c r="U869">
        <v>0.69790649999999999</v>
      </c>
      <c r="V869">
        <v>-5.7772799999999999E-2</v>
      </c>
      <c r="W869">
        <v>-8.6142990000000003E-2</v>
      </c>
      <c r="X869">
        <v>0.99460630000000005</v>
      </c>
      <c r="Y869">
        <v>-0.22425390000000001</v>
      </c>
      <c r="Z869">
        <v>1.3426829999999999E-4</v>
      </c>
      <c r="AA869">
        <v>0.97453080000000003</v>
      </c>
      <c r="AB869">
        <v>35</v>
      </c>
      <c r="AC869">
        <v>55.636000000000003</v>
      </c>
      <c r="AD869">
        <v>0.67374499999999904</v>
      </c>
      <c r="AE869">
        <v>13.0688999999999</v>
      </c>
      <c r="AF869">
        <v>-12.854132978442101</v>
      </c>
      <c r="AG869">
        <v>0.67374499999999904</v>
      </c>
      <c r="AH869">
        <v>55.677861248080497</v>
      </c>
      <c r="AI869">
        <v>89.324477766822099</v>
      </c>
      <c r="AJ869">
        <v>102.999888493078</v>
      </c>
      <c r="AK869">
        <v>57.146363839819202</v>
      </c>
      <c r="AL869">
        <v>94.941754462548005</v>
      </c>
      <c r="AM869">
        <v>93.324352895364996</v>
      </c>
      <c r="AN869">
        <v>1.0000000015728301</v>
      </c>
    </row>
    <row r="870" spans="1:40" x14ac:dyDescent="0.25">
      <c r="A870" t="str">
        <f>"20190305134923186"</f>
        <v>20190305134923186</v>
      </c>
      <c r="B870" t="str">
        <f>"1551764963181676"</f>
        <v>1551764963181676</v>
      </c>
      <c r="C870" t="s">
        <v>40</v>
      </c>
      <c r="D870">
        <v>3.8944329999999998</v>
      </c>
      <c r="E870">
        <v>0.43699680000000002</v>
      </c>
      <c r="F870" t="s">
        <v>54</v>
      </c>
      <c r="G870">
        <v>-285.27719999999999</v>
      </c>
      <c r="H870">
        <v>2.0880830000000001</v>
      </c>
      <c r="I870">
        <v>380.82530000000003</v>
      </c>
      <c r="J870">
        <v>-340.73869999999999</v>
      </c>
      <c r="K870">
        <v>1.1095759999999999</v>
      </c>
      <c r="L870">
        <v>367.77620000000002</v>
      </c>
      <c r="M870">
        <v>0.99991890000000005</v>
      </c>
      <c r="N870">
        <v>-1.214323E-2</v>
      </c>
      <c r="O870">
        <v>3.8409970000000001E-3</v>
      </c>
      <c r="P870">
        <v>0.99326040000000004</v>
      </c>
      <c r="Q870">
        <v>-9.8220130000000003E-2</v>
      </c>
      <c r="R870">
        <v>6.1537729999999999E-2</v>
      </c>
      <c r="S870">
        <v>2.9821780000000002</v>
      </c>
      <c r="T870">
        <v>5.2453640000000003E-2</v>
      </c>
      <c r="U870">
        <v>0.69949340000000004</v>
      </c>
      <c r="V870">
        <v>-5.7719640000000003E-2</v>
      </c>
      <c r="W870">
        <v>-8.6150480000000002E-2</v>
      </c>
      <c r="X870">
        <v>0.99460879999999996</v>
      </c>
      <c r="Y870">
        <v>-0.2246108</v>
      </c>
      <c r="Z870">
        <v>-4.5400319999999998E-4</v>
      </c>
      <c r="AA870">
        <v>0.97444839999999999</v>
      </c>
      <c r="AB870">
        <v>35</v>
      </c>
      <c r="AC870">
        <v>55.461500000000001</v>
      </c>
      <c r="AD870">
        <v>0.97850700000000002</v>
      </c>
      <c r="AE870">
        <v>13.049099999999999</v>
      </c>
      <c r="AF870">
        <v>-12.832175745439899</v>
      </c>
      <c r="AG870">
        <v>0.97850700000000002</v>
      </c>
      <c r="AH870">
        <v>55.494847992249703</v>
      </c>
      <c r="AI870">
        <v>89.015806533581497</v>
      </c>
      <c r="AJ870">
        <v>103.019779562734</v>
      </c>
      <c r="AK870">
        <v>56.967537808771397</v>
      </c>
      <c r="AL870">
        <v>94.942184902230593</v>
      </c>
      <c r="AM870">
        <v>93.321292492904504</v>
      </c>
      <c r="AN870">
        <v>1.0000000635416899</v>
      </c>
    </row>
    <row r="871" spans="1:40" x14ac:dyDescent="0.25">
      <c r="A871" t="str">
        <f>"20190305134923198"</f>
        <v>20190305134923198</v>
      </c>
      <c r="B871" t="str">
        <f>"1551764963191436"</f>
        <v>1551764963191436</v>
      </c>
      <c r="C871" t="s">
        <v>40</v>
      </c>
      <c r="D871">
        <v>3.887969</v>
      </c>
      <c r="E871">
        <v>0.43681979999999998</v>
      </c>
      <c r="F871" t="s">
        <v>54</v>
      </c>
      <c r="G871">
        <v>-285.26459999999997</v>
      </c>
      <c r="H871">
        <v>2.152523</v>
      </c>
      <c r="I871">
        <v>380.79739999999998</v>
      </c>
      <c r="J871">
        <v>-340.57190000000003</v>
      </c>
      <c r="K871">
        <v>1.10958</v>
      </c>
      <c r="L871">
        <v>367.77679999999998</v>
      </c>
      <c r="M871">
        <v>0.9999188</v>
      </c>
      <c r="N871">
        <v>-1.215536E-2</v>
      </c>
      <c r="O871">
        <v>3.8552310000000002E-3</v>
      </c>
      <c r="P871">
        <v>0.9932609</v>
      </c>
      <c r="Q871">
        <v>-9.8240380000000002E-2</v>
      </c>
      <c r="R871">
        <v>6.1498280000000002E-2</v>
      </c>
      <c r="S871">
        <v>2.982513</v>
      </c>
      <c r="T871">
        <v>5.6077000000000002E-2</v>
      </c>
      <c r="U871">
        <v>0.70007319999999995</v>
      </c>
      <c r="V871">
        <v>-5.766553E-2</v>
      </c>
      <c r="W871">
        <v>-8.6158670000000007E-2</v>
      </c>
      <c r="X871">
        <v>0.99461109999999997</v>
      </c>
      <c r="Y871">
        <v>-0.22474920000000001</v>
      </c>
      <c r="Z871">
        <v>-5.8226519999999996E-4</v>
      </c>
      <c r="AA871">
        <v>0.97441650000000002</v>
      </c>
      <c r="AB871">
        <v>35</v>
      </c>
      <c r="AC871">
        <v>55.307299999999998</v>
      </c>
      <c r="AD871">
        <v>1.042943</v>
      </c>
      <c r="AE871">
        <v>13.0206</v>
      </c>
      <c r="AF871">
        <v>-12.802951480994601</v>
      </c>
      <c r="AG871">
        <v>1.042943</v>
      </c>
      <c r="AH871">
        <v>55.338445313990803</v>
      </c>
      <c r="AI871">
        <v>88.948074980364694</v>
      </c>
      <c r="AJ871">
        <v>103.02660114707</v>
      </c>
      <c r="AK871">
        <v>56.8097423554755</v>
      </c>
      <c r="AL871">
        <v>94.942656542823698</v>
      </c>
      <c r="AM871">
        <v>93.318178210048899</v>
      </c>
      <c r="AN871">
        <v>0.99999993500477702</v>
      </c>
    </row>
    <row r="872" spans="1:40" x14ac:dyDescent="0.25">
      <c r="A872" t="str">
        <f>"20190305134923209"</f>
        <v>20190305134923209</v>
      </c>
      <c r="B872" t="str">
        <f>"1551764963201197"</f>
        <v>1551764963201197</v>
      </c>
      <c r="C872" t="s">
        <v>40</v>
      </c>
      <c r="D872">
        <v>4.055504</v>
      </c>
      <c r="E872">
        <v>0.43607040000000002</v>
      </c>
      <c r="F872" t="s">
        <v>54</v>
      </c>
      <c r="G872">
        <v>-285.24829999999997</v>
      </c>
      <c r="H872">
        <v>2.2158419999999999</v>
      </c>
      <c r="I872">
        <v>380.78440000000001</v>
      </c>
      <c r="J872">
        <v>-340.38780000000003</v>
      </c>
      <c r="K872">
        <v>1.109577</v>
      </c>
      <c r="L872">
        <v>367.77760000000001</v>
      </c>
      <c r="M872">
        <v>0.99991859999999999</v>
      </c>
      <c r="N872">
        <v>-1.2168770000000001E-2</v>
      </c>
      <c r="O872">
        <v>3.8711240000000001E-3</v>
      </c>
      <c r="P872">
        <v>0.99323430000000001</v>
      </c>
      <c r="Q872">
        <v>-9.8368700000000003E-2</v>
      </c>
      <c r="R872">
        <v>6.17206E-2</v>
      </c>
      <c r="S872">
        <v>2.9828489999999999</v>
      </c>
      <c r="T872">
        <v>5.9649590000000002E-2</v>
      </c>
      <c r="U872">
        <v>0.70132450000000002</v>
      </c>
      <c r="V872">
        <v>-5.7872199999999999E-2</v>
      </c>
      <c r="W872">
        <v>-8.6273959999999997E-2</v>
      </c>
      <c r="X872">
        <v>0.9945891</v>
      </c>
      <c r="Y872">
        <v>-0.2250935</v>
      </c>
      <c r="Z872">
        <v>-7.0926409999999996E-4</v>
      </c>
      <c r="AA872">
        <v>0.97433689999999995</v>
      </c>
      <c r="AB872">
        <v>35</v>
      </c>
      <c r="AC872">
        <v>55.139499999999998</v>
      </c>
      <c r="AD872">
        <v>1.1062649999999901</v>
      </c>
      <c r="AE872">
        <v>13.006799999999901</v>
      </c>
      <c r="AF872">
        <v>-12.788358612038</v>
      </c>
      <c r="AG872">
        <v>1.1062649999999901</v>
      </c>
      <c r="AH872">
        <v>55.168405317228</v>
      </c>
      <c r="AI872">
        <v>88.880895465602904</v>
      </c>
      <c r="AJ872">
        <v>103.05099434425</v>
      </c>
      <c r="AK872">
        <v>56.642024005911601</v>
      </c>
      <c r="AL872">
        <v>94.949286873138405</v>
      </c>
      <c r="AM872">
        <v>93.3301171518101</v>
      </c>
      <c r="AN872">
        <v>0.99999993277286303</v>
      </c>
    </row>
    <row r="873" spans="1:40" x14ac:dyDescent="0.25">
      <c r="A873" t="str">
        <f>"20190305134923223"</f>
        <v>20190305134923223</v>
      </c>
      <c r="B873" t="str">
        <f>"1551764963211933"</f>
        <v>1551764963211933</v>
      </c>
      <c r="C873" t="s">
        <v>40</v>
      </c>
      <c r="D873">
        <v>3.8781690000000002</v>
      </c>
      <c r="E873">
        <v>0.4360889</v>
      </c>
      <c r="F873" t="s">
        <v>54</v>
      </c>
      <c r="G873">
        <v>-285.27719999999999</v>
      </c>
      <c r="H873">
        <v>2.3103479999999998</v>
      </c>
      <c r="I873">
        <v>380.86709999999999</v>
      </c>
      <c r="J873">
        <v>-340.17899999999997</v>
      </c>
      <c r="K873">
        <v>1.1095790000000001</v>
      </c>
      <c r="L873">
        <v>367.77839999999998</v>
      </c>
      <c r="M873">
        <v>0.99991830000000004</v>
      </c>
      <c r="N873">
        <v>-1.2183329999999999E-2</v>
      </c>
      <c r="O873">
        <v>3.8878419999999999E-3</v>
      </c>
      <c r="P873">
        <v>0.99323989999999995</v>
      </c>
      <c r="Q873">
        <v>-9.8267919999999995E-2</v>
      </c>
      <c r="R873">
        <v>6.1790110000000002E-2</v>
      </c>
      <c r="S873">
        <v>2.9828489999999999</v>
      </c>
      <c r="T873">
        <v>6.4995410000000003E-2</v>
      </c>
      <c r="U873">
        <v>0.70846560000000003</v>
      </c>
      <c r="V873">
        <v>-5.7924950000000003E-2</v>
      </c>
      <c r="W873">
        <v>-8.6158639999999995E-2</v>
      </c>
      <c r="X873">
        <v>0.99459609999999998</v>
      </c>
      <c r="Y873">
        <v>-0.22728039999999999</v>
      </c>
      <c r="Z873">
        <v>-9.0806209999999999E-4</v>
      </c>
      <c r="AA873">
        <v>0.9738289</v>
      </c>
      <c r="AB873">
        <v>35</v>
      </c>
      <c r="AC873">
        <v>54.901800000000001</v>
      </c>
      <c r="AD873">
        <v>1.20076899999999</v>
      </c>
      <c r="AE873">
        <v>13.088699999999999</v>
      </c>
      <c r="AF873">
        <v>-12.8693107449699</v>
      </c>
      <c r="AG873">
        <v>1.20076899999999</v>
      </c>
      <c r="AH873">
        <v>54.927414067675699</v>
      </c>
      <c r="AI873">
        <v>88.780665751453995</v>
      </c>
      <c r="AJ873">
        <v>103.18635688575201</v>
      </c>
      <c r="AK873">
        <v>56.427668934697898</v>
      </c>
      <c r="AL873">
        <v>94.942654462748095</v>
      </c>
      <c r="AM873">
        <v>93.333122277750505</v>
      </c>
      <c r="AN873">
        <v>1.0000000066071799</v>
      </c>
    </row>
    <row r="874" spans="1:40" x14ac:dyDescent="0.25">
      <c r="A874" t="str">
        <f>"20190305134923236"</f>
        <v>20190305134923236</v>
      </c>
      <c r="B874" t="str">
        <f>"1551764963231959"</f>
        <v>1551764963231959</v>
      </c>
      <c r="C874" t="s">
        <v>40</v>
      </c>
      <c r="D874">
        <v>3.8850509999999998</v>
      </c>
      <c r="E874">
        <v>0.43596089999999998</v>
      </c>
      <c r="F874" t="s">
        <v>54</v>
      </c>
      <c r="G874">
        <v>-285.27719999999999</v>
      </c>
      <c r="H874">
        <v>2.3151830000000002</v>
      </c>
      <c r="I874">
        <v>380.82350000000002</v>
      </c>
      <c r="J874">
        <v>-339.98509999999999</v>
      </c>
      <c r="K874">
        <v>1.1095820000000001</v>
      </c>
      <c r="L874">
        <v>367.77910000000003</v>
      </c>
      <c r="M874">
        <v>0.99991790000000003</v>
      </c>
      <c r="N874">
        <v>-1.2196439999999999E-2</v>
      </c>
      <c r="O874">
        <v>3.9034339999999999E-3</v>
      </c>
      <c r="P874">
        <v>0.993232</v>
      </c>
      <c r="Q874">
        <v>-9.8246700000000006E-2</v>
      </c>
      <c r="R874">
        <v>6.1948099999999999E-2</v>
      </c>
      <c r="S874">
        <v>2.9828190000000001</v>
      </c>
      <c r="T874">
        <v>6.5504430000000002E-2</v>
      </c>
      <c r="U874">
        <v>0.70874019999999904</v>
      </c>
      <c r="V874">
        <v>-5.8067870000000001E-2</v>
      </c>
      <c r="W874">
        <v>-8.6124439999999997E-2</v>
      </c>
      <c r="X874">
        <v>0.99459070000000005</v>
      </c>
      <c r="Y874">
        <v>-0.22735179999999999</v>
      </c>
      <c r="Z874">
        <v>-9.2475740000000004E-4</v>
      </c>
      <c r="AA874">
        <v>0.97381220000000002</v>
      </c>
      <c r="AB874">
        <v>35</v>
      </c>
      <c r="AC874">
        <v>54.707900000000002</v>
      </c>
      <c r="AD874">
        <v>1.2056009999999999</v>
      </c>
      <c r="AE874">
        <v>13.0443999999999</v>
      </c>
      <c r="AF874">
        <v>-12.824842909668501</v>
      </c>
      <c r="AG874">
        <v>1.2056009999999999</v>
      </c>
      <c r="AH874">
        <v>54.7332545441094</v>
      </c>
      <c r="AI874">
        <v>88.771424121850501</v>
      </c>
      <c r="AJ874">
        <v>103.18737214490601</v>
      </c>
      <c r="AK874">
        <v>56.228633474584399</v>
      </c>
      <c r="AL874">
        <v>94.940687774902699</v>
      </c>
      <c r="AM874">
        <v>93.341345682205201</v>
      </c>
      <c r="AN874">
        <v>0.99999997860906997</v>
      </c>
    </row>
    <row r="875" spans="1:40" x14ac:dyDescent="0.25">
      <c r="A875" t="str">
        <f>"20190305134923249"</f>
        <v>20190305134923249</v>
      </c>
      <c r="B875" t="str">
        <f>"1551764963241718"</f>
        <v>1551764963241718</v>
      </c>
      <c r="C875" t="s">
        <v>40</v>
      </c>
      <c r="D875">
        <v>3.919168</v>
      </c>
      <c r="E875">
        <v>0.4358612</v>
      </c>
      <c r="F875" t="s">
        <v>54</v>
      </c>
      <c r="G875">
        <v>-285.27719999999999</v>
      </c>
      <c r="H875">
        <v>2.3283360000000002</v>
      </c>
      <c r="I875">
        <v>380.81119999999999</v>
      </c>
      <c r="J875">
        <v>-339.77769999999998</v>
      </c>
      <c r="K875">
        <v>1.109585</v>
      </c>
      <c r="L875">
        <v>367.78</v>
      </c>
      <c r="M875">
        <v>0.99991790000000003</v>
      </c>
      <c r="N875">
        <v>-1.221E-2</v>
      </c>
      <c r="O875">
        <v>3.9199710000000004E-3</v>
      </c>
      <c r="P875">
        <v>0.99321720000000002</v>
      </c>
      <c r="Q875">
        <v>-9.8334069999999996E-2</v>
      </c>
      <c r="R875">
        <v>6.2051139999999998E-2</v>
      </c>
      <c r="S875">
        <v>2.9826969999999999</v>
      </c>
      <c r="T875">
        <v>6.6450949999999995E-2</v>
      </c>
      <c r="U875">
        <v>0.71051030000000004</v>
      </c>
      <c r="V875">
        <v>-5.8154289999999997E-2</v>
      </c>
      <c r="W875">
        <v>-8.6198380000000005E-2</v>
      </c>
      <c r="X875">
        <v>0.99457930000000005</v>
      </c>
      <c r="Y875">
        <v>-0.2278905</v>
      </c>
      <c r="Z875">
        <v>-9.5934510000000005E-4</v>
      </c>
      <c r="AA875">
        <v>0.9736863</v>
      </c>
      <c r="AB875">
        <v>35</v>
      </c>
      <c r="AC875">
        <v>54.500499999999903</v>
      </c>
      <c r="AD875">
        <v>1.2187509999999999</v>
      </c>
      <c r="AE875">
        <v>13.0312</v>
      </c>
      <c r="AF875">
        <v>-12.811383479943</v>
      </c>
      <c r="AG875">
        <v>1.2187509999999999</v>
      </c>
      <c r="AH875">
        <v>54.525375060795099</v>
      </c>
      <c r="AI875">
        <v>88.753473313925099</v>
      </c>
      <c r="AJ875">
        <v>103.222480217532</v>
      </c>
      <c r="AK875">
        <v>56.023507799766897</v>
      </c>
      <c r="AL875">
        <v>94.944939768289998</v>
      </c>
      <c r="AM875">
        <v>93.34634544475</v>
      </c>
      <c r="AN875">
        <v>1.00000003307425</v>
      </c>
    </row>
    <row r="876" spans="1:40" x14ac:dyDescent="0.25">
      <c r="A876" t="str">
        <f>"20190305134923265"</f>
        <v>20190305134923265</v>
      </c>
      <c r="B876" t="str">
        <f>"1551764963261239"</f>
        <v>1551764963261239</v>
      </c>
      <c r="C876" t="s">
        <v>40</v>
      </c>
      <c r="D876">
        <v>3.8956949999999999</v>
      </c>
      <c r="E876">
        <v>0.43571919999999997</v>
      </c>
      <c r="F876" t="s">
        <v>54</v>
      </c>
      <c r="G876">
        <v>-285.24900000000002</v>
      </c>
      <c r="H876">
        <v>2.320627</v>
      </c>
      <c r="I876">
        <v>380.78489999999999</v>
      </c>
      <c r="J876">
        <v>-339.54090000000002</v>
      </c>
      <c r="K876">
        <v>1.109585</v>
      </c>
      <c r="L876">
        <v>367.78089999999997</v>
      </c>
      <c r="M876">
        <v>0.99991759999999996</v>
      </c>
      <c r="N876">
        <v>-1.222459E-2</v>
      </c>
      <c r="O876">
        <v>3.9373790000000004E-3</v>
      </c>
      <c r="P876">
        <v>0.99317710000000003</v>
      </c>
      <c r="Q876">
        <v>-9.8510689999999998E-2</v>
      </c>
      <c r="R876">
        <v>6.2410760000000003E-2</v>
      </c>
      <c r="S876">
        <v>2.9825740000000001</v>
      </c>
      <c r="T876">
        <v>6.6244720000000007E-2</v>
      </c>
      <c r="U876">
        <v>0.71133419999999903</v>
      </c>
      <c r="V876">
        <v>-5.8497300000000002E-2</v>
      </c>
      <c r="W876">
        <v>-8.6360720000000002E-2</v>
      </c>
      <c r="X876">
        <v>0.99454500000000001</v>
      </c>
      <c r="Y876">
        <v>-0.22813739999999999</v>
      </c>
      <c r="Z876">
        <v>-9.5066200000000001E-4</v>
      </c>
      <c r="AA876">
        <v>0.97362850000000001</v>
      </c>
      <c r="AB876">
        <v>35</v>
      </c>
      <c r="AC876">
        <v>54.291899999999998</v>
      </c>
      <c r="AD876">
        <v>1.211042</v>
      </c>
      <c r="AE876">
        <v>13.004</v>
      </c>
      <c r="AF876">
        <v>-12.7840996644291</v>
      </c>
      <c r="AG876">
        <v>1.211042</v>
      </c>
      <c r="AH876">
        <v>54.317124749590597</v>
      </c>
      <c r="AI876">
        <v>88.756718483846598</v>
      </c>
      <c r="AJ876">
        <v>103.244117794329</v>
      </c>
      <c r="AK876">
        <v>55.814423476538799</v>
      </c>
      <c r="AL876">
        <v>94.954276479171597</v>
      </c>
      <c r="AM876">
        <v>93.366153681269694</v>
      </c>
      <c r="AN876">
        <v>0.99999993254560104</v>
      </c>
    </row>
    <row r="877" spans="1:40" x14ac:dyDescent="0.25">
      <c r="A877" t="str">
        <f>"20190305134923276"</f>
        <v>20190305134923276</v>
      </c>
      <c r="B877" t="str">
        <f>"1551764963271975"</f>
        <v>1551764963271975</v>
      </c>
      <c r="C877" t="s">
        <v>40</v>
      </c>
      <c r="D877">
        <v>3.9143150000000002</v>
      </c>
      <c r="E877">
        <v>0.43571919999999997</v>
      </c>
      <c r="F877" t="s">
        <v>54</v>
      </c>
      <c r="G877">
        <v>-285.23750000000001</v>
      </c>
      <c r="H877">
        <v>2.3192119999999998</v>
      </c>
      <c r="I877">
        <v>380.7758</v>
      </c>
      <c r="J877">
        <v>-339.35750000000002</v>
      </c>
      <c r="K877">
        <v>1.1095839999999999</v>
      </c>
      <c r="L877">
        <v>367.7817</v>
      </c>
      <c r="M877">
        <v>0.99991730000000001</v>
      </c>
      <c r="N877">
        <v>-1.2235360000000001E-2</v>
      </c>
      <c r="O877">
        <v>3.948366E-3</v>
      </c>
      <c r="P877">
        <v>0.99318189999999995</v>
      </c>
      <c r="Q877">
        <v>-9.8329020000000003E-2</v>
      </c>
      <c r="R877">
        <v>6.2619190000000005E-2</v>
      </c>
      <c r="S877">
        <v>2.982361</v>
      </c>
      <c r="T877">
        <v>6.6437239999999995E-2</v>
      </c>
      <c r="U877">
        <v>0.71368409999999904</v>
      </c>
      <c r="V877">
        <v>-5.8695570000000002E-2</v>
      </c>
      <c r="W877">
        <v>-8.6167939999999998E-2</v>
      </c>
      <c r="X877">
        <v>0.99455009999999999</v>
      </c>
      <c r="Y877">
        <v>-0.22886780000000001</v>
      </c>
      <c r="Z877">
        <v>-9.5932600000000004E-4</v>
      </c>
      <c r="AA877">
        <v>0.97345700000000002</v>
      </c>
      <c r="AB877">
        <v>35</v>
      </c>
      <c r="AC877">
        <v>54.12</v>
      </c>
      <c r="AD877">
        <v>1.2096279999999999</v>
      </c>
      <c r="AE877">
        <v>12.9941</v>
      </c>
      <c r="AF877">
        <v>-12.774263429954299</v>
      </c>
      <c r="AG877">
        <v>1.2096279999999999</v>
      </c>
      <c r="AH877">
        <v>54.145312824644698</v>
      </c>
      <c r="AI877">
        <v>88.754387503911303</v>
      </c>
      <c r="AJ877">
        <v>103.274796334553</v>
      </c>
      <c r="AK877">
        <v>55.644945026074801</v>
      </c>
      <c r="AL877">
        <v>94.943189371882497</v>
      </c>
      <c r="AM877">
        <v>93.377519231245799</v>
      </c>
      <c r="AN877">
        <v>0.99999999261573902</v>
      </c>
    </row>
    <row r="878" spans="1:40" x14ac:dyDescent="0.25">
      <c r="A878" t="str">
        <f>"20190305134923287"</f>
        <v>20190305134923287</v>
      </c>
      <c r="B878" t="str">
        <f>"1551764963281736"</f>
        <v>1551764963281736</v>
      </c>
      <c r="C878" t="s">
        <v>40</v>
      </c>
      <c r="D878">
        <v>3.9380920000000001</v>
      </c>
      <c r="E878">
        <v>0.43568469999999998</v>
      </c>
      <c r="F878" t="s">
        <v>54</v>
      </c>
      <c r="G878">
        <v>-285.2054</v>
      </c>
      <c r="H878">
        <v>2.3252359999999999</v>
      </c>
      <c r="I878">
        <v>380.75020000000001</v>
      </c>
      <c r="J878">
        <v>-339.17599999999999</v>
      </c>
      <c r="K878">
        <v>1.1095820000000001</v>
      </c>
      <c r="L878">
        <v>367.7824</v>
      </c>
      <c r="M878">
        <v>0.99991730000000001</v>
      </c>
      <c r="N878">
        <v>-1.224565E-2</v>
      </c>
      <c r="O878">
        <v>3.9572030000000003E-3</v>
      </c>
      <c r="P878">
        <v>0.99317409999999995</v>
      </c>
      <c r="Q878">
        <v>-9.8195359999999995E-2</v>
      </c>
      <c r="R878">
        <v>6.2951960000000001E-2</v>
      </c>
      <c r="S878">
        <v>2.9821469999999999</v>
      </c>
      <c r="T878">
        <v>6.6949729999999999E-2</v>
      </c>
      <c r="U878">
        <v>0.71417240000000004</v>
      </c>
      <c r="V878">
        <v>-5.9019719999999998E-2</v>
      </c>
      <c r="W878">
        <v>-8.6023749999999996E-2</v>
      </c>
      <c r="X878">
        <v>0.99454339999999997</v>
      </c>
      <c r="Y878">
        <v>-0.22902520000000001</v>
      </c>
      <c r="Z878">
        <v>-9.7736440000000002E-4</v>
      </c>
      <c r="AA878">
        <v>0.97341999999999995</v>
      </c>
      <c r="AB878">
        <v>35</v>
      </c>
      <c r="AC878">
        <v>53.970599999999898</v>
      </c>
      <c r="AD878">
        <v>1.21565399999999</v>
      </c>
      <c r="AE878">
        <v>12.9678</v>
      </c>
      <c r="AF878">
        <v>-12.7479951880076</v>
      </c>
      <c r="AG878">
        <v>1.21565399999999</v>
      </c>
      <c r="AH878">
        <v>53.9955981146542</v>
      </c>
      <c r="AI878">
        <v>88.744761419419504</v>
      </c>
      <c r="AJ878">
        <v>103.28389609131401</v>
      </c>
      <c r="AK878">
        <v>55.493367276823498</v>
      </c>
      <c r="AL878">
        <v>94.934897097646996</v>
      </c>
      <c r="AM878">
        <v>93.396151081630194</v>
      </c>
      <c r="AN878">
        <v>0.99999999369824999</v>
      </c>
    </row>
    <row r="879" spans="1:40" x14ac:dyDescent="0.25">
      <c r="A879" t="str">
        <f>"20190305134923298"</f>
        <v>20190305134923298</v>
      </c>
      <c r="B879" t="str">
        <f>"1551764963291495"</f>
        <v>1551764963291495</v>
      </c>
      <c r="C879" t="s">
        <v>40</v>
      </c>
      <c r="D879">
        <v>3.9237229999999998</v>
      </c>
      <c r="E879">
        <v>0.43563289999999999</v>
      </c>
      <c r="F879" t="s">
        <v>57</v>
      </c>
      <c r="G879">
        <v>-242.91059999999999</v>
      </c>
      <c r="H879">
        <v>3.273962</v>
      </c>
      <c r="I879">
        <v>390.88350000000003</v>
      </c>
      <c r="J879">
        <v>-339.01429999999999</v>
      </c>
      <c r="K879">
        <v>1.10958</v>
      </c>
      <c r="L879">
        <v>367.78309999999999</v>
      </c>
      <c r="M879">
        <v>0.9999171</v>
      </c>
      <c r="N879">
        <v>-1.2252320000000001E-2</v>
      </c>
      <c r="O879">
        <v>3.9631989999999997E-3</v>
      </c>
      <c r="P879">
        <v>0.99317230000000001</v>
      </c>
      <c r="Q879">
        <v>-9.802988E-2</v>
      </c>
      <c r="R879">
        <v>6.3236719999999996E-2</v>
      </c>
      <c r="S879">
        <v>2.981903</v>
      </c>
      <c r="T879">
        <v>6.7044380000000001E-2</v>
      </c>
      <c r="U879">
        <v>0.7155762</v>
      </c>
      <c r="V879">
        <v>-5.9299449999999997E-2</v>
      </c>
      <c r="W879">
        <v>-8.5851230000000001E-2</v>
      </c>
      <c r="X879">
        <v>0.99454160000000003</v>
      </c>
      <c r="Y879">
        <v>-0.2294706</v>
      </c>
      <c r="Z879">
        <v>-9.8197369999999994E-4</v>
      </c>
      <c r="AA879">
        <v>0.97331509999999999</v>
      </c>
      <c r="AB879">
        <v>35</v>
      </c>
      <c r="AC879">
        <v>96.103700000000003</v>
      </c>
      <c r="AD879">
        <v>2.1643819999999998</v>
      </c>
      <c r="AE879">
        <v>23.1004</v>
      </c>
      <c r="AF879">
        <v>-22.708423074463699</v>
      </c>
      <c r="AG879">
        <v>2.1643819999999998</v>
      </c>
      <c r="AH879">
        <v>96.148399835506197</v>
      </c>
      <c r="AI879">
        <v>88.744958741980994</v>
      </c>
      <c r="AJ879">
        <v>103.288658104316</v>
      </c>
      <c r="AK879">
        <v>98.817365978349798</v>
      </c>
      <c r="AL879">
        <v>94.924976058652604</v>
      </c>
      <c r="AM879">
        <v>93.412215704959706</v>
      </c>
      <c r="AN879">
        <v>0.99999992629668499</v>
      </c>
    </row>
    <row r="880" spans="1:40" x14ac:dyDescent="0.25">
      <c r="A880" t="str">
        <f>"20190305134923309"</f>
        <v>20190305134923309</v>
      </c>
      <c r="B880" t="str">
        <f>"1551764963301254"</f>
        <v>1551764963301254</v>
      </c>
      <c r="C880" t="s">
        <v>40</v>
      </c>
      <c r="D880">
        <v>3.9465330000000001</v>
      </c>
      <c r="E880">
        <v>0.4355948</v>
      </c>
      <c r="F880" t="s">
        <v>57</v>
      </c>
      <c r="G880">
        <v>-242.93969999999999</v>
      </c>
      <c r="H880">
        <v>3.2948460000000002</v>
      </c>
      <c r="I880">
        <v>390.88350000000003</v>
      </c>
      <c r="J880">
        <v>-338.84949999999998</v>
      </c>
      <c r="K880">
        <v>1.1095759999999999</v>
      </c>
      <c r="L880">
        <v>367.78370000000001</v>
      </c>
      <c r="M880">
        <v>0.9999171</v>
      </c>
      <c r="N880">
        <v>-1.2258700000000001E-2</v>
      </c>
      <c r="O880">
        <v>3.9688350000000004E-3</v>
      </c>
      <c r="P880">
        <v>0.99319789999999997</v>
      </c>
      <c r="Q880">
        <v>-9.77634E-2</v>
      </c>
      <c r="R880">
        <v>6.3250219999999996E-2</v>
      </c>
      <c r="S880">
        <v>2.9816590000000001</v>
      </c>
      <c r="T880">
        <v>6.7820190000000002E-2</v>
      </c>
      <c r="U880">
        <v>0.71691890000000003</v>
      </c>
      <c r="V880">
        <v>-5.9307980000000003E-2</v>
      </c>
      <c r="W880">
        <v>-8.5577639999999996E-2</v>
      </c>
      <c r="X880">
        <v>0.99456480000000003</v>
      </c>
      <c r="Y880">
        <v>-0.22989660000000001</v>
      </c>
      <c r="Z880">
        <v>-1.01154E-3</v>
      </c>
      <c r="AA880">
        <v>0.97321449999999998</v>
      </c>
      <c r="AB880">
        <v>35</v>
      </c>
      <c r="AC880">
        <v>95.909800000000004</v>
      </c>
      <c r="AD880">
        <v>2.18527</v>
      </c>
      <c r="AE880">
        <v>23.099799999999998</v>
      </c>
      <c r="AF880">
        <v>-22.707797131563201</v>
      </c>
      <c r="AG880">
        <v>2.18527</v>
      </c>
      <c r="AH880">
        <v>95.953648500226095</v>
      </c>
      <c r="AI880">
        <v>88.730413888681198</v>
      </c>
      <c r="AJ880">
        <v>103.31431569308199</v>
      </c>
      <c r="AK880">
        <v>98.628201423558707</v>
      </c>
      <c r="AL880">
        <v>94.909241967730395</v>
      </c>
      <c r="AM880">
        <v>93.412625959891997</v>
      </c>
      <c r="AN880">
        <v>1.00000005517934</v>
      </c>
    </row>
    <row r="881" spans="1:40" x14ac:dyDescent="0.25">
      <c r="A881" t="str">
        <f>"20190305134923320"</f>
        <v>20190305134923320</v>
      </c>
      <c r="B881" t="str">
        <f>"1551764963311992"</f>
        <v>1551764963311992</v>
      </c>
      <c r="C881" t="s">
        <v>40</v>
      </c>
      <c r="D881">
        <v>3.9649109999999999</v>
      </c>
      <c r="E881">
        <v>0.43550850000000002</v>
      </c>
      <c r="F881" t="s">
        <v>57</v>
      </c>
      <c r="G881">
        <v>-242.81319999999999</v>
      </c>
      <c r="H881">
        <v>3.3069459999999999</v>
      </c>
      <c r="I881">
        <v>390.88350000000003</v>
      </c>
      <c r="J881">
        <v>-338.6773</v>
      </c>
      <c r="K881">
        <v>1.109572</v>
      </c>
      <c r="L881">
        <v>367.78440000000001</v>
      </c>
      <c r="M881">
        <v>0.99991699999999994</v>
      </c>
      <c r="N881">
        <v>-1.226261E-2</v>
      </c>
      <c r="O881">
        <v>3.9725840000000004E-3</v>
      </c>
      <c r="P881">
        <v>0.99318470000000003</v>
      </c>
      <c r="Q881">
        <v>-9.7830849999999997E-2</v>
      </c>
      <c r="R881">
        <v>6.3351809999999995E-2</v>
      </c>
      <c r="S881">
        <v>2.9815670000000001</v>
      </c>
      <c r="T881">
        <v>6.8220970000000006E-2</v>
      </c>
      <c r="U881">
        <v>0.71716309999999905</v>
      </c>
      <c r="V881">
        <v>-5.9406300000000002E-2</v>
      </c>
      <c r="W881">
        <v>-8.5640949999999993E-2</v>
      </c>
      <c r="X881">
        <v>0.99455340000000003</v>
      </c>
      <c r="Y881">
        <v>-0.2299747</v>
      </c>
      <c r="Z881">
        <v>-1.026073E-3</v>
      </c>
      <c r="AA881">
        <v>0.97319610000000001</v>
      </c>
      <c r="AB881">
        <v>35</v>
      </c>
      <c r="AC881">
        <v>95.864099999999993</v>
      </c>
      <c r="AD881">
        <v>2.1973739999999999</v>
      </c>
      <c r="AE881">
        <v>23.0991</v>
      </c>
      <c r="AF881">
        <v>-22.706785266524101</v>
      </c>
      <c r="AG881">
        <v>2.1973739999999999</v>
      </c>
      <c r="AH881">
        <v>95.907488111239502</v>
      </c>
      <c r="AI881">
        <v>88.722799438987806</v>
      </c>
      <c r="AJ881">
        <v>103.319923107938</v>
      </c>
      <c r="AK881">
        <v>98.583329348543799</v>
      </c>
      <c r="AL881">
        <v>94.912883133466394</v>
      </c>
      <c r="AM881">
        <v>93.418309051972201</v>
      </c>
      <c r="AN881">
        <v>0.99999997312407596</v>
      </c>
    </row>
    <row r="882" spans="1:40" x14ac:dyDescent="0.25">
      <c r="A882" t="str">
        <f>"20190305134923331"</f>
        <v>20190305134923331</v>
      </c>
      <c r="B882" t="str">
        <f>"1551764963321751"</f>
        <v>1551764963321751</v>
      </c>
      <c r="C882" t="s">
        <v>40</v>
      </c>
      <c r="D882">
        <v>3.973989</v>
      </c>
      <c r="E882">
        <v>0.43546469999999998</v>
      </c>
      <c r="F882" t="s">
        <v>57</v>
      </c>
      <c r="G882">
        <v>-242.7987</v>
      </c>
      <c r="H882">
        <v>3.2922799999999999</v>
      </c>
      <c r="I882">
        <v>390.88350000000003</v>
      </c>
      <c r="J882">
        <v>-338.50819999999999</v>
      </c>
      <c r="K882">
        <v>1.109561</v>
      </c>
      <c r="L882">
        <v>367.7851</v>
      </c>
      <c r="M882">
        <v>0.9999169</v>
      </c>
      <c r="N882">
        <v>-1.226618E-2</v>
      </c>
      <c r="O882">
        <v>3.9760990000000003E-3</v>
      </c>
      <c r="P882">
        <v>0.99318430000000002</v>
      </c>
      <c r="Q882">
        <v>-9.7769220000000004E-2</v>
      </c>
      <c r="R882">
        <v>6.3455189999999995E-2</v>
      </c>
      <c r="S882">
        <v>2.9814449999999999</v>
      </c>
      <c r="T882">
        <v>6.7874429999999999E-2</v>
      </c>
      <c r="U882">
        <v>0.71829219999999905</v>
      </c>
      <c r="V882">
        <v>-5.9506690000000001E-2</v>
      </c>
      <c r="W882">
        <v>-8.5575419999999999E-2</v>
      </c>
      <c r="X882">
        <v>0.99455309999999997</v>
      </c>
      <c r="Y882">
        <v>-0.23032910000000001</v>
      </c>
      <c r="Z882">
        <v>-1.014509E-3</v>
      </c>
      <c r="AA882">
        <v>0.97311230000000004</v>
      </c>
      <c r="AB882">
        <v>35</v>
      </c>
      <c r="AC882">
        <v>95.709500000000006</v>
      </c>
      <c r="AD882">
        <v>2.1827190000000001</v>
      </c>
      <c r="AE882">
        <v>23.098400000000002</v>
      </c>
      <c r="AF882">
        <v>-22.7064787017305</v>
      </c>
      <c r="AG882">
        <v>2.1827190000000001</v>
      </c>
      <c r="AH882">
        <v>95.753531492209206</v>
      </c>
      <c r="AI882">
        <v>88.729383103460904</v>
      </c>
      <c r="AJ882">
        <v>103.34040067632699</v>
      </c>
      <c r="AK882">
        <v>98.433161233877897</v>
      </c>
      <c r="AL882">
        <v>94.909114408527202</v>
      </c>
      <c r="AM882">
        <v>93.424072909886803</v>
      </c>
      <c r="AN882">
        <v>1.00000003369127</v>
      </c>
    </row>
    <row r="883" spans="1:40" x14ac:dyDescent="0.25">
      <c r="A883" t="str">
        <f>"20190305134923342"</f>
        <v>20190305134923342</v>
      </c>
      <c r="B883" t="str">
        <f>"1551764963331510"</f>
        <v>1551764963331510</v>
      </c>
      <c r="C883" t="s">
        <v>40</v>
      </c>
      <c r="D883">
        <v>4.1573260000000003</v>
      </c>
      <c r="E883">
        <v>0.43546469999999998</v>
      </c>
      <c r="F883" t="s">
        <v>57</v>
      </c>
      <c r="G883">
        <v>-242.74860000000001</v>
      </c>
      <c r="H883">
        <v>3.349329</v>
      </c>
      <c r="I883">
        <v>390.88350000000003</v>
      </c>
      <c r="J883">
        <v>-338.33319999999998</v>
      </c>
      <c r="K883">
        <v>1.1095569999999999</v>
      </c>
      <c r="L883">
        <v>367.78570000000002</v>
      </c>
      <c r="M883">
        <v>0.9999169</v>
      </c>
      <c r="N883">
        <v>-1.226879E-2</v>
      </c>
      <c r="O883">
        <v>3.9778979999999997E-3</v>
      </c>
      <c r="P883">
        <v>0.99318879999999998</v>
      </c>
      <c r="Q883">
        <v>-9.7721669999999997E-2</v>
      </c>
      <c r="R883">
        <v>6.34575E-2</v>
      </c>
      <c r="S883">
        <v>2.981506</v>
      </c>
      <c r="T883">
        <v>6.9736839999999994E-2</v>
      </c>
      <c r="U883">
        <v>0.71917719999999996</v>
      </c>
      <c r="V883">
        <v>-5.9507909999999997E-2</v>
      </c>
      <c r="W883">
        <v>-8.5524899999999904E-2</v>
      </c>
      <c r="X883">
        <v>0.99455729999999998</v>
      </c>
      <c r="Y883">
        <v>-0.23059360000000001</v>
      </c>
      <c r="Z883">
        <v>-1.0837939999999999E-3</v>
      </c>
      <c r="AA883">
        <v>0.97304959999999996</v>
      </c>
      <c r="AB883">
        <v>35</v>
      </c>
      <c r="AC883">
        <v>95.584599999999895</v>
      </c>
      <c r="AD883">
        <v>2.2397719999999999</v>
      </c>
      <c r="AE883">
        <v>23.097799999999999</v>
      </c>
      <c r="AF883">
        <v>-22.7055836074531</v>
      </c>
      <c r="AG883">
        <v>2.2397719999999999</v>
      </c>
      <c r="AH883">
        <v>95.626122163087999</v>
      </c>
      <c r="AI883">
        <v>88.694535718819694</v>
      </c>
      <c r="AJ883">
        <v>103.357030663054</v>
      </c>
      <c r="AK883">
        <v>98.310301319428703</v>
      </c>
      <c r="AL883">
        <v>94.906209530272804</v>
      </c>
      <c r="AM883">
        <v>93.424128517150095</v>
      </c>
      <c r="AN883">
        <v>0.99999996142793302</v>
      </c>
    </row>
    <row r="884" spans="1:40" x14ac:dyDescent="0.25">
      <c r="A884" t="str">
        <f>"20190305134923353"</f>
        <v>20190305134923353</v>
      </c>
      <c r="B884" t="str">
        <f>"1551764963341270"</f>
        <v>1551764963341270</v>
      </c>
      <c r="C884" t="s">
        <v>40</v>
      </c>
      <c r="D884">
        <v>4.2118549999999999</v>
      </c>
      <c r="E884">
        <v>0.4644703</v>
      </c>
      <c r="F884" t="s">
        <v>57</v>
      </c>
      <c r="G884">
        <v>-242.5377</v>
      </c>
      <c r="H884">
        <v>3.3569450000000001</v>
      </c>
      <c r="I884">
        <v>390.88350000000003</v>
      </c>
      <c r="J884">
        <v>-338.1635</v>
      </c>
      <c r="K884">
        <v>1.1095549999999901</v>
      </c>
      <c r="L884">
        <v>367.78640000000001</v>
      </c>
      <c r="M884">
        <v>0.99991699999999994</v>
      </c>
      <c r="N884">
        <v>-1.227107E-2</v>
      </c>
      <c r="O884">
        <v>3.9790490000000001E-3</v>
      </c>
      <c r="P884">
        <v>0.99320370000000002</v>
      </c>
      <c r="Q884">
        <v>-9.7704280000000004E-2</v>
      </c>
      <c r="R884">
        <v>6.3251730000000006E-2</v>
      </c>
      <c r="S884">
        <v>2.9815670000000001</v>
      </c>
      <c r="T884">
        <v>6.9949269999999994E-2</v>
      </c>
      <c r="U884">
        <v>0.71890259999999995</v>
      </c>
      <c r="V884">
        <v>-5.9301230000000003E-2</v>
      </c>
      <c r="W884">
        <v>-8.5504819999999995E-2</v>
      </c>
      <c r="X884">
        <v>0.99457139999999999</v>
      </c>
      <c r="Y884">
        <v>-0.23050290000000001</v>
      </c>
      <c r="Z884">
        <v>-1.0907989999999999E-3</v>
      </c>
      <c r="AA884">
        <v>0.97307100000000002</v>
      </c>
      <c r="AB884">
        <v>35</v>
      </c>
      <c r="AC884">
        <v>95.625799999999998</v>
      </c>
      <c r="AD884">
        <v>2.2473900000000002</v>
      </c>
      <c r="AE884">
        <v>23.097100000000001</v>
      </c>
      <c r="AF884">
        <v>-22.704539466611202</v>
      </c>
      <c r="AG884">
        <v>2.2473900000000002</v>
      </c>
      <c r="AH884">
        <v>95.667026296472102</v>
      </c>
      <c r="AI884">
        <v>88.690623872384194</v>
      </c>
      <c r="AJ884">
        <v>103.350932183795</v>
      </c>
      <c r="AK884">
        <v>98.3500218333117</v>
      </c>
      <c r="AL884">
        <v>94.905054661031301</v>
      </c>
      <c r="AM884">
        <v>93.412215887378593</v>
      </c>
      <c r="AN884">
        <v>0.99999998991035199</v>
      </c>
    </row>
    <row r="885" spans="1:40" x14ac:dyDescent="0.25">
      <c r="A885" t="str">
        <f>"20190305134923365"</f>
        <v>20190305134923365</v>
      </c>
      <c r="B885" t="str">
        <f>"1551764963361767"</f>
        <v>1551764963361767</v>
      </c>
      <c r="C885" t="s">
        <v>40</v>
      </c>
      <c r="D885">
        <v>4.2019640000000003</v>
      </c>
      <c r="E885">
        <v>0.4784678</v>
      </c>
      <c r="F885" t="s">
        <v>58</v>
      </c>
      <c r="G885">
        <v>-189.39</v>
      </c>
      <c r="H885">
        <v>6.7523959999999994E-2</v>
      </c>
      <c r="I885">
        <v>391.87</v>
      </c>
      <c r="J885">
        <v>-337.9776</v>
      </c>
      <c r="K885">
        <v>1.109553</v>
      </c>
      <c r="L885">
        <v>367.78710000000001</v>
      </c>
      <c r="M885">
        <v>0.99991680000000005</v>
      </c>
      <c r="N885">
        <v>-1.227314E-2</v>
      </c>
      <c r="O885">
        <v>3.9793160000000001E-3</v>
      </c>
      <c r="P885">
        <v>0.99322180000000004</v>
      </c>
      <c r="Q885">
        <v>-9.7646590000000005E-2</v>
      </c>
      <c r="R885">
        <v>6.3051699999999905E-2</v>
      </c>
      <c r="S885">
        <v>2.9876399999999999</v>
      </c>
      <c r="T885">
        <v>-2.0925880000000001E-2</v>
      </c>
      <c r="U885">
        <v>0.48364259999999898</v>
      </c>
      <c r="V885">
        <v>-5.910046E-2</v>
      </c>
      <c r="W885">
        <v>-8.5444699999999998E-2</v>
      </c>
      <c r="X885">
        <v>0.99458860000000004</v>
      </c>
      <c r="Y885">
        <v>-0.15586069999999999</v>
      </c>
      <c r="Z885">
        <v>1.5258439999999999E-3</v>
      </c>
      <c r="AA885">
        <v>0.98777789999999999</v>
      </c>
      <c r="AB885">
        <v>35</v>
      </c>
      <c r="AC885">
        <v>148.58760000000001</v>
      </c>
      <c r="AD885">
        <v>-1.0420290400000001</v>
      </c>
      <c r="AE885">
        <v>24.082899999999899</v>
      </c>
      <c r="AF885">
        <v>-23.490262069310301</v>
      </c>
      <c r="AG885">
        <v>-1.0420290400000001</v>
      </c>
      <c r="AH885">
        <v>148.675139284073</v>
      </c>
      <c r="AI885">
        <v>90.396645965758395</v>
      </c>
      <c r="AJ885">
        <v>98.978356818592601</v>
      </c>
      <c r="AK885">
        <v>150.52300580889201</v>
      </c>
      <c r="AL885">
        <v>94.901596981978798</v>
      </c>
      <c r="AM885">
        <v>93.4006319892097</v>
      </c>
      <c r="AN885">
        <v>1.0000000721901201</v>
      </c>
    </row>
    <row r="886" spans="1:40" x14ac:dyDescent="0.25">
      <c r="A886" t="str">
        <f>"20190305134923377"</f>
        <v>20190305134923377</v>
      </c>
      <c r="B886" t="str">
        <f>"1551764963371526"</f>
        <v>1551764963371526</v>
      </c>
      <c r="C886" t="s">
        <v>40</v>
      </c>
      <c r="D886">
        <v>4.1584789999999998</v>
      </c>
      <c r="E886">
        <v>0.48076439999999998</v>
      </c>
      <c r="F886" t="s">
        <v>42</v>
      </c>
      <c r="G886">
        <v>-274.67129999999997</v>
      </c>
      <c r="H886" s="1">
        <v>-3.75156E-6</v>
      </c>
      <c r="I886">
        <v>375.62130000000002</v>
      </c>
      <c r="J886">
        <v>-337.80799999999999</v>
      </c>
      <c r="K886">
        <v>1.10955</v>
      </c>
      <c r="L886">
        <v>367.7878</v>
      </c>
      <c r="M886">
        <v>0.99991680000000005</v>
      </c>
      <c r="N886">
        <v>-1.22747E-2</v>
      </c>
      <c r="O886">
        <v>3.9791139999999997E-3</v>
      </c>
      <c r="P886">
        <v>0.99324480000000004</v>
      </c>
      <c r="Q886">
        <v>-9.7616960000000003E-2</v>
      </c>
      <c r="R886">
        <v>6.2735449999999998E-2</v>
      </c>
      <c r="S886">
        <v>2.9918209999999998</v>
      </c>
      <c r="T886">
        <v>-5.2436950000000003E-2</v>
      </c>
      <c r="U886">
        <v>0.37023929999999999</v>
      </c>
      <c r="V886">
        <v>-5.8784759999999998E-2</v>
      </c>
      <c r="W886">
        <v>-8.541311E-2</v>
      </c>
      <c r="X886">
        <v>0.99460999999999999</v>
      </c>
      <c r="Y886">
        <v>-0.1188327</v>
      </c>
      <c r="Z886">
        <v>1.748746E-3</v>
      </c>
      <c r="AA886">
        <v>0.99291280000000004</v>
      </c>
      <c r="AB886">
        <v>35</v>
      </c>
      <c r="AC886">
        <v>63.136699999999998</v>
      </c>
      <c r="AD886">
        <v>-1.10955375156</v>
      </c>
      <c r="AE886">
        <v>7.8335000000000097</v>
      </c>
      <c r="AF886">
        <v>-7.5798854554108201</v>
      </c>
      <c r="AG886">
        <v>-1.10955375156</v>
      </c>
      <c r="AH886">
        <v>63.148165844033002</v>
      </c>
      <c r="AI886">
        <v>90.999447191460604</v>
      </c>
      <c r="AJ886">
        <v>96.844656703271099</v>
      </c>
      <c r="AK886">
        <v>63.611135994495903</v>
      </c>
      <c r="AL886">
        <v>94.899780477679897</v>
      </c>
      <c r="AM886">
        <v>93.382436337962304</v>
      </c>
      <c r="AN886">
        <v>1.00000004973406</v>
      </c>
    </row>
    <row r="887" spans="1:40" x14ac:dyDescent="0.25">
      <c r="A887" t="str">
        <f>"20190305134923388"</f>
        <v>20190305134923388</v>
      </c>
      <c r="B887" t="str">
        <f>"1551764963381287"</f>
        <v>1551764963381287</v>
      </c>
      <c r="C887" t="s">
        <v>40</v>
      </c>
      <c r="D887">
        <v>4.2811879999999896</v>
      </c>
      <c r="E887">
        <v>0.48356850000000001</v>
      </c>
      <c r="F887" t="s">
        <v>43</v>
      </c>
      <c r="G887">
        <v>-286.79020000000003</v>
      </c>
      <c r="H887">
        <v>-0.05</v>
      </c>
      <c r="I887">
        <v>373.76139999999998</v>
      </c>
      <c r="J887">
        <v>-337.6293</v>
      </c>
      <c r="K887">
        <v>1.10955</v>
      </c>
      <c r="L887">
        <v>367.7885</v>
      </c>
      <c r="M887">
        <v>0.99991669999999999</v>
      </c>
      <c r="N887">
        <v>-1.227615E-2</v>
      </c>
      <c r="O887">
        <v>3.9784379999999999E-3</v>
      </c>
      <c r="P887">
        <v>0.99323899999999998</v>
      </c>
      <c r="Q887">
        <v>-9.7780909999999999E-2</v>
      </c>
      <c r="R887">
        <v>6.2571950000000001E-2</v>
      </c>
      <c r="S887">
        <v>2.9916079999999998</v>
      </c>
      <c r="T887">
        <v>-6.7994239999999997E-2</v>
      </c>
      <c r="U887">
        <v>0.3502808</v>
      </c>
      <c r="V887">
        <v>-5.8622680000000003E-2</v>
      </c>
      <c r="W887">
        <v>-8.5575600000000002E-2</v>
      </c>
      <c r="X887">
        <v>0.99460550000000003</v>
      </c>
      <c r="Y887">
        <v>-0.1122966</v>
      </c>
      <c r="Z887">
        <v>1.9220210000000001E-3</v>
      </c>
      <c r="AA887">
        <v>0.99367280000000002</v>
      </c>
      <c r="AB887">
        <v>35</v>
      </c>
      <c r="AC887">
        <v>50.839099999999902</v>
      </c>
      <c r="AD887">
        <v>-1.1595500000000001</v>
      </c>
      <c r="AE887">
        <v>5.9728999999999797</v>
      </c>
      <c r="AF887">
        <v>-5.7676177142484297</v>
      </c>
      <c r="AG887">
        <v>-1.1595500000000001</v>
      </c>
      <c r="AH887">
        <v>50.836376396328703</v>
      </c>
      <c r="AI887">
        <v>91.298332457776496</v>
      </c>
      <c r="AJ887">
        <v>96.472788584258296</v>
      </c>
      <c r="AK887">
        <v>51.175649828892404</v>
      </c>
      <c r="AL887">
        <v>94.909125165308595</v>
      </c>
      <c r="AM887">
        <v>93.3731471513846</v>
      </c>
      <c r="AN887">
        <v>0.99999995127799401</v>
      </c>
    </row>
    <row r="888" spans="1:40" x14ac:dyDescent="0.25">
      <c r="A888" t="str">
        <f>"20190305134923401"</f>
        <v>20190305134923401</v>
      </c>
      <c r="B888" t="str">
        <f>"1551764963392023"</f>
        <v>1551764963392023</v>
      </c>
      <c r="C888" t="s">
        <v>40</v>
      </c>
      <c r="D888">
        <v>4.1143159999999996</v>
      </c>
      <c r="E888">
        <v>0.48377730000000002</v>
      </c>
      <c r="F888" t="s">
        <v>43</v>
      </c>
      <c r="G888">
        <v>-302.34300000000002</v>
      </c>
      <c r="H888">
        <v>-0.05</v>
      </c>
      <c r="I888">
        <v>371.64190000000002</v>
      </c>
      <c r="J888">
        <v>-337.43270000000001</v>
      </c>
      <c r="K888">
        <v>1.1095520000000001</v>
      </c>
      <c r="L888">
        <v>367.78930000000003</v>
      </c>
      <c r="M888">
        <v>0.9999169</v>
      </c>
      <c r="N888">
        <v>-1.227728E-2</v>
      </c>
      <c r="O888">
        <v>3.9772319999999998E-3</v>
      </c>
      <c r="P888">
        <v>0.99324069999999998</v>
      </c>
      <c r="Q888">
        <v>-9.7893099999999997E-2</v>
      </c>
      <c r="R888">
        <v>6.2370050000000003E-2</v>
      </c>
      <c r="S888">
        <v>2.990173</v>
      </c>
      <c r="T888">
        <v>-9.8260520000000004E-2</v>
      </c>
      <c r="U888">
        <v>0.3265381</v>
      </c>
      <c r="V888">
        <v>-5.8421979999999998E-2</v>
      </c>
      <c r="W888">
        <v>-8.5686590000000007E-2</v>
      </c>
      <c r="X888">
        <v>0.99460780000000004</v>
      </c>
      <c r="Y888">
        <v>-0.1045275</v>
      </c>
      <c r="Z888">
        <v>2.274131E-3</v>
      </c>
      <c r="AA888">
        <v>0.99451940000000005</v>
      </c>
      <c r="AB888">
        <v>35</v>
      </c>
      <c r="AC888">
        <v>35.089699999999901</v>
      </c>
      <c r="AD888">
        <v>-1.1595519999999999</v>
      </c>
      <c r="AE888">
        <v>3.85259999999999</v>
      </c>
      <c r="AF888">
        <v>-3.7089971829683002</v>
      </c>
      <c r="AG888">
        <v>-1.1595519999999999</v>
      </c>
      <c r="AH888">
        <v>35.066909432023898</v>
      </c>
      <c r="AI888">
        <v>91.883402503032102</v>
      </c>
      <c r="AJ888">
        <v>96.037677911302097</v>
      </c>
      <c r="AK888">
        <v>35.281572499787202</v>
      </c>
      <c r="AL888">
        <v>94.915507639984298</v>
      </c>
      <c r="AM888">
        <v>93.3616176530209</v>
      </c>
      <c r="AN888">
        <v>0.99999999763689396</v>
      </c>
    </row>
    <row r="889" spans="1:40" x14ac:dyDescent="0.25">
      <c r="A889" t="str">
        <f>"20190305134923414"</f>
        <v>20190305134923414</v>
      </c>
      <c r="B889" t="str">
        <f>"1551764963411543"</f>
        <v>1551764963411543</v>
      </c>
      <c r="C889" t="s">
        <v>40</v>
      </c>
      <c r="D889">
        <v>4.1356679999999999</v>
      </c>
      <c r="E889">
        <v>0.48506569999999999</v>
      </c>
      <c r="F889" t="s">
        <v>43</v>
      </c>
      <c r="G889">
        <v>-304.23500000000001</v>
      </c>
      <c r="H889">
        <v>-0.05</v>
      </c>
      <c r="I889">
        <v>371.38639999999998</v>
      </c>
      <c r="J889">
        <v>-337.23200000000003</v>
      </c>
      <c r="K889">
        <v>1.109553</v>
      </c>
      <c r="L889">
        <v>367.7901</v>
      </c>
      <c r="M889">
        <v>0.9999169</v>
      </c>
      <c r="N889">
        <v>-1.2278270000000001E-2</v>
      </c>
      <c r="O889">
        <v>3.9762060000000004E-3</v>
      </c>
      <c r="P889">
        <v>0.99326740000000002</v>
      </c>
      <c r="Q889">
        <v>-9.7807599999999995E-2</v>
      </c>
      <c r="R889">
        <v>6.2079780000000001E-2</v>
      </c>
      <c r="S889">
        <v>2.989716</v>
      </c>
      <c r="T889">
        <v>-0.1044267</v>
      </c>
      <c r="U889">
        <v>0.32394410000000001</v>
      </c>
      <c r="V889">
        <v>-5.8132639999999999E-2</v>
      </c>
      <c r="W889">
        <v>-8.5599739999999994E-2</v>
      </c>
      <c r="X889">
        <v>0.99463219999999997</v>
      </c>
      <c r="Y889">
        <v>-0.1036844</v>
      </c>
      <c r="Z889">
        <v>2.3538679999999998E-3</v>
      </c>
      <c r="AA889">
        <v>0.99460740000000003</v>
      </c>
      <c r="AB889">
        <v>35</v>
      </c>
      <c r="AC889">
        <v>32.9969999999999</v>
      </c>
      <c r="AD889">
        <v>-1.1595530000000001</v>
      </c>
      <c r="AE889">
        <v>3.5962999999999798</v>
      </c>
      <c r="AF889">
        <v>-3.4608352107116098</v>
      </c>
      <c r="AG889">
        <v>-1.1595530000000001</v>
      </c>
      <c r="AH889">
        <v>32.970802094438199</v>
      </c>
      <c r="AI889">
        <v>92.003213647077203</v>
      </c>
      <c r="AJ889">
        <v>95.992203939973095</v>
      </c>
      <c r="AK889">
        <v>33.172213285611797</v>
      </c>
      <c r="AL889">
        <v>94.910513305403796</v>
      </c>
      <c r="AM889">
        <v>93.344924971391194</v>
      </c>
      <c r="AN889">
        <v>0.99999996629913801</v>
      </c>
    </row>
    <row r="890" spans="1:40" x14ac:dyDescent="0.25">
      <c r="A890" t="str">
        <f>"20190305134923427"</f>
        <v>20190305134923427</v>
      </c>
      <c r="B890" t="str">
        <f>"1551764963421303"</f>
        <v>1551764963421303</v>
      </c>
      <c r="C890" t="s">
        <v>40</v>
      </c>
      <c r="D890">
        <v>4.1027279999999999</v>
      </c>
      <c r="E890">
        <v>0.48584909999999998</v>
      </c>
      <c r="F890" t="s">
        <v>43</v>
      </c>
      <c r="G890">
        <v>-302.94080000000002</v>
      </c>
      <c r="H890">
        <v>-0.05</v>
      </c>
      <c r="I890">
        <v>371.37610000000001</v>
      </c>
      <c r="J890">
        <v>-337.02249999999998</v>
      </c>
      <c r="K890">
        <v>1.1095520000000001</v>
      </c>
      <c r="L890">
        <v>367.79090000000002</v>
      </c>
      <c r="M890">
        <v>0.9999169</v>
      </c>
      <c r="N890">
        <v>-1.227905E-2</v>
      </c>
      <c r="O890">
        <v>3.9751830000000002E-3</v>
      </c>
      <c r="P890">
        <v>0.99329120000000004</v>
      </c>
      <c r="Q890">
        <v>-9.7638619999999995E-2</v>
      </c>
      <c r="R890">
        <v>6.1963829999999998E-2</v>
      </c>
      <c r="S890">
        <v>2.990875</v>
      </c>
      <c r="T890">
        <v>-0.10113610000000001</v>
      </c>
      <c r="U890">
        <v>0.31277470000000002</v>
      </c>
      <c r="V890">
        <v>-5.8017770000000003E-2</v>
      </c>
      <c r="W890">
        <v>-8.5429649999999996E-2</v>
      </c>
      <c r="X890">
        <v>0.99465360000000003</v>
      </c>
      <c r="Y890">
        <v>-9.9978040000000004E-2</v>
      </c>
      <c r="Z890">
        <v>2.2157100000000001E-3</v>
      </c>
      <c r="AA890">
        <v>0.99498719999999996</v>
      </c>
      <c r="AB890">
        <v>35</v>
      </c>
      <c r="AC890">
        <v>34.081699999999898</v>
      </c>
      <c r="AD890">
        <v>-1.1595519999999999</v>
      </c>
      <c r="AE890">
        <v>3.58519999999998</v>
      </c>
      <c r="AF890">
        <v>-3.4457355450715599</v>
      </c>
      <c r="AG890">
        <v>-1.1595519999999999</v>
      </c>
      <c r="AH890">
        <v>34.056692878635197</v>
      </c>
      <c r="AI890">
        <v>91.9401387431014</v>
      </c>
      <c r="AJ890">
        <v>95.777324006416507</v>
      </c>
      <c r="AK890">
        <v>34.250196847857097</v>
      </c>
      <c r="AL890">
        <v>94.900731696952107</v>
      </c>
      <c r="AM890">
        <v>93.338258706707194</v>
      </c>
      <c r="AN890">
        <v>1.00000003536392</v>
      </c>
    </row>
    <row r="891" spans="1:40" x14ac:dyDescent="0.25">
      <c r="A891" t="str">
        <f>"20190305134923441"</f>
        <v>20190305134923441</v>
      </c>
      <c r="B891" t="str">
        <f>"1551764963431570"</f>
        <v>1551764963431570</v>
      </c>
      <c r="C891" t="s">
        <v>40</v>
      </c>
      <c r="D891">
        <v>4.1814299999999998</v>
      </c>
      <c r="E891">
        <v>0.48571629999999899</v>
      </c>
      <c r="F891" t="s">
        <v>43</v>
      </c>
      <c r="G891">
        <v>-299.69420000000002</v>
      </c>
      <c r="H891">
        <v>-0.05</v>
      </c>
      <c r="I891">
        <v>371.61470000000003</v>
      </c>
      <c r="J891">
        <v>-336.82010000000002</v>
      </c>
      <c r="K891">
        <v>1.1095520000000001</v>
      </c>
      <c r="L891">
        <v>367.79169999999999</v>
      </c>
      <c r="M891">
        <v>0.99991680000000005</v>
      </c>
      <c r="N891">
        <v>-1.227957E-2</v>
      </c>
      <c r="O891">
        <v>3.9746979999999996E-3</v>
      </c>
      <c r="P891">
        <v>0.99331469999999999</v>
      </c>
      <c r="Q891">
        <v>-9.7441249999999993E-2</v>
      </c>
      <c r="R891">
        <v>6.1898149999999999E-2</v>
      </c>
      <c r="S891">
        <v>2.9919739999999999</v>
      </c>
      <c r="T891">
        <v>-9.294152E-2</v>
      </c>
      <c r="U891">
        <v>0.30648799999999998</v>
      </c>
      <c r="V891">
        <v>-5.7952360000000001E-2</v>
      </c>
      <c r="W891">
        <v>-8.5231429999999997E-2</v>
      </c>
      <c r="X891">
        <v>0.99467439999999996</v>
      </c>
      <c r="Y891">
        <v>-9.7883719999999994E-2</v>
      </c>
      <c r="Z891">
        <v>2.044325E-3</v>
      </c>
      <c r="AA891">
        <v>0.99519570000000002</v>
      </c>
      <c r="AB891">
        <v>35</v>
      </c>
      <c r="AC891">
        <v>37.125900000000001</v>
      </c>
      <c r="AD891">
        <v>-1.1595519999999999</v>
      </c>
      <c r="AE891">
        <v>3.8230000000000302</v>
      </c>
      <c r="AF891">
        <v>-3.6718501432964401</v>
      </c>
      <c r="AG891">
        <v>-1.1595519999999999</v>
      </c>
      <c r="AH891">
        <v>37.104987039653899</v>
      </c>
      <c r="AI891">
        <v>91.781248463662394</v>
      </c>
      <c r="AJ891">
        <v>95.651498654740706</v>
      </c>
      <c r="AK891">
        <v>37.304250528973398</v>
      </c>
      <c r="AL891">
        <v>94.889333041541406</v>
      </c>
      <c r="AM891">
        <v>93.334434035334297</v>
      </c>
      <c r="AN891">
        <v>1.00000001735238</v>
      </c>
    </row>
    <row r="892" spans="1:40" x14ac:dyDescent="0.25">
      <c r="A892" t="str">
        <f>"20190305134923456"</f>
        <v>20190305134923456</v>
      </c>
      <c r="B892" t="str">
        <f>"1551764963452066"</f>
        <v>1551764963452066</v>
      </c>
      <c r="C892" t="s">
        <v>40</v>
      </c>
      <c r="D892">
        <v>4.0808879999999998</v>
      </c>
      <c r="E892">
        <v>0.48678539999999998</v>
      </c>
      <c r="F892" t="s">
        <v>43</v>
      </c>
      <c r="G892">
        <v>-301.16340000000002</v>
      </c>
      <c r="H892">
        <v>-0.05</v>
      </c>
      <c r="I892">
        <v>371.4554</v>
      </c>
      <c r="J892">
        <v>-336.58760000000001</v>
      </c>
      <c r="K892">
        <v>1.1095549999999901</v>
      </c>
      <c r="L892">
        <v>367.79259999999999</v>
      </c>
      <c r="M892">
        <v>0.9999169</v>
      </c>
      <c r="N892">
        <v>-1.227876E-2</v>
      </c>
      <c r="O892">
        <v>3.9742199999999997E-3</v>
      </c>
      <c r="P892">
        <v>0.99337799999999998</v>
      </c>
      <c r="Q892">
        <v>-9.7017590000000001E-2</v>
      </c>
      <c r="R892">
        <v>6.1547329999999997E-2</v>
      </c>
      <c r="S892">
        <v>2.9915159999999998</v>
      </c>
      <c r="T892">
        <v>-9.7283960000000003E-2</v>
      </c>
      <c r="U892">
        <v>0.30737300000000001</v>
      </c>
      <c r="V892">
        <v>-5.7601569999999998E-2</v>
      </c>
      <c r="W892">
        <v>-8.4807800000000003E-2</v>
      </c>
      <c r="X892">
        <v>0.99473089999999997</v>
      </c>
      <c r="Y892">
        <v>-9.818549E-2</v>
      </c>
      <c r="Z892">
        <v>2.1163110000000001E-3</v>
      </c>
      <c r="AA892">
        <v>0.99516590000000005</v>
      </c>
      <c r="AB892">
        <v>35</v>
      </c>
      <c r="AC892">
        <v>35.4241999999999</v>
      </c>
      <c r="AD892">
        <v>-1.1595549999999999</v>
      </c>
      <c r="AE892">
        <v>3.6627999999999998</v>
      </c>
      <c r="AF892">
        <v>-3.5182470752967898</v>
      </c>
      <c r="AG892">
        <v>-1.1595549999999999</v>
      </c>
      <c r="AH892">
        <v>35.400948033402102</v>
      </c>
      <c r="AI892">
        <v>91.866857361488201</v>
      </c>
      <c r="AJ892">
        <v>95.675580959224803</v>
      </c>
      <c r="AK892">
        <v>35.594237622745901</v>
      </c>
      <c r="AL892">
        <v>94.864973036794296</v>
      </c>
      <c r="AM892">
        <v>93.314107755382906</v>
      </c>
      <c r="AN892">
        <v>0.99999993361105499</v>
      </c>
    </row>
    <row r="893" spans="1:40" x14ac:dyDescent="0.25">
      <c r="A893" t="str">
        <f>"20190305134923469"</f>
        <v>20190305134923469</v>
      </c>
      <c r="B893" t="str">
        <f>"1551764963461827"</f>
        <v>1551764963461827</v>
      </c>
      <c r="C893" t="s">
        <v>40</v>
      </c>
      <c r="D893">
        <v>4.0711309999999896</v>
      </c>
      <c r="E893">
        <v>0.48720960000000002</v>
      </c>
      <c r="F893" t="s">
        <v>43</v>
      </c>
      <c r="G893">
        <v>-295.52019999999999</v>
      </c>
      <c r="H893">
        <v>-0.05</v>
      </c>
      <c r="I893">
        <v>371.88029999999998</v>
      </c>
      <c r="J893">
        <v>-336.37759999999997</v>
      </c>
      <c r="K893">
        <v>1.1095549999999901</v>
      </c>
      <c r="L893">
        <v>367.79349999999999</v>
      </c>
      <c r="M893">
        <v>0.9999169</v>
      </c>
      <c r="N893">
        <v>-1.2276260000000001E-2</v>
      </c>
      <c r="O893">
        <v>3.9742309999999999E-3</v>
      </c>
      <c r="P893">
        <v>0.99339489999999997</v>
      </c>
      <c r="Q893">
        <v>-9.6792470000000005E-2</v>
      </c>
      <c r="R893">
        <v>6.1629360000000001E-2</v>
      </c>
      <c r="S893">
        <v>2.9933169999999998</v>
      </c>
      <c r="T893">
        <v>-8.4517480000000006E-2</v>
      </c>
      <c r="U893">
        <v>0.29794310000000002</v>
      </c>
      <c r="V893">
        <v>-5.7683770000000002E-2</v>
      </c>
      <c r="W893">
        <v>-8.4584969999999995E-2</v>
      </c>
      <c r="X893">
        <v>0.9947452</v>
      </c>
      <c r="Y893">
        <v>-9.5037469999999999E-2</v>
      </c>
      <c r="Z893">
        <v>1.8598740000000001E-3</v>
      </c>
      <c r="AA893">
        <v>0.99547200000000002</v>
      </c>
      <c r="AB893">
        <v>35</v>
      </c>
      <c r="AC893">
        <v>40.857399999999899</v>
      </c>
      <c r="AD893">
        <v>-1.1595549999999999</v>
      </c>
      <c r="AE893">
        <v>4.0867999999999798</v>
      </c>
      <c r="AF893">
        <v>-3.9212516585845298</v>
      </c>
      <c r="AG893">
        <v>-1.1595549999999999</v>
      </c>
      <c r="AH893">
        <v>40.840750877020199</v>
      </c>
      <c r="AI893">
        <v>91.618870342901502</v>
      </c>
      <c r="AJ893">
        <v>95.484340503712403</v>
      </c>
      <c r="AK893">
        <v>41.0449474913394</v>
      </c>
      <c r="AL893">
        <v>94.8521593386711</v>
      </c>
      <c r="AM893">
        <v>93.318778966930594</v>
      </c>
      <c r="AN893">
        <v>1.00000002369717</v>
      </c>
    </row>
    <row r="894" spans="1:40" x14ac:dyDescent="0.25">
      <c r="A894" t="str">
        <f>"20190305134923481"</f>
        <v>20190305134923481</v>
      </c>
      <c r="B894" t="str">
        <f>"1551764963471586"</f>
        <v>1551764963471586</v>
      </c>
      <c r="C894" t="s">
        <v>40</v>
      </c>
      <c r="D894">
        <v>4.1833609999999997</v>
      </c>
      <c r="E894">
        <v>0.48703200000000002</v>
      </c>
      <c r="F894" t="s">
        <v>43</v>
      </c>
      <c r="G894">
        <v>-292.63619999999997</v>
      </c>
      <c r="H894">
        <v>-0.05</v>
      </c>
      <c r="I894">
        <v>372.10770000000002</v>
      </c>
      <c r="J894">
        <v>-336.19920000000002</v>
      </c>
      <c r="K894">
        <v>1.1095549999999901</v>
      </c>
      <c r="L894">
        <v>367.79419999999999</v>
      </c>
      <c r="M894">
        <v>0.9999169</v>
      </c>
      <c r="N894">
        <v>-1.2272129999999999E-2</v>
      </c>
      <c r="O894">
        <v>3.9726930000000002E-3</v>
      </c>
      <c r="P894">
        <v>0.993421</v>
      </c>
      <c r="Q894">
        <v>-9.6600660000000005E-2</v>
      </c>
      <c r="R894">
        <v>6.150895E-2</v>
      </c>
      <c r="S894">
        <v>2.9939269999999998</v>
      </c>
      <c r="T894">
        <v>-7.9366919999999994E-2</v>
      </c>
      <c r="U894">
        <v>0.2952881</v>
      </c>
      <c r="V894">
        <v>-5.7565159999999997E-2</v>
      </c>
      <c r="W894">
        <v>-8.4396830000000006E-2</v>
      </c>
      <c r="X894">
        <v>0.99476799999999999</v>
      </c>
      <c r="Y894">
        <v>-9.4150540000000005E-2</v>
      </c>
      <c r="Z894">
        <v>1.767577E-3</v>
      </c>
      <c r="AA894">
        <v>0.99555640000000001</v>
      </c>
      <c r="AB894">
        <v>35</v>
      </c>
      <c r="AC894">
        <v>43.563000000000002</v>
      </c>
      <c r="AD894">
        <v>-1.1595549999999999</v>
      </c>
      <c r="AE894">
        <v>4.3135000000000296</v>
      </c>
      <c r="AF894">
        <v>-4.1374875176556003</v>
      </c>
      <c r="AG894">
        <v>-1.1595549999999999</v>
      </c>
      <c r="AH894">
        <v>43.549238113063403</v>
      </c>
      <c r="AI894">
        <v>91.518380040355495</v>
      </c>
      <c r="AJ894">
        <v>95.427216569036105</v>
      </c>
      <c r="AK894">
        <v>43.7607073867079</v>
      </c>
      <c r="AL894">
        <v>94.841341272484499</v>
      </c>
      <c r="AM894">
        <v>93.311894322942507</v>
      </c>
      <c r="AN894">
        <v>0.99999997319193601</v>
      </c>
    </row>
    <row r="895" spans="1:40" x14ac:dyDescent="0.25">
      <c r="A895" t="str">
        <f>"20190305134923493"</f>
        <v>20190305134923493</v>
      </c>
      <c r="B895" t="str">
        <f>"1551764963481346"</f>
        <v>1551764963481346</v>
      </c>
      <c r="C895" t="s">
        <v>40</v>
      </c>
      <c r="D895">
        <v>4.0827179999999998</v>
      </c>
      <c r="E895">
        <v>0.48741570000000001</v>
      </c>
      <c r="F895" t="s">
        <v>43</v>
      </c>
      <c r="G895">
        <v>-294.827</v>
      </c>
      <c r="H895">
        <v>-0.05</v>
      </c>
      <c r="I895">
        <v>371.88679999999999</v>
      </c>
      <c r="J895">
        <v>-336.01249999999999</v>
      </c>
      <c r="K895">
        <v>1.1095489999999999</v>
      </c>
      <c r="L895">
        <v>367.79489999999998</v>
      </c>
      <c r="M895">
        <v>0.99991699999999994</v>
      </c>
      <c r="N895">
        <v>-1.226758E-2</v>
      </c>
      <c r="O895">
        <v>3.9695370000000004E-3</v>
      </c>
      <c r="P895">
        <v>0.99347160000000001</v>
      </c>
      <c r="Q895">
        <v>-9.6153349999999999E-2</v>
      </c>
      <c r="R895">
        <v>6.1391569999999999E-2</v>
      </c>
      <c r="S895">
        <v>2.9934080000000001</v>
      </c>
      <c r="T895">
        <v>-8.3897349999999996E-2</v>
      </c>
      <c r="U895">
        <v>0.29611209999999999</v>
      </c>
      <c r="V895">
        <v>-5.7450630000000003E-2</v>
      </c>
      <c r="W895">
        <v>-8.3953230000000004E-2</v>
      </c>
      <c r="X895">
        <v>0.99481220000000004</v>
      </c>
      <c r="Y895">
        <v>-9.4437140000000003E-2</v>
      </c>
      <c r="Z895">
        <v>1.838405E-3</v>
      </c>
      <c r="AA895">
        <v>0.99552909999999994</v>
      </c>
      <c r="AB895">
        <v>35</v>
      </c>
      <c r="AC895">
        <v>41.185499999999898</v>
      </c>
      <c r="AD895">
        <v>-1.1595489999999999</v>
      </c>
      <c r="AE895">
        <v>4.0919000000000096</v>
      </c>
      <c r="AF895">
        <v>-3.9252870844377701</v>
      </c>
      <c r="AG895">
        <v>-1.1595489999999999</v>
      </c>
      <c r="AH895">
        <v>41.169105311829199</v>
      </c>
      <c r="AI895">
        <v>91.606058747803402</v>
      </c>
      <c r="AJ895">
        <v>95.446427947242199</v>
      </c>
      <c r="AK895">
        <v>41.372063820350299</v>
      </c>
      <c r="AL895">
        <v>94.815834130270602</v>
      </c>
      <c r="AM895">
        <v>93.305173165156106</v>
      </c>
      <c r="AN895">
        <v>1.0000000164918299</v>
      </c>
    </row>
    <row r="896" spans="1:40" x14ac:dyDescent="0.25">
      <c r="A896" t="str">
        <f>"20190305134923503"</f>
        <v>20190305134923503</v>
      </c>
      <c r="B896" t="str">
        <f>"1551764963492082"</f>
        <v>1551764963492082</v>
      </c>
      <c r="C896" t="s">
        <v>40</v>
      </c>
      <c r="D896">
        <v>4.0619779999999999</v>
      </c>
      <c r="E896">
        <v>0.4876489</v>
      </c>
      <c r="F896" t="s">
        <v>43</v>
      </c>
      <c r="G896">
        <v>-291.59820000000002</v>
      </c>
      <c r="H896">
        <v>-0.05</v>
      </c>
      <c r="I896">
        <v>372.1395</v>
      </c>
      <c r="J896">
        <v>-335.84030000000001</v>
      </c>
      <c r="K896">
        <v>1.1095410000000001</v>
      </c>
      <c r="L896">
        <v>367.79559999999998</v>
      </c>
      <c r="M896">
        <v>0.99991699999999994</v>
      </c>
      <c r="N896">
        <v>-1.226295E-2</v>
      </c>
      <c r="O896">
        <v>3.9627830000000001E-3</v>
      </c>
      <c r="P896">
        <v>0.99347730000000001</v>
      </c>
      <c r="Q896">
        <v>-9.6152979999999999E-2</v>
      </c>
      <c r="R896">
        <v>6.1300439999999998E-2</v>
      </c>
      <c r="S896">
        <v>2.9940190000000002</v>
      </c>
      <c r="T896">
        <v>-7.8166600000000003E-2</v>
      </c>
      <c r="U896">
        <v>0.2928772</v>
      </c>
      <c r="V896">
        <v>-5.7367130000000002E-2</v>
      </c>
      <c r="W896">
        <v>-8.3956959999999997E-2</v>
      </c>
      <c r="X896">
        <v>0.9948167</v>
      </c>
      <c r="Y896">
        <v>-9.3364989999999995E-2</v>
      </c>
      <c r="Z896">
        <v>1.734942E-3</v>
      </c>
      <c r="AA896">
        <v>0.99563040000000003</v>
      </c>
      <c r="AB896">
        <v>35</v>
      </c>
      <c r="AC896">
        <v>44.242099999999901</v>
      </c>
      <c r="AD896">
        <v>-1.1595409999999999</v>
      </c>
      <c r="AE896">
        <v>4.3439000000000103</v>
      </c>
      <c r="AF896">
        <v>-4.1656967265156801</v>
      </c>
      <c r="AG896">
        <v>-1.1595409999999999</v>
      </c>
      <c r="AH896">
        <v>44.2288765573878</v>
      </c>
      <c r="AI896">
        <v>91.495155829106295</v>
      </c>
      <c r="AJ896">
        <v>95.380530544084195</v>
      </c>
      <c r="AK896">
        <v>44.439746692309498</v>
      </c>
      <c r="AL896">
        <v>94.816048619163993</v>
      </c>
      <c r="AM896">
        <v>93.300365085057194</v>
      </c>
      <c r="AN896">
        <v>1.0000000126678801</v>
      </c>
    </row>
    <row r="897" spans="1:40" x14ac:dyDescent="0.25">
      <c r="A897" t="str">
        <f>"20190305134923515"</f>
        <v>20190305134923515</v>
      </c>
      <c r="B897" t="str">
        <f>"1551764963511602"</f>
        <v>1551764963511602</v>
      </c>
      <c r="C897" t="s">
        <v>40</v>
      </c>
      <c r="D897">
        <v>4.0924180000000003</v>
      </c>
      <c r="E897">
        <v>0.48809599999999997</v>
      </c>
      <c r="F897" t="s">
        <v>43</v>
      </c>
      <c r="G897">
        <v>-289.20769999999999</v>
      </c>
      <c r="H897">
        <v>-0.05</v>
      </c>
      <c r="I897">
        <v>372.32499999999999</v>
      </c>
      <c r="J897">
        <v>-335.67219999999998</v>
      </c>
      <c r="K897">
        <v>1.1095360000000001</v>
      </c>
      <c r="L897">
        <v>367.7962</v>
      </c>
      <c r="M897">
        <v>0.9999171</v>
      </c>
      <c r="N897">
        <v>-1.225848E-2</v>
      </c>
      <c r="O897">
        <v>3.9536329999999998E-3</v>
      </c>
      <c r="P897">
        <v>0.99347379999999996</v>
      </c>
      <c r="Q897">
        <v>-9.6119200000000002E-2</v>
      </c>
      <c r="R897">
        <v>6.1408360000000002E-2</v>
      </c>
      <c r="S897">
        <v>2.9945680000000001</v>
      </c>
      <c r="T897">
        <v>-7.4461340000000001E-2</v>
      </c>
      <c r="U897">
        <v>0.29086299999999998</v>
      </c>
      <c r="V897">
        <v>-5.748491E-2</v>
      </c>
      <c r="W897">
        <v>-8.3927139999999997E-2</v>
      </c>
      <c r="X897">
        <v>0.99481240000000004</v>
      </c>
      <c r="Y897">
        <v>-9.2696929999999997E-2</v>
      </c>
      <c r="Z897">
        <v>1.6695359999999999E-3</v>
      </c>
      <c r="AA897">
        <v>0.99569300000000005</v>
      </c>
      <c r="AB897">
        <v>35</v>
      </c>
      <c r="AC897">
        <v>46.464500000000001</v>
      </c>
      <c r="AD897">
        <v>-1.1595359999999999</v>
      </c>
      <c r="AE897">
        <v>4.5287999999999897</v>
      </c>
      <c r="AF897">
        <v>-4.3423683875758803</v>
      </c>
      <c r="AG897">
        <v>-1.1595359999999999</v>
      </c>
      <c r="AH897">
        <v>46.453385940086399</v>
      </c>
      <c r="AI897">
        <v>91.423675077987696</v>
      </c>
      <c r="AJ897">
        <v>95.340374484241593</v>
      </c>
      <c r="AK897">
        <v>46.670309108118602</v>
      </c>
      <c r="AL897">
        <v>94.814334090643598</v>
      </c>
      <c r="AM897">
        <v>93.307140276945304</v>
      </c>
      <c r="AN897">
        <v>0.99999999545002305</v>
      </c>
    </row>
    <row r="898" spans="1:40" x14ac:dyDescent="0.25">
      <c r="A898" t="str">
        <f>"20190305134923526"</f>
        <v>20190305134923526</v>
      </c>
      <c r="B898" t="str">
        <f>"1551764963521362"</f>
        <v>1551764963521362</v>
      </c>
      <c r="C898" t="s">
        <v>40</v>
      </c>
      <c r="D898">
        <v>4.0772250000000003</v>
      </c>
      <c r="E898">
        <v>0.48828050000000001</v>
      </c>
      <c r="F898" t="s">
        <v>43</v>
      </c>
      <c r="G898">
        <v>-284.99220000000003</v>
      </c>
      <c r="H898">
        <v>-0.05</v>
      </c>
      <c r="I898">
        <v>372.66860000000003</v>
      </c>
      <c r="J898">
        <v>-335.50420000000003</v>
      </c>
      <c r="K898">
        <v>1.1095299999999999</v>
      </c>
      <c r="L898">
        <v>367.79689999999999</v>
      </c>
      <c r="M898">
        <v>0.99991719999999895</v>
      </c>
      <c r="N898">
        <v>-1.2254060000000001E-2</v>
      </c>
      <c r="O898">
        <v>3.9419679999999997E-3</v>
      </c>
      <c r="P898">
        <v>0.99350689999999997</v>
      </c>
      <c r="Q898">
        <v>-9.5915379999999995E-2</v>
      </c>
      <c r="R898">
        <v>6.1193890000000001E-2</v>
      </c>
      <c r="S898">
        <v>2.9952700000000001</v>
      </c>
      <c r="T898">
        <v>-6.8530320000000006E-2</v>
      </c>
      <c r="U898">
        <v>0.28796389999999999</v>
      </c>
      <c r="V898">
        <v>-5.7282850000000003E-2</v>
      </c>
      <c r="W898">
        <v>-8.3726690000000006E-2</v>
      </c>
      <c r="X898">
        <v>0.99484099999999998</v>
      </c>
      <c r="Y898">
        <v>-9.1736990000000004E-2</v>
      </c>
      <c r="Z898">
        <v>1.568629E-3</v>
      </c>
      <c r="AA898">
        <v>0.99578199999999994</v>
      </c>
      <c r="AB898">
        <v>35</v>
      </c>
      <c r="AC898">
        <v>50.512</v>
      </c>
      <c r="AD898">
        <v>-1.1595299999999999</v>
      </c>
      <c r="AE898">
        <v>4.8717000000000299</v>
      </c>
      <c r="AF898">
        <v>-4.6700922592754504</v>
      </c>
      <c r="AG898">
        <v>-1.1595299999999999</v>
      </c>
      <c r="AH898">
        <v>50.5044446358838</v>
      </c>
      <c r="AI898">
        <v>91.309635844332206</v>
      </c>
      <c r="AJ898">
        <v>95.283056351504001</v>
      </c>
      <c r="AK898">
        <v>50.733156806078</v>
      </c>
      <c r="AL898">
        <v>94.802808325866494</v>
      </c>
      <c r="AM898">
        <v>93.295446782062101</v>
      </c>
      <c r="AN898">
        <v>1.00000004940173</v>
      </c>
    </row>
    <row r="899" spans="1:40" x14ac:dyDescent="0.25">
      <c r="A899" t="str">
        <f>"20190305134923537"</f>
        <v>20190305134923537</v>
      </c>
      <c r="B899" t="str">
        <f>"1551764963531628"</f>
        <v>1551764963531628</v>
      </c>
      <c r="C899" t="s">
        <v>40</v>
      </c>
      <c r="D899">
        <v>4.084206</v>
      </c>
      <c r="E899">
        <v>0.4884792</v>
      </c>
      <c r="F899" t="s">
        <v>43</v>
      </c>
      <c r="G899">
        <v>-282.36020000000002</v>
      </c>
      <c r="H899">
        <v>-0.05</v>
      </c>
      <c r="I899">
        <v>372.86270000000002</v>
      </c>
      <c r="J899">
        <v>-335.3304</v>
      </c>
      <c r="K899">
        <v>1.1095280000000001</v>
      </c>
      <c r="L899">
        <v>367.79750000000001</v>
      </c>
      <c r="M899">
        <v>0.99991730000000001</v>
      </c>
      <c r="N899">
        <v>-1.2249619999999999E-2</v>
      </c>
      <c r="O899">
        <v>3.92612E-3</v>
      </c>
      <c r="P899">
        <v>0.99350680000000002</v>
      </c>
      <c r="Q899">
        <v>-9.5927029999999996E-2</v>
      </c>
      <c r="R899">
        <v>6.1173379999999999E-2</v>
      </c>
      <c r="S899">
        <v>2.9956969999999998</v>
      </c>
      <c r="T899">
        <v>-6.536198E-2</v>
      </c>
      <c r="U899">
        <v>0.285553</v>
      </c>
      <c r="V899">
        <v>-5.727898E-2</v>
      </c>
      <c r="W899">
        <v>-8.3742040000000004E-2</v>
      </c>
      <c r="X899">
        <v>0.9948399</v>
      </c>
      <c r="Y899">
        <v>-9.0948100000000004E-2</v>
      </c>
      <c r="Z899">
        <v>1.510775E-3</v>
      </c>
      <c r="AA899">
        <v>0.99585449999999998</v>
      </c>
      <c r="AB899">
        <v>35</v>
      </c>
      <c r="AC899">
        <v>52.970199999999899</v>
      </c>
      <c r="AD899">
        <v>-1.1595279999999999</v>
      </c>
      <c r="AE899">
        <v>5.0651999999999999</v>
      </c>
      <c r="AF899">
        <v>-4.8548727149393596</v>
      </c>
      <c r="AG899">
        <v>-1.1595279999999999</v>
      </c>
      <c r="AH899">
        <v>52.964530147012901</v>
      </c>
      <c r="AI899">
        <v>91.248915619066693</v>
      </c>
      <c r="AJ899">
        <v>95.2372516285633</v>
      </c>
      <c r="AK899">
        <v>53.1992081515777</v>
      </c>
      <c r="AL899">
        <v>94.803691063314503</v>
      </c>
      <c r="AM899">
        <v>93.295228269523093</v>
      </c>
      <c r="AN899">
        <v>1.0000000187225999</v>
      </c>
    </row>
    <row r="900" spans="1:40" x14ac:dyDescent="0.25">
      <c r="A900" t="str">
        <f>"20190305134923548"</f>
        <v>20190305134923548</v>
      </c>
      <c r="B900" t="str">
        <f>"1551764963541389"</f>
        <v>1551764963541389</v>
      </c>
      <c r="C900" t="s">
        <v>40</v>
      </c>
      <c r="D900">
        <v>4.0632390000000003</v>
      </c>
      <c r="E900">
        <v>0.48860880000000001</v>
      </c>
      <c r="F900" t="s">
        <v>43</v>
      </c>
      <c r="G900">
        <v>-280.17500000000001</v>
      </c>
      <c r="H900">
        <v>-0.05</v>
      </c>
      <c r="I900">
        <v>373.02409999999998</v>
      </c>
      <c r="J900">
        <v>-335.1499</v>
      </c>
      <c r="K900">
        <v>1.109523</v>
      </c>
      <c r="L900">
        <v>367.79820000000001</v>
      </c>
      <c r="M900">
        <v>0.99991730000000001</v>
      </c>
      <c r="N900">
        <v>-1.224508E-2</v>
      </c>
      <c r="O900">
        <v>3.9077039999999997E-3</v>
      </c>
      <c r="P900">
        <v>0.99349390000000004</v>
      </c>
      <c r="Q900">
        <v>-9.6061380000000002E-2</v>
      </c>
      <c r="R900">
        <v>6.1174899999999997E-2</v>
      </c>
      <c r="S900">
        <v>2.9960330000000002</v>
      </c>
      <c r="T900">
        <v>-6.298542E-2</v>
      </c>
      <c r="U900">
        <v>0.28390500000000002</v>
      </c>
      <c r="V900">
        <v>-5.7300139999999999E-2</v>
      </c>
      <c r="W900">
        <v>-8.3880250000000003E-2</v>
      </c>
      <c r="X900">
        <v>0.99482700000000002</v>
      </c>
      <c r="Y900">
        <v>-9.0415140000000005E-2</v>
      </c>
      <c r="Z900">
        <v>1.4688829999999901E-3</v>
      </c>
      <c r="AA900">
        <v>0.99590310000000004</v>
      </c>
      <c r="AB900">
        <v>35</v>
      </c>
      <c r="AC900">
        <v>54.974899999999899</v>
      </c>
      <c r="AD900">
        <v>-1.1595229999999901</v>
      </c>
      <c r="AE900">
        <v>5.2258999999999602</v>
      </c>
      <c r="AF900">
        <v>-5.0088100326103397</v>
      </c>
      <c r="AG900">
        <v>-1.1595229999999901</v>
      </c>
      <c r="AH900">
        <v>54.970667386790304</v>
      </c>
      <c r="AI900">
        <v>91.203404711028696</v>
      </c>
      <c r="AJ900">
        <v>95.206292699237594</v>
      </c>
      <c r="AK900">
        <v>55.210569137434597</v>
      </c>
      <c r="AL900">
        <v>94.811638053642</v>
      </c>
      <c r="AM900">
        <v>93.296485559606595</v>
      </c>
      <c r="AN900">
        <v>0.99999998115653999</v>
      </c>
    </row>
    <row r="901" spans="1:40" x14ac:dyDescent="0.25">
      <c r="A901" t="str">
        <f>"20190305134923559"</f>
        <v>20190305134923559</v>
      </c>
      <c r="B901" t="str">
        <f>"1551764963551149"</f>
        <v>1551764963551149</v>
      </c>
      <c r="C901" t="s">
        <v>40</v>
      </c>
      <c r="D901">
        <v>4.005522</v>
      </c>
      <c r="E901">
        <v>0.4888556</v>
      </c>
      <c r="F901" t="s">
        <v>43</v>
      </c>
      <c r="G901">
        <v>-278.68880000000001</v>
      </c>
      <c r="H901">
        <v>-0.05</v>
      </c>
      <c r="I901">
        <v>373.13249999999999</v>
      </c>
      <c r="J901">
        <v>-334.98079999999999</v>
      </c>
      <c r="K901">
        <v>1.109518</v>
      </c>
      <c r="L901">
        <v>367.7989</v>
      </c>
      <c r="M901">
        <v>0.99991770000000002</v>
      </c>
      <c r="N901">
        <v>-1.2241E-2</v>
      </c>
      <c r="O901">
        <v>3.885482E-3</v>
      </c>
      <c r="P901">
        <v>0.99350780000000005</v>
      </c>
      <c r="Q901">
        <v>-9.5826579999999995E-2</v>
      </c>
      <c r="R901">
        <v>6.1317990000000003E-2</v>
      </c>
      <c r="S901">
        <v>2.9962770000000001</v>
      </c>
      <c r="T901">
        <v>-6.1533450000000003E-2</v>
      </c>
      <c r="U901">
        <v>0.28308109999999997</v>
      </c>
      <c r="V901">
        <v>-5.7466339999999998E-2</v>
      </c>
      <c r="W901">
        <v>-8.3648630000000002E-2</v>
      </c>
      <c r="X901">
        <v>0.99483690000000002</v>
      </c>
      <c r="Y901">
        <v>-9.0159470000000005E-2</v>
      </c>
      <c r="Z901">
        <v>1.444646E-3</v>
      </c>
      <c r="AA901">
        <v>0.99592630000000004</v>
      </c>
      <c r="AB901">
        <v>35</v>
      </c>
      <c r="AC901">
        <v>56.291999999999902</v>
      </c>
      <c r="AD901">
        <v>-1.159518</v>
      </c>
      <c r="AE901">
        <v>5.3335999999999899</v>
      </c>
      <c r="AF901">
        <v>-5.1126718807030098</v>
      </c>
      <c r="AG901">
        <v>-1.159518</v>
      </c>
      <c r="AH901">
        <v>56.288630027605898</v>
      </c>
      <c r="AI901">
        <v>91.175261245065201</v>
      </c>
      <c r="AJ901">
        <v>95.189909826553304</v>
      </c>
      <c r="AK901">
        <v>56.532236521623197</v>
      </c>
      <c r="AL901">
        <v>94.798320476109595</v>
      </c>
      <c r="AM901">
        <v>93.3059930656284</v>
      </c>
      <c r="AN901">
        <v>0.99999996556773996</v>
      </c>
    </row>
    <row r="902" spans="1:40" x14ac:dyDescent="0.25">
      <c r="A902" t="str">
        <f>"20190305134923570"</f>
        <v>20190305134923570</v>
      </c>
      <c r="B902" t="str">
        <f>"1551764963561884"</f>
        <v>1551764963561884</v>
      </c>
      <c r="C902" t="s">
        <v>40</v>
      </c>
      <c r="D902">
        <v>4.2918070000000004</v>
      </c>
      <c r="E902">
        <v>0.48877559999999898</v>
      </c>
      <c r="F902" t="s">
        <v>43</v>
      </c>
      <c r="G902">
        <v>-278.2663</v>
      </c>
      <c r="H902">
        <v>-0.05</v>
      </c>
      <c r="I902">
        <v>373.1223</v>
      </c>
      <c r="J902">
        <v>-334.81</v>
      </c>
      <c r="K902">
        <v>1.1095159999999999</v>
      </c>
      <c r="L902">
        <v>367.7996</v>
      </c>
      <c r="M902">
        <v>0.99991770000000002</v>
      </c>
      <c r="N902">
        <v>-1.223666E-2</v>
      </c>
      <c r="O902">
        <v>3.8627269999999998E-3</v>
      </c>
      <c r="P902">
        <v>0.99351690000000004</v>
      </c>
      <c r="Q902">
        <v>-9.5734219999999995E-2</v>
      </c>
      <c r="R902">
        <v>6.1313310000000003E-2</v>
      </c>
      <c r="S902">
        <v>2.9963989999999998</v>
      </c>
      <c r="T902">
        <v>-6.1260820000000001E-2</v>
      </c>
      <c r="U902">
        <v>0.28125</v>
      </c>
      <c r="V902">
        <v>-5.7484800000000003E-2</v>
      </c>
      <c r="W902">
        <v>-8.3559820000000007E-2</v>
      </c>
      <c r="X902">
        <v>0.99484329999999999</v>
      </c>
      <c r="Y902">
        <v>-8.9575489999999994E-2</v>
      </c>
      <c r="Z902">
        <v>1.43131799999999E-3</v>
      </c>
      <c r="AA902">
        <v>0.99597899999999995</v>
      </c>
      <c r="AB902">
        <v>35</v>
      </c>
      <c r="AC902">
        <v>56.543700000000001</v>
      </c>
      <c r="AD902">
        <v>-1.159516</v>
      </c>
      <c r="AE902">
        <v>5.3226999999999904</v>
      </c>
      <c r="AF902">
        <v>-5.10210437722563</v>
      </c>
      <c r="AG902">
        <v>-1.159516</v>
      </c>
      <c r="AH902">
        <v>56.540272386116001</v>
      </c>
      <c r="AI902">
        <v>91.170092074203495</v>
      </c>
      <c r="AJ902">
        <v>95.1563144965981</v>
      </c>
      <c r="AK902">
        <v>56.781848754038897</v>
      </c>
      <c r="AL902">
        <v>94.793214145920004</v>
      </c>
      <c r="AM902">
        <v>93.307031470480098</v>
      </c>
      <c r="AN902">
        <v>0.99999996865217999</v>
      </c>
    </row>
    <row r="903" spans="1:40" x14ac:dyDescent="0.25">
      <c r="A903" t="str">
        <f>"20190305134923581"</f>
        <v>20190305134923581</v>
      </c>
      <c r="B903" t="str">
        <f>"1551764963571645"</f>
        <v>1551764963571645</v>
      </c>
      <c r="C903" t="s">
        <v>40</v>
      </c>
      <c r="D903">
        <v>4.4469979999999998</v>
      </c>
      <c r="E903">
        <v>0.48975800000000003</v>
      </c>
      <c r="F903" t="s">
        <v>43</v>
      </c>
      <c r="G903">
        <v>-279.4821</v>
      </c>
      <c r="H903">
        <v>-0.05</v>
      </c>
      <c r="I903">
        <v>373.00229999999999</v>
      </c>
      <c r="J903">
        <v>-334.64830000000001</v>
      </c>
      <c r="K903">
        <v>1.1095109999999999</v>
      </c>
      <c r="L903">
        <v>367.80020000000002</v>
      </c>
      <c r="M903">
        <v>0.99991790000000003</v>
      </c>
      <c r="N903">
        <v>-1.223086E-2</v>
      </c>
      <c r="O903">
        <v>3.8386269999999998E-3</v>
      </c>
      <c r="P903">
        <v>0.99356359999999999</v>
      </c>
      <c r="Q903">
        <v>-9.5342730000000001E-2</v>
      </c>
      <c r="R903">
        <v>6.1165669999999998E-2</v>
      </c>
      <c r="S903">
        <v>2.9961549999999999</v>
      </c>
      <c r="T903">
        <v>-6.2790869999999999E-2</v>
      </c>
      <c r="U903">
        <v>0.2817383</v>
      </c>
      <c r="V903">
        <v>-5.7362370000000003E-2</v>
      </c>
      <c r="W903">
        <v>-8.3173090000000005E-2</v>
      </c>
      <c r="X903">
        <v>0.99488279999999996</v>
      </c>
      <c r="Y903">
        <v>-8.9766670000000007E-2</v>
      </c>
      <c r="Z903">
        <v>1.455331E-3</v>
      </c>
      <c r="AA903">
        <v>0.99596180000000001</v>
      </c>
      <c r="AB903">
        <v>35</v>
      </c>
      <c r="AC903">
        <v>55.166200000000003</v>
      </c>
      <c r="AD903">
        <v>-1.159511</v>
      </c>
      <c r="AE903">
        <v>5.2020999999999704</v>
      </c>
      <c r="AF903">
        <v>-4.9880991685601597</v>
      </c>
      <c r="AG903">
        <v>-1.159511</v>
      </c>
      <c r="AH903">
        <v>55.161609540919599</v>
      </c>
      <c r="AI903">
        <v>91.199302502604695</v>
      </c>
      <c r="AJ903">
        <v>95.167032664287007</v>
      </c>
      <c r="AK903">
        <v>55.398815566935902</v>
      </c>
      <c r="AL903">
        <v>94.770978619609707</v>
      </c>
      <c r="AM903">
        <v>93.2998730711939</v>
      </c>
      <c r="AN903">
        <v>0.99999999506400195</v>
      </c>
    </row>
    <row r="904" spans="1:40" x14ac:dyDescent="0.25">
      <c r="A904" t="str">
        <f>"20190305134923591"</f>
        <v>20190305134923591</v>
      </c>
      <c r="B904" t="str">
        <f>"1551764963581405"</f>
        <v>1551764963581405</v>
      </c>
      <c r="C904" t="s">
        <v>40</v>
      </c>
      <c r="D904">
        <v>4.2076169999999999</v>
      </c>
      <c r="E904">
        <v>0.48975800000000003</v>
      </c>
      <c r="F904" t="s">
        <v>43</v>
      </c>
      <c r="G904">
        <v>-279.0745</v>
      </c>
      <c r="H904">
        <v>-0.05</v>
      </c>
      <c r="I904">
        <v>372.86669999999998</v>
      </c>
      <c r="J904">
        <v>-334.49259999999998</v>
      </c>
      <c r="K904">
        <v>1.109504</v>
      </c>
      <c r="L904">
        <v>367.80079999999998</v>
      </c>
      <c r="M904">
        <v>0.99991799999999997</v>
      </c>
      <c r="N904">
        <v>-1.222461E-2</v>
      </c>
      <c r="O904">
        <v>3.814535E-3</v>
      </c>
      <c r="P904">
        <v>0.9935678</v>
      </c>
      <c r="Q904">
        <v>-9.5257099999999997E-2</v>
      </c>
      <c r="R904">
        <v>6.1230720000000002E-2</v>
      </c>
      <c r="S904">
        <v>2.9965820000000001</v>
      </c>
      <c r="T904">
        <v>-6.2521820000000006E-2</v>
      </c>
      <c r="U904">
        <v>0.27319339999999998</v>
      </c>
      <c r="V904">
        <v>-5.7451460000000003E-2</v>
      </c>
      <c r="W904">
        <v>-8.3093130000000001E-2</v>
      </c>
      <c r="X904">
        <v>0.9948844</v>
      </c>
      <c r="Y904">
        <v>-8.6962369999999997E-2</v>
      </c>
      <c r="Z904">
        <v>1.40511E-3</v>
      </c>
      <c r="AA904">
        <v>0.99621059999999995</v>
      </c>
      <c r="AB904">
        <v>35</v>
      </c>
      <c r="AC904">
        <v>55.418099999999903</v>
      </c>
      <c r="AD904">
        <v>-1.1595040000000001</v>
      </c>
      <c r="AE904">
        <v>5.0658999999999903</v>
      </c>
      <c r="AF904">
        <v>-4.8523464733607797</v>
      </c>
      <c r="AG904">
        <v>-1.1595040000000001</v>
      </c>
      <c r="AH904">
        <v>55.412965405986697</v>
      </c>
      <c r="AI904">
        <v>91.194158219945905</v>
      </c>
      <c r="AJ904">
        <v>95.004453539190607</v>
      </c>
      <c r="AK904">
        <v>55.637095996364103</v>
      </c>
      <c r="AL904">
        <v>94.766381054077897</v>
      </c>
      <c r="AM904">
        <v>93.304981477488695</v>
      </c>
      <c r="AN904">
        <v>1.0000000539363401</v>
      </c>
    </row>
    <row r="905" spans="1:40" x14ac:dyDescent="0.25">
      <c r="A905" t="str">
        <f>"20190305134923601"</f>
        <v>20190305134923601</v>
      </c>
      <c r="B905" t="str">
        <f>"1551764963591165"</f>
        <v>1551764963591165</v>
      </c>
      <c r="C905" t="s">
        <v>40</v>
      </c>
      <c r="D905">
        <v>4.1082479999999997</v>
      </c>
      <c r="E905">
        <v>0.55476490000000001</v>
      </c>
      <c r="F905" t="s">
        <v>43</v>
      </c>
      <c r="G905">
        <v>-278.65199999999999</v>
      </c>
      <c r="H905">
        <v>-0.05</v>
      </c>
      <c r="I905">
        <v>372.8956</v>
      </c>
      <c r="J905">
        <v>-334.32429999999999</v>
      </c>
      <c r="K905">
        <v>1.1095010000000001</v>
      </c>
      <c r="L905">
        <v>367.8014</v>
      </c>
      <c r="M905">
        <v>0.99991830000000004</v>
      </c>
      <c r="N905">
        <v>-1.221475E-2</v>
      </c>
      <c r="O905">
        <v>3.7864859999999999E-3</v>
      </c>
      <c r="P905">
        <v>0.99356809999999995</v>
      </c>
      <c r="Q905">
        <v>-9.525691E-2</v>
      </c>
      <c r="R905">
        <v>6.1226900000000001E-2</v>
      </c>
      <c r="S905">
        <v>2.996613</v>
      </c>
      <c r="T905">
        <v>-6.2223319999999999E-2</v>
      </c>
      <c r="U905">
        <v>0.27340700000000001</v>
      </c>
      <c r="V905">
        <v>-5.7476569999999998E-2</v>
      </c>
      <c r="W905">
        <v>-8.3102430000000005E-2</v>
      </c>
      <c r="X905">
        <v>0.99488209999999999</v>
      </c>
      <c r="Y905">
        <v>-8.7060029999999997E-2</v>
      </c>
      <c r="Z905">
        <v>1.402539E-3</v>
      </c>
      <c r="AA905">
        <v>0.99620209999999998</v>
      </c>
      <c r="AB905">
        <v>35</v>
      </c>
      <c r="AC905">
        <v>55.6723</v>
      </c>
      <c r="AD905">
        <v>-1.1595009999999999</v>
      </c>
      <c r="AE905">
        <v>5.0941999999999998</v>
      </c>
      <c r="AF905">
        <v>-4.8812456001940596</v>
      </c>
      <c r="AG905">
        <v>-1.1595009999999999</v>
      </c>
      <c r="AH905">
        <v>55.667244868191403</v>
      </c>
      <c r="AI905">
        <v>91.1886896693305</v>
      </c>
      <c r="AJ905">
        <v>95.011228197409807</v>
      </c>
      <c r="AK905">
        <v>55.892872107215901</v>
      </c>
      <c r="AL905">
        <v>94.766916100517093</v>
      </c>
      <c r="AM905">
        <v>93.306430390728096</v>
      </c>
      <c r="AN905">
        <v>0.99999998143563895</v>
      </c>
    </row>
    <row r="906" spans="1:40" x14ac:dyDescent="0.25">
      <c r="A906" t="str">
        <f>"20190305134923612"</f>
        <v>20190305134923612</v>
      </c>
      <c r="B906" t="str">
        <f>"1551764963601902"</f>
        <v>1551764963601902</v>
      </c>
      <c r="C906" t="s">
        <v>40</v>
      </c>
      <c r="D906">
        <v>4.0733600000000001</v>
      </c>
      <c r="E906">
        <v>0.55810700000000002</v>
      </c>
      <c r="F906" t="s">
        <v>42</v>
      </c>
      <c r="G906">
        <v>-226.4068</v>
      </c>
      <c r="H906">
        <v>7.9986450000000001E-2</v>
      </c>
      <c r="I906">
        <v>359.1497</v>
      </c>
      <c r="J906">
        <v>-334.1669</v>
      </c>
      <c r="K906">
        <v>1.10949599999999</v>
      </c>
      <c r="L906">
        <v>367.80189999999999</v>
      </c>
      <c r="M906">
        <v>0.99991859999999999</v>
      </c>
      <c r="N906">
        <v>-1.220192E-2</v>
      </c>
      <c r="O906">
        <v>3.7597730000000001E-3</v>
      </c>
      <c r="P906">
        <v>0.99356160000000004</v>
      </c>
      <c r="Q906">
        <v>-9.5392290000000005E-2</v>
      </c>
      <c r="R906">
        <v>6.1121620000000002E-2</v>
      </c>
      <c r="S906">
        <v>3.031647</v>
      </c>
      <c r="T906">
        <v>-2.8921369999999998E-2</v>
      </c>
      <c r="U906">
        <v>-0.24304200000000001</v>
      </c>
      <c r="V906">
        <v>-5.7398049999999999E-2</v>
      </c>
      <c r="W906">
        <v>-8.3250379999999999E-2</v>
      </c>
      <c r="X906">
        <v>0.99487429999999999</v>
      </c>
      <c r="Y906">
        <v>8.3650719999999998E-2</v>
      </c>
      <c r="Z906">
        <v>-8.9957830000000005E-4</v>
      </c>
      <c r="AA906">
        <v>0.99649469999999996</v>
      </c>
      <c r="AB906">
        <v>35</v>
      </c>
      <c r="AC906">
        <v>107.76009999999999</v>
      </c>
      <c r="AD906">
        <v>-1.02950954999999</v>
      </c>
      <c r="AE906">
        <v>-8.6521999999999899</v>
      </c>
      <c r="AF906">
        <v>9.0565011458793094</v>
      </c>
      <c r="AG906">
        <v>-1.02950954999999</v>
      </c>
      <c r="AH906">
        <v>107.717036778512</v>
      </c>
      <c r="AI906">
        <v>90.545664739299198</v>
      </c>
      <c r="AJ906">
        <v>85.194058572908801</v>
      </c>
      <c r="AK906">
        <v>108.101989413989</v>
      </c>
      <c r="AL906">
        <v>94.775422315321805</v>
      </c>
      <c r="AM906">
        <v>93.301949235470403</v>
      </c>
      <c r="AN906">
        <v>1.0000000173572099</v>
      </c>
    </row>
    <row r="907" spans="1:40" x14ac:dyDescent="0.25">
      <c r="A907" t="str">
        <f>"20190305134923624"</f>
        <v>20190305134923624</v>
      </c>
      <c r="B907" t="str">
        <f>"1551764963611660"</f>
        <v>1551764963611660</v>
      </c>
      <c r="C907" t="s">
        <v>40</v>
      </c>
      <c r="D907">
        <v>4.0186699999999904</v>
      </c>
      <c r="E907">
        <v>0.55881409999999998</v>
      </c>
      <c r="F907" t="s">
        <v>42</v>
      </c>
      <c r="G907">
        <v>-222.3913</v>
      </c>
      <c r="H907">
        <v>7.9986199999999993E-2</v>
      </c>
      <c r="I907">
        <v>357.86090000000002</v>
      </c>
      <c r="J907">
        <v>-333.9923</v>
      </c>
      <c r="K907">
        <v>1.109491</v>
      </c>
      <c r="L907">
        <v>367.80259999999998</v>
      </c>
      <c r="M907">
        <v>0.99991890000000005</v>
      </c>
      <c r="N907">
        <v>-1.217791E-2</v>
      </c>
      <c r="O907">
        <v>3.7289659999999998E-3</v>
      </c>
      <c r="P907">
        <v>0.9935872</v>
      </c>
      <c r="Q907">
        <v>-9.5306440000000006E-2</v>
      </c>
      <c r="R907">
        <v>6.0840430000000001E-2</v>
      </c>
      <c r="S907">
        <v>3.0333559999999999</v>
      </c>
      <c r="T907">
        <v>-2.793872E-2</v>
      </c>
      <c r="U907">
        <v>-0.2697754</v>
      </c>
      <c r="V907">
        <v>-5.7147389999999999E-2</v>
      </c>
      <c r="W907">
        <v>-8.3187990000000003E-2</v>
      </c>
      <c r="X907">
        <v>0.9948939</v>
      </c>
      <c r="Y907">
        <v>9.2291520000000002E-2</v>
      </c>
      <c r="Z907">
        <v>-9.7625070000000003E-4</v>
      </c>
      <c r="AA907">
        <v>0.99573149999999999</v>
      </c>
      <c r="AB907">
        <v>35</v>
      </c>
      <c r="AC907">
        <v>111.601</v>
      </c>
      <c r="AD907">
        <v>-1.0295048</v>
      </c>
      <c r="AE907">
        <v>-9.94169999999996</v>
      </c>
      <c r="AF907">
        <v>10.3569436438927</v>
      </c>
      <c r="AG907">
        <v>-1.0295048</v>
      </c>
      <c r="AH907">
        <v>111.553730670031</v>
      </c>
      <c r="AI907">
        <v>90.526490998035797</v>
      </c>
      <c r="AJ907">
        <v>84.695713843222507</v>
      </c>
      <c r="AK907">
        <v>112.038212178604</v>
      </c>
      <c r="AL907">
        <v>94.771835419915803</v>
      </c>
      <c r="AM907">
        <v>93.287496540064595</v>
      </c>
      <c r="AN907">
        <v>0.99999996906063005</v>
      </c>
    </row>
    <row r="908" spans="1:40" x14ac:dyDescent="0.25">
      <c r="A908" t="str">
        <f>"20190305134923636"</f>
        <v>20190305134923636</v>
      </c>
      <c r="B908" t="str">
        <f>"1551764963631686"</f>
        <v>1551764963631686</v>
      </c>
      <c r="C908" t="s">
        <v>40</v>
      </c>
      <c r="D908">
        <v>4.0046889999999999</v>
      </c>
      <c r="E908">
        <v>0.55901780000000001</v>
      </c>
      <c r="F908" t="s">
        <v>44</v>
      </c>
      <c r="G908">
        <v>-205.71019999999999</v>
      </c>
      <c r="H908">
        <v>7.9987639999999999E-2</v>
      </c>
      <c r="I908">
        <v>356.12599999999998</v>
      </c>
      <c r="J908">
        <v>-333.80509999999998</v>
      </c>
      <c r="K908">
        <v>1.109483</v>
      </c>
      <c r="L908">
        <v>367.8032</v>
      </c>
      <c r="M908">
        <v>0.99991949999999996</v>
      </c>
      <c r="N908">
        <v>-1.213903E-2</v>
      </c>
      <c r="O908">
        <v>3.6955130000000001E-3</v>
      </c>
      <c r="P908">
        <v>0.99359580000000003</v>
      </c>
      <c r="Q908">
        <v>-9.5153119999999994E-2</v>
      </c>
      <c r="R908">
        <v>6.0939409999999999E-2</v>
      </c>
      <c r="S908">
        <v>3.0339049999999999</v>
      </c>
      <c r="T908">
        <v>-2.4348020000000001E-2</v>
      </c>
      <c r="U908">
        <v>-0.276153599999999</v>
      </c>
      <c r="V908">
        <v>-5.7280310000000001E-2</v>
      </c>
      <c r="W908">
        <v>-8.3073090000000002E-2</v>
      </c>
      <c r="X908">
        <v>0.99489590000000006</v>
      </c>
      <c r="Y908">
        <v>9.4320050000000002E-2</v>
      </c>
      <c r="Z908">
        <v>-9.3621850000000001E-4</v>
      </c>
      <c r="AA908">
        <v>0.99554149999999997</v>
      </c>
      <c r="AB908">
        <v>35</v>
      </c>
      <c r="AC908">
        <v>128.0949</v>
      </c>
      <c r="AD908">
        <v>-1.0294953600000001</v>
      </c>
      <c r="AE908">
        <v>-11.677199999999999</v>
      </c>
      <c r="AF908">
        <v>12.1497531758355</v>
      </c>
      <c r="AG908">
        <v>-1.0294953600000001</v>
      </c>
      <c r="AH908">
        <v>128.042666271412</v>
      </c>
      <c r="AI908">
        <v>90.458602737651603</v>
      </c>
      <c r="AJ908">
        <v>84.579529267845302</v>
      </c>
      <c r="AK908">
        <v>128.62192950201799</v>
      </c>
      <c r="AL908">
        <v>94.765229063379195</v>
      </c>
      <c r="AM908">
        <v>93.295119540018604</v>
      </c>
      <c r="AN908">
        <v>1.0000000120163199</v>
      </c>
    </row>
    <row r="909" spans="1:40" x14ac:dyDescent="0.25">
      <c r="A909" t="str">
        <f>"20190305134923649"</f>
        <v>20190305134923649</v>
      </c>
      <c r="B909" t="str">
        <f>"1551764963641446"</f>
        <v>1551764963641446</v>
      </c>
      <c r="C909" t="s">
        <v>40</v>
      </c>
      <c r="D909">
        <v>3.9900980000000001</v>
      </c>
      <c r="E909">
        <v>0.55907959999999901</v>
      </c>
      <c r="F909" t="s">
        <v>45</v>
      </c>
      <c r="G909">
        <v>-158.78319999999999</v>
      </c>
      <c r="H909">
        <v>0.18619730000000001</v>
      </c>
      <c r="I909">
        <v>351.803</v>
      </c>
      <c r="J909">
        <v>-333.59640000000002</v>
      </c>
      <c r="K909">
        <v>1.10947</v>
      </c>
      <c r="L909">
        <v>367.80399999999997</v>
      </c>
      <c r="M909">
        <v>0.99992040000000004</v>
      </c>
      <c r="N909">
        <v>-1.208242E-2</v>
      </c>
      <c r="O909">
        <v>3.6576429999999999E-3</v>
      </c>
      <c r="P909">
        <v>0.99364269999999999</v>
      </c>
      <c r="Q909">
        <v>-9.4808030000000001E-2</v>
      </c>
      <c r="R909">
        <v>6.0707110000000002E-2</v>
      </c>
      <c r="S909">
        <v>3.0347900000000001</v>
      </c>
      <c r="T909">
        <v>-1.6007779999999999E-2</v>
      </c>
      <c r="U909">
        <v>-0.2774353</v>
      </c>
      <c r="V909">
        <v>-5.7085280000000002E-2</v>
      </c>
      <c r="W909">
        <v>-8.2783759999999998E-2</v>
      </c>
      <c r="X909">
        <v>0.99493120000000002</v>
      </c>
      <c r="Y909">
        <v>9.4676369999999996E-2</v>
      </c>
      <c r="Z909">
        <v>-7.9751240000000003E-4</v>
      </c>
      <c r="AA909">
        <v>0.99550780000000005</v>
      </c>
      <c r="AB909">
        <v>35</v>
      </c>
      <c r="AC909">
        <v>174.81319999999999</v>
      </c>
      <c r="AD909">
        <v>-0.92327269999999995</v>
      </c>
      <c r="AE909">
        <v>-16.000999999999902</v>
      </c>
      <c r="AF909">
        <v>16.6398835530876</v>
      </c>
      <c r="AG909">
        <v>-0.92327269999999995</v>
      </c>
      <c r="AH909">
        <v>174.74866630781599</v>
      </c>
      <c r="AI909">
        <v>90.301352437720595</v>
      </c>
      <c r="AJ909">
        <v>84.560592901623494</v>
      </c>
      <c r="AK909">
        <v>175.54154645980401</v>
      </c>
      <c r="AL909">
        <v>94.748594499368295</v>
      </c>
      <c r="AM909">
        <v>93.283808540121996</v>
      </c>
      <c r="AN909">
        <v>0.99999998642292798</v>
      </c>
    </row>
    <row r="910" spans="1:40" x14ac:dyDescent="0.25">
      <c r="A910" t="str">
        <f>"20190305134923660"</f>
        <v>20190305134923660</v>
      </c>
      <c r="B910" t="str">
        <f>"1551764963652182"</f>
        <v>1551764963652182</v>
      </c>
      <c r="C910" t="s">
        <v>40</v>
      </c>
      <c r="D910">
        <v>3.962647</v>
      </c>
      <c r="E910">
        <v>0.55898859999999995</v>
      </c>
      <c r="F910" t="s">
        <v>45</v>
      </c>
      <c r="G910">
        <v>-158.78319999999999</v>
      </c>
      <c r="H910">
        <v>0.26224520000000001</v>
      </c>
      <c r="I910">
        <v>351.76150000000001</v>
      </c>
      <c r="J910">
        <v>-333.4162</v>
      </c>
      <c r="K910">
        <v>1.1094520000000001</v>
      </c>
      <c r="L910">
        <v>367.80459999999999</v>
      </c>
      <c r="M910">
        <v>0.99992139999999996</v>
      </c>
      <c r="N910">
        <v>-1.2001349999999999E-2</v>
      </c>
      <c r="O910">
        <v>3.6248130000000002E-3</v>
      </c>
      <c r="P910">
        <v>0.99368060000000002</v>
      </c>
      <c r="Q910">
        <v>-9.4465430000000003E-2</v>
      </c>
      <c r="R910">
        <v>6.0623339999999998E-2</v>
      </c>
      <c r="S910">
        <v>3.034821</v>
      </c>
      <c r="T910">
        <v>-1.470661E-2</v>
      </c>
      <c r="U910">
        <v>-0.27850340000000001</v>
      </c>
      <c r="V910">
        <v>-5.7034340000000003E-2</v>
      </c>
      <c r="W910">
        <v>-8.2521330000000004E-2</v>
      </c>
      <c r="X910">
        <v>0.99495599999999995</v>
      </c>
      <c r="Y910">
        <v>9.4990660000000005E-2</v>
      </c>
      <c r="Z910">
        <v>-7.7502940000000002E-4</v>
      </c>
      <c r="AA910">
        <v>0.99547790000000003</v>
      </c>
      <c r="AB910">
        <v>35</v>
      </c>
      <c r="AC910">
        <v>174.63299999999899</v>
      </c>
      <c r="AD910">
        <v>-0.84720680000000004</v>
      </c>
      <c r="AE910">
        <v>-16.0430999999999</v>
      </c>
      <c r="AF910">
        <v>16.675662966850702</v>
      </c>
      <c r="AG910">
        <v>-0.84720680000000004</v>
      </c>
      <c r="AH910">
        <v>174.56962090454101</v>
      </c>
      <c r="AI910">
        <v>90.276800935200399</v>
      </c>
      <c r="AJ910">
        <v>84.543410286921798</v>
      </c>
      <c r="AK910">
        <v>175.36632526657201</v>
      </c>
      <c r="AL910">
        <v>94.733506376282804</v>
      </c>
      <c r="AM910">
        <v>93.280803040860206</v>
      </c>
      <c r="AN910">
        <v>1.0000000638901001</v>
      </c>
    </row>
    <row r="911" spans="1:40" x14ac:dyDescent="0.25">
      <c r="A911" t="str">
        <f>"20190305134923672"</f>
        <v>20190305134923672</v>
      </c>
      <c r="B911" t="str">
        <f>"1551764963661942"</f>
        <v>1551764963661942</v>
      </c>
      <c r="C911" t="s">
        <v>40</v>
      </c>
      <c r="D911">
        <v>3.9862920000000002</v>
      </c>
      <c r="E911">
        <v>0.55877949999999998</v>
      </c>
      <c r="F911" t="s">
        <v>45</v>
      </c>
      <c r="G911">
        <v>-158.78319999999999</v>
      </c>
      <c r="H911">
        <v>0.45992850000000002</v>
      </c>
      <c r="I911">
        <v>351.80759999999998</v>
      </c>
      <c r="J911">
        <v>-333.2346</v>
      </c>
      <c r="K911">
        <v>1.109434</v>
      </c>
      <c r="L911">
        <v>367.80520000000001</v>
      </c>
      <c r="M911">
        <v>0.9999228</v>
      </c>
      <c r="N911">
        <v>-1.1908210000000001E-2</v>
      </c>
      <c r="O911">
        <v>3.591398E-3</v>
      </c>
      <c r="P911">
        <v>0.99370429999999998</v>
      </c>
      <c r="Q911">
        <v>-9.4229090000000001E-2</v>
      </c>
      <c r="R911">
        <v>6.0607080000000001E-2</v>
      </c>
      <c r="S911">
        <v>3.0349729999999999</v>
      </c>
      <c r="T911">
        <v>-1.1286620000000001E-2</v>
      </c>
      <c r="U911">
        <v>-0.27801510000000001</v>
      </c>
      <c r="V911">
        <v>-5.7051150000000002E-2</v>
      </c>
      <c r="W911">
        <v>-8.2377309999999995E-2</v>
      </c>
      <c r="X911">
        <v>0.99496689999999999</v>
      </c>
      <c r="Y911">
        <v>9.4795110000000002E-2</v>
      </c>
      <c r="Z911">
        <v>-7.1217380000000003E-4</v>
      </c>
      <c r="AA911">
        <v>0.99549659999999995</v>
      </c>
      <c r="AB911">
        <v>35</v>
      </c>
      <c r="AC911">
        <v>174.45140000000001</v>
      </c>
      <c r="AD911">
        <v>-0.64950549999999996</v>
      </c>
      <c r="AE911">
        <v>-15.9976</v>
      </c>
      <c r="AF911">
        <v>16.6238370413711</v>
      </c>
      <c r="AG911">
        <v>-0.64950549999999996</v>
      </c>
      <c r="AH911">
        <v>174.39041978373999</v>
      </c>
      <c r="AI911">
        <v>90.212430348346501</v>
      </c>
      <c r="AJ911">
        <v>84.554710609925607</v>
      </c>
      <c r="AK911">
        <v>175.18216897767201</v>
      </c>
      <c r="AL911">
        <v>94.725226780956007</v>
      </c>
      <c r="AM911">
        <v>93.281732020565101</v>
      </c>
      <c r="AN911">
        <v>0.999999993507384</v>
      </c>
    </row>
    <row r="912" spans="1:40" x14ac:dyDescent="0.25">
      <c r="A912" t="str">
        <f>"20190305134923683"</f>
        <v>20190305134923683</v>
      </c>
      <c r="B912" t="str">
        <f>"1551764963671703"</f>
        <v>1551764963671703</v>
      </c>
      <c r="C912" t="s">
        <v>40</v>
      </c>
      <c r="D912">
        <v>3.9534940000000001</v>
      </c>
      <c r="E912">
        <v>0.55883969999999905</v>
      </c>
      <c r="F912" t="s">
        <v>45</v>
      </c>
      <c r="G912">
        <v>-158.78319999999999</v>
      </c>
      <c r="H912">
        <v>0.4084663</v>
      </c>
      <c r="I912">
        <v>351.91460000000001</v>
      </c>
      <c r="J912">
        <v>-333.06810000000002</v>
      </c>
      <c r="K912">
        <v>1.1094120000000001</v>
      </c>
      <c r="L912">
        <v>367.80579999999998</v>
      </c>
      <c r="M912">
        <v>0.99992420000000004</v>
      </c>
      <c r="N912">
        <v>-1.179611E-2</v>
      </c>
      <c r="O912">
        <v>3.5612529999999999E-3</v>
      </c>
      <c r="P912">
        <v>0.99374039999999997</v>
      </c>
      <c r="Q912">
        <v>-9.3888509999999994E-2</v>
      </c>
      <c r="R912">
        <v>6.0540459999999997E-2</v>
      </c>
      <c r="S912">
        <v>3.0346980000000001</v>
      </c>
      <c r="T912">
        <v>-1.219225E-2</v>
      </c>
      <c r="U912">
        <v>-0.27642820000000001</v>
      </c>
      <c r="V912">
        <v>-5.7014290000000002E-2</v>
      </c>
      <c r="W912">
        <v>-8.2147880000000006E-2</v>
      </c>
      <c r="X912">
        <v>0.99498799999999998</v>
      </c>
      <c r="Y912">
        <v>9.4256770000000004E-2</v>
      </c>
      <c r="Z912">
        <v>-7.1841660000000003E-4</v>
      </c>
      <c r="AA912">
        <v>0.99554770000000004</v>
      </c>
      <c r="AB912">
        <v>35</v>
      </c>
      <c r="AC912">
        <v>174.28489999999999</v>
      </c>
      <c r="AD912">
        <v>-0.7009457</v>
      </c>
      <c r="AE912">
        <v>-15.8911999999999</v>
      </c>
      <c r="AF912">
        <v>16.511550076982999</v>
      </c>
      <c r="AG912">
        <v>-0.7009457</v>
      </c>
      <c r="AH912">
        <v>174.224403266021</v>
      </c>
      <c r="AI912">
        <v>90.229484870799396</v>
      </c>
      <c r="AJ912">
        <v>84.586149063494403</v>
      </c>
      <c r="AK912">
        <v>175.00647217808901</v>
      </c>
      <c r="AL912">
        <v>94.712036618494494</v>
      </c>
      <c r="AM912">
        <v>93.279546969625898</v>
      </c>
      <c r="AN912">
        <v>1.0000000117983401</v>
      </c>
    </row>
    <row r="913" spans="1:40" x14ac:dyDescent="0.25">
      <c r="A913" t="str">
        <f>"20190305134923695"</f>
        <v>20190305134923695</v>
      </c>
      <c r="B913" t="str">
        <f>"1551764963691222"</f>
        <v>1551764963691222</v>
      </c>
      <c r="C913" t="s">
        <v>40</v>
      </c>
      <c r="D913">
        <v>3.9856980000000002</v>
      </c>
      <c r="E913">
        <v>0.55920539999999996</v>
      </c>
      <c r="F913" t="s">
        <v>45</v>
      </c>
      <c r="G913">
        <v>-158.78319999999999</v>
      </c>
      <c r="H913">
        <v>0.63092799999999905</v>
      </c>
      <c r="I913">
        <v>351.90199999999999</v>
      </c>
      <c r="J913">
        <v>-332.90120000000002</v>
      </c>
      <c r="K913">
        <v>1.1093850000000001</v>
      </c>
      <c r="L913">
        <v>367.80630000000002</v>
      </c>
      <c r="M913">
        <v>0.99992570000000003</v>
      </c>
      <c r="N913">
        <v>-1.1672E-2</v>
      </c>
      <c r="O913">
        <v>3.5313520000000002E-3</v>
      </c>
      <c r="P913">
        <v>0.99381269999999999</v>
      </c>
      <c r="Q913">
        <v>-9.318063E-2</v>
      </c>
      <c r="R913">
        <v>6.0448479999999999E-2</v>
      </c>
      <c r="S913">
        <v>3.0349729999999999</v>
      </c>
      <c r="T913">
        <v>-8.3307030000000001E-3</v>
      </c>
      <c r="U913">
        <v>-0.276947</v>
      </c>
      <c r="V913">
        <v>-5.6952030000000001E-2</v>
      </c>
      <c r="W913">
        <v>-8.1562659999999995E-2</v>
      </c>
      <c r="X913">
        <v>0.99503969999999997</v>
      </c>
      <c r="Y913">
        <v>9.4388730000000004E-2</v>
      </c>
      <c r="Z913">
        <v>-6.4983510000000001E-4</v>
      </c>
      <c r="AA913">
        <v>0.99553519999999895</v>
      </c>
      <c r="AB913">
        <v>35</v>
      </c>
      <c r="AC913">
        <v>174.11799999999999</v>
      </c>
      <c r="AD913">
        <v>-0.47845700000000002</v>
      </c>
      <c r="AE913">
        <v>-15.904299999999999</v>
      </c>
      <c r="AF913">
        <v>16.5189909194618</v>
      </c>
      <c r="AG913">
        <v>-0.47845700000000002</v>
      </c>
      <c r="AH913">
        <v>174.05944324980899</v>
      </c>
      <c r="AI913">
        <v>90.156790526570404</v>
      </c>
      <c r="AJ913">
        <v>84.578621289228295</v>
      </c>
      <c r="AK913">
        <v>174.84220247563701</v>
      </c>
      <c r="AL913">
        <v>94.678393123951196</v>
      </c>
      <c r="AM913">
        <v>93.275803644495596</v>
      </c>
      <c r="AN913">
        <v>1.00000000290174</v>
      </c>
    </row>
    <row r="914" spans="1:40" x14ac:dyDescent="0.25">
      <c r="A914" t="str">
        <f>"20190305134923705"</f>
        <v>20190305134923705</v>
      </c>
      <c r="B914" t="str">
        <f>"1551764963701959"</f>
        <v>1551764963701959</v>
      </c>
      <c r="C914" t="s">
        <v>40</v>
      </c>
      <c r="D914">
        <v>4.2021360000000003</v>
      </c>
      <c r="E914">
        <v>0.55966759999999904</v>
      </c>
      <c r="F914" t="s">
        <v>45</v>
      </c>
      <c r="G914">
        <v>-158.78319999999999</v>
      </c>
      <c r="H914">
        <v>0.81003570000000003</v>
      </c>
      <c r="I914">
        <v>351.73</v>
      </c>
      <c r="J914">
        <v>-332.7296</v>
      </c>
      <c r="K914">
        <v>1.1093470000000001</v>
      </c>
      <c r="L914">
        <v>367.80689999999998</v>
      </c>
      <c r="M914">
        <v>0.99992749999999997</v>
      </c>
      <c r="N914">
        <v>-1.152913E-2</v>
      </c>
      <c r="O914">
        <v>3.5008980000000001E-3</v>
      </c>
      <c r="P914">
        <v>0.99381419999999998</v>
      </c>
      <c r="Q914">
        <v>-9.3221540000000006E-2</v>
      </c>
      <c r="R914">
        <v>6.0362180000000001E-2</v>
      </c>
      <c r="S914">
        <v>3.0352169999999998</v>
      </c>
      <c r="T914">
        <v>-5.2167180000000004E-3</v>
      </c>
      <c r="U914">
        <v>-0.28024290000000002</v>
      </c>
      <c r="V914">
        <v>-5.6896120000000001E-2</v>
      </c>
      <c r="W914">
        <v>-8.1745689999999996E-2</v>
      </c>
      <c r="X914">
        <v>0.99502789999999997</v>
      </c>
      <c r="Y914">
        <v>9.5423859999999999E-2</v>
      </c>
      <c r="Z914">
        <v>-5.9882350000000002E-4</v>
      </c>
      <c r="AA914">
        <v>0.99543649999999995</v>
      </c>
      <c r="AB914">
        <v>35</v>
      </c>
      <c r="AC914">
        <v>173.94640000000001</v>
      </c>
      <c r="AD914">
        <v>-0.299311299999999</v>
      </c>
      <c r="AE914">
        <v>-16.076899999999899</v>
      </c>
      <c r="AF914">
        <v>16.685761504269902</v>
      </c>
      <c r="AG914">
        <v>-0.299311299999999</v>
      </c>
      <c r="AH914">
        <v>173.888536068002</v>
      </c>
      <c r="AI914">
        <v>90.0981711992264</v>
      </c>
      <c r="AJ914">
        <v>84.518870620471006</v>
      </c>
      <c r="AK914">
        <v>174.68751300566501</v>
      </c>
      <c r="AL914">
        <v>94.688915006934593</v>
      </c>
      <c r="AM914">
        <v>93.272633495423506</v>
      </c>
      <c r="AN914">
        <v>1.0000000240415099</v>
      </c>
    </row>
    <row r="915" spans="1:40" x14ac:dyDescent="0.25">
      <c r="A915" t="str">
        <f>"20190305134923716"</f>
        <v>20190305134923716</v>
      </c>
      <c r="B915" t="str">
        <f>"1551764963711719"</f>
        <v>1551764963711719</v>
      </c>
      <c r="C915" t="s">
        <v>40</v>
      </c>
      <c r="D915">
        <v>3.980861</v>
      </c>
      <c r="E915">
        <v>0.5599826</v>
      </c>
      <c r="F915" t="s">
        <v>45</v>
      </c>
      <c r="G915">
        <v>-158.78319999999999</v>
      </c>
      <c r="H915">
        <v>0.92494010000000004</v>
      </c>
      <c r="I915">
        <v>351.53160000000003</v>
      </c>
      <c r="J915">
        <v>-332.56779999999998</v>
      </c>
      <c r="K915">
        <v>1.1093170000000001</v>
      </c>
      <c r="L915">
        <v>367.80739999999997</v>
      </c>
      <c r="M915">
        <v>0.99992919999999996</v>
      </c>
      <c r="N915">
        <v>-1.1383030000000001E-2</v>
      </c>
      <c r="O915">
        <v>3.4731390000000001E-3</v>
      </c>
      <c r="P915">
        <v>0.99385460000000003</v>
      </c>
      <c r="Q915">
        <v>-9.2812190000000003E-2</v>
      </c>
      <c r="R915">
        <v>6.0322590000000002E-2</v>
      </c>
      <c r="S915">
        <v>3.0356139999999998</v>
      </c>
      <c r="T915">
        <v>-3.216624E-3</v>
      </c>
      <c r="U915">
        <v>-0.28402709999999998</v>
      </c>
      <c r="V915">
        <v>-5.6883610000000001E-2</v>
      </c>
      <c r="W915">
        <v>-8.1481319999999996E-2</v>
      </c>
      <c r="X915">
        <v>0.99505030000000005</v>
      </c>
      <c r="Y915">
        <v>9.6614950000000005E-2</v>
      </c>
      <c r="Z915">
        <v>-5.6640369999999996E-4</v>
      </c>
      <c r="AA915">
        <v>0.99532169999999998</v>
      </c>
      <c r="AB915">
        <v>35</v>
      </c>
      <c r="AC915">
        <v>173.78459999999899</v>
      </c>
      <c r="AD915">
        <v>-0.18437690000000001</v>
      </c>
      <c r="AE915">
        <v>-16.275799999999901</v>
      </c>
      <c r="AF915">
        <v>16.879300154651499</v>
      </c>
      <c r="AG915">
        <v>-0.18437690000000001</v>
      </c>
      <c r="AH915">
        <v>173.72682607910701</v>
      </c>
      <c r="AI915">
        <v>90.0605231920036</v>
      </c>
      <c r="AJ915">
        <v>84.450560110619193</v>
      </c>
      <c r="AK915">
        <v>174.544993821285</v>
      </c>
      <c r="AL915">
        <v>94.6737170175806</v>
      </c>
      <c r="AM915">
        <v>93.271841995174199</v>
      </c>
      <c r="AN915">
        <v>1.00000002506283</v>
      </c>
    </row>
    <row r="916" spans="1:40" x14ac:dyDescent="0.25">
      <c r="A916" t="str">
        <f>"20190305134923726"</f>
        <v>20190305134923726</v>
      </c>
      <c r="B916" t="str">
        <f>"1551764963721481"</f>
        <v>1551764963721481</v>
      </c>
      <c r="C916" t="s">
        <v>40</v>
      </c>
      <c r="D916">
        <v>3.9355289999999998</v>
      </c>
      <c r="E916">
        <v>0.56025559999999996</v>
      </c>
      <c r="F916" t="s">
        <v>45</v>
      </c>
      <c r="G916">
        <v>-158.78319999999999</v>
      </c>
      <c r="H916">
        <v>1.0972189999999999</v>
      </c>
      <c r="I916">
        <v>351.39190000000002</v>
      </c>
      <c r="J916">
        <v>-332.4042</v>
      </c>
      <c r="K916">
        <v>1.109289</v>
      </c>
      <c r="L916">
        <v>367.80799999999999</v>
      </c>
      <c r="M916">
        <v>0.99993109999999996</v>
      </c>
      <c r="N916">
        <v>-1.122737E-2</v>
      </c>
      <c r="O916">
        <v>3.4454260000000001E-3</v>
      </c>
      <c r="P916">
        <v>0.99386479999999999</v>
      </c>
      <c r="Q916">
        <v>-9.2786359999999998E-2</v>
      </c>
      <c r="R916">
        <v>6.0196329999999999E-2</v>
      </c>
      <c r="S916">
        <v>3.0359500000000001</v>
      </c>
      <c r="T916">
        <v>-2.0980829999999999E-4</v>
      </c>
      <c r="U916">
        <v>-0.28677370000000002</v>
      </c>
      <c r="V916">
        <v>-5.6785259999999997E-2</v>
      </c>
      <c r="W916">
        <v>-8.1610299999999997E-2</v>
      </c>
      <c r="X916">
        <v>0.99504530000000002</v>
      </c>
      <c r="Y916">
        <v>9.7470249999999994E-2</v>
      </c>
      <c r="Z916">
        <v>-5.1340100000000003E-4</v>
      </c>
      <c r="AA916">
        <v>0.99523830000000002</v>
      </c>
      <c r="AB916">
        <v>35</v>
      </c>
      <c r="AC916">
        <v>173.62099999999899</v>
      </c>
      <c r="AD916">
        <v>-1.2070000000000001E-2</v>
      </c>
      <c r="AE916">
        <v>-16.4161</v>
      </c>
      <c r="AF916">
        <v>17.014238443456399</v>
      </c>
      <c r="AG916">
        <v>-1.2070000000000001E-2</v>
      </c>
      <c r="AH916">
        <v>173.56340449250601</v>
      </c>
      <c r="AI916">
        <v>90.003965472930105</v>
      </c>
      <c r="AJ916">
        <v>84.401243198335294</v>
      </c>
      <c r="AK916">
        <v>174.39535496831601</v>
      </c>
      <c r="AL916">
        <v>94.681131942109502</v>
      </c>
      <c r="AM916">
        <v>93.266213716481701</v>
      </c>
      <c r="AN916">
        <v>0.99999997793572304</v>
      </c>
    </row>
    <row r="917" spans="1:40" x14ac:dyDescent="0.25">
      <c r="A917" t="str">
        <f>"20190305134923736"</f>
        <v>20190305134923736</v>
      </c>
      <c r="B917" t="str">
        <f>"1551764963731748"</f>
        <v>1551764963731748</v>
      </c>
      <c r="C917" t="s">
        <v>40</v>
      </c>
      <c r="D917">
        <v>3.9702850000000001</v>
      </c>
      <c r="E917">
        <v>0.56053850000000005</v>
      </c>
      <c r="F917" t="s">
        <v>45</v>
      </c>
      <c r="G917">
        <v>-158.78319999999999</v>
      </c>
      <c r="H917">
        <v>1.2024269999999999</v>
      </c>
      <c r="I917">
        <v>351.27870000000001</v>
      </c>
      <c r="J917">
        <v>-332.25099999999998</v>
      </c>
      <c r="K917">
        <v>1.109262</v>
      </c>
      <c r="L917">
        <v>367.80849999999998</v>
      </c>
      <c r="M917">
        <v>0.99993279999999995</v>
      </c>
      <c r="N917">
        <v>-1.107556E-2</v>
      </c>
      <c r="O917">
        <v>3.4207209999999998E-3</v>
      </c>
      <c r="P917">
        <v>0.99389879999999997</v>
      </c>
      <c r="Q917">
        <v>-9.2560779999999995E-2</v>
      </c>
      <c r="R917">
        <v>5.9982599999999997E-2</v>
      </c>
      <c r="S917">
        <v>3.0362550000000001</v>
      </c>
      <c r="T917">
        <v>1.630306E-3</v>
      </c>
      <c r="U917">
        <v>-0.2890625</v>
      </c>
      <c r="V917">
        <v>-5.6595819999999998E-2</v>
      </c>
      <c r="W917">
        <v>-8.1535529999999995E-2</v>
      </c>
      <c r="X917">
        <v>0.99506220000000001</v>
      </c>
      <c r="Y917">
        <v>9.8180119999999996E-2</v>
      </c>
      <c r="Z917">
        <v>-4.7900999999999998E-4</v>
      </c>
      <c r="AA917">
        <v>0.99516859999999996</v>
      </c>
      <c r="AB917">
        <v>35</v>
      </c>
      <c r="AC917">
        <v>173.46779999999899</v>
      </c>
      <c r="AD917">
        <v>9.3165000000000095E-2</v>
      </c>
      <c r="AE917">
        <v>-16.529799999999899</v>
      </c>
      <c r="AF917">
        <v>17.1231197348867</v>
      </c>
      <c r="AG917">
        <v>9.3165000000000095E-2</v>
      </c>
      <c r="AH917">
        <v>173.41018809746299</v>
      </c>
      <c r="AI917">
        <v>89.969366700190903</v>
      </c>
      <c r="AJ917">
        <v>84.360698049533795</v>
      </c>
      <c r="AK917">
        <v>174.25356020801999</v>
      </c>
      <c r="AL917">
        <v>94.676833716174897</v>
      </c>
      <c r="AM917">
        <v>93.255285680295401</v>
      </c>
      <c r="AN917">
        <v>0.99999995568134503</v>
      </c>
    </row>
    <row r="918" spans="1:40" x14ac:dyDescent="0.25">
      <c r="A918" t="str">
        <f>"20190305134923745"</f>
        <v>20190305134923745</v>
      </c>
      <c r="B918" t="str">
        <f>"1551764963741507"</f>
        <v>1551764963741507</v>
      </c>
      <c r="C918" t="s">
        <v>40</v>
      </c>
      <c r="D918">
        <v>3.9297650000000002</v>
      </c>
      <c r="E918">
        <v>0.56085169999999995</v>
      </c>
      <c r="F918" t="s">
        <v>45</v>
      </c>
      <c r="G918">
        <v>-158.78319999999999</v>
      </c>
      <c r="H918">
        <v>1.357637</v>
      </c>
      <c r="I918">
        <v>351.11189999999999</v>
      </c>
      <c r="J918">
        <v>-332.1001</v>
      </c>
      <c r="K918">
        <v>1.1092360000000001</v>
      </c>
      <c r="L918">
        <v>367.80900000000003</v>
      </c>
      <c r="M918">
        <v>0.99993469999999995</v>
      </c>
      <c r="N918">
        <v>-1.0922960000000001E-2</v>
      </c>
      <c r="O918">
        <v>3.3966650000000001E-3</v>
      </c>
      <c r="P918">
        <v>0.99389729999999998</v>
      </c>
      <c r="Q918">
        <v>-9.2588480000000001E-2</v>
      </c>
      <c r="R918">
        <v>5.9965039999999997E-2</v>
      </c>
      <c r="S918">
        <v>3.0364689999999999</v>
      </c>
      <c r="T918">
        <v>4.3492319999999998E-3</v>
      </c>
      <c r="U918">
        <v>-0.29226679999999999</v>
      </c>
      <c r="V918">
        <v>-5.660258E-2</v>
      </c>
      <c r="W918">
        <v>-8.1715140000000006E-2</v>
      </c>
      <c r="X918">
        <v>0.99504720000000002</v>
      </c>
      <c r="Y918">
        <v>9.9190509999999996E-2</v>
      </c>
      <c r="Z918">
        <v>-4.3024779999999998E-4</v>
      </c>
      <c r="AA918">
        <v>0.99506839999999996</v>
      </c>
      <c r="AB918">
        <v>35</v>
      </c>
      <c r="AC918">
        <v>173.3169</v>
      </c>
      <c r="AD918">
        <v>0.24840099999999901</v>
      </c>
      <c r="AE918">
        <v>-16.697099999999999</v>
      </c>
      <c r="AF918">
        <v>17.285702984009301</v>
      </c>
      <c r="AG918">
        <v>0.24840099999999901</v>
      </c>
      <c r="AH918">
        <v>173.25882961809401</v>
      </c>
      <c r="AI918">
        <v>89.918260952059399</v>
      </c>
      <c r="AJ918">
        <v>84.302562913218907</v>
      </c>
      <c r="AK918">
        <v>174.11915251154801</v>
      </c>
      <c r="AL918">
        <v>94.687158514373806</v>
      </c>
      <c r="AM918">
        <v>93.255722639097499</v>
      </c>
      <c r="AN918">
        <v>1.00000007319785</v>
      </c>
    </row>
    <row r="919" spans="1:40" x14ac:dyDescent="0.25">
      <c r="A919" t="str">
        <f>"20190305134923757"</f>
        <v>20190305134923757</v>
      </c>
      <c r="B919" t="str">
        <f>"1551764963751271"</f>
        <v>1551764963751271</v>
      </c>
      <c r="C919" t="s">
        <v>40</v>
      </c>
      <c r="D919">
        <v>3.9440490000000001</v>
      </c>
      <c r="E919">
        <v>0.56103409999999998</v>
      </c>
      <c r="F919" t="s">
        <v>45</v>
      </c>
      <c r="G919">
        <v>-158.78319999999999</v>
      </c>
      <c r="H919">
        <v>1.451193</v>
      </c>
      <c r="I919">
        <v>350.98570000000001</v>
      </c>
      <c r="J919">
        <v>-331.93709999999999</v>
      </c>
      <c r="K919">
        <v>1.1092109999999999</v>
      </c>
      <c r="L919">
        <v>367.80950000000001</v>
      </c>
      <c r="M919">
        <v>0.99993659999999995</v>
      </c>
      <c r="N919">
        <v>-1.0759090000000001E-2</v>
      </c>
      <c r="O919">
        <v>3.3716530000000001E-3</v>
      </c>
      <c r="P919">
        <v>0.99390389999999995</v>
      </c>
      <c r="Q919">
        <v>-9.2558970000000004E-2</v>
      </c>
      <c r="R919">
        <v>5.9900889999999998E-2</v>
      </c>
      <c r="S919">
        <v>3.0367739999999999</v>
      </c>
      <c r="T919">
        <v>5.9931280000000003E-3</v>
      </c>
      <c r="U919">
        <v>-0.29476930000000001</v>
      </c>
      <c r="V919">
        <v>-5.656257E-2</v>
      </c>
      <c r="W919">
        <v>-8.1848760000000007E-2</v>
      </c>
      <c r="X919">
        <v>0.99503839999999999</v>
      </c>
      <c r="Y919">
        <v>9.9968650000000006E-2</v>
      </c>
      <c r="Z919">
        <v>-3.978171E-4</v>
      </c>
      <c r="AA919">
        <v>0.9949905</v>
      </c>
      <c r="AB919">
        <v>35</v>
      </c>
      <c r="AC919">
        <v>173.15389999999999</v>
      </c>
      <c r="AD919">
        <v>0.34198199999999901</v>
      </c>
      <c r="AE919">
        <v>-16.823799999999999</v>
      </c>
      <c r="AF919">
        <v>17.407485659153199</v>
      </c>
      <c r="AG919">
        <v>0.34198199999999901</v>
      </c>
      <c r="AH919">
        <v>173.095519504854</v>
      </c>
      <c r="AI919">
        <v>89.887369915009003</v>
      </c>
      <c r="AJ919">
        <v>84.257312905944403</v>
      </c>
      <c r="AK919">
        <v>173.96895234873699</v>
      </c>
      <c r="AL919">
        <v>94.694840542763103</v>
      </c>
      <c r="AM919">
        <v>93.253454961190897</v>
      </c>
      <c r="AN919">
        <v>0.99999998065655105</v>
      </c>
    </row>
    <row r="920" spans="1:40" x14ac:dyDescent="0.25">
      <c r="A920" t="str">
        <f>"20190305134923767"</f>
        <v>20190305134923767</v>
      </c>
      <c r="B920" t="str">
        <f>"1551764963762004"</f>
        <v>1551764963762004</v>
      </c>
      <c r="C920" t="s">
        <v>40</v>
      </c>
      <c r="D920">
        <v>3.9356789999999999</v>
      </c>
      <c r="E920">
        <v>0.56128279999999997</v>
      </c>
      <c r="F920" t="s">
        <v>45</v>
      </c>
      <c r="G920">
        <v>-158.78319999999999</v>
      </c>
      <c r="H920">
        <v>1.5221880000000001</v>
      </c>
      <c r="I920">
        <v>350.9316</v>
      </c>
      <c r="J920">
        <v>-331.74939999999998</v>
      </c>
      <c r="K920">
        <v>1.1091869999999999</v>
      </c>
      <c r="L920">
        <v>367.81020000000001</v>
      </c>
      <c r="M920">
        <v>0.99993860000000001</v>
      </c>
      <c r="N920">
        <v>-1.0570939999999999E-2</v>
      </c>
      <c r="O920">
        <v>3.3437829999999999E-3</v>
      </c>
      <c r="P920">
        <v>0.99392559999999996</v>
      </c>
      <c r="Q920">
        <v>-9.2351180000000005E-2</v>
      </c>
      <c r="R920">
        <v>5.986296E-2</v>
      </c>
      <c r="S920">
        <v>3.0369259999999998</v>
      </c>
      <c r="T920">
        <v>7.2447060000000001E-3</v>
      </c>
      <c r="U920">
        <v>-0.29602050000000002</v>
      </c>
      <c r="V920">
        <v>-5.65526999999999E-2</v>
      </c>
      <c r="W920">
        <v>-8.1828129999999999E-2</v>
      </c>
      <c r="X920">
        <v>0.9950407</v>
      </c>
      <c r="Y920">
        <v>0.1003423</v>
      </c>
      <c r="Z920">
        <v>-3.6899900000000001E-4</v>
      </c>
      <c r="AA920">
        <v>0.99495290000000003</v>
      </c>
      <c r="AB920">
        <v>35</v>
      </c>
      <c r="AC920">
        <v>172.96619999999999</v>
      </c>
      <c r="AD920">
        <v>0.41300099999999901</v>
      </c>
      <c r="AE920">
        <v>-16.878599999999999</v>
      </c>
      <c r="AF920">
        <v>17.4568007602244</v>
      </c>
      <c r="AG920">
        <v>0.41300099999999901</v>
      </c>
      <c r="AH920">
        <v>172.90781489237401</v>
      </c>
      <c r="AI920">
        <v>89.863837935356202</v>
      </c>
      <c r="AJ920">
        <v>84.234943591197705</v>
      </c>
      <c r="AK920">
        <v>173.787292151825</v>
      </c>
      <c r="AL920">
        <v>94.693654354769393</v>
      </c>
      <c r="AM920">
        <v>93.252880959453606</v>
      </c>
      <c r="AN920">
        <v>1.00000002269653</v>
      </c>
    </row>
    <row r="921" spans="1:40" x14ac:dyDescent="0.25">
      <c r="A921" t="str">
        <f>"20190305134923778"</f>
        <v>20190305134923778</v>
      </c>
      <c r="B921" t="str">
        <f>"1551764963771764"</f>
        <v>1551764963771764</v>
      </c>
      <c r="C921" t="s">
        <v>40</v>
      </c>
      <c r="D921">
        <v>3.916344</v>
      </c>
      <c r="E921">
        <v>0.56149640000000001</v>
      </c>
      <c r="F921" t="s">
        <v>47</v>
      </c>
      <c r="G921">
        <v>0</v>
      </c>
      <c r="H921">
        <v>0</v>
      </c>
      <c r="I921">
        <v>0</v>
      </c>
      <c r="J921">
        <v>-331.58300000000003</v>
      </c>
      <c r="K921">
        <v>1.109165</v>
      </c>
      <c r="L921">
        <v>367.8107</v>
      </c>
      <c r="M921">
        <v>0.9999403</v>
      </c>
      <c r="N921">
        <v>-1.0411480000000001E-2</v>
      </c>
      <c r="O921">
        <v>3.3205750000000001E-3</v>
      </c>
      <c r="P921">
        <v>0.99393209999999999</v>
      </c>
      <c r="Q921">
        <v>-9.212513E-2</v>
      </c>
      <c r="R921">
        <v>6.010041E-2</v>
      </c>
      <c r="S921">
        <v>3.037201</v>
      </c>
      <c r="T921">
        <v>9.4270710000000004E-3</v>
      </c>
      <c r="U921">
        <v>-0.29803469999999999</v>
      </c>
      <c r="V921">
        <v>-5.6812550000000003E-2</v>
      </c>
      <c r="W921">
        <v>-8.1760910000000006E-2</v>
      </c>
      <c r="X921">
        <v>0.99503140000000001</v>
      </c>
      <c r="Y921">
        <v>0.1009642</v>
      </c>
      <c r="Z921">
        <v>-3.2577890000000002E-4</v>
      </c>
      <c r="AA921">
        <v>0.99489000000000005</v>
      </c>
      <c r="AB921">
        <v>35</v>
      </c>
      <c r="AC921">
        <v>3.037201</v>
      </c>
      <c r="AD921">
        <v>9.4270710000000004E-3</v>
      </c>
      <c r="AE921">
        <v>-0.29803469999999999</v>
      </c>
      <c r="AF921">
        <v>0.308115916867785</v>
      </c>
      <c r="AG921">
        <v>9.4270710000000004E-3</v>
      </c>
      <c r="AH921">
        <v>3.03616558207659</v>
      </c>
      <c r="AI921">
        <v>89.823010417485605</v>
      </c>
      <c r="AJ921">
        <v>84.205352087327597</v>
      </c>
      <c r="AK921">
        <v>3.0517741937570402</v>
      </c>
      <c r="AL921">
        <v>94.689790092375105</v>
      </c>
      <c r="AM921">
        <v>93.267825550621694</v>
      </c>
      <c r="AN921">
        <v>0.99999999961374497</v>
      </c>
    </row>
    <row r="922" spans="1:40" x14ac:dyDescent="0.25">
      <c r="A922" t="str">
        <f>"20190305134923790"</f>
        <v>20190305134923790</v>
      </c>
      <c r="B922" t="str">
        <f>"1551764963781525"</f>
        <v>1551764963781525</v>
      </c>
      <c r="C922" t="s">
        <v>40</v>
      </c>
      <c r="D922">
        <v>3.9279060000000001</v>
      </c>
      <c r="E922">
        <v>0.56175520000000001</v>
      </c>
      <c r="F922" t="s">
        <v>47</v>
      </c>
      <c r="G922">
        <v>0</v>
      </c>
      <c r="H922">
        <v>0</v>
      </c>
      <c r="I922">
        <v>0</v>
      </c>
      <c r="J922">
        <v>-331.41180000000003</v>
      </c>
      <c r="K922">
        <v>1.1091439999999999</v>
      </c>
      <c r="L922">
        <v>367.81130000000002</v>
      </c>
      <c r="M922">
        <v>0.9999422</v>
      </c>
      <c r="N922">
        <v>-1.0248709999999999E-2</v>
      </c>
      <c r="O922">
        <v>3.296897E-3</v>
      </c>
      <c r="P922">
        <v>0.99393189999999998</v>
      </c>
      <c r="Q922">
        <v>-9.2140730000000004E-2</v>
      </c>
      <c r="R922">
        <v>6.0080830000000002E-2</v>
      </c>
      <c r="S922">
        <v>3.037445</v>
      </c>
      <c r="T922">
        <v>1.136267E-2</v>
      </c>
      <c r="U922">
        <v>-0.29931639999999998</v>
      </c>
      <c r="V922">
        <v>-5.6815989999999997E-2</v>
      </c>
      <c r="W922">
        <v>-8.1938709999999998E-2</v>
      </c>
      <c r="X922">
        <v>0.99501660000000003</v>
      </c>
      <c r="Y922">
        <v>0.1013487</v>
      </c>
      <c r="Z922">
        <v>-2.8549439999999999E-4</v>
      </c>
      <c r="AA922">
        <v>0.99485089999999998</v>
      </c>
      <c r="AB922">
        <v>35</v>
      </c>
      <c r="AC922">
        <v>3.037445</v>
      </c>
      <c r="AD922">
        <v>1.136267E-2</v>
      </c>
      <c r="AE922">
        <v>-0.29931639999999998</v>
      </c>
      <c r="AF922">
        <v>0.30932515374967201</v>
      </c>
      <c r="AG922">
        <v>1.136267E-2</v>
      </c>
      <c r="AH922">
        <v>3.0363995404789401</v>
      </c>
      <c r="AI922">
        <v>89.786695426437205</v>
      </c>
      <c r="AJ922">
        <v>84.183211129640895</v>
      </c>
      <c r="AK922">
        <v>3.0521358636916101</v>
      </c>
      <c r="AL922">
        <v>94.7000114748474</v>
      </c>
      <c r="AM922">
        <v>93.268071492226696</v>
      </c>
      <c r="AN922">
        <v>1.00000002159585</v>
      </c>
    </row>
    <row r="923" spans="1:40" x14ac:dyDescent="0.25">
      <c r="A923" t="str">
        <f>"20190305134923801"</f>
        <v>20190305134923801</v>
      </c>
      <c r="B923" t="str">
        <f>"1551764963791284"</f>
        <v>1551764963791284</v>
      </c>
      <c r="C923" t="s">
        <v>40</v>
      </c>
      <c r="D923">
        <v>3.8702200000000002</v>
      </c>
      <c r="E923">
        <v>0.56190640000000003</v>
      </c>
      <c r="F923" t="s">
        <v>47</v>
      </c>
      <c r="G923">
        <v>0</v>
      </c>
      <c r="H923">
        <v>0</v>
      </c>
      <c r="I923">
        <v>0</v>
      </c>
      <c r="J923">
        <v>-331.2414</v>
      </c>
      <c r="K923">
        <v>1.109129</v>
      </c>
      <c r="L923">
        <v>367.81180000000001</v>
      </c>
      <c r="M923">
        <v>0.99994360000000004</v>
      </c>
      <c r="N923">
        <v>-1.009789E-2</v>
      </c>
      <c r="O923">
        <v>3.2763050000000002E-3</v>
      </c>
      <c r="P923">
        <v>0.99393589999999998</v>
      </c>
      <c r="Q923">
        <v>-9.2097570000000004E-2</v>
      </c>
      <c r="R923">
        <v>6.0078939999999997E-2</v>
      </c>
      <c r="S923">
        <v>3.0376889999999999</v>
      </c>
      <c r="T923">
        <v>1.237833E-2</v>
      </c>
      <c r="U923">
        <v>-0.30142210000000003</v>
      </c>
      <c r="V923">
        <v>-5.6834000000000003E-2</v>
      </c>
      <c r="W923">
        <v>-8.2045870000000007E-2</v>
      </c>
      <c r="X923">
        <v>0.99500670000000002</v>
      </c>
      <c r="Y923">
        <v>0.10200339999999999</v>
      </c>
      <c r="Z923">
        <v>-2.6264270000000002E-4</v>
      </c>
      <c r="AA923">
        <v>0.994784</v>
      </c>
      <c r="AB923">
        <v>35</v>
      </c>
      <c r="AC923">
        <v>3.0376889999999999</v>
      </c>
      <c r="AD923">
        <v>1.237833E-2</v>
      </c>
      <c r="AE923">
        <v>-0.30142210000000003</v>
      </c>
      <c r="AF923">
        <v>0.31136826581059102</v>
      </c>
      <c r="AG923">
        <v>1.237833E-2</v>
      </c>
      <c r="AH923">
        <v>3.03663516208097</v>
      </c>
      <c r="AI923">
        <v>89.767662908641896</v>
      </c>
      <c r="AJ923">
        <v>84.1455080630178</v>
      </c>
      <c r="AK923">
        <v>3.0525819444519402</v>
      </c>
      <c r="AL923">
        <v>94.706172226205595</v>
      </c>
      <c r="AM923">
        <v>93.269137641936396</v>
      </c>
      <c r="AN923">
        <v>0.99999998069247298</v>
      </c>
    </row>
    <row r="924" spans="1:40" x14ac:dyDescent="0.25">
      <c r="A924" t="str">
        <f>"20190305134923811"</f>
        <v>20190305134923811</v>
      </c>
      <c r="B924" t="str">
        <f>"1551764963802020"</f>
        <v>1551764963802020</v>
      </c>
      <c r="C924" t="s">
        <v>40</v>
      </c>
      <c r="D924">
        <v>3.9042249999999998</v>
      </c>
      <c r="E924">
        <v>0.56200229999999995</v>
      </c>
      <c r="F924" t="s">
        <v>47</v>
      </c>
      <c r="G924">
        <v>0</v>
      </c>
      <c r="H924">
        <v>0</v>
      </c>
      <c r="I924">
        <v>0</v>
      </c>
      <c r="J924">
        <v>-331.06699999999898</v>
      </c>
      <c r="K924">
        <v>1.1091120000000001</v>
      </c>
      <c r="L924">
        <v>367.81240000000003</v>
      </c>
      <c r="M924">
        <v>0.99994530000000004</v>
      </c>
      <c r="N924">
        <v>-9.9459790000000006E-3</v>
      </c>
      <c r="O924">
        <v>3.255707E-3</v>
      </c>
      <c r="P924">
        <v>0.99392499999999995</v>
      </c>
      <c r="Q924">
        <v>-9.2279089999999994E-2</v>
      </c>
      <c r="R924">
        <v>5.998129E-2</v>
      </c>
      <c r="S924">
        <v>3.03775</v>
      </c>
      <c r="T924">
        <v>1.2944819999999999E-2</v>
      </c>
      <c r="U924">
        <v>-0.3023071</v>
      </c>
      <c r="V924">
        <v>-5.6756519999999998E-2</v>
      </c>
      <c r="W924">
        <v>-8.2378960000000001E-2</v>
      </c>
      <c r="X924">
        <v>0.99498359999999997</v>
      </c>
      <c r="Y924">
        <v>0.10226789999999999</v>
      </c>
      <c r="Z924">
        <v>-2.4633910000000002E-4</v>
      </c>
      <c r="AA924">
        <v>0.99475690000000005</v>
      </c>
      <c r="AB924">
        <v>35</v>
      </c>
      <c r="AC924">
        <v>3.03775</v>
      </c>
      <c r="AD924">
        <v>1.2944819999999999E-2</v>
      </c>
      <c r="AE924">
        <v>-0.3023071</v>
      </c>
      <c r="AF924">
        <v>0.31219039677495503</v>
      </c>
      <c r="AG924">
        <v>1.2944819999999999E-2</v>
      </c>
      <c r="AH924">
        <v>3.0366950248059199</v>
      </c>
      <c r="AI924">
        <v>89.757041629227203</v>
      </c>
      <c r="AJ924">
        <v>84.130272670628599</v>
      </c>
      <c r="AK924">
        <v>3.0527278106448299</v>
      </c>
      <c r="AL924">
        <v>94.725321705660605</v>
      </c>
      <c r="AM924">
        <v>93.264766206918907</v>
      </c>
      <c r="AN924">
        <v>0.99999997994107503</v>
      </c>
    </row>
    <row r="925" spans="1:40" x14ac:dyDescent="0.25">
      <c r="A925" t="str">
        <f>"20190305134923822"</f>
        <v>20190305134923822</v>
      </c>
      <c r="B925" t="str">
        <f>"1551764963811780"</f>
        <v>1551764963811780</v>
      </c>
      <c r="C925" t="s">
        <v>40</v>
      </c>
      <c r="D925">
        <v>3.9288850000000002</v>
      </c>
      <c r="E925">
        <v>0.56211460000000002</v>
      </c>
      <c r="F925" t="s">
        <v>47</v>
      </c>
      <c r="G925">
        <v>0</v>
      </c>
      <c r="H925">
        <v>0</v>
      </c>
      <c r="I925">
        <v>0</v>
      </c>
      <c r="J925">
        <v>-330.88929999999999</v>
      </c>
      <c r="K925">
        <v>1.1090979999999999</v>
      </c>
      <c r="L925">
        <v>367.81290000000001</v>
      </c>
      <c r="M925">
        <v>0.99994680000000002</v>
      </c>
      <c r="N925">
        <v>-9.8016979999999993E-3</v>
      </c>
      <c r="O925">
        <v>3.2371460000000002E-3</v>
      </c>
      <c r="P925">
        <v>0.99389419999999995</v>
      </c>
      <c r="Q925">
        <v>-9.2465400000000003E-2</v>
      </c>
      <c r="R925">
        <v>6.0205210000000002E-2</v>
      </c>
      <c r="S925">
        <v>3.037811</v>
      </c>
      <c r="T925">
        <v>1.229036E-2</v>
      </c>
      <c r="U925">
        <v>-0.30352780000000001</v>
      </c>
      <c r="V925">
        <v>-5.6998800000000002E-2</v>
      </c>
      <c r="W925">
        <v>-8.2709370000000004E-2</v>
      </c>
      <c r="X925">
        <v>0.9949424</v>
      </c>
      <c r="Y925">
        <v>0.1026432</v>
      </c>
      <c r="Z925">
        <v>-2.5246250000000002E-4</v>
      </c>
      <c r="AA925">
        <v>0.9947182</v>
      </c>
      <c r="AB925">
        <v>35</v>
      </c>
      <c r="AC925">
        <v>3.037811</v>
      </c>
      <c r="AD925">
        <v>1.229036E-2</v>
      </c>
      <c r="AE925">
        <v>-0.30352780000000001</v>
      </c>
      <c r="AF925">
        <v>0.31335544042981101</v>
      </c>
      <c r="AG925">
        <v>1.229036E-2</v>
      </c>
      <c r="AH925">
        <v>3.0367632549299999</v>
      </c>
      <c r="AI925">
        <v>89.769339050532906</v>
      </c>
      <c r="AJ925">
        <v>84.108653036807993</v>
      </c>
      <c r="AK925">
        <v>3.05291233930634</v>
      </c>
      <c r="AL925">
        <v>94.744317338679195</v>
      </c>
      <c r="AM925">
        <v>93.278807844747206</v>
      </c>
      <c r="AN925">
        <v>1.0000000412024901</v>
      </c>
    </row>
    <row r="926" spans="1:40" x14ac:dyDescent="0.25">
      <c r="A926" t="str">
        <f>"20190305134923835"</f>
        <v>20190305134923835</v>
      </c>
      <c r="B926" t="str">
        <f>"1551764963831807"</f>
        <v>1551764963831807</v>
      </c>
      <c r="C926" t="s">
        <v>40</v>
      </c>
      <c r="D926">
        <v>3.9343340000000002</v>
      </c>
      <c r="E926">
        <v>0.56229110000000004</v>
      </c>
      <c r="F926" t="s">
        <v>47</v>
      </c>
      <c r="G926">
        <v>0</v>
      </c>
      <c r="H926">
        <v>0</v>
      </c>
      <c r="I926">
        <v>0</v>
      </c>
      <c r="J926">
        <v>-330.70659999999998</v>
      </c>
      <c r="K926">
        <v>1.1090869999999999</v>
      </c>
      <c r="L926">
        <v>367.81349999999998</v>
      </c>
      <c r="M926">
        <v>0.99994819999999995</v>
      </c>
      <c r="N926">
        <v>-9.6592620000000001E-3</v>
      </c>
      <c r="O926">
        <v>3.2193429999999999E-3</v>
      </c>
      <c r="P926">
        <v>0.99389609999999995</v>
      </c>
      <c r="Q926">
        <v>-9.2446550000000002E-2</v>
      </c>
      <c r="R926">
        <v>6.0201629999999999E-2</v>
      </c>
      <c r="S926">
        <v>3.037903</v>
      </c>
      <c r="T926">
        <v>1.1910799999999999E-2</v>
      </c>
      <c r="U926">
        <v>-0.3037415</v>
      </c>
      <c r="V926">
        <v>-5.7012460000000001E-2</v>
      </c>
      <c r="W926">
        <v>-8.2832569999999994E-2</v>
      </c>
      <c r="X926">
        <v>0.99493129999999996</v>
      </c>
      <c r="Y926">
        <v>0.1026917</v>
      </c>
      <c r="Z926">
        <v>-2.5278399999999998E-4</v>
      </c>
      <c r="AA926">
        <v>0.99471319999999996</v>
      </c>
      <c r="AB926">
        <v>35</v>
      </c>
      <c r="AC926">
        <v>3.037903</v>
      </c>
      <c r="AD926">
        <v>1.1910799999999999E-2</v>
      </c>
      <c r="AE926">
        <v>-0.3037415</v>
      </c>
      <c r="AF926">
        <v>0.313515661835163</v>
      </c>
      <c r="AG926">
        <v>1.1910799999999999E-2</v>
      </c>
      <c r="AH926">
        <v>3.0368631411671299</v>
      </c>
      <c r="AI926">
        <v>89.776470898604103</v>
      </c>
      <c r="AJ926">
        <v>84.105854449547905</v>
      </c>
      <c r="AK926">
        <v>3.0530266418018899</v>
      </c>
      <c r="AL926">
        <v>94.751400806056495</v>
      </c>
      <c r="AM926">
        <v>93.279628418759998</v>
      </c>
      <c r="AN926">
        <v>0.99999997348387204</v>
      </c>
    </row>
    <row r="927" spans="1:40" x14ac:dyDescent="0.25">
      <c r="A927" t="str">
        <f>"20190305134923845"</f>
        <v>20190305134923845</v>
      </c>
      <c r="B927" t="str">
        <f>"1551764963841566"</f>
        <v>1551764963841566</v>
      </c>
      <c r="C927" t="s">
        <v>40</v>
      </c>
      <c r="D927">
        <v>3.8931879999999999</v>
      </c>
      <c r="E927">
        <v>0.56243160000000003</v>
      </c>
      <c r="F927" t="s">
        <v>47</v>
      </c>
      <c r="G927">
        <v>0</v>
      </c>
      <c r="H927">
        <v>0</v>
      </c>
      <c r="I927">
        <v>0</v>
      </c>
      <c r="J927">
        <v>-330.53050000000002</v>
      </c>
      <c r="K927">
        <v>1.109078</v>
      </c>
      <c r="L927">
        <v>367.81400000000002</v>
      </c>
      <c r="M927">
        <v>0.99994950000000005</v>
      </c>
      <c r="N927">
        <v>-9.529315E-3</v>
      </c>
      <c r="O927">
        <v>3.2038560000000002E-3</v>
      </c>
      <c r="P927">
        <v>0.99388569999999998</v>
      </c>
      <c r="Q927">
        <v>-9.2550400000000005E-2</v>
      </c>
      <c r="R927">
        <v>6.0216220000000001E-2</v>
      </c>
      <c r="S927">
        <v>3.0380549999999999</v>
      </c>
      <c r="T927">
        <v>1.2386080000000001E-2</v>
      </c>
      <c r="U927">
        <v>-0.30529790000000001</v>
      </c>
      <c r="V927">
        <v>-5.704219E-2</v>
      </c>
      <c r="W927">
        <v>-8.3066189999999998E-2</v>
      </c>
      <c r="X927">
        <v>0.99491010000000002</v>
      </c>
      <c r="Y927">
        <v>0.1031759</v>
      </c>
      <c r="Z927">
        <v>-2.395648E-4</v>
      </c>
      <c r="AA927">
        <v>0.99466310000000002</v>
      </c>
      <c r="AB927">
        <v>35</v>
      </c>
      <c r="AC927">
        <v>3.0380549999999999</v>
      </c>
      <c r="AD927">
        <v>1.2386080000000001E-2</v>
      </c>
      <c r="AE927">
        <v>-0.30529790000000001</v>
      </c>
      <c r="AF927">
        <v>0.31502508138705898</v>
      </c>
      <c r="AG927">
        <v>1.2386080000000001E-2</v>
      </c>
      <c r="AH927">
        <v>3.0370112555742002</v>
      </c>
      <c r="AI927">
        <v>89.767574494126606</v>
      </c>
      <c r="AJ927">
        <v>84.077965108919699</v>
      </c>
      <c r="AK927">
        <v>3.0533312272606499</v>
      </c>
      <c r="AL927">
        <v>94.764832622610498</v>
      </c>
      <c r="AM927">
        <v>93.281404661363993</v>
      </c>
      <c r="AN927">
        <v>0.99999995522156004</v>
      </c>
    </row>
    <row r="928" spans="1:40" x14ac:dyDescent="0.25">
      <c r="A928" t="str">
        <f>"20190305134923857"</f>
        <v>20190305134923857</v>
      </c>
      <c r="B928" t="str">
        <f>"1551764963851327"</f>
        <v>1551764963851327</v>
      </c>
      <c r="C928" t="s">
        <v>40</v>
      </c>
      <c r="D928">
        <v>3.8792939999999998</v>
      </c>
      <c r="E928">
        <v>0.56249869999999902</v>
      </c>
      <c r="F928" t="s">
        <v>47</v>
      </c>
      <c r="G928">
        <v>0</v>
      </c>
      <c r="H928">
        <v>0</v>
      </c>
      <c r="I928">
        <v>0</v>
      </c>
      <c r="J928">
        <v>-330.35449999999997</v>
      </c>
      <c r="K928">
        <v>1.1090709999999999</v>
      </c>
      <c r="L928">
        <v>367.81459999999998</v>
      </c>
      <c r="M928">
        <v>0.99995080000000003</v>
      </c>
      <c r="N928">
        <v>-9.4079579999999993E-3</v>
      </c>
      <c r="O928">
        <v>3.191181E-3</v>
      </c>
      <c r="P928">
        <v>0.99390730000000005</v>
      </c>
      <c r="Q928">
        <v>-9.2296349999999999E-2</v>
      </c>
      <c r="R928">
        <v>6.0248509999999998E-2</v>
      </c>
      <c r="S928">
        <v>3.0379330000000002</v>
      </c>
      <c r="T928">
        <v>9.9153520000000005E-3</v>
      </c>
      <c r="U928">
        <v>-0.30639650000000002</v>
      </c>
      <c r="V928">
        <v>-5.708647E-2</v>
      </c>
      <c r="W928">
        <v>-8.2933099999999996E-2</v>
      </c>
      <c r="X928">
        <v>0.99491870000000004</v>
      </c>
      <c r="Y928">
        <v>0.1035233</v>
      </c>
      <c r="Z928">
        <v>-2.7936230000000001E-4</v>
      </c>
      <c r="AA928">
        <v>0.99462700000000004</v>
      </c>
      <c r="AB928">
        <v>35</v>
      </c>
      <c r="AC928">
        <v>3.0379330000000002</v>
      </c>
      <c r="AD928">
        <v>9.9153520000000005E-3</v>
      </c>
      <c r="AE928">
        <v>-0.30639650000000002</v>
      </c>
      <c r="AF928">
        <v>0.316086628168392</v>
      </c>
      <c r="AG928">
        <v>9.9153520000000005E-3</v>
      </c>
      <c r="AH928">
        <v>3.0369076946614699</v>
      </c>
      <c r="AI928">
        <v>89.813937889521</v>
      </c>
      <c r="AJ928">
        <v>84.057950861966205</v>
      </c>
      <c r="AK928">
        <v>3.0533289073740799</v>
      </c>
      <c r="AL928">
        <v>94.757180549928293</v>
      </c>
      <c r="AM928">
        <v>93.283918012406104</v>
      </c>
      <c r="AN928">
        <v>0.99999999187118005</v>
      </c>
    </row>
    <row r="929" spans="1:40" x14ac:dyDescent="0.25">
      <c r="A929" t="str">
        <f>"20190305134923868"</f>
        <v>20190305134923868</v>
      </c>
      <c r="B929" t="str">
        <f>"1551764963862062"</f>
        <v>1551764963862062</v>
      </c>
      <c r="C929" t="s">
        <v>40</v>
      </c>
      <c r="D929">
        <v>3.921713</v>
      </c>
      <c r="E929">
        <v>0.56258240000000004</v>
      </c>
      <c r="F929" t="s">
        <v>47</v>
      </c>
      <c r="G929">
        <v>0</v>
      </c>
      <c r="H929">
        <v>0</v>
      </c>
      <c r="I929">
        <v>0</v>
      </c>
      <c r="J929">
        <v>-330.16289999999998</v>
      </c>
      <c r="K929">
        <v>1.109062</v>
      </c>
      <c r="L929">
        <v>367.8152</v>
      </c>
      <c r="M929">
        <v>0.99995199999999995</v>
      </c>
      <c r="N929">
        <v>-9.280656E-3</v>
      </c>
      <c r="O929">
        <v>3.1788300000000001E-3</v>
      </c>
      <c r="P929">
        <v>0.99392009999999997</v>
      </c>
      <c r="Q929">
        <v>-9.2088329999999996E-2</v>
      </c>
      <c r="R929">
        <v>6.0356159999999999E-2</v>
      </c>
      <c r="S929">
        <v>3.0379939999999999</v>
      </c>
      <c r="T929">
        <v>1.106882E-2</v>
      </c>
      <c r="U929">
        <v>-0.30667109999999997</v>
      </c>
      <c r="V929">
        <v>-5.7205449999999998E-2</v>
      </c>
      <c r="W929">
        <v>-8.285207E-2</v>
      </c>
      <c r="X929">
        <v>0.99491859999999999</v>
      </c>
      <c r="Y929">
        <v>0.103598</v>
      </c>
      <c r="Z929">
        <v>-2.5272739999999998E-4</v>
      </c>
      <c r="AA929">
        <v>0.99461920000000004</v>
      </c>
      <c r="AB929">
        <v>35</v>
      </c>
      <c r="AC929">
        <v>3.0379939999999999</v>
      </c>
      <c r="AD929">
        <v>1.106882E-2</v>
      </c>
      <c r="AE929">
        <v>-0.30667109999999997</v>
      </c>
      <c r="AF929">
        <v>0.316323074875271</v>
      </c>
      <c r="AG929">
        <v>1.106882E-2</v>
      </c>
      <c r="AH929">
        <v>3.0369638435763799</v>
      </c>
      <c r="AI929">
        <v>89.792298645202195</v>
      </c>
      <c r="AJ929">
        <v>84.053646939330093</v>
      </c>
      <c r="AK929">
        <v>3.0534132038859298</v>
      </c>
      <c r="AL929">
        <v>94.752521921091997</v>
      </c>
      <c r="AM929">
        <v>93.290747679982999</v>
      </c>
      <c r="AN929">
        <v>0.999999974819473</v>
      </c>
    </row>
    <row r="930" spans="1:40" x14ac:dyDescent="0.25">
      <c r="A930" t="str">
        <f>"20190305134923879"</f>
        <v>20190305134923879</v>
      </c>
      <c r="B930" t="str">
        <f>"1551764963871822"</f>
        <v>1551764963871822</v>
      </c>
      <c r="C930" t="s">
        <v>40</v>
      </c>
      <c r="D930">
        <v>3.8997549999999999</v>
      </c>
      <c r="E930">
        <v>0.56267559999999905</v>
      </c>
      <c r="F930" t="s">
        <v>47</v>
      </c>
      <c r="G930">
        <v>0</v>
      </c>
      <c r="H930">
        <v>0</v>
      </c>
      <c r="I930">
        <v>0</v>
      </c>
      <c r="J930">
        <v>-330.00170000000003</v>
      </c>
      <c r="K930">
        <v>1.109059</v>
      </c>
      <c r="L930">
        <v>367.81569999999999</v>
      </c>
      <c r="M930">
        <v>0.99995290000000003</v>
      </c>
      <c r="N930">
        <v>-9.1843489999999996E-3</v>
      </c>
      <c r="O930">
        <v>3.1717429999999999E-3</v>
      </c>
      <c r="P930">
        <v>0.99393310000000001</v>
      </c>
      <c r="Q930">
        <v>-9.1949420000000004E-2</v>
      </c>
      <c r="R930">
        <v>6.0353190000000001E-2</v>
      </c>
      <c r="S930">
        <v>3.038116</v>
      </c>
      <c r="T930">
        <v>1.1565570000000001E-2</v>
      </c>
      <c r="U930">
        <v>-0.307251</v>
      </c>
      <c r="V930">
        <v>-5.7208990000000001E-2</v>
      </c>
      <c r="W930">
        <v>-8.2809259999999996E-2</v>
      </c>
      <c r="X930">
        <v>0.99492199999999997</v>
      </c>
      <c r="Y930">
        <v>0.1037749</v>
      </c>
      <c r="Z930">
        <v>-2.3965E-4</v>
      </c>
      <c r="AA930">
        <v>0.99460079999999995</v>
      </c>
      <c r="AB930">
        <v>35</v>
      </c>
      <c r="AC930">
        <v>3.038116</v>
      </c>
      <c r="AD930">
        <v>1.1565570000000001E-2</v>
      </c>
      <c r="AE930">
        <v>-0.307251</v>
      </c>
      <c r="AF930">
        <v>0.31688143724130602</v>
      </c>
      <c r="AG930">
        <v>1.1565570000000001E-2</v>
      </c>
      <c r="AH930">
        <v>3.0370825873074998</v>
      </c>
      <c r="AI930">
        <v>89.782989953802598</v>
      </c>
      <c r="AJ930">
        <v>84.043457274987006</v>
      </c>
      <c r="AK930">
        <v>3.0535910416760101</v>
      </c>
      <c r="AL930">
        <v>94.750060443895293</v>
      </c>
      <c r="AM930">
        <v>93.290939649541997</v>
      </c>
      <c r="AN930">
        <v>1.0000000140812799</v>
      </c>
    </row>
    <row r="931" spans="1:40" x14ac:dyDescent="0.25">
      <c r="A931" t="str">
        <f>"20190305134923890"</f>
        <v>20190305134923890</v>
      </c>
      <c r="B931" t="str">
        <f>"1551764963881583"</f>
        <v>1551764963881583</v>
      </c>
      <c r="C931" t="s">
        <v>40</v>
      </c>
      <c r="D931">
        <v>3.9175089999999999</v>
      </c>
      <c r="E931">
        <v>0.56274009999999997</v>
      </c>
      <c r="F931" t="s">
        <v>47</v>
      </c>
      <c r="G931">
        <v>0</v>
      </c>
      <c r="H931">
        <v>0</v>
      </c>
      <c r="I931">
        <v>0</v>
      </c>
      <c r="J931">
        <v>-329.82990000000001</v>
      </c>
      <c r="K931">
        <v>1.1090530000000001</v>
      </c>
      <c r="L931">
        <v>367.81619999999998</v>
      </c>
      <c r="M931">
        <v>0.99995369999999995</v>
      </c>
      <c r="N931">
        <v>-9.0828699999999998E-3</v>
      </c>
      <c r="O931">
        <v>3.1646780000000002E-3</v>
      </c>
      <c r="P931">
        <v>0.9939443</v>
      </c>
      <c r="Q931">
        <v>-9.1846570000000002E-2</v>
      </c>
      <c r="R931">
        <v>6.0323839999999997E-2</v>
      </c>
      <c r="S931">
        <v>3.0381469999999999</v>
      </c>
      <c r="T931">
        <v>1.239121E-2</v>
      </c>
      <c r="U931">
        <v>-0.3078613</v>
      </c>
      <c r="V931">
        <v>-5.7186220000000003E-2</v>
      </c>
      <c r="W931">
        <v>-8.2807699999999998E-2</v>
      </c>
      <c r="X931">
        <v>0.99492340000000001</v>
      </c>
      <c r="Y931">
        <v>0.1039646</v>
      </c>
      <c r="Z931">
        <v>-2.203474E-4</v>
      </c>
      <c r="AA931">
        <v>0.99458100000000005</v>
      </c>
      <c r="AB931">
        <v>35</v>
      </c>
      <c r="AC931">
        <v>3.0381469999999999</v>
      </c>
      <c r="AD931">
        <v>1.239121E-2</v>
      </c>
      <c r="AE931">
        <v>-0.3078613</v>
      </c>
      <c r="AF931">
        <v>0.317469684950619</v>
      </c>
      <c r="AG931">
        <v>1.239121E-2</v>
      </c>
      <c r="AH931">
        <v>3.0371074554907902</v>
      </c>
      <c r="AI931">
        <v>89.767504794905093</v>
      </c>
      <c r="AJ931">
        <v>84.032527986095303</v>
      </c>
      <c r="AK931">
        <v>3.0536801140829501</v>
      </c>
      <c r="AL931">
        <v>94.749970938586102</v>
      </c>
      <c r="AM931">
        <v>93.289628066702605</v>
      </c>
      <c r="AN931">
        <v>0.99999997540236896</v>
      </c>
    </row>
    <row r="932" spans="1:40" x14ac:dyDescent="0.25">
      <c r="A932" t="str">
        <f>"20190305134923901"</f>
        <v>20190305134923901</v>
      </c>
      <c r="B932" t="str">
        <f>"1551764963891344"</f>
        <v>1551764963891344</v>
      </c>
      <c r="C932" t="s">
        <v>40</v>
      </c>
      <c r="D932">
        <v>3.9169990000000001</v>
      </c>
      <c r="E932">
        <v>0.56283090000000002</v>
      </c>
      <c r="F932" t="s">
        <v>47</v>
      </c>
      <c r="G932">
        <v>0</v>
      </c>
      <c r="H932">
        <v>0</v>
      </c>
      <c r="I932">
        <v>0</v>
      </c>
      <c r="J932">
        <v>-329.65</v>
      </c>
      <c r="K932">
        <v>1.1090469999999999</v>
      </c>
      <c r="L932">
        <v>367.8168</v>
      </c>
      <c r="M932">
        <v>0.99995460000000003</v>
      </c>
      <c r="N932">
        <v>-8.9881500000000003E-3</v>
      </c>
      <c r="O932">
        <v>3.1595989999999999E-3</v>
      </c>
      <c r="P932">
        <v>0.99393500000000001</v>
      </c>
      <c r="Q932">
        <v>-9.1908020000000007E-2</v>
      </c>
      <c r="R932">
        <v>6.0383029999999997E-2</v>
      </c>
      <c r="S932">
        <v>3.0381770000000001</v>
      </c>
      <c r="T932">
        <v>1.257396E-2</v>
      </c>
      <c r="U932">
        <v>-0.30853269999999999</v>
      </c>
      <c r="V932">
        <v>-5.7249519999999998E-2</v>
      </c>
      <c r="W932">
        <v>-8.2963869999999995E-2</v>
      </c>
      <c r="X932">
        <v>0.99490679999999998</v>
      </c>
      <c r="Y932">
        <v>0.10417609999999999</v>
      </c>
      <c r="Z932">
        <v>-2.1299430000000001E-4</v>
      </c>
      <c r="AA932">
        <v>0.99455890000000002</v>
      </c>
      <c r="AB932">
        <v>35</v>
      </c>
      <c r="AC932">
        <v>3.0381770000000001</v>
      </c>
      <c r="AD932">
        <v>1.257396E-2</v>
      </c>
      <c r="AE932">
        <v>-0.30853269999999999</v>
      </c>
      <c r="AF932">
        <v>0.31812557536658198</v>
      </c>
      <c r="AG932">
        <v>1.257396E-2</v>
      </c>
      <c r="AH932">
        <v>3.0371354641663499</v>
      </c>
      <c r="AI932">
        <v>89.764083336358894</v>
      </c>
      <c r="AJ932">
        <v>84.020343210340897</v>
      </c>
      <c r="AK932">
        <v>3.0537769751357602</v>
      </c>
      <c r="AL932">
        <v>94.758949474967096</v>
      </c>
      <c r="AM932">
        <v>93.293316205731401</v>
      </c>
      <c r="AN932">
        <v>1.0000000259759201</v>
      </c>
    </row>
    <row r="933" spans="1:40" x14ac:dyDescent="0.25">
      <c r="A933" t="str">
        <f>"20190305134923912"</f>
        <v>20190305134923912</v>
      </c>
      <c r="B933" t="str">
        <f>"1551764963902080"</f>
        <v>1551764963902080</v>
      </c>
      <c r="C933" t="s">
        <v>40</v>
      </c>
      <c r="D933">
        <v>3.9090479999999999</v>
      </c>
      <c r="E933">
        <v>0.56294659999999996</v>
      </c>
      <c r="F933" t="s">
        <v>47</v>
      </c>
      <c r="G933">
        <v>0</v>
      </c>
      <c r="H933">
        <v>0</v>
      </c>
      <c r="I933">
        <v>0</v>
      </c>
      <c r="J933">
        <v>-329.47340000000003</v>
      </c>
      <c r="K933">
        <v>1.1090439999999999</v>
      </c>
      <c r="L933">
        <v>367.81740000000002</v>
      </c>
      <c r="M933">
        <v>0.99995540000000005</v>
      </c>
      <c r="N933">
        <v>-8.8980810000000004E-3</v>
      </c>
      <c r="O933">
        <v>3.155148E-3</v>
      </c>
      <c r="P933">
        <v>0.99394780000000005</v>
      </c>
      <c r="Q933">
        <v>-9.1753150000000006E-2</v>
      </c>
      <c r="R933">
        <v>6.0409289999999997E-2</v>
      </c>
      <c r="S933">
        <v>3.0383</v>
      </c>
      <c r="T933">
        <v>1.256227E-2</v>
      </c>
      <c r="U933">
        <v>-0.30929570000000001</v>
      </c>
      <c r="V933">
        <v>-5.7279709999999998E-2</v>
      </c>
      <c r="W933">
        <v>-8.289887E-2</v>
      </c>
      <c r="X933">
        <v>0.99491050000000003</v>
      </c>
      <c r="Y933">
        <v>0.1044149</v>
      </c>
      <c r="Z933">
        <v>-2.0943470000000001E-4</v>
      </c>
      <c r="AA933">
        <v>0.99453380000000002</v>
      </c>
      <c r="AB933">
        <v>35</v>
      </c>
      <c r="AC933">
        <v>3.0383</v>
      </c>
      <c r="AD933">
        <v>1.256227E-2</v>
      </c>
      <c r="AE933">
        <v>-0.30929570000000001</v>
      </c>
      <c r="AF933">
        <v>0.31887543103870403</v>
      </c>
      <c r="AG933">
        <v>1.256227E-2</v>
      </c>
      <c r="AH933">
        <v>3.0372575732514799</v>
      </c>
      <c r="AI933">
        <v>89.764318073722507</v>
      </c>
      <c r="AJ933">
        <v>84.006590220670205</v>
      </c>
      <c r="AK933">
        <v>3.0539765744715801</v>
      </c>
      <c r="AL933">
        <v>94.755212283402301</v>
      </c>
      <c r="AM933">
        <v>93.295036852547298</v>
      </c>
      <c r="AN933">
        <v>1.0000000454175999</v>
      </c>
    </row>
    <row r="934" spans="1:40" x14ac:dyDescent="0.25">
      <c r="A934" t="str">
        <f>"20190305134923923"</f>
        <v>20190305134923923</v>
      </c>
      <c r="B934" t="str">
        <f>"1551764963911840"</f>
        <v>1551764963911840</v>
      </c>
      <c r="C934" t="s">
        <v>40</v>
      </c>
      <c r="D934">
        <v>3.8168419999999998</v>
      </c>
      <c r="E934">
        <v>0.56282650000000001</v>
      </c>
      <c r="F934" t="s">
        <v>47</v>
      </c>
      <c r="G934">
        <v>0</v>
      </c>
      <c r="H934">
        <v>0</v>
      </c>
      <c r="I934">
        <v>0</v>
      </c>
      <c r="J934">
        <v>-329.30329999999998</v>
      </c>
      <c r="K934">
        <v>1.109038</v>
      </c>
      <c r="L934">
        <v>367.81790000000001</v>
      </c>
      <c r="M934">
        <v>0.99995619999999996</v>
      </c>
      <c r="N934">
        <v>-8.8189979999999998E-3</v>
      </c>
      <c r="O934">
        <v>3.1523079999999999E-3</v>
      </c>
      <c r="P934">
        <v>0.99395330000000004</v>
      </c>
      <c r="Q934">
        <v>-9.1736609999999996E-2</v>
      </c>
      <c r="R934">
        <v>6.0343929999999997E-2</v>
      </c>
      <c r="S934">
        <v>3.0383300000000002</v>
      </c>
      <c r="T934">
        <v>1.344395E-2</v>
      </c>
      <c r="U934">
        <v>-0.31008909999999901</v>
      </c>
      <c r="V934">
        <v>-5.7217270000000001E-2</v>
      </c>
      <c r="W934">
        <v>-8.296125E-2</v>
      </c>
      <c r="X934">
        <v>0.99490889999999998</v>
      </c>
      <c r="Y934">
        <v>0.104668</v>
      </c>
      <c r="Z934">
        <v>-1.9013060000000001E-4</v>
      </c>
      <c r="AA934">
        <v>0.99450720000000004</v>
      </c>
      <c r="AB934">
        <v>36</v>
      </c>
      <c r="AC934">
        <v>3.0383300000000002</v>
      </c>
      <c r="AD934">
        <v>1.344395E-2</v>
      </c>
      <c r="AE934">
        <v>-0.31008909999999901</v>
      </c>
      <c r="AF934">
        <v>0.31965948908729203</v>
      </c>
      <c r="AG934">
        <v>1.344395E-2</v>
      </c>
      <c r="AH934">
        <v>3.03727851551323</v>
      </c>
      <c r="AI934">
        <v>89.747785488422394</v>
      </c>
      <c r="AJ934">
        <v>83.992002271880395</v>
      </c>
      <c r="AK934">
        <v>3.05408312093064</v>
      </c>
      <c r="AL934">
        <v>94.758798715928606</v>
      </c>
      <c r="AM934">
        <v>93.291458151225797</v>
      </c>
      <c r="AN934">
        <v>1.00000005214351</v>
      </c>
    </row>
    <row r="935" spans="1:40" x14ac:dyDescent="0.25">
      <c r="A935" t="str">
        <f>"20190305134923935"</f>
        <v>20190305134923935</v>
      </c>
      <c r="B935" t="str">
        <f>"1551764963931865"</f>
        <v>1551764963931865</v>
      </c>
      <c r="C935" t="s">
        <v>40</v>
      </c>
      <c r="D935">
        <v>3.8909590000000001</v>
      </c>
      <c r="E935">
        <v>0.56296000000000002</v>
      </c>
      <c r="F935" t="s">
        <v>47</v>
      </c>
      <c r="G935">
        <v>0</v>
      </c>
      <c r="H935">
        <v>0</v>
      </c>
      <c r="I935">
        <v>0</v>
      </c>
      <c r="J935">
        <v>-329.11340000000001</v>
      </c>
      <c r="K935">
        <v>1.1090329999999999</v>
      </c>
      <c r="L935">
        <v>367.81849999999997</v>
      </c>
      <c r="M935">
        <v>0.99995679999999998</v>
      </c>
      <c r="N935">
        <v>-8.7356499999999993E-3</v>
      </c>
      <c r="O935">
        <v>3.1500199999999999E-3</v>
      </c>
      <c r="P935">
        <v>0.9939808</v>
      </c>
      <c r="Q935">
        <v>-9.1593850000000004E-2</v>
      </c>
      <c r="R935">
        <v>6.010654E-2</v>
      </c>
      <c r="S935">
        <v>3.0379939999999999</v>
      </c>
      <c r="T935">
        <v>1.062274E-2</v>
      </c>
      <c r="U935">
        <v>-0.3093262</v>
      </c>
      <c r="V935">
        <v>-5.6980820000000001E-2</v>
      </c>
      <c r="W935">
        <v>-8.2901530000000001E-2</v>
      </c>
      <c r="X935">
        <v>0.99492740000000002</v>
      </c>
      <c r="Y935">
        <v>0.1044297</v>
      </c>
      <c r="Z935">
        <v>-2.3677649999999999E-4</v>
      </c>
      <c r="AA935">
        <v>0.99453219999999998</v>
      </c>
      <c r="AB935">
        <v>36</v>
      </c>
      <c r="AC935">
        <v>3.0379939999999999</v>
      </c>
      <c r="AD935">
        <v>1.062274E-2</v>
      </c>
      <c r="AE935">
        <v>-0.3093262</v>
      </c>
      <c r="AF935">
        <v>0.31889091413273901</v>
      </c>
      <c r="AG935">
        <v>1.062274E-2</v>
      </c>
      <c r="AH935">
        <v>3.0369677551485799</v>
      </c>
      <c r="AI935">
        <v>89.800686752122701</v>
      </c>
      <c r="AJ935">
        <v>84.005733512329101</v>
      </c>
      <c r="AK935">
        <v>3.0536825970512602</v>
      </c>
      <c r="AL935">
        <v>94.755365412101995</v>
      </c>
      <c r="AM935">
        <v>93.277825125503199</v>
      </c>
      <c r="AN935">
        <v>1.0000000043974799</v>
      </c>
    </row>
    <row r="936" spans="1:40" x14ac:dyDescent="0.25">
      <c r="A936" t="str">
        <f>"20190305134923946"</f>
        <v>20190305134923946</v>
      </c>
      <c r="B936" t="str">
        <f>"1551764963941625"</f>
        <v>1551764963941625</v>
      </c>
      <c r="C936" t="s">
        <v>40</v>
      </c>
      <c r="D936">
        <v>3.8704149999999999</v>
      </c>
      <c r="E936">
        <v>0.56303510000000001</v>
      </c>
      <c r="F936" t="s">
        <v>47</v>
      </c>
      <c r="G936">
        <v>0</v>
      </c>
      <c r="H936">
        <v>0</v>
      </c>
      <c r="I936">
        <v>0</v>
      </c>
      <c r="J936">
        <v>-328.9348</v>
      </c>
      <c r="K936">
        <v>1.10903</v>
      </c>
      <c r="L936">
        <v>367.81909999999999</v>
      </c>
      <c r="M936">
        <v>0.9999576</v>
      </c>
      <c r="N936">
        <v>-8.6625829999999997E-3</v>
      </c>
      <c r="O936">
        <v>3.1485129999999999E-3</v>
      </c>
      <c r="P936">
        <v>0.99398989999999998</v>
      </c>
      <c r="Q936">
        <v>-9.1586490000000007E-2</v>
      </c>
      <c r="R936">
        <v>5.9968899999999999E-2</v>
      </c>
      <c r="S936">
        <v>3.038208</v>
      </c>
      <c r="T936">
        <v>1.2842299999999999E-2</v>
      </c>
      <c r="U936">
        <v>-0.31112669999999998</v>
      </c>
      <c r="V936">
        <v>-5.6844350000000002E-2</v>
      </c>
      <c r="W936">
        <v>-8.2967050000000001E-2</v>
      </c>
      <c r="X936">
        <v>0.99492970000000003</v>
      </c>
      <c r="Y936">
        <v>0.105004399999999</v>
      </c>
      <c r="Z936">
        <v>-1.9417720000000001E-4</v>
      </c>
      <c r="AA936">
        <v>0.99447169999999896</v>
      </c>
      <c r="AB936">
        <v>36</v>
      </c>
      <c r="AC936">
        <v>3.038208</v>
      </c>
      <c r="AD936">
        <v>1.2842299999999999E-2</v>
      </c>
      <c r="AE936">
        <v>-0.31112669999999998</v>
      </c>
      <c r="AF936">
        <v>0.32068568311867302</v>
      </c>
      <c r="AG936">
        <v>1.2842299999999999E-2</v>
      </c>
      <c r="AH936">
        <v>3.03715961496414</v>
      </c>
      <c r="AI936">
        <v>89.759071733959502</v>
      </c>
      <c r="AJ936">
        <v>83.972622490984307</v>
      </c>
      <c r="AK936">
        <v>3.05406986802786</v>
      </c>
      <c r="AL936">
        <v>94.759132621877598</v>
      </c>
      <c r="AM936">
        <v>93.269984193972206</v>
      </c>
      <c r="AN936">
        <v>0.999999959727356</v>
      </c>
    </row>
    <row r="937" spans="1:40" x14ac:dyDescent="0.25">
      <c r="A937" t="str">
        <f>"20190305134923958"</f>
        <v>20190305134923958</v>
      </c>
      <c r="B937" t="str">
        <f>"1551764963951385"</f>
        <v>1551764963951385</v>
      </c>
      <c r="C937" t="s">
        <v>40</v>
      </c>
      <c r="D937">
        <v>3.8919009999999998</v>
      </c>
      <c r="E937">
        <v>0.56315680000000001</v>
      </c>
      <c r="F937" t="s">
        <v>47</v>
      </c>
      <c r="G937">
        <v>0</v>
      </c>
      <c r="H937">
        <v>0</v>
      </c>
      <c r="I937">
        <v>0</v>
      </c>
      <c r="J937">
        <v>-328.75549999999998</v>
      </c>
      <c r="K937">
        <v>1.1090279999999999</v>
      </c>
      <c r="L937">
        <v>367.81959999999998</v>
      </c>
      <c r="M937">
        <v>0.99995809999999996</v>
      </c>
      <c r="N937">
        <v>-8.5957059999999998E-3</v>
      </c>
      <c r="O937">
        <v>3.1479849999999998E-3</v>
      </c>
      <c r="P937">
        <v>0.99401410000000001</v>
      </c>
      <c r="Q937">
        <v>-9.1432970000000002E-2</v>
      </c>
      <c r="R937">
        <v>5.9798009999999999E-2</v>
      </c>
      <c r="S937">
        <v>3.0381770000000001</v>
      </c>
      <c r="T937">
        <v>1.356745E-2</v>
      </c>
      <c r="U937">
        <v>-0.31216430000000001</v>
      </c>
      <c r="V937">
        <v>-5.667349E-2</v>
      </c>
      <c r="W937">
        <v>-8.2880099999999998E-2</v>
      </c>
      <c r="X937">
        <v>0.99494669999999996</v>
      </c>
      <c r="Y937">
        <v>0.1053409</v>
      </c>
      <c r="Z937">
        <v>-1.78336899999999E-4</v>
      </c>
      <c r="AA937">
        <v>0.99443610000000005</v>
      </c>
      <c r="AB937">
        <v>36</v>
      </c>
      <c r="AC937">
        <v>3.0381770000000001</v>
      </c>
      <c r="AD937">
        <v>1.356745E-2</v>
      </c>
      <c r="AE937">
        <v>-0.31216430000000001</v>
      </c>
      <c r="AF937">
        <v>0.32172089336197501</v>
      </c>
      <c r="AG937">
        <v>1.356745E-2</v>
      </c>
      <c r="AH937">
        <v>3.03711928639559</v>
      </c>
      <c r="AI937">
        <v>89.745473446114303</v>
      </c>
      <c r="AJ937">
        <v>83.9532296460537</v>
      </c>
      <c r="AK937">
        <v>3.0541417728588098</v>
      </c>
      <c r="AL937">
        <v>94.754133508154396</v>
      </c>
      <c r="AM937">
        <v>93.260121082364094</v>
      </c>
      <c r="AN937">
        <v>0.99999996564283899</v>
      </c>
    </row>
    <row r="938" spans="1:40" x14ac:dyDescent="0.25">
      <c r="A938" t="str">
        <f>"20190305134923967"</f>
        <v>20190305134923967</v>
      </c>
      <c r="B938" t="str">
        <f>"1551764963961144"</f>
        <v>1551764963961144</v>
      </c>
      <c r="C938" t="s">
        <v>40</v>
      </c>
      <c r="D938">
        <v>3.7467950000000001</v>
      </c>
      <c r="E938">
        <v>0.56331739999999997</v>
      </c>
      <c r="F938" t="s">
        <v>47</v>
      </c>
      <c r="G938">
        <v>0</v>
      </c>
      <c r="H938">
        <v>0</v>
      </c>
      <c r="I938">
        <v>0</v>
      </c>
      <c r="J938">
        <v>-328.57839999999999</v>
      </c>
      <c r="K938">
        <v>1.1090279999999999</v>
      </c>
      <c r="L938">
        <v>367.8202</v>
      </c>
      <c r="M938">
        <v>0.99995860000000003</v>
      </c>
      <c r="N938">
        <v>-8.5322390000000005E-3</v>
      </c>
      <c r="O938">
        <v>3.147618E-3</v>
      </c>
      <c r="P938">
        <v>0.99403200000000003</v>
      </c>
      <c r="Q938">
        <v>-9.1306789999999999E-2</v>
      </c>
      <c r="R938">
        <v>5.9696560000000003E-2</v>
      </c>
      <c r="S938">
        <v>3.0383300000000002</v>
      </c>
      <c r="T938">
        <v>1.4934899999999999E-2</v>
      </c>
      <c r="U938">
        <v>-0.31347659999999899</v>
      </c>
      <c r="V938">
        <v>-5.6572749999999998E-2</v>
      </c>
      <c r="W938">
        <v>-8.2817109999999999E-2</v>
      </c>
      <c r="X938">
        <v>0.99495769999999994</v>
      </c>
      <c r="Y938">
        <v>0.1057604</v>
      </c>
      <c r="Z938">
        <v>-1.5092870000000001E-4</v>
      </c>
      <c r="AA938">
        <v>0.99439160000000004</v>
      </c>
      <c r="AB938">
        <v>36</v>
      </c>
      <c r="AC938">
        <v>3.0383300000000002</v>
      </c>
      <c r="AD938">
        <v>1.4934899999999999E-2</v>
      </c>
      <c r="AE938">
        <v>-0.31347659999999899</v>
      </c>
      <c r="AF938">
        <v>0.32303117485735999</v>
      </c>
      <c r="AG938">
        <v>1.4934899999999999E-2</v>
      </c>
      <c r="AH938">
        <v>3.0372555936633199</v>
      </c>
      <c r="AI938">
        <v>89.7198454738039</v>
      </c>
      <c r="AJ938">
        <v>83.929056790006896</v>
      </c>
      <c r="AK938">
        <v>3.05442199645152</v>
      </c>
      <c r="AL938">
        <v>94.750511893668005</v>
      </c>
      <c r="AM938">
        <v>93.254302616791506</v>
      </c>
      <c r="AN938">
        <v>0.99999998727030204</v>
      </c>
    </row>
    <row r="939" spans="1:40" x14ac:dyDescent="0.25">
      <c r="A939" t="str">
        <f>"20190305134923979"</f>
        <v>20190305134923979</v>
      </c>
      <c r="B939" t="str">
        <f>"1551764963971880"</f>
        <v>1551764963971880</v>
      </c>
      <c r="C939" t="s">
        <v>40</v>
      </c>
      <c r="D939">
        <v>3.8848449999999999</v>
      </c>
      <c r="E939">
        <v>0.56346479999999999</v>
      </c>
      <c r="F939" t="s">
        <v>47</v>
      </c>
      <c r="G939">
        <v>0</v>
      </c>
      <c r="H939">
        <v>0</v>
      </c>
      <c r="I939">
        <v>0</v>
      </c>
      <c r="J939">
        <v>-328.40499999999997</v>
      </c>
      <c r="K939">
        <v>1.1090260000000001</v>
      </c>
      <c r="L939">
        <v>367.82069999999999</v>
      </c>
      <c r="M939">
        <v>0.9999593</v>
      </c>
      <c r="N939">
        <v>-8.4774849999999999E-3</v>
      </c>
      <c r="O939">
        <v>3.1475050000000001E-3</v>
      </c>
      <c r="P939">
        <v>0.99402749999999995</v>
      </c>
      <c r="Q939">
        <v>-9.1326149999999995E-2</v>
      </c>
      <c r="R939">
        <v>5.9742990000000003E-2</v>
      </c>
      <c r="S939">
        <v>3.0384220000000002</v>
      </c>
      <c r="T939">
        <v>1.6576649999999998E-2</v>
      </c>
      <c r="U939">
        <v>-0.31500240000000002</v>
      </c>
      <c r="V939">
        <v>-5.6618889999999998E-2</v>
      </c>
      <c r="W939">
        <v>-8.2891099999999995E-2</v>
      </c>
      <c r="X939">
        <v>0.99494890000000002</v>
      </c>
      <c r="Y939">
        <v>0.10625130000000001</v>
      </c>
      <c r="Z939">
        <v>-1.187851E-4</v>
      </c>
      <c r="AA939">
        <v>0.99433930000000004</v>
      </c>
      <c r="AB939">
        <v>36</v>
      </c>
      <c r="AC939">
        <v>3.0384220000000002</v>
      </c>
      <c r="AD939">
        <v>1.6576649999999998E-2</v>
      </c>
      <c r="AE939">
        <v>-0.31500240000000002</v>
      </c>
      <c r="AF939">
        <v>0.32455507239466402</v>
      </c>
      <c r="AG939">
        <v>1.6576649999999998E-2</v>
      </c>
      <c r="AH939">
        <v>3.0373259984230798</v>
      </c>
      <c r="AI939">
        <v>89.689073049086403</v>
      </c>
      <c r="AJ939">
        <v>83.900772851436002</v>
      </c>
      <c r="AK939">
        <v>3.0546620109333098</v>
      </c>
      <c r="AL939">
        <v>94.754765900988801</v>
      </c>
      <c r="AM939">
        <v>93.256979816798705</v>
      </c>
      <c r="AN939">
        <v>0.99999997338762503</v>
      </c>
    </row>
    <row r="940" spans="1:40" x14ac:dyDescent="0.25">
      <c r="A940" t="str">
        <f>"20190305134923990"</f>
        <v>20190305134923990</v>
      </c>
      <c r="B940" t="str">
        <f>"1551764963981641"</f>
        <v>1551764963981641</v>
      </c>
      <c r="C940" t="s">
        <v>40</v>
      </c>
      <c r="D940">
        <v>3.8577669999999999</v>
      </c>
      <c r="E940">
        <v>0.56360840000000001</v>
      </c>
      <c r="F940" t="s">
        <v>47</v>
      </c>
      <c r="G940">
        <v>0</v>
      </c>
      <c r="H940">
        <v>0</v>
      </c>
      <c r="I940">
        <v>0</v>
      </c>
      <c r="J940">
        <v>-328.23110000000003</v>
      </c>
      <c r="K940">
        <v>1.109022</v>
      </c>
      <c r="L940">
        <v>367.82130000000001</v>
      </c>
      <c r="M940">
        <v>0.99995959999999995</v>
      </c>
      <c r="N940">
        <v>-8.4238469999999999E-3</v>
      </c>
      <c r="O940">
        <v>3.147923E-3</v>
      </c>
      <c r="P940">
        <v>0.99405270000000001</v>
      </c>
      <c r="Q940">
        <v>-9.1180289999999997E-2</v>
      </c>
      <c r="R940">
        <v>5.9544600000000003E-2</v>
      </c>
      <c r="S940">
        <v>3.0386350000000002</v>
      </c>
      <c r="T940">
        <v>1.7500519999999999E-2</v>
      </c>
      <c r="U940">
        <v>-0.31579590000000002</v>
      </c>
      <c r="V940">
        <v>-5.6419579999999997E-2</v>
      </c>
      <c r="W940">
        <v>-8.2798559999999993E-2</v>
      </c>
      <c r="X940">
        <v>0.99496790000000002</v>
      </c>
      <c r="Y940">
        <v>0.10650129999999999</v>
      </c>
      <c r="Z940" s="1">
        <v>-9.9397090000000003E-5</v>
      </c>
      <c r="AA940">
        <v>0.99431259999999999</v>
      </c>
      <c r="AB940">
        <v>36</v>
      </c>
      <c r="AC940">
        <v>3.0386350000000002</v>
      </c>
      <c r="AD940">
        <v>1.7500519999999999E-2</v>
      </c>
      <c r="AE940">
        <v>-0.31579590000000002</v>
      </c>
      <c r="AF940">
        <v>0.32534938676302599</v>
      </c>
      <c r="AG940">
        <v>1.7500519999999999E-2</v>
      </c>
      <c r="AH940">
        <v>3.0375261289351698</v>
      </c>
      <c r="AI940">
        <v>89.671774920649995</v>
      </c>
      <c r="AJ940">
        <v>83.886358338148398</v>
      </c>
      <c r="AK940">
        <v>3.0549506502775499</v>
      </c>
      <c r="AL940">
        <v>94.749445589177895</v>
      </c>
      <c r="AM940">
        <v>93.245477294294801</v>
      </c>
      <c r="AN940">
        <v>0.99999994628792799</v>
      </c>
    </row>
    <row r="941" spans="1:40" x14ac:dyDescent="0.25">
      <c r="A941" t="str">
        <f>"20190305134924001"</f>
        <v>20190305134924001</v>
      </c>
      <c r="B941" t="str">
        <f>"1551764963991401"</f>
        <v>1551764963991401</v>
      </c>
      <c r="C941" t="s">
        <v>40</v>
      </c>
      <c r="D941">
        <v>3.869151</v>
      </c>
      <c r="E941">
        <v>0.56375149999999996</v>
      </c>
      <c r="F941" t="s">
        <v>47</v>
      </c>
      <c r="G941">
        <v>0</v>
      </c>
      <c r="H941">
        <v>0</v>
      </c>
      <c r="I941">
        <v>0</v>
      </c>
      <c r="J941">
        <v>-328.04930000000002</v>
      </c>
      <c r="K941">
        <v>1.109024</v>
      </c>
      <c r="L941">
        <v>367.8218</v>
      </c>
      <c r="M941">
        <v>0.99996019999999997</v>
      </c>
      <c r="N941">
        <v>-8.3746299999999992E-3</v>
      </c>
      <c r="O941">
        <v>3.1483180000000002E-3</v>
      </c>
      <c r="P941">
        <v>0.99405010000000005</v>
      </c>
      <c r="Q941">
        <v>-9.1119019999999995E-2</v>
      </c>
      <c r="R941">
        <v>5.9681909999999998E-2</v>
      </c>
      <c r="S941">
        <v>3.0387270000000002</v>
      </c>
      <c r="T941">
        <v>1.9149659999999999E-2</v>
      </c>
      <c r="U941">
        <v>-0.31735229999999998</v>
      </c>
      <c r="V941">
        <v>-5.6556759999999998E-2</v>
      </c>
      <c r="W941">
        <v>-8.2786349999999995E-2</v>
      </c>
      <c r="X941">
        <v>0.99496119999999999</v>
      </c>
      <c r="Y941">
        <v>0.10700229999999999</v>
      </c>
      <c r="Z941" s="1">
        <v>-6.6953829999999998E-5</v>
      </c>
      <c r="AA941">
        <v>0.9942588</v>
      </c>
      <c r="AB941">
        <v>36</v>
      </c>
      <c r="AC941">
        <v>3.0387270000000002</v>
      </c>
      <c r="AD941">
        <v>1.9149659999999999E-2</v>
      </c>
      <c r="AE941">
        <v>-0.31735229999999998</v>
      </c>
      <c r="AF941">
        <v>0.32690509688094899</v>
      </c>
      <c r="AG941">
        <v>1.9149659999999999E-2</v>
      </c>
      <c r="AH941">
        <v>3.0375934462560399</v>
      </c>
      <c r="AI941">
        <v>89.640873199912093</v>
      </c>
      <c r="AJ941">
        <v>83.857483035407498</v>
      </c>
      <c r="AK941">
        <v>3.0551935448646299</v>
      </c>
      <c r="AL941">
        <v>94.748743255437304</v>
      </c>
      <c r="AM941">
        <v>93.253373360907801</v>
      </c>
      <c r="AN941">
        <v>1.0000000181767199</v>
      </c>
    </row>
    <row r="942" spans="1:40" x14ac:dyDescent="0.25">
      <c r="A942" t="str">
        <f>"20190305134924012"</f>
        <v>20190305134924012</v>
      </c>
      <c r="B942" t="str">
        <f>"1551764964001161"</f>
        <v>1551764964001161</v>
      </c>
      <c r="C942" t="s">
        <v>40</v>
      </c>
      <c r="D942">
        <v>3.8491420000000001</v>
      </c>
      <c r="E942">
        <v>0.56388539999999998</v>
      </c>
      <c r="F942" t="s">
        <v>47</v>
      </c>
      <c r="G942">
        <v>0</v>
      </c>
      <c r="H942">
        <v>0</v>
      </c>
      <c r="I942">
        <v>0</v>
      </c>
      <c r="J942">
        <v>-327.87630000000001</v>
      </c>
      <c r="K942">
        <v>1.109022</v>
      </c>
      <c r="L942">
        <v>367.82240000000002</v>
      </c>
      <c r="M942">
        <v>0.99996030000000002</v>
      </c>
      <c r="N942">
        <v>-8.3295219999999903E-3</v>
      </c>
      <c r="O942">
        <v>3.1489920000000002E-3</v>
      </c>
      <c r="P942">
        <v>0.99403229999999998</v>
      </c>
      <c r="Q942">
        <v>-9.1254589999999997E-2</v>
      </c>
      <c r="R942">
        <v>5.977031E-2</v>
      </c>
      <c r="S942">
        <v>3.0389710000000001</v>
      </c>
      <c r="T942">
        <v>2.0319940000000002E-2</v>
      </c>
      <c r="U942">
        <v>-0.3183899</v>
      </c>
      <c r="V942">
        <v>-5.6644149999999997E-2</v>
      </c>
      <c r="W942">
        <v>-8.2967070000000004E-2</v>
      </c>
      <c r="X942">
        <v>0.99494119999999997</v>
      </c>
      <c r="Y942">
        <v>0.10733040000000001</v>
      </c>
      <c r="Z942" s="1">
        <v>-4.3229780000000003E-5</v>
      </c>
      <c r="AA942">
        <v>0.99422339999999998</v>
      </c>
      <c r="AB942">
        <v>36</v>
      </c>
      <c r="AC942">
        <v>3.0389710000000001</v>
      </c>
      <c r="AD942">
        <v>2.0319940000000002E-2</v>
      </c>
      <c r="AE942">
        <v>-0.3183899</v>
      </c>
      <c r="AF942">
        <v>0.327943846389331</v>
      </c>
      <c r="AG942">
        <v>2.0319940000000002E-2</v>
      </c>
      <c r="AH942">
        <v>3.0378189471611501</v>
      </c>
      <c r="AI942">
        <v>89.6189686037809</v>
      </c>
      <c r="AJ942">
        <v>83.838568826342893</v>
      </c>
      <c r="AK942">
        <v>3.05553661769541</v>
      </c>
      <c r="AL942">
        <v>94.759133374797898</v>
      </c>
      <c r="AM942">
        <v>93.258454921372405</v>
      </c>
      <c r="AN942">
        <v>1.00000004294552</v>
      </c>
    </row>
    <row r="943" spans="1:40" x14ac:dyDescent="0.25">
      <c r="A943" t="str">
        <f>"20190305134924024"</f>
        <v>20190305134924024</v>
      </c>
      <c r="B943" t="str">
        <f>"1551764964021657"</f>
        <v>1551764964021657</v>
      </c>
      <c r="C943" t="s">
        <v>40</v>
      </c>
      <c r="D943">
        <v>3.854625</v>
      </c>
      <c r="E943">
        <v>0.56413869999999999</v>
      </c>
      <c r="F943" t="s">
        <v>47</v>
      </c>
      <c r="G943">
        <v>0</v>
      </c>
      <c r="H943">
        <v>0</v>
      </c>
      <c r="I943">
        <v>0</v>
      </c>
      <c r="J943">
        <v>-327.68349999999998</v>
      </c>
      <c r="K943">
        <v>1.1090180000000001</v>
      </c>
      <c r="L943">
        <v>367.82299999999998</v>
      </c>
      <c r="M943">
        <v>0.99996079999999998</v>
      </c>
      <c r="N943">
        <v>-8.2845039999999998E-3</v>
      </c>
      <c r="O943">
        <v>3.149546E-3</v>
      </c>
      <c r="P943">
        <v>0.99404990000000004</v>
      </c>
      <c r="Q943">
        <v>-9.1126609999999997E-2</v>
      </c>
      <c r="R943">
        <v>5.9675359999999997E-2</v>
      </c>
      <c r="S943">
        <v>3.0390320000000002</v>
      </c>
      <c r="T943">
        <v>2.0655389999999999E-2</v>
      </c>
      <c r="U943">
        <v>-0.3188782</v>
      </c>
      <c r="V943">
        <v>-5.6548699999999903E-2</v>
      </c>
      <c r="W943">
        <v>-8.2883830000000006E-2</v>
      </c>
      <c r="X943">
        <v>0.99495350000000005</v>
      </c>
      <c r="Y943">
        <v>0.10748679999999999</v>
      </c>
      <c r="Z943" s="1">
        <v>-3.4820519999999998E-5</v>
      </c>
      <c r="AA943">
        <v>0.99420649999999999</v>
      </c>
      <c r="AB943">
        <v>36</v>
      </c>
      <c r="AC943">
        <v>3.0390320000000002</v>
      </c>
      <c r="AD943">
        <v>2.0655389999999999E-2</v>
      </c>
      <c r="AE943">
        <v>-0.3188782</v>
      </c>
      <c r="AF943">
        <v>0.32843351032163298</v>
      </c>
      <c r="AG943">
        <v>2.0655389999999999E-2</v>
      </c>
      <c r="AH943">
        <v>3.03787376317125</v>
      </c>
      <c r="AI943">
        <v>89.612692144046704</v>
      </c>
      <c r="AJ943">
        <v>83.829550390638701</v>
      </c>
      <c r="AK943">
        <v>3.0556459573717798</v>
      </c>
      <c r="AL943">
        <v>94.754347910127095</v>
      </c>
      <c r="AM943">
        <v>93.252935833266804</v>
      </c>
      <c r="AN943">
        <v>0.99999997595470402</v>
      </c>
    </row>
    <row r="944" spans="1:40" x14ac:dyDescent="0.25">
      <c r="A944" t="str">
        <f>"20190305134924036"</f>
        <v>20190305134924036</v>
      </c>
      <c r="B944" t="str">
        <f>"1551764964031418"</f>
        <v>1551764964031418</v>
      </c>
      <c r="C944" t="s">
        <v>40</v>
      </c>
      <c r="D944">
        <v>3.8851960000000001</v>
      </c>
      <c r="E944">
        <v>0.56420930000000002</v>
      </c>
      <c r="F944" t="s">
        <v>47</v>
      </c>
      <c r="G944">
        <v>0</v>
      </c>
      <c r="H944">
        <v>0</v>
      </c>
      <c r="I944">
        <v>0</v>
      </c>
      <c r="J944">
        <v>-327.50130000000001</v>
      </c>
      <c r="K944">
        <v>1.1090120000000001</v>
      </c>
      <c r="L944">
        <v>367.82350000000002</v>
      </c>
      <c r="M944">
        <v>0.99996110000000005</v>
      </c>
      <c r="N944">
        <v>-8.2451509999999992E-3</v>
      </c>
      <c r="O944">
        <v>3.1501929999999999E-3</v>
      </c>
      <c r="P944">
        <v>0.99402659999999998</v>
      </c>
      <c r="Q944">
        <v>-9.1248109999999993E-2</v>
      </c>
      <c r="R944">
        <v>5.987514E-2</v>
      </c>
      <c r="S944">
        <v>3.0393370000000002</v>
      </c>
      <c r="T944">
        <v>2.2829060000000002E-2</v>
      </c>
      <c r="U944">
        <v>-0.32122800000000001</v>
      </c>
      <c r="V944">
        <v>-5.6747680000000002E-2</v>
      </c>
      <c r="W944">
        <v>-8.3044750000000001E-2</v>
      </c>
      <c r="X944">
        <v>0.99492879999999995</v>
      </c>
      <c r="Y944">
        <v>0.108237</v>
      </c>
      <c r="Z944" s="1">
        <v>7.3956330000000002E-6</v>
      </c>
      <c r="AA944">
        <v>0.99412509999999998</v>
      </c>
      <c r="AB944">
        <v>36</v>
      </c>
      <c r="AC944">
        <v>3.0393370000000002</v>
      </c>
      <c r="AD944">
        <v>2.2829060000000002E-2</v>
      </c>
      <c r="AE944">
        <v>-0.32122800000000001</v>
      </c>
      <c r="AF944">
        <v>0.33078277312210502</v>
      </c>
      <c r="AG944">
        <v>2.2829060000000002E-2</v>
      </c>
      <c r="AH944">
        <v>3.03814044109654</v>
      </c>
      <c r="AI944">
        <v>89.572007871378005</v>
      </c>
      <c r="AJ944">
        <v>83.786298885135096</v>
      </c>
      <c r="AK944">
        <v>3.0561799274259198</v>
      </c>
      <c r="AL944">
        <v>94.763599616615807</v>
      </c>
      <c r="AM944">
        <v>93.264438213704594</v>
      </c>
      <c r="AN944">
        <v>1.0000000233786901</v>
      </c>
    </row>
    <row r="945" spans="1:40" x14ac:dyDescent="0.25">
      <c r="A945" t="str">
        <f>"20190305134924048"</f>
        <v>20190305134924048</v>
      </c>
      <c r="B945" t="str">
        <f>"1551764964041177"</f>
        <v>1551764964041177</v>
      </c>
      <c r="C945" t="s">
        <v>40</v>
      </c>
      <c r="D945">
        <v>3.8521969999999999</v>
      </c>
      <c r="E945">
        <v>0.56438269999999902</v>
      </c>
      <c r="F945" t="s">
        <v>47</v>
      </c>
      <c r="G945">
        <v>0</v>
      </c>
      <c r="H945">
        <v>0</v>
      </c>
      <c r="I945">
        <v>0</v>
      </c>
      <c r="J945">
        <v>-327.30799999999999</v>
      </c>
      <c r="K945">
        <v>1.109008</v>
      </c>
      <c r="L945">
        <v>367.82420000000002</v>
      </c>
      <c r="M945">
        <v>0.9999614</v>
      </c>
      <c r="N945">
        <v>-8.2062239999999998E-3</v>
      </c>
      <c r="O945">
        <v>3.1508980000000001E-3</v>
      </c>
      <c r="P945">
        <v>0.99403269999999999</v>
      </c>
      <c r="Q945">
        <v>-9.1097070000000002E-2</v>
      </c>
      <c r="R945">
        <v>6.00061E-2</v>
      </c>
      <c r="S945">
        <v>3.0394899999999998</v>
      </c>
      <c r="T945">
        <v>2.2865770000000001E-2</v>
      </c>
      <c r="U945">
        <v>-0.32104490000000002</v>
      </c>
      <c r="V945">
        <v>-5.6878190000000002E-2</v>
      </c>
      <c r="W945">
        <v>-8.2932489999999998E-2</v>
      </c>
      <c r="X945">
        <v>0.99493069999999895</v>
      </c>
      <c r="Y945">
        <v>0.1081733</v>
      </c>
      <c r="Z945" s="1">
        <v>1.009181E-5</v>
      </c>
      <c r="AA945">
        <v>0.99413200000000002</v>
      </c>
      <c r="AB945">
        <v>36</v>
      </c>
      <c r="AC945">
        <v>3.0394899999999998</v>
      </c>
      <c r="AD945">
        <v>2.2865770000000001E-2</v>
      </c>
      <c r="AE945">
        <v>-0.32104490000000002</v>
      </c>
      <c r="AF945">
        <v>0.33060224764371199</v>
      </c>
      <c r="AG945">
        <v>2.2865770000000001E-2</v>
      </c>
      <c r="AH945">
        <v>3.0382932450105802</v>
      </c>
      <c r="AI945">
        <v>89.571338235898494</v>
      </c>
      <c r="AJ945">
        <v>83.789973415728994</v>
      </c>
      <c r="AK945">
        <v>3.0563125710996402</v>
      </c>
      <c r="AL945">
        <v>94.757145382239301</v>
      </c>
      <c r="AM945">
        <v>93.2719233381154</v>
      </c>
      <c r="AN945">
        <v>1.0000000120988799</v>
      </c>
    </row>
    <row r="946" spans="1:40" x14ac:dyDescent="0.25">
      <c r="A946" t="str">
        <f>"20190305134924059"</f>
        <v>20190305134924059</v>
      </c>
      <c r="B946" t="str">
        <f>"1551764964051913"</f>
        <v>1551764964051913</v>
      </c>
      <c r="C946" t="s">
        <v>40</v>
      </c>
      <c r="D946">
        <v>3.8407490000000002</v>
      </c>
      <c r="E946">
        <v>0.56437389999999998</v>
      </c>
      <c r="F946" t="s">
        <v>47</v>
      </c>
      <c r="G946">
        <v>0</v>
      </c>
      <c r="H946">
        <v>0</v>
      </c>
      <c r="I946">
        <v>0</v>
      </c>
      <c r="J946">
        <v>-327.11900000000003</v>
      </c>
      <c r="K946">
        <v>1.1090059999999999</v>
      </c>
      <c r="L946">
        <v>367.82479999999998</v>
      </c>
      <c r="M946">
        <v>0.99996169999999995</v>
      </c>
      <c r="N946">
        <v>-8.1727450000000004E-3</v>
      </c>
      <c r="O946">
        <v>3.1525390000000002E-3</v>
      </c>
      <c r="P946">
        <v>0.99399610000000005</v>
      </c>
      <c r="Q946">
        <v>-9.1347369999999997E-2</v>
      </c>
      <c r="R946">
        <v>6.0228629999999998E-2</v>
      </c>
      <c r="S946">
        <v>3.0397029999999998</v>
      </c>
      <c r="T946">
        <v>2.4830339999999999E-2</v>
      </c>
      <c r="U946">
        <v>-0.3218994</v>
      </c>
      <c r="V946">
        <v>-5.7098870000000003E-2</v>
      </c>
      <c r="W946">
        <v>-8.3216540000000006E-2</v>
      </c>
      <c r="X946">
        <v>0.99489430000000001</v>
      </c>
      <c r="Y946">
        <v>0.1084437</v>
      </c>
      <c r="Z946" s="1">
        <v>4.8666840000000002E-5</v>
      </c>
      <c r="AA946">
        <v>0.99410259999999995</v>
      </c>
      <c r="AB946">
        <v>36</v>
      </c>
      <c r="AC946">
        <v>3.0397029999999998</v>
      </c>
      <c r="AD946">
        <v>2.4830339999999999E-2</v>
      </c>
      <c r="AE946">
        <v>-0.3218994</v>
      </c>
      <c r="AF946">
        <v>0.33145902990027498</v>
      </c>
      <c r="AG946">
        <v>2.4830339999999999E-2</v>
      </c>
      <c r="AH946">
        <v>3.0384725593461499</v>
      </c>
      <c r="AI946">
        <v>89.534551520167199</v>
      </c>
      <c r="AJ946">
        <v>83.774370401815403</v>
      </c>
      <c r="AK946">
        <v>3.0565989478808802</v>
      </c>
      <c r="AL946">
        <v>94.773476897569594</v>
      </c>
      <c r="AM946">
        <v>93.284710144717394</v>
      </c>
      <c r="AN946">
        <v>0.99999997082866798</v>
      </c>
    </row>
    <row r="947" spans="1:40" x14ac:dyDescent="0.25">
      <c r="A947" t="str">
        <f>"20190305134924071"</f>
        <v>20190305134924071</v>
      </c>
      <c r="B947" t="str">
        <f>"1551764964061673"</f>
        <v>1551764964061673</v>
      </c>
      <c r="C947" t="s">
        <v>40</v>
      </c>
      <c r="D947">
        <v>3.8627039999999999</v>
      </c>
      <c r="E947">
        <v>0.56437389999999998</v>
      </c>
      <c r="F947" t="s">
        <v>47</v>
      </c>
      <c r="G947">
        <v>0</v>
      </c>
      <c r="H947">
        <v>0</v>
      </c>
      <c r="I947">
        <v>0</v>
      </c>
      <c r="J947">
        <v>-326.92579999999998</v>
      </c>
      <c r="K947">
        <v>1.109008</v>
      </c>
      <c r="L947">
        <v>367.8254</v>
      </c>
      <c r="M947">
        <v>0.99996189999999996</v>
      </c>
      <c r="N947">
        <v>-8.1401559999999904E-3</v>
      </c>
      <c r="O947">
        <v>3.1548919999999999E-3</v>
      </c>
      <c r="P947">
        <v>0.99397250000000004</v>
      </c>
      <c r="Q947">
        <v>-9.1442480000000007E-2</v>
      </c>
      <c r="R947">
        <v>6.0473810000000003E-2</v>
      </c>
      <c r="S947">
        <v>3.0397029999999998</v>
      </c>
      <c r="T947">
        <v>2.2906780000000002E-2</v>
      </c>
      <c r="U947">
        <v>-0.3209534</v>
      </c>
      <c r="V947">
        <v>-5.734115E-2</v>
      </c>
      <c r="W947">
        <v>-8.3344429999999997E-2</v>
      </c>
      <c r="X947">
        <v>0.99486969999999997</v>
      </c>
      <c r="Y947">
        <v>0.10814029999999999</v>
      </c>
      <c r="Z947" s="1">
        <v>1.428212E-5</v>
      </c>
      <c r="AA947">
        <v>0.99413560000000001</v>
      </c>
      <c r="AB947">
        <v>36</v>
      </c>
      <c r="AC947">
        <v>3.0397029999999998</v>
      </c>
      <c r="AD947">
        <v>2.2906780000000002E-2</v>
      </c>
      <c r="AE947">
        <v>-0.3209534</v>
      </c>
      <c r="AF947">
        <v>0.33052349173521101</v>
      </c>
      <c r="AG947">
        <v>2.2906780000000002E-2</v>
      </c>
      <c r="AH947">
        <v>3.03850461277499</v>
      </c>
      <c r="AI947">
        <v>89.5705977805396</v>
      </c>
      <c r="AJ947">
        <v>83.791869724925206</v>
      </c>
      <c r="AK947">
        <v>3.0565144823824499</v>
      </c>
      <c r="AL947">
        <v>94.780829807389594</v>
      </c>
      <c r="AM947">
        <v>93.298698388143094</v>
      </c>
      <c r="AN947">
        <v>1.00000001073671</v>
      </c>
    </row>
    <row r="948" spans="1:40" x14ac:dyDescent="0.25">
      <c r="A948" t="str">
        <f>"20190305134924081"</f>
        <v>20190305134924081</v>
      </c>
      <c r="B948" t="str">
        <f>"1551764964071433"</f>
        <v>1551764964071433</v>
      </c>
      <c r="C948" t="s">
        <v>40</v>
      </c>
      <c r="D948">
        <v>3.8713139999999999</v>
      </c>
      <c r="E948">
        <v>0.56446499999999999</v>
      </c>
      <c r="F948" t="s">
        <v>47</v>
      </c>
      <c r="G948">
        <v>0</v>
      </c>
      <c r="H948">
        <v>0</v>
      </c>
      <c r="I948">
        <v>0</v>
      </c>
      <c r="J948">
        <v>-326.75670000000002</v>
      </c>
      <c r="K948">
        <v>1.1090059999999999</v>
      </c>
      <c r="L948">
        <v>367.82589999999999</v>
      </c>
      <c r="M948">
        <v>0.99996220000000002</v>
      </c>
      <c r="N948">
        <v>-8.1152269999999992E-3</v>
      </c>
      <c r="O948">
        <v>3.1582289999999998E-3</v>
      </c>
      <c r="P948">
        <v>0.99395579999999994</v>
      </c>
      <c r="Q948">
        <v>-9.1333010000000006E-2</v>
      </c>
      <c r="R948">
        <v>6.0914679999999999E-2</v>
      </c>
      <c r="S948">
        <v>3.0397639999999999</v>
      </c>
      <c r="T948">
        <v>2.2636770000000001E-2</v>
      </c>
      <c r="U948">
        <v>-0.32043460000000001</v>
      </c>
      <c r="V948">
        <v>-5.7778469999999998E-2</v>
      </c>
      <c r="W948">
        <v>-8.3260100000000004E-2</v>
      </c>
      <c r="X948">
        <v>0.9948515</v>
      </c>
      <c r="Y948">
        <v>0.10797370000000001</v>
      </c>
      <c r="Z948" s="1">
        <v>1.059717E-5</v>
      </c>
      <c r="AA948">
        <v>0.99415370000000003</v>
      </c>
      <c r="AB948">
        <v>36</v>
      </c>
      <c r="AC948">
        <v>3.0397639999999999</v>
      </c>
      <c r="AD948">
        <v>2.2636770000000001E-2</v>
      </c>
      <c r="AE948">
        <v>-0.32043460000000001</v>
      </c>
      <c r="AF948">
        <v>0.33001548742343101</v>
      </c>
      <c r="AG948">
        <v>2.2636770000000001E-2</v>
      </c>
      <c r="AH948">
        <v>3.03857014469465</v>
      </c>
      <c r="AI948">
        <v>89.575660527893604</v>
      </c>
      <c r="AJ948">
        <v>83.801469735891999</v>
      </c>
      <c r="AK948">
        <v>3.0565227251772602</v>
      </c>
      <c r="AL948">
        <v>94.775981007286802</v>
      </c>
      <c r="AM948">
        <v>93.3238608332192</v>
      </c>
      <c r="AN948">
        <v>1.0000000514498899</v>
      </c>
    </row>
    <row r="949" spans="1:40" x14ac:dyDescent="0.25">
      <c r="A949" t="str">
        <f>"20190305134924091"</f>
        <v>20190305134924091</v>
      </c>
      <c r="B949" t="str">
        <f>"1551764964081193"</f>
        <v>1551764964081193</v>
      </c>
      <c r="C949" t="s">
        <v>40</v>
      </c>
      <c r="D949">
        <v>3.8686069999999999</v>
      </c>
      <c r="E949">
        <v>0.56452279999999999</v>
      </c>
      <c r="F949" t="s">
        <v>47</v>
      </c>
      <c r="G949">
        <v>0</v>
      </c>
      <c r="H949">
        <v>0</v>
      </c>
      <c r="I949">
        <v>0</v>
      </c>
      <c r="J949">
        <v>-326.60410000000002</v>
      </c>
      <c r="K949">
        <v>1.1090040000000001</v>
      </c>
      <c r="L949">
        <v>367.82639999999998</v>
      </c>
      <c r="M949">
        <v>0.99996229999999997</v>
      </c>
      <c r="N949">
        <v>-8.0933719999999997E-3</v>
      </c>
      <c r="O949">
        <v>3.1613140000000001E-3</v>
      </c>
      <c r="P949">
        <v>0.99392910000000001</v>
      </c>
      <c r="Q949">
        <v>-9.1301380000000001E-2</v>
      </c>
      <c r="R949">
        <v>6.139244E-2</v>
      </c>
      <c r="S949">
        <v>3.0399479999999999</v>
      </c>
      <c r="T949">
        <v>2.3375750000000001E-2</v>
      </c>
      <c r="U949">
        <v>-0.31942749999999998</v>
      </c>
      <c r="V949">
        <v>-5.8252890000000002E-2</v>
      </c>
      <c r="W949">
        <v>-8.3250610000000003E-2</v>
      </c>
      <c r="X949">
        <v>0.99482459999999995</v>
      </c>
      <c r="Y949">
        <v>0.107644699999999</v>
      </c>
      <c r="Z949" s="1">
        <v>2.5675980000000001E-5</v>
      </c>
      <c r="AA949">
        <v>0.9941894</v>
      </c>
      <c r="AB949">
        <v>36</v>
      </c>
      <c r="AC949">
        <v>3.0399479999999999</v>
      </c>
      <c r="AD949">
        <v>2.3375750000000001E-2</v>
      </c>
      <c r="AE949">
        <v>-0.31942749999999998</v>
      </c>
      <c r="AF949">
        <v>0.32901720626285003</v>
      </c>
      <c r="AG949">
        <v>2.3375750000000001E-2</v>
      </c>
      <c r="AH949">
        <v>3.03874524975845</v>
      </c>
      <c r="AI949">
        <v>89.561817975523397</v>
      </c>
      <c r="AJ949">
        <v>83.820428049041993</v>
      </c>
      <c r="AK949">
        <v>3.0565947458952798</v>
      </c>
      <c r="AL949">
        <v>94.775435507402705</v>
      </c>
      <c r="AM949">
        <v>93.351181571905997</v>
      </c>
      <c r="AN949">
        <v>1.00000002401194</v>
      </c>
    </row>
    <row r="950" spans="1:40" x14ac:dyDescent="0.25">
      <c r="A950" t="str">
        <f>"20190305134924101"</f>
        <v>20190305134924101</v>
      </c>
      <c r="B950" t="str">
        <f>"1551764964091930"</f>
        <v>1551764964091930</v>
      </c>
      <c r="C950" t="s">
        <v>40</v>
      </c>
      <c r="D950">
        <v>3.9218160000000002</v>
      </c>
      <c r="E950">
        <v>0.56452279999999999</v>
      </c>
      <c r="F950" t="s">
        <v>47</v>
      </c>
      <c r="G950">
        <v>0</v>
      </c>
      <c r="H950">
        <v>0</v>
      </c>
      <c r="I950">
        <v>0</v>
      </c>
      <c r="J950">
        <v>-326.43130000000002</v>
      </c>
      <c r="K950">
        <v>1.1090040000000001</v>
      </c>
      <c r="L950">
        <v>367.827</v>
      </c>
      <c r="M950">
        <v>0.99996240000000003</v>
      </c>
      <c r="N950">
        <v>-8.0717669999999901E-3</v>
      </c>
      <c r="O950">
        <v>3.166847E-3</v>
      </c>
      <c r="P950">
        <v>0.99391470000000004</v>
      </c>
      <c r="Q950">
        <v>-9.1413469999999997E-2</v>
      </c>
      <c r="R950">
        <v>6.1460300000000002E-2</v>
      </c>
      <c r="S950">
        <v>3.0401919999999998</v>
      </c>
      <c r="T950">
        <v>2.3723600000000001E-2</v>
      </c>
      <c r="U950">
        <v>-0.31884770000000001</v>
      </c>
      <c r="V950">
        <v>-5.8314850000000001E-2</v>
      </c>
      <c r="W950">
        <v>-8.3384620000000007E-2</v>
      </c>
      <c r="X950">
        <v>0.99480970000000002</v>
      </c>
      <c r="Y950">
        <v>0.1074543</v>
      </c>
      <c r="Z950" s="1">
        <v>3.3367249999999998E-5</v>
      </c>
      <c r="AA950">
        <v>0.99421000000000004</v>
      </c>
      <c r="AB950">
        <v>36</v>
      </c>
      <c r="AC950">
        <v>3.0401919999999998</v>
      </c>
      <c r="AD950">
        <v>2.3723600000000001E-2</v>
      </c>
      <c r="AE950">
        <v>-0.31884770000000001</v>
      </c>
      <c r="AF950">
        <v>0.32845445508918603</v>
      </c>
      <c r="AG950">
        <v>2.3723600000000001E-2</v>
      </c>
      <c r="AH950">
        <v>3.0389839431760999</v>
      </c>
      <c r="AI950">
        <v>89.555323452396394</v>
      </c>
      <c r="AJ950">
        <v>83.831396831003303</v>
      </c>
      <c r="AK950">
        <v>3.0567742057841101</v>
      </c>
      <c r="AL950">
        <v>94.783140725660601</v>
      </c>
      <c r="AM950">
        <v>93.354788011686296</v>
      </c>
      <c r="AN950">
        <v>0.99999997789857797</v>
      </c>
    </row>
    <row r="951" spans="1:40" x14ac:dyDescent="0.25">
      <c r="A951" t="str">
        <f>"20190305134924113"</f>
        <v>20190305134924113</v>
      </c>
      <c r="B951" t="str">
        <f>"1551764964101690"</f>
        <v>1551764964101690</v>
      </c>
      <c r="C951" t="s">
        <v>40</v>
      </c>
      <c r="D951">
        <v>3.8658489999999999</v>
      </c>
      <c r="E951">
        <v>0.5645114</v>
      </c>
      <c r="F951" t="s">
        <v>47</v>
      </c>
      <c r="G951">
        <v>0</v>
      </c>
      <c r="H951">
        <v>0</v>
      </c>
      <c r="I951">
        <v>0</v>
      </c>
      <c r="J951">
        <v>-326.25189999999998</v>
      </c>
      <c r="K951">
        <v>1.109003</v>
      </c>
      <c r="L951">
        <v>367.82749999999999</v>
      </c>
      <c r="M951">
        <v>0.99996260000000003</v>
      </c>
      <c r="N951">
        <v>-8.0504719999999995E-3</v>
      </c>
      <c r="O951">
        <v>3.172977E-3</v>
      </c>
      <c r="P951">
        <v>0.99391090000000004</v>
      </c>
      <c r="Q951">
        <v>-9.1195289999999998E-2</v>
      </c>
      <c r="R951">
        <v>6.1844110000000001E-2</v>
      </c>
      <c r="S951">
        <v>3.040222</v>
      </c>
      <c r="T951">
        <v>2.3382900000000002E-2</v>
      </c>
      <c r="U951">
        <v>-0.31842039999999999</v>
      </c>
      <c r="V951">
        <v>-5.8692460000000002E-2</v>
      </c>
      <c r="W951">
        <v>-8.3187960000000005E-2</v>
      </c>
      <c r="X951">
        <v>0.99480400000000002</v>
      </c>
      <c r="Y951">
        <v>0.10732120000000001</v>
      </c>
      <c r="Z951" s="1">
        <v>2.821471E-5</v>
      </c>
      <c r="AA951">
        <v>0.99422440000000001</v>
      </c>
      <c r="AB951">
        <v>36</v>
      </c>
      <c r="AC951">
        <v>3.040222</v>
      </c>
      <c r="AD951">
        <v>2.3382900000000002E-2</v>
      </c>
      <c r="AE951">
        <v>-0.31842039999999999</v>
      </c>
      <c r="AF951">
        <v>0.32804646891690298</v>
      </c>
      <c r="AG951">
        <v>2.3382900000000002E-2</v>
      </c>
      <c r="AH951">
        <v>3.0390185011933899</v>
      </c>
      <c r="AI951">
        <v>89.561707946575495</v>
      </c>
      <c r="AJ951">
        <v>83.839069652025699</v>
      </c>
      <c r="AK951">
        <v>3.0567621262337399</v>
      </c>
      <c r="AL951">
        <v>94.771833451507803</v>
      </c>
      <c r="AM951">
        <v>93.376480695651395</v>
      </c>
      <c r="AN951">
        <v>1.0000000199829</v>
      </c>
    </row>
    <row r="952" spans="1:40" x14ac:dyDescent="0.25">
      <c r="A952" t="str">
        <f>"20190305134924125"</f>
        <v>20190305134924125</v>
      </c>
      <c r="B952" t="str">
        <f>"1551764964121209"</f>
        <v>1551764964121209</v>
      </c>
      <c r="C952" t="s">
        <v>40</v>
      </c>
      <c r="D952">
        <v>3.874063</v>
      </c>
      <c r="E952">
        <v>0.55029839999999997</v>
      </c>
      <c r="F952" t="s">
        <v>47</v>
      </c>
      <c r="G952">
        <v>0</v>
      </c>
      <c r="H952">
        <v>0</v>
      </c>
      <c r="I952">
        <v>0</v>
      </c>
      <c r="J952">
        <v>-326.06290000000001</v>
      </c>
      <c r="K952">
        <v>1.109002</v>
      </c>
      <c r="L952">
        <v>367.82810000000001</v>
      </c>
      <c r="M952">
        <v>0.99996289999999999</v>
      </c>
      <c r="N952">
        <v>-8.0306359999999903E-3</v>
      </c>
      <c r="O952">
        <v>3.1810100000000002E-3</v>
      </c>
      <c r="P952">
        <v>0.99390999999999996</v>
      </c>
      <c r="Q952">
        <v>-9.1008599999999995E-2</v>
      </c>
      <c r="R952">
        <v>6.2133170000000001E-2</v>
      </c>
      <c r="S952">
        <v>3.0404049999999998</v>
      </c>
      <c r="T952">
        <v>2.4933219999999999E-2</v>
      </c>
      <c r="U952">
        <v>-0.31710820000000001</v>
      </c>
      <c r="V952">
        <v>-5.8972190000000001E-2</v>
      </c>
      <c r="W952">
        <v>-8.3021369999999997E-2</v>
      </c>
      <c r="X952">
        <v>0.9948013</v>
      </c>
      <c r="Y952">
        <v>0.1068983</v>
      </c>
      <c r="Z952" s="1">
        <v>5.8216159999999997E-5</v>
      </c>
      <c r="AA952">
        <v>0.99426999999999999</v>
      </c>
      <c r="AB952">
        <v>36</v>
      </c>
      <c r="AC952">
        <v>3.0404049999999998</v>
      </c>
      <c r="AD952">
        <v>2.4933219999999999E-2</v>
      </c>
      <c r="AE952">
        <v>-0.31710820000000001</v>
      </c>
      <c r="AF952">
        <v>0.32675672610989298</v>
      </c>
      <c r="AG952">
        <v>2.4933219999999999E-2</v>
      </c>
      <c r="AH952">
        <v>3.0391786735260902</v>
      </c>
      <c r="AI952">
        <v>89.532653026956893</v>
      </c>
      <c r="AJ952">
        <v>83.863427646824803</v>
      </c>
      <c r="AK952">
        <v>3.0567954843485099</v>
      </c>
      <c r="AL952">
        <v>94.762255765107</v>
      </c>
      <c r="AM952">
        <v>93.392544791284493</v>
      </c>
      <c r="AN952">
        <v>0.99999994677588</v>
      </c>
    </row>
    <row r="953" spans="1:40" x14ac:dyDescent="0.25">
      <c r="A953" t="str">
        <f>"20190305134924137"</f>
        <v>20190305134924137</v>
      </c>
      <c r="B953" t="str">
        <f>"1551764964131946"</f>
        <v>1551764964131946</v>
      </c>
      <c r="C953" t="s">
        <v>40</v>
      </c>
      <c r="D953">
        <v>3.8991349999999998</v>
      </c>
      <c r="E953">
        <v>0.54930199999999996</v>
      </c>
      <c r="F953" t="s">
        <v>45</v>
      </c>
      <c r="G953">
        <v>-158.19499999999999</v>
      </c>
      <c r="H953">
        <v>4.1619190000000001</v>
      </c>
      <c r="I953">
        <v>356.65280000000001</v>
      </c>
      <c r="J953">
        <v>-325.86700000000002</v>
      </c>
      <c r="K953">
        <v>1.1089990000000001</v>
      </c>
      <c r="L953">
        <v>367.82870000000003</v>
      </c>
      <c r="M953">
        <v>0.99996289999999999</v>
      </c>
      <c r="N953">
        <v>-8.0120940000000009E-3</v>
      </c>
      <c r="O953">
        <v>3.1907060000000002E-3</v>
      </c>
      <c r="P953">
        <v>0.99388849999999995</v>
      </c>
      <c r="Q953">
        <v>-9.0993389999999993E-2</v>
      </c>
      <c r="R953">
        <v>6.249963E-2</v>
      </c>
      <c r="S953">
        <v>3.0360719999999999</v>
      </c>
      <c r="T953">
        <v>5.5216790000000002E-2</v>
      </c>
      <c r="U953">
        <v>-0.20211789999999999</v>
      </c>
      <c r="V953">
        <v>-5.9328899999999997E-2</v>
      </c>
      <c r="W953">
        <v>-8.3025139999999997E-2</v>
      </c>
      <c r="X953">
        <v>0.99477979999999999</v>
      </c>
      <c r="Y953">
        <v>6.9601099999999999E-2</v>
      </c>
      <c r="Z953">
        <v>4.3650660000000001E-4</v>
      </c>
      <c r="AA953">
        <v>0.99757479999999998</v>
      </c>
      <c r="AB953">
        <v>36</v>
      </c>
      <c r="AC953">
        <v>167.672</v>
      </c>
      <c r="AD953">
        <v>3.0529199999999999</v>
      </c>
      <c r="AE953">
        <v>-11.1759</v>
      </c>
      <c r="AF953">
        <v>11.7069883545021</v>
      </c>
      <c r="AG953">
        <v>3.0529199999999999</v>
      </c>
      <c r="AH953">
        <v>167.58017583229801</v>
      </c>
      <c r="AI953">
        <v>88.958856847556902</v>
      </c>
      <c r="AJ953">
        <v>86.003864799964006</v>
      </c>
      <c r="AK953">
        <v>168.01633619634299</v>
      </c>
      <c r="AL953">
        <v>94.762472401136705</v>
      </c>
      <c r="AM953">
        <v>93.413090786122396</v>
      </c>
      <c r="AN953">
        <v>0.99999997136763397</v>
      </c>
    </row>
    <row r="954" spans="1:40" x14ac:dyDescent="0.25">
      <c r="A954" t="str">
        <f>"20190305134924147"</f>
        <v>20190305134924147</v>
      </c>
      <c r="B954" t="str">
        <f>"1551764964141705"</f>
        <v>1551764964141705</v>
      </c>
      <c r="C954" t="s">
        <v>40</v>
      </c>
      <c r="D954">
        <v>3.8744399999999999</v>
      </c>
      <c r="E954">
        <v>0.54866689999999996</v>
      </c>
      <c r="F954" t="s">
        <v>45</v>
      </c>
      <c r="G954">
        <v>-158.19499999999999</v>
      </c>
      <c r="H954">
        <v>4.2485140000000001</v>
      </c>
      <c r="I954">
        <v>357.16950000000003</v>
      </c>
      <c r="J954">
        <v>-325.68340000000001</v>
      </c>
      <c r="K954">
        <v>1.108997</v>
      </c>
      <c r="L954">
        <v>367.82940000000002</v>
      </c>
      <c r="M954">
        <v>0.99996300000000005</v>
      </c>
      <c r="N954">
        <v>-7.9960250000000004E-3</v>
      </c>
      <c r="O954">
        <v>3.200568E-3</v>
      </c>
      <c r="P954">
        <v>0.99384220000000001</v>
      </c>
      <c r="Q954">
        <v>-9.1222670000000006E-2</v>
      </c>
      <c r="R954">
        <v>6.2900250000000005E-2</v>
      </c>
      <c r="S954">
        <v>3.035828</v>
      </c>
      <c r="T954">
        <v>5.6844829999999999E-2</v>
      </c>
      <c r="U954">
        <v>-0.1929932</v>
      </c>
      <c r="V954">
        <v>-5.9719929999999997E-2</v>
      </c>
      <c r="W954">
        <v>-8.3271090000000006E-2</v>
      </c>
      <c r="X954">
        <v>0.99473590000000001</v>
      </c>
      <c r="Y954">
        <v>6.6629889999999997E-2</v>
      </c>
      <c r="Z954">
        <v>4.4188220000000001E-4</v>
      </c>
      <c r="AA954">
        <v>0.99777760000000004</v>
      </c>
      <c r="AB954">
        <v>36</v>
      </c>
      <c r="AC954">
        <v>167.48840000000001</v>
      </c>
      <c r="AD954">
        <v>3.1395169999999899</v>
      </c>
      <c r="AE954">
        <v>-10.659899999999899</v>
      </c>
      <c r="AF954">
        <v>11.1920039081825</v>
      </c>
      <c r="AG954">
        <v>3.1395169999999899</v>
      </c>
      <c r="AH954">
        <v>167.39484418602399</v>
      </c>
      <c r="AI954">
        <v>88.927927470946699</v>
      </c>
      <c r="AJ954">
        <v>86.174902376220004</v>
      </c>
      <c r="AK954">
        <v>167.79794807606299</v>
      </c>
      <c r="AL954">
        <v>94.776612996269193</v>
      </c>
      <c r="AM954">
        <v>93.435683627599502</v>
      </c>
      <c r="AN954">
        <v>1.0000000276089001</v>
      </c>
    </row>
    <row r="955" spans="1:40" x14ac:dyDescent="0.25">
      <c r="A955" t="str">
        <f>"20190305134924158"</f>
        <v>20190305134924158</v>
      </c>
      <c r="B955" t="str">
        <f>"1551764964151465"</f>
        <v>1551764964151465</v>
      </c>
      <c r="C955" t="s">
        <v>40</v>
      </c>
      <c r="D955">
        <v>3.870336</v>
      </c>
      <c r="E955">
        <v>0.54835100000000003</v>
      </c>
      <c r="F955" t="s">
        <v>45</v>
      </c>
      <c r="G955">
        <v>-158.19499999999999</v>
      </c>
      <c r="H955">
        <v>3.9256899999999999</v>
      </c>
      <c r="I955">
        <v>357.54300000000001</v>
      </c>
      <c r="J955">
        <v>-325.51749999999998</v>
      </c>
      <c r="K955">
        <v>1.108992</v>
      </c>
      <c r="L955">
        <v>367.82990000000001</v>
      </c>
      <c r="M955">
        <v>0.99996309999999999</v>
      </c>
      <c r="N955">
        <v>-7.9836379999999995E-3</v>
      </c>
      <c r="O955">
        <v>3.2105900000000001E-3</v>
      </c>
      <c r="P955">
        <v>0.99381359999999996</v>
      </c>
      <c r="Q955">
        <v>-9.1410370000000005E-2</v>
      </c>
      <c r="R955">
        <v>6.3079930000000006E-2</v>
      </c>
      <c r="S955">
        <v>3.0350950000000001</v>
      </c>
      <c r="T955">
        <v>5.104351E-2</v>
      </c>
      <c r="U955">
        <v>-0.18640139999999999</v>
      </c>
      <c r="V955">
        <v>-5.9888740000000003E-2</v>
      </c>
      <c r="W955">
        <v>-8.3471600000000007E-2</v>
      </c>
      <c r="X955">
        <v>0.99470890000000001</v>
      </c>
      <c r="Y955">
        <v>6.4498420000000001E-2</v>
      </c>
      <c r="Z955">
        <v>3.6363580000000001E-4</v>
      </c>
      <c r="AA955">
        <v>0.99791779999999997</v>
      </c>
      <c r="AB955">
        <v>36</v>
      </c>
      <c r="AC955">
        <v>167.32249999999999</v>
      </c>
      <c r="AD955">
        <v>2.8166980000000001</v>
      </c>
      <c r="AE955">
        <v>-10.286899999999999</v>
      </c>
      <c r="AF955">
        <v>10.8210130473829</v>
      </c>
      <c r="AG955">
        <v>2.8166980000000001</v>
      </c>
      <c r="AH955">
        <v>167.241394804598</v>
      </c>
      <c r="AI955">
        <v>89.0371224385879</v>
      </c>
      <c r="AJ955">
        <v>86.297953966014802</v>
      </c>
      <c r="AK955">
        <v>167.61477335599699</v>
      </c>
      <c r="AL955">
        <v>94.788141725341902</v>
      </c>
      <c r="AM955">
        <v>93.445465188671903</v>
      </c>
      <c r="AN955">
        <v>0.99999998246227795</v>
      </c>
    </row>
    <row r="956" spans="1:40" x14ac:dyDescent="0.25">
      <c r="A956" t="str">
        <f>"20190305134924169"</f>
        <v>20190305134924169</v>
      </c>
      <c r="B956" t="str">
        <f>"1551764964161225"</f>
        <v>1551764964161225</v>
      </c>
      <c r="C956" t="s">
        <v>40</v>
      </c>
      <c r="D956">
        <v>3.8540570000000001</v>
      </c>
      <c r="E956">
        <v>0.54803009999999996</v>
      </c>
      <c r="F956" t="s">
        <v>45</v>
      </c>
      <c r="G956">
        <v>-158.19499999999999</v>
      </c>
      <c r="H956">
        <v>3.6031170000000001</v>
      </c>
      <c r="I956">
        <v>357.68130000000002</v>
      </c>
      <c r="J956">
        <v>-325.33749999999998</v>
      </c>
      <c r="K956">
        <v>1.1089910000000001</v>
      </c>
      <c r="L956">
        <v>367.83049999999997</v>
      </c>
      <c r="M956">
        <v>0.99996320000000005</v>
      </c>
      <c r="N956">
        <v>-7.9706240000000008E-3</v>
      </c>
      <c r="O956">
        <v>3.2215690000000001E-3</v>
      </c>
      <c r="P956">
        <v>0.99378069999999996</v>
      </c>
      <c r="Q956">
        <v>-9.1724639999999996E-2</v>
      </c>
      <c r="R956">
        <v>6.313945E-2</v>
      </c>
      <c r="S956">
        <v>3.0345149999999999</v>
      </c>
      <c r="T956">
        <v>4.5234320000000001E-2</v>
      </c>
      <c r="U956">
        <v>-0.18405150000000001</v>
      </c>
      <c r="V956">
        <v>-5.9936900000000001E-2</v>
      </c>
      <c r="W956">
        <v>-8.3799349999999995E-2</v>
      </c>
      <c r="X956">
        <v>0.99467839999999996</v>
      </c>
      <c r="Y956">
        <v>6.3752760000000006E-2</v>
      </c>
      <c r="Z956">
        <v>2.9401660000000001E-4</v>
      </c>
      <c r="AA956">
        <v>0.99796569999999996</v>
      </c>
      <c r="AB956">
        <v>36</v>
      </c>
      <c r="AC956">
        <v>167.14249999999899</v>
      </c>
      <c r="AD956">
        <v>2.4941260000000001</v>
      </c>
      <c r="AE956">
        <v>-10.149199999999899</v>
      </c>
      <c r="AF956">
        <v>10.6852548957716</v>
      </c>
      <c r="AG956">
        <v>2.4941260000000001</v>
      </c>
      <c r="AH956">
        <v>167.07186987845401</v>
      </c>
      <c r="AI956">
        <v>89.1464692751115</v>
      </c>
      <c r="AJ956">
        <v>86.340572980827602</v>
      </c>
      <c r="AK956">
        <v>167.43179220618299</v>
      </c>
      <c r="AL956">
        <v>94.8069866401881</v>
      </c>
      <c r="AM956">
        <v>93.4483346822839</v>
      </c>
      <c r="AN956">
        <v>0.99999994123429403</v>
      </c>
    </row>
    <row r="957" spans="1:40" x14ac:dyDescent="0.25">
      <c r="A957" t="str">
        <f>"20190305134924180"</f>
        <v>20190305134924180</v>
      </c>
      <c r="B957" t="str">
        <f>"1551764964171961"</f>
        <v>1551764964171961</v>
      </c>
      <c r="C957" t="s">
        <v>40</v>
      </c>
      <c r="D957">
        <v>3.8408739999999999</v>
      </c>
      <c r="E957">
        <v>0.54782059999999999</v>
      </c>
      <c r="F957" t="s">
        <v>45</v>
      </c>
      <c r="G957">
        <v>-158.19499999999999</v>
      </c>
      <c r="H957">
        <v>3.4717929999999999</v>
      </c>
      <c r="I957">
        <v>357.85669999999999</v>
      </c>
      <c r="J957">
        <v>-325.15390000000002</v>
      </c>
      <c r="K957">
        <v>1.108989</v>
      </c>
      <c r="L957">
        <v>367.83109999999999</v>
      </c>
      <c r="M957">
        <v>0.99996309999999999</v>
      </c>
      <c r="N957">
        <v>-7.9597230000000001E-3</v>
      </c>
      <c r="O957">
        <v>3.2342629999999998E-3</v>
      </c>
      <c r="P957">
        <v>0.99377539999999998</v>
      </c>
      <c r="Q957">
        <v>-9.1702580000000006E-2</v>
      </c>
      <c r="R957">
        <v>6.3254920000000006E-2</v>
      </c>
      <c r="S957">
        <v>3.0342410000000002</v>
      </c>
      <c r="T957">
        <v>4.2894960000000003E-2</v>
      </c>
      <c r="U957">
        <v>-0.18106079999999999</v>
      </c>
      <c r="V957">
        <v>-6.0039870000000002E-2</v>
      </c>
      <c r="W957">
        <v>-8.3788390000000004E-2</v>
      </c>
      <c r="X957">
        <v>0.99467320000000004</v>
      </c>
      <c r="Y957">
        <v>6.2791379999999994E-2</v>
      </c>
      <c r="Z957">
        <v>2.6469059999999998E-4</v>
      </c>
      <c r="AA957">
        <v>0.99802670000000004</v>
      </c>
      <c r="AB957">
        <v>36</v>
      </c>
      <c r="AC957">
        <v>166.9589</v>
      </c>
      <c r="AD957">
        <v>2.3628040000000001</v>
      </c>
      <c r="AE957">
        <v>-9.9743999999999993</v>
      </c>
      <c r="AF957">
        <v>10.5122560221208</v>
      </c>
      <c r="AG957">
        <v>2.3628040000000001</v>
      </c>
      <c r="AH957">
        <v>166.892459607907</v>
      </c>
      <c r="AI957">
        <v>89.190485028450098</v>
      </c>
      <c r="AJ957">
        <v>86.395803378117705</v>
      </c>
      <c r="AK957">
        <v>167.239897881438</v>
      </c>
      <c r="AL957">
        <v>94.806356046332496</v>
      </c>
      <c r="AM957">
        <v>93.454262512027697</v>
      </c>
      <c r="AN957">
        <v>1.0000000275433201</v>
      </c>
    </row>
    <row r="958" spans="1:40" x14ac:dyDescent="0.25">
      <c r="A958" t="str">
        <f>"20190305134924191"</f>
        <v>20190305134924191</v>
      </c>
      <c r="B958" t="str">
        <f>"1551764964181721"</f>
        <v>1551764964181721</v>
      </c>
      <c r="C958" t="s">
        <v>40</v>
      </c>
      <c r="D958">
        <v>3.847648</v>
      </c>
      <c r="E958">
        <v>0.54779849999999997</v>
      </c>
      <c r="F958" t="s">
        <v>45</v>
      </c>
      <c r="G958">
        <v>-158.19499999999999</v>
      </c>
      <c r="H958">
        <v>3.3504269999999998</v>
      </c>
      <c r="I958">
        <v>357.98140000000001</v>
      </c>
      <c r="J958">
        <v>-324.97989999999999</v>
      </c>
      <c r="K958">
        <v>1.1089869999999999</v>
      </c>
      <c r="L958">
        <v>367.83170000000001</v>
      </c>
      <c r="M958">
        <v>0.99996320000000005</v>
      </c>
      <c r="N958">
        <v>-7.9497790000000006E-3</v>
      </c>
      <c r="O958">
        <v>3.2465929999999999E-3</v>
      </c>
      <c r="P958">
        <v>0.9937859</v>
      </c>
      <c r="Q958">
        <v>-9.1510549999999996E-2</v>
      </c>
      <c r="R958">
        <v>6.3367989999999999E-2</v>
      </c>
      <c r="S958">
        <v>3.0339049999999999</v>
      </c>
      <c r="T958">
        <v>4.0732030000000002E-2</v>
      </c>
      <c r="U958">
        <v>-0.17898559999999999</v>
      </c>
      <c r="V958">
        <v>-6.0140399999999997E-2</v>
      </c>
      <c r="W958">
        <v>-8.3606360000000005E-2</v>
      </c>
      <c r="X958">
        <v>0.99468239999999997</v>
      </c>
      <c r="Y958">
        <v>6.213047E-2</v>
      </c>
      <c r="Z958">
        <v>2.3883800000000001E-4</v>
      </c>
      <c r="AA958">
        <v>0.99806799999999996</v>
      </c>
      <c r="AB958">
        <v>36</v>
      </c>
      <c r="AC958">
        <v>166.78489999999999</v>
      </c>
      <c r="AD958">
        <v>2.2414399999999999</v>
      </c>
      <c r="AE958">
        <v>-9.8503000000000007</v>
      </c>
      <c r="AF958">
        <v>10.389877857041499</v>
      </c>
      <c r="AG958">
        <v>2.2414399999999999</v>
      </c>
      <c r="AH958">
        <v>166.722033102202</v>
      </c>
      <c r="AI958">
        <v>89.231243130104602</v>
      </c>
      <c r="AJ958">
        <v>86.434020752274407</v>
      </c>
      <c r="AK958">
        <v>167.06049783503499</v>
      </c>
      <c r="AL958">
        <v>94.795889981280496</v>
      </c>
      <c r="AM958">
        <v>93.460000321164301</v>
      </c>
      <c r="AN958">
        <v>0.99999998400718404</v>
      </c>
    </row>
    <row r="959" spans="1:40" x14ac:dyDescent="0.25">
      <c r="A959" t="str">
        <f>"20190305134924202"</f>
        <v>20190305134924202</v>
      </c>
      <c r="B959" t="str">
        <f>"1551764964191481"</f>
        <v>1551764964191481</v>
      </c>
      <c r="C959" t="s">
        <v>40</v>
      </c>
      <c r="D959">
        <v>3.8697430000000002</v>
      </c>
      <c r="E959">
        <v>0.54781309999999905</v>
      </c>
      <c r="F959" t="s">
        <v>45</v>
      </c>
      <c r="G959">
        <v>-158.19499999999999</v>
      </c>
      <c r="H959">
        <v>3.2538749999999999</v>
      </c>
      <c r="I959">
        <v>358.00009999999997</v>
      </c>
      <c r="J959">
        <v>-324.7919</v>
      </c>
      <c r="K959">
        <v>1.1089910000000001</v>
      </c>
      <c r="L959">
        <v>367.83229999999998</v>
      </c>
      <c r="M959">
        <v>0.9999633</v>
      </c>
      <c r="N959">
        <v>-7.9409879999999995E-3</v>
      </c>
      <c r="O959">
        <v>3.2604660000000001E-3</v>
      </c>
      <c r="P959">
        <v>0.99376969999999998</v>
      </c>
      <c r="Q959">
        <v>-9.1754349999999998E-2</v>
      </c>
      <c r="R959">
        <v>6.3271549999999996E-2</v>
      </c>
      <c r="S959">
        <v>3.0337519999999998</v>
      </c>
      <c r="T959">
        <v>3.9016250000000002E-2</v>
      </c>
      <c r="U959">
        <v>-0.17883299999999999</v>
      </c>
      <c r="V959">
        <v>-6.0030010000000002E-2</v>
      </c>
      <c r="W959">
        <v>-8.3859169999999997E-2</v>
      </c>
      <c r="X959">
        <v>0.99466779999999999</v>
      </c>
      <c r="Y959">
        <v>6.2097590000000001E-2</v>
      </c>
      <c r="Z959">
        <v>2.199293E-4</v>
      </c>
      <c r="AA959">
        <v>0.99807009999999996</v>
      </c>
      <c r="AB959">
        <v>37</v>
      </c>
      <c r="AC959">
        <v>166.59690000000001</v>
      </c>
      <c r="AD959">
        <v>2.1448839999999998</v>
      </c>
      <c r="AE959">
        <v>-9.8322000000000003</v>
      </c>
      <c r="AF959">
        <v>10.3736347698531</v>
      </c>
      <c r="AG959">
        <v>2.1448839999999998</v>
      </c>
      <c r="AH959">
        <v>166.536446979755</v>
      </c>
      <c r="AI959">
        <v>89.2635346730072</v>
      </c>
      <c r="AJ959">
        <v>86.435623836207299</v>
      </c>
      <c r="AK959">
        <v>166.87300859741401</v>
      </c>
      <c r="AL959">
        <v>94.810425909708002</v>
      </c>
      <c r="AM959">
        <v>93.4537153162956</v>
      </c>
      <c r="AN959">
        <v>0.99999999742526402</v>
      </c>
    </row>
    <row r="960" spans="1:40" x14ac:dyDescent="0.25">
      <c r="A960" t="str">
        <f>"20190305134924213"</f>
        <v>20190305134924213</v>
      </c>
      <c r="B960" t="str">
        <f>"1551764964211978"</f>
        <v>1551764964211978</v>
      </c>
      <c r="C960" t="s">
        <v>40</v>
      </c>
      <c r="D960">
        <v>3.842238</v>
      </c>
      <c r="E960">
        <v>0.54766409999999999</v>
      </c>
      <c r="F960" t="s">
        <v>45</v>
      </c>
      <c r="G960">
        <v>-158.19499999999999</v>
      </c>
      <c r="H960">
        <v>3.0714839999999999</v>
      </c>
      <c r="I960">
        <v>357.99250000000001</v>
      </c>
      <c r="J960">
        <v>-324.61489999999998</v>
      </c>
      <c r="K960">
        <v>1.1089869999999999</v>
      </c>
      <c r="L960">
        <v>367.8329</v>
      </c>
      <c r="M960">
        <v>0.99996320000000005</v>
      </c>
      <c r="N960">
        <v>-7.9333279999999999E-3</v>
      </c>
      <c r="O960">
        <v>3.273916E-3</v>
      </c>
      <c r="P960">
        <v>0.99380380000000001</v>
      </c>
      <c r="Q960">
        <v>-9.1542390000000001E-2</v>
      </c>
      <c r="R960">
        <v>6.3040269999999995E-2</v>
      </c>
      <c r="S960">
        <v>3.0335079999999999</v>
      </c>
      <c r="T960">
        <v>3.5735959999999997E-2</v>
      </c>
      <c r="U960">
        <v>-0.17916869999999999</v>
      </c>
      <c r="V960">
        <v>-5.978489E-2</v>
      </c>
      <c r="W960">
        <v>-8.3654690000000004E-2</v>
      </c>
      <c r="X960">
        <v>0.99469980000000002</v>
      </c>
      <c r="Y960">
        <v>6.2226429999999999E-2</v>
      </c>
      <c r="Z960">
        <v>1.8362439999999999E-4</v>
      </c>
      <c r="AA960">
        <v>0.998062</v>
      </c>
      <c r="AB960">
        <v>37</v>
      </c>
      <c r="AC960">
        <v>166.41989999999899</v>
      </c>
      <c r="AD960">
        <v>1.9624969999999999</v>
      </c>
      <c r="AE960">
        <v>-9.8403999999999794</v>
      </c>
      <c r="AF960">
        <v>10.383770209835999</v>
      </c>
      <c r="AG960">
        <v>1.9624969999999999</v>
      </c>
      <c r="AH960">
        <v>166.36373618159499</v>
      </c>
      <c r="AI960">
        <v>89.325458627191907</v>
      </c>
      <c r="AJ960">
        <v>86.428455908247003</v>
      </c>
      <c r="AK960">
        <v>166.699030574701</v>
      </c>
      <c r="AL960">
        <v>94.798668666365401</v>
      </c>
      <c r="AM960">
        <v>93.439536330285506</v>
      </c>
      <c r="AN960">
        <v>1.0000000161756699</v>
      </c>
    </row>
    <row r="961" spans="1:40" x14ac:dyDescent="0.25">
      <c r="A961" t="str">
        <f>"20190305134924225"</f>
        <v>20190305134924225</v>
      </c>
      <c r="B961" t="str">
        <f>"1551764964221738"</f>
        <v>1551764964221738</v>
      </c>
      <c r="C961" t="s">
        <v>40</v>
      </c>
      <c r="D961">
        <v>3.8365490000000002</v>
      </c>
      <c r="E961">
        <v>0.54768600000000001</v>
      </c>
      <c r="F961" t="s">
        <v>45</v>
      </c>
      <c r="G961">
        <v>-158.19499999999999</v>
      </c>
      <c r="H961">
        <v>3.0367009999999999</v>
      </c>
      <c r="I961">
        <v>358.02629999999999</v>
      </c>
      <c r="J961">
        <v>-324.4212</v>
      </c>
      <c r="K961">
        <v>1.108986</v>
      </c>
      <c r="L961">
        <v>367.83350000000002</v>
      </c>
      <c r="M961">
        <v>0.99996320000000005</v>
      </c>
      <c r="N961">
        <v>-7.9261869999999995E-3</v>
      </c>
      <c r="O961">
        <v>3.2889719999999998E-3</v>
      </c>
      <c r="P961">
        <v>0.99377610000000005</v>
      </c>
      <c r="Q961">
        <v>-9.1840179999999993E-2</v>
      </c>
      <c r="R961">
        <v>6.3044879999999998E-2</v>
      </c>
      <c r="S961">
        <v>3.0332949999999999</v>
      </c>
      <c r="T961">
        <v>3.513753E-2</v>
      </c>
      <c r="U961">
        <v>-0.1787415</v>
      </c>
      <c r="V961">
        <v>-5.9774349999999997E-2</v>
      </c>
      <c r="W961">
        <v>-8.3959899999999907E-2</v>
      </c>
      <c r="X961">
        <v>0.99467470000000002</v>
      </c>
      <c r="Y961">
        <v>6.2105599999999997E-2</v>
      </c>
      <c r="Z961">
        <v>1.7715090000000001E-4</v>
      </c>
      <c r="AA961">
        <v>0.9980696</v>
      </c>
      <c r="AB961">
        <v>37</v>
      </c>
      <c r="AC961">
        <v>166.22620000000001</v>
      </c>
      <c r="AD961">
        <v>1.9277150000000001</v>
      </c>
      <c r="AE961">
        <v>-9.8072000000000195</v>
      </c>
      <c r="AF961">
        <v>10.3524899664069</v>
      </c>
      <c r="AG961">
        <v>1.9277150000000001</v>
      </c>
      <c r="AH961">
        <v>166.17077364381001</v>
      </c>
      <c r="AI961">
        <v>89.336638559901104</v>
      </c>
      <c r="AJ961">
        <v>86.435062897434094</v>
      </c>
      <c r="AK961">
        <v>166.50410249302701</v>
      </c>
      <c r="AL961">
        <v>94.816217735105596</v>
      </c>
      <c r="AM961">
        <v>93.439017970849505</v>
      </c>
      <c r="AN961">
        <v>0.999999998273011</v>
      </c>
    </row>
    <row r="962" spans="1:40" x14ac:dyDescent="0.25">
      <c r="A962" t="str">
        <f>"20190305134924238"</f>
        <v>20190305134924238</v>
      </c>
      <c r="B962" t="str">
        <f>"1551764964231496"</f>
        <v>1551764964231496</v>
      </c>
      <c r="C962" t="s">
        <v>40</v>
      </c>
      <c r="D962">
        <v>3.86551</v>
      </c>
      <c r="E962">
        <v>0.54772949999999998</v>
      </c>
      <c r="F962" t="s">
        <v>45</v>
      </c>
      <c r="G962">
        <v>-158.19499999999999</v>
      </c>
      <c r="H962">
        <v>2.9452219999999998</v>
      </c>
      <c r="I962">
        <v>358.0197</v>
      </c>
      <c r="J962">
        <v>-324.221</v>
      </c>
      <c r="K962">
        <v>1.1089819999999999</v>
      </c>
      <c r="L962">
        <v>367.83420000000001</v>
      </c>
      <c r="M962">
        <v>0.99996320000000005</v>
      </c>
      <c r="N962">
        <v>-7.9199319999999993E-3</v>
      </c>
      <c r="O962">
        <v>3.3047979999999999E-3</v>
      </c>
      <c r="P962">
        <v>0.99375230000000003</v>
      </c>
      <c r="Q962">
        <v>-9.2111680000000001E-2</v>
      </c>
      <c r="R962">
        <v>6.3020999999999994E-2</v>
      </c>
      <c r="S962">
        <v>3.0332029999999999</v>
      </c>
      <c r="T962">
        <v>3.3508179999999999E-2</v>
      </c>
      <c r="U962">
        <v>-0.17907709999999999</v>
      </c>
      <c r="V962">
        <v>-5.9734519999999999E-2</v>
      </c>
      <c r="W962">
        <v>-8.4237889999999996E-2</v>
      </c>
      <c r="X962">
        <v>0.99465360000000003</v>
      </c>
      <c r="Y962">
        <v>6.2233520000000001E-2</v>
      </c>
      <c r="Z962">
        <v>1.5940440000000001E-4</v>
      </c>
      <c r="AA962">
        <v>0.99806159999999999</v>
      </c>
      <c r="AB962">
        <v>37</v>
      </c>
      <c r="AC962">
        <v>166.02599999999899</v>
      </c>
      <c r="AD962">
        <v>1.8362400000000001</v>
      </c>
      <c r="AE962">
        <v>-9.8145000000000095</v>
      </c>
      <c r="AF962">
        <v>10.3618829108946</v>
      </c>
      <c r="AG962">
        <v>1.8362400000000001</v>
      </c>
      <c r="AH962">
        <v>165.972425863274</v>
      </c>
      <c r="AI962">
        <v>89.367364205358498</v>
      </c>
      <c r="AJ962">
        <v>86.427583588452293</v>
      </c>
      <c r="AK962">
        <v>166.305702072228</v>
      </c>
      <c r="AL962">
        <v>94.832201960292394</v>
      </c>
      <c r="AM962">
        <v>93.436804642362304</v>
      </c>
      <c r="AN962">
        <v>1.00000000949212</v>
      </c>
    </row>
    <row r="963" spans="1:40" x14ac:dyDescent="0.25">
      <c r="A963" t="str">
        <f>"20190305134924249"</f>
        <v>20190305134924249</v>
      </c>
      <c r="B963" t="str">
        <f>"1551764964241257"</f>
        <v>1551764964241257</v>
      </c>
      <c r="C963" t="s">
        <v>40</v>
      </c>
      <c r="D963">
        <v>3.844598</v>
      </c>
      <c r="E963">
        <v>0.54776459999999905</v>
      </c>
      <c r="F963" t="s">
        <v>45</v>
      </c>
      <c r="G963">
        <v>-158.19499999999999</v>
      </c>
      <c r="H963">
        <v>2.8766880000000001</v>
      </c>
      <c r="I963">
        <v>358.01389999999998</v>
      </c>
      <c r="J963">
        <v>-324.02719999999999</v>
      </c>
      <c r="K963">
        <v>1.1089770000000001</v>
      </c>
      <c r="L963">
        <v>367.83479999999997</v>
      </c>
      <c r="M963">
        <v>0.99996320000000005</v>
      </c>
      <c r="N963">
        <v>-7.9144980000000007E-3</v>
      </c>
      <c r="O963">
        <v>3.3201440000000001E-3</v>
      </c>
      <c r="P963">
        <v>0.99376330000000002</v>
      </c>
      <c r="Q963">
        <v>-9.2223760000000002E-2</v>
      </c>
      <c r="R963">
        <v>6.2685519999999995E-2</v>
      </c>
      <c r="S963">
        <v>3.0332340000000002</v>
      </c>
      <c r="T963">
        <v>3.2296900000000003E-2</v>
      </c>
      <c r="U963">
        <v>-0.17941279999999901</v>
      </c>
      <c r="V963">
        <v>-5.9383900000000003E-2</v>
      </c>
      <c r="W963">
        <v>-8.4355349999999996E-2</v>
      </c>
      <c r="X963">
        <v>0.99466460000000001</v>
      </c>
      <c r="Y963">
        <v>6.2358490000000003E-2</v>
      </c>
      <c r="Z963">
        <v>1.462717E-4</v>
      </c>
      <c r="AA963">
        <v>0.99805379999999999</v>
      </c>
      <c r="AB963">
        <v>37</v>
      </c>
      <c r="AC963">
        <v>165.8322</v>
      </c>
      <c r="AD963">
        <v>1.767711</v>
      </c>
      <c r="AE963">
        <v>-9.8208999999999893</v>
      </c>
      <c r="AF963">
        <v>10.370275644181</v>
      </c>
      <c r="AG963">
        <v>1.767711</v>
      </c>
      <c r="AH963">
        <v>165.77990672474499</v>
      </c>
      <c r="AI963">
        <v>89.390270007332205</v>
      </c>
      <c r="AJ963">
        <v>86.420556381463896</v>
      </c>
      <c r="AK963">
        <v>166.11334953212199</v>
      </c>
      <c r="AL963">
        <v>94.838956155601196</v>
      </c>
      <c r="AM963">
        <v>93.416642077852202</v>
      </c>
      <c r="AN963">
        <v>0.99999996957299497</v>
      </c>
    </row>
    <row r="964" spans="1:40" x14ac:dyDescent="0.25">
      <c r="A964" t="str">
        <f>"20190305134924260"</f>
        <v>20190305134924260</v>
      </c>
      <c r="B964" t="str">
        <f>"1551764964251994"</f>
        <v>1551764964251994</v>
      </c>
      <c r="C964" t="s">
        <v>40</v>
      </c>
      <c r="D964">
        <v>3.8269030000000002</v>
      </c>
      <c r="E964">
        <v>0.54770859999999899</v>
      </c>
      <c r="F964" t="s">
        <v>45</v>
      </c>
      <c r="G964">
        <v>-158.19499999999999</v>
      </c>
      <c r="H964">
        <v>2.8243070000000001</v>
      </c>
      <c r="I964">
        <v>357.96719999999999</v>
      </c>
      <c r="J964">
        <v>-323.83969999999999</v>
      </c>
      <c r="K964">
        <v>1.1089739999999999</v>
      </c>
      <c r="L964">
        <v>367.83539999999999</v>
      </c>
      <c r="M964">
        <v>0.9999633</v>
      </c>
      <c r="N964">
        <v>-7.9106690000000004E-3</v>
      </c>
      <c r="O964">
        <v>3.3350049999999998E-3</v>
      </c>
      <c r="P964">
        <v>0.99375380000000002</v>
      </c>
      <c r="Q964">
        <v>-9.2306020000000003E-2</v>
      </c>
      <c r="R964">
        <v>6.2717129999999996E-2</v>
      </c>
      <c r="S964">
        <v>3.033112</v>
      </c>
      <c r="T964">
        <v>3.1375409999999999E-2</v>
      </c>
      <c r="U964">
        <v>-0.180481</v>
      </c>
      <c r="V964">
        <v>-5.940053E-2</v>
      </c>
      <c r="W964">
        <v>-8.4441550000000004E-2</v>
      </c>
      <c r="X964">
        <v>0.99465630000000005</v>
      </c>
      <c r="Y964">
        <v>6.2726069999999995E-2</v>
      </c>
      <c r="Z964">
        <v>1.3663109999999999E-4</v>
      </c>
      <c r="AA964">
        <v>0.9980308</v>
      </c>
      <c r="AB964">
        <v>37</v>
      </c>
      <c r="AC964">
        <v>165.6447</v>
      </c>
      <c r="AD964">
        <v>1.715333</v>
      </c>
      <c r="AE964">
        <v>-9.8681999999999999</v>
      </c>
      <c r="AF964">
        <v>10.4194748288746</v>
      </c>
      <c r="AG964">
        <v>1.715333</v>
      </c>
      <c r="AH964">
        <v>165.59317245020199</v>
      </c>
      <c r="AI964">
        <v>89.407681705895698</v>
      </c>
      <c r="AJ964">
        <v>86.399574203862898</v>
      </c>
      <c r="AK964">
        <v>165.92952294613701</v>
      </c>
      <c r="AL964">
        <v>94.843912701852204</v>
      </c>
      <c r="AM964">
        <v>93.417625065221898</v>
      </c>
      <c r="AN964">
        <v>0.99999997673018604</v>
      </c>
    </row>
    <row r="965" spans="1:40" x14ac:dyDescent="0.25">
      <c r="A965" t="str">
        <f>"20190305134924273"</f>
        <v>20190305134924273</v>
      </c>
      <c r="B965" t="str">
        <f>"1551764964261752"</f>
        <v>1551764964261752</v>
      </c>
      <c r="C965" t="s">
        <v>40</v>
      </c>
      <c r="D965">
        <v>3.8387570000000002</v>
      </c>
      <c r="E965">
        <v>0.54780299999999904</v>
      </c>
      <c r="F965" t="s">
        <v>45</v>
      </c>
      <c r="G965">
        <v>-158.19499999999999</v>
      </c>
      <c r="H965">
        <v>2.7979639999999999</v>
      </c>
      <c r="I965">
        <v>358.00229999999999</v>
      </c>
      <c r="J965">
        <v>-323.62819999999999</v>
      </c>
      <c r="K965">
        <v>1.1089709999999999</v>
      </c>
      <c r="L965">
        <v>367.83620000000002</v>
      </c>
      <c r="M965">
        <v>0.99996320000000005</v>
      </c>
      <c r="N965">
        <v>-7.9068390000000006E-3</v>
      </c>
      <c r="O965">
        <v>3.3518340000000002E-3</v>
      </c>
      <c r="P965">
        <v>0.99375440000000004</v>
      </c>
      <c r="Q965">
        <v>-9.2289919999999998E-2</v>
      </c>
      <c r="R965">
        <v>6.2728900000000004E-2</v>
      </c>
      <c r="S965">
        <v>3.033112</v>
      </c>
      <c r="T965">
        <v>3.0928609999999999E-2</v>
      </c>
      <c r="U965">
        <v>-0.18005370000000001</v>
      </c>
      <c r="V965">
        <v>-5.9395389999999999E-2</v>
      </c>
      <c r="W965">
        <v>-8.4429340000000005E-2</v>
      </c>
      <c r="X965">
        <v>0.99465769999999998</v>
      </c>
      <c r="Y965">
        <v>6.2602829999999998E-2</v>
      </c>
      <c r="Z965">
        <v>1.3179930000000001E-4</v>
      </c>
      <c r="AA965">
        <v>0.99803850000000005</v>
      </c>
      <c r="AB965">
        <v>37</v>
      </c>
      <c r="AC965">
        <v>165.4332</v>
      </c>
      <c r="AD965">
        <v>1.688993</v>
      </c>
      <c r="AE965">
        <v>-9.8339000000000194</v>
      </c>
      <c r="AF965">
        <v>10.3872877726794</v>
      </c>
      <c r="AG965">
        <v>1.688993</v>
      </c>
      <c r="AH965">
        <v>165.38213022648901</v>
      </c>
      <c r="AI965">
        <v>89.4160281131863</v>
      </c>
      <c r="AJ965">
        <v>86.406098937638006</v>
      </c>
      <c r="AK965">
        <v>165.71661788389801</v>
      </c>
      <c r="AL965">
        <v>94.843210340057595</v>
      </c>
      <c r="AM965">
        <v>93.417325236296193</v>
      </c>
      <c r="AN965">
        <v>1.0000000329876799</v>
      </c>
    </row>
    <row r="966" spans="1:40" x14ac:dyDescent="0.25">
      <c r="A966" t="str">
        <f>"20190305134924284"</f>
        <v>20190305134924284</v>
      </c>
      <c r="B966" t="str">
        <f>"1551764964281274"</f>
        <v>1551764964281274</v>
      </c>
      <c r="C966" t="s">
        <v>40</v>
      </c>
      <c r="D966">
        <v>3.7813439999999998</v>
      </c>
      <c r="E966">
        <v>0.54793599999999998</v>
      </c>
      <c r="F966" t="s">
        <v>45</v>
      </c>
      <c r="G966">
        <v>-158.19499999999999</v>
      </c>
      <c r="H966">
        <v>2.8604379999999998</v>
      </c>
      <c r="I966">
        <v>358.00119999999998</v>
      </c>
      <c r="J966">
        <v>-323.4366</v>
      </c>
      <c r="K966">
        <v>1.108968</v>
      </c>
      <c r="L966">
        <v>367.83679999999998</v>
      </c>
      <c r="M966">
        <v>0.99996320000000005</v>
      </c>
      <c r="N966">
        <v>-7.9042829999999998E-3</v>
      </c>
      <c r="O966">
        <v>3.366988E-3</v>
      </c>
      <c r="P966">
        <v>0.99373590000000001</v>
      </c>
      <c r="Q966">
        <v>-9.2501829999999993E-2</v>
      </c>
      <c r="R966">
        <v>6.2712210000000004E-2</v>
      </c>
      <c r="S966">
        <v>3.033264</v>
      </c>
      <c r="T966">
        <v>3.211522E-2</v>
      </c>
      <c r="U966">
        <v>-0.1803284</v>
      </c>
      <c r="V966">
        <v>-5.9363470000000002E-2</v>
      </c>
      <c r="W966">
        <v>-8.4643999999999997E-2</v>
      </c>
      <c r="X966">
        <v>0.99464129999999995</v>
      </c>
      <c r="Y966">
        <v>6.2704860000000001E-2</v>
      </c>
      <c r="Z966">
        <v>1.4581039999999999E-4</v>
      </c>
      <c r="AA966">
        <v>0.99803209999999998</v>
      </c>
      <c r="AB966">
        <v>37</v>
      </c>
      <c r="AC966">
        <v>165.24160000000001</v>
      </c>
      <c r="AD966">
        <v>1.7514700000000001</v>
      </c>
      <c r="AE966">
        <v>-9.8355999999999995</v>
      </c>
      <c r="AF966">
        <v>10.390764786853699</v>
      </c>
      <c r="AG966">
        <v>1.7514700000000001</v>
      </c>
      <c r="AH966">
        <v>165.18905272709</v>
      </c>
      <c r="AI966">
        <v>89.393724004889506</v>
      </c>
      <c r="AJ966">
        <v>86.400708066179803</v>
      </c>
      <c r="AK966">
        <v>165.52479808442601</v>
      </c>
      <c r="AL966">
        <v>94.855553933058701</v>
      </c>
      <c r="AM966">
        <v>93.415549244323898</v>
      </c>
      <c r="AN966">
        <v>0.99999997198606405</v>
      </c>
    </row>
    <row r="967" spans="1:40" x14ac:dyDescent="0.25">
      <c r="A967" t="str">
        <f>"20190305134924294"</f>
        <v>20190305134924294</v>
      </c>
      <c r="B967" t="str">
        <f>"1551764964292010"</f>
        <v>1551764964292010</v>
      </c>
      <c r="C967" t="s">
        <v>40</v>
      </c>
      <c r="D967">
        <v>3.7631260000000002</v>
      </c>
      <c r="E967">
        <v>0.54799030000000004</v>
      </c>
      <c r="F967" t="s">
        <v>45</v>
      </c>
      <c r="G967">
        <v>-158.19499999999999</v>
      </c>
      <c r="H967">
        <v>2.7958560000000001</v>
      </c>
      <c r="I967">
        <v>357.95650000000001</v>
      </c>
      <c r="J967">
        <v>-323.27769999999998</v>
      </c>
      <c r="K967">
        <v>1.1089639999999901</v>
      </c>
      <c r="L967">
        <v>367.8374</v>
      </c>
      <c r="M967">
        <v>0.99996309999999999</v>
      </c>
      <c r="N967">
        <v>-7.9026579999999999E-3</v>
      </c>
      <c r="O967">
        <v>3.3796350000000002E-3</v>
      </c>
      <c r="P967">
        <v>0.99372850000000001</v>
      </c>
      <c r="Q967">
        <v>-9.2619080000000006E-2</v>
      </c>
      <c r="R967">
        <v>6.2654050000000003E-2</v>
      </c>
      <c r="S967">
        <v>3.0332029999999999</v>
      </c>
      <c r="T967">
        <v>3.0966400000000002E-2</v>
      </c>
      <c r="U967">
        <v>-0.181366</v>
      </c>
      <c r="V967">
        <v>-5.9293150000000003E-2</v>
      </c>
      <c r="W967">
        <v>-8.4762980000000002E-2</v>
      </c>
      <c r="X967">
        <v>0.99463539999999995</v>
      </c>
      <c r="Y967">
        <v>6.3059039999999997E-2</v>
      </c>
      <c r="Z967">
        <v>1.3335429999999999E-4</v>
      </c>
      <c r="AA967">
        <v>0.99800979999999995</v>
      </c>
      <c r="AB967">
        <v>37</v>
      </c>
      <c r="AC967">
        <v>165.08269999999999</v>
      </c>
      <c r="AD967">
        <v>1.6868920000000001</v>
      </c>
      <c r="AE967">
        <v>-9.8808999999999898</v>
      </c>
      <c r="AF967">
        <v>10.437694256337601</v>
      </c>
      <c r="AG967">
        <v>1.6868920000000001</v>
      </c>
      <c r="AH967">
        <v>165.03119172312699</v>
      </c>
      <c r="AI967">
        <v>89.415530409102104</v>
      </c>
      <c r="AJ967">
        <v>86.381045798375197</v>
      </c>
      <c r="AK967">
        <v>165.369541656146</v>
      </c>
      <c r="AL967">
        <v>94.8623953888779</v>
      </c>
      <c r="AM967">
        <v>93.4115330480316</v>
      </c>
      <c r="AN967">
        <v>1.00000000967428</v>
      </c>
    </row>
    <row r="968" spans="1:40" x14ac:dyDescent="0.25">
      <c r="A968" t="str">
        <f>"20190305134924304"</f>
        <v>20190305134924304</v>
      </c>
      <c r="B968" t="str">
        <f>"1551764964301769"</f>
        <v>1551764964301769</v>
      </c>
      <c r="C968" t="s">
        <v>40</v>
      </c>
      <c r="D968">
        <v>3.797695</v>
      </c>
      <c r="E968">
        <v>0.54802850000000003</v>
      </c>
      <c r="F968" t="s">
        <v>45</v>
      </c>
      <c r="G968">
        <v>-158.19499999999999</v>
      </c>
      <c r="H968">
        <v>2.7432940000000001</v>
      </c>
      <c r="I968">
        <v>357.9366</v>
      </c>
      <c r="J968">
        <v>-323.10309999999998</v>
      </c>
      <c r="K968">
        <v>1.1089599999999999</v>
      </c>
      <c r="L968">
        <v>367.83800000000002</v>
      </c>
      <c r="M968">
        <v>0.99996320000000005</v>
      </c>
      <c r="N968">
        <v>-7.9013729999999997E-3</v>
      </c>
      <c r="O968">
        <v>3.3932929999999999E-3</v>
      </c>
      <c r="P968">
        <v>0.99372959999999999</v>
      </c>
      <c r="Q968">
        <v>-9.2752539999999994E-2</v>
      </c>
      <c r="R968">
        <v>6.2441080000000003E-2</v>
      </c>
      <c r="S968">
        <v>3.0332029999999999</v>
      </c>
      <c r="T968">
        <v>3.003049E-2</v>
      </c>
      <c r="U968">
        <v>-0.1819153</v>
      </c>
      <c r="V968">
        <v>-5.9066239999999999E-2</v>
      </c>
      <c r="W968">
        <v>-8.4897780000000006E-2</v>
      </c>
      <c r="X968">
        <v>0.9946374</v>
      </c>
      <c r="Y968">
        <v>6.3252879999999997E-2</v>
      </c>
      <c r="Z968">
        <v>1.2306139999999999E-4</v>
      </c>
      <c r="AA968">
        <v>0.99799749999999998</v>
      </c>
      <c r="AB968">
        <v>37</v>
      </c>
      <c r="AC968">
        <v>164.90809999999999</v>
      </c>
      <c r="AD968">
        <v>1.63433399999999</v>
      </c>
      <c r="AE968">
        <v>-9.9014000000000202</v>
      </c>
      <c r="AF968">
        <v>10.4599181871474</v>
      </c>
      <c r="AG968">
        <v>1.63433399999999</v>
      </c>
      <c r="AH968">
        <v>164.857417085062</v>
      </c>
      <c r="AI968">
        <v>89.433149706422597</v>
      </c>
      <c r="AJ968">
        <v>86.369548279500094</v>
      </c>
      <c r="AK968">
        <v>165.197000287728</v>
      </c>
      <c r="AL968">
        <v>94.870146820377002</v>
      </c>
      <c r="AM968">
        <v>93.398501233866696</v>
      </c>
      <c r="AN968">
        <v>1.0000000056177101</v>
      </c>
    </row>
    <row r="969" spans="1:40" x14ac:dyDescent="0.25">
      <c r="A969" t="str">
        <f>"20190305134924315"</f>
        <v>20190305134924315</v>
      </c>
      <c r="B969" t="str">
        <f>"1551764964311530"</f>
        <v>1551764964311530</v>
      </c>
      <c r="C969" t="s">
        <v>40</v>
      </c>
      <c r="D969">
        <v>3.7617919999999998</v>
      </c>
      <c r="E969">
        <v>0.54810950000000003</v>
      </c>
      <c r="F969" t="s">
        <v>45</v>
      </c>
      <c r="G969">
        <v>-158.19499999999999</v>
      </c>
      <c r="H969">
        <v>2.7273019999999999</v>
      </c>
      <c r="I969">
        <v>357.8897</v>
      </c>
      <c r="J969">
        <v>-322.94409999999999</v>
      </c>
      <c r="K969">
        <v>1.108957</v>
      </c>
      <c r="L969">
        <v>367.83850000000001</v>
      </c>
      <c r="M969">
        <v>0.99996300000000005</v>
      </c>
      <c r="N969">
        <v>-7.9006519999999993E-3</v>
      </c>
      <c r="O969">
        <v>3.4057570000000001E-3</v>
      </c>
      <c r="P969">
        <v>0.99371339999999997</v>
      </c>
      <c r="Q969">
        <v>-9.2918410000000007E-2</v>
      </c>
      <c r="R969">
        <v>6.2451920000000001E-2</v>
      </c>
      <c r="S969">
        <v>3.0332029999999999</v>
      </c>
      <c r="T969">
        <v>2.976823E-2</v>
      </c>
      <c r="U969">
        <v>-0.18298339999999999</v>
      </c>
      <c r="V969">
        <v>-5.906492E-2</v>
      </c>
      <c r="W969">
        <v>-8.5064520000000005E-2</v>
      </c>
      <c r="X969">
        <v>0.99462320000000004</v>
      </c>
      <c r="Y969">
        <v>6.3615519999999995E-2</v>
      </c>
      <c r="Z969">
        <v>1.20615E-4</v>
      </c>
      <c r="AA969">
        <v>0.99797449999999999</v>
      </c>
      <c r="AB969">
        <v>37</v>
      </c>
      <c r="AC969">
        <v>164.7491</v>
      </c>
      <c r="AD969">
        <v>1.6183449999999999</v>
      </c>
      <c r="AE969">
        <v>-9.9488000000000003</v>
      </c>
      <c r="AF969">
        <v>10.508844858376101</v>
      </c>
      <c r="AG969">
        <v>1.6183449999999999</v>
      </c>
      <c r="AH969">
        <v>164.69842569442099</v>
      </c>
      <c r="AI969">
        <v>89.438165890504905</v>
      </c>
      <c r="AJ969">
        <v>86.349100954155404</v>
      </c>
      <c r="AK969">
        <v>165.04128661343199</v>
      </c>
      <c r="AL969">
        <v>94.879735159628893</v>
      </c>
      <c r="AM969">
        <v>93.3984738676766</v>
      </c>
      <c r="AN969">
        <v>0.99999997365783799</v>
      </c>
    </row>
    <row r="970" spans="1:40" x14ac:dyDescent="0.25">
      <c r="A970" t="str">
        <f>"20190305134924326"</f>
        <v>20190305134924326</v>
      </c>
      <c r="B970" t="str">
        <f>"1551764964321290"</f>
        <v>1551764964321290</v>
      </c>
      <c r="C970" t="s">
        <v>40</v>
      </c>
      <c r="D970">
        <v>3.7765520000000001</v>
      </c>
      <c r="E970">
        <v>0.54816619999999905</v>
      </c>
      <c r="F970" t="s">
        <v>45</v>
      </c>
      <c r="G970">
        <v>-158.19499999999999</v>
      </c>
      <c r="H970">
        <v>2.673333</v>
      </c>
      <c r="I970">
        <v>357.86489999999998</v>
      </c>
      <c r="J970">
        <v>-322.76029999999997</v>
      </c>
      <c r="K970">
        <v>1.108954</v>
      </c>
      <c r="L970">
        <v>367.83920000000001</v>
      </c>
      <c r="M970">
        <v>0.99996300000000005</v>
      </c>
      <c r="N970">
        <v>-7.9002640000000006E-3</v>
      </c>
      <c r="O970">
        <v>3.4200670000000002E-3</v>
      </c>
      <c r="P970">
        <v>0.99368279999999998</v>
      </c>
      <c r="Q970">
        <v>-9.3310379999999998E-2</v>
      </c>
      <c r="R970">
        <v>6.2350389999999999E-2</v>
      </c>
      <c r="S970">
        <v>3.0331730000000001</v>
      </c>
      <c r="T970">
        <v>2.880311E-2</v>
      </c>
      <c r="U970">
        <v>-0.18362429999999999</v>
      </c>
      <c r="V970">
        <v>-5.8949109999999999E-2</v>
      </c>
      <c r="W970">
        <v>-8.5457149999999996E-2</v>
      </c>
      <c r="X970">
        <v>0.99459640000000005</v>
      </c>
      <c r="Y970">
        <v>6.3840640000000004E-2</v>
      </c>
      <c r="Z970">
        <v>1.098589E-4</v>
      </c>
      <c r="AA970">
        <v>0.99796010000000002</v>
      </c>
      <c r="AB970">
        <v>37</v>
      </c>
      <c r="AC970">
        <v>164.56529999999901</v>
      </c>
      <c r="AD970">
        <v>1.564379</v>
      </c>
      <c r="AE970">
        <v>-9.9743000000000208</v>
      </c>
      <c r="AF970">
        <v>10.5361349186825</v>
      </c>
      <c r="AG970">
        <v>1.564379</v>
      </c>
      <c r="AH970">
        <v>164.515411385052</v>
      </c>
      <c r="AI970">
        <v>89.456303966737906</v>
      </c>
      <c r="AJ970">
        <v>86.3355849479819</v>
      </c>
      <c r="AK970">
        <v>164.859873844042</v>
      </c>
      <c r="AL970">
        <v>94.902313482064102</v>
      </c>
      <c r="AM970">
        <v>93.391917152419296</v>
      </c>
      <c r="AN970">
        <v>0.99999996047443596</v>
      </c>
    </row>
    <row r="971" spans="1:40" x14ac:dyDescent="0.25">
      <c r="A971" t="str">
        <f>"20190305134924337"</f>
        <v>20190305134924337</v>
      </c>
      <c r="B971" t="str">
        <f>"1551764964332025"</f>
        <v>1551764964332025</v>
      </c>
      <c r="C971" t="s">
        <v>40</v>
      </c>
      <c r="D971">
        <v>3.761196</v>
      </c>
      <c r="E971">
        <v>0.548261199999999</v>
      </c>
      <c r="F971" t="s">
        <v>45</v>
      </c>
      <c r="G971">
        <v>-158.19499999999999</v>
      </c>
      <c r="H971">
        <v>2.6132819999999999</v>
      </c>
      <c r="I971">
        <v>357.82729999999998</v>
      </c>
      <c r="J971">
        <v>-322.56729999999999</v>
      </c>
      <c r="K971">
        <v>1.1089519999999999</v>
      </c>
      <c r="L971">
        <v>367.83980000000003</v>
      </c>
      <c r="M971">
        <v>0.99996300000000005</v>
      </c>
      <c r="N971">
        <v>-7.90046199999999E-3</v>
      </c>
      <c r="O971">
        <v>3.4352089999999998E-3</v>
      </c>
      <c r="P971">
        <v>0.99366220000000005</v>
      </c>
      <c r="Q971">
        <v>-9.3634029999999993E-2</v>
      </c>
      <c r="R971">
        <v>6.2196170000000002E-2</v>
      </c>
      <c r="S971">
        <v>3.0332949999999999</v>
      </c>
      <c r="T971">
        <v>2.7729630000000002E-2</v>
      </c>
      <c r="U971">
        <v>-0.1845398</v>
      </c>
      <c r="V971">
        <v>-5.878005E-2</v>
      </c>
      <c r="W971">
        <v>-8.5780780000000001E-2</v>
      </c>
      <c r="X971">
        <v>0.99457859999999998</v>
      </c>
      <c r="Y971">
        <v>6.4153559999999998E-2</v>
      </c>
      <c r="Z971" s="1">
        <v>9.7789310000000003E-5</v>
      </c>
      <c r="AA971">
        <v>0.99794000000000005</v>
      </c>
      <c r="AB971">
        <v>37</v>
      </c>
      <c r="AC971">
        <v>164.3723</v>
      </c>
      <c r="AD971">
        <v>1.5043299999999999</v>
      </c>
      <c r="AE971">
        <v>-10.012499999999999</v>
      </c>
      <c r="AF971">
        <v>10.576229109877399</v>
      </c>
      <c r="AG971">
        <v>1.5043299999999999</v>
      </c>
      <c r="AH971">
        <v>164.32322139713199</v>
      </c>
      <c r="AI971">
        <v>89.476571881136095</v>
      </c>
      <c r="AJ971">
        <v>86.317388321623994</v>
      </c>
      <c r="AK971">
        <v>164.67009662128899</v>
      </c>
      <c r="AL971">
        <v>94.920924192128993</v>
      </c>
      <c r="AM971">
        <v>93.382272487830207</v>
      </c>
      <c r="AN971">
        <v>1.00000001403668</v>
      </c>
    </row>
    <row r="972" spans="1:40" x14ac:dyDescent="0.25">
      <c r="A972" t="str">
        <f>"20190305134924348"</f>
        <v>20190305134924348</v>
      </c>
      <c r="B972" t="str">
        <f>"1551764964341785"</f>
        <v>1551764964341785</v>
      </c>
      <c r="C972" t="s">
        <v>40</v>
      </c>
      <c r="D972">
        <v>3.7667670000000002</v>
      </c>
      <c r="E972">
        <v>0.54829530000000004</v>
      </c>
      <c r="F972" t="s">
        <v>45</v>
      </c>
      <c r="G972">
        <v>-158.19499999999999</v>
      </c>
      <c r="H972">
        <v>2.5232070000000002</v>
      </c>
      <c r="I972">
        <v>357.76839999999999</v>
      </c>
      <c r="J972">
        <v>-322.38150000000002</v>
      </c>
      <c r="K972">
        <v>1.108949</v>
      </c>
      <c r="L972">
        <v>367.84050000000002</v>
      </c>
      <c r="M972">
        <v>0.99996280000000004</v>
      </c>
      <c r="N972">
        <v>-7.9009330000000006E-3</v>
      </c>
      <c r="O972">
        <v>3.4501689999999999E-3</v>
      </c>
      <c r="P972">
        <v>0.99360090000000001</v>
      </c>
      <c r="Q972">
        <v>-9.4195650000000006E-2</v>
      </c>
      <c r="R972">
        <v>6.2325810000000002E-2</v>
      </c>
      <c r="S972">
        <v>3.0332029999999999</v>
      </c>
      <c r="T972">
        <v>2.6099210000000001E-2</v>
      </c>
      <c r="U972">
        <v>-0.18585209999999999</v>
      </c>
      <c r="V972">
        <v>-5.8894790000000002E-2</v>
      </c>
      <c r="W972">
        <v>-8.6342440000000006E-2</v>
      </c>
      <c r="X972">
        <v>0.99452320000000005</v>
      </c>
      <c r="Y972">
        <v>6.4600640000000001E-2</v>
      </c>
      <c r="Z972" s="1">
        <v>7.910875E-5</v>
      </c>
      <c r="AA972">
        <v>0.9979112</v>
      </c>
      <c r="AB972">
        <v>37</v>
      </c>
      <c r="AC972">
        <v>164.1865</v>
      </c>
      <c r="AD972">
        <v>1.41425799999999</v>
      </c>
      <c r="AE972">
        <v>-10.072100000000001</v>
      </c>
      <c r="AF972">
        <v>10.637742600487501</v>
      </c>
      <c r="AG972">
        <v>1.41425799999999</v>
      </c>
      <c r="AH972">
        <v>164.13863836750201</v>
      </c>
      <c r="AI972">
        <v>89.507371445995602</v>
      </c>
      <c r="AJ972">
        <v>86.291875253344102</v>
      </c>
      <c r="AK972">
        <v>164.48907045291</v>
      </c>
      <c r="AL972">
        <v>94.9532248291451</v>
      </c>
      <c r="AM972">
        <v>93.389047725385396</v>
      </c>
      <c r="AN972">
        <v>1.00000000428626</v>
      </c>
    </row>
    <row r="973" spans="1:40" x14ac:dyDescent="0.25">
      <c r="A973" t="str">
        <f>"20190305134924360"</f>
        <v>20190305134924360</v>
      </c>
      <c r="B973" t="str">
        <f>"1551764964351546"</f>
        <v>1551764964351546</v>
      </c>
      <c r="C973" t="s">
        <v>40</v>
      </c>
      <c r="D973">
        <v>3.7296809999999998</v>
      </c>
      <c r="E973">
        <v>0.54828169999999898</v>
      </c>
      <c r="F973" t="s">
        <v>45</v>
      </c>
      <c r="G973">
        <v>-158.19499999999999</v>
      </c>
      <c r="H973">
        <v>2.4509840000000001</v>
      </c>
      <c r="I973">
        <v>357.80560000000003</v>
      </c>
      <c r="J973">
        <v>-322.19959999999998</v>
      </c>
      <c r="K973">
        <v>1.1089450000000001</v>
      </c>
      <c r="L973">
        <v>367.84109999999998</v>
      </c>
      <c r="M973">
        <v>0.99996289999999999</v>
      </c>
      <c r="N973">
        <v>-7.9020489999999995E-3</v>
      </c>
      <c r="O973">
        <v>3.4639969999999999E-3</v>
      </c>
      <c r="P973">
        <v>0.99359520000000001</v>
      </c>
      <c r="Q973">
        <v>-9.4252649999999993E-2</v>
      </c>
      <c r="R973">
        <v>6.2334559999999997E-2</v>
      </c>
      <c r="S973">
        <v>3.033325</v>
      </c>
      <c r="T973">
        <v>2.479553E-2</v>
      </c>
      <c r="U973">
        <v>-0.18539430000000001</v>
      </c>
      <c r="V973">
        <v>-5.8889770000000001E-2</v>
      </c>
      <c r="W973">
        <v>-8.6398420000000004E-2</v>
      </c>
      <c r="X973">
        <v>0.99451860000000003</v>
      </c>
      <c r="Y973">
        <v>6.4462099999999994E-2</v>
      </c>
      <c r="Z973" s="1">
        <v>6.3921669999999898E-5</v>
      </c>
      <c r="AA973">
        <v>0.99792020000000003</v>
      </c>
      <c r="AB973">
        <v>37</v>
      </c>
      <c r="AC973">
        <v>164.00459999999899</v>
      </c>
      <c r="AD973">
        <v>1.342039</v>
      </c>
      <c r="AE973">
        <v>-10.0354999999999</v>
      </c>
      <c r="AF973">
        <v>10.6028615742668</v>
      </c>
      <c r="AG973">
        <v>1.342039</v>
      </c>
      <c r="AH973">
        <v>163.95791420639301</v>
      </c>
      <c r="AI973">
        <v>89.532006829662095</v>
      </c>
      <c r="AJ973">
        <v>86.299937751313905</v>
      </c>
      <c r="AK973">
        <v>164.30587138977</v>
      </c>
      <c r="AL973">
        <v>94.956444453641296</v>
      </c>
      <c r="AM973">
        <v>93.388775164913099</v>
      </c>
      <c r="AN973">
        <v>0.99999996886755405</v>
      </c>
    </row>
    <row r="974" spans="1:40" x14ac:dyDescent="0.25">
      <c r="A974" t="str">
        <f>"20190305134924371"</f>
        <v>20190305134924371</v>
      </c>
      <c r="B974" t="str">
        <f>"1551764964361305"</f>
        <v>1551764964361305</v>
      </c>
      <c r="C974" t="s">
        <v>40</v>
      </c>
      <c r="D974">
        <v>3.6843689999999998</v>
      </c>
      <c r="E974">
        <v>0.54828100000000002</v>
      </c>
      <c r="F974" t="s">
        <v>45</v>
      </c>
      <c r="G974">
        <v>-158.19499999999999</v>
      </c>
      <c r="H974">
        <v>2.4325999999999999</v>
      </c>
      <c r="I974">
        <v>357.83690000000001</v>
      </c>
      <c r="J974">
        <v>-322.00700000000001</v>
      </c>
      <c r="K974">
        <v>1.108941</v>
      </c>
      <c r="L974">
        <v>367.84179999999998</v>
      </c>
      <c r="M974">
        <v>0.99996269999999998</v>
      </c>
      <c r="N974">
        <v>-7.9033819999999901E-3</v>
      </c>
      <c r="O974">
        <v>3.4789560000000001E-3</v>
      </c>
      <c r="P974">
        <v>0.99356180000000005</v>
      </c>
      <c r="Q974">
        <v>-9.4627439999999993E-2</v>
      </c>
      <c r="R974">
        <v>6.229457E-2</v>
      </c>
      <c r="S974">
        <v>3.033264</v>
      </c>
      <c r="T974">
        <v>2.4482609999999998E-2</v>
      </c>
      <c r="U974">
        <v>-0.1850281</v>
      </c>
      <c r="V974">
        <v>-5.8834730000000002E-2</v>
      </c>
      <c r="W974">
        <v>-8.6772189999999999E-2</v>
      </c>
      <c r="X974">
        <v>0.99448939999999997</v>
      </c>
      <c r="Y974">
        <v>6.435826E-2</v>
      </c>
      <c r="Z974" s="1">
        <v>6.0443389999999997E-5</v>
      </c>
      <c r="AA974">
        <v>0.9979268</v>
      </c>
      <c r="AB974">
        <v>37</v>
      </c>
      <c r="AC974">
        <v>163.81200000000001</v>
      </c>
      <c r="AD974">
        <v>1.3236589999999999</v>
      </c>
      <c r="AE974">
        <v>-10.0048999999999</v>
      </c>
      <c r="AF974">
        <v>10.574064162388799</v>
      </c>
      <c r="AG974">
        <v>1.3236589999999999</v>
      </c>
      <c r="AH974">
        <v>163.765548057849</v>
      </c>
      <c r="AI974">
        <v>89.537870844089895</v>
      </c>
      <c r="AJ974">
        <v>86.305636845416203</v>
      </c>
      <c r="AK974">
        <v>164.11190583484901</v>
      </c>
      <c r="AL974">
        <v>94.977940210438007</v>
      </c>
      <c r="AM974">
        <v>93.385714469758994</v>
      </c>
      <c r="AN974">
        <v>1.0000000525619599</v>
      </c>
    </row>
    <row r="975" spans="1:40" x14ac:dyDescent="0.25">
      <c r="A975" t="str">
        <f>"20190305134924381"</f>
        <v>20190305134924381</v>
      </c>
      <c r="B975" t="str">
        <f>"1551764964372043"</f>
        <v>1551764964372043</v>
      </c>
      <c r="C975" t="s">
        <v>40</v>
      </c>
      <c r="D975">
        <v>3.709422</v>
      </c>
      <c r="E975">
        <v>0.54825740000000001</v>
      </c>
      <c r="F975" t="s">
        <v>45</v>
      </c>
      <c r="G975">
        <v>-158.19499999999999</v>
      </c>
      <c r="H975">
        <v>2.398749</v>
      </c>
      <c r="I975">
        <v>357.8381</v>
      </c>
      <c r="J975">
        <v>-321.82810000000001</v>
      </c>
      <c r="K975">
        <v>1.108938</v>
      </c>
      <c r="L975">
        <v>367.84249999999997</v>
      </c>
      <c r="M975">
        <v>0.99996269999999998</v>
      </c>
      <c r="N975">
        <v>-7.9051450000000006E-3</v>
      </c>
      <c r="O975">
        <v>3.4930759999999999E-3</v>
      </c>
      <c r="P975">
        <v>0.99352850000000004</v>
      </c>
      <c r="Q975">
        <v>-9.4716510000000004E-2</v>
      </c>
      <c r="R975">
        <v>6.2689389999999998E-2</v>
      </c>
      <c r="S975">
        <v>3.0333559999999999</v>
      </c>
      <c r="T975">
        <v>2.388537E-2</v>
      </c>
      <c r="U975">
        <v>-0.18524170000000001</v>
      </c>
      <c r="V975">
        <v>-5.9215539999999997E-2</v>
      </c>
      <c r="W975">
        <v>-8.6859790000000006E-2</v>
      </c>
      <c r="X975">
        <v>0.99445910000000004</v>
      </c>
      <c r="Y975">
        <v>6.4440590000000006E-2</v>
      </c>
      <c r="Z975" s="1">
        <v>5.3589730000000002E-5</v>
      </c>
      <c r="AA975">
        <v>0.99792150000000002</v>
      </c>
      <c r="AB975">
        <v>37</v>
      </c>
      <c r="AC975">
        <v>163.63310000000001</v>
      </c>
      <c r="AD975">
        <v>1.289811</v>
      </c>
      <c r="AE975">
        <v>-10.004399999999899</v>
      </c>
      <c r="AF975">
        <v>10.575285040682999</v>
      </c>
      <c r="AG975">
        <v>1.289811</v>
      </c>
      <c r="AH975">
        <v>163.587028414093</v>
      </c>
      <c r="AI975">
        <v>89.549198568041007</v>
      </c>
      <c r="AJ975">
        <v>86.301190606240198</v>
      </c>
      <c r="AK975">
        <v>163.933572313485</v>
      </c>
      <c r="AL975">
        <v>94.982978593026601</v>
      </c>
      <c r="AM975">
        <v>93.407680741100194</v>
      </c>
      <c r="AN975">
        <v>1.0000000024345701</v>
      </c>
    </row>
    <row r="976" spans="1:40" x14ac:dyDescent="0.25">
      <c r="A976" t="str">
        <f>"20190305134924392"</f>
        <v>20190305134924392</v>
      </c>
      <c r="B976" t="str">
        <f>"1551764964381802"</f>
        <v>1551764964381802</v>
      </c>
      <c r="C976" t="s">
        <v>40</v>
      </c>
      <c r="D976">
        <v>3.6998890000000002</v>
      </c>
      <c r="E976">
        <v>0.54829969999999995</v>
      </c>
      <c r="F976" t="s">
        <v>45</v>
      </c>
      <c r="G976">
        <v>-158.19499999999999</v>
      </c>
      <c r="H976">
        <v>2.3976839999999999</v>
      </c>
      <c r="I976">
        <v>357.94029999999998</v>
      </c>
      <c r="J976">
        <v>-321.65589999999997</v>
      </c>
      <c r="K976">
        <v>1.1089340000000001</v>
      </c>
      <c r="L976">
        <v>367.84309999999999</v>
      </c>
      <c r="M976">
        <v>0.99996260000000003</v>
      </c>
      <c r="N976">
        <v>-7.9069819999999999E-3</v>
      </c>
      <c r="O976">
        <v>3.5065410000000002E-3</v>
      </c>
      <c r="P976">
        <v>0.99351060000000002</v>
      </c>
      <c r="Q976">
        <v>-9.4846639999999996E-2</v>
      </c>
      <c r="R976">
        <v>6.2779680000000004E-2</v>
      </c>
      <c r="S976">
        <v>3.0333860000000001</v>
      </c>
      <c r="T976">
        <v>2.3892050000000001E-2</v>
      </c>
      <c r="U976">
        <v>-0.18356320000000001</v>
      </c>
      <c r="V976">
        <v>-5.9292640000000001E-2</v>
      </c>
      <c r="W976">
        <v>-8.698823E-2</v>
      </c>
      <c r="X976">
        <v>0.99444330000000003</v>
      </c>
      <c r="Y976">
        <v>6.3903249999999995E-2</v>
      </c>
      <c r="Z976" s="1">
        <v>5.3846479999999999E-5</v>
      </c>
      <c r="AA976">
        <v>0.99795610000000001</v>
      </c>
      <c r="AB976">
        <v>37</v>
      </c>
      <c r="AC976">
        <v>163.46089999999899</v>
      </c>
      <c r="AD976">
        <v>1.2887499999999901</v>
      </c>
      <c r="AE976">
        <v>-9.9028000000000098</v>
      </c>
      <c r="AF976">
        <v>10.4752906149045</v>
      </c>
      <c r="AG976">
        <v>1.2887499999999901</v>
      </c>
      <c r="AH976">
        <v>163.415048629615</v>
      </c>
      <c r="AI976">
        <v>89.549079642767893</v>
      </c>
      <c r="AJ976">
        <v>86.332223472723996</v>
      </c>
      <c r="AK976">
        <v>163.75552115470299</v>
      </c>
      <c r="AL976">
        <v>94.990365519782102</v>
      </c>
      <c r="AM976">
        <v>93.412161228499301</v>
      </c>
      <c r="AN976">
        <v>1.0000000231157899</v>
      </c>
    </row>
    <row r="977" spans="1:40" x14ac:dyDescent="0.25">
      <c r="A977" t="str">
        <f>"20190305134924404"</f>
        <v>20190305134924404</v>
      </c>
      <c r="B977" t="str">
        <f>"1551764964391562"</f>
        <v>1551764964391562</v>
      </c>
      <c r="C977" t="s">
        <v>40</v>
      </c>
      <c r="D977">
        <v>3.704602</v>
      </c>
      <c r="E977">
        <v>0.54831730000000001</v>
      </c>
      <c r="F977" t="s">
        <v>45</v>
      </c>
      <c r="G977">
        <v>-158.19499999999999</v>
      </c>
      <c r="H977">
        <v>2.416372</v>
      </c>
      <c r="I977">
        <v>357.95319999999998</v>
      </c>
      <c r="J977">
        <v>-321.46120000000002</v>
      </c>
      <c r="K977">
        <v>1.1089260000000001</v>
      </c>
      <c r="L977">
        <v>367.84379999999999</v>
      </c>
      <c r="M977">
        <v>0.99996249999999998</v>
      </c>
      <c r="N977">
        <v>-7.9094990000000004E-3</v>
      </c>
      <c r="O977">
        <v>3.522028E-3</v>
      </c>
      <c r="P977">
        <v>0.99348069999999999</v>
      </c>
      <c r="Q977">
        <v>-9.4861239999999999E-2</v>
      </c>
      <c r="R977">
        <v>6.3225320000000002E-2</v>
      </c>
      <c r="S977">
        <v>3.0334469999999998</v>
      </c>
      <c r="T977">
        <v>2.4264569999999999E-2</v>
      </c>
      <c r="U977">
        <v>-0.18353269999999999</v>
      </c>
      <c r="V977">
        <v>-5.9722659999999997E-2</v>
      </c>
      <c r="W977">
        <v>-8.7000569999999999E-2</v>
      </c>
      <c r="X977">
        <v>0.99441650000000004</v>
      </c>
      <c r="Y977">
        <v>6.3907459999999999E-2</v>
      </c>
      <c r="Z977" s="1">
        <v>5.8365870000000001E-5</v>
      </c>
      <c r="AA977">
        <v>0.99795579999999995</v>
      </c>
      <c r="AB977">
        <v>37</v>
      </c>
      <c r="AC977">
        <v>163.2662</v>
      </c>
      <c r="AD977">
        <v>1.3074460000000001</v>
      </c>
      <c r="AE977">
        <v>-9.8905999999999992</v>
      </c>
      <c r="AF977">
        <v>10.4649161249492</v>
      </c>
      <c r="AG977">
        <v>1.3074460000000001</v>
      </c>
      <c r="AH977">
        <v>163.21992237117101</v>
      </c>
      <c r="AI977">
        <v>89.541991899858701</v>
      </c>
      <c r="AJ977">
        <v>86.331477584256703</v>
      </c>
      <c r="AK977">
        <v>163.560285348847</v>
      </c>
      <c r="AL977">
        <v>94.991075178985099</v>
      </c>
      <c r="AM977">
        <v>93.436941232255805</v>
      </c>
      <c r="AN977">
        <v>1.00000003538502</v>
      </c>
    </row>
    <row r="978" spans="1:40" x14ac:dyDescent="0.25">
      <c r="A978" t="str">
        <f>"20190305134924415"</f>
        <v>20190305134924415</v>
      </c>
      <c r="B978" t="str">
        <f>"1551764964412057"</f>
        <v>1551764964412057</v>
      </c>
      <c r="C978" t="s">
        <v>40</v>
      </c>
      <c r="D978">
        <v>3.6667890000000001</v>
      </c>
      <c r="E978">
        <v>0.54840269999999902</v>
      </c>
      <c r="F978" t="s">
        <v>45</v>
      </c>
      <c r="G978">
        <v>-158.19499999999999</v>
      </c>
      <c r="H978">
        <v>2.425405</v>
      </c>
      <c r="I978">
        <v>358.02710000000002</v>
      </c>
      <c r="J978">
        <v>-321.27249999999998</v>
      </c>
      <c r="K978">
        <v>1.1088789999999999</v>
      </c>
      <c r="L978">
        <v>367.84449999999998</v>
      </c>
      <c r="M978">
        <v>0.99996379999999996</v>
      </c>
      <c r="N978">
        <v>-7.7547450000000004E-3</v>
      </c>
      <c r="O978">
        <v>3.5369379999999999E-3</v>
      </c>
      <c r="P978">
        <v>0.99349279999999995</v>
      </c>
      <c r="Q978">
        <v>-9.4530050000000004E-2</v>
      </c>
      <c r="R978">
        <v>6.353309E-2</v>
      </c>
      <c r="S978">
        <v>3.03363</v>
      </c>
      <c r="T978">
        <v>2.4462939999999999E-2</v>
      </c>
      <c r="U978">
        <v>-0.1824036</v>
      </c>
      <c r="V978">
        <v>-6.0015680000000002E-2</v>
      </c>
      <c r="W978">
        <v>-8.6823170000000005E-2</v>
      </c>
      <c r="X978">
        <v>0.99441429999999997</v>
      </c>
      <c r="Y978">
        <v>6.3548540000000001E-2</v>
      </c>
      <c r="Z978" s="1">
        <v>6.526045E-5</v>
      </c>
      <c r="AA978">
        <v>0.9979787</v>
      </c>
      <c r="AB978">
        <v>37</v>
      </c>
      <c r="AC978">
        <v>163.07749999999999</v>
      </c>
      <c r="AD978">
        <v>1.3165260000000001</v>
      </c>
      <c r="AE978">
        <v>-9.8173999999999602</v>
      </c>
      <c r="AF978">
        <v>10.3934759351163</v>
      </c>
      <c r="AG978">
        <v>1.3165260000000001</v>
      </c>
      <c r="AH978">
        <v>163.031168379576</v>
      </c>
      <c r="AI978">
        <v>89.538266613509904</v>
      </c>
      <c r="AJ978">
        <v>86.352246527690497</v>
      </c>
      <c r="AK978">
        <v>163.367436920373</v>
      </c>
      <c r="AL978">
        <v>94.980872615062395</v>
      </c>
      <c r="AM978">
        <v>93.453770955810896</v>
      </c>
      <c r="AN978">
        <v>0.99999997236960003</v>
      </c>
    </row>
    <row r="979" spans="1:40" x14ac:dyDescent="0.25">
      <c r="A979" t="str">
        <f>"20190305134924426"</f>
        <v>20190305134924426</v>
      </c>
      <c r="B979" t="str">
        <f>"1551764964421817"</f>
        <v>1551764964421817</v>
      </c>
      <c r="C979" t="s">
        <v>40</v>
      </c>
      <c r="D979">
        <v>3.6790720000000001</v>
      </c>
      <c r="E979">
        <v>0.54841110000000004</v>
      </c>
      <c r="F979" t="s">
        <v>45</v>
      </c>
      <c r="G979">
        <v>-158.19499999999999</v>
      </c>
      <c r="H979">
        <v>2.540057</v>
      </c>
      <c r="I979">
        <v>358.0496</v>
      </c>
      <c r="J979">
        <v>-321.08179999999999</v>
      </c>
      <c r="K979">
        <v>1.108787</v>
      </c>
      <c r="L979">
        <v>367.84519999999998</v>
      </c>
      <c r="M979">
        <v>0.99996620000000003</v>
      </c>
      <c r="N979">
        <v>-7.437773E-3</v>
      </c>
      <c r="O979">
        <v>3.5519089999999998E-3</v>
      </c>
      <c r="P979">
        <v>0.99348170000000002</v>
      </c>
      <c r="Q979">
        <v>-9.4256859999999998E-2</v>
      </c>
      <c r="R979">
        <v>6.4108189999999995E-2</v>
      </c>
      <c r="S979">
        <v>3.0338440000000002</v>
      </c>
      <c r="T979">
        <v>2.6626830000000001E-2</v>
      </c>
      <c r="U979">
        <v>-0.18222050000000001</v>
      </c>
      <c r="V979">
        <v>-6.0576390000000001E-2</v>
      </c>
      <c r="W979">
        <v>-8.6865280000000003E-2</v>
      </c>
      <c r="X979">
        <v>0.9943767</v>
      </c>
      <c r="Y979">
        <v>6.3498929999999995E-2</v>
      </c>
      <c r="Z979" s="1">
        <v>9.9573259999999995E-5</v>
      </c>
      <c r="AA979">
        <v>0.99798189999999998</v>
      </c>
      <c r="AB979">
        <v>37</v>
      </c>
      <c r="AC979">
        <v>162.88679999999999</v>
      </c>
      <c r="AD979">
        <v>1.4312699999999901</v>
      </c>
      <c r="AE979">
        <v>-9.7955999999999808</v>
      </c>
      <c r="AF979">
        <v>10.373315168928</v>
      </c>
      <c r="AG979">
        <v>1.4312699999999901</v>
      </c>
      <c r="AH979">
        <v>162.83845102162201</v>
      </c>
      <c r="AI979">
        <v>89.497429860709303</v>
      </c>
      <c r="AJ979">
        <v>86.355006103906405</v>
      </c>
      <c r="AK979">
        <v>163.17479993101901</v>
      </c>
      <c r="AL979">
        <v>94.983294109151203</v>
      </c>
      <c r="AM979">
        <v>93.486090872676996</v>
      </c>
      <c r="AN979">
        <v>1.00000004869889</v>
      </c>
    </row>
    <row r="980" spans="1:40" x14ac:dyDescent="0.25">
      <c r="A980" t="str">
        <f>"20190305134924439"</f>
        <v>20190305134924439</v>
      </c>
      <c r="B980" t="str">
        <f>"1551764964431578"</f>
        <v>1551764964431578</v>
      </c>
      <c r="C980" t="s">
        <v>40</v>
      </c>
      <c r="D980">
        <v>3.6668530000000001</v>
      </c>
      <c r="E980">
        <v>0.54846410000000001</v>
      </c>
      <c r="F980" t="s">
        <v>45</v>
      </c>
      <c r="G980">
        <v>-158.19499999999999</v>
      </c>
      <c r="H980">
        <v>2.6016720000000002</v>
      </c>
      <c r="I980">
        <v>358.17200000000003</v>
      </c>
      <c r="J980">
        <v>-320.87740000000002</v>
      </c>
      <c r="K980">
        <v>1.1086579999999999</v>
      </c>
      <c r="L980">
        <v>367.84589999999997</v>
      </c>
      <c r="M980">
        <v>0.99996830000000003</v>
      </c>
      <c r="N980">
        <v>-7.1300139999999996E-3</v>
      </c>
      <c r="O980">
        <v>3.568346E-3</v>
      </c>
      <c r="P980">
        <v>0.99349690000000002</v>
      </c>
      <c r="Q980">
        <v>-9.3913129999999997E-2</v>
      </c>
      <c r="R980">
        <v>6.4374689999999998E-2</v>
      </c>
      <c r="S980">
        <v>3.0339659999999999</v>
      </c>
      <c r="T980">
        <v>2.7808429999999999E-2</v>
      </c>
      <c r="U980">
        <v>-0.1801758</v>
      </c>
      <c r="V980">
        <v>-6.0825999999999998E-2</v>
      </c>
      <c r="W980">
        <v>-8.6827459999999995E-2</v>
      </c>
      <c r="X980">
        <v>0.99436469999999999</v>
      </c>
      <c r="Y980">
        <v>6.2842510000000004E-2</v>
      </c>
      <c r="Z980">
        <v>1.215998E-4</v>
      </c>
      <c r="AA980">
        <v>0.99802349999999995</v>
      </c>
      <c r="AB980">
        <v>37</v>
      </c>
      <c r="AC980">
        <v>162.6824</v>
      </c>
      <c r="AD980">
        <v>1.4930140000000001</v>
      </c>
      <c r="AE980">
        <v>-9.6738999999999997</v>
      </c>
      <c r="AF980">
        <v>10.2534996360754</v>
      </c>
      <c r="AG980">
        <v>1.4930140000000001</v>
      </c>
      <c r="AH980">
        <v>162.63319383130201</v>
      </c>
      <c r="AI980">
        <v>89.475067160187706</v>
      </c>
      <c r="AJ980">
        <v>86.392460247808003</v>
      </c>
      <c r="AK980">
        <v>162.962937753837</v>
      </c>
      <c r="AL980">
        <v>94.9811192909157</v>
      </c>
      <c r="AM980">
        <v>93.500462090892597</v>
      </c>
      <c r="AN980">
        <v>0.99999998334606999</v>
      </c>
    </row>
    <row r="981" spans="1:40" x14ac:dyDescent="0.25">
      <c r="A981" t="str">
        <f>"20190305134924452"</f>
        <v>20190305134924452</v>
      </c>
      <c r="B981" t="str">
        <f>"1551764964441338"</f>
        <v>1551764964441338</v>
      </c>
      <c r="C981" t="s">
        <v>40</v>
      </c>
      <c r="D981">
        <v>3.689171</v>
      </c>
      <c r="E981">
        <v>0.54846410000000001</v>
      </c>
      <c r="F981" t="s">
        <v>45</v>
      </c>
      <c r="G981">
        <v>-158.19499999999999</v>
      </c>
      <c r="H981">
        <v>2.6829040000000002</v>
      </c>
      <c r="I981">
        <v>358.2047</v>
      </c>
      <c r="J981">
        <v>-320.65870000000001</v>
      </c>
      <c r="K981">
        <v>1.1085039999999999</v>
      </c>
      <c r="L981">
        <v>367.8467</v>
      </c>
      <c r="M981">
        <v>0.99997020000000003</v>
      </c>
      <c r="N981">
        <v>-6.8501090000000001E-3</v>
      </c>
      <c r="O981">
        <v>3.5854749999999999E-3</v>
      </c>
      <c r="P981">
        <v>0.99345799999999995</v>
      </c>
      <c r="Q981">
        <v>-9.3973639999999997E-2</v>
      </c>
      <c r="R981">
        <v>6.4885360000000003E-2</v>
      </c>
      <c r="S981">
        <v>3.0340579999999999</v>
      </c>
      <c r="T981">
        <v>2.936161E-2</v>
      </c>
      <c r="U981">
        <v>-0.17980960000000001</v>
      </c>
      <c r="V981">
        <v>-6.1319659999999998E-2</v>
      </c>
      <c r="W981">
        <v>-8.7166519999999997E-2</v>
      </c>
      <c r="X981">
        <v>0.99430469999999904</v>
      </c>
      <c r="Y981">
        <v>6.2737490000000007E-2</v>
      </c>
      <c r="Z981">
        <v>1.4742680000000001E-4</v>
      </c>
      <c r="AA981">
        <v>0.99803010000000003</v>
      </c>
      <c r="AB981">
        <v>38</v>
      </c>
      <c r="AC981">
        <v>162.46369999999999</v>
      </c>
      <c r="AD981">
        <v>1.5744</v>
      </c>
      <c r="AE981">
        <v>-9.6419999999999906</v>
      </c>
      <c r="AF981">
        <v>10.2235044374883</v>
      </c>
      <c r="AG981">
        <v>1.5744</v>
      </c>
      <c r="AH981">
        <v>162.412884845359</v>
      </c>
      <c r="AI981">
        <v>89.445699897372606</v>
      </c>
      <c r="AJ981">
        <v>86.398119436995898</v>
      </c>
      <c r="AK981">
        <v>162.74195507654201</v>
      </c>
      <c r="AL981">
        <v>95.000620002104</v>
      </c>
      <c r="AM981">
        <v>93.529012524013694</v>
      </c>
      <c r="AN981">
        <v>0.99999996967675697</v>
      </c>
    </row>
    <row r="982" spans="1:40" x14ac:dyDescent="0.25">
      <c r="A982" t="str">
        <f>"20190305134924466"</f>
        <v>20190305134924466</v>
      </c>
      <c r="B982" t="str">
        <f>"1551764964461833"</f>
        <v>1551764964461833</v>
      </c>
      <c r="C982" t="s">
        <v>40</v>
      </c>
      <c r="D982">
        <v>3.6891060000000002</v>
      </c>
      <c r="E982">
        <v>0.52243399999999995</v>
      </c>
      <c r="F982" t="s">
        <v>45</v>
      </c>
      <c r="G982">
        <v>-158.19499999999999</v>
      </c>
      <c r="H982">
        <v>2.6753040000000001</v>
      </c>
      <c r="I982">
        <v>358.30549999999999</v>
      </c>
      <c r="J982">
        <v>-320.41419999999999</v>
      </c>
      <c r="K982">
        <v>1.1082939999999999</v>
      </c>
      <c r="L982">
        <v>367.8476</v>
      </c>
      <c r="M982">
        <v>0.99997060000000004</v>
      </c>
      <c r="N982">
        <v>-6.7780310000000003E-3</v>
      </c>
      <c r="O982">
        <v>3.6030620000000002E-3</v>
      </c>
      <c r="P982">
        <v>0.99342770000000002</v>
      </c>
      <c r="Q982">
        <v>-9.3983479999999994E-2</v>
      </c>
      <c r="R982">
        <v>6.5336740000000004E-2</v>
      </c>
      <c r="S982">
        <v>3.0341800000000001</v>
      </c>
      <c r="T982">
        <v>2.9263259999999999E-2</v>
      </c>
      <c r="U982">
        <v>-0.17819209999999999</v>
      </c>
      <c r="V982">
        <v>-6.1754469999999999E-2</v>
      </c>
      <c r="W982">
        <v>-8.7248179999999995E-2</v>
      </c>
      <c r="X982">
        <v>0.99427069999999995</v>
      </c>
      <c r="Y982">
        <v>6.2222489999999998E-2</v>
      </c>
      <c r="Z982">
        <v>1.478494E-4</v>
      </c>
      <c r="AA982">
        <v>0.99806229999999996</v>
      </c>
      <c r="AB982">
        <v>38</v>
      </c>
      <c r="AC982">
        <v>162.2192</v>
      </c>
      <c r="AD982">
        <v>1.56701</v>
      </c>
      <c r="AE982">
        <v>-9.5420999999999996</v>
      </c>
      <c r="AF982">
        <v>10.125595699321501</v>
      </c>
      <c r="AG982">
        <v>1.56701</v>
      </c>
      <c r="AH982">
        <v>162.16868525408799</v>
      </c>
      <c r="AI982">
        <v>89.447453261831598</v>
      </c>
      <c r="AJ982">
        <v>86.427166381384893</v>
      </c>
      <c r="AK982">
        <v>162.492048068961</v>
      </c>
      <c r="AL982">
        <v>95.005316305231503</v>
      </c>
      <c r="AM982">
        <v>93.554093615621198</v>
      </c>
      <c r="AN982">
        <v>1.0000000421783899</v>
      </c>
    </row>
    <row r="983" spans="1:40" x14ac:dyDescent="0.25">
      <c r="A983" t="str">
        <f>"20190305134924479"</f>
        <v>20190305134924479</v>
      </c>
      <c r="B983" t="str">
        <f>"1551764964471594"</f>
        <v>1551764964471594</v>
      </c>
      <c r="C983" t="s">
        <v>40</v>
      </c>
      <c r="D983">
        <v>3.9373800000000001</v>
      </c>
      <c r="E983">
        <v>0.51581690000000002</v>
      </c>
      <c r="F983" t="s">
        <v>44</v>
      </c>
      <c r="G983">
        <v>-185.09559999999999</v>
      </c>
      <c r="H983" s="1">
        <v>-9.1611219999999996E-6</v>
      </c>
      <c r="I983">
        <v>369.11009999999999</v>
      </c>
      <c r="J983">
        <v>-320.1857</v>
      </c>
      <c r="K983">
        <v>1.1080429999999999</v>
      </c>
      <c r="L983">
        <v>367.84840000000003</v>
      </c>
      <c r="M983">
        <v>0.99996969999999996</v>
      </c>
      <c r="N983">
        <v>-6.9097660000000003E-3</v>
      </c>
      <c r="O983">
        <v>3.618759E-3</v>
      </c>
      <c r="P983">
        <v>0.99336049999999998</v>
      </c>
      <c r="Q983">
        <v>-9.4421640000000001E-2</v>
      </c>
      <c r="R983">
        <v>6.5725770000000003E-2</v>
      </c>
      <c r="S983">
        <v>3.0156559999999999</v>
      </c>
      <c r="T983">
        <v>-2.4699209999999999E-2</v>
      </c>
      <c r="U983">
        <v>2.8137209999999999E-2</v>
      </c>
      <c r="V983">
        <v>-6.2127780000000001E-2</v>
      </c>
      <c r="W983">
        <v>-8.7555709999999995E-2</v>
      </c>
      <c r="X983">
        <v>0.9942204</v>
      </c>
      <c r="Y983">
        <v>-5.710873E-3</v>
      </c>
      <c r="Z983" s="1">
        <v>3.8484839999999997E-5</v>
      </c>
      <c r="AA983">
        <v>0.99998370000000003</v>
      </c>
      <c r="AB983">
        <v>38</v>
      </c>
      <c r="AC983">
        <v>135.09010000000001</v>
      </c>
      <c r="AD983">
        <v>-1.108052161122</v>
      </c>
      <c r="AE983">
        <v>1.2616999999999601</v>
      </c>
      <c r="AF983">
        <v>-0.77276962555658302</v>
      </c>
      <c r="AG983">
        <v>-1.108052161122</v>
      </c>
      <c r="AH983">
        <v>135.084693879751</v>
      </c>
      <c r="AI983">
        <v>90.469958867681001</v>
      </c>
      <c r="AJ983">
        <v>90.327764410807205</v>
      </c>
      <c r="AK983">
        <v>135.091448556421</v>
      </c>
      <c r="AL983">
        <v>95.023004208067405</v>
      </c>
      <c r="AM983">
        <v>93.575703210826902</v>
      </c>
      <c r="AN983">
        <v>1.00000003358874</v>
      </c>
    </row>
    <row r="984" spans="1:40" x14ac:dyDescent="0.25">
      <c r="A984" t="str">
        <f>"20190305134924494"</f>
        <v>20190305134924494</v>
      </c>
      <c r="B984" t="str">
        <f>"1551764964481355"</f>
        <v>1551764964481355</v>
      </c>
      <c r="C984" t="s">
        <v>40</v>
      </c>
      <c r="D984">
        <v>3.7937669999999999</v>
      </c>
      <c r="E984">
        <v>0.50910900000000003</v>
      </c>
      <c r="F984" t="s">
        <v>42</v>
      </c>
      <c r="G984">
        <v>-274.42849999999999</v>
      </c>
      <c r="H984" s="1">
        <v>-2.4693900000000002E-6</v>
      </c>
      <c r="I984">
        <v>369.06990000000002</v>
      </c>
      <c r="J984">
        <v>-319.94760000000002</v>
      </c>
      <c r="K984">
        <v>1.107728</v>
      </c>
      <c r="L984">
        <v>367.84930000000003</v>
      </c>
      <c r="M984">
        <v>0.99996759999999996</v>
      </c>
      <c r="N984">
        <v>-7.1824740000000003E-3</v>
      </c>
      <c r="O984">
        <v>3.6339419999999998E-3</v>
      </c>
      <c r="P984">
        <v>0.99328329999999998</v>
      </c>
      <c r="Q984">
        <v>-9.4847020000000004E-2</v>
      </c>
      <c r="R984">
        <v>6.6273760000000001E-2</v>
      </c>
      <c r="S984">
        <v>3.0077820000000002</v>
      </c>
      <c r="T984">
        <v>-7.283568E-2</v>
      </c>
      <c r="U984">
        <v>8.0291749999999995E-2</v>
      </c>
      <c r="V984">
        <v>-6.2661690000000006E-2</v>
      </c>
      <c r="W984">
        <v>-8.7710339999999998E-2</v>
      </c>
      <c r="X984">
        <v>0.99417319999999998</v>
      </c>
      <c r="Y984">
        <v>-2.3044019999999998E-2</v>
      </c>
      <c r="Z984">
        <v>2.998368E-4</v>
      </c>
      <c r="AA984">
        <v>0.99973440000000002</v>
      </c>
      <c r="AB984">
        <v>38</v>
      </c>
      <c r="AC984">
        <v>45.519100000000002</v>
      </c>
      <c r="AD984">
        <v>-1.1077304693899901</v>
      </c>
      <c r="AE984">
        <v>1.2205999999999899</v>
      </c>
      <c r="AF984">
        <v>-1.0545498300355201</v>
      </c>
      <c r="AG984">
        <v>-1.1077304693899901</v>
      </c>
      <c r="AH984">
        <v>45.496310806763702</v>
      </c>
      <c r="AI984">
        <v>91.394370446667395</v>
      </c>
      <c r="AJ984">
        <v>91.327809582534499</v>
      </c>
      <c r="AK984">
        <v>45.522010491217202</v>
      </c>
      <c r="AL984">
        <v>95.031898384296696</v>
      </c>
      <c r="AM984">
        <v>93.606521888869096</v>
      </c>
      <c r="AN984">
        <v>0.99999997136740504</v>
      </c>
    </row>
    <row r="985" spans="1:40" x14ac:dyDescent="0.25">
      <c r="A985" t="str">
        <f>"20190305134924505"</f>
        <v>20190305134924505</v>
      </c>
      <c r="B985" t="str">
        <f>"1551764964501850"</f>
        <v>1551764964501850</v>
      </c>
      <c r="C985" t="s">
        <v>40</v>
      </c>
      <c r="D985">
        <v>3.765593</v>
      </c>
      <c r="E985">
        <v>0.50330759999999997</v>
      </c>
      <c r="F985" t="s">
        <v>42</v>
      </c>
      <c r="G985">
        <v>-275.94510000000002</v>
      </c>
      <c r="H985" s="1">
        <v>-1.7783739999999999E-6</v>
      </c>
      <c r="I985">
        <v>369.82859999999999</v>
      </c>
      <c r="J985">
        <v>-319.74619999999999</v>
      </c>
      <c r="K985">
        <v>1.107394</v>
      </c>
      <c r="L985">
        <v>367.85</v>
      </c>
      <c r="M985">
        <v>0.99996499999999999</v>
      </c>
      <c r="N985">
        <v>-7.5455879999999998E-3</v>
      </c>
      <c r="O985">
        <v>3.6442139999999998E-3</v>
      </c>
      <c r="P985">
        <v>0.99322410000000005</v>
      </c>
      <c r="Q985">
        <v>-9.5446639999999999E-2</v>
      </c>
      <c r="R985">
        <v>6.6303390000000004E-2</v>
      </c>
      <c r="S985">
        <v>3.004089</v>
      </c>
      <c r="T985">
        <v>-7.5625419999999999E-2</v>
      </c>
      <c r="U985">
        <v>0.1351318</v>
      </c>
      <c r="V985">
        <v>-6.2681219999999996E-2</v>
      </c>
      <c r="W985">
        <v>-8.7949109999999997E-2</v>
      </c>
      <c r="X985">
        <v>0.99415089999999995</v>
      </c>
      <c r="Y985">
        <v>-4.127985E-2</v>
      </c>
      <c r="Z985">
        <v>6.1090600000000004E-4</v>
      </c>
      <c r="AA985">
        <v>0.99914740000000002</v>
      </c>
      <c r="AB985">
        <v>38</v>
      </c>
      <c r="AC985">
        <v>43.801099999999899</v>
      </c>
      <c r="AD985">
        <v>-1.1073957783740001</v>
      </c>
      <c r="AE985">
        <v>1.9785999999999699</v>
      </c>
      <c r="AF985">
        <v>-1.8178021821403301</v>
      </c>
      <c r="AG985">
        <v>-1.1073957783740001</v>
      </c>
      <c r="AH985">
        <v>43.780092603708198</v>
      </c>
      <c r="AI985">
        <v>91.447712556014693</v>
      </c>
      <c r="AJ985">
        <v>92.377624061564703</v>
      </c>
      <c r="AK985">
        <v>43.831806243555903</v>
      </c>
      <c r="AL985">
        <v>95.045631843612398</v>
      </c>
      <c r="AM985">
        <v>93.6077236887282</v>
      </c>
      <c r="AN985">
        <v>0.99999999663064498</v>
      </c>
    </row>
    <row r="986" spans="1:40" x14ac:dyDescent="0.25">
      <c r="A986" t="str">
        <f>"20190305134924516"</f>
        <v>20190305134924516</v>
      </c>
      <c r="B986" t="str">
        <f>"1551764964511610"</f>
        <v>1551764964511610</v>
      </c>
      <c r="C986" t="s">
        <v>40</v>
      </c>
      <c r="D986">
        <v>3.749323</v>
      </c>
      <c r="E986">
        <v>0.50185690000000005</v>
      </c>
      <c r="F986" t="s">
        <v>42</v>
      </c>
      <c r="G986">
        <v>-279.01209999999998</v>
      </c>
      <c r="H986" s="1">
        <v>-5.9165550000000003E-7</v>
      </c>
      <c r="I986">
        <v>370.3134</v>
      </c>
      <c r="J986">
        <v>-319.56920000000002</v>
      </c>
      <c r="K986">
        <v>1.1070359999999999</v>
      </c>
      <c r="L986">
        <v>367.85070000000002</v>
      </c>
      <c r="M986">
        <v>0.99996189999999996</v>
      </c>
      <c r="N986">
        <v>-7.9370459999999997E-3</v>
      </c>
      <c r="O986">
        <v>3.651446E-3</v>
      </c>
      <c r="P986">
        <v>0.99320459999999999</v>
      </c>
      <c r="Q986">
        <v>-9.5579620000000004E-2</v>
      </c>
      <c r="R986">
        <v>6.6404389999999994E-2</v>
      </c>
      <c r="S986">
        <v>3.0004879999999998</v>
      </c>
      <c r="T986">
        <v>-8.1570740000000003E-2</v>
      </c>
      <c r="U986">
        <v>0.18145749999999999</v>
      </c>
      <c r="V986">
        <v>-6.2775549999999999E-2</v>
      </c>
      <c r="W986">
        <v>-8.7692829999999999E-2</v>
      </c>
      <c r="X986">
        <v>0.99416760000000004</v>
      </c>
      <c r="Y986">
        <v>-5.6694109999999999E-2</v>
      </c>
      <c r="Z986">
        <v>9.2484420000000004E-4</v>
      </c>
      <c r="AA986">
        <v>0.99839120000000003</v>
      </c>
      <c r="AB986">
        <v>38</v>
      </c>
      <c r="AC986">
        <v>40.557099999999998</v>
      </c>
      <c r="AD986">
        <v>-1.1070365916554901</v>
      </c>
      <c r="AE986">
        <v>2.4626999999999799</v>
      </c>
      <c r="AF986">
        <v>-2.3128699733369</v>
      </c>
      <c r="AG986">
        <v>-1.1070365916554901</v>
      </c>
      <c r="AH986">
        <v>40.535731776637803</v>
      </c>
      <c r="AI986">
        <v>91.561828038920197</v>
      </c>
      <c r="AJ986">
        <v>93.265616675106102</v>
      </c>
      <c r="AK986">
        <v>40.616750832585701</v>
      </c>
      <c r="AL986">
        <v>95.030891062150303</v>
      </c>
      <c r="AM986">
        <v>93.613078107185402</v>
      </c>
      <c r="AN986">
        <v>1.00000000950048</v>
      </c>
    </row>
    <row r="987" spans="1:40" x14ac:dyDescent="0.25">
      <c r="A987" t="str">
        <f>"20190305134924527"</f>
        <v>20190305134924527</v>
      </c>
      <c r="B987" t="str">
        <f>"1551764964521369"</f>
        <v>1551764964521369</v>
      </c>
      <c r="C987" t="s">
        <v>40</v>
      </c>
      <c r="D987">
        <v>3.7254619999999998</v>
      </c>
      <c r="E987">
        <v>0.50064059999999999</v>
      </c>
      <c r="F987" t="s">
        <v>42</v>
      </c>
      <c r="G987">
        <v>-279.7912</v>
      </c>
      <c r="H987" s="1">
        <v>-2.8393859999999999E-7</v>
      </c>
      <c r="I987">
        <v>370.41320000000002</v>
      </c>
      <c r="J987">
        <v>-319.36939999999998</v>
      </c>
      <c r="K987">
        <v>1.106581</v>
      </c>
      <c r="L987">
        <v>367.85140000000001</v>
      </c>
      <c r="M987">
        <v>0.99995769999999995</v>
      </c>
      <c r="N987">
        <v>-8.438737E-3</v>
      </c>
      <c r="O987">
        <v>3.6580750000000002E-3</v>
      </c>
      <c r="P987">
        <v>0.99316979999999999</v>
      </c>
      <c r="Q987">
        <v>-9.6089910000000001E-2</v>
      </c>
      <c r="R987">
        <v>6.6183939999999997E-2</v>
      </c>
      <c r="S987">
        <v>2.9995729999999998</v>
      </c>
      <c r="T987">
        <v>-8.3479170000000005E-2</v>
      </c>
      <c r="U987">
        <v>0.1932373</v>
      </c>
      <c r="V987">
        <v>-6.2548880000000001E-2</v>
      </c>
      <c r="W987">
        <v>-8.7704389999999993E-2</v>
      </c>
      <c r="X987">
        <v>0.99418090000000003</v>
      </c>
      <c r="Y987">
        <v>-6.0607479999999998E-2</v>
      </c>
      <c r="Z987">
        <v>1.027544E-3</v>
      </c>
      <c r="AA987">
        <v>0.99816110000000002</v>
      </c>
      <c r="AB987">
        <v>38</v>
      </c>
      <c r="AC987">
        <v>39.578199999999903</v>
      </c>
      <c r="AD987">
        <v>-1.1065812839386</v>
      </c>
      <c r="AE987">
        <v>2.5617999999999999</v>
      </c>
      <c r="AF987">
        <v>-2.4151175953798401</v>
      </c>
      <c r="AG987">
        <v>-1.1065812839386</v>
      </c>
      <c r="AH987">
        <v>39.556513420424899</v>
      </c>
      <c r="AI987">
        <v>91.599437087163594</v>
      </c>
      <c r="AJ987">
        <v>93.493849066453805</v>
      </c>
      <c r="AK987">
        <v>39.6456185361981</v>
      </c>
      <c r="AL987">
        <v>95.031555798382101</v>
      </c>
      <c r="AM987">
        <v>93.6000183397814</v>
      </c>
      <c r="AN987">
        <v>1.00000004216966</v>
      </c>
    </row>
    <row r="988" spans="1:40" x14ac:dyDescent="0.25">
      <c r="A988" t="str">
        <f>"20190305134924538"</f>
        <v>20190305134924538</v>
      </c>
      <c r="B988" t="str">
        <f>"1551764964532106"</f>
        <v>1551764964532106</v>
      </c>
      <c r="C988" t="s">
        <v>40</v>
      </c>
      <c r="D988">
        <v>3.7540610000000001</v>
      </c>
      <c r="E988">
        <v>0.49959490000000001</v>
      </c>
      <c r="F988" t="s">
        <v>43</v>
      </c>
      <c r="G988">
        <v>-279.33019999999999</v>
      </c>
      <c r="H988">
        <v>-0.05</v>
      </c>
      <c r="I988">
        <v>370.55090000000001</v>
      </c>
      <c r="J988">
        <v>-319.1816</v>
      </c>
      <c r="K988">
        <v>1.1060950000000001</v>
      </c>
      <c r="L988">
        <v>367.85210000000001</v>
      </c>
      <c r="M988">
        <v>0.9999517</v>
      </c>
      <c r="N988">
        <v>-9.1353340000000002E-3</v>
      </c>
      <c r="O988">
        <v>3.6627370000000001E-3</v>
      </c>
      <c r="P988">
        <v>0.99310399999999999</v>
      </c>
      <c r="Q988">
        <v>-9.6701129999999996E-2</v>
      </c>
      <c r="R988">
        <v>6.6283830000000002E-2</v>
      </c>
      <c r="S988">
        <v>2.9987490000000001</v>
      </c>
      <c r="T988">
        <v>-8.6622359999999995E-2</v>
      </c>
      <c r="U988">
        <v>0.202179</v>
      </c>
      <c r="V988">
        <v>-6.264509E-2</v>
      </c>
      <c r="W988">
        <v>-8.7623309999999996E-2</v>
      </c>
      <c r="X988">
        <v>0.99418189999999995</v>
      </c>
      <c r="Y988">
        <v>-6.3579289999999997E-2</v>
      </c>
      <c r="Z988">
        <v>1.1356350000000001E-3</v>
      </c>
      <c r="AA988">
        <v>0.99797610000000003</v>
      </c>
      <c r="AB988">
        <v>38</v>
      </c>
      <c r="AC988">
        <v>39.851399999999998</v>
      </c>
      <c r="AD988">
        <v>-1.1560950000000001</v>
      </c>
      <c r="AE988">
        <v>2.6987999999999999</v>
      </c>
      <c r="AF988">
        <v>-2.5506738085918399</v>
      </c>
      <c r="AG988">
        <v>-1.1560950000000001</v>
      </c>
      <c r="AH988">
        <v>39.827652586623103</v>
      </c>
      <c r="AI988">
        <v>91.659285838138402</v>
      </c>
      <c r="AJ988">
        <v>93.6643769930715</v>
      </c>
      <c r="AK988">
        <v>39.925986563735798</v>
      </c>
      <c r="AL988">
        <v>95.026892762217201</v>
      </c>
      <c r="AM988">
        <v>93.605537520262402</v>
      </c>
      <c r="AN988">
        <v>0.99999995102203498</v>
      </c>
    </row>
    <row r="989" spans="1:40" x14ac:dyDescent="0.25">
      <c r="A989" t="str">
        <f>"20190305134924548"</f>
        <v>20190305134924548</v>
      </c>
      <c r="B989" t="str">
        <f>"1551764964541866"</f>
        <v>1551764964541866</v>
      </c>
      <c r="C989" t="s">
        <v>40</v>
      </c>
      <c r="D989">
        <v>3.7448579999999998</v>
      </c>
      <c r="E989">
        <v>0.49882159999999898</v>
      </c>
      <c r="F989" t="s">
        <v>43</v>
      </c>
      <c r="G989">
        <v>-281.30759999999998</v>
      </c>
      <c r="H989">
        <v>-0.05</v>
      </c>
      <c r="I989">
        <v>370.51310000000001</v>
      </c>
      <c r="J989">
        <v>-318.99220000000003</v>
      </c>
      <c r="K989">
        <v>1.1055900000000001</v>
      </c>
      <c r="L989">
        <v>367.8528</v>
      </c>
      <c r="M989">
        <v>0.99994439999999996</v>
      </c>
      <c r="N989">
        <v>-9.8994089999999996E-3</v>
      </c>
      <c r="O989">
        <v>3.6671749999999999E-3</v>
      </c>
      <c r="P989">
        <v>0.99305619999999994</v>
      </c>
      <c r="Q989">
        <v>-9.7344630000000001E-2</v>
      </c>
      <c r="R989">
        <v>6.6059129999999994E-2</v>
      </c>
      <c r="S989">
        <v>2.9978940000000001</v>
      </c>
      <c r="T989">
        <v>-9.1510060000000004E-2</v>
      </c>
      <c r="U989">
        <v>0.21063229999999999</v>
      </c>
      <c r="V989">
        <v>-6.2416289999999999E-2</v>
      </c>
      <c r="W989">
        <v>-8.7507260000000003E-2</v>
      </c>
      <c r="X989">
        <v>0.99420649999999999</v>
      </c>
      <c r="Y989">
        <v>-6.6388500000000003E-2</v>
      </c>
      <c r="Z989">
        <v>1.2653639999999999E-3</v>
      </c>
      <c r="AA989">
        <v>0.99779300000000004</v>
      </c>
      <c r="AB989">
        <v>38</v>
      </c>
      <c r="AC989">
        <v>37.684600000000003</v>
      </c>
      <c r="AD989">
        <v>-1.1555899999999999</v>
      </c>
      <c r="AE989">
        <v>2.6602999999999999</v>
      </c>
      <c r="AF989">
        <v>-2.5197217146646</v>
      </c>
      <c r="AG989">
        <v>-1.1555899999999999</v>
      </c>
      <c r="AH989">
        <v>37.658866724787302</v>
      </c>
      <c r="AI989">
        <v>91.753692921197597</v>
      </c>
      <c r="AJ989">
        <v>93.827904821221097</v>
      </c>
      <c r="AK989">
        <v>37.760755140260997</v>
      </c>
      <c r="AL989">
        <v>95.020218006629605</v>
      </c>
      <c r="AM989">
        <v>93.592314831267601</v>
      </c>
      <c r="AN989">
        <v>0.99999993922615904</v>
      </c>
    </row>
    <row r="990" spans="1:40" x14ac:dyDescent="0.25">
      <c r="A990" t="str">
        <f>"20190305134924560"</f>
        <v>20190305134924560</v>
      </c>
      <c r="B990" t="str">
        <f>"1551764964551626"</f>
        <v>1551764964551626</v>
      </c>
      <c r="C990" t="s">
        <v>40</v>
      </c>
      <c r="D990">
        <v>3.741933</v>
      </c>
      <c r="E990">
        <v>0.49828800000000001</v>
      </c>
      <c r="F990" t="s">
        <v>43</v>
      </c>
      <c r="G990">
        <v>-282.4135</v>
      </c>
      <c r="H990">
        <v>-0.05</v>
      </c>
      <c r="I990">
        <v>370.49220000000003</v>
      </c>
      <c r="J990">
        <v>-318.8116</v>
      </c>
      <c r="K990">
        <v>1.105038</v>
      </c>
      <c r="L990">
        <v>367.8535</v>
      </c>
      <c r="M990">
        <v>0.99993489999999996</v>
      </c>
      <c r="N990">
        <v>-1.080798E-2</v>
      </c>
      <c r="O990">
        <v>3.6700050000000001E-3</v>
      </c>
      <c r="P990">
        <v>0.99299760000000004</v>
      </c>
      <c r="Q990">
        <v>-9.8002480000000003E-2</v>
      </c>
      <c r="R990">
        <v>6.5965579999999996E-2</v>
      </c>
      <c r="S990">
        <v>2.9973450000000001</v>
      </c>
      <c r="T990">
        <v>-9.4691869999999997E-2</v>
      </c>
      <c r="U990">
        <v>0.2162781</v>
      </c>
      <c r="V990">
        <v>-6.2320449999999999E-2</v>
      </c>
      <c r="W990">
        <v>-8.7262069999999997E-2</v>
      </c>
      <c r="X990">
        <v>0.99423410000000001</v>
      </c>
      <c r="Y990">
        <v>-6.8263519999999994E-2</v>
      </c>
      <c r="Z990">
        <v>1.3699789999999999E-3</v>
      </c>
      <c r="AA990">
        <v>0.99766639999999995</v>
      </c>
      <c r="AB990">
        <v>38</v>
      </c>
      <c r="AC990">
        <v>36.398099999999999</v>
      </c>
      <c r="AD990">
        <v>-1.155038</v>
      </c>
      <c r="AE990">
        <v>2.63870000000002</v>
      </c>
      <c r="AF990">
        <v>-2.5025862601612898</v>
      </c>
      <c r="AG990">
        <v>-1.155038</v>
      </c>
      <c r="AH990">
        <v>36.371104763737499</v>
      </c>
      <c r="AI990">
        <v>91.814644389252507</v>
      </c>
      <c r="AJ990">
        <v>93.936146213891504</v>
      </c>
      <c r="AK990">
        <v>36.475393246759701</v>
      </c>
      <c r="AL990">
        <v>95.006115520279096</v>
      </c>
      <c r="AM990">
        <v>93.586713944961303</v>
      </c>
      <c r="AN990">
        <v>0.99999997647584804</v>
      </c>
    </row>
    <row r="991" spans="1:40" x14ac:dyDescent="0.25">
      <c r="A991" t="str">
        <f>"20190305134924572"</f>
        <v>20190305134924572</v>
      </c>
      <c r="B991" t="str">
        <f>"1551764964561386"</f>
        <v>1551764964561386</v>
      </c>
      <c r="C991" t="s">
        <v>40</v>
      </c>
      <c r="D991">
        <v>3.7480449999999998</v>
      </c>
      <c r="E991">
        <v>0.4977164</v>
      </c>
      <c r="F991" t="s">
        <v>43</v>
      </c>
      <c r="G991">
        <v>-283.44580000000002</v>
      </c>
      <c r="H991">
        <v>-0.05</v>
      </c>
      <c r="I991">
        <v>370.45179999999999</v>
      </c>
      <c r="J991">
        <v>-318.6155</v>
      </c>
      <c r="K991">
        <v>1.1044149999999999</v>
      </c>
      <c r="L991">
        <v>367.85419999999999</v>
      </c>
      <c r="M991">
        <v>0.99992400000000004</v>
      </c>
      <c r="N991">
        <v>-1.176702E-2</v>
      </c>
      <c r="O991">
        <v>3.6727740000000002E-3</v>
      </c>
      <c r="P991">
        <v>0.99290199999999995</v>
      </c>
      <c r="Q991">
        <v>-9.8988450000000006E-2</v>
      </c>
      <c r="R991">
        <v>6.5932389999999994E-2</v>
      </c>
      <c r="S991">
        <v>2.9968870000000001</v>
      </c>
      <c r="T991">
        <v>-9.7877500000000006E-2</v>
      </c>
      <c r="U991">
        <v>0.2201843</v>
      </c>
      <c r="V991">
        <v>-6.2285180000000002E-2</v>
      </c>
      <c r="W991">
        <v>-8.7295209999999998E-2</v>
      </c>
      <c r="X991">
        <v>0.99423340000000004</v>
      </c>
      <c r="Y991">
        <v>-6.9560419999999998E-2</v>
      </c>
      <c r="Z991">
        <v>1.4674550000000001E-3</v>
      </c>
      <c r="AA991">
        <v>0.99757669999999998</v>
      </c>
      <c r="AB991">
        <v>38</v>
      </c>
      <c r="AC991">
        <v>35.169699999999899</v>
      </c>
      <c r="AD991">
        <v>-1.154415</v>
      </c>
      <c r="AE991">
        <v>2.5975999999999999</v>
      </c>
      <c r="AF991">
        <v>-2.46576091584644</v>
      </c>
      <c r="AG991">
        <v>-1.154415</v>
      </c>
      <c r="AH991">
        <v>35.141347114928102</v>
      </c>
      <c r="AI991">
        <v>91.876913772359998</v>
      </c>
      <c r="AJ991">
        <v>94.013691344437603</v>
      </c>
      <c r="AK991">
        <v>35.246658393927397</v>
      </c>
      <c r="AL991">
        <v>95.0080215809528</v>
      </c>
      <c r="AM991">
        <v>93.584691870794003</v>
      </c>
      <c r="AN991">
        <v>0.99999997550606801</v>
      </c>
    </row>
    <row r="992" spans="1:40" x14ac:dyDescent="0.25">
      <c r="A992" t="str">
        <f>"20190305134924581"</f>
        <v>20190305134924581</v>
      </c>
      <c r="B992" t="str">
        <f>"1551764964572122"</f>
        <v>1551764964572122</v>
      </c>
      <c r="C992" t="s">
        <v>40</v>
      </c>
      <c r="D992">
        <v>3.7325979999999999</v>
      </c>
      <c r="E992">
        <v>0.4973457</v>
      </c>
      <c r="F992" t="s">
        <v>43</v>
      </c>
      <c r="G992">
        <v>-285.0333</v>
      </c>
      <c r="H992">
        <v>-0.05</v>
      </c>
      <c r="I992">
        <v>370.37090000000001</v>
      </c>
      <c r="J992">
        <v>-318.43009999999998</v>
      </c>
      <c r="K992">
        <v>1.103704</v>
      </c>
      <c r="L992">
        <v>367.85489999999999</v>
      </c>
      <c r="M992">
        <v>0.999915</v>
      </c>
      <c r="N992">
        <v>-1.2513109999999999E-2</v>
      </c>
      <c r="O992">
        <v>3.6745789999999999E-3</v>
      </c>
      <c r="P992">
        <v>0.99283469999999996</v>
      </c>
      <c r="Q992">
        <v>-9.976409E-2</v>
      </c>
      <c r="R992">
        <v>6.5777399999999903E-2</v>
      </c>
      <c r="S992">
        <v>2.9962770000000001</v>
      </c>
      <c r="T992">
        <v>-0.1029994</v>
      </c>
      <c r="U992">
        <v>0.22454830000000001</v>
      </c>
      <c r="V992">
        <v>-6.2128559999999999E-2</v>
      </c>
      <c r="W992">
        <v>-8.7329509999999999E-2</v>
      </c>
      <c r="X992">
        <v>0.99424020000000002</v>
      </c>
      <c r="Y992">
        <v>-7.1011690000000002E-2</v>
      </c>
      <c r="Z992">
        <v>1.5833939999999999E-3</v>
      </c>
      <c r="AA992">
        <v>0.99747430000000004</v>
      </c>
      <c r="AB992">
        <v>38</v>
      </c>
      <c r="AC992">
        <v>33.396799999999899</v>
      </c>
      <c r="AD992">
        <v>-1.1537040000000001</v>
      </c>
      <c r="AE992">
        <v>2.51600000000002</v>
      </c>
      <c r="AF992">
        <v>-2.3904176483502102</v>
      </c>
      <c r="AG992">
        <v>-1.1537040000000001</v>
      </c>
      <c r="AH992">
        <v>33.366226558840303</v>
      </c>
      <c r="AI992">
        <v>91.975268615562996</v>
      </c>
      <c r="AJ992">
        <v>94.097773587898999</v>
      </c>
      <c r="AK992">
        <v>33.471632828845102</v>
      </c>
      <c r="AL992">
        <v>95.009994296103201</v>
      </c>
      <c r="AM992">
        <v>93.575676961271398</v>
      </c>
      <c r="AN992">
        <v>0.99999998829027603</v>
      </c>
    </row>
    <row r="993" spans="1:40" x14ac:dyDescent="0.25">
      <c r="A993" t="str">
        <f>"20190305134924593"</f>
        <v>20190305134924593</v>
      </c>
      <c r="B993" t="str">
        <f>"1551764964581882"</f>
        <v>1551764964581882</v>
      </c>
      <c r="C993" t="s">
        <v>40</v>
      </c>
      <c r="D993">
        <v>3.748856</v>
      </c>
      <c r="E993">
        <v>0.4969768</v>
      </c>
      <c r="F993" t="s">
        <v>43</v>
      </c>
      <c r="G993">
        <v>-286.08269999999999</v>
      </c>
      <c r="H993">
        <v>-0.05</v>
      </c>
      <c r="I993">
        <v>370.30739999999997</v>
      </c>
      <c r="J993">
        <v>-318.24130000000002</v>
      </c>
      <c r="K993">
        <v>1.1029329999999999</v>
      </c>
      <c r="L993">
        <v>367.85559999999998</v>
      </c>
      <c r="M993">
        <v>0.99990610000000002</v>
      </c>
      <c r="N993">
        <v>-1.321016E-2</v>
      </c>
      <c r="O993">
        <v>3.676131E-3</v>
      </c>
      <c r="P993">
        <v>0.99276180000000003</v>
      </c>
      <c r="Q993">
        <v>-0.1005722</v>
      </c>
      <c r="R993">
        <v>6.5645300000000004E-2</v>
      </c>
      <c r="S993">
        <v>2.9958800000000001</v>
      </c>
      <c r="T993">
        <v>-0.1068511</v>
      </c>
      <c r="U993">
        <v>0.22714229999999999</v>
      </c>
      <c r="V993">
        <v>-6.1995639999999998E-2</v>
      </c>
      <c r="W993">
        <v>-8.7445200000000001E-2</v>
      </c>
      <c r="X993">
        <v>0.99423830000000002</v>
      </c>
      <c r="Y993">
        <v>-7.1873380000000001E-2</v>
      </c>
      <c r="Z993">
        <v>1.6727210000000001E-3</v>
      </c>
      <c r="AA993">
        <v>0.99741239999999998</v>
      </c>
      <c r="AB993">
        <v>38</v>
      </c>
      <c r="AC993">
        <v>32.1586</v>
      </c>
      <c r="AD993">
        <v>-1.152933</v>
      </c>
      <c r="AE993">
        <v>2.4517999999999902</v>
      </c>
      <c r="AF993">
        <v>-2.3305756591895199</v>
      </c>
      <c r="AG993">
        <v>-1.152933</v>
      </c>
      <c r="AH993">
        <v>32.126342346812997</v>
      </c>
      <c r="AI993">
        <v>92.0499359062038</v>
      </c>
      <c r="AJ993">
        <v>94.149200695461403</v>
      </c>
      <c r="AK993">
        <v>32.231393236879001</v>
      </c>
      <c r="AL993">
        <v>95.0166484437962</v>
      </c>
      <c r="AM993">
        <v>93.568053618440999</v>
      </c>
      <c r="AN993">
        <v>0.99999995978446898</v>
      </c>
    </row>
    <row r="994" spans="1:40" x14ac:dyDescent="0.25">
      <c r="A994" t="str">
        <f>"20190305134924614"</f>
        <v>20190305134924614</v>
      </c>
      <c r="B994" t="str">
        <f>"1551764964601402"</f>
        <v>1551764964601402</v>
      </c>
      <c r="C994" t="s">
        <v>40</v>
      </c>
      <c r="D994">
        <v>3.7306499999999998</v>
      </c>
      <c r="E994">
        <v>0.49640770000000001</v>
      </c>
      <c r="F994" t="s">
        <v>43</v>
      </c>
      <c r="G994">
        <v>-286.93959999999998</v>
      </c>
      <c r="H994">
        <v>-0.05</v>
      </c>
      <c r="I994">
        <v>370.2543</v>
      </c>
      <c r="J994">
        <v>-317.89409999999998</v>
      </c>
      <c r="K994">
        <v>1.1013040000000001</v>
      </c>
      <c r="L994">
        <v>367.85680000000002</v>
      </c>
      <c r="M994">
        <v>0.99989220000000001</v>
      </c>
      <c r="N994">
        <v>-1.422145E-2</v>
      </c>
      <c r="O994">
        <v>3.678246E-3</v>
      </c>
      <c r="P994">
        <v>0.99264609999999998</v>
      </c>
      <c r="Q994">
        <v>-0.10186149999999999</v>
      </c>
      <c r="R994">
        <v>6.540754E-2</v>
      </c>
      <c r="S994">
        <v>2.995514</v>
      </c>
      <c r="T994">
        <v>-0.110333399999999</v>
      </c>
      <c r="U994">
        <v>0.22955320000000001</v>
      </c>
      <c r="V994">
        <v>-6.1757039999999999E-2</v>
      </c>
      <c r="W994">
        <v>-8.7730059999999999E-2</v>
      </c>
      <c r="X994">
        <v>0.99422809999999995</v>
      </c>
      <c r="Y994">
        <v>-7.2672849999999997E-2</v>
      </c>
      <c r="Z994">
        <v>1.7707420000000001E-3</v>
      </c>
      <c r="AA994">
        <v>0.99735430000000003</v>
      </c>
      <c r="AB994">
        <v>38</v>
      </c>
      <c r="AC994">
        <v>30.954499999999999</v>
      </c>
      <c r="AD994">
        <v>-1.1513040000000001</v>
      </c>
      <c r="AE994">
        <v>2.3974999999999702</v>
      </c>
      <c r="AF994">
        <v>-2.28047811734376</v>
      </c>
      <c r="AG994">
        <v>-1.1513040000000001</v>
      </c>
      <c r="AH994">
        <v>30.9205910736571</v>
      </c>
      <c r="AI994">
        <v>92.126607785515205</v>
      </c>
      <c r="AJ994">
        <v>94.218083387108607</v>
      </c>
      <c r="AK994">
        <v>31.025941302213901</v>
      </c>
      <c r="AL994">
        <v>95.033032459109194</v>
      </c>
      <c r="AM994">
        <v>93.554393044392398</v>
      </c>
      <c r="AN994">
        <v>1.0000000051233799</v>
      </c>
    </row>
    <row r="995" spans="1:40" x14ac:dyDescent="0.25">
      <c r="A995" t="str">
        <f>"20190305134924627"</f>
        <v>20190305134924627</v>
      </c>
      <c r="B995" t="str">
        <f>"1551764964621898"</f>
        <v>1551764964621898</v>
      </c>
      <c r="C995" t="s">
        <v>40</v>
      </c>
      <c r="D995">
        <v>3.7303320000000002</v>
      </c>
      <c r="E995">
        <v>0.49588189999999999</v>
      </c>
      <c r="F995" t="s">
        <v>43</v>
      </c>
      <c r="G995">
        <v>-288.18880000000001</v>
      </c>
      <c r="H995">
        <v>-0.05</v>
      </c>
      <c r="I995">
        <v>370.16849999999999</v>
      </c>
      <c r="J995">
        <v>-317.64879999999999</v>
      </c>
      <c r="K995">
        <v>1.100033</v>
      </c>
      <c r="L995">
        <v>367.85770000000002</v>
      </c>
      <c r="M995">
        <v>0.99988350000000004</v>
      </c>
      <c r="N995">
        <v>-1.4818970000000001E-2</v>
      </c>
      <c r="O995">
        <v>3.679229E-3</v>
      </c>
      <c r="P995">
        <v>0.99251940000000005</v>
      </c>
      <c r="Q995">
        <v>-0.1031632</v>
      </c>
      <c r="R995">
        <v>6.5290589999999996E-2</v>
      </c>
      <c r="S995">
        <v>2.9949650000000001</v>
      </c>
      <c r="T995">
        <v>-0.1160771</v>
      </c>
      <c r="U995">
        <v>0.23306270000000001</v>
      </c>
      <c r="V995">
        <v>-6.1639859999999998E-2</v>
      </c>
      <c r="W995">
        <v>-8.8439160000000003E-2</v>
      </c>
      <c r="X995">
        <v>0.99417250000000001</v>
      </c>
      <c r="Y995">
        <v>-7.3839329999999995E-2</v>
      </c>
      <c r="Z995">
        <v>1.8885760000000001E-3</v>
      </c>
      <c r="AA995">
        <v>0.99726840000000005</v>
      </c>
      <c r="AB995">
        <v>38</v>
      </c>
      <c r="AC995">
        <v>29.459999999999901</v>
      </c>
      <c r="AD995">
        <v>-1.1500330000000001</v>
      </c>
      <c r="AE995">
        <v>2.3107999999999702</v>
      </c>
      <c r="AF995">
        <v>-2.1990517423312399</v>
      </c>
      <c r="AG995">
        <v>-1.1500330000000001</v>
      </c>
      <c r="AH995">
        <v>29.423738946426599</v>
      </c>
      <c r="AI995">
        <v>92.232059467441701</v>
      </c>
      <c r="AJ995">
        <v>94.274187441864598</v>
      </c>
      <c r="AK995">
        <v>29.528203772901598</v>
      </c>
      <c r="AL995">
        <v>95.073819673036496</v>
      </c>
      <c r="AM995">
        <v>93.547863953408296</v>
      </c>
      <c r="AN995">
        <v>0.99999995855928603</v>
      </c>
    </row>
    <row r="996" spans="1:40" x14ac:dyDescent="0.25">
      <c r="A996" t="str">
        <f>"20190305134924639"</f>
        <v>20190305134924639</v>
      </c>
      <c r="B996" t="str">
        <f>"1551764964631657"</f>
        <v>1551764964631657</v>
      </c>
      <c r="C996" t="s">
        <v>40</v>
      </c>
      <c r="D996">
        <v>3.7405040000000001</v>
      </c>
      <c r="E996">
        <v>0.49571599999999999</v>
      </c>
      <c r="F996" t="s">
        <v>43</v>
      </c>
      <c r="G996">
        <v>-289.404</v>
      </c>
      <c r="H996">
        <v>-0.05</v>
      </c>
      <c r="I996">
        <v>370.09699999999998</v>
      </c>
      <c r="J996">
        <v>-317.4556</v>
      </c>
      <c r="K996">
        <v>1.0989519999999999</v>
      </c>
      <c r="L996">
        <v>367.85840000000002</v>
      </c>
      <c r="M996">
        <v>0.99987729999999997</v>
      </c>
      <c r="N996">
        <v>-1.5222609999999999E-2</v>
      </c>
      <c r="O996">
        <v>3.6798640000000001E-3</v>
      </c>
      <c r="P996">
        <v>0.99243939999999997</v>
      </c>
      <c r="Q996">
        <v>-0.1040975</v>
      </c>
      <c r="R996">
        <v>6.5023230000000001E-2</v>
      </c>
      <c r="S996">
        <v>2.9943240000000002</v>
      </c>
      <c r="T996">
        <v>-0.12191879999999999</v>
      </c>
      <c r="U996">
        <v>0.2373962</v>
      </c>
      <c r="V996">
        <v>-6.1372410000000002E-2</v>
      </c>
      <c r="W996">
        <v>-8.8973189999999994E-2</v>
      </c>
      <c r="X996">
        <v>0.99414150000000001</v>
      </c>
      <c r="Y996">
        <v>-7.5280650000000005E-2</v>
      </c>
      <c r="Z996">
        <v>2.0101860000000002E-3</v>
      </c>
      <c r="AA996">
        <v>0.99716039999999995</v>
      </c>
      <c r="AB996">
        <v>38</v>
      </c>
      <c r="AC996">
        <v>28.051600000000001</v>
      </c>
      <c r="AD996">
        <v>-1.148952</v>
      </c>
      <c r="AE996">
        <v>2.23859999999996</v>
      </c>
      <c r="AF996">
        <v>-2.13179313307334</v>
      </c>
      <c r="AG996">
        <v>-1.148952</v>
      </c>
      <c r="AH996">
        <v>28.0129515801003</v>
      </c>
      <c r="AI996">
        <v>92.341907675311802</v>
      </c>
      <c r="AJ996">
        <v>94.351836273416296</v>
      </c>
      <c r="AK996">
        <v>28.117433895886801</v>
      </c>
      <c r="AL996">
        <v>95.104537910653605</v>
      </c>
      <c r="AM996">
        <v>93.532619019093104</v>
      </c>
      <c r="AN996">
        <v>1.0000000616351099</v>
      </c>
    </row>
    <row r="997" spans="1:40" x14ac:dyDescent="0.25">
      <c r="A997" t="str">
        <f>"20190305134924654"</f>
        <v>20190305134924654</v>
      </c>
      <c r="B997" t="str">
        <f>"1551764964641418"</f>
        <v>1551764964641418</v>
      </c>
      <c r="C997" t="s">
        <v>40</v>
      </c>
      <c r="D997">
        <v>3.8951660000000001</v>
      </c>
      <c r="E997">
        <v>0.49573329999999999</v>
      </c>
      <c r="F997" t="s">
        <v>43</v>
      </c>
      <c r="G997">
        <v>-290.1189</v>
      </c>
      <c r="H997">
        <v>-0.05</v>
      </c>
      <c r="I997">
        <v>370.02749999999997</v>
      </c>
      <c r="J997">
        <v>-317.21420000000001</v>
      </c>
      <c r="K997">
        <v>1.0975459999999999</v>
      </c>
      <c r="L997">
        <v>367.85930000000002</v>
      </c>
      <c r="M997">
        <v>0.99987040000000005</v>
      </c>
      <c r="N997">
        <v>-1.5679289999999999E-2</v>
      </c>
      <c r="O997">
        <v>3.680652E-3</v>
      </c>
      <c r="P997">
        <v>0.99241639999999998</v>
      </c>
      <c r="Q997">
        <v>-0.1044645</v>
      </c>
      <c r="R997">
        <v>6.4786709999999997E-2</v>
      </c>
      <c r="S997">
        <v>2.99411</v>
      </c>
      <c r="T997">
        <v>-0.12584139999999999</v>
      </c>
      <c r="U997">
        <v>0.23757929999999999</v>
      </c>
      <c r="V997">
        <v>-6.1135389999999998E-2</v>
      </c>
      <c r="W997">
        <v>-8.8886309999999996E-2</v>
      </c>
      <c r="X997">
        <v>0.99416380000000004</v>
      </c>
      <c r="Y997">
        <v>-7.5340530000000003E-2</v>
      </c>
      <c r="Z997">
        <v>2.075281E-3</v>
      </c>
      <c r="AA997">
        <v>0.99715569999999998</v>
      </c>
      <c r="AB997">
        <v>39</v>
      </c>
      <c r="AC997">
        <v>27.095300000000002</v>
      </c>
      <c r="AD997">
        <v>-1.147546</v>
      </c>
      <c r="AE997">
        <v>2.1681999999999499</v>
      </c>
      <c r="AF997">
        <v>-2.0647646642178499</v>
      </c>
      <c r="AG997">
        <v>-1.147546</v>
      </c>
      <c r="AH997">
        <v>27.054877951863499</v>
      </c>
      <c r="AI997">
        <v>92.421739039760297</v>
      </c>
      <c r="AJ997">
        <v>94.364219315859103</v>
      </c>
      <c r="AK997">
        <v>27.157808010422201</v>
      </c>
      <c r="AL997">
        <v>95.099540635958604</v>
      </c>
      <c r="AM997">
        <v>93.518931672142401</v>
      </c>
      <c r="AN997">
        <v>0.99999998662315404</v>
      </c>
    </row>
    <row r="998" spans="1:40" x14ac:dyDescent="0.25">
      <c r="A998" t="str">
        <f>"20190305134924666"</f>
        <v>20190305134924666</v>
      </c>
      <c r="B998" t="str">
        <f>"1551764964661914"</f>
        <v>1551764964661914</v>
      </c>
      <c r="C998" t="s">
        <v>40</v>
      </c>
      <c r="D998">
        <v>3.6836310000000001</v>
      </c>
      <c r="E998">
        <v>0.47342319999999999</v>
      </c>
      <c r="F998" t="s">
        <v>43</v>
      </c>
      <c r="G998">
        <v>-291.37610000000001</v>
      </c>
      <c r="H998">
        <v>-0.05</v>
      </c>
      <c r="I998">
        <v>369.89920000000001</v>
      </c>
      <c r="J998">
        <v>-316.98829999999998</v>
      </c>
      <c r="K998">
        <v>1.096139</v>
      </c>
      <c r="L998">
        <v>367.86020000000002</v>
      </c>
      <c r="M998">
        <v>0.99986509999999995</v>
      </c>
      <c r="N998">
        <v>-1.6012729999999999E-2</v>
      </c>
      <c r="O998">
        <v>3.6807210000000001E-3</v>
      </c>
      <c r="P998">
        <v>0.99243579999999998</v>
      </c>
      <c r="Q998">
        <v>-0.1046532</v>
      </c>
      <c r="R998">
        <v>6.4179550000000002E-2</v>
      </c>
      <c r="S998">
        <v>2.9934690000000002</v>
      </c>
      <c r="T998">
        <v>-0.13294839999999999</v>
      </c>
      <c r="U998">
        <v>0.23632810000000001</v>
      </c>
      <c r="V998">
        <v>-6.0527930000000001E-2</v>
      </c>
      <c r="W998">
        <v>-8.8743050000000004E-2</v>
      </c>
      <c r="X998">
        <v>0.99421380000000004</v>
      </c>
      <c r="Y998">
        <v>-7.4934130000000002E-2</v>
      </c>
      <c r="Z998">
        <v>2.1576429999999999E-3</v>
      </c>
      <c r="AA998">
        <v>0.99718609999999996</v>
      </c>
      <c r="AB998">
        <v>39</v>
      </c>
      <c r="AC998">
        <v>25.612199999999898</v>
      </c>
      <c r="AD998">
        <v>-1.146139</v>
      </c>
      <c r="AE998">
        <v>2.0389999999999802</v>
      </c>
      <c r="AF998">
        <v>-1.9408406120755</v>
      </c>
      <c r="AG998">
        <v>-1.146139</v>
      </c>
      <c r="AH998">
        <v>25.5686526766094</v>
      </c>
      <c r="AI998">
        <v>92.559266578586204</v>
      </c>
      <c r="AJ998">
        <v>94.340828401010398</v>
      </c>
      <c r="AK998">
        <v>25.667810514063898</v>
      </c>
      <c r="AL998">
        <v>95.091299707663296</v>
      </c>
      <c r="AM998">
        <v>93.483878261153293</v>
      </c>
      <c r="AN998">
        <v>1.0000000196719101</v>
      </c>
    </row>
    <row r="999" spans="1:40" x14ac:dyDescent="0.25">
      <c r="A999" t="str">
        <f>"20190305134924679"</f>
        <v>20190305134924679</v>
      </c>
      <c r="B999" t="str">
        <f>"1551764964671673"</f>
        <v>1551764964671673</v>
      </c>
      <c r="C999" t="s">
        <v>40</v>
      </c>
      <c r="D999">
        <v>3.6540520000000001</v>
      </c>
      <c r="E999">
        <v>0.47228829999999999</v>
      </c>
      <c r="F999" t="s">
        <v>47</v>
      </c>
      <c r="G999">
        <v>0</v>
      </c>
      <c r="H999">
        <v>0</v>
      </c>
      <c r="I999">
        <v>0</v>
      </c>
      <c r="J999">
        <v>-316.767</v>
      </c>
      <c r="K999">
        <v>1.094676</v>
      </c>
      <c r="L999">
        <v>367.86099999999999</v>
      </c>
      <c r="M999">
        <v>0.99986149999999996</v>
      </c>
      <c r="N999">
        <v>-1.6233669999999999E-2</v>
      </c>
      <c r="O999">
        <v>3.6797399999999999E-3</v>
      </c>
      <c r="P999">
        <v>0.99239670000000002</v>
      </c>
      <c r="Q999">
        <v>-0.1054575</v>
      </c>
      <c r="R999">
        <v>6.3463989999999998E-2</v>
      </c>
      <c r="S999">
        <v>3.001465</v>
      </c>
      <c r="T999">
        <v>5.5323600000000001E-2</v>
      </c>
      <c r="U999">
        <v>0.42135620000000001</v>
      </c>
      <c r="V999">
        <v>-5.9813659999999998E-2</v>
      </c>
      <c r="W999">
        <v>-8.9328039999999997E-2</v>
      </c>
      <c r="X999">
        <v>0.99420459999999999</v>
      </c>
      <c r="Y999">
        <v>-0.13537460000000001</v>
      </c>
      <c r="Z999" s="1">
        <v>-1.0250830000000001E-5</v>
      </c>
      <c r="AA999">
        <v>0.99079450000000002</v>
      </c>
      <c r="AB999">
        <v>39</v>
      </c>
      <c r="AC999">
        <v>3.001465</v>
      </c>
      <c r="AD999">
        <v>5.5323600000000001E-2</v>
      </c>
      <c r="AE999">
        <v>0.42135620000000001</v>
      </c>
      <c r="AF999">
        <v>-0.410170620082216</v>
      </c>
      <c r="AG999">
        <v>5.5323600000000001E-2</v>
      </c>
      <c r="AH999">
        <v>3.0019951552964601</v>
      </c>
      <c r="AI999">
        <v>88.953935691128294</v>
      </c>
      <c r="AJ999">
        <v>97.780298689787699</v>
      </c>
      <c r="AK999">
        <v>3.0303919797146701</v>
      </c>
      <c r="AL999">
        <v>95.124951018243394</v>
      </c>
      <c r="AM999">
        <v>93.442897432986996</v>
      </c>
      <c r="AN999">
        <v>0.99999997965699805</v>
      </c>
    </row>
    <row r="1000" spans="1:40" x14ac:dyDescent="0.25">
      <c r="A1000" t="str">
        <f>"20190305134924694"</f>
        <v>20190305134924694</v>
      </c>
      <c r="B1000" t="str">
        <f>"1551764964681433"</f>
        <v>1551764964681433</v>
      </c>
      <c r="C1000" t="s">
        <v>40</v>
      </c>
      <c r="D1000">
        <v>3.7877459999999998</v>
      </c>
      <c r="E1000">
        <v>0.47228829999999999</v>
      </c>
      <c r="F1000" t="s">
        <v>47</v>
      </c>
      <c r="G1000">
        <v>0</v>
      </c>
      <c r="H1000">
        <v>0</v>
      </c>
      <c r="I1000">
        <v>0</v>
      </c>
      <c r="J1000">
        <v>-316.50439999999998</v>
      </c>
      <c r="K1000">
        <v>1.092875</v>
      </c>
      <c r="L1000">
        <v>367.86200000000002</v>
      </c>
      <c r="M1000">
        <v>0.99985889999999999</v>
      </c>
      <c r="N1000">
        <v>-1.6396870000000001E-2</v>
      </c>
      <c r="O1000">
        <v>3.6776489999999998E-3</v>
      </c>
      <c r="P1000">
        <v>0.99225909999999995</v>
      </c>
      <c r="Q1000">
        <v>-0.1075091</v>
      </c>
      <c r="R1000">
        <v>6.2158940000000003E-2</v>
      </c>
      <c r="S1000">
        <v>3.0009769999999998</v>
      </c>
      <c r="T1000">
        <v>5.0856829999999999E-2</v>
      </c>
      <c r="U1000">
        <v>0.42849730000000003</v>
      </c>
      <c r="V1000">
        <v>-5.8511689999999998E-2</v>
      </c>
      <c r="W1000">
        <v>-9.1219190000000006E-2</v>
      </c>
      <c r="X1000">
        <v>0.99411039999999995</v>
      </c>
      <c r="Y1000">
        <v>-0.13771169999999999</v>
      </c>
      <c r="Z1000" s="1">
        <v>9.587966E-5</v>
      </c>
      <c r="AA1000">
        <v>0.99047240000000003</v>
      </c>
      <c r="AB1000">
        <v>39</v>
      </c>
      <c r="AC1000">
        <v>3.0009769999999998</v>
      </c>
      <c r="AD1000">
        <v>5.0856829999999999E-2</v>
      </c>
      <c r="AE1000">
        <v>0.42849730000000003</v>
      </c>
      <c r="AF1000">
        <v>-0.41733891674870499</v>
      </c>
      <c r="AG1000">
        <v>5.0856829999999999E-2</v>
      </c>
      <c r="AH1000">
        <v>3.0016879364690499</v>
      </c>
      <c r="AI1000">
        <v>89.038591245449396</v>
      </c>
      <c r="AJ1000">
        <v>97.915361322715995</v>
      </c>
      <c r="AK1000">
        <v>3.0309880660494999</v>
      </c>
      <c r="AL1000">
        <v>95.233749950183494</v>
      </c>
      <c r="AM1000">
        <v>93.368448401000904</v>
      </c>
      <c r="AN1000">
        <v>1.0000000229395301</v>
      </c>
    </row>
    <row r="1001" spans="1:40" x14ac:dyDescent="0.25">
      <c r="A1001" t="str">
        <f>"20190305134924705"</f>
        <v>20190305134924705</v>
      </c>
      <c r="B1001" t="str">
        <f>"1551764964701930"</f>
        <v>1551764964701930</v>
      </c>
      <c r="C1001" t="s">
        <v>40</v>
      </c>
      <c r="D1001">
        <v>3.6312259999999998</v>
      </c>
      <c r="E1001">
        <v>0.4714892</v>
      </c>
      <c r="F1001" t="s">
        <v>47</v>
      </c>
      <c r="G1001">
        <v>0</v>
      </c>
      <c r="H1001">
        <v>0</v>
      </c>
      <c r="I1001">
        <v>0</v>
      </c>
      <c r="J1001">
        <v>-316.30470000000003</v>
      </c>
      <c r="K1001">
        <v>1.0914509999999999</v>
      </c>
      <c r="L1001">
        <v>367.86270000000002</v>
      </c>
      <c r="M1001">
        <v>0.99985840000000004</v>
      </c>
      <c r="N1001">
        <v>-1.64277E-2</v>
      </c>
      <c r="O1001">
        <v>3.6756879999999999E-3</v>
      </c>
      <c r="P1001">
        <v>0.9922301</v>
      </c>
      <c r="Q1001">
        <v>-0.1081239</v>
      </c>
      <c r="R1001">
        <v>6.1552669999999997E-2</v>
      </c>
      <c r="S1001">
        <v>3.0015869999999998</v>
      </c>
      <c r="T1001">
        <v>4.4512990000000002E-2</v>
      </c>
      <c r="U1001">
        <v>0.42477419999999999</v>
      </c>
      <c r="V1001">
        <v>-5.7907960000000001E-2</v>
      </c>
      <c r="W1001">
        <v>-9.1803590000000004E-2</v>
      </c>
      <c r="X1001">
        <v>0.99409190000000003</v>
      </c>
      <c r="Y1001">
        <v>-0.13648299999999999</v>
      </c>
      <c r="Z1001">
        <v>2.3405649999999999E-4</v>
      </c>
      <c r="AA1001">
        <v>0.99064240000000003</v>
      </c>
      <c r="AB1001">
        <v>39</v>
      </c>
      <c r="AC1001">
        <v>3.0015869999999998</v>
      </c>
      <c r="AD1001">
        <v>4.4512990000000002E-2</v>
      </c>
      <c r="AE1001">
        <v>0.42477419999999999</v>
      </c>
      <c r="AF1001">
        <v>-0.41364775971611101</v>
      </c>
      <c r="AG1001">
        <v>4.4512990000000002E-2</v>
      </c>
      <c r="AH1001">
        <v>3.0024809140305102</v>
      </c>
      <c r="AI1001">
        <v>89.158575702839897</v>
      </c>
      <c r="AJ1001">
        <v>97.844183186916794</v>
      </c>
      <c r="AK1001">
        <v>3.0311676816887498</v>
      </c>
      <c r="AL1001">
        <v>95.267374980451507</v>
      </c>
      <c r="AM1001">
        <v>93.333833083357902</v>
      </c>
      <c r="AN1001">
        <v>0.99999996830692905</v>
      </c>
    </row>
    <row r="1002" spans="1:40" x14ac:dyDescent="0.25">
      <c r="A1002" t="str">
        <f>"20190305134924717"</f>
        <v>20190305134924717</v>
      </c>
      <c r="B1002" t="str">
        <f>"1551764964711689"</f>
        <v>1551764964711689</v>
      </c>
      <c r="C1002" t="s">
        <v>40</v>
      </c>
      <c r="D1002">
        <v>3.6423100000000002</v>
      </c>
      <c r="E1002">
        <v>0.47123369999999998</v>
      </c>
      <c r="F1002" t="s">
        <v>47</v>
      </c>
      <c r="G1002">
        <v>0</v>
      </c>
      <c r="H1002">
        <v>0</v>
      </c>
      <c r="I1002">
        <v>0</v>
      </c>
      <c r="J1002">
        <v>-316.11040000000003</v>
      </c>
      <c r="K1002">
        <v>1.0900399999999999</v>
      </c>
      <c r="L1002">
        <v>367.86340000000001</v>
      </c>
      <c r="M1002">
        <v>0.99985820000000003</v>
      </c>
      <c r="N1002">
        <v>-1.6442620000000002E-2</v>
      </c>
      <c r="O1002">
        <v>3.6730220000000002E-3</v>
      </c>
      <c r="P1002">
        <v>0.9922474</v>
      </c>
      <c r="Q1002">
        <v>-0.10831730000000001</v>
      </c>
      <c r="R1002">
        <v>6.093175E-2</v>
      </c>
      <c r="S1002">
        <v>3.0011899999999998</v>
      </c>
      <c r="T1002">
        <v>3.913403E-2</v>
      </c>
      <c r="U1002">
        <v>0.4287415</v>
      </c>
      <c r="V1002">
        <v>-5.7290300000000002E-2</v>
      </c>
      <c r="W1002">
        <v>-9.1981530000000006E-2</v>
      </c>
      <c r="X1002">
        <v>0.99411130000000003</v>
      </c>
      <c r="Y1002">
        <v>-0.13778850000000001</v>
      </c>
      <c r="Z1002">
        <v>3.5255330000000002E-4</v>
      </c>
      <c r="AA1002">
        <v>0.99046160000000005</v>
      </c>
      <c r="AB1002">
        <v>39</v>
      </c>
      <c r="AC1002">
        <v>3.0011899999999998</v>
      </c>
      <c r="AD1002">
        <v>3.913403E-2</v>
      </c>
      <c r="AE1002">
        <v>0.4287415</v>
      </c>
      <c r="AF1002">
        <v>-0.41764409002184999</v>
      </c>
      <c r="AG1002">
        <v>3.913403E-2</v>
      </c>
      <c r="AH1002">
        <v>3.0022444811795199</v>
      </c>
      <c r="AI1002">
        <v>89.260318114480299</v>
      </c>
      <c r="AJ1002">
        <v>97.919626132805703</v>
      </c>
      <c r="AK1002">
        <v>3.0314072611589298</v>
      </c>
      <c r="AL1002">
        <v>95.277613192861295</v>
      </c>
      <c r="AM1002">
        <v>93.298288337755494</v>
      </c>
      <c r="AN1002">
        <v>1.0000000285614601</v>
      </c>
    </row>
    <row r="1003" spans="1:40" x14ac:dyDescent="0.25">
      <c r="A1003" t="str">
        <f>"20190305134924728"</f>
        <v>20190305134924728</v>
      </c>
      <c r="B1003" t="str">
        <f>"1551764964721449"</f>
        <v>1551764964721449</v>
      </c>
      <c r="C1003" t="s">
        <v>40</v>
      </c>
      <c r="D1003">
        <v>3.6357910000000002</v>
      </c>
      <c r="E1003">
        <v>0.4714042</v>
      </c>
      <c r="F1003" t="s">
        <v>47</v>
      </c>
      <c r="G1003">
        <v>0</v>
      </c>
      <c r="H1003">
        <v>0</v>
      </c>
      <c r="I1003">
        <v>0</v>
      </c>
      <c r="J1003">
        <v>-315.91059999999999</v>
      </c>
      <c r="K1003">
        <v>1.088573</v>
      </c>
      <c r="L1003">
        <v>367.86410000000001</v>
      </c>
      <c r="M1003">
        <v>0.99985800000000002</v>
      </c>
      <c r="N1003">
        <v>-1.6448609999999999E-2</v>
      </c>
      <c r="O1003">
        <v>3.6700700000000001E-3</v>
      </c>
      <c r="P1003">
        <v>0.99227149999999997</v>
      </c>
      <c r="Q1003">
        <v>-0.10815859999999999</v>
      </c>
      <c r="R1003">
        <v>6.0818980000000002E-2</v>
      </c>
      <c r="S1003">
        <v>3.001312</v>
      </c>
      <c r="T1003">
        <v>3.8480760000000003E-2</v>
      </c>
      <c r="U1003">
        <v>0.42895509999999898</v>
      </c>
      <c r="V1003">
        <v>-5.7180729999999999E-2</v>
      </c>
      <c r="W1003">
        <v>-9.181628E-2</v>
      </c>
      <c r="X1003">
        <v>0.99413289999999999</v>
      </c>
      <c r="Y1003">
        <v>-0.13785500000000001</v>
      </c>
      <c r="Z1003">
        <v>3.6719580000000001E-4</v>
      </c>
      <c r="AA1003">
        <v>0.99045229999999995</v>
      </c>
      <c r="AB1003">
        <v>39</v>
      </c>
      <c r="AC1003">
        <v>3.001312</v>
      </c>
      <c r="AD1003">
        <v>3.8480760000000003E-2</v>
      </c>
      <c r="AE1003">
        <v>0.42895509999999898</v>
      </c>
      <c r="AF1003">
        <v>-0.41786837837819302</v>
      </c>
      <c r="AG1003">
        <v>3.8480760000000003E-2</v>
      </c>
      <c r="AH1003">
        <v>3.00238261972265</v>
      </c>
      <c r="AI1003">
        <v>89.272704634095007</v>
      </c>
      <c r="AJ1003">
        <v>97.923465277218497</v>
      </c>
      <c r="AK1003">
        <v>3.0315666157535199</v>
      </c>
      <c r="AL1003">
        <v>95.268104747806305</v>
      </c>
      <c r="AM1003">
        <v>93.291922746403699</v>
      </c>
      <c r="AN1003">
        <v>1.0000000440093799</v>
      </c>
    </row>
    <row r="1004" spans="1:40" x14ac:dyDescent="0.25">
      <c r="A1004" t="str">
        <f>"20190305134924740"</f>
        <v>20190305134924740</v>
      </c>
      <c r="B1004" t="str">
        <f>"1551764964732187"</f>
        <v>1551764964732187</v>
      </c>
      <c r="C1004" t="s">
        <v>40</v>
      </c>
      <c r="D1004">
        <v>3.6700719999999998</v>
      </c>
      <c r="E1004">
        <v>0.47146860000000002</v>
      </c>
      <c r="F1004" t="s">
        <v>47</v>
      </c>
      <c r="G1004">
        <v>0</v>
      </c>
      <c r="H1004">
        <v>0</v>
      </c>
      <c r="I1004">
        <v>0</v>
      </c>
      <c r="J1004">
        <v>-315.71370000000002</v>
      </c>
      <c r="K1004">
        <v>1.0871189999999999</v>
      </c>
      <c r="L1004">
        <v>367.8648</v>
      </c>
      <c r="M1004">
        <v>0.99985829999999998</v>
      </c>
      <c r="N1004">
        <v>-1.6430839999999999E-2</v>
      </c>
      <c r="O1004">
        <v>3.6659470000000001E-3</v>
      </c>
      <c r="P1004">
        <v>0.99230070000000004</v>
      </c>
      <c r="Q1004">
        <v>-0.1077955</v>
      </c>
      <c r="R1004">
        <v>6.0986949999999998E-2</v>
      </c>
      <c r="S1004">
        <v>3.001862</v>
      </c>
      <c r="T1004">
        <v>4.2656659999999999E-2</v>
      </c>
      <c r="U1004">
        <v>0.42672729999999998</v>
      </c>
      <c r="V1004">
        <v>-5.7352739999999999E-2</v>
      </c>
      <c r="W1004">
        <v>-9.1470109999999993E-2</v>
      </c>
      <c r="X1004">
        <v>0.99415489999999995</v>
      </c>
      <c r="Y1004">
        <v>-0.1371124</v>
      </c>
      <c r="Z1004">
        <v>2.7463100000000001E-4</v>
      </c>
      <c r="AA1004">
        <v>0.99055550000000003</v>
      </c>
      <c r="AB1004">
        <v>39</v>
      </c>
      <c r="AC1004">
        <v>3.001862</v>
      </c>
      <c r="AD1004">
        <v>4.2656659999999999E-2</v>
      </c>
      <c r="AE1004">
        <v>0.42672729999999998</v>
      </c>
      <c r="AF1004">
        <v>-0.41563601387176702</v>
      </c>
      <c r="AG1004">
        <v>4.2656659999999999E-2</v>
      </c>
      <c r="AH1004">
        <v>3.0028120584623799</v>
      </c>
      <c r="AI1004">
        <v>89.193820554330799</v>
      </c>
      <c r="AJ1004">
        <v>97.880556378991898</v>
      </c>
      <c r="AK1004">
        <v>3.03174094294295</v>
      </c>
      <c r="AL1004">
        <v>95.2481868654599</v>
      </c>
      <c r="AM1004">
        <v>93.301730664893199</v>
      </c>
      <c r="AN1004">
        <v>1.00000004150146</v>
      </c>
    </row>
    <row r="1005" spans="1:40" x14ac:dyDescent="0.25">
      <c r="A1005" t="str">
        <f>"20190305134924750"</f>
        <v>20190305134924750</v>
      </c>
      <c r="B1005" t="str">
        <f>"1551764964741950"</f>
        <v>1551764964741950</v>
      </c>
      <c r="C1005" t="s">
        <v>40</v>
      </c>
      <c r="D1005">
        <v>3.6186880000000001</v>
      </c>
      <c r="E1005">
        <v>0.4712151</v>
      </c>
      <c r="F1005" t="s">
        <v>47</v>
      </c>
      <c r="G1005">
        <v>0</v>
      </c>
      <c r="H1005">
        <v>0</v>
      </c>
      <c r="I1005">
        <v>0</v>
      </c>
      <c r="J1005">
        <v>-315.5335</v>
      </c>
      <c r="K1005">
        <v>1.085777</v>
      </c>
      <c r="L1005">
        <v>367.8655</v>
      </c>
      <c r="M1005">
        <v>0.99985869999999999</v>
      </c>
      <c r="N1005">
        <v>-1.6409779999999999E-2</v>
      </c>
      <c r="O1005">
        <v>3.6619159999999999E-3</v>
      </c>
      <c r="P1005">
        <v>0.99227290000000001</v>
      </c>
      <c r="Q1005">
        <v>-0.1077171</v>
      </c>
      <c r="R1005">
        <v>6.1576270000000002E-2</v>
      </c>
      <c r="S1005">
        <v>3.0022890000000002</v>
      </c>
      <c r="T1005">
        <v>4.8095939999999997E-2</v>
      </c>
      <c r="U1005">
        <v>0.42620849999999999</v>
      </c>
      <c r="V1005">
        <v>-5.7947029999999997E-2</v>
      </c>
      <c r="W1005">
        <v>-9.1412820000000006E-2</v>
      </c>
      <c r="X1005">
        <v>0.9941257</v>
      </c>
      <c r="Y1005">
        <v>-0.13692750000000001</v>
      </c>
      <c r="Z1005">
        <v>1.5607309999999999E-4</v>
      </c>
      <c r="AA1005">
        <v>0.99058100000000004</v>
      </c>
      <c r="AB1005">
        <v>39</v>
      </c>
      <c r="AC1005">
        <v>3.0022890000000002</v>
      </c>
      <c r="AD1005">
        <v>4.8095939999999997E-2</v>
      </c>
      <c r="AE1005">
        <v>0.42620849999999999</v>
      </c>
      <c r="AF1005">
        <v>-0.415105606342282</v>
      </c>
      <c r="AG1005">
        <v>4.8095939999999997E-2</v>
      </c>
      <c r="AH1005">
        <v>3.00307435253649</v>
      </c>
      <c r="AI1005">
        <v>89.091094543787605</v>
      </c>
      <c r="AJ1005">
        <v>97.869947022352093</v>
      </c>
      <c r="AK1005">
        <v>3.0320094740491399</v>
      </c>
      <c r="AL1005">
        <v>95.244890616361005</v>
      </c>
      <c r="AM1005">
        <v>93.335964143576504</v>
      </c>
      <c r="AN1005">
        <v>1.00000003467333</v>
      </c>
    </row>
    <row r="1006" spans="1:40" x14ac:dyDescent="0.25">
      <c r="A1006" t="str">
        <f>"20190305134924760"</f>
        <v>20190305134924760</v>
      </c>
      <c r="B1006" t="str">
        <f>"1551764964751710"</f>
        <v>1551764964751710</v>
      </c>
      <c r="C1006" t="s">
        <v>40</v>
      </c>
      <c r="D1006">
        <v>3.6431990000000001</v>
      </c>
      <c r="E1006">
        <v>0.47124090000000002</v>
      </c>
      <c r="F1006" t="s">
        <v>47</v>
      </c>
      <c r="G1006">
        <v>0</v>
      </c>
      <c r="H1006">
        <v>0</v>
      </c>
      <c r="I1006">
        <v>0</v>
      </c>
      <c r="J1006">
        <v>-315.34289999999999</v>
      </c>
      <c r="K1006">
        <v>1.084365</v>
      </c>
      <c r="L1006">
        <v>367.86619999999999</v>
      </c>
      <c r="M1006">
        <v>0.99985999999999997</v>
      </c>
      <c r="N1006">
        <v>-1.633542E-2</v>
      </c>
      <c r="O1006">
        <v>3.6565999999999999E-3</v>
      </c>
      <c r="P1006">
        <v>0.99212469999999997</v>
      </c>
      <c r="Q1006">
        <v>-0.1088216</v>
      </c>
      <c r="R1006">
        <v>6.2023010000000003E-2</v>
      </c>
      <c r="S1006">
        <v>3.0025940000000002</v>
      </c>
      <c r="T1006">
        <v>5.4372669999999998E-2</v>
      </c>
      <c r="U1006">
        <v>0.42950440000000001</v>
      </c>
      <c r="V1006">
        <v>-5.8399970000000002E-2</v>
      </c>
      <c r="W1006">
        <v>-9.2593289999999995E-2</v>
      </c>
      <c r="X1006">
        <v>0.99398989999999998</v>
      </c>
      <c r="Y1006">
        <v>-0.13798199999999999</v>
      </c>
      <c r="Z1006" s="1">
        <v>1.51849799999999E-5</v>
      </c>
      <c r="AA1006">
        <v>0.9904347</v>
      </c>
      <c r="AB1006">
        <v>39</v>
      </c>
      <c r="AC1006">
        <v>3.0025940000000002</v>
      </c>
      <c r="AD1006">
        <v>5.4372669999999998E-2</v>
      </c>
      <c r="AE1006">
        <v>0.42950440000000001</v>
      </c>
      <c r="AF1006">
        <v>-0.41838633242324003</v>
      </c>
      <c r="AG1006">
        <v>5.4372669999999998E-2</v>
      </c>
      <c r="AH1006">
        <v>3.0031795999656699</v>
      </c>
      <c r="AI1006">
        <v>88.972690474250101</v>
      </c>
      <c r="AJ1006">
        <v>97.931083063848405</v>
      </c>
      <c r="AK1006">
        <v>3.0326706415388101</v>
      </c>
      <c r="AL1006">
        <v>95.312814849090799</v>
      </c>
      <c r="AM1006">
        <v>93.362438220013004</v>
      </c>
      <c r="AN1006">
        <v>0.99999999757551705</v>
      </c>
    </row>
    <row r="1007" spans="1:40" x14ac:dyDescent="0.25">
      <c r="A1007" t="str">
        <f>"20190305134924772"</f>
        <v>20190305134924772</v>
      </c>
      <c r="B1007" t="str">
        <f>"1551764964761470"</f>
        <v>1551764964761470</v>
      </c>
      <c r="C1007" t="s">
        <v>40</v>
      </c>
      <c r="D1007">
        <v>3.673851</v>
      </c>
      <c r="E1007">
        <v>0.47096549999999998</v>
      </c>
      <c r="F1007" t="s">
        <v>47</v>
      </c>
      <c r="G1007">
        <v>0</v>
      </c>
      <c r="H1007">
        <v>0</v>
      </c>
      <c r="I1007">
        <v>0</v>
      </c>
      <c r="J1007">
        <v>-315.15249999999997</v>
      </c>
      <c r="K1007">
        <v>1.0829599999999999</v>
      </c>
      <c r="L1007">
        <v>367.86689999999999</v>
      </c>
      <c r="M1007">
        <v>0.99986140000000001</v>
      </c>
      <c r="N1007">
        <v>-1.6247350000000001E-2</v>
      </c>
      <c r="O1007">
        <v>3.6510380000000001E-3</v>
      </c>
      <c r="P1007">
        <v>0.99187840000000005</v>
      </c>
      <c r="Q1007">
        <v>-0.1108132</v>
      </c>
      <c r="R1007">
        <v>6.2432050000000003E-2</v>
      </c>
      <c r="S1007">
        <v>3.0028380000000001</v>
      </c>
      <c r="T1007">
        <v>5.4233070000000001E-2</v>
      </c>
      <c r="U1007">
        <v>0.4306335</v>
      </c>
      <c r="V1007">
        <v>-5.8815430000000002E-2</v>
      </c>
      <c r="W1007">
        <v>-9.467594E-2</v>
      </c>
      <c r="X1007">
        <v>0.99376920000000002</v>
      </c>
      <c r="Y1007">
        <v>-0.1383412</v>
      </c>
      <c r="Z1007" s="1">
        <v>1.1447120000000001E-5</v>
      </c>
      <c r="AA1007">
        <v>0.99038459999999995</v>
      </c>
      <c r="AB1007">
        <v>39</v>
      </c>
      <c r="AC1007">
        <v>3.0028380000000001</v>
      </c>
      <c r="AD1007">
        <v>5.4233070000000001E-2</v>
      </c>
      <c r="AE1007">
        <v>0.4306335</v>
      </c>
      <c r="AF1007">
        <v>-0.41953161930008698</v>
      </c>
      <c r="AG1007">
        <v>5.4233070000000001E-2</v>
      </c>
      <c r="AH1007">
        <v>3.0034305141229201</v>
      </c>
      <c r="AI1007">
        <v>88.975464897419698</v>
      </c>
      <c r="AJ1007">
        <v>97.951860275064405</v>
      </c>
      <c r="AK1007">
        <v>3.0330748191626999</v>
      </c>
      <c r="AL1007">
        <v>95.432668444503307</v>
      </c>
      <c r="AM1007">
        <v>93.387053579115005</v>
      </c>
      <c r="AN1007">
        <v>1.0000000056448</v>
      </c>
    </row>
    <row r="1008" spans="1:40" x14ac:dyDescent="0.25">
      <c r="A1008" t="str">
        <f>"20190305134924782"</f>
        <v>20190305134924782</v>
      </c>
      <c r="B1008" t="str">
        <f>"1551764964772207"</f>
        <v>1551764964772207</v>
      </c>
      <c r="C1008" t="s">
        <v>40</v>
      </c>
      <c r="D1008">
        <v>3.6731129999999999</v>
      </c>
      <c r="E1008">
        <v>0.47073749999999998</v>
      </c>
      <c r="F1008" t="s">
        <v>47</v>
      </c>
      <c r="G1008">
        <v>0</v>
      </c>
      <c r="H1008">
        <v>0</v>
      </c>
      <c r="I1008">
        <v>0</v>
      </c>
      <c r="J1008">
        <v>-314.95909999999998</v>
      </c>
      <c r="K1008">
        <v>1.0815600000000001</v>
      </c>
      <c r="L1008">
        <v>367.86759999999998</v>
      </c>
      <c r="M1008">
        <v>0.99986370000000002</v>
      </c>
      <c r="N1008">
        <v>-1.6105930000000001E-2</v>
      </c>
      <c r="O1008">
        <v>3.6447770000000001E-3</v>
      </c>
      <c r="P1008">
        <v>0.9917454</v>
      </c>
      <c r="Q1008">
        <v>-0.1117615</v>
      </c>
      <c r="R1008">
        <v>6.2853400000000004E-2</v>
      </c>
      <c r="S1008">
        <v>3.0029910000000002</v>
      </c>
      <c r="T1008">
        <v>5.1627520000000003E-2</v>
      </c>
      <c r="U1008">
        <v>0.43426510000000001</v>
      </c>
      <c r="V1008">
        <v>-5.9243749999999998E-2</v>
      </c>
      <c r="W1008">
        <v>-9.5766610000000002E-2</v>
      </c>
      <c r="X1008">
        <v>0.99363919999999994</v>
      </c>
      <c r="Y1008">
        <v>-0.13951440000000001</v>
      </c>
      <c r="Z1008" s="1">
        <v>5.7145249999999898E-5</v>
      </c>
      <c r="AA1008">
        <v>0.99022010000000005</v>
      </c>
      <c r="AB1008">
        <v>39</v>
      </c>
      <c r="AC1008">
        <v>3.0029910000000002</v>
      </c>
      <c r="AD1008">
        <v>5.1627520000000003E-2</v>
      </c>
      <c r="AE1008">
        <v>0.43426510000000001</v>
      </c>
      <c r="AF1008">
        <v>-0.42319304361744903</v>
      </c>
      <c r="AG1008">
        <v>5.1627520000000003E-2</v>
      </c>
      <c r="AH1008">
        <v>3.0036844513780898</v>
      </c>
      <c r="AI1008">
        <v>89.0249218328224</v>
      </c>
      <c r="AJ1008">
        <v>98.019690976670105</v>
      </c>
      <c r="AK1008">
        <v>3.0337893856426499</v>
      </c>
      <c r="AL1008">
        <v>95.495444718339996</v>
      </c>
      <c r="AM1008">
        <v>93.412106851123497</v>
      </c>
      <c r="AN1008">
        <v>0.99999996264079605</v>
      </c>
    </row>
    <row r="1009" spans="1:40" x14ac:dyDescent="0.25">
      <c r="A1009" t="str">
        <f>"20190305134924794"</f>
        <v>20190305134924794</v>
      </c>
      <c r="B1009" t="str">
        <f>"1551764964791726"</f>
        <v>1551764964791726</v>
      </c>
      <c r="C1009" t="s">
        <v>40</v>
      </c>
      <c r="D1009">
        <v>3.6858520000000001</v>
      </c>
      <c r="E1009">
        <v>0.47058860000000002</v>
      </c>
      <c r="F1009" t="s">
        <v>47</v>
      </c>
      <c r="G1009">
        <v>0</v>
      </c>
      <c r="H1009">
        <v>0</v>
      </c>
      <c r="I1009">
        <v>0</v>
      </c>
      <c r="J1009">
        <v>-314.76670000000001</v>
      </c>
      <c r="K1009">
        <v>1.080195</v>
      </c>
      <c r="L1009">
        <v>367.86829999999998</v>
      </c>
      <c r="M1009">
        <v>0.99986640000000004</v>
      </c>
      <c r="N1009">
        <v>-1.594098E-2</v>
      </c>
      <c r="O1009">
        <v>3.6381619999999999E-3</v>
      </c>
      <c r="P1009">
        <v>0.99159940000000002</v>
      </c>
      <c r="Q1009">
        <v>-0.1128818</v>
      </c>
      <c r="R1009">
        <v>6.3153959999999995E-2</v>
      </c>
      <c r="S1009">
        <v>3.0029599999999999</v>
      </c>
      <c r="T1009">
        <v>5.0214170000000002E-2</v>
      </c>
      <c r="U1009">
        <v>0.43725589999999998</v>
      </c>
      <c r="V1009">
        <v>-5.9551850000000003E-2</v>
      </c>
      <c r="W1009">
        <v>-9.7052879999999994E-2</v>
      </c>
      <c r="X1009">
        <v>0.99349600000000005</v>
      </c>
      <c r="Y1009">
        <v>-0.14048840000000001</v>
      </c>
      <c r="Z1009" s="1">
        <v>7.5557730000000005E-5</v>
      </c>
      <c r="AA1009">
        <v>0.99008229999999997</v>
      </c>
      <c r="AB1009">
        <v>39</v>
      </c>
      <c r="AC1009">
        <v>3.0029599999999999</v>
      </c>
      <c r="AD1009">
        <v>5.0214170000000002E-2</v>
      </c>
      <c r="AE1009">
        <v>0.43725589999999998</v>
      </c>
      <c r="AF1009">
        <v>-0.42620966452742998</v>
      </c>
      <c r="AG1009">
        <v>5.0214170000000002E-2</v>
      </c>
      <c r="AH1009">
        <v>3.00370869929572</v>
      </c>
      <c r="AI1009">
        <v>89.051750037557596</v>
      </c>
      <c r="AJ1009">
        <v>98.076041332534103</v>
      </c>
      <c r="AK1009">
        <v>3.0342119390757998</v>
      </c>
      <c r="AL1009">
        <v>95.569487309165893</v>
      </c>
      <c r="AM1009">
        <v>93.430302610591298</v>
      </c>
      <c r="AN1009">
        <v>0.99999999318535804</v>
      </c>
    </row>
    <row r="1010" spans="1:40" x14ac:dyDescent="0.25">
      <c r="A1010" t="str">
        <f>"20190305134924806"</f>
        <v>20190305134924806</v>
      </c>
      <c r="B1010" t="str">
        <f>"1551764964801486"</f>
        <v>1551764964801486</v>
      </c>
      <c r="C1010" t="s">
        <v>40</v>
      </c>
      <c r="D1010">
        <v>3.693308</v>
      </c>
      <c r="E1010">
        <v>0.47051700000000002</v>
      </c>
      <c r="F1010" t="s">
        <v>47</v>
      </c>
      <c r="G1010">
        <v>0</v>
      </c>
      <c r="H1010">
        <v>0</v>
      </c>
      <c r="I1010">
        <v>0</v>
      </c>
      <c r="J1010">
        <v>-314.55849999999998</v>
      </c>
      <c r="K1010">
        <v>1.078759</v>
      </c>
      <c r="L1010">
        <v>367.86900000000003</v>
      </c>
      <c r="M1010">
        <v>0.99986980000000003</v>
      </c>
      <c r="N1010">
        <v>-1.5725630000000001E-2</v>
      </c>
      <c r="O1010">
        <v>3.6304470000000002E-3</v>
      </c>
      <c r="P1010">
        <v>0.99152010000000002</v>
      </c>
      <c r="Q1010">
        <v>-0.1134788</v>
      </c>
      <c r="R1010">
        <v>6.3328670000000004E-2</v>
      </c>
      <c r="S1010">
        <v>3.0029910000000002</v>
      </c>
      <c r="T1010">
        <v>4.8882370000000001E-2</v>
      </c>
      <c r="U1010">
        <v>0.43945309999999999</v>
      </c>
      <c r="V1010">
        <v>-5.9734669999999997E-2</v>
      </c>
      <c r="W1010">
        <v>-9.7864850000000003E-2</v>
      </c>
      <c r="X1010">
        <v>0.99340539999999999</v>
      </c>
      <c r="Y1010">
        <v>-0.1412041</v>
      </c>
      <c r="Z1010" s="1">
        <v>8.8686359999999996E-5</v>
      </c>
      <c r="AA1010">
        <v>0.98998050000000004</v>
      </c>
      <c r="AB1010">
        <v>39</v>
      </c>
      <c r="AC1010">
        <v>3.0029910000000002</v>
      </c>
      <c r="AD1010">
        <v>4.8882370000000001E-2</v>
      </c>
      <c r="AE1010">
        <v>0.43945309999999999</v>
      </c>
      <c r="AF1010">
        <v>-0.42843551341986402</v>
      </c>
      <c r="AG1010">
        <v>4.8882370000000001E-2</v>
      </c>
      <c r="AH1010">
        <v>3.0037875874945899</v>
      </c>
      <c r="AI1010">
        <v>89.077014603534707</v>
      </c>
      <c r="AJ1010">
        <v>98.117446797147096</v>
      </c>
      <c r="AK1010">
        <v>3.0345817415325498</v>
      </c>
      <c r="AL1010">
        <v>95.616232117088799</v>
      </c>
      <c r="AM1010">
        <v>93.441121189367095</v>
      </c>
      <c r="AN1010">
        <v>1.0000000242073399</v>
      </c>
    </row>
    <row r="1011" spans="1:40" x14ac:dyDescent="0.25">
      <c r="A1011" t="str">
        <f>"20190305134924818"</f>
        <v>20190305134924818</v>
      </c>
      <c r="B1011" t="str">
        <f>"1551764964812222"</f>
        <v>1551764964812222</v>
      </c>
      <c r="C1011" t="s">
        <v>40</v>
      </c>
      <c r="D1011">
        <v>3.6903229999999998</v>
      </c>
      <c r="E1011">
        <v>0.4703985</v>
      </c>
      <c r="F1011" t="s">
        <v>47</v>
      </c>
      <c r="G1011">
        <v>0</v>
      </c>
      <c r="H1011">
        <v>0</v>
      </c>
      <c r="I1011">
        <v>0</v>
      </c>
      <c r="J1011">
        <v>-314.36680000000001</v>
      </c>
      <c r="K1011">
        <v>1.077491</v>
      </c>
      <c r="L1011">
        <v>367.8698</v>
      </c>
      <c r="M1011">
        <v>0.99987329999999996</v>
      </c>
      <c r="N1011">
        <v>-1.549819E-2</v>
      </c>
      <c r="O1011">
        <v>3.6229880000000002E-3</v>
      </c>
      <c r="P1011">
        <v>0.99143590000000004</v>
      </c>
      <c r="Q1011">
        <v>-0.11415889999999999</v>
      </c>
      <c r="R1011">
        <v>6.3423019999999997E-2</v>
      </c>
      <c r="S1011">
        <v>3.0032350000000001</v>
      </c>
      <c r="T1011">
        <v>4.9946900000000002E-2</v>
      </c>
      <c r="U1011">
        <v>0.44073489999999999</v>
      </c>
      <c r="V1011">
        <v>-5.9836800000000002E-2</v>
      </c>
      <c r="W1011">
        <v>-9.8772029999999997E-2</v>
      </c>
      <c r="X1011">
        <v>0.99330940000000001</v>
      </c>
      <c r="Y1011">
        <v>-0.14161290000000001</v>
      </c>
      <c r="Z1011" s="1">
        <v>4.7830629999999998E-5</v>
      </c>
      <c r="AA1011">
        <v>0.98992210000000003</v>
      </c>
      <c r="AB1011">
        <v>39</v>
      </c>
      <c r="AC1011">
        <v>3.0032350000000001</v>
      </c>
      <c r="AD1011">
        <v>4.9946900000000002E-2</v>
      </c>
      <c r="AE1011">
        <v>0.44073489999999999</v>
      </c>
      <c r="AF1011">
        <v>-0.429733660363187</v>
      </c>
      <c r="AG1011">
        <v>4.9946900000000002E-2</v>
      </c>
      <c r="AH1011">
        <v>3.00399889122358</v>
      </c>
      <c r="AI1011">
        <v>89.057040025980896</v>
      </c>
      <c r="AJ1011">
        <v>98.141148130568695</v>
      </c>
      <c r="AK1011">
        <v>3.0349917710170602</v>
      </c>
      <c r="AL1011">
        <v>95.668463123359402</v>
      </c>
      <c r="AM1011">
        <v>93.447322731229306</v>
      </c>
      <c r="AN1011">
        <v>0.99999996033645899</v>
      </c>
    </row>
    <row r="1012" spans="1:40" x14ac:dyDescent="0.25">
      <c r="A1012" t="str">
        <f>"20190305134924827"</f>
        <v>20190305134924827</v>
      </c>
      <c r="B1012" t="str">
        <f>"1551764964821982"</f>
        <v>1551764964821982</v>
      </c>
      <c r="C1012" t="s">
        <v>40</v>
      </c>
      <c r="D1012">
        <v>3.7004440000000001</v>
      </c>
      <c r="E1012">
        <v>0.47031070000000003</v>
      </c>
      <c r="F1012" t="s">
        <v>47</v>
      </c>
      <c r="G1012">
        <v>0</v>
      </c>
      <c r="H1012">
        <v>0</v>
      </c>
      <c r="I1012">
        <v>0</v>
      </c>
      <c r="J1012">
        <v>-314.17739999999998</v>
      </c>
      <c r="K1012">
        <v>1.076257</v>
      </c>
      <c r="L1012">
        <v>367.87049999999999</v>
      </c>
      <c r="M1012">
        <v>0.99987700000000002</v>
      </c>
      <c r="N1012">
        <v>-1.5260889999999999E-2</v>
      </c>
      <c r="O1012">
        <v>3.6154E-3</v>
      </c>
      <c r="P1012">
        <v>0.9914328</v>
      </c>
      <c r="Q1012">
        <v>-0.1140193</v>
      </c>
      <c r="R1012">
        <v>6.3723390000000005E-2</v>
      </c>
      <c r="S1012">
        <v>3.0034179999999999</v>
      </c>
      <c r="T1012">
        <v>5.0454970000000002E-2</v>
      </c>
      <c r="U1012">
        <v>0.44201659999999998</v>
      </c>
      <c r="V1012">
        <v>-6.0145520000000001E-2</v>
      </c>
      <c r="W1012">
        <v>-9.886818E-2</v>
      </c>
      <c r="X1012">
        <v>0.99328119999999998</v>
      </c>
      <c r="Y1012">
        <v>-0.14202479999999901</v>
      </c>
      <c r="Z1012" s="1">
        <v>1.8390130000000001E-5</v>
      </c>
      <c r="AA1012">
        <v>0.9898631</v>
      </c>
      <c r="AB1012">
        <v>39</v>
      </c>
      <c r="AC1012">
        <v>3.0034179999999999</v>
      </c>
      <c r="AD1012">
        <v>5.0454970000000002E-2</v>
      </c>
      <c r="AE1012">
        <v>0.44201659999999998</v>
      </c>
      <c r="AF1012">
        <v>-0.43103482369962398</v>
      </c>
      <c r="AG1012">
        <v>5.0454970000000002E-2</v>
      </c>
      <c r="AH1012">
        <v>3.0041667794884699</v>
      </c>
      <c r="AI1012">
        <v>89.047559861820801</v>
      </c>
      <c r="AJ1012">
        <v>98.165016099490799</v>
      </c>
      <c r="AK1012">
        <v>3.0353508466438601</v>
      </c>
      <c r="AL1012">
        <v>95.673999147018193</v>
      </c>
      <c r="AM1012">
        <v>93.465163644792497</v>
      </c>
      <c r="AN1012">
        <v>0.999999971433011</v>
      </c>
    </row>
    <row r="1013" spans="1:40" x14ac:dyDescent="0.25">
      <c r="A1013" t="str">
        <f>"20190305134924839"</f>
        <v>20190305134924839</v>
      </c>
      <c r="B1013" t="str">
        <f>"1551764964831742"</f>
        <v>1551764964831742</v>
      </c>
      <c r="C1013" t="s">
        <v>40</v>
      </c>
      <c r="D1013">
        <v>3.6846800000000002</v>
      </c>
      <c r="E1013">
        <v>0.4703099</v>
      </c>
      <c r="F1013" t="s">
        <v>47</v>
      </c>
      <c r="G1013">
        <v>0</v>
      </c>
      <c r="H1013">
        <v>0</v>
      </c>
      <c r="I1013">
        <v>0</v>
      </c>
      <c r="J1013">
        <v>-313.98379999999997</v>
      </c>
      <c r="K1013">
        <v>1.07508</v>
      </c>
      <c r="L1013">
        <v>367.87119999999999</v>
      </c>
      <c r="M1013">
        <v>0.99988109999999997</v>
      </c>
      <c r="N1013">
        <v>-1.499606E-2</v>
      </c>
      <c r="O1013">
        <v>3.6084810000000002E-3</v>
      </c>
      <c r="P1013">
        <v>0.99135150000000005</v>
      </c>
      <c r="Q1013">
        <v>-0.114494</v>
      </c>
      <c r="R1013">
        <v>6.4134750000000004E-2</v>
      </c>
      <c r="S1013">
        <v>3.0035099999999999</v>
      </c>
      <c r="T1013">
        <v>5.2896260000000001E-2</v>
      </c>
      <c r="U1013">
        <v>0.44348140000000003</v>
      </c>
      <c r="V1013">
        <v>-6.0563989999999998E-2</v>
      </c>
      <c r="W1013">
        <v>-9.9607029999999999E-2</v>
      </c>
      <c r="X1013">
        <v>0.99318200000000001</v>
      </c>
      <c r="Y1013">
        <v>-0.1424985</v>
      </c>
      <c r="Z1013" s="1">
        <v>-5.663536E-5</v>
      </c>
      <c r="AA1013">
        <v>0.98979499999999998</v>
      </c>
      <c r="AB1013">
        <v>39</v>
      </c>
      <c r="AC1013">
        <v>3.0035099999999999</v>
      </c>
      <c r="AD1013">
        <v>5.2896260000000001E-2</v>
      </c>
      <c r="AE1013">
        <v>0.44348140000000003</v>
      </c>
      <c r="AF1013">
        <v>-0.43250789882056601</v>
      </c>
      <c r="AG1013">
        <v>5.2896260000000001E-2</v>
      </c>
      <c r="AH1013">
        <v>3.0041790073180601</v>
      </c>
      <c r="AI1013">
        <v>89.001557574603396</v>
      </c>
      <c r="AJ1013">
        <v>98.192509251323401</v>
      </c>
      <c r="AK1013">
        <v>3.0356140408284298</v>
      </c>
      <c r="AL1013">
        <v>95.716541852566493</v>
      </c>
      <c r="AM1013">
        <v>93.4895612418143</v>
      </c>
      <c r="AN1013">
        <v>1.0000000212170701</v>
      </c>
    </row>
    <row r="1014" spans="1:40" x14ac:dyDescent="0.25">
      <c r="A1014" t="str">
        <f>"20190305134924851"</f>
        <v>20190305134924851</v>
      </c>
      <c r="B1014" t="str">
        <f>"1551764964841502"</f>
        <v>1551764964841502</v>
      </c>
      <c r="C1014" t="s">
        <v>40</v>
      </c>
      <c r="D1014">
        <v>3.6816040000000001</v>
      </c>
      <c r="E1014">
        <v>0.47029979999999899</v>
      </c>
      <c r="F1014" t="s">
        <v>47</v>
      </c>
      <c r="G1014">
        <v>0</v>
      </c>
      <c r="H1014">
        <v>0</v>
      </c>
      <c r="I1014">
        <v>0</v>
      </c>
      <c r="J1014">
        <v>-313.78629999999998</v>
      </c>
      <c r="K1014">
        <v>1.0739000000000001</v>
      </c>
      <c r="L1014">
        <v>367.87189999999998</v>
      </c>
      <c r="M1014">
        <v>0.99988529999999998</v>
      </c>
      <c r="N1014">
        <v>-1.4721710000000001E-2</v>
      </c>
      <c r="O1014">
        <v>3.601838E-3</v>
      </c>
      <c r="P1014">
        <v>0.9911702</v>
      </c>
      <c r="Q1014">
        <v>-0.11581180000000001</v>
      </c>
      <c r="R1014">
        <v>6.4572889999999994E-2</v>
      </c>
      <c r="S1014">
        <v>3.0036930000000002</v>
      </c>
      <c r="T1014">
        <v>5.4101589999999998E-2</v>
      </c>
      <c r="U1014">
        <v>0.44473269999999998</v>
      </c>
      <c r="V1014">
        <v>-6.1009250000000001E-2</v>
      </c>
      <c r="W1014">
        <v>-0.10119980000000001</v>
      </c>
      <c r="X1014">
        <v>0.99299369999999998</v>
      </c>
      <c r="Y1014">
        <v>-0.1428989</v>
      </c>
      <c r="Z1014">
        <v>-1.049647E-4</v>
      </c>
      <c r="AA1014">
        <v>0.98973730000000004</v>
      </c>
      <c r="AB1014">
        <v>39</v>
      </c>
      <c r="AC1014">
        <v>3.0036930000000002</v>
      </c>
      <c r="AD1014">
        <v>5.4101589999999998E-2</v>
      </c>
      <c r="AE1014">
        <v>0.44473269999999998</v>
      </c>
      <c r="AF1014">
        <v>-0.43377212215500499</v>
      </c>
      <c r="AG1014">
        <v>5.4101589999999998E-2</v>
      </c>
      <c r="AH1014">
        <v>3.00432178387923</v>
      </c>
      <c r="AI1014">
        <v>88.978919363217202</v>
      </c>
      <c r="AJ1014">
        <v>98.215744410497194</v>
      </c>
      <c r="AK1014">
        <v>3.0359569524436099</v>
      </c>
      <c r="AL1014">
        <v>95.808264426645906</v>
      </c>
      <c r="AM1014">
        <v>93.515816932249294</v>
      </c>
      <c r="AN1014">
        <v>1.0000000081726399</v>
      </c>
    </row>
    <row r="1015" spans="1:40" x14ac:dyDescent="0.25">
      <c r="A1015" t="str">
        <f>"20190305134924862"</f>
        <v>20190305134924862</v>
      </c>
      <c r="B1015" t="str">
        <f>"1551764964852238"</f>
        <v>1551764964852238</v>
      </c>
      <c r="C1015" t="s">
        <v>40</v>
      </c>
      <c r="D1015">
        <v>3.6870020000000001</v>
      </c>
      <c r="E1015">
        <v>0.47029379999999998</v>
      </c>
      <c r="F1015" t="s">
        <v>47</v>
      </c>
      <c r="G1015">
        <v>0</v>
      </c>
      <c r="H1015">
        <v>0</v>
      </c>
      <c r="I1015">
        <v>0</v>
      </c>
      <c r="J1015">
        <v>-313.56869999999998</v>
      </c>
      <c r="K1015">
        <v>1.0726990000000001</v>
      </c>
      <c r="L1015">
        <v>367.87270000000001</v>
      </c>
      <c r="M1015">
        <v>0.99988980000000005</v>
      </c>
      <c r="N1015">
        <v>-1.440871E-2</v>
      </c>
      <c r="O1015">
        <v>3.5962250000000002E-3</v>
      </c>
      <c r="P1015">
        <v>0.99099329999999997</v>
      </c>
      <c r="Q1015">
        <v>-0.1171271</v>
      </c>
      <c r="R1015">
        <v>6.4914669999999994E-2</v>
      </c>
      <c r="S1015">
        <v>3.0036930000000002</v>
      </c>
      <c r="T1015">
        <v>5.171502E-2</v>
      </c>
      <c r="U1015">
        <v>0.44604490000000002</v>
      </c>
      <c r="V1015">
        <v>-6.1357380000000003E-2</v>
      </c>
      <c r="W1015">
        <v>-0.1028285</v>
      </c>
      <c r="X1015">
        <v>0.99280489999999999</v>
      </c>
      <c r="Y1015">
        <v>-0.14332819999999999</v>
      </c>
      <c r="Z1015" s="1">
        <v>-7.5646440000000004E-5</v>
      </c>
      <c r="AA1015">
        <v>0.98967519999999998</v>
      </c>
      <c r="AB1015">
        <v>39</v>
      </c>
      <c r="AC1015">
        <v>3.0036930000000002</v>
      </c>
      <c r="AD1015">
        <v>5.171502E-2</v>
      </c>
      <c r="AE1015">
        <v>0.44604490000000002</v>
      </c>
      <c r="AF1015">
        <v>-0.43511274096828401</v>
      </c>
      <c r="AG1015">
        <v>5.171502E-2</v>
      </c>
      <c r="AH1015">
        <v>3.00440643609784</v>
      </c>
      <c r="AI1015">
        <v>89.024041732130001</v>
      </c>
      <c r="AJ1015">
        <v>98.2405588287303</v>
      </c>
      <c r="AK1015">
        <v>3.0361909646648799</v>
      </c>
      <c r="AL1015">
        <v>95.902071523415799</v>
      </c>
      <c r="AM1015">
        <v>93.536498773628395</v>
      </c>
      <c r="AN1015">
        <v>0.999999998978362</v>
      </c>
    </row>
    <row r="1016" spans="1:40" x14ac:dyDescent="0.25">
      <c r="A1016" t="str">
        <f>"20190305134924875"</f>
        <v>20190305134924875</v>
      </c>
      <c r="B1016" t="str">
        <f>"1551764964871758"</f>
        <v>1551764964871758</v>
      </c>
      <c r="C1016" t="s">
        <v>40</v>
      </c>
      <c r="D1016">
        <v>3.752653</v>
      </c>
      <c r="E1016">
        <v>0.47021540000000001</v>
      </c>
      <c r="F1016" t="s">
        <v>47</v>
      </c>
      <c r="G1016">
        <v>0</v>
      </c>
      <c r="H1016">
        <v>0</v>
      </c>
      <c r="I1016">
        <v>0</v>
      </c>
      <c r="J1016">
        <v>-313.36270000000002</v>
      </c>
      <c r="K1016">
        <v>1.0716110000000001</v>
      </c>
      <c r="L1016">
        <v>367.8734</v>
      </c>
      <c r="M1016">
        <v>0.99989410000000001</v>
      </c>
      <c r="N1016">
        <v>-1.41125E-2</v>
      </c>
      <c r="O1016">
        <v>3.5916350000000001E-3</v>
      </c>
      <c r="P1016">
        <v>0.990788</v>
      </c>
      <c r="Q1016">
        <v>-0.11863609999999999</v>
      </c>
      <c r="R1016">
        <v>6.5307790000000004E-2</v>
      </c>
      <c r="S1016">
        <v>3.0037539999999998</v>
      </c>
      <c r="T1016">
        <v>4.9365039999999999E-2</v>
      </c>
      <c r="U1016">
        <v>0.44732670000000002</v>
      </c>
      <c r="V1016">
        <v>-6.1755640000000001E-2</v>
      </c>
      <c r="W1016">
        <v>-0.1046344</v>
      </c>
      <c r="X1016">
        <v>0.99259149999999996</v>
      </c>
      <c r="Y1016">
        <v>-0.1437435</v>
      </c>
      <c r="Z1016" s="1">
        <v>-4.5602210000000003E-5</v>
      </c>
      <c r="AA1016">
        <v>0.98961500000000002</v>
      </c>
      <c r="AB1016">
        <v>39</v>
      </c>
      <c r="AC1016">
        <v>3.0037539999999998</v>
      </c>
      <c r="AD1016">
        <v>4.9365039999999999E-2</v>
      </c>
      <c r="AE1016">
        <v>0.44732670000000002</v>
      </c>
      <c r="AF1016">
        <v>-0.436419037753774</v>
      </c>
      <c r="AG1016">
        <v>4.9365039999999999E-2</v>
      </c>
      <c r="AH1016">
        <v>3.0045475215455402</v>
      </c>
      <c r="AI1016">
        <v>89.068482568398494</v>
      </c>
      <c r="AJ1016">
        <v>98.264574650611905</v>
      </c>
      <c r="AK1016">
        <v>3.03647893009544</v>
      </c>
      <c r="AL1016">
        <v>96.006103187733203</v>
      </c>
      <c r="AM1016">
        <v>93.560158019188293</v>
      </c>
      <c r="AN1016">
        <v>1.0000000013037</v>
      </c>
    </row>
    <row r="1017" spans="1:40" x14ac:dyDescent="0.25">
      <c r="A1017" t="str">
        <f>"20190305134924887"</f>
        <v>20190305134924887</v>
      </c>
      <c r="B1017" t="str">
        <f>"1551764964881518"</f>
        <v>1551764964881518</v>
      </c>
      <c r="C1017" t="s">
        <v>40</v>
      </c>
      <c r="D1017">
        <v>3.701991</v>
      </c>
      <c r="E1017">
        <v>0.47017409999999998</v>
      </c>
      <c r="F1017" t="s">
        <v>47</v>
      </c>
      <c r="G1017">
        <v>0</v>
      </c>
      <c r="H1017">
        <v>0</v>
      </c>
      <c r="I1017">
        <v>0</v>
      </c>
      <c r="J1017">
        <v>-313.15039999999999</v>
      </c>
      <c r="K1017">
        <v>1.0705519999999999</v>
      </c>
      <c r="L1017">
        <v>367.87419999999997</v>
      </c>
      <c r="M1017">
        <v>0.99989830000000002</v>
      </c>
      <c r="N1017">
        <v>-1.3807359999999999E-2</v>
      </c>
      <c r="O1017">
        <v>3.5878989999999999E-3</v>
      </c>
      <c r="P1017">
        <v>0.99054739999999997</v>
      </c>
      <c r="Q1017">
        <v>-0.1203533</v>
      </c>
      <c r="R1017">
        <v>6.5812280000000001E-2</v>
      </c>
      <c r="S1017">
        <v>3.0038450000000001</v>
      </c>
      <c r="T1017">
        <v>4.6291470000000001E-2</v>
      </c>
      <c r="U1017">
        <v>0.44894410000000001</v>
      </c>
      <c r="V1017">
        <v>-6.2264229999999997E-2</v>
      </c>
      <c r="W1017">
        <v>-0.1066578</v>
      </c>
      <c r="X1017">
        <v>0.99234429999999996</v>
      </c>
      <c r="Y1017">
        <v>-0.1442648</v>
      </c>
      <c r="Z1017" s="1">
        <v>3.480818E-7</v>
      </c>
      <c r="AA1017">
        <v>0.9895391</v>
      </c>
      <c r="AB1017">
        <v>39</v>
      </c>
      <c r="AC1017">
        <v>3.0038450000000001</v>
      </c>
      <c r="AD1017">
        <v>4.6291470000000001E-2</v>
      </c>
      <c r="AE1017">
        <v>0.44894410000000001</v>
      </c>
      <c r="AF1017">
        <v>-0.438060928165452</v>
      </c>
      <c r="AG1017">
        <v>4.6291470000000001E-2</v>
      </c>
      <c r="AH1017">
        <v>3.00473857510298</v>
      </c>
      <c r="AI1017">
        <v>89.1265938824111</v>
      </c>
      <c r="AJ1017">
        <v>98.294715545796905</v>
      </c>
      <c r="AK1017">
        <v>3.0368559698628799</v>
      </c>
      <c r="AL1017">
        <v>96.122688142896394</v>
      </c>
      <c r="AM1017">
        <v>93.590293248779602</v>
      </c>
      <c r="AN1017">
        <v>0.99999996519041001</v>
      </c>
    </row>
    <row r="1018" spans="1:40" x14ac:dyDescent="0.25">
      <c r="A1018" t="str">
        <f>"20190305134924899"</f>
        <v>20190305134924899</v>
      </c>
      <c r="B1018" t="str">
        <f>"1551764964892254"</f>
        <v>1551764964892254</v>
      </c>
      <c r="C1018" t="s">
        <v>40</v>
      </c>
      <c r="D1018">
        <v>3.768554</v>
      </c>
      <c r="E1018">
        <v>0.47017229999999999</v>
      </c>
      <c r="F1018" t="s">
        <v>47</v>
      </c>
      <c r="G1018">
        <v>0</v>
      </c>
      <c r="H1018">
        <v>0</v>
      </c>
      <c r="I1018">
        <v>0</v>
      </c>
      <c r="J1018">
        <v>-312.95580000000001</v>
      </c>
      <c r="K1018">
        <v>1.0696619999999999</v>
      </c>
      <c r="L1018">
        <v>367.87490000000003</v>
      </c>
      <c r="M1018">
        <v>0.99990199999999996</v>
      </c>
      <c r="N1018">
        <v>-1.35342E-2</v>
      </c>
      <c r="O1018">
        <v>3.5852689999999999E-3</v>
      </c>
      <c r="P1018">
        <v>0.99025569999999896</v>
      </c>
      <c r="Q1018">
        <v>-0.1224891</v>
      </c>
      <c r="R1018">
        <v>6.6259219999999994E-2</v>
      </c>
      <c r="S1018">
        <v>3.0038450000000001</v>
      </c>
      <c r="T1018">
        <v>4.2239310000000002E-2</v>
      </c>
      <c r="U1018">
        <v>0.45077509999999998</v>
      </c>
      <c r="V1018">
        <v>-6.2715229999999997E-2</v>
      </c>
      <c r="W1018">
        <v>-0.1090685</v>
      </c>
      <c r="X1018">
        <v>0.99205390000000004</v>
      </c>
      <c r="Y1018">
        <v>-0.1448585</v>
      </c>
      <c r="Z1018" s="1">
        <v>7.1396350000000003E-5</v>
      </c>
      <c r="AA1018">
        <v>0.98945240000000001</v>
      </c>
      <c r="AB1018">
        <v>39</v>
      </c>
      <c r="AC1018">
        <v>3.0038450000000001</v>
      </c>
      <c r="AD1018">
        <v>4.2239310000000002E-2</v>
      </c>
      <c r="AE1018">
        <v>0.45077509999999998</v>
      </c>
      <c r="AF1018">
        <v>-0.43991655350442699</v>
      </c>
      <c r="AG1018">
        <v>4.2239310000000002E-2</v>
      </c>
      <c r="AH1018">
        <v>3.0048609147385501</v>
      </c>
      <c r="AI1018">
        <v>89.203139986641901</v>
      </c>
      <c r="AJ1018">
        <v>98.329025643793798</v>
      </c>
      <c r="AK1018">
        <v>3.0371861731345802</v>
      </c>
      <c r="AL1018">
        <v>96.261621226485502</v>
      </c>
      <c r="AM1018">
        <v>93.617285900421095</v>
      </c>
      <c r="AN1018">
        <v>1.0000000391357</v>
      </c>
    </row>
    <row r="1019" spans="1:40" x14ac:dyDescent="0.25">
      <c r="A1019" t="str">
        <f>"20190305134924909"</f>
        <v>20190305134924909</v>
      </c>
      <c r="B1019" t="str">
        <f>"1551764964902014"</f>
        <v>1551764964902014</v>
      </c>
      <c r="C1019" t="s">
        <v>40</v>
      </c>
      <c r="D1019">
        <v>3.746909</v>
      </c>
      <c r="E1019">
        <v>0.47018270000000001</v>
      </c>
      <c r="F1019" t="s">
        <v>47</v>
      </c>
      <c r="G1019">
        <v>0</v>
      </c>
      <c r="H1019">
        <v>0</v>
      </c>
      <c r="I1019">
        <v>0</v>
      </c>
      <c r="J1019">
        <v>-312.75740000000002</v>
      </c>
      <c r="K1019">
        <v>1.0687789999999999</v>
      </c>
      <c r="L1019">
        <v>367.87560000000002</v>
      </c>
      <c r="M1019">
        <v>0.99990579999999996</v>
      </c>
      <c r="N1019">
        <v>-1.325758E-2</v>
      </c>
      <c r="O1019">
        <v>3.582923E-3</v>
      </c>
      <c r="P1019">
        <v>0.9899772</v>
      </c>
      <c r="Q1019">
        <v>-0.1245883</v>
      </c>
      <c r="R1019">
        <v>6.6504519999999998E-2</v>
      </c>
      <c r="S1019">
        <v>3.0039060000000002</v>
      </c>
      <c r="T1019">
        <v>3.7472129999999999E-2</v>
      </c>
      <c r="U1019">
        <v>0.45220949999999999</v>
      </c>
      <c r="V1019">
        <v>-6.2962939999999995E-2</v>
      </c>
      <c r="W1019">
        <v>-0.1114458</v>
      </c>
      <c r="X1019">
        <v>0.99177389999999999</v>
      </c>
      <c r="Y1019">
        <v>-0.145320799999999</v>
      </c>
      <c r="Z1019">
        <v>1.5912620000000001E-4</v>
      </c>
      <c r="AA1019">
        <v>0.98938459999999995</v>
      </c>
      <c r="AB1019">
        <v>39</v>
      </c>
      <c r="AC1019">
        <v>3.0039060000000002</v>
      </c>
      <c r="AD1019">
        <v>3.7472129999999999E-2</v>
      </c>
      <c r="AE1019">
        <v>0.45220949999999999</v>
      </c>
      <c r="AF1019">
        <v>-0.44137572667986802</v>
      </c>
      <c r="AG1019">
        <v>3.7472129999999999E-2</v>
      </c>
      <c r="AH1019">
        <v>3.0050498292754502</v>
      </c>
      <c r="AI1019">
        <v>89.293157642320907</v>
      </c>
      <c r="AJ1019">
        <v>98.355745083023606</v>
      </c>
      <c r="AK1019">
        <v>3.0375222088171299</v>
      </c>
      <c r="AL1019">
        <v>96.398666418716601</v>
      </c>
      <c r="AM1019">
        <v>93.6325576653675</v>
      </c>
      <c r="AN1019">
        <v>0.99999998343614604</v>
      </c>
    </row>
    <row r="1020" spans="1:40" x14ac:dyDescent="0.25">
      <c r="A1020" t="str">
        <f>"20190305134924919"</f>
        <v>20190305134924919</v>
      </c>
      <c r="B1020" t="str">
        <f>"1551764964911774"</f>
        <v>1551764964911774</v>
      </c>
      <c r="C1020" t="s">
        <v>40</v>
      </c>
      <c r="D1020">
        <v>3.734051</v>
      </c>
      <c r="E1020">
        <v>0.47022740000000002</v>
      </c>
      <c r="F1020" t="s">
        <v>47</v>
      </c>
      <c r="G1020">
        <v>0</v>
      </c>
      <c r="H1020">
        <v>0</v>
      </c>
      <c r="I1020">
        <v>0</v>
      </c>
      <c r="J1020">
        <v>-312.57940000000002</v>
      </c>
      <c r="K1020">
        <v>1.068079</v>
      </c>
      <c r="L1020">
        <v>367.87619999999998</v>
      </c>
      <c r="M1020">
        <v>0.99990889999999999</v>
      </c>
      <c r="N1020">
        <v>-1.302145E-2</v>
      </c>
      <c r="O1020">
        <v>3.5813400000000001E-3</v>
      </c>
      <c r="P1020">
        <v>0.98963570000000001</v>
      </c>
      <c r="Q1020">
        <v>-0.12716050000000001</v>
      </c>
      <c r="R1020">
        <v>6.6719760000000003E-2</v>
      </c>
      <c r="S1020">
        <v>3.0040589999999998</v>
      </c>
      <c r="T1020">
        <v>3.2640929999999999E-2</v>
      </c>
      <c r="U1020">
        <v>0.45349119999999998</v>
      </c>
      <c r="V1020">
        <v>-6.3181459999999995E-2</v>
      </c>
      <c r="W1020">
        <v>-0.1142565</v>
      </c>
      <c r="X1020">
        <v>0.99144010000000005</v>
      </c>
      <c r="Y1020">
        <v>-0.14572860000000001</v>
      </c>
      <c r="Z1020">
        <v>2.5200979999999998E-4</v>
      </c>
      <c r="AA1020">
        <v>0.9893246</v>
      </c>
      <c r="AB1020">
        <v>39</v>
      </c>
      <c r="AC1020">
        <v>3.0040589999999998</v>
      </c>
      <c r="AD1020">
        <v>3.2640929999999999E-2</v>
      </c>
      <c r="AE1020">
        <v>0.45349119999999998</v>
      </c>
      <c r="AF1020">
        <v>-0.44267772471969002</v>
      </c>
      <c r="AG1020">
        <v>3.2640929999999999E-2</v>
      </c>
      <c r="AH1020">
        <v>3.0053170688409798</v>
      </c>
      <c r="AI1020">
        <v>89.384373737279105</v>
      </c>
      <c r="AJ1020">
        <v>98.379309285905705</v>
      </c>
      <c r="AK1020">
        <v>3.03792028903676</v>
      </c>
      <c r="AL1020">
        <v>96.560743251540501</v>
      </c>
      <c r="AM1020">
        <v>93.646354874785601</v>
      </c>
      <c r="AN1020">
        <v>0.99999995828399402</v>
      </c>
    </row>
    <row r="1021" spans="1:40" x14ac:dyDescent="0.25">
      <c r="A1021" t="str">
        <f>"20190305134924929"</f>
        <v>20190305134924929</v>
      </c>
      <c r="B1021" t="str">
        <f>"1551764964921533"</f>
        <v>1551764964921533</v>
      </c>
      <c r="C1021" t="s">
        <v>40</v>
      </c>
      <c r="D1021">
        <v>3.8364319999999998</v>
      </c>
      <c r="E1021">
        <v>0.47022740000000002</v>
      </c>
      <c r="F1021" t="s">
        <v>47</v>
      </c>
      <c r="G1021">
        <v>0</v>
      </c>
      <c r="H1021">
        <v>0</v>
      </c>
      <c r="I1021">
        <v>0</v>
      </c>
      <c r="J1021">
        <v>-312.41289999999998</v>
      </c>
      <c r="K1021">
        <v>1.067426</v>
      </c>
      <c r="L1021">
        <v>367.8768</v>
      </c>
      <c r="M1021">
        <v>0.99991180000000002</v>
      </c>
      <c r="N1021">
        <v>-1.2800550000000001E-2</v>
      </c>
      <c r="O1021">
        <v>3.5799289999999999E-3</v>
      </c>
      <c r="P1021">
        <v>0.98931210000000003</v>
      </c>
      <c r="Q1021">
        <v>-0.12968640000000001</v>
      </c>
      <c r="R1021">
        <v>6.6658839999999997E-2</v>
      </c>
      <c r="S1021">
        <v>3.0041199999999999</v>
      </c>
      <c r="T1021">
        <v>2.5936250000000001E-2</v>
      </c>
      <c r="U1021">
        <v>0.45394899999999999</v>
      </c>
      <c r="V1021">
        <v>-6.3123299999999993E-2</v>
      </c>
      <c r="W1021">
        <v>-0.1170055</v>
      </c>
      <c r="X1021">
        <v>0.99112319999999998</v>
      </c>
      <c r="Y1021">
        <v>-0.14587510000000001</v>
      </c>
      <c r="Z1021">
        <v>3.8909520000000001E-4</v>
      </c>
      <c r="AA1021">
        <v>0.98930289999999999</v>
      </c>
      <c r="AB1021">
        <v>39</v>
      </c>
      <c r="AC1021">
        <v>3.0041199999999999</v>
      </c>
      <c r="AD1021">
        <v>2.5936250000000001E-2</v>
      </c>
      <c r="AE1021">
        <v>0.45394899999999999</v>
      </c>
      <c r="AF1021">
        <v>-0.44315837974476702</v>
      </c>
      <c r="AG1021">
        <v>2.5936250000000001E-2</v>
      </c>
      <c r="AH1021">
        <v>3.0055069602956999</v>
      </c>
      <c r="AI1021">
        <v>89.510862358165198</v>
      </c>
      <c r="AJ1021">
        <v>98.387755633260696</v>
      </c>
      <c r="AK1021">
        <v>3.03811358033039</v>
      </c>
      <c r="AL1021">
        <v>96.719312654976207</v>
      </c>
      <c r="AM1021">
        <v>93.6441690342849</v>
      </c>
      <c r="AN1021">
        <v>1.00000001780568</v>
      </c>
    </row>
    <row r="1022" spans="1:40" x14ac:dyDescent="0.25">
      <c r="A1022" t="str">
        <f>"20190305134924940"</f>
        <v>20190305134924940</v>
      </c>
      <c r="B1022" t="str">
        <f>"1551764964931293"</f>
        <v>1551764964931293</v>
      </c>
      <c r="C1022" t="s">
        <v>40</v>
      </c>
      <c r="D1022">
        <v>3.8752110000000002</v>
      </c>
      <c r="E1022">
        <v>0.4628641</v>
      </c>
      <c r="F1022" t="s">
        <v>47</v>
      </c>
      <c r="G1022">
        <v>0</v>
      </c>
      <c r="H1022">
        <v>0</v>
      </c>
      <c r="I1022">
        <v>0</v>
      </c>
      <c r="J1022">
        <v>-312.2319</v>
      </c>
      <c r="K1022">
        <v>1.066794</v>
      </c>
      <c r="L1022">
        <v>367.8775</v>
      </c>
      <c r="M1022">
        <v>0.99991450000000004</v>
      </c>
      <c r="N1022">
        <v>-1.257574E-2</v>
      </c>
      <c r="O1022">
        <v>3.5793489999999999E-3</v>
      </c>
      <c r="P1022">
        <v>0.9891297</v>
      </c>
      <c r="Q1022">
        <v>-0.13123219999999999</v>
      </c>
      <c r="R1022">
        <v>6.6335930000000001E-2</v>
      </c>
      <c r="S1022">
        <v>3.0042420000000001</v>
      </c>
      <c r="T1022">
        <v>1.8386840000000002E-2</v>
      </c>
      <c r="U1022">
        <v>0.45333859999999898</v>
      </c>
      <c r="V1022">
        <v>-6.2801380000000004E-2</v>
      </c>
      <c r="W1022">
        <v>-0.11877649999999999</v>
      </c>
      <c r="X1022">
        <v>0.99093290000000001</v>
      </c>
      <c r="Y1022">
        <v>-0.1456732</v>
      </c>
      <c r="Z1022">
        <v>5.4443410000000003E-4</v>
      </c>
      <c r="AA1022">
        <v>0.98933260000000001</v>
      </c>
      <c r="AB1022">
        <v>39</v>
      </c>
      <c r="AC1022">
        <v>3.0042420000000001</v>
      </c>
      <c r="AD1022">
        <v>1.8386840000000002E-2</v>
      </c>
      <c r="AE1022">
        <v>0.45333859999999898</v>
      </c>
      <c r="AF1022">
        <v>-0.44256540579799802</v>
      </c>
      <c r="AG1022">
        <v>1.8386840000000002E-2</v>
      </c>
      <c r="AH1022">
        <v>3.0057354553882001</v>
      </c>
      <c r="AI1022">
        <v>89.653250144215406</v>
      </c>
      <c r="AJ1022">
        <v>98.3760638788508</v>
      </c>
      <c r="AK1022">
        <v>3.0381981242295599</v>
      </c>
      <c r="AL1022">
        <v>96.821496588859503</v>
      </c>
      <c r="AM1022">
        <v>93.626328394491495</v>
      </c>
      <c r="AN1022">
        <v>0.99999994129227998</v>
      </c>
    </row>
    <row r="1023" spans="1:40" x14ac:dyDescent="0.25">
      <c r="A1023" t="str">
        <f>"20190305134924950"</f>
        <v>20190305134924950</v>
      </c>
      <c r="B1023" t="str">
        <f>"1551764964942031"</f>
        <v>1551764964942031</v>
      </c>
      <c r="C1023" t="s">
        <v>40</v>
      </c>
      <c r="D1023">
        <v>3.8837329999999999</v>
      </c>
      <c r="E1023">
        <v>0.4627675</v>
      </c>
      <c r="F1023" t="s">
        <v>42</v>
      </c>
      <c r="G1023">
        <v>-235.0498</v>
      </c>
      <c r="H1023">
        <v>7.9985459999999994E-2</v>
      </c>
      <c r="I1023">
        <v>380.99220000000003</v>
      </c>
      <c r="J1023">
        <v>-312.0412</v>
      </c>
      <c r="K1023">
        <v>1.0661400000000001</v>
      </c>
      <c r="L1023">
        <v>367.87819999999999</v>
      </c>
      <c r="M1023">
        <v>0.99991739999999996</v>
      </c>
      <c r="N1023">
        <v>-1.234088E-2</v>
      </c>
      <c r="O1023">
        <v>3.5786279999999999E-3</v>
      </c>
      <c r="P1023">
        <v>0.98906119999999997</v>
      </c>
      <c r="Q1023">
        <v>-0.13217390000000001</v>
      </c>
      <c r="R1023">
        <v>6.5483929999999996E-2</v>
      </c>
      <c r="S1023">
        <v>2.993744</v>
      </c>
      <c r="T1023">
        <v>-3.8276310000000001E-2</v>
      </c>
      <c r="U1023">
        <v>0.50869750000000002</v>
      </c>
      <c r="V1023">
        <v>-6.1950060000000001E-2</v>
      </c>
      <c r="W1023">
        <v>-0.1199518</v>
      </c>
      <c r="X1023">
        <v>0.99084499999999998</v>
      </c>
      <c r="Y1023">
        <v>-0.16396359999999999</v>
      </c>
      <c r="Z1023">
        <v>2.0581499999999999E-3</v>
      </c>
      <c r="AA1023">
        <v>0.98646429999999996</v>
      </c>
      <c r="AB1023">
        <v>39</v>
      </c>
      <c r="AC1023">
        <v>76.991399999999999</v>
      </c>
      <c r="AD1023">
        <v>-0.98615454000000002</v>
      </c>
      <c r="AE1023">
        <v>13.114000000000001</v>
      </c>
      <c r="AF1023">
        <v>-12.836324873909</v>
      </c>
      <c r="AG1023">
        <v>-0.98615454000000002</v>
      </c>
      <c r="AH1023">
        <v>77.025560025178194</v>
      </c>
      <c r="AI1023">
        <v>90.723537771508106</v>
      </c>
      <c r="AJ1023">
        <v>99.461404155096702</v>
      </c>
      <c r="AK1023">
        <v>78.094049928516498</v>
      </c>
      <c r="AL1023">
        <v>96.889320627915794</v>
      </c>
      <c r="AM1023">
        <v>93.577615832949604</v>
      </c>
      <c r="AN1023">
        <v>1.00000002914112</v>
      </c>
    </row>
    <row r="1024" spans="1:40" x14ac:dyDescent="0.25">
      <c r="A1024" t="str">
        <f>"20190305134924961"</f>
        <v>20190305134924961</v>
      </c>
      <c r="B1024" t="str">
        <f>"1551764964951791"</f>
        <v>1551764964951791</v>
      </c>
      <c r="C1024" t="s">
        <v>40</v>
      </c>
      <c r="D1024">
        <v>3.8838300000000001</v>
      </c>
      <c r="E1024">
        <v>0.46274290000000001</v>
      </c>
      <c r="F1024" t="s">
        <v>42</v>
      </c>
      <c r="G1024">
        <v>-239.4143</v>
      </c>
      <c r="H1024">
        <v>7.9986710000000003E-2</v>
      </c>
      <c r="I1024">
        <v>380.16460000000001</v>
      </c>
      <c r="J1024">
        <v>-311.84089999999998</v>
      </c>
      <c r="K1024">
        <v>1.065523</v>
      </c>
      <c r="L1024">
        <v>367.87889999999999</v>
      </c>
      <c r="M1024">
        <v>0.99992040000000004</v>
      </c>
      <c r="N1024">
        <v>-1.211244E-2</v>
      </c>
      <c r="O1024">
        <v>3.5783740000000001E-3</v>
      </c>
      <c r="P1024">
        <v>0.98894610000000005</v>
      </c>
      <c r="Q1024">
        <v>-0.13337679999999999</v>
      </c>
      <c r="R1024">
        <v>6.4782149999999997E-2</v>
      </c>
      <c r="S1024">
        <v>2.9941710000000001</v>
      </c>
      <c r="T1024">
        <v>-4.065585E-2</v>
      </c>
      <c r="U1024">
        <v>0.50653079999999995</v>
      </c>
      <c r="V1024">
        <v>-6.1249030000000003E-2</v>
      </c>
      <c r="W1024">
        <v>-0.1213825</v>
      </c>
      <c r="X1024">
        <v>0.99071430000000005</v>
      </c>
      <c r="Y1024">
        <v>-0.16324459999999999</v>
      </c>
      <c r="Z1024">
        <v>2.0909710000000001E-3</v>
      </c>
      <c r="AA1024">
        <v>0.9865834</v>
      </c>
      <c r="AB1024">
        <v>39</v>
      </c>
      <c r="AC1024">
        <v>72.426599999999894</v>
      </c>
      <c r="AD1024">
        <v>-0.98553628999999998</v>
      </c>
      <c r="AE1024">
        <v>12.2857</v>
      </c>
      <c r="AF1024">
        <v>-12.0242687448846</v>
      </c>
      <c r="AG1024">
        <v>-0.98553628999999998</v>
      </c>
      <c r="AH1024">
        <v>72.457061311901995</v>
      </c>
      <c r="AI1024">
        <v>90.768757230636496</v>
      </c>
      <c r="AJ1024">
        <v>99.4223803236912</v>
      </c>
      <c r="AK1024">
        <v>73.454612207708493</v>
      </c>
      <c r="AL1024">
        <v>96.971897365931795</v>
      </c>
      <c r="AM1024">
        <v>93.537700191968597</v>
      </c>
      <c r="AN1024">
        <v>0.99999998960334002</v>
      </c>
    </row>
    <row r="1025" spans="1:40" x14ac:dyDescent="0.25">
      <c r="A1025" t="str">
        <f>"20190305134924973"</f>
        <v>20190305134924973</v>
      </c>
      <c r="B1025" t="str">
        <f>"1551764964961550"</f>
        <v>1551764964961550</v>
      </c>
      <c r="C1025" t="s">
        <v>40</v>
      </c>
      <c r="D1025">
        <v>3.834794</v>
      </c>
      <c r="E1025">
        <v>0.46315119999999999</v>
      </c>
      <c r="F1025" t="s">
        <v>42</v>
      </c>
      <c r="G1025">
        <v>-240.1301</v>
      </c>
      <c r="H1025">
        <v>7.9984990000000006E-2</v>
      </c>
      <c r="I1025">
        <v>379.97230000000002</v>
      </c>
      <c r="J1025">
        <v>-311.64940000000001</v>
      </c>
      <c r="K1025">
        <v>1.0649569999999999</v>
      </c>
      <c r="L1025">
        <v>367.87950000000001</v>
      </c>
      <c r="M1025">
        <v>0.9999228</v>
      </c>
      <c r="N1025">
        <v>-1.190036E-2</v>
      </c>
      <c r="O1025">
        <v>3.5782919999999998E-3</v>
      </c>
      <c r="P1025">
        <v>0.98867799999999995</v>
      </c>
      <c r="Q1025">
        <v>-0.1360016</v>
      </c>
      <c r="R1025">
        <v>6.3400479999999995E-2</v>
      </c>
      <c r="S1025">
        <v>2.994904</v>
      </c>
      <c r="T1025">
        <v>-4.1159630000000003E-2</v>
      </c>
      <c r="U1025">
        <v>0.50506589999999996</v>
      </c>
      <c r="V1025">
        <v>-5.9868669999999999E-2</v>
      </c>
      <c r="W1025">
        <v>-0.1242207</v>
      </c>
      <c r="X1025">
        <v>0.99044690000000002</v>
      </c>
      <c r="Y1025">
        <v>-0.16273570000000001</v>
      </c>
      <c r="Z1025">
        <v>2.0790409999999998E-3</v>
      </c>
      <c r="AA1025">
        <v>0.98666750000000003</v>
      </c>
      <c r="AB1025">
        <v>39</v>
      </c>
      <c r="AC1025">
        <v>71.519300000000001</v>
      </c>
      <c r="AD1025">
        <v>-0.98497201000000001</v>
      </c>
      <c r="AE1025">
        <v>12.0928</v>
      </c>
      <c r="AF1025">
        <v>-11.834605218660499</v>
      </c>
      <c r="AG1025">
        <v>-0.98497201000000001</v>
      </c>
      <c r="AH1025">
        <v>71.548923126007693</v>
      </c>
      <c r="AI1025">
        <v>90.778136142888101</v>
      </c>
      <c r="AJ1025">
        <v>99.392016739449701</v>
      </c>
      <c r="AK1025">
        <v>72.527763311944099</v>
      </c>
      <c r="AL1025">
        <v>97.135754063061199</v>
      </c>
      <c r="AM1025">
        <v>93.459098660747301</v>
      </c>
      <c r="AN1025">
        <v>1.0000000508378299</v>
      </c>
    </row>
    <row r="1026" spans="1:40" x14ac:dyDescent="0.25">
      <c r="A1026" t="str">
        <f>"20190305134924983"</f>
        <v>20190305134924983</v>
      </c>
      <c r="B1026" t="str">
        <f>"1551764964982046"</f>
        <v>1551764964982046</v>
      </c>
      <c r="C1026" t="s">
        <v>40</v>
      </c>
      <c r="D1026">
        <v>3.8755989999999998</v>
      </c>
      <c r="E1026">
        <v>0.46341729999999998</v>
      </c>
      <c r="F1026" t="s">
        <v>42</v>
      </c>
      <c r="G1026">
        <v>-246.98169999999999</v>
      </c>
      <c r="H1026" s="1">
        <v>-3.624701E-6</v>
      </c>
      <c r="I1026">
        <v>378.60509999999999</v>
      </c>
      <c r="J1026">
        <v>-311.4522</v>
      </c>
      <c r="K1026">
        <v>1.064422</v>
      </c>
      <c r="L1026">
        <v>367.8802</v>
      </c>
      <c r="M1026">
        <v>0.99992519999999996</v>
      </c>
      <c r="N1026">
        <v>-1.1695789999999999E-2</v>
      </c>
      <c r="O1026">
        <v>3.5785000000000001E-3</v>
      </c>
      <c r="P1026">
        <v>0.98821409999999998</v>
      </c>
      <c r="Q1026">
        <v>-0.13996900000000001</v>
      </c>
      <c r="R1026">
        <v>6.198178E-2</v>
      </c>
      <c r="S1026">
        <v>2.9956969999999998</v>
      </c>
      <c r="T1026">
        <v>-4.9333689999999999E-2</v>
      </c>
      <c r="U1026">
        <v>0.49685669999999998</v>
      </c>
      <c r="V1026">
        <v>-5.8451599999999999E-2</v>
      </c>
      <c r="W1026">
        <v>-0.12839600000000001</v>
      </c>
      <c r="X1026">
        <v>0.98999890000000001</v>
      </c>
      <c r="Y1026">
        <v>-0.16005359999999999</v>
      </c>
      <c r="Z1026">
        <v>2.2343829999999999E-3</v>
      </c>
      <c r="AA1026">
        <v>0.98710580000000003</v>
      </c>
      <c r="AB1026">
        <v>39</v>
      </c>
      <c r="AC1026">
        <v>64.470500000000001</v>
      </c>
      <c r="AD1026">
        <v>-1.064425624701</v>
      </c>
      <c r="AE1026">
        <v>10.7248999999999</v>
      </c>
      <c r="AF1026">
        <v>-10.491325044494801</v>
      </c>
      <c r="AG1026">
        <v>-1.064425624701</v>
      </c>
      <c r="AH1026">
        <v>64.491362572929802</v>
      </c>
      <c r="AI1026">
        <v>90.933310384098405</v>
      </c>
      <c r="AJ1026">
        <v>99.239821509069699</v>
      </c>
      <c r="AK1026">
        <v>65.347813655950702</v>
      </c>
      <c r="AL1026">
        <v>97.376913320494893</v>
      </c>
      <c r="AM1026">
        <v>93.378939681684301</v>
      </c>
      <c r="AN1026">
        <v>0.99999997217988401</v>
      </c>
    </row>
    <row r="1027" spans="1:40" x14ac:dyDescent="0.25">
      <c r="A1027" t="str">
        <f>"20190305134924995"</f>
        <v>20190305134924995</v>
      </c>
      <c r="B1027" t="str">
        <f>"1551764964991806"</f>
        <v>1551764964991806</v>
      </c>
      <c r="C1027" t="s">
        <v>40</v>
      </c>
      <c r="D1027">
        <v>3.8713039999999999</v>
      </c>
      <c r="E1027">
        <v>0.46351490000000001</v>
      </c>
      <c r="F1027" t="s">
        <v>42</v>
      </c>
      <c r="G1027">
        <v>-255.77940000000001</v>
      </c>
      <c r="H1027" s="1">
        <v>-3.6180489999999998E-6</v>
      </c>
      <c r="I1027">
        <v>376.99450000000002</v>
      </c>
      <c r="J1027">
        <v>-311.2525</v>
      </c>
      <c r="K1027">
        <v>1.0639149999999999</v>
      </c>
      <c r="L1027">
        <v>367.88099999999997</v>
      </c>
      <c r="M1027">
        <v>0.99992749999999997</v>
      </c>
      <c r="N1027">
        <v>-1.149904E-2</v>
      </c>
      <c r="O1027">
        <v>3.5788199999999999E-3</v>
      </c>
      <c r="P1027">
        <v>0.98768979999999995</v>
      </c>
      <c r="Q1027">
        <v>-0.1443227</v>
      </c>
      <c r="R1027">
        <v>6.0332980000000001E-2</v>
      </c>
      <c r="S1027">
        <v>2.996918</v>
      </c>
      <c r="T1027">
        <v>-5.72989E-2</v>
      </c>
      <c r="U1027">
        <v>0.49063109999999999</v>
      </c>
      <c r="V1027">
        <v>-5.6804050000000002E-2</v>
      </c>
      <c r="W1027">
        <v>-0.1329505</v>
      </c>
      <c r="X1027">
        <v>0.98949350000000003</v>
      </c>
      <c r="Y1027">
        <v>-0.15798280000000001</v>
      </c>
      <c r="Z1027">
        <v>2.3875530000000002E-3</v>
      </c>
      <c r="AA1027">
        <v>0.98743899999999996</v>
      </c>
      <c r="AB1027">
        <v>39</v>
      </c>
      <c r="AC1027">
        <v>55.473099999999903</v>
      </c>
      <c r="AD1027">
        <v>-1.0639186180489999</v>
      </c>
      <c r="AE1027">
        <v>9.1135000000000392</v>
      </c>
      <c r="AF1027">
        <v>-8.9117083864776294</v>
      </c>
      <c r="AG1027">
        <v>-1.0639186180489999</v>
      </c>
      <c r="AH1027">
        <v>55.485489359963402</v>
      </c>
      <c r="AI1027">
        <v>91.084598766202006</v>
      </c>
      <c r="AJ1027">
        <v>99.124536867246604</v>
      </c>
      <c r="AK1027">
        <v>56.206672190284102</v>
      </c>
      <c r="AL1027">
        <v>97.640124186210997</v>
      </c>
      <c r="AM1027">
        <v>93.285584058791599</v>
      </c>
      <c r="AN1027">
        <v>0.99999996104444999</v>
      </c>
    </row>
    <row r="1028" spans="1:40" x14ac:dyDescent="0.25">
      <c r="A1028" t="str">
        <f>"20190305134925007"</f>
        <v>20190305134925007</v>
      </c>
      <c r="B1028" t="str">
        <f>"1551764965001566"</f>
        <v>1551764965001566</v>
      </c>
      <c r="C1028" t="s">
        <v>40</v>
      </c>
      <c r="D1028">
        <v>3.8801510000000001</v>
      </c>
      <c r="E1028">
        <v>0.4634761</v>
      </c>
      <c r="F1028" t="s">
        <v>42</v>
      </c>
      <c r="G1028">
        <v>-264.50020000000001</v>
      </c>
      <c r="H1028" s="1">
        <v>-3.7783770000000001E-6</v>
      </c>
      <c r="I1028">
        <v>375.44409999999999</v>
      </c>
      <c r="J1028">
        <v>-311.0487</v>
      </c>
      <c r="K1028">
        <v>1.063428</v>
      </c>
      <c r="L1028">
        <v>367.88170000000002</v>
      </c>
      <c r="M1028">
        <v>0.99992970000000003</v>
      </c>
      <c r="N1028">
        <v>-1.1307569999999999E-2</v>
      </c>
      <c r="O1028">
        <v>3.5792689999999999E-3</v>
      </c>
      <c r="P1028">
        <v>0.98729420000000001</v>
      </c>
      <c r="Q1028">
        <v>-0.14753579999999999</v>
      </c>
      <c r="R1028">
        <v>5.9021749999999998E-2</v>
      </c>
      <c r="S1028">
        <v>2.9977719999999999</v>
      </c>
      <c r="T1028">
        <v>-6.8218710000000002E-2</v>
      </c>
      <c r="U1028">
        <v>0.48495480000000002</v>
      </c>
      <c r="V1028">
        <v>-5.5494229999999999E-2</v>
      </c>
      <c r="W1028">
        <v>-0.13635739999999999</v>
      </c>
      <c r="X1028">
        <v>0.98910419999999999</v>
      </c>
      <c r="Y1028">
        <v>-0.15610189999999999</v>
      </c>
      <c r="Z1028">
        <v>2.612236E-3</v>
      </c>
      <c r="AA1028">
        <v>0.98773750000000005</v>
      </c>
      <c r="AB1028">
        <v>39</v>
      </c>
      <c r="AC1028">
        <v>46.548499999999898</v>
      </c>
      <c r="AD1028">
        <v>-1.063431778377</v>
      </c>
      <c r="AE1028">
        <v>7.5623999999999603</v>
      </c>
      <c r="AF1028">
        <v>-7.3919724611445696</v>
      </c>
      <c r="AG1028">
        <v>-1.063431778377</v>
      </c>
      <c r="AH1028">
        <v>46.551599745438402</v>
      </c>
      <c r="AI1028">
        <v>91.292458481688797</v>
      </c>
      <c r="AJ1028">
        <v>99.022719538225402</v>
      </c>
      <c r="AK1028">
        <v>47.146830040556097</v>
      </c>
      <c r="AL1028">
        <v>97.837118806370299</v>
      </c>
      <c r="AM1028">
        <v>93.211244261817001</v>
      </c>
      <c r="AN1028">
        <v>1.0000000342778399</v>
      </c>
    </row>
    <row r="1029" spans="1:40" x14ac:dyDescent="0.25">
      <c r="A1029" t="str">
        <f>"20190305134925019"</f>
        <v>20190305134925019</v>
      </c>
      <c r="B1029" t="str">
        <f>"1551764965011326"</f>
        <v>1551764965011326</v>
      </c>
      <c r="C1029" t="s">
        <v>40</v>
      </c>
      <c r="D1029">
        <v>3.9152239999999998</v>
      </c>
      <c r="E1029">
        <v>0.4635608</v>
      </c>
      <c r="F1029" t="s">
        <v>42</v>
      </c>
      <c r="G1029">
        <v>-270.03809999999999</v>
      </c>
      <c r="H1029" s="1">
        <v>-5.1234529999999999E-6</v>
      </c>
      <c r="I1029">
        <v>374.4667</v>
      </c>
      <c r="J1029">
        <v>-310.8503</v>
      </c>
      <c r="K1029">
        <v>1.0630170000000001</v>
      </c>
      <c r="L1029">
        <v>367.88229999999999</v>
      </c>
      <c r="M1029">
        <v>0.99993169999999998</v>
      </c>
      <c r="N1029">
        <v>-1.11354E-2</v>
      </c>
      <c r="O1029">
        <v>3.5797099999999998E-3</v>
      </c>
      <c r="P1029">
        <v>0.98694320000000002</v>
      </c>
      <c r="Q1029">
        <v>-0.15038650000000001</v>
      </c>
      <c r="R1029">
        <v>5.7683060000000001E-2</v>
      </c>
      <c r="S1029">
        <v>2.9981689999999999</v>
      </c>
      <c r="T1029">
        <v>-7.7744359999999998E-2</v>
      </c>
      <c r="U1029">
        <v>0.48141479999999998</v>
      </c>
      <c r="V1029">
        <v>-5.4156219999999998E-2</v>
      </c>
      <c r="W1029">
        <v>-0.13938239999999999</v>
      </c>
      <c r="X1029">
        <v>0.98875659999999999</v>
      </c>
      <c r="Y1029">
        <v>-0.1549305</v>
      </c>
      <c r="Z1029">
        <v>2.8113330000000001E-3</v>
      </c>
      <c r="AA1029">
        <v>0.98792139999999995</v>
      </c>
      <c r="AB1029">
        <v>39</v>
      </c>
      <c r="AC1029">
        <v>40.812199999999997</v>
      </c>
      <c r="AD1029">
        <v>-1.063022123453</v>
      </c>
      <c r="AE1029">
        <v>6.5844000000000102</v>
      </c>
      <c r="AF1029">
        <v>-6.4339986442585397</v>
      </c>
      <c r="AG1029">
        <v>-1.063022123453</v>
      </c>
      <c r="AH1029">
        <v>40.808526819332499</v>
      </c>
      <c r="AI1029">
        <v>91.473962464710496</v>
      </c>
      <c r="AJ1029">
        <v>98.959676892791293</v>
      </c>
      <c r="AK1029">
        <v>41.326289644165399</v>
      </c>
      <c r="AL1029">
        <v>98.012110129995094</v>
      </c>
      <c r="AM1029">
        <v>93.135074410393798</v>
      </c>
      <c r="AN1029">
        <v>0.99999998181900396</v>
      </c>
    </row>
    <row r="1030" spans="1:40" x14ac:dyDescent="0.25">
      <c r="A1030" t="str">
        <f>"20190305134925028"</f>
        <v>20190305134925028</v>
      </c>
      <c r="B1030" t="str">
        <f>"1551764965022062"</f>
        <v>1551764965022062</v>
      </c>
      <c r="C1030" t="s">
        <v>40</v>
      </c>
      <c r="D1030">
        <v>3.873847</v>
      </c>
      <c r="E1030">
        <v>0.463694</v>
      </c>
      <c r="F1030" t="s">
        <v>42</v>
      </c>
      <c r="G1030">
        <v>-272.9896</v>
      </c>
      <c r="H1030" s="1">
        <v>-4.019064E-6</v>
      </c>
      <c r="I1030">
        <v>373.90300000000002</v>
      </c>
      <c r="J1030">
        <v>-310.65690000000001</v>
      </c>
      <c r="K1030">
        <v>1.062632</v>
      </c>
      <c r="L1030">
        <v>367.88299999999998</v>
      </c>
      <c r="M1030">
        <v>0.99993350000000003</v>
      </c>
      <c r="N1030">
        <v>-1.0971180000000001E-2</v>
      </c>
      <c r="O1030">
        <v>3.5801520000000001E-3</v>
      </c>
      <c r="P1030">
        <v>0.98676379999999997</v>
      </c>
      <c r="Q1030">
        <v>-0.1520166</v>
      </c>
      <c r="R1030">
        <v>5.6468009999999999E-2</v>
      </c>
      <c r="S1030">
        <v>2.9989319999999999</v>
      </c>
      <c r="T1030">
        <v>-8.4201219999999993E-2</v>
      </c>
      <c r="U1030">
        <v>0.47689819999999999</v>
      </c>
      <c r="V1030">
        <v>-5.2941259999999997E-2</v>
      </c>
      <c r="W1030">
        <v>-0.14117679999999999</v>
      </c>
      <c r="X1030">
        <v>0.9885678</v>
      </c>
      <c r="Y1030">
        <v>-0.15343039999999999</v>
      </c>
      <c r="Z1030">
        <v>2.9264059999999999E-3</v>
      </c>
      <c r="AA1030">
        <v>0.98815509999999995</v>
      </c>
      <c r="AB1030">
        <v>39</v>
      </c>
      <c r="AC1030">
        <v>37.667299999999997</v>
      </c>
      <c r="AD1030">
        <v>-1.0626360190639901</v>
      </c>
      <c r="AE1030">
        <v>6.01999999999998</v>
      </c>
      <c r="AF1030">
        <v>-5.8805350965425696</v>
      </c>
      <c r="AG1030">
        <v>-1.0626360190639901</v>
      </c>
      <c r="AH1030">
        <v>37.659387034958897</v>
      </c>
      <c r="AI1030">
        <v>91.596946091068205</v>
      </c>
      <c r="AJ1030">
        <v>98.875098429751304</v>
      </c>
      <c r="AK1030">
        <v>38.130556253213904</v>
      </c>
      <c r="AL1030">
        <v>98.115948464711195</v>
      </c>
      <c r="AM1030">
        <v>93.065460880176502</v>
      </c>
      <c r="AN1030">
        <v>0.99999998053273298</v>
      </c>
    </row>
    <row r="1031" spans="1:40" x14ac:dyDescent="0.25">
      <c r="A1031" t="str">
        <f>"20190305134925040"</f>
        <v>20190305134925040</v>
      </c>
      <c r="B1031" t="str">
        <f>"1551764965031823"</f>
        <v>1551764965031823</v>
      </c>
      <c r="C1031" t="s">
        <v>40</v>
      </c>
      <c r="D1031">
        <v>3.9366500000000002</v>
      </c>
      <c r="E1031">
        <v>0.4635282</v>
      </c>
      <c r="F1031" t="s">
        <v>42</v>
      </c>
      <c r="G1031">
        <v>-274.31150000000002</v>
      </c>
      <c r="H1031" s="1">
        <v>-3.4836669999999999E-6</v>
      </c>
      <c r="I1031">
        <v>373.60379999999998</v>
      </c>
      <c r="J1031">
        <v>-310.46749999999997</v>
      </c>
      <c r="K1031">
        <v>1.062308</v>
      </c>
      <c r="L1031">
        <v>367.88369999999998</v>
      </c>
      <c r="M1031">
        <v>0.99993500000000002</v>
      </c>
      <c r="N1031">
        <v>-1.0826229999999999E-2</v>
      </c>
      <c r="O1031">
        <v>3.5805939999999999E-3</v>
      </c>
      <c r="P1031">
        <v>0.98680630000000003</v>
      </c>
      <c r="Q1031">
        <v>-0.1523273</v>
      </c>
      <c r="R1031">
        <v>5.486423E-2</v>
      </c>
      <c r="S1031">
        <v>2.9997560000000001</v>
      </c>
      <c r="T1031">
        <v>-8.770406E-2</v>
      </c>
      <c r="U1031">
        <v>0.47216799999999998</v>
      </c>
      <c r="V1031">
        <v>-5.1337010000000002E-2</v>
      </c>
      <c r="W1031">
        <v>-0.14163049999999999</v>
      </c>
      <c r="X1031">
        <v>0.98858760000000001</v>
      </c>
      <c r="Y1031">
        <v>-0.1518629</v>
      </c>
      <c r="Z1031">
        <v>2.967819E-3</v>
      </c>
      <c r="AA1031">
        <v>0.98839710000000003</v>
      </c>
      <c r="AB1031">
        <v>39</v>
      </c>
      <c r="AC1031">
        <v>36.155999999999899</v>
      </c>
      <c r="AD1031">
        <v>-1.062311483667</v>
      </c>
      <c r="AE1031">
        <v>5.7201000000000004</v>
      </c>
      <c r="AF1031">
        <v>-5.5858914397326203</v>
      </c>
      <c r="AG1031">
        <v>-1.062311483667</v>
      </c>
      <c r="AH1031">
        <v>36.145809348877997</v>
      </c>
      <c r="AI1031">
        <v>91.663679022338002</v>
      </c>
      <c r="AJ1031">
        <v>98.784866634148599</v>
      </c>
      <c r="AK1031">
        <v>36.590302299246602</v>
      </c>
      <c r="AL1031">
        <v>98.142206717496293</v>
      </c>
      <c r="AM1031">
        <v>92.972679677140903</v>
      </c>
      <c r="AN1031">
        <v>1.0000000649998699</v>
      </c>
    </row>
    <row r="1032" spans="1:40" x14ac:dyDescent="0.25">
      <c r="A1032" t="str">
        <f>"20190305134925052"</f>
        <v>20190305134925052</v>
      </c>
      <c r="B1032" t="str">
        <f>"1551764965041481"</f>
        <v>1551764965041481</v>
      </c>
      <c r="C1032" t="s">
        <v>40</v>
      </c>
      <c r="D1032">
        <v>3.9124129999999999</v>
      </c>
      <c r="E1032">
        <v>0.46350459999999899</v>
      </c>
      <c r="F1032" t="s">
        <v>42</v>
      </c>
      <c r="G1032">
        <v>-273.9008</v>
      </c>
      <c r="H1032" s="1">
        <v>-3.6543299999999999E-6</v>
      </c>
      <c r="I1032">
        <v>373.59500000000003</v>
      </c>
      <c r="J1032">
        <v>-310.2595</v>
      </c>
      <c r="K1032">
        <v>1.0619689999999999</v>
      </c>
      <c r="L1032">
        <v>367.88440000000003</v>
      </c>
      <c r="M1032">
        <v>0.99993659999999995</v>
      </c>
      <c r="N1032">
        <v>-1.0670509999999999E-2</v>
      </c>
      <c r="O1032">
        <v>3.5811430000000002E-3</v>
      </c>
      <c r="P1032">
        <v>0.98697089999999998</v>
      </c>
      <c r="Q1032">
        <v>-0.15168719999999999</v>
      </c>
      <c r="R1032">
        <v>5.3661E-2</v>
      </c>
      <c r="S1032">
        <v>3.0005799999999998</v>
      </c>
      <c r="T1032">
        <v>-8.7170600000000001E-2</v>
      </c>
      <c r="U1032">
        <v>0.46865839999999998</v>
      </c>
      <c r="V1032">
        <v>-5.0132780000000002E-2</v>
      </c>
      <c r="W1032">
        <v>-0.14114279999999901</v>
      </c>
      <c r="X1032">
        <v>0.98871900000000001</v>
      </c>
      <c r="Y1032">
        <v>-0.1506942</v>
      </c>
      <c r="Z1032">
        <v>2.9189749999999999E-3</v>
      </c>
      <c r="AA1032">
        <v>0.98857609999999996</v>
      </c>
      <c r="AB1032">
        <v>39</v>
      </c>
      <c r="AC1032">
        <v>36.358699999999999</v>
      </c>
      <c r="AD1032">
        <v>-1.0619726543300001</v>
      </c>
      <c r="AE1032">
        <v>5.7106000000000003</v>
      </c>
      <c r="AF1032">
        <v>-5.5757080246630704</v>
      </c>
      <c r="AG1032">
        <v>-1.0619726543300001</v>
      </c>
      <c r="AH1032">
        <v>36.348655271304601</v>
      </c>
      <c r="AI1032">
        <v>91.654156620250802</v>
      </c>
      <c r="AJ1032">
        <v>98.720918326494697</v>
      </c>
      <c r="AK1032">
        <v>36.789143044204998</v>
      </c>
      <c r="AL1032">
        <v>98.113981172223006</v>
      </c>
      <c r="AM1032">
        <v>92.9026840585895</v>
      </c>
      <c r="AN1032">
        <v>0.99999992329168097</v>
      </c>
    </row>
    <row r="1033" spans="1:40" x14ac:dyDescent="0.25">
      <c r="A1033" t="str">
        <f>"20190305134925063"</f>
        <v>20190305134925063</v>
      </c>
      <c r="B1033" t="str">
        <f>"1551764965052217"</f>
        <v>1551764965052217</v>
      </c>
      <c r="C1033" t="s">
        <v>40</v>
      </c>
      <c r="D1033">
        <v>3.9357859999999998</v>
      </c>
      <c r="E1033">
        <v>0.46350459999999899</v>
      </c>
      <c r="F1033" t="s">
        <v>42</v>
      </c>
      <c r="G1033">
        <v>-272.82530000000003</v>
      </c>
      <c r="H1033" s="1">
        <v>-4.036163E-6</v>
      </c>
      <c r="I1033">
        <v>373.68430000000001</v>
      </c>
      <c r="J1033">
        <v>-310.04910000000001</v>
      </c>
      <c r="K1033">
        <v>1.061666</v>
      </c>
      <c r="L1033">
        <v>367.8852</v>
      </c>
      <c r="M1033">
        <v>0.9999382</v>
      </c>
      <c r="N1033">
        <v>-1.0526260000000001E-2</v>
      </c>
      <c r="O1033">
        <v>3.5812019999999999E-3</v>
      </c>
      <c r="P1033">
        <v>0.98709959999999997</v>
      </c>
      <c r="Q1033">
        <v>-0.1512377</v>
      </c>
      <c r="R1033">
        <v>5.255398E-2</v>
      </c>
      <c r="S1033">
        <v>3.0012210000000001</v>
      </c>
      <c r="T1033">
        <v>-8.5141659999999994E-2</v>
      </c>
      <c r="U1033">
        <v>0.46499629999999997</v>
      </c>
      <c r="V1033">
        <v>-4.9024640000000001E-2</v>
      </c>
      <c r="W1033">
        <v>-0.14083470000000001</v>
      </c>
      <c r="X1033">
        <v>0.98881859999999999</v>
      </c>
      <c r="Y1033">
        <v>-0.14948839999999999</v>
      </c>
      <c r="Z1033">
        <v>2.8356119999999999E-3</v>
      </c>
      <c r="AA1033">
        <v>0.98875939999999995</v>
      </c>
      <c r="AB1033">
        <v>40</v>
      </c>
      <c r="AC1033">
        <v>37.223799999999898</v>
      </c>
      <c r="AD1033">
        <v>-1.061670036163</v>
      </c>
      <c r="AE1033">
        <v>5.7991000000000099</v>
      </c>
      <c r="AF1033">
        <v>-5.66125338178849</v>
      </c>
      <c r="AG1033">
        <v>-1.061670036163</v>
      </c>
      <c r="AH1033">
        <v>37.214774666978997</v>
      </c>
      <c r="AI1033">
        <v>91.615525444599996</v>
      </c>
      <c r="AJ1033">
        <v>98.649736156154006</v>
      </c>
      <c r="AK1033">
        <v>37.657886114763798</v>
      </c>
      <c r="AL1033">
        <v>98.096149395230597</v>
      </c>
      <c r="AM1033">
        <v>92.838343504589105</v>
      </c>
      <c r="AN1033">
        <v>1.0000000258785799</v>
      </c>
    </row>
    <row r="1034" spans="1:40" x14ac:dyDescent="0.25">
      <c r="A1034" t="str">
        <f>"20190305134925077"</f>
        <v>20190305134925077</v>
      </c>
      <c r="B1034" t="str">
        <f>"1551764965071736"</f>
        <v>1551764965071736</v>
      </c>
      <c r="C1034" t="s">
        <v>40</v>
      </c>
      <c r="D1034">
        <v>3.8873850000000001</v>
      </c>
      <c r="E1034">
        <v>0.465308</v>
      </c>
      <c r="F1034" t="s">
        <v>42</v>
      </c>
      <c r="G1034">
        <v>-271.8537</v>
      </c>
      <c r="H1034" s="1">
        <v>-4.3786690000000003E-6</v>
      </c>
      <c r="I1034">
        <v>373.75119999999998</v>
      </c>
      <c r="J1034">
        <v>-309.82990000000001</v>
      </c>
      <c r="K1034">
        <v>1.061375</v>
      </c>
      <c r="L1034">
        <v>367.88600000000002</v>
      </c>
      <c r="M1034">
        <v>0.99993980000000005</v>
      </c>
      <c r="N1034">
        <v>-1.0384539999999999E-2</v>
      </c>
      <c r="O1034">
        <v>3.5814760000000001E-3</v>
      </c>
      <c r="P1034">
        <v>0.98718430000000001</v>
      </c>
      <c r="Q1034">
        <v>-0.15107779999999901</v>
      </c>
      <c r="R1034">
        <v>5.1410320000000002E-2</v>
      </c>
      <c r="S1034">
        <v>3.001862</v>
      </c>
      <c r="T1034">
        <v>-8.3438869999999998E-2</v>
      </c>
      <c r="U1034">
        <v>0.46102910000000002</v>
      </c>
      <c r="V1034">
        <v>-4.7880399999999997E-2</v>
      </c>
      <c r="W1034">
        <v>-0.1408142</v>
      </c>
      <c r="X1034">
        <v>0.98887749999999996</v>
      </c>
      <c r="Y1034">
        <v>-0.14818339999999999</v>
      </c>
      <c r="Z1034">
        <v>2.7591849999999999E-3</v>
      </c>
      <c r="AA1034">
        <v>0.98895599999999995</v>
      </c>
      <c r="AB1034">
        <v>40</v>
      </c>
      <c r="AC1034">
        <v>37.976199999999999</v>
      </c>
      <c r="AD1034">
        <v>-1.061379378669</v>
      </c>
      <c r="AE1034">
        <v>5.8652000000000104</v>
      </c>
      <c r="AF1034">
        <v>-5.7247766511908003</v>
      </c>
      <c r="AG1034">
        <v>-1.061379378669</v>
      </c>
      <c r="AH1034">
        <v>37.967996959818898</v>
      </c>
      <c r="AI1034">
        <v>91.583374342730707</v>
      </c>
      <c r="AJ1034">
        <v>98.574411928039197</v>
      </c>
      <c r="AK1034">
        <v>38.411826135088901</v>
      </c>
      <c r="AL1034">
        <v>98.094963702143602</v>
      </c>
      <c r="AM1034">
        <v>92.7720359954983</v>
      </c>
      <c r="AN1034">
        <v>0.99999994081602295</v>
      </c>
    </row>
    <row r="1035" spans="1:40" x14ac:dyDescent="0.25">
      <c r="A1035" t="str">
        <f>"20190305134925089"</f>
        <v>20190305134925089</v>
      </c>
      <c r="B1035" t="str">
        <f>"1551764965081497"</f>
        <v>1551764965081497</v>
      </c>
      <c r="C1035" t="s">
        <v>40</v>
      </c>
      <c r="D1035">
        <v>3.8842590000000001</v>
      </c>
      <c r="E1035">
        <v>0.49234660000000002</v>
      </c>
      <c r="F1035" t="s">
        <v>42</v>
      </c>
      <c r="G1035">
        <v>-268.08199999999999</v>
      </c>
      <c r="H1035" s="1">
        <v>-1.984791E-6</v>
      </c>
      <c r="I1035">
        <v>374.04969999999997</v>
      </c>
      <c r="J1035">
        <v>-309.59769999999997</v>
      </c>
      <c r="K1035">
        <v>1.061091</v>
      </c>
      <c r="L1035">
        <v>367.88679999999999</v>
      </c>
      <c r="M1035">
        <v>0.99994110000000003</v>
      </c>
      <c r="N1035">
        <v>-1.0242309999999999E-2</v>
      </c>
      <c r="O1035">
        <v>3.581861E-3</v>
      </c>
      <c r="P1035">
        <v>0.98720240000000004</v>
      </c>
      <c r="Q1035">
        <v>-0.15130250000000001</v>
      </c>
      <c r="R1035">
        <v>5.0389549999999998E-2</v>
      </c>
      <c r="S1035">
        <v>3.0041500000000001</v>
      </c>
      <c r="T1035">
        <v>-7.637584E-2</v>
      </c>
      <c r="U1035">
        <v>0.44354250000000001</v>
      </c>
      <c r="V1035">
        <v>-4.6859400000000002E-2</v>
      </c>
      <c r="W1035">
        <v>-0.14117950000000001</v>
      </c>
      <c r="X1035">
        <v>0.98887440000000004</v>
      </c>
      <c r="Y1035">
        <v>-0.1424522</v>
      </c>
      <c r="Z1035">
        <v>2.4803360000000001E-3</v>
      </c>
      <c r="AA1035">
        <v>0.98979859999999997</v>
      </c>
      <c r="AB1035">
        <v>40</v>
      </c>
      <c r="AC1035">
        <v>41.515699999999903</v>
      </c>
      <c r="AD1035">
        <v>-1.061092984791</v>
      </c>
      <c r="AE1035">
        <v>6.1628999999999703</v>
      </c>
      <c r="AF1035">
        <v>-6.0103075876048599</v>
      </c>
      <c r="AG1035">
        <v>-1.061092984791</v>
      </c>
      <c r="AH1035">
        <v>41.510976934726202</v>
      </c>
      <c r="AI1035">
        <v>91.449156714898294</v>
      </c>
      <c r="AJ1035">
        <v>98.238512272256202</v>
      </c>
      <c r="AK1035">
        <v>41.957251121771101</v>
      </c>
      <c r="AL1035">
        <v>98.116104432237606</v>
      </c>
      <c r="AM1035">
        <v>92.713022963566203</v>
      </c>
      <c r="AN1035">
        <v>1.00000001678198</v>
      </c>
    </row>
    <row r="1036" spans="1:40" x14ac:dyDescent="0.25">
      <c r="A1036" t="str">
        <f>"20190305134925101"</f>
        <v>20190305134925101</v>
      </c>
      <c r="B1036" t="str">
        <f>"1551764965092233"</f>
        <v>1551764965092233</v>
      </c>
      <c r="C1036" t="s">
        <v>40</v>
      </c>
      <c r="D1036">
        <v>3.8826939999999999</v>
      </c>
      <c r="E1036">
        <v>0.49184529999999899</v>
      </c>
      <c r="F1036" t="s">
        <v>42</v>
      </c>
      <c r="G1036">
        <v>-276.63029999999998</v>
      </c>
      <c r="H1036" s="1">
        <v>-1.621098E-6</v>
      </c>
      <c r="I1036">
        <v>370.34230000000002</v>
      </c>
      <c r="J1036">
        <v>-309.3947</v>
      </c>
      <c r="K1036">
        <v>1.0608789999999999</v>
      </c>
      <c r="L1036">
        <v>367.88749999999999</v>
      </c>
      <c r="M1036">
        <v>0.99994240000000001</v>
      </c>
      <c r="N1036">
        <v>-1.013095E-2</v>
      </c>
      <c r="O1036">
        <v>3.581959E-3</v>
      </c>
      <c r="P1036">
        <v>0.98719080000000003</v>
      </c>
      <c r="Q1036">
        <v>-0.1516274</v>
      </c>
      <c r="R1036">
        <v>4.9633730000000001E-2</v>
      </c>
      <c r="S1036">
        <v>3.0125730000000002</v>
      </c>
      <c r="T1036">
        <v>-9.6962809999999997E-2</v>
      </c>
      <c r="U1036">
        <v>0.22439580000000001</v>
      </c>
      <c r="V1036">
        <v>-4.6102990000000003E-2</v>
      </c>
      <c r="W1036">
        <v>-0.14161470000000001</v>
      </c>
      <c r="X1036">
        <v>0.9888477</v>
      </c>
      <c r="Y1036">
        <v>-7.0660870000000001E-2</v>
      </c>
      <c r="Z1036">
        <v>1.4149760000000001E-3</v>
      </c>
      <c r="AA1036">
        <v>0.99749940000000004</v>
      </c>
      <c r="AB1036">
        <v>40</v>
      </c>
      <c r="AC1036">
        <v>32.764400000000002</v>
      </c>
      <c r="AD1036">
        <v>-1.060880621098</v>
      </c>
      <c r="AE1036">
        <v>2.4548000000000298</v>
      </c>
      <c r="AF1036">
        <v>-2.3349831651733299</v>
      </c>
      <c r="AG1036">
        <v>-1.060880621098</v>
      </c>
      <c r="AH1036">
        <v>32.738851290498097</v>
      </c>
      <c r="AI1036">
        <v>91.8512827982684</v>
      </c>
      <c r="AJ1036">
        <v>94.079511710577506</v>
      </c>
      <c r="AK1036">
        <v>32.839153428418498</v>
      </c>
      <c r="AL1036">
        <v>98.141292830352299</v>
      </c>
      <c r="AM1036">
        <v>92.669364853223001</v>
      </c>
      <c r="AN1036">
        <v>0.99999999136915996</v>
      </c>
    </row>
    <row r="1037" spans="1:40" x14ac:dyDescent="0.25">
      <c r="A1037" t="str">
        <f>"20190305134925111"</f>
        <v>20190305134925111</v>
      </c>
      <c r="B1037" t="str">
        <f>"1551764965101993"</f>
        <v>1551764965101993</v>
      </c>
      <c r="C1037" t="s">
        <v>40</v>
      </c>
      <c r="D1037">
        <v>3.8577859999999999</v>
      </c>
      <c r="E1037">
        <v>0.49091990000000002</v>
      </c>
      <c r="F1037" t="s">
        <v>42</v>
      </c>
      <c r="G1037">
        <v>-275.36660000000001</v>
      </c>
      <c r="H1037" s="1">
        <v>-2.1903680000000002E-6</v>
      </c>
      <c r="I1037">
        <v>370.44439999999997</v>
      </c>
      <c r="J1037">
        <v>-309.20530000000002</v>
      </c>
      <c r="K1037">
        <v>1.060686</v>
      </c>
      <c r="L1037">
        <v>367.88819999999998</v>
      </c>
      <c r="M1037">
        <v>0.99994329999999998</v>
      </c>
      <c r="N1037">
        <v>-1.0029369999999999E-2</v>
      </c>
      <c r="O1037">
        <v>3.5822990000000002E-3</v>
      </c>
      <c r="P1037">
        <v>0.98720479999999999</v>
      </c>
      <c r="Q1037">
        <v>-0.15171850000000001</v>
      </c>
      <c r="R1037">
        <v>4.907276E-2</v>
      </c>
      <c r="S1037">
        <v>3.0131230000000002</v>
      </c>
      <c r="T1037">
        <v>-9.3938949999999993E-2</v>
      </c>
      <c r="U1037">
        <v>0.2264099</v>
      </c>
      <c r="V1037">
        <v>-4.5542020000000002E-2</v>
      </c>
      <c r="W1037">
        <v>-0.14180619999999999</v>
      </c>
      <c r="X1037">
        <v>0.98884620000000001</v>
      </c>
      <c r="Y1037">
        <v>-7.131237E-2</v>
      </c>
      <c r="Z1037">
        <v>1.3924199999999999E-3</v>
      </c>
      <c r="AA1037">
        <v>0.99745300000000003</v>
      </c>
      <c r="AB1037">
        <v>40</v>
      </c>
      <c r="AC1037">
        <v>33.838700000000003</v>
      </c>
      <c r="AD1037">
        <v>-1.0606881903679899</v>
      </c>
      <c r="AE1037">
        <v>2.5561999999999898</v>
      </c>
      <c r="AF1037">
        <v>-2.4325806251078701</v>
      </c>
      <c r="AG1037">
        <v>-1.0606881903679899</v>
      </c>
      <c r="AH1037">
        <v>33.814604860668503</v>
      </c>
      <c r="AI1037">
        <v>91.792022771219493</v>
      </c>
      <c r="AJ1037">
        <v>94.114698791236805</v>
      </c>
      <c r="AK1037">
        <v>33.918579124396999</v>
      </c>
      <c r="AL1037">
        <v>98.1523772470034</v>
      </c>
      <c r="AM1037">
        <v>92.636934790585101</v>
      </c>
      <c r="AN1037">
        <v>0.99999994059927799</v>
      </c>
    </row>
    <row r="1038" spans="1:40" x14ac:dyDescent="0.25">
      <c r="A1038" t="str">
        <f>"20190305134925121"</f>
        <v>20190305134925121</v>
      </c>
      <c r="B1038" t="str">
        <f>"1551764965111753"</f>
        <v>1551764965111753</v>
      </c>
      <c r="C1038" t="s">
        <v>40</v>
      </c>
      <c r="D1038">
        <v>3.8726889999999998</v>
      </c>
      <c r="E1038">
        <v>0.49017579999999999</v>
      </c>
      <c r="F1038" t="s">
        <v>42</v>
      </c>
      <c r="G1038">
        <v>-267.35399999999998</v>
      </c>
      <c r="H1038" s="1">
        <v>-1.517381E-6</v>
      </c>
      <c r="I1038">
        <v>371.11930000000001</v>
      </c>
      <c r="J1038">
        <v>-309.01650000000001</v>
      </c>
      <c r="K1038">
        <v>1.0605180000000001</v>
      </c>
      <c r="L1038">
        <v>367.88889999999998</v>
      </c>
      <c r="M1038">
        <v>0.99994430000000001</v>
      </c>
      <c r="N1038">
        <v>-9.9375009999999996E-3</v>
      </c>
      <c r="O1038">
        <v>3.5825840000000002E-3</v>
      </c>
      <c r="P1038">
        <v>0.98721360000000002</v>
      </c>
      <c r="Q1038">
        <v>-0.1519346</v>
      </c>
      <c r="R1038">
        <v>4.8224370000000003E-2</v>
      </c>
      <c r="S1038">
        <v>3.0155639999999999</v>
      </c>
      <c r="T1038">
        <v>-7.6426859999999999E-2</v>
      </c>
      <c r="U1038">
        <v>0.23281859999999999</v>
      </c>
      <c r="V1038">
        <v>-4.4693179999999999E-2</v>
      </c>
      <c r="W1038">
        <v>-0.1421132</v>
      </c>
      <c r="X1038">
        <v>0.98884090000000002</v>
      </c>
      <c r="Y1038">
        <v>-7.3371720000000001E-2</v>
      </c>
      <c r="Z1038">
        <v>1.2383419999999999E-3</v>
      </c>
      <c r="AA1038">
        <v>0.99730390000000002</v>
      </c>
      <c r="AB1038">
        <v>40</v>
      </c>
      <c r="AC1038">
        <v>41.662499999999902</v>
      </c>
      <c r="AD1038">
        <v>-1.060519517381</v>
      </c>
      <c r="AE1038">
        <v>3.2304000000000301</v>
      </c>
      <c r="AF1038">
        <v>-3.07912928243428</v>
      </c>
      <c r="AG1038">
        <v>-1.060519517381</v>
      </c>
      <c r="AH1038">
        <v>41.646982139474297</v>
      </c>
      <c r="AI1038">
        <v>91.454724253359899</v>
      </c>
      <c r="AJ1038">
        <v>94.228414645178901</v>
      </c>
      <c r="AK1038">
        <v>41.7741171074912</v>
      </c>
      <c r="AL1038">
        <v>98.170146662085699</v>
      </c>
      <c r="AM1038">
        <v>92.587867288849495</v>
      </c>
      <c r="AN1038">
        <v>0.99999998373278098</v>
      </c>
    </row>
    <row r="1039" spans="1:40" x14ac:dyDescent="0.25">
      <c r="A1039" t="str">
        <f>"20190305134925133"</f>
        <v>20190305134925133</v>
      </c>
      <c r="B1039" t="str">
        <f>"1551764965121513"</f>
        <v>1551764965121513</v>
      </c>
      <c r="C1039" t="s">
        <v>40</v>
      </c>
      <c r="D1039">
        <v>3.8617170000000001</v>
      </c>
      <c r="E1039">
        <v>0.48932829999999999</v>
      </c>
      <c r="F1039" t="s">
        <v>42</v>
      </c>
      <c r="G1039">
        <v>-259.56639999999999</v>
      </c>
      <c r="H1039" s="1">
        <v>-7.4084620000000005E-7</v>
      </c>
      <c r="I1039">
        <v>371.7679</v>
      </c>
      <c r="J1039">
        <v>-308.83229999999998</v>
      </c>
      <c r="K1039">
        <v>1.0603629999999999</v>
      </c>
      <c r="L1039">
        <v>367.8895</v>
      </c>
      <c r="M1039">
        <v>0.99994519999999998</v>
      </c>
      <c r="N1039">
        <v>-9.8506159999999995E-3</v>
      </c>
      <c r="O1039">
        <v>3.5826619999999999E-3</v>
      </c>
      <c r="P1039">
        <v>0.98717489999999997</v>
      </c>
      <c r="Q1039">
        <v>-0.15232699999999999</v>
      </c>
      <c r="R1039">
        <v>4.777551E-2</v>
      </c>
      <c r="S1039">
        <v>3.017334</v>
      </c>
      <c r="T1039">
        <v>-6.4710379999999998E-2</v>
      </c>
      <c r="U1039">
        <v>0.2366943</v>
      </c>
      <c r="V1039">
        <v>-4.4244499999999999E-2</v>
      </c>
      <c r="W1039">
        <v>-0.14259179999999999</v>
      </c>
      <c r="X1039">
        <v>0.98879220000000001</v>
      </c>
      <c r="Y1039">
        <v>-7.4607549999999995E-2</v>
      </c>
      <c r="Z1039">
        <v>1.1253369999999999E-3</v>
      </c>
      <c r="AA1039">
        <v>0.9972124</v>
      </c>
      <c r="AB1039">
        <v>40</v>
      </c>
      <c r="AC1039">
        <v>49.265899999999903</v>
      </c>
      <c r="AD1039">
        <v>-1.0603637408462001</v>
      </c>
      <c r="AE1039">
        <v>3.8783999999999899</v>
      </c>
      <c r="AF1039">
        <v>-3.7001599519184798</v>
      </c>
      <c r="AG1039">
        <v>-1.0603637408462001</v>
      </c>
      <c r="AH1039">
        <v>49.2568017150668</v>
      </c>
      <c r="AI1039">
        <v>91.229766563810003</v>
      </c>
      <c r="AJ1039">
        <v>94.295977587547497</v>
      </c>
      <c r="AK1039">
        <v>49.406963781739201</v>
      </c>
      <c r="AL1039">
        <v>98.197850374905101</v>
      </c>
      <c r="AM1039">
        <v>92.562048191409701</v>
      </c>
      <c r="AN1039">
        <v>1.0000000059941601</v>
      </c>
    </row>
    <row r="1040" spans="1:40" x14ac:dyDescent="0.25">
      <c r="A1040" t="str">
        <f>"20190305134925142"</f>
        <v>20190305134925142</v>
      </c>
      <c r="B1040" t="str">
        <f>"1551764965131273"</f>
        <v>1551764965131273</v>
      </c>
      <c r="C1040" t="s">
        <v>40</v>
      </c>
      <c r="D1040">
        <v>3.872223</v>
      </c>
      <c r="E1040">
        <v>0.48870740000000001</v>
      </c>
      <c r="F1040" t="s">
        <v>42</v>
      </c>
      <c r="G1040">
        <v>-254.80189999999999</v>
      </c>
      <c r="H1040" s="1">
        <v>-2.908188E-6</v>
      </c>
      <c r="I1040">
        <v>372.23180000000002</v>
      </c>
      <c r="J1040">
        <v>-308.64069999999998</v>
      </c>
      <c r="K1040">
        <v>1.060216</v>
      </c>
      <c r="L1040">
        <v>367.89019999999999</v>
      </c>
      <c r="M1040">
        <v>0.999946</v>
      </c>
      <c r="N1040">
        <v>-9.7678379999999992E-3</v>
      </c>
      <c r="O1040">
        <v>3.5829540000000002E-3</v>
      </c>
      <c r="P1040">
        <v>0.98722569999999998</v>
      </c>
      <c r="Q1040">
        <v>-0.15221299999999999</v>
      </c>
      <c r="R1040">
        <v>4.7083119999999999E-2</v>
      </c>
      <c r="S1040">
        <v>3.018097</v>
      </c>
      <c r="T1040">
        <v>-5.9231159999999998E-2</v>
      </c>
      <c r="U1040">
        <v>0.24255370000000001</v>
      </c>
      <c r="V1040">
        <v>-4.3551609999999998E-2</v>
      </c>
      <c r="W1040">
        <v>-0.142559299999999</v>
      </c>
      <c r="X1040">
        <v>0.98882760000000003</v>
      </c>
      <c r="Y1040">
        <v>-7.6514250000000006E-2</v>
      </c>
      <c r="Z1040">
        <v>1.0886299999999999E-3</v>
      </c>
      <c r="AA1040">
        <v>0.99706790000000001</v>
      </c>
      <c r="AB1040">
        <v>40</v>
      </c>
      <c r="AC1040">
        <v>53.8387999999999</v>
      </c>
      <c r="AD1040">
        <v>-1.060218908188</v>
      </c>
      <c r="AE1040">
        <v>4.3416000000000201</v>
      </c>
      <c r="AF1040">
        <v>-4.1470631937544997</v>
      </c>
      <c r="AG1040">
        <v>-1.060218908188</v>
      </c>
      <c r="AH1040">
        <v>53.8332695755891</v>
      </c>
      <c r="AI1040">
        <v>91.124933296565999</v>
      </c>
      <c r="AJ1040">
        <v>94.405098572933895</v>
      </c>
      <c r="AK1040">
        <v>54.003176855295401</v>
      </c>
      <c r="AL1040">
        <v>98.1959694248049</v>
      </c>
      <c r="AM1040">
        <v>92.521887339031494</v>
      </c>
      <c r="AN1040">
        <v>0.99999995963592003</v>
      </c>
    </row>
    <row r="1041" spans="1:40" x14ac:dyDescent="0.25">
      <c r="A1041" t="str">
        <f>"20190305134925153"</f>
        <v>20190305134925153</v>
      </c>
      <c r="B1041" t="str">
        <f>"1551764965142009"</f>
        <v>1551764965142009</v>
      </c>
      <c r="C1041" t="s">
        <v>40</v>
      </c>
      <c r="D1041">
        <v>3.9123790000000001</v>
      </c>
      <c r="E1041">
        <v>0.48826580000000003</v>
      </c>
      <c r="F1041" t="s">
        <v>42</v>
      </c>
      <c r="G1041">
        <v>-248.58420000000001</v>
      </c>
      <c r="H1041" s="1">
        <v>-1.4908580000000001E-6</v>
      </c>
      <c r="I1041">
        <v>372.7774</v>
      </c>
      <c r="J1041">
        <v>-308.46019999999999</v>
      </c>
      <c r="K1041">
        <v>1.0600879999999999</v>
      </c>
      <c r="L1041">
        <v>367.89089999999999</v>
      </c>
      <c r="M1041">
        <v>0.99994669999999997</v>
      </c>
      <c r="N1041">
        <v>-9.6931629999999994E-3</v>
      </c>
      <c r="O1041">
        <v>3.583143E-3</v>
      </c>
      <c r="P1041">
        <v>0.98730329999999999</v>
      </c>
      <c r="Q1041">
        <v>-0.15187220000000001</v>
      </c>
      <c r="R1041">
        <v>4.655194E-2</v>
      </c>
      <c r="S1041">
        <v>3.0188600000000001</v>
      </c>
      <c r="T1041">
        <v>-5.3293939999999998E-2</v>
      </c>
      <c r="U1041">
        <v>0.24566650000000001</v>
      </c>
      <c r="V1041">
        <v>-4.301953E-2</v>
      </c>
      <c r="W1041">
        <v>-0.14229169999999999</v>
      </c>
      <c r="X1041">
        <v>0.98888949999999998</v>
      </c>
      <c r="Y1041">
        <v>-7.7518599999999993E-2</v>
      </c>
      <c r="Z1041">
        <v>1.030967E-3</v>
      </c>
      <c r="AA1041">
        <v>0.99699040000000005</v>
      </c>
      <c r="AB1041">
        <v>40</v>
      </c>
      <c r="AC1041">
        <v>59.875999999999898</v>
      </c>
      <c r="AD1041">
        <v>-1.0600894908580001</v>
      </c>
      <c r="AE1041">
        <v>4.8865000000000096</v>
      </c>
      <c r="AF1041">
        <v>-4.6704599921821401</v>
      </c>
      <c r="AG1041">
        <v>-1.0600894908580001</v>
      </c>
      <c r="AH1041">
        <v>59.874481472573898</v>
      </c>
      <c r="AI1041">
        <v>91.011255821549994</v>
      </c>
      <c r="AJ1041">
        <v>94.460278669987403</v>
      </c>
      <c r="AK1041">
        <v>60.065718324821503</v>
      </c>
      <c r="AL1041">
        <v>98.180478615648994</v>
      </c>
      <c r="AM1041">
        <v>92.490960180616597</v>
      </c>
      <c r="AN1041">
        <v>1.0000000255302799</v>
      </c>
    </row>
    <row r="1042" spans="1:40" x14ac:dyDescent="0.25">
      <c r="A1042" t="str">
        <f>"20190305134925163"</f>
        <v>20190305134925163</v>
      </c>
      <c r="B1042" t="str">
        <f>"1551764965151768"</f>
        <v>1551764965151768</v>
      </c>
      <c r="C1042" t="s">
        <v>40</v>
      </c>
      <c r="D1042">
        <v>3.897697</v>
      </c>
      <c r="E1042">
        <v>0.48794989999999999</v>
      </c>
      <c r="F1042" t="s">
        <v>42</v>
      </c>
      <c r="G1042">
        <v>-242.32480000000001</v>
      </c>
      <c r="H1042" s="1">
        <v>-4.4757180000000003E-6</v>
      </c>
      <c r="I1042">
        <v>373.32119999999998</v>
      </c>
      <c r="J1042">
        <v>-308.27640000000002</v>
      </c>
      <c r="K1042">
        <v>1.0599689999999999</v>
      </c>
      <c r="L1042">
        <v>367.89150000000001</v>
      </c>
      <c r="M1042">
        <v>0.99994740000000004</v>
      </c>
      <c r="N1042">
        <v>-9.6228600000000004E-3</v>
      </c>
      <c r="O1042">
        <v>3.5833079999999999E-3</v>
      </c>
      <c r="P1042">
        <v>0.98738119999999996</v>
      </c>
      <c r="Q1042">
        <v>-0.1514837</v>
      </c>
      <c r="R1042">
        <v>4.6166140000000001E-2</v>
      </c>
      <c r="S1042">
        <v>3.0194399999999999</v>
      </c>
      <c r="T1042">
        <v>-4.8398969999999999E-2</v>
      </c>
      <c r="U1042">
        <v>0.2479248</v>
      </c>
      <c r="V1042">
        <v>-4.2633419999999998E-2</v>
      </c>
      <c r="W1042">
        <v>-0.14197190000000001</v>
      </c>
      <c r="X1042">
        <v>0.98895219999999995</v>
      </c>
      <c r="Y1042">
        <v>-7.824623E-2</v>
      </c>
      <c r="Z1042">
        <v>9.8026179999999991E-4</v>
      </c>
      <c r="AA1042">
        <v>0.99693359999999998</v>
      </c>
      <c r="AB1042">
        <v>40</v>
      </c>
      <c r="AC1042">
        <v>65.951599999999999</v>
      </c>
      <c r="AD1042">
        <v>-1.0599734757179999</v>
      </c>
      <c r="AE1042">
        <v>5.4296999999999596</v>
      </c>
      <c r="AF1042">
        <v>-5.1919972180215899</v>
      </c>
      <c r="AG1042">
        <v>-1.0599734757179999</v>
      </c>
      <c r="AH1042">
        <v>65.953711999448601</v>
      </c>
      <c r="AI1042">
        <v>90.917909137179905</v>
      </c>
      <c r="AJ1042">
        <v>94.501146144924704</v>
      </c>
      <c r="AK1042">
        <v>66.166248989854097</v>
      </c>
      <c r="AL1042">
        <v>98.161967365773094</v>
      </c>
      <c r="AM1042">
        <v>92.468474714981099</v>
      </c>
      <c r="AN1042">
        <v>1.00000004138767</v>
      </c>
    </row>
    <row r="1043" spans="1:40" x14ac:dyDescent="0.25">
      <c r="A1043" t="str">
        <f>"20190305134925174"</f>
        <v>20190305134925174</v>
      </c>
      <c r="B1043" t="str">
        <f>"1551764965171288"</f>
        <v>1551764965171288</v>
      </c>
      <c r="C1043" t="s">
        <v>40</v>
      </c>
      <c r="D1043">
        <v>3.8956979999999999</v>
      </c>
      <c r="E1043">
        <v>0.48741240000000002</v>
      </c>
      <c r="F1043" t="s">
        <v>42</v>
      </c>
      <c r="G1043">
        <v>-236.87889999999999</v>
      </c>
      <c r="H1043" s="1">
        <v>-2.4333099999999999E-6</v>
      </c>
      <c r="I1043">
        <v>373.79579999999999</v>
      </c>
      <c r="J1043">
        <v>-308.08569999999997</v>
      </c>
      <c r="K1043">
        <v>1.0598559999999999</v>
      </c>
      <c r="L1043">
        <v>367.8922</v>
      </c>
      <c r="M1043">
        <v>0.99994799999999995</v>
      </c>
      <c r="N1043">
        <v>-9.5537199999999999E-3</v>
      </c>
      <c r="O1043">
        <v>3.5836430000000001E-3</v>
      </c>
      <c r="P1043">
        <v>0.98749169999999997</v>
      </c>
      <c r="Q1043">
        <v>-0.1508594</v>
      </c>
      <c r="R1043">
        <v>4.5846280000000003E-2</v>
      </c>
      <c r="S1043">
        <v>3.0197750000000001</v>
      </c>
      <c r="T1043">
        <v>-4.4831749999999997E-2</v>
      </c>
      <c r="U1043">
        <v>0.24972530000000001</v>
      </c>
      <c r="V1043">
        <v>-4.2312870000000002E-2</v>
      </c>
      <c r="W1043">
        <v>-0.14141509999999999</v>
      </c>
      <c r="X1043">
        <v>0.98904570000000003</v>
      </c>
      <c r="Y1043">
        <v>-7.882902E-2</v>
      </c>
      <c r="Z1043">
        <v>9.424333E-4</v>
      </c>
      <c r="AA1043">
        <v>0.99688770000000004</v>
      </c>
      <c r="AB1043">
        <v>40</v>
      </c>
      <c r="AC1043">
        <v>71.206799999999902</v>
      </c>
      <c r="AD1043">
        <v>-1.0598584333099901</v>
      </c>
      <c r="AE1043">
        <v>5.9035999999999804</v>
      </c>
      <c r="AF1043">
        <v>-5.6471281805071296</v>
      </c>
      <c r="AG1043">
        <v>-1.0598584333099901</v>
      </c>
      <c r="AH1043">
        <v>71.211831488665794</v>
      </c>
      <c r="AI1043">
        <v>90.850012292811002</v>
      </c>
      <c r="AJ1043">
        <v>94.534090997199698</v>
      </c>
      <c r="AK1043">
        <v>71.443252309478893</v>
      </c>
      <c r="AL1043">
        <v>98.129740233859494</v>
      </c>
      <c r="AM1043">
        <v>92.449706248274197</v>
      </c>
      <c r="AN1043">
        <v>1.0000000030820599</v>
      </c>
    </row>
    <row r="1044" spans="1:40" x14ac:dyDescent="0.25">
      <c r="A1044" t="str">
        <f>"20190305134925185"</f>
        <v>20190305134925185</v>
      </c>
      <c r="B1044" t="str">
        <f>"1551764965182025"</f>
        <v>1551764965182025</v>
      </c>
      <c r="C1044" t="s">
        <v>40</v>
      </c>
      <c r="D1044">
        <v>4.0636989999999997</v>
      </c>
      <c r="E1044">
        <v>0.4876663</v>
      </c>
      <c r="F1044" t="s">
        <v>42</v>
      </c>
      <c r="G1044">
        <v>-228.4486</v>
      </c>
      <c r="H1044" s="1">
        <v>-1.9671549999999998E-6</v>
      </c>
      <c r="I1044">
        <v>374.57459999999998</v>
      </c>
      <c r="J1044">
        <v>-307.87810000000002</v>
      </c>
      <c r="K1044">
        <v>1.059741</v>
      </c>
      <c r="L1044">
        <v>367.89299999999997</v>
      </c>
      <c r="M1044">
        <v>0.99994870000000002</v>
      </c>
      <c r="N1044">
        <v>-9.4836409999999993E-3</v>
      </c>
      <c r="O1044">
        <v>3.5838010000000002E-3</v>
      </c>
      <c r="P1044">
        <v>0.98755870000000001</v>
      </c>
      <c r="Q1044">
        <v>-0.1504848</v>
      </c>
      <c r="R1044">
        <v>4.563267E-2</v>
      </c>
      <c r="S1044">
        <v>3.0200809999999998</v>
      </c>
      <c r="T1044">
        <v>-4.019296E-2</v>
      </c>
      <c r="U1044">
        <v>0.25341799999999998</v>
      </c>
      <c r="V1044">
        <v>-4.2098719999999999E-2</v>
      </c>
      <c r="W1044">
        <v>-0.14110919999999999</v>
      </c>
      <c r="X1044">
        <v>0.98909849999999999</v>
      </c>
      <c r="Y1044">
        <v>-8.0033119999999999E-2</v>
      </c>
      <c r="Z1044">
        <v>8.9813309999999999E-4</v>
      </c>
      <c r="AA1044">
        <v>0.99679180000000001</v>
      </c>
      <c r="AB1044">
        <v>40</v>
      </c>
      <c r="AC1044">
        <v>79.429500000000004</v>
      </c>
      <c r="AD1044">
        <v>-1.059742967155</v>
      </c>
      <c r="AE1044">
        <v>6.68159999999994</v>
      </c>
      <c r="AF1044">
        <v>-6.3957543005721904</v>
      </c>
      <c r="AG1044">
        <v>-1.059742967155</v>
      </c>
      <c r="AH1044">
        <v>79.438895138370597</v>
      </c>
      <c r="AI1044">
        <v>90.7618357573823</v>
      </c>
      <c r="AJ1044">
        <v>94.6030474412252</v>
      </c>
      <c r="AK1044">
        <v>79.702991092146306</v>
      </c>
      <c r="AL1044">
        <v>98.112036144222799</v>
      </c>
      <c r="AM1044">
        <v>92.437193058226498</v>
      </c>
      <c r="AN1044">
        <v>0.99999997562626297</v>
      </c>
    </row>
    <row r="1045" spans="1:40" x14ac:dyDescent="0.25">
      <c r="A1045" t="str">
        <f>"20190305134925197"</f>
        <v>20190305134925197</v>
      </c>
      <c r="B1045" t="str">
        <f>"1551764965191784"</f>
        <v>1551764965191784</v>
      </c>
      <c r="C1045" t="s">
        <v>40</v>
      </c>
      <c r="D1045">
        <v>3.8863850000000002</v>
      </c>
      <c r="E1045">
        <v>0.4873789</v>
      </c>
      <c r="F1045" t="s">
        <v>42</v>
      </c>
      <c r="G1045">
        <v>-224.9015</v>
      </c>
      <c r="H1045" s="1">
        <v>-3.5255290000000001E-6</v>
      </c>
      <c r="I1045">
        <v>374.78879999999998</v>
      </c>
      <c r="J1045">
        <v>-307.66980000000001</v>
      </c>
      <c r="K1045">
        <v>1.0596380000000001</v>
      </c>
      <c r="L1045">
        <v>367.89370000000002</v>
      </c>
      <c r="M1045">
        <v>0.99994919999999998</v>
      </c>
      <c r="N1045">
        <v>-9.4189600000000005E-3</v>
      </c>
      <c r="O1045">
        <v>3.5842890000000001E-3</v>
      </c>
      <c r="P1045">
        <v>0.98762760000000005</v>
      </c>
      <c r="Q1045">
        <v>-0.15000060000000001</v>
      </c>
      <c r="R1045">
        <v>4.5736100000000002E-2</v>
      </c>
      <c r="S1045">
        <v>3.0203250000000001</v>
      </c>
      <c r="T1045">
        <v>-3.8574339999999999E-2</v>
      </c>
      <c r="U1045">
        <v>0.25100709999999998</v>
      </c>
      <c r="V1045">
        <v>-4.2201250000000003E-2</v>
      </c>
      <c r="W1045">
        <v>-0.14068839999999999</v>
      </c>
      <c r="X1045">
        <v>0.98915410000000004</v>
      </c>
      <c r="Y1045">
        <v>-7.923666E-2</v>
      </c>
      <c r="Z1045">
        <v>8.6694720000000003E-4</v>
      </c>
      <c r="AA1045">
        <v>0.99685539999999995</v>
      </c>
      <c r="AB1045">
        <v>40</v>
      </c>
      <c r="AC1045">
        <v>82.768299999999996</v>
      </c>
      <c r="AD1045">
        <v>-1.0596415255289999</v>
      </c>
      <c r="AE1045">
        <v>6.8950999999999496</v>
      </c>
      <c r="AF1045">
        <v>-6.5973031595245804</v>
      </c>
      <c r="AG1045">
        <v>-1.0596415255289999</v>
      </c>
      <c r="AH1045">
        <v>82.779009101258694</v>
      </c>
      <c r="AI1045">
        <v>90.731076641629002</v>
      </c>
      <c r="AJ1045">
        <v>94.556714967445004</v>
      </c>
      <c r="AK1045">
        <v>83.048248608429802</v>
      </c>
      <c r="AL1045">
        <v>98.087682915304597</v>
      </c>
      <c r="AM1045">
        <v>92.442984414798104</v>
      </c>
      <c r="AN1045">
        <v>1.0000000024714599</v>
      </c>
    </row>
    <row r="1046" spans="1:40" x14ac:dyDescent="0.25">
      <c r="A1046" t="str">
        <f>"20190305134925208"</f>
        <v>20190305134925208</v>
      </c>
      <c r="B1046" t="str">
        <f>"1551764965201545"</f>
        <v>1551764965201545</v>
      </c>
      <c r="C1046" t="s">
        <v>40</v>
      </c>
      <c r="D1046">
        <v>3.8732989999999998</v>
      </c>
      <c r="E1046">
        <v>0.48715920000000001</v>
      </c>
      <c r="F1046" t="s">
        <v>42</v>
      </c>
      <c r="G1046">
        <v>-219.0677</v>
      </c>
      <c r="H1046" s="1">
        <v>-1.9058100000000001E-6</v>
      </c>
      <c r="I1046">
        <v>375.34230000000002</v>
      </c>
      <c r="J1046">
        <v>-307.47629999999998</v>
      </c>
      <c r="K1046">
        <v>1.0595460000000001</v>
      </c>
      <c r="L1046">
        <v>367.89440000000002</v>
      </c>
      <c r="M1046">
        <v>0.9999498</v>
      </c>
      <c r="N1046">
        <v>-9.3613250000000002E-3</v>
      </c>
      <c r="O1046">
        <v>3.5845629999999998E-3</v>
      </c>
      <c r="P1046">
        <v>0.98768180000000005</v>
      </c>
      <c r="Q1046">
        <v>-0.1496344</v>
      </c>
      <c r="R1046">
        <v>4.5764930000000002E-2</v>
      </c>
      <c r="S1046">
        <v>3.0202640000000001</v>
      </c>
      <c r="T1046">
        <v>-3.6120890000000003E-2</v>
      </c>
      <c r="U1046">
        <v>0.25390629999999997</v>
      </c>
      <c r="V1046">
        <v>-4.2229540000000003E-2</v>
      </c>
      <c r="W1046">
        <v>-0.1403787</v>
      </c>
      <c r="X1046">
        <v>0.98919690000000005</v>
      </c>
      <c r="Y1046">
        <v>-8.0189250000000004E-2</v>
      </c>
      <c r="Z1046">
        <v>8.4539079999999996E-4</v>
      </c>
      <c r="AA1046">
        <v>0.99677930000000003</v>
      </c>
      <c r="AB1046">
        <v>40</v>
      </c>
      <c r="AC1046">
        <v>88.408599999999893</v>
      </c>
      <c r="AD1046">
        <v>-1.0595479058099999</v>
      </c>
      <c r="AE1046">
        <v>7.4478999999999997</v>
      </c>
      <c r="AF1046">
        <v>-7.12991520715563</v>
      </c>
      <c r="AG1046">
        <v>-1.0595479058099999</v>
      </c>
      <c r="AH1046">
        <v>88.422119824294995</v>
      </c>
      <c r="AI1046">
        <v>90.684312283292698</v>
      </c>
      <c r="AJ1046">
        <v>94.6100693199662</v>
      </c>
      <c r="AK1046">
        <v>88.715441760991695</v>
      </c>
      <c r="AL1046">
        <v>98.069760486396106</v>
      </c>
      <c r="AM1046">
        <v>92.444514461853402</v>
      </c>
      <c r="AN1046">
        <v>1.0000000102159501</v>
      </c>
    </row>
    <row r="1047" spans="1:40" x14ac:dyDescent="0.25">
      <c r="A1047" t="str">
        <f>"20190305134925220"</f>
        <v>20190305134925220</v>
      </c>
      <c r="B1047" t="str">
        <f>"1551764965211305"</f>
        <v>1551764965211305</v>
      </c>
      <c r="C1047" t="s">
        <v>40</v>
      </c>
      <c r="D1047">
        <v>3.8707180000000001</v>
      </c>
      <c r="E1047">
        <v>0.4870178</v>
      </c>
      <c r="F1047" t="s">
        <v>42</v>
      </c>
      <c r="G1047">
        <v>-213.53469999999999</v>
      </c>
      <c r="H1047" s="1">
        <v>-4.1821610000000004E-6</v>
      </c>
      <c r="I1047">
        <v>375.86849999999998</v>
      </c>
      <c r="J1047">
        <v>-307.279</v>
      </c>
      <c r="K1047">
        <v>1.059466</v>
      </c>
      <c r="L1047">
        <v>367.89510000000001</v>
      </c>
      <c r="M1047">
        <v>0.99995040000000002</v>
      </c>
      <c r="N1047">
        <v>-9.3089279999999993E-3</v>
      </c>
      <c r="O1047">
        <v>3.5848099999999999E-3</v>
      </c>
      <c r="P1047">
        <v>0.98762910000000004</v>
      </c>
      <c r="Q1047">
        <v>-0.1498602</v>
      </c>
      <c r="R1047">
        <v>4.616696E-2</v>
      </c>
      <c r="S1047">
        <v>3.0203859999999998</v>
      </c>
      <c r="T1047">
        <v>-3.4066319999999997E-2</v>
      </c>
      <c r="U1047">
        <v>0.2563782</v>
      </c>
      <c r="V1047">
        <v>-4.2632080000000003E-2</v>
      </c>
      <c r="W1047">
        <v>-0.1406568</v>
      </c>
      <c r="X1047">
        <v>0.98914009999999997</v>
      </c>
      <c r="Y1047">
        <v>-8.0996429999999994E-2</v>
      </c>
      <c r="Z1047">
        <v>8.2659420000000001E-4</v>
      </c>
      <c r="AA1047">
        <v>0.99671410000000005</v>
      </c>
      <c r="AB1047">
        <v>40</v>
      </c>
      <c r="AC1047">
        <v>93.744299999999996</v>
      </c>
      <c r="AD1047">
        <v>-1.059470182161</v>
      </c>
      <c r="AE1047">
        <v>7.9733999999999696</v>
      </c>
      <c r="AF1047">
        <v>-7.6363103804009498</v>
      </c>
      <c r="AG1047">
        <v>-1.059470182161</v>
      </c>
      <c r="AH1047">
        <v>93.760392099467097</v>
      </c>
      <c r="AI1047">
        <v>90.645264767184997</v>
      </c>
      <c r="AJ1047">
        <v>94.656174768600707</v>
      </c>
      <c r="AK1047">
        <v>94.076813508635198</v>
      </c>
      <c r="AL1047">
        <v>98.0858543382693</v>
      </c>
      <c r="AM1047">
        <v>92.467928900687198</v>
      </c>
      <c r="AN1047">
        <v>0.999999983529688</v>
      </c>
    </row>
    <row r="1048" spans="1:40" x14ac:dyDescent="0.25">
      <c r="A1048" t="str">
        <f>"20190305134925229"</f>
        <v>20190305134925229</v>
      </c>
      <c r="B1048" t="str">
        <f>"1551764965222041"</f>
        <v>1551764965222041</v>
      </c>
      <c r="C1048" t="s">
        <v>40</v>
      </c>
      <c r="D1048">
        <v>3.8698419999999998</v>
      </c>
      <c r="E1048">
        <v>0.48684149999999998</v>
      </c>
      <c r="F1048" t="s">
        <v>42</v>
      </c>
      <c r="G1048">
        <v>-213.91480000000001</v>
      </c>
      <c r="H1048" s="1">
        <v>-4.058011E-6</v>
      </c>
      <c r="I1048">
        <v>375.89769999999999</v>
      </c>
      <c r="J1048">
        <v>-307.08839999999998</v>
      </c>
      <c r="K1048">
        <v>1.0593889999999999</v>
      </c>
      <c r="L1048">
        <v>367.89580000000001</v>
      </c>
      <c r="M1048">
        <v>0.99995080000000003</v>
      </c>
      <c r="N1048">
        <v>-9.2592979999999991E-3</v>
      </c>
      <c r="O1048">
        <v>3.585221E-3</v>
      </c>
      <c r="P1048">
        <v>0.98756719999999998</v>
      </c>
      <c r="Q1048">
        <v>-0.15022969999999999</v>
      </c>
      <c r="R1048">
        <v>4.6285409999999999E-2</v>
      </c>
      <c r="S1048">
        <v>3.0202939999999998</v>
      </c>
      <c r="T1048">
        <v>-3.4273390000000001E-2</v>
      </c>
      <c r="U1048">
        <v>0.25888060000000002</v>
      </c>
      <c r="V1048">
        <v>-4.2750240000000002E-2</v>
      </c>
      <c r="W1048">
        <v>-0.1410759</v>
      </c>
      <c r="X1048">
        <v>0.98907529999999999</v>
      </c>
      <c r="Y1048">
        <v>-8.1818219999999997E-2</v>
      </c>
      <c r="Z1048">
        <v>8.3540399999999999E-4</v>
      </c>
      <c r="AA1048">
        <v>0.9966469</v>
      </c>
      <c r="AB1048">
        <v>40</v>
      </c>
      <c r="AC1048">
        <v>93.173599999999894</v>
      </c>
      <c r="AD1048">
        <v>-1.05939305801099</v>
      </c>
      <c r="AE1048">
        <v>8.0018999999999707</v>
      </c>
      <c r="AF1048">
        <v>-7.66680243103918</v>
      </c>
      <c r="AG1048">
        <v>-1.05939305801099</v>
      </c>
      <c r="AH1048">
        <v>93.189731654110304</v>
      </c>
      <c r="AI1048">
        <v>90.649124951091295</v>
      </c>
      <c r="AJ1048">
        <v>94.703182859899499</v>
      </c>
      <c r="AK1048">
        <v>93.510578326374599</v>
      </c>
      <c r="AL1048">
        <v>98.110108954709204</v>
      </c>
      <c r="AM1048">
        <v>92.474922507776895</v>
      </c>
      <c r="AN1048">
        <v>0.99999997082547798</v>
      </c>
    </row>
    <row r="1049" spans="1:40" x14ac:dyDescent="0.25">
      <c r="A1049" t="str">
        <f>"20190305134925241"</f>
        <v>20190305134925241</v>
      </c>
      <c r="B1049" t="str">
        <f>"1551764965231801"</f>
        <v>1551764965231801</v>
      </c>
      <c r="C1049" t="s">
        <v>40</v>
      </c>
      <c r="D1049">
        <v>3.8886159999999999</v>
      </c>
      <c r="E1049">
        <v>0.48675010000000002</v>
      </c>
      <c r="F1049" t="s">
        <v>42</v>
      </c>
      <c r="G1049">
        <v>-215.12620000000001</v>
      </c>
      <c r="H1049" s="1">
        <v>-3.6356419999999999E-6</v>
      </c>
      <c r="I1049">
        <v>375.84059999999999</v>
      </c>
      <c r="J1049">
        <v>-306.88319999999999</v>
      </c>
      <c r="K1049">
        <v>1.05931</v>
      </c>
      <c r="L1049">
        <v>367.89659999999998</v>
      </c>
      <c r="M1049">
        <v>0.99995120000000004</v>
      </c>
      <c r="N1049">
        <v>-9.2122520000000006E-3</v>
      </c>
      <c r="O1049">
        <v>3.5856199999999999E-3</v>
      </c>
      <c r="P1049">
        <v>0.98746049999999996</v>
      </c>
      <c r="Q1049">
        <v>-0.15087799999999901</v>
      </c>
      <c r="R1049">
        <v>4.6452670000000001E-2</v>
      </c>
      <c r="S1049">
        <v>3.0202640000000001</v>
      </c>
      <c r="T1049">
        <v>-3.4793020000000001E-2</v>
      </c>
      <c r="U1049">
        <v>0.26092530000000003</v>
      </c>
      <c r="V1049">
        <v>-4.2917139999999999E-2</v>
      </c>
      <c r="W1049">
        <v>-0.1417717</v>
      </c>
      <c r="X1049">
        <v>0.98896859999999998</v>
      </c>
      <c r="Y1049">
        <v>-8.2488160000000005E-2</v>
      </c>
      <c r="Z1049">
        <v>8.466611E-4</v>
      </c>
      <c r="AA1049">
        <v>0.99659169999999997</v>
      </c>
      <c r="AB1049">
        <v>40</v>
      </c>
      <c r="AC1049">
        <v>91.756999999999906</v>
      </c>
      <c r="AD1049">
        <v>-1.0593136356420001</v>
      </c>
      <c r="AE1049">
        <v>7.9440000000000097</v>
      </c>
      <c r="AF1049">
        <v>-7.6139220063551001</v>
      </c>
      <c r="AG1049">
        <v>-1.0593136356420001</v>
      </c>
      <c r="AH1049">
        <v>91.7727548414654</v>
      </c>
      <c r="AI1049">
        <v>90.659059656812502</v>
      </c>
      <c r="AJ1049">
        <v>94.742679800097406</v>
      </c>
      <c r="AK1049">
        <v>92.094150112204304</v>
      </c>
      <c r="AL1049">
        <v>98.150379931235094</v>
      </c>
      <c r="AM1049">
        <v>92.484840422797404</v>
      </c>
      <c r="AN1049">
        <v>0.99999999380631399</v>
      </c>
    </row>
    <row r="1050" spans="1:40" x14ac:dyDescent="0.25">
      <c r="A1050" t="str">
        <f>"20190305134925253"</f>
        <v>20190305134925253</v>
      </c>
      <c r="B1050" t="str">
        <f>"1551764965241565"</f>
        <v>1551764965241565</v>
      </c>
      <c r="C1050" t="s">
        <v>40</v>
      </c>
      <c r="D1050">
        <v>3.8928210000000001</v>
      </c>
      <c r="E1050">
        <v>0.48663790000000001</v>
      </c>
      <c r="F1050" t="s">
        <v>42</v>
      </c>
      <c r="G1050">
        <v>-220.02940000000001</v>
      </c>
      <c r="H1050" s="1">
        <v>-5.3002669999999996E-6</v>
      </c>
      <c r="I1050">
        <v>375.44690000000003</v>
      </c>
      <c r="J1050">
        <v>-306.67959999999999</v>
      </c>
      <c r="K1050">
        <v>1.059242</v>
      </c>
      <c r="L1050">
        <v>367.89729999999997</v>
      </c>
      <c r="M1050">
        <v>0.9999517</v>
      </c>
      <c r="N1050">
        <v>-9.1672409999999996E-3</v>
      </c>
      <c r="O1050">
        <v>3.5859479999999998E-3</v>
      </c>
      <c r="P1050">
        <v>0.9873381</v>
      </c>
      <c r="Q1050">
        <v>-0.151714299999999</v>
      </c>
      <c r="R1050">
        <v>4.6332100000000001E-2</v>
      </c>
      <c r="S1050">
        <v>3.020111</v>
      </c>
      <c r="T1050">
        <v>-3.6834840000000001E-2</v>
      </c>
      <c r="U1050">
        <v>0.26254270000000002</v>
      </c>
      <c r="V1050">
        <v>-4.2796599999999997E-2</v>
      </c>
      <c r="W1050">
        <v>-0.14265369999999999</v>
      </c>
      <c r="X1050">
        <v>0.98884700000000003</v>
      </c>
      <c r="Y1050">
        <v>-8.3020930000000007E-2</v>
      </c>
      <c r="Z1050">
        <v>8.7575939999999996E-4</v>
      </c>
      <c r="AA1050">
        <v>0.99654739999999997</v>
      </c>
      <c r="AB1050">
        <v>40</v>
      </c>
      <c r="AC1050">
        <v>86.650199999999899</v>
      </c>
      <c r="AD1050">
        <v>-1.059247300267</v>
      </c>
      <c r="AE1050">
        <v>7.5496000000000496</v>
      </c>
      <c r="AF1050">
        <v>-7.2377419020757499</v>
      </c>
      <c r="AG1050">
        <v>-1.059247300267</v>
      </c>
      <c r="AH1050">
        <v>86.663863298312094</v>
      </c>
      <c r="AI1050">
        <v>90.697832485116507</v>
      </c>
      <c r="AJ1050">
        <v>94.773984628556704</v>
      </c>
      <c r="AK1050">
        <v>86.972019146807796</v>
      </c>
      <c r="AL1050">
        <v>98.201433596012805</v>
      </c>
      <c r="AM1050">
        <v>92.478174369407299</v>
      </c>
      <c r="AN1050">
        <v>1.0000000082521201</v>
      </c>
    </row>
    <row r="1051" spans="1:40" x14ac:dyDescent="0.25">
      <c r="A1051" t="str">
        <f>"20190305134925265"</f>
        <v>20190305134925265</v>
      </c>
      <c r="B1051" t="str">
        <f>"1551764965262062"</f>
        <v>1551764965262062</v>
      </c>
      <c r="C1051" t="s">
        <v>40</v>
      </c>
      <c r="D1051">
        <v>3.9469590000000001</v>
      </c>
      <c r="E1051">
        <v>0.4864406</v>
      </c>
      <c r="F1051" t="s">
        <v>42</v>
      </c>
      <c r="G1051">
        <v>-225.73869999999999</v>
      </c>
      <c r="H1051" s="1">
        <v>-3.229133E-6</v>
      </c>
      <c r="I1051">
        <v>374.94850000000002</v>
      </c>
      <c r="J1051">
        <v>-306.45400000000001</v>
      </c>
      <c r="K1051">
        <v>1.059175</v>
      </c>
      <c r="L1051">
        <v>367.8981</v>
      </c>
      <c r="M1051">
        <v>0.99995210000000001</v>
      </c>
      <c r="N1051">
        <v>-9.1220220000000005E-3</v>
      </c>
      <c r="O1051">
        <v>3.5863359999999999E-3</v>
      </c>
      <c r="P1051">
        <v>0.98725799999999997</v>
      </c>
      <c r="Q1051">
        <v>-0.15222949999999999</v>
      </c>
      <c r="R1051">
        <v>4.6346409999999998E-2</v>
      </c>
      <c r="S1051">
        <v>3.0200499999999999</v>
      </c>
      <c r="T1051">
        <v>-3.9522290000000002E-2</v>
      </c>
      <c r="U1051">
        <v>0.26309199999999999</v>
      </c>
      <c r="V1051">
        <v>-4.2811009999999997E-2</v>
      </c>
      <c r="W1051">
        <v>-0.14321429999999999</v>
      </c>
      <c r="X1051">
        <v>0.98876540000000002</v>
      </c>
      <c r="Y1051">
        <v>-8.3200910000000003E-2</v>
      </c>
      <c r="Z1051">
        <v>9.094048E-4</v>
      </c>
      <c r="AA1051">
        <v>0.99653239999999998</v>
      </c>
      <c r="AB1051">
        <v>40</v>
      </c>
      <c r="AC1051">
        <v>80.715299999999999</v>
      </c>
      <c r="AD1051">
        <v>-1.0591782291329901</v>
      </c>
      <c r="AE1051">
        <v>7.0504000000000202</v>
      </c>
      <c r="AF1051">
        <v>-6.7597152740980802</v>
      </c>
      <c r="AG1051">
        <v>-1.0591782291329901</v>
      </c>
      <c r="AH1051">
        <v>80.726271446442198</v>
      </c>
      <c r="AI1051">
        <v>90.7490913237</v>
      </c>
      <c r="AJ1051">
        <v>94.786567158540905</v>
      </c>
      <c r="AK1051">
        <v>81.015717677205103</v>
      </c>
      <c r="AL1051">
        <v>98.233886343503201</v>
      </c>
      <c r="AM1051">
        <v>92.479212082398405</v>
      </c>
      <c r="AN1051">
        <v>1.00000006726943</v>
      </c>
    </row>
    <row r="1052" spans="1:40" x14ac:dyDescent="0.25">
      <c r="A1052" t="str">
        <f>"20190305134925279"</f>
        <v>20190305134925279</v>
      </c>
      <c r="B1052" t="str">
        <f>"1551764965271821"</f>
        <v>1551764965271821</v>
      </c>
      <c r="C1052" t="s">
        <v>40</v>
      </c>
      <c r="D1052">
        <v>3.947368</v>
      </c>
      <c r="E1052">
        <v>0.48639260000000001</v>
      </c>
      <c r="F1052" t="s">
        <v>42</v>
      </c>
      <c r="G1052">
        <v>-226.8818</v>
      </c>
      <c r="H1052" s="1">
        <v>-2.7196219999999999E-6</v>
      </c>
      <c r="I1052">
        <v>374.8766</v>
      </c>
      <c r="J1052">
        <v>-306.21120000000002</v>
      </c>
      <c r="K1052">
        <v>1.0591159999999999</v>
      </c>
      <c r="L1052">
        <v>367.899</v>
      </c>
      <c r="M1052">
        <v>0.99995239999999996</v>
      </c>
      <c r="N1052">
        <v>-9.0776929999999995E-3</v>
      </c>
      <c r="O1052">
        <v>3.5867189999999999E-3</v>
      </c>
      <c r="P1052">
        <v>0.9872206</v>
      </c>
      <c r="Q1052">
        <v>-0.1525348</v>
      </c>
      <c r="R1052">
        <v>4.6137669999999999E-2</v>
      </c>
      <c r="S1052">
        <v>3.020111</v>
      </c>
      <c r="T1052">
        <v>-4.0200350000000003E-2</v>
      </c>
      <c r="U1052">
        <v>0.26486209999999999</v>
      </c>
      <c r="V1052">
        <v>-4.2601849999999997E-2</v>
      </c>
      <c r="W1052">
        <v>-0.14356369999999999</v>
      </c>
      <c r="X1052">
        <v>0.98872369999999998</v>
      </c>
      <c r="Y1052">
        <v>-8.3778019999999995E-2</v>
      </c>
      <c r="Z1052">
        <v>9.2235869999999999E-4</v>
      </c>
      <c r="AA1052">
        <v>0.99648400000000004</v>
      </c>
      <c r="AB1052">
        <v>40</v>
      </c>
      <c r="AC1052">
        <v>79.329400000000007</v>
      </c>
      <c r="AD1052">
        <v>-1.059118719622</v>
      </c>
      <c r="AE1052">
        <v>6.97759999999999</v>
      </c>
      <c r="AF1052">
        <v>-6.6918274966572397</v>
      </c>
      <c r="AG1052">
        <v>-1.059118719622</v>
      </c>
      <c r="AH1052">
        <v>79.339883923785194</v>
      </c>
      <c r="AI1052">
        <v>90.762097984216197</v>
      </c>
      <c r="AJ1052">
        <v>94.821133199723803</v>
      </c>
      <c r="AK1052">
        <v>79.628634728638801</v>
      </c>
      <c r="AL1052">
        <v>98.254115041044898</v>
      </c>
      <c r="AM1052">
        <v>92.467218423866996</v>
      </c>
      <c r="AN1052">
        <v>1.0000000042613999</v>
      </c>
    </row>
    <row r="1053" spans="1:40" x14ac:dyDescent="0.25">
      <c r="A1053" t="str">
        <f>"20190305134925292"</f>
        <v>20190305134925292</v>
      </c>
      <c r="B1053" t="str">
        <f>"1551764965281581"</f>
        <v>1551764965281581</v>
      </c>
      <c r="C1053" t="s">
        <v>40</v>
      </c>
      <c r="D1053">
        <v>3.9388010000000002</v>
      </c>
      <c r="E1053">
        <v>0.48636950000000001</v>
      </c>
      <c r="F1053" t="s">
        <v>42</v>
      </c>
      <c r="G1053">
        <v>-228.03229999999999</v>
      </c>
      <c r="H1053" s="1">
        <v>-2.192494E-6</v>
      </c>
      <c r="I1053">
        <v>374.75029999999998</v>
      </c>
      <c r="J1053">
        <v>-305.97989999999999</v>
      </c>
      <c r="K1053">
        <v>1.059061</v>
      </c>
      <c r="L1053">
        <v>367.8999</v>
      </c>
      <c r="M1053">
        <v>0.99995290000000003</v>
      </c>
      <c r="N1053">
        <v>-9.0382099999999996E-3</v>
      </c>
      <c r="O1053">
        <v>3.587079E-3</v>
      </c>
      <c r="P1053">
        <v>0.98721769999999998</v>
      </c>
      <c r="Q1053">
        <v>-0.15265419999999999</v>
      </c>
      <c r="R1053">
        <v>4.5807889999999997E-2</v>
      </c>
      <c r="S1053">
        <v>3.020203</v>
      </c>
      <c r="T1053">
        <v>-4.0915729999999997E-2</v>
      </c>
      <c r="U1053">
        <v>0.264679</v>
      </c>
      <c r="V1053">
        <v>-4.2271789999999997E-2</v>
      </c>
      <c r="W1053">
        <v>-0.14372219999999999</v>
      </c>
      <c r="X1053">
        <v>0.9887148</v>
      </c>
      <c r="Y1053">
        <v>-8.3714769999999994E-2</v>
      </c>
      <c r="Z1053">
        <v>9.2888400000000005E-4</v>
      </c>
      <c r="AA1053">
        <v>0.99648930000000002</v>
      </c>
      <c r="AB1053">
        <v>40</v>
      </c>
      <c r="AC1053">
        <v>77.947599999999994</v>
      </c>
      <c r="AD1053">
        <v>-1.0590631924939999</v>
      </c>
      <c r="AE1053">
        <v>6.8503999999999703</v>
      </c>
      <c r="AF1053">
        <v>-6.5695368941732903</v>
      </c>
      <c r="AG1053">
        <v>-1.0590631924939999</v>
      </c>
      <c r="AH1053">
        <v>77.957391551237507</v>
      </c>
      <c r="AI1053">
        <v>90.775575430332907</v>
      </c>
      <c r="AJ1053">
        <v>94.816983739606002</v>
      </c>
      <c r="AK1053">
        <v>78.240880154319299</v>
      </c>
      <c r="AL1053">
        <v>98.263291910324597</v>
      </c>
      <c r="AM1053">
        <v>92.448148880970095</v>
      </c>
      <c r="AN1053">
        <v>0.99999996537084102</v>
      </c>
    </row>
    <row r="1054" spans="1:40" x14ac:dyDescent="0.25">
      <c r="A1054" t="str">
        <f>"20190305134925304"</f>
        <v>20190305134925304</v>
      </c>
      <c r="B1054" t="str">
        <f>"1551764965291340"</f>
        <v>1551764965291340</v>
      </c>
      <c r="C1054" t="s">
        <v>40</v>
      </c>
      <c r="D1054">
        <v>3.9090340000000001</v>
      </c>
      <c r="E1054">
        <v>0.48635299999999998</v>
      </c>
      <c r="F1054" t="s">
        <v>42</v>
      </c>
      <c r="G1054">
        <v>-227.32730000000001</v>
      </c>
      <c r="H1054" s="1">
        <v>-2.4995649999999998E-6</v>
      </c>
      <c r="I1054">
        <v>374.76769999999999</v>
      </c>
      <c r="J1054">
        <v>-305.76190000000003</v>
      </c>
      <c r="K1054">
        <v>1.0590170000000001</v>
      </c>
      <c r="L1054">
        <v>367.9006</v>
      </c>
      <c r="M1054">
        <v>0.99995319999999999</v>
      </c>
      <c r="N1054">
        <v>-9.0051929999999999E-3</v>
      </c>
      <c r="O1054">
        <v>3.5874090000000002E-3</v>
      </c>
      <c r="P1054">
        <v>0.98725430000000003</v>
      </c>
      <c r="Q1054">
        <v>-0.152408399999999</v>
      </c>
      <c r="R1054">
        <v>4.5837120000000002E-2</v>
      </c>
      <c r="S1054">
        <v>3.0203250000000001</v>
      </c>
      <c r="T1054">
        <v>-4.0668849999999999E-2</v>
      </c>
      <c r="U1054">
        <v>0.26373289999999999</v>
      </c>
      <c r="V1054">
        <v>-4.2300459999999998E-2</v>
      </c>
      <c r="W1054">
        <v>-0.14350869999999999</v>
      </c>
      <c r="X1054">
        <v>0.98874459999999997</v>
      </c>
      <c r="Y1054">
        <v>-8.3401349999999999E-2</v>
      </c>
      <c r="Z1054">
        <v>9.207188E-4</v>
      </c>
      <c r="AA1054">
        <v>0.99651559999999995</v>
      </c>
      <c r="AB1054">
        <v>40</v>
      </c>
      <c r="AC1054">
        <v>78.434600000000003</v>
      </c>
      <c r="AD1054">
        <v>-1.059019499565</v>
      </c>
      <c r="AE1054">
        <v>6.86709999999999</v>
      </c>
      <c r="AF1054">
        <v>-6.5844762249968403</v>
      </c>
      <c r="AG1054">
        <v>-1.059019499565</v>
      </c>
      <c r="AH1054">
        <v>78.444539493629904</v>
      </c>
      <c r="AI1054">
        <v>90.770749246622401</v>
      </c>
      <c r="AJ1054">
        <v>94.798044772552899</v>
      </c>
      <c r="AK1054">
        <v>78.727521400242694</v>
      </c>
      <c r="AL1054">
        <v>98.250931002491797</v>
      </c>
      <c r="AM1054">
        <v>92.449733521602099</v>
      </c>
      <c r="AN1054">
        <v>0.99999997996053003</v>
      </c>
    </row>
    <row r="1055" spans="1:40" x14ac:dyDescent="0.25">
      <c r="A1055" t="str">
        <f>"20190305134925314"</f>
        <v>20190305134925314</v>
      </c>
      <c r="B1055" t="str">
        <f>"1551764965311837"</f>
        <v>1551764965311837</v>
      </c>
      <c r="C1055" t="s">
        <v>40</v>
      </c>
      <c r="D1055">
        <v>3.9526810000000001</v>
      </c>
      <c r="E1055">
        <v>0.48627939999999997</v>
      </c>
      <c r="F1055" t="s">
        <v>42</v>
      </c>
      <c r="G1055">
        <v>-224.54949999999999</v>
      </c>
      <c r="H1055" s="1">
        <v>-3.683978E-6</v>
      </c>
      <c r="I1055">
        <v>375.00670000000002</v>
      </c>
      <c r="J1055">
        <v>-305.57499999999999</v>
      </c>
      <c r="K1055">
        <v>1.0589839999999999</v>
      </c>
      <c r="L1055">
        <v>367.90129999999999</v>
      </c>
      <c r="M1055">
        <v>0.99995339999999999</v>
      </c>
      <c r="N1055">
        <v>-8.978616E-3</v>
      </c>
      <c r="O1055">
        <v>3.5877090000000001E-3</v>
      </c>
      <c r="P1055">
        <v>0.98727100000000001</v>
      </c>
      <c r="Q1055">
        <v>-0.15226310000000001</v>
      </c>
      <c r="R1055">
        <v>4.5961670000000003E-2</v>
      </c>
      <c r="S1055">
        <v>3.0203859999999998</v>
      </c>
      <c r="T1055">
        <v>-3.9386150000000002E-2</v>
      </c>
      <c r="U1055">
        <v>0.26428220000000002</v>
      </c>
      <c r="V1055">
        <v>-4.2425190000000002E-2</v>
      </c>
      <c r="W1055">
        <v>-0.14338960000000001</v>
      </c>
      <c r="X1055">
        <v>0.98875650000000004</v>
      </c>
      <c r="Y1055">
        <v>-8.3579769999999998E-2</v>
      </c>
      <c r="Z1055">
        <v>9.053094E-4</v>
      </c>
      <c r="AA1055">
        <v>0.99650070000000002</v>
      </c>
      <c r="AB1055">
        <v>40</v>
      </c>
      <c r="AC1055">
        <v>81.025499999999994</v>
      </c>
      <c r="AD1055">
        <v>-1.0589876839779999</v>
      </c>
      <c r="AE1055">
        <v>7.1054000000000297</v>
      </c>
      <c r="AF1055">
        <v>-6.8134916778587398</v>
      </c>
      <c r="AG1055">
        <v>-1.0589876839779999</v>
      </c>
      <c r="AH1055">
        <v>81.036734577114899</v>
      </c>
      <c r="AI1055">
        <v>90.746066237824195</v>
      </c>
      <c r="AJ1055">
        <v>94.806070830940499</v>
      </c>
      <c r="AK1055">
        <v>81.329560890741604</v>
      </c>
      <c r="AL1055">
        <v>98.244036050738501</v>
      </c>
      <c r="AM1055">
        <v>92.456918598793806</v>
      </c>
      <c r="AN1055">
        <v>0.99999994521347102</v>
      </c>
    </row>
    <row r="1056" spans="1:40" x14ac:dyDescent="0.25">
      <c r="A1056" t="str">
        <f>"20190305134925325"</f>
        <v>20190305134925325</v>
      </c>
      <c r="B1056" t="str">
        <f>"1551764965321597"</f>
        <v>1551764965321597</v>
      </c>
      <c r="C1056" t="s">
        <v>40</v>
      </c>
      <c r="D1056">
        <v>3.978958</v>
      </c>
      <c r="E1056">
        <v>0.4862283</v>
      </c>
      <c r="F1056" t="s">
        <v>42</v>
      </c>
      <c r="G1056">
        <v>-218.86869999999999</v>
      </c>
      <c r="H1056" s="1">
        <v>-2.039558E-6</v>
      </c>
      <c r="I1056">
        <v>375.52429999999998</v>
      </c>
      <c r="J1056">
        <v>-305.37009999999998</v>
      </c>
      <c r="K1056">
        <v>1.0589470000000001</v>
      </c>
      <c r="L1056">
        <v>367.90210000000002</v>
      </c>
      <c r="M1056">
        <v>0.9999536</v>
      </c>
      <c r="N1056">
        <v>-8.9519170000000002E-3</v>
      </c>
      <c r="O1056">
        <v>3.587949E-3</v>
      </c>
      <c r="P1056">
        <v>0.98729540000000005</v>
      </c>
      <c r="Q1056">
        <v>-0.15206689999999901</v>
      </c>
      <c r="R1056">
        <v>4.608019E-2</v>
      </c>
      <c r="S1056">
        <v>3.0206300000000001</v>
      </c>
      <c r="T1056">
        <v>-3.689241E-2</v>
      </c>
      <c r="U1056">
        <v>0.26556400000000002</v>
      </c>
      <c r="V1056">
        <v>-4.254318E-2</v>
      </c>
      <c r="W1056">
        <v>-0.1432196</v>
      </c>
      <c r="X1056">
        <v>0.98877610000000005</v>
      </c>
      <c r="Y1056">
        <v>-8.3993289999999998E-2</v>
      </c>
      <c r="Z1056">
        <v>8.7695030000000003E-4</v>
      </c>
      <c r="AA1056">
        <v>0.99646590000000002</v>
      </c>
      <c r="AB1056">
        <v>40</v>
      </c>
      <c r="AC1056">
        <v>86.501399999999904</v>
      </c>
      <c r="AD1056">
        <v>-1.0589490395579999</v>
      </c>
      <c r="AE1056">
        <v>7.6221999999999603</v>
      </c>
      <c r="AF1056">
        <v>-7.3106887349658001</v>
      </c>
      <c r="AG1056">
        <v>-1.0589490395579999</v>
      </c>
      <c r="AH1056">
        <v>86.515326498071801</v>
      </c>
      <c r="AI1056">
        <v>90.698776147434501</v>
      </c>
      <c r="AJ1056">
        <v>94.830113784419098</v>
      </c>
      <c r="AK1056">
        <v>86.830117251538397</v>
      </c>
      <c r="AL1056">
        <v>98.234193931212502</v>
      </c>
      <c r="AM1056">
        <v>92.463694425067104</v>
      </c>
      <c r="AN1056">
        <v>0.99999997595994095</v>
      </c>
    </row>
    <row r="1057" spans="1:40" x14ac:dyDescent="0.25">
      <c r="A1057" t="str">
        <f>"20190305134925336"</f>
        <v>20190305134925336</v>
      </c>
      <c r="B1057" t="str">
        <f>"1551764965331357"</f>
        <v>1551764965331357</v>
      </c>
      <c r="C1057" t="s">
        <v>40</v>
      </c>
      <c r="D1057">
        <v>3.9509240000000001</v>
      </c>
      <c r="E1057">
        <v>0.48619760000000001</v>
      </c>
      <c r="F1057" t="s">
        <v>42</v>
      </c>
      <c r="G1057">
        <v>-216.31620000000001</v>
      </c>
      <c r="H1057" s="1">
        <v>-3.197865E-6</v>
      </c>
      <c r="I1057">
        <v>375.762</v>
      </c>
      <c r="J1057">
        <v>-305.17959999999999</v>
      </c>
      <c r="K1057">
        <v>1.058916</v>
      </c>
      <c r="L1057">
        <v>367.90280000000001</v>
      </c>
      <c r="M1057">
        <v>0.9999538</v>
      </c>
      <c r="N1057">
        <v>-8.9292060000000003E-3</v>
      </c>
      <c r="O1057">
        <v>3.5882309999999999E-3</v>
      </c>
      <c r="P1057">
        <v>0.98722619999999905</v>
      </c>
      <c r="Q1057">
        <v>-0.15244089999999999</v>
      </c>
      <c r="R1057">
        <v>4.6329090000000003E-2</v>
      </c>
      <c r="S1057">
        <v>3.0206300000000001</v>
      </c>
      <c r="T1057">
        <v>-3.591859E-2</v>
      </c>
      <c r="U1057">
        <v>0.26660159999999899</v>
      </c>
      <c r="V1057">
        <v>-4.2791990000000002E-2</v>
      </c>
      <c r="W1057">
        <v>-0.14361660000000001</v>
      </c>
      <c r="X1057">
        <v>0.98870780000000003</v>
      </c>
      <c r="Y1057">
        <v>-8.4333069999999996E-2</v>
      </c>
      <c r="Z1057">
        <v>8.6708830000000001E-4</v>
      </c>
      <c r="AA1057">
        <v>0.99643729999999997</v>
      </c>
      <c r="AB1057">
        <v>40</v>
      </c>
      <c r="AC1057">
        <v>88.863399999999899</v>
      </c>
      <c r="AD1057">
        <v>-1.0589191978650001</v>
      </c>
      <c r="AE1057">
        <v>7.8591999999999196</v>
      </c>
      <c r="AF1057">
        <v>-7.5392120765317001</v>
      </c>
      <c r="AG1057">
        <v>-1.0589191978650001</v>
      </c>
      <c r="AH1057">
        <v>88.878507073432303</v>
      </c>
      <c r="AI1057">
        <v>90.680160525292493</v>
      </c>
      <c r="AJ1057">
        <v>94.848567275779502</v>
      </c>
      <c r="AK1057">
        <v>89.203980002041902</v>
      </c>
      <c r="AL1057">
        <v>98.257177777757093</v>
      </c>
      <c r="AM1057">
        <v>92.478256185369304</v>
      </c>
      <c r="AN1057">
        <v>0.99999999799228001</v>
      </c>
    </row>
    <row r="1058" spans="1:40" x14ac:dyDescent="0.25">
      <c r="A1058" t="str">
        <f>"20190305134925346"</f>
        <v>20190305134925346</v>
      </c>
      <c r="B1058" t="str">
        <f>"1551764965342093"</f>
        <v>1551764965342093</v>
      </c>
      <c r="C1058" t="s">
        <v>40</v>
      </c>
      <c r="D1058">
        <v>3.9218790000000001</v>
      </c>
      <c r="E1058">
        <v>0.48615380000000002</v>
      </c>
      <c r="F1058" t="s">
        <v>42</v>
      </c>
      <c r="G1058">
        <v>-218.6747</v>
      </c>
      <c r="H1058" s="1">
        <v>-2.1366500000000001E-6</v>
      </c>
      <c r="I1058">
        <v>375.57639999999998</v>
      </c>
      <c r="J1058">
        <v>-304.97300000000001</v>
      </c>
      <c r="K1058">
        <v>1.0588839999999999</v>
      </c>
      <c r="L1058">
        <v>367.90350000000001</v>
      </c>
      <c r="M1058">
        <v>0.99995400000000001</v>
      </c>
      <c r="N1058">
        <v>-8.9060219999999995E-3</v>
      </c>
      <c r="O1058">
        <v>3.5885140000000001E-3</v>
      </c>
      <c r="P1058">
        <v>0.98708669999999998</v>
      </c>
      <c r="Q1058">
        <v>-0.1533506</v>
      </c>
      <c r="R1058">
        <v>4.6302839999999998E-2</v>
      </c>
      <c r="S1058">
        <v>3.0205380000000002</v>
      </c>
      <c r="T1058">
        <v>-3.697479E-2</v>
      </c>
      <c r="U1058">
        <v>0.26794430000000002</v>
      </c>
      <c r="V1058">
        <v>-4.2765839999999999E-2</v>
      </c>
      <c r="W1058">
        <v>-0.1445504</v>
      </c>
      <c r="X1058">
        <v>0.98857280000000003</v>
      </c>
      <c r="Y1058">
        <v>-8.4774409999999994E-2</v>
      </c>
      <c r="Z1058">
        <v>8.8416449999999995E-4</v>
      </c>
      <c r="AA1058">
        <v>0.99639979999999995</v>
      </c>
      <c r="AB1058">
        <v>40</v>
      </c>
      <c r="AC1058">
        <v>86.298299999999998</v>
      </c>
      <c r="AD1058">
        <v>-1.05888613665</v>
      </c>
      <c r="AE1058">
        <v>7.6728999999999701</v>
      </c>
      <c r="AF1058">
        <v>-7.36205598467338</v>
      </c>
      <c r="AG1058">
        <v>-1.05888613665</v>
      </c>
      <c r="AH1058">
        <v>86.312386895677804</v>
      </c>
      <c r="AI1058">
        <v>90.700330503347999</v>
      </c>
      <c r="AJ1058">
        <v>94.875270496295798</v>
      </c>
      <c r="AK1058">
        <v>86.632264427296505</v>
      </c>
      <c r="AL1058">
        <v>98.311245073055503</v>
      </c>
      <c r="AM1058">
        <v>92.477081424298902</v>
      </c>
      <c r="AN1058">
        <v>0.99999995805545205</v>
      </c>
    </row>
    <row r="1059" spans="1:40" x14ac:dyDescent="0.25">
      <c r="A1059" t="str">
        <f>"20190305134925359"</f>
        <v>20190305134925359</v>
      </c>
      <c r="B1059" t="str">
        <f>"1551764965351853"</f>
        <v>1551764965351853</v>
      </c>
      <c r="C1059" t="s">
        <v>40</v>
      </c>
      <c r="D1059">
        <v>3.9629180000000002</v>
      </c>
      <c r="E1059">
        <v>0.486232</v>
      </c>
      <c r="F1059" t="s">
        <v>42</v>
      </c>
      <c r="G1059">
        <v>-224.52809999999999</v>
      </c>
      <c r="H1059" s="1">
        <v>-3.69869E-6</v>
      </c>
      <c r="I1059">
        <v>375.04860000000002</v>
      </c>
      <c r="J1059">
        <v>-304.76510000000002</v>
      </c>
      <c r="K1059">
        <v>1.0588580000000001</v>
      </c>
      <c r="L1059">
        <v>367.90429999999998</v>
      </c>
      <c r="M1059">
        <v>0.99995409999999996</v>
      </c>
      <c r="N1059">
        <v>-8.8854409999999905E-3</v>
      </c>
      <c r="O1059">
        <v>3.5887860000000001E-3</v>
      </c>
      <c r="P1059">
        <v>0.98694409999999999</v>
      </c>
      <c r="Q1059">
        <v>-0.15427279999999999</v>
      </c>
      <c r="R1059">
        <v>4.6274139999999998E-2</v>
      </c>
      <c r="S1059">
        <v>3.020508</v>
      </c>
      <c r="T1059">
        <v>-3.9758559999999998E-2</v>
      </c>
      <c r="U1059">
        <v>0.26828000000000002</v>
      </c>
      <c r="V1059">
        <v>-4.2737240000000003E-2</v>
      </c>
      <c r="W1059">
        <v>-0.14549419999999999</v>
      </c>
      <c r="X1059">
        <v>0.98843559999999997</v>
      </c>
      <c r="Y1059">
        <v>-8.4883589999999995E-2</v>
      </c>
      <c r="Z1059">
        <v>9.2010900000000001E-4</v>
      </c>
      <c r="AA1059">
        <v>0.99639049999999996</v>
      </c>
      <c r="AB1059">
        <v>40</v>
      </c>
      <c r="AC1059">
        <v>80.236999999999995</v>
      </c>
      <c r="AD1059">
        <v>-1.0588616986899999</v>
      </c>
      <c r="AE1059">
        <v>7.1443000000000403</v>
      </c>
      <c r="AF1059">
        <v>-6.8551047621504599</v>
      </c>
      <c r="AG1059">
        <v>-1.0588616986899999</v>
      </c>
      <c r="AH1059">
        <v>80.2482581432579</v>
      </c>
      <c r="AI1059">
        <v>90.753221003264102</v>
      </c>
      <c r="AJ1059">
        <v>94.882565297550997</v>
      </c>
      <c r="AK1059">
        <v>80.547480310832597</v>
      </c>
      <c r="AL1059">
        <v>98.365898386388295</v>
      </c>
      <c r="AM1059">
        <v>92.475770092126098</v>
      </c>
      <c r="AN1059">
        <v>0.99999998463190798</v>
      </c>
    </row>
    <row r="1060" spans="1:40" x14ac:dyDescent="0.25">
      <c r="A1060" t="str">
        <f>"20190305134925371"</f>
        <v>20190305134925371</v>
      </c>
      <c r="B1060" t="str">
        <f>"1551764965361613"</f>
        <v>1551764965361613</v>
      </c>
      <c r="C1060" t="s">
        <v>40</v>
      </c>
      <c r="D1060">
        <v>3.9527779999999999</v>
      </c>
      <c r="E1060">
        <v>0.48620049999999998</v>
      </c>
      <c r="F1060" t="s">
        <v>42</v>
      </c>
      <c r="G1060">
        <v>-228.33690000000001</v>
      </c>
      <c r="H1060" s="1">
        <v>-2.0466029999999999E-6</v>
      </c>
      <c r="I1060">
        <v>374.69330000000002</v>
      </c>
      <c r="J1060">
        <v>-304.53789999999998</v>
      </c>
      <c r="K1060">
        <v>1.058829</v>
      </c>
      <c r="L1060">
        <v>367.90519999999998</v>
      </c>
      <c r="M1060">
        <v>0.99995420000000002</v>
      </c>
      <c r="N1060">
        <v>-8.8641420000000002E-3</v>
      </c>
      <c r="O1060">
        <v>3.5890599999999998E-3</v>
      </c>
      <c r="P1060">
        <v>0.98682559999999997</v>
      </c>
      <c r="Q1060">
        <v>-0.15507679999999999</v>
      </c>
      <c r="R1060">
        <v>4.6112779999999999E-2</v>
      </c>
      <c r="S1060">
        <v>3.0205380000000002</v>
      </c>
      <c r="T1060">
        <v>-4.1847469999999998E-2</v>
      </c>
      <c r="U1060">
        <v>0.26831050000000001</v>
      </c>
      <c r="V1060">
        <v>-4.2575990000000001E-2</v>
      </c>
      <c r="W1060">
        <v>-0.14632029999999999</v>
      </c>
      <c r="X1060">
        <v>0.98832059999999999</v>
      </c>
      <c r="Y1060">
        <v>-8.4891380000000002E-2</v>
      </c>
      <c r="Z1060">
        <v>9.4602399999999995E-4</v>
      </c>
      <c r="AA1060">
        <v>0.99638970000000004</v>
      </c>
      <c r="AB1060">
        <v>40</v>
      </c>
      <c r="AC1060">
        <v>76.200999999999894</v>
      </c>
      <c r="AD1060">
        <v>-1.058831046603</v>
      </c>
      <c r="AE1060">
        <v>6.78810000000004</v>
      </c>
      <c r="AF1060">
        <v>-6.5133078774616902</v>
      </c>
      <c r="AG1060">
        <v>-1.058831046603</v>
      </c>
      <c r="AH1060">
        <v>76.2102743785059</v>
      </c>
      <c r="AI1060">
        <v>90.793099543675893</v>
      </c>
      <c r="AJ1060">
        <v>94.884910900129896</v>
      </c>
      <c r="AK1060">
        <v>76.495426160908494</v>
      </c>
      <c r="AL1060">
        <v>98.413742512876098</v>
      </c>
      <c r="AM1060">
        <v>92.466727068577498</v>
      </c>
      <c r="AN1060">
        <v>0.99999997675046404</v>
      </c>
    </row>
    <row r="1061" spans="1:40" x14ac:dyDescent="0.25">
      <c r="A1061" t="str">
        <f>"20190305134925383"</f>
        <v>20190305134925383</v>
      </c>
      <c r="B1061" t="str">
        <f>"1551764965371373"</f>
        <v>1551764965371373</v>
      </c>
      <c r="C1061" t="s">
        <v>40</v>
      </c>
      <c r="D1061">
        <v>3.9597989999999998</v>
      </c>
      <c r="E1061">
        <v>0.48618329999999998</v>
      </c>
      <c r="F1061" t="s">
        <v>42</v>
      </c>
      <c r="G1061">
        <v>-233.01310000000001</v>
      </c>
      <c r="H1061" s="1">
        <v>-4.0747670000000001E-6</v>
      </c>
      <c r="I1061">
        <v>374.26220000000001</v>
      </c>
      <c r="J1061">
        <v>-304.33550000000002</v>
      </c>
      <c r="K1061">
        <v>1.05881</v>
      </c>
      <c r="L1061">
        <v>367.90589999999997</v>
      </c>
      <c r="M1061">
        <v>0.99995449999999997</v>
      </c>
      <c r="N1061">
        <v>-8.8476890000000006E-3</v>
      </c>
      <c r="O1061">
        <v>3.5893129999999998E-3</v>
      </c>
      <c r="P1061">
        <v>0.98674600000000001</v>
      </c>
      <c r="Q1061">
        <v>-0.1556662</v>
      </c>
      <c r="R1061">
        <v>4.5833100000000002E-2</v>
      </c>
      <c r="S1061">
        <v>3.020508</v>
      </c>
      <c r="T1061">
        <v>-4.4714690000000001E-2</v>
      </c>
      <c r="U1061">
        <v>0.26846310000000001</v>
      </c>
      <c r="V1061">
        <v>-4.2296449999999999E-2</v>
      </c>
      <c r="W1061">
        <v>-0.14692669999999999</v>
      </c>
      <c r="X1061">
        <v>0.98824270000000003</v>
      </c>
      <c r="Y1061">
        <v>-8.4940479999999999E-2</v>
      </c>
      <c r="Z1061">
        <v>9.8265869999999999E-4</v>
      </c>
      <c r="AA1061">
        <v>0.99638550000000004</v>
      </c>
      <c r="AB1061">
        <v>41</v>
      </c>
      <c r="AC1061">
        <v>71.322400000000002</v>
      </c>
      <c r="AD1061">
        <v>-1.0588140747669901</v>
      </c>
      <c r="AE1061">
        <v>6.3563000000000303</v>
      </c>
      <c r="AF1061">
        <v>-6.0989171000883804</v>
      </c>
      <c r="AG1061">
        <v>-1.0588140747669901</v>
      </c>
      <c r="AH1061">
        <v>71.329159972153803</v>
      </c>
      <c r="AI1061">
        <v>90.847347976492401</v>
      </c>
      <c r="AJ1061">
        <v>94.887122543854204</v>
      </c>
      <c r="AK1061">
        <v>71.597255110596095</v>
      </c>
      <c r="AL1061">
        <v>98.4488657457117</v>
      </c>
      <c r="AM1061">
        <v>92.450744089445394</v>
      </c>
      <c r="AN1061">
        <v>1.00000003947939</v>
      </c>
    </row>
    <row r="1062" spans="1:40" x14ac:dyDescent="0.25">
      <c r="A1062" t="str">
        <f>"20190305134925393"</f>
        <v>20190305134925393</v>
      </c>
      <c r="B1062" t="str">
        <f>"1551764965391869"</f>
        <v>1551764965391869</v>
      </c>
      <c r="C1062" t="s">
        <v>40</v>
      </c>
      <c r="D1062">
        <v>3.9732449999999999</v>
      </c>
      <c r="E1062">
        <v>0.4861241</v>
      </c>
      <c r="F1062" t="s">
        <v>42</v>
      </c>
      <c r="G1062">
        <v>-236.43289999999999</v>
      </c>
      <c r="H1062" s="1">
        <v>-2.6609670000000002E-6</v>
      </c>
      <c r="I1062">
        <v>373.9323</v>
      </c>
      <c r="J1062">
        <v>-304.12970000000001</v>
      </c>
      <c r="K1062">
        <v>1.0587930000000001</v>
      </c>
      <c r="L1062">
        <v>367.90660000000003</v>
      </c>
      <c r="M1062">
        <v>0.99995460000000003</v>
      </c>
      <c r="N1062">
        <v>-8.83197199999999E-3</v>
      </c>
      <c r="O1062">
        <v>3.5895020000000001E-3</v>
      </c>
      <c r="P1062">
        <v>0.9867726</v>
      </c>
      <c r="Q1062">
        <v>-0.15560389999999999</v>
      </c>
      <c r="R1062">
        <v>4.5471890000000001E-2</v>
      </c>
      <c r="S1062">
        <v>3.020416</v>
      </c>
      <c r="T1062">
        <v>-4.7097559999999997E-2</v>
      </c>
      <c r="U1062">
        <v>0.26806639999999998</v>
      </c>
      <c r="V1062">
        <v>-4.1935300000000002E-2</v>
      </c>
      <c r="W1062">
        <v>-0.1468797</v>
      </c>
      <c r="X1062">
        <v>0.98826499999999995</v>
      </c>
      <c r="Y1062">
        <v>-8.4811849999999994E-2</v>
      </c>
      <c r="Z1062">
        <v>1.010993E-3</v>
      </c>
      <c r="AA1062">
        <v>0.99639650000000002</v>
      </c>
      <c r="AB1062">
        <v>41</v>
      </c>
      <c r="AC1062">
        <v>67.696799999999996</v>
      </c>
      <c r="AD1062">
        <v>-1.058795660967</v>
      </c>
      <c r="AE1062">
        <v>6.0256999999999703</v>
      </c>
      <c r="AF1062">
        <v>-5.7812508313364397</v>
      </c>
      <c r="AG1062">
        <v>-1.058795660967</v>
      </c>
      <c r="AH1062">
        <v>67.701563120847098</v>
      </c>
      <c r="AI1062">
        <v>90.892736417611204</v>
      </c>
      <c r="AJ1062">
        <v>94.880827351170794</v>
      </c>
      <c r="AK1062">
        <v>67.956203237324502</v>
      </c>
      <c r="AL1062">
        <v>98.446143959284996</v>
      </c>
      <c r="AM1062">
        <v>92.429788734579603</v>
      </c>
      <c r="AN1062">
        <v>0.99999996294158899</v>
      </c>
    </row>
    <row r="1063" spans="1:40" x14ac:dyDescent="0.25">
      <c r="A1063" t="str">
        <f>"20190305134925405"</f>
        <v>20190305134925405</v>
      </c>
      <c r="B1063" t="str">
        <f>"1551764965401629"</f>
        <v>1551764965401629</v>
      </c>
      <c r="C1063" t="s">
        <v>40</v>
      </c>
      <c r="D1063">
        <v>3.949837</v>
      </c>
      <c r="E1063">
        <v>0.48612369999999999</v>
      </c>
      <c r="F1063" t="s">
        <v>42</v>
      </c>
      <c r="G1063">
        <v>-235.61529999999999</v>
      </c>
      <c r="H1063" s="1">
        <v>-3.0229849999999999E-6</v>
      </c>
      <c r="I1063">
        <v>373.97460000000001</v>
      </c>
      <c r="J1063">
        <v>-303.91109999999998</v>
      </c>
      <c r="K1063">
        <v>1.058778</v>
      </c>
      <c r="L1063">
        <v>367.9074</v>
      </c>
      <c r="M1063">
        <v>0.99995469999999997</v>
      </c>
      <c r="N1063">
        <v>-8.8170160000000004E-3</v>
      </c>
      <c r="O1063">
        <v>3.5897479999999998E-3</v>
      </c>
      <c r="P1063">
        <v>0.98692150000000001</v>
      </c>
      <c r="Q1063">
        <v>-0.1548629</v>
      </c>
      <c r="R1063">
        <v>4.4762469999999999E-2</v>
      </c>
      <c r="S1063">
        <v>3.0205380000000002</v>
      </c>
      <c r="T1063">
        <v>-4.6678190000000001E-2</v>
      </c>
      <c r="U1063">
        <v>0.26751710000000001</v>
      </c>
      <c r="V1063">
        <v>-4.1224909999999997E-2</v>
      </c>
      <c r="W1063">
        <v>-0.14615230000000001</v>
      </c>
      <c r="X1063">
        <v>0.98840280000000003</v>
      </c>
      <c r="Y1063">
        <v>-8.4628549999999997E-2</v>
      </c>
      <c r="Z1063">
        <v>1.0026779999999999E-3</v>
      </c>
      <c r="AA1063">
        <v>0.99641199999999996</v>
      </c>
      <c r="AB1063">
        <v>41</v>
      </c>
      <c r="AC1063">
        <v>68.2957999999999</v>
      </c>
      <c r="AD1063">
        <v>-1.0587810229850001</v>
      </c>
      <c r="AE1063">
        <v>6.0672000000000104</v>
      </c>
      <c r="AF1063">
        <v>-5.8205987036910196</v>
      </c>
      <c r="AG1063">
        <v>-1.0587810229850001</v>
      </c>
      <c r="AH1063">
        <v>68.300853665163302</v>
      </c>
      <c r="AI1063">
        <v>90.884905296425799</v>
      </c>
      <c r="AJ1063">
        <v>94.870977301596298</v>
      </c>
      <c r="AK1063">
        <v>68.556597041525507</v>
      </c>
      <c r="AL1063">
        <v>98.404011669673906</v>
      </c>
      <c r="AM1063">
        <v>92.388343216150702</v>
      </c>
      <c r="AN1063">
        <v>1.0000000415238099</v>
      </c>
    </row>
    <row r="1064" spans="1:40" x14ac:dyDescent="0.25">
      <c r="A1064" t="str">
        <f>"20190305134925421"</f>
        <v>20190305134925421</v>
      </c>
      <c r="B1064" t="str">
        <f>"1551764965411390"</f>
        <v>1551764965411390</v>
      </c>
      <c r="C1064" t="s">
        <v>40</v>
      </c>
      <c r="D1064">
        <v>3.9497010000000001</v>
      </c>
      <c r="E1064">
        <v>0.48616989999999999</v>
      </c>
      <c r="F1064" t="s">
        <v>42</v>
      </c>
      <c r="G1064">
        <v>-231.49279999999999</v>
      </c>
      <c r="H1064" s="1">
        <v>-4.5936730000000001E-6</v>
      </c>
      <c r="I1064">
        <v>374.27089999999998</v>
      </c>
      <c r="J1064">
        <v>-303.64760000000001</v>
      </c>
      <c r="K1064">
        <v>1.058773</v>
      </c>
      <c r="L1064">
        <v>367.90839999999997</v>
      </c>
      <c r="M1064">
        <v>0.99995489999999998</v>
      </c>
      <c r="N1064">
        <v>-8.80126E-3</v>
      </c>
      <c r="O1064">
        <v>3.590176E-3</v>
      </c>
      <c r="P1064">
        <v>0.98741920000000005</v>
      </c>
      <c r="Q1064">
        <v>-0.15197639999999901</v>
      </c>
      <c r="R1064">
        <v>4.366693E-2</v>
      </c>
      <c r="S1064">
        <v>3.0207820000000001</v>
      </c>
      <c r="T1064">
        <v>-4.41649E-2</v>
      </c>
      <c r="U1064">
        <v>0.26544190000000001</v>
      </c>
      <c r="V1064">
        <v>-4.0126820000000001E-2</v>
      </c>
      <c r="W1064">
        <v>-0.14327709999999999</v>
      </c>
      <c r="X1064">
        <v>0.98886879999999999</v>
      </c>
      <c r="Y1064">
        <v>-8.3943290000000004E-2</v>
      </c>
      <c r="Z1064">
        <v>9.6173470000000003E-4</v>
      </c>
      <c r="AA1064">
        <v>0.99647010000000003</v>
      </c>
      <c r="AB1064">
        <v>41</v>
      </c>
      <c r="AC1064">
        <v>72.154799999999994</v>
      </c>
      <c r="AD1064">
        <v>-1.058777593673</v>
      </c>
      <c r="AE1064">
        <v>6.3625000000000096</v>
      </c>
      <c r="AF1064">
        <v>-6.1020967971601898</v>
      </c>
      <c r="AG1064">
        <v>-1.058777593673</v>
      </c>
      <c r="AH1064">
        <v>72.161760526677298</v>
      </c>
      <c r="AI1064">
        <v>90.837610477021002</v>
      </c>
      <c r="AJ1064">
        <v>94.833510201440703</v>
      </c>
      <c r="AK1064">
        <v>72.427041066333103</v>
      </c>
      <c r="AL1064">
        <v>98.237522600627599</v>
      </c>
      <c r="AM1064">
        <v>92.323702362638002</v>
      </c>
      <c r="AN1064">
        <v>0.99999999634058101</v>
      </c>
    </row>
    <row r="1065" spans="1:40" x14ac:dyDescent="0.25">
      <c r="A1065" t="str">
        <f>"20190305134925433"</f>
        <v>20190305134925433</v>
      </c>
      <c r="B1065" t="str">
        <f>"1551764965422125"</f>
        <v>1551764965422125</v>
      </c>
      <c r="C1065" t="s">
        <v>40</v>
      </c>
      <c r="D1065">
        <v>3.9464350000000001</v>
      </c>
      <c r="E1065">
        <v>0.48615120000000001</v>
      </c>
      <c r="F1065" t="s">
        <v>42</v>
      </c>
      <c r="G1065">
        <v>-213.97059999999999</v>
      </c>
      <c r="H1065" s="1">
        <v>-4.0021040000000003E-6</v>
      </c>
      <c r="I1065">
        <v>375.68959999999998</v>
      </c>
      <c r="J1065">
        <v>-303.42540000000002</v>
      </c>
      <c r="K1065">
        <v>1.0587629999999999</v>
      </c>
      <c r="L1065">
        <v>367.90929999999997</v>
      </c>
      <c r="M1065">
        <v>0.99995500000000004</v>
      </c>
      <c r="N1065">
        <v>-8.7891940000000002E-3</v>
      </c>
      <c r="O1065">
        <v>3.5904079999999998E-3</v>
      </c>
      <c r="P1065">
        <v>0.98762240000000001</v>
      </c>
      <c r="Q1065">
        <v>-0.15077760000000001</v>
      </c>
      <c r="R1065">
        <v>4.3229240000000002E-2</v>
      </c>
      <c r="S1065">
        <v>3.0211790000000001</v>
      </c>
      <c r="T1065">
        <v>-3.5669680000000002E-2</v>
      </c>
      <c r="U1065">
        <v>0.26214599999999999</v>
      </c>
      <c r="V1065">
        <v>-3.9688559999999998E-2</v>
      </c>
      <c r="W1065">
        <v>-0.14208860000000001</v>
      </c>
      <c r="X1065">
        <v>0.98905799999999999</v>
      </c>
      <c r="Y1065">
        <v>-8.2856970000000002E-2</v>
      </c>
      <c r="Z1065">
        <v>8.4221950000000002E-4</v>
      </c>
      <c r="AA1065">
        <v>0.99656109999999998</v>
      </c>
      <c r="AB1065">
        <v>41</v>
      </c>
      <c r="AC1065">
        <v>89.454800000000006</v>
      </c>
      <c r="AD1065">
        <v>-1.0587670021040001</v>
      </c>
      <c r="AE1065">
        <v>7.7803000000000102</v>
      </c>
      <c r="AF1065">
        <v>-7.4580213175428298</v>
      </c>
      <c r="AG1065">
        <v>-1.0587670021040001</v>
      </c>
      <c r="AH1065">
        <v>89.469719578786098</v>
      </c>
      <c r="AI1065">
        <v>90.675652174128999</v>
      </c>
      <c r="AJ1065">
        <v>94.765048056092098</v>
      </c>
      <c r="AK1065">
        <v>89.7862672742569</v>
      </c>
      <c r="AL1065">
        <v>98.168722275799098</v>
      </c>
      <c r="AM1065">
        <v>92.297911361684498</v>
      </c>
      <c r="AN1065">
        <v>1.00000003970441</v>
      </c>
    </row>
    <row r="1066" spans="1:40" x14ac:dyDescent="0.25">
      <c r="A1066" t="str">
        <f>"20190305134925446"</f>
        <v>20190305134925446</v>
      </c>
      <c r="B1066" t="str">
        <f>"1551764965442153"</f>
        <v>1551764965442153</v>
      </c>
      <c r="C1066" t="s">
        <v>40</v>
      </c>
      <c r="D1066">
        <v>3.9521350000000002</v>
      </c>
      <c r="E1066">
        <v>0.48618869999999997</v>
      </c>
      <c r="F1066" t="s">
        <v>44</v>
      </c>
      <c r="G1066">
        <v>-205.93680000000001</v>
      </c>
      <c r="H1066" s="1">
        <v>-4.1184149999999996E-6</v>
      </c>
      <c r="I1066">
        <v>376.33690000000001</v>
      </c>
      <c r="J1066">
        <v>-303.18599999999998</v>
      </c>
      <c r="K1066">
        <v>1.0587519999999999</v>
      </c>
      <c r="L1066">
        <v>367.91019999999997</v>
      </c>
      <c r="M1066">
        <v>0.99995509999999999</v>
      </c>
      <c r="N1066">
        <v>-8.7780819999999996E-3</v>
      </c>
      <c r="O1066">
        <v>3.5907550000000002E-3</v>
      </c>
      <c r="P1066">
        <v>0.98778429999999995</v>
      </c>
      <c r="Q1066">
        <v>-0.14971950000000001</v>
      </c>
      <c r="R1066">
        <v>4.3201740000000002E-2</v>
      </c>
      <c r="S1066">
        <v>3.0211489999999999</v>
      </c>
      <c r="T1066">
        <v>-3.2810930000000002E-2</v>
      </c>
      <c r="U1066">
        <v>0.2611694</v>
      </c>
      <c r="V1066">
        <v>-3.9659670000000001E-2</v>
      </c>
      <c r="W1066">
        <v>-0.1410401</v>
      </c>
      <c r="X1066">
        <v>0.98920920000000001</v>
      </c>
      <c r="Y1066">
        <v>-8.2538990000000007E-2</v>
      </c>
      <c r="Z1066">
        <v>8.0286509999999997E-4</v>
      </c>
      <c r="AA1066">
        <v>0.99658749999999996</v>
      </c>
      <c r="AB1066">
        <v>41</v>
      </c>
      <c r="AC1066">
        <v>97.249199999999902</v>
      </c>
      <c r="AD1066">
        <v>-1.0587561184150001</v>
      </c>
      <c r="AE1066">
        <v>8.4267000000000394</v>
      </c>
      <c r="AF1066">
        <v>-8.07648403848642</v>
      </c>
      <c r="AG1066">
        <v>-1.0587561184150001</v>
      </c>
      <c r="AH1066">
        <v>97.267389425402698</v>
      </c>
      <c r="AI1066">
        <v>90.621501615799801</v>
      </c>
      <c r="AJ1066">
        <v>94.746599432429903</v>
      </c>
      <c r="AK1066">
        <v>97.607866509698695</v>
      </c>
      <c r="AL1066">
        <v>98.108036645623102</v>
      </c>
      <c r="AM1066">
        <v>92.295889859500804</v>
      </c>
      <c r="AN1066">
        <v>1.0000000202985699</v>
      </c>
    </row>
    <row r="1067" spans="1:40" x14ac:dyDescent="0.25">
      <c r="A1067" t="str">
        <f>"20190305134925458"</f>
        <v>20190305134925458</v>
      </c>
      <c r="B1067" t="str">
        <f>"1551764965451914"</f>
        <v>1551764965451914</v>
      </c>
      <c r="C1067" t="s">
        <v>40</v>
      </c>
      <c r="D1067">
        <v>3.9900259999999999</v>
      </c>
      <c r="E1067">
        <v>0.4861798</v>
      </c>
      <c r="F1067" t="s">
        <v>44</v>
      </c>
      <c r="G1067">
        <v>-199.58779999999999</v>
      </c>
      <c r="H1067" s="1">
        <v>-1.010848E-5</v>
      </c>
      <c r="I1067">
        <v>376.85899999999998</v>
      </c>
      <c r="J1067">
        <v>-302.96609999999998</v>
      </c>
      <c r="K1067">
        <v>1.058743</v>
      </c>
      <c r="L1067">
        <v>367.91090000000003</v>
      </c>
      <c r="M1067">
        <v>0.99995509999999999</v>
      </c>
      <c r="N1067">
        <v>-8.7691639999999994E-3</v>
      </c>
      <c r="O1067">
        <v>3.5911519999999998E-3</v>
      </c>
      <c r="P1067">
        <v>0.98786339999999995</v>
      </c>
      <c r="Q1067">
        <v>-0.14916579999999999</v>
      </c>
      <c r="R1067">
        <v>4.3307409999999998E-2</v>
      </c>
      <c r="S1067">
        <v>3.0209959999999998</v>
      </c>
      <c r="T1067">
        <v>-3.0874249999999999E-2</v>
      </c>
      <c r="U1067">
        <v>0.26095580000000002</v>
      </c>
      <c r="V1067">
        <v>-3.9764679999999997E-2</v>
      </c>
      <c r="W1067">
        <v>-0.14049449999999999</v>
      </c>
      <c r="X1067">
        <v>0.98928260000000001</v>
      </c>
      <c r="Y1067">
        <v>-8.2473770000000002E-2</v>
      </c>
      <c r="Z1067">
        <v>7.7775589999999996E-4</v>
      </c>
      <c r="AA1067">
        <v>0.9965929</v>
      </c>
      <c r="AB1067">
        <v>41</v>
      </c>
      <c r="AC1067">
        <v>103.3783</v>
      </c>
      <c r="AD1067">
        <v>-1.0587531084799999</v>
      </c>
      <c r="AE1067">
        <v>8.9481000000000002</v>
      </c>
      <c r="AF1067">
        <v>-8.5758880034078295</v>
      </c>
      <c r="AG1067">
        <v>-1.0587531084799999</v>
      </c>
      <c r="AH1067">
        <v>103.399003782536</v>
      </c>
      <c r="AI1067">
        <v>90.584651758633797</v>
      </c>
      <c r="AJ1067">
        <v>94.741246084163507</v>
      </c>
      <c r="AK1067">
        <v>103.75943714387</v>
      </c>
      <c r="AL1067">
        <v>98.076461844685795</v>
      </c>
      <c r="AM1067">
        <v>92.301791724271993</v>
      </c>
      <c r="AN1067">
        <v>0.99999999848425603</v>
      </c>
    </row>
    <row r="1068" spans="1:40" x14ac:dyDescent="0.25">
      <c r="A1068" t="str">
        <f>"20190305134925472"</f>
        <v>20190305134925472</v>
      </c>
      <c r="B1068" t="str">
        <f>"1551764965461673"</f>
        <v>1551764965461673</v>
      </c>
      <c r="C1068" t="s">
        <v>40</v>
      </c>
      <c r="D1068">
        <v>3.9977339999999999</v>
      </c>
      <c r="E1068">
        <v>0.48612939999999999</v>
      </c>
      <c r="F1068" t="s">
        <v>44</v>
      </c>
      <c r="G1068">
        <v>-195.30269999999999</v>
      </c>
      <c r="H1068" s="1">
        <v>-1.1622719999999999E-5</v>
      </c>
      <c r="I1068">
        <v>377.22199999999998</v>
      </c>
      <c r="J1068">
        <v>-302.71879999999999</v>
      </c>
      <c r="K1068">
        <v>1.058732</v>
      </c>
      <c r="L1068">
        <v>367.91180000000003</v>
      </c>
      <c r="M1068">
        <v>0.99995520000000004</v>
      </c>
      <c r="N1068">
        <v>-8.7600630000000002E-3</v>
      </c>
      <c r="O1068">
        <v>3.5913709999999999E-3</v>
      </c>
      <c r="P1068">
        <v>0.98786799999999997</v>
      </c>
      <c r="Q1068">
        <v>-0.14912909999999999</v>
      </c>
      <c r="R1068">
        <v>4.3329649999999997E-2</v>
      </c>
      <c r="S1068">
        <v>3.0209350000000001</v>
      </c>
      <c r="T1068">
        <v>-2.9707669999999999E-2</v>
      </c>
      <c r="U1068">
        <v>0.26126100000000002</v>
      </c>
      <c r="V1068">
        <v>-3.9786990000000001E-2</v>
      </c>
      <c r="W1068">
        <v>-0.1404668</v>
      </c>
      <c r="X1068">
        <v>0.98928559999999999</v>
      </c>
      <c r="Y1068">
        <v>-8.2575629999999997E-2</v>
      </c>
      <c r="Z1068">
        <v>7.6379110000000003E-4</v>
      </c>
      <c r="AA1068">
        <v>0.99658449999999998</v>
      </c>
      <c r="AB1068">
        <v>41</v>
      </c>
      <c r="AC1068">
        <v>107.4161</v>
      </c>
      <c r="AD1068">
        <v>-1.05874362272</v>
      </c>
      <c r="AE1068">
        <v>9.3101999999999503</v>
      </c>
      <c r="AF1068">
        <v>-8.92349363889317</v>
      </c>
      <c r="AG1068">
        <v>-1.05874362272</v>
      </c>
      <c r="AH1068">
        <v>107.438485062984</v>
      </c>
      <c r="AI1068">
        <v>90.562660945278694</v>
      </c>
      <c r="AJ1068">
        <v>94.747904752091003</v>
      </c>
      <c r="AK1068">
        <v>107.81362506386201</v>
      </c>
      <c r="AL1068">
        <v>98.074859148572003</v>
      </c>
      <c r="AM1068">
        <v>92.303074779250096</v>
      </c>
      <c r="AN1068">
        <v>0.99999996242142897</v>
      </c>
    </row>
    <row r="1069" spans="1:40" x14ac:dyDescent="0.25">
      <c r="A1069" t="str">
        <f>"20190305134925486"</f>
        <v>20190305134925486</v>
      </c>
      <c r="B1069" t="str">
        <f>"1551764965482170"</f>
        <v>1551764965482170</v>
      </c>
      <c r="C1069" t="s">
        <v>40</v>
      </c>
      <c r="D1069">
        <v>3.9901779999999998</v>
      </c>
      <c r="E1069">
        <v>0.486064</v>
      </c>
      <c r="F1069" t="s">
        <v>44</v>
      </c>
      <c r="G1069">
        <v>-196.49359999999999</v>
      </c>
      <c r="H1069" s="1">
        <v>-1.120315E-5</v>
      </c>
      <c r="I1069">
        <v>377.13010000000003</v>
      </c>
      <c r="J1069">
        <v>-302.45960000000002</v>
      </c>
      <c r="K1069">
        <v>1.0587200000000001</v>
      </c>
      <c r="L1069">
        <v>367.9128</v>
      </c>
      <c r="M1069">
        <v>0.99995540000000005</v>
      </c>
      <c r="N1069">
        <v>-8.7522959999999997E-3</v>
      </c>
      <c r="O1069">
        <v>3.5917029999999999E-3</v>
      </c>
      <c r="P1069">
        <v>0.98775460000000004</v>
      </c>
      <c r="Q1069">
        <v>-0.14974989999999999</v>
      </c>
      <c r="R1069">
        <v>4.3774170000000001E-2</v>
      </c>
      <c r="S1069">
        <v>3.020813</v>
      </c>
      <c r="T1069">
        <v>-3.0108329999999999E-2</v>
      </c>
      <c r="U1069">
        <v>0.26214599999999999</v>
      </c>
      <c r="V1069">
        <v>-4.0231500000000003E-2</v>
      </c>
      <c r="W1069">
        <v>-0.1410962</v>
      </c>
      <c r="X1069">
        <v>0.98917809999999995</v>
      </c>
      <c r="Y1069">
        <v>-8.2868380000000005E-2</v>
      </c>
      <c r="Z1069">
        <v>7.7118619999999897E-4</v>
      </c>
      <c r="AA1069">
        <v>0.99656020000000001</v>
      </c>
      <c r="AB1069">
        <v>41</v>
      </c>
      <c r="AC1069">
        <v>105.96599999999999</v>
      </c>
      <c r="AD1069">
        <v>-1.05873120315</v>
      </c>
      <c r="AE1069">
        <v>9.2173000000000194</v>
      </c>
      <c r="AF1069">
        <v>-8.8357522182880199</v>
      </c>
      <c r="AG1069">
        <v>-1.05873120315</v>
      </c>
      <c r="AH1069">
        <v>105.987922744176</v>
      </c>
      <c r="AI1069">
        <v>90.570339831666601</v>
      </c>
      <c r="AJ1069">
        <v>94.765480603388099</v>
      </c>
      <c r="AK1069">
        <v>106.360853685221</v>
      </c>
      <c r="AL1069">
        <v>98.111283471401293</v>
      </c>
      <c r="AM1069">
        <v>92.329029926299995</v>
      </c>
      <c r="AN1069">
        <v>1.0000000123831401</v>
      </c>
    </row>
    <row r="1070" spans="1:40" x14ac:dyDescent="0.25">
      <c r="A1070" t="str">
        <f>"20190305134925499"</f>
        <v>20190305134925499</v>
      </c>
      <c r="B1070" t="str">
        <f>"1551764965491930"</f>
        <v>1551764965491930</v>
      </c>
      <c r="C1070" t="s">
        <v>40</v>
      </c>
      <c r="D1070">
        <v>3.9719090000000001</v>
      </c>
      <c r="E1070">
        <v>0.48603210000000002</v>
      </c>
      <c r="F1070" t="s">
        <v>44</v>
      </c>
      <c r="G1070">
        <v>-206.09</v>
      </c>
      <c r="H1070" s="1">
        <v>-4.190143E-6</v>
      </c>
      <c r="I1070">
        <v>376.33519999999999</v>
      </c>
      <c r="J1070">
        <v>-302.20740000000001</v>
      </c>
      <c r="K1070">
        <v>1.0587070000000001</v>
      </c>
      <c r="L1070">
        <v>367.91379999999998</v>
      </c>
      <c r="M1070">
        <v>0.99995540000000005</v>
      </c>
      <c r="N1070">
        <v>-8.7460130000000004E-3</v>
      </c>
      <c r="O1070">
        <v>3.5920890000000001E-3</v>
      </c>
      <c r="P1070">
        <v>0.98759419999999998</v>
      </c>
      <c r="Q1070">
        <v>-0.15057229999999999</v>
      </c>
      <c r="R1070">
        <v>4.4559969999999997E-2</v>
      </c>
      <c r="S1070">
        <v>3.0204469999999999</v>
      </c>
      <c r="T1070">
        <v>-3.3182860000000002E-2</v>
      </c>
      <c r="U1070">
        <v>0.26397710000000002</v>
      </c>
      <c r="V1070">
        <v>-4.1017100000000001E-2</v>
      </c>
      <c r="W1070">
        <v>-0.1419262</v>
      </c>
      <c r="X1070">
        <v>0.98902710000000005</v>
      </c>
      <c r="Y1070">
        <v>-8.3476679999999998E-2</v>
      </c>
      <c r="Z1070">
        <v>8.1539289999999897E-4</v>
      </c>
      <c r="AA1070">
        <v>0.99650939999999999</v>
      </c>
      <c r="AB1070">
        <v>41</v>
      </c>
      <c r="AC1070">
        <v>96.117400000000004</v>
      </c>
      <c r="AD1070">
        <v>-1.058711190143</v>
      </c>
      <c r="AE1070">
        <v>8.4214000000000002</v>
      </c>
      <c r="AF1070">
        <v>-8.0750979884053002</v>
      </c>
      <c r="AG1070">
        <v>-1.058711190143</v>
      </c>
      <c r="AH1070">
        <v>96.135456618385803</v>
      </c>
      <c r="AI1070">
        <v>90.628741901646094</v>
      </c>
      <c r="AJ1070">
        <v>94.801407424328701</v>
      </c>
      <c r="AK1070">
        <v>96.479811857880506</v>
      </c>
      <c r="AL1070">
        <v>98.159322284526993</v>
      </c>
      <c r="AM1070">
        <v>92.374819414319802</v>
      </c>
      <c r="AN1070">
        <v>1.00000002663662</v>
      </c>
    </row>
    <row r="1071" spans="1:40" x14ac:dyDescent="0.25">
      <c r="A1071" t="str">
        <f>"20190305134925512"</f>
        <v>20190305134925512</v>
      </c>
      <c r="B1071" t="str">
        <f>"1551764965501690"</f>
        <v>1551764965501690</v>
      </c>
      <c r="C1071" t="s">
        <v>40</v>
      </c>
      <c r="D1071">
        <v>3.9923700000000002</v>
      </c>
      <c r="E1071">
        <v>0.48594409999999999</v>
      </c>
      <c r="F1071" t="s">
        <v>42</v>
      </c>
      <c r="G1071">
        <v>-214.14869999999999</v>
      </c>
      <c r="H1071" s="1">
        <v>-3.9404520000000002E-6</v>
      </c>
      <c r="I1071">
        <v>375.68369999999999</v>
      </c>
      <c r="J1071">
        <v>-301.97219999999999</v>
      </c>
      <c r="K1071">
        <v>1.0586880000000001</v>
      </c>
      <c r="L1071">
        <v>367.91460000000001</v>
      </c>
      <c r="M1071">
        <v>0.99995540000000005</v>
      </c>
      <c r="N1071">
        <v>-8.7417150000000006E-3</v>
      </c>
      <c r="O1071">
        <v>3.592465E-3</v>
      </c>
      <c r="P1071">
        <v>0.98755979999999999</v>
      </c>
      <c r="Q1071">
        <v>-0.15061820000000001</v>
      </c>
      <c r="R1071">
        <v>4.5168380000000001E-2</v>
      </c>
      <c r="S1071">
        <v>3.0200809999999998</v>
      </c>
      <c r="T1071">
        <v>-3.6309719999999997E-2</v>
      </c>
      <c r="U1071">
        <v>0.26647949999999998</v>
      </c>
      <c r="V1071">
        <v>-4.1625639999999998E-2</v>
      </c>
      <c r="W1071">
        <v>-0.14197650000000001</v>
      </c>
      <c r="X1071">
        <v>0.98899440000000005</v>
      </c>
      <c r="Y1071">
        <v>-8.4304690000000002E-2</v>
      </c>
      <c r="Z1071">
        <v>8.632558E-4</v>
      </c>
      <c r="AA1071">
        <v>0.99643959999999998</v>
      </c>
      <c r="AB1071">
        <v>41</v>
      </c>
      <c r="AC1071">
        <v>87.823499999999996</v>
      </c>
      <c r="AD1071">
        <v>-1.0586919404520001</v>
      </c>
      <c r="AE1071">
        <v>7.7690999999999804</v>
      </c>
      <c r="AF1071">
        <v>-7.4524604136428598</v>
      </c>
      <c r="AG1071">
        <v>-1.0586919404520001</v>
      </c>
      <c r="AH1071">
        <v>87.838179218003006</v>
      </c>
      <c r="AI1071">
        <v>90.688066691088594</v>
      </c>
      <c r="AJ1071">
        <v>94.849535628783897</v>
      </c>
      <c r="AK1071">
        <v>88.160114128645006</v>
      </c>
      <c r="AL1071">
        <v>98.162234194941306</v>
      </c>
      <c r="AM1071">
        <v>92.410091181780004</v>
      </c>
      <c r="AN1071">
        <v>0.99999997184450895</v>
      </c>
    </row>
    <row r="1072" spans="1:40" x14ac:dyDescent="0.25">
      <c r="A1072" t="str">
        <f>"20190305134925524"</f>
        <v>20190305134925524</v>
      </c>
      <c r="B1072" t="str">
        <f>"1551764965511449"</f>
        <v>1551764965511449</v>
      </c>
      <c r="C1072" t="s">
        <v>40</v>
      </c>
      <c r="D1072">
        <v>4.0862780000000001</v>
      </c>
      <c r="E1072">
        <v>0.48594409999999999</v>
      </c>
      <c r="F1072" t="s">
        <v>42</v>
      </c>
      <c r="G1072">
        <v>-215.09</v>
      </c>
      <c r="H1072" s="1">
        <v>-3.6147209999999998E-6</v>
      </c>
      <c r="I1072">
        <v>375.6533</v>
      </c>
      <c r="J1072">
        <v>-301.7595</v>
      </c>
      <c r="K1072">
        <v>1.0586799999999901</v>
      </c>
      <c r="L1072">
        <v>367.91539999999998</v>
      </c>
      <c r="M1072">
        <v>0.99995529999999999</v>
      </c>
      <c r="N1072">
        <v>-8.7417080000000008E-3</v>
      </c>
      <c r="O1072">
        <v>3.5929410000000001E-3</v>
      </c>
      <c r="P1072">
        <v>0.98755999999999999</v>
      </c>
      <c r="Q1072">
        <v>-0.15051639999999999</v>
      </c>
      <c r="R1072">
        <v>4.5495870000000001E-2</v>
      </c>
      <c r="S1072">
        <v>3.0198360000000002</v>
      </c>
      <c r="T1072">
        <v>-3.6797759999999999E-2</v>
      </c>
      <c r="U1072">
        <v>0.2689819</v>
      </c>
      <c r="V1072">
        <v>-4.1952589999999998E-2</v>
      </c>
      <c r="W1072">
        <v>-0.14187469999999999</v>
      </c>
      <c r="X1072">
        <v>0.98899519999999996</v>
      </c>
      <c r="Y1072">
        <v>-8.5130159999999996E-2</v>
      </c>
      <c r="Z1072">
        <v>8.7814070000000004E-4</v>
      </c>
      <c r="AA1072">
        <v>0.99636950000000002</v>
      </c>
      <c r="AB1072">
        <v>41</v>
      </c>
      <c r="AC1072">
        <v>86.669499999999999</v>
      </c>
      <c r="AD1072">
        <v>-1.0586836147209999</v>
      </c>
      <c r="AE1072">
        <v>7.7379000000000202</v>
      </c>
      <c r="AF1072">
        <v>-7.4253405626775901</v>
      </c>
      <c r="AG1072">
        <v>-1.0586836147209999</v>
      </c>
      <c r="AH1072">
        <v>86.683911539807298</v>
      </c>
      <c r="AI1072">
        <v>90.697174285748105</v>
      </c>
      <c r="AJ1072">
        <v>94.896002616834494</v>
      </c>
      <c r="AK1072">
        <v>87.007798577535297</v>
      </c>
      <c r="AL1072">
        <v>98.156341787754599</v>
      </c>
      <c r="AM1072">
        <v>92.428996776997806</v>
      </c>
      <c r="AN1072">
        <v>0.99999997796541795</v>
      </c>
    </row>
    <row r="1073" spans="1:40" x14ac:dyDescent="0.25">
      <c r="A1073" t="str">
        <f>"20190305134925535"</f>
        <v>20190305134925535</v>
      </c>
      <c r="B1073" t="str">
        <f>"1551764965531946"</f>
        <v>1551764965531946</v>
      </c>
      <c r="C1073" t="s">
        <v>40</v>
      </c>
      <c r="D1073">
        <v>4.1006530000000003</v>
      </c>
      <c r="E1073">
        <v>0.5196809</v>
      </c>
      <c r="F1073" t="s">
        <v>42</v>
      </c>
      <c r="G1073">
        <v>-214.23259999999999</v>
      </c>
      <c r="H1073" s="1">
        <v>-3.9223520000000003E-6</v>
      </c>
      <c r="I1073">
        <v>375.74270000000001</v>
      </c>
      <c r="J1073">
        <v>-301.54790000000003</v>
      </c>
      <c r="K1073">
        <v>1.0586770000000001</v>
      </c>
      <c r="L1073">
        <v>367.91609999999997</v>
      </c>
      <c r="M1073">
        <v>0.99995540000000005</v>
      </c>
      <c r="N1073">
        <v>-8.7448230000000005E-3</v>
      </c>
      <c r="O1073">
        <v>3.593106E-3</v>
      </c>
      <c r="P1073">
        <v>0.98758469999999998</v>
      </c>
      <c r="Q1073">
        <v>-0.15032110000000001</v>
      </c>
      <c r="R1073">
        <v>4.561101E-2</v>
      </c>
      <c r="S1073">
        <v>3.0197750000000001</v>
      </c>
      <c r="T1073">
        <v>-3.6525729999999999E-2</v>
      </c>
      <c r="U1073">
        <v>0.27005000000000001</v>
      </c>
      <c r="V1073">
        <v>-4.2067449999999999E-2</v>
      </c>
      <c r="W1073">
        <v>-0.1416762</v>
      </c>
      <c r="X1073">
        <v>0.98901879999999998</v>
      </c>
      <c r="Y1073">
        <v>-8.5481500000000002E-2</v>
      </c>
      <c r="Z1073">
        <v>8.7844780000000003E-4</v>
      </c>
      <c r="AA1073">
        <v>0.99633939999999999</v>
      </c>
      <c r="AB1073">
        <v>41</v>
      </c>
      <c r="AC1073">
        <v>87.315299999999993</v>
      </c>
      <c r="AD1073">
        <v>-1.058680922352</v>
      </c>
      <c r="AE1073">
        <v>7.82660000000004</v>
      </c>
      <c r="AF1073">
        <v>-7.5117088767089299</v>
      </c>
      <c r="AG1073">
        <v>-1.058680922352</v>
      </c>
      <c r="AH1073">
        <v>87.3301230451858</v>
      </c>
      <c r="AI1073">
        <v>90.691993252024403</v>
      </c>
      <c r="AJ1073">
        <v>94.916201446513696</v>
      </c>
      <c r="AK1073">
        <v>87.658981095099804</v>
      </c>
      <c r="AL1073">
        <v>98.144852328405705</v>
      </c>
      <c r="AM1073">
        <v>92.435580964466197</v>
      </c>
      <c r="AN1073">
        <v>1.0000000013746899</v>
      </c>
    </row>
    <row r="1074" spans="1:40" x14ac:dyDescent="0.25">
      <c r="A1074" t="str">
        <f>"20190305134925546"</f>
        <v>20190305134925546</v>
      </c>
      <c r="B1074" t="str">
        <f>"1551764965542213"</f>
        <v>1551764965542213</v>
      </c>
      <c r="C1074" t="s">
        <v>40</v>
      </c>
      <c r="D1074">
        <v>4.0201079999999996</v>
      </c>
      <c r="E1074">
        <v>0.52852679999999996</v>
      </c>
      <c r="F1074" t="s">
        <v>42</v>
      </c>
      <c r="G1074">
        <v>-260.82089999999999</v>
      </c>
      <c r="H1074" s="1">
        <v>-4.2238959999999901E-6</v>
      </c>
      <c r="I1074">
        <v>367.90370000000001</v>
      </c>
      <c r="J1074">
        <v>-301.34320000000002</v>
      </c>
      <c r="K1074">
        <v>1.0586739999999999</v>
      </c>
      <c r="L1074">
        <v>367.9169</v>
      </c>
      <c r="M1074">
        <v>0.99995540000000005</v>
      </c>
      <c r="N1074">
        <v>-8.7509479999999997E-3</v>
      </c>
      <c r="O1074">
        <v>3.5934370000000001E-3</v>
      </c>
      <c r="P1074">
        <v>0.98764649999999998</v>
      </c>
      <c r="Q1074">
        <v>-0.14986240000000001</v>
      </c>
      <c r="R1074">
        <v>4.5781700000000002E-2</v>
      </c>
      <c r="S1074">
        <v>3.0257869999999998</v>
      </c>
      <c r="T1074">
        <v>-7.8653929999999997E-2</v>
      </c>
      <c r="U1074">
        <v>-9.1552729999999996E-4</v>
      </c>
      <c r="V1074">
        <v>-4.2237700000000003E-2</v>
      </c>
      <c r="W1074">
        <v>-0.1412109</v>
      </c>
      <c r="X1074">
        <v>0.98907809999999896</v>
      </c>
      <c r="Y1074">
        <v>3.893854E-3</v>
      </c>
      <c r="Z1074">
        <v>-1.2959319999999999E-4</v>
      </c>
      <c r="AA1074">
        <v>0.9999924</v>
      </c>
      <c r="AB1074">
        <v>41</v>
      </c>
      <c r="AC1074">
        <v>40.522300000000001</v>
      </c>
      <c r="AD1074">
        <v>-1.058678223896</v>
      </c>
      <c r="AE1074">
        <v>-1.31999999999834E-2</v>
      </c>
      <c r="AF1074">
        <v>0.15871147151349499</v>
      </c>
      <c r="AG1074">
        <v>-1.058678223896</v>
      </c>
      <c r="AH1074">
        <v>40.4943511613846</v>
      </c>
      <c r="AI1074">
        <v>91.497579602208901</v>
      </c>
      <c r="AJ1074">
        <v>89.775439026554594</v>
      </c>
      <c r="AK1074">
        <v>40.508498674901197</v>
      </c>
      <c r="AL1074">
        <v>98.117921742427797</v>
      </c>
      <c r="AM1074">
        <v>92.445279556772405</v>
      </c>
      <c r="AN1074">
        <v>1.00000001473985</v>
      </c>
    </row>
    <row r="1075" spans="1:40" x14ac:dyDescent="0.25">
      <c r="A1075" t="str">
        <f>"20190305134925556"</f>
        <v>20190305134925556</v>
      </c>
      <c r="B1075" t="str">
        <f>"1551764965551974"</f>
        <v>1551764965551974</v>
      </c>
      <c r="C1075" t="s">
        <v>40</v>
      </c>
      <c r="D1075">
        <v>4.0675540000000003</v>
      </c>
      <c r="E1075">
        <v>0.53483169999999902</v>
      </c>
      <c r="F1075" t="s">
        <v>42</v>
      </c>
      <c r="G1075">
        <v>-251.9119</v>
      </c>
      <c r="H1075" s="1">
        <v>-3.955558E-6</v>
      </c>
      <c r="I1075">
        <v>366.77809999999999</v>
      </c>
      <c r="J1075">
        <v>-301.15539999999999</v>
      </c>
      <c r="K1075">
        <v>1.0586690000000001</v>
      </c>
      <c r="L1075">
        <v>367.91750000000002</v>
      </c>
      <c r="M1075">
        <v>0.99995529999999999</v>
      </c>
      <c r="N1075">
        <v>-8.7634630000000008E-3</v>
      </c>
      <c r="O1075">
        <v>3.5934999999999999E-3</v>
      </c>
      <c r="P1075">
        <v>0.98769680000000004</v>
      </c>
      <c r="Q1075">
        <v>-0.14953359999999999</v>
      </c>
      <c r="R1075">
        <v>4.5770539999999998E-2</v>
      </c>
      <c r="S1075">
        <v>3.0308839999999999</v>
      </c>
      <c r="T1075">
        <v>-6.4912800000000007E-2</v>
      </c>
      <c r="U1075">
        <v>-6.9824220000000006E-2</v>
      </c>
      <c r="V1075">
        <v>-4.2226090000000001E-2</v>
      </c>
      <c r="W1075">
        <v>-0.1408692</v>
      </c>
      <c r="X1075">
        <v>0.98912730000000004</v>
      </c>
      <c r="Y1075">
        <v>2.6615119999999999E-2</v>
      </c>
      <c r="Z1075">
        <v>-4.4705450000000001E-4</v>
      </c>
      <c r="AA1075">
        <v>0.99964569999999997</v>
      </c>
      <c r="AB1075">
        <v>41</v>
      </c>
      <c r="AC1075">
        <v>49.243499999999898</v>
      </c>
      <c r="AD1075">
        <v>-1.0586729555579999</v>
      </c>
      <c r="AE1075">
        <v>-1.13940000000002</v>
      </c>
      <c r="AF1075">
        <v>1.31574812001954</v>
      </c>
      <c r="AG1075">
        <v>-1.0586729555579999</v>
      </c>
      <c r="AH1075">
        <v>49.216352027794201</v>
      </c>
      <c r="AI1075">
        <v>91.231836215895299</v>
      </c>
      <c r="AJ1075">
        <v>88.468621525163897</v>
      </c>
      <c r="AK1075">
        <v>49.245317426796298</v>
      </c>
      <c r="AL1075">
        <v>98.098146257018399</v>
      </c>
      <c r="AM1075">
        <v>92.444486781870793</v>
      </c>
      <c r="AN1075">
        <v>0.999999994895309</v>
      </c>
    </row>
    <row r="1076" spans="1:40" x14ac:dyDescent="0.25">
      <c r="A1076" t="str">
        <f>"20190305134925566"</f>
        <v>20190305134925566</v>
      </c>
      <c r="B1076" t="str">
        <f>"1551764965561733"</f>
        <v>1551764965561733</v>
      </c>
      <c r="C1076" t="s">
        <v>40</v>
      </c>
      <c r="D1076">
        <v>4.0244609999999996</v>
      </c>
      <c r="E1076">
        <v>0.53845240000000005</v>
      </c>
      <c r="F1076" t="s">
        <v>42</v>
      </c>
      <c r="G1076">
        <v>-240.5788</v>
      </c>
      <c r="H1076" s="1">
        <v>-5.1600340000000002E-6</v>
      </c>
      <c r="I1076">
        <v>365.52300000000002</v>
      </c>
      <c r="J1076">
        <v>-300.97809999999998</v>
      </c>
      <c r="K1076">
        <v>1.058667</v>
      </c>
      <c r="L1076">
        <v>367.91820000000001</v>
      </c>
      <c r="M1076">
        <v>0.99995509999999999</v>
      </c>
      <c r="N1076">
        <v>-8.7782350000000006E-3</v>
      </c>
      <c r="O1076">
        <v>3.5937930000000001E-3</v>
      </c>
      <c r="P1076">
        <v>0.98758020000000002</v>
      </c>
      <c r="Q1076">
        <v>-0.150306</v>
      </c>
      <c r="R1076">
        <v>4.5758649999999998E-2</v>
      </c>
      <c r="S1076">
        <v>3.0348820000000001</v>
      </c>
      <c r="T1076">
        <v>-5.3039429999999999E-2</v>
      </c>
      <c r="U1076">
        <v>-0.1199646</v>
      </c>
      <c r="V1076">
        <v>-4.2214889999999998E-2</v>
      </c>
      <c r="W1076">
        <v>-0.141628</v>
      </c>
      <c r="X1076">
        <v>0.98901939999999999</v>
      </c>
      <c r="Y1076">
        <v>4.3078610000000003E-2</v>
      </c>
      <c r="Z1076">
        <v>-5.9667970000000005E-4</v>
      </c>
      <c r="AA1076">
        <v>0.9990715</v>
      </c>
      <c r="AB1076">
        <v>41</v>
      </c>
      <c r="AC1076">
        <v>60.399299999999897</v>
      </c>
      <c r="AD1076">
        <v>-1.0586721600339899</v>
      </c>
      <c r="AE1076">
        <v>-2.39519999999998</v>
      </c>
      <c r="AF1076">
        <v>2.6114544083484401</v>
      </c>
      <c r="AG1076">
        <v>-1.0586721600339899</v>
      </c>
      <c r="AH1076">
        <v>60.371783035470898</v>
      </c>
      <c r="AI1076">
        <v>91.003690401126505</v>
      </c>
      <c r="AJ1076">
        <v>87.523145883514502</v>
      </c>
      <c r="AK1076">
        <v>60.437510436411003</v>
      </c>
      <c r="AL1076">
        <v>98.142062712557802</v>
      </c>
      <c r="AM1076">
        <v>92.444105489751493</v>
      </c>
      <c r="AN1076">
        <v>0.99999998044903504</v>
      </c>
    </row>
    <row r="1077" spans="1:40" x14ac:dyDescent="0.25">
      <c r="A1077" t="str">
        <f>"20190305134925577"</f>
        <v>20190305134925577</v>
      </c>
      <c r="B1077" t="str">
        <f>"1551764965571493"</f>
        <v>1551764965571493</v>
      </c>
      <c r="C1077" t="s">
        <v>40</v>
      </c>
      <c r="D1077">
        <v>4.004149</v>
      </c>
      <c r="E1077">
        <v>0.54107569999999905</v>
      </c>
      <c r="F1077" t="s">
        <v>42</v>
      </c>
      <c r="G1077">
        <v>-234.9436</v>
      </c>
      <c r="H1077" s="1">
        <v>-3.0261410000000002E-6</v>
      </c>
      <c r="I1077">
        <v>364.68549999999999</v>
      </c>
      <c r="J1077">
        <v>-300.78359999999998</v>
      </c>
      <c r="K1077">
        <v>1.058662</v>
      </c>
      <c r="L1077">
        <v>367.91890000000001</v>
      </c>
      <c r="M1077">
        <v>0.99995489999999998</v>
      </c>
      <c r="N1077">
        <v>-8.8066120000000001E-3</v>
      </c>
      <c r="O1077">
        <v>3.5942029999999998E-3</v>
      </c>
      <c r="P1077">
        <v>0.98744390000000004</v>
      </c>
      <c r="Q1077">
        <v>-0.15123320000000001</v>
      </c>
      <c r="R1077">
        <v>4.5645320000000003E-2</v>
      </c>
      <c r="S1077">
        <v>3.0371700000000001</v>
      </c>
      <c r="T1077">
        <v>-4.8692109999999997E-2</v>
      </c>
      <c r="U1077">
        <v>-0.1486816</v>
      </c>
      <c r="V1077">
        <v>-4.2101390000000002E-2</v>
      </c>
      <c r="W1077">
        <v>-0.1425283</v>
      </c>
      <c r="X1077">
        <v>0.98889490000000002</v>
      </c>
      <c r="Y1077">
        <v>5.2474649999999998E-2</v>
      </c>
      <c r="Z1077">
        <v>-6.7754000000000002E-4</v>
      </c>
      <c r="AA1077">
        <v>0.99862200000000001</v>
      </c>
      <c r="AB1077">
        <v>41</v>
      </c>
      <c r="AC1077">
        <v>65.839999999999904</v>
      </c>
      <c r="AD1077">
        <v>-1.058665026141</v>
      </c>
      <c r="AE1077">
        <v>-3.2334000000000098</v>
      </c>
      <c r="AF1077">
        <v>3.4691358106885999</v>
      </c>
      <c r="AG1077">
        <v>-1.058665026141</v>
      </c>
      <c r="AH1077">
        <v>65.810978536521901</v>
      </c>
      <c r="AI1077">
        <v>90.920328647235493</v>
      </c>
      <c r="AJ1077">
        <v>86.982524116894396</v>
      </c>
      <c r="AK1077">
        <v>65.910853209810099</v>
      </c>
      <c r="AL1077">
        <v>98.194174735899196</v>
      </c>
      <c r="AM1077">
        <v>92.437848655640806</v>
      </c>
      <c r="AN1077">
        <v>0.99999998329341599</v>
      </c>
    </row>
    <row r="1078" spans="1:40" x14ac:dyDescent="0.25">
      <c r="A1078" t="str">
        <f>"20190305134925589"</f>
        <v>20190305134925589</v>
      </c>
      <c r="B1078" t="str">
        <f>"1551764965582229"</f>
        <v>1551764965582229</v>
      </c>
      <c r="C1078" t="s">
        <v>40</v>
      </c>
      <c r="D1078">
        <v>4.0005629999999996</v>
      </c>
      <c r="E1078">
        <v>0.54277109999999995</v>
      </c>
      <c r="F1078" t="s">
        <v>42</v>
      </c>
      <c r="G1078">
        <v>-230.19130000000001</v>
      </c>
      <c r="H1078" s="1">
        <v>-5.1900920000000003E-6</v>
      </c>
      <c r="I1078">
        <v>363.9796</v>
      </c>
      <c r="J1078">
        <v>-300.56330000000003</v>
      </c>
      <c r="K1078">
        <v>1.058657</v>
      </c>
      <c r="L1078">
        <v>367.9196</v>
      </c>
      <c r="M1078">
        <v>0.99995449999999997</v>
      </c>
      <c r="N1078">
        <v>-8.8450830000000001E-3</v>
      </c>
      <c r="O1078">
        <v>3.5945090000000001E-3</v>
      </c>
      <c r="P1078">
        <v>0.98710759999999997</v>
      </c>
      <c r="Q1078">
        <v>-0.15329499999999999</v>
      </c>
      <c r="R1078">
        <v>4.6038099999999998E-2</v>
      </c>
      <c r="S1078">
        <v>3.0390320000000002</v>
      </c>
      <c r="T1078">
        <v>-4.5576100000000001E-2</v>
      </c>
      <c r="U1078">
        <v>-0.16958619999999999</v>
      </c>
      <c r="V1078">
        <v>-4.2495230000000002E-2</v>
      </c>
      <c r="W1078">
        <v>-0.14455499999999999</v>
      </c>
      <c r="X1078">
        <v>0.98858389999999996</v>
      </c>
      <c r="Y1078">
        <v>5.9294079999999999E-2</v>
      </c>
      <c r="Z1078">
        <v>-7.2880119999999904E-4</v>
      </c>
      <c r="AA1078">
        <v>0.99824029999999997</v>
      </c>
      <c r="AB1078">
        <v>41</v>
      </c>
      <c r="AC1078">
        <v>70.372</v>
      </c>
      <c r="AD1078">
        <v>-1.0586621900919999</v>
      </c>
      <c r="AE1078">
        <v>-3.9399999999999902</v>
      </c>
      <c r="AF1078">
        <v>4.1919914578410697</v>
      </c>
      <c r="AG1078">
        <v>-1.0586621900919999</v>
      </c>
      <c r="AH1078">
        <v>70.341512769396104</v>
      </c>
      <c r="AI1078">
        <v>90.860727774364094</v>
      </c>
      <c r="AJ1078">
        <v>86.5895006739282</v>
      </c>
      <c r="AK1078">
        <v>70.4742646410905</v>
      </c>
      <c r="AL1078">
        <v>98.311510578141196</v>
      </c>
      <c r="AM1078">
        <v>92.461398897748893</v>
      </c>
      <c r="AN1078">
        <v>1.00000005996847</v>
      </c>
    </row>
    <row r="1079" spans="1:40" x14ac:dyDescent="0.25">
      <c r="A1079" t="str">
        <f>"20190305134925599"</f>
        <v>20190305134925599</v>
      </c>
      <c r="B1079" t="str">
        <f>"1551764965591989"</f>
        <v>1551764965591989</v>
      </c>
      <c r="C1079" t="s">
        <v>40</v>
      </c>
      <c r="D1079">
        <v>4.0185709999999997</v>
      </c>
      <c r="E1079">
        <v>0.54403199999999996</v>
      </c>
      <c r="F1079" t="s">
        <v>42</v>
      </c>
      <c r="G1079">
        <v>-234.19900000000001</v>
      </c>
      <c r="H1079" s="1">
        <v>-3.475976E-6</v>
      </c>
      <c r="I1079">
        <v>363.95049999999998</v>
      </c>
      <c r="J1079">
        <v>-300.37029999999999</v>
      </c>
      <c r="K1079">
        <v>1.058654</v>
      </c>
      <c r="L1079">
        <v>367.92039999999997</v>
      </c>
      <c r="M1079">
        <v>0.99995389999999995</v>
      </c>
      <c r="N1079">
        <v>-8.9042159999999995E-3</v>
      </c>
      <c r="O1079">
        <v>3.594781E-3</v>
      </c>
      <c r="P1079">
        <v>0.98678330000000003</v>
      </c>
      <c r="Q1079">
        <v>-0.15530569999999999</v>
      </c>
      <c r="R1079">
        <v>4.6247829999999997E-2</v>
      </c>
      <c r="S1079">
        <v>3.0401310000000001</v>
      </c>
      <c r="T1079">
        <v>-4.8496839999999999E-2</v>
      </c>
      <c r="U1079">
        <v>-0.1818237</v>
      </c>
      <c r="V1079">
        <v>-4.2705310000000003E-2</v>
      </c>
      <c r="W1079">
        <v>-0.14651</v>
      </c>
      <c r="X1079">
        <v>0.98828689999999997</v>
      </c>
      <c r="Y1079">
        <v>6.3276730000000003E-2</v>
      </c>
      <c r="Z1079">
        <v>-8.1153179999999896E-4</v>
      </c>
      <c r="AA1079">
        <v>0.99799570000000004</v>
      </c>
      <c r="AB1079">
        <v>41</v>
      </c>
      <c r="AC1079">
        <v>66.171299999999903</v>
      </c>
      <c r="AD1079">
        <v>-1.0586574759759999</v>
      </c>
      <c r="AE1079">
        <v>-3.9698999999999902</v>
      </c>
      <c r="AF1079">
        <v>4.2066822291683597</v>
      </c>
      <c r="AG1079">
        <v>-1.0586574759759999</v>
      </c>
      <c r="AH1079">
        <v>66.139732538367497</v>
      </c>
      <c r="AI1079">
        <v>90.915170620337193</v>
      </c>
      <c r="AJ1079">
        <v>86.360721374952305</v>
      </c>
      <c r="AK1079">
        <v>66.281831230552399</v>
      </c>
      <c r="AL1079">
        <v>98.424730072192204</v>
      </c>
      <c r="AM1079">
        <v>92.4742944546134</v>
      </c>
      <c r="AN1079">
        <v>0.99999996015690196</v>
      </c>
    </row>
    <row r="1080" spans="1:40" x14ac:dyDescent="0.25">
      <c r="A1080" t="str">
        <f>"20190305134925611"</f>
        <v>20190305134925611</v>
      </c>
      <c r="B1080" t="str">
        <f>"1551764965601748"</f>
        <v>1551764965601748</v>
      </c>
      <c r="C1080" t="s">
        <v>40</v>
      </c>
      <c r="D1080">
        <v>4.0002490000000002</v>
      </c>
      <c r="E1080">
        <v>0.54483990000000004</v>
      </c>
      <c r="F1080" t="s">
        <v>42</v>
      </c>
      <c r="G1080">
        <v>-237.1208</v>
      </c>
      <c r="H1080" s="1">
        <v>-2.474002E-6</v>
      </c>
      <c r="I1080">
        <v>363.94839999999999</v>
      </c>
      <c r="J1080">
        <v>-300.15339999999998</v>
      </c>
      <c r="K1080">
        <v>1.058659</v>
      </c>
      <c r="L1080">
        <v>367.92110000000002</v>
      </c>
      <c r="M1080">
        <v>0.99995330000000004</v>
      </c>
      <c r="N1080">
        <v>-8.9800580000000008E-3</v>
      </c>
      <c r="O1080">
        <v>3.595095E-3</v>
      </c>
      <c r="P1080">
        <v>0.98639500000000002</v>
      </c>
      <c r="Q1080">
        <v>-0.1576004</v>
      </c>
      <c r="R1080">
        <v>4.6765750000000002E-2</v>
      </c>
      <c r="S1080">
        <v>3.0411380000000001</v>
      </c>
      <c r="T1080">
        <v>-5.0901769999999999E-2</v>
      </c>
      <c r="U1080">
        <v>-0.19097900000000001</v>
      </c>
      <c r="V1080">
        <v>-4.3224730000000003E-2</v>
      </c>
      <c r="W1080">
        <v>-0.14873310000000001</v>
      </c>
      <c r="X1080">
        <v>0.98793220000000004</v>
      </c>
      <c r="Y1080">
        <v>6.6248520000000005E-2</v>
      </c>
      <c r="Z1080">
        <v>-8.7949019999999998E-4</v>
      </c>
      <c r="AA1080">
        <v>0.99780279999999999</v>
      </c>
      <c r="AB1080">
        <v>41</v>
      </c>
      <c r="AC1080">
        <v>63.032599999999903</v>
      </c>
      <c r="AD1080">
        <v>-1.0586614740019999</v>
      </c>
      <c r="AE1080">
        <v>-3.9727000000000299</v>
      </c>
      <c r="AF1080">
        <v>4.1981120791925699</v>
      </c>
      <c r="AG1080">
        <v>-1.0586614740019999</v>
      </c>
      <c r="AH1080">
        <v>63.000208564269897</v>
      </c>
      <c r="AI1080">
        <v>90.960583164607698</v>
      </c>
      <c r="AJ1080">
        <v>86.187647138034293</v>
      </c>
      <c r="AK1080">
        <v>63.1488019544908</v>
      </c>
      <c r="AL1080">
        <v>98.553515232354499</v>
      </c>
      <c r="AM1080">
        <v>92.505248939288094</v>
      </c>
      <c r="AN1080">
        <v>0.99999997205801106</v>
      </c>
    </row>
    <row r="1081" spans="1:40" x14ac:dyDescent="0.25">
      <c r="A1081" t="str">
        <f>"20190305134925621"</f>
        <v>20190305134925621</v>
      </c>
      <c r="B1081" t="str">
        <f>"1551764965611509"</f>
        <v>1551764965611509</v>
      </c>
      <c r="C1081" t="s">
        <v>40</v>
      </c>
      <c r="D1081">
        <v>3.9974449999999999</v>
      </c>
      <c r="E1081">
        <v>0.54585490000000003</v>
      </c>
      <c r="F1081" t="s">
        <v>42</v>
      </c>
      <c r="G1081">
        <v>-244.1892</v>
      </c>
      <c r="H1081" s="1">
        <v>-3.6668830000000002E-6</v>
      </c>
      <c r="I1081">
        <v>364.31950000000001</v>
      </c>
      <c r="J1081">
        <v>-299.95929999999998</v>
      </c>
      <c r="K1081">
        <v>1.05867</v>
      </c>
      <c r="L1081">
        <v>367.92180000000002</v>
      </c>
      <c r="M1081">
        <v>0.99995219999999996</v>
      </c>
      <c r="N1081">
        <v>-9.0926119999999999E-3</v>
      </c>
      <c r="O1081">
        <v>3.5954170000000001E-3</v>
      </c>
      <c r="P1081">
        <v>0.98610609999999999</v>
      </c>
      <c r="Q1081">
        <v>-0.15929270000000001</v>
      </c>
      <c r="R1081">
        <v>4.7123449999999997E-2</v>
      </c>
      <c r="S1081">
        <v>3.0414729999999999</v>
      </c>
      <c r="T1081">
        <v>-5.7534809999999999E-2</v>
      </c>
      <c r="U1081">
        <v>-0.19573969999999999</v>
      </c>
      <c r="V1081">
        <v>-4.3583030000000002E-2</v>
      </c>
      <c r="W1081">
        <v>-0.1503167</v>
      </c>
      <c r="X1081">
        <v>0.98767680000000002</v>
      </c>
      <c r="Y1081">
        <v>6.779367E-2</v>
      </c>
      <c r="Z1081">
        <v>-9.8435769999999996E-4</v>
      </c>
      <c r="AA1081">
        <v>0.99769890000000006</v>
      </c>
      <c r="AB1081">
        <v>41</v>
      </c>
      <c r="AC1081">
        <v>55.7700999999999</v>
      </c>
      <c r="AD1081">
        <v>-1.0586736668829999</v>
      </c>
      <c r="AE1081">
        <v>-3.6023000000000098</v>
      </c>
      <c r="AF1081">
        <v>3.8014376223453001</v>
      </c>
      <c r="AG1081">
        <v>-1.0586736668829999</v>
      </c>
      <c r="AH1081">
        <v>55.736786034427901</v>
      </c>
      <c r="AI1081">
        <v>91.085633111189694</v>
      </c>
      <c r="AJ1081">
        <v>86.098276140433896</v>
      </c>
      <c r="AK1081">
        <v>55.876301196277602</v>
      </c>
      <c r="AL1081">
        <v>98.6452800000027</v>
      </c>
      <c r="AM1081">
        <v>92.526641092343795</v>
      </c>
      <c r="AN1081">
        <v>1.0000000260305499</v>
      </c>
    </row>
    <row r="1082" spans="1:40" x14ac:dyDescent="0.25">
      <c r="A1082" t="str">
        <f>"20190305134925632"</f>
        <v>20190305134925632</v>
      </c>
      <c r="B1082" t="str">
        <f>"1551764965621269"</f>
        <v>1551764965621269</v>
      </c>
      <c r="C1082" t="s">
        <v>40</v>
      </c>
      <c r="D1082">
        <v>4.006208</v>
      </c>
      <c r="E1082">
        <v>0.54648549999999996</v>
      </c>
      <c r="F1082" t="s">
        <v>42</v>
      </c>
      <c r="G1082">
        <v>-247.79660000000001</v>
      </c>
      <c r="H1082" s="1">
        <v>-2.2053680000000001E-6</v>
      </c>
      <c r="I1082">
        <v>364.4486</v>
      </c>
      <c r="J1082">
        <v>-299.76569999999998</v>
      </c>
      <c r="K1082">
        <v>1.0586880000000001</v>
      </c>
      <c r="L1082">
        <v>367.92250000000001</v>
      </c>
      <c r="M1082">
        <v>0.99995120000000004</v>
      </c>
      <c r="N1082">
        <v>-9.2176800000000007E-3</v>
      </c>
      <c r="O1082">
        <v>3.5954950000000002E-3</v>
      </c>
      <c r="P1082">
        <v>0.98588169999999997</v>
      </c>
      <c r="Q1082">
        <v>-0.16060260000000001</v>
      </c>
      <c r="R1082">
        <v>4.7375470000000003E-2</v>
      </c>
      <c r="S1082">
        <v>3.0419619999999998</v>
      </c>
      <c r="T1082">
        <v>-6.1738370000000001E-2</v>
      </c>
      <c r="U1082">
        <v>-0.20254520000000001</v>
      </c>
      <c r="V1082">
        <v>-4.3835890000000002E-2</v>
      </c>
      <c r="W1082">
        <v>-0.1515051</v>
      </c>
      <c r="X1082">
        <v>0.98748400000000003</v>
      </c>
      <c r="Y1082">
        <v>7.0002780000000001E-2</v>
      </c>
      <c r="Z1082">
        <v>-1.072342E-3</v>
      </c>
      <c r="AA1082">
        <v>0.99754620000000005</v>
      </c>
      <c r="AB1082">
        <v>41</v>
      </c>
      <c r="AC1082">
        <v>51.969099999999898</v>
      </c>
      <c r="AD1082">
        <v>-1.0586902053679901</v>
      </c>
      <c r="AE1082">
        <v>-3.4739000000000102</v>
      </c>
      <c r="AF1082">
        <v>3.65922827167141</v>
      </c>
      <c r="AG1082">
        <v>-1.0586902053679901</v>
      </c>
      <c r="AH1082">
        <v>51.934816096972703</v>
      </c>
      <c r="AI1082">
        <v>91.164924432925503</v>
      </c>
      <c r="AJ1082">
        <v>85.969708895475193</v>
      </c>
      <c r="AK1082">
        <v>52.074330523987697</v>
      </c>
      <c r="AL1082">
        <v>98.714159247714093</v>
      </c>
      <c r="AM1082">
        <v>92.541776513126507</v>
      </c>
      <c r="AN1082">
        <v>1.0000000154170501</v>
      </c>
    </row>
    <row r="1083" spans="1:40" x14ac:dyDescent="0.25">
      <c r="A1083" t="str">
        <f>"20190305134925643"</f>
        <v>20190305134925643</v>
      </c>
      <c r="B1083" t="str">
        <f>"1551764965632005"</f>
        <v>1551764965632005</v>
      </c>
      <c r="C1083" t="s">
        <v>40</v>
      </c>
      <c r="D1083">
        <v>4.008108</v>
      </c>
      <c r="E1083">
        <v>0.54700470000000001</v>
      </c>
      <c r="F1083" t="s">
        <v>42</v>
      </c>
      <c r="G1083">
        <v>-249.1815</v>
      </c>
      <c r="H1083" s="1">
        <v>-1.663698E-6</v>
      </c>
      <c r="I1083">
        <v>364.4855</v>
      </c>
      <c r="J1083">
        <v>-299.56020000000001</v>
      </c>
      <c r="K1083">
        <v>1.0587139999999999</v>
      </c>
      <c r="L1083">
        <v>367.92320000000001</v>
      </c>
      <c r="M1083">
        <v>0.99994950000000005</v>
      </c>
      <c r="N1083">
        <v>-9.3941400000000005E-3</v>
      </c>
      <c r="O1083">
        <v>3.5958600000000002E-3</v>
      </c>
      <c r="P1083">
        <v>0.98570639999999998</v>
      </c>
      <c r="Q1083">
        <v>-0.1616059</v>
      </c>
      <c r="R1083">
        <v>4.7605309999999998E-2</v>
      </c>
      <c r="S1083">
        <v>3.0425110000000002</v>
      </c>
      <c r="T1083">
        <v>-6.3677549999999999E-2</v>
      </c>
      <c r="U1083">
        <v>-0.2067261</v>
      </c>
      <c r="V1083">
        <v>-4.4066569999999999E-2</v>
      </c>
      <c r="W1083">
        <v>-0.15233569999999999</v>
      </c>
      <c r="X1083">
        <v>0.9873459</v>
      </c>
      <c r="Y1083">
        <v>7.1354089999999995E-2</v>
      </c>
      <c r="Z1083">
        <v>-1.1227819999999999E-3</v>
      </c>
      <c r="AA1083">
        <v>0.99745039999999996</v>
      </c>
      <c r="AB1083">
        <v>41</v>
      </c>
      <c r="AC1083">
        <v>50.378700000000002</v>
      </c>
      <c r="AD1083">
        <v>-1.058715663698</v>
      </c>
      <c r="AE1083">
        <v>-3.4377</v>
      </c>
      <c r="AF1083">
        <v>3.61725039742758</v>
      </c>
      <c r="AG1083">
        <v>-1.058715663698</v>
      </c>
      <c r="AH1083">
        <v>50.343881595907803</v>
      </c>
      <c r="AI1083">
        <v>91.201637420406996</v>
      </c>
      <c r="AJ1083">
        <v>85.890312305593397</v>
      </c>
      <c r="AK1083">
        <v>50.484767934863598</v>
      </c>
      <c r="AL1083">
        <v>98.762308336195304</v>
      </c>
      <c r="AM1083">
        <v>92.555491474623196</v>
      </c>
      <c r="AN1083">
        <v>0.99999997716643196</v>
      </c>
    </row>
    <row r="1084" spans="1:40" x14ac:dyDescent="0.25">
      <c r="A1084" t="str">
        <f>"20190305134925654"</f>
        <v>20190305134925654</v>
      </c>
      <c r="B1084" t="str">
        <f>"1551764965652032"</f>
        <v>1551764965652032</v>
      </c>
      <c r="C1084" t="s">
        <v>40</v>
      </c>
      <c r="D1084">
        <v>4.0032379999999996</v>
      </c>
      <c r="E1084">
        <v>0.54802039999999996</v>
      </c>
      <c r="F1084" t="s">
        <v>42</v>
      </c>
      <c r="G1084">
        <v>-250.28290000000001</v>
      </c>
      <c r="H1084" s="1">
        <v>-5.0545459999999996E-6</v>
      </c>
      <c r="I1084">
        <v>364.52210000000002</v>
      </c>
      <c r="J1084">
        <v>-299.35230000000001</v>
      </c>
      <c r="K1084">
        <v>1.0587530000000001</v>
      </c>
      <c r="L1084">
        <v>367.92399999999998</v>
      </c>
      <c r="M1084">
        <v>0.99994749999999999</v>
      </c>
      <c r="N1084">
        <v>-9.5972680000000008E-3</v>
      </c>
      <c r="O1084">
        <v>3.5960810000000001E-3</v>
      </c>
      <c r="P1084">
        <v>0.98556860000000002</v>
      </c>
      <c r="Q1084">
        <v>-0.16235579999999999</v>
      </c>
      <c r="R1084">
        <v>4.7907810000000002E-2</v>
      </c>
      <c r="S1084">
        <v>3.0429080000000002</v>
      </c>
      <c r="T1084">
        <v>-6.5376519999999994E-2</v>
      </c>
      <c r="U1084">
        <v>-0.21002199999999999</v>
      </c>
      <c r="V1084">
        <v>-4.4369249999999999E-2</v>
      </c>
      <c r="W1084">
        <v>-0.152886299999999</v>
      </c>
      <c r="X1084">
        <v>0.98724730000000005</v>
      </c>
      <c r="Y1084">
        <v>7.2419259999999999E-2</v>
      </c>
      <c r="Z1084">
        <v>-1.167632E-3</v>
      </c>
      <c r="AA1084">
        <v>0.99737359999999997</v>
      </c>
      <c r="AB1084">
        <v>41</v>
      </c>
      <c r="AC1084">
        <v>49.069400000000002</v>
      </c>
      <c r="AD1084">
        <v>-1.058758054546</v>
      </c>
      <c r="AE1084">
        <v>-3.4019000000000101</v>
      </c>
      <c r="AF1084">
        <v>3.5766864791087198</v>
      </c>
      <c r="AG1084">
        <v>-1.058758054546</v>
      </c>
      <c r="AH1084">
        <v>49.0341296826413</v>
      </c>
      <c r="AI1084">
        <v>91.233676988303102</v>
      </c>
      <c r="AJ1084">
        <v>85.8280743409655</v>
      </c>
      <c r="AK1084">
        <v>49.175802266175502</v>
      </c>
      <c r="AL1084">
        <v>98.794228737336098</v>
      </c>
      <c r="AM1084">
        <v>92.573277498165297</v>
      </c>
      <c r="AN1084">
        <v>1.0000000412152701</v>
      </c>
    </row>
    <row r="1085" spans="1:40" x14ac:dyDescent="0.25">
      <c r="A1085" t="str">
        <f>"20190305134925665"</f>
        <v>20190305134925665</v>
      </c>
      <c r="B1085" t="str">
        <f>"1551764965661792"</f>
        <v>1551764965661792</v>
      </c>
      <c r="C1085" t="s">
        <v>40</v>
      </c>
      <c r="D1085">
        <v>4.0550030000000001</v>
      </c>
      <c r="E1085">
        <v>0.54864360000000001</v>
      </c>
      <c r="F1085" t="s">
        <v>42</v>
      </c>
      <c r="G1085">
        <v>-248.80869999999999</v>
      </c>
      <c r="H1085" s="1">
        <v>-1.8500760000000001E-6</v>
      </c>
      <c r="I1085">
        <v>364.32319999999999</v>
      </c>
      <c r="J1085">
        <v>-299.14069999999998</v>
      </c>
      <c r="K1085">
        <v>1.058805</v>
      </c>
      <c r="L1085">
        <v>367.9248</v>
      </c>
      <c r="M1085">
        <v>0.99994530000000004</v>
      </c>
      <c r="N1085">
        <v>-9.8360459999999993E-3</v>
      </c>
      <c r="O1085">
        <v>3.5959249999999998E-3</v>
      </c>
      <c r="P1085">
        <v>0.98549120000000001</v>
      </c>
      <c r="Q1085">
        <v>-0.16280159999999999</v>
      </c>
      <c r="R1085">
        <v>4.798964E-2</v>
      </c>
      <c r="S1085">
        <v>3.044006</v>
      </c>
      <c r="T1085">
        <v>-6.3763860000000006E-2</v>
      </c>
      <c r="U1085">
        <v>-0.21685789999999999</v>
      </c>
      <c r="V1085">
        <v>-4.4451579999999997E-2</v>
      </c>
      <c r="W1085">
        <v>-0.15309710000000001</v>
      </c>
      <c r="X1085">
        <v>0.9872109</v>
      </c>
      <c r="Y1085">
        <v>7.4623209999999995E-2</v>
      </c>
      <c r="Z1085">
        <v>-1.187937E-3</v>
      </c>
      <c r="AA1085">
        <v>0.99721110000000002</v>
      </c>
      <c r="AB1085">
        <v>41</v>
      </c>
      <c r="AC1085">
        <v>50.332000000000001</v>
      </c>
      <c r="AD1085">
        <v>-1.058806850076</v>
      </c>
      <c r="AE1085">
        <v>-3.6016000000000101</v>
      </c>
      <c r="AF1085">
        <v>3.7809108875242901</v>
      </c>
      <c r="AG1085">
        <v>-1.058806850076</v>
      </c>
      <c r="AH1085">
        <v>50.296578366826999</v>
      </c>
      <c r="AI1085">
        <v>91.202578773452402</v>
      </c>
      <c r="AJ1085">
        <v>85.7010283576668</v>
      </c>
      <c r="AK1085">
        <v>50.449600142077799</v>
      </c>
      <c r="AL1085">
        <v>98.806450819140807</v>
      </c>
      <c r="AM1085">
        <v>92.578140872335496</v>
      </c>
      <c r="AN1085">
        <v>1.00000001303585</v>
      </c>
    </row>
    <row r="1086" spans="1:40" x14ac:dyDescent="0.25">
      <c r="A1086" t="str">
        <f>"20190305134925680"</f>
        <v>20190305134925680</v>
      </c>
      <c r="B1086" t="str">
        <f>"1551764965671552"</f>
        <v>1551764965671552</v>
      </c>
      <c r="C1086" t="s">
        <v>40</v>
      </c>
      <c r="D1086">
        <v>4.0319539999999998</v>
      </c>
      <c r="E1086">
        <v>0.5490659</v>
      </c>
      <c r="F1086" t="s">
        <v>42</v>
      </c>
      <c r="G1086">
        <v>-246.1611</v>
      </c>
      <c r="H1086" s="1">
        <v>-2.9324979999999998E-6</v>
      </c>
      <c r="I1086">
        <v>364.07619999999997</v>
      </c>
      <c r="J1086">
        <v>-298.89980000000003</v>
      </c>
      <c r="K1086">
        <v>1.058859</v>
      </c>
      <c r="L1086">
        <v>367.92559999999997</v>
      </c>
      <c r="M1086">
        <v>0.9999422</v>
      </c>
      <c r="N1086">
        <v>-1.0132749999999999E-2</v>
      </c>
      <c r="O1086">
        <v>3.5961019999999999E-3</v>
      </c>
      <c r="P1086">
        <v>0.98537730000000001</v>
      </c>
      <c r="Q1086">
        <v>-0.16341620000000001</v>
      </c>
      <c r="R1086">
        <v>4.8238419999999997E-2</v>
      </c>
      <c r="S1086">
        <v>3.0449220000000001</v>
      </c>
      <c r="T1086">
        <v>-6.0853360000000002E-2</v>
      </c>
      <c r="U1086">
        <v>-0.22119140000000001</v>
      </c>
      <c r="V1086">
        <v>-4.4700209999999997E-2</v>
      </c>
      <c r="W1086">
        <v>-0.1534198</v>
      </c>
      <c r="X1086">
        <v>0.98714950000000001</v>
      </c>
      <c r="Y1086">
        <v>7.6015230000000003E-2</v>
      </c>
      <c r="Z1086">
        <v>-1.1795919999999999E-3</v>
      </c>
      <c r="AA1086">
        <v>0.99710600000000005</v>
      </c>
      <c r="AB1086">
        <v>41</v>
      </c>
      <c r="AC1086">
        <v>52.738700000000001</v>
      </c>
      <c r="AD1086">
        <v>-1.058861932498</v>
      </c>
      <c r="AE1086">
        <v>-3.8494000000000002</v>
      </c>
      <c r="AF1086">
        <v>4.0374197023666696</v>
      </c>
      <c r="AG1086">
        <v>-1.058861932498</v>
      </c>
      <c r="AH1086">
        <v>52.703382917818203</v>
      </c>
      <c r="AI1086">
        <v>91.147611198211607</v>
      </c>
      <c r="AJ1086">
        <v>85.619329068152794</v>
      </c>
      <c r="AK1086">
        <v>52.8684075552435</v>
      </c>
      <c r="AL1086">
        <v>98.825161862406503</v>
      </c>
      <c r="AM1086">
        <v>92.592702542401895</v>
      </c>
      <c r="AN1086">
        <v>0.99999993957816502</v>
      </c>
    </row>
    <row r="1087" spans="1:40" x14ac:dyDescent="0.25">
      <c r="A1087" t="str">
        <f>"20190305134925693"</f>
        <v>20190305134925693</v>
      </c>
      <c r="B1087" t="str">
        <f>"1551764965681313"</f>
        <v>1551764965681313</v>
      </c>
      <c r="C1087" t="s">
        <v>40</v>
      </c>
      <c r="D1087">
        <v>4.0575060000000001</v>
      </c>
      <c r="E1087">
        <v>0.54947429999999997</v>
      </c>
      <c r="F1087" t="s">
        <v>42</v>
      </c>
      <c r="G1087">
        <v>-246.4188</v>
      </c>
      <c r="H1087" s="1">
        <v>-2.8337839999999999E-6</v>
      </c>
      <c r="I1087">
        <v>364.07530000000003</v>
      </c>
      <c r="J1087">
        <v>-298.66230000000002</v>
      </c>
      <c r="K1087">
        <v>1.0589139999999999</v>
      </c>
      <c r="L1087">
        <v>367.92649999999998</v>
      </c>
      <c r="M1087">
        <v>0.99993909999999997</v>
      </c>
      <c r="N1087">
        <v>-1.043495E-2</v>
      </c>
      <c r="O1087">
        <v>3.5960269999999999E-3</v>
      </c>
      <c r="P1087">
        <v>0.98530430000000002</v>
      </c>
      <c r="Q1087">
        <v>-0.1638114</v>
      </c>
      <c r="R1087">
        <v>4.8388970000000003E-2</v>
      </c>
      <c r="S1087">
        <v>3.0452880000000002</v>
      </c>
      <c r="T1087">
        <v>-6.144202E-2</v>
      </c>
      <c r="U1087">
        <v>-0.22341920000000001</v>
      </c>
      <c r="V1087">
        <v>-4.4851090000000003E-2</v>
      </c>
      <c r="W1087">
        <v>-0.1535175</v>
      </c>
      <c r="X1087">
        <v>0.98712750000000005</v>
      </c>
      <c r="Y1087">
        <v>7.6731209999999994E-2</v>
      </c>
      <c r="Z1087">
        <v>-1.208883E-3</v>
      </c>
      <c r="AA1087">
        <v>0.99705109999999997</v>
      </c>
      <c r="AB1087">
        <v>41</v>
      </c>
      <c r="AC1087">
        <v>52.243499999999997</v>
      </c>
      <c r="AD1087">
        <v>-1.05891683378399</v>
      </c>
      <c r="AE1087">
        <v>-3.85119999999994</v>
      </c>
      <c r="AF1087">
        <v>4.0374046491625899</v>
      </c>
      <c r="AG1087">
        <v>-1.05891683378399</v>
      </c>
      <c r="AH1087">
        <v>52.207979863589799</v>
      </c>
      <c r="AI1087">
        <v>91.158493615957894</v>
      </c>
      <c r="AJ1087">
        <v>85.577941282194203</v>
      </c>
      <c r="AK1087">
        <v>52.374565416802803</v>
      </c>
      <c r="AL1087">
        <v>98.830826479541201</v>
      </c>
      <c r="AM1087">
        <v>92.601499783681504</v>
      </c>
      <c r="AN1087">
        <v>0.99999997216834302</v>
      </c>
    </row>
    <row r="1088" spans="1:40" x14ac:dyDescent="0.25">
      <c r="A1088" t="str">
        <f>"20190305134925705"</f>
        <v>20190305134925705</v>
      </c>
      <c r="B1088" t="str">
        <f>"1551764965701808"</f>
        <v>1551764965701808</v>
      </c>
      <c r="C1088" t="s">
        <v>40</v>
      </c>
      <c r="D1088">
        <v>3.9972729999999999</v>
      </c>
      <c r="E1088">
        <v>0.55017839999999996</v>
      </c>
      <c r="F1088" t="s">
        <v>42</v>
      </c>
      <c r="G1088">
        <v>-245.78989999999999</v>
      </c>
      <c r="H1088" s="1">
        <v>-3.0953779999999999E-6</v>
      </c>
      <c r="I1088">
        <v>363.99979999999999</v>
      </c>
      <c r="J1088">
        <v>-298.41559999999998</v>
      </c>
      <c r="K1088">
        <v>1.058964</v>
      </c>
      <c r="L1088">
        <v>367.92739999999998</v>
      </c>
      <c r="M1088">
        <v>0.99993589999999999</v>
      </c>
      <c r="N1088">
        <v>-1.075076E-2</v>
      </c>
      <c r="O1088">
        <v>3.5960699999999998E-3</v>
      </c>
      <c r="P1088">
        <v>0.98518790000000001</v>
      </c>
      <c r="Q1088">
        <v>-0.16443669999999999</v>
      </c>
      <c r="R1088">
        <v>4.8638729999999998E-2</v>
      </c>
      <c r="S1088">
        <v>3.045715</v>
      </c>
      <c r="T1088">
        <v>-6.0999039999999997E-2</v>
      </c>
      <c r="U1088">
        <v>-0.22619629999999999</v>
      </c>
      <c r="V1088">
        <v>-4.510115E-2</v>
      </c>
      <c r="W1088">
        <v>-0.1538321</v>
      </c>
      <c r="X1088">
        <v>0.98706719999999903</v>
      </c>
      <c r="Y1088">
        <v>7.7625009999999994E-2</v>
      </c>
      <c r="Z1088">
        <v>-1.2274089999999901E-3</v>
      </c>
      <c r="AA1088">
        <v>0.99698189999999998</v>
      </c>
      <c r="AB1088">
        <v>41</v>
      </c>
      <c r="AC1088">
        <v>52.625700000000002</v>
      </c>
      <c r="AD1088">
        <v>-1.0589670953779999</v>
      </c>
      <c r="AE1088">
        <v>-3.92759999999998</v>
      </c>
      <c r="AF1088">
        <v>4.1151741242446596</v>
      </c>
      <c r="AG1088">
        <v>-1.0589670953779999</v>
      </c>
      <c r="AH1088">
        <v>52.590058143451699</v>
      </c>
      <c r="AI1088">
        <v>91.150052227776499</v>
      </c>
      <c r="AJ1088">
        <v>85.525720236936294</v>
      </c>
      <c r="AK1088">
        <v>52.761446956215799</v>
      </c>
      <c r="AL1088">
        <v>98.849067787659806</v>
      </c>
      <c r="AM1088">
        <v>92.616143520685398</v>
      </c>
      <c r="AN1088">
        <v>1.0000000430187801</v>
      </c>
    </row>
    <row r="1089" spans="1:40" x14ac:dyDescent="0.25">
      <c r="A1089" t="str">
        <f>"20190305134925716"</f>
        <v>20190305134925716</v>
      </c>
      <c r="B1089" t="str">
        <f>"1551764965711569"</f>
        <v>1551764965711569</v>
      </c>
      <c r="C1089" t="s">
        <v>40</v>
      </c>
      <c r="D1089">
        <v>4.0289380000000001</v>
      </c>
      <c r="E1089">
        <v>0.55049369999999997</v>
      </c>
      <c r="F1089" t="s">
        <v>42</v>
      </c>
      <c r="G1089">
        <v>-244.46</v>
      </c>
      <c r="H1089" s="1">
        <v>-3.6469690000000002E-6</v>
      </c>
      <c r="I1089">
        <v>363.84620000000001</v>
      </c>
      <c r="J1089">
        <v>-298.22140000000002</v>
      </c>
      <c r="K1089">
        <v>1.058999</v>
      </c>
      <c r="L1089">
        <v>367.928</v>
      </c>
      <c r="M1089">
        <v>0.99993310000000002</v>
      </c>
      <c r="N1089">
        <v>-1.0991849999999999E-2</v>
      </c>
      <c r="O1089">
        <v>3.5962400000000001E-3</v>
      </c>
      <c r="P1089">
        <v>0.98508200000000001</v>
      </c>
      <c r="Q1089">
        <v>-0.1649987</v>
      </c>
      <c r="R1089">
        <v>4.88764E-2</v>
      </c>
      <c r="S1089">
        <v>3.0465089999999999</v>
      </c>
      <c r="T1089">
        <v>-5.979276E-2</v>
      </c>
      <c r="U1089">
        <v>-0.23043820000000001</v>
      </c>
      <c r="V1089">
        <v>-4.5339329999999997E-2</v>
      </c>
      <c r="W1089">
        <v>-0.1541573</v>
      </c>
      <c r="X1089">
        <v>0.98700549999999998</v>
      </c>
      <c r="Y1089">
        <v>7.8986609999999999E-2</v>
      </c>
      <c r="Z1089">
        <v>-1.2397489999999901E-3</v>
      </c>
      <c r="AA1089">
        <v>0.99687490000000001</v>
      </c>
      <c r="AB1089">
        <v>41</v>
      </c>
      <c r="AC1089">
        <v>53.761400000000002</v>
      </c>
      <c r="AD1089">
        <v>-1.0590026469689999</v>
      </c>
      <c r="AE1089">
        <v>-4.0818000000000403</v>
      </c>
      <c r="AF1089">
        <v>4.2734754981238101</v>
      </c>
      <c r="AG1089">
        <v>-1.0590026469689999</v>
      </c>
      <c r="AH1089">
        <v>53.725645203002699</v>
      </c>
      <c r="AI1089">
        <v>91.125673878476306</v>
      </c>
      <c r="AJ1089">
        <v>85.452122243915298</v>
      </c>
      <c r="AK1089">
        <v>53.9057421052552</v>
      </c>
      <c r="AL1089">
        <v>98.867925764670304</v>
      </c>
      <c r="AM1089">
        <v>92.630104248463695</v>
      </c>
      <c r="AN1089">
        <v>0.99999999250919402</v>
      </c>
    </row>
    <row r="1090" spans="1:40" x14ac:dyDescent="0.25">
      <c r="A1090" t="str">
        <f>"20190305134925728"</f>
        <v>20190305134925728</v>
      </c>
      <c r="B1090" t="str">
        <f>"1551764965721328"</f>
        <v>1551764965721328</v>
      </c>
      <c r="C1090" t="s">
        <v>40</v>
      </c>
      <c r="D1090">
        <v>4.0160339999999897</v>
      </c>
      <c r="E1090">
        <v>0.55075229999999997</v>
      </c>
      <c r="F1090" t="s">
        <v>42</v>
      </c>
      <c r="G1090">
        <v>-244.3477</v>
      </c>
      <c r="H1090" s="1">
        <v>-3.6968930000000001E-6</v>
      </c>
      <c r="I1090">
        <v>363.82069999999999</v>
      </c>
      <c r="J1090">
        <v>-298.00040000000001</v>
      </c>
      <c r="K1090">
        <v>1.059037</v>
      </c>
      <c r="L1090">
        <v>367.92880000000002</v>
      </c>
      <c r="M1090">
        <v>0.99993010000000004</v>
      </c>
      <c r="N1090">
        <v>-1.1260940000000001E-2</v>
      </c>
      <c r="O1090">
        <v>3.5964009999999999E-3</v>
      </c>
      <c r="P1090">
        <v>0.98496819999999896</v>
      </c>
      <c r="Q1090">
        <v>-0.16558599999999901</v>
      </c>
      <c r="R1090">
        <v>4.9183129999999999E-2</v>
      </c>
      <c r="S1090">
        <v>3.0469360000000001</v>
      </c>
      <c r="T1090">
        <v>-5.9893969999999998E-2</v>
      </c>
      <c r="U1090">
        <v>-0.2322998</v>
      </c>
      <c r="V1090">
        <v>-4.5646689999999997E-2</v>
      </c>
      <c r="W1090">
        <v>-0.15448020000000001</v>
      </c>
      <c r="X1090">
        <v>0.98694090000000001</v>
      </c>
      <c r="Y1090">
        <v>7.9581369999999998E-2</v>
      </c>
      <c r="Z1090">
        <v>-1.259923E-3</v>
      </c>
      <c r="AA1090">
        <v>0.99682760000000004</v>
      </c>
      <c r="AB1090">
        <v>41</v>
      </c>
      <c r="AC1090">
        <v>53.652700000000003</v>
      </c>
      <c r="AD1090">
        <v>-1.059040696893</v>
      </c>
      <c r="AE1090">
        <v>-4.1081000000000296</v>
      </c>
      <c r="AF1090">
        <v>4.2993769305564404</v>
      </c>
      <c r="AG1090">
        <v>-1.059040696893</v>
      </c>
      <c r="AH1090">
        <v>53.616809203435501</v>
      </c>
      <c r="AI1090">
        <v>91.127941114044305</v>
      </c>
      <c r="AJ1090">
        <v>85.415426510741895</v>
      </c>
      <c r="AK1090">
        <v>53.799334924758</v>
      </c>
      <c r="AL1090">
        <v>98.886650396230095</v>
      </c>
      <c r="AM1090">
        <v>92.648081777232093</v>
      </c>
      <c r="AN1090">
        <v>1.0000000462964</v>
      </c>
    </row>
    <row r="1091" spans="1:40" x14ac:dyDescent="0.25">
      <c r="A1091" t="str">
        <f>"20190305134925738"</f>
        <v>20190305134925738</v>
      </c>
      <c r="B1091" t="str">
        <f>"1551764965732064"</f>
        <v>1551764965732064</v>
      </c>
      <c r="C1091" t="s">
        <v>40</v>
      </c>
      <c r="D1091">
        <v>4.0557889999999999</v>
      </c>
      <c r="E1091">
        <v>0.55101480000000003</v>
      </c>
      <c r="F1091" t="s">
        <v>42</v>
      </c>
      <c r="G1091">
        <v>-244.6636</v>
      </c>
      <c r="H1091" s="1">
        <v>-3.567926E-6</v>
      </c>
      <c r="I1091">
        <v>363.84949999999998</v>
      </c>
      <c r="J1091">
        <v>-297.81509999999997</v>
      </c>
      <c r="K1091">
        <v>1.059064</v>
      </c>
      <c r="L1091">
        <v>367.92950000000002</v>
      </c>
      <c r="M1091">
        <v>0.99992780000000003</v>
      </c>
      <c r="N1091">
        <v>-1.147257E-2</v>
      </c>
      <c r="O1091">
        <v>3.5965599999999999E-3</v>
      </c>
      <c r="P1091">
        <v>0.98489360000000004</v>
      </c>
      <c r="Q1091">
        <v>-0.16596140000000001</v>
      </c>
      <c r="R1091">
        <v>4.941284E-2</v>
      </c>
      <c r="S1091">
        <v>3.0472410000000001</v>
      </c>
      <c r="T1091">
        <v>-6.0505150000000001E-2</v>
      </c>
      <c r="U1091">
        <v>-0.23306270000000001</v>
      </c>
      <c r="V1091">
        <v>-4.5876069999999998E-2</v>
      </c>
      <c r="W1091">
        <v>-0.15464749999999999</v>
      </c>
      <c r="X1091">
        <v>0.986904</v>
      </c>
      <c r="Y1091">
        <v>7.9821450000000002E-2</v>
      </c>
      <c r="Z1091">
        <v>-1.279959E-3</v>
      </c>
      <c r="AA1091">
        <v>0.99680840000000004</v>
      </c>
      <c r="AB1091">
        <v>41</v>
      </c>
      <c r="AC1091">
        <v>53.151499999999899</v>
      </c>
      <c r="AD1091">
        <v>-1.059067567926</v>
      </c>
      <c r="AE1091">
        <v>-4.08000000000004</v>
      </c>
      <c r="AF1091">
        <v>4.2694635855364496</v>
      </c>
      <c r="AG1091">
        <v>-1.059067567926</v>
      </c>
      <c r="AH1091">
        <v>53.115516679443502</v>
      </c>
      <c r="AI1091">
        <v>91.1385948853152</v>
      </c>
      <c r="AJ1091">
        <v>85.404404347768505</v>
      </c>
      <c r="AK1091">
        <v>53.2973550520652</v>
      </c>
      <c r="AL1091">
        <v>98.896353130172699</v>
      </c>
      <c r="AM1091">
        <v>92.661468980601398</v>
      </c>
      <c r="AN1091">
        <v>0.999999984135447</v>
      </c>
    </row>
    <row r="1092" spans="1:40" x14ac:dyDescent="0.25">
      <c r="A1092" t="str">
        <f>"20190305134925750"</f>
        <v>20190305134925750</v>
      </c>
      <c r="B1092" t="str">
        <f>"1551764965741355"</f>
        <v>1551764965741355</v>
      </c>
      <c r="C1092" t="s">
        <v>40</v>
      </c>
      <c r="D1092">
        <v>4.0435089999999896</v>
      </c>
      <c r="E1092">
        <v>0.55132150000000002</v>
      </c>
      <c r="F1092" t="s">
        <v>42</v>
      </c>
      <c r="G1092">
        <v>-244.51660000000001</v>
      </c>
      <c r="H1092" s="1">
        <v>-3.6306680000000002E-6</v>
      </c>
      <c r="I1092">
        <v>363.82569999999998</v>
      </c>
      <c r="J1092">
        <v>-297.59969999999998</v>
      </c>
      <c r="K1092">
        <v>1.0590919999999999</v>
      </c>
      <c r="L1092">
        <v>367.93029999999999</v>
      </c>
      <c r="M1092">
        <v>0.99992490000000001</v>
      </c>
      <c r="N1092">
        <v>-1.1715059999999999E-2</v>
      </c>
      <c r="O1092">
        <v>3.596634E-3</v>
      </c>
      <c r="P1092">
        <v>0.98481549999999995</v>
      </c>
      <c r="Q1092">
        <v>-0.16632769999999999</v>
      </c>
      <c r="R1092">
        <v>4.9735120000000001E-2</v>
      </c>
      <c r="S1092">
        <v>3.0475460000000001</v>
      </c>
      <c r="T1092">
        <v>-6.0556289999999999E-2</v>
      </c>
      <c r="U1092">
        <v>-0.23464969999999999</v>
      </c>
      <c r="V1092">
        <v>-4.6198429999999999E-2</v>
      </c>
      <c r="W1092">
        <v>-0.1547753</v>
      </c>
      <c r="X1092">
        <v>0.98686890000000005</v>
      </c>
      <c r="Y1092">
        <v>8.0329590000000006E-2</v>
      </c>
      <c r="Z1092">
        <v>-1.2974410000000001E-3</v>
      </c>
      <c r="AA1092">
        <v>0.99676750000000003</v>
      </c>
      <c r="AB1092">
        <v>41</v>
      </c>
      <c r="AC1092">
        <v>53.083099999999902</v>
      </c>
      <c r="AD1092">
        <v>-1.0590956306679999</v>
      </c>
      <c r="AE1092">
        <v>-4.1045999999999996</v>
      </c>
      <c r="AF1092">
        <v>4.2938079636669801</v>
      </c>
      <c r="AG1092">
        <v>-1.0590956306679999</v>
      </c>
      <c r="AH1092">
        <v>53.047002023567501</v>
      </c>
      <c r="AI1092">
        <v>91.140043887674494</v>
      </c>
      <c r="AJ1092">
        <v>85.372370184862504</v>
      </c>
      <c r="AK1092">
        <v>53.231033186216898</v>
      </c>
      <c r="AL1092">
        <v>98.903765011845707</v>
      </c>
      <c r="AM1092">
        <v>92.680238488501701</v>
      </c>
      <c r="AN1092">
        <v>0.99999995710588097</v>
      </c>
    </row>
    <row r="1093" spans="1:40" x14ac:dyDescent="0.25">
      <c r="A1093" t="str">
        <f>"20190305134925759"</f>
        <v>20190305134925759</v>
      </c>
      <c r="B1093" t="str">
        <f>"1551764965752091"</f>
        <v>1551764965752091</v>
      </c>
      <c r="C1093" t="s">
        <v>40</v>
      </c>
      <c r="D1093">
        <v>4.0841779999999996</v>
      </c>
      <c r="E1093">
        <v>0.55153969999999997</v>
      </c>
      <c r="F1093" t="s">
        <v>42</v>
      </c>
      <c r="G1093">
        <v>-243.7116</v>
      </c>
      <c r="H1093" s="1">
        <v>-3.9913799999999999E-6</v>
      </c>
      <c r="I1093">
        <v>363.76280000000003</v>
      </c>
      <c r="J1093">
        <v>-297.41269999999997</v>
      </c>
      <c r="K1093">
        <v>1.0591109999999999</v>
      </c>
      <c r="L1093">
        <v>367.93090000000001</v>
      </c>
      <c r="M1093">
        <v>0.9999228</v>
      </c>
      <c r="N1093">
        <v>-1.1909299999999999E-2</v>
      </c>
      <c r="O1093">
        <v>3.5966700000000002E-3</v>
      </c>
      <c r="P1093">
        <v>0.98478220000000005</v>
      </c>
      <c r="Q1093">
        <v>-0.16651949999999999</v>
      </c>
      <c r="R1093">
        <v>4.9756769999999999E-2</v>
      </c>
      <c r="S1093">
        <v>3.0480040000000002</v>
      </c>
      <c r="T1093">
        <v>-5.9904220000000001E-2</v>
      </c>
      <c r="U1093">
        <v>-0.23571780000000001</v>
      </c>
      <c r="V1093">
        <v>-4.6220539999999997E-2</v>
      </c>
      <c r="W1093">
        <v>-0.15477579999999999</v>
      </c>
      <c r="X1093">
        <v>0.98686779999999996</v>
      </c>
      <c r="Y1093">
        <v>8.0665589999999995E-2</v>
      </c>
      <c r="Z1093">
        <v>-1.300378E-3</v>
      </c>
      <c r="AA1093">
        <v>0.99674039999999997</v>
      </c>
      <c r="AB1093">
        <v>41</v>
      </c>
      <c r="AC1093">
        <v>53.701099999999897</v>
      </c>
      <c r="AD1093">
        <v>-1.05911499138</v>
      </c>
      <c r="AE1093">
        <v>-4.1680999999999804</v>
      </c>
      <c r="AF1093">
        <v>4.3595462417138799</v>
      </c>
      <c r="AG1093">
        <v>-1.05911499138</v>
      </c>
      <c r="AH1093">
        <v>53.665011010066003</v>
      </c>
      <c r="AI1093">
        <v>91.126912507654893</v>
      </c>
      <c r="AJ1093">
        <v>85.355702113413201</v>
      </c>
      <c r="AK1093">
        <v>53.852212347396701</v>
      </c>
      <c r="AL1093">
        <v>98.903793887767804</v>
      </c>
      <c r="AM1093">
        <v>92.681522330384396</v>
      </c>
      <c r="AN1093">
        <v>0.99999997063018498</v>
      </c>
    </row>
    <row r="1094" spans="1:40" x14ac:dyDescent="0.25">
      <c r="A1094" t="str">
        <f>"20190305134925770"</f>
        <v>20190305134925770</v>
      </c>
      <c r="B1094" t="str">
        <f>"1551764965761851"</f>
        <v>1551764965761851</v>
      </c>
      <c r="C1094" t="s">
        <v>40</v>
      </c>
      <c r="D1094">
        <v>4.0146119999999996</v>
      </c>
      <c r="E1094">
        <v>0.55174730000000005</v>
      </c>
      <c r="F1094" t="s">
        <v>42</v>
      </c>
      <c r="G1094">
        <v>-243.6823</v>
      </c>
      <c r="H1094" s="1">
        <v>-4.0092609999999999E-6</v>
      </c>
      <c r="I1094">
        <v>363.73989999999998</v>
      </c>
      <c r="J1094">
        <v>-297.2278</v>
      </c>
      <c r="K1094">
        <v>1.0591250000000001</v>
      </c>
      <c r="L1094">
        <v>367.9316</v>
      </c>
      <c r="M1094">
        <v>0.99992049999999999</v>
      </c>
      <c r="N1094">
        <v>-1.209995E-2</v>
      </c>
      <c r="O1094">
        <v>3.5967099999999999E-3</v>
      </c>
      <c r="P1094">
        <v>0.98477360000000003</v>
      </c>
      <c r="Q1094">
        <v>-0.16667270000000001</v>
      </c>
      <c r="R1094">
        <v>4.9410950000000002E-2</v>
      </c>
      <c r="S1094">
        <v>3.0482179999999999</v>
      </c>
      <c r="T1094">
        <v>-6.008542E-2</v>
      </c>
      <c r="U1094">
        <v>-0.23776249999999999</v>
      </c>
      <c r="V1094">
        <v>-4.5874449999999997E-2</v>
      </c>
      <c r="W1094">
        <v>-0.15474099999999999</v>
      </c>
      <c r="X1094">
        <v>0.98688940000000003</v>
      </c>
      <c r="Y1094">
        <v>8.1324350000000004E-2</v>
      </c>
      <c r="Z1094">
        <v>-1.3204099999999999E-3</v>
      </c>
      <c r="AA1094">
        <v>0.99668679999999998</v>
      </c>
      <c r="AB1094">
        <v>41</v>
      </c>
      <c r="AC1094">
        <v>53.545499999999997</v>
      </c>
      <c r="AD1094">
        <v>-1.059129009261</v>
      </c>
      <c r="AE1094">
        <v>-4.1917000000000204</v>
      </c>
      <c r="AF1094">
        <v>4.3825703580383504</v>
      </c>
      <c r="AG1094">
        <v>-1.059129009261</v>
      </c>
      <c r="AH1094">
        <v>53.5092683152536</v>
      </c>
      <c r="AI1094">
        <v>91.130145533145793</v>
      </c>
      <c r="AJ1094">
        <v>85.317753963003</v>
      </c>
      <c r="AK1094">
        <v>53.698887072594097</v>
      </c>
      <c r="AL1094">
        <v>98.901775730094499</v>
      </c>
      <c r="AM1094">
        <v>92.661414448193796</v>
      </c>
      <c r="AN1094">
        <v>0.99999996503807997</v>
      </c>
    </row>
    <row r="1095" spans="1:40" x14ac:dyDescent="0.25">
      <c r="A1095" t="str">
        <f>"20190305134925781"</f>
        <v>20190305134925781</v>
      </c>
      <c r="B1095" t="str">
        <f>"1551764965771611"</f>
        <v>1551764965771611</v>
      </c>
      <c r="C1095" t="s">
        <v>40</v>
      </c>
      <c r="D1095">
        <v>4.0429000000000004</v>
      </c>
      <c r="E1095">
        <v>0.5519136</v>
      </c>
      <c r="F1095" t="s">
        <v>42</v>
      </c>
      <c r="G1095">
        <v>-243.6807</v>
      </c>
      <c r="H1095" s="1">
        <v>-4.0163949999999999E-6</v>
      </c>
      <c r="I1095">
        <v>363.70400000000001</v>
      </c>
      <c r="J1095">
        <v>-297.0274</v>
      </c>
      <c r="K1095">
        <v>1.0591410000000001</v>
      </c>
      <c r="L1095">
        <v>367.9323</v>
      </c>
      <c r="M1095">
        <v>0.99991799999999997</v>
      </c>
      <c r="N1095">
        <v>-1.2289939999999999E-2</v>
      </c>
      <c r="O1095">
        <v>3.5968549999999999E-3</v>
      </c>
      <c r="P1095">
        <v>0.98471359999999997</v>
      </c>
      <c r="Q1095">
        <v>-0.16715579999999999</v>
      </c>
      <c r="R1095">
        <v>4.8972000000000002E-2</v>
      </c>
      <c r="S1095">
        <v>3.0482480000000001</v>
      </c>
      <c r="T1095">
        <v>-6.0292480000000002E-2</v>
      </c>
      <c r="U1095">
        <v>-0.2406616</v>
      </c>
      <c r="V1095">
        <v>-4.54356E-2</v>
      </c>
      <c r="W1095">
        <v>-0.15503729999999999</v>
      </c>
      <c r="X1095">
        <v>0.9868633</v>
      </c>
      <c r="Y1095">
        <v>8.2265260000000007E-2</v>
      </c>
      <c r="Z1095">
        <v>-1.3455310000000001E-3</v>
      </c>
      <c r="AA1095">
        <v>0.99660959999999998</v>
      </c>
      <c r="AB1095">
        <v>41</v>
      </c>
      <c r="AC1095">
        <v>53.346699999999998</v>
      </c>
      <c r="AD1095">
        <v>-1.05914501639499</v>
      </c>
      <c r="AE1095">
        <v>-4.2282999999999902</v>
      </c>
      <c r="AF1095">
        <v>4.4184366921507596</v>
      </c>
      <c r="AG1095">
        <v>-1.05914501639499</v>
      </c>
      <c r="AH1095">
        <v>53.310262428906199</v>
      </c>
      <c r="AI1095">
        <v>91.134289564625007</v>
      </c>
      <c r="AJ1095">
        <v>85.262066549654605</v>
      </c>
      <c r="AK1095">
        <v>53.503536810262801</v>
      </c>
      <c r="AL1095">
        <v>98.918958947251497</v>
      </c>
      <c r="AM1095">
        <v>92.636060187375406</v>
      </c>
      <c r="AN1095">
        <v>1.0000000655127601</v>
      </c>
    </row>
    <row r="1096" spans="1:40" x14ac:dyDescent="0.25">
      <c r="A1096" t="str">
        <f>"20190305134925792"</f>
        <v>20190305134925792</v>
      </c>
      <c r="B1096" t="str">
        <f>"1551764965781371"</f>
        <v>1551764965781371</v>
      </c>
      <c r="C1096" t="s">
        <v>40</v>
      </c>
      <c r="D1096">
        <v>4.0556269999999897</v>
      </c>
      <c r="E1096">
        <v>0.55219669999999998</v>
      </c>
      <c r="F1096" t="s">
        <v>42</v>
      </c>
      <c r="G1096">
        <v>-244.62260000000001</v>
      </c>
      <c r="H1096" s="1">
        <v>-3.611008E-6</v>
      </c>
      <c r="I1096">
        <v>363.7466</v>
      </c>
      <c r="J1096">
        <v>-296.83479999999997</v>
      </c>
      <c r="K1096">
        <v>1.0591549999999901</v>
      </c>
      <c r="L1096">
        <v>367.93299999999999</v>
      </c>
      <c r="M1096">
        <v>0.99991580000000002</v>
      </c>
      <c r="N1096">
        <v>-1.2468760000000001E-2</v>
      </c>
      <c r="O1096">
        <v>3.5969320000000002E-3</v>
      </c>
      <c r="P1096">
        <v>0.9847766</v>
      </c>
      <c r="Q1096">
        <v>-0.166997799999999</v>
      </c>
      <c r="R1096">
        <v>4.8238320000000001E-2</v>
      </c>
      <c r="S1096">
        <v>3.0482179999999999</v>
      </c>
      <c r="T1096">
        <v>-6.1607000000000002E-2</v>
      </c>
      <c r="U1096">
        <v>-0.2434692</v>
      </c>
      <c r="V1096">
        <v>-4.4701989999999997E-2</v>
      </c>
      <c r="W1096">
        <v>-0.15470210000000001</v>
      </c>
      <c r="X1096">
        <v>0.98694930000000003</v>
      </c>
      <c r="Y1096">
        <v>8.3176899999999901E-2</v>
      </c>
      <c r="Z1096">
        <v>-1.386401E-3</v>
      </c>
      <c r="AA1096">
        <v>0.99653380000000003</v>
      </c>
      <c r="AB1096">
        <v>41</v>
      </c>
      <c r="AC1096">
        <v>52.212199999999903</v>
      </c>
      <c r="AD1096">
        <v>-1.05915861100799</v>
      </c>
      <c r="AE1096">
        <v>-4.1864000000000399</v>
      </c>
      <c r="AF1096">
        <v>4.3724034618391201</v>
      </c>
      <c r="AG1096">
        <v>-1.05915861100799</v>
      </c>
      <c r="AH1096">
        <v>52.175469362077301</v>
      </c>
      <c r="AI1096">
        <v>91.158879811423802</v>
      </c>
      <c r="AJ1096">
        <v>85.209697608072005</v>
      </c>
      <c r="AK1096">
        <v>52.3690684674593</v>
      </c>
      <c r="AL1096">
        <v>98.899519765448602</v>
      </c>
      <c r="AM1096">
        <v>92.5933308707788</v>
      </c>
      <c r="AN1096">
        <v>0.99999996421242898</v>
      </c>
    </row>
    <row r="1097" spans="1:40" x14ac:dyDescent="0.25">
      <c r="A1097" t="str">
        <f>"20190305134925802"</f>
        <v>20190305134925802</v>
      </c>
      <c r="B1097" t="str">
        <f>"1551764965792107"</f>
        <v>1551764965792107</v>
      </c>
      <c r="C1097" t="s">
        <v>40</v>
      </c>
      <c r="D1097">
        <v>4.062093</v>
      </c>
      <c r="E1097">
        <v>0.55249589999999904</v>
      </c>
      <c r="F1097" t="s">
        <v>42</v>
      </c>
      <c r="G1097">
        <v>-243.34229999999999</v>
      </c>
      <c r="H1097" s="1">
        <v>-4.1998750000000002E-6</v>
      </c>
      <c r="I1097">
        <v>363.57159999999999</v>
      </c>
      <c r="J1097">
        <v>-296.6293</v>
      </c>
      <c r="K1097">
        <v>1.0591680000000001</v>
      </c>
      <c r="L1097">
        <v>367.93369999999999</v>
      </c>
      <c r="M1097">
        <v>0.99991359999999996</v>
      </c>
      <c r="N1097">
        <v>-1.264532E-2</v>
      </c>
      <c r="O1097">
        <v>3.5968290000000002E-3</v>
      </c>
      <c r="P1097">
        <v>0.98483509999999996</v>
      </c>
      <c r="Q1097">
        <v>-0.16688339999999999</v>
      </c>
      <c r="R1097">
        <v>4.7435449999999997E-2</v>
      </c>
      <c r="S1097">
        <v>3.0483090000000002</v>
      </c>
      <c r="T1097">
        <v>-6.0356859999999998E-2</v>
      </c>
      <c r="U1097">
        <v>-0.24853520000000001</v>
      </c>
      <c r="V1097">
        <v>-4.3898779999999998E-2</v>
      </c>
      <c r="W1097">
        <v>-0.15441279999999999</v>
      </c>
      <c r="X1097">
        <v>0.98703070000000004</v>
      </c>
      <c r="Y1097">
        <v>8.4819969999999995E-2</v>
      </c>
      <c r="Z1097">
        <v>-1.4012219999999999E-3</v>
      </c>
      <c r="AA1097">
        <v>0.99639529999999998</v>
      </c>
      <c r="AB1097">
        <v>41</v>
      </c>
      <c r="AC1097">
        <v>53.286999999999999</v>
      </c>
      <c r="AD1097">
        <v>-1.0591721998749899</v>
      </c>
      <c r="AE1097">
        <v>-4.3620999999999901</v>
      </c>
      <c r="AF1097">
        <v>4.5519648846871998</v>
      </c>
      <c r="AG1097">
        <v>-1.0591721998749899</v>
      </c>
      <c r="AH1097">
        <v>53.250066006834601</v>
      </c>
      <c r="AI1097">
        <v>91.135353789679499</v>
      </c>
      <c r="AJ1097">
        <v>85.114074074941996</v>
      </c>
      <c r="AK1097">
        <v>53.454763677268801</v>
      </c>
      <c r="AL1097">
        <v>98.882742093807906</v>
      </c>
      <c r="AM1097">
        <v>92.546585789374205</v>
      </c>
      <c r="AN1097">
        <v>1.0000000092159</v>
      </c>
    </row>
    <row r="1098" spans="1:40" x14ac:dyDescent="0.25">
      <c r="A1098" t="str">
        <f>"20190305134925813"</f>
        <v>20190305134925813</v>
      </c>
      <c r="B1098" t="str">
        <f>"1551764965801866"</f>
        <v>1551764965801866</v>
      </c>
      <c r="C1098" t="s">
        <v>40</v>
      </c>
      <c r="D1098">
        <v>4.0610119999999998</v>
      </c>
      <c r="E1098">
        <v>0.55270839999999999</v>
      </c>
      <c r="F1098" t="s">
        <v>42</v>
      </c>
      <c r="G1098">
        <v>-241.80680000000001</v>
      </c>
      <c r="H1098" s="1">
        <v>-4.9605350000000001E-6</v>
      </c>
      <c r="I1098">
        <v>363.37520000000001</v>
      </c>
      <c r="J1098">
        <v>-296.44080000000002</v>
      </c>
      <c r="K1098">
        <v>1.05918</v>
      </c>
      <c r="L1098">
        <v>367.93439999999998</v>
      </c>
      <c r="M1098">
        <v>0.99991160000000001</v>
      </c>
      <c r="N1098">
        <v>-1.280106E-2</v>
      </c>
      <c r="O1098">
        <v>3.596845E-3</v>
      </c>
      <c r="P1098">
        <v>0.98487139999999995</v>
      </c>
      <c r="Q1098">
        <v>-0.16691889999999901</v>
      </c>
      <c r="R1098">
        <v>4.6544700000000001E-2</v>
      </c>
      <c r="S1098">
        <v>3.0484309999999999</v>
      </c>
      <c r="T1098">
        <v>-5.8895830000000003E-2</v>
      </c>
      <c r="U1098">
        <v>-0.25347900000000001</v>
      </c>
      <c r="V1098">
        <v>-4.3007669999999998E-2</v>
      </c>
      <c r="W1098">
        <v>-0.15429409999999999</v>
      </c>
      <c r="X1098">
        <v>0.98708850000000004</v>
      </c>
      <c r="Y1098">
        <v>8.642213E-2</v>
      </c>
      <c r="Z1098">
        <v>-1.4109369999999999E-3</v>
      </c>
      <c r="AA1098">
        <v>0.99625759999999997</v>
      </c>
      <c r="AB1098">
        <v>41</v>
      </c>
      <c r="AC1098">
        <v>54.634</v>
      </c>
      <c r="AD1098">
        <v>-1.0591849605349899</v>
      </c>
      <c r="AE1098">
        <v>-4.5591999999999704</v>
      </c>
      <c r="AF1098">
        <v>4.7539222170658304</v>
      </c>
      <c r="AG1098">
        <v>-1.0591849605349899</v>
      </c>
      <c r="AH1098">
        <v>54.596867989256303</v>
      </c>
      <c r="AI1098">
        <v>91.107216373167105</v>
      </c>
      <c r="AJ1098">
        <v>85.023626200003307</v>
      </c>
      <c r="AK1098">
        <v>54.813681170514499</v>
      </c>
      <c r="AL1098">
        <v>98.875858513108994</v>
      </c>
      <c r="AM1098">
        <v>92.494812229289295</v>
      </c>
      <c r="AN1098">
        <v>1.00000001790294</v>
      </c>
    </row>
    <row r="1099" spans="1:40" x14ac:dyDescent="0.25">
      <c r="A1099" t="str">
        <f>"20190305134925824"</f>
        <v>20190305134925824</v>
      </c>
      <c r="B1099" t="str">
        <f>"1551764965821387"</f>
        <v>1551764965821387</v>
      </c>
      <c r="C1099" t="s">
        <v>40</v>
      </c>
      <c r="D1099">
        <v>4.0603280000000002</v>
      </c>
      <c r="E1099">
        <v>0.55311480000000002</v>
      </c>
      <c r="F1099" t="s">
        <v>42</v>
      </c>
      <c r="G1099">
        <v>-241.35290000000001</v>
      </c>
      <c r="H1099" s="1">
        <v>-5.193481E-6</v>
      </c>
      <c r="I1099">
        <v>363.2715</v>
      </c>
      <c r="J1099">
        <v>-296.23649999999998</v>
      </c>
      <c r="K1099">
        <v>1.059188</v>
      </c>
      <c r="L1099">
        <v>367.93509999999998</v>
      </c>
      <c r="M1099">
        <v>0.99990950000000001</v>
      </c>
      <c r="N1099">
        <v>-1.2959119999999999E-2</v>
      </c>
      <c r="O1099">
        <v>3.5970120000000001E-3</v>
      </c>
      <c r="P1099">
        <v>0.98496729999999999</v>
      </c>
      <c r="Q1099">
        <v>-0.16657959999999999</v>
      </c>
      <c r="R1099">
        <v>4.5722110000000003E-2</v>
      </c>
      <c r="S1099">
        <v>3.04834</v>
      </c>
      <c r="T1099">
        <v>-5.8611040000000003E-2</v>
      </c>
      <c r="U1099">
        <v>-0.25802609999999998</v>
      </c>
      <c r="V1099">
        <v>-4.2184449999999998E-2</v>
      </c>
      <c r="W1099">
        <v>-0.15379770000000001</v>
      </c>
      <c r="X1099">
        <v>0.98720149999999995</v>
      </c>
      <c r="Y1099">
        <v>8.7900000000000006E-2</v>
      </c>
      <c r="Z1099">
        <v>-1.436634E-3</v>
      </c>
      <c r="AA1099">
        <v>0.99612829999999997</v>
      </c>
      <c r="AB1099">
        <v>41</v>
      </c>
      <c r="AC1099">
        <v>54.883599999999902</v>
      </c>
      <c r="AD1099">
        <v>-1.0591931934809999</v>
      </c>
      <c r="AE1099">
        <v>-4.6635999999999704</v>
      </c>
      <c r="AF1099">
        <v>4.8592065568921603</v>
      </c>
      <c r="AG1099">
        <v>-1.0591931934809999</v>
      </c>
      <c r="AH1099">
        <v>54.846187552570903</v>
      </c>
      <c r="AI1099">
        <v>91.102046656467095</v>
      </c>
      <c r="AJ1099">
        <v>84.936986626395097</v>
      </c>
      <c r="AK1099">
        <v>55.071209062771104</v>
      </c>
      <c r="AL1099">
        <v>98.847073182623902</v>
      </c>
      <c r="AM1099">
        <v>92.446837286656702</v>
      </c>
      <c r="AN1099">
        <v>1.0000000309746699</v>
      </c>
    </row>
    <row r="1100" spans="1:40" x14ac:dyDescent="0.25">
      <c r="A1100" t="str">
        <f>"20190305134925836"</f>
        <v>20190305134925836</v>
      </c>
      <c r="B1100" t="str">
        <f>"1551764965832123"</f>
        <v>1551764965832123</v>
      </c>
      <c r="C1100" t="s">
        <v>40</v>
      </c>
      <c r="D1100">
        <v>4.3044750000000001</v>
      </c>
      <c r="E1100">
        <v>0.55311480000000002</v>
      </c>
      <c r="F1100" t="s">
        <v>42</v>
      </c>
      <c r="G1100">
        <v>-238.28729999999999</v>
      </c>
      <c r="H1100" s="1">
        <v>-2.3510710000000001E-6</v>
      </c>
      <c r="I1100">
        <v>362.91840000000002</v>
      </c>
      <c r="J1100">
        <v>-296.03489999999999</v>
      </c>
      <c r="K1100">
        <v>1.0591900000000001</v>
      </c>
      <c r="L1100">
        <v>367.93579999999997</v>
      </c>
      <c r="M1100">
        <v>0.99990769999999995</v>
      </c>
      <c r="N1100">
        <v>-1.310556E-2</v>
      </c>
      <c r="O1100">
        <v>3.5968850000000002E-3</v>
      </c>
      <c r="P1100">
        <v>0.98502630000000002</v>
      </c>
      <c r="Q1100">
        <v>-0.166468</v>
      </c>
      <c r="R1100">
        <v>4.4851130000000003E-2</v>
      </c>
      <c r="S1100">
        <v>3.0486149999999999</v>
      </c>
      <c r="T1100">
        <v>-5.5722239999999999E-2</v>
      </c>
      <c r="U1100">
        <v>-0.26391599999999998</v>
      </c>
      <c r="V1100">
        <v>-4.131336E-2</v>
      </c>
      <c r="W1100">
        <v>-0.15354079999999901</v>
      </c>
      <c r="X1100">
        <v>0.98727830000000005</v>
      </c>
      <c r="Y1100">
        <v>8.9804140000000005E-2</v>
      </c>
      <c r="Z1100">
        <v>-1.427357E-3</v>
      </c>
      <c r="AA1100">
        <v>0.99595840000000002</v>
      </c>
      <c r="AB1100">
        <v>41</v>
      </c>
      <c r="AC1100">
        <v>57.747599999999998</v>
      </c>
      <c r="AD1100">
        <v>-1.059192351071</v>
      </c>
      <c r="AE1100">
        <v>-5.0173999999999497</v>
      </c>
      <c r="AF1100">
        <v>5.2233527693140296</v>
      </c>
      <c r="AG1100">
        <v>-1.059192351071</v>
      </c>
      <c r="AH1100">
        <v>57.709908514809001</v>
      </c>
      <c r="AI1100">
        <v>91.047193804798894</v>
      </c>
      <c r="AJ1100">
        <v>84.828222195484997</v>
      </c>
      <c r="AK1100">
        <v>57.955490191843701</v>
      </c>
      <c r="AL1100">
        <v>98.832177184643797</v>
      </c>
      <c r="AM1100">
        <v>92.396184519555504</v>
      </c>
      <c r="AN1100">
        <v>1.0000000063150001</v>
      </c>
    </row>
    <row r="1101" spans="1:40" x14ac:dyDescent="0.25">
      <c r="A1101" t="str">
        <f>"20190305134925847"</f>
        <v>20190305134925847</v>
      </c>
      <c r="B1101" t="str">
        <f>"1551764965841414"</f>
        <v>1551764965841414</v>
      </c>
      <c r="C1101" t="s">
        <v>40</v>
      </c>
      <c r="D1101">
        <v>4.2625799999999998</v>
      </c>
      <c r="E1101">
        <v>0.57401449999999998</v>
      </c>
      <c r="F1101" t="s">
        <v>42</v>
      </c>
      <c r="G1101">
        <v>-237.6765</v>
      </c>
      <c r="H1101" s="1">
        <v>-2.5820980000000002E-6</v>
      </c>
      <c r="I1101">
        <v>362.83139999999997</v>
      </c>
      <c r="J1101">
        <v>-295.82209999999998</v>
      </c>
      <c r="K1101">
        <v>1.05919599999999</v>
      </c>
      <c r="L1101">
        <v>367.9366</v>
      </c>
      <c r="M1101">
        <v>0.99990579999999996</v>
      </c>
      <c r="N1101">
        <v>-1.325257E-2</v>
      </c>
      <c r="O1101">
        <v>3.597102E-3</v>
      </c>
      <c r="P1101">
        <v>0.98508359999999995</v>
      </c>
      <c r="Q1101">
        <v>-0.16627790000000001</v>
      </c>
      <c r="R1101">
        <v>4.42957E-2</v>
      </c>
      <c r="S1101">
        <v>3.0484309999999999</v>
      </c>
      <c r="T1101">
        <v>-5.5328250000000002E-2</v>
      </c>
      <c r="U1101">
        <v>-0.26663209999999998</v>
      </c>
      <c r="V1101">
        <v>-4.0757639999999998E-2</v>
      </c>
      <c r="W1101">
        <v>-0.153204799999999</v>
      </c>
      <c r="X1101">
        <v>0.98735360000000005</v>
      </c>
      <c r="Y1101">
        <v>9.0690080000000006E-2</v>
      </c>
      <c r="Z1101">
        <v>-1.44114E-3</v>
      </c>
      <c r="AA1101">
        <v>0.99587809999999999</v>
      </c>
      <c r="AB1101">
        <v>41</v>
      </c>
      <c r="AC1101">
        <v>58.145599999999902</v>
      </c>
      <c r="AD1101">
        <v>-1.0591985820980001</v>
      </c>
      <c r="AE1101">
        <v>-5.1052000000000204</v>
      </c>
      <c r="AF1101">
        <v>5.31259155726302</v>
      </c>
      <c r="AG1101">
        <v>-1.0591985820980001</v>
      </c>
      <c r="AH1101">
        <v>58.107723599351097</v>
      </c>
      <c r="AI1101">
        <v>91.039946301502397</v>
      </c>
      <c r="AJ1101">
        <v>84.776164466073098</v>
      </c>
      <c r="AK1101">
        <v>58.359687050130802</v>
      </c>
      <c r="AL1101">
        <v>98.812695235296601</v>
      </c>
      <c r="AM1101">
        <v>92.363809362097101</v>
      </c>
      <c r="AN1101">
        <v>1.0000000136971801</v>
      </c>
    </row>
    <row r="1102" spans="1:40" x14ac:dyDescent="0.25">
      <c r="A1102" t="str">
        <f>"20190305134925858"</f>
        <v>20190305134925858</v>
      </c>
      <c r="B1102" t="str">
        <f>"1551764965852152"</f>
        <v>1551764965852152</v>
      </c>
      <c r="C1102" t="s">
        <v>40</v>
      </c>
      <c r="D1102">
        <v>4.1951859999999996</v>
      </c>
      <c r="E1102">
        <v>0.57685180000000003</v>
      </c>
      <c r="F1102" t="s">
        <v>42</v>
      </c>
      <c r="G1102">
        <v>-271.17570000000001</v>
      </c>
      <c r="H1102" s="1">
        <v>-4.6961709999999999E-6</v>
      </c>
      <c r="I1102">
        <v>364.38319999999999</v>
      </c>
      <c r="J1102">
        <v>-295.63350000000003</v>
      </c>
      <c r="K1102">
        <v>1.0592029999999999</v>
      </c>
      <c r="L1102">
        <v>367.93720000000002</v>
      </c>
      <c r="M1102">
        <v>0.99990420000000002</v>
      </c>
      <c r="N1102">
        <v>-1.3371350000000001E-2</v>
      </c>
      <c r="O1102">
        <v>3.59714E-3</v>
      </c>
      <c r="P1102">
        <v>0.98511789999999999</v>
      </c>
      <c r="Q1102">
        <v>-0.166209</v>
      </c>
      <c r="R1102">
        <v>4.3790210000000003E-2</v>
      </c>
      <c r="S1102">
        <v>3.0430600000000001</v>
      </c>
      <c r="T1102">
        <v>-0.13077800000000001</v>
      </c>
      <c r="U1102">
        <v>-0.43872070000000002</v>
      </c>
      <c r="V1102">
        <v>-4.0252219999999998E-2</v>
      </c>
      <c r="W1102">
        <v>-0.15301819999999999</v>
      </c>
      <c r="X1102">
        <v>0.98740329999999998</v>
      </c>
      <c r="Y1102">
        <v>0.14607970000000001</v>
      </c>
      <c r="Z1102">
        <v>-4.2095739999999998E-3</v>
      </c>
      <c r="AA1102">
        <v>0.98926380000000003</v>
      </c>
      <c r="AB1102">
        <v>41</v>
      </c>
      <c r="AC1102">
        <v>24.457799999999999</v>
      </c>
      <c r="AD1102">
        <v>-1.059207696171</v>
      </c>
      <c r="AE1102">
        <v>-3.55400000000003</v>
      </c>
      <c r="AF1102">
        <v>3.63528584189066</v>
      </c>
      <c r="AG1102">
        <v>-1.059207696171</v>
      </c>
      <c r="AH1102">
        <v>24.4000393195752</v>
      </c>
      <c r="AI1102">
        <v>92.458551161860399</v>
      </c>
      <c r="AJ1102">
        <v>81.526012724611306</v>
      </c>
      <c r="AK1102">
        <v>24.692086645172299</v>
      </c>
      <c r="AL1102">
        <v>98.801876008696993</v>
      </c>
      <c r="AM1102">
        <v>92.334411919733</v>
      </c>
      <c r="AN1102">
        <v>1.0000000437985199</v>
      </c>
    </row>
    <row r="1103" spans="1:40" x14ac:dyDescent="0.25">
      <c r="A1103" t="str">
        <f>"20190305134925868"</f>
        <v>20190305134925868</v>
      </c>
      <c r="B1103" t="str">
        <f>"1551764965861910"</f>
        <v>1551764965861910</v>
      </c>
      <c r="C1103" t="s">
        <v>40</v>
      </c>
      <c r="D1103">
        <v>4.2163519999999997</v>
      </c>
      <c r="E1103">
        <v>0.57850140000000005</v>
      </c>
      <c r="F1103" t="s">
        <v>42</v>
      </c>
      <c r="G1103">
        <v>-269.39150000000001</v>
      </c>
      <c r="H1103" s="1">
        <v>-1.700576E-6</v>
      </c>
      <c r="I1103">
        <v>363.95080000000002</v>
      </c>
      <c r="J1103">
        <v>-295.43729999999999</v>
      </c>
      <c r="K1103">
        <v>1.059205</v>
      </c>
      <c r="L1103">
        <v>367.93790000000001</v>
      </c>
      <c r="M1103">
        <v>0.99990270000000003</v>
      </c>
      <c r="N1103">
        <v>-1.349203E-2</v>
      </c>
      <c r="O1103">
        <v>3.5971589999999999E-3</v>
      </c>
      <c r="P1103">
        <v>0.98512509999999998</v>
      </c>
      <c r="Q1103">
        <v>-0.16623550000000001</v>
      </c>
      <c r="R1103">
        <v>4.3527610000000001E-2</v>
      </c>
      <c r="S1103">
        <v>3.0451350000000001</v>
      </c>
      <c r="T1103">
        <v>-0.1229104</v>
      </c>
      <c r="U1103">
        <v>-0.46258539999999998</v>
      </c>
      <c r="V1103">
        <v>-3.9989139999999999E-2</v>
      </c>
      <c r="W1103">
        <v>-0.15292539999999999</v>
      </c>
      <c r="X1103">
        <v>0.98742830000000004</v>
      </c>
      <c r="Y1103">
        <v>0.15357709999999999</v>
      </c>
      <c r="Z1103">
        <v>-4.2191119999999997E-3</v>
      </c>
      <c r="AA1103">
        <v>0.98812759999999999</v>
      </c>
      <c r="AB1103">
        <v>41</v>
      </c>
      <c r="AC1103">
        <v>26.0457999999999</v>
      </c>
      <c r="AD1103">
        <v>-1.059206700576</v>
      </c>
      <c r="AE1103">
        <v>-3.9870999999999901</v>
      </c>
      <c r="AF1103">
        <v>4.0741899304277203</v>
      </c>
      <c r="AG1103">
        <v>-1.059206700576</v>
      </c>
      <c r="AH1103">
        <v>25.9892906785003</v>
      </c>
      <c r="AI1103">
        <v>92.305698527405696</v>
      </c>
      <c r="AJ1103">
        <v>81.0905846783524</v>
      </c>
      <c r="AK1103">
        <v>26.328011174324001</v>
      </c>
      <c r="AL1103">
        <v>98.796496215888297</v>
      </c>
      <c r="AM1103">
        <v>92.3191127578215</v>
      </c>
      <c r="AN1103">
        <v>0.99999997846199395</v>
      </c>
    </row>
    <row r="1104" spans="1:40" x14ac:dyDescent="0.25">
      <c r="A1104" t="str">
        <f>"20190305134925880"</f>
        <v>20190305134925880</v>
      </c>
      <c r="B1104" t="str">
        <f>"1551764965871671"</f>
        <v>1551764965871671</v>
      </c>
      <c r="C1104" t="s">
        <v>40</v>
      </c>
      <c r="D1104">
        <v>4.1762639999999998</v>
      </c>
      <c r="E1104">
        <v>0.57926480000000002</v>
      </c>
      <c r="F1104" t="s">
        <v>42</v>
      </c>
      <c r="G1104">
        <v>-267.70260000000002</v>
      </c>
      <c r="H1104" s="1">
        <v>-2.36797E-6</v>
      </c>
      <c r="I1104">
        <v>363.60250000000002</v>
      </c>
      <c r="J1104">
        <v>-295.2226</v>
      </c>
      <c r="K1104">
        <v>1.05921</v>
      </c>
      <c r="L1104">
        <v>367.93869999999998</v>
      </c>
      <c r="M1104">
        <v>0.99990089999999998</v>
      </c>
      <c r="N1104">
        <v>-1.3610260000000001E-2</v>
      </c>
      <c r="O1104">
        <v>3.5973649999999999E-3</v>
      </c>
      <c r="P1104">
        <v>0.98515240000000004</v>
      </c>
      <c r="Q1104">
        <v>-0.16616510000000001</v>
      </c>
      <c r="R1104">
        <v>4.317319E-2</v>
      </c>
      <c r="S1104">
        <v>3.046783</v>
      </c>
      <c r="T1104">
        <v>-0.1163585</v>
      </c>
      <c r="U1104">
        <v>-0.47625729999999999</v>
      </c>
      <c r="V1104">
        <v>-3.9634339999999997E-2</v>
      </c>
      <c r="W1104">
        <v>-0.15273800000000001</v>
      </c>
      <c r="X1104">
        <v>0.9874716</v>
      </c>
      <c r="Y1104">
        <v>0.1578386</v>
      </c>
      <c r="Z1104">
        <v>-4.1637449999999999E-3</v>
      </c>
      <c r="AA1104">
        <v>0.98745609999999995</v>
      </c>
      <c r="AB1104">
        <v>41</v>
      </c>
      <c r="AC1104">
        <v>27.5199999999999</v>
      </c>
      <c r="AD1104">
        <v>-1.0592123679700001</v>
      </c>
      <c r="AE1104">
        <v>-4.3361999999999599</v>
      </c>
      <c r="AF1104">
        <v>4.4287787840503201</v>
      </c>
      <c r="AG1104">
        <v>-1.0592123679700001</v>
      </c>
      <c r="AH1104">
        <v>27.464521534902499</v>
      </c>
      <c r="AI1104">
        <v>92.180467338019199</v>
      </c>
      <c r="AJ1104">
        <v>80.839651178682203</v>
      </c>
      <c r="AK1104">
        <v>27.839467586497399</v>
      </c>
      <c r="AL1104">
        <v>98.785631430802198</v>
      </c>
      <c r="AM1104">
        <v>92.298458127414193</v>
      </c>
      <c r="AN1104">
        <v>0.999999969178897</v>
      </c>
    </row>
    <row r="1105" spans="1:40" x14ac:dyDescent="0.25">
      <c r="A1105" t="str">
        <f>"20190305134925893"</f>
        <v>20190305134925893</v>
      </c>
      <c r="B1105" t="str">
        <f>"1551764965881431"</f>
        <v>1551764965881431</v>
      </c>
      <c r="C1105" t="s">
        <v>40</v>
      </c>
      <c r="D1105">
        <v>4.1795809999999998</v>
      </c>
      <c r="E1105">
        <v>0.57978739999999995</v>
      </c>
      <c r="F1105" t="s">
        <v>42</v>
      </c>
      <c r="G1105">
        <v>-267.20100000000002</v>
      </c>
      <c r="H1105" s="1">
        <v>-2.567907E-6</v>
      </c>
      <c r="I1105">
        <v>363.49270000000001</v>
      </c>
      <c r="J1105">
        <v>-294.9984</v>
      </c>
      <c r="K1105">
        <v>1.059215</v>
      </c>
      <c r="L1105">
        <v>367.93950000000001</v>
      </c>
      <c r="M1105">
        <v>0.99989930000000005</v>
      </c>
      <c r="N1105">
        <v>-1.372874E-2</v>
      </c>
      <c r="O1105">
        <v>3.5975640000000001E-3</v>
      </c>
      <c r="P1105">
        <v>0.98518410000000001</v>
      </c>
      <c r="Q1105">
        <v>-0.16603679999999901</v>
      </c>
      <c r="R1105">
        <v>4.2945299999999999E-2</v>
      </c>
      <c r="S1105">
        <v>3.0469360000000001</v>
      </c>
      <c r="T1105">
        <v>-0.1151736</v>
      </c>
      <c r="U1105">
        <v>-0.483429</v>
      </c>
      <c r="V1105">
        <v>-3.9406549999999999E-2</v>
      </c>
      <c r="W1105">
        <v>-0.152492299999999</v>
      </c>
      <c r="X1105">
        <v>0.98751869999999997</v>
      </c>
      <c r="Y1105">
        <v>0.16009909999999999</v>
      </c>
      <c r="Z1105">
        <v>-4.1984179999999998E-3</v>
      </c>
      <c r="AA1105">
        <v>0.98709199999999997</v>
      </c>
      <c r="AB1105">
        <v>41</v>
      </c>
      <c r="AC1105">
        <v>27.7974</v>
      </c>
      <c r="AD1105">
        <v>-1.0592175679069999</v>
      </c>
      <c r="AE1105">
        <v>-4.4467999999999899</v>
      </c>
      <c r="AF1105">
        <v>4.54035554105588</v>
      </c>
      <c r="AG1105">
        <v>-1.0592175679069999</v>
      </c>
      <c r="AH1105">
        <v>27.741945156214001</v>
      </c>
      <c r="AI1105">
        <v>92.157871351858702</v>
      </c>
      <c r="AJ1105">
        <v>80.705153621216695</v>
      </c>
      <c r="AK1105">
        <v>28.130984542773199</v>
      </c>
      <c r="AL1105">
        <v>98.771386895337699</v>
      </c>
      <c r="AM1105">
        <v>92.285153389809807</v>
      </c>
      <c r="AN1105">
        <v>0.99999998029594095</v>
      </c>
    </row>
    <row r="1106" spans="1:40" x14ac:dyDescent="0.25">
      <c r="A1106" t="str">
        <f>"20190305134925912"</f>
        <v>20190305134925912</v>
      </c>
      <c r="B1106" t="str">
        <f>"1551764965901926"</f>
        <v>1551764965901926</v>
      </c>
      <c r="C1106" t="s">
        <v>40</v>
      </c>
      <c r="D1106">
        <v>4.1943900000000003</v>
      </c>
      <c r="E1106">
        <v>0.58089539999999995</v>
      </c>
      <c r="F1106" t="s">
        <v>42</v>
      </c>
      <c r="G1106">
        <v>-266.1551</v>
      </c>
      <c r="H1106" s="1">
        <v>-2.9702930000000002E-6</v>
      </c>
      <c r="I1106">
        <v>363.31810000000002</v>
      </c>
      <c r="J1106">
        <v>-294.65219999999999</v>
      </c>
      <c r="K1106">
        <v>1.0592220000000001</v>
      </c>
      <c r="L1106">
        <v>367.94069999999999</v>
      </c>
      <c r="M1106">
        <v>0.99989700000000004</v>
      </c>
      <c r="N1106">
        <v>-1.3893229999999999E-2</v>
      </c>
      <c r="O1106">
        <v>3.5975529999999999E-3</v>
      </c>
      <c r="P1106">
        <v>0.98515160000000002</v>
      </c>
      <c r="Q1106">
        <v>-0.16625570000000001</v>
      </c>
      <c r="R1106">
        <v>4.2842579999999998E-2</v>
      </c>
      <c r="S1106">
        <v>3.0475460000000001</v>
      </c>
      <c r="T1106">
        <v>-0.1119151</v>
      </c>
      <c r="U1106">
        <v>-0.48828129999999997</v>
      </c>
      <c r="V1106">
        <v>-3.9303530000000003E-2</v>
      </c>
      <c r="W1106">
        <v>-0.15254909999999999</v>
      </c>
      <c r="X1106">
        <v>0.987514</v>
      </c>
      <c r="Y1106">
        <v>0.16160669999999999</v>
      </c>
      <c r="Z1106">
        <v>-4.1594539999999999E-3</v>
      </c>
      <c r="AA1106">
        <v>0.98684640000000001</v>
      </c>
      <c r="AB1106">
        <v>41</v>
      </c>
      <c r="AC1106">
        <v>28.4970999999999</v>
      </c>
      <c r="AD1106">
        <v>-1.0592249702929999</v>
      </c>
      <c r="AE1106">
        <v>-4.6225999999999701</v>
      </c>
      <c r="AF1106">
        <v>4.7187476368454897</v>
      </c>
      <c r="AG1106">
        <v>-1.0592249702929999</v>
      </c>
      <c r="AH1106">
        <v>28.4419965491781</v>
      </c>
      <c r="AI1106">
        <v>92.104065218970305</v>
      </c>
      <c r="AJ1106">
        <v>80.579990536540905</v>
      </c>
      <c r="AK1106">
        <v>28.8502288466034</v>
      </c>
      <c r="AL1106">
        <v>98.774680109504899</v>
      </c>
      <c r="AM1106">
        <v>92.279196489442398</v>
      </c>
      <c r="AN1106">
        <v>0.99999994778863399</v>
      </c>
    </row>
    <row r="1107" spans="1:40" x14ac:dyDescent="0.25">
      <c r="A1107" t="str">
        <f>"20190305134925923"</f>
        <v>20190305134925923</v>
      </c>
      <c r="B1107" t="str">
        <f>"1551764965911686"</f>
        <v>1551764965911686</v>
      </c>
      <c r="C1107" t="s">
        <v>40</v>
      </c>
      <c r="D1107">
        <v>4.205438</v>
      </c>
      <c r="E1107">
        <v>0.58113190000000003</v>
      </c>
      <c r="F1107" t="s">
        <v>42</v>
      </c>
      <c r="G1107">
        <v>-264.1044</v>
      </c>
      <c r="H1107" s="1">
        <v>-3.7630440000000002E-6</v>
      </c>
      <c r="I1107">
        <v>362.9615</v>
      </c>
      <c r="J1107">
        <v>-294.45240000000001</v>
      </c>
      <c r="K1107">
        <v>1.0592269999999999</v>
      </c>
      <c r="L1107">
        <v>367.94139999999999</v>
      </c>
      <c r="M1107">
        <v>0.99989589999999995</v>
      </c>
      <c r="N1107">
        <v>-1.397819E-2</v>
      </c>
      <c r="O1107">
        <v>3.5974940000000001E-3</v>
      </c>
      <c r="P1107">
        <v>0.98513859999999998</v>
      </c>
      <c r="Q1107">
        <v>-0.1663396</v>
      </c>
      <c r="R1107">
        <v>4.281944E-2</v>
      </c>
      <c r="S1107">
        <v>3.0490110000000001</v>
      </c>
      <c r="T1107">
        <v>-0.10572239999999999</v>
      </c>
      <c r="U1107">
        <v>-0.4969788</v>
      </c>
      <c r="V1107">
        <v>-3.9280469999999998E-2</v>
      </c>
      <c r="W1107">
        <v>-0.1525493</v>
      </c>
      <c r="X1107">
        <v>0.98751489999999997</v>
      </c>
      <c r="Y1107">
        <v>0.16428699999999999</v>
      </c>
      <c r="Z1107">
        <v>-4.0589900000000002E-3</v>
      </c>
      <c r="AA1107">
        <v>0.98640419999999995</v>
      </c>
      <c r="AB1107">
        <v>41</v>
      </c>
      <c r="AC1107">
        <v>30.347999999999999</v>
      </c>
      <c r="AD1107">
        <v>-1.0592307630439901</v>
      </c>
      <c r="AE1107">
        <v>-4.9798999999999802</v>
      </c>
      <c r="AF1107">
        <v>5.0830253626175201</v>
      </c>
      <c r="AG1107">
        <v>-1.0592307630439901</v>
      </c>
      <c r="AH1107">
        <v>30.293950024845799</v>
      </c>
      <c r="AI1107">
        <v>91.974950799318904</v>
      </c>
      <c r="AJ1107">
        <v>80.475060067625293</v>
      </c>
      <c r="AK1107">
        <v>30.735688128855099</v>
      </c>
      <c r="AL1107">
        <v>98.774691587635104</v>
      </c>
      <c r="AM1107">
        <v>92.277858584182894</v>
      </c>
      <c r="AN1107">
        <v>0.99999996098795896</v>
      </c>
    </row>
    <row r="1108" spans="1:40" x14ac:dyDescent="0.25">
      <c r="A1108" t="str">
        <f>"20190305134925934"</f>
        <v>20190305134925934</v>
      </c>
      <c r="B1108" t="str">
        <f>"1551764965921447"</f>
        <v>1551764965921447</v>
      </c>
      <c r="C1108" t="s">
        <v>40</v>
      </c>
      <c r="D1108">
        <v>4.1907389999999998</v>
      </c>
      <c r="E1108">
        <v>0.58111480000000004</v>
      </c>
      <c r="F1108" t="s">
        <v>42</v>
      </c>
      <c r="G1108">
        <v>-263.26639999999998</v>
      </c>
      <c r="H1108" s="1">
        <v>-4.079841E-6</v>
      </c>
      <c r="I1108">
        <v>362.8426</v>
      </c>
      <c r="J1108">
        <v>-294.26490000000001</v>
      </c>
      <c r="K1108">
        <v>1.059242</v>
      </c>
      <c r="L1108">
        <v>367.94209999999998</v>
      </c>
      <c r="M1108">
        <v>0.99989470000000003</v>
      </c>
      <c r="N1108">
        <v>-1.405444E-2</v>
      </c>
      <c r="O1108">
        <v>3.597612E-3</v>
      </c>
      <c r="P1108">
        <v>0.98518899999999998</v>
      </c>
      <c r="Q1108">
        <v>-0.1661099</v>
      </c>
      <c r="R1108">
        <v>4.2546540000000001E-2</v>
      </c>
      <c r="S1108">
        <v>3.0494379999999999</v>
      </c>
      <c r="T1108">
        <v>-0.10357379999999999</v>
      </c>
      <c r="U1108">
        <v>-0.4985657</v>
      </c>
      <c r="V1108">
        <v>-3.9007319999999998E-2</v>
      </c>
      <c r="W1108">
        <v>-0.15224370000000001</v>
      </c>
      <c r="X1108">
        <v>0.98757289999999998</v>
      </c>
      <c r="Y1108">
        <v>0.16476930000000001</v>
      </c>
      <c r="Z1108">
        <v>-4.0161149999999998E-3</v>
      </c>
      <c r="AA1108">
        <v>0.98632399999999998</v>
      </c>
      <c r="AB1108">
        <v>41</v>
      </c>
      <c r="AC1108">
        <v>30.9985</v>
      </c>
      <c r="AD1108">
        <v>-1.0592460798409999</v>
      </c>
      <c r="AE1108">
        <v>-5.0994999999999697</v>
      </c>
      <c r="AF1108">
        <v>5.2050810281563402</v>
      </c>
      <c r="AG1108">
        <v>-1.0592460798409999</v>
      </c>
      <c r="AH1108">
        <v>30.944770970789101</v>
      </c>
      <c r="AI1108">
        <v>91.933342918325906</v>
      </c>
      <c r="AJ1108">
        <v>80.451912900413802</v>
      </c>
      <c r="AK1108">
        <v>31.397352136795298</v>
      </c>
      <c r="AL1108">
        <v>98.756974942651794</v>
      </c>
      <c r="AM1108">
        <v>92.261902526831605</v>
      </c>
      <c r="AN1108">
        <v>0.99999997400884</v>
      </c>
    </row>
    <row r="1109" spans="1:40" x14ac:dyDescent="0.25">
      <c r="A1109" t="str">
        <f>"20190305134925944"</f>
        <v>20190305134925944</v>
      </c>
      <c r="B1109" t="str">
        <f>"1551764965941475"</f>
        <v>1551764965941475</v>
      </c>
      <c r="C1109" t="s">
        <v>40</v>
      </c>
      <c r="D1109">
        <v>4.2085710000000001</v>
      </c>
      <c r="E1109">
        <v>0.58137569999999905</v>
      </c>
      <c r="F1109" t="s">
        <v>42</v>
      </c>
      <c r="G1109">
        <v>-263.03660000000002</v>
      </c>
      <c r="H1109" s="1">
        <v>-4.173394E-6</v>
      </c>
      <c r="I1109">
        <v>362.82979999999998</v>
      </c>
      <c r="J1109">
        <v>-294.05939999999998</v>
      </c>
      <c r="K1109">
        <v>1.059245</v>
      </c>
      <c r="L1109">
        <v>367.94290000000001</v>
      </c>
      <c r="M1109">
        <v>0.9998937</v>
      </c>
      <c r="N1109">
        <v>-1.413128E-2</v>
      </c>
      <c r="O1109">
        <v>3.597603E-3</v>
      </c>
      <c r="P1109">
        <v>0.98529920000000004</v>
      </c>
      <c r="Q1109">
        <v>-0.16552120000000001</v>
      </c>
      <c r="R1109">
        <v>4.2288850000000003E-2</v>
      </c>
      <c r="S1109">
        <v>3.049255</v>
      </c>
      <c r="T1109">
        <v>-0.10342899999999999</v>
      </c>
      <c r="U1109">
        <v>-0.49917600000000001</v>
      </c>
      <c r="V1109">
        <v>-3.8749520000000003E-2</v>
      </c>
      <c r="W1109">
        <v>-0.15157760000000001</v>
      </c>
      <c r="X1109">
        <v>0.98768560000000005</v>
      </c>
      <c r="Y1109">
        <v>0.16497100000000001</v>
      </c>
      <c r="Z1109">
        <v>-4.0231390000000002E-3</v>
      </c>
      <c r="AA1109">
        <v>0.98629020000000001</v>
      </c>
      <c r="AB1109">
        <v>41</v>
      </c>
      <c r="AC1109">
        <v>31.022799999999901</v>
      </c>
      <c r="AD1109">
        <v>-1.0592491733939999</v>
      </c>
      <c r="AE1109">
        <v>-5.1131000000000304</v>
      </c>
      <c r="AF1109">
        <v>5.2187624934305097</v>
      </c>
      <c r="AG1109">
        <v>-1.0592491733939999</v>
      </c>
      <c r="AH1109">
        <v>30.9690527222917</v>
      </c>
      <c r="AI1109">
        <v>91.931735901923801</v>
      </c>
      <c r="AJ1109">
        <v>80.434646666011403</v>
      </c>
      <c r="AK1109">
        <v>31.423553543325699</v>
      </c>
      <c r="AL1109">
        <v>98.718361253135498</v>
      </c>
      <c r="AM1109">
        <v>92.246712822580605</v>
      </c>
      <c r="AN1109">
        <v>1.00000006928467</v>
      </c>
    </row>
    <row r="1110" spans="1:40" x14ac:dyDescent="0.25">
      <c r="A1110" t="str">
        <f>"20190305134925957"</f>
        <v>20190305134925957</v>
      </c>
      <c r="B1110" t="str">
        <f>"1551764965952211"</f>
        <v>1551764965952211</v>
      </c>
      <c r="C1110" t="s">
        <v>40</v>
      </c>
      <c r="D1110">
        <v>4.1926430000000003</v>
      </c>
      <c r="E1110">
        <v>0.58171809999999902</v>
      </c>
      <c r="F1110" t="s">
        <v>42</v>
      </c>
      <c r="G1110">
        <v>-260.91820000000001</v>
      </c>
      <c r="H1110" s="1">
        <v>-5.1426349999999996E-6</v>
      </c>
      <c r="I1110">
        <v>362.48910000000001</v>
      </c>
      <c r="J1110">
        <v>-293.84620000000001</v>
      </c>
      <c r="K1110">
        <v>1.0592490000000001</v>
      </c>
      <c r="L1110">
        <v>367.9436</v>
      </c>
      <c r="M1110">
        <v>0.99989269999999997</v>
      </c>
      <c r="N1110">
        <v>-1.4205310000000001E-2</v>
      </c>
      <c r="O1110">
        <v>3.597552E-3</v>
      </c>
      <c r="P1110">
        <v>0.98534290000000002</v>
      </c>
      <c r="Q1110">
        <v>-0.16531770000000001</v>
      </c>
      <c r="R1110">
        <v>4.2068469999999997E-2</v>
      </c>
      <c r="S1110">
        <v>3.0499269999999998</v>
      </c>
      <c r="T1110">
        <v>-9.7480540000000004E-2</v>
      </c>
      <c r="U1110">
        <v>-0.50189209999999995</v>
      </c>
      <c r="V1110">
        <v>-3.852887E-2</v>
      </c>
      <c r="W1110">
        <v>-0.1513004</v>
      </c>
      <c r="X1110">
        <v>0.98773659999999996</v>
      </c>
      <c r="Y1110">
        <v>0.16580349999999999</v>
      </c>
      <c r="Z1110">
        <v>-3.8807540000000001E-3</v>
      </c>
      <c r="AA1110">
        <v>0.98615120000000001</v>
      </c>
      <c r="AB1110">
        <v>41</v>
      </c>
      <c r="AC1110">
        <v>32.927999999999997</v>
      </c>
      <c r="AD1110">
        <v>-1.059254142635</v>
      </c>
      <c r="AE1110">
        <v>-5.4544999999999897</v>
      </c>
      <c r="AF1110">
        <v>5.5673294502522399</v>
      </c>
      <c r="AG1110">
        <v>-1.059254142635</v>
      </c>
      <c r="AH1110">
        <v>32.875050480456402</v>
      </c>
      <c r="AI1110">
        <v>91.819577022412304</v>
      </c>
      <c r="AJ1110">
        <v>80.388256999072297</v>
      </c>
      <c r="AK1110">
        <v>33.359947851261602</v>
      </c>
      <c r="AL1110">
        <v>98.702294700978896</v>
      </c>
      <c r="AM1110">
        <v>92.233817216819205</v>
      </c>
      <c r="AN1110">
        <v>0.99999993792159603</v>
      </c>
    </row>
    <row r="1111" spans="1:40" x14ac:dyDescent="0.25">
      <c r="A1111" t="str">
        <f>"20190305134925967"</f>
        <v>20190305134925967</v>
      </c>
      <c r="B1111" t="str">
        <f>"1551764965961970"</f>
        <v>1551764965961970</v>
      </c>
      <c r="C1111" t="s">
        <v>40</v>
      </c>
      <c r="D1111">
        <v>4.2081410000000004</v>
      </c>
      <c r="E1111">
        <v>0.5819299</v>
      </c>
      <c r="F1111" t="s">
        <v>42</v>
      </c>
      <c r="G1111">
        <v>-259.87290000000002</v>
      </c>
      <c r="H1111" s="1">
        <v>-1.9715329999999999E-6</v>
      </c>
      <c r="I1111">
        <v>362.3168</v>
      </c>
      <c r="J1111">
        <v>-293.64299999999997</v>
      </c>
      <c r="K1111">
        <v>1.0592569999999999</v>
      </c>
      <c r="L1111">
        <v>367.9443</v>
      </c>
      <c r="M1111">
        <v>0.9998918</v>
      </c>
      <c r="N1111">
        <v>-1.427203E-2</v>
      </c>
      <c r="O1111">
        <v>3.5976110000000001E-3</v>
      </c>
      <c r="P1111">
        <v>0.98539279999999996</v>
      </c>
      <c r="Q1111">
        <v>-0.16511199999999901</v>
      </c>
      <c r="R1111">
        <v>4.1707479999999998E-2</v>
      </c>
      <c r="S1111">
        <v>3.0502319999999998</v>
      </c>
      <c r="T1111">
        <v>-9.5102790000000006E-2</v>
      </c>
      <c r="U1111">
        <v>-0.50518799999999997</v>
      </c>
      <c r="V1111">
        <v>-3.8167819999999998E-2</v>
      </c>
      <c r="W1111">
        <v>-0.151028</v>
      </c>
      <c r="X1111">
        <v>0.98779240000000001</v>
      </c>
      <c r="Y1111">
        <v>0.16682910000000001</v>
      </c>
      <c r="Z1111">
        <v>-3.8419880000000002E-3</v>
      </c>
      <c r="AA1111">
        <v>0.98597840000000003</v>
      </c>
      <c r="AB1111">
        <v>40</v>
      </c>
      <c r="AC1111">
        <v>33.7700999999999</v>
      </c>
      <c r="AD1111">
        <v>-1.0592589715330001</v>
      </c>
      <c r="AE1111">
        <v>-5.6274999999999897</v>
      </c>
      <c r="AF1111">
        <v>5.7434694472043004</v>
      </c>
      <c r="AG1111">
        <v>-1.0592589715330001</v>
      </c>
      <c r="AH1111">
        <v>33.717356480743597</v>
      </c>
      <c r="AI1111">
        <v>91.773868227922904</v>
      </c>
      <c r="AJ1111">
        <v>80.332931624211398</v>
      </c>
      <c r="AK1111">
        <v>34.219433059436902</v>
      </c>
      <c r="AL1111">
        <v>98.686505068287602</v>
      </c>
      <c r="AM1111">
        <v>92.212780377130798</v>
      </c>
      <c r="AN1111">
        <v>1.0000000323826499</v>
      </c>
    </row>
    <row r="1112" spans="1:40" x14ac:dyDescent="0.25">
      <c r="A1112" t="str">
        <f>"20190305134925978"</f>
        <v>20190305134925978</v>
      </c>
      <c r="B1112" t="str">
        <f>"1551764965971730"</f>
        <v>1551764965971730</v>
      </c>
      <c r="C1112" t="s">
        <v>40</v>
      </c>
      <c r="D1112">
        <v>4.2115999999999998</v>
      </c>
      <c r="E1112">
        <v>0.58189930000000001</v>
      </c>
      <c r="F1112" t="s">
        <v>42</v>
      </c>
      <c r="G1112">
        <v>-258.97019999999998</v>
      </c>
      <c r="H1112" s="1">
        <v>-2.3186780000000002E-6</v>
      </c>
      <c r="I1112">
        <v>362.16669999999999</v>
      </c>
      <c r="J1112">
        <v>-293.44450000000001</v>
      </c>
      <c r="K1112">
        <v>1.059259</v>
      </c>
      <c r="L1112">
        <v>367.94499999999999</v>
      </c>
      <c r="M1112">
        <v>0.99989090000000003</v>
      </c>
      <c r="N1112">
        <v>-1.4330499999999999E-2</v>
      </c>
      <c r="O1112">
        <v>3.5976670000000001E-3</v>
      </c>
      <c r="P1112">
        <v>0.98546769999999995</v>
      </c>
      <c r="Q1112">
        <v>-0.1647719</v>
      </c>
      <c r="R1112">
        <v>4.1278929999999998E-2</v>
      </c>
      <c r="S1112">
        <v>3.0504150000000001</v>
      </c>
      <c r="T1112">
        <v>-9.3190430000000005E-2</v>
      </c>
      <c r="U1112">
        <v>-0.5083008</v>
      </c>
      <c r="V1112">
        <v>-3.7739149999999999E-2</v>
      </c>
      <c r="W1112">
        <v>-0.15062919999999999</v>
      </c>
      <c r="X1112">
        <v>0.98786969999999996</v>
      </c>
      <c r="Y1112">
        <v>0.167801799999999</v>
      </c>
      <c r="Z1112">
        <v>-3.8140309999999998E-3</v>
      </c>
      <c r="AA1112">
        <v>0.98581339999999995</v>
      </c>
      <c r="AB1112">
        <v>40</v>
      </c>
      <c r="AC1112">
        <v>34.474299999999999</v>
      </c>
      <c r="AD1112">
        <v>-1.059261318678</v>
      </c>
      <c r="AE1112">
        <v>-5.7782999999999998</v>
      </c>
      <c r="AF1112">
        <v>5.8968872917661201</v>
      </c>
      <c r="AG1112">
        <v>-1.059261318678</v>
      </c>
      <c r="AH1112">
        <v>34.421677034453701</v>
      </c>
      <c r="AI1112">
        <v>91.7373184649</v>
      </c>
      <c r="AJ1112">
        <v>80.278843718640005</v>
      </c>
      <c r="AK1112">
        <v>34.939192379579602</v>
      </c>
      <c r="AL1112">
        <v>98.663391615683594</v>
      </c>
      <c r="AM1112">
        <v>92.1877814736456</v>
      </c>
      <c r="AN1112">
        <v>0.99999997175672495</v>
      </c>
    </row>
    <row r="1113" spans="1:40" x14ac:dyDescent="0.25">
      <c r="A1113" t="str">
        <f>"20190305134925990"</f>
        <v>20190305134925990</v>
      </c>
      <c r="B1113" t="str">
        <f>"1551764965981490"</f>
        <v>1551764965981490</v>
      </c>
      <c r="C1113" t="s">
        <v>40</v>
      </c>
      <c r="D1113">
        <v>4.2254360000000002</v>
      </c>
      <c r="E1113">
        <v>0.58205969999999996</v>
      </c>
      <c r="F1113" t="s">
        <v>42</v>
      </c>
      <c r="G1113">
        <v>-258.399</v>
      </c>
      <c r="H1113" s="1">
        <v>-2.5328850000000001E-6</v>
      </c>
      <c r="I1113">
        <v>362.09219999999999</v>
      </c>
      <c r="J1113">
        <v>-293.24340000000001</v>
      </c>
      <c r="K1113">
        <v>1.0592619999999999</v>
      </c>
      <c r="L1113">
        <v>367.94569999999999</v>
      </c>
      <c r="M1113">
        <v>0.99989019999999995</v>
      </c>
      <c r="N1113">
        <v>-1.438818E-2</v>
      </c>
      <c r="O1113">
        <v>3.5976070000000001E-3</v>
      </c>
      <c r="P1113">
        <v>0.9854638</v>
      </c>
      <c r="Q1113">
        <v>-0.16482079999999999</v>
      </c>
      <c r="R1113">
        <v>4.1177640000000001E-2</v>
      </c>
      <c r="S1113">
        <v>3.0501710000000002</v>
      </c>
      <c r="T1113">
        <v>-9.2192170000000004E-2</v>
      </c>
      <c r="U1113">
        <v>-0.50939939999999995</v>
      </c>
      <c r="V1113">
        <v>-3.7637450000000003E-2</v>
      </c>
      <c r="W1113">
        <v>-0.15062120000000001</v>
      </c>
      <c r="X1113">
        <v>0.98787480000000005</v>
      </c>
      <c r="Y1113">
        <v>0.16816159999999999</v>
      </c>
      <c r="Z1113">
        <v>-3.7984500000000001E-3</v>
      </c>
      <c r="AA1113">
        <v>0.98575210000000002</v>
      </c>
      <c r="AB1113">
        <v>40</v>
      </c>
      <c r="AC1113">
        <v>34.8444</v>
      </c>
      <c r="AD1113">
        <v>-1.0592645328849899</v>
      </c>
      <c r="AE1113">
        <v>-5.8534999999999897</v>
      </c>
      <c r="AF1113">
        <v>5.9734626548715699</v>
      </c>
      <c r="AG1113">
        <v>-1.0592645328849899</v>
      </c>
      <c r="AH1113">
        <v>34.791843248459401</v>
      </c>
      <c r="AI1113">
        <v>91.718742448296595</v>
      </c>
      <c r="AJ1113">
        <v>80.257789230810502</v>
      </c>
      <c r="AK1113">
        <v>35.316804131533999</v>
      </c>
      <c r="AL1113">
        <v>98.6629279574001</v>
      </c>
      <c r="AM1113">
        <v>92.181880261439801</v>
      </c>
      <c r="AN1113">
        <v>0.99999997200349</v>
      </c>
    </row>
    <row r="1114" spans="1:40" x14ac:dyDescent="0.25">
      <c r="A1114" t="str">
        <f>"20190305134926001"</f>
        <v>20190305134926001</v>
      </c>
      <c r="B1114" t="str">
        <f>"1551764965992227"</f>
        <v>1551764965992227</v>
      </c>
      <c r="C1114" t="s">
        <v>40</v>
      </c>
      <c r="D1114">
        <v>4.1995319999999996</v>
      </c>
      <c r="E1114">
        <v>0.58219279999999995</v>
      </c>
      <c r="F1114" t="s">
        <v>42</v>
      </c>
      <c r="G1114">
        <v>-257.96910000000003</v>
      </c>
      <c r="H1114" s="1">
        <v>-2.6941780000000002E-6</v>
      </c>
      <c r="I1114">
        <v>362.03579999999999</v>
      </c>
      <c r="J1114">
        <v>-293.03879999999998</v>
      </c>
      <c r="K1114">
        <v>1.059266</v>
      </c>
      <c r="L1114">
        <v>367.94650000000001</v>
      </c>
      <c r="M1114">
        <v>0.99988940000000004</v>
      </c>
      <c r="N1114">
        <v>-1.4439520000000001E-2</v>
      </c>
      <c r="O1114">
        <v>3.5977119999999999E-3</v>
      </c>
      <c r="P1114">
        <v>0.98546829999999996</v>
      </c>
      <c r="Q1114">
        <v>-0.16484879999999999</v>
      </c>
      <c r="R1114">
        <v>4.0956510000000002E-2</v>
      </c>
      <c r="S1114">
        <v>3.0502929999999999</v>
      </c>
      <c r="T1114">
        <v>-9.1598150000000003E-2</v>
      </c>
      <c r="U1114">
        <v>-0.51104740000000004</v>
      </c>
      <c r="V1114">
        <v>-3.7416659999999997E-2</v>
      </c>
      <c r="W1114">
        <v>-0.1505985</v>
      </c>
      <c r="X1114">
        <v>0.98788670000000001</v>
      </c>
      <c r="Y1114">
        <v>0.16867409999999999</v>
      </c>
      <c r="Z1114">
        <v>-3.7968680000000001E-3</v>
      </c>
      <c r="AA1114">
        <v>0.98566450000000005</v>
      </c>
      <c r="AB1114">
        <v>40</v>
      </c>
      <c r="AC1114">
        <v>35.069699999999898</v>
      </c>
      <c r="AD1114">
        <v>-1.0592686941779901</v>
      </c>
      <c r="AE1114">
        <v>-5.9107000000000101</v>
      </c>
      <c r="AF1114">
        <v>6.0314948856851798</v>
      </c>
      <c r="AG1114">
        <v>-1.0592686941779901</v>
      </c>
      <c r="AH1114">
        <v>35.017141293226302</v>
      </c>
      <c r="AI1114">
        <v>91.707539923411304</v>
      </c>
      <c r="AJ1114">
        <v>80.227037006138701</v>
      </c>
      <c r="AK1114">
        <v>35.548574726313298</v>
      </c>
      <c r="AL1114">
        <v>98.661611888149594</v>
      </c>
      <c r="AM1114">
        <v>92.1690670047102</v>
      </c>
      <c r="AN1114">
        <v>1.0000000233423401</v>
      </c>
    </row>
    <row r="1115" spans="1:40" x14ac:dyDescent="0.25">
      <c r="A1115" t="str">
        <f>"20190305134926011"</f>
        <v>20190305134926011</v>
      </c>
      <c r="B1115" t="str">
        <f>"1551764966001987"</f>
        <v>1551764966001987</v>
      </c>
      <c r="C1115" t="s">
        <v>40</v>
      </c>
      <c r="D1115">
        <v>4.231109</v>
      </c>
      <c r="E1115">
        <v>0.58252720000000002</v>
      </c>
      <c r="F1115" t="s">
        <v>42</v>
      </c>
      <c r="G1115">
        <v>-257.45330000000001</v>
      </c>
      <c r="H1115" s="1">
        <v>-2.8895859999999999E-6</v>
      </c>
      <c r="I1115">
        <v>361.96109999999999</v>
      </c>
      <c r="J1115">
        <v>-292.85309999999998</v>
      </c>
      <c r="K1115">
        <v>1.0592699999999999</v>
      </c>
      <c r="L1115">
        <v>367.94720000000001</v>
      </c>
      <c r="M1115">
        <v>0.99988869999999996</v>
      </c>
      <c r="N1115">
        <v>-1.448498E-2</v>
      </c>
      <c r="O1115">
        <v>3.5977380000000001E-3</v>
      </c>
      <c r="P1115">
        <v>0.98549469999999995</v>
      </c>
      <c r="Q1115">
        <v>-0.1647352</v>
      </c>
      <c r="R1115">
        <v>4.0770500000000001E-2</v>
      </c>
      <c r="S1115">
        <v>3.0503849999999999</v>
      </c>
      <c r="T1115">
        <v>-9.0800169999999999E-2</v>
      </c>
      <c r="U1115">
        <v>-0.51306149999999995</v>
      </c>
      <c r="V1115">
        <v>-3.723009E-2</v>
      </c>
      <c r="W1115">
        <v>-0.15043970000000001</v>
      </c>
      <c r="X1115">
        <v>0.98791790000000002</v>
      </c>
      <c r="Y1115">
        <v>0.16930339999999999</v>
      </c>
      <c r="Z1115">
        <v>-3.7914720000000002E-3</v>
      </c>
      <c r="AA1115">
        <v>0.98555669999999995</v>
      </c>
      <c r="AB1115">
        <v>40</v>
      </c>
      <c r="AC1115">
        <v>35.3997999999999</v>
      </c>
      <c r="AD1115">
        <v>-1.059272889586</v>
      </c>
      <c r="AE1115">
        <v>-5.98610000000002</v>
      </c>
      <c r="AF1115">
        <v>6.1081166803026097</v>
      </c>
      <c r="AG1115">
        <v>-1.059272889586</v>
      </c>
      <c r="AH1115">
        <v>35.347262307388199</v>
      </c>
      <c r="AI1115">
        <v>91.691450253215393</v>
      </c>
      <c r="AJ1115">
        <v>80.195932387636503</v>
      </c>
      <c r="AK1115">
        <v>35.886767771173098</v>
      </c>
      <c r="AL1115">
        <v>98.652408842453099</v>
      </c>
      <c r="AM1115">
        <v>92.158193582931602</v>
      </c>
      <c r="AN1115">
        <v>0.99999998003895296</v>
      </c>
    </row>
    <row r="1116" spans="1:40" x14ac:dyDescent="0.25">
      <c r="A1116" t="str">
        <f>"20190305134926022"</f>
        <v>20190305134926022</v>
      </c>
      <c r="B1116" t="str">
        <f>"1551764966011747"</f>
        <v>1551764966011747</v>
      </c>
      <c r="C1116" t="s">
        <v>40</v>
      </c>
      <c r="D1116">
        <v>4.2068339999999997</v>
      </c>
      <c r="E1116">
        <v>0.58265349999999905</v>
      </c>
      <c r="F1116" t="s">
        <v>42</v>
      </c>
      <c r="G1116">
        <v>-256.21120000000002</v>
      </c>
      <c r="H1116" s="1">
        <v>-3.3698010000000001E-6</v>
      </c>
      <c r="I1116">
        <v>361.745</v>
      </c>
      <c r="J1116">
        <v>-292.65309999999999</v>
      </c>
      <c r="K1116">
        <v>1.059275</v>
      </c>
      <c r="L1116">
        <v>367.9479</v>
      </c>
      <c r="M1116">
        <v>0.999888</v>
      </c>
      <c r="N1116">
        <v>-1.4528889999999999E-2</v>
      </c>
      <c r="O1116">
        <v>3.5977750000000001E-3</v>
      </c>
      <c r="P1116">
        <v>0.98554719999999996</v>
      </c>
      <c r="Q1116">
        <v>-0.16437099999999999</v>
      </c>
      <c r="R1116">
        <v>4.0974869999999997E-2</v>
      </c>
      <c r="S1116">
        <v>3.0507810000000002</v>
      </c>
      <c r="T1116">
        <v>-8.8194010000000003E-2</v>
      </c>
      <c r="U1116">
        <v>-0.51638790000000001</v>
      </c>
      <c r="V1116">
        <v>-3.7434059999999998E-2</v>
      </c>
      <c r="W1116">
        <v>-0.15003129999999901</v>
      </c>
      <c r="X1116">
        <v>0.98797230000000003</v>
      </c>
      <c r="Y1116">
        <v>0.1703317</v>
      </c>
      <c r="Z1116">
        <v>-3.7420589999999998E-3</v>
      </c>
      <c r="AA1116">
        <v>0.98537969999999997</v>
      </c>
      <c r="AB1116">
        <v>40</v>
      </c>
      <c r="AC1116">
        <v>36.441899999999897</v>
      </c>
      <c r="AD1116">
        <v>-1.059278369801</v>
      </c>
      <c r="AE1116">
        <v>-6.2028999999999996</v>
      </c>
      <c r="AF1116">
        <v>6.3287866542301598</v>
      </c>
      <c r="AG1116">
        <v>-1.059278369801</v>
      </c>
      <c r="AH1116">
        <v>36.389464454232701</v>
      </c>
      <c r="AI1116">
        <v>91.6427340612112</v>
      </c>
      <c r="AJ1116">
        <v>80.133911636909204</v>
      </c>
      <c r="AK1116">
        <v>36.950896260379899</v>
      </c>
      <c r="AL1116">
        <v>98.628740593617394</v>
      </c>
      <c r="AM1116">
        <v>92.169886889253306</v>
      </c>
      <c r="AN1116">
        <v>0.99999998269753099</v>
      </c>
    </row>
    <row r="1117" spans="1:40" x14ac:dyDescent="0.25">
      <c r="A1117" t="str">
        <f>"20190305134926034"</f>
        <v>20190305134926034</v>
      </c>
      <c r="B1117" t="str">
        <f>"1551764966032243"</f>
        <v>1551764966032243</v>
      </c>
      <c r="C1117" t="s">
        <v>40</v>
      </c>
      <c r="D1117">
        <v>4.2431219999999996</v>
      </c>
      <c r="E1117">
        <v>0.58294119999999905</v>
      </c>
      <c r="F1117" t="s">
        <v>42</v>
      </c>
      <c r="G1117">
        <v>-255.06440000000001</v>
      </c>
      <c r="H1117" s="1">
        <v>-3.804273E-6</v>
      </c>
      <c r="I1117">
        <v>361.57870000000003</v>
      </c>
      <c r="J1117">
        <v>-292.44810000000001</v>
      </c>
      <c r="K1117">
        <v>1.059274</v>
      </c>
      <c r="L1117">
        <v>367.9486</v>
      </c>
      <c r="M1117">
        <v>0.99988730000000003</v>
      </c>
      <c r="N1117">
        <v>-1.4571570000000001E-2</v>
      </c>
      <c r="O1117">
        <v>3.5977610000000001E-3</v>
      </c>
      <c r="P1117">
        <v>0.98557280000000003</v>
      </c>
      <c r="Q1117">
        <v>-0.1642885</v>
      </c>
      <c r="R1117">
        <v>4.069043E-2</v>
      </c>
      <c r="S1117">
        <v>3.0511780000000002</v>
      </c>
      <c r="T1117">
        <v>-8.5984350000000001E-2</v>
      </c>
      <c r="U1117">
        <v>-0.51699830000000002</v>
      </c>
      <c r="V1117">
        <v>-3.7149750000000002E-2</v>
      </c>
      <c r="W1117">
        <v>-0.14990619999999999</v>
      </c>
      <c r="X1117">
        <v>0.98800209999999999</v>
      </c>
      <c r="Y1117">
        <v>0.170506399999999</v>
      </c>
      <c r="Z1117">
        <v>-3.6851399999999999E-3</v>
      </c>
      <c r="AA1117">
        <v>0.9853497</v>
      </c>
      <c r="AB1117">
        <v>40</v>
      </c>
      <c r="AC1117">
        <v>37.383699999999997</v>
      </c>
      <c r="AD1117">
        <v>-1.059277804273</v>
      </c>
      <c r="AE1117">
        <v>-6.3698999999999701</v>
      </c>
      <c r="AF1117">
        <v>6.4992996887747996</v>
      </c>
      <c r="AG1117">
        <v>-1.059277804273</v>
      </c>
      <c r="AH1117">
        <v>37.331410903251601</v>
      </c>
      <c r="AI1117">
        <v>91.6012571367296</v>
      </c>
      <c r="AJ1117">
        <v>80.123943439658802</v>
      </c>
      <c r="AK1117">
        <v>37.907745988630701</v>
      </c>
      <c r="AL1117">
        <v>98.621490221160499</v>
      </c>
      <c r="AM1117">
        <v>92.153357380551995</v>
      </c>
      <c r="AN1117">
        <v>1.0000000611639499</v>
      </c>
    </row>
    <row r="1118" spans="1:40" x14ac:dyDescent="0.25">
      <c r="A1118" t="str">
        <f>"20190305134926045"</f>
        <v>20190305134926045</v>
      </c>
      <c r="B1118" t="str">
        <f>"1551764966041518"</f>
        <v>1551764966041518</v>
      </c>
      <c r="C1118" t="s">
        <v>40</v>
      </c>
      <c r="D1118">
        <v>4.2368459999999999</v>
      </c>
      <c r="E1118">
        <v>0.58303329999999998</v>
      </c>
      <c r="F1118" t="s">
        <v>42</v>
      </c>
      <c r="G1118">
        <v>-253.35720000000001</v>
      </c>
      <c r="H1118" s="1">
        <v>-4.4640820000000001E-6</v>
      </c>
      <c r="I1118">
        <v>361.2824</v>
      </c>
      <c r="J1118">
        <v>-292.2457</v>
      </c>
      <c r="K1118">
        <v>1.0592809999999999</v>
      </c>
      <c r="L1118">
        <v>367.94929999999999</v>
      </c>
      <c r="M1118">
        <v>0.99988690000000002</v>
      </c>
      <c r="N1118">
        <v>-1.461018E-2</v>
      </c>
      <c r="O1118">
        <v>3.5978350000000002E-3</v>
      </c>
      <c r="P1118">
        <v>0.98566260000000006</v>
      </c>
      <c r="Q1118">
        <v>-0.1637817</v>
      </c>
      <c r="R1118">
        <v>4.0556929999999998E-2</v>
      </c>
      <c r="S1118">
        <v>3.0516049999999999</v>
      </c>
      <c r="T1118">
        <v>-8.2691669999999995E-2</v>
      </c>
      <c r="U1118">
        <v>-0.52038569999999995</v>
      </c>
      <c r="V1118">
        <v>-3.7015739999999998E-2</v>
      </c>
      <c r="W1118">
        <v>-0.14935999999999999</v>
      </c>
      <c r="X1118">
        <v>0.98808980000000002</v>
      </c>
      <c r="Y1118">
        <v>0.17155239999999999</v>
      </c>
      <c r="Z1118">
        <v>-3.6144760000000001E-3</v>
      </c>
      <c r="AA1118">
        <v>0.9851683</v>
      </c>
      <c r="AB1118">
        <v>40</v>
      </c>
      <c r="AC1118">
        <v>38.888499999999901</v>
      </c>
      <c r="AD1118">
        <v>-1.059285464082</v>
      </c>
      <c r="AE1118">
        <v>-6.6668999999999903</v>
      </c>
      <c r="AF1118">
        <v>6.8018834971214996</v>
      </c>
      <c r="AG1118">
        <v>-1.059285464082</v>
      </c>
      <c r="AH1118">
        <v>38.836266830995598</v>
      </c>
      <c r="AI1118">
        <v>91.538979565587994</v>
      </c>
      <c r="AJ1118">
        <v>80.0658288789963</v>
      </c>
      <c r="AK1118">
        <v>39.4416445672733</v>
      </c>
      <c r="AL1118">
        <v>98.589839335187406</v>
      </c>
      <c r="AM1118">
        <v>92.145406605543698</v>
      </c>
      <c r="AN1118">
        <v>1.00000001373589</v>
      </c>
    </row>
    <row r="1119" spans="1:40" x14ac:dyDescent="0.25">
      <c r="A1119" t="str">
        <f>"20190305134926057"</f>
        <v>20190305134926057</v>
      </c>
      <c r="B1119" t="str">
        <f>"1551764966051279"</f>
        <v>1551764966051279</v>
      </c>
      <c r="C1119" t="s">
        <v>40</v>
      </c>
      <c r="D1119">
        <v>4.2154699999999998</v>
      </c>
      <c r="E1119">
        <v>0.58307030000000004</v>
      </c>
      <c r="F1119" t="s">
        <v>42</v>
      </c>
      <c r="G1119">
        <v>-252.17449999999999</v>
      </c>
      <c r="H1119" s="1">
        <v>-4.9147429999999998E-6</v>
      </c>
      <c r="I1119">
        <v>361.10140000000001</v>
      </c>
      <c r="J1119">
        <v>-292.03730000000002</v>
      </c>
      <c r="K1119">
        <v>1.0592859999999999</v>
      </c>
      <c r="L1119">
        <v>367.95</v>
      </c>
      <c r="M1119">
        <v>0.99988630000000001</v>
      </c>
      <c r="N1119">
        <v>-1.464679E-2</v>
      </c>
      <c r="O1119">
        <v>3.5978630000000002E-3</v>
      </c>
      <c r="P1119">
        <v>0.98580959999999995</v>
      </c>
      <c r="Q1119">
        <v>-0.1628474</v>
      </c>
      <c r="R1119">
        <v>4.0744429999999998E-2</v>
      </c>
      <c r="S1119">
        <v>3.0516969999999999</v>
      </c>
      <c r="T1119">
        <v>-8.0671670000000001E-2</v>
      </c>
      <c r="U1119">
        <v>-0.5215149</v>
      </c>
      <c r="V1119">
        <v>-3.7202659999999999E-2</v>
      </c>
      <c r="W1119">
        <v>-0.14838750000000001</v>
      </c>
      <c r="X1119">
        <v>0.98822929999999998</v>
      </c>
      <c r="Y1119">
        <v>0.17190529999999901</v>
      </c>
      <c r="Z1119">
        <v>-3.5659200000000002E-3</v>
      </c>
      <c r="AA1119">
        <v>0.98510699999999995</v>
      </c>
      <c r="AB1119">
        <v>40</v>
      </c>
      <c r="AC1119">
        <v>39.8628</v>
      </c>
      <c r="AD1119">
        <v>-1.0592909147430001</v>
      </c>
      <c r="AE1119">
        <v>-6.84859999999997</v>
      </c>
      <c r="AF1119">
        <v>6.9871994098467702</v>
      </c>
      <c r="AG1119">
        <v>-1.0592909147430001</v>
      </c>
      <c r="AH1119">
        <v>39.8105928435671</v>
      </c>
      <c r="AI1119">
        <v>91.501245637349299</v>
      </c>
      <c r="AJ1119">
        <v>80.045345396762897</v>
      </c>
      <c r="AK1119">
        <v>40.4329859816376</v>
      </c>
      <c r="AL1119">
        <v>98.533491214041604</v>
      </c>
      <c r="AM1119">
        <v>92.155926069010405</v>
      </c>
      <c r="AN1119">
        <v>1.0000000187228999</v>
      </c>
    </row>
    <row r="1120" spans="1:40" x14ac:dyDescent="0.25">
      <c r="A1120" t="str">
        <f>"20190305134926067"</f>
        <v>20190305134926067</v>
      </c>
      <c r="B1120" t="str">
        <f>"1551764966062014"</f>
        <v>1551764966062014</v>
      </c>
      <c r="C1120" t="s">
        <v>40</v>
      </c>
      <c r="D1120">
        <v>4.2474879999999997</v>
      </c>
      <c r="E1120">
        <v>0.58312519999999901</v>
      </c>
      <c r="F1120" t="s">
        <v>42</v>
      </c>
      <c r="G1120">
        <v>-250.16040000000001</v>
      </c>
      <c r="H1120" s="1">
        <v>-5.7682150000000003E-6</v>
      </c>
      <c r="I1120">
        <v>360.79500000000002</v>
      </c>
      <c r="J1120">
        <v>-291.82799999999997</v>
      </c>
      <c r="K1120">
        <v>1.0592969999999999</v>
      </c>
      <c r="L1120">
        <v>367.95069999999998</v>
      </c>
      <c r="M1120">
        <v>0.99988580000000005</v>
      </c>
      <c r="N1120">
        <v>-1.4681680000000001E-2</v>
      </c>
      <c r="O1120">
        <v>3.5979639999999999E-3</v>
      </c>
      <c r="P1120">
        <v>0.98592659999999999</v>
      </c>
      <c r="Q1120">
        <v>-0.1621619</v>
      </c>
      <c r="R1120">
        <v>4.0648480000000001E-2</v>
      </c>
      <c r="S1120">
        <v>3.051971</v>
      </c>
      <c r="T1120">
        <v>-7.7200649999999996E-2</v>
      </c>
      <c r="U1120">
        <v>-0.52145390000000003</v>
      </c>
      <c r="V1120">
        <v>-3.7106340000000002E-2</v>
      </c>
      <c r="W1120">
        <v>-0.14766589999999999</v>
      </c>
      <c r="X1120">
        <v>0.98834100000000003</v>
      </c>
      <c r="Y1120">
        <v>0.1718779</v>
      </c>
      <c r="Z1120">
        <v>-3.4669760000000001E-3</v>
      </c>
      <c r="AA1120">
        <v>0.98511219999999999</v>
      </c>
      <c r="AB1120">
        <v>40</v>
      </c>
      <c r="AC1120">
        <v>41.667599999999901</v>
      </c>
      <c r="AD1120">
        <v>-1.059302768215</v>
      </c>
      <c r="AE1120">
        <v>-7.1556999999999604</v>
      </c>
      <c r="AF1120">
        <v>7.3010047912402802</v>
      </c>
      <c r="AG1120">
        <v>-1.059302768215</v>
      </c>
      <c r="AH1120">
        <v>41.615455400738398</v>
      </c>
      <c r="AI1120">
        <v>91.436197984035999</v>
      </c>
      <c r="AJ1120">
        <v>80.0493095955771</v>
      </c>
      <c r="AK1120">
        <v>42.264322087634497</v>
      </c>
      <c r="AL1120">
        <v>98.491686055411293</v>
      </c>
      <c r="AM1120">
        <v>92.150106689817605</v>
      </c>
      <c r="AN1120">
        <v>1.000000015386</v>
      </c>
    </row>
    <row r="1121" spans="1:40" x14ac:dyDescent="0.25">
      <c r="A1121" t="str">
        <f>"20190305134926080"</f>
        <v>20190305134926080</v>
      </c>
      <c r="B1121" t="str">
        <f>"1551764966071774"</f>
        <v>1551764966071774</v>
      </c>
      <c r="C1121" t="s">
        <v>40</v>
      </c>
      <c r="D1121">
        <v>4.172936</v>
      </c>
      <c r="E1121">
        <v>0.58314709999999903</v>
      </c>
      <c r="F1121" t="s">
        <v>42</v>
      </c>
      <c r="G1121">
        <v>-248.78219999999999</v>
      </c>
      <c r="H1121" s="1">
        <v>-2.8560549999999999E-6</v>
      </c>
      <c r="I1121">
        <v>360.5806</v>
      </c>
      <c r="J1121">
        <v>-291.63029999999998</v>
      </c>
      <c r="K1121">
        <v>1.0593049999999999</v>
      </c>
      <c r="L1121">
        <v>367.95150000000001</v>
      </c>
      <c r="M1121">
        <v>0.99988540000000004</v>
      </c>
      <c r="N1121">
        <v>-1.471073E-2</v>
      </c>
      <c r="O1121">
        <v>3.5979279999999998E-3</v>
      </c>
      <c r="P1121">
        <v>0.9860795</v>
      </c>
      <c r="Q1121">
        <v>-0.16125880000000001</v>
      </c>
      <c r="R1121">
        <v>4.0533010000000001E-2</v>
      </c>
      <c r="S1121">
        <v>3.0520019999999999</v>
      </c>
      <c r="T1121">
        <v>-7.5105669999999999E-2</v>
      </c>
      <c r="U1121">
        <v>-0.52255249999999998</v>
      </c>
      <c r="V1121">
        <v>-3.6989939999999999E-2</v>
      </c>
      <c r="W1121">
        <v>-0.1467319</v>
      </c>
      <c r="X1121">
        <v>0.98848440000000004</v>
      </c>
      <c r="Y1121">
        <v>0.1722243</v>
      </c>
      <c r="Z1121">
        <v>-3.4151310000000001E-3</v>
      </c>
      <c r="AA1121">
        <v>0.98505189999999998</v>
      </c>
      <c r="AB1121">
        <v>40</v>
      </c>
      <c r="AC1121">
        <v>42.848099999999903</v>
      </c>
      <c r="AD1121">
        <v>-1.059307856055</v>
      </c>
      <c r="AE1121">
        <v>-7.3708999999999998</v>
      </c>
      <c r="AF1121">
        <v>7.5205688940821904</v>
      </c>
      <c r="AG1121">
        <v>-1.059307856055</v>
      </c>
      <c r="AH1121">
        <v>42.795894832066899</v>
      </c>
      <c r="AI1121">
        <v>91.396536666054303</v>
      </c>
      <c r="AJ1121">
        <v>80.033116343136001</v>
      </c>
      <c r="AK1121">
        <v>43.464579879505003</v>
      </c>
      <c r="AL1121">
        <v>98.437582931848894</v>
      </c>
      <c r="AM1121">
        <v>92.143057606010302</v>
      </c>
      <c r="AN1121">
        <v>0.99999995759108595</v>
      </c>
    </row>
    <row r="1122" spans="1:40" x14ac:dyDescent="0.25">
      <c r="A1122" t="str">
        <f>"20190305134926093"</f>
        <v>20190305134926093</v>
      </c>
      <c r="B1122" t="str">
        <f>"1551764966081534"</f>
        <v>1551764966081534</v>
      </c>
      <c r="C1122" t="s">
        <v>40</v>
      </c>
      <c r="D1122">
        <v>4.2321549999999997</v>
      </c>
      <c r="E1122">
        <v>0.58305560000000001</v>
      </c>
      <c r="F1122" t="s">
        <v>42</v>
      </c>
      <c r="G1122">
        <v>-246.58940000000001</v>
      </c>
      <c r="H1122" s="1">
        <v>-3.7903119999999999E-6</v>
      </c>
      <c r="I1122">
        <v>360.23419999999999</v>
      </c>
      <c r="J1122">
        <v>-291.40309999999999</v>
      </c>
      <c r="K1122">
        <v>1.0593159999999999</v>
      </c>
      <c r="L1122">
        <v>367.95229999999998</v>
      </c>
      <c r="M1122">
        <v>0.99988500000000002</v>
      </c>
      <c r="N1122">
        <v>-1.4742689999999999E-2</v>
      </c>
      <c r="O1122">
        <v>3.5976910000000001E-3</v>
      </c>
      <c r="P1122">
        <v>0.98616420000000005</v>
      </c>
      <c r="Q1122">
        <v>-0.16070760000000001</v>
      </c>
      <c r="R1122">
        <v>4.0665380000000001E-2</v>
      </c>
      <c r="S1122">
        <v>3.0520939999999999</v>
      </c>
      <c r="T1122">
        <v>-7.1781639999999994E-2</v>
      </c>
      <c r="U1122">
        <v>-0.5229492</v>
      </c>
      <c r="V1122">
        <v>-3.7122339999999997E-2</v>
      </c>
      <c r="W1122">
        <v>-0.1461479</v>
      </c>
      <c r="X1122">
        <v>0.98856599999999994</v>
      </c>
      <c r="Y1122">
        <v>0.17234920000000001</v>
      </c>
      <c r="Z1122">
        <v>-3.323122E-3</v>
      </c>
      <c r="AA1122">
        <v>0.98503030000000003</v>
      </c>
      <c r="AB1122">
        <v>40</v>
      </c>
      <c r="AC1122">
        <v>44.813699999999898</v>
      </c>
      <c r="AD1122">
        <v>-1.059319790312</v>
      </c>
      <c r="AE1122">
        <v>-7.71809999999999</v>
      </c>
      <c r="AF1122">
        <v>7.8750198266510898</v>
      </c>
      <c r="AG1122">
        <v>-1.059319790312</v>
      </c>
      <c r="AH1122">
        <v>44.761348804147403</v>
      </c>
      <c r="AI1122">
        <v>91.335206937031103</v>
      </c>
      <c r="AJ1122">
        <v>80.021867604449696</v>
      </c>
      <c r="AK1122">
        <v>45.461153114003203</v>
      </c>
      <c r="AL1122">
        <v>98.403757127709596</v>
      </c>
      <c r="AM1122">
        <v>92.150543809873895</v>
      </c>
      <c r="AN1122">
        <v>1.00000000657874</v>
      </c>
    </row>
    <row r="1123" spans="1:40" x14ac:dyDescent="0.25">
      <c r="A1123" t="str">
        <f>"20190305134926104"</f>
        <v>20190305134926104</v>
      </c>
      <c r="B1123" t="str">
        <f>"1551764966102030"</f>
        <v>1551764966102030</v>
      </c>
      <c r="C1123" t="s">
        <v>40</v>
      </c>
      <c r="D1123">
        <v>4.0848610000000001</v>
      </c>
      <c r="E1123">
        <v>0.58294209999999902</v>
      </c>
      <c r="F1123" t="s">
        <v>42</v>
      </c>
      <c r="G1123">
        <v>-246.0917</v>
      </c>
      <c r="H1123" s="1">
        <v>-3.989965E-6</v>
      </c>
      <c r="I1123">
        <v>360.202</v>
      </c>
      <c r="J1123">
        <v>-291.17899999999997</v>
      </c>
      <c r="K1123">
        <v>1.059323</v>
      </c>
      <c r="L1123">
        <v>367.95310000000001</v>
      </c>
      <c r="M1123">
        <v>0.99988449999999995</v>
      </c>
      <c r="N1123">
        <v>-1.4770699999999999E-2</v>
      </c>
      <c r="O1123">
        <v>3.5978400000000002E-3</v>
      </c>
      <c r="P1123">
        <v>0.98629080000000002</v>
      </c>
      <c r="Q1123">
        <v>-0.1599534</v>
      </c>
      <c r="R1123">
        <v>4.0569420000000002E-2</v>
      </c>
      <c r="S1123">
        <v>3.0520320000000001</v>
      </c>
      <c r="T1123">
        <v>-7.1352479999999996E-2</v>
      </c>
      <c r="U1123">
        <v>-0.52203370000000004</v>
      </c>
      <c r="V1123">
        <v>-3.7026249999999997E-2</v>
      </c>
      <c r="W1123">
        <v>-0.1453642</v>
      </c>
      <c r="X1123">
        <v>0.98868509999999998</v>
      </c>
      <c r="Y1123">
        <v>0.17206640000000001</v>
      </c>
      <c r="Z1123">
        <v>-3.3075999999999999E-3</v>
      </c>
      <c r="AA1123">
        <v>0.98507979999999995</v>
      </c>
      <c r="AB1123">
        <v>40</v>
      </c>
      <c r="AC1123">
        <v>45.087299999999999</v>
      </c>
      <c r="AD1123">
        <v>-1.059326989965</v>
      </c>
      <c r="AE1123">
        <v>-7.7511000000000001</v>
      </c>
      <c r="AF1123">
        <v>7.9090438101684004</v>
      </c>
      <c r="AG1123">
        <v>-1.059326989965</v>
      </c>
      <c r="AH1123">
        <v>45.034971465553298</v>
      </c>
      <c r="AI1123">
        <v>91.327177338229504</v>
      </c>
      <c r="AJ1123">
        <v>80.0392877008493</v>
      </c>
      <c r="AK1123">
        <v>45.736460319596603</v>
      </c>
      <c r="AL1123">
        <v>98.358370101026793</v>
      </c>
      <c r="AM1123">
        <v>92.144724252117996</v>
      </c>
      <c r="AN1123">
        <v>0.99999996039635497</v>
      </c>
    </row>
    <row r="1124" spans="1:40" x14ac:dyDescent="0.25">
      <c r="A1124" t="str">
        <f>"20190305134926118"</f>
        <v>20190305134926118</v>
      </c>
      <c r="B1124" t="str">
        <f>"1551764966111791"</f>
        <v>1551764966111791</v>
      </c>
      <c r="C1124" t="s">
        <v>40</v>
      </c>
      <c r="D1124">
        <v>4.1405940000000001</v>
      </c>
      <c r="E1124">
        <v>0.58294209999999902</v>
      </c>
      <c r="F1124" t="s">
        <v>42</v>
      </c>
      <c r="G1124">
        <v>-245.5821</v>
      </c>
      <c r="H1124" s="1">
        <v>-4.197376E-6</v>
      </c>
      <c r="I1124">
        <v>360.15809999999999</v>
      </c>
      <c r="J1124">
        <v>-290.95400000000001</v>
      </c>
      <c r="K1124">
        <v>1.0593330000000001</v>
      </c>
      <c r="L1124">
        <v>367.95389999999998</v>
      </c>
      <c r="M1124">
        <v>0.9998842</v>
      </c>
      <c r="N1124">
        <v>-1.479653E-2</v>
      </c>
      <c r="O1124">
        <v>3.5976480000000002E-3</v>
      </c>
      <c r="P1124">
        <v>0.98638369999999997</v>
      </c>
      <c r="Q1124">
        <v>-0.15939310000000001</v>
      </c>
      <c r="R1124">
        <v>4.0515280000000001E-2</v>
      </c>
      <c r="S1124">
        <v>3.051666</v>
      </c>
      <c r="T1124">
        <v>-7.0897699999999994E-2</v>
      </c>
      <c r="U1124">
        <v>-0.521698</v>
      </c>
      <c r="V1124">
        <v>-3.6971469999999999E-2</v>
      </c>
      <c r="W1124">
        <v>-0.14477709999999999</v>
      </c>
      <c r="X1124">
        <v>0.98877329999999997</v>
      </c>
      <c r="Y1124">
        <v>0.171981299999999</v>
      </c>
      <c r="Z1124">
        <v>-3.2951270000000001E-3</v>
      </c>
      <c r="AA1124">
        <v>0.98509469999999999</v>
      </c>
      <c r="AB1124">
        <v>40</v>
      </c>
      <c r="AC1124">
        <v>45.371899999999997</v>
      </c>
      <c r="AD1124">
        <v>-1.059337197376</v>
      </c>
      <c r="AE1124">
        <v>-7.7957999999999803</v>
      </c>
      <c r="AF1124">
        <v>7.9547875202231699</v>
      </c>
      <c r="AG1124">
        <v>-1.059337197376</v>
      </c>
      <c r="AH1124">
        <v>45.319560384925602</v>
      </c>
      <c r="AI1124">
        <v>91.318879833781494</v>
      </c>
      <c r="AJ1124">
        <v>80.044482730029401</v>
      </c>
      <c r="AK1124">
        <v>46.024595525355402</v>
      </c>
      <c r="AL1124">
        <v>98.324372023976593</v>
      </c>
      <c r="AM1124">
        <v>92.1413632569258</v>
      </c>
      <c r="AN1124">
        <v>0.999999968535629</v>
      </c>
    </row>
    <row r="1125" spans="1:40" x14ac:dyDescent="0.25">
      <c r="A1125" t="str">
        <f>"20190305134926130"</f>
        <v>20190305134926130</v>
      </c>
      <c r="B1125" t="str">
        <f>"1551764966111791"</f>
        <v>1551764966111791</v>
      </c>
      <c r="C1125" t="s">
        <v>40</v>
      </c>
      <c r="D1125">
        <v>4.1405940000000001</v>
      </c>
      <c r="E1125">
        <v>0.58294209999999902</v>
      </c>
      <c r="F1125" t="s">
        <v>42</v>
      </c>
      <c r="G1125">
        <v>-244.29220000000001</v>
      </c>
      <c r="H1125" s="1">
        <v>-4.7424219999999999E-6</v>
      </c>
      <c r="I1125">
        <v>359.97120000000001</v>
      </c>
      <c r="J1125">
        <v>-290.72370000000001</v>
      </c>
      <c r="K1125">
        <v>1.059342</v>
      </c>
      <c r="L1125">
        <v>367.9547</v>
      </c>
      <c r="M1125">
        <v>0.99988379999999999</v>
      </c>
      <c r="N1125">
        <v>-1.482136E-2</v>
      </c>
      <c r="O1125">
        <v>3.5977610000000001E-3</v>
      </c>
      <c r="P1125">
        <v>0.98651889999999998</v>
      </c>
      <c r="Q1125">
        <v>-0.15855449999999999</v>
      </c>
      <c r="R1125">
        <v>4.051391E-2</v>
      </c>
      <c r="S1125">
        <v>3.051666</v>
      </c>
      <c r="T1125">
        <v>-6.9280389999999997E-2</v>
      </c>
      <c r="U1125">
        <v>-0.52206419999999998</v>
      </c>
      <c r="V1125">
        <v>-3.6969589999999997E-2</v>
      </c>
      <c r="W1125">
        <v>-0.14391199999999901</v>
      </c>
      <c r="X1125">
        <v>0.98889970000000005</v>
      </c>
      <c r="Y1125">
        <v>0.1720989</v>
      </c>
      <c r="Z1125">
        <v>-3.2522580000000001E-3</v>
      </c>
      <c r="AA1125">
        <v>0.98507429999999996</v>
      </c>
      <c r="AB1125">
        <v>40</v>
      </c>
      <c r="AC1125">
        <v>46.4315</v>
      </c>
      <c r="AD1125">
        <v>-1.059346742422</v>
      </c>
      <c r="AE1125">
        <v>-7.9834999999999896</v>
      </c>
      <c r="AF1125">
        <v>8.1463973632422793</v>
      </c>
      <c r="AG1125">
        <v>-1.059346742422</v>
      </c>
      <c r="AH1125">
        <v>46.379024832905699</v>
      </c>
      <c r="AI1125">
        <v>91.288747029422694</v>
      </c>
      <c r="AJ1125">
        <v>80.037716775766299</v>
      </c>
      <c r="AK1125">
        <v>47.100954873248597</v>
      </c>
      <c r="AL1125">
        <v>98.274280470309193</v>
      </c>
      <c r="AM1125">
        <v>92.140981032003907</v>
      </c>
      <c r="AN1125">
        <v>1.00000001549442</v>
      </c>
    </row>
    <row r="1126" spans="1:40" x14ac:dyDescent="0.25">
      <c r="A1126" t="str">
        <f>"20190305134926246"</f>
        <v>20190305134926246</v>
      </c>
      <c r="B1126" t="str">
        <f>"1551764966241441"</f>
        <v>1551764966241441</v>
      </c>
      <c r="C1126" t="s">
        <v>40</v>
      </c>
      <c r="D1126">
        <v>4.2022110000000001</v>
      </c>
      <c r="E1126">
        <v>0.58214829999999995</v>
      </c>
      <c r="F1126" t="s">
        <v>42</v>
      </c>
      <c r="G1126">
        <v>-242.41829999999999</v>
      </c>
      <c r="H1126" s="1">
        <v>-5.5368659999999998E-6</v>
      </c>
      <c r="I1126">
        <v>359.68990000000002</v>
      </c>
      <c r="J1126">
        <v>-288.6422</v>
      </c>
      <c r="K1126">
        <v>1.059458</v>
      </c>
      <c r="L1126">
        <v>367.96210000000002</v>
      </c>
      <c r="M1126">
        <v>0.99988160000000004</v>
      </c>
      <c r="N1126">
        <v>-1.495958E-2</v>
      </c>
      <c r="O1126">
        <v>3.6211540000000001E-3</v>
      </c>
      <c r="P1126">
        <v>0.98792199999999997</v>
      </c>
      <c r="Q1126">
        <v>-0.15023329999999999</v>
      </c>
      <c r="R1126">
        <v>3.7948969999999999E-2</v>
      </c>
      <c r="S1126">
        <v>3.0516969999999999</v>
      </c>
      <c r="T1126">
        <v>-6.6924330000000004E-2</v>
      </c>
      <c r="U1126">
        <v>-0.52212519999999996</v>
      </c>
      <c r="V1126">
        <v>-3.4373130000000002E-2</v>
      </c>
      <c r="W1126">
        <v>-0.1354351</v>
      </c>
      <c r="X1126">
        <v>0.99018980000000001</v>
      </c>
      <c r="Y1126">
        <v>0.17214299999999999</v>
      </c>
      <c r="Z1126">
        <v>-3.1960000000000001E-3</v>
      </c>
      <c r="AA1126">
        <v>0.98506680000000002</v>
      </c>
      <c r="AB1126">
        <v>40</v>
      </c>
      <c r="AC1126">
        <v>46.2239</v>
      </c>
      <c r="AD1126">
        <v>-1.0594635368659999</v>
      </c>
      <c r="AE1126">
        <v>-8.2721999999999891</v>
      </c>
      <c r="AF1126">
        <v>8.4352544916169201</v>
      </c>
      <c r="AG1126">
        <v>-1.0594635368659999</v>
      </c>
      <c r="AH1126">
        <v>46.170136372957103</v>
      </c>
      <c r="AI1126">
        <v>91.293135136705203</v>
      </c>
      <c r="AJ1126">
        <v>79.646288789543604</v>
      </c>
      <c r="AK1126">
        <v>46.946325458141501</v>
      </c>
      <c r="AL1126">
        <v>97.783780285823795</v>
      </c>
      <c r="AM1126">
        <v>91.988148905122401</v>
      </c>
      <c r="AN1126">
        <v>1.0000000092010199</v>
      </c>
    </row>
    <row r="1127" spans="1:40" x14ac:dyDescent="0.25">
      <c r="A1127" t="str">
        <f>"20190305134926258"</f>
        <v>20190305134926258</v>
      </c>
      <c r="B1127" t="str">
        <f>"1551764966252177"</f>
        <v>1551764966252177</v>
      </c>
      <c r="C1127" t="s">
        <v>40</v>
      </c>
      <c r="D1127">
        <v>4.1635369999999998</v>
      </c>
      <c r="E1127">
        <v>0.58013559999999997</v>
      </c>
      <c r="F1127" t="s">
        <v>43</v>
      </c>
      <c r="G1127">
        <v>-199.24189999999999</v>
      </c>
      <c r="H1127">
        <v>-0.05</v>
      </c>
      <c r="I1127">
        <v>352.60419999999999</v>
      </c>
      <c r="J1127">
        <v>-288.4409</v>
      </c>
      <c r="K1127">
        <v>1.059469</v>
      </c>
      <c r="L1127">
        <v>367.96289999999999</v>
      </c>
      <c r="M1127">
        <v>0.99988140000000003</v>
      </c>
      <c r="N1127">
        <v>-1.496717E-2</v>
      </c>
      <c r="O1127">
        <v>3.632911E-3</v>
      </c>
      <c r="P1127">
        <v>0.98802290000000004</v>
      </c>
      <c r="Q1127">
        <v>-0.14961189999999999</v>
      </c>
      <c r="R1127">
        <v>3.7779130000000001E-2</v>
      </c>
      <c r="S1127">
        <v>3.0510860000000002</v>
      </c>
      <c r="T1127">
        <v>-3.7863969999999997E-2</v>
      </c>
      <c r="U1127">
        <v>-0.52413940000000003</v>
      </c>
      <c r="V1127">
        <v>-3.4190060000000001E-2</v>
      </c>
      <c r="W1127">
        <v>-0.13480510000000001</v>
      </c>
      <c r="X1127">
        <v>0.99028210000000005</v>
      </c>
      <c r="Y1127">
        <v>0.1728585</v>
      </c>
      <c r="Z1127">
        <v>-2.3587159999999999E-3</v>
      </c>
      <c r="AA1127">
        <v>0.98494389999999998</v>
      </c>
      <c r="AB1127">
        <v>40</v>
      </c>
      <c r="AC1127">
        <v>89.198999999999998</v>
      </c>
      <c r="AD1127">
        <v>-1.109469</v>
      </c>
      <c r="AE1127">
        <v>-15.358700000000001</v>
      </c>
      <c r="AF1127">
        <v>15.680330941510499</v>
      </c>
      <c r="AG1127">
        <v>-1.109469</v>
      </c>
      <c r="AH1127">
        <v>89.1292163101798</v>
      </c>
      <c r="AI1127">
        <v>90.702387888385999</v>
      </c>
      <c r="AJ1127">
        <v>80.022168261694105</v>
      </c>
      <c r="AK1127">
        <v>90.504811474109303</v>
      </c>
      <c r="AL1127">
        <v>97.747349871143498</v>
      </c>
      <c r="AM1127">
        <v>91.977384354277106</v>
      </c>
      <c r="AN1127">
        <v>1.00000000638461</v>
      </c>
    </row>
    <row r="1128" spans="1:40" x14ac:dyDescent="0.25">
      <c r="A1128" t="str">
        <f>"20190305134926268"</f>
        <v>20190305134926268</v>
      </c>
      <c r="B1128" t="str">
        <f>"1551764966261937"</f>
        <v>1551764966261937</v>
      </c>
      <c r="C1128" t="s">
        <v>40</v>
      </c>
      <c r="D1128">
        <v>4.1642900000000003</v>
      </c>
      <c r="E1128">
        <v>0.57831169999999898</v>
      </c>
      <c r="F1128" t="s">
        <v>42</v>
      </c>
      <c r="G1128">
        <v>-217.84989999999999</v>
      </c>
      <c r="H1128">
        <v>7.9986150000000006E-2</v>
      </c>
      <c r="I1128">
        <v>356.18060000000003</v>
      </c>
      <c r="J1128">
        <v>-288.24630000000002</v>
      </c>
      <c r="K1128">
        <v>1.0594809999999999</v>
      </c>
      <c r="L1128">
        <v>367.96359999999999</v>
      </c>
      <c r="M1128">
        <v>0.99988129999999997</v>
      </c>
      <c r="N1128">
        <v>-1.497422E-2</v>
      </c>
      <c r="O1128">
        <v>3.6457479999999999E-3</v>
      </c>
      <c r="P1128">
        <v>0.98812719999999998</v>
      </c>
      <c r="Q1128">
        <v>-0.1489905</v>
      </c>
      <c r="R1128">
        <v>3.7506810000000002E-2</v>
      </c>
      <c r="S1128">
        <v>3.0494080000000001</v>
      </c>
      <c r="T1128">
        <v>-4.2311910000000001E-2</v>
      </c>
      <c r="U1128">
        <v>-0.50897219999999999</v>
      </c>
      <c r="V1128">
        <v>-3.3903519999999999E-2</v>
      </c>
      <c r="W1128">
        <v>-0.1341755</v>
      </c>
      <c r="X1128">
        <v>0.99037739999999996</v>
      </c>
      <c r="Y1128">
        <v>0.16819319999999999</v>
      </c>
      <c r="Z1128">
        <v>-2.4229579999999998E-3</v>
      </c>
      <c r="AA1128">
        <v>0.98575109999999999</v>
      </c>
      <c r="AB1128">
        <v>40</v>
      </c>
      <c r="AC1128">
        <v>70.3964</v>
      </c>
      <c r="AD1128">
        <v>-0.97949485000000003</v>
      </c>
      <c r="AE1128">
        <v>-11.7829999999999</v>
      </c>
      <c r="AF1128">
        <v>12.0373310648848</v>
      </c>
      <c r="AG1128">
        <v>-0.97949485000000003</v>
      </c>
      <c r="AH1128">
        <v>70.339722805630899</v>
      </c>
      <c r="AI1128">
        <v>90.7863734585776</v>
      </c>
      <c r="AJ1128">
        <v>80.288966148535394</v>
      </c>
      <c r="AK1128">
        <v>71.368994344181502</v>
      </c>
      <c r="AL1128">
        <v>97.710946119690405</v>
      </c>
      <c r="AM1128">
        <v>91.960636750732704</v>
      </c>
      <c r="AN1128">
        <v>0.99999995394969898</v>
      </c>
    </row>
    <row r="1129" spans="1:40" x14ac:dyDescent="0.25">
      <c r="A1129" t="str">
        <f>"20190305134926280"</f>
        <v>20190305134926280</v>
      </c>
      <c r="B1129" t="str">
        <f>"1551764966271697"</f>
        <v>1551764966271697</v>
      </c>
      <c r="C1129" t="s">
        <v>40</v>
      </c>
      <c r="D1129">
        <v>4.18499</v>
      </c>
      <c r="E1129">
        <v>0.57667000000000002</v>
      </c>
      <c r="F1129" t="s">
        <v>42</v>
      </c>
      <c r="G1129">
        <v>-222.56229999999999</v>
      </c>
      <c r="H1129">
        <v>7.9986189999999999E-2</v>
      </c>
      <c r="I1129">
        <v>357.28840000000002</v>
      </c>
      <c r="J1129">
        <v>-288.05099999999999</v>
      </c>
      <c r="K1129">
        <v>1.0594920000000001</v>
      </c>
      <c r="L1129">
        <v>367.96429999999998</v>
      </c>
      <c r="M1129">
        <v>0.99988109999999997</v>
      </c>
      <c r="N1129">
        <v>-1.4980190000000001E-2</v>
      </c>
      <c r="O1129">
        <v>3.6641529999999999E-3</v>
      </c>
      <c r="P1129">
        <v>0.98827980000000004</v>
      </c>
      <c r="Q1129">
        <v>-0.14801789999999901</v>
      </c>
      <c r="R1129">
        <v>3.7335019999999997E-2</v>
      </c>
      <c r="S1129">
        <v>3.047974</v>
      </c>
      <c r="T1129">
        <v>-4.5451999999999999E-2</v>
      </c>
      <c r="U1129">
        <v>-0.4953613</v>
      </c>
      <c r="V1129">
        <v>-3.3711100000000001E-2</v>
      </c>
      <c r="W1129">
        <v>-0.13319529999999999</v>
      </c>
      <c r="X1129">
        <v>0.99051630000000002</v>
      </c>
      <c r="Y1129">
        <v>0.1639967</v>
      </c>
      <c r="Z1129">
        <v>-2.4510560000000001E-3</v>
      </c>
      <c r="AA1129">
        <v>0.98645780000000005</v>
      </c>
      <c r="AB1129">
        <v>40</v>
      </c>
      <c r="AC1129">
        <v>65.488699999999994</v>
      </c>
      <c r="AD1129">
        <v>-0.97950581000000003</v>
      </c>
      <c r="AE1129">
        <v>-10.675899999999899</v>
      </c>
      <c r="AF1129">
        <v>10.9134376357117</v>
      </c>
      <c r="AG1129">
        <v>-0.97950581000000003</v>
      </c>
      <c r="AH1129">
        <v>65.434878400239498</v>
      </c>
      <c r="AI1129">
        <v>90.845923268576499</v>
      </c>
      <c r="AJ1129">
        <v>80.5311821631431</v>
      </c>
      <c r="AK1129">
        <v>66.345955897209905</v>
      </c>
      <c r="AL1129">
        <v>97.654275884767401</v>
      </c>
      <c r="AM1129">
        <v>91.949244565044097</v>
      </c>
      <c r="AN1129">
        <v>0.99999998338549401</v>
      </c>
    </row>
    <row r="1130" spans="1:40" x14ac:dyDescent="0.25">
      <c r="A1130" t="str">
        <f>"20190305134926293"</f>
        <v>20190305134926293</v>
      </c>
      <c r="B1130" t="str">
        <f>"1551764966281457"</f>
        <v>1551764966281457</v>
      </c>
      <c r="C1130" t="s">
        <v>40</v>
      </c>
      <c r="D1130">
        <v>4.1855650000000004</v>
      </c>
      <c r="E1130">
        <v>0.57499919999999904</v>
      </c>
      <c r="F1130" t="s">
        <v>42</v>
      </c>
      <c r="G1130">
        <v>-223.14279999999999</v>
      </c>
      <c r="H1130">
        <v>7.9985979999999998E-2</v>
      </c>
      <c r="I1130">
        <v>357.67520000000002</v>
      </c>
      <c r="J1130">
        <v>-287.82589999999999</v>
      </c>
      <c r="K1130">
        <v>1.0595049999999999</v>
      </c>
      <c r="L1130">
        <v>367.96510000000001</v>
      </c>
      <c r="M1130">
        <v>0.99988100000000002</v>
      </c>
      <c r="N1130">
        <v>-1.498672E-2</v>
      </c>
      <c r="O1130">
        <v>3.6875810000000001E-3</v>
      </c>
      <c r="P1130">
        <v>0.98840600000000001</v>
      </c>
      <c r="Q1130">
        <v>-0.1472398</v>
      </c>
      <c r="R1130">
        <v>3.7070949999999998E-2</v>
      </c>
      <c r="S1130">
        <v>3.0469970000000002</v>
      </c>
      <c r="T1130">
        <v>-4.5981050000000002E-2</v>
      </c>
      <c r="U1130">
        <v>-0.48300169999999998</v>
      </c>
      <c r="V1130">
        <v>-3.3421340000000001E-2</v>
      </c>
      <c r="W1130">
        <v>-0.13240950000000001</v>
      </c>
      <c r="X1130">
        <v>0.9906315</v>
      </c>
      <c r="Y1130">
        <v>0.160168</v>
      </c>
      <c r="Z1130">
        <v>-2.409179E-3</v>
      </c>
      <c r="AA1130">
        <v>0.98708680000000004</v>
      </c>
      <c r="AB1130">
        <v>40</v>
      </c>
      <c r="AC1130">
        <v>64.683099999999996</v>
      </c>
      <c r="AD1130">
        <v>-0.97951902000000002</v>
      </c>
      <c r="AE1130">
        <v>-10.2898999999999</v>
      </c>
      <c r="AF1130">
        <v>10.5260266965679</v>
      </c>
      <c r="AG1130">
        <v>-0.97951902000000002</v>
      </c>
      <c r="AH1130">
        <v>64.630255748911196</v>
      </c>
      <c r="AI1130">
        <v>90.857003219172199</v>
      </c>
      <c r="AJ1130">
        <v>80.749722647157597</v>
      </c>
      <c r="AK1130">
        <v>65.489133859725698</v>
      </c>
      <c r="AL1130">
        <v>97.608850261769803</v>
      </c>
      <c r="AM1130">
        <v>91.932278250358607</v>
      </c>
      <c r="AN1130">
        <v>1.00000001522494</v>
      </c>
    </row>
    <row r="1131" spans="1:40" x14ac:dyDescent="0.25">
      <c r="A1131" t="str">
        <f>"20190305134926306"</f>
        <v>20190305134926306</v>
      </c>
      <c r="B1131" t="str">
        <f>"1551764966301953"</f>
        <v>1551764966301953</v>
      </c>
      <c r="C1131" t="s">
        <v>40</v>
      </c>
      <c r="D1131">
        <v>4.2224709999999996</v>
      </c>
      <c r="E1131">
        <v>0.57161809999999902</v>
      </c>
      <c r="F1131" t="s">
        <v>42</v>
      </c>
      <c r="G1131">
        <v>-225.32040000000001</v>
      </c>
      <c r="H1131">
        <v>7.9986799999999997E-2</v>
      </c>
      <c r="I1131">
        <v>358.30529999999999</v>
      </c>
      <c r="J1131">
        <v>-287.58879999999999</v>
      </c>
      <c r="K1131">
        <v>1.059517</v>
      </c>
      <c r="L1131">
        <v>367.96600000000001</v>
      </c>
      <c r="M1131">
        <v>0.99988069999999896</v>
      </c>
      <c r="N1131">
        <v>-1.4992709999999999E-2</v>
      </c>
      <c r="O1131">
        <v>3.7187819999999999E-3</v>
      </c>
      <c r="P1131">
        <v>0.98851169999999999</v>
      </c>
      <c r="Q1131">
        <v>-0.14660279999999901</v>
      </c>
      <c r="R1131">
        <v>3.6775120000000001E-2</v>
      </c>
      <c r="S1131">
        <v>3.045776</v>
      </c>
      <c r="T1131">
        <v>-4.7730090000000003E-2</v>
      </c>
      <c r="U1131">
        <v>-0.47070309999999999</v>
      </c>
      <c r="V1131">
        <v>-3.3092120000000003E-2</v>
      </c>
      <c r="W1131">
        <v>-0.13176559999999901</v>
      </c>
      <c r="X1131">
        <v>0.99072839999999995</v>
      </c>
      <c r="Y1131">
        <v>0.15636720000000001</v>
      </c>
      <c r="Z1131">
        <v>-2.3997200000000002E-3</v>
      </c>
      <c r="AA1131">
        <v>0.98769609999999997</v>
      </c>
      <c r="AB1131">
        <v>40</v>
      </c>
      <c r="AC1131">
        <v>62.2683999999999</v>
      </c>
      <c r="AD1131">
        <v>-0.97953020000000002</v>
      </c>
      <c r="AE1131">
        <v>-9.6607000000000198</v>
      </c>
      <c r="AF1131">
        <v>9.8898320282173202</v>
      </c>
      <c r="AG1131">
        <v>-0.97953020000000002</v>
      </c>
      <c r="AH1131">
        <v>62.217005087055099</v>
      </c>
      <c r="AI1131">
        <v>90.89079506777</v>
      </c>
      <c r="AJ1131">
        <v>80.967997193773201</v>
      </c>
      <c r="AK1131">
        <v>63.005745602775796</v>
      </c>
      <c r="AL1131">
        <v>97.571631422916198</v>
      </c>
      <c r="AM1131">
        <v>91.913071390794201</v>
      </c>
      <c r="AN1131">
        <v>1.0000000121579999</v>
      </c>
    </row>
    <row r="1132" spans="1:40" x14ac:dyDescent="0.25">
      <c r="A1132" t="str">
        <f>"20190305134926319"</f>
        <v>20190305134926319</v>
      </c>
      <c r="B1132" t="str">
        <f>"1551764966311712"</f>
        <v>1551764966311712</v>
      </c>
      <c r="C1132" t="s">
        <v>40</v>
      </c>
      <c r="D1132">
        <v>4.2342919999999999</v>
      </c>
      <c r="E1132">
        <v>0.57019919999999902</v>
      </c>
      <c r="F1132" t="s">
        <v>42</v>
      </c>
      <c r="G1132">
        <v>-230.55289999999999</v>
      </c>
      <c r="H1132">
        <v>1.227164E-2</v>
      </c>
      <c r="I1132">
        <v>359.6164</v>
      </c>
      <c r="J1132">
        <v>-287.36869999999999</v>
      </c>
      <c r="K1132">
        <v>1.0595300000000001</v>
      </c>
      <c r="L1132">
        <v>367.96690000000001</v>
      </c>
      <c r="M1132">
        <v>0.99988060000000001</v>
      </c>
      <c r="N1132">
        <v>-1.499755E-2</v>
      </c>
      <c r="O1132">
        <v>3.753386E-3</v>
      </c>
      <c r="P1132">
        <v>0.98857669999999997</v>
      </c>
      <c r="Q1132">
        <v>-0.14626249999999999</v>
      </c>
      <c r="R1132">
        <v>3.6381339999999998E-2</v>
      </c>
      <c r="S1132">
        <v>3.0431819999999998</v>
      </c>
      <c r="T1132">
        <v>-5.5876259999999997E-2</v>
      </c>
      <c r="U1132">
        <v>-0.44549559999999999</v>
      </c>
      <c r="V1132">
        <v>-3.266136E-2</v>
      </c>
      <c r="W1132">
        <v>-0.13142000000000001</v>
      </c>
      <c r="X1132">
        <v>0.99078860000000002</v>
      </c>
      <c r="Y1132">
        <v>0.1485158</v>
      </c>
      <c r="Z1132">
        <v>-2.488498E-3</v>
      </c>
      <c r="AA1132">
        <v>0.98890690000000003</v>
      </c>
      <c r="AB1132">
        <v>40</v>
      </c>
      <c r="AC1132">
        <v>56.815800000000003</v>
      </c>
      <c r="AD1132">
        <v>-1.0472583599999901</v>
      </c>
      <c r="AE1132">
        <v>-8.3505000000000091</v>
      </c>
      <c r="AF1132">
        <v>8.56086963729609</v>
      </c>
      <c r="AG1132">
        <v>-1.0472583599999901</v>
      </c>
      <c r="AH1132">
        <v>56.765174927622198</v>
      </c>
      <c r="AI1132">
        <v>91.045111899120698</v>
      </c>
      <c r="AJ1132">
        <v>81.423739330196199</v>
      </c>
      <c r="AK1132">
        <v>57.416638037966997</v>
      </c>
      <c r="AL1132">
        <v>97.5516562707205</v>
      </c>
      <c r="AM1132">
        <v>91.8880724499829</v>
      </c>
      <c r="AN1132">
        <v>1.0000000153635</v>
      </c>
    </row>
    <row r="1133" spans="1:40" x14ac:dyDescent="0.25">
      <c r="A1133" t="str">
        <f>"20190305134926332"</f>
        <v>20190305134926332</v>
      </c>
      <c r="B1133" t="str">
        <f>"1551764966321473"</f>
        <v>1551764966321473</v>
      </c>
      <c r="C1133" t="s">
        <v>40</v>
      </c>
      <c r="D1133">
        <v>4.220866</v>
      </c>
      <c r="E1133">
        <v>0.56866749999999999</v>
      </c>
      <c r="F1133" t="s">
        <v>42</v>
      </c>
      <c r="G1133">
        <v>-236.29159999999999</v>
      </c>
      <c r="H1133" s="1">
        <v>-3.6327910000000001E-6</v>
      </c>
      <c r="I1133">
        <v>360.65370000000001</v>
      </c>
      <c r="J1133">
        <v>-287.1397</v>
      </c>
      <c r="K1133">
        <v>1.0595399999999999</v>
      </c>
      <c r="L1133">
        <v>367.96780000000001</v>
      </c>
      <c r="M1133">
        <v>0.99988030000000006</v>
      </c>
      <c r="N1133">
        <v>-1.500219E-2</v>
      </c>
      <c r="O1133">
        <v>3.7931869999999999E-3</v>
      </c>
      <c r="P1133">
        <v>0.98869320000000005</v>
      </c>
      <c r="Q1133">
        <v>-0.14551549999999999</v>
      </c>
      <c r="R1133">
        <v>3.620611E-2</v>
      </c>
      <c r="S1133">
        <v>3.0413510000000001</v>
      </c>
      <c r="T1133">
        <v>-6.3089129999999993E-2</v>
      </c>
      <c r="U1133">
        <v>-0.43545529999999999</v>
      </c>
      <c r="V1133">
        <v>-3.2444000000000001E-2</v>
      </c>
      <c r="W1133">
        <v>-0.13066739999999999</v>
      </c>
      <c r="X1133">
        <v>0.99089530000000003</v>
      </c>
      <c r="Y1133">
        <v>0.1454339</v>
      </c>
      <c r="Z1133">
        <v>-2.618989E-3</v>
      </c>
      <c r="AA1133">
        <v>0.98936449999999998</v>
      </c>
      <c r="AB1133">
        <v>40</v>
      </c>
      <c r="AC1133">
        <v>50.848100000000002</v>
      </c>
      <c r="AD1133">
        <v>-1.0595436327909999</v>
      </c>
      <c r="AE1133">
        <v>-7.3140999999999901</v>
      </c>
      <c r="AF1133">
        <v>7.50375335121793</v>
      </c>
      <c r="AG1133">
        <v>-1.0595436327909999</v>
      </c>
      <c r="AH1133">
        <v>50.798377774542402</v>
      </c>
      <c r="AI1133">
        <v>91.182068878780598</v>
      </c>
      <c r="AJ1133">
        <v>81.597238720991598</v>
      </c>
      <c r="AK1133">
        <v>51.3605308733353</v>
      </c>
      <c r="AL1133">
        <v>97.508160204952603</v>
      </c>
      <c r="AM1133">
        <v>91.875314597593999</v>
      </c>
      <c r="AN1133">
        <v>1.00000003906042</v>
      </c>
    </row>
    <row r="1134" spans="1:40" x14ac:dyDescent="0.25">
      <c r="A1134" t="str">
        <f>"20190305134926342"</f>
        <v>20190305134926342</v>
      </c>
      <c r="B1134" t="str">
        <f>"1551764966332209"</f>
        <v>1551764966332209</v>
      </c>
      <c r="C1134" t="s">
        <v>40</v>
      </c>
      <c r="D1134">
        <v>4.2274620000000001</v>
      </c>
      <c r="E1134">
        <v>0.56729269999999998</v>
      </c>
      <c r="F1134" t="s">
        <v>42</v>
      </c>
      <c r="G1134">
        <v>-238.17699999999999</v>
      </c>
      <c r="H1134" s="1">
        <v>-2.8619430000000002E-6</v>
      </c>
      <c r="I1134">
        <v>361.13940000000002</v>
      </c>
      <c r="J1134">
        <v>-286.94630000000001</v>
      </c>
      <c r="K1134">
        <v>1.05955</v>
      </c>
      <c r="L1134">
        <v>367.96859999999998</v>
      </c>
      <c r="M1134">
        <v>0.9998802</v>
      </c>
      <c r="N1134">
        <v>-1.500546E-2</v>
      </c>
      <c r="O1134">
        <v>3.8326829999999999E-3</v>
      </c>
      <c r="P1134">
        <v>0.98874649999999997</v>
      </c>
      <c r="Q1134">
        <v>-0.14524419999999999</v>
      </c>
      <c r="R1134">
        <v>3.5841669999999999E-2</v>
      </c>
      <c r="S1134">
        <v>3.0401609999999999</v>
      </c>
      <c r="T1134">
        <v>-6.5788390000000002E-2</v>
      </c>
      <c r="U1134">
        <v>-0.42398069999999999</v>
      </c>
      <c r="V1134">
        <v>-3.2038339999999998E-2</v>
      </c>
      <c r="W1134">
        <v>-0.1303926</v>
      </c>
      <c r="X1134">
        <v>0.99094470000000001</v>
      </c>
      <c r="Y1134">
        <v>0.14186289999999999</v>
      </c>
      <c r="Z1134">
        <v>-2.6224299999999998E-3</v>
      </c>
      <c r="AA1134">
        <v>0.98988279999999995</v>
      </c>
      <c r="AB1134">
        <v>40</v>
      </c>
      <c r="AC1134">
        <v>48.769299999999902</v>
      </c>
      <c r="AD1134">
        <v>-1.0595528619429999</v>
      </c>
      <c r="AE1134">
        <v>-6.8291999999999504</v>
      </c>
      <c r="AF1134">
        <v>7.0128416388002099</v>
      </c>
      <c r="AG1134">
        <v>-1.0595528619429999</v>
      </c>
      <c r="AH1134">
        <v>48.720210394898999</v>
      </c>
      <c r="AI1134">
        <v>91.233150069800701</v>
      </c>
      <c r="AJ1134">
        <v>81.809041748878101</v>
      </c>
      <c r="AK1134">
        <v>49.233743520489703</v>
      </c>
      <c r="AL1134">
        <v>97.492279433856496</v>
      </c>
      <c r="AM1134">
        <v>91.851790982295</v>
      </c>
      <c r="AN1134">
        <v>1.0000000419113999</v>
      </c>
    </row>
    <row r="1135" spans="1:40" x14ac:dyDescent="0.25">
      <c r="A1135" t="str">
        <f>"20190305134926353"</f>
        <v>20190305134926353</v>
      </c>
      <c r="B1135" t="str">
        <f>"1551764966341499"</f>
        <v>1551764966341499</v>
      </c>
      <c r="C1135" t="s">
        <v>40</v>
      </c>
      <c r="D1135">
        <v>4.2241869999999997</v>
      </c>
      <c r="E1135">
        <v>0.56599460000000001</v>
      </c>
      <c r="F1135" t="s">
        <v>42</v>
      </c>
      <c r="G1135">
        <v>-240.3991</v>
      </c>
      <c r="H1135" s="1">
        <v>-5.9367149999999996E-6</v>
      </c>
      <c r="I1135">
        <v>361.62329999999997</v>
      </c>
      <c r="J1135">
        <v>-286.76569999999998</v>
      </c>
      <c r="K1135">
        <v>1.059561</v>
      </c>
      <c r="L1135">
        <v>367.96929999999998</v>
      </c>
      <c r="M1135">
        <v>0.99987990000000004</v>
      </c>
      <c r="N1135">
        <v>-1.500832E-2</v>
      </c>
      <c r="O1135">
        <v>3.8718170000000001E-3</v>
      </c>
      <c r="P1135">
        <v>0.98879910000000004</v>
      </c>
      <c r="Q1135">
        <v>-0.1449329</v>
      </c>
      <c r="R1135">
        <v>3.5652129999999997E-2</v>
      </c>
      <c r="S1135">
        <v>3.0390320000000002</v>
      </c>
      <c r="T1135">
        <v>-6.9177630000000004E-2</v>
      </c>
      <c r="U1135">
        <v>-0.41427609999999898</v>
      </c>
      <c r="V1135">
        <v>-3.1807660000000001E-2</v>
      </c>
      <c r="W1135">
        <v>-0.1300782</v>
      </c>
      <c r="X1135">
        <v>0.99099340000000002</v>
      </c>
      <c r="Y1135">
        <v>0.13884589999999999</v>
      </c>
      <c r="Z1135">
        <v>-2.6496860000000001E-3</v>
      </c>
      <c r="AA1135">
        <v>0.99031040000000004</v>
      </c>
      <c r="AB1135">
        <v>40</v>
      </c>
      <c r="AC1135">
        <v>46.366599999999899</v>
      </c>
      <c r="AD1135">
        <v>-1.059566936715</v>
      </c>
      <c r="AE1135">
        <v>-6.3460000000000001</v>
      </c>
      <c r="AF1135">
        <v>6.5221523159857604</v>
      </c>
      <c r="AG1135">
        <v>-1.059566936715</v>
      </c>
      <c r="AH1135">
        <v>46.3179360707271</v>
      </c>
      <c r="AI1135">
        <v>91.297669370168904</v>
      </c>
      <c r="AJ1135">
        <v>81.984727148436704</v>
      </c>
      <c r="AK1135">
        <v>46.786882293846602</v>
      </c>
      <c r="AL1135">
        <v>97.474111276370806</v>
      </c>
      <c r="AM1135">
        <v>91.838376756801594</v>
      </c>
      <c r="AN1135">
        <v>0.99999999209673696</v>
      </c>
    </row>
    <row r="1136" spans="1:40" x14ac:dyDescent="0.25">
      <c r="A1136" t="str">
        <f>"20190305134926363"</f>
        <v>20190305134926363</v>
      </c>
      <c r="B1136" t="str">
        <f>"1551764966361995"</f>
        <v>1551764966361995</v>
      </c>
      <c r="C1136" t="s">
        <v>40</v>
      </c>
      <c r="D1136">
        <v>4.2040540000000002</v>
      </c>
      <c r="E1136">
        <v>0.56338569999999999</v>
      </c>
      <c r="F1136" t="s">
        <v>42</v>
      </c>
      <c r="G1136">
        <v>-242.34950000000001</v>
      </c>
      <c r="H1136" s="1">
        <v>-4.9387169999999997E-6</v>
      </c>
      <c r="I1136">
        <v>362.05200000000002</v>
      </c>
      <c r="J1136">
        <v>-286.56060000000002</v>
      </c>
      <c r="K1136">
        <v>1.059574</v>
      </c>
      <c r="L1136">
        <v>367.9701</v>
      </c>
      <c r="M1136">
        <v>0.99987969999999904</v>
      </c>
      <c r="N1136">
        <v>-1.501109E-2</v>
      </c>
      <c r="O1136">
        <v>3.9217000000000002E-3</v>
      </c>
      <c r="P1136">
        <v>0.98882840000000005</v>
      </c>
      <c r="Q1136">
        <v>-0.14478740000000001</v>
      </c>
      <c r="R1136">
        <v>3.5427970000000003E-2</v>
      </c>
      <c r="S1136">
        <v>3.0379640000000001</v>
      </c>
      <c r="T1136">
        <v>-7.2471859999999999E-2</v>
      </c>
      <c r="U1136">
        <v>-0.40472409999999998</v>
      </c>
      <c r="V1136">
        <v>-3.1531829999999997E-2</v>
      </c>
      <c r="W1136">
        <v>-0.12992999999999999</v>
      </c>
      <c r="X1136">
        <v>0.99102159999999995</v>
      </c>
      <c r="Y1136">
        <v>0.135879799999999</v>
      </c>
      <c r="Z1136">
        <v>-2.672537E-3</v>
      </c>
      <c r="AA1136">
        <v>0.99072170000000004</v>
      </c>
      <c r="AB1136">
        <v>40</v>
      </c>
      <c r="AC1136">
        <v>44.211100000000002</v>
      </c>
      <c r="AD1136">
        <v>-1.059578938717</v>
      </c>
      <c r="AE1136">
        <v>-5.9181000000000301</v>
      </c>
      <c r="AF1136">
        <v>6.0880213581356202</v>
      </c>
      <c r="AG1136">
        <v>-1.059578938717</v>
      </c>
      <c r="AH1136">
        <v>44.162628441107898</v>
      </c>
      <c r="AI1136">
        <v>91.361542981326195</v>
      </c>
      <c r="AJ1136">
        <v>82.150984507317702</v>
      </c>
      <c r="AK1136">
        <v>44.592874569956201</v>
      </c>
      <c r="AL1136">
        <v>97.465547781665705</v>
      </c>
      <c r="AM1136">
        <v>91.822393675814396</v>
      </c>
      <c r="AN1136">
        <v>0.99999993643485197</v>
      </c>
    </row>
    <row r="1137" spans="1:40" x14ac:dyDescent="0.25">
      <c r="A1137" t="str">
        <f>"20190305134926376"</f>
        <v>20190305134926376</v>
      </c>
      <c r="B1137" t="str">
        <f>"1551764966371755"</f>
        <v>1551764966371755</v>
      </c>
      <c r="C1137" t="s">
        <v>40</v>
      </c>
      <c r="D1137">
        <v>4.1865560000000004</v>
      </c>
      <c r="E1137">
        <v>0.56220400000000004</v>
      </c>
      <c r="F1137" t="s">
        <v>42</v>
      </c>
      <c r="G1137">
        <v>-246.05269999999999</v>
      </c>
      <c r="H1137" s="1">
        <v>-3.3055150000000001E-6</v>
      </c>
      <c r="I1137">
        <v>362.83069999999998</v>
      </c>
      <c r="J1137">
        <v>-286.35500000000002</v>
      </c>
      <c r="K1137">
        <v>1.0595760000000001</v>
      </c>
      <c r="L1137">
        <v>367.97089999999997</v>
      </c>
      <c r="M1137">
        <v>0.99987950000000003</v>
      </c>
      <c r="N1137">
        <v>-1.5013520000000001E-2</v>
      </c>
      <c r="O1137">
        <v>3.9759970000000002E-3</v>
      </c>
      <c r="P1137">
        <v>0.98891560000000001</v>
      </c>
      <c r="Q1137">
        <v>-0.14424999999999999</v>
      </c>
      <c r="R1137">
        <v>3.518603E-2</v>
      </c>
      <c r="S1137">
        <v>3.036041</v>
      </c>
      <c r="T1137">
        <v>-7.9414730000000003E-2</v>
      </c>
      <c r="U1137">
        <v>-0.3851929</v>
      </c>
      <c r="V1137">
        <v>-3.123304E-2</v>
      </c>
      <c r="W1137">
        <v>-0.12938949999999999</v>
      </c>
      <c r="X1137">
        <v>0.99110189999999998</v>
      </c>
      <c r="Y1137">
        <v>0.12973889999999999</v>
      </c>
      <c r="Z1137">
        <v>-2.7119969999999998E-3</v>
      </c>
      <c r="AA1137">
        <v>0.99154450000000005</v>
      </c>
      <c r="AB1137">
        <v>40</v>
      </c>
      <c r="AC1137">
        <v>40.302300000000002</v>
      </c>
      <c r="AD1137">
        <v>-1.059579305515</v>
      </c>
      <c r="AE1137">
        <v>-5.1401999999999903</v>
      </c>
      <c r="AF1137">
        <v>5.2968166422496603</v>
      </c>
      <c r="AG1137">
        <v>-1.059579305515</v>
      </c>
      <c r="AH1137">
        <v>40.254163100310699</v>
      </c>
      <c r="AI1137">
        <v>91.494924052509205</v>
      </c>
      <c r="AJ1137">
        <v>82.503839821150294</v>
      </c>
      <c r="AK1137">
        <v>40.614980262862503</v>
      </c>
      <c r="AL1137">
        <v>97.434314836704203</v>
      </c>
      <c r="AM1137">
        <v>91.804990320720293</v>
      </c>
      <c r="AN1137">
        <v>1.00000006084074</v>
      </c>
    </row>
    <row r="1138" spans="1:40" x14ac:dyDescent="0.25">
      <c r="A1138" t="str">
        <f>"20190305134926387"</f>
        <v>20190305134926387</v>
      </c>
      <c r="B1138" t="str">
        <f>"1551764966381515"</f>
        <v>1551764966381515</v>
      </c>
      <c r="C1138" t="s">
        <v>40</v>
      </c>
      <c r="D1138">
        <v>4.1327099999999897</v>
      </c>
      <c r="E1138">
        <v>0.5612606</v>
      </c>
      <c r="F1138" t="s">
        <v>42</v>
      </c>
      <c r="G1138">
        <v>-246.76820000000001</v>
      </c>
      <c r="H1138" s="1">
        <v>-2.9693410000000002E-6</v>
      </c>
      <c r="I1138">
        <v>363.06150000000002</v>
      </c>
      <c r="J1138">
        <v>-286.14280000000002</v>
      </c>
      <c r="K1138">
        <v>1.059588</v>
      </c>
      <c r="L1138">
        <v>367.97179999999997</v>
      </c>
      <c r="M1138">
        <v>0.99987910000000002</v>
      </c>
      <c r="N1138">
        <v>-1.501573E-2</v>
      </c>
      <c r="O1138">
        <v>4.0358460000000001E-3</v>
      </c>
      <c r="P1138">
        <v>0.98897729999999995</v>
      </c>
      <c r="Q1138">
        <v>-0.143846</v>
      </c>
      <c r="R1138">
        <v>3.51051E-2</v>
      </c>
      <c r="S1138">
        <v>3.035126</v>
      </c>
      <c r="T1138">
        <v>-8.1238030000000003E-2</v>
      </c>
      <c r="U1138">
        <v>-0.37640380000000001</v>
      </c>
      <c r="V1138">
        <v>-3.109056E-2</v>
      </c>
      <c r="W1138">
        <v>-0.12898309999999999</v>
      </c>
      <c r="X1138">
        <v>0.99115929999999997</v>
      </c>
      <c r="Y1138">
        <v>0.12700719999999999</v>
      </c>
      <c r="Z1138">
        <v>-2.6976909999999999E-3</v>
      </c>
      <c r="AA1138">
        <v>0.9918981</v>
      </c>
      <c r="AB1138">
        <v>40</v>
      </c>
      <c r="AC1138">
        <v>39.374600000000001</v>
      </c>
      <c r="AD1138">
        <v>-1.0595909693409999</v>
      </c>
      <c r="AE1138">
        <v>-4.9102999999999497</v>
      </c>
      <c r="AF1138">
        <v>5.0655755507685498</v>
      </c>
      <c r="AG1138">
        <v>-1.0595909693409999</v>
      </c>
      <c r="AH1138">
        <v>39.3264166824247</v>
      </c>
      <c r="AI1138">
        <v>91.5307345897494</v>
      </c>
      <c r="AJ1138">
        <v>82.660233144502598</v>
      </c>
      <c r="AK1138">
        <v>39.665474127540001</v>
      </c>
      <c r="AL1138">
        <v>97.410833439145406</v>
      </c>
      <c r="AM1138">
        <v>91.796657675043505</v>
      </c>
      <c r="AN1138">
        <v>1.0000000104916</v>
      </c>
    </row>
    <row r="1139" spans="1:40" x14ac:dyDescent="0.25">
      <c r="A1139" t="str">
        <f>"20190305134926398"</f>
        <v>20190305134926398</v>
      </c>
      <c r="B1139" t="str">
        <f>"1551764966391276"</f>
        <v>1551764966391276</v>
      </c>
      <c r="C1139" t="s">
        <v>40</v>
      </c>
      <c r="D1139">
        <v>4.1999740000000001</v>
      </c>
      <c r="E1139">
        <v>0.56023999999999996</v>
      </c>
      <c r="F1139" t="s">
        <v>42</v>
      </c>
      <c r="G1139">
        <v>-249.39619999999999</v>
      </c>
      <c r="H1139" s="1">
        <v>-1.843997E-6</v>
      </c>
      <c r="I1139">
        <v>363.49799999999999</v>
      </c>
      <c r="J1139">
        <v>-285.96170000000001</v>
      </c>
      <c r="K1139">
        <v>1.0596000000000001</v>
      </c>
      <c r="L1139">
        <v>367.9726</v>
      </c>
      <c r="M1139">
        <v>0.99987890000000001</v>
      </c>
      <c r="N1139">
        <v>-1.5017229999999999E-2</v>
      </c>
      <c r="O1139">
        <v>4.0921630000000002E-3</v>
      </c>
      <c r="P1139">
        <v>0.98902230000000002</v>
      </c>
      <c r="Q1139">
        <v>-0.14358119999999999</v>
      </c>
      <c r="R1139">
        <v>3.4919249999999999E-2</v>
      </c>
      <c r="S1139">
        <v>3.0337830000000001</v>
      </c>
      <c r="T1139">
        <v>-8.7479349999999997E-2</v>
      </c>
      <c r="U1139">
        <v>-0.36935420000000002</v>
      </c>
      <c r="V1139">
        <v>-3.084682E-2</v>
      </c>
      <c r="W1139">
        <v>-0.12871649999999901</v>
      </c>
      <c r="X1139">
        <v>0.99120160000000002</v>
      </c>
      <c r="Y1139">
        <v>0.1248378</v>
      </c>
      <c r="Z1139">
        <v>-2.7903450000000001E-3</v>
      </c>
      <c r="AA1139">
        <v>0.99217330000000004</v>
      </c>
      <c r="AB1139">
        <v>40</v>
      </c>
      <c r="AC1139">
        <v>36.5655</v>
      </c>
      <c r="AD1139">
        <v>-1.0596018439970001</v>
      </c>
      <c r="AE1139">
        <v>-4.47459999999995</v>
      </c>
      <c r="AF1139">
        <v>4.6203887224400697</v>
      </c>
      <c r="AG1139">
        <v>-1.0596018439970001</v>
      </c>
      <c r="AH1139">
        <v>36.516669001696698</v>
      </c>
      <c r="AI1139">
        <v>91.648942063535699</v>
      </c>
      <c r="AJ1139">
        <v>82.788787086192301</v>
      </c>
      <c r="AK1139">
        <v>36.823061564646302</v>
      </c>
      <c r="AL1139">
        <v>97.395429780312398</v>
      </c>
      <c r="AM1139">
        <v>91.782505556066099</v>
      </c>
      <c r="AN1139">
        <v>1.00000003775946</v>
      </c>
    </row>
    <row r="1140" spans="1:40" x14ac:dyDescent="0.25">
      <c r="A1140" t="str">
        <f>"20190305134926409"</f>
        <v>20190305134926409</v>
      </c>
      <c r="B1140" t="str">
        <f>"1551764966402011"</f>
        <v>1551764966402011</v>
      </c>
      <c r="C1140" t="s">
        <v>40</v>
      </c>
      <c r="D1140">
        <v>4.1837109999999997</v>
      </c>
      <c r="E1140">
        <v>0.55927150000000003</v>
      </c>
      <c r="F1140" t="s">
        <v>42</v>
      </c>
      <c r="G1140">
        <v>-250.2003</v>
      </c>
      <c r="H1140" s="1">
        <v>-5.2344269999999898E-6</v>
      </c>
      <c r="I1140">
        <v>363.7079</v>
      </c>
      <c r="J1140">
        <v>-285.75540000000001</v>
      </c>
      <c r="K1140">
        <v>1.059609</v>
      </c>
      <c r="L1140">
        <v>367.9735</v>
      </c>
      <c r="M1140">
        <v>0.99987859999999995</v>
      </c>
      <c r="N1140">
        <v>-1.501885E-2</v>
      </c>
      <c r="O1140">
        <v>4.1575559999999998E-3</v>
      </c>
      <c r="P1140">
        <v>0.98907149999999999</v>
      </c>
      <c r="Q1140">
        <v>-0.14329919999999999</v>
      </c>
      <c r="R1140">
        <v>3.4687259999999998E-2</v>
      </c>
      <c r="S1140">
        <v>3.0329899999999999</v>
      </c>
      <c r="T1140">
        <v>-8.9866639999999998E-2</v>
      </c>
      <c r="U1140">
        <v>-0.36169430000000002</v>
      </c>
      <c r="V1140">
        <v>-3.0547350000000001E-2</v>
      </c>
      <c r="W1140">
        <v>-0.12843270000000001</v>
      </c>
      <c r="X1140">
        <v>0.99124769999999895</v>
      </c>
      <c r="Y1140">
        <v>0.1224615</v>
      </c>
      <c r="Z1140">
        <v>-2.7911860000000002E-3</v>
      </c>
      <c r="AA1140">
        <v>0.99246939999999995</v>
      </c>
      <c r="AB1140">
        <v>39</v>
      </c>
      <c r="AC1140">
        <v>35.555100000000003</v>
      </c>
      <c r="AD1140">
        <v>-1.0596142344270001</v>
      </c>
      <c r="AE1140">
        <v>-4.2656000000000001</v>
      </c>
      <c r="AF1140">
        <v>4.4095413008166204</v>
      </c>
      <c r="AG1140">
        <v>-1.0596142344270001</v>
      </c>
      <c r="AH1140">
        <v>35.505968596594101</v>
      </c>
      <c r="AI1140">
        <v>91.696361915722093</v>
      </c>
      <c r="AJ1140">
        <v>82.920596283466196</v>
      </c>
      <c r="AK1140">
        <v>35.794421950797499</v>
      </c>
      <c r="AL1140">
        <v>97.379033046526501</v>
      </c>
      <c r="AM1140">
        <v>91.765129427048706</v>
      </c>
      <c r="AN1140">
        <v>1.00000005088829</v>
      </c>
    </row>
    <row r="1141" spans="1:40" x14ac:dyDescent="0.25">
      <c r="A1141" t="str">
        <f>"20190305134926421"</f>
        <v>20190305134926421</v>
      </c>
      <c r="B1141" t="str">
        <f>"1551764966411772"</f>
        <v>1551764966411772</v>
      </c>
      <c r="C1141" t="s">
        <v>40</v>
      </c>
      <c r="D1141">
        <v>4.1613910000000001</v>
      </c>
      <c r="E1141">
        <v>0.55832609999999905</v>
      </c>
      <c r="F1141" t="s">
        <v>42</v>
      </c>
      <c r="G1141">
        <v>-250.78720000000001</v>
      </c>
      <c r="H1141" s="1">
        <v>-4.9519440000000003E-6</v>
      </c>
      <c r="I1141">
        <v>363.8809</v>
      </c>
      <c r="J1141">
        <v>-285.5496</v>
      </c>
      <c r="K1141">
        <v>1.0596219999999901</v>
      </c>
      <c r="L1141">
        <v>367.9744</v>
      </c>
      <c r="M1141">
        <v>0.9998783</v>
      </c>
      <c r="N1141">
        <v>-1.501999E-2</v>
      </c>
      <c r="O1141">
        <v>4.2286650000000004E-3</v>
      </c>
      <c r="P1141">
        <v>0.98912180000000005</v>
      </c>
      <c r="Q1141">
        <v>-0.1429598</v>
      </c>
      <c r="R1141">
        <v>3.4651290000000001E-2</v>
      </c>
      <c r="S1141">
        <v>3.0322879999999999</v>
      </c>
      <c r="T1141">
        <v>-9.1884729999999998E-2</v>
      </c>
      <c r="U1141">
        <v>-0.35488890000000001</v>
      </c>
      <c r="V1141">
        <v>-3.0438570000000002E-2</v>
      </c>
      <c r="W1141">
        <v>-0.12809200000000001</v>
      </c>
      <c r="X1141">
        <v>0.99129509999999998</v>
      </c>
      <c r="Y1141">
        <v>0.12036040000000001</v>
      </c>
      <c r="Z1141">
        <v>-2.7886999999999999E-3</v>
      </c>
      <c r="AA1141">
        <v>0.99272629999999995</v>
      </c>
      <c r="AB1141">
        <v>39</v>
      </c>
      <c r="AC1141">
        <v>34.7623999999999</v>
      </c>
      <c r="AD1141">
        <v>-1.05962695194399</v>
      </c>
      <c r="AE1141">
        <v>-4.0934999999999997</v>
      </c>
      <c r="AF1141">
        <v>4.2365959131913504</v>
      </c>
      <c r="AG1141">
        <v>-1.05962695194399</v>
      </c>
      <c r="AH1141">
        <v>34.7129646635033</v>
      </c>
      <c r="AI1141">
        <v>91.735563196502994</v>
      </c>
      <c r="AJ1141">
        <v>83.041663307066202</v>
      </c>
      <c r="AK1141">
        <v>34.986589858667102</v>
      </c>
      <c r="AL1141">
        <v>97.359350017190593</v>
      </c>
      <c r="AM1141">
        <v>91.758763656436699</v>
      </c>
      <c r="AN1141">
        <v>1.00000002114582</v>
      </c>
    </row>
    <row r="1142" spans="1:40" x14ac:dyDescent="0.25">
      <c r="A1142" t="str">
        <f>"20190305134926438"</f>
        <v>20190305134926438</v>
      </c>
      <c r="B1142" t="str">
        <f>"1551764966431291"</f>
        <v>1551764966431291</v>
      </c>
      <c r="C1142" t="s">
        <v>40</v>
      </c>
      <c r="D1142">
        <v>4.3887260000000001</v>
      </c>
      <c r="E1142">
        <v>0.55659749999999997</v>
      </c>
      <c r="F1142" t="s">
        <v>42</v>
      </c>
      <c r="G1142">
        <v>-251.2456</v>
      </c>
      <c r="H1142" s="1">
        <v>-4.7265259999999998E-6</v>
      </c>
      <c r="I1142">
        <v>364.04320000000001</v>
      </c>
      <c r="J1142">
        <v>-285.26990000000001</v>
      </c>
      <c r="K1142">
        <v>1.0596490000000001</v>
      </c>
      <c r="L1142">
        <v>367.97559999999999</v>
      </c>
      <c r="M1142">
        <v>0.99987780000000004</v>
      </c>
      <c r="N1142">
        <v>-1.502125E-2</v>
      </c>
      <c r="O1142">
        <v>4.3282390000000002E-3</v>
      </c>
      <c r="P1142">
        <v>0.98928629999999995</v>
      </c>
      <c r="Q1142">
        <v>-0.14186389999999999</v>
      </c>
      <c r="R1142">
        <v>3.4456580000000001E-2</v>
      </c>
      <c r="S1142">
        <v>3.0315859999999999</v>
      </c>
      <c r="T1142">
        <v>-9.3643190000000001E-2</v>
      </c>
      <c r="U1142">
        <v>-0.347412099999999</v>
      </c>
      <c r="V1142">
        <v>-3.0142240000000001E-2</v>
      </c>
      <c r="W1142">
        <v>-0.1269931</v>
      </c>
      <c r="X1142">
        <v>0.99144549999999998</v>
      </c>
      <c r="Y1142">
        <v>0.1180684</v>
      </c>
      <c r="Z1142">
        <v>-2.7756030000000002E-3</v>
      </c>
      <c r="AA1142">
        <v>0.99300160000000004</v>
      </c>
      <c r="AB1142">
        <v>39</v>
      </c>
      <c r="AC1142">
        <v>34.024299999999997</v>
      </c>
      <c r="AD1142">
        <v>-1.059653726526</v>
      </c>
      <c r="AE1142">
        <v>-3.9323999999999701</v>
      </c>
      <c r="AF1142">
        <v>4.0757439192947498</v>
      </c>
      <c r="AG1142">
        <v>-1.059653726526</v>
      </c>
      <c r="AH1142">
        <v>33.974439802701603</v>
      </c>
      <c r="AI1142">
        <v>91.773751204698897</v>
      </c>
      <c r="AJ1142">
        <v>83.159203067782897</v>
      </c>
      <c r="AK1142">
        <v>34.234443392922302</v>
      </c>
      <c r="AL1142">
        <v>97.295869464689801</v>
      </c>
      <c r="AM1142">
        <v>91.741388039629797</v>
      </c>
      <c r="AN1142">
        <v>0.99999999077503798</v>
      </c>
    </row>
    <row r="1143" spans="1:40" x14ac:dyDescent="0.25">
      <c r="A1143" t="str">
        <f>"20190305134926449"</f>
        <v>20190305134926449</v>
      </c>
      <c r="B1143" t="str">
        <f>"1551764966441560"</f>
        <v>1551764966441560</v>
      </c>
      <c r="C1143" t="s">
        <v>40</v>
      </c>
      <c r="D1143">
        <v>4.1535219999999997</v>
      </c>
      <c r="E1143">
        <v>0.55582719999999997</v>
      </c>
      <c r="F1143" t="s">
        <v>42</v>
      </c>
      <c r="G1143">
        <v>-251.5547</v>
      </c>
      <c r="H1143" s="1">
        <v>-4.5558569999999997E-6</v>
      </c>
      <c r="I1143">
        <v>364.25760000000002</v>
      </c>
      <c r="J1143">
        <v>-285.06979999999999</v>
      </c>
      <c r="K1143">
        <v>1.05966</v>
      </c>
      <c r="L1143">
        <v>367.97660000000002</v>
      </c>
      <c r="M1143">
        <v>0.99987760000000003</v>
      </c>
      <c r="N1143">
        <v>-1.5021939999999999E-2</v>
      </c>
      <c r="O1143">
        <v>4.4015349999999998E-3</v>
      </c>
      <c r="P1143">
        <v>0.98934840000000002</v>
      </c>
      <c r="Q1143">
        <v>-0.1414552</v>
      </c>
      <c r="R1143">
        <v>3.4356690000000002E-2</v>
      </c>
      <c r="S1143">
        <v>3.0304869999999999</v>
      </c>
      <c r="T1143">
        <v>-9.5246670000000005E-2</v>
      </c>
      <c r="U1143">
        <v>-0.334198</v>
      </c>
      <c r="V1143">
        <v>-2.9967480000000001E-2</v>
      </c>
      <c r="W1143">
        <v>-0.1265831</v>
      </c>
      <c r="X1143">
        <v>0.99150320000000003</v>
      </c>
      <c r="Y1143">
        <v>0.11390550000000001</v>
      </c>
      <c r="Z1143">
        <v>-2.7146190000000001E-3</v>
      </c>
      <c r="AA1143">
        <v>0.99348789999999998</v>
      </c>
      <c r="AB1143">
        <v>39</v>
      </c>
      <c r="AC1143">
        <v>33.515099999999897</v>
      </c>
      <c r="AD1143">
        <v>-1.0596645558569999</v>
      </c>
      <c r="AE1143">
        <v>-3.7189999999999901</v>
      </c>
      <c r="AF1143">
        <v>3.8626840476709599</v>
      </c>
      <c r="AG1143">
        <v>-1.0596645558569999</v>
      </c>
      <c r="AH1143">
        <v>33.465356792192999</v>
      </c>
      <c r="AI1143">
        <v>91.801683698076999</v>
      </c>
      <c r="AJ1143">
        <v>83.415864410138894</v>
      </c>
      <c r="AK1143">
        <v>33.704203332104598</v>
      </c>
      <c r="AL1143">
        <v>97.272187274268603</v>
      </c>
      <c r="AM1143">
        <v>91.731197215539396</v>
      </c>
      <c r="AN1143">
        <v>0.99999996333669905</v>
      </c>
    </row>
    <row r="1144" spans="1:40" x14ac:dyDescent="0.25">
      <c r="A1144" t="str">
        <f>"20190305134926462"</f>
        <v>20190305134926462</v>
      </c>
      <c r="B1144" t="str">
        <f>"1551764966451321"</f>
        <v>1551764966451321</v>
      </c>
      <c r="C1144" t="s">
        <v>40</v>
      </c>
      <c r="D1144">
        <v>4.1815559999999996</v>
      </c>
      <c r="E1144">
        <v>0.55508049999999998</v>
      </c>
      <c r="F1144" t="s">
        <v>42</v>
      </c>
      <c r="G1144">
        <v>-251.6465</v>
      </c>
      <c r="H1144" s="1">
        <v>-4.4994599999999996E-6</v>
      </c>
      <c r="I1144">
        <v>364.3537</v>
      </c>
      <c r="J1144">
        <v>-284.85309999999998</v>
      </c>
      <c r="K1144">
        <v>1.0596680000000001</v>
      </c>
      <c r="L1144">
        <v>367.9776</v>
      </c>
      <c r="M1144">
        <v>0.99987720000000002</v>
      </c>
      <c r="N1144">
        <v>-1.502235E-2</v>
      </c>
      <c r="O1144">
        <v>4.4842379999999998E-3</v>
      </c>
      <c r="P1144">
        <v>0.98941579999999996</v>
      </c>
      <c r="Q1144">
        <v>-0.14095489999999999</v>
      </c>
      <c r="R1144">
        <v>3.4474320000000003E-2</v>
      </c>
      <c r="S1144">
        <v>3.0300289999999999</v>
      </c>
      <c r="T1144">
        <v>-9.606481E-2</v>
      </c>
      <c r="U1144">
        <v>-0.32843020000000001</v>
      </c>
      <c r="V1144">
        <v>-3.000156E-2</v>
      </c>
      <c r="W1144">
        <v>-0.1260819</v>
      </c>
      <c r="X1144">
        <v>0.99156610000000001</v>
      </c>
      <c r="Y1144">
        <v>0.1121351</v>
      </c>
      <c r="Z1144">
        <v>-2.6916000000000002E-3</v>
      </c>
      <c r="AA1144">
        <v>0.9936893</v>
      </c>
      <c r="AB1144">
        <v>39</v>
      </c>
      <c r="AC1144">
        <v>33.206599999999902</v>
      </c>
      <c r="AD1144">
        <v>-1.05967249946</v>
      </c>
      <c r="AE1144">
        <v>-3.6238999999999901</v>
      </c>
      <c r="AF1144">
        <v>3.7689936852599</v>
      </c>
      <c r="AG1144">
        <v>-1.05967249946</v>
      </c>
      <c r="AH1144">
        <v>33.156646322455501</v>
      </c>
      <c r="AI1144">
        <v>91.818820794328602</v>
      </c>
      <c r="AJ1144">
        <v>83.514891110359798</v>
      </c>
      <c r="AK1144">
        <v>33.3869946919163</v>
      </c>
      <c r="AL1144">
        <v>97.243238169729295</v>
      </c>
      <c r="AM1144">
        <v>91.733054913372001</v>
      </c>
      <c r="AN1144">
        <v>1.0000000348896201</v>
      </c>
    </row>
    <row r="1145" spans="1:40" x14ac:dyDescent="0.25">
      <c r="A1145" t="str">
        <f>"20190305134926473"</f>
        <v>20190305134926473</v>
      </c>
      <c r="B1145" t="str">
        <f>"1551764966462056"</f>
        <v>1551764966462056</v>
      </c>
      <c r="C1145" t="s">
        <v>40</v>
      </c>
      <c r="D1145">
        <v>4.1734169999999997</v>
      </c>
      <c r="E1145">
        <v>0.55435049999999997</v>
      </c>
      <c r="F1145" t="s">
        <v>42</v>
      </c>
      <c r="G1145">
        <v>-251.6267</v>
      </c>
      <c r="H1145" s="1">
        <v>-4.4917679999999999E-6</v>
      </c>
      <c r="I1145">
        <v>364.44479999999999</v>
      </c>
      <c r="J1145">
        <v>-284.64109999999999</v>
      </c>
      <c r="K1145">
        <v>1.059677</v>
      </c>
      <c r="L1145">
        <v>367.97859999999997</v>
      </c>
      <c r="M1145">
        <v>0.99987689999999996</v>
      </c>
      <c r="N1145">
        <v>-1.502262E-2</v>
      </c>
      <c r="O1145">
        <v>4.5658590000000002E-3</v>
      </c>
      <c r="P1145">
        <v>0.98950990000000005</v>
      </c>
      <c r="Q1145">
        <v>-0.14030119999999999</v>
      </c>
      <c r="R1145">
        <v>3.4438490000000002E-2</v>
      </c>
      <c r="S1145">
        <v>3.029541</v>
      </c>
      <c r="T1145">
        <v>-9.6619369999999996E-2</v>
      </c>
      <c r="U1145">
        <v>-0.32211299999999998</v>
      </c>
      <c r="V1145">
        <v>-2.9882550000000001E-2</v>
      </c>
      <c r="W1145">
        <v>-0.1254268</v>
      </c>
      <c r="X1145">
        <v>0.99165270000000005</v>
      </c>
      <c r="Y1145">
        <v>0.1101854</v>
      </c>
      <c r="Z1145">
        <v>-2.658765E-3</v>
      </c>
      <c r="AA1145">
        <v>0.99390750000000005</v>
      </c>
      <c r="AB1145">
        <v>39</v>
      </c>
      <c r="AC1145">
        <v>33.014399999999902</v>
      </c>
      <c r="AD1145">
        <v>-1.059681491768</v>
      </c>
      <c r="AE1145">
        <v>-3.5337999999999798</v>
      </c>
      <c r="AF1145">
        <v>3.6807700691741498</v>
      </c>
      <c r="AG1145">
        <v>-1.059681491768</v>
      </c>
      <c r="AH1145">
        <v>32.964342227501596</v>
      </c>
      <c r="AI1145">
        <v>91.829849092187899</v>
      </c>
      <c r="AJ1145">
        <v>83.628793363379501</v>
      </c>
      <c r="AK1145">
        <v>33.186124384416601</v>
      </c>
      <c r="AL1145">
        <v>97.205403869509794</v>
      </c>
      <c r="AM1145">
        <v>91.726033754797797</v>
      </c>
      <c r="AN1145">
        <v>0.99999996318501505</v>
      </c>
    </row>
    <row r="1146" spans="1:40" x14ac:dyDescent="0.25">
      <c r="A1146" t="str">
        <f>"20190305134926485"</f>
        <v>20190305134926485</v>
      </c>
      <c r="B1146" t="str">
        <f>"1551764966481576"</f>
        <v>1551764966481576</v>
      </c>
      <c r="C1146" t="s">
        <v>40</v>
      </c>
      <c r="D1146">
        <v>4.1182999999999996</v>
      </c>
      <c r="E1146">
        <v>0.55298329999999996</v>
      </c>
      <c r="F1146" t="s">
        <v>42</v>
      </c>
      <c r="G1146">
        <v>-251.56129999999999</v>
      </c>
      <c r="H1146" s="1">
        <v>-4.5064130000000003E-6</v>
      </c>
      <c r="I1146">
        <v>364.5206</v>
      </c>
      <c r="J1146">
        <v>-284.43630000000002</v>
      </c>
      <c r="K1146">
        <v>1.059685</v>
      </c>
      <c r="L1146">
        <v>367.9796</v>
      </c>
      <c r="M1146">
        <v>0.99987649999999995</v>
      </c>
      <c r="N1146">
        <v>-1.502267E-2</v>
      </c>
      <c r="O1146">
        <v>4.6463329999999999E-3</v>
      </c>
      <c r="P1146">
        <v>0.98959949999999997</v>
      </c>
      <c r="Q1146">
        <v>-0.1396645</v>
      </c>
      <c r="R1146">
        <v>3.4454520000000002E-2</v>
      </c>
      <c r="S1146">
        <v>3.029083</v>
      </c>
      <c r="T1146">
        <v>-9.7033499999999995E-2</v>
      </c>
      <c r="U1146">
        <v>-0.3166504</v>
      </c>
      <c r="V1146">
        <v>-2.9818290000000001E-2</v>
      </c>
      <c r="W1146">
        <v>-0.124789</v>
      </c>
      <c r="X1146">
        <v>0.99173520000000004</v>
      </c>
      <c r="Y1146">
        <v>0.10850890000000001</v>
      </c>
      <c r="Z1146">
        <v>-2.6292389999999998E-3</v>
      </c>
      <c r="AA1146">
        <v>0.99409199999999998</v>
      </c>
      <c r="AB1146">
        <v>39</v>
      </c>
      <c r="AC1146">
        <v>32.875</v>
      </c>
      <c r="AD1146">
        <v>-1.0596895064129901</v>
      </c>
      <c r="AE1146">
        <v>-3.4590000000000001</v>
      </c>
      <c r="AF1146">
        <v>3.60802029498279</v>
      </c>
      <c r="AG1146">
        <v>-1.0596895064129901</v>
      </c>
      <c r="AH1146">
        <v>32.824839208738297</v>
      </c>
      <c r="AI1146">
        <v>91.837984472224093</v>
      </c>
      <c r="AJ1146">
        <v>83.727378787107</v>
      </c>
      <c r="AK1146">
        <v>33.039534218546898</v>
      </c>
      <c r="AL1146">
        <v>97.168570490082899</v>
      </c>
      <c r="AM1146">
        <v>91.722181107561298</v>
      </c>
      <c r="AN1146">
        <v>1.00000006592928</v>
      </c>
    </row>
    <row r="1147" spans="1:40" x14ac:dyDescent="0.25">
      <c r="A1147" t="str">
        <f>"20190305134926498"</f>
        <v>20190305134926498</v>
      </c>
      <c r="B1147" t="str">
        <f>"1551764966491335"</f>
        <v>1551764966491335</v>
      </c>
      <c r="C1147" t="s">
        <v>40</v>
      </c>
      <c r="D1147">
        <v>4.1566839999999896</v>
      </c>
      <c r="E1147">
        <v>0.55233900000000002</v>
      </c>
      <c r="F1147" t="s">
        <v>42</v>
      </c>
      <c r="G1147">
        <v>-252.2731</v>
      </c>
      <c r="H1147" s="1">
        <v>-4.1632100000000001E-6</v>
      </c>
      <c r="I1147">
        <v>364.73390000000001</v>
      </c>
      <c r="J1147">
        <v>-284.22149999999999</v>
      </c>
      <c r="K1147">
        <v>1.059693</v>
      </c>
      <c r="L1147">
        <v>367.98070000000001</v>
      </c>
      <c r="M1147">
        <v>0.99987599999999999</v>
      </c>
      <c r="N1147">
        <v>-1.5022529999999999E-2</v>
      </c>
      <c r="O1147">
        <v>4.7318070000000002E-3</v>
      </c>
      <c r="P1147">
        <v>0.98970130000000001</v>
      </c>
      <c r="Q1147">
        <v>-0.13899310000000001</v>
      </c>
      <c r="R1147">
        <v>3.4242120000000001E-2</v>
      </c>
      <c r="S1147">
        <v>3.028076</v>
      </c>
      <c r="T1147">
        <v>-9.9766250000000001E-2</v>
      </c>
      <c r="U1147">
        <v>-0.30557250000000002</v>
      </c>
      <c r="V1147">
        <v>-2.9519569999999998E-2</v>
      </c>
      <c r="W1147">
        <v>-0.1241165</v>
      </c>
      <c r="X1147">
        <v>0.99182840000000005</v>
      </c>
      <c r="Y1147">
        <v>0.1050273</v>
      </c>
      <c r="Z1147">
        <v>-2.6011430000000002E-3</v>
      </c>
      <c r="AA1147">
        <v>0.99446590000000001</v>
      </c>
      <c r="AB1147">
        <v>39</v>
      </c>
      <c r="AC1147">
        <v>31.9483999999999</v>
      </c>
      <c r="AD1147">
        <v>-1.0596971632100001</v>
      </c>
      <c r="AE1147">
        <v>-3.2467999999999999</v>
      </c>
      <c r="AF1147">
        <v>3.3942582261608201</v>
      </c>
      <c r="AG1147">
        <v>-1.0596971632100001</v>
      </c>
      <c r="AH1147">
        <v>31.897942424444199</v>
      </c>
      <c r="AI1147">
        <v>91.892077264503897</v>
      </c>
      <c r="AJ1147">
        <v>83.926015962873095</v>
      </c>
      <c r="AK1147">
        <v>32.095524265802702</v>
      </c>
      <c r="AL1147">
        <v>97.129738054234295</v>
      </c>
      <c r="AM1147">
        <v>91.704778395124094</v>
      </c>
      <c r="AN1147">
        <v>0.99999994281589499</v>
      </c>
    </row>
    <row r="1148" spans="1:40" x14ac:dyDescent="0.25">
      <c r="A1148" t="str">
        <f>"20190305134926510"</f>
        <v>20190305134926510</v>
      </c>
      <c r="B1148" t="str">
        <f>"1551764966502071"</f>
        <v>1551764966502071</v>
      </c>
      <c r="C1148" t="s">
        <v>40</v>
      </c>
      <c r="D1148">
        <v>4.1201210000000001</v>
      </c>
      <c r="E1148">
        <v>0.55181880000000005</v>
      </c>
      <c r="F1148" t="s">
        <v>42</v>
      </c>
      <c r="G1148">
        <v>-252.0566</v>
      </c>
      <c r="H1148" s="1">
        <v>-4.2482430000000004E-6</v>
      </c>
      <c r="I1148">
        <v>364.77809999999999</v>
      </c>
      <c r="J1148">
        <v>-283.98649999999998</v>
      </c>
      <c r="K1148">
        <v>1.059706</v>
      </c>
      <c r="L1148">
        <v>367.98180000000002</v>
      </c>
      <c r="M1148">
        <v>0.99987550000000003</v>
      </c>
      <c r="N1148">
        <v>-1.5022239999999999E-2</v>
      </c>
      <c r="O1148">
        <v>4.826103E-3</v>
      </c>
      <c r="P1148">
        <v>0.98979760000000006</v>
      </c>
      <c r="Q1148">
        <v>-0.1383209</v>
      </c>
      <c r="R1148">
        <v>3.417663E-2</v>
      </c>
      <c r="S1148">
        <v>3.0276179999999999</v>
      </c>
      <c r="T1148">
        <v>-9.9746940000000006E-2</v>
      </c>
      <c r="U1148">
        <v>-0.30145260000000001</v>
      </c>
      <c r="V1148">
        <v>-2.9359360000000001E-2</v>
      </c>
      <c r="W1148">
        <v>-0.12344339999999999</v>
      </c>
      <c r="X1148">
        <v>0.99191719999999906</v>
      </c>
      <c r="Y1148">
        <v>0.10379720000000001</v>
      </c>
      <c r="Z1148">
        <v>-2.5733290000000001E-3</v>
      </c>
      <c r="AA1148">
        <v>0.99459520000000001</v>
      </c>
      <c r="AB1148">
        <v>39</v>
      </c>
      <c r="AC1148">
        <v>31.9298999999999</v>
      </c>
      <c r="AD1148">
        <v>-1.0597102482430001</v>
      </c>
      <c r="AE1148">
        <v>-3.20370000000002</v>
      </c>
      <c r="AF1148">
        <v>3.3541193664415898</v>
      </c>
      <c r="AG1148">
        <v>-1.0597102482430001</v>
      </c>
      <c r="AH1148">
        <v>31.879300304365</v>
      </c>
      <c r="AI1148">
        <v>91.893443199809695</v>
      </c>
      <c r="AJ1148">
        <v>83.993831877589102</v>
      </c>
      <c r="AK1148">
        <v>32.072774910045702</v>
      </c>
      <c r="AL1148">
        <v>97.090873056243595</v>
      </c>
      <c r="AM1148">
        <v>91.695379855440393</v>
      </c>
      <c r="AN1148">
        <v>0.99999998833950399</v>
      </c>
    </row>
    <row r="1149" spans="1:40" x14ac:dyDescent="0.25">
      <c r="A1149" t="str">
        <f>"20190305134926523"</f>
        <v>20190305134926523</v>
      </c>
      <c r="B1149" t="str">
        <f>"1551764966511831"</f>
        <v>1551764966511831</v>
      </c>
      <c r="C1149" t="s">
        <v>40</v>
      </c>
      <c r="D1149">
        <v>4.1794349999999998</v>
      </c>
      <c r="E1149">
        <v>0.55122539999999998</v>
      </c>
      <c r="F1149" t="s">
        <v>42</v>
      </c>
      <c r="G1149">
        <v>-252.47499999999999</v>
      </c>
      <c r="H1149" s="1">
        <v>-4.0498840000000004E-6</v>
      </c>
      <c r="I1149">
        <v>364.8843</v>
      </c>
      <c r="J1149">
        <v>-283.76819999999998</v>
      </c>
      <c r="K1149">
        <v>1.059712</v>
      </c>
      <c r="L1149">
        <v>367.983</v>
      </c>
      <c r="M1149">
        <v>0.99987519999999996</v>
      </c>
      <c r="N1149">
        <v>-1.5021690000000001E-2</v>
      </c>
      <c r="O1149">
        <v>4.9138879999999999E-3</v>
      </c>
      <c r="P1149">
        <v>0.98986680000000005</v>
      </c>
      <c r="Q1149">
        <v>-0.13782939999999999</v>
      </c>
      <c r="R1149">
        <v>3.4169599999999897E-2</v>
      </c>
      <c r="S1149">
        <v>3.0269780000000002</v>
      </c>
      <c r="T1149">
        <v>-0.101795</v>
      </c>
      <c r="U1149">
        <v>-0.29754639999999999</v>
      </c>
      <c r="V1149">
        <v>-2.9265139999999999E-2</v>
      </c>
      <c r="W1149">
        <v>-0.12295150000000001</v>
      </c>
      <c r="X1149">
        <v>0.99198109999999995</v>
      </c>
      <c r="Y1149">
        <v>0.10263220000000001</v>
      </c>
      <c r="Z1149">
        <v>-2.5853439999999998E-3</v>
      </c>
      <c r="AA1149">
        <v>0.99471600000000004</v>
      </c>
      <c r="AB1149">
        <v>39</v>
      </c>
      <c r="AC1149">
        <v>31.293199999999899</v>
      </c>
      <c r="AD1149">
        <v>-1.0597160498839999</v>
      </c>
      <c r="AE1149">
        <v>-3.0987</v>
      </c>
      <c r="AF1149">
        <v>3.24876176583146</v>
      </c>
      <c r="AG1149">
        <v>-1.0597160498839999</v>
      </c>
      <c r="AH1149">
        <v>31.242113867222599</v>
      </c>
      <c r="AI1149">
        <v>91.932286786759605</v>
      </c>
      <c r="AJ1149">
        <v>84.063342419271805</v>
      </c>
      <c r="AK1149">
        <v>31.428444600552702</v>
      </c>
      <c r="AL1149">
        <v>97.062472751725295</v>
      </c>
      <c r="AM1149">
        <v>91.689833408680002</v>
      </c>
      <c r="AN1149">
        <v>1.0000000112643299</v>
      </c>
    </row>
    <row r="1150" spans="1:40" x14ac:dyDescent="0.25">
      <c r="A1150" t="str">
        <f>"20190305134926537"</f>
        <v>20190305134926537</v>
      </c>
      <c r="B1150" t="str">
        <f>"1551764966531351"</f>
        <v>1551764966531351</v>
      </c>
      <c r="C1150" t="s">
        <v>40</v>
      </c>
      <c r="D1150">
        <v>4.2404590000000004</v>
      </c>
      <c r="E1150">
        <v>0.55059089999999999</v>
      </c>
      <c r="F1150" t="s">
        <v>42</v>
      </c>
      <c r="G1150">
        <v>-252.31469999999999</v>
      </c>
      <c r="H1150" s="1">
        <v>-4.1092530000000004E-6</v>
      </c>
      <c r="I1150">
        <v>364.93740000000003</v>
      </c>
      <c r="J1150">
        <v>-283.51929999999999</v>
      </c>
      <c r="K1150">
        <v>1.059717</v>
      </c>
      <c r="L1150">
        <v>367.98430000000002</v>
      </c>
      <c r="M1150">
        <v>0.99987470000000001</v>
      </c>
      <c r="N1150">
        <v>-1.502093E-2</v>
      </c>
      <c r="O1150">
        <v>5.0146670000000004E-3</v>
      </c>
      <c r="P1150">
        <v>0.9899618</v>
      </c>
      <c r="Q1150">
        <v>-0.13725229999999999</v>
      </c>
      <c r="R1150">
        <v>3.3729710000000003E-2</v>
      </c>
      <c r="S1150">
        <v>3.0266109999999999</v>
      </c>
      <c r="T1150">
        <v>-0.1019708</v>
      </c>
      <c r="U1150">
        <v>-0.2930603</v>
      </c>
      <c r="V1150">
        <v>-2.872371E-2</v>
      </c>
      <c r="W1150">
        <v>-0.1223738</v>
      </c>
      <c r="X1150">
        <v>0.99206839999999996</v>
      </c>
      <c r="Y1150">
        <v>0.1012844</v>
      </c>
      <c r="Z1150">
        <v>-2.5579489999999999E-3</v>
      </c>
      <c r="AA1150">
        <v>0.99485420000000002</v>
      </c>
      <c r="AB1150">
        <v>39</v>
      </c>
      <c r="AC1150">
        <v>31.204599999999999</v>
      </c>
      <c r="AD1150">
        <v>-1.0597211092529999</v>
      </c>
      <c r="AE1150">
        <v>-3.0468999999999902</v>
      </c>
      <c r="AF1150">
        <v>3.19970460091153</v>
      </c>
      <c r="AG1150">
        <v>-1.0597211092529999</v>
      </c>
      <c r="AH1150">
        <v>31.153336523709601</v>
      </c>
      <c r="AI1150">
        <v>91.938051389523693</v>
      </c>
      <c r="AJ1150">
        <v>84.135813606863707</v>
      </c>
      <c r="AK1150">
        <v>31.335147916070099</v>
      </c>
      <c r="AL1150">
        <v>97.0291208179693</v>
      </c>
      <c r="AM1150">
        <v>91.6584418082317</v>
      </c>
      <c r="AN1150">
        <v>1.00000005436058</v>
      </c>
    </row>
    <row r="1151" spans="1:40" x14ac:dyDescent="0.25">
      <c r="A1151" t="str">
        <f>"20190305134926548"</f>
        <v>20190305134926548</v>
      </c>
      <c r="B1151" t="str">
        <f>"1551764966541617"</f>
        <v>1551764966541617</v>
      </c>
      <c r="C1151" t="s">
        <v>40</v>
      </c>
      <c r="D1151">
        <v>4.2159319999999996</v>
      </c>
      <c r="E1151">
        <v>0.55059089999999999</v>
      </c>
      <c r="F1151" t="s">
        <v>42</v>
      </c>
      <c r="G1151">
        <v>-253.79580000000001</v>
      </c>
      <c r="H1151" s="1">
        <v>-3.4379620000000002E-6</v>
      </c>
      <c r="I1151">
        <v>365.13979999999998</v>
      </c>
      <c r="J1151">
        <v>-283.32650000000001</v>
      </c>
      <c r="K1151">
        <v>1.0597209999999999</v>
      </c>
      <c r="L1151">
        <v>367.9853</v>
      </c>
      <c r="M1151">
        <v>0.99987429999999999</v>
      </c>
      <c r="N1151">
        <v>-1.5020250000000001E-2</v>
      </c>
      <c r="O1151">
        <v>5.092722E-3</v>
      </c>
      <c r="P1151">
        <v>0.99003059999999998</v>
      </c>
      <c r="Q1151">
        <v>-0.13682859999999999</v>
      </c>
      <c r="R1151">
        <v>3.3429859999999999E-2</v>
      </c>
      <c r="S1151">
        <v>3.0253299999999999</v>
      </c>
      <c r="T1151">
        <v>-0.1078604</v>
      </c>
      <c r="U1151">
        <v>-0.28952030000000001</v>
      </c>
      <c r="V1151">
        <v>-2.8345809999999999E-2</v>
      </c>
      <c r="W1151">
        <v>-0.1219498</v>
      </c>
      <c r="X1151">
        <v>0.9921314</v>
      </c>
      <c r="Y1151">
        <v>0.10024139999999999</v>
      </c>
      <c r="Z1151">
        <v>-2.6420150000000002E-3</v>
      </c>
      <c r="AA1151">
        <v>0.9949597</v>
      </c>
      <c r="AB1151">
        <v>39</v>
      </c>
      <c r="AC1151">
        <v>29.5307</v>
      </c>
      <c r="AD1151">
        <v>-1.0597244379620001</v>
      </c>
      <c r="AE1151">
        <v>-2.8455000000000101</v>
      </c>
      <c r="AF1151">
        <v>2.9920540597348602</v>
      </c>
      <c r="AG1151">
        <v>-1.0597244379620001</v>
      </c>
      <c r="AH1151">
        <v>29.478212035692401</v>
      </c>
      <c r="AI1151">
        <v>92.048347718765598</v>
      </c>
      <c r="AJ1151">
        <v>84.204296925918499</v>
      </c>
      <c r="AK1151">
        <v>29.648615283045299</v>
      </c>
      <c r="AL1151">
        <v>97.004644628972599</v>
      </c>
      <c r="AM1151">
        <v>91.636530796712094</v>
      </c>
      <c r="AN1151">
        <v>0.99999997676527697</v>
      </c>
    </row>
    <row r="1152" spans="1:40" x14ac:dyDescent="0.25">
      <c r="A1152" t="str">
        <f>"20190305134926560"</f>
        <v>20190305134926560</v>
      </c>
      <c r="B1152" t="str">
        <f>"1551764966551378"</f>
        <v>1551764966551378</v>
      </c>
      <c r="C1152" t="s">
        <v>40</v>
      </c>
      <c r="D1152">
        <v>4.444248</v>
      </c>
      <c r="E1152">
        <v>0.58429370000000003</v>
      </c>
      <c r="F1152" t="s">
        <v>42</v>
      </c>
      <c r="G1152">
        <v>-253.23859999999999</v>
      </c>
      <c r="H1152" s="1">
        <v>-3.6847960000000002E-6</v>
      </c>
      <c r="I1152">
        <v>365.0958</v>
      </c>
      <c r="J1152">
        <v>-283.12959999999998</v>
      </c>
      <c r="K1152">
        <v>1.059725</v>
      </c>
      <c r="L1152">
        <v>367.9864</v>
      </c>
      <c r="M1152">
        <v>0.99987389999999998</v>
      </c>
      <c r="N1152">
        <v>-1.5019390000000001E-2</v>
      </c>
      <c r="O1152">
        <v>5.1726200000000002E-3</v>
      </c>
      <c r="P1152">
        <v>0.99011780000000005</v>
      </c>
      <c r="Q1152">
        <v>-0.13630149999999999</v>
      </c>
      <c r="R1152">
        <v>3.2996780000000003E-2</v>
      </c>
      <c r="S1152">
        <v>3.0252690000000002</v>
      </c>
      <c r="T1152">
        <v>-0.10655249999999999</v>
      </c>
      <c r="U1152">
        <v>-0.29052729999999999</v>
      </c>
      <c r="V1152">
        <v>-2.7832900000000001E-2</v>
      </c>
      <c r="W1152">
        <v>-0.1214223</v>
      </c>
      <c r="X1152">
        <v>0.99221060000000005</v>
      </c>
      <c r="Y1152">
        <v>0.10065250000000001</v>
      </c>
      <c r="Z1152">
        <v>-2.6301229999999998E-3</v>
      </c>
      <c r="AA1152">
        <v>0.99491819999999997</v>
      </c>
      <c r="AB1152">
        <v>39</v>
      </c>
      <c r="AC1152">
        <v>29.890999999999899</v>
      </c>
      <c r="AD1152">
        <v>-1.0597286847959999</v>
      </c>
      <c r="AE1152">
        <v>-2.8906000000000001</v>
      </c>
      <c r="AF1152">
        <v>3.0414061424085701</v>
      </c>
      <c r="AG1152">
        <v>-1.0597286847959999</v>
      </c>
      <c r="AH1152">
        <v>29.838489183298901</v>
      </c>
      <c r="AI1152">
        <v>92.023557054858301</v>
      </c>
      <c r="AJ1152">
        <v>84.180000946883297</v>
      </c>
      <c r="AK1152">
        <v>30.0118078920665</v>
      </c>
      <c r="AL1152">
        <v>96.974194938172701</v>
      </c>
      <c r="AM1152">
        <v>91.606805669201194</v>
      </c>
      <c r="AN1152">
        <v>0.99999996000602898</v>
      </c>
    </row>
    <row r="1153" spans="1:40" x14ac:dyDescent="0.25">
      <c r="A1153" t="str">
        <f>"20190305134926572"</f>
        <v>20190305134926572</v>
      </c>
      <c r="B1153" t="str">
        <f>"1551764966562114"</f>
        <v>1551764966562114</v>
      </c>
      <c r="C1153" t="s">
        <v>40</v>
      </c>
      <c r="D1153">
        <v>4.3900410000000001</v>
      </c>
      <c r="E1153">
        <v>0.58429370000000003</v>
      </c>
      <c r="F1153" t="s">
        <v>41</v>
      </c>
      <c r="G1153">
        <v>-282.27249999999998</v>
      </c>
      <c r="H1153">
        <v>0.88969419999999899</v>
      </c>
      <c r="I1153">
        <v>367.8184</v>
      </c>
      <c r="J1153">
        <v>-282.91309999999999</v>
      </c>
      <c r="K1153">
        <v>1.0597289999999999</v>
      </c>
      <c r="L1153">
        <v>367.98759999999999</v>
      </c>
      <c r="M1153">
        <v>0.99987329999999996</v>
      </c>
      <c r="N1153">
        <v>-1.5018399999999999E-2</v>
      </c>
      <c r="O1153">
        <v>5.260448E-3</v>
      </c>
      <c r="P1153">
        <v>0.99024579999999995</v>
      </c>
      <c r="Q1153">
        <v>-0.13549340000000001</v>
      </c>
      <c r="R1153">
        <v>3.2480750000000003E-2</v>
      </c>
      <c r="S1153">
        <v>2.9682309999999998</v>
      </c>
      <c r="T1153">
        <v>-0.58897129999999998</v>
      </c>
      <c r="U1153">
        <v>-0.58081050000000001</v>
      </c>
      <c r="V1153">
        <v>-2.7229529999999998E-2</v>
      </c>
      <c r="W1153">
        <v>-0.1206132</v>
      </c>
      <c r="X1153">
        <v>0.99232609999999999</v>
      </c>
      <c r="Y1153">
        <v>0.1931918</v>
      </c>
      <c r="Z1153">
        <v>-2.1234530000000001E-2</v>
      </c>
      <c r="AA1153">
        <v>0.9809312</v>
      </c>
      <c r="AB1153">
        <v>39</v>
      </c>
      <c r="AC1153">
        <v>0.64060000000000605</v>
      </c>
      <c r="AD1153">
        <v>-0.17003480000000001</v>
      </c>
      <c r="AE1153">
        <v>-0.169199999999989</v>
      </c>
      <c r="AF1153">
        <v>0.16190500585140899</v>
      </c>
      <c r="AG1153">
        <v>-0.17003480000000001</v>
      </c>
      <c r="AH1153">
        <v>0.60017419022401297</v>
      </c>
      <c r="AI1153">
        <v>105.29797798672</v>
      </c>
      <c r="AJ1153">
        <v>74.903062875686899</v>
      </c>
      <c r="AK1153">
        <v>0.64446421370145401</v>
      </c>
      <c r="AL1153">
        <v>96.927493124465101</v>
      </c>
      <c r="AM1153">
        <v>91.571807645400895</v>
      </c>
      <c r="AN1153">
        <v>1.00000004002973</v>
      </c>
    </row>
    <row r="1154" spans="1:40" x14ac:dyDescent="0.25">
      <c r="A1154" t="str">
        <f>"20190305134926584"</f>
        <v>20190305134926584</v>
      </c>
      <c r="B1154" t="str">
        <f>"1551764966571874"</f>
        <v>1551764966571874</v>
      </c>
      <c r="C1154" t="s">
        <v>40</v>
      </c>
      <c r="D1154">
        <v>4.3843589999999999</v>
      </c>
      <c r="E1154">
        <v>0.61778239999999995</v>
      </c>
      <c r="F1154" t="s">
        <v>41</v>
      </c>
      <c r="G1154">
        <v>-281.9323</v>
      </c>
      <c r="H1154">
        <v>0.86597590000000002</v>
      </c>
      <c r="I1154">
        <v>367.79469999999998</v>
      </c>
      <c r="J1154">
        <v>-282.68700000000001</v>
      </c>
      <c r="K1154">
        <v>1.059734</v>
      </c>
      <c r="L1154">
        <v>367.9889</v>
      </c>
      <c r="M1154">
        <v>0.99987300000000001</v>
      </c>
      <c r="N1154">
        <v>-1.501719E-2</v>
      </c>
      <c r="O1154">
        <v>5.3516140000000002E-3</v>
      </c>
      <c r="P1154">
        <v>0.99032339999999996</v>
      </c>
      <c r="Q1154">
        <v>-0.13503090000000001</v>
      </c>
      <c r="R1154">
        <v>3.2036349999999998E-2</v>
      </c>
      <c r="S1154">
        <v>2.9683839999999999</v>
      </c>
      <c r="T1154">
        <v>-0.58655190000000001</v>
      </c>
      <c r="U1154">
        <v>-0.58245849999999999</v>
      </c>
      <c r="V1154">
        <v>-2.6693979999999999E-2</v>
      </c>
      <c r="W1154">
        <v>-0.1201507</v>
      </c>
      <c r="X1154">
        <v>0.99239670000000002</v>
      </c>
      <c r="Y1154">
        <v>0.1938144</v>
      </c>
      <c r="Z1154">
        <v>-2.1233889999999998E-2</v>
      </c>
      <c r="AA1154">
        <v>0.98080840000000002</v>
      </c>
      <c r="AB1154">
        <v>39</v>
      </c>
      <c r="AC1154">
        <v>0.75470000000001303</v>
      </c>
      <c r="AD1154">
        <v>-0.19375809999999999</v>
      </c>
      <c r="AE1154">
        <v>-0.19420000000002299</v>
      </c>
      <c r="AF1154">
        <v>0.186695107380493</v>
      </c>
      <c r="AG1154">
        <v>-0.19375809999999999</v>
      </c>
      <c r="AH1154">
        <v>0.70977192593952199</v>
      </c>
      <c r="AI1154">
        <v>104.78900865391201</v>
      </c>
      <c r="AJ1154">
        <v>75.263003878839399</v>
      </c>
      <c r="AK1154">
        <v>0.75906090090803802</v>
      </c>
      <c r="AL1154">
        <v>96.900800086856805</v>
      </c>
      <c r="AM1154">
        <v>91.540798840478402</v>
      </c>
      <c r="AN1154">
        <v>0.99999998472481</v>
      </c>
    </row>
    <row r="1155" spans="1:40" x14ac:dyDescent="0.25">
      <c r="A1155" t="str">
        <f>"20190305134926597"</f>
        <v>20190305134926597</v>
      </c>
      <c r="B1155" t="str">
        <f>"1551764966591393"</f>
        <v>1551764966591393</v>
      </c>
      <c r="C1155" t="s">
        <v>40</v>
      </c>
      <c r="D1155">
        <v>4.3666460000000002</v>
      </c>
      <c r="E1155">
        <v>0.61428419999999995</v>
      </c>
      <c r="F1155" t="s">
        <v>41</v>
      </c>
      <c r="G1155">
        <v>-281.95370000000003</v>
      </c>
      <c r="H1155">
        <v>0.81298539999999997</v>
      </c>
      <c r="I1155">
        <v>367.77069999999998</v>
      </c>
      <c r="J1155">
        <v>-282.4753</v>
      </c>
      <c r="K1155">
        <v>1.059736</v>
      </c>
      <c r="L1155">
        <v>367.99009999999998</v>
      </c>
      <c r="M1155">
        <v>0.99987250000000005</v>
      </c>
      <c r="N1155">
        <v>-1.501596E-2</v>
      </c>
      <c r="O1155">
        <v>5.4373490000000002E-3</v>
      </c>
      <c r="P1155">
        <v>0.99046279999999998</v>
      </c>
      <c r="Q1155">
        <v>-0.1341494</v>
      </c>
      <c r="R1155">
        <v>3.1422980000000003E-2</v>
      </c>
      <c r="S1155">
        <v>2.9232480000000001</v>
      </c>
      <c r="T1155">
        <v>-0.98376509999999995</v>
      </c>
      <c r="U1155">
        <v>-0.86764529999999995</v>
      </c>
      <c r="V1155">
        <v>-2.5994980000000001E-2</v>
      </c>
      <c r="W1155">
        <v>-0.11926829999999999</v>
      </c>
      <c r="X1155">
        <v>0.99252169999999895</v>
      </c>
      <c r="Y1155">
        <v>0.27484380000000003</v>
      </c>
      <c r="Z1155">
        <v>-4.7956499999999999E-2</v>
      </c>
      <c r="AA1155">
        <v>0.96029219999999904</v>
      </c>
      <c r="AB1155">
        <v>39</v>
      </c>
      <c r="AC1155">
        <v>0.52159999999997797</v>
      </c>
      <c r="AD1155">
        <v>-0.24675059999999999</v>
      </c>
      <c r="AE1155">
        <v>-0.21940000000000701</v>
      </c>
      <c r="AF1155">
        <v>0.186727404681378</v>
      </c>
      <c r="AG1155">
        <v>-0.24675059999999999</v>
      </c>
      <c r="AH1155">
        <v>0.43725596868454703</v>
      </c>
      <c r="AI1155">
        <v>117.42818460287801</v>
      </c>
      <c r="AJ1155">
        <v>66.875400383639303</v>
      </c>
      <c r="AK1155">
        <v>0.53567318806308095</v>
      </c>
      <c r="AL1155">
        <v>96.849876016792294</v>
      </c>
      <c r="AM1155">
        <v>91.500281782874296</v>
      </c>
      <c r="AN1155">
        <v>0.99999999567049003</v>
      </c>
    </row>
    <row r="1156" spans="1:40" x14ac:dyDescent="0.25">
      <c r="A1156" t="str">
        <f>"20190305134926608"</f>
        <v>20190305134926608</v>
      </c>
      <c r="B1156" t="str">
        <f>"1551764966602130"</f>
        <v>1551764966602130</v>
      </c>
      <c r="C1156" t="s">
        <v>40</v>
      </c>
      <c r="D1156">
        <v>4.3395869999999999</v>
      </c>
      <c r="E1156">
        <v>0.61255919999999997</v>
      </c>
      <c r="F1156" t="s">
        <v>42</v>
      </c>
      <c r="G1156">
        <v>-279.28809999999999</v>
      </c>
      <c r="H1156" s="1">
        <v>-9.0502199999999999E-7</v>
      </c>
      <c r="I1156">
        <v>367.07310000000001</v>
      </c>
      <c r="J1156">
        <v>-282.26830000000001</v>
      </c>
      <c r="K1156">
        <v>1.0597430000000001</v>
      </c>
      <c r="L1156">
        <v>367.99119999999999</v>
      </c>
      <c r="M1156">
        <v>0.99987210000000004</v>
      </c>
      <c r="N1156">
        <v>-1.5014680000000001E-2</v>
      </c>
      <c r="O1156">
        <v>5.5212899999999999E-3</v>
      </c>
      <c r="P1156">
        <v>0.99049290000000001</v>
      </c>
      <c r="Q1156">
        <v>-0.13404160000000001</v>
      </c>
      <c r="R1156">
        <v>3.0934389999999999E-2</v>
      </c>
      <c r="S1156">
        <v>2.9238590000000002</v>
      </c>
      <c r="T1156">
        <v>-0.97216369999999996</v>
      </c>
      <c r="U1156">
        <v>-0.84118649999999995</v>
      </c>
      <c r="V1156">
        <v>-2.5422650000000001E-2</v>
      </c>
      <c r="W1156">
        <v>-0.11916119999999999</v>
      </c>
      <c r="X1156">
        <v>0.99254940000000003</v>
      </c>
      <c r="Y1156">
        <v>0.26753149999999998</v>
      </c>
      <c r="Z1156">
        <v>-4.628782E-2</v>
      </c>
      <c r="AA1156">
        <v>0.96243670000000003</v>
      </c>
      <c r="AB1156">
        <v>39</v>
      </c>
      <c r="AC1156">
        <v>2.9802000000000199</v>
      </c>
      <c r="AD1156">
        <v>-1.0597439050220001</v>
      </c>
      <c r="AE1156">
        <v>-0.91809999999998104</v>
      </c>
      <c r="AF1156">
        <v>0.83778840378608199</v>
      </c>
      <c r="AG1156">
        <v>-1.0597439050220001</v>
      </c>
      <c r="AH1156">
        <v>2.6670717274123801</v>
      </c>
      <c r="AI1156">
        <v>110.760763716291</v>
      </c>
      <c r="AJ1156">
        <v>72.561300020955699</v>
      </c>
      <c r="AK1156">
        <v>2.9896852932896101</v>
      </c>
      <c r="AL1156">
        <v>96.843695484369803</v>
      </c>
      <c r="AM1156">
        <v>91.467223835504996</v>
      </c>
      <c r="AN1156">
        <v>1.0000000070794099</v>
      </c>
    </row>
    <row r="1157" spans="1:40" x14ac:dyDescent="0.25">
      <c r="A1157" t="str">
        <f>"20190305134926619"</f>
        <v>20190305134926619</v>
      </c>
      <c r="B1157" t="str">
        <f>"1551764966611890"</f>
        <v>1551764966611890</v>
      </c>
      <c r="C1157" t="s">
        <v>40</v>
      </c>
      <c r="D1157">
        <v>4.3559510000000001</v>
      </c>
      <c r="E1157">
        <v>0.6108751</v>
      </c>
      <c r="F1157" t="s">
        <v>41</v>
      </c>
      <c r="G1157">
        <v>-281.596</v>
      </c>
      <c r="H1157">
        <v>0.83849359999999995</v>
      </c>
      <c r="I1157">
        <v>367.80079999999998</v>
      </c>
      <c r="J1157">
        <v>-282.0933</v>
      </c>
      <c r="K1157">
        <v>1.0597430000000001</v>
      </c>
      <c r="L1157">
        <v>367.9923</v>
      </c>
      <c r="M1157">
        <v>0.99987170000000003</v>
      </c>
      <c r="N1157">
        <v>-1.5013510000000001E-2</v>
      </c>
      <c r="O1157">
        <v>5.5920569999999897E-3</v>
      </c>
      <c r="P1157">
        <v>0.99053539999999995</v>
      </c>
      <c r="Q1157">
        <v>-0.1338414</v>
      </c>
      <c r="R1157">
        <v>3.043351E-2</v>
      </c>
      <c r="S1157">
        <v>2.9244379999999999</v>
      </c>
      <c r="T1157">
        <v>-0.96250069999999999</v>
      </c>
      <c r="U1157">
        <v>-0.82833860000000004</v>
      </c>
      <c r="V1157">
        <v>-2.4851519999999998E-2</v>
      </c>
      <c r="W1157">
        <v>-0.11896130000000001</v>
      </c>
      <c r="X1157">
        <v>0.99258780000000002</v>
      </c>
      <c r="Y1157">
        <v>0.26406790000000002</v>
      </c>
      <c r="Z1157">
        <v>-4.5331410000000003E-2</v>
      </c>
      <c r="AA1157">
        <v>0.96343820000000002</v>
      </c>
      <c r="AB1157">
        <v>39</v>
      </c>
      <c r="AC1157">
        <v>0.49729999999999502</v>
      </c>
      <c r="AD1157">
        <v>-0.22124940000000001</v>
      </c>
      <c r="AE1157">
        <v>-0.19150000000001899</v>
      </c>
      <c r="AF1157">
        <v>0.16571323973649399</v>
      </c>
      <c r="AG1157">
        <v>-0.22124940000000001</v>
      </c>
      <c r="AH1157">
        <v>0.42326110711078502</v>
      </c>
      <c r="AI1157">
        <v>115.954481555152</v>
      </c>
      <c r="AJ1157">
        <v>68.618892020098798</v>
      </c>
      <c r="AK1157">
        <v>0.50553154166379399</v>
      </c>
      <c r="AL1157">
        <v>96.832160295276793</v>
      </c>
      <c r="AM1157">
        <v>91.434220527472704</v>
      </c>
      <c r="AN1157">
        <v>0.99999996482641895</v>
      </c>
    </row>
    <row r="1158" spans="1:40" x14ac:dyDescent="0.25">
      <c r="A1158" t="str">
        <f>"20190305134926629"</f>
        <v>20190305134926629</v>
      </c>
      <c r="B1158" t="str">
        <f>"1551764966621650"</f>
        <v>1551764966621650</v>
      </c>
      <c r="C1158" t="s">
        <v>40</v>
      </c>
      <c r="D1158">
        <v>4.3308819999999999</v>
      </c>
      <c r="E1158">
        <v>0.60960479999999995</v>
      </c>
      <c r="F1158" t="s">
        <v>41</v>
      </c>
      <c r="G1158">
        <v>-281.26389999999998</v>
      </c>
      <c r="H1158">
        <v>0.78973950000000004</v>
      </c>
      <c r="I1158">
        <v>367.76060000000001</v>
      </c>
      <c r="J1158">
        <v>-281.91320000000002</v>
      </c>
      <c r="K1158">
        <v>1.0597430000000001</v>
      </c>
      <c r="L1158">
        <v>367.99329999999998</v>
      </c>
      <c r="M1158">
        <v>0.99987119999999996</v>
      </c>
      <c r="N1158">
        <v>-1.5012299999999999E-2</v>
      </c>
      <c r="O1158">
        <v>5.6650290000000002E-3</v>
      </c>
      <c r="P1158">
        <v>0.9905621</v>
      </c>
      <c r="Q1158">
        <v>-0.133760299999999</v>
      </c>
      <c r="R1158">
        <v>2.991605E-2</v>
      </c>
      <c r="S1158">
        <v>2.9250180000000001</v>
      </c>
      <c r="T1158">
        <v>-0.9523239</v>
      </c>
      <c r="U1158">
        <v>-0.81591800000000003</v>
      </c>
      <c r="V1158">
        <v>-2.426155E-2</v>
      </c>
      <c r="W1158">
        <v>-0.1188809</v>
      </c>
      <c r="X1158">
        <v>0.9926121</v>
      </c>
      <c r="Y1158">
        <v>0.26072600000000001</v>
      </c>
      <c r="Z1158">
        <v>-4.4381530000000002E-2</v>
      </c>
      <c r="AA1158">
        <v>0.96439209999999997</v>
      </c>
      <c r="AB1158">
        <v>39</v>
      </c>
      <c r="AC1158">
        <v>0.64930000000003896</v>
      </c>
      <c r="AD1158">
        <v>-0.27000350000000001</v>
      </c>
      <c r="AE1158">
        <v>-0.23269999999996499</v>
      </c>
      <c r="AF1158">
        <v>0.20496617133787401</v>
      </c>
      <c r="AG1158">
        <v>-0.27000350000000001</v>
      </c>
      <c r="AH1158">
        <v>0.56187067521667899</v>
      </c>
      <c r="AI1158">
        <v>114.296515515576</v>
      </c>
      <c r="AJ1158">
        <v>69.958413066479196</v>
      </c>
      <c r="AK1158">
        <v>0.65621008608036702</v>
      </c>
      <c r="AL1158">
        <v>96.827520302016296</v>
      </c>
      <c r="AM1158">
        <v>91.400151880443801</v>
      </c>
      <c r="AN1158">
        <v>1.00000003612981</v>
      </c>
    </row>
    <row r="1159" spans="1:40" x14ac:dyDescent="0.25">
      <c r="A1159" t="str">
        <f>"20190305134926639"</f>
        <v>20190305134926639</v>
      </c>
      <c r="B1159" t="str">
        <f>"1551764966631410"</f>
        <v>1551764966631410</v>
      </c>
      <c r="C1159" t="s">
        <v>40</v>
      </c>
      <c r="D1159">
        <v>4.3909459999999996</v>
      </c>
      <c r="E1159">
        <v>0.60861560000000003</v>
      </c>
      <c r="F1159" t="s">
        <v>41</v>
      </c>
      <c r="G1159">
        <v>-281.24560000000002</v>
      </c>
      <c r="H1159">
        <v>0.84436919999999904</v>
      </c>
      <c r="I1159">
        <v>367.80869999999999</v>
      </c>
      <c r="J1159">
        <v>-281.7396</v>
      </c>
      <c r="K1159">
        <v>1.059741</v>
      </c>
      <c r="L1159">
        <v>367.99439999999998</v>
      </c>
      <c r="M1159">
        <v>0.99987099999999995</v>
      </c>
      <c r="N1159">
        <v>-1.501104E-2</v>
      </c>
      <c r="O1159">
        <v>5.7351370000000004E-3</v>
      </c>
      <c r="P1159">
        <v>0.99055249999999995</v>
      </c>
      <c r="Q1159">
        <v>-0.13396559999999999</v>
      </c>
      <c r="R1159">
        <v>2.9318029999999998E-2</v>
      </c>
      <c r="S1159">
        <v>2.9255070000000001</v>
      </c>
      <c r="T1159">
        <v>-0.94381329999999997</v>
      </c>
      <c r="U1159">
        <v>-0.80709839999999999</v>
      </c>
      <c r="V1159">
        <v>-2.3593579999999999E-2</v>
      </c>
      <c r="W1159">
        <v>-0.1190874</v>
      </c>
      <c r="X1159">
        <v>0.99260340000000002</v>
      </c>
      <c r="Y1159">
        <v>0.25838509999999998</v>
      </c>
      <c r="Z1159">
        <v>-4.3667579999999998E-2</v>
      </c>
      <c r="AA1159">
        <v>0.96505459999999998</v>
      </c>
      <c r="AB1159">
        <v>39</v>
      </c>
      <c r="AC1159">
        <v>0.49399999999997102</v>
      </c>
      <c r="AD1159">
        <v>-0.2153718</v>
      </c>
      <c r="AE1159">
        <v>-0.18569999999999701</v>
      </c>
      <c r="AF1159">
        <v>0.16161494686762201</v>
      </c>
      <c r="AG1159">
        <v>-0.2153718</v>
      </c>
      <c r="AH1159">
        <v>0.422554237886413</v>
      </c>
      <c r="AI1159">
        <v>115.457173323329</v>
      </c>
      <c r="AJ1159">
        <v>69.069572735572507</v>
      </c>
      <c r="AK1159">
        <v>0.50105537342895801</v>
      </c>
      <c r="AL1159">
        <v>96.839436863442401</v>
      </c>
      <c r="AM1159">
        <v>91.361629488376394</v>
      </c>
      <c r="AN1159">
        <v>0.99999998777376797</v>
      </c>
    </row>
    <row r="1160" spans="1:40" x14ac:dyDescent="0.25">
      <c r="A1160" t="str">
        <f>"20190305134926651"</f>
        <v>20190305134926651</v>
      </c>
      <c r="B1160" t="str">
        <f>"1551764966641675"</f>
        <v>1551764966641675</v>
      </c>
      <c r="C1160" t="s">
        <v>40</v>
      </c>
      <c r="D1160">
        <v>4.362177</v>
      </c>
      <c r="E1160">
        <v>0.60766709999999902</v>
      </c>
      <c r="F1160" t="s">
        <v>41</v>
      </c>
      <c r="G1160">
        <v>-280.91609999999997</v>
      </c>
      <c r="H1160">
        <v>0.7951878</v>
      </c>
      <c r="I1160">
        <v>367.7688</v>
      </c>
      <c r="J1160">
        <v>-281.54660000000001</v>
      </c>
      <c r="K1160">
        <v>1.0597399999999999</v>
      </c>
      <c r="L1160">
        <v>367.99549999999999</v>
      </c>
      <c r="M1160">
        <v>0.9998705</v>
      </c>
      <c r="N1160">
        <v>-1.500963E-2</v>
      </c>
      <c r="O1160">
        <v>5.8135319999999997E-3</v>
      </c>
      <c r="P1160">
        <v>0.99048320000000001</v>
      </c>
      <c r="Q1160">
        <v>-0.13452320000000001</v>
      </c>
      <c r="R1160">
        <v>2.90937E-2</v>
      </c>
      <c r="S1160">
        <v>2.9252319999999998</v>
      </c>
      <c r="T1160">
        <v>-0.93984889999999999</v>
      </c>
      <c r="U1160">
        <v>-0.80075069999999904</v>
      </c>
      <c r="V1160">
        <v>-2.3291920000000001E-2</v>
      </c>
      <c r="W1160">
        <v>-0.1196473</v>
      </c>
      <c r="X1160">
        <v>0.99254319999999896</v>
      </c>
      <c r="Y1160">
        <v>0.25670989999999999</v>
      </c>
      <c r="Z1160">
        <v>-4.3265619999999998E-2</v>
      </c>
      <c r="AA1160">
        <v>0.96551960000000003</v>
      </c>
      <c r="AB1160">
        <v>39</v>
      </c>
      <c r="AC1160">
        <v>0.63050000000004003</v>
      </c>
      <c r="AD1160">
        <v>-0.26455219999999902</v>
      </c>
      <c r="AE1160">
        <v>-0.22669999999999299</v>
      </c>
      <c r="AF1160">
        <v>0.19929204982214299</v>
      </c>
      <c r="AG1160">
        <v>-0.26455219999999902</v>
      </c>
      <c r="AH1160">
        <v>0.54431210198915703</v>
      </c>
      <c r="AI1160">
        <v>114.531987768779</v>
      </c>
      <c r="AJ1160">
        <v>69.890521914003102</v>
      </c>
      <c r="AK1160">
        <v>0.63716626716972902</v>
      </c>
      <c r="AL1160">
        <v>96.871747726237103</v>
      </c>
      <c r="AM1160">
        <v>91.344308056879399</v>
      </c>
      <c r="AN1160">
        <v>0.99999999690040797</v>
      </c>
    </row>
    <row r="1161" spans="1:40" x14ac:dyDescent="0.25">
      <c r="A1161" t="str">
        <f>"20190305134926663"</f>
        <v>20190305134926663</v>
      </c>
      <c r="B1161" t="str">
        <f>"1551764966651436"</f>
        <v>1551764966651436</v>
      </c>
      <c r="C1161" t="s">
        <v>40</v>
      </c>
      <c r="D1161">
        <v>4.3709870000000004</v>
      </c>
      <c r="E1161">
        <v>0.60693599999999903</v>
      </c>
      <c r="F1161" t="s">
        <v>42</v>
      </c>
      <c r="G1161">
        <v>-278.24599999999998</v>
      </c>
      <c r="H1161" s="1">
        <v>-1.2525760000000001E-6</v>
      </c>
      <c r="I1161">
        <v>367.09969999999998</v>
      </c>
      <c r="J1161">
        <v>-281.3338</v>
      </c>
      <c r="K1161">
        <v>1.0597379999999901</v>
      </c>
      <c r="L1161">
        <v>367.99689999999998</v>
      </c>
      <c r="M1161">
        <v>0.99987000000000004</v>
      </c>
      <c r="N1161">
        <v>-1.5008000000000001E-2</v>
      </c>
      <c r="O1161">
        <v>5.8997340000000002E-3</v>
      </c>
      <c r="P1161">
        <v>0.99040240000000002</v>
      </c>
      <c r="Q1161">
        <v>-0.13518849999999999</v>
      </c>
      <c r="R1161">
        <v>2.8763520000000001E-2</v>
      </c>
      <c r="S1161">
        <v>2.9245610000000002</v>
      </c>
      <c r="T1161">
        <v>-0.9389615</v>
      </c>
      <c r="U1161">
        <v>-0.7937012</v>
      </c>
      <c r="V1161">
        <v>-2.287641E-2</v>
      </c>
      <c r="W1161">
        <v>-0.1203152</v>
      </c>
      <c r="X1161">
        <v>0.99247209999999997</v>
      </c>
      <c r="Y1161">
        <v>0.25478260000000003</v>
      </c>
      <c r="Z1161">
        <v>-4.2961720000000002E-2</v>
      </c>
      <c r="AA1161">
        <v>0.96604350000000005</v>
      </c>
      <c r="AB1161">
        <v>39</v>
      </c>
      <c r="AC1161">
        <v>3.0878000000000099</v>
      </c>
      <c r="AD1161">
        <v>-1.0597392525760001</v>
      </c>
      <c r="AE1161">
        <v>-0.897199999999997</v>
      </c>
      <c r="AF1161">
        <v>0.82571644222940699</v>
      </c>
      <c r="AG1161">
        <v>-1.0597392525760001</v>
      </c>
      <c r="AH1161">
        <v>2.7804473892271102</v>
      </c>
      <c r="AI1161">
        <v>110.07072565068999</v>
      </c>
      <c r="AJ1161">
        <v>73.460027846025298</v>
      </c>
      <c r="AK1161">
        <v>3.0879997750450299</v>
      </c>
      <c r="AL1161">
        <v>96.910294193977094</v>
      </c>
      <c r="AM1161">
        <v>91.320429752057294</v>
      </c>
      <c r="AN1161">
        <v>0.999999973381968</v>
      </c>
    </row>
    <row r="1162" spans="1:40" x14ac:dyDescent="0.25">
      <c r="A1162" t="str">
        <f>"20190305134926674"</f>
        <v>20190305134926674</v>
      </c>
      <c r="B1162" t="str">
        <f>"1551764966671931"</f>
        <v>1551764966671931</v>
      </c>
      <c r="C1162" t="s">
        <v>40</v>
      </c>
      <c r="D1162">
        <v>4.5608789999999999</v>
      </c>
      <c r="E1162">
        <v>0.60644379999999998</v>
      </c>
      <c r="F1162" t="s">
        <v>41</v>
      </c>
      <c r="G1162">
        <v>-280.56279999999998</v>
      </c>
      <c r="H1162">
        <v>0.81233619999999995</v>
      </c>
      <c r="I1162">
        <v>367.7885</v>
      </c>
      <c r="J1162">
        <v>-281.1429</v>
      </c>
      <c r="K1162">
        <v>1.0597810000000001</v>
      </c>
      <c r="L1162">
        <v>367.99799999999999</v>
      </c>
      <c r="M1162">
        <v>0.99986679999999994</v>
      </c>
      <c r="N1162">
        <v>-1.519481E-2</v>
      </c>
      <c r="O1162">
        <v>5.9722880000000001E-3</v>
      </c>
      <c r="P1162">
        <v>0.99023349999999999</v>
      </c>
      <c r="Q1162">
        <v>-0.1364688</v>
      </c>
      <c r="R1162">
        <v>2.8532970000000001E-2</v>
      </c>
      <c r="S1162">
        <v>2.923889</v>
      </c>
      <c r="T1162">
        <v>-0.93822810000000001</v>
      </c>
      <c r="U1162">
        <v>-0.78872679999999995</v>
      </c>
      <c r="V1162">
        <v>-2.2574750000000001E-2</v>
      </c>
      <c r="W1162">
        <v>-0.1214124</v>
      </c>
      <c r="X1162">
        <v>0.99234540000000004</v>
      </c>
      <c r="Y1162">
        <v>0.2534402</v>
      </c>
      <c r="Z1162">
        <v>-4.2775479999999998E-2</v>
      </c>
      <c r="AA1162">
        <v>0.96640490000000001</v>
      </c>
      <c r="AB1162">
        <v>39</v>
      </c>
      <c r="AC1162">
        <v>0.58010000000001505</v>
      </c>
      <c r="AD1162">
        <v>-0.24744479999999899</v>
      </c>
      <c r="AE1162">
        <v>-0.20950000000004801</v>
      </c>
      <c r="AF1162">
        <v>0.183435945833024</v>
      </c>
      <c r="AG1162">
        <v>-0.24744479999999899</v>
      </c>
      <c r="AH1162">
        <v>0.49858734845361602</v>
      </c>
      <c r="AI1162">
        <v>114.974641156391</v>
      </c>
      <c r="AJ1162">
        <v>69.800858278845695</v>
      </c>
      <c r="AK1162">
        <v>0.58606059354703499</v>
      </c>
      <c r="AL1162">
        <v>96.973623260927795</v>
      </c>
      <c r="AM1162">
        <v>91.303190244782101</v>
      </c>
      <c r="AN1162">
        <v>0.99999999155624097</v>
      </c>
    </row>
    <row r="1163" spans="1:40" x14ac:dyDescent="0.25">
      <c r="A1163" t="str">
        <f>"20190305134926684"</f>
        <v>20190305134926684</v>
      </c>
      <c r="B1163" t="str">
        <f>"1551764966681691"</f>
        <v>1551764966681691</v>
      </c>
      <c r="C1163" t="s">
        <v>40</v>
      </c>
      <c r="D1163">
        <v>4.1856530000000003</v>
      </c>
      <c r="E1163">
        <v>0.60644379999999998</v>
      </c>
      <c r="F1163" t="s">
        <v>42</v>
      </c>
      <c r="G1163">
        <v>-277.81950000000001</v>
      </c>
      <c r="H1163" s="1">
        <v>-1.396107E-6</v>
      </c>
      <c r="I1163">
        <v>367.10559999999998</v>
      </c>
      <c r="J1163">
        <v>-280.9511</v>
      </c>
      <c r="K1163">
        <v>1.0599080000000001</v>
      </c>
      <c r="L1163">
        <v>367.99930000000001</v>
      </c>
      <c r="M1163">
        <v>0.99985880000000005</v>
      </c>
      <c r="N1163">
        <v>-1.5688190000000001E-2</v>
      </c>
      <c r="O1163">
        <v>6.0371820000000003E-3</v>
      </c>
      <c r="P1163">
        <v>0.99002500000000004</v>
      </c>
      <c r="Q1163">
        <v>-0.13801820000000001</v>
      </c>
      <c r="R1163">
        <v>2.8312839999999999E-2</v>
      </c>
      <c r="S1163">
        <v>2.923737</v>
      </c>
      <c r="T1163">
        <v>-0.93231459999999999</v>
      </c>
      <c r="U1163">
        <v>-0.78503420000000002</v>
      </c>
      <c r="V1163">
        <v>-2.2292639999999999E-2</v>
      </c>
      <c r="W1163">
        <v>-0.12247470000000001</v>
      </c>
      <c r="X1163">
        <v>0.99222120000000003</v>
      </c>
      <c r="Y1163">
        <v>0.2525464</v>
      </c>
      <c r="Z1163">
        <v>-4.247397E-2</v>
      </c>
      <c r="AA1163">
        <v>0.96665210000000001</v>
      </c>
      <c r="AB1163">
        <v>39</v>
      </c>
      <c r="AC1163">
        <v>3.1315999999999899</v>
      </c>
      <c r="AD1163">
        <v>-1.0599093961069901</v>
      </c>
      <c r="AE1163">
        <v>-0.89370000000002303</v>
      </c>
      <c r="AF1163">
        <v>0.82518386472166605</v>
      </c>
      <c r="AG1163">
        <v>-1.0599093961069901</v>
      </c>
      <c r="AH1163">
        <v>2.82672400010697</v>
      </c>
      <c r="AI1163">
        <v>109.79569001185401</v>
      </c>
      <c r="AJ1163">
        <v>73.726296070721304</v>
      </c>
      <c r="AK1163">
        <v>3.1296493272144201</v>
      </c>
      <c r="AL1163">
        <v>97.034946432180604</v>
      </c>
      <c r="AM1163">
        <v>91.287071204694101</v>
      </c>
      <c r="AN1163">
        <v>0.99999996183384898</v>
      </c>
    </row>
    <row r="1164" spans="1:40" x14ac:dyDescent="0.25">
      <c r="A1164" t="str">
        <f>"20190305134926706"</f>
        <v>20190305134926706</v>
      </c>
      <c r="B1164" t="str">
        <f>"1551764966702186"</f>
        <v>1551764966702186</v>
      </c>
      <c r="C1164" t="s">
        <v>40</v>
      </c>
      <c r="D1164">
        <v>4.1817149999999996</v>
      </c>
      <c r="E1164">
        <v>0.56155790000000005</v>
      </c>
      <c r="F1164" t="s">
        <v>41</v>
      </c>
      <c r="G1164">
        <v>-280.21480000000003</v>
      </c>
      <c r="H1164">
        <v>0.82383439999999997</v>
      </c>
      <c r="I1164">
        <v>367.80130000000003</v>
      </c>
      <c r="J1164">
        <v>-280.61110000000002</v>
      </c>
      <c r="K1164">
        <v>1.060406</v>
      </c>
      <c r="L1164">
        <v>368.00139999999999</v>
      </c>
      <c r="M1164">
        <v>0.99984059999999997</v>
      </c>
      <c r="N1164">
        <v>-1.6763879999999998E-2</v>
      </c>
      <c r="O1164">
        <v>6.1489079999999998E-3</v>
      </c>
      <c r="P1164">
        <v>0.9895737</v>
      </c>
      <c r="Q1164">
        <v>-0.14127679999999901</v>
      </c>
      <c r="R1164">
        <v>2.8017029999999998E-2</v>
      </c>
      <c r="S1164">
        <v>2.9220890000000002</v>
      </c>
      <c r="T1164">
        <v>-0.93686930000000002</v>
      </c>
      <c r="U1164">
        <v>-0.7857056</v>
      </c>
      <c r="V1164">
        <v>-2.189106E-2</v>
      </c>
      <c r="W1164">
        <v>-0.1246723</v>
      </c>
      <c r="X1164">
        <v>0.99195650000000002</v>
      </c>
      <c r="Y1164">
        <v>0.25280780000000003</v>
      </c>
      <c r="Z1164">
        <v>-4.2894040000000001E-2</v>
      </c>
      <c r="AA1164">
        <v>0.96656520000000001</v>
      </c>
      <c r="AB1164">
        <v>39</v>
      </c>
      <c r="AC1164">
        <v>0.39629999999999599</v>
      </c>
      <c r="AD1164">
        <v>-0.23657159999999899</v>
      </c>
      <c r="AE1164">
        <v>-0.200099999999963</v>
      </c>
      <c r="AF1164">
        <v>0.15774156130341699</v>
      </c>
      <c r="AG1164">
        <v>-0.23657159999999899</v>
      </c>
      <c r="AH1164">
        <v>0.30769095709021099</v>
      </c>
      <c r="AI1164">
        <v>124.379541760636</v>
      </c>
      <c r="AJ1164">
        <v>62.857495033183</v>
      </c>
      <c r="AK1164">
        <v>0.41895375301349203</v>
      </c>
      <c r="AL1164">
        <v>97.161831564473303</v>
      </c>
      <c r="AM1164">
        <v>91.264230627444306</v>
      </c>
      <c r="AN1164">
        <v>1.00000004939373</v>
      </c>
    </row>
    <row r="1165" spans="1:40" x14ac:dyDescent="0.25">
      <c r="A1165" t="str">
        <f>"20190305134926718"</f>
        <v>20190305134926718</v>
      </c>
      <c r="B1165" t="str">
        <f>"1551764966711946"</f>
        <v>1551764966711946</v>
      </c>
      <c r="C1165" t="s">
        <v>40</v>
      </c>
      <c r="D1165">
        <v>4.1042680000000002</v>
      </c>
      <c r="E1165">
        <v>0.56348580000000004</v>
      </c>
      <c r="F1165" t="s">
        <v>41</v>
      </c>
      <c r="G1165">
        <v>-279.85300000000001</v>
      </c>
      <c r="H1165">
        <v>0.88528949999999995</v>
      </c>
      <c r="I1165">
        <v>367.8938</v>
      </c>
      <c r="J1165">
        <v>-280.38659999999999</v>
      </c>
      <c r="K1165">
        <v>1.0608519999999999</v>
      </c>
      <c r="L1165">
        <v>368.00290000000001</v>
      </c>
      <c r="M1165">
        <v>0.99983379999999999</v>
      </c>
      <c r="N1165">
        <v>-1.7137119999999999E-2</v>
      </c>
      <c r="O1165">
        <v>6.2252749999999997E-3</v>
      </c>
      <c r="P1165">
        <v>0.9893864</v>
      </c>
      <c r="Q1165">
        <v>-0.14262569999999999</v>
      </c>
      <c r="R1165">
        <v>2.7798900000000001E-2</v>
      </c>
      <c r="S1165">
        <v>2.9462280000000001</v>
      </c>
      <c r="T1165">
        <v>-0.68068960000000001</v>
      </c>
      <c r="U1165">
        <v>-0.41744999999999999</v>
      </c>
      <c r="V1165">
        <v>-2.1598889999999999E-2</v>
      </c>
      <c r="W1165">
        <v>-0.12565370000000001</v>
      </c>
      <c r="X1165">
        <v>0.99183900000000003</v>
      </c>
      <c r="Y1165">
        <v>0.14235030000000001</v>
      </c>
      <c r="Z1165">
        <v>-1.870347E-2</v>
      </c>
      <c r="AA1165">
        <v>0.98963959999999995</v>
      </c>
      <c r="AB1165">
        <v>38</v>
      </c>
      <c r="AC1165">
        <v>0.53359999999997798</v>
      </c>
      <c r="AD1165">
        <v>-0.17556250000000001</v>
      </c>
      <c r="AE1165">
        <v>-0.10910000000001201</v>
      </c>
      <c r="AF1165">
        <v>0.10183842879082999</v>
      </c>
      <c r="AG1165">
        <v>-0.17556250000000001</v>
      </c>
      <c r="AH1165">
        <v>0.48274923475158998</v>
      </c>
      <c r="AI1165">
        <v>109.587623947732</v>
      </c>
      <c r="AJ1165">
        <v>78.087817339151997</v>
      </c>
      <c r="AK1165">
        <v>0.52367936816155103</v>
      </c>
      <c r="AL1165">
        <v>97.218507810151806</v>
      </c>
      <c r="AM1165">
        <v>91.247510608861106</v>
      </c>
      <c r="AN1165">
        <v>0.99999998314696104</v>
      </c>
    </row>
    <row r="1166" spans="1:40" x14ac:dyDescent="0.25">
      <c r="A1166" t="str">
        <f>"20190305134926730"</f>
        <v>20190305134926730</v>
      </c>
      <c r="B1166" t="str">
        <f>"1551764966721707"</f>
        <v>1551764966721707</v>
      </c>
      <c r="C1166" t="s">
        <v>40</v>
      </c>
      <c r="D1166">
        <v>4.1669229999999997</v>
      </c>
      <c r="E1166">
        <v>0.56406040000000002</v>
      </c>
      <c r="F1166" t="s">
        <v>41</v>
      </c>
      <c r="G1166">
        <v>-279.52280000000002</v>
      </c>
      <c r="H1166">
        <v>0.86601939999999999</v>
      </c>
      <c r="I1166">
        <v>367.87619999999998</v>
      </c>
      <c r="J1166">
        <v>-280.18619999999999</v>
      </c>
      <c r="K1166">
        <v>1.061275</v>
      </c>
      <c r="L1166">
        <v>368.00420000000003</v>
      </c>
      <c r="M1166">
        <v>0.99983140000000004</v>
      </c>
      <c r="N1166">
        <v>-1.7251809999999999E-2</v>
      </c>
      <c r="O1166">
        <v>6.2952700000000004E-3</v>
      </c>
      <c r="P1166">
        <v>0.98928430000000001</v>
      </c>
      <c r="Q1166">
        <v>-0.14329310000000001</v>
      </c>
      <c r="R1166">
        <v>2.800041E-2</v>
      </c>
      <c r="S1166">
        <v>2.9484859999999999</v>
      </c>
      <c r="T1166">
        <v>-0.66499809999999904</v>
      </c>
      <c r="U1166">
        <v>-0.43249510000000002</v>
      </c>
      <c r="V1166">
        <v>-2.1730240000000001E-2</v>
      </c>
      <c r="W1166">
        <v>-0.12620919999999999</v>
      </c>
      <c r="X1166">
        <v>0.99176560000000002</v>
      </c>
      <c r="Y1166">
        <v>0.14731229999999901</v>
      </c>
      <c r="Z1166">
        <v>-1.890472E-2</v>
      </c>
      <c r="AA1166">
        <v>0.98890940000000005</v>
      </c>
      <c r="AB1166">
        <v>38</v>
      </c>
      <c r="AC1166">
        <v>0.66339999999996702</v>
      </c>
      <c r="AD1166">
        <v>-0.1952556</v>
      </c>
      <c r="AE1166">
        <v>-0.128000000000042</v>
      </c>
      <c r="AF1166">
        <v>0.121986275187456</v>
      </c>
      <c r="AG1166">
        <v>-0.1952556</v>
      </c>
      <c r="AH1166">
        <v>0.61150874092445395</v>
      </c>
      <c r="AI1166">
        <v>107.38699834113299</v>
      </c>
      <c r="AJ1166">
        <v>78.718491962822995</v>
      </c>
      <c r="AK1166">
        <v>0.65341284108324704</v>
      </c>
      <c r="AL1166">
        <v>97.250591016365206</v>
      </c>
      <c r="AM1166">
        <v>91.2551875735804</v>
      </c>
      <c r="AN1166">
        <v>0.99999998541922797</v>
      </c>
    </row>
    <row r="1167" spans="1:40" x14ac:dyDescent="0.25">
      <c r="A1167" t="str">
        <f>"20190305134926740"</f>
        <v>20190305134926740</v>
      </c>
      <c r="B1167" t="str">
        <f>"1551764966731467"</f>
        <v>1551764966731467</v>
      </c>
      <c r="C1167" t="s">
        <v>40</v>
      </c>
      <c r="D1167">
        <v>4.1470859999999998</v>
      </c>
      <c r="E1167">
        <v>0.56379199999999996</v>
      </c>
      <c r="F1167" t="s">
        <v>41</v>
      </c>
      <c r="G1167">
        <v>-279.19369999999998</v>
      </c>
      <c r="H1167">
        <v>0.83624030000000005</v>
      </c>
      <c r="I1167">
        <v>367.8569</v>
      </c>
      <c r="J1167">
        <v>-279.99009999999998</v>
      </c>
      <c r="K1167">
        <v>1.0616449999999999</v>
      </c>
      <c r="L1167">
        <v>368.00549999999998</v>
      </c>
      <c r="M1167">
        <v>0.99984459999999997</v>
      </c>
      <c r="N1167">
        <v>-1.6443940000000001E-2</v>
      </c>
      <c r="O1167">
        <v>6.3687619999999896E-3</v>
      </c>
      <c r="P1167">
        <v>0.98930119999999999</v>
      </c>
      <c r="Q1167">
        <v>-0.14310110000000001</v>
      </c>
      <c r="R1167">
        <v>2.8377719999999999E-2</v>
      </c>
      <c r="S1167">
        <v>2.948029</v>
      </c>
      <c r="T1167">
        <v>-0.66847789999999996</v>
      </c>
      <c r="U1167">
        <v>-0.4368591</v>
      </c>
      <c r="V1167">
        <v>-2.2033540000000001E-2</v>
      </c>
      <c r="W1167">
        <v>-0.1268185</v>
      </c>
      <c r="X1167">
        <v>0.99168120000000004</v>
      </c>
      <c r="Y1167">
        <v>0.14877070000000001</v>
      </c>
      <c r="Z1167">
        <v>-1.9130479999999998E-2</v>
      </c>
      <c r="AA1167">
        <v>0.98868659999999997</v>
      </c>
      <c r="AB1167">
        <v>38</v>
      </c>
      <c r="AC1167">
        <v>0.79640000000000499</v>
      </c>
      <c r="AD1167">
        <v>-0.22540470000000001</v>
      </c>
      <c r="AE1167">
        <v>-0.14859999999998699</v>
      </c>
      <c r="AF1167">
        <v>0.14262877420162001</v>
      </c>
      <c r="AG1167">
        <v>-0.22540470000000001</v>
      </c>
      <c r="AH1167">
        <v>0.73828614590139696</v>
      </c>
      <c r="AI1167">
        <v>106.686909943711</v>
      </c>
      <c r="AJ1167">
        <v>79.065785635977903</v>
      </c>
      <c r="AK1167">
        <v>0.78499470013643102</v>
      </c>
      <c r="AL1167">
        <v>97.285783970031403</v>
      </c>
      <c r="AM1167">
        <v>91.272809423088702</v>
      </c>
      <c r="AN1167">
        <v>1.00000000563031</v>
      </c>
    </row>
    <row r="1168" spans="1:40" x14ac:dyDescent="0.25">
      <c r="A1168" t="str">
        <f>"20190305134926752"</f>
        <v>20190305134926752</v>
      </c>
      <c r="B1168" t="str">
        <f>"1551764966741733"</f>
        <v>1551764966741733</v>
      </c>
      <c r="C1168" t="s">
        <v>40</v>
      </c>
      <c r="D1168">
        <v>4.1551109999999998</v>
      </c>
      <c r="E1168">
        <v>0.56414969999999998</v>
      </c>
      <c r="F1168" t="s">
        <v>41</v>
      </c>
      <c r="G1168">
        <v>-279.17700000000002</v>
      </c>
      <c r="H1168">
        <v>0.87804040000000005</v>
      </c>
      <c r="I1168">
        <v>367.88589999999999</v>
      </c>
      <c r="J1168">
        <v>-279.8134</v>
      </c>
      <c r="K1168">
        <v>1.0619959999999999</v>
      </c>
      <c r="L1168">
        <v>368.00670000000002</v>
      </c>
      <c r="M1168">
        <v>0.99985710000000005</v>
      </c>
      <c r="N1168">
        <v>-1.5643500000000001E-2</v>
      </c>
      <c r="O1168">
        <v>6.4339879999999999E-3</v>
      </c>
      <c r="P1168">
        <v>0.98931469999999999</v>
      </c>
      <c r="Q1168">
        <v>-0.1429436</v>
      </c>
      <c r="R1168">
        <v>2.869888E-2</v>
      </c>
      <c r="S1168">
        <v>2.9485169999999998</v>
      </c>
      <c r="T1168">
        <v>-0.66591269999999902</v>
      </c>
      <c r="U1168">
        <v>-0.4333496</v>
      </c>
      <c r="V1168">
        <v>-2.2288949999999998E-2</v>
      </c>
      <c r="W1168">
        <v>-0.12745480000000001</v>
      </c>
      <c r="X1168">
        <v>0.99159390000000003</v>
      </c>
      <c r="Y1168">
        <v>0.1477289</v>
      </c>
      <c r="Z1168">
        <v>-1.889542E-2</v>
      </c>
      <c r="AA1168">
        <v>0.98884740000000004</v>
      </c>
      <c r="AB1168">
        <v>38</v>
      </c>
      <c r="AC1168">
        <v>0.63639999999997998</v>
      </c>
      <c r="AD1168">
        <v>-0.183955599999999</v>
      </c>
      <c r="AE1168">
        <v>-0.12080000000003099</v>
      </c>
      <c r="AF1168">
        <v>0.115571954662123</v>
      </c>
      <c r="AG1168">
        <v>-0.183955599999999</v>
      </c>
      <c r="AH1168">
        <v>0.58817447122009603</v>
      </c>
      <c r="AI1168">
        <v>107.06065195867301</v>
      </c>
      <c r="AJ1168">
        <v>78.883425020352703</v>
      </c>
      <c r="AK1168">
        <v>0.62701335557611804</v>
      </c>
      <c r="AL1168">
        <v>97.322539632195301</v>
      </c>
      <c r="AM1168">
        <v>91.287672048734393</v>
      </c>
      <c r="AN1168">
        <v>0.99999999292617603</v>
      </c>
    </row>
    <row r="1169" spans="1:40" x14ac:dyDescent="0.25">
      <c r="A1169" t="str">
        <f>"20190305134926763"</f>
        <v>20190305134926763</v>
      </c>
      <c r="B1169" t="str">
        <f>"1551764966751495"</f>
        <v>1551764966751495</v>
      </c>
      <c r="C1169" t="s">
        <v>40</v>
      </c>
      <c r="D1169">
        <v>4.130395</v>
      </c>
      <c r="E1169">
        <v>0.56453260000000005</v>
      </c>
      <c r="F1169" t="s">
        <v>41</v>
      </c>
      <c r="G1169">
        <v>-278.84840000000003</v>
      </c>
      <c r="H1169">
        <v>0.84371090000000004</v>
      </c>
      <c r="I1169">
        <v>367.86399999999998</v>
      </c>
      <c r="J1169">
        <v>-279.62290000000002</v>
      </c>
      <c r="K1169">
        <v>1.062446</v>
      </c>
      <c r="L1169">
        <v>368.00810000000001</v>
      </c>
      <c r="M1169">
        <v>0.99987380000000003</v>
      </c>
      <c r="N1169">
        <v>-1.4504080000000001E-2</v>
      </c>
      <c r="O1169">
        <v>6.5004479999999998E-3</v>
      </c>
      <c r="P1169">
        <v>0.98944330000000003</v>
      </c>
      <c r="Q1169">
        <v>-0.14198129999999901</v>
      </c>
      <c r="R1169">
        <v>2.9045899999999999E-2</v>
      </c>
      <c r="S1169">
        <v>2.948639</v>
      </c>
      <c r="T1169">
        <v>-0.66702249999999996</v>
      </c>
      <c r="U1169">
        <v>-0.43545529999999999</v>
      </c>
      <c r="V1169">
        <v>-2.2567899999999998E-2</v>
      </c>
      <c r="W1169">
        <v>-0.12762089999999901</v>
      </c>
      <c r="X1169">
        <v>0.99156619999999995</v>
      </c>
      <c r="Y1169">
        <v>0.1484645</v>
      </c>
      <c r="Z1169">
        <v>-1.8945300000000002E-2</v>
      </c>
      <c r="AA1169">
        <v>0.98873630000000001</v>
      </c>
      <c r="AB1169">
        <v>38</v>
      </c>
      <c r="AC1169">
        <v>0.77449999999998898</v>
      </c>
      <c r="AD1169">
        <v>-0.21873509999999999</v>
      </c>
      <c r="AE1169">
        <v>-0.14409999999997999</v>
      </c>
      <c r="AF1169">
        <v>0.138457949442752</v>
      </c>
      <c r="AG1169">
        <v>-0.21873509999999999</v>
      </c>
      <c r="AH1169">
        <v>0.71818019228158303</v>
      </c>
      <c r="AI1169">
        <v>106.64989926544099</v>
      </c>
      <c r="AJ1169">
        <v>79.087827418964196</v>
      </c>
      <c r="AK1169">
        <v>0.76341236322286099</v>
      </c>
      <c r="AL1169">
        <v>97.332135012433099</v>
      </c>
      <c r="AM1169">
        <v>91.303818364639298</v>
      </c>
      <c r="AN1169">
        <v>0.99999996660482904</v>
      </c>
    </row>
    <row r="1170" spans="1:40" x14ac:dyDescent="0.25">
      <c r="A1170" t="str">
        <f>"20190305134926773"</f>
        <v>20190305134926773</v>
      </c>
      <c r="B1170" t="str">
        <f>"1551764966762229"</f>
        <v>1551764966762229</v>
      </c>
      <c r="C1170" t="s">
        <v>40</v>
      </c>
      <c r="D1170">
        <v>4.0397800000000004</v>
      </c>
      <c r="E1170">
        <v>0.56490739999999995</v>
      </c>
      <c r="F1170" t="s">
        <v>41</v>
      </c>
      <c r="G1170">
        <v>-278.83229999999998</v>
      </c>
      <c r="H1170">
        <v>0.88363210000000003</v>
      </c>
      <c r="I1170">
        <v>367.89049999999997</v>
      </c>
      <c r="J1170">
        <v>-279.44729999999998</v>
      </c>
      <c r="K1170">
        <v>1.062908</v>
      </c>
      <c r="L1170">
        <v>368.00920000000002</v>
      </c>
      <c r="M1170">
        <v>0.99988790000000005</v>
      </c>
      <c r="N1170">
        <v>-1.3469E-2</v>
      </c>
      <c r="O1170">
        <v>6.5630740000000003E-3</v>
      </c>
      <c r="P1170">
        <v>0.98950020000000005</v>
      </c>
      <c r="Q1170">
        <v>-0.14149220000000001</v>
      </c>
      <c r="R1170">
        <v>2.949301E-2</v>
      </c>
      <c r="S1170">
        <v>2.9491269999999998</v>
      </c>
      <c r="T1170">
        <v>-0.66708409999999996</v>
      </c>
      <c r="U1170">
        <v>-0.43762210000000001</v>
      </c>
      <c r="V1170">
        <v>-2.2951639999999999E-2</v>
      </c>
      <c r="W1170">
        <v>-0.12815779999999999</v>
      </c>
      <c r="X1170">
        <v>0.99148820000000004</v>
      </c>
      <c r="Y1170">
        <v>0.1492097</v>
      </c>
      <c r="Z1170">
        <v>-1.897246E-2</v>
      </c>
      <c r="AA1170">
        <v>0.98862360000000005</v>
      </c>
      <c r="AB1170">
        <v>38</v>
      </c>
      <c r="AC1170">
        <v>0.61500000000000898</v>
      </c>
      <c r="AD1170">
        <v>-0.17927589999999899</v>
      </c>
      <c r="AE1170">
        <v>-0.118700000000046</v>
      </c>
      <c r="AF1170">
        <v>0.113440629586897</v>
      </c>
      <c r="AG1170">
        <v>-0.17927589999999899</v>
      </c>
      <c r="AH1170">
        <v>0.56769962387758099</v>
      </c>
      <c r="AI1170">
        <v>107.206263097754</v>
      </c>
      <c r="AJ1170">
        <v>78.699703896622793</v>
      </c>
      <c r="AK1170">
        <v>0.60604578021188205</v>
      </c>
      <c r="AL1170">
        <v>97.363151380986196</v>
      </c>
      <c r="AM1170">
        <v>91.326084656193601</v>
      </c>
      <c r="AN1170">
        <v>1.0000000251093799</v>
      </c>
    </row>
    <row r="1171" spans="1:40" x14ac:dyDescent="0.25">
      <c r="A1171" t="str">
        <f>"20190305134926783"</f>
        <v>20190305134926783</v>
      </c>
      <c r="B1171" t="str">
        <f>"1551764966771989"</f>
        <v>1551764966771989</v>
      </c>
      <c r="C1171" t="s">
        <v>40</v>
      </c>
      <c r="D1171">
        <v>4.0991730000000004</v>
      </c>
      <c r="E1171">
        <v>0.56513389999999997</v>
      </c>
      <c r="F1171" t="s">
        <v>41</v>
      </c>
      <c r="G1171">
        <v>-278.50540000000001</v>
      </c>
      <c r="H1171">
        <v>0.84569619999999901</v>
      </c>
      <c r="I1171">
        <v>367.86849999999998</v>
      </c>
      <c r="J1171">
        <v>-279.26710000000003</v>
      </c>
      <c r="K1171">
        <v>1.0634840000000001</v>
      </c>
      <c r="L1171">
        <v>368.01049999999998</v>
      </c>
      <c r="M1171">
        <v>0.99990080000000003</v>
      </c>
      <c r="N1171">
        <v>-1.243446E-2</v>
      </c>
      <c r="O1171">
        <v>6.6302219999999999E-3</v>
      </c>
      <c r="P1171">
        <v>0.98956909999999998</v>
      </c>
      <c r="Q1171">
        <v>-0.1408809</v>
      </c>
      <c r="R1171">
        <v>3.0098110000000001E-2</v>
      </c>
      <c r="S1171">
        <v>2.9476930000000001</v>
      </c>
      <c r="T1171">
        <v>-0.67986769999999996</v>
      </c>
      <c r="U1171">
        <v>-0.43978879999999998</v>
      </c>
      <c r="V1171">
        <v>-2.3490759999999999E-2</v>
      </c>
      <c r="W1171">
        <v>-0.1285714</v>
      </c>
      <c r="X1171">
        <v>0.99142200000000003</v>
      </c>
      <c r="Y1171">
        <v>0.14989829999999901</v>
      </c>
      <c r="Z1171">
        <v>-1.9342419999999999E-2</v>
      </c>
      <c r="AA1171">
        <v>0.98851219999999995</v>
      </c>
      <c r="AB1171">
        <v>38</v>
      </c>
      <c r="AC1171">
        <v>0.76170000000001803</v>
      </c>
      <c r="AD1171">
        <v>-0.2177878</v>
      </c>
      <c r="AE1171">
        <v>-0.14199999999999499</v>
      </c>
      <c r="AF1171">
        <v>0.13628048616709401</v>
      </c>
      <c r="AG1171">
        <v>-0.2177878</v>
      </c>
      <c r="AH1171">
        <v>0.70503913046759203</v>
      </c>
      <c r="AI1171">
        <v>106.87191132779201</v>
      </c>
      <c r="AJ1171">
        <v>79.059935925267993</v>
      </c>
      <c r="AK1171">
        <v>0.75038928046000097</v>
      </c>
      <c r="AL1171">
        <v>97.387046775226295</v>
      </c>
      <c r="AM1171">
        <v>91.357312648822401</v>
      </c>
      <c r="AN1171">
        <v>1.0000000013936601</v>
      </c>
    </row>
    <row r="1172" spans="1:40" x14ac:dyDescent="0.25">
      <c r="A1172" t="str">
        <f>"20190305134926944"</f>
        <v>20190305134926944</v>
      </c>
      <c r="B1172" t="str">
        <f>"1551764966941851"</f>
        <v>1551764966941851</v>
      </c>
      <c r="C1172" t="s">
        <v>40</v>
      </c>
      <c r="D1172">
        <v>4.0670080000000004</v>
      </c>
      <c r="E1172">
        <v>0.56564780000000003</v>
      </c>
      <c r="F1172" t="s">
        <v>41</v>
      </c>
      <c r="G1172">
        <v>-275.78930000000003</v>
      </c>
      <c r="H1172">
        <v>0.86653340000000001</v>
      </c>
      <c r="I1172">
        <v>367.88920000000002</v>
      </c>
      <c r="J1172">
        <v>-276.5342</v>
      </c>
      <c r="K1172">
        <v>1.080103</v>
      </c>
      <c r="L1172">
        <v>368.0308</v>
      </c>
      <c r="M1172">
        <v>0.99994380000000005</v>
      </c>
      <c r="N1172">
        <v>-7.2689089999999996E-3</v>
      </c>
      <c r="O1172">
        <v>7.735291E-3</v>
      </c>
      <c r="P1172">
        <v>0.99063009999999996</v>
      </c>
      <c r="Q1172">
        <v>-0.1322777</v>
      </c>
      <c r="R1172">
        <v>3.3981619999999997E-2</v>
      </c>
      <c r="S1172">
        <v>2.9557190000000002</v>
      </c>
      <c r="T1172">
        <v>-0.65422080000000005</v>
      </c>
      <c r="U1172">
        <v>-0.43148799999999998</v>
      </c>
      <c r="V1172">
        <v>-2.6288389999999998E-2</v>
      </c>
      <c r="W1172">
        <v>-0.12507789999999999</v>
      </c>
      <c r="X1172">
        <v>0.99179859999999997</v>
      </c>
      <c r="Y1172">
        <v>0.14829519999999999</v>
      </c>
      <c r="Z1172">
        <v>-1.8309490000000001E-2</v>
      </c>
      <c r="AA1172">
        <v>0.98877360000000003</v>
      </c>
      <c r="AB1172">
        <v>38</v>
      </c>
      <c r="AC1172">
        <v>0.74489999999997203</v>
      </c>
      <c r="AD1172">
        <v>-0.213569599999999</v>
      </c>
      <c r="AE1172">
        <v>-0.14159999999998199</v>
      </c>
      <c r="AF1172">
        <v>0.136526557235748</v>
      </c>
      <c r="AG1172">
        <v>-0.213569599999999</v>
      </c>
      <c r="AH1172">
        <v>0.68911149713992503</v>
      </c>
      <c r="AI1172">
        <v>106.909860820623</v>
      </c>
      <c r="AJ1172">
        <v>78.793695019236296</v>
      </c>
      <c r="AK1172">
        <v>0.73425208911193096</v>
      </c>
      <c r="AL1172">
        <v>97.185254344019498</v>
      </c>
      <c r="AM1172">
        <v>91.518313509000805</v>
      </c>
      <c r="AN1172">
        <v>1.00000001173958</v>
      </c>
    </row>
    <row r="1173" spans="1:40" x14ac:dyDescent="0.25">
      <c r="A1173" t="str">
        <f>"20190305134926978"</f>
        <v>20190305134926978</v>
      </c>
      <c r="B1173" t="str">
        <f>"1551764966972108"</f>
        <v>1551764966972108</v>
      </c>
      <c r="C1173" t="s">
        <v>40</v>
      </c>
      <c r="D1173">
        <v>3.8465129999999998</v>
      </c>
      <c r="E1173">
        <v>0.56734099999999998</v>
      </c>
      <c r="F1173" t="s">
        <v>41</v>
      </c>
      <c r="G1173">
        <v>-275.7713</v>
      </c>
      <c r="H1173">
        <v>0.91154469999999999</v>
      </c>
      <c r="I1173">
        <v>367.91930000000002</v>
      </c>
      <c r="J1173">
        <v>-275.96879999999999</v>
      </c>
      <c r="K1173">
        <v>1.0846739999999999</v>
      </c>
      <c r="L1173">
        <v>368.03530000000001</v>
      </c>
      <c r="M1173">
        <v>0.99994179999999999</v>
      </c>
      <c r="N1173">
        <v>-7.4025649999999998E-3</v>
      </c>
      <c r="O1173">
        <v>7.8506400000000007E-3</v>
      </c>
      <c r="P1173">
        <v>0.99065259999999999</v>
      </c>
      <c r="Q1173">
        <v>-0.13230699999999901</v>
      </c>
      <c r="R1173">
        <v>3.3205020000000002E-2</v>
      </c>
      <c r="S1173">
        <v>2.9559630000000001</v>
      </c>
      <c r="T1173">
        <v>-0.65324009999999999</v>
      </c>
      <c r="U1173">
        <v>-0.43133539999999998</v>
      </c>
      <c r="V1173">
        <v>-2.54034E-2</v>
      </c>
      <c r="W1173">
        <v>-0.1249731</v>
      </c>
      <c r="X1173">
        <v>0.99183489999999996</v>
      </c>
      <c r="Y1173">
        <v>0.14835329999999999</v>
      </c>
      <c r="Z1173">
        <v>-1.8321839999999999E-2</v>
      </c>
      <c r="AA1173">
        <v>0.98876470000000005</v>
      </c>
      <c r="AB1173">
        <v>38</v>
      </c>
      <c r="AC1173">
        <v>0.19749999999998999</v>
      </c>
      <c r="AD1173">
        <v>-0.17312929999999899</v>
      </c>
      <c r="AE1173">
        <v>-0.115999999999985</v>
      </c>
      <c r="AF1173">
        <v>7.4806857830962706E-2</v>
      </c>
      <c r="AG1173">
        <v>-0.17312929999999899</v>
      </c>
      <c r="AH1173">
        <v>0.12510550200045401</v>
      </c>
      <c r="AI1173">
        <v>139.904521342538</v>
      </c>
      <c r="AJ1173">
        <v>59.122678815476398</v>
      </c>
      <c r="AK1173">
        <v>0.22632102670281701</v>
      </c>
      <c r="AL1173">
        <v>97.179202064622103</v>
      </c>
      <c r="AM1173">
        <v>91.4671690406403</v>
      </c>
      <c r="AN1173">
        <v>1.0000000386565799</v>
      </c>
    </row>
    <row r="1174" spans="1:40" x14ac:dyDescent="0.25">
      <c r="A1174" t="str">
        <f>"20190305134926988"</f>
        <v>20190305134926988</v>
      </c>
      <c r="B1174" t="str">
        <f>"1551764966981868"</f>
        <v>1551764966981868</v>
      </c>
      <c r="C1174" t="s">
        <v>40</v>
      </c>
      <c r="D1174">
        <v>3.8499509999999999</v>
      </c>
      <c r="E1174">
        <v>0.56872549999999999</v>
      </c>
      <c r="F1174" t="s">
        <v>41</v>
      </c>
      <c r="G1174">
        <v>-275.10050000000001</v>
      </c>
      <c r="H1174">
        <v>0.89427389999999995</v>
      </c>
      <c r="I1174">
        <v>367.90370000000001</v>
      </c>
      <c r="J1174">
        <v>-275.77390000000003</v>
      </c>
      <c r="K1174">
        <v>1.0862240000000001</v>
      </c>
      <c r="L1174">
        <v>368.03680000000003</v>
      </c>
      <c r="M1174">
        <v>0.99994070000000002</v>
      </c>
      <c r="N1174">
        <v>-7.53286199999999E-3</v>
      </c>
      <c r="O1174">
        <v>7.8808490000000005E-3</v>
      </c>
      <c r="P1174">
        <v>0.99065899999999996</v>
      </c>
      <c r="Q1174">
        <v>-0.13229440000000001</v>
      </c>
      <c r="R1174">
        <v>3.3059770000000002E-2</v>
      </c>
      <c r="S1174">
        <v>2.956696</v>
      </c>
      <c r="T1174">
        <v>-0.64842319999999998</v>
      </c>
      <c r="U1174">
        <v>-0.44711299999999998</v>
      </c>
      <c r="V1174">
        <v>-2.522982E-2</v>
      </c>
      <c r="W1174">
        <v>-0.1248307</v>
      </c>
      <c r="X1174">
        <v>0.99185719999999999</v>
      </c>
      <c r="Y1174">
        <v>0.15344289999999999</v>
      </c>
      <c r="Z1174">
        <v>-1.8765839999999999E-2</v>
      </c>
      <c r="AA1174">
        <v>0.9879793</v>
      </c>
      <c r="AB1174">
        <v>38</v>
      </c>
      <c r="AC1174">
        <v>0.67340000000001499</v>
      </c>
      <c r="AD1174">
        <v>-0.19195010000000001</v>
      </c>
      <c r="AE1174">
        <v>-0.13310000000001301</v>
      </c>
      <c r="AF1174">
        <v>0.128365274112404</v>
      </c>
      <c r="AG1174">
        <v>-0.19195010000000001</v>
      </c>
      <c r="AH1174">
        <v>0.62356922971723305</v>
      </c>
      <c r="AI1174">
        <v>106.778205996838</v>
      </c>
      <c r="AJ1174">
        <v>78.367831555757604</v>
      </c>
      <c r="AK1174">
        <v>0.66495192964462202</v>
      </c>
      <c r="AL1174">
        <v>97.170979199195401</v>
      </c>
      <c r="AM1174">
        <v>91.457115547288794</v>
      </c>
      <c r="AN1174">
        <v>0.99999997633578097</v>
      </c>
    </row>
    <row r="1175" spans="1:40" x14ac:dyDescent="0.25">
      <c r="A1175" t="str">
        <f>"20190305134926999"</f>
        <v>20190305134926999</v>
      </c>
      <c r="B1175" t="str">
        <f>"1551764966991628"</f>
        <v>1551764966991628</v>
      </c>
      <c r="C1175" t="s">
        <v>40</v>
      </c>
      <c r="D1175">
        <v>3.839242</v>
      </c>
      <c r="E1175">
        <v>0.569808599999999</v>
      </c>
      <c r="F1175" t="s">
        <v>41</v>
      </c>
      <c r="G1175">
        <v>-275.08269999999999</v>
      </c>
      <c r="H1175">
        <v>0.93598599999999998</v>
      </c>
      <c r="I1175">
        <v>367.92939999999999</v>
      </c>
      <c r="J1175">
        <v>-275.59969999999998</v>
      </c>
      <c r="K1175">
        <v>1.087548</v>
      </c>
      <c r="L1175">
        <v>368.03820000000002</v>
      </c>
      <c r="M1175">
        <v>0.99993920000000003</v>
      </c>
      <c r="N1175">
        <v>-7.7066809999999999E-3</v>
      </c>
      <c r="O1175">
        <v>7.9004569999999996E-3</v>
      </c>
      <c r="P1175">
        <v>0.99061849999999996</v>
      </c>
      <c r="Q1175">
        <v>-0.13263320000000001</v>
      </c>
      <c r="R1175">
        <v>3.2917639999999998E-2</v>
      </c>
      <c r="S1175">
        <v>2.9577330000000002</v>
      </c>
      <c r="T1175">
        <v>-0.64311079999999998</v>
      </c>
      <c r="U1175">
        <v>-0.45831300000000003</v>
      </c>
      <c r="V1175">
        <v>-2.5070849999999999E-2</v>
      </c>
      <c r="W1175">
        <v>-0.124997</v>
      </c>
      <c r="X1175">
        <v>0.99184030000000001</v>
      </c>
      <c r="Y1175">
        <v>0.15704379999999901</v>
      </c>
      <c r="Z1175">
        <v>-1.9023869999999998E-2</v>
      </c>
      <c r="AA1175">
        <v>0.98740839999999996</v>
      </c>
      <c r="AB1175">
        <v>38</v>
      </c>
      <c r="AC1175">
        <v>0.51699999999999502</v>
      </c>
      <c r="AD1175">
        <v>-0.151561999999999</v>
      </c>
      <c r="AE1175">
        <v>-0.10880000000003</v>
      </c>
      <c r="AF1175">
        <v>0.10429793935676</v>
      </c>
      <c r="AG1175">
        <v>-0.151561999999999</v>
      </c>
      <c r="AH1175">
        <v>0.47687895250854101</v>
      </c>
      <c r="AI1175">
        <v>107.248610781471</v>
      </c>
      <c r="AJ1175">
        <v>77.663129304896799</v>
      </c>
      <c r="AK1175">
        <v>0.51113856765431898</v>
      </c>
      <c r="AL1175">
        <v>97.180582613900597</v>
      </c>
      <c r="AM1175">
        <v>91.447963022807897</v>
      </c>
      <c r="AN1175">
        <v>0.99999998911640597</v>
      </c>
    </row>
    <row r="1176" spans="1:40" x14ac:dyDescent="0.25">
      <c r="A1176" t="str">
        <f>"20190305134927034"</f>
        <v>20190305134927034</v>
      </c>
      <c r="B1176" t="str">
        <f>"1551764967031644"</f>
        <v>1551764967031644</v>
      </c>
      <c r="C1176" t="s">
        <v>40</v>
      </c>
      <c r="D1176">
        <v>3.7890630000000001</v>
      </c>
      <c r="E1176">
        <v>0.57188159999999999</v>
      </c>
      <c r="F1176" t="s">
        <v>41</v>
      </c>
      <c r="G1176">
        <v>-274.75729999999999</v>
      </c>
      <c r="H1176">
        <v>0.90482180000000001</v>
      </c>
      <c r="I1176">
        <v>367.9049</v>
      </c>
      <c r="J1176">
        <v>-275.01330000000002</v>
      </c>
      <c r="K1176">
        <v>1.0917650000000001</v>
      </c>
      <c r="L1176">
        <v>368.0428</v>
      </c>
      <c r="M1176">
        <v>0.99993339999999997</v>
      </c>
      <c r="N1176">
        <v>-8.3862369999999995E-3</v>
      </c>
      <c r="O1176">
        <v>7.9480869999999995E-3</v>
      </c>
      <c r="P1176">
        <v>0.99055369999999998</v>
      </c>
      <c r="Q1176">
        <v>-0.13322929999999999</v>
      </c>
      <c r="R1176">
        <v>3.246545E-2</v>
      </c>
      <c r="S1176">
        <v>2.9580690000000001</v>
      </c>
      <c r="T1176">
        <v>-0.64166630000000002</v>
      </c>
      <c r="U1176">
        <v>-0.46719359999999999</v>
      </c>
      <c r="V1176">
        <v>-2.457875E-2</v>
      </c>
      <c r="W1176">
        <v>-0.1249181</v>
      </c>
      <c r="X1176">
        <v>0.99186249999999998</v>
      </c>
      <c r="Y1176">
        <v>0.15990739999999901</v>
      </c>
      <c r="Z1176">
        <v>-1.9353539999999999E-2</v>
      </c>
      <c r="AA1176">
        <v>0.98694230000000005</v>
      </c>
      <c r="AB1176">
        <v>38</v>
      </c>
      <c r="AC1176">
        <v>0.25600000000002798</v>
      </c>
      <c r="AD1176">
        <v>-0.186943199999999</v>
      </c>
      <c r="AE1176">
        <v>-0.13790000000000099</v>
      </c>
      <c r="AF1176">
        <v>9.9007848268619594E-2</v>
      </c>
      <c r="AG1176">
        <v>-0.186943199999999</v>
      </c>
      <c r="AH1176">
        <v>0.18035168513995301</v>
      </c>
      <c r="AI1176">
        <v>132.25936729860501</v>
      </c>
      <c r="AJ1176">
        <v>61.234489877852099</v>
      </c>
      <c r="AK1176">
        <v>0.27798748960671299</v>
      </c>
      <c r="AL1176">
        <v>97.176026670964305</v>
      </c>
      <c r="AM1176">
        <v>91.419521850283004</v>
      </c>
      <c r="AN1176">
        <v>0.99999993278270805</v>
      </c>
    </row>
    <row r="1177" spans="1:40" x14ac:dyDescent="0.25">
      <c r="A1177" t="str">
        <f>"20190305134927046"</f>
        <v>20190305134927046</v>
      </c>
      <c r="B1177" t="str">
        <f>"1551764967041403"</f>
        <v>1551764967041403</v>
      </c>
      <c r="C1177" t="s">
        <v>40</v>
      </c>
      <c r="D1177">
        <v>3.7905630000000001</v>
      </c>
      <c r="E1177">
        <v>0.5729725</v>
      </c>
      <c r="F1177" t="s">
        <v>41</v>
      </c>
      <c r="G1177">
        <v>-274.08339999999998</v>
      </c>
      <c r="H1177">
        <v>0.89483789999999996</v>
      </c>
      <c r="I1177">
        <v>367.8904</v>
      </c>
      <c r="J1177">
        <v>-274.8177</v>
      </c>
      <c r="K1177">
        <v>1.093056</v>
      </c>
      <c r="L1177">
        <v>368.0444</v>
      </c>
      <c r="M1177">
        <v>0.99993109999999996</v>
      </c>
      <c r="N1177">
        <v>-8.6419029999999994E-3</v>
      </c>
      <c r="O1177">
        <v>7.9564839999999998E-3</v>
      </c>
      <c r="P1177">
        <v>0.99054410000000004</v>
      </c>
      <c r="Q1177">
        <v>-0.13334949999999901</v>
      </c>
      <c r="R1177">
        <v>3.2260329999999997E-2</v>
      </c>
      <c r="S1177">
        <v>2.960175</v>
      </c>
      <c r="T1177">
        <v>-0.62692700000000001</v>
      </c>
      <c r="U1177">
        <v>-0.48434450000000001</v>
      </c>
      <c r="V1177">
        <v>-2.4366809999999999E-2</v>
      </c>
      <c r="W1177">
        <v>-0.12478450000000001</v>
      </c>
      <c r="X1177">
        <v>0.99188460000000001</v>
      </c>
      <c r="Y1177">
        <v>0.165434</v>
      </c>
      <c r="Z1177">
        <v>-1.95316E-2</v>
      </c>
      <c r="AA1177">
        <v>0.9860274</v>
      </c>
      <c r="AB1177">
        <v>38</v>
      </c>
      <c r="AC1177">
        <v>0.73430000000001805</v>
      </c>
      <c r="AD1177">
        <v>-0.19821809999999901</v>
      </c>
      <c r="AE1177">
        <v>-0.153999999999996</v>
      </c>
      <c r="AF1177">
        <v>0.14940925548480299</v>
      </c>
      <c r="AG1177">
        <v>-0.19821809999999901</v>
      </c>
      <c r="AH1177">
        <v>0.685223853218768</v>
      </c>
      <c r="AI1177">
        <v>105.782110503402</v>
      </c>
      <c r="AJ1177">
        <v>77.6994975889925</v>
      </c>
      <c r="AK1177">
        <v>0.72879713899830101</v>
      </c>
      <c r="AL1177">
        <v>97.168311201753099</v>
      </c>
      <c r="AM1177">
        <v>91.407255062136798</v>
      </c>
      <c r="AN1177">
        <v>0.99999998629349296</v>
      </c>
    </row>
    <row r="1178" spans="1:40" x14ac:dyDescent="0.25">
      <c r="A1178" t="str">
        <f>"20190305134927058"</f>
        <v>20190305134927058</v>
      </c>
      <c r="B1178" t="str">
        <f>"1551764967052140"</f>
        <v>1551764967052140</v>
      </c>
      <c r="C1178" t="s">
        <v>40</v>
      </c>
      <c r="D1178">
        <v>3.8545250000000002</v>
      </c>
      <c r="E1178">
        <v>0.5733355</v>
      </c>
      <c r="F1178" t="s">
        <v>41</v>
      </c>
      <c r="G1178">
        <v>-274.06689999999998</v>
      </c>
      <c r="H1178">
        <v>0.93556229999999996</v>
      </c>
      <c r="I1178">
        <v>367.91910000000001</v>
      </c>
      <c r="J1178">
        <v>-274.59980000000002</v>
      </c>
      <c r="K1178">
        <v>1.0944</v>
      </c>
      <c r="L1178">
        <v>368.04610000000002</v>
      </c>
      <c r="M1178">
        <v>0.99992840000000005</v>
      </c>
      <c r="N1178">
        <v>-8.9332209999999999E-3</v>
      </c>
      <c r="O1178">
        <v>7.9627209999999903E-3</v>
      </c>
      <c r="P1178">
        <v>0.99053930000000001</v>
      </c>
      <c r="Q1178">
        <v>-0.13347539999999999</v>
      </c>
      <c r="R1178">
        <v>3.1877030000000001E-2</v>
      </c>
      <c r="S1178">
        <v>2.96109</v>
      </c>
      <c r="T1178">
        <v>-0.62108980000000003</v>
      </c>
      <c r="U1178">
        <v>-0.4931335</v>
      </c>
      <c r="V1178">
        <v>-2.397852E-2</v>
      </c>
      <c r="W1178">
        <v>-0.1246212</v>
      </c>
      <c r="X1178">
        <v>0.99191459999999998</v>
      </c>
      <c r="Y1178">
        <v>0.16824739999999999</v>
      </c>
      <c r="Z1178">
        <v>-1.96759E-2</v>
      </c>
      <c r="AA1178">
        <v>0.98554839999999999</v>
      </c>
      <c r="AB1178">
        <v>38</v>
      </c>
      <c r="AC1178">
        <v>0.53290000000004001</v>
      </c>
      <c r="AD1178">
        <v>-0.1588377</v>
      </c>
      <c r="AE1178">
        <v>-0.12700000000000899</v>
      </c>
      <c r="AF1178">
        <v>0.12106216431173</v>
      </c>
      <c r="AG1178">
        <v>-0.1588377</v>
      </c>
      <c r="AH1178">
        <v>0.49062639259671698</v>
      </c>
      <c r="AI1178">
        <v>107.44883949450001</v>
      </c>
      <c r="AJ1178">
        <v>76.139136564626796</v>
      </c>
      <c r="AK1178">
        <v>0.529716640933243</v>
      </c>
      <c r="AL1178">
        <v>97.1588811409828</v>
      </c>
      <c r="AM1178">
        <v>91.384797106447706</v>
      </c>
      <c r="AN1178">
        <v>0.99999999330199496</v>
      </c>
    </row>
    <row r="1179" spans="1:40" x14ac:dyDescent="0.25">
      <c r="A1179" t="str">
        <f>"20190305134927072"</f>
        <v>20190305134927072</v>
      </c>
      <c r="B1179" t="str">
        <f>"1551764967061900"</f>
        <v>1551764967061900</v>
      </c>
      <c r="C1179" t="s">
        <v>40</v>
      </c>
      <c r="D1179">
        <v>4.2405679999999997</v>
      </c>
      <c r="E1179">
        <v>0.57361859999999998</v>
      </c>
      <c r="F1179" t="s">
        <v>41</v>
      </c>
      <c r="G1179">
        <v>-273.73770000000002</v>
      </c>
      <c r="H1179">
        <v>0.91367940000000003</v>
      </c>
      <c r="I1179">
        <v>367.90109999999999</v>
      </c>
      <c r="J1179">
        <v>-274.35969999999998</v>
      </c>
      <c r="K1179">
        <v>1.0958060000000001</v>
      </c>
      <c r="L1179">
        <v>368.048</v>
      </c>
      <c r="M1179">
        <v>0.99992559999999997</v>
      </c>
      <c r="N1179">
        <v>-9.2566709999999993E-3</v>
      </c>
      <c r="O1179">
        <v>7.9672760000000006E-3</v>
      </c>
      <c r="P1179">
        <v>0.99055249999999995</v>
      </c>
      <c r="Q1179">
        <v>-0.13341129999999901</v>
      </c>
      <c r="R1179">
        <v>3.1739580000000003E-2</v>
      </c>
      <c r="S1179">
        <v>2.9610599999999998</v>
      </c>
      <c r="T1179">
        <v>-0.62081919999999902</v>
      </c>
      <c r="U1179">
        <v>-0.49703979999999998</v>
      </c>
      <c r="V1179">
        <v>-2.3838729999999999E-2</v>
      </c>
      <c r="W1179">
        <v>-0.12423579999999999</v>
      </c>
      <c r="X1179">
        <v>0.99196629999999997</v>
      </c>
      <c r="Y1179">
        <v>0.16948959999999999</v>
      </c>
      <c r="Z1179">
        <v>-1.9825969999999998E-2</v>
      </c>
      <c r="AA1179">
        <v>0.98533249999999994</v>
      </c>
      <c r="AB1179">
        <v>38</v>
      </c>
      <c r="AC1179">
        <v>0.62199999999995703</v>
      </c>
      <c r="AD1179">
        <v>-0.1821266</v>
      </c>
      <c r="AE1179">
        <v>-0.14690000000001599</v>
      </c>
      <c r="AF1179">
        <v>0.140445998072906</v>
      </c>
      <c r="AG1179">
        <v>-0.1821266</v>
      </c>
      <c r="AH1179">
        <v>0.57418220756298699</v>
      </c>
      <c r="AI1179">
        <v>107.124579086198</v>
      </c>
      <c r="AJ1179">
        <v>76.255224863589802</v>
      </c>
      <c r="AK1179">
        <v>0.61853082727068598</v>
      </c>
      <c r="AL1179">
        <v>97.136626493850599</v>
      </c>
      <c r="AM1179">
        <v>91.376655405420294</v>
      </c>
      <c r="AN1179">
        <v>0.99999997969267096</v>
      </c>
    </row>
    <row r="1180" spans="1:40" x14ac:dyDescent="0.25">
      <c r="A1180" t="str">
        <f>"20190305134927084"</f>
        <v>20190305134927084</v>
      </c>
      <c r="B1180" t="str">
        <f>"1551764967071660"</f>
        <v>1551764967071660</v>
      </c>
      <c r="C1180" t="s">
        <v>40</v>
      </c>
      <c r="D1180">
        <v>3.8766940000000001</v>
      </c>
      <c r="E1180">
        <v>0.57376450000000001</v>
      </c>
      <c r="F1180" t="s">
        <v>41</v>
      </c>
      <c r="G1180">
        <v>-273.40589999999997</v>
      </c>
      <c r="H1180">
        <v>0.89694909999999906</v>
      </c>
      <c r="I1180">
        <v>367.88709999999998</v>
      </c>
      <c r="J1180">
        <v>-274.16379999999998</v>
      </c>
      <c r="K1180">
        <v>1.0968659999999999</v>
      </c>
      <c r="L1180">
        <v>368.04950000000002</v>
      </c>
      <c r="M1180">
        <v>0.99992309999999995</v>
      </c>
      <c r="N1180">
        <v>-9.5199029999999997E-3</v>
      </c>
      <c r="O1180">
        <v>7.9683240000000006E-3</v>
      </c>
      <c r="P1180">
        <v>0.99052669999999998</v>
      </c>
      <c r="Q1180">
        <v>-0.13362060000000001</v>
      </c>
      <c r="R1180">
        <v>3.1667550000000003E-2</v>
      </c>
      <c r="S1180">
        <v>2.9614259999999999</v>
      </c>
      <c r="T1180">
        <v>-0.61748719999999901</v>
      </c>
      <c r="U1180">
        <v>-0.49932860000000001</v>
      </c>
      <c r="V1180">
        <v>-2.3766519999999999E-2</v>
      </c>
      <c r="W1180">
        <v>-0.12418410000000001</v>
      </c>
      <c r="X1180">
        <v>0.99197449999999998</v>
      </c>
      <c r="Y1180">
        <v>0.17023279999999999</v>
      </c>
      <c r="Z1180">
        <v>-1.982269E-2</v>
      </c>
      <c r="AA1180">
        <v>0.98520450000000004</v>
      </c>
      <c r="AB1180">
        <v>38</v>
      </c>
      <c r="AC1180">
        <v>0.75790000000000601</v>
      </c>
      <c r="AD1180">
        <v>-0.19991689999999901</v>
      </c>
      <c r="AE1180">
        <v>-0.16240000000004701</v>
      </c>
      <c r="AF1180">
        <v>0.157928271062894</v>
      </c>
      <c r="AG1180">
        <v>-0.19991689999999901</v>
      </c>
      <c r="AH1180">
        <v>0.70939026416482498</v>
      </c>
      <c r="AI1180">
        <v>105.38055332887799</v>
      </c>
      <c r="AJ1180">
        <v>77.449182421660296</v>
      </c>
      <c r="AK1180">
        <v>0.75375238148768997</v>
      </c>
      <c r="AL1180">
        <v>97.133641228689598</v>
      </c>
      <c r="AM1180">
        <v>91.372475628933898</v>
      </c>
      <c r="AN1180">
        <v>0.99999997340798397</v>
      </c>
    </row>
    <row r="1181" spans="1:40" x14ac:dyDescent="0.25">
      <c r="A1181" t="str">
        <f>"20190305134927096"</f>
        <v>20190305134927096</v>
      </c>
      <c r="B1181" t="str">
        <f>"1551764967092156"</f>
        <v>1551764967092156</v>
      </c>
      <c r="C1181" t="s">
        <v>40</v>
      </c>
      <c r="D1181">
        <v>3.882587</v>
      </c>
      <c r="E1181">
        <v>0.57402559999999903</v>
      </c>
      <c r="F1181" t="s">
        <v>41</v>
      </c>
      <c r="G1181">
        <v>-273.3904</v>
      </c>
      <c r="H1181">
        <v>0.93616080000000002</v>
      </c>
      <c r="I1181">
        <v>367.9187</v>
      </c>
      <c r="J1181">
        <v>-273.9794</v>
      </c>
      <c r="K1181">
        <v>1.09781</v>
      </c>
      <c r="L1181">
        <v>368.05099999999999</v>
      </c>
      <c r="M1181">
        <v>0.99992049999999999</v>
      </c>
      <c r="N1181">
        <v>-9.7640190000000005E-3</v>
      </c>
      <c r="O1181">
        <v>7.9691350000000005E-3</v>
      </c>
      <c r="P1181">
        <v>0.99051889999999998</v>
      </c>
      <c r="Q1181">
        <v>-0.13371820000000001</v>
      </c>
      <c r="R1181">
        <v>3.1493470000000003E-2</v>
      </c>
      <c r="S1181">
        <v>2.9617</v>
      </c>
      <c r="T1181">
        <v>-0.61555309999999996</v>
      </c>
      <c r="U1181">
        <v>-0.5004883</v>
      </c>
      <c r="V1181">
        <v>-2.3592410000000001E-2</v>
      </c>
      <c r="W1181">
        <v>-0.12403939999999999</v>
      </c>
      <c r="X1181">
        <v>0.99199680000000001</v>
      </c>
      <c r="Y1181">
        <v>0.17060610000000001</v>
      </c>
      <c r="Z1181">
        <v>-1.9821220000000001E-2</v>
      </c>
      <c r="AA1181">
        <v>0.98513989999999996</v>
      </c>
      <c r="AB1181">
        <v>38</v>
      </c>
      <c r="AC1181">
        <v>0.58899999999999797</v>
      </c>
      <c r="AD1181">
        <v>-0.16164919999999899</v>
      </c>
      <c r="AE1181">
        <v>-0.13229999999998601</v>
      </c>
      <c r="AF1181">
        <v>0.127824398088909</v>
      </c>
      <c r="AG1181">
        <v>-0.16164919999999899</v>
      </c>
      <c r="AH1181">
        <v>0.54859107782690297</v>
      </c>
      <c r="AI1181">
        <v>106.01217135970499</v>
      </c>
      <c r="AJ1181">
        <v>76.883826310317701</v>
      </c>
      <c r="AK1181">
        <v>0.58602193754049403</v>
      </c>
      <c r="AL1181">
        <v>97.125285645287505</v>
      </c>
      <c r="AM1181">
        <v>91.362394264074794</v>
      </c>
      <c r="AN1181">
        <v>1.0000000128861</v>
      </c>
    </row>
    <row r="1182" spans="1:40" x14ac:dyDescent="0.25">
      <c r="A1182" t="str">
        <f>"20190305134927108"</f>
        <v>20190305134927108</v>
      </c>
      <c r="B1182" t="str">
        <f>"1551764967101916"</f>
        <v>1551764967101916</v>
      </c>
      <c r="C1182" t="s">
        <v>40</v>
      </c>
      <c r="D1182">
        <v>3.9393259999999999</v>
      </c>
      <c r="E1182">
        <v>0.57411179999999995</v>
      </c>
      <c r="F1182" t="s">
        <v>41</v>
      </c>
      <c r="G1182">
        <v>-273.06360000000001</v>
      </c>
      <c r="H1182">
        <v>0.9088678</v>
      </c>
      <c r="I1182">
        <v>367.89550000000003</v>
      </c>
      <c r="J1182">
        <v>-273.7593</v>
      </c>
      <c r="K1182">
        <v>1.0988719999999901</v>
      </c>
      <c r="L1182">
        <v>368.05279999999999</v>
      </c>
      <c r="M1182">
        <v>0.99991790000000003</v>
      </c>
      <c r="N1182">
        <v>-1.005169E-2</v>
      </c>
      <c r="O1182">
        <v>7.9689740000000002E-3</v>
      </c>
      <c r="P1182">
        <v>0.99051369999999905</v>
      </c>
      <c r="Q1182">
        <v>-0.1337807</v>
      </c>
      <c r="R1182">
        <v>3.1397220000000003E-2</v>
      </c>
      <c r="S1182">
        <v>2.962189</v>
      </c>
      <c r="T1182">
        <v>-0.61120810000000003</v>
      </c>
      <c r="U1182">
        <v>-0.50253300000000001</v>
      </c>
      <c r="V1182">
        <v>-2.3497520000000001E-2</v>
      </c>
      <c r="W1182">
        <v>-0.1238163</v>
      </c>
      <c r="X1182">
        <v>0.99202690000000004</v>
      </c>
      <c r="Y1182">
        <v>0.17127579999999901</v>
      </c>
      <c r="Z1182">
        <v>-1.9779359999999999E-2</v>
      </c>
      <c r="AA1182">
        <v>0.98502460000000003</v>
      </c>
      <c r="AB1182">
        <v>38</v>
      </c>
      <c r="AC1182">
        <v>0.695699999999987</v>
      </c>
      <c r="AD1182">
        <v>-0.19000419999999901</v>
      </c>
      <c r="AE1182">
        <v>-0.157299999999963</v>
      </c>
      <c r="AF1182">
        <v>0.152049485299383</v>
      </c>
      <c r="AG1182">
        <v>-0.19000419999999901</v>
      </c>
      <c r="AH1182">
        <v>0.64841141976931804</v>
      </c>
      <c r="AI1182">
        <v>105.92299555471099</v>
      </c>
      <c r="AJ1182">
        <v>76.802851092901903</v>
      </c>
      <c r="AK1182">
        <v>0.69257346995442304</v>
      </c>
      <c r="AL1182">
        <v>97.1124038166367</v>
      </c>
      <c r="AM1182">
        <v>91.356875534455398</v>
      </c>
      <c r="AN1182">
        <v>0.99999998995772499</v>
      </c>
    </row>
    <row r="1183" spans="1:40" x14ac:dyDescent="0.25">
      <c r="A1183" t="str">
        <f>"20190305134927120"</f>
        <v>20190305134927120</v>
      </c>
      <c r="B1183" t="str">
        <f>"1551764967111676"</f>
        <v>1551764967111676</v>
      </c>
      <c r="C1183" t="s">
        <v>40</v>
      </c>
      <c r="D1183">
        <v>3.8798759999999999</v>
      </c>
      <c r="E1183">
        <v>0.57422609999999996</v>
      </c>
      <c r="F1183" t="s">
        <v>41</v>
      </c>
      <c r="G1183">
        <v>-273.04579999999999</v>
      </c>
      <c r="H1183">
        <v>0.95206550000000001</v>
      </c>
      <c r="I1183">
        <v>367.9314</v>
      </c>
      <c r="J1183">
        <v>-273.55829999999997</v>
      </c>
      <c r="K1183">
        <v>1.0997490000000001</v>
      </c>
      <c r="L1183">
        <v>368.05439999999999</v>
      </c>
      <c r="M1183">
        <v>0.9999152</v>
      </c>
      <c r="N1183">
        <v>-1.030377E-2</v>
      </c>
      <c r="O1183">
        <v>7.9690179999999996E-3</v>
      </c>
      <c r="P1183">
        <v>0.99051069999999997</v>
      </c>
      <c r="Q1183">
        <v>-0.133829</v>
      </c>
      <c r="R1183">
        <v>3.127957E-2</v>
      </c>
      <c r="S1183">
        <v>2.9623110000000001</v>
      </c>
      <c r="T1183">
        <v>-0.60967969999999905</v>
      </c>
      <c r="U1183">
        <v>-0.50347900000000001</v>
      </c>
      <c r="V1183">
        <v>-2.33808E-2</v>
      </c>
      <c r="W1183">
        <v>-0.1236144</v>
      </c>
      <c r="X1183">
        <v>0.99205480000000001</v>
      </c>
      <c r="Y1183">
        <v>0.1715834</v>
      </c>
      <c r="Z1183">
        <v>-1.9784320000000001E-2</v>
      </c>
      <c r="AA1183">
        <v>0.98497089999999998</v>
      </c>
      <c r="AB1183">
        <v>38</v>
      </c>
      <c r="AC1183">
        <v>0.51249999999998797</v>
      </c>
      <c r="AD1183">
        <v>-0.147683499999999</v>
      </c>
      <c r="AE1183">
        <v>-0.12299999999999001</v>
      </c>
      <c r="AF1183">
        <v>0.117829039772211</v>
      </c>
      <c r="AG1183">
        <v>-0.147683499999999</v>
      </c>
      <c r="AH1183">
        <v>0.47426628321652903</v>
      </c>
      <c r="AI1183">
        <v>106.815155637255</v>
      </c>
      <c r="AJ1183">
        <v>76.047646566133494</v>
      </c>
      <c r="AK1183">
        <v>0.510512101895647</v>
      </c>
      <c r="AL1183">
        <v>97.100746499186897</v>
      </c>
      <c r="AM1183">
        <v>91.350100026751306</v>
      </c>
      <c r="AN1183">
        <v>0.99999995394951902</v>
      </c>
    </row>
    <row r="1184" spans="1:40" x14ac:dyDescent="0.25">
      <c r="A1184" t="str">
        <f>"20190305134927133"</f>
        <v>20190305134927133</v>
      </c>
      <c r="B1184" t="str">
        <f>"1551764967121436"</f>
        <v>1551764967121436</v>
      </c>
      <c r="C1184" t="s">
        <v>40</v>
      </c>
      <c r="D1184">
        <v>3.8964940000000001</v>
      </c>
      <c r="E1184">
        <v>0.57424500000000001</v>
      </c>
      <c r="F1184" t="s">
        <v>41</v>
      </c>
      <c r="G1184">
        <v>-272.7192</v>
      </c>
      <c r="H1184">
        <v>0.92747959999999996</v>
      </c>
      <c r="I1184">
        <v>367.91129999999998</v>
      </c>
      <c r="J1184">
        <v>-273.35610000000003</v>
      </c>
      <c r="K1184">
        <v>1.1005969999999901</v>
      </c>
      <c r="L1184">
        <v>368.05599999999998</v>
      </c>
      <c r="M1184">
        <v>0.99991260000000004</v>
      </c>
      <c r="N1184">
        <v>-1.055299E-2</v>
      </c>
      <c r="O1184">
        <v>7.9689849999999996E-3</v>
      </c>
      <c r="P1184">
        <v>0.99053869999999999</v>
      </c>
      <c r="Q1184">
        <v>-0.13363889999999901</v>
      </c>
      <c r="R1184">
        <v>3.120419E-2</v>
      </c>
      <c r="S1184">
        <v>2.962494</v>
      </c>
      <c r="T1184">
        <v>-0.60824919999999905</v>
      </c>
      <c r="U1184">
        <v>-0.50482179999999999</v>
      </c>
      <c r="V1184">
        <v>-2.3305920000000001E-2</v>
      </c>
      <c r="W1184">
        <v>-0.1231766</v>
      </c>
      <c r="X1184">
        <v>0.99211099999999997</v>
      </c>
      <c r="Y1184">
        <v>0.1720122</v>
      </c>
      <c r="Z1184">
        <v>-1.9804249999999999E-2</v>
      </c>
      <c r="AA1184">
        <v>0.98489570000000004</v>
      </c>
      <c r="AB1184">
        <v>38</v>
      </c>
      <c r="AC1184">
        <v>0.636900000000025</v>
      </c>
      <c r="AD1184">
        <v>-0.17311739999999901</v>
      </c>
      <c r="AE1184">
        <v>-0.1447</v>
      </c>
      <c r="AF1184">
        <v>0.139939587153115</v>
      </c>
      <c r="AG1184">
        <v>-0.17311739999999901</v>
      </c>
      <c r="AH1184">
        <v>0.593995087001988</v>
      </c>
      <c r="AI1184">
        <v>105.837559377074</v>
      </c>
      <c r="AJ1184">
        <v>76.7433916534345</v>
      </c>
      <c r="AK1184">
        <v>0.63433657124419596</v>
      </c>
      <c r="AL1184">
        <v>97.075469335602804</v>
      </c>
      <c r="AM1184">
        <v>91.345701545479798</v>
      </c>
      <c r="AN1184">
        <v>0.999999938507801</v>
      </c>
    </row>
    <row r="1185" spans="1:40" x14ac:dyDescent="0.25">
      <c r="A1185" t="str">
        <f>"20190305134927143"</f>
        <v>20190305134927143</v>
      </c>
      <c r="B1185" t="str">
        <f>"1551764967132173"</f>
        <v>1551764967132173</v>
      </c>
      <c r="C1185" t="s">
        <v>40</v>
      </c>
      <c r="D1185">
        <v>3.8897750000000002</v>
      </c>
      <c r="E1185">
        <v>0.57433250000000002</v>
      </c>
      <c r="F1185" t="s">
        <v>41</v>
      </c>
      <c r="G1185">
        <v>-272.39120000000003</v>
      </c>
      <c r="H1185">
        <v>0.90323830000000005</v>
      </c>
      <c r="I1185">
        <v>367.89120000000003</v>
      </c>
      <c r="J1185">
        <v>-273.15269999999998</v>
      </c>
      <c r="K1185">
        <v>1.1013679999999999</v>
      </c>
      <c r="L1185">
        <v>368.05759999999998</v>
      </c>
      <c r="M1185">
        <v>0.99991010000000002</v>
      </c>
      <c r="N1185">
        <v>-1.079247E-2</v>
      </c>
      <c r="O1185">
        <v>7.9692110000000004E-3</v>
      </c>
      <c r="P1185">
        <v>0.9905794</v>
      </c>
      <c r="Q1185">
        <v>-0.1333983</v>
      </c>
      <c r="R1185">
        <v>3.0948170000000001E-2</v>
      </c>
      <c r="S1185">
        <v>2.9627690000000002</v>
      </c>
      <c r="T1185">
        <v>-0.60623669999999996</v>
      </c>
      <c r="U1185">
        <v>-0.50473020000000002</v>
      </c>
      <c r="V1185">
        <v>-2.305041E-2</v>
      </c>
      <c r="W1185">
        <v>-0.1226978</v>
      </c>
      <c r="X1185">
        <v>0.99217639999999996</v>
      </c>
      <c r="Y1185">
        <v>0.17198939999999999</v>
      </c>
      <c r="Z1185">
        <v>-1.9757759999999999E-2</v>
      </c>
      <c r="AA1185">
        <v>0.98490069999999996</v>
      </c>
      <c r="AB1185">
        <v>38</v>
      </c>
      <c r="AC1185">
        <v>0.76149999999995499</v>
      </c>
      <c r="AD1185">
        <v>-0.19812969999999999</v>
      </c>
      <c r="AE1185">
        <v>-0.166399999999953</v>
      </c>
      <c r="AF1185">
        <v>0.16199694588175101</v>
      </c>
      <c r="AG1185">
        <v>-0.19812969999999999</v>
      </c>
      <c r="AH1185">
        <v>0.71401679923398398</v>
      </c>
      <c r="AI1185">
        <v>105.142073406992</v>
      </c>
      <c r="AJ1185">
        <v>77.217070020502305</v>
      </c>
      <c r="AK1185">
        <v>0.75849744764596905</v>
      </c>
      <c r="AL1185">
        <v>97.047825707991507</v>
      </c>
      <c r="AM1185">
        <v>91.330865840777193</v>
      </c>
      <c r="AN1185">
        <v>1.0000000401214799</v>
      </c>
    </row>
    <row r="1186" spans="1:40" x14ac:dyDescent="0.25">
      <c r="A1186" t="str">
        <f>"20190305134927154"</f>
        <v>20190305134927154</v>
      </c>
      <c r="B1186" t="str">
        <f>"1551764967151692"</f>
        <v>1551764967151692</v>
      </c>
      <c r="C1186" t="s">
        <v>40</v>
      </c>
      <c r="D1186">
        <v>3.9094639999999998</v>
      </c>
      <c r="E1186">
        <v>0.57437090000000002</v>
      </c>
      <c r="F1186" t="s">
        <v>41</v>
      </c>
      <c r="G1186">
        <v>-272.37549999999999</v>
      </c>
      <c r="H1186">
        <v>0.94284760000000001</v>
      </c>
      <c r="I1186">
        <v>367.92430000000002</v>
      </c>
      <c r="J1186">
        <v>-272.98270000000002</v>
      </c>
      <c r="K1186">
        <v>1.1019779999999999</v>
      </c>
      <c r="L1186">
        <v>368.05889999999999</v>
      </c>
      <c r="M1186">
        <v>0.99990789999999996</v>
      </c>
      <c r="N1186">
        <v>-1.098643E-2</v>
      </c>
      <c r="O1186">
        <v>7.9696070000000001E-3</v>
      </c>
      <c r="P1186">
        <v>0.99062320000000004</v>
      </c>
      <c r="Q1186">
        <v>-0.13307539999999901</v>
      </c>
      <c r="R1186">
        <v>3.093193E-2</v>
      </c>
      <c r="S1186">
        <v>2.9629210000000001</v>
      </c>
      <c r="T1186">
        <v>-0.60456089999999996</v>
      </c>
      <c r="U1186">
        <v>-0.50634769999999996</v>
      </c>
      <c r="V1186">
        <v>-2.3033910000000001E-2</v>
      </c>
      <c r="W1186">
        <v>-0.1221819</v>
      </c>
      <c r="X1186">
        <v>0.99224040000000002</v>
      </c>
      <c r="Y1186">
        <v>0.17251069999999999</v>
      </c>
      <c r="Z1186">
        <v>-1.977551E-2</v>
      </c>
      <c r="AA1186">
        <v>0.98480909999999999</v>
      </c>
      <c r="AB1186">
        <v>38</v>
      </c>
      <c r="AC1186">
        <v>0.60720000000003405</v>
      </c>
      <c r="AD1186">
        <v>-0.15913040000000001</v>
      </c>
      <c r="AE1186">
        <v>-0.13459999999997699</v>
      </c>
      <c r="AF1186">
        <v>0.130867885001617</v>
      </c>
      <c r="AG1186">
        <v>-0.15913040000000001</v>
      </c>
      <c r="AH1186">
        <v>0.56886701292790798</v>
      </c>
      <c r="AI1186">
        <v>105.248941767815</v>
      </c>
      <c r="AJ1186">
        <v>77.044511917436097</v>
      </c>
      <c r="AK1186">
        <v>0.60502773979915803</v>
      </c>
      <c r="AL1186">
        <v>97.018043048604795</v>
      </c>
      <c r="AM1186">
        <v>91.329827770167299</v>
      </c>
      <c r="AN1186">
        <v>0.99999999454482902</v>
      </c>
    </row>
    <row r="1187" spans="1:40" x14ac:dyDescent="0.25">
      <c r="A1187" t="str">
        <f>"20190305134927165"</f>
        <v>20190305134927165</v>
      </c>
      <c r="B1187" t="str">
        <f>"1551764967161452"</f>
        <v>1551764967161452</v>
      </c>
      <c r="C1187" t="s">
        <v>40</v>
      </c>
      <c r="D1187">
        <v>3.9446059999999998</v>
      </c>
      <c r="E1187">
        <v>0.57435360000000002</v>
      </c>
      <c r="F1187" t="s">
        <v>41</v>
      </c>
      <c r="G1187">
        <v>-272.05059999999997</v>
      </c>
      <c r="H1187">
        <v>0.91337760000000001</v>
      </c>
      <c r="I1187">
        <v>367.89949999999999</v>
      </c>
      <c r="J1187">
        <v>-272.79399999999998</v>
      </c>
      <c r="K1187">
        <v>1.102608</v>
      </c>
      <c r="L1187">
        <v>368.06040000000002</v>
      </c>
      <c r="M1187">
        <v>0.99990559999999995</v>
      </c>
      <c r="N1187">
        <v>-1.1193959999999999E-2</v>
      </c>
      <c r="O1187">
        <v>7.9702619999999901E-3</v>
      </c>
      <c r="P1187">
        <v>0.99067649999999996</v>
      </c>
      <c r="Q1187">
        <v>-0.13272329999999999</v>
      </c>
      <c r="R1187">
        <v>3.0736039999999999E-2</v>
      </c>
      <c r="S1187">
        <v>2.9636230000000001</v>
      </c>
      <c r="T1187">
        <v>-0.59969879999999998</v>
      </c>
      <c r="U1187">
        <v>-0.50650019999999996</v>
      </c>
      <c r="V1187">
        <v>-2.2838190000000001E-2</v>
      </c>
      <c r="W1187">
        <v>-0.1216231</v>
      </c>
      <c r="X1187">
        <v>0.99231360000000002</v>
      </c>
      <c r="Y1187">
        <v>0.1725777</v>
      </c>
      <c r="Z1187">
        <v>-1.964573E-2</v>
      </c>
      <c r="AA1187">
        <v>0.98480000000000001</v>
      </c>
      <c r="AB1187">
        <v>38</v>
      </c>
      <c r="AC1187">
        <v>0.74340000000006501</v>
      </c>
      <c r="AD1187">
        <v>-0.18923039999999999</v>
      </c>
      <c r="AE1187">
        <v>-0.16090000000002599</v>
      </c>
      <c r="AF1187">
        <v>0.15709687332821301</v>
      </c>
      <c r="AG1187">
        <v>-0.18923039999999999</v>
      </c>
      <c r="AH1187">
        <v>0.69883936730834295</v>
      </c>
      <c r="AI1187">
        <v>104.79859972926801</v>
      </c>
      <c r="AJ1187">
        <v>77.330696943051905</v>
      </c>
      <c r="AK1187">
        <v>0.74085358418083203</v>
      </c>
      <c r="AL1187">
        <v>96.985785406711699</v>
      </c>
      <c r="AM1187">
        <v>91.318434949793399</v>
      </c>
      <c r="AN1187">
        <v>1.00000002106052</v>
      </c>
    </row>
    <row r="1188" spans="1:40" x14ac:dyDescent="0.25">
      <c r="A1188" t="str">
        <f>"20190305134927176"</f>
        <v>20190305134927176</v>
      </c>
      <c r="B1188" t="str">
        <f>"1551764967172187"</f>
        <v>1551764967172187</v>
      </c>
      <c r="C1188" t="s">
        <v>40</v>
      </c>
      <c r="D1188">
        <v>3.9041090000000001</v>
      </c>
      <c r="E1188">
        <v>0.57434619999999903</v>
      </c>
      <c r="F1188" t="s">
        <v>41</v>
      </c>
      <c r="G1188">
        <v>-272.03579999999999</v>
      </c>
      <c r="H1188">
        <v>0.94988510000000004</v>
      </c>
      <c r="I1188">
        <v>367.93060000000003</v>
      </c>
      <c r="J1188">
        <v>-272.62150000000003</v>
      </c>
      <c r="K1188">
        <v>1.1031420000000001</v>
      </c>
      <c r="L1188">
        <v>368.06180000000001</v>
      </c>
      <c r="M1188">
        <v>0.9999036</v>
      </c>
      <c r="N1188">
        <v>-1.1375400000000001E-2</v>
      </c>
      <c r="O1188">
        <v>7.9712299999999993E-3</v>
      </c>
      <c r="P1188">
        <v>0.99073540000000004</v>
      </c>
      <c r="Q1188">
        <v>-0.13230529999999999</v>
      </c>
      <c r="R1188">
        <v>3.0646610000000001E-2</v>
      </c>
      <c r="S1188">
        <v>2.9639890000000002</v>
      </c>
      <c r="T1188">
        <v>-0.5970858</v>
      </c>
      <c r="U1188">
        <v>-0.50711059999999997</v>
      </c>
      <c r="V1188">
        <v>-2.27476E-2</v>
      </c>
      <c r="W1188">
        <v>-0.1210243</v>
      </c>
      <c r="X1188">
        <v>0.99238879999999996</v>
      </c>
      <c r="Y1188">
        <v>0.17278080000000001</v>
      </c>
      <c r="Z1188">
        <v>-1.9598979999999998E-2</v>
      </c>
      <c r="AA1188">
        <v>0.98476529999999995</v>
      </c>
      <c r="AB1188">
        <v>38</v>
      </c>
      <c r="AC1188">
        <v>0.58570000000003097</v>
      </c>
      <c r="AD1188">
        <v>-0.1532569</v>
      </c>
      <c r="AE1188">
        <v>-0.131199999999978</v>
      </c>
      <c r="AF1188">
        <v>0.12754908541541399</v>
      </c>
      <c r="AG1188">
        <v>-0.1532569</v>
      </c>
      <c r="AH1188">
        <v>0.54885207728922603</v>
      </c>
      <c r="AI1188">
        <v>105.21546555821099</v>
      </c>
      <c r="AJ1188">
        <v>76.917112847172106</v>
      </c>
      <c r="AK1188">
        <v>0.58394781387776196</v>
      </c>
      <c r="AL1188">
        <v>96.951221988572598</v>
      </c>
      <c r="AM1188">
        <v>91.313107602897603</v>
      </c>
      <c r="AN1188">
        <v>0.99999993243084195</v>
      </c>
    </row>
    <row r="1189" spans="1:40" x14ac:dyDescent="0.25">
      <c r="A1189" t="str">
        <f>"20190305134927186"</f>
        <v>20190305134927186</v>
      </c>
      <c r="B1189" t="str">
        <f>"1551764967181948"</f>
        <v>1551764967181948</v>
      </c>
      <c r="C1189" t="s">
        <v>40</v>
      </c>
      <c r="D1189">
        <v>3.9189790000000002</v>
      </c>
      <c r="E1189">
        <v>0.57437660000000001</v>
      </c>
      <c r="F1189" t="s">
        <v>41</v>
      </c>
      <c r="G1189">
        <v>-271.71129999999999</v>
      </c>
      <c r="H1189">
        <v>0.92088139999999996</v>
      </c>
      <c r="I1189">
        <v>367.9058</v>
      </c>
      <c r="J1189">
        <v>-272.44130000000001</v>
      </c>
      <c r="K1189">
        <v>1.103667</v>
      </c>
      <c r="L1189">
        <v>368.06319999999999</v>
      </c>
      <c r="M1189">
        <v>0.9999015</v>
      </c>
      <c r="N1189">
        <v>-1.155921E-2</v>
      </c>
      <c r="O1189">
        <v>7.9719869999999998E-3</v>
      </c>
      <c r="P1189">
        <v>0.99078949999999999</v>
      </c>
      <c r="Q1189">
        <v>-0.13195570000000001</v>
      </c>
      <c r="R1189">
        <v>3.0391339999999999E-2</v>
      </c>
      <c r="S1189">
        <v>2.9645079999999999</v>
      </c>
      <c r="T1189">
        <v>-0.59379630000000005</v>
      </c>
      <c r="U1189">
        <v>-0.50704959999999999</v>
      </c>
      <c r="V1189">
        <v>-2.249164E-2</v>
      </c>
      <c r="W1189">
        <v>-0.12049169999999999</v>
      </c>
      <c r="X1189">
        <v>0.99245950000000005</v>
      </c>
      <c r="Y1189">
        <v>0.17277110000000001</v>
      </c>
      <c r="Z1189">
        <v>-1.9508600000000001E-2</v>
      </c>
      <c r="AA1189">
        <v>0.9847688</v>
      </c>
      <c r="AB1189">
        <v>38</v>
      </c>
      <c r="AC1189">
        <v>0.73000000000001797</v>
      </c>
      <c r="AD1189">
        <v>-0.18278559999999899</v>
      </c>
      <c r="AE1189">
        <v>-0.15739999999999499</v>
      </c>
      <c r="AF1189">
        <v>0.15398935662465699</v>
      </c>
      <c r="AG1189">
        <v>-0.18278559999999899</v>
      </c>
      <c r="AH1189">
        <v>0.68753156334768395</v>
      </c>
      <c r="AI1189">
        <v>104.54363682124099</v>
      </c>
      <c r="AJ1189">
        <v>77.375568768092805</v>
      </c>
      <c r="AK1189">
        <v>0.72788937904076201</v>
      </c>
      <c r="AL1189">
        <v>96.920480882760799</v>
      </c>
      <c r="AM1189">
        <v>91.298244912957699</v>
      </c>
      <c r="AN1189">
        <v>0.99999999138951401</v>
      </c>
    </row>
    <row r="1190" spans="1:40" x14ac:dyDescent="0.25">
      <c r="A1190" t="str">
        <f>"20190305134927197"</f>
        <v>20190305134927197</v>
      </c>
      <c r="B1190" t="str">
        <f>"1551764967191708"</f>
        <v>1551764967191708</v>
      </c>
      <c r="C1190" t="s">
        <v>40</v>
      </c>
      <c r="D1190">
        <v>3.950885</v>
      </c>
      <c r="E1190">
        <v>0.57444329999999999</v>
      </c>
      <c r="F1190" t="s">
        <v>41</v>
      </c>
      <c r="G1190">
        <v>-271.69720000000001</v>
      </c>
      <c r="H1190">
        <v>0.95489029999999997</v>
      </c>
      <c r="I1190">
        <v>367.93529999999998</v>
      </c>
      <c r="J1190">
        <v>-272.26670000000001</v>
      </c>
      <c r="K1190">
        <v>1.104131</v>
      </c>
      <c r="L1190">
        <v>368.06459999999998</v>
      </c>
      <c r="M1190">
        <v>0.99989939999999999</v>
      </c>
      <c r="N1190">
        <v>-1.1727720000000001E-2</v>
      </c>
      <c r="O1190">
        <v>7.9726429999999997E-3</v>
      </c>
      <c r="P1190">
        <v>0.99083290000000002</v>
      </c>
      <c r="Q1190">
        <v>-0.131641799999999</v>
      </c>
      <c r="R1190">
        <v>3.0341679999999999E-2</v>
      </c>
      <c r="S1190">
        <v>2.9644780000000002</v>
      </c>
      <c r="T1190">
        <v>-0.59289219999999998</v>
      </c>
      <c r="U1190">
        <v>-0.50817869999999998</v>
      </c>
      <c r="V1190">
        <v>-2.2441849999999999E-2</v>
      </c>
      <c r="W1190">
        <v>-0.1200099</v>
      </c>
      <c r="X1190">
        <v>0.99251900000000004</v>
      </c>
      <c r="Y1190">
        <v>0.17313870000000001</v>
      </c>
      <c r="Z1190">
        <v>-1.9532399999999998E-2</v>
      </c>
      <c r="AA1190">
        <v>0.98470380000000002</v>
      </c>
      <c r="AB1190">
        <v>38</v>
      </c>
      <c r="AC1190">
        <v>0.569500000000005</v>
      </c>
      <c r="AD1190">
        <v>-0.1492407</v>
      </c>
      <c r="AE1190">
        <v>-0.1293</v>
      </c>
      <c r="AF1190">
        <v>0.12563200415470999</v>
      </c>
      <c r="AG1190">
        <v>-0.1492407</v>
      </c>
      <c r="AH1190">
        <v>0.53360307840590704</v>
      </c>
      <c r="AI1190">
        <v>105.22918975531699</v>
      </c>
      <c r="AJ1190">
        <v>76.751509977652603</v>
      </c>
      <c r="AK1190">
        <v>0.56814472829436702</v>
      </c>
      <c r="AL1190">
        <v>96.892674012468902</v>
      </c>
      <c r="AM1190">
        <v>91.295294324588895</v>
      </c>
      <c r="AN1190">
        <v>0.99999998904521603</v>
      </c>
    </row>
    <row r="1191" spans="1:40" x14ac:dyDescent="0.25">
      <c r="A1191" t="str">
        <f>"20190305134927207"</f>
        <v>20190305134927207</v>
      </c>
      <c r="B1191" t="str">
        <f>"1551764967201468"</f>
        <v>1551764967201468</v>
      </c>
      <c r="C1191" t="s">
        <v>40</v>
      </c>
      <c r="D1191">
        <v>3.9611459999999998</v>
      </c>
      <c r="E1191">
        <v>0.57448999999999995</v>
      </c>
      <c r="F1191" t="s">
        <v>41</v>
      </c>
      <c r="G1191">
        <v>-271.3734</v>
      </c>
      <c r="H1191">
        <v>0.92592839999999998</v>
      </c>
      <c r="I1191">
        <v>367.91129999999998</v>
      </c>
      <c r="J1191">
        <v>-272.09019999999998</v>
      </c>
      <c r="K1191">
        <v>1.1045799999999999</v>
      </c>
      <c r="L1191">
        <v>368.06599999999997</v>
      </c>
      <c r="M1191">
        <v>0.99989749999999999</v>
      </c>
      <c r="N1191">
        <v>-1.1893859999999999E-2</v>
      </c>
      <c r="O1191">
        <v>7.9732989999999997E-3</v>
      </c>
      <c r="P1191">
        <v>0.99084530000000004</v>
      </c>
      <c r="Q1191">
        <v>-0.13158610000000001</v>
      </c>
      <c r="R1191">
        <v>3.0182469999999999E-2</v>
      </c>
      <c r="S1191">
        <v>2.9647519999999998</v>
      </c>
      <c r="T1191">
        <v>-0.59155009999999997</v>
      </c>
      <c r="U1191">
        <v>-0.50869750000000002</v>
      </c>
      <c r="V1191">
        <v>-2.2282010000000001E-2</v>
      </c>
      <c r="W1191">
        <v>-0.1197891</v>
      </c>
      <c r="X1191">
        <v>0.99254929999999997</v>
      </c>
      <c r="Y1191">
        <v>0.1733024</v>
      </c>
      <c r="Z1191">
        <v>-1.9519660000000001E-2</v>
      </c>
      <c r="AA1191">
        <v>0.98467519999999997</v>
      </c>
      <c r="AB1191">
        <v>38</v>
      </c>
      <c r="AC1191">
        <v>0.71679999999997701</v>
      </c>
      <c r="AD1191">
        <v>-0.17865159999999899</v>
      </c>
      <c r="AE1191">
        <v>-0.15469999999999101</v>
      </c>
      <c r="AF1191">
        <v>0.151423252421402</v>
      </c>
      <c r="AG1191">
        <v>-0.17865159999999899</v>
      </c>
      <c r="AH1191">
        <v>0.67545317090469204</v>
      </c>
      <c r="AI1191">
        <v>104.471431312519</v>
      </c>
      <c r="AJ1191">
        <v>77.364330042153796</v>
      </c>
      <c r="AK1191">
        <v>0.71490025992556405</v>
      </c>
      <c r="AL1191">
        <v>96.879931000528899</v>
      </c>
      <c r="AM1191">
        <v>91.2860325728752</v>
      </c>
      <c r="AN1191">
        <v>1.0000000146894601</v>
      </c>
    </row>
    <row r="1192" spans="1:40" x14ac:dyDescent="0.25">
      <c r="A1192" t="str">
        <f>"20190305134927219"</f>
        <v>20190305134927219</v>
      </c>
      <c r="B1192" t="str">
        <f>"1551764967212204"</f>
        <v>1551764967212204</v>
      </c>
      <c r="C1192" t="s">
        <v>40</v>
      </c>
      <c r="D1192">
        <v>3.955851</v>
      </c>
      <c r="E1192">
        <v>0.57449729999999999</v>
      </c>
      <c r="F1192" t="s">
        <v>41</v>
      </c>
      <c r="G1192">
        <v>-271.3596</v>
      </c>
      <c r="H1192">
        <v>0.95881039999999995</v>
      </c>
      <c r="I1192">
        <v>367.94040000000001</v>
      </c>
      <c r="J1192">
        <v>-271.89769999999999</v>
      </c>
      <c r="K1192">
        <v>1.105016</v>
      </c>
      <c r="L1192">
        <v>368.0675</v>
      </c>
      <c r="M1192">
        <v>0.99989550000000005</v>
      </c>
      <c r="N1192">
        <v>-1.20629E-2</v>
      </c>
      <c r="O1192">
        <v>7.9738069999999994E-3</v>
      </c>
      <c r="P1192">
        <v>0.99087139999999996</v>
      </c>
      <c r="Q1192">
        <v>-0.1314285</v>
      </c>
      <c r="R1192">
        <v>3.0014119999999998E-2</v>
      </c>
      <c r="S1192">
        <v>2.9647220000000001</v>
      </c>
      <c r="T1192">
        <v>-0.59155959999999996</v>
      </c>
      <c r="U1192">
        <v>-0.50958249999999905</v>
      </c>
      <c r="V1192">
        <v>-2.211345E-2</v>
      </c>
      <c r="W1192">
        <v>-0.11946329999999999</v>
      </c>
      <c r="X1192">
        <v>0.99259229999999998</v>
      </c>
      <c r="Y1192">
        <v>0.17358170000000001</v>
      </c>
      <c r="Z1192">
        <v>-1.956252E-2</v>
      </c>
      <c r="AA1192">
        <v>0.98462519999999998</v>
      </c>
      <c r="AB1192">
        <v>38</v>
      </c>
      <c r="AC1192">
        <v>0.53809999999998503</v>
      </c>
      <c r="AD1192">
        <v>-0.14620559999999999</v>
      </c>
      <c r="AE1192">
        <v>-0.127099999999984</v>
      </c>
      <c r="AF1192">
        <v>0.12280033027008801</v>
      </c>
      <c r="AG1192">
        <v>-0.14620559999999999</v>
      </c>
      <c r="AH1192">
        <v>0.50196979142044196</v>
      </c>
      <c r="AI1192">
        <v>105.797308785562</v>
      </c>
      <c r="AJ1192">
        <v>76.253327371006606</v>
      </c>
      <c r="AK1192">
        <v>0.53705648686565999</v>
      </c>
      <c r="AL1192">
        <v>96.861129262282006</v>
      </c>
      <c r="AM1192">
        <v>91.276251890759397</v>
      </c>
      <c r="AN1192">
        <v>0.99999997936854101</v>
      </c>
    </row>
    <row r="1193" spans="1:40" x14ac:dyDescent="0.25">
      <c r="A1193" t="str">
        <f>"20190305134927230"</f>
        <v>20190305134927230</v>
      </c>
      <c r="B1193" t="str">
        <f>"1551764967221963"</f>
        <v>1551764967221963</v>
      </c>
      <c r="C1193" t="s">
        <v>40</v>
      </c>
      <c r="D1193">
        <v>3.9410949999999998</v>
      </c>
      <c r="E1193">
        <v>0.57457389999999997</v>
      </c>
      <c r="F1193" t="s">
        <v>41</v>
      </c>
      <c r="G1193">
        <v>-271.03500000000003</v>
      </c>
      <c r="H1193">
        <v>0.93312189999999995</v>
      </c>
      <c r="I1193">
        <v>367.91879999999998</v>
      </c>
      <c r="J1193">
        <v>-271.70920000000001</v>
      </c>
      <c r="K1193">
        <v>1.1054280000000001</v>
      </c>
      <c r="L1193">
        <v>368.06909999999999</v>
      </c>
      <c r="M1193">
        <v>0.99989349999999999</v>
      </c>
      <c r="N1193">
        <v>-1.2225049999999999E-2</v>
      </c>
      <c r="O1193">
        <v>7.9742839999999999E-3</v>
      </c>
      <c r="P1193">
        <v>0.99092530000000001</v>
      </c>
      <c r="Q1193">
        <v>-0.1310376</v>
      </c>
      <c r="R1193">
        <v>2.994086E-2</v>
      </c>
      <c r="S1193">
        <v>2.9647220000000001</v>
      </c>
      <c r="T1193">
        <v>-0.59089899999999995</v>
      </c>
      <c r="U1193">
        <v>-0.51000979999999996</v>
      </c>
      <c r="V1193">
        <v>-2.2039670000000001E-2</v>
      </c>
      <c r="W1193">
        <v>-0.1189108</v>
      </c>
      <c r="X1193">
        <v>0.99266030000000005</v>
      </c>
      <c r="Y1193">
        <v>0.1737226</v>
      </c>
      <c r="Z1193">
        <v>-1.956973E-2</v>
      </c>
      <c r="AA1193">
        <v>0.98460020000000004</v>
      </c>
      <c r="AB1193">
        <v>38</v>
      </c>
      <c r="AC1193">
        <v>0.67419999999998403</v>
      </c>
      <c r="AD1193">
        <v>-0.17230609999999999</v>
      </c>
      <c r="AE1193">
        <v>-0.150300000000015</v>
      </c>
      <c r="AF1193">
        <v>0.14655275551136701</v>
      </c>
      <c r="AG1193">
        <v>-0.17230609999999999</v>
      </c>
      <c r="AH1193">
        <v>0.63355733386354596</v>
      </c>
      <c r="AI1193">
        <v>104.840593886276</v>
      </c>
      <c r="AJ1193">
        <v>76.975573884796503</v>
      </c>
      <c r="AK1193">
        <v>0.67272728318202601</v>
      </c>
      <c r="AL1193">
        <v>96.829245943919204</v>
      </c>
      <c r="AM1193">
        <v>91.271908059115802</v>
      </c>
      <c r="AN1193">
        <v>0.99999999830321895</v>
      </c>
    </row>
    <row r="1194" spans="1:40" x14ac:dyDescent="0.25">
      <c r="A1194" t="str">
        <f>"20190305134927241"</f>
        <v>20190305134927241</v>
      </c>
      <c r="B1194" t="str">
        <f>"1551764967231723"</f>
        <v>1551764967231723</v>
      </c>
      <c r="C1194" t="s">
        <v>40</v>
      </c>
      <c r="D1194">
        <v>3.9598460000000002</v>
      </c>
      <c r="E1194">
        <v>0.57464009999999999</v>
      </c>
      <c r="F1194" t="s">
        <v>41</v>
      </c>
      <c r="G1194">
        <v>-270.7097</v>
      </c>
      <c r="H1194">
        <v>0.90673590000000004</v>
      </c>
      <c r="I1194">
        <v>367.89670000000001</v>
      </c>
      <c r="J1194">
        <v>-271.51209999999998</v>
      </c>
      <c r="K1194">
        <v>1.105804</v>
      </c>
      <c r="L1194">
        <v>368.07060000000001</v>
      </c>
      <c r="M1194">
        <v>0.99989150000000004</v>
      </c>
      <c r="N1194">
        <v>-1.238068E-2</v>
      </c>
      <c r="O1194">
        <v>7.9746130000000002E-3</v>
      </c>
      <c r="P1194">
        <v>0.99095949999999999</v>
      </c>
      <c r="Q1194">
        <v>-0.13080319999999901</v>
      </c>
      <c r="R1194">
        <v>2.982487E-2</v>
      </c>
      <c r="S1194">
        <v>2.9649960000000002</v>
      </c>
      <c r="T1194">
        <v>-0.58946419999999999</v>
      </c>
      <c r="U1194">
        <v>-0.51092529999999903</v>
      </c>
      <c r="V1194">
        <v>-2.1922830000000001E-2</v>
      </c>
      <c r="W1194">
        <v>-0.1185215</v>
      </c>
      <c r="X1194">
        <v>0.99270950000000002</v>
      </c>
      <c r="Y1194">
        <v>0.17401259999999999</v>
      </c>
      <c r="Z1194">
        <v>-1.9566070000000001E-2</v>
      </c>
      <c r="AA1194">
        <v>0.98454900000000001</v>
      </c>
      <c r="AB1194">
        <v>38</v>
      </c>
      <c r="AC1194">
        <v>0.80239999999997702</v>
      </c>
      <c r="AD1194">
        <v>-0.1990681</v>
      </c>
      <c r="AE1194">
        <v>-0.173900000000003</v>
      </c>
      <c r="AF1194">
        <v>0.17028320987468501</v>
      </c>
      <c r="AG1194">
        <v>-0.1990681</v>
      </c>
      <c r="AH1194">
        <v>0.75651378802274005</v>
      </c>
      <c r="AI1194">
        <v>104.397821229895</v>
      </c>
      <c r="AJ1194">
        <v>77.314742962234504</v>
      </c>
      <c r="AK1194">
        <v>0.80058578020806204</v>
      </c>
      <c r="AL1194">
        <v>96.806781455506993</v>
      </c>
      <c r="AM1194">
        <v>91.265104744018899</v>
      </c>
      <c r="AN1194">
        <v>1.0000000539138501</v>
      </c>
    </row>
    <row r="1195" spans="1:40" x14ac:dyDescent="0.25">
      <c r="A1195" t="str">
        <f>"20190305134927253"</f>
        <v>20190305134927253</v>
      </c>
      <c r="B1195" t="str">
        <f>"1551764967241485"</f>
        <v>1551764967241485</v>
      </c>
      <c r="C1195" t="s">
        <v>40</v>
      </c>
      <c r="D1195">
        <v>3.9207779999999999</v>
      </c>
      <c r="E1195">
        <v>0.57459419999999894</v>
      </c>
      <c r="F1195" t="s">
        <v>41</v>
      </c>
      <c r="G1195">
        <v>-270.69540000000001</v>
      </c>
      <c r="H1195">
        <v>0.94347020000000004</v>
      </c>
      <c r="I1195">
        <v>367.92950000000002</v>
      </c>
      <c r="J1195">
        <v>-271.33109999999999</v>
      </c>
      <c r="K1195">
        <v>1.106134</v>
      </c>
      <c r="L1195">
        <v>368.07209999999998</v>
      </c>
      <c r="M1195">
        <v>0.99988999999999995</v>
      </c>
      <c r="N1195">
        <v>-1.2520069999999999E-2</v>
      </c>
      <c r="O1195">
        <v>7.9747359999999996E-3</v>
      </c>
      <c r="P1195">
        <v>0.99098129999999995</v>
      </c>
      <c r="Q1195">
        <v>-0.13059409999999999</v>
      </c>
      <c r="R1195">
        <v>3.0024950000000002E-2</v>
      </c>
      <c r="S1195">
        <v>2.964966</v>
      </c>
      <c r="T1195">
        <v>-0.58938559999999995</v>
      </c>
      <c r="U1195">
        <v>-0.51184079999999998</v>
      </c>
      <c r="V1195">
        <v>-2.212304E-2</v>
      </c>
      <c r="W1195">
        <v>-0.1181736</v>
      </c>
      <c r="X1195">
        <v>0.99274649999999998</v>
      </c>
      <c r="Y1195">
        <v>0.1743027</v>
      </c>
      <c r="Z1195">
        <v>-1.9604860000000002E-2</v>
      </c>
      <c r="AA1195">
        <v>0.98449699999999996</v>
      </c>
      <c r="AB1195">
        <v>38</v>
      </c>
      <c r="AC1195">
        <v>0.63569999999998505</v>
      </c>
      <c r="AD1195">
        <v>-0.1626638</v>
      </c>
      <c r="AE1195">
        <v>-0.14259999999995801</v>
      </c>
      <c r="AF1195">
        <v>0.13900033439639101</v>
      </c>
      <c r="AG1195">
        <v>-0.1626638</v>
      </c>
      <c r="AH1195">
        <v>0.59730728112931997</v>
      </c>
      <c r="AI1195">
        <v>104.855137524068</v>
      </c>
      <c r="AJ1195">
        <v>76.899765597472594</v>
      </c>
      <c r="AK1195">
        <v>0.63447347689469902</v>
      </c>
      <c r="AL1195">
        <v>96.786707402243294</v>
      </c>
      <c r="AM1195">
        <v>91.276606926957797</v>
      </c>
      <c r="AN1195">
        <v>1.0000000209490201</v>
      </c>
    </row>
    <row r="1196" spans="1:40" x14ac:dyDescent="0.25">
      <c r="A1196" t="str">
        <f>"20190305134927263"</f>
        <v>20190305134927263</v>
      </c>
      <c r="B1196" t="str">
        <f>"1551764967252220"</f>
        <v>1551764967252220</v>
      </c>
      <c r="C1196" t="s">
        <v>40</v>
      </c>
      <c r="D1196">
        <v>3.797129</v>
      </c>
      <c r="E1196">
        <v>0.57437879999999997</v>
      </c>
      <c r="F1196" t="s">
        <v>41</v>
      </c>
      <c r="G1196">
        <v>-270.37139999999999</v>
      </c>
      <c r="H1196">
        <v>0.91562960000000004</v>
      </c>
      <c r="I1196">
        <v>367.90629999999999</v>
      </c>
      <c r="J1196">
        <v>-271.14879999999999</v>
      </c>
      <c r="K1196">
        <v>1.1064320000000001</v>
      </c>
      <c r="L1196">
        <v>368.07350000000002</v>
      </c>
      <c r="M1196">
        <v>0.9998882</v>
      </c>
      <c r="N1196">
        <v>-1.2651259999999999E-2</v>
      </c>
      <c r="O1196">
        <v>7.9749039999999997E-3</v>
      </c>
      <c r="P1196">
        <v>0.99099899999999996</v>
      </c>
      <c r="Q1196">
        <v>-0.13042219999999999</v>
      </c>
      <c r="R1196">
        <v>3.018359E-2</v>
      </c>
      <c r="S1196">
        <v>2.9651489999999998</v>
      </c>
      <c r="T1196">
        <v>-0.58878769999999903</v>
      </c>
      <c r="U1196">
        <v>-0.51077269999999997</v>
      </c>
      <c r="V1196">
        <v>-2.2281479999999999E-2</v>
      </c>
      <c r="W1196">
        <v>-0.1178712</v>
      </c>
      <c r="X1196">
        <v>0.99277890000000002</v>
      </c>
      <c r="Y1196">
        <v>0.17396039999999999</v>
      </c>
      <c r="Z1196">
        <v>-1.9560749999999998E-2</v>
      </c>
      <c r="AA1196">
        <v>0.9845583</v>
      </c>
      <c r="AB1196">
        <v>38</v>
      </c>
      <c r="AC1196">
        <v>0.77739999999999998</v>
      </c>
      <c r="AD1196">
        <v>-0.19080239999999901</v>
      </c>
      <c r="AE1196">
        <v>-0.16720000000003599</v>
      </c>
      <c r="AF1196">
        <v>0.16395502733296399</v>
      </c>
      <c r="AG1196">
        <v>-0.19080239999999901</v>
      </c>
      <c r="AH1196">
        <v>0.73379304533258705</v>
      </c>
      <c r="AI1196">
        <v>104.239084518567</v>
      </c>
      <c r="AJ1196">
        <v>77.404993870217297</v>
      </c>
      <c r="AK1196">
        <v>0.77571840265136505</v>
      </c>
      <c r="AL1196">
        <v>96.769259258060799</v>
      </c>
      <c r="AM1196">
        <v>91.285704679700899</v>
      </c>
      <c r="AN1196">
        <v>1.00000001421282</v>
      </c>
    </row>
    <row r="1197" spans="1:40" x14ac:dyDescent="0.25">
      <c r="A1197" t="str">
        <f>"20190305134927275"</f>
        <v>20190305134927275</v>
      </c>
      <c r="B1197" t="str">
        <f>"1551764967271739"</f>
        <v>1551764967271739</v>
      </c>
      <c r="C1197" t="s">
        <v>40</v>
      </c>
      <c r="D1197">
        <v>3.962459</v>
      </c>
      <c r="E1197">
        <v>0.57437879999999997</v>
      </c>
      <c r="F1197" t="s">
        <v>41</v>
      </c>
      <c r="G1197">
        <v>-270.35739999999998</v>
      </c>
      <c r="H1197">
        <v>0.95056739999999995</v>
      </c>
      <c r="I1197">
        <v>367.93740000000003</v>
      </c>
      <c r="J1197">
        <v>-270.95690000000002</v>
      </c>
      <c r="K1197">
        <v>1.106722</v>
      </c>
      <c r="L1197">
        <v>368.07510000000002</v>
      </c>
      <c r="M1197">
        <v>0.99988659999999996</v>
      </c>
      <c r="N1197">
        <v>-1.27835E-2</v>
      </c>
      <c r="O1197">
        <v>7.9750569999999903E-3</v>
      </c>
      <c r="P1197">
        <v>0.99099110000000001</v>
      </c>
      <c r="Q1197">
        <v>-0.1305017</v>
      </c>
      <c r="R1197">
        <v>3.0099330000000001E-2</v>
      </c>
      <c r="S1197">
        <v>2.965881</v>
      </c>
      <c r="T1197">
        <v>-0.58438679999999998</v>
      </c>
      <c r="U1197">
        <v>-0.50872799999999996</v>
      </c>
      <c r="V1197">
        <v>-2.2197830000000002E-2</v>
      </c>
      <c r="W1197">
        <v>-0.1178194</v>
      </c>
      <c r="X1197">
        <v>0.99278690000000003</v>
      </c>
      <c r="Y1197">
        <v>0.1733249</v>
      </c>
      <c r="Z1197">
        <v>-1.9366120000000001E-2</v>
      </c>
      <c r="AA1197">
        <v>0.9846743</v>
      </c>
      <c r="AB1197">
        <v>38</v>
      </c>
      <c r="AC1197">
        <v>0.59950000000003401</v>
      </c>
      <c r="AD1197">
        <v>-0.15615459999999901</v>
      </c>
      <c r="AE1197">
        <v>-0.13769999999999499</v>
      </c>
      <c r="AF1197">
        <v>0.13385077844965201</v>
      </c>
      <c r="AG1197">
        <v>-0.15615459999999901</v>
      </c>
      <c r="AH1197">
        <v>0.56215357604773497</v>
      </c>
      <c r="AI1197">
        <v>105.121583380666</v>
      </c>
      <c r="AJ1197">
        <v>76.607049982453702</v>
      </c>
      <c r="AK1197">
        <v>0.59859580106779398</v>
      </c>
      <c r="AL1197">
        <v>96.766270663785306</v>
      </c>
      <c r="AM1197">
        <v>91.280869130150606</v>
      </c>
      <c r="AN1197">
        <v>0.999999991742339</v>
      </c>
    </row>
    <row r="1198" spans="1:40" x14ac:dyDescent="0.25">
      <c r="A1198" t="str">
        <f>"20190305134927286"</f>
        <v>20190305134927286</v>
      </c>
      <c r="B1198" t="str">
        <f>"1551764967281500"</f>
        <v>1551764967281500</v>
      </c>
      <c r="C1198" t="s">
        <v>40</v>
      </c>
      <c r="D1198">
        <v>3.9307850000000002</v>
      </c>
      <c r="E1198">
        <v>0.55359009999999997</v>
      </c>
      <c r="F1198" t="s">
        <v>41</v>
      </c>
      <c r="G1198">
        <v>-270.0335</v>
      </c>
      <c r="H1198">
        <v>0.92471800000000004</v>
      </c>
      <c r="I1198">
        <v>367.91660000000002</v>
      </c>
      <c r="J1198">
        <v>-270.76900000000001</v>
      </c>
      <c r="K1198">
        <v>1.1069819999999999</v>
      </c>
      <c r="L1198">
        <v>368.07659999999998</v>
      </c>
      <c r="M1198">
        <v>0.99988489999999997</v>
      </c>
      <c r="N1198">
        <v>-1.2906529999999999E-2</v>
      </c>
      <c r="O1198">
        <v>7.9752620000000003E-3</v>
      </c>
      <c r="P1198">
        <v>0.99100829999999995</v>
      </c>
      <c r="Q1198">
        <v>-0.1303493</v>
      </c>
      <c r="R1198">
        <v>3.0192299999999998E-2</v>
      </c>
      <c r="S1198">
        <v>2.9657290000000001</v>
      </c>
      <c r="T1198">
        <v>-0.58465339999999999</v>
      </c>
      <c r="U1198">
        <v>-0.5087585</v>
      </c>
      <c r="V1198">
        <v>-2.2290399999999998E-2</v>
      </c>
      <c r="W1198">
        <v>-0.1175446</v>
      </c>
      <c r="X1198">
        <v>0.99281739999999996</v>
      </c>
      <c r="Y1198">
        <v>0.17333770000000001</v>
      </c>
      <c r="Z1198">
        <v>-1.9386489999999999E-2</v>
      </c>
      <c r="AA1198">
        <v>0.98467170000000004</v>
      </c>
      <c r="AB1198">
        <v>37</v>
      </c>
      <c r="AC1198">
        <v>0.73550000000000104</v>
      </c>
      <c r="AD1198">
        <v>-0.18226399999999901</v>
      </c>
      <c r="AE1198">
        <v>-0.159999999999968</v>
      </c>
      <c r="AF1198">
        <v>0.156674614638349</v>
      </c>
      <c r="AG1198">
        <v>-0.18226399999999901</v>
      </c>
      <c r="AH1198">
        <v>0.69353513968820202</v>
      </c>
      <c r="AI1198">
        <v>104.37786010911501</v>
      </c>
      <c r="AJ1198">
        <v>77.270149421929503</v>
      </c>
      <c r="AK1198">
        <v>0.73400142407927904</v>
      </c>
      <c r="AL1198">
        <v>96.750415607891</v>
      </c>
      <c r="AM1198">
        <v>91.286169355226505</v>
      </c>
      <c r="AN1198">
        <v>0.99999999233203996</v>
      </c>
    </row>
    <row r="1199" spans="1:40" x14ac:dyDescent="0.25">
      <c r="A1199" t="str">
        <f>"20190305134927298"</f>
        <v>20190305134927298</v>
      </c>
      <c r="B1199" t="str">
        <f>"1551764967292236"</f>
        <v>1551764967292236</v>
      </c>
      <c r="C1199" t="s">
        <v>40</v>
      </c>
      <c r="D1199">
        <v>3.9333119999999999</v>
      </c>
      <c r="E1199">
        <v>0.55520519999999995</v>
      </c>
      <c r="F1199" t="s">
        <v>42</v>
      </c>
      <c r="G1199">
        <v>-245.36420000000001</v>
      </c>
      <c r="H1199" s="1">
        <v>-2.9356380000000001E-6</v>
      </c>
      <c r="I1199">
        <v>365.31060000000002</v>
      </c>
      <c r="J1199">
        <v>-270.584</v>
      </c>
      <c r="K1199">
        <v>1.1072139999999999</v>
      </c>
      <c r="L1199">
        <v>368.07799999999997</v>
      </c>
      <c r="M1199">
        <v>0.99988339999999998</v>
      </c>
      <c r="N1199">
        <v>-1.301981E-2</v>
      </c>
      <c r="O1199">
        <v>7.975345E-3</v>
      </c>
      <c r="P1199">
        <v>0.99102319999999999</v>
      </c>
      <c r="Q1199">
        <v>-0.1302005</v>
      </c>
      <c r="R1199">
        <v>3.0344079999999999E-2</v>
      </c>
      <c r="S1199">
        <v>3.0198969999999998</v>
      </c>
      <c r="T1199">
        <v>-0.13158819999999999</v>
      </c>
      <c r="U1199">
        <v>-0.32879639999999999</v>
      </c>
      <c r="V1199">
        <v>-2.2442119999999999E-2</v>
      </c>
      <c r="W1199">
        <v>-0.1172832</v>
      </c>
      <c r="X1199">
        <v>0.99284490000000003</v>
      </c>
      <c r="Y1199">
        <v>0.11601740000000001</v>
      </c>
      <c r="Z1199">
        <v>-3.5198769999999998E-3</v>
      </c>
      <c r="AA1199">
        <v>0.99324100000000004</v>
      </c>
      <c r="AB1199">
        <v>37</v>
      </c>
      <c r="AC1199">
        <v>25.2197999999999</v>
      </c>
      <c r="AD1199">
        <v>-1.1072169356379999</v>
      </c>
      <c r="AE1199">
        <v>-2.7673999999999999</v>
      </c>
      <c r="AF1199">
        <v>2.9628228977503599</v>
      </c>
      <c r="AG1199">
        <v>-1.1072169356379999</v>
      </c>
      <c r="AH1199">
        <v>25.149028276345</v>
      </c>
      <c r="AI1199">
        <v>92.503597312654605</v>
      </c>
      <c r="AJ1199">
        <v>83.280919300951496</v>
      </c>
      <c r="AK1199">
        <v>25.347147218383299</v>
      </c>
      <c r="AL1199">
        <v>96.735334144773105</v>
      </c>
      <c r="AM1199">
        <v>91.294884864144393</v>
      </c>
      <c r="AN1199">
        <v>0.99999999660417205</v>
      </c>
    </row>
    <row r="1200" spans="1:40" x14ac:dyDescent="0.25">
      <c r="A1200" t="str">
        <f>"20190305134927310"</f>
        <v>20190305134927310</v>
      </c>
      <c r="B1200" t="str">
        <f>"1551764967301996"</f>
        <v>1551764967301996</v>
      </c>
      <c r="C1200" t="s">
        <v>40</v>
      </c>
      <c r="D1200">
        <v>3.9265409999999998</v>
      </c>
      <c r="E1200">
        <v>0.55792399999999998</v>
      </c>
      <c r="F1200" t="s">
        <v>42</v>
      </c>
      <c r="G1200">
        <v>-226.04470000000001</v>
      </c>
      <c r="H1200" s="1">
        <v>-3.070673E-6</v>
      </c>
      <c r="I1200">
        <v>363.0822</v>
      </c>
      <c r="J1200">
        <v>-270.36239999999998</v>
      </c>
      <c r="K1200">
        <v>1.107477</v>
      </c>
      <c r="L1200">
        <v>368.07979999999998</v>
      </c>
      <c r="M1200">
        <v>0.99988169999999998</v>
      </c>
      <c r="N1200">
        <v>-1.3150449999999999E-2</v>
      </c>
      <c r="O1200">
        <v>7.9756640000000004E-3</v>
      </c>
      <c r="P1200">
        <v>0.99102630000000003</v>
      </c>
      <c r="Q1200">
        <v>-0.130166899999999</v>
      </c>
      <c r="R1200">
        <v>3.0386219999999999E-2</v>
      </c>
      <c r="S1200">
        <v>3.0276489999999998</v>
      </c>
      <c r="T1200">
        <v>-7.526505E-2</v>
      </c>
      <c r="U1200">
        <v>-0.339599599999999</v>
      </c>
      <c r="V1200">
        <v>-2.2483739999999999E-2</v>
      </c>
      <c r="W1200">
        <v>-0.11711969999999999</v>
      </c>
      <c r="X1200">
        <v>0.99286319999999995</v>
      </c>
      <c r="Y1200">
        <v>0.1193338</v>
      </c>
      <c r="Z1200">
        <v>-2.3588250000000002E-3</v>
      </c>
      <c r="AA1200">
        <v>0.99285140000000005</v>
      </c>
      <c r="AB1200">
        <v>37</v>
      </c>
      <c r="AC1200">
        <v>44.317699999999903</v>
      </c>
      <c r="AD1200">
        <v>-1.1074800706729999</v>
      </c>
      <c r="AE1200">
        <v>-4.9975999999999701</v>
      </c>
      <c r="AF1200">
        <v>5.3476371263654903</v>
      </c>
      <c r="AG1200">
        <v>-1.1074800706729999</v>
      </c>
      <c r="AH1200">
        <v>44.249141902128301</v>
      </c>
      <c r="AI1200">
        <v>91.423363273740307</v>
      </c>
      <c r="AJ1200">
        <v>83.109057585710303</v>
      </c>
      <c r="AK1200">
        <v>44.584866199383299</v>
      </c>
      <c r="AL1200">
        <v>96.725901668899297</v>
      </c>
      <c r="AM1200">
        <v>91.297261568233395</v>
      </c>
      <c r="AN1200">
        <v>0.99999993830335598</v>
      </c>
    </row>
    <row r="1201" spans="1:40" x14ac:dyDescent="0.25">
      <c r="A1201" t="str">
        <f>"20190305134927331"</f>
        <v>20190305134927331</v>
      </c>
      <c r="B1201" t="str">
        <f>"1551764967321516"</f>
        <v>1551764967321516</v>
      </c>
      <c r="C1201" t="s">
        <v>40</v>
      </c>
      <c r="D1201">
        <v>3.9326560000000002</v>
      </c>
      <c r="E1201">
        <v>0.56068929999999995</v>
      </c>
      <c r="F1201" t="s">
        <v>44</v>
      </c>
      <c r="G1201">
        <v>-180</v>
      </c>
      <c r="H1201">
        <v>2.24496E-2</v>
      </c>
      <c r="I1201">
        <v>357.36090000000002</v>
      </c>
      <c r="J1201">
        <v>-270.02609999999999</v>
      </c>
      <c r="K1201">
        <v>1.1078140000000001</v>
      </c>
      <c r="L1201">
        <v>368.08249999999998</v>
      </c>
      <c r="M1201">
        <v>0.99987950000000003</v>
      </c>
      <c r="N1201">
        <v>-1.3329809999999999E-2</v>
      </c>
      <c r="O1201">
        <v>7.9761199999999997E-3</v>
      </c>
      <c r="P1201">
        <v>0.99096039999999996</v>
      </c>
      <c r="Q1201">
        <v>-0.1306341</v>
      </c>
      <c r="R1201">
        <v>3.053531E-2</v>
      </c>
      <c r="S1201">
        <v>3.0334469999999998</v>
      </c>
      <c r="T1201">
        <v>-3.6424159999999997E-2</v>
      </c>
      <c r="U1201">
        <v>-0.35983280000000001</v>
      </c>
      <c r="V1201">
        <v>-2.2633509999999999E-2</v>
      </c>
      <c r="W1201">
        <v>-0.1174096</v>
      </c>
      <c r="X1201">
        <v>0.99282559999999997</v>
      </c>
      <c r="Y1201">
        <v>0.12569439999999901</v>
      </c>
      <c r="Z1201">
        <v>-1.5822480000000001E-3</v>
      </c>
      <c r="AA1201">
        <v>0.99206780000000006</v>
      </c>
      <c r="AB1201">
        <v>37</v>
      </c>
      <c r="AC1201">
        <v>90.0260999999999</v>
      </c>
      <c r="AD1201">
        <v>-1.08536439999999</v>
      </c>
      <c r="AE1201">
        <v>-10.721599999999899</v>
      </c>
      <c r="AF1201">
        <v>11.437742330193201</v>
      </c>
      <c r="AG1201">
        <v>-1.08536439999999</v>
      </c>
      <c r="AH1201">
        <v>89.924823673938405</v>
      </c>
      <c r="AI1201">
        <v>90.6859824281062</v>
      </c>
      <c r="AJ1201">
        <v>82.751341889922003</v>
      </c>
      <c r="AK1201">
        <v>90.655798922526699</v>
      </c>
      <c r="AL1201">
        <v>96.742626821209001</v>
      </c>
      <c r="AM1201">
        <v>91.305949419652706</v>
      </c>
      <c r="AN1201">
        <v>0.99999998098121901</v>
      </c>
    </row>
    <row r="1202" spans="1:40" x14ac:dyDescent="0.25">
      <c r="A1202" t="str">
        <f>"20190305134927342"</f>
        <v>20190305134927342</v>
      </c>
      <c r="B1202" t="str">
        <f>"1551764967332252"</f>
        <v>1551764967332252</v>
      </c>
      <c r="C1202" t="s">
        <v>40</v>
      </c>
      <c r="D1202">
        <v>3.7510870000000001</v>
      </c>
      <c r="E1202">
        <v>0.56068929999999995</v>
      </c>
      <c r="F1202" t="s">
        <v>45</v>
      </c>
      <c r="G1202">
        <v>-169.2955</v>
      </c>
      <c r="H1202">
        <v>1.319591</v>
      </c>
      <c r="I1202">
        <v>355.48770000000002</v>
      </c>
      <c r="J1202">
        <v>-269.83920000000001</v>
      </c>
      <c r="K1202">
        <v>1.1079699999999999</v>
      </c>
      <c r="L1202">
        <v>368.084</v>
      </c>
      <c r="M1202">
        <v>0.99987820000000005</v>
      </c>
      <c r="N1202">
        <v>-1.342019E-2</v>
      </c>
      <c r="O1202">
        <v>7.9763379999999995E-3</v>
      </c>
      <c r="P1202">
        <v>0.99092259999999999</v>
      </c>
      <c r="Q1202">
        <v>-0.13097980000000001</v>
      </c>
      <c r="R1202">
        <v>3.028001E-2</v>
      </c>
      <c r="S1202">
        <v>3.039917</v>
      </c>
      <c r="T1202">
        <v>6.3937899999999999E-3</v>
      </c>
      <c r="U1202">
        <v>-0.3800964</v>
      </c>
      <c r="V1202">
        <v>-2.237813E-2</v>
      </c>
      <c r="W1202">
        <v>-0.1176661</v>
      </c>
      <c r="X1202">
        <v>0.99280109999999999</v>
      </c>
      <c r="Y1202">
        <v>0.13198109999999999</v>
      </c>
      <c r="Z1202">
        <v>-6.2748320000000004E-4</v>
      </c>
      <c r="AA1202">
        <v>0.99125200000000002</v>
      </c>
      <c r="AB1202">
        <v>37</v>
      </c>
      <c r="AC1202">
        <v>100.5437</v>
      </c>
      <c r="AD1202">
        <v>0.211620999999999</v>
      </c>
      <c r="AE1202">
        <v>-12.5962999999999</v>
      </c>
      <c r="AF1202">
        <v>13.3978834921095</v>
      </c>
      <c r="AG1202">
        <v>0.211620999999999</v>
      </c>
      <c r="AH1202">
        <v>100.439581515469</v>
      </c>
      <c r="AI1202">
        <v>89.880340820224902</v>
      </c>
      <c r="AJ1202">
        <v>82.402027768243997</v>
      </c>
      <c r="AK1202">
        <v>101.32945080537201</v>
      </c>
      <c r="AL1202">
        <v>96.757425246603901</v>
      </c>
      <c r="AM1202">
        <v>91.291250910534501</v>
      </c>
      <c r="AN1202">
        <v>1.0000000579763499</v>
      </c>
    </row>
    <row r="1203" spans="1:40" x14ac:dyDescent="0.25">
      <c r="A1203" t="str">
        <f>"20190305134927352"</f>
        <v>20190305134927352</v>
      </c>
      <c r="B1203" t="str">
        <f>"1551764967342012"</f>
        <v>1551764967342012</v>
      </c>
      <c r="C1203" t="s">
        <v>40</v>
      </c>
      <c r="D1203">
        <v>3.9468899999999998</v>
      </c>
      <c r="E1203">
        <v>0.5612724</v>
      </c>
      <c r="F1203" t="s">
        <v>45</v>
      </c>
      <c r="G1203">
        <v>-169.2955</v>
      </c>
      <c r="H1203">
        <v>1.2842249999999999</v>
      </c>
      <c r="I1203">
        <v>355.48079999999999</v>
      </c>
      <c r="J1203">
        <v>-269.66759999999999</v>
      </c>
      <c r="K1203">
        <v>1.1081080000000001</v>
      </c>
      <c r="L1203">
        <v>368.08539999999999</v>
      </c>
      <c r="M1203">
        <v>0.99987709999999996</v>
      </c>
      <c r="N1203">
        <v>-1.350113E-2</v>
      </c>
      <c r="O1203">
        <v>7.9764380000000006E-3</v>
      </c>
      <c r="P1203">
        <v>0.9909057</v>
      </c>
      <c r="Q1203">
        <v>-0.13118350000000001</v>
      </c>
      <c r="R1203">
        <v>2.99479E-2</v>
      </c>
      <c r="S1203">
        <v>3.039825</v>
      </c>
      <c r="T1203">
        <v>5.3315159999999997E-3</v>
      </c>
      <c r="U1203">
        <v>-0.38104250000000001</v>
      </c>
      <c r="V1203">
        <v>-2.2046420000000001E-2</v>
      </c>
      <c r="W1203">
        <v>-0.11778959999999999</v>
      </c>
      <c r="X1203">
        <v>0.99279379999999995</v>
      </c>
      <c r="Y1203">
        <v>0.1322885</v>
      </c>
      <c r="Z1203">
        <v>-6.5978199999999895E-4</v>
      </c>
      <c r="AA1203">
        <v>0.99121110000000001</v>
      </c>
      <c r="AB1203">
        <v>37</v>
      </c>
      <c r="AC1203">
        <v>100.3721</v>
      </c>
      <c r="AD1203">
        <v>0.176116999999999</v>
      </c>
      <c r="AE1203">
        <v>-12.6046</v>
      </c>
      <c r="AF1203">
        <v>13.4048430789534</v>
      </c>
      <c r="AG1203">
        <v>0.176116999999999</v>
      </c>
      <c r="AH1203">
        <v>100.268053474101</v>
      </c>
      <c r="AI1203">
        <v>89.900249729049804</v>
      </c>
      <c r="AJ1203">
        <v>82.385275092173103</v>
      </c>
      <c r="AK1203">
        <v>101.160285599905</v>
      </c>
      <c r="AL1203">
        <v>96.764551343937299</v>
      </c>
      <c r="AM1203">
        <v>91.272126444837895</v>
      </c>
      <c r="AN1203">
        <v>0.99999998191070805</v>
      </c>
    </row>
    <row r="1204" spans="1:40" x14ac:dyDescent="0.25">
      <c r="A1204" t="str">
        <f>"20190305134927364"</f>
        <v>20190305134927364</v>
      </c>
      <c r="B1204" t="str">
        <f>"1551764967361532"</f>
        <v>1551764967361532</v>
      </c>
      <c r="C1204" t="s">
        <v>40</v>
      </c>
      <c r="D1204">
        <v>3.9191240000000001</v>
      </c>
      <c r="E1204">
        <v>0.56005329999999998</v>
      </c>
      <c r="F1204" t="s">
        <v>45</v>
      </c>
      <c r="G1204">
        <v>-169.2955</v>
      </c>
      <c r="H1204">
        <v>1.4686220000000001</v>
      </c>
      <c r="I1204">
        <v>355.33370000000002</v>
      </c>
      <c r="J1204">
        <v>-269.46089999999998</v>
      </c>
      <c r="K1204">
        <v>1.108258</v>
      </c>
      <c r="L1204">
        <v>368.08699999999999</v>
      </c>
      <c r="M1204">
        <v>0.99987590000000004</v>
      </c>
      <c r="N1204">
        <v>-1.3591290000000001E-2</v>
      </c>
      <c r="O1204">
        <v>7.9767099999999997E-3</v>
      </c>
      <c r="P1204">
        <v>0.99086459999999998</v>
      </c>
      <c r="Q1204">
        <v>-0.1314951</v>
      </c>
      <c r="R1204">
        <v>2.9945550000000001E-2</v>
      </c>
      <c r="S1204">
        <v>3.040619</v>
      </c>
      <c r="T1204">
        <v>1.0923860000000001E-2</v>
      </c>
      <c r="U1204">
        <v>-0.38629150000000001</v>
      </c>
      <c r="V1204">
        <v>-2.204441E-2</v>
      </c>
      <c r="W1204">
        <v>-0.1180123</v>
      </c>
      <c r="X1204">
        <v>0.99276739999999997</v>
      </c>
      <c r="Y1204">
        <v>0.1339417</v>
      </c>
      <c r="Z1204">
        <v>-5.3774300000000003E-4</v>
      </c>
      <c r="AA1204">
        <v>0.99098909999999996</v>
      </c>
      <c r="AB1204">
        <v>37</v>
      </c>
      <c r="AC1204">
        <v>100.165399999999</v>
      </c>
      <c r="AD1204">
        <v>0.36036399999999902</v>
      </c>
      <c r="AE1204">
        <v>-12.7532999999999</v>
      </c>
      <c r="AF1204">
        <v>13.551785665712099</v>
      </c>
      <c r="AG1204">
        <v>0.36036399999999902</v>
      </c>
      <c r="AH1204">
        <v>100.059199496386</v>
      </c>
      <c r="AI1204">
        <v>89.795516606269103</v>
      </c>
      <c r="AJ1204">
        <v>82.286925395246399</v>
      </c>
      <c r="AK1204">
        <v>100.973383427512</v>
      </c>
      <c r="AL1204">
        <v>96.777400714946793</v>
      </c>
      <c r="AM1204">
        <v>91.272044316179404</v>
      </c>
      <c r="AN1204">
        <v>0.999999984733148</v>
      </c>
    </row>
    <row r="1205" spans="1:40" x14ac:dyDescent="0.25">
      <c r="A1205" t="str">
        <f>"20190305134927375"</f>
        <v>20190305134927375</v>
      </c>
      <c r="B1205" t="str">
        <f>"1551764967372269"</f>
        <v>1551764967372269</v>
      </c>
      <c r="C1205" t="s">
        <v>40</v>
      </c>
      <c r="D1205">
        <v>3.9306839999999998</v>
      </c>
      <c r="E1205">
        <v>0.55913219999999997</v>
      </c>
      <c r="F1205" t="s">
        <v>45</v>
      </c>
      <c r="G1205">
        <v>-169.2955</v>
      </c>
      <c r="H1205">
        <v>1.2607189999999999</v>
      </c>
      <c r="I1205">
        <v>355.66640000000001</v>
      </c>
      <c r="J1205">
        <v>-269.2901</v>
      </c>
      <c r="K1205">
        <v>1.1083730000000001</v>
      </c>
      <c r="L1205">
        <v>368.08839999999998</v>
      </c>
      <c r="M1205">
        <v>0.99987479999999995</v>
      </c>
      <c r="N1205">
        <v>-1.366185E-2</v>
      </c>
      <c r="O1205">
        <v>7.9770550000000003E-3</v>
      </c>
      <c r="P1205">
        <v>0.99082230000000004</v>
      </c>
      <c r="Q1205">
        <v>-0.13184189999999901</v>
      </c>
      <c r="R1205">
        <v>2.981344E-2</v>
      </c>
      <c r="S1205">
        <v>3.0396730000000001</v>
      </c>
      <c r="T1205">
        <v>4.6293740000000003E-3</v>
      </c>
      <c r="U1205">
        <v>-0.3769226</v>
      </c>
      <c r="V1205">
        <v>-2.1912089999999999E-2</v>
      </c>
      <c r="W1205">
        <v>-0.11828950000000001</v>
      </c>
      <c r="X1205">
        <v>0.99273739999999999</v>
      </c>
      <c r="Y1205">
        <v>0.13097210000000001</v>
      </c>
      <c r="Z1205">
        <v>-6.7809629999999999E-4</v>
      </c>
      <c r="AA1205">
        <v>0.99138579999999998</v>
      </c>
      <c r="AB1205">
        <v>37</v>
      </c>
      <c r="AC1205">
        <v>99.994600000000005</v>
      </c>
      <c r="AD1205">
        <v>0.15234600000000001</v>
      </c>
      <c r="AE1205">
        <v>-12.421999999999899</v>
      </c>
      <c r="AF1205">
        <v>13.2193113911501</v>
      </c>
      <c r="AG1205">
        <v>0.15234600000000001</v>
      </c>
      <c r="AH1205">
        <v>99.892089281661995</v>
      </c>
      <c r="AI1205">
        <v>89.913373190176799</v>
      </c>
      <c r="AJ1205">
        <v>82.461513396238999</v>
      </c>
      <c r="AK1205">
        <v>100.763102889973</v>
      </c>
      <c r="AL1205">
        <v>96.793394721546704</v>
      </c>
      <c r="AM1205">
        <v>91.264449644465898</v>
      </c>
      <c r="AN1205">
        <v>1.00000004542858</v>
      </c>
    </row>
    <row r="1206" spans="1:40" x14ac:dyDescent="0.25">
      <c r="A1206" t="str">
        <f>"20190305134927385"</f>
        <v>20190305134927385</v>
      </c>
      <c r="B1206" t="str">
        <f>"1551764967382028"</f>
        <v>1551764967382028</v>
      </c>
      <c r="C1206" t="s">
        <v>40</v>
      </c>
      <c r="D1206">
        <v>3.9116240000000002</v>
      </c>
      <c r="E1206">
        <v>0.55841770000000002</v>
      </c>
      <c r="F1206" t="s">
        <v>45</v>
      </c>
      <c r="G1206">
        <v>-169.2955</v>
      </c>
      <c r="H1206">
        <v>0.99735070000000003</v>
      </c>
      <c r="I1206">
        <v>355.91699999999997</v>
      </c>
      <c r="J1206">
        <v>-269.10860000000002</v>
      </c>
      <c r="K1206">
        <v>1.1084830000000001</v>
      </c>
      <c r="L1206">
        <v>368.08980000000003</v>
      </c>
      <c r="M1206">
        <v>0.99987389999999998</v>
      </c>
      <c r="N1206">
        <v>-1.3732869999999999E-2</v>
      </c>
      <c r="O1206">
        <v>7.9772160000000005E-3</v>
      </c>
      <c r="P1206">
        <v>0.99082349999999997</v>
      </c>
      <c r="Q1206">
        <v>-0.1318532</v>
      </c>
      <c r="R1206">
        <v>2.971915E-2</v>
      </c>
      <c r="S1206">
        <v>3.0384519999999999</v>
      </c>
      <c r="T1206">
        <v>-3.3708810000000001E-3</v>
      </c>
      <c r="U1206">
        <v>-0.36984250000000002</v>
      </c>
      <c r="V1206">
        <v>-2.181756E-2</v>
      </c>
      <c r="W1206">
        <v>-0.1182303</v>
      </c>
      <c r="X1206">
        <v>0.99274649999999998</v>
      </c>
      <c r="Y1206">
        <v>0.12874279999999999</v>
      </c>
      <c r="Z1206">
        <v>-8.581296E-4</v>
      </c>
      <c r="AA1206">
        <v>0.99167760000000005</v>
      </c>
      <c r="AB1206">
        <v>37</v>
      </c>
      <c r="AC1206">
        <v>99.813100000000006</v>
      </c>
      <c r="AD1206">
        <v>-0.111132299999999</v>
      </c>
      <c r="AE1206">
        <v>-12.172800000000001</v>
      </c>
      <c r="AF1206">
        <v>12.968702498361299</v>
      </c>
      <c r="AG1206">
        <v>-0.111132299999999</v>
      </c>
      <c r="AH1206">
        <v>99.712687488744606</v>
      </c>
      <c r="AI1206">
        <v>90.063324218934</v>
      </c>
      <c r="AJ1206">
        <v>82.589667524078294</v>
      </c>
      <c r="AK1206">
        <v>100.55257152906201</v>
      </c>
      <c r="AL1206">
        <v>96.789979072593098</v>
      </c>
      <c r="AM1206">
        <v>91.258984959598294</v>
      </c>
      <c r="AN1206">
        <v>1.00000001151234</v>
      </c>
    </row>
    <row r="1207" spans="1:40" x14ac:dyDescent="0.25">
      <c r="A1207" t="str">
        <f>"20190305134927397"</f>
        <v>20190305134927397</v>
      </c>
      <c r="B1207" t="str">
        <f>"1551764967391788"</f>
        <v>1551764967391788</v>
      </c>
      <c r="C1207" t="s">
        <v>40</v>
      </c>
      <c r="D1207">
        <v>3.8904800000000002</v>
      </c>
      <c r="E1207">
        <v>0.5577993</v>
      </c>
      <c r="F1207" t="s">
        <v>45</v>
      </c>
      <c r="G1207">
        <v>-169.2955</v>
      </c>
      <c r="H1207">
        <v>0.87190820000000002</v>
      </c>
      <c r="I1207">
        <v>356.1182</v>
      </c>
      <c r="J1207">
        <v>-268.9212</v>
      </c>
      <c r="K1207">
        <v>1.108587</v>
      </c>
      <c r="L1207">
        <v>368.09129999999999</v>
      </c>
      <c r="M1207">
        <v>0.99987289999999995</v>
      </c>
      <c r="N1207">
        <v>-1.3801280000000001E-2</v>
      </c>
      <c r="O1207">
        <v>7.9772139999999998E-3</v>
      </c>
      <c r="P1207">
        <v>0.99078089999999996</v>
      </c>
      <c r="Q1207">
        <v>-0.132208299999999</v>
      </c>
      <c r="R1207">
        <v>2.9564529999999999E-2</v>
      </c>
      <c r="S1207">
        <v>3.03775</v>
      </c>
      <c r="T1207">
        <v>-7.1973799999999998E-3</v>
      </c>
      <c r="U1207">
        <v>-0.36434939999999999</v>
      </c>
      <c r="V1207">
        <v>-2.1663439999999999E-2</v>
      </c>
      <c r="W1207">
        <v>-0.118518</v>
      </c>
      <c r="X1207">
        <v>0.99271549999999997</v>
      </c>
      <c r="Y1207">
        <v>0.12700149999999999</v>
      </c>
      <c r="Z1207">
        <v>-9.386253E-4</v>
      </c>
      <c r="AA1207">
        <v>0.99190210000000001</v>
      </c>
      <c r="AB1207">
        <v>37</v>
      </c>
      <c r="AC1207">
        <v>99.625699999999995</v>
      </c>
      <c r="AD1207">
        <v>-0.23667879999999999</v>
      </c>
      <c r="AE1207">
        <v>-11.973099999999899</v>
      </c>
      <c r="AF1207">
        <v>12.767459187030299</v>
      </c>
      <c r="AG1207">
        <v>-0.23667879999999999</v>
      </c>
      <c r="AH1207">
        <v>99.526454660224502</v>
      </c>
      <c r="AI1207">
        <v>90.135144475873602</v>
      </c>
      <c r="AJ1207">
        <v>82.689903603758296</v>
      </c>
      <c r="AK1207">
        <v>100.34231015967499</v>
      </c>
      <c r="AL1207">
        <v>96.806580259110902</v>
      </c>
      <c r="AM1207">
        <v>91.2501333033007</v>
      </c>
      <c r="AN1207">
        <v>0.99999994244844004</v>
      </c>
    </row>
    <row r="1208" spans="1:40" x14ac:dyDescent="0.25">
      <c r="A1208" t="str">
        <f>"20190305134927409"</f>
        <v>20190305134927409</v>
      </c>
      <c r="B1208" t="str">
        <f>"1551764967401550"</f>
        <v>1551764967401550</v>
      </c>
      <c r="C1208" t="s">
        <v>40</v>
      </c>
      <c r="D1208">
        <v>3.9562279999999999</v>
      </c>
      <c r="E1208">
        <v>0.55737340000000002</v>
      </c>
      <c r="F1208" t="s">
        <v>45</v>
      </c>
      <c r="G1208">
        <v>-169.2955</v>
      </c>
      <c r="H1208">
        <v>0.75891690000000001</v>
      </c>
      <c r="I1208">
        <v>356.2833</v>
      </c>
      <c r="J1208">
        <v>-268.72449999999998</v>
      </c>
      <c r="K1208">
        <v>1.10869</v>
      </c>
      <c r="L1208">
        <v>368.09289999999999</v>
      </c>
      <c r="M1208">
        <v>0.99987199999999998</v>
      </c>
      <c r="N1208">
        <v>-1.387043E-2</v>
      </c>
      <c r="O1208">
        <v>7.9772639999999995E-3</v>
      </c>
      <c r="P1208">
        <v>0.99074649999999997</v>
      </c>
      <c r="Q1208">
        <v>-0.132551</v>
      </c>
      <c r="R1208">
        <v>2.9189059999999999E-2</v>
      </c>
      <c r="S1208">
        <v>3.0372309999999998</v>
      </c>
      <c r="T1208">
        <v>-1.065755E-2</v>
      </c>
      <c r="U1208">
        <v>-0.35998540000000001</v>
      </c>
      <c r="V1208">
        <v>-2.12883E-2</v>
      </c>
      <c r="W1208">
        <v>-0.1187926</v>
      </c>
      <c r="X1208">
        <v>0.99269090000000004</v>
      </c>
      <c r="Y1208">
        <v>0.1256149</v>
      </c>
      <c r="Z1208">
        <v>-1.011521E-3</v>
      </c>
      <c r="AA1208">
        <v>0.99207849999999997</v>
      </c>
      <c r="AB1208">
        <v>37</v>
      </c>
      <c r="AC1208">
        <v>99.428999999999903</v>
      </c>
      <c r="AD1208">
        <v>-0.349773099999999</v>
      </c>
      <c r="AE1208">
        <v>-11.8095999999999</v>
      </c>
      <c r="AF1208">
        <v>12.602318050059701</v>
      </c>
      <c r="AG1208">
        <v>-0.349773099999999</v>
      </c>
      <c r="AH1208">
        <v>99.330406195489005</v>
      </c>
      <c r="AI1208">
        <v>90.200150898131596</v>
      </c>
      <c r="AJ1208">
        <v>82.769360349699298</v>
      </c>
      <c r="AK1208">
        <v>100.127270792812</v>
      </c>
      <c r="AL1208">
        <v>96.822424895424703</v>
      </c>
      <c r="AM1208">
        <v>91.228522205772194</v>
      </c>
      <c r="AN1208">
        <v>1.00000004823722</v>
      </c>
    </row>
    <row r="1209" spans="1:40" x14ac:dyDescent="0.25">
      <c r="A1209" t="str">
        <f>"20190305134927421"</f>
        <v>20190305134927421</v>
      </c>
      <c r="B1209" t="str">
        <f>"1551764967412285"</f>
        <v>1551764967412285</v>
      </c>
      <c r="C1209" t="s">
        <v>40</v>
      </c>
      <c r="D1209">
        <v>3.8984179999999999</v>
      </c>
      <c r="E1209">
        <v>0.55698389999999998</v>
      </c>
      <c r="F1209" t="s">
        <v>45</v>
      </c>
      <c r="G1209">
        <v>-169.2955</v>
      </c>
      <c r="H1209">
        <v>0.66829110000000003</v>
      </c>
      <c r="I1209">
        <v>356.38029999999998</v>
      </c>
      <c r="J1209">
        <v>-268.52629999999999</v>
      </c>
      <c r="K1209">
        <v>1.108778</v>
      </c>
      <c r="L1209">
        <v>368.09449999999998</v>
      </c>
      <c r="M1209">
        <v>0.99987119999999996</v>
      </c>
      <c r="N1209">
        <v>-1.39334E-2</v>
      </c>
      <c r="O1209">
        <v>7.977296E-3</v>
      </c>
      <c r="P1209">
        <v>0.99071670000000001</v>
      </c>
      <c r="Q1209">
        <v>-0.13276470000000001</v>
      </c>
      <c r="R1209">
        <v>2.9226640000000002E-2</v>
      </c>
      <c r="S1209">
        <v>3.0367739999999999</v>
      </c>
      <c r="T1209">
        <v>-1.3447999999999899E-2</v>
      </c>
      <c r="U1209">
        <v>-0.35772710000000002</v>
      </c>
      <c r="V1209">
        <v>-2.1326250000000001E-2</v>
      </c>
      <c r="W1209">
        <v>-0.1189442</v>
      </c>
      <c r="X1209">
        <v>0.99267190000000005</v>
      </c>
      <c r="Y1209">
        <v>0.1249036</v>
      </c>
      <c r="Z1209">
        <v>-1.073276E-3</v>
      </c>
      <c r="AA1209">
        <v>0.9921683</v>
      </c>
      <c r="AB1209">
        <v>37</v>
      </c>
      <c r="AC1209">
        <v>99.230800000000002</v>
      </c>
      <c r="AD1209">
        <v>-0.44048690000000001</v>
      </c>
      <c r="AE1209">
        <v>-11.7142</v>
      </c>
      <c r="AF1209">
        <v>12.5052544030502</v>
      </c>
      <c r="AG1209">
        <v>-0.44048690000000001</v>
      </c>
      <c r="AH1209">
        <v>99.132258707692202</v>
      </c>
      <c r="AI1209">
        <v>90.252586149312293</v>
      </c>
      <c r="AJ1209">
        <v>82.810275724373398</v>
      </c>
      <c r="AK1209">
        <v>99.918867752206296</v>
      </c>
      <c r="AL1209">
        <v>96.831173177653397</v>
      </c>
      <c r="AM1209">
        <v>91.230735130573294</v>
      </c>
      <c r="AN1209">
        <v>1.00000001635115</v>
      </c>
    </row>
    <row r="1210" spans="1:40" x14ac:dyDescent="0.25">
      <c r="A1210" t="str">
        <f>"20190305134927432"</f>
        <v>20190305134927432</v>
      </c>
      <c r="B1210" t="str">
        <f>"1551764967422045"</f>
        <v>1551764967422045</v>
      </c>
      <c r="C1210" t="s">
        <v>40</v>
      </c>
      <c r="D1210">
        <v>3.6634600000000002</v>
      </c>
      <c r="E1210">
        <v>0.55698389999999998</v>
      </c>
      <c r="F1210" t="s">
        <v>45</v>
      </c>
      <c r="G1210">
        <v>-169.2955</v>
      </c>
      <c r="H1210">
        <v>0.58868310000000001</v>
      </c>
      <c r="I1210">
        <v>356.50659999999999</v>
      </c>
      <c r="J1210">
        <v>-268.33240000000001</v>
      </c>
      <c r="K1210">
        <v>1.108862</v>
      </c>
      <c r="L1210">
        <v>368.096</v>
      </c>
      <c r="M1210">
        <v>0.99987040000000005</v>
      </c>
      <c r="N1210">
        <v>-1.399298E-2</v>
      </c>
      <c r="O1210">
        <v>7.9774089999999995E-3</v>
      </c>
      <c r="P1210">
        <v>0.99064580000000002</v>
      </c>
      <c r="Q1210">
        <v>-0.13337189999999999</v>
      </c>
      <c r="R1210">
        <v>2.885909E-2</v>
      </c>
      <c r="S1210">
        <v>3.0364070000000001</v>
      </c>
      <c r="T1210">
        <v>-1.5911939999999999E-2</v>
      </c>
      <c r="U1210">
        <v>-0.3545837</v>
      </c>
      <c r="V1210">
        <v>-2.095897E-2</v>
      </c>
      <c r="W1210">
        <v>-0.11949319999999999</v>
      </c>
      <c r="X1210">
        <v>0.99261379999999999</v>
      </c>
      <c r="Y1210">
        <v>0.12390329999999999</v>
      </c>
      <c r="Z1210">
        <v>-1.12386E-3</v>
      </c>
      <c r="AA1210">
        <v>0.99229369999999995</v>
      </c>
      <c r="AB1210">
        <v>37</v>
      </c>
      <c r="AC1210">
        <v>99.036900000000003</v>
      </c>
      <c r="AD1210">
        <v>-0.5201789</v>
      </c>
      <c r="AE1210">
        <v>-11.589399999999999</v>
      </c>
      <c r="AF1210">
        <v>12.3788293801964</v>
      </c>
      <c r="AG1210">
        <v>-0.5201789</v>
      </c>
      <c r="AH1210">
        <v>98.938593011326802</v>
      </c>
      <c r="AI1210">
        <v>90.298904727926796</v>
      </c>
      <c r="AJ1210">
        <v>82.868423505100395</v>
      </c>
      <c r="AK1210">
        <v>99.711339324938294</v>
      </c>
      <c r="AL1210">
        <v>96.862854419764801</v>
      </c>
      <c r="AM1210">
        <v>91.209616577654202</v>
      </c>
      <c r="AN1210">
        <v>1.00000002961007</v>
      </c>
    </row>
    <row r="1211" spans="1:40" x14ac:dyDescent="0.25">
      <c r="A1211" t="str">
        <f>"20190305134927444"</f>
        <v>20190305134927444</v>
      </c>
      <c r="B1211" t="str">
        <f>"1551764967441564"</f>
        <v>1551764967441564</v>
      </c>
      <c r="C1211" t="s">
        <v>40</v>
      </c>
      <c r="D1211">
        <v>3.894854</v>
      </c>
      <c r="E1211">
        <v>0.55653350000000001</v>
      </c>
      <c r="F1211" t="s">
        <v>45</v>
      </c>
      <c r="G1211">
        <v>-169.2955</v>
      </c>
      <c r="H1211">
        <v>0.52871230000000002</v>
      </c>
      <c r="I1211">
        <v>356.49259999999998</v>
      </c>
      <c r="J1211">
        <v>-268.12880000000001</v>
      </c>
      <c r="K1211">
        <v>1.108935</v>
      </c>
      <c r="L1211">
        <v>368.09769999999997</v>
      </c>
      <c r="M1211">
        <v>0.99986949999999997</v>
      </c>
      <c r="N1211">
        <v>-1.4050409999999999E-2</v>
      </c>
      <c r="O1211">
        <v>7.9774770000000002E-3</v>
      </c>
      <c r="P1211">
        <v>0.99060939999999997</v>
      </c>
      <c r="Q1211">
        <v>-0.13369909999999999</v>
      </c>
      <c r="R1211">
        <v>2.8601649999999999E-2</v>
      </c>
      <c r="S1211">
        <v>3.0363159999999998</v>
      </c>
      <c r="T1211">
        <v>-1.7783759999999999E-2</v>
      </c>
      <c r="U1211">
        <v>-0.35574339999999999</v>
      </c>
      <c r="V1211">
        <v>-2.070222E-2</v>
      </c>
      <c r="W1211">
        <v>-0.11976390000000001</v>
      </c>
      <c r="X1211">
        <v>0.99258659999999999</v>
      </c>
      <c r="Y1211">
        <v>0.12427970000000001</v>
      </c>
      <c r="Z1211">
        <v>-1.173716E-3</v>
      </c>
      <c r="AA1211">
        <v>0.99224650000000003</v>
      </c>
      <c r="AB1211">
        <v>37</v>
      </c>
      <c r="AC1211">
        <v>98.833299999999994</v>
      </c>
      <c r="AD1211">
        <v>-0.58022269999999998</v>
      </c>
      <c r="AE1211">
        <v>-11.605099999999901</v>
      </c>
      <c r="AF1211">
        <v>12.392827517438599</v>
      </c>
      <c r="AG1211">
        <v>-0.58022269999999998</v>
      </c>
      <c r="AH1211">
        <v>98.734209262008093</v>
      </c>
      <c r="AI1211">
        <v>90.334079932770507</v>
      </c>
      <c r="AJ1211">
        <v>82.845816014758398</v>
      </c>
      <c r="AK1211">
        <v>99.510617076031593</v>
      </c>
      <c r="AL1211">
        <v>96.878476321877699</v>
      </c>
      <c r="AM1211">
        <v>91.194835677438505</v>
      </c>
      <c r="AN1211">
        <v>1.0000000660778401</v>
      </c>
    </row>
    <row r="1212" spans="1:40" x14ac:dyDescent="0.25">
      <c r="A1212" t="str">
        <f>"20190305134927458"</f>
        <v>20190305134927458</v>
      </c>
      <c r="B1212" t="str">
        <f>"1551764967452302"</f>
        <v>1551764967452302</v>
      </c>
      <c r="C1212" t="s">
        <v>40</v>
      </c>
      <c r="D1212">
        <v>3.9151259999999999</v>
      </c>
      <c r="E1212">
        <v>0.55636379999999996</v>
      </c>
      <c r="F1212" t="s">
        <v>45</v>
      </c>
      <c r="G1212">
        <v>-169.2955</v>
      </c>
      <c r="H1212">
        <v>0.4144697</v>
      </c>
      <c r="I1212">
        <v>356.61410000000001</v>
      </c>
      <c r="J1212">
        <v>-267.92039999999997</v>
      </c>
      <c r="K1212">
        <v>1.1090059999999999</v>
      </c>
      <c r="L1212">
        <v>368.09930000000003</v>
      </c>
      <c r="M1212">
        <v>0.99986870000000005</v>
      </c>
      <c r="N1212">
        <v>-1.4105319999999999E-2</v>
      </c>
      <c r="O1212">
        <v>7.9776209999999903E-3</v>
      </c>
      <c r="P1212">
        <v>0.99053939999999996</v>
      </c>
      <c r="Q1212">
        <v>-0.1342556</v>
      </c>
      <c r="R1212">
        <v>2.8411240000000001E-2</v>
      </c>
      <c r="S1212">
        <v>3.0357059999999998</v>
      </c>
      <c r="T1212">
        <v>-2.1328090000000001E-2</v>
      </c>
      <c r="U1212">
        <v>-0.35272219999999999</v>
      </c>
      <c r="V1212">
        <v>-2.0512119999999998E-2</v>
      </c>
      <c r="W1212">
        <v>-0.12026679999999999</v>
      </c>
      <c r="X1212">
        <v>0.99252969999999896</v>
      </c>
      <c r="Y1212">
        <v>0.1233268</v>
      </c>
      <c r="Z1212">
        <v>-1.248269E-3</v>
      </c>
      <c r="AA1212">
        <v>0.99236530000000001</v>
      </c>
      <c r="AB1212">
        <v>37</v>
      </c>
      <c r="AC1212">
        <v>98.624899999999897</v>
      </c>
      <c r="AD1212">
        <v>-0.6945363</v>
      </c>
      <c r="AE1212">
        <v>-11.485200000000001</v>
      </c>
      <c r="AF1212">
        <v>12.2711043824279</v>
      </c>
      <c r="AG1212">
        <v>-0.6945363</v>
      </c>
      <c r="AH1212">
        <v>98.525306524487206</v>
      </c>
      <c r="AI1212">
        <v>90.400793014324194</v>
      </c>
      <c r="AJ1212">
        <v>82.900498933829297</v>
      </c>
      <c r="AK1212">
        <v>99.288964186260998</v>
      </c>
      <c r="AL1212">
        <v>96.907500416556402</v>
      </c>
      <c r="AM1212">
        <v>91.183934977910596</v>
      </c>
      <c r="AN1212">
        <v>1.00000002781561</v>
      </c>
    </row>
    <row r="1213" spans="1:40" x14ac:dyDescent="0.25">
      <c r="A1213" t="str">
        <f>"20190305134927468"</f>
        <v>20190305134927468</v>
      </c>
      <c r="B1213" t="str">
        <f>"1551764967462059"</f>
        <v>1551764967462059</v>
      </c>
      <c r="C1213" t="s">
        <v>40</v>
      </c>
      <c r="D1213">
        <v>3.936404</v>
      </c>
      <c r="E1213">
        <v>0.55626709999999902</v>
      </c>
      <c r="F1213" t="s">
        <v>45</v>
      </c>
      <c r="G1213">
        <v>-168.9015</v>
      </c>
      <c r="H1213">
        <v>0.30177120000000002</v>
      </c>
      <c r="I1213">
        <v>356.61509999999998</v>
      </c>
      <c r="J1213">
        <v>-267.72480000000002</v>
      </c>
      <c r="K1213">
        <v>1.1090679999999999</v>
      </c>
      <c r="L1213">
        <v>368.10090000000002</v>
      </c>
      <c r="M1213">
        <v>0.99986810000000004</v>
      </c>
      <c r="N1213">
        <v>-1.415457E-2</v>
      </c>
      <c r="O1213">
        <v>7.9775660000000002E-3</v>
      </c>
      <c r="P1213">
        <v>0.99048769999999997</v>
      </c>
      <c r="Q1213">
        <v>-0.13464979999999999</v>
      </c>
      <c r="R1213">
        <v>2.835263E-2</v>
      </c>
      <c r="S1213">
        <v>3.035431</v>
      </c>
      <c r="T1213">
        <v>-2.4743080000000001E-2</v>
      </c>
      <c r="U1213">
        <v>-0.3520508</v>
      </c>
      <c r="V1213">
        <v>-2.0453989999999998E-2</v>
      </c>
      <c r="W1213">
        <v>-0.12061280000000001</v>
      </c>
      <c r="X1213">
        <v>0.99248890000000001</v>
      </c>
      <c r="Y1213">
        <v>0.12311850000000001</v>
      </c>
      <c r="Z1213">
        <v>-1.3267299999999999E-3</v>
      </c>
      <c r="AA1213">
        <v>0.99239109999999997</v>
      </c>
      <c r="AB1213">
        <v>37</v>
      </c>
      <c r="AC1213">
        <v>98.823300000000003</v>
      </c>
      <c r="AD1213">
        <v>-0.80729679999999904</v>
      </c>
      <c r="AE1213">
        <v>-11.485799999999999</v>
      </c>
      <c r="AF1213">
        <v>12.2730746202355</v>
      </c>
      <c r="AG1213">
        <v>-0.80729679999999904</v>
      </c>
      <c r="AH1213">
        <v>98.722016472399105</v>
      </c>
      <c r="AI1213">
        <v>90.464945338464901</v>
      </c>
      <c r="AJ1213">
        <v>82.913375142451201</v>
      </c>
      <c r="AK1213">
        <v>99.485258330738702</v>
      </c>
      <c r="AL1213">
        <v>96.927470212361897</v>
      </c>
      <c r="AM1213">
        <v>91.180629253418303</v>
      </c>
      <c r="AN1213">
        <v>1.0000000149269801</v>
      </c>
    </row>
    <row r="1214" spans="1:40" x14ac:dyDescent="0.25">
      <c r="A1214" t="str">
        <f>"20190305134927479"</f>
        <v>20190305134927479</v>
      </c>
      <c r="B1214" t="str">
        <f>"1551764967471820"</f>
        <v>1551764967471820</v>
      </c>
      <c r="C1214" t="s">
        <v>40</v>
      </c>
      <c r="D1214">
        <v>3.8993769999999999</v>
      </c>
      <c r="E1214">
        <v>0.55606029999999995</v>
      </c>
      <c r="F1214" t="s">
        <v>45</v>
      </c>
      <c r="G1214">
        <v>-168.6414</v>
      </c>
      <c r="H1214">
        <v>0.20334630000000001</v>
      </c>
      <c r="I1214">
        <v>356.61509999999998</v>
      </c>
      <c r="J1214">
        <v>-267.5505</v>
      </c>
      <c r="K1214">
        <v>1.1091150000000001</v>
      </c>
      <c r="L1214">
        <v>368.10230000000001</v>
      </c>
      <c r="M1214">
        <v>0.99986750000000002</v>
      </c>
      <c r="N1214">
        <v>-1.4193870000000001E-2</v>
      </c>
      <c r="O1214">
        <v>7.9776399999999994E-3</v>
      </c>
      <c r="P1214">
        <v>0.99042640000000004</v>
      </c>
      <c r="Q1214">
        <v>-0.1351455</v>
      </c>
      <c r="R1214">
        <v>2.8137059999999998E-2</v>
      </c>
      <c r="S1214">
        <v>3.0351560000000002</v>
      </c>
      <c r="T1214">
        <v>-2.774167E-2</v>
      </c>
      <c r="U1214">
        <v>-0.35183720000000002</v>
      </c>
      <c r="V1214">
        <v>-2.023894E-2</v>
      </c>
      <c r="W1214">
        <v>-0.12107030000000001</v>
      </c>
      <c r="X1214">
        <v>0.99243760000000003</v>
      </c>
      <c r="Y1214">
        <v>0.1230581</v>
      </c>
      <c r="Z1214">
        <v>-1.3966629999999901E-3</v>
      </c>
      <c r="AA1214">
        <v>0.99239849999999996</v>
      </c>
      <c r="AB1214">
        <v>37</v>
      </c>
      <c r="AC1214">
        <v>98.909099999999995</v>
      </c>
      <c r="AD1214">
        <v>-0.90576869999999998</v>
      </c>
      <c r="AE1214">
        <v>-11.4872</v>
      </c>
      <c r="AF1214">
        <v>12.274959325986799</v>
      </c>
      <c r="AG1214">
        <v>-0.90576869999999998</v>
      </c>
      <c r="AH1214">
        <v>98.806126176234898</v>
      </c>
      <c r="AI1214">
        <v>90.521216655008701</v>
      </c>
      <c r="AJ1214">
        <v>82.918270148184902</v>
      </c>
      <c r="AK1214">
        <v>99.569802718226697</v>
      </c>
      <c r="AL1214">
        <v>96.953876568964006</v>
      </c>
      <c r="AM1214">
        <v>91.168280132906901</v>
      </c>
      <c r="AN1214">
        <v>1.0000000110640801</v>
      </c>
    </row>
    <row r="1215" spans="1:40" x14ac:dyDescent="0.25">
      <c r="A1215" t="str">
        <f>"20190305134927491"</f>
        <v>20190305134927491</v>
      </c>
      <c r="B1215" t="str">
        <f>"1551764967481580"</f>
        <v>1551764967481580</v>
      </c>
      <c r="C1215" t="s">
        <v>40</v>
      </c>
      <c r="D1215">
        <v>3.8932980000000001</v>
      </c>
      <c r="E1215">
        <v>0.55587299999999995</v>
      </c>
      <c r="F1215" t="s">
        <v>45</v>
      </c>
      <c r="G1215">
        <v>-168.09289999999999</v>
      </c>
      <c r="H1215">
        <v>0.13046930000000001</v>
      </c>
      <c r="I1215">
        <v>356.61509999999998</v>
      </c>
      <c r="J1215">
        <v>-267.36520000000002</v>
      </c>
      <c r="K1215">
        <v>1.109159</v>
      </c>
      <c r="L1215">
        <v>368.10379999999998</v>
      </c>
      <c r="M1215">
        <v>0.9998669</v>
      </c>
      <c r="N1215">
        <v>-1.423492E-2</v>
      </c>
      <c r="O1215">
        <v>7.9776420000000001E-3</v>
      </c>
      <c r="P1215">
        <v>0.9904191</v>
      </c>
      <c r="Q1215">
        <v>-0.1352293</v>
      </c>
      <c r="R1215">
        <v>2.7980789999999998E-2</v>
      </c>
      <c r="S1215">
        <v>3.0348820000000001</v>
      </c>
      <c r="T1215">
        <v>-2.9860020000000001E-2</v>
      </c>
      <c r="U1215">
        <v>-0.35052489999999997</v>
      </c>
      <c r="V1215">
        <v>-2.008267E-2</v>
      </c>
      <c r="W1215">
        <v>-0.1211136</v>
      </c>
      <c r="X1215">
        <v>0.99243550000000003</v>
      </c>
      <c r="Y1215">
        <v>0.1226435</v>
      </c>
      <c r="Z1215">
        <v>-1.4422839999999901E-3</v>
      </c>
      <c r="AA1215">
        <v>0.99244980000000005</v>
      </c>
      <c r="AB1215">
        <v>37</v>
      </c>
      <c r="AC1215">
        <v>99.272300000000001</v>
      </c>
      <c r="AD1215">
        <v>-0.978689699999999</v>
      </c>
      <c r="AE1215">
        <v>-11.4886999999999</v>
      </c>
      <c r="AF1215">
        <v>12.2791957414473</v>
      </c>
      <c r="AG1215">
        <v>-0.978689699999999</v>
      </c>
      <c r="AH1215">
        <v>99.167967284918006</v>
      </c>
      <c r="AI1215">
        <v>90.561149175476501</v>
      </c>
      <c r="AJ1215">
        <v>82.941438102243794</v>
      </c>
      <c r="AK1215">
        <v>99.930086645655507</v>
      </c>
      <c r="AL1215">
        <v>96.9563758074232</v>
      </c>
      <c r="AM1215">
        <v>91.159264468609507</v>
      </c>
      <c r="AN1215">
        <v>1.00000001969976</v>
      </c>
    </row>
    <row r="1216" spans="1:40" x14ac:dyDescent="0.25">
      <c r="A1216" t="str">
        <f>"20190305134927503"</f>
        <v>20190305134927503</v>
      </c>
      <c r="B1216" t="str">
        <f>"1551764967492316"</f>
        <v>1551764967492316</v>
      </c>
      <c r="C1216" t="s">
        <v>40</v>
      </c>
      <c r="D1216">
        <v>3.906218</v>
      </c>
      <c r="E1216">
        <v>0.55561799999999995</v>
      </c>
      <c r="F1216" t="s">
        <v>45</v>
      </c>
      <c r="G1216">
        <v>-167.5291</v>
      </c>
      <c r="H1216">
        <v>8.4649089999999996E-2</v>
      </c>
      <c r="I1216">
        <v>356.61509999999998</v>
      </c>
      <c r="J1216">
        <v>-267.1728</v>
      </c>
      <c r="K1216">
        <v>1.109202</v>
      </c>
      <c r="L1216">
        <v>368.1053</v>
      </c>
      <c r="M1216">
        <v>0.99986640000000004</v>
      </c>
      <c r="N1216">
        <v>-1.4273299999999999E-2</v>
      </c>
      <c r="O1216">
        <v>7.9777210000000001E-3</v>
      </c>
      <c r="P1216">
        <v>0.99039639999999995</v>
      </c>
      <c r="Q1216">
        <v>-0.13536999999999999</v>
      </c>
      <c r="R1216">
        <v>2.8107839999999999E-2</v>
      </c>
      <c r="S1216">
        <v>3.034637</v>
      </c>
      <c r="T1216">
        <v>-3.1138539999999999E-2</v>
      </c>
      <c r="U1216">
        <v>-0.34921259999999998</v>
      </c>
      <c r="V1216">
        <v>-2.0210189999999999E-2</v>
      </c>
      <c r="W1216">
        <v>-0.1212165</v>
      </c>
      <c r="X1216">
        <v>0.99242030000000003</v>
      </c>
      <c r="Y1216">
        <v>0.1222283</v>
      </c>
      <c r="Z1216">
        <v>-1.4683929999999999E-3</v>
      </c>
      <c r="AA1216">
        <v>0.99250090000000002</v>
      </c>
      <c r="AB1216">
        <v>37</v>
      </c>
      <c r="AC1216">
        <v>99.643699999999995</v>
      </c>
      <c r="AD1216">
        <v>-1.0245529099999999</v>
      </c>
      <c r="AE1216">
        <v>-11.4902</v>
      </c>
      <c r="AF1216">
        <v>12.2835632156866</v>
      </c>
      <c r="AG1216">
        <v>-1.0245529099999999</v>
      </c>
      <c r="AH1216">
        <v>99.538468099753004</v>
      </c>
      <c r="AI1216">
        <v>90.585287152483303</v>
      </c>
      <c r="AJ1216">
        <v>82.964971539460194</v>
      </c>
      <c r="AK1216">
        <v>100.298765025222</v>
      </c>
      <c r="AL1216">
        <v>96.962315638479495</v>
      </c>
      <c r="AM1216">
        <v>91.166641347215204</v>
      </c>
      <c r="AN1216">
        <v>0.99999997175208699</v>
      </c>
    </row>
    <row r="1217" spans="1:40" x14ac:dyDescent="0.25">
      <c r="A1217" t="str">
        <f>"20190305134927514"</f>
        <v>20190305134927514</v>
      </c>
      <c r="B1217" t="str">
        <f>"1551764967511837"</f>
        <v>1551764967511837</v>
      </c>
      <c r="C1217" t="s">
        <v>40</v>
      </c>
      <c r="D1217">
        <v>3.9021490000000001</v>
      </c>
      <c r="E1217">
        <v>0.55541719999999895</v>
      </c>
      <c r="F1217" t="s">
        <v>43</v>
      </c>
      <c r="G1217">
        <v>-161.2286</v>
      </c>
      <c r="H1217">
        <v>-0.05</v>
      </c>
      <c r="I1217">
        <v>355.9948</v>
      </c>
      <c r="J1217">
        <v>-266.97879999999998</v>
      </c>
      <c r="K1217">
        <v>1.109246</v>
      </c>
      <c r="L1217">
        <v>368.10680000000002</v>
      </c>
      <c r="M1217">
        <v>0.99986589999999997</v>
      </c>
      <c r="N1217">
        <v>-1.431026E-2</v>
      </c>
      <c r="O1217">
        <v>7.9776329999999996E-3</v>
      </c>
      <c r="P1217">
        <v>0.99040379999999995</v>
      </c>
      <c r="Q1217">
        <v>-0.1353007</v>
      </c>
      <c r="R1217">
        <v>2.8181910000000001E-2</v>
      </c>
      <c r="S1217">
        <v>3.0343930000000001</v>
      </c>
      <c r="T1217">
        <v>-3.3201219999999997E-2</v>
      </c>
      <c r="U1217">
        <v>-0.34686280000000003</v>
      </c>
      <c r="V1217">
        <v>-2.0283800000000001E-2</v>
      </c>
      <c r="W1217">
        <v>-0.1211103</v>
      </c>
      <c r="X1217">
        <v>0.99243179999999998</v>
      </c>
      <c r="Y1217">
        <v>0.1214773</v>
      </c>
      <c r="Z1217">
        <v>-1.50774E-3</v>
      </c>
      <c r="AA1217">
        <v>0.99259310000000001</v>
      </c>
      <c r="AB1217">
        <v>37</v>
      </c>
      <c r="AC1217">
        <v>105.750199999999</v>
      </c>
      <c r="AD1217">
        <v>-1.159246</v>
      </c>
      <c r="AE1217">
        <v>-12.112</v>
      </c>
      <c r="AF1217">
        <v>12.9538005955249</v>
      </c>
      <c r="AG1217">
        <v>-1.159246</v>
      </c>
      <c r="AH1217">
        <v>105.63766927431401</v>
      </c>
      <c r="AI1217">
        <v>90.624052819525403</v>
      </c>
      <c r="AJ1217">
        <v>83.009016497780195</v>
      </c>
      <c r="AK1217">
        <v>106.435247784118</v>
      </c>
      <c r="AL1217">
        <v>96.9561854146407</v>
      </c>
      <c r="AM1217">
        <v>91.170875769145297</v>
      </c>
      <c r="AN1217">
        <v>1.00000000747988</v>
      </c>
    </row>
    <row r="1218" spans="1:40" x14ac:dyDescent="0.25">
      <c r="A1218" t="str">
        <f>"20190305134927527"</f>
        <v>20190305134927527</v>
      </c>
      <c r="B1218" t="str">
        <f>"1551764967521597"</f>
        <v>1551764967521597</v>
      </c>
      <c r="C1218" t="s">
        <v>40</v>
      </c>
      <c r="D1218">
        <v>3.8909180000000001</v>
      </c>
      <c r="E1218">
        <v>0.55527629999999994</v>
      </c>
      <c r="F1218" t="s">
        <v>44</v>
      </c>
      <c r="G1218">
        <v>-177.3424</v>
      </c>
      <c r="H1218">
        <v>7.9988000000000004E-2</v>
      </c>
      <c r="I1218">
        <v>357.9092</v>
      </c>
      <c r="J1218">
        <v>-266.7568</v>
      </c>
      <c r="K1218">
        <v>1.1092879999999901</v>
      </c>
      <c r="L1218">
        <v>368.10860000000002</v>
      </c>
      <c r="M1218">
        <v>0.99986520000000001</v>
      </c>
      <c r="N1218">
        <v>-1.4349590000000001E-2</v>
      </c>
      <c r="O1218">
        <v>7.9778260000000004E-3</v>
      </c>
      <c r="P1218">
        <v>0.99042479999999999</v>
      </c>
      <c r="Q1218">
        <v>-0.13513520000000001</v>
      </c>
      <c r="R1218">
        <v>2.823254E-2</v>
      </c>
      <c r="S1218">
        <v>3.0341490000000002</v>
      </c>
      <c r="T1218">
        <v>-3.4839870000000002E-2</v>
      </c>
      <c r="U1218">
        <v>-0.3451843</v>
      </c>
      <c r="V1218">
        <v>-2.0334000000000001E-2</v>
      </c>
      <c r="W1218">
        <v>-0.1209055</v>
      </c>
      <c r="X1218">
        <v>0.99245570000000005</v>
      </c>
      <c r="Y1218">
        <v>0.1209433</v>
      </c>
      <c r="Z1218">
        <v>-1.539971E-3</v>
      </c>
      <c r="AA1218">
        <v>0.99265820000000005</v>
      </c>
      <c r="AB1218">
        <v>37</v>
      </c>
      <c r="AC1218">
        <v>89.414400000000001</v>
      </c>
      <c r="AD1218">
        <v>-1.0293000000000001</v>
      </c>
      <c r="AE1218">
        <v>-10.199400000000001</v>
      </c>
      <c r="AF1218">
        <v>10.9110540211919</v>
      </c>
      <c r="AG1218">
        <v>-1.0293000000000001</v>
      </c>
      <c r="AH1218">
        <v>89.318492411092706</v>
      </c>
      <c r="AI1218">
        <v>90.6553718345329</v>
      </c>
      <c r="AJ1218">
        <v>83.035314671145002</v>
      </c>
      <c r="AK1218">
        <v>89.988352829317904</v>
      </c>
      <c r="AL1218">
        <v>96.944364676265096</v>
      </c>
      <c r="AM1218">
        <v>91.173744479635005</v>
      </c>
      <c r="AN1218">
        <v>0.99999996397436897</v>
      </c>
    </row>
    <row r="1219" spans="1:40" x14ac:dyDescent="0.25">
      <c r="A1219" t="str">
        <f>"20190305134927543"</f>
        <v>20190305134927543</v>
      </c>
      <c r="B1219" t="str">
        <f>"1551764967532332"</f>
        <v>1551764967532332</v>
      </c>
      <c r="C1219" t="s">
        <v>40</v>
      </c>
      <c r="D1219">
        <v>3.9183340000000002</v>
      </c>
      <c r="E1219">
        <v>0.55528750000000004</v>
      </c>
      <c r="F1219" t="s">
        <v>44</v>
      </c>
      <c r="G1219">
        <v>-177.0727</v>
      </c>
      <c r="H1219">
        <v>7.9988020000000007E-2</v>
      </c>
      <c r="I1219">
        <v>357.94670000000002</v>
      </c>
      <c r="J1219">
        <v>-266.5163</v>
      </c>
      <c r="K1219">
        <v>1.1093230000000001</v>
      </c>
      <c r="L1219">
        <v>368.11059999999998</v>
      </c>
      <c r="M1219">
        <v>0.99986470000000005</v>
      </c>
      <c r="N1219">
        <v>-1.438796E-2</v>
      </c>
      <c r="O1219">
        <v>7.9779059999999999E-3</v>
      </c>
      <c r="P1219">
        <v>0.9904693</v>
      </c>
      <c r="Q1219">
        <v>-0.13473540000000001</v>
      </c>
      <c r="R1219">
        <v>2.8582300000000001E-2</v>
      </c>
      <c r="S1219">
        <v>3.034027</v>
      </c>
      <c r="T1219">
        <v>-3.4821390000000001E-2</v>
      </c>
      <c r="U1219">
        <v>-0.34378049999999999</v>
      </c>
      <c r="V1219">
        <v>-2.0683409999999999E-2</v>
      </c>
      <c r="W1219">
        <v>-0.1204669</v>
      </c>
      <c r="X1219">
        <v>0.99250190000000005</v>
      </c>
      <c r="Y1219">
        <v>0.1204945</v>
      </c>
      <c r="Z1219">
        <v>-1.5357979999999999E-3</v>
      </c>
      <c r="AA1219">
        <v>0.99271279999999995</v>
      </c>
      <c r="AB1219">
        <v>37</v>
      </c>
      <c r="AC1219">
        <v>89.443600000000004</v>
      </c>
      <c r="AD1219">
        <v>-1.02933498</v>
      </c>
      <c r="AE1219">
        <v>-10.1638999999999</v>
      </c>
      <c r="AF1219">
        <v>10.8758009384355</v>
      </c>
      <c r="AG1219">
        <v>-1.02933498</v>
      </c>
      <c r="AH1219">
        <v>89.347975649395096</v>
      </c>
      <c r="AI1219">
        <v>90.655212087474098</v>
      </c>
      <c r="AJ1219">
        <v>83.059865798590806</v>
      </c>
      <c r="AK1219">
        <v>90.013350838630799</v>
      </c>
      <c r="AL1219">
        <v>96.9190491172929</v>
      </c>
      <c r="AM1219">
        <v>91.193852211210796</v>
      </c>
      <c r="AN1219">
        <v>1.0000000494742201</v>
      </c>
    </row>
    <row r="1220" spans="1:40" x14ac:dyDescent="0.25">
      <c r="A1220" t="str">
        <f>"20190305134927555"</f>
        <v>20190305134927555</v>
      </c>
      <c r="B1220" t="str">
        <f>"1551764967551853"</f>
        <v>1551764967551853</v>
      </c>
      <c r="C1220" t="s">
        <v>40</v>
      </c>
      <c r="D1220">
        <v>3.9241700000000002</v>
      </c>
      <c r="E1220">
        <v>0.55524459999999998</v>
      </c>
      <c r="F1220" t="s">
        <v>43</v>
      </c>
      <c r="G1220">
        <v>-160.70509999999999</v>
      </c>
      <c r="H1220">
        <v>-0.05</v>
      </c>
      <c r="I1220">
        <v>356.1542</v>
      </c>
      <c r="J1220">
        <v>-266.30360000000002</v>
      </c>
      <c r="K1220">
        <v>1.1093519999999999</v>
      </c>
      <c r="L1220">
        <v>368.11219999999997</v>
      </c>
      <c r="M1220">
        <v>0.99986430000000004</v>
      </c>
      <c r="N1220">
        <v>-1.4419619999999999E-2</v>
      </c>
      <c r="O1220">
        <v>7.9778550000000007E-3</v>
      </c>
      <c r="P1220">
        <v>0.99048349999999996</v>
      </c>
      <c r="Q1220">
        <v>-0.13454150000000001</v>
      </c>
      <c r="R1220">
        <v>2.9004499999999999E-2</v>
      </c>
      <c r="S1220">
        <v>3.0342709999999999</v>
      </c>
      <c r="T1220">
        <v>-3.3245089999999998E-2</v>
      </c>
      <c r="U1220">
        <v>-0.34286499999999998</v>
      </c>
      <c r="V1220">
        <v>-2.1105200000000001E-2</v>
      </c>
      <c r="W1220">
        <v>-0.1202414</v>
      </c>
      <c r="X1220">
        <v>0.99252030000000002</v>
      </c>
      <c r="Y1220">
        <v>0.1201909</v>
      </c>
      <c r="Z1220">
        <v>-1.49820799999999E-3</v>
      </c>
      <c r="AA1220">
        <v>0.99274969999999996</v>
      </c>
      <c r="AB1220">
        <v>37</v>
      </c>
      <c r="AC1220">
        <v>105.5985</v>
      </c>
      <c r="AD1220">
        <v>-1.1593519999999999</v>
      </c>
      <c r="AE1220">
        <v>-11.957999999999901</v>
      </c>
      <c r="AF1220">
        <v>12.7986332543472</v>
      </c>
      <c r="AG1220">
        <v>-1.1593519999999999</v>
      </c>
      <c r="AH1220">
        <v>105.487175707549</v>
      </c>
      <c r="AI1220">
        <v>90.625097548938797</v>
      </c>
      <c r="AJ1220">
        <v>83.082184136269703</v>
      </c>
      <c r="AK1220">
        <v>106.26708497458</v>
      </c>
      <c r="AL1220">
        <v>96.906034763934002</v>
      </c>
      <c r="AM1220">
        <v>91.218168208111607</v>
      </c>
      <c r="AN1220">
        <v>0.99999998482654395</v>
      </c>
    </row>
    <row r="1221" spans="1:40" x14ac:dyDescent="0.25">
      <c r="A1221" t="str">
        <f>"20190305134927565"</f>
        <v>20190305134927565</v>
      </c>
      <c r="B1221" t="str">
        <f>"1551764967561613"</f>
        <v>1551764967561613</v>
      </c>
      <c r="C1221" t="s">
        <v>40</v>
      </c>
      <c r="D1221">
        <v>3.880986</v>
      </c>
      <c r="E1221">
        <v>0.55523809999999996</v>
      </c>
      <c r="F1221" t="s">
        <v>43</v>
      </c>
      <c r="G1221">
        <v>-161.5453</v>
      </c>
      <c r="H1221">
        <v>-0.05</v>
      </c>
      <c r="I1221">
        <v>356.33580000000001</v>
      </c>
      <c r="J1221">
        <v>-266.13299999999998</v>
      </c>
      <c r="K1221">
        <v>1.1093729999999999</v>
      </c>
      <c r="L1221">
        <v>368.11360000000002</v>
      </c>
      <c r="M1221">
        <v>0.99986399999999998</v>
      </c>
      <c r="N1221">
        <v>-1.4443249999999999E-2</v>
      </c>
      <c r="O1221">
        <v>7.9778639999999994E-3</v>
      </c>
      <c r="P1221">
        <v>0.99048449999999999</v>
      </c>
      <c r="Q1221">
        <v>-0.13445409999999999</v>
      </c>
      <c r="R1221">
        <v>2.937712E-2</v>
      </c>
      <c r="S1221">
        <v>3.0342410000000002</v>
      </c>
      <c r="T1221">
        <v>-3.3579709999999999E-2</v>
      </c>
      <c r="U1221">
        <v>-0.34109499999999998</v>
      </c>
      <c r="V1221">
        <v>-2.147843E-2</v>
      </c>
      <c r="W1221">
        <v>-0.1201305</v>
      </c>
      <c r="X1221">
        <v>0.99252580000000001</v>
      </c>
      <c r="Y1221">
        <v>0.11962</v>
      </c>
      <c r="Z1221">
        <v>-1.4996429999999999E-3</v>
      </c>
      <c r="AA1221">
        <v>0.9928186</v>
      </c>
      <c r="AB1221">
        <v>37</v>
      </c>
      <c r="AC1221">
        <v>104.587699999999</v>
      </c>
      <c r="AD1221">
        <v>-1.159373</v>
      </c>
      <c r="AE1221">
        <v>-11.777799999999999</v>
      </c>
      <c r="AF1221">
        <v>12.6103683140466</v>
      </c>
      <c r="AG1221">
        <v>-1.159373</v>
      </c>
      <c r="AH1221">
        <v>104.477721897225</v>
      </c>
      <c r="AI1221">
        <v>90.631195525467405</v>
      </c>
      <c r="AJ1221">
        <v>83.117742281774198</v>
      </c>
      <c r="AK1221">
        <v>105.24238645908299</v>
      </c>
      <c r="AL1221">
        <v>96.899633733380796</v>
      </c>
      <c r="AM1221">
        <v>91.239697088386805</v>
      </c>
      <c r="AN1221">
        <v>1.00000006182557</v>
      </c>
    </row>
    <row r="1222" spans="1:40" x14ac:dyDescent="0.25">
      <c r="A1222" t="str">
        <f>"20190305134927576"</f>
        <v>20190305134927576</v>
      </c>
      <c r="B1222" t="str">
        <f>"1551764967572350"</f>
        <v>1551764967572350</v>
      </c>
      <c r="C1222" t="s">
        <v>40</v>
      </c>
      <c r="D1222">
        <v>3.9111799999999999</v>
      </c>
      <c r="E1222">
        <v>0.55525930000000001</v>
      </c>
      <c r="F1222" t="s">
        <v>43</v>
      </c>
      <c r="G1222">
        <v>-161.22890000000001</v>
      </c>
      <c r="H1222">
        <v>-0.05</v>
      </c>
      <c r="I1222">
        <v>356.3655</v>
      </c>
      <c r="J1222">
        <v>-265.96949999999998</v>
      </c>
      <c r="K1222">
        <v>1.1093930000000001</v>
      </c>
      <c r="L1222">
        <v>368.11489999999998</v>
      </c>
      <c r="M1222">
        <v>0.99986359999999996</v>
      </c>
      <c r="N1222">
        <v>-1.4464329999999999E-2</v>
      </c>
      <c r="O1222">
        <v>7.9778290000000005E-3</v>
      </c>
      <c r="P1222">
        <v>0.99048040000000004</v>
      </c>
      <c r="Q1222">
        <v>-0.13438919999999999</v>
      </c>
      <c r="R1222">
        <v>2.979909E-2</v>
      </c>
      <c r="S1222">
        <v>3.0343629999999999</v>
      </c>
      <c r="T1222">
        <v>-3.3535000000000002E-2</v>
      </c>
      <c r="U1222">
        <v>-0.33981319999999998</v>
      </c>
      <c r="V1222">
        <v>-2.189986E-2</v>
      </c>
      <c r="W1222">
        <v>-0.1200447</v>
      </c>
      <c r="X1222">
        <v>0.99252689999999999</v>
      </c>
      <c r="Y1222">
        <v>0.1192014</v>
      </c>
      <c r="Z1222">
        <v>-1.4943669999999999E-3</v>
      </c>
      <c r="AA1222">
        <v>0.992869</v>
      </c>
      <c r="AB1222">
        <v>37</v>
      </c>
      <c r="AC1222">
        <v>104.74059999999901</v>
      </c>
      <c r="AD1222">
        <v>-1.1593929999999999</v>
      </c>
      <c r="AE1222">
        <v>-11.7493999999999</v>
      </c>
      <c r="AF1222">
        <v>12.583193384068601</v>
      </c>
      <c r="AG1222">
        <v>-1.1593929999999999</v>
      </c>
      <c r="AH1222">
        <v>104.630860823191</v>
      </c>
      <c r="AI1222">
        <v>90.630315308177501</v>
      </c>
      <c r="AJ1222">
        <v>83.142387193123497</v>
      </c>
      <c r="AK1222">
        <v>105.391166539095</v>
      </c>
      <c r="AL1222">
        <v>96.894682414865002</v>
      </c>
      <c r="AM1222">
        <v>91.264012068418594</v>
      </c>
      <c r="AN1222">
        <v>0.999999990544859</v>
      </c>
    </row>
    <row r="1223" spans="1:40" x14ac:dyDescent="0.25">
      <c r="A1223" t="str">
        <f>"20190305134927586"</f>
        <v>20190305134927586</v>
      </c>
      <c r="B1223" t="str">
        <f>"1551764967582108"</f>
        <v>1551764967582108</v>
      </c>
      <c r="C1223" t="s">
        <v>40</v>
      </c>
      <c r="D1223">
        <v>3.8949820000000002</v>
      </c>
      <c r="E1223">
        <v>0.55530459999999904</v>
      </c>
      <c r="F1223" t="s">
        <v>43</v>
      </c>
      <c r="G1223">
        <v>-161.36179999999999</v>
      </c>
      <c r="H1223">
        <v>-0.05</v>
      </c>
      <c r="I1223">
        <v>356.43619999999999</v>
      </c>
      <c r="J1223">
        <v>-265.77609999999999</v>
      </c>
      <c r="K1223">
        <v>1.1094139999999999</v>
      </c>
      <c r="L1223">
        <v>368.11649999999997</v>
      </c>
      <c r="M1223">
        <v>0.99986330000000001</v>
      </c>
      <c r="N1223">
        <v>-1.448807E-2</v>
      </c>
      <c r="O1223">
        <v>7.9778360000000003E-3</v>
      </c>
      <c r="P1223">
        <v>0.99042300000000005</v>
      </c>
      <c r="Q1223">
        <v>-0.13469629999999999</v>
      </c>
      <c r="R1223">
        <v>3.0321250000000001E-2</v>
      </c>
      <c r="S1223">
        <v>3.0344540000000002</v>
      </c>
      <c r="T1223">
        <v>-3.3631559999999998E-2</v>
      </c>
      <c r="U1223">
        <v>-0.33877560000000001</v>
      </c>
      <c r="V1223">
        <v>-2.2422999999999998E-2</v>
      </c>
      <c r="W1223">
        <v>-0.1203289</v>
      </c>
      <c r="X1223">
        <v>0.99248080000000005</v>
      </c>
      <c r="Y1223">
        <v>0.1188627</v>
      </c>
      <c r="Z1223">
        <v>-1.4933829999999901E-3</v>
      </c>
      <c r="AA1223">
        <v>0.99290959999999995</v>
      </c>
      <c r="AB1223">
        <v>37</v>
      </c>
      <c r="AC1223">
        <v>104.4143</v>
      </c>
      <c r="AD1223">
        <v>-1.1594139999999999</v>
      </c>
      <c r="AE1223">
        <v>-11.6802999999999</v>
      </c>
      <c r="AF1223">
        <v>12.5114921646316</v>
      </c>
      <c r="AG1223">
        <v>-1.1594139999999999</v>
      </c>
      <c r="AH1223">
        <v>104.305081495344</v>
      </c>
      <c r="AI1223">
        <v>90.632318624396206</v>
      </c>
      <c r="AJ1223">
        <v>83.159997852261597</v>
      </c>
      <c r="AK1223">
        <v>105.059181906006</v>
      </c>
      <c r="AL1223">
        <v>96.911084797915095</v>
      </c>
      <c r="AM1223">
        <v>91.294256510466198</v>
      </c>
      <c r="AN1223">
        <v>0.99999998673642498</v>
      </c>
    </row>
    <row r="1224" spans="1:40" x14ac:dyDescent="0.25">
      <c r="A1224" t="str">
        <f>"20190305134927598"</f>
        <v>20190305134927598</v>
      </c>
      <c r="B1224" t="str">
        <f>"1551764967591868"</f>
        <v>1551764967591868</v>
      </c>
      <c r="C1224" t="s">
        <v>40</v>
      </c>
      <c r="D1224">
        <v>3.8658399999999999</v>
      </c>
      <c r="E1224">
        <v>0.55532669999999995</v>
      </c>
      <c r="F1224" t="s">
        <v>44</v>
      </c>
      <c r="G1224">
        <v>-175.3897</v>
      </c>
      <c r="H1224">
        <v>7.9988080000000003E-2</v>
      </c>
      <c r="I1224">
        <v>358.05430000000001</v>
      </c>
      <c r="J1224">
        <v>-265.60059999999999</v>
      </c>
      <c r="K1224">
        <v>1.109432</v>
      </c>
      <c r="L1224">
        <v>368.11790000000002</v>
      </c>
      <c r="M1224">
        <v>0.99986299999999995</v>
      </c>
      <c r="N1224">
        <v>-1.4507600000000001E-2</v>
      </c>
      <c r="O1224">
        <v>7.9776929999999992E-3</v>
      </c>
      <c r="P1224">
        <v>0.99043570000000003</v>
      </c>
      <c r="Q1224">
        <v>-0.1344986</v>
      </c>
      <c r="R1224">
        <v>3.0778420000000001E-2</v>
      </c>
      <c r="S1224">
        <v>3.034637</v>
      </c>
      <c r="T1224">
        <v>-3.4561990000000001E-2</v>
      </c>
      <c r="U1224">
        <v>-0.33782960000000001</v>
      </c>
      <c r="V1224">
        <v>-2.287981E-2</v>
      </c>
      <c r="W1224">
        <v>-0.1201116</v>
      </c>
      <c r="X1224">
        <v>0.99249670000000001</v>
      </c>
      <c r="Y1224">
        <v>0.11854969999999999</v>
      </c>
      <c r="Z1224">
        <v>-1.510892E-3</v>
      </c>
      <c r="AA1224">
        <v>0.99294700000000002</v>
      </c>
      <c r="AB1224">
        <v>37</v>
      </c>
      <c r="AC1224">
        <v>90.210899999999896</v>
      </c>
      <c r="AD1224">
        <v>-1.0294439200000001</v>
      </c>
      <c r="AE1224">
        <v>-10.063599999999999</v>
      </c>
      <c r="AF1224">
        <v>10.7816434916008</v>
      </c>
      <c r="AG1224">
        <v>-1.0294439200000001</v>
      </c>
      <c r="AH1224">
        <v>90.116144983432704</v>
      </c>
      <c r="AI1224">
        <v>90.649857088478498</v>
      </c>
      <c r="AJ1224">
        <v>83.177468416865693</v>
      </c>
      <c r="AK1224">
        <v>90.764658198218697</v>
      </c>
      <c r="AL1224">
        <v>96.898543437201397</v>
      </c>
      <c r="AM1224">
        <v>91.320593209651307</v>
      </c>
      <c r="AN1224">
        <v>0.99999999083554303</v>
      </c>
    </row>
    <row r="1225" spans="1:40" x14ac:dyDescent="0.25">
      <c r="A1225" t="str">
        <f>"20190305134927609"</f>
        <v>20190305134927609</v>
      </c>
      <c r="B1225" t="str">
        <f>"1551764967601628"</f>
        <v>1551764967601628</v>
      </c>
      <c r="C1225" t="s">
        <v>40</v>
      </c>
      <c r="D1225">
        <v>3.866724</v>
      </c>
      <c r="E1225">
        <v>0.555421099999999</v>
      </c>
      <c r="F1225" t="s">
        <v>43</v>
      </c>
      <c r="G1225">
        <v>-163.0823</v>
      </c>
      <c r="H1225">
        <v>-0.05</v>
      </c>
      <c r="I1225">
        <v>356.75290000000001</v>
      </c>
      <c r="J1225">
        <v>-265.40940000000001</v>
      </c>
      <c r="K1225">
        <v>1.10945</v>
      </c>
      <c r="L1225">
        <v>368.11939999999998</v>
      </c>
      <c r="M1225">
        <v>0.99986260000000005</v>
      </c>
      <c r="N1225">
        <v>-1.4528259999999999E-2</v>
      </c>
      <c r="O1225">
        <v>7.9778999999999996E-3</v>
      </c>
      <c r="P1225">
        <v>0.99041729999999994</v>
      </c>
      <c r="Q1225">
        <v>-0.134552</v>
      </c>
      <c r="R1225">
        <v>3.113198E-2</v>
      </c>
      <c r="S1225">
        <v>3.0347599999999999</v>
      </c>
      <c r="T1225">
        <v>-3.4321669999999999E-2</v>
      </c>
      <c r="U1225">
        <v>-0.3364258</v>
      </c>
      <c r="V1225">
        <v>-2.3233239999999999E-2</v>
      </c>
      <c r="W1225">
        <v>-0.1201448</v>
      </c>
      <c r="X1225">
        <v>0.99248449999999999</v>
      </c>
      <c r="Y1225">
        <v>0.118092</v>
      </c>
      <c r="Z1225">
        <v>-1.500695E-3</v>
      </c>
      <c r="AA1225">
        <v>0.99300149999999998</v>
      </c>
      <c r="AB1225">
        <v>37</v>
      </c>
      <c r="AC1225">
        <v>102.3271</v>
      </c>
      <c r="AD1225">
        <v>-1.1594500000000001</v>
      </c>
      <c r="AE1225">
        <v>-11.366499999999901</v>
      </c>
      <c r="AF1225">
        <v>12.1810349304945</v>
      </c>
      <c r="AG1225">
        <v>-1.1594500000000001</v>
      </c>
      <c r="AH1225">
        <v>102.220188649126</v>
      </c>
      <c r="AI1225">
        <v>90.645294206871</v>
      </c>
      <c r="AJ1225">
        <v>83.204412774585606</v>
      </c>
      <c r="AK1225">
        <v>102.949933966678</v>
      </c>
      <c r="AL1225">
        <v>96.900459333447003</v>
      </c>
      <c r="AM1225">
        <v>91.341001820488501</v>
      </c>
      <c r="AN1225">
        <v>1.0000000195740899</v>
      </c>
    </row>
    <row r="1226" spans="1:40" x14ac:dyDescent="0.25">
      <c r="A1226" t="str">
        <f>"20190305134927621"</f>
        <v>20190305134927621</v>
      </c>
      <c r="B1226" t="str">
        <f>"1551764967612365"</f>
        <v>1551764967612365</v>
      </c>
      <c r="C1226" t="s">
        <v>40</v>
      </c>
      <c r="D1226">
        <v>3.922053</v>
      </c>
      <c r="E1226">
        <v>0.5555213</v>
      </c>
      <c r="F1226" t="s">
        <v>43</v>
      </c>
      <c r="G1226">
        <v>-163.2013</v>
      </c>
      <c r="H1226">
        <v>-0.05</v>
      </c>
      <c r="I1226">
        <v>356.81099999999998</v>
      </c>
      <c r="J1226">
        <v>-265.21910000000003</v>
      </c>
      <c r="K1226">
        <v>1.1094649999999999</v>
      </c>
      <c r="L1226">
        <v>368.12090000000001</v>
      </c>
      <c r="M1226">
        <v>0.99986240000000004</v>
      </c>
      <c r="N1226">
        <v>-1.4546399999999999E-2</v>
      </c>
      <c r="O1226">
        <v>7.9779469999999904E-3</v>
      </c>
      <c r="P1226">
        <v>0.99043320000000001</v>
      </c>
      <c r="Q1226">
        <v>-0.13436329999999999</v>
      </c>
      <c r="R1226">
        <v>3.1438729999999998E-2</v>
      </c>
      <c r="S1226">
        <v>3.0349119999999998</v>
      </c>
      <c r="T1226">
        <v>-3.442812E-2</v>
      </c>
      <c r="U1226">
        <v>-0.3357849</v>
      </c>
      <c r="V1226">
        <v>-2.354003E-2</v>
      </c>
      <c r="W1226">
        <v>-0.1199378</v>
      </c>
      <c r="X1226">
        <v>0.99250229999999995</v>
      </c>
      <c r="Y1226">
        <v>0.11787930000000001</v>
      </c>
      <c r="Z1226">
        <v>-1.501175E-3</v>
      </c>
      <c r="AA1226">
        <v>0.99302679999999999</v>
      </c>
      <c r="AB1226">
        <v>37</v>
      </c>
      <c r="AC1226">
        <v>102.01779999999999</v>
      </c>
      <c r="AD1226">
        <v>-1.159465</v>
      </c>
      <c r="AE1226">
        <v>-11.309900000000001</v>
      </c>
      <c r="AF1226">
        <v>12.121971901115799</v>
      </c>
      <c r="AG1226">
        <v>-1.159465</v>
      </c>
      <c r="AH1226">
        <v>101.911309227426</v>
      </c>
      <c r="AI1226">
        <v>90.647274805220704</v>
      </c>
      <c r="AJ1226">
        <v>83.216750222852298</v>
      </c>
      <c r="AK1226">
        <v>102.63625826337299</v>
      </c>
      <c r="AL1226">
        <v>96.888512771219595</v>
      </c>
      <c r="AM1226">
        <v>91.358678511677297</v>
      </c>
      <c r="AN1226">
        <v>1.00000001219326</v>
      </c>
    </row>
    <row r="1227" spans="1:40" x14ac:dyDescent="0.25">
      <c r="A1227" t="str">
        <f>"20190305134927631"</f>
        <v>20190305134927631</v>
      </c>
      <c r="B1227" t="str">
        <f>"1551764967622125"</f>
        <v>1551764967622125</v>
      </c>
      <c r="C1227" t="s">
        <v>40</v>
      </c>
      <c r="D1227">
        <v>3.952162</v>
      </c>
      <c r="E1227">
        <v>0.55569820000000003</v>
      </c>
      <c r="F1227" t="s">
        <v>43</v>
      </c>
      <c r="G1227">
        <v>-159.51419999999999</v>
      </c>
      <c r="H1227">
        <v>-0.05</v>
      </c>
      <c r="I1227">
        <v>356.42540000000002</v>
      </c>
      <c r="J1227">
        <v>-265.04860000000002</v>
      </c>
      <c r="K1227">
        <v>1.1094820000000001</v>
      </c>
      <c r="L1227">
        <v>368.1223</v>
      </c>
      <c r="M1227">
        <v>0.99986220000000003</v>
      </c>
      <c r="N1227">
        <v>-1.4562250000000001E-2</v>
      </c>
      <c r="O1227">
        <v>7.97783E-3</v>
      </c>
      <c r="P1227">
        <v>0.99043769999999998</v>
      </c>
      <c r="Q1227">
        <v>-0.13429150000000001</v>
      </c>
      <c r="R1227">
        <v>3.160599E-2</v>
      </c>
      <c r="S1227">
        <v>3.035126</v>
      </c>
      <c r="T1227">
        <v>-3.3291939999999999E-2</v>
      </c>
      <c r="U1227">
        <v>-0.33581539999999999</v>
      </c>
      <c r="V1227">
        <v>-2.370734E-2</v>
      </c>
      <c r="W1227">
        <v>-0.1198501</v>
      </c>
      <c r="X1227">
        <v>0.99250890000000003</v>
      </c>
      <c r="Y1227">
        <v>0.11788220000000001</v>
      </c>
      <c r="Z1227">
        <v>-1.476995E-3</v>
      </c>
      <c r="AA1227">
        <v>0.99302650000000003</v>
      </c>
      <c r="AB1227">
        <v>37</v>
      </c>
      <c r="AC1227">
        <v>105.53440000000001</v>
      </c>
      <c r="AD1227">
        <v>-1.1594819999999999</v>
      </c>
      <c r="AE1227">
        <v>-11.6968999999999</v>
      </c>
      <c r="AF1227">
        <v>12.5370574486652</v>
      </c>
      <c r="AG1227">
        <v>-1.1594819999999999</v>
      </c>
      <c r="AH1227">
        <v>105.42514371506</v>
      </c>
      <c r="AI1227">
        <v>90.625713964182296</v>
      </c>
      <c r="AJ1227">
        <v>83.218289319407504</v>
      </c>
      <c r="AK1227">
        <v>106.17430543837099</v>
      </c>
      <c r="AL1227">
        <v>96.883451503225999</v>
      </c>
      <c r="AM1227">
        <v>91.3683225210318</v>
      </c>
      <c r="AN1227">
        <v>1.00000000050954</v>
      </c>
    </row>
    <row r="1228" spans="1:40" x14ac:dyDescent="0.25">
      <c r="A1228" t="str">
        <f>"20190305134927643"</f>
        <v>20190305134927643</v>
      </c>
      <c r="B1228" t="str">
        <f>"1551764967631884"</f>
        <v>1551764967631884</v>
      </c>
      <c r="C1228" t="s">
        <v>40</v>
      </c>
      <c r="D1228">
        <v>3.901262</v>
      </c>
      <c r="E1228">
        <v>0.55574730000000006</v>
      </c>
      <c r="F1228" t="s">
        <v>43</v>
      </c>
      <c r="G1228">
        <v>-154.83009999999999</v>
      </c>
      <c r="H1228">
        <v>-0.05</v>
      </c>
      <c r="I1228">
        <v>355.90390000000002</v>
      </c>
      <c r="J1228">
        <v>-264.84820000000002</v>
      </c>
      <c r="K1228">
        <v>1.1094980000000001</v>
      </c>
      <c r="L1228">
        <v>368.12389999999999</v>
      </c>
      <c r="M1228">
        <v>0.99986200000000003</v>
      </c>
      <c r="N1228">
        <v>-1.4578860000000001E-2</v>
      </c>
      <c r="O1228">
        <v>7.9778880000000007E-3</v>
      </c>
      <c r="P1228">
        <v>0.99042300000000005</v>
      </c>
      <c r="Q1228">
        <v>-0.13438810000000001</v>
      </c>
      <c r="R1228">
        <v>3.166186E-2</v>
      </c>
      <c r="S1228">
        <v>3.0353699999999999</v>
      </c>
      <c r="T1228">
        <v>-3.1931639999999997E-2</v>
      </c>
      <c r="U1228">
        <v>-0.33648679999999997</v>
      </c>
      <c r="V1228">
        <v>-2.376296E-2</v>
      </c>
      <c r="W1228">
        <v>-0.11993040000000001</v>
      </c>
      <c r="X1228">
        <v>0.99249790000000004</v>
      </c>
      <c r="Y1228">
        <v>0.1180914</v>
      </c>
      <c r="Z1228">
        <v>-1.450516E-3</v>
      </c>
      <c r="AA1228">
        <v>0.99300160000000004</v>
      </c>
      <c r="AB1228">
        <v>37</v>
      </c>
      <c r="AC1228">
        <v>110.0181</v>
      </c>
      <c r="AD1228">
        <v>-1.1594979999999999</v>
      </c>
      <c r="AE1228">
        <v>-12.219999999999899</v>
      </c>
      <c r="AF1228">
        <v>13.0959794153052</v>
      </c>
      <c r="AG1228">
        <v>-1.1594979999999999</v>
      </c>
      <c r="AH1228">
        <v>109.90503911109001</v>
      </c>
      <c r="AI1228">
        <v>90.600202326900998</v>
      </c>
      <c r="AJ1228">
        <v>83.204833334883503</v>
      </c>
      <c r="AK1228">
        <v>110.688602549984</v>
      </c>
      <c r="AL1228">
        <v>96.888085574410695</v>
      </c>
      <c r="AM1228">
        <v>91.371546724908896</v>
      </c>
      <c r="AN1228">
        <v>1.0000000303082599</v>
      </c>
    </row>
    <row r="1229" spans="1:40" x14ac:dyDescent="0.25">
      <c r="A1229" t="str">
        <f>"20190305134927655"</f>
        <v>20190305134927655</v>
      </c>
      <c r="B1229" t="str">
        <f>"1551764967651404"</f>
        <v>1551764967651404</v>
      </c>
      <c r="C1229" t="s">
        <v>40</v>
      </c>
      <c r="D1229">
        <v>3.9097729999999999</v>
      </c>
      <c r="E1229">
        <v>0.55595719999999904</v>
      </c>
      <c r="F1229" t="s">
        <v>43</v>
      </c>
      <c r="G1229">
        <v>-155.48820000000001</v>
      </c>
      <c r="H1229">
        <v>-0.05</v>
      </c>
      <c r="I1229">
        <v>355.98759999999999</v>
      </c>
      <c r="J1229">
        <v>-264.67349999999999</v>
      </c>
      <c r="K1229">
        <v>1.1095109999999999</v>
      </c>
      <c r="L1229">
        <v>368.12529999999998</v>
      </c>
      <c r="M1229">
        <v>0.99986189999999997</v>
      </c>
      <c r="N1229">
        <v>-1.459249E-2</v>
      </c>
      <c r="O1229">
        <v>7.9779069999999994E-3</v>
      </c>
      <c r="P1229">
        <v>0.99046369999999895</v>
      </c>
      <c r="Q1229">
        <v>-0.13408709999999999</v>
      </c>
      <c r="R1229">
        <v>3.1665359999999997E-2</v>
      </c>
      <c r="S1229">
        <v>3.0354000000000001</v>
      </c>
      <c r="T1229">
        <v>-3.2183049999999998E-2</v>
      </c>
      <c r="U1229">
        <v>-0.33685300000000001</v>
      </c>
      <c r="V1229">
        <v>-2.3766229999999999E-2</v>
      </c>
      <c r="W1229">
        <v>-0.11961529999999999</v>
      </c>
      <c r="X1229">
        <v>0.99253579999999997</v>
      </c>
      <c r="Y1229">
        <v>0.11820849999999999</v>
      </c>
      <c r="Z1229">
        <v>-1.4582200000000001E-3</v>
      </c>
      <c r="AA1229">
        <v>0.99298779999999998</v>
      </c>
      <c r="AB1229">
        <v>37</v>
      </c>
      <c r="AC1229">
        <v>109.185299999999</v>
      </c>
      <c r="AD1229">
        <v>-1.159511</v>
      </c>
      <c r="AE1229">
        <v>-12.137699999999899</v>
      </c>
      <c r="AF1229">
        <v>13.0070274075626</v>
      </c>
      <c r="AG1229">
        <v>-1.159511</v>
      </c>
      <c r="AH1229">
        <v>109.072830040925</v>
      </c>
      <c r="AI1229">
        <v>90.604781566000199</v>
      </c>
      <c r="AJ1229">
        <v>83.1995442927347</v>
      </c>
      <c r="AK1229">
        <v>109.851761391781</v>
      </c>
      <c r="AL1229">
        <v>96.869901087982896</v>
      </c>
      <c r="AM1229">
        <v>91.371683030406004</v>
      </c>
      <c r="AN1229">
        <v>0.99999998398207102</v>
      </c>
    </row>
    <row r="1230" spans="1:40" x14ac:dyDescent="0.25">
      <c r="A1230" t="str">
        <f>"20190305134927667"</f>
        <v>20190305134927667</v>
      </c>
      <c r="B1230" t="str">
        <f>"1551764967662140"</f>
        <v>1551764967662140</v>
      </c>
      <c r="C1230" t="s">
        <v>40</v>
      </c>
      <c r="D1230">
        <v>3.9276740000000001</v>
      </c>
      <c r="E1230">
        <v>0.55596699999999999</v>
      </c>
      <c r="F1230" t="s">
        <v>43</v>
      </c>
      <c r="G1230">
        <v>-150.7758</v>
      </c>
      <c r="H1230">
        <v>-0.05</v>
      </c>
      <c r="I1230">
        <v>355.42189999999999</v>
      </c>
      <c r="J1230">
        <v>-264.46319999999997</v>
      </c>
      <c r="K1230">
        <v>1.109526</v>
      </c>
      <c r="L1230">
        <v>368.12700000000001</v>
      </c>
      <c r="M1230">
        <v>0.99986160000000002</v>
      </c>
      <c r="N1230">
        <v>-1.4607729999999999E-2</v>
      </c>
      <c r="O1230">
        <v>7.9779740000000005E-3</v>
      </c>
      <c r="P1230">
        <v>0.99049399999999999</v>
      </c>
      <c r="Q1230">
        <v>-0.13387779999999999</v>
      </c>
      <c r="R1230">
        <v>3.160607E-2</v>
      </c>
      <c r="S1230">
        <v>3.0355219999999998</v>
      </c>
      <c r="T1230">
        <v>-3.0902499999999999E-2</v>
      </c>
      <c r="U1230">
        <v>-0.33856199999999997</v>
      </c>
      <c r="V1230">
        <v>-2.37063E-2</v>
      </c>
      <c r="W1230">
        <v>-0.1193905</v>
      </c>
      <c r="X1230">
        <v>0.99256429999999995</v>
      </c>
      <c r="Y1230">
        <v>0.11875719999999999</v>
      </c>
      <c r="Z1230">
        <v>-1.4375739999999901E-3</v>
      </c>
      <c r="AA1230">
        <v>0.99292230000000004</v>
      </c>
      <c r="AB1230">
        <v>37</v>
      </c>
      <c r="AC1230">
        <v>113.687399999999</v>
      </c>
      <c r="AD1230">
        <v>-1.1595260000000001</v>
      </c>
      <c r="AE1230">
        <v>-12.7050999999999</v>
      </c>
      <c r="AF1230">
        <v>13.6103890198559</v>
      </c>
      <c r="AG1230">
        <v>-1.1595260000000001</v>
      </c>
      <c r="AH1230">
        <v>113.57074098886601</v>
      </c>
      <c r="AI1230">
        <v>90.580798319105497</v>
      </c>
      <c r="AJ1230">
        <v>83.166228426834294</v>
      </c>
      <c r="AK1230">
        <v>114.389249488649</v>
      </c>
      <c r="AL1230">
        <v>96.856928023378401</v>
      </c>
      <c r="AM1230">
        <v>91.368186177333101</v>
      </c>
      <c r="AN1230">
        <v>0.99999998489221398</v>
      </c>
    </row>
    <row r="1231" spans="1:40" x14ac:dyDescent="0.25">
      <c r="A1231" t="str">
        <f>"20190305134927679"</f>
        <v>20190305134927679</v>
      </c>
      <c r="B1231" t="str">
        <f>"1551764967671900"</f>
        <v>1551764967671900</v>
      </c>
      <c r="C1231" t="s">
        <v>40</v>
      </c>
      <c r="D1231">
        <v>3.9262830000000002</v>
      </c>
      <c r="E1231">
        <v>0.5560467</v>
      </c>
      <c r="F1231" t="s">
        <v>43</v>
      </c>
      <c r="G1231">
        <v>-149.61920000000001</v>
      </c>
      <c r="H1231">
        <v>-0.05</v>
      </c>
      <c r="I1231">
        <v>355.3143</v>
      </c>
      <c r="J1231">
        <v>-264.26839999999999</v>
      </c>
      <c r="K1231">
        <v>1.1095410000000001</v>
      </c>
      <c r="L1231">
        <v>368.12849999999997</v>
      </c>
      <c r="M1231">
        <v>0.99986129999999995</v>
      </c>
      <c r="N1231">
        <v>-1.4620269999999999E-2</v>
      </c>
      <c r="O1231">
        <v>7.9780600000000004E-3</v>
      </c>
      <c r="P1231">
        <v>0.99053139999999995</v>
      </c>
      <c r="Q1231">
        <v>-0.1336253</v>
      </c>
      <c r="R1231">
        <v>3.1492970000000002E-2</v>
      </c>
      <c r="S1231">
        <v>3.0354610000000002</v>
      </c>
      <c r="T1231">
        <v>-3.064764E-2</v>
      </c>
      <c r="U1231">
        <v>-0.338653599999999</v>
      </c>
      <c r="V1231">
        <v>-2.3592999999999999E-2</v>
      </c>
      <c r="W1231">
        <v>-0.1191251</v>
      </c>
      <c r="X1231">
        <v>0.99259889999999995</v>
      </c>
      <c r="Y1231">
        <v>0.1187892</v>
      </c>
      <c r="Z1231">
        <v>-1.4329929999999901E-3</v>
      </c>
      <c r="AA1231">
        <v>0.99291850000000004</v>
      </c>
      <c r="AB1231">
        <v>37</v>
      </c>
      <c r="AC1231">
        <v>114.649199999999</v>
      </c>
      <c r="AD1231">
        <v>-1.1595409999999999</v>
      </c>
      <c r="AE1231">
        <v>-12.8141999999999</v>
      </c>
      <c r="AF1231">
        <v>13.727181238793101</v>
      </c>
      <c r="AG1231">
        <v>-1.1595409999999999</v>
      </c>
      <c r="AH1231">
        <v>114.53173627560599</v>
      </c>
      <c r="AI1231">
        <v>90.575931859389996</v>
      </c>
      <c r="AJ1231">
        <v>83.165426550214306</v>
      </c>
      <c r="AK1231">
        <v>115.35726528658</v>
      </c>
      <c r="AL1231">
        <v>96.841612332721397</v>
      </c>
      <c r="AM1231">
        <v>91.361602198640497</v>
      </c>
      <c r="AN1231">
        <v>0.99999999769010905</v>
      </c>
    </row>
    <row r="1232" spans="1:40" x14ac:dyDescent="0.25">
      <c r="A1232" t="str">
        <f>"20190305134927691"</f>
        <v>20190305134927691</v>
      </c>
      <c r="B1232" t="str">
        <f>"1551764967681661"</f>
        <v>1551764967681661</v>
      </c>
      <c r="C1232" t="s">
        <v>40</v>
      </c>
      <c r="D1232">
        <v>3.9337840000000002</v>
      </c>
      <c r="E1232">
        <v>0.55616899999999903</v>
      </c>
      <c r="F1232" t="s">
        <v>45</v>
      </c>
      <c r="G1232">
        <v>-158.19499999999999</v>
      </c>
      <c r="H1232">
        <v>6.0483929999999998E-2</v>
      </c>
      <c r="I1232">
        <v>356.25909999999999</v>
      </c>
      <c r="J1232">
        <v>-264.07040000000001</v>
      </c>
      <c r="K1232">
        <v>1.10955</v>
      </c>
      <c r="L1232">
        <v>368.13010000000003</v>
      </c>
      <c r="M1232">
        <v>0.99986109999999995</v>
      </c>
      <c r="N1232">
        <v>-1.46324E-2</v>
      </c>
      <c r="O1232">
        <v>7.9781509999999993E-3</v>
      </c>
      <c r="P1232">
        <v>0.9905429</v>
      </c>
      <c r="Q1232">
        <v>-0.13361700000000001</v>
      </c>
      <c r="R1232">
        <v>3.1167250000000001E-2</v>
      </c>
      <c r="S1232">
        <v>3.035431</v>
      </c>
      <c r="T1232">
        <v>-3.001761E-2</v>
      </c>
      <c r="U1232">
        <v>-0.33966059999999998</v>
      </c>
      <c r="V1232">
        <v>-2.3267409999999999E-2</v>
      </c>
      <c r="W1232">
        <v>-0.11910469999999999</v>
      </c>
      <c r="X1232">
        <v>0.99260899999999996</v>
      </c>
      <c r="Y1232">
        <v>0.1191161</v>
      </c>
      <c r="Z1232">
        <v>-1.4237010000000001E-3</v>
      </c>
      <c r="AA1232">
        <v>0.99287930000000002</v>
      </c>
      <c r="AB1232">
        <v>37</v>
      </c>
      <c r="AC1232">
        <v>105.8754</v>
      </c>
      <c r="AD1232">
        <v>-1.0490660700000001</v>
      </c>
      <c r="AE1232">
        <v>-11.871</v>
      </c>
      <c r="AF1232">
        <v>12.714169734576901</v>
      </c>
      <c r="AG1232">
        <v>-1.0490660700000001</v>
      </c>
      <c r="AH1232">
        <v>105.76705581117101</v>
      </c>
      <c r="AI1232">
        <v>90.564216320108201</v>
      </c>
      <c r="AJ1232">
        <v>83.145412587143596</v>
      </c>
      <c r="AK1232">
        <v>106.533660157822</v>
      </c>
      <c r="AL1232">
        <v>96.840435346374306</v>
      </c>
      <c r="AM1232">
        <v>91.342804977058705</v>
      </c>
      <c r="AN1232">
        <v>0.99999996440559802</v>
      </c>
    </row>
    <row r="1233" spans="1:40" x14ac:dyDescent="0.25">
      <c r="A1233" t="str">
        <f>"20190305134927704"</f>
        <v>20190305134927704</v>
      </c>
      <c r="B1233" t="str">
        <f>"1551764967691420"</f>
        <v>1551764967691420</v>
      </c>
      <c r="C1233" t="s">
        <v>40</v>
      </c>
      <c r="D1233">
        <v>3.9351090000000002</v>
      </c>
      <c r="E1233">
        <v>0.55626529999999996</v>
      </c>
      <c r="F1233" t="s">
        <v>45</v>
      </c>
      <c r="G1233">
        <v>-158.19499999999999</v>
      </c>
      <c r="H1233">
        <v>6.8305969999999994E-2</v>
      </c>
      <c r="I1233">
        <v>356.21120000000002</v>
      </c>
      <c r="J1233">
        <v>-263.86599999999999</v>
      </c>
      <c r="K1233">
        <v>1.109559</v>
      </c>
      <c r="L1233">
        <v>368.13170000000002</v>
      </c>
      <c r="M1233">
        <v>0.999861</v>
      </c>
      <c r="N1233">
        <v>-1.464359E-2</v>
      </c>
      <c r="O1233">
        <v>7.9780690000000008E-3</v>
      </c>
      <c r="P1233">
        <v>0.99052779999999996</v>
      </c>
      <c r="Q1233">
        <v>-0.133817299999999</v>
      </c>
      <c r="R1233">
        <v>3.078697E-2</v>
      </c>
      <c r="S1233">
        <v>3.0353699999999999</v>
      </c>
      <c r="T1233">
        <v>-2.9849170000000001E-2</v>
      </c>
      <c r="U1233">
        <v>-0.34170529999999999</v>
      </c>
      <c r="V1233">
        <v>-2.2887290000000001E-2</v>
      </c>
      <c r="W1233">
        <v>-0.119294</v>
      </c>
      <c r="X1233">
        <v>0.99259509999999995</v>
      </c>
      <c r="Y1233">
        <v>0.1197788</v>
      </c>
      <c r="Z1233">
        <v>-1.428686E-3</v>
      </c>
      <c r="AA1233">
        <v>0.9927996</v>
      </c>
      <c r="AB1233">
        <v>37</v>
      </c>
      <c r="AC1233">
        <v>105.67100000000001</v>
      </c>
      <c r="AD1233">
        <v>-1.04125303</v>
      </c>
      <c r="AE1233">
        <v>-11.920500000000001</v>
      </c>
      <c r="AF1233">
        <v>12.762037863992299</v>
      </c>
      <c r="AG1233">
        <v>-1.04125303</v>
      </c>
      <c r="AH1233">
        <v>105.56240261983</v>
      </c>
      <c r="AI1233">
        <v>90.561054383632197</v>
      </c>
      <c r="AJ1233">
        <v>83.106642087104603</v>
      </c>
      <c r="AK1233">
        <v>106.336139976894</v>
      </c>
      <c r="AL1233">
        <v>96.851359355751498</v>
      </c>
      <c r="AM1233">
        <v>91.320893880493202</v>
      </c>
      <c r="AN1233">
        <v>0.999999959511776</v>
      </c>
    </row>
    <row r="1234" spans="1:40" x14ac:dyDescent="0.25">
      <c r="A1234" t="str">
        <f>"20190305134927718"</f>
        <v>20190305134927718</v>
      </c>
      <c r="B1234" t="str">
        <f>"1551764967711916"</f>
        <v>1551764967711916</v>
      </c>
      <c r="C1234" t="s">
        <v>40</v>
      </c>
      <c r="D1234">
        <v>3.941011</v>
      </c>
      <c r="E1234">
        <v>0.55647279999999999</v>
      </c>
      <c r="F1234" t="s">
        <v>45</v>
      </c>
      <c r="G1234">
        <v>-158.19499999999999</v>
      </c>
      <c r="H1234">
        <v>4.7617909999999999E-2</v>
      </c>
      <c r="I1234">
        <v>356.1653</v>
      </c>
      <c r="J1234">
        <v>-263.64080000000001</v>
      </c>
      <c r="K1234">
        <v>1.1095649999999999</v>
      </c>
      <c r="L1234">
        <v>368.13350000000003</v>
      </c>
      <c r="M1234">
        <v>0.99986090000000005</v>
      </c>
      <c r="N1234">
        <v>-1.465493E-2</v>
      </c>
      <c r="O1234">
        <v>7.9779849999999999E-3</v>
      </c>
      <c r="P1234">
        <v>0.99051920000000004</v>
      </c>
      <c r="Q1234">
        <v>-0.1339467</v>
      </c>
      <c r="R1234">
        <v>3.0499749999999999E-2</v>
      </c>
      <c r="S1234">
        <v>3.0352480000000002</v>
      </c>
      <c r="T1234">
        <v>-3.050017E-2</v>
      </c>
      <c r="U1234">
        <v>-0.34371950000000001</v>
      </c>
      <c r="V1234">
        <v>-2.2600140000000001E-2</v>
      </c>
      <c r="W1234">
        <v>-0.1194124</v>
      </c>
      <c r="X1234">
        <v>0.99258749999999996</v>
      </c>
      <c r="Y1234">
        <v>0.1204331</v>
      </c>
      <c r="Z1234">
        <v>-1.4519139999999999E-3</v>
      </c>
      <c r="AA1234">
        <v>0.99272039999999995</v>
      </c>
      <c r="AB1234">
        <v>37</v>
      </c>
      <c r="AC1234">
        <v>105.44580000000001</v>
      </c>
      <c r="AD1234">
        <v>-1.0619470900000001</v>
      </c>
      <c r="AE1234">
        <v>-11.9682</v>
      </c>
      <c r="AF1234">
        <v>12.807871774316199</v>
      </c>
      <c r="AG1234">
        <v>-1.0619470900000001</v>
      </c>
      <c r="AH1234">
        <v>105.336403227856</v>
      </c>
      <c r="AI1234">
        <v>90.573384153224595</v>
      </c>
      <c r="AJ1234">
        <v>83.067426562730006</v>
      </c>
      <c r="AK1234">
        <v>106.11751578316699</v>
      </c>
      <c r="AL1234">
        <v>96.858191625276902</v>
      </c>
      <c r="AM1234">
        <v>91.304337340943803</v>
      </c>
      <c r="AN1234">
        <v>1.0000000163790099</v>
      </c>
    </row>
    <row r="1235" spans="1:40" x14ac:dyDescent="0.25">
      <c r="A1235" t="str">
        <f>"20190305134927733"</f>
        <v>20190305134927733</v>
      </c>
      <c r="B1235" t="str">
        <f>"1551764967721676"</f>
        <v>1551764967721676</v>
      </c>
      <c r="C1235" t="s">
        <v>40</v>
      </c>
      <c r="D1235">
        <v>3.9840279999999999</v>
      </c>
      <c r="E1235">
        <v>0.55655500000000002</v>
      </c>
      <c r="F1235" t="s">
        <v>43</v>
      </c>
      <c r="G1235">
        <v>-150.3185</v>
      </c>
      <c r="H1235">
        <v>-0.05</v>
      </c>
      <c r="I1235">
        <v>355.2158</v>
      </c>
      <c r="J1235">
        <v>-263.39699999999999</v>
      </c>
      <c r="K1235">
        <v>1.109572</v>
      </c>
      <c r="L1235">
        <v>368.1354</v>
      </c>
      <c r="M1235">
        <v>0.99986079999999999</v>
      </c>
      <c r="N1235">
        <v>-1.466612E-2</v>
      </c>
      <c r="O1235">
        <v>7.9780819999999992E-3</v>
      </c>
      <c r="P1235">
        <v>0.99046619999999996</v>
      </c>
      <c r="Q1235">
        <v>-0.13440879999999999</v>
      </c>
      <c r="R1235">
        <v>3.0187410000000001E-2</v>
      </c>
      <c r="S1235">
        <v>3.035126</v>
      </c>
      <c r="T1235">
        <v>-3.1056759999999999E-2</v>
      </c>
      <c r="U1235">
        <v>-0.3459778</v>
      </c>
      <c r="V1235">
        <v>-2.228844E-2</v>
      </c>
      <c r="W1235">
        <v>-0.1198642</v>
      </c>
      <c r="X1235">
        <v>0.99254010000000004</v>
      </c>
      <c r="Y1235">
        <v>0.12116639999999999</v>
      </c>
      <c r="Z1235">
        <v>-1.47414299999999E-3</v>
      </c>
      <c r="AA1235">
        <v>0.99263109999999999</v>
      </c>
      <c r="AB1235">
        <v>37</v>
      </c>
      <c r="AC1235">
        <v>113.07850000000001</v>
      </c>
      <c r="AD1235">
        <v>-1.1595719999999901</v>
      </c>
      <c r="AE1235">
        <v>-12.919600000000001</v>
      </c>
      <c r="AF1235">
        <v>13.8200006267353</v>
      </c>
      <c r="AG1235">
        <v>-1.1595719999999901</v>
      </c>
      <c r="AH1235">
        <v>112.960090356278</v>
      </c>
      <c r="AI1235">
        <v>90.583786570479603</v>
      </c>
      <c r="AJ1235">
        <v>83.024863039098904</v>
      </c>
      <c r="AK1235">
        <v>113.808255578604</v>
      </c>
      <c r="AL1235">
        <v>96.884265066578706</v>
      </c>
      <c r="AM1235">
        <v>91.286415483103795</v>
      </c>
      <c r="AN1235">
        <v>1.0000000255536401</v>
      </c>
    </row>
    <row r="1236" spans="1:40" x14ac:dyDescent="0.25">
      <c r="A1236" t="str">
        <f>"20190305134927748"</f>
        <v>20190305134927748</v>
      </c>
      <c r="B1236" t="str">
        <f>"1551764967742172"</f>
        <v>1551764967742172</v>
      </c>
      <c r="C1236" t="s">
        <v>40</v>
      </c>
      <c r="D1236">
        <v>4.0262900000000004</v>
      </c>
      <c r="E1236">
        <v>0.55635979999999996</v>
      </c>
      <c r="F1236" t="s">
        <v>43</v>
      </c>
      <c r="G1236">
        <v>-154.21690000000001</v>
      </c>
      <c r="H1236">
        <v>-0.05</v>
      </c>
      <c r="I1236">
        <v>355.63699999999898</v>
      </c>
      <c r="J1236">
        <v>-263.15010000000001</v>
      </c>
      <c r="K1236">
        <v>1.10958</v>
      </c>
      <c r="L1236">
        <v>368.13740000000001</v>
      </c>
      <c r="M1236">
        <v>0.99986050000000004</v>
      </c>
      <c r="N1236">
        <v>-1.4676160000000001E-2</v>
      </c>
      <c r="O1236">
        <v>7.9781260000000003E-3</v>
      </c>
      <c r="P1236">
        <v>0.99042339999999995</v>
      </c>
      <c r="Q1236">
        <v>-0.134762299999999</v>
      </c>
      <c r="R1236">
        <v>3.0012170000000001E-2</v>
      </c>
      <c r="S1236">
        <v>3.0350950000000001</v>
      </c>
      <c r="T1236">
        <v>-3.2234909999999999E-2</v>
      </c>
      <c r="U1236">
        <v>-0.34744259999999999</v>
      </c>
      <c r="V1236">
        <v>-2.211287E-2</v>
      </c>
      <c r="W1236">
        <v>-0.1202083</v>
      </c>
      <c r="X1236">
        <v>0.99250240000000001</v>
      </c>
      <c r="Y1236">
        <v>0.1216395</v>
      </c>
      <c r="Z1236">
        <v>-1.507205E-3</v>
      </c>
      <c r="AA1236">
        <v>0.99257320000000004</v>
      </c>
      <c r="AB1236">
        <v>36</v>
      </c>
      <c r="AC1236">
        <v>108.9332</v>
      </c>
      <c r="AD1236">
        <v>-1.1595799999999901</v>
      </c>
      <c r="AE1236">
        <v>-12.500400000000001</v>
      </c>
      <c r="AF1236">
        <v>13.367683410530599</v>
      </c>
      <c r="AG1236">
        <v>-1.1595799999999901</v>
      </c>
      <c r="AH1236">
        <v>108.817821620205</v>
      </c>
      <c r="AI1236">
        <v>90.605974964304906</v>
      </c>
      <c r="AJ1236">
        <v>82.9966102778546</v>
      </c>
      <c r="AK1236">
        <v>109.641953137051</v>
      </c>
      <c r="AL1236">
        <v>96.904124213426499</v>
      </c>
      <c r="AM1236">
        <v>91.276333988321895</v>
      </c>
      <c r="AN1236">
        <v>1.0000000142071399</v>
      </c>
    </row>
    <row r="1237" spans="1:40" x14ac:dyDescent="0.25">
      <c r="A1237" t="str">
        <f>"20190305134927760"</f>
        <v>20190305134927760</v>
      </c>
      <c r="B1237" t="str">
        <f>"1551764967751932"</f>
        <v>1551764967751932</v>
      </c>
      <c r="C1237" t="s">
        <v>40</v>
      </c>
      <c r="D1237">
        <v>4.0561439999999997</v>
      </c>
      <c r="E1237">
        <v>0.51610769999999995</v>
      </c>
      <c r="F1237" t="s">
        <v>43</v>
      </c>
      <c r="G1237">
        <v>-159.6422</v>
      </c>
      <c r="H1237">
        <v>-0.05</v>
      </c>
      <c r="I1237">
        <v>356.32389999999998</v>
      </c>
      <c r="J1237">
        <v>-262.93389999999999</v>
      </c>
      <c r="K1237">
        <v>1.1095870000000001</v>
      </c>
      <c r="L1237">
        <v>368.13920000000002</v>
      </c>
      <c r="M1237">
        <v>0.99986050000000004</v>
      </c>
      <c r="N1237">
        <v>-1.468383E-2</v>
      </c>
      <c r="O1237">
        <v>7.9780700000000003E-3</v>
      </c>
      <c r="P1237">
        <v>0.99042370000000002</v>
      </c>
      <c r="Q1237">
        <v>-0.1347845</v>
      </c>
      <c r="R1237">
        <v>2.9906660000000002E-2</v>
      </c>
      <c r="S1237">
        <v>3.0348820000000001</v>
      </c>
      <c r="T1237">
        <v>-3.3999199999999903E-2</v>
      </c>
      <c r="U1237">
        <v>-0.34637449999999997</v>
      </c>
      <c r="V1237">
        <v>-2.2007760000000001E-2</v>
      </c>
      <c r="W1237">
        <v>-0.120223</v>
      </c>
      <c r="X1237">
        <v>0.99250289999999997</v>
      </c>
      <c r="Y1237">
        <v>0.1213013</v>
      </c>
      <c r="Z1237">
        <v>-1.543146E-3</v>
      </c>
      <c r="AA1237">
        <v>0.99261449999999996</v>
      </c>
      <c r="AB1237">
        <v>36</v>
      </c>
      <c r="AC1237">
        <v>103.29170000000001</v>
      </c>
      <c r="AD1237">
        <v>-1.1595869999999999</v>
      </c>
      <c r="AE1237">
        <v>-11.815300000000001</v>
      </c>
      <c r="AF1237">
        <v>12.6375089031072</v>
      </c>
      <c r="AG1237">
        <v>-1.1595869999999999</v>
      </c>
      <c r="AH1237">
        <v>103.181302518582</v>
      </c>
      <c r="AI1237">
        <v>90.639107201563604</v>
      </c>
      <c r="AJ1237">
        <v>83.017266483323397</v>
      </c>
      <c r="AK1237">
        <v>103.95880175683899</v>
      </c>
      <c r="AL1237">
        <v>96.904972998114005</v>
      </c>
      <c r="AM1237">
        <v>91.270268491149906</v>
      </c>
      <c r="AN1237">
        <v>0.99999995886881199</v>
      </c>
    </row>
    <row r="1238" spans="1:40" x14ac:dyDescent="0.25">
      <c r="A1238" t="str">
        <f>"20190305134927773"</f>
        <v>20190305134927773</v>
      </c>
      <c r="B1238" t="str">
        <f>"1551764967761694"</f>
        <v>1551764967761694</v>
      </c>
      <c r="C1238" t="s">
        <v>40</v>
      </c>
      <c r="D1238">
        <v>4.1426980000000002</v>
      </c>
      <c r="E1238">
        <v>0.51613039999999999</v>
      </c>
      <c r="F1238" t="s">
        <v>42</v>
      </c>
      <c r="G1238">
        <v>-242.87870000000001</v>
      </c>
      <c r="H1238" s="1">
        <v>-3.6447450000000002E-6</v>
      </c>
      <c r="I1238">
        <v>367.93650000000002</v>
      </c>
      <c r="J1238">
        <v>-262.73849999999999</v>
      </c>
      <c r="K1238">
        <v>1.109586</v>
      </c>
      <c r="L1238">
        <v>368.14069999999998</v>
      </c>
      <c r="M1238">
        <v>0.99986030000000004</v>
      </c>
      <c r="N1238">
        <v>-1.469031E-2</v>
      </c>
      <c r="O1238">
        <v>7.9780219999999995E-3</v>
      </c>
      <c r="P1238">
        <v>0.99039829999999995</v>
      </c>
      <c r="Q1238">
        <v>-0.134996</v>
      </c>
      <c r="R1238">
        <v>2.9791939999999999E-2</v>
      </c>
      <c r="S1238">
        <v>3.0073240000000001</v>
      </c>
      <c r="T1238">
        <v>-0.16638620000000001</v>
      </c>
      <c r="U1238">
        <v>-3.0395510000000001E-2</v>
      </c>
      <c r="V1238">
        <v>-2.1893630000000001E-2</v>
      </c>
      <c r="W1238">
        <v>-0.1204283</v>
      </c>
      <c r="X1238">
        <v>0.99248060000000005</v>
      </c>
      <c r="Y1238">
        <v>1.804329E-2</v>
      </c>
      <c r="Z1238">
        <v>-9.5533160000000001E-4</v>
      </c>
      <c r="AA1238">
        <v>0.99983670000000002</v>
      </c>
      <c r="AB1238">
        <v>36</v>
      </c>
      <c r="AC1238">
        <v>19.8597999999999</v>
      </c>
      <c r="AD1238">
        <v>-1.109589644745</v>
      </c>
      <c r="AE1238">
        <v>-0.204199999999957</v>
      </c>
      <c r="AF1238">
        <v>0.36152410587068801</v>
      </c>
      <c r="AG1238">
        <v>-1.109589644745</v>
      </c>
      <c r="AH1238">
        <v>19.795750968653302</v>
      </c>
      <c r="AI1238">
        <v>93.207647072188493</v>
      </c>
      <c r="AJ1238">
        <v>88.953739967563905</v>
      </c>
      <c r="AK1238">
        <v>19.830119648448701</v>
      </c>
      <c r="AL1238">
        <v>96.916821458543893</v>
      </c>
      <c r="AM1238">
        <v>91.263711534312407</v>
      </c>
      <c r="AN1238">
        <v>1.0000000239259099</v>
      </c>
    </row>
    <row r="1239" spans="1:40" x14ac:dyDescent="0.25">
      <c r="A1239" t="str">
        <f>"20190305134927785"</f>
        <v>20190305134927785</v>
      </c>
      <c r="B1239" t="str">
        <f>"1551764967782188"</f>
        <v>1551764967782188</v>
      </c>
      <c r="C1239" t="s">
        <v>40</v>
      </c>
      <c r="D1239">
        <v>4.0785850000000003</v>
      </c>
      <c r="E1239">
        <v>0.51484019999999997</v>
      </c>
      <c r="F1239" t="s">
        <v>41</v>
      </c>
      <c r="G1239">
        <v>-261.7362</v>
      </c>
      <c r="H1239">
        <v>1.044038</v>
      </c>
      <c r="I1239">
        <v>368.12990000000002</v>
      </c>
      <c r="J1239">
        <v>-262.54640000000001</v>
      </c>
      <c r="K1239">
        <v>1.1095889999999999</v>
      </c>
      <c r="L1239">
        <v>368.14229999999998</v>
      </c>
      <c r="M1239">
        <v>0.99986019999999998</v>
      </c>
      <c r="N1239">
        <v>-1.4695959999999999E-2</v>
      </c>
      <c r="O1239">
        <v>7.9781590000000003E-3</v>
      </c>
      <c r="P1239">
        <v>0.99036979999999997</v>
      </c>
      <c r="Q1239">
        <v>-0.13520599999999999</v>
      </c>
      <c r="R1239">
        <v>2.9780790000000001E-2</v>
      </c>
      <c r="S1239">
        <v>3.0032350000000001</v>
      </c>
      <c r="T1239">
        <v>-0.1966996</v>
      </c>
      <c r="U1239">
        <v>-3.1738280000000001E-2</v>
      </c>
      <c r="V1239">
        <v>-2.1882200000000001E-2</v>
      </c>
      <c r="W1239">
        <v>-0.120633199999999</v>
      </c>
      <c r="X1239">
        <v>0.992456</v>
      </c>
      <c r="Y1239">
        <v>1.8486889999999999E-2</v>
      </c>
      <c r="Z1239">
        <v>-1.1455860000000001E-3</v>
      </c>
      <c r="AA1239">
        <v>0.99982850000000001</v>
      </c>
      <c r="AB1239">
        <v>36</v>
      </c>
      <c r="AC1239">
        <v>0.81020000000000802</v>
      </c>
      <c r="AD1239">
        <v>-6.5550999999999901E-2</v>
      </c>
      <c r="AE1239">
        <v>-1.23999999999568E-2</v>
      </c>
      <c r="AF1239">
        <v>1.8741554712131899E-2</v>
      </c>
      <c r="AG1239">
        <v>-6.5550999999999901E-2</v>
      </c>
      <c r="AH1239">
        <v>0.80480825034232595</v>
      </c>
      <c r="AI1239">
        <v>94.655161061078005</v>
      </c>
      <c r="AJ1239">
        <v>88.665995352699795</v>
      </c>
      <c r="AK1239">
        <v>0.80769084388341505</v>
      </c>
      <c r="AL1239">
        <v>96.928647358962607</v>
      </c>
      <c r="AM1239">
        <v>91.263083299752097</v>
      </c>
      <c r="AN1239">
        <v>1.0000000557775299</v>
      </c>
    </row>
    <row r="1240" spans="1:40" x14ac:dyDescent="0.25">
      <c r="A1240" t="str">
        <f>"20190305134927799"</f>
        <v>20190305134927799</v>
      </c>
      <c r="B1240" t="str">
        <f>"1551764967791948"</f>
        <v>1551764967791948</v>
      </c>
      <c r="C1240" t="s">
        <v>40</v>
      </c>
      <c r="D1240">
        <v>4.0499650000000003</v>
      </c>
      <c r="E1240">
        <v>0.51458999999999999</v>
      </c>
      <c r="F1240" t="s">
        <v>42</v>
      </c>
      <c r="G1240">
        <v>-243.5746</v>
      </c>
      <c r="H1240" s="1">
        <v>-3.3024739999999999E-6</v>
      </c>
      <c r="I1240">
        <v>368.01150000000001</v>
      </c>
      <c r="J1240">
        <v>-262.31040000000002</v>
      </c>
      <c r="K1240">
        <v>1.1095889999999999</v>
      </c>
      <c r="L1240">
        <v>368.14420000000001</v>
      </c>
      <c r="M1240">
        <v>0.99986010000000003</v>
      </c>
      <c r="N1240">
        <v>-1.4702170000000001E-2</v>
      </c>
      <c r="O1240">
        <v>7.9781119999999903E-3</v>
      </c>
      <c r="P1240">
        <v>0.99038939999999998</v>
      </c>
      <c r="Q1240">
        <v>-0.13510030000000001</v>
      </c>
      <c r="R1240">
        <v>2.9611430000000001E-2</v>
      </c>
      <c r="S1240">
        <v>3.005798</v>
      </c>
      <c r="T1240">
        <v>-0.17579879999999901</v>
      </c>
      <c r="U1240">
        <v>-2.0721440000000001E-2</v>
      </c>
      <c r="V1240">
        <v>-2.1712599999999999E-2</v>
      </c>
      <c r="W1240">
        <v>-0.120521</v>
      </c>
      <c r="X1240">
        <v>0.9924733</v>
      </c>
      <c r="Y1240">
        <v>1.483286E-2</v>
      </c>
      <c r="Z1240">
        <v>-8.9152939999999998E-4</v>
      </c>
      <c r="AA1240">
        <v>0.99988960000000005</v>
      </c>
      <c r="AB1240">
        <v>36</v>
      </c>
      <c r="AC1240">
        <v>18.735800000000001</v>
      </c>
      <c r="AD1240">
        <v>-1.109592302474</v>
      </c>
      <c r="AE1240">
        <v>-0.13269999999999901</v>
      </c>
      <c r="AF1240">
        <v>0.28120201057417799</v>
      </c>
      <c r="AG1240">
        <v>-1.109592302474</v>
      </c>
      <c r="AH1240">
        <v>18.6686700124949</v>
      </c>
      <c r="AI1240">
        <v>93.401049243444405</v>
      </c>
      <c r="AJ1240">
        <v>89.137031720023003</v>
      </c>
      <c r="AK1240">
        <v>18.7037298334821</v>
      </c>
      <c r="AL1240">
        <v>96.922171914151903</v>
      </c>
      <c r="AM1240">
        <v>91.253274951828203</v>
      </c>
      <c r="AN1240">
        <v>0.99999999982632404</v>
      </c>
    </row>
    <row r="1241" spans="1:40" x14ac:dyDescent="0.25">
      <c r="A1241" t="str">
        <f>"20190305134927811"</f>
        <v>20190305134927811</v>
      </c>
      <c r="B1241" t="str">
        <f>"1551764967801709"</f>
        <v>1551764967801709</v>
      </c>
      <c r="C1241" t="s">
        <v>40</v>
      </c>
      <c r="D1241">
        <v>4.0559830000000003</v>
      </c>
      <c r="E1241">
        <v>0.51435739999999996</v>
      </c>
      <c r="F1241" t="s">
        <v>42</v>
      </c>
      <c r="G1241">
        <v>-242.84909999999999</v>
      </c>
      <c r="H1241" s="1">
        <v>-3.643971E-6</v>
      </c>
      <c r="I1241">
        <v>368.0197</v>
      </c>
      <c r="J1241">
        <v>-262.12490000000003</v>
      </c>
      <c r="K1241">
        <v>1.109591</v>
      </c>
      <c r="L1241">
        <v>368.1456</v>
      </c>
      <c r="M1241">
        <v>0.99986010000000003</v>
      </c>
      <c r="N1241">
        <v>-1.470669E-2</v>
      </c>
      <c r="O1241">
        <v>7.9780790000000008E-3</v>
      </c>
      <c r="P1241">
        <v>0.990371</v>
      </c>
      <c r="Q1241">
        <v>-0.13520769999999999</v>
      </c>
      <c r="R1241">
        <v>2.9744119999999999E-2</v>
      </c>
      <c r="S1241">
        <v>3.0063170000000001</v>
      </c>
      <c r="T1241">
        <v>-0.1714067</v>
      </c>
      <c r="U1241">
        <v>-1.9226070000000001E-2</v>
      </c>
      <c r="V1241">
        <v>-2.1845779999999999E-2</v>
      </c>
      <c r="W1241">
        <v>-0.1206241</v>
      </c>
      <c r="X1241">
        <v>0.9924579</v>
      </c>
      <c r="Y1241">
        <v>1.4337239999999999E-2</v>
      </c>
      <c r="Z1241">
        <v>-8.5116179999999997E-4</v>
      </c>
      <c r="AA1241">
        <v>0.99989689999999998</v>
      </c>
      <c r="AB1241">
        <v>36</v>
      </c>
      <c r="AC1241">
        <v>19.2758</v>
      </c>
      <c r="AD1241">
        <v>-1.109594643971</v>
      </c>
      <c r="AE1241">
        <v>-0.12590000000000101</v>
      </c>
      <c r="AF1241">
        <v>0.27877275881831798</v>
      </c>
      <c r="AG1241">
        <v>-1.109594643971</v>
      </c>
      <c r="AH1241">
        <v>19.2105280121188</v>
      </c>
      <c r="AI1241">
        <v>93.305367827911198</v>
      </c>
      <c r="AJ1241">
        <v>89.168613091783698</v>
      </c>
      <c r="AK1241">
        <v>19.244565493390301</v>
      </c>
      <c r="AL1241">
        <v>96.928122190092296</v>
      </c>
      <c r="AM1241">
        <v>91.260979332295705</v>
      </c>
      <c r="AN1241">
        <v>1.00000004743851</v>
      </c>
    </row>
    <row r="1242" spans="1:40" x14ac:dyDescent="0.25">
      <c r="A1242" t="str">
        <f>"20190305134927822"</f>
        <v>20190305134927822</v>
      </c>
      <c r="B1242" t="str">
        <f>"1551764967812445"</f>
        <v>1551764967812445</v>
      </c>
      <c r="C1242" t="s">
        <v>40</v>
      </c>
      <c r="D1242">
        <v>4.0508170000000003</v>
      </c>
      <c r="E1242">
        <v>0.51405990000000001</v>
      </c>
      <c r="F1242" t="s">
        <v>42</v>
      </c>
      <c r="G1242">
        <v>-242.40389999999999</v>
      </c>
      <c r="H1242" s="1">
        <v>-3.8516889999999998E-6</v>
      </c>
      <c r="I1242">
        <v>368.0351</v>
      </c>
      <c r="J1242">
        <v>-261.93799999999999</v>
      </c>
      <c r="K1242">
        <v>1.1095950000000001</v>
      </c>
      <c r="L1242">
        <v>368.14710000000002</v>
      </c>
      <c r="M1242">
        <v>0.99985999999999997</v>
      </c>
      <c r="N1242">
        <v>-1.4710539999999999E-2</v>
      </c>
      <c r="O1242">
        <v>7.9782289999999999E-3</v>
      </c>
      <c r="P1242">
        <v>0.99033450000000001</v>
      </c>
      <c r="Q1242">
        <v>-0.13546639999999999</v>
      </c>
      <c r="R1242">
        <v>2.977664E-2</v>
      </c>
      <c r="S1242">
        <v>3.0065919999999999</v>
      </c>
      <c r="T1242">
        <v>-0.1691645</v>
      </c>
      <c r="U1242">
        <v>-1.6845699999999901E-2</v>
      </c>
      <c r="V1242">
        <v>-2.1878229999999999E-2</v>
      </c>
      <c r="W1242">
        <v>-0.1208796</v>
      </c>
      <c r="X1242">
        <v>0.99242600000000003</v>
      </c>
      <c r="Y1242">
        <v>1.3547699999999999E-2</v>
      </c>
      <c r="Z1242">
        <v>-8.11807E-4</v>
      </c>
      <c r="AA1242">
        <v>0.99990789999999996</v>
      </c>
      <c r="AB1242">
        <v>36</v>
      </c>
      <c r="AC1242">
        <v>19.534099999999899</v>
      </c>
      <c r="AD1242">
        <v>-1.1095988516890001</v>
      </c>
      <c r="AE1242">
        <v>-0.112000000000023</v>
      </c>
      <c r="AF1242">
        <v>0.26699934573140899</v>
      </c>
      <c r="AG1242">
        <v>-1.1095988516890001</v>
      </c>
      <c r="AH1242">
        <v>19.469765415784</v>
      </c>
      <c r="AI1242">
        <v>93.2615019115362</v>
      </c>
      <c r="AJ1242">
        <v>89.214321464973096</v>
      </c>
      <c r="AK1242">
        <v>19.503185986088301</v>
      </c>
      <c r="AL1242">
        <v>96.942869848222003</v>
      </c>
      <c r="AM1242">
        <v>91.262892380217707</v>
      </c>
      <c r="AN1242">
        <v>0.99999995006004505</v>
      </c>
    </row>
    <row r="1243" spans="1:40" x14ac:dyDescent="0.25">
      <c r="A1243" t="str">
        <f>"20190305134927833"</f>
        <v>20190305134927833</v>
      </c>
      <c r="B1243" t="str">
        <f>"1551764967822205"</f>
        <v>1551764967822205</v>
      </c>
      <c r="C1243" t="s">
        <v>40</v>
      </c>
      <c r="D1243">
        <v>4.0763059999999998</v>
      </c>
      <c r="E1243">
        <v>0.51408799999999999</v>
      </c>
      <c r="F1243" t="s">
        <v>42</v>
      </c>
      <c r="G1243">
        <v>-242.5213</v>
      </c>
      <c r="H1243" s="1">
        <v>-3.7928509999999998E-6</v>
      </c>
      <c r="I1243">
        <v>368.0539</v>
      </c>
      <c r="J1243">
        <v>-261.77109999999999</v>
      </c>
      <c r="K1243">
        <v>1.1095930000000001</v>
      </c>
      <c r="L1243">
        <v>368.14839999999998</v>
      </c>
      <c r="M1243">
        <v>0.99985999999999997</v>
      </c>
      <c r="N1243">
        <v>-1.4713800000000001E-2</v>
      </c>
      <c r="O1243">
        <v>7.9783830000000003E-3</v>
      </c>
      <c r="P1243">
        <v>0.99032880000000001</v>
      </c>
      <c r="Q1243">
        <v>-0.13547479999999901</v>
      </c>
      <c r="R1243">
        <v>2.9923080000000001E-2</v>
      </c>
      <c r="S1243">
        <v>3.0062259999999998</v>
      </c>
      <c r="T1243">
        <v>-0.1717958</v>
      </c>
      <c r="U1243">
        <v>-1.4434809999999999E-2</v>
      </c>
      <c r="V1243">
        <v>-2.2024439999999999E-2</v>
      </c>
      <c r="W1243">
        <v>-0.1208848</v>
      </c>
      <c r="X1243">
        <v>0.99242220000000003</v>
      </c>
      <c r="Y1243">
        <v>1.274725E-2</v>
      </c>
      <c r="Z1243">
        <v>-7.9604990000000004E-4</v>
      </c>
      <c r="AA1243">
        <v>0.99991850000000004</v>
      </c>
      <c r="AB1243">
        <v>36</v>
      </c>
      <c r="AC1243">
        <v>19.2498</v>
      </c>
      <c r="AD1243">
        <v>-1.109596792851</v>
      </c>
      <c r="AE1243">
        <v>-9.4499999999982195E-2</v>
      </c>
      <c r="AF1243">
        <v>0.24727430969800901</v>
      </c>
      <c r="AG1243">
        <v>-1.109596792851</v>
      </c>
      <c r="AH1243">
        <v>19.184691646884101</v>
      </c>
      <c r="AI1243">
        <v>93.309889119295207</v>
      </c>
      <c r="AJ1243">
        <v>89.261547169898193</v>
      </c>
      <c r="AK1243">
        <v>19.218343924827799</v>
      </c>
      <c r="AL1243">
        <v>96.943169520602794</v>
      </c>
      <c r="AM1243">
        <v>91.271334267968399</v>
      </c>
      <c r="AN1243">
        <v>1.00000001694059</v>
      </c>
    </row>
    <row r="1244" spans="1:40" x14ac:dyDescent="0.25">
      <c r="A1244" t="str">
        <f>"20190305134927844"</f>
        <v>20190305134927844</v>
      </c>
      <c r="B1244" t="str">
        <f>"1551764967841725"</f>
        <v>1551764967841725</v>
      </c>
      <c r="C1244" t="s">
        <v>40</v>
      </c>
      <c r="D1244">
        <v>4.1032219999999997</v>
      </c>
      <c r="E1244">
        <v>0.51369350000000003</v>
      </c>
      <c r="F1244" t="s">
        <v>42</v>
      </c>
      <c r="G1244">
        <v>-242.32259999999999</v>
      </c>
      <c r="H1244" s="1">
        <v>-3.8860480000000002E-6</v>
      </c>
      <c r="I1244">
        <v>368.05799999999999</v>
      </c>
      <c r="J1244">
        <v>-261.5788</v>
      </c>
      <c r="K1244">
        <v>1.109594</v>
      </c>
      <c r="L1244">
        <v>368.15</v>
      </c>
      <c r="M1244">
        <v>0.99985999999999997</v>
      </c>
      <c r="N1244">
        <v>-1.4717060000000001E-2</v>
      </c>
      <c r="O1244">
        <v>7.9783590000000008E-3</v>
      </c>
      <c r="P1244">
        <v>0.99031570000000002</v>
      </c>
      <c r="Q1244">
        <v>-0.1355642</v>
      </c>
      <c r="R1244">
        <v>2.995718E-2</v>
      </c>
      <c r="S1244">
        <v>3.0062259999999998</v>
      </c>
      <c r="T1244">
        <v>-0.1715149</v>
      </c>
      <c r="U1244">
        <v>-1.397705E-2</v>
      </c>
      <c r="V1244">
        <v>-2.2059220000000001E-2</v>
      </c>
      <c r="W1244">
        <v>-0.1209711</v>
      </c>
      <c r="X1244">
        <v>0.99241089999999998</v>
      </c>
      <c r="Y1244">
        <v>1.259539E-2</v>
      </c>
      <c r="Z1244">
        <v>-7.8925770000000004E-4</v>
      </c>
      <c r="AA1244">
        <v>0.99992040000000004</v>
      </c>
      <c r="AB1244">
        <v>36</v>
      </c>
      <c r="AC1244">
        <v>19.2562</v>
      </c>
      <c r="AD1244">
        <v>-1.109597886048</v>
      </c>
      <c r="AE1244">
        <v>-9.1999999999927695E-2</v>
      </c>
      <c r="AF1244">
        <v>0.244833641474616</v>
      </c>
      <c r="AG1244">
        <v>-1.109597886048</v>
      </c>
      <c r="AH1244">
        <v>19.191132169190599</v>
      </c>
      <c r="AI1244">
        <v>93.308789611601199</v>
      </c>
      <c r="AJ1244">
        <v>89.269080466983993</v>
      </c>
      <c r="AK1244">
        <v>19.2247419986865</v>
      </c>
      <c r="AL1244">
        <v>96.9481507828161</v>
      </c>
      <c r="AM1244">
        <v>91.273355735118102</v>
      </c>
      <c r="AN1244">
        <v>1.00000000533051</v>
      </c>
    </row>
    <row r="1245" spans="1:40" x14ac:dyDescent="0.25">
      <c r="A1245" t="str">
        <f>"20190305134927855"</f>
        <v>20190305134927855</v>
      </c>
      <c r="B1245" t="str">
        <f>"1551764967851485"</f>
        <v>1551764967851485</v>
      </c>
      <c r="C1245" t="s">
        <v>40</v>
      </c>
      <c r="D1245">
        <v>4.0918650000000003</v>
      </c>
      <c r="E1245">
        <v>0.51366449999999997</v>
      </c>
      <c r="F1245" t="s">
        <v>42</v>
      </c>
      <c r="G1245">
        <v>-242.27520000000001</v>
      </c>
      <c r="H1245" s="1">
        <v>-3.9043019999999997E-6</v>
      </c>
      <c r="I1245">
        <v>368.08159999999998</v>
      </c>
      <c r="J1245">
        <v>-261.41379999999998</v>
      </c>
      <c r="K1245">
        <v>1.10959599999999</v>
      </c>
      <c r="L1245">
        <v>368.15129999999999</v>
      </c>
      <c r="M1245">
        <v>0.99985999999999997</v>
      </c>
      <c r="N1245">
        <v>-1.4719599999999999E-2</v>
      </c>
      <c r="O1245">
        <v>7.97816199999999E-3</v>
      </c>
      <c r="P1245">
        <v>0.99030850000000004</v>
      </c>
      <c r="Q1245">
        <v>-0.13554569999999999</v>
      </c>
      <c r="R1245">
        <v>3.028057E-2</v>
      </c>
      <c r="S1245">
        <v>3.0060120000000001</v>
      </c>
      <c r="T1245">
        <v>-0.17278959999999999</v>
      </c>
      <c r="U1245">
        <v>-1.0650629999999999E-2</v>
      </c>
      <c r="V1245">
        <v>-2.2382490000000001E-2</v>
      </c>
      <c r="W1245">
        <v>-0.12095019999999999</v>
      </c>
      <c r="X1245">
        <v>0.99240620000000002</v>
      </c>
      <c r="Y1245">
        <v>1.149083E-2</v>
      </c>
      <c r="Z1245">
        <v>-7.5548719999999996E-4</v>
      </c>
      <c r="AA1245">
        <v>0.99993370000000004</v>
      </c>
      <c r="AB1245">
        <v>36</v>
      </c>
      <c r="AC1245">
        <v>19.138599999999901</v>
      </c>
      <c r="AD1245">
        <v>-1.10959990430199</v>
      </c>
      <c r="AE1245">
        <v>-6.97000000000116E-2</v>
      </c>
      <c r="AF1245">
        <v>0.22166008582292199</v>
      </c>
      <c r="AG1245">
        <v>-1.10959990430199</v>
      </c>
      <c r="AH1245">
        <v>19.073323542425701</v>
      </c>
      <c r="AI1245">
        <v>93.3292329505136</v>
      </c>
      <c r="AJ1245">
        <v>89.334168706060396</v>
      </c>
      <c r="AK1245">
        <v>19.106857828939901</v>
      </c>
      <c r="AL1245">
        <v>96.946944506508103</v>
      </c>
      <c r="AM1245">
        <v>91.292016146442506</v>
      </c>
      <c r="AN1245">
        <v>0.99999999626853997</v>
      </c>
    </row>
    <row r="1246" spans="1:40" x14ac:dyDescent="0.25">
      <c r="A1246" t="str">
        <f>"20190305134927867"</f>
        <v>20190305134927867</v>
      </c>
      <c r="B1246" t="str">
        <f>"1551764967862221"</f>
        <v>1551764967862221</v>
      </c>
      <c r="C1246" t="s">
        <v>40</v>
      </c>
      <c r="D1246">
        <v>4.1115789999999999</v>
      </c>
      <c r="E1246">
        <v>0.51371259999999996</v>
      </c>
      <c r="F1246" t="s">
        <v>42</v>
      </c>
      <c r="G1246">
        <v>-242.27600000000001</v>
      </c>
      <c r="H1246" s="1">
        <v>-3.9024379999999999E-6</v>
      </c>
      <c r="I1246">
        <v>368.0899</v>
      </c>
      <c r="J1246">
        <v>-261.22179999999997</v>
      </c>
      <c r="K1246">
        <v>1.109607</v>
      </c>
      <c r="L1246">
        <v>368.15289999999999</v>
      </c>
      <c r="M1246">
        <v>0.99985990000000002</v>
      </c>
      <c r="N1246">
        <v>-1.4722249999999999E-2</v>
      </c>
      <c r="O1246">
        <v>7.978321E-3</v>
      </c>
      <c r="P1246">
        <v>0.99028329999999998</v>
      </c>
      <c r="Q1246">
        <v>-0.135708299999999</v>
      </c>
      <c r="R1246">
        <v>3.0370069999999999E-2</v>
      </c>
      <c r="S1246">
        <v>3.005798</v>
      </c>
      <c r="T1246">
        <v>-0.17427419999999999</v>
      </c>
      <c r="U1246">
        <v>-9.6435549999999998E-3</v>
      </c>
      <c r="V1246">
        <v>-2.2471959999999999E-2</v>
      </c>
      <c r="W1246">
        <v>-0.1211105</v>
      </c>
      <c r="X1246">
        <v>0.99238459999999995</v>
      </c>
      <c r="Y1246">
        <v>1.115638E-2</v>
      </c>
      <c r="Z1246">
        <v>-7.5015659999999997E-4</v>
      </c>
      <c r="AA1246">
        <v>0.99993750000000003</v>
      </c>
      <c r="AB1246">
        <v>36</v>
      </c>
      <c r="AC1246">
        <v>18.945799999999899</v>
      </c>
      <c r="AD1246">
        <v>-1.1096109024380001</v>
      </c>
      <c r="AE1246">
        <v>-6.2999999999988093E-2</v>
      </c>
      <c r="AF1246">
        <v>0.21343791567635201</v>
      </c>
      <c r="AG1246">
        <v>-1.1096109024380001</v>
      </c>
      <c r="AH1246">
        <v>18.8799335378793</v>
      </c>
      <c r="AI1246">
        <v>93.3633023293566</v>
      </c>
      <c r="AJ1246">
        <v>89.352297994121997</v>
      </c>
      <c r="AK1246">
        <v>18.913716781568802</v>
      </c>
      <c r="AL1246">
        <v>96.9561972329642</v>
      </c>
      <c r="AM1246">
        <v>91.297207213177501</v>
      </c>
      <c r="AN1246">
        <v>0.99999996825682502</v>
      </c>
    </row>
    <row r="1247" spans="1:40" x14ac:dyDescent="0.25">
      <c r="A1247" t="str">
        <f>"20190305134927882"</f>
        <v>20190305134927882</v>
      </c>
      <c r="B1247" t="str">
        <f>"1551764967871980"</f>
        <v>1551764967871980</v>
      </c>
      <c r="C1247" t="s">
        <v>40</v>
      </c>
      <c r="D1247">
        <v>4.1178650000000001</v>
      </c>
      <c r="E1247">
        <v>0.51369849999999995</v>
      </c>
      <c r="F1247" t="s">
        <v>42</v>
      </c>
      <c r="G1247">
        <v>-242.14019999999999</v>
      </c>
      <c r="H1247" s="1">
        <v>-3.9665519999999998E-6</v>
      </c>
      <c r="I1247">
        <v>368.09050000000002</v>
      </c>
      <c r="J1247">
        <v>-260.9778</v>
      </c>
      <c r="K1247">
        <v>1.1096090000000001</v>
      </c>
      <c r="L1247">
        <v>368.15480000000002</v>
      </c>
      <c r="M1247">
        <v>0.99985990000000002</v>
      </c>
      <c r="N1247">
        <v>-1.4725210000000001E-2</v>
      </c>
      <c r="O1247">
        <v>7.9783000000000007E-3</v>
      </c>
      <c r="P1247">
        <v>0.99029880000000003</v>
      </c>
      <c r="Q1247">
        <v>-0.1356328</v>
      </c>
      <c r="R1247">
        <v>3.0202699999999999E-2</v>
      </c>
      <c r="S1247">
        <v>3.005798</v>
      </c>
      <c r="T1247">
        <v>-0.17478940000000001</v>
      </c>
      <c r="U1247">
        <v>-9.8266599999999992E-3</v>
      </c>
      <c r="V1247">
        <v>-2.2304649999999999E-2</v>
      </c>
      <c r="W1247">
        <v>-0.12103179999999999</v>
      </c>
      <c r="X1247">
        <v>0.992398</v>
      </c>
      <c r="Y1247">
        <v>1.121696E-2</v>
      </c>
      <c r="Z1247">
        <v>-7.5467389999999996E-4</v>
      </c>
      <c r="AA1247">
        <v>0.99993679999999996</v>
      </c>
      <c r="AB1247">
        <v>36</v>
      </c>
      <c r="AC1247">
        <v>18.837599999999998</v>
      </c>
      <c r="AD1247">
        <v>-1.109612966552</v>
      </c>
      <c r="AE1247">
        <v>-6.4300000000002897E-2</v>
      </c>
      <c r="AF1247">
        <v>0.213864214958184</v>
      </c>
      <c r="AG1247">
        <v>-1.109612966552</v>
      </c>
      <c r="AH1247">
        <v>18.771357047461098</v>
      </c>
      <c r="AI1247">
        <v>93.3827140592104</v>
      </c>
      <c r="AJ1247">
        <v>89.3472508814896</v>
      </c>
      <c r="AK1247">
        <v>18.8053403117637</v>
      </c>
      <c r="AL1247">
        <v>96.951654471523497</v>
      </c>
      <c r="AM1247">
        <v>91.287535028084207</v>
      </c>
      <c r="AN1247">
        <v>0.99999999221343105</v>
      </c>
    </row>
    <row r="1248" spans="1:40" x14ac:dyDescent="0.25">
      <c r="A1248" t="str">
        <f>"20190305134927896"</f>
        <v>20190305134927896</v>
      </c>
      <c r="B1248" t="str">
        <f>"1551764967891501"</f>
        <v>1551764967891501</v>
      </c>
      <c r="C1248" t="s">
        <v>40</v>
      </c>
      <c r="D1248">
        <v>4.1226640000000003</v>
      </c>
      <c r="E1248">
        <v>0.51370130000000003</v>
      </c>
      <c r="F1248" t="s">
        <v>42</v>
      </c>
      <c r="G1248">
        <v>-242.0009</v>
      </c>
      <c r="H1248" s="1">
        <v>-4.0323119999999998E-6</v>
      </c>
      <c r="I1248">
        <v>368.09089999999998</v>
      </c>
      <c r="J1248">
        <v>-260.75670000000002</v>
      </c>
      <c r="K1248">
        <v>1.109615</v>
      </c>
      <c r="L1248">
        <v>368.15660000000003</v>
      </c>
      <c r="M1248">
        <v>0.99985979999999997</v>
      </c>
      <c r="N1248">
        <v>-1.4727519999999999E-2</v>
      </c>
      <c r="O1248">
        <v>7.9784609999999992E-3</v>
      </c>
      <c r="P1248">
        <v>0.99026670000000006</v>
      </c>
      <c r="Q1248">
        <v>-0.13580130000000001</v>
      </c>
      <c r="R1248">
        <v>3.0493699999999999E-2</v>
      </c>
      <c r="S1248">
        <v>3.0056150000000001</v>
      </c>
      <c r="T1248">
        <v>-0.17574329999999999</v>
      </c>
      <c r="U1248">
        <v>-1.013184E-2</v>
      </c>
      <c r="V1248">
        <v>-2.2595690000000002E-2</v>
      </c>
      <c r="W1248">
        <v>-0.1211984</v>
      </c>
      <c r="X1248">
        <v>0.99237109999999995</v>
      </c>
      <c r="Y1248">
        <v>1.131829E-2</v>
      </c>
      <c r="Z1248">
        <v>-7.6273309999999996E-4</v>
      </c>
      <c r="AA1248">
        <v>0.99993560000000004</v>
      </c>
      <c r="AB1248">
        <v>36</v>
      </c>
      <c r="AC1248">
        <v>18.755800000000001</v>
      </c>
      <c r="AD1248">
        <v>-1.1096190323119901</v>
      </c>
      <c r="AE1248">
        <v>-6.5700000000049302E-2</v>
      </c>
      <c r="AF1248">
        <v>0.21460542090048201</v>
      </c>
      <c r="AG1248">
        <v>-1.1096190323119901</v>
      </c>
      <c r="AH1248">
        <v>18.689265743938101</v>
      </c>
      <c r="AI1248">
        <v>93.397552717687503</v>
      </c>
      <c r="AJ1248">
        <v>89.342111955598298</v>
      </c>
      <c r="AK1248">
        <v>18.723406846273601</v>
      </c>
      <c r="AL1248">
        <v>96.961270623285699</v>
      </c>
      <c r="AM1248">
        <v>91.304364878005501</v>
      </c>
      <c r="AN1248">
        <v>1.0000000087421701</v>
      </c>
    </row>
    <row r="1249" spans="1:40" x14ac:dyDescent="0.25">
      <c r="A1249" t="str">
        <f>"20190305134927909"</f>
        <v>20190305134927909</v>
      </c>
      <c r="B1249" t="str">
        <f>"1551764967902236"</f>
        <v>1551764967902236</v>
      </c>
      <c r="C1249" t="s">
        <v>40</v>
      </c>
      <c r="D1249">
        <v>4.1436539999999997</v>
      </c>
      <c r="E1249">
        <v>0.51366849999999997</v>
      </c>
      <c r="F1249" t="s">
        <v>42</v>
      </c>
      <c r="G1249">
        <v>-242.02350000000001</v>
      </c>
      <c r="H1249" s="1">
        <v>-4.0204800000000002E-6</v>
      </c>
      <c r="I1249">
        <v>368.09739999999999</v>
      </c>
      <c r="J1249">
        <v>-260.54610000000002</v>
      </c>
      <c r="K1249">
        <v>1.109613</v>
      </c>
      <c r="L1249">
        <v>368.15820000000002</v>
      </c>
      <c r="M1249">
        <v>0.99985970000000002</v>
      </c>
      <c r="N1249">
        <v>-1.472936E-2</v>
      </c>
      <c r="O1249">
        <v>7.9786270000000003E-3</v>
      </c>
      <c r="P1249">
        <v>0.9902434</v>
      </c>
      <c r="Q1249">
        <v>-0.1359292</v>
      </c>
      <c r="R1249">
        <v>3.06816E-2</v>
      </c>
      <c r="S1249">
        <v>3.0053709999999998</v>
      </c>
      <c r="T1249">
        <v>-0.17801649999999999</v>
      </c>
      <c r="U1249">
        <v>-9.4909669999999995E-3</v>
      </c>
      <c r="V1249">
        <v>-2.2783669999999999E-2</v>
      </c>
      <c r="W1249">
        <v>-0.1213249</v>
      </c>
      <c r="X1249">
        <v>0.99235139999999999</v>
      </c>
      <c r="Y1249">
        <v>1.110513E-2</v>
      </c>
      <c r="Z1249">
        <v>-7.6521490000000005E-4</v>
      </c>
      <c r="AA1249">
        <v>0.99993810000000005</v>
      </c>
      <c r="AB1249">
        <v>36</v>
      </c>
      <c r="AC1249">
        <v>18.522600000000001</v>
      </c>
      <c r="AD1249">
        <v>-1.10961702048</v>
      </c>
      <c r="AE1249">
        <v>-6.0800000000028803E-2</v>
      </c>
      <c r="AF1249">
        <v>0.20785308907564801</v>
      </c>
      <c r="AG1249">
        <v>-1.10961702048</v>
      </c>
      <c r="AH1249">
        <v>18.455294558991799</v>
      </c>
      <c r="AI1249">
        <v>93.440525515359994</v>
      </c>
      <c r="AJ1249">
        <v>89.354732527894896</v>
      </c>
      <c r="AK1249">
        <v>18.489790428718401</v>
      </c>
      <c r="AL1249">
        <v>96.968572035200097</v>
      </c>
      <c r="AM1249">
        <v>91.315238566483004</v>
      </c>
      <c r="AN1249">
        <v>1.0000000640303099</v>
      </c>
    </row>
    <row r="1250" spans="1:40" x14ac:dyDescent="0.25">
      <c r="A1250" t="str">
        <f>"20190305134927922"</f>
        <v>20190305134927922</v>
      </c>
      <c r="B1250" t="str">
        <f>"1551764967911997"</f>
        <v>1551764967911997</v>
      </c>
      <c r="C1250" t="s">
        <v>40</v>
      </c>
      <c r="D1250">
        <v>4.1498850000000003</v>
      </c>
      <c r="E1250">
        <v>0.51366329999999905</v>
      </c>
      <c r="F1250" t="s">
        <v>42</v>
      </c>
      <c r="G1250">
        <v>-241.9554</v>
      </c>
      <c r="H1250" s="1">
        <v>-4.0513639999999997E-6</v>
      </c>
      <c r="I1250">
        <v>368.10480000000001</v>
      </c>
      <c r="J1250">
        <v>-260.32490000000001</v>
      </c>
      <c r="K1250">
        <v>1.1096159999999999</v>
      </c>
      <c r="L1250">
        <v>368.16</v>
      </c>
      <c r="M1250">
        <v>0.99985970000000002</v>
      </c>
      <c r="N1250">
        <v>-1.4730699999999999E-2</v>
      </c>
      <c r="O1250">
        <v>7.9786159999999991E-3</v>
      </c>
      <c r="P1250">
        <v>0.99019100000000004</v>
      </c>
      <c r="Q1250">
        <v>-0.13623089999999999</v>
      </c>
      <c r="R1250">
        <v>3.1034929999999999E-2</v>
      </c>
      <c r="S1250">
        <v>3.005188</v>
      </c>
      <c r="T1250">
        <v>-0.17936939999999901</v>
      </c>
      <c r="U1250">
        <v>-8.6364749999999994E-3</v>
      </c>
      <c r="V1250">
        <v>-2.3137700000000001E-2</v>
      </c>
      <c r="W1250">
        <v>-0.1216259</v>
      </c>
      <c r="X1250">
        <v>0.99230629999999997</v>
      </c>
      <c r="Y1250">
        <v>1.082113E-2</v>
      </c>
      <c r="Z1250">
        <v>-7.6077580000000005E-4</v>
      </c>
      <c r="AA1250">
        <v>0.99994119999999997</v>
      </c>
      <c r="AB1250">
        <v>36</v>
      </c>
      <c r="AC1250">
        <v>18.369499999999999</v>
      </c>
      <c r="AD1250">
        <v>-1.109620051364</v>
      </c>
      <c r="AE1250">
        <v>-5.5200000000013398E-2</v>
      </c>
      <c r="AF1250">
        <v>0.20104375983971701</v>
      </c>
      <c r="AG1250">
        <v>-1.109620051364</v>
      </c>
      <c r="AH1250">
        <v>18.3016954934</v>
      </c>
      <c r="AI1250">
        <v>93.469350419324797</v>
      </c>
      <c r="AJ1250">
        <v>89.370632319620398</v>
      </c>
      <c r="AK1250">
        <v>18.3364045871839</v>
      </c>
      <c r="AL1250">
        <v>96.985947162528404</v>
      </c>
      <c r="AM1250">
        <v>91.335729080917702</v>
      </c>
      <c r="AN1250">
        <v>1.00000000286589</v>
      </c>
    </row>
    <row r="1251" spans="1:40" x14ac:dyDescent="0.25">
      <c r="A1251" t="str">
        <f>"20190305134927937"</f>
        <v>20190305134927937</v>
      </c>
      <c r="B1251" t="str">
        <f>"1551764967931516"</f>
        <v>1551764967931516</v>
      </c>
      <c r="C1251" t="s">
        <v>40</v>
      </c>
      <c r="D1251">
        <v>4.1467159999999996</v>
      </c>
      <c r="E1251">
        <v>0.51368590000000003</v>
      </c>
      <c r="F1251" t="s">
        <v>42</v>
      </c>
      <c r="G1251">
        <v>-241.98849999999999</v>
      </c>
      <c r="H1251" s="1">
        <v>-4.0337979999999998E-6</v>
      </c>
      <c r="I1251">
        <v>368.1155</v>
      </c>
      <c r="J1251">
        <v>-260.09660000000002</v>
      </c>
      <c r="K1251">
        <v>1.109618</v>
      </c>
      <c r="L1251">
        <v>368.16180000000003</v>
      </c>
      <c r="M1251">
        <v>0.99985979999999997</v>
      </c>
      <c r="N1251">
        <v>-1.473177E-2</v>
      </c>
      <c r="O1251">
        <v>7.9784290000000004E-3</v>
      </c>
      <c r="P1251">
        <v>0.99018569999999995</v>
      </c>
      <c r="Q1251">
        <v>-0.13626289999999999</v>
      </c>
      <c r="R1251">
        <v>3.106188E-2</v>
      </c>
      <c r="S1251">
        <v>3.0049440000000001</v>
      </c>
      <c r="T1251">
        <v>-0.1818428</v>
      </c>
      <c r="U1251">
        <v>-7.2937009999999997E-3</v>
      </c>
      <c r="V1251">
        <v>-2.3164589999999999E-2</v>
      </c>
      <c r="W1251">
        <v>-0.1216569</v>
      </c>
      <c r="X1251">
        <v>0.99230189999999996</v>
      </c>
      <c r="Y1251">
        <v>1.037446E-2</v>
      </c>
      <c r="Z1251">
        <v>-7.550282E-4</v>
      </c>
      <c r="AA1251">
        <v>0.99994590000000005</v>
      </c>
      <c r="AB1251">
        <v>36</v>
      </c>
      <c r="AC1251">
        <v>18.1081</v>
      </c>
      <c r="AD1251">
        <v>-1.1096220337980001</v>
      </c>
      <c r="AE1251">
        <v>-4.6300000000030601E-2</v>
      </c>
      <c r="AF1251">
        <v>0.19007465781459701</v>
      </c>
      <c r="AG1251">
        <v>-1.1096220337980001</v>
      </c>
      <c r="AH1251">
        <v>18.039417384715399</v>
      </c>
      <c r="AI1251">
        <v>93.519689197510402</v>
      </c>
      <c r="AJ1251">
        <v>89.396317937684699</v>
      </c>
      <c r="AK1251">
        <v>18.0745115843667</v>
      </c>
      <c r="AL1251">
        <v>96.987736428423403</v>
      </c>
      <c r="AM1251">
        <v>91.337286792754398</v>
      </c>
      <c r="AN1251">
        <v>1.0000000301455401</v>
      </c>
    </row>
    <row r="1252" spans="1:40" x14ac:dyDescent="0.25">
      <c r="A1252" t="str">
        <f>"20190305134927952"</f>
        <v>20190305134927952</v>
      </c>
      <c r="B1252" t="str">
        <f>"1551764967942252"</f>
        <v>1551764967942252</v>
      </c>
      <c r="C1252" t="s">
        <v>40</v>
      </c>
      <c r="D1252">
        <v>4.1690449999999997</v>
      </c>
      <c r="E1252">
        <v>0.51367050000000003</v>
      </c>
      <c r="F1252" t="s">
        <v>42</v>
      </c>
      <c r="G1252">
        <v>-241.91810000000001</v>
      </c>
      <c r="H1252" s="1">
        <v>-4.0671469999999998E-6</v>
      </c>
      <c r="I1252">
        <v>368.11509999999998</v>
      </c>
      <c r="J1252">
        <v>-259.86149999999998</v>
      </c>
      <c r="K1252">
        <v>1.1096200000000001</v>
      </c>
      <c r="L1252">
        <v>368.16370000000001</v>
      </c>
      <c r="M1252">
        <v>0.99985979999999997</v>
      </c>
      <c r="N1252">
        <v>-1.473256E-2</v>
      </c>
      <c r="O1252">
        <v>7.9786019999999996E-3</v>
      </c>
      <c r="P1252">
        <v>0.99015109999999995</v>
      </c>
      <c r="Q1252">
        <v>-0.13649749999999999</v>
      </c>
      <c r="R1252">
        <v>3.1139739999999999E-2</v>
      </c>
      <c r="S1252">
        <v>3.0047609999999998</v>
      </c>
      <c r="T1252">
        <v>-0.1834122</v>
      </c>
      <c r="U1252">
        <v>-7.7209469999999997E-3</v>
      </c>
      <c r="V1252">
        <v>-2.3242450000000001E-2</v>
      </c>
      <c r="W1252">
        <v>-0.1218911</v>
      </c>
      <c r="X1252">
        <v>0.99227129999999997</v>
      </c>
      <c r="Y1252">
        <v>1.0516070000000001E-2</v>
      </c>
      <c r="Z1252">
        <v>-7.6730530000000002E-4</v>
      </c>
      <c r="AA1252">
        <v>0.99994439999999996</v>
      </c>
      <c r="AB1252">
        <v>36</v>
      </c>
      <c r="AC1252">
        <v>17.943399999999901</v>
      </c>
      <c r="AD1252">
        <v>-1.1096240671469999</v>
      </c>
      <c r="AE1252">
        <v>-4.8600000000021702E-2</v>
      </c>
      <c r="AF1252">
        <v>0.19104661781761201</v>
      </c>
      <c r="AG1252">
        <v>-1.1096240671469999</v>
      </c>
      <c r="AH1252">
        <v>17.874087099861899</v>
      </c>
      <c r="AI1252">
        <v>93.552163140096994</v>
      </c>
      <c r="AJ1252">
        <v>89.387619182093204</v>
      </c>
      <c r="AK1252">
        <v>17.9095157397966</v>
      </c>
      <c r="AL1252">
        <v>97.001255978581298</v>
      </c>
      <c r="AM1252">
        <v>91.3418213564712</v>
      </c>
      <c r="AN1252">
        <v>0.99999999227245095</v>
      </c>
    </row>
    <row r="1253" spans="1:40" x14ac:dyDescent="0.25">
      <c r="A1253" t="str">
        <f>"20190305134927966"</f>
        <v>20190305134927966</v>
      </c>
      <c r="B1253" t="str">
        <f>"1551764967961776"</f>
        <v>1551764967961776</v>
      </c>
      <c r="C1253" t="s">
        <v>40</v>
      </c>
      <c r="D1253">
        <v>4.1784439999999998</v>
      </c>
      <c r="E1253">
        <v>0.5138083</v>
      </c>
      <c r="F1253" t="s">
        <v>42</v>
      </c>
      <c r="G1253">
        <v>-241.83269999999999</v>
      </c>
      <c r="H1253" s="1">
        <v>-4.1063570000000001E-6</v>
      </c>
      <c r="I1253">
        <v>368.12180000000001</v>
      </c>
      <c r="J1253">
        <v>-259.60879999999997</v>
      </c>
      <c r="K1253">
        <v>1.109623</v>
      </c>
      <c r="L1253">
        <v>368.16570000000002</v>
      </c>
      <c r="M1253">
        <v>0.99985979999999997</v>
      </c>
      <c r="N1253">
        <v>-1.473301E-2</v>
      </c>
      <c r="O1253">
        <v>7.9787190000000004E-3</v>
      </c>
      <c r="P1253">
        <v>0.99012149999999999</v>
      </c>
      <c r="Q1253">
        <v>-0.1367525</v>
      </c>
      <c r="R1253">
        <v>3.0957470000000001E-2</v>
      </c>
      <c r="S1253">
        <v>3.0046080000000002</v>
      </c>
      <c r="T1253">
        <v>-0.1849247</v>
      </c>
      <c r="U1253">
        <v>-6.9885249999999998E-3</v>
      </c>
      <c r="V1253">
        <v>-2.3060509999999999E-2</v>
      </c>
      <c r="W1253">
        <v>-0.1221462</v>
      </c>
      <c r="X1253">
        <v>0.99224420000000002</v>
      </c>
      <c r="Y1253">
        <v>1.027258E-2</v>
      </c>
      <c r="Z1253">
        <v>-7.6471630000000002E-4</v>
      </c>
      <c r="AA1253">
        <v>0.99994700000000003</v>
      </c>
      <c r="AB1253">
        <v>36</v>
      </c>
      <c r="AC1253">
        <v>17.7760999999999</v>
      </c>
      <c r="AD1253">
        <v>-1.109627106357</v>
      </c>
      <c r="AE1253">
        <v>-4.3900000000007801E-2</v>
      </c>
      <c r="AF1253">
        <v>0.18502352991568599</v>
      </c>
      <c r="AG1253">
        <v>-1.109627106357</v>
      </c>
      <c r="AH1253">
        <v>17.706190972432001</v>
      </c>
      <c r="AI1253">
        <v>93.5857773116375</v>
      </c>
      <c r="AJ1253">
        <v>89.4013008469977</v>
      </c>
      <c r="AK1253">
        <v>17.7418912400572</v>
      </c>
      <c r="AL1253">
        <v>97.015981995611696</v>
      </c>
      <c r="AM1253">
        <v>91.331357831413797</v>
      </c>
      <c r="AN1253">
        <v>1.00000001686476</v>
      </c>
    </row>
    <row r="1254" spans="1:40" x14ac:dyDescent="0.25">
      <c r="A1254" t="str">
        <f>"20190305134927978"</f>
        <v>20190305134927978</v>
      </c>
      <c r="B1254" t="str">
        <f>"1551764967971533"</f>
        <v>1551764967971533</v>
      </c>
      <c r="C1254" t="s">
        <v>40</v>
      </c>
      <c r="D1254">
        <v>4.1251110000000004</v>
      </c>
      <c r="E1254">
        <v>0.51388509999999998</v>
      </c>
      <c r="F1254" t="s">
        <v>42</v>
      </c>
      <c r="G1254">
        <v>-241.67910000000001</v>
      </c>
      <c r="H1254" s="1">
        <v>-4.1803660000000002E-6</v>
      </c>
      <c r="I1254">
        <v>368.11380000000003</v>
      </c>
      <c r="J1254">
        <v>-259.42750000000001</v>
      </c>
      <c r="K1254">
        <v>1.1096239999999999</v>
      </c>
      <c r="L1254">
        <v>368.1671</v>
      </c>
      <c r="M1254">
        <v>0.99985970000000002</v>
      </c>
      <c r="N1254">
        <v>-1.4733120000000001E-2</v>
      </c>
      <c r="O1254">
        <v>7.97889699999999E-3</v>
      </c>
      <c r="P1254">
        <v>0.99012960000000005</v>
      </c>
      <c r="Q1254">
        <v>-0.13667850000000001</v>
      </c>
      <c r="R1254">
        <v>3.102883E-2</v>
      </c>
      <c r="S1254">
        <v>3.0045470000000001</v>
      </c>
      <c r="T1254">
        <v>-0.185944</v>
      </c>
      <c r="U1254">
        <v>-8.6975100000000003E-3</v>
      </c>
      <c r="V1254">
        <v>-2.313169E-2</v>
      </c>
      <c r="W1254">
        <v>-0.1220719</v>
      </c>
      <c r="X1254">
        <v>0.99225169999999996</v>
      </c>
      <c r="Y1254">
        <v>1.083986E-2</v>
      </c>
      <c r="Z1254">
        <v>-7.9089979999999904E-4</v>
      </c>
      <c r="AA1254">
        <v>0.99994090000000002</v>
      </c>
      <c r="AB1254">
        <v>36</v>
      </c>
      <c r="AC1254">
        <v>17.7484</v>
      </c>
      <c r="AD1254">
        <v>-1.109628180366</v>
      </c>
      <c r="AE1254">
        <v>-5.3299999999978802E-2</v>
      </c>
      <c r="AF1254">
        <v>0.194167377613231</v>
      </c>
      <c r="AG1254">
        <v>-1.109628180366</v>
      </c>
      <c r="AH1254">
        <v>17.678310333917899</v>
      </c>
      <c r="AI1254">
        <v>93.591400668746502</v>
      </c>
      <c r="AJ1254">
        <v>89.370724705735398</v>
      </c>
      <c r="AK1254">
        <v>17.714164725764</v>
      </c>
      <c r="AL1254">
        <v>97.011692729470795</v>
      </c>
      <c r="AM1254">
        <v>91.3354557065676</v>
      </c>
      <c r="AN1254">
        <v>1.0000000300023699</v>
      </c>
    </row>
    <row r="1255" spans="1:40" x14ac:dyDescent="0.25">
      <c r="A1255" t="str">
        <f>"20190305134927991"</f>
        <v>20190305134927991</v>
      </c>
      <c r="B1255" t="str">
        <f>"1551764967982269"</f>
        <v>1551764967982269</v>
      </c>
      <c r="C1255" t="s">
        <v>40</v>
      </c>
      <c r="D1255">
        <v>4.179964</v>
      </c>
      <c r="E1255">
        <v>0.51400610000000002</v>
      </c>
      <c r="F1255" t="s">
        <v>42</v>
      </c>
      <c r="G1255">
        <v>-241.54519999999999</v>
      </c>
      <c r="H1255" s="1">
        <v>-4.2437840000000003E-6</v>
      </c>
      <c r="I1255">
        <v>368.11320000000001</v>
      </c>
      <c r="J1255">
        <v>-259.22370000000001</v>
      </c>
      <c r="K1255">
        <v>1.109626</v>
      </c>
      <c r="L1255">
        <v>368.16879999999998</v>
      </c>
      <c r="M1255">
        <v>0.99985979999999997</v>
      </c>
      <c r="N1255">
        <v>-1.473316E-2</v>
      </c>
      <c r="O1255">
        <v>7.9788959999999992E-3</v>
      </c>
      <c r="P1255">
        <v>0.99011139999999997</v>
      </c>
      <c r="Q1255">
        <v>-0.13683960000000001</v>
      </c>
      <c r="R1255">
        <v>3.0893380000000002E-2</v>
      </c>
      <c r="S1255">
        <v>3.004486</v>
      </c>
      <c r="T1255">
        <v>-0.1864336</v>
      </c>
      <c r="U1255">
        <v>-9.0637210000000003E-3</v>
      </c>
      <c r="V1255">
        <v>-2.299592E-2</v>
      </c>
      <c r="W1255">
        <v>-0.1222332</v>
      </c>
      <c r="X1255">
        <v>0.99223490000000003</v>
      </c>
      <c r="Y1255">
        <v>1.096132E-2</v>
      </c>
      <c r="Z1255">
        <v>-7.977552E-4</v>
      </c>
      <c r="AA1255">
        <v>0.99993960000000004</v>
      </c>
      <c r="AB1255">
        <v>36</v>
      </c>
      <c r="AC1255">
        <v>17.6785</v>
      </c>
      <c r="AD1255">
        <v>-1.109630243784</v>
      </c>
      <c r="AE1255">
        <v>-5.5599999999969799E-2</v>
      </c>
      <c r="AF1255">
        <v>0.19589665868304099</v>
      </c>
      <c r="AG1255">
        <v>-1.109630243784</v>
      </c>
      <c r="AH1255">
        <v>17.608123012987001</v>
      </c>
      <c r="AI1255">
        <v>93.6056796175329</v>
      </c>
      <c r="AJ1255">
        <v>89.362590282392304</v>
      </c>
      <c r="AK1255">
        <v>17.6441392768048</v>
      </c>
      <c r="AL1255">
        <v>97.021004959910499</v>
      </c>
      <c r="AM1255">
        <v>91.327642617437803</v>
      </c>
      <c r="AN1255">
        <v>0.99999993214844596</v>
      </c>
    </row>
    <row r="1256" spans="1:40" x14ac:dyDescent="0.25">
      <c r="A1256" t="str">
        <f>"20190305134928000"</f>
        <v>20190305134928000</v>
      </c>
      <c r="B1256" t="str">
        <f>"1551764967992029"</f>
        <v>1551764967992029</v>
      </c>
      <c r="C1256" t="s">
        <v>40</v>
      </c>
      <c r="D1256">
        <v>4.1779640000000002</v>
      </c>
      <c r="E1256">
        <v>0.51400570000000001</v>
      </c>
      <c r="F1256" t="s">
        <v>42</v>
      </c>
      <c r="G1256">
        <v>-241.38069999999999</v>
      </c>
      <c r="H1256" s="1">
        <v>-4.3227909999999999E-6</v>
      </c>
      <c r="I1256">
        <v>368.10599999999999</v>
      </c>
      <c r="J1256">
        <v>-259.05</v>
      </c>
      <c r="K1256">
        <v>1.1096269999999999</v>
      </c>
      <c r="L1256">
        <v>368.17020000000002</v>
      </c>
      <c r="M1256">
        <v>0.99985970000000002</v>
      </c>
      <c r="N1256">
        <v>-1.473297E-2</v>
      </c>
      <c r="O1256">
        <v>7.9790759999999999E-3</v>
      </c>
      <c r="P1256">
        <v>0.99012080000000002</v>
      </c>
      <c r="Q1256">
        <v>-0.13682639999999999</v>
      </c>
      <c r="R1256">
        <v>3.0653300000000001E-2</v>
      </c>
      <c r="S1256">
        <v>3.0044559999999998</v>
      </c>
      <c r="T1256">
        <v>-0.18684239999999999</v>
      </c>
      <c r="U1256">
        <v>-1.055908E-2</v>
      </c>
      <c r="V1256">
        <v>-2.275607E-2</v>
      </c>
      <c r="W1256">
        <v>-0.1222202</v>
      </c>
      <c r="X1256">
        <v>0.99224210000000002</v>
      </c>
      <c r="Y1256">
        <v>1.145787E-2</v>
      </c>
      <c r="Z1256">
        <v>-8.1868689999999998E-4</v>
      </c>
      <c r="AA1256">
        <v>0.99993399999999999</v>
      </c>
      <c r="AB1256">
        <v>36</v>
      </c>
      <c r="AC1256">
        <v>17.6693</v>
      </c>
      <c r="AD1256">
        <v>-1.109631322791</v>
      </c>
      <c r="AE1256">
        <v>-6.4200000000027999E-2</v>
      </c>
      <c r="AF1256">
        <v>0.20439185962636899</v>
      </c>
      <c r="AG1256">
        <v>-1.109631322791</v>
      </c>
      <c r="AH1256">
        <v>17.5988191719937</v>
      </c>
      <c r="AI1256">
        <v>93.607564287080194</v>
      </c>
      <c r="AJ1256">
        <v>89.334599422882803</v>
      </c>
      <c r="AK1256">
        <v>17.634950920071599</v>
      </c>
      <c r="AL1256">
        <v>97.020254005502693</v>
      </c>
      <c r="AM1256">
        <v>91.313790506452406</v>
      </c>
      <c r="AN1256">
        <v>1.00000000051114</v>
      </c>
    </row>
    <row r="1257" spans="1:40" x14ac:dyDescent="0.25">
      <c r="A1257" t="str">
        <f>"20190305134928011"</f>
        <v>20190305134928011</v>
      </c>
      <c r="B1257" t="str">
        <f>"1551764968001789"</f>
        <v>1551764968001789</v>
      </c>
      <c r="C1257" t="s">
        <v>40</v>
      </c>
      <c r="D1257">
        <v>4.1602360000000003</v>
      </c>
      <c r="E1257">
        <v>0.51406669999999999</v>
      </c>
      <c r="F1257" t="s">
        <v>42</v>
      </c>
      <c r="G1257">
        <v>-241.25129999999999</v>
      </c>
      <c r="H1257" s="1">
        <v>-4.3847590000000003E-6</v>
      </c>
      <c r="I1257">
        <v>368.10169999999999</v>
      </c>
      <c r="J1257">
        <v>-258.88990000000001</v>
      </c>
      <c r="K1257">
        <v>1.1096280000000001</v>
      </c>
      <c r="L1257">
        <v>368.17140000000001</v>
      </c>
      <c r="M1257">
        <v>0.99985970000000002</v>
      </c>
      <c r="N1257">
        <v>-1.4732749999999999E-2</v>
      </c>
      <c r="O1257">
        <v>7.9790780000000006E-3</v>
      </c>
      <c r="P1257">
        <v>0.99011519999999997</v>
      </c>
      <c r="Q1257">
        <v>-0.13693710000000001</v>
      </c>
      <c r="R1257">
        <v>3.0336559999999999E-2</v>
      </c>
      <c r="S1257">
        <v>3.0043950000000001</v>
      </c>
      <c r="T1257">
        <v>-0.18730379999999999</v>
      </c>
      <c r="U1257">
        <v>-1.1566160000000001E-2</v>
      </c>
      <c r="V1257">
        <v>-2.2439230000000001E-2</v>
      </c>
      <c r="W1257">
        <v>-0.1223312</v>
      </c>
      <c r="X1257">
        <v>0.99223570000000005</v>
      </c>
      <c r="Y1257">
        <v>1.179213E-2</v>
      </c>
      <c r="Z1257">
        <v>-8.336792E-4</v>
      </c>
      <c r="AA1257">
        <v>0.99993010000000004</v>
      </c>
      <c r="AB1257">
        <v>36</v>
      </c>
      <c r="AC1257">
        <v>17.6386</v>
      </c>
      <c r="AD1257">
        <v>-1.1096323847589999</v>
      </c>
      <c r="AE1257">
        <v>-6.97000000000116E-2</v>
      </c>
      <c r="AF1257">
        <v>0.20962322434710801</v>
      </c>
      <c r="AG1257">
        <v>-1.1096323847589999</v>
      </c>
      <c r="AH1257">
        <v>17.567956620942201</v>
      </c>
      <c r="AI1257">
        <v>93.613875053510398</v>
      </c>
      <c r="AJ1257">
        <v>89.316371485430295</v>
      </c>
      <c r="AK1257">
        <v>17.604213295708501</v>
      </c>
      <c r="AL1257">
        <v>97.026661480000698</v>
      </c>
      <c r="AM1257">
        <v>91.295512814622796</v>
      </c>
      <c r="AN1257">
        <v>1.00000006294545</v>
      </c>
    </row>
    <row r="1258" spans="1:40" x14ac:dyDescent="0.25">
      <c r="A1258" t="str">
        <f>"20190305134928023"</f>
        <v>20190305134928023</v>
      </c>
      <c r="B1258" t="str">
        <f>"1551764968011550"</f>
        <v>1551764968011550</v>
      </c>
      <c r="C1258" t="s">
        <v>40</v>
      </c>
      <c r="D1258">
        <v>4.168533</v>
      </c>
      <c r="E1258">
        <v>0.51410730000000004</v>
      </c>
      <c r="F1258" t="s">
        <v>42</v>
      </c>
      <c r="G1258">
        <v>-241.1456</v>
      </c>
      <c r="H1258" s="1">
        <v>-4.4356210000000003E-6</v>
      </c>
      <c r="I1258">
        <v>368.09649999999999</v>
      </c>
      <c r="J1258">
        <v>-258.70139999999998</v>
      </c>
      <c r="K1258">
        <v>1.1096280000000001</v>
      </c>
      <c r="L1258">
        <v>368.173</v>
      </c>
      <c r="M1258">
        <v>0.99985979999999997</v>
      </c>
      <c r="N1258">
        <v>-1.473232E-2</v>
      </c>
      <c r="O1258">
        <v>7.9790809999999903E-3</v>
      </c>
      <c r="P1258">
        <v>0.99012489999999997</v>
      </c>
      <c r="Q1258">
        <v>-0.13689899999999999</v>
      </c>
      <c r="R1258">
        <v>3.0196230000000001E-2</v>
      </c>
      <c r="S1258">
        <v>3.0043950000000001</v>
      </c>
      <c r="T1258">
        <v>-0.18787860000000001</v>
      </c>
      <c r="U1258">
        <v>-1.269531E-2</v>
      </c>
      <c r="V1258">
        <v>-2.229882E-2</v>
      </c>
      <c r="W1258">
        <v>-0.1222934</v>
      </c>
      <c r="X1258">
        <v>0.99224349999999994</v>
      </c>
      <c r="Y1258">
        <v>1.21667999999999E-2</v>
      </c>
      <c r="Z1258">
        <v>-8.5079459999999997E-4</v>
      </c>
      <c r="AA1258">
        <v>0.99992559999999997</v>
      </c>
      <c r="AB1258">
        <v>36</v>
      </c>
      <c r="AC1258">
        <v>17.555799999999898</v>
      </c>
      <c r="AD1258">
        <v>-1.1096324356209999</v>
      </c>
      <c r="AE1258">
        <v>-7.6500000000009893E-2</v>
      </c>
      <c r="AF1258">
        <v>0.21573006973873499</v>
      </c>
      <c r="AG1258">
        <v>-1.1096324356209999</v>
      </c>
      <c r="AH1258">
        <v>17.484780141589599</v>
      </c>
      <c r="AI1258">
        <v>93.631002984181293</v>
      </c>
      <c r="AJ1258">
        <v>89.293111194013505</v>
      </c>
      <c r="AK1258">
        <v>17.521283063888198</v>
      </c>
      <c r="AL1258">
        <v>97.024479490124605</v>
      </c>
      <c r="AM1258">
        <v>91.287398964154704</v>
      </c>
      <c r="AN1258">
        <v>1.0000000381745999</v>
      </c>
    </row>
    <row r="1259" spans="1:40" x14ac:dyDescent="0.25">
      <c r="A1259" t="str">
        <f>"20190305134928033"</f>
        <v>20190305134928033</v>
      </c>
      <c r="B1259" t="str">
        <f>"1551764968022284"</f>
        <v>1551764968022284</v>
      </c>
      <c r="C1259" t="s">
        <v>40</v>
      </c>
      <c r="D1259">
        <v>4.2128430000000003</v>
      </c>
      <c r="E1259">
        <v>0.51410140000000004</v>
      </c>
      <c r="F1259" t="s">
        <v>42</v>
      </c>
      <c r="G1259">
        <v>-240.9838</v>
      </c>
      <c r="H1259" s="1">
        <v>-4.512417E-6</v>
      </c>
      <c r="I1259">
        <v>368.09469999999999</v>
      </c>
      <c r="J1259">
        <v>-258.53629999999998</v>
      </c>
      <c r="K1259">
        <v>1.109631</v>
      </c>
      <c r="L1259">
        <v>368.17430000000002</v>
      </c>
      <c r="M1259">
        <v>0.99985970000000002</v>
      </c>
      <c r="N1259">
        <v>-1.4731910000000001E-2</v>
      </c>
      <c r="O1259">
        <v>7.9792639999999998E-3</v>
      </c>
      <c r="P1259">
        <v>0.99010430000000005</v>
      </c>
      <c r="Q1259">
        <v>-0.13710159999999999</v>
      </c>
      <c r="R1259">
        <v>2.9944579999999998E-2</v>
      </c>
      <c r="S1259">
        <v>3.004318</v>
      </c>
      <c r="T1259">
        <v>-0.1881572</v>
      </c>
      <c r="U1259">
        <v>-1.3275149999999999E-2</v>
      </c>
      <c r="V1259">
        <v>-2.2047020000000001E-2</v>
      </c>
      <c r="W1259">
        <v>-0.1224967</v>
      </c>
      <c r="X1259">
        <v>0.99222399999999999</v>
      </c>
      <c r="Y1259">
        <v>1.2359490000000001E-2</v>
      </c>
      <c r="Z1259">
        <v>-8.5957630000000002E-4</v>
      </c>
      <c r="AA1259">
        <v>0.99992320000000001</v>
      </c>
      <c r="AB1259">
        <v>36</v>
      </c>
      <c r="AC1259">
        <v>17.552499999999899</v>
      </c>
      <c r="AD1259">
        <v>-1.1096355124169901</v>
      </c>
      <c r="AE1259">
        <v>-7.9600000000027593E-2</v>
      </c>
      <c r="AF1259">
        <v>0.21879428985885399</v>
      </c>
      <c r="AG1259">
        <v>-1.1096355124169901</v>
      </c>
      <c r="AH1259">
        <v>17.481442263580998</v>
      </c>
      <c r="AI1259">
        <v>93.631696475307294</v>
      </c>
      <c r="AJ1259">
        <v>89.282934743316503</v>
      </c>
      <c r="AK1259">
        <v>17.517990339265801</v>
      </c>
      <c r="AL1259">
        <v>97.036216307792202</v>
      </c>
      <c r="AM1259">
        <v>91.2728913726678</v>
      </c>
      <c r="AN1259">
        <v>0.99999998938888501</v>
      </c>
    </row>
    <row r="1260" spans="1:40" x14ac:dyDescent="0.25">
      <c r="A1260" t="str">
        <f>"20190305134928045"</f>
        <v>20190305134928045</v>
      </c>
      <c r="B1260" t="str">
        <f>"1551764968041804"</f>
        <v>1551764968041804</v>
      </c>
      <c r="C1260" t="s">
        <v>40</v>
      </c>
      <c r="D1260">
        <v>4.1814559999999998</v>
      </c>
      <c r="E1260">
        <v>0.514239</v>
      </c>
      <c r="F1260" t="s">
        <v>42</v>
      </c>
      <c r="G1260">
        <v>-240.8613</v>
      </c>
      <c r="H1260" s="1">
        <v>-4.5711990000000001E-6</v>
      </c>
      <c r="I1260">
        <v>368.0899</v>
      </c>
      <c r="J1260">
        <v>-258.34050000000002</v>
      </c>
      <c r="K1260">
        <v>1.109632</v>
      </c>
      <c r="L1260">
        <v>368.17579999999998</v>
      </c>
      <c r="M1260">
        <v>0.99985979999999997</v>
      </c>
      <c r="N1260">
        <v>-1.4731340000000001E-2</v>
      </c>
      <c r="O1260">
        <v>7.979267E-3</v>
      </c>
      <c r="P1260">
        <v>0.99010560000000003</v>
      </c>
      <c r="Q1260">
        <v>-0.1370953</v>
      </c>
      <c r="R1260">
        <v>2.9933129999999999E-2</v>
      </c>
      <c r="S1260">
        <v>3.0042719999999998</v>
      </c>
      <c r="T1260">
        <v>-0.1886072</v>
      </c>
      <c r="U1260">
        <v>-1.434326E-2</v>
      </c>
      <c r="V1260">
        <v>-2.203521E-2</v>
      </c>
      <c r="W1260">
        <v>-0.1224909</v>
      </c>
      <c r="X1260">
        <v>0.99222500000000002</v>
      </c>
      <c r="Y1260">
        <v>1.271401E-2</v>
      </c>
      <c r="Z1260">
        <v>-8.7543799999999998E-4</v>
      </c>
      <c r="AA1260">
        <v>0.9999188</v>
      </c>
      <c r="AB1260">
        <v>36</v>
      </c>
      <c r="AC1260">
        <v>17.479199999999999</v>
      </c>
      <c r="AD1260">
        <v>-1.1096365711989999</v>
      </c>
      <c r="AE1260">
        <v>-8.5899999999980894E-2</v>
      </c>
      <c r="AF1260">
        <v>0.224478927425345</v>
      </c>
      <c r="AG1260">
        <v>-1.1096365711989999</v>
      </c>
      <c r="AH1260">
        <v>17.407804021952298</v>
      </c>
      <c r="AI1260">
        <v>93.647003785479995</v>
      </c>
      <c r="AJ1260">
        <v>89.261194446635102</v>
      </c>
      <c r="AK1260">
        <v>17.4445786700539</v>
      </c>
      <c r="AL1260">
        <v>97.035881318985105</v>
      </c>
      <c r="AM1260">
        <v>91.272208461139599</v>
      </c>
      <c r="AN1260">
        <v>1.0000000108437701</v>
      </c>
    </row>
    <row r="1261" spans="1:40" x14ac:dyDescent="0.25">
      <c r="A1261" t="str">
        <f>"20190305134928056"</f>
        <v>20190305134928056</v>
      </c>
      <c r="B1261" t="str">
        <f>"1551764968051564"</f>
        <v>1551764968051564</v>
      </c>
      <c r="C1261" t="s">
        <v>40</v>
      </c>
      <c r="D1261">
        <v>4.2159839999999997</v>
      </c>
      <c r="E1261">
        <v>0.51432149999999999</v>
      </c>
      <c r="F1261" t="s">
        <v>42</v>
      </c>
      <c r="G1261">
        <v>-240.63980000000001</v>
      </c>
      <c r="H1261" s="1">
        <v>-4.6764190000000001E-6</v>
      </c>
      <c r="I1261">
        <v>368.08679999999998</v>
      </c>
      <c r="J1261">
        <v>-258.17910000000001</v>
      </c>
      <c r="K1261">
        <v>1.109632</v>
      </c>
      <c r="L1261">
        <v>368.1771</v>
      </c>
      <c r="M1261">
        <v>0.99985970000000002</v>
      </c>
      <c r="N1261">
        <v>-1.4730780000000001E-2</v>
      </c>
      <c r="O1261">
        <v>7.9790950000000003E-3</v>
      </c>
      <c r="P1261">
        <v>0.99010849999999995</v>
      </c>
      <c r="Q1261">
        <v>-0.13709569999999999</v>
      </c>
      <c r="R1261">
        <v>2.983591E-2</v>
      </c>
      <c r="S1261">
        <v>3.0043950000000001</v>
      </c>
      <c r="T1261">
        <v>-0.18834210000000001</v>
      </c>
      <c r="U1261">
        <v>-1.51062E-2</v>
      </c>
      <c r="V1261">
        <v>-2.193869E-2</v>
      </c>
      <c r="W1261">
        <v>-0.1224919</v>
      </c>
      <c r="X1261">
        <v>0.99222699999999997</v>
      </c>
      <c r="Y1261">
        <v>1.2967060000000001E-2</v>
      </c>
      <c r="Z1261">
        <v>-8.8392229999999998E-4</v>
      </c>
      <c r="AA1261">
        <v>0.99991549999999996</v>
      </c>
      <c r="AB1261">
        <v>36</v>
      </c>
      <c r="AC1261">
        <v>17.539299999999901</v>
      </c>
      <c r="AD1261">
        <v>-1.109636676419</v>
      </c>
      <c r="AE1261">
        <v>-9.03000000000133E-2</v>
      </c>
      <c r="AF1261">
        <v>0.229342116903234</v>
      </c>
      <c r="AG1261">
        <v>-1.109636676419</v>
      </c>
      <c r="AH1261">
        <v>17.468105785144701</v>
      </c>
      <c r="AI1261">
        <v>93.634437057125595</v>
      </c>
      <c r="AJ1261">
        <v>89.247795921431205</v>
      </c>
      <c r="AK1261">
        <v>17.5048167965634</v>
      </c>
      <c r="AL1261">
        <v>97.035939157248194</v>
      </c>
      <c r="AM1261">
        <v>91.266635121510703</v>
      </c>
      <c r="AN1261">
        <v>0.999999995606763</v>
      </c>
    </row>
    <row r="1262" spans="1:40" x14ac:dyDescent="0.25">
      <c r="A1262" t="str">
        <f>"20190305134928068"</f>
        <v>20190305134928068</v>
      </c>
      <c r="B1262" t="str">
        <f>"1551764968062301"</f>
        <v>1551764968062301</v>
      </c>
      <c r="C1262" t="s">
        <v>40</v>
      </c>
      <c r="D1262">
        <v>4.1708059999999998</v>
      </c>
      <c r="E1262">
        <v>0.51437310000000003</v>
      </c>
      <c r="F1262" t="s">
        <v>42</v>
      </c>
      <c r="G1262">
        <v>-240.45650000000001</v>
      </c>
      <c r="H1262" s="1">
        <v>-4.7642010000000003E-6</v>
      </c>
      <c r="I1262">
        <v>368.0804</v>
      </c>
      <c r="J1262">
        <v>-257.98750000000001</v>
      </c>
      <c r="K1262">
        <v>1.1096280000000001</v>
      </c>
      <c r="L1262">
        <v>368.17860000000002</v>
      </c>
      <c r="M1262">
        <v>0.99985990000000002</v>
      </c>
      <c r="N1262">
        <v>-1.473005E-2</v>
      </c>
      <c r="O1262">
        <v>7.9787460000000001E-3</v>
      </c>
      <c r="P1262">
        <v>0.99010549999999997</v>
      </c>
      <c r="Q1262">
        <v>-0.13709669999999999</v>
      </c>
      <c r="R1262">
        <v>2.993579E-2</v>
      </c>
      <c r="S1262">
        <v>3.0044249999999999</v>
      </c>
      <c r="T1262">
        <v>-0.18811169999999999</v>
      </c>
      <c r="U1262">
        <v>-1.638794E-2</v>
      </c>
      <c r="V1262">
        <v>-2.2038510000000001E-2</v>
      </c>
      <c r="W1262">
        <v>-0.12249359999999999</v>
      </c>
      <c r="X1262">
        <v>0.99222460000000001</v>
      </c>
      <c r="Y1262">
        <v>1.3392289999999999E-2</v>
      </c>
      <c r="Z1262">
        <v>-8.9922530000000002E-4</v>
      </c>
      <c r="AA1262">
        <v>0.99990990000000002</v>
      </c>
      <c r="AB1262">
        <v>36</v>
      </c>
      <c r="AC1262">
        <v>17.530999999999999</v>
      </c>
      <c r="AD1262">
        <v>-1.109632764201</v>
      </c>
      <c r="AE1262">
        <v>-9.8200000000019799E-2</v>
      </c>
      <c r="AF1262">
        <v>0.237137397583709</v>
      </c>
      <c r="AG1262">
        <v>-1.109632764201</v>
      </c>
      <c r="AH1262">
        <v>17.4597113373264</v>
      </c>
      <c r="AI1262">
        <v>93.636145058454204</v>
      </c>
      <c r="AJ1262">
        <v>89.221857886830193</v>
      </c>
      <c r="AK1262">
        <v>17.496543630085501</v>
      </c>
      <c r="AL1262">
        <v>97.036037144994495</v>
      </c>
      <c r="AM1262">
        <v>91.272399437628295</v>
      </c>
      <c r="AN1262">
        <v>1.00000001740456</v>
      </c>
    </row>
    <row r="1263" spans="1:40" x14ac:dyDescent="0.25">
      <c r="A1263" t="str">
        <f>"20190305134928078"</f>
        <v>20190305134928078</v>
      </c>
      <c r="B1263" t="str">
        <f>"1551764968072061"</f>
        <v>1551764968072061</v>
      </c>
      <c r="C1263" t="s">
        <v>40</v>
      </c>
      <c r="D1263">
        <v>4.2020390000000001</v>
      </c>
      <c r="E1263">
        <v>0.51442979999999905</v>
      </c>
      <c r="F1263" t="s">
        <v>42</v>
      </c>
      <c r="G1263">
        <v>-240.2927</v>
      </c>
      <c r="H1263" s="1">
        <v>-4.8411860000000004E-6</v>
      </c>
      <c r="I1263">
        <v>368.08300000000003</v>
      </c>
      <c r="J1263">
        <v>-257.81810000000002</v>
      </c>
      <c r="K1263">
        <v>1.1096299999999999</v>
      </c>
      <c r="L1263">
        <v>368.18</v>
      </c>
      <c r="M1263">
        <v>0.99985990000000002</v>
      </c>
      <c r="N1263">
        <v>-1.4729259999999999E-2</v>
      </c>
      <c r="O1263">
        <v>7.9787490000000003E-3</v>
      </c>
      <c r="P1263">
        <v>0.99013949999999995</v>
      </c>
      <c r="Q1263">
        <v>-0.13688729999999999</v>
      </c>
      <c r="R1263">
        <v>2.9763789999999998E-2</v>
      </c>
      <c r="S1263">
        <v>3.00441</v>
      </c>
      <c r="T1263">
        <v>-0.18840480000000001</v>
      </c>
      <c r="U1263">
        <v>-1.6235349999999999E-2</v>
      </c>
      <c r="V1263">
        <v>-2.1866389999999999E-2</v>
      </c>
      <c r="W1263">
        <v>-0.12228459999999999</v>
      </c>
      <c r="X1263">
        <v>0.99225419999999998</v>
      </c>
      <c r="Y1263">
        <v>1.3341540000000001E-2</v>
      </c>
      <c r="Z1263">
        <v>-8.9869539999999995E-4</v>
      </c>
      <c r="AA1263">
        <v>0.99991059999999998</v>
      </c>
      <c r="AB1263">
        <v>36</v>
      </c>
      <c r="AC1263">
        <v>17.525400000000001</v>
      </c>
      <c r="AD1263">
        <v>-1.109634841186</v>
      </c>
      <c r="AE1263">
        <v>-9.6999999999980005E-2</v>
      </c>
      <c r="AF1263">
        <v>0.235897162871818</v>
      </c>
      <c r="AG1263">
        <v>-1.109634841186</v>
      </c>
      <c r="AH1263">
        <v>17.454098568448</v>
      </c>
      <c r="AI1263">
        <v>93.637321273458696</v>
      </c>
      <c r="AJ1263">
        <v>89.225678202944096</v>
      </c>
      <c r="AK1263">
        <v>17.490926041502899</v>
      </c>
      <c r="AL1263">
        <v>97.023971532709893</v>
      </c>
      <c r="AM1263">
        <v>91.262427622356995</v>
      </c>
      <c r="AN1263">
        <v>1.0000000299132099</v>
      </c>
    </row>
    <row r="1264" spans="1:40" x14ac:dyDescent="0.25">
      <c r="A1264" t="str">
        <f>"20190305134928089"</f>
        <v>20190305134928089</v>
      </c>
      <c r="B1264" t="str">
        <f>"1551764968081820"</f>
        <v>1551764968081820</v>
      </c>
      <c r="C1264" t="s">
        <v>40</v>
      </c>
      <c r="D1264">
        <v>4.2287860000000004</v>
      </c>
      <c r="E1264">
        <v>0.51444729999999905</v>
      </c>
      <c r="F1264" t="s">
        <v>42</v>
      </c>
      <c r="G1264">
        <v>-240.03270000000001</v>
      </c>
      <c r="H1264" s="1">
        <v>-4.9652170000000002E-6</v>
      </c>
      <c r="I1264">
        <v>368.07659999999998</v>
      </c>
      <c r="J1264">
        <v>-257.63749999999999</v>
      </c>
      <c r="K1264">
        <v>1.109631</v>
      </c>
      <c r="L1264">
        <v>368.18150000000003</v>
      </c>
      <c r="M1264">
        <v>0.99985979999999997</v>
      </c>
      <c r="N1264">
        <v>-1.4728359999999999E-2</v>
      </c>
      <c r="O1264">
        <v>7.9791110000000005E-3</v>
      </c>
      <c r="P1264">
        <v>0.99018790000000001</v>
      </c>
      <c r="Q1264">
        <v>-0.13655220000000001</v>
      </c>
      <c r="R1264">
        <v>2.9693069999999998E-2</v>
      </c>
      <c r="S1264">
        <v>3.0045169999999999</v>
      </c>
      <c r="T1264">
        <v>-0.1874527</v>
      </c>
      <c r="U1264">
        <v>-1.7456050000000001E-2</v>
      </c>
      <c r="V1264">
        <v>-2.1794899999999999E-2</v>
      </c>
      <c r="W1264">
        <v>-0.12194969999999999</v>
      </c>
      <c r="X1264">
        <v>0.99229690000000004</v>
      </c>
      <c r="Y1264">
        <v>1.374739E-2</v>
      </c>
      <c r="Z1264">
        <v>-9.0969049999999995E-4</v>
      </c>
      <c r="AA1264">
        <v>0.99990509999999999</v>
      </c>
      <c r="AB1264">
        <v>36</v>
      </c>
      <c r="AC1264">
        <v>17.604799999999901</v>
      </c>
      <c r="AD1264">
        <v>-1.109635965217</v>
      </c>
      <c r="AE1264">
        <v>-0.104900000000043</v>
      </c>
      <c r="AF1264">
        <v>0.24441156810210901</v>
      </c>
      <c r="AG1264">
        <v>-1.109635965217</v>
      </c>
      <c r="AH1264">
        <v>17.533746414305298</v>
      </c>
      <c r="AI1264">
        <v>93.620825263827101</v>
      </c>
      <c r="AJ1264">
        <v>89.201377499676099</v>
      </c>
      <c r="AK1264">
        <v>17.570523393202901</v>
      </c>
      <c r="AL1264">
        <v>97.004639098422899</v>
      </c>
      <c r="AM1264">
        <v>91.258247440065304</v>
      </c>
      <c r="AN1264">
        <v>0.99999994237285295</v>
      </c>
    </row>
    <row r="1265" spans="1:40" x14ac:dyDescent="0.25">
      <c r="A1265" t="str">
        <f>"20190305134928101"</f>
        <v>20190305134928101</v>
      </c>
      <c r="B1265" t="str">
        <f>"1551764968091581"</f>
        <v>1551764968091581</v>
      </c>
      <c r="C1265" t="s">
        <v>40</v>
      </c>
      <c r="D1265">
        <v>4.2261160000000002</v>
      </c>
      <c r="E1265">
        <v>0.51448609999999995</v>
      </c>
      <c r="F1265" t="s">
        <v>41</v>
      </c>
      <c r="G1265">
        <v>-256.58409999999998</v>
      </c>
      <c r="H1265">
        <v>1.044203</v>
      </c>
      <c r="I1265">
        <v>368.17500000000001</v>
      </c>
      <c r="J1265">
        <v>-257.44380000000001</v>
      </c>
      <c r="K1265">
        <v>1.109629</v>
      </c>
      <c r="L1265">
        <v>368.18299999999999</v>
      </c>
      <c r="M1265">
        <v>0.99985990000000002</v>
      </c>
      <c r="N1265">
        <v>-1.4727270000000001E-2</v>
      </c>
      <c r="O1265">
        <v>7.9791189999999998E-3</v>
      </c>
      <c r="P1265">
        <v>0.9902746</v>
      </c>
      <c r="Q1265">
        <v>-0.1359706</v>
      </c>
      <c r="R1265">
        <v>2.946849E-2</v>
      </c>
      <c r="S1265">
        <v>3.0045169999999999</v>
      </c>
      <c r="T1265">
        <v>-0.1867383</v>
      </c>
      <c r="U1265">
        <v>-1.7822270000000001E-2</v>
      </c>
      <c r="V1265">
        <v>-2.1569809999999998E-2</v>
      </c>
      <c r="W1265">
        <v>-0.121368</v>
      </c>
      <c r="X1265">
        <v>0.99237319999999996</v>
      </c>
      <c r="Y1265">
        <v>1.3869289999999999E-2</v>
      </c>
      <c r="Z1265">
        <v>-9.1085229999999997E-4</v>
      </c>
      <c r="AA1265">
        <v>0.9999034</v>
      </c>
      <c r="AB1265">
        <v>36</v>
      </c>
      <c r="AC1265">
        <v>0.85970000000003199</v>
      </c>
      <c r="AD1265">
        <v>-6.5425999999999901E-2</v>
      </c>
      <c r="AE1265">
        <v>-8.0000000000381901E-3</v>
      </c>
      <c r="AF1265">
        <v>1.4774573951738101E-2</v>
      </c>
      <c r="AG1265">
        <v>-6.5425999999999901E-2</v>
      </c>
      <c r="AH1265">
        <v>0.85465927583957502</v>
      </c>
      <c r="AI1265">
        <v>94.376925468314695</v>
      </c>
      <c r="AJ1265">
        <v>89.009621208328099</v>
      </c>
      <c r="AK1265">
        <v>0.85728719067187897</v>
      </c>
      <c r="AL1265">
        <v>96.971060259492802</v>
      </c>
      <c r="AM1265">
        <v>91.245161106514203</v>
      </c>
      <c r="AN1265">
        <v>1.00000000810283</v>
      </c>
    </row>
    <row r="1266" spans="1:40" x14ac:dyDescent="0.25">
      <c r="A1266" t="str">
        <f>"20190305134928115"</f>
        <v>20190305134928115</v>
      </c>
      <c r="B1266" t="str">
        <f>"1551764968102317"</f>
        <v>1551764968102317</v>
      </c>
      <c r="C1266" t="s">
        <v>40</v>
      </c>
      <c r="D1266">
        <v>4.1929100000000004</v>
      </c>
      <c r="E1266">
        <v>0.51451570000000002</v>
      </c>
      <c r="F1266" t="s">
        <v>42</v>
      </c>
      <c r="G1266">
        <v>-239.43709999999999</v>
      </c>
      <c r="H1266" s="1">
        <v>-5.8862259999999999E-7</v>
      </c>
      <c r="I1266">
        <v>368.0718</v>
      </c>
      <c r="J1266">
        <v>-257.24990000000003</v>
      </c>
      <c r="K1266">
        <v>1.109632</v>
      </c>
      <c r="L1266">
        <v>368.18450000000001</v>
      </c>
      <c r="M1266">
        <v>0.99985979999999997</v>
      </c>
      <c r="N1266">
        <v>-1.4726120000000001E-2</v>
      </c>
      <c r="O1266">
        <v>7.9791280000000003E-3</v>
      </c>
      <c r="P1266">
        <v>0.99027520000000002</v>
      </c>
      <c r="Q1266">
        <v>-0.1359658</v>
      </c>
      <c r="R1266">
        <v>2.9465419999999999E-2</v>
      </c>
      <c r="S1266">
        <v>3.0045929999999998</v>
      </c>
      <c r="T1266">
        <v>-0.1851515</v>
      </c>
      <c r="U1266">
        <v>-1.8554689999999999E-2</v>
      </c>
      <c r="V1266">
        <v>-2.1566499999999999E-2</v>
      </c>
      <c r="W1266">
        <v>-0.1213644</v>
      </c>
      <c r="X1266">
        <v>0.99237370000000003</v>
      </c>
      <c r="Y1266">
        <v>1.411303E-2</v>
      </c>
      <c r="Z1266">
        <v>-9.1227229999999999E-4</v>
      </c>
      <c r="AA1266">
        <v>0.99990000000000001</v>
      </c>
      <c r="AB1266">
        <v>36</v>
      </c>
      <c r="AC1266">
        <v>17.812799999999999</v>
      </c>
      <c r="AD1266">
        <v>-1.1096325886225999</v>
      </c>
      <c r="AE1266">
        <v>-0.11270000000001799</v>
      </c>
      <c r="AF1266">
        <v>0.25385735772413698</v>
      </c>
      <c r="AG1266">
        <v>-1.1096325886225999</v>
      </c>
      <c r="AH1266">
        <v>17.742485520348598</v>
      </c>
      <c r="AI1266">
        <v>93.578308420526596</v>
      </c>
      <c r="AJ1266">
        <v>89.180274783060597</v>
      </c>
      <c r="AK1266">
        <v>17.778962862877702</v>
      </c>
      <c r="AL1266">
        <v>96.970852543503895</v>
      </c>
      <c r="AM1266">
        <v>91.244969463110195</v>
      </c>
      <c r="AN1266">
        <v>0.99999999598065004</v>
      </c>
    </row>
    <row r="1267" spans="1:40" x14ac:dyDescent="0.25">
      <c r="A1267" t="str">
        <f>"20190305134928126"</f>
        <v>20190305134928126</v>
      </c>
      <c r="B1267" t="str">
        <f>"1551764968121837"</f>
        <v>1551764968121837</v>
      </c>
      <c r="C1267" t="s">
        <v>40</v>
      </c>
      <c r="D1267">
        <v>4.2275510000000001</v>
      </c>
      <c r="E1267">
        <v>0.51454639999999996</v>
      </c>
      <c r="F1267" t="s">
        <v>42</v>
      </c>
      <c r="G1267">
        <v>-239.26310000000001</v>
      </c>
      <c r="H1267" s="1">
        <v>-6.4825459999999996E-7</v>
      </c>
      <c r="I1267">
        <v>368.07010000000002</v>
      </c>
      <c r="J1267">
        <v>-257.05290000000002</v>
      </c>
      <c r="K1267">
        <v>1.109634</v>
      </c>
      <c r="L1267">
        <v>368.18610000000001</v>
      </c>
      <c r="M1267">
        <v>0.99985979999999997</v>
      </c>
      <c r="N1267">
        <v>-1.4724889999999999E-2</v>
      </c>
      <c r="O1267">
        <v>7.9793150000000007E-3</v>
      </c>
      <c r="P1267">
        <v>0.99027679999999996</v>
      </c>
      <c r="Q1267">
        <v>-0.1359427</v>
      </c>
      <c r="R1267">
        <v>2.9527640000000001E-2</v>
      </c>
      <c r="S1267">
        <v>3.004578</v>
      </c>
      <c r="T1267">
        <v>-0.1853563</v>
      </c>
      <c r="U1267">
        <v>-1.9103999999999999E-2</v>
      </c>
      <c r="V1267">
        <v>-2.1629019999999999E-2</v>
      </c>
      <c r="W1267">
        <v>-0.1213424</v>
      </c>
      <c r="X1267">
        <v>0.99237500000000001</v>
      </c>
      <c r="Y1267">
        <v>1.4295520000000001E-2</v>
      </c>
      <c r="Z1267">
        <v>-9.2027799999999996E-4</v>
      </c>
      <c r="AA1267">
        <v>0.99989740000000005</v>
      </c>
      <c r="AB1267">
        <v>36</v>
      </c>
      <c r="AC1267">
        <v>17.7898</v>
      </c>
      <c r="AD1267">
        <v>-1.1096346482546</v>
      </c>
      <c r="AE1267">
        <v>-0.115999999999985</v>
      </c>
      <c r="AF1267">
        <v>0.25696240945078702</v>
      </c>
      <c r="AG1267">
        <v>-1.1096346482546</v>
      </c>
      <c r="AH1267">
        <v>17.719371570752799</v>
      </c>
      <c r="AI1267">
        <v>93.582960630126095</v>
      </c>
      <c r="AJ1267">
        <v>89.169167509916505</v>
      </c>
      <c r="AK1267">
        <v>17.755941191468299</v>
      </c>
      <c r="AL1267">
        <v>96.969582856933997</v>
      </c>
      <c r="AM1267">
        <v>91.248575779550293</v>
      </c>
      <c r="AN1267">
        <v>0.999999966584459</v>
      </c>
    </row>
    <row r="1268" spans="1:40" x14ac:dyDescent="0.25">
      <c r="A1268" t="str">
        <f>"20190305134928139"</f>
        <v>20190305134928139</v>
      </c>
      <c r="B1268" t="str">
        <f>"1551764968131597"</f>
        <v>1551764968131597</v>
      </c>
      <c r="C1268" t="s">
        <v>40</v>
      </c>
      <c r="D1268">
        <v>4.2451140000000001</v>
      </c>
      <c r="E1268">
        <v>0.51459290000000002</v>
      </c>
      <c r="F1268" t="s">
        <v>42</v>
      </c>
      <c r="G1268">
        <v>-239.0949</v>
      </c>
      <c r="H1268" s="1">
        <v>-7.0488290000000003E-7</v>
      </c>
      <c r="I1268">
        <v>368.07240000000002</v>
      </c>
      <c r="J1268">
        <v>-256.85120000000001</v>
      </c>
      <c r="K1268">
        <v>1.109642</v>
      </c>
      <c r="L1268">
        <v>368.18770000000001</v>
      </c>
      <c r="M1268">
        <v>0.99985979999999997</v>
      </c>
      <c r="N1268">
        <v>-1.472354E-2</v>
      </c>
      <c r="O1268">
        <v>7.9793269999999996E-3</v>
      </c>
      <c r="P1268">
        <v>0.99028269999999996</v>
      </c>
      <c r="Q1268">
        <v>-0.13592279999999901</v>
      </c>
      <c r="R1268">
        <v>2.9416129999999999E-2</v>
      </c>
      <c r="S1268">
        <v>3.0045470000000001</v>
      </c>
      <c r="T1268">
        <v>-0.18565229999999999</v>
      </c>
      <c r="U1268">
        <v>-1.901245E-2</v>
      </c>
      <c r="V1268">
        <v>-2.1517399999999999E-2</v>
      </c>
      <c r="W1268">
        <v>-0.1213238</v>
      </c>
      <c r="X1268">
        <v>0.99237969999999998</v>
      </c>
      <c r="Y1268">
        <v>1.4265069999999999E-2</v>
      </c>
      <c r="Z1268">
        <v>-9.2061140000000003E-4</v>
      </c>
      <c r="AA1268">
        <v>0.99989779999999995</v>
      </c>
      <c r="AB1268">
        <v>36</v>
      </c>
      <c r="AC1268">
        <v>17.7563</v>
      </c>
      <c r="AD1268">
        <v>-1.1096427048829001</v>
      </c>
      <c r="AE1268">
        <v>-0.11529999999998999</v>
      </c>
      <c r="AF1268">
        <v>0.255995294911746</v>
      </c>
      <c r="AG1268">
        <v>-1.1096427048829001</v>
      </c>
      <c r="AH1268">
        <v>17.685748134267001</v>
      </c>
      <c r="AI1268">
        <v>93.589782018118299</v>
      </c>
      <c r="AJ1268">
        <v>89.170720648278902</v>
      </c>
      <c r="AK1268">
        <v>17.722373644414699</v>
      </c>
      <c r="AL1268">
        <v>96.968509227597494</v>
      </c>
      <c r="AM1268">
        <v>91.242128448480798</v>
      </c>
      <c r="AN1268">
        <v>0.999999965960644</v>
      </c>
    </row>
    <row r="1269" spans="1:40" x14ac:dyDescent="0.25">
      <c r="A1269" t="str">
        <f>"20190305134928152"</f>
        <v>20190305134928152</v>
      </c>
      <c r="B1269" t="str">
        <f>"1551764968142334"</f>
        <v>1551764968142334</v>
      </c>
      <c r="C1269" t="s">
        <v>40</v>
      </c>
      <c r="D1269">
        <v>4.248532</v>
      </c>
      <c r="E1269">
        <v>0.51457819999999999</v>
      </c>
      <c r="F1269" t="s">
        <v>42</v>
      </c>
      <c r="G1269">
        <v>-238.87960000000001</v>
      </c>
      <c r="H1269" s="1">
        <v>-7.7876619999999901E-7</v>
      </c>
      <c r="I1269">
        <v>368.07010000000002</v>
      </c>
      <c r="J1269">
        <v>-256.65190000000001</v>
      </c>
      <c r="K1269">
        <v>1.1096440000000001</v>
      </c>
      <c r="L1269">
        <v>368.18920000000003</v>
      </c>
      <c r="M1269">
        <v>0.99985990000000002</v>
      </c>
      <c r="N1269">
        <v>-1.472218E-2</v>
      </c>
      <c r="O1269">
        <v>7.9789809999999996E-3</v>
      </c>
      <c r="P1269">
        <v>0.99028499999999997</v>
      </c>
      <c r="Q1269">
        <v>-0.13595950000000001</v>
      </c>
      <c r="R1269">
        <v>2.9168630000000001E-2</v>
      </c>
      <c r="S1269">
        <v>3.004562</v>
      </c>
      <c r="T1269">
        <v>-0.18551390000000001</v>
      </c>
      <c r="U1269">
        <v>-1.9653319999999998E-2</v>
      </c>
      <c r="V1269">
        <v>-2.126981E-2</v>
      </c>
      <c r="W1269">
        <v>-0.12136189999999999</v>
      </c>
      <c r="X1269">
        <v>0.99238040000000005</v>
      </c>
      <c r="Y1269">
        <v>1.4477520000000001E-2</v>
      </c>
      <c r="Z1269">
        <v>-9.2801500000000002E-4</v>
      </c>
      <c r="AA1269">
        <v>0.99989470000000003</v>
      </c>
      <c r="AB1269">
        <v>36</v>
      </c>
      <c r="AC1269">
        <v>17.772300000000001</v>
      </c>
      <c r="AD1269">
        <v>-1.1096447787662</v>
      </c>
      <c r="AE1269">
        <v>-0.119100000000003</v>
      </c>
      <c r="AF1269">
        <v>0.25990325795156</v>
      </c>
      <c r="AG1269">
        <v>-1.1096447787662</v>
      </c>
      <c r="AH1269">
        <v>17.701779132190001</v>
      </c>
      <c r="AI1269">
        <v>93.586535405497401</v>
      </c>
      <c r="AJ1269">
        <v>89.158825237686102</v>
      </c>
      <c r="AK1269">
        <v>17.738428500951599</v>
      </c>
      <c r="AL1269">
        <v>96.970708300654906</v>
      </c>
      <c r="AM1269">
        <v>91.227839430383099</v>
      </c>
      <c r="AN1269">
        <v>0.99999998694660297</v>
      </c>
    </row>
    <row r="1270" spans="1:40" x14ac:dyDescent="0.25">
      <c r="A1270" t="str">
        <f>"20190305134928163"</f>
        <v>20190305134928163</v>
      </c>
      <c r="B1270" t="str">
        <f>"1551764968152093"</f>
        <v>1551764968152093</v>
      </c>
      <c r="C1270" t="s">
        <v>40</v>
      </c>
      <c r="D1270">
        <v>4.2548430000000002</v>
      </c>
      <c r="E1270">
        <v>0.51460640000000002</v>
      </c>
      <c r="F1270" t="s">
        <v>42</v>
      </c>
      <c r="G1270">
        <v>-238.76130000000001</v>
      </c>
      <c r="H1270" s="1">
        <v>-8.2023430000000001E-7</v>
      </c>
      <c r="I1270">
        <v>368.06560000000002</v>
      </c>
      <c r="J1270">
        <v>-256.46069999999997</v>
      </c>
      <c r="K1270">
        <v>1.1096459999999999</v>
      </c>
      <c r="L1270">
        <v>368.19080000000002</v>
      </c>
      <c r="M1270">
        <v>0.99985990000000002</v>
      </c>
      <c r="N1270">
        <v>-1.4720799999999999E-2</v>
      </c>
      <c r="O1270">
        <v>7.979346E-3</v>
      </c>
      <c r="P1270">
        <v>0.99027679999999996</v>
      </c>
      <c r="Q1270">
        <v>-0.13603699999999999</v>
      </c>
      <c r="R1270">
        <v>2.9087740000000001E-2</v>
      </c>
      <c r="S1270">
        <v>3.0044559999999998</v>
      </c>
      <c r="T1270">
        <v>-0.18634680000000001</v>
      </c>
      <c r="U1270">
        <v>-2.0751950000000002E-2</v>
      </c>
      <c r="V1270">
        <v>-2.118869E-2</v>
      </c>
      <c r="W1270">
        <v>-0.1214409</v>
      </c>
      <c r="X1270">
        <v>0.99237249999999999</v>
      </c>
      <c r="Y1270">
        <v>1.484247E-2</v>
      </c>
      <c r="Z1270">
        <v>-9.4627090000000001E-4</v>
      </c>
      <c r="AA1270">
        <v>0.99988940000000004</v>
      </c>
      <c r="AB1270">
        <v>36</v>
      </c>
      <c r="AC1270">
        <v>17.699399999999901</v>
      </c>
      <c r="AD1270">
        <v>-1.1096468202342999</v>
      </c>
      <c r="AE1270">
        <v>-0.125200000000006</v>
      </c>
      <c r="AF1270">
        <v>0.26539783606619199</v>
      </c>
      <c r="AG1270">
        <v>-1.1096468202342999</v>
      </c>
      <c r="AH1270">
        <v>17.628550990888499</v>
      </c>
      <c r="AI1270">
        <v>93.601381278481696</v>
      </c>
      <c r="AJ1270">
        <v>89.137477197040496</v>
      </c>
      <c r="AK1270">
        <v>17.665434104923701</v>
      </c>
      <c r="AL1270">
        <v>96.975268194036502</v>
      </c>
      <c r="AM1270">
        <v>91.223167786793596</v>
      </c>
      <c r="AN1270">
        <v>1.0000000157664799</v>
      </c>
    </row>
    <row r="1271" spans="1:40" x14ac:dyDescent="0.25">
      <c r="A1271" t="str">
        <f>"20190305134928175"</f>
        <v>20190305134928175</v>
      </c>
      <c r="B1271" t="str">
        <f>"1551764968171613"</f>
        <v>1551764968171613</v>
      </c>
      <c r="C1271" t="s">
        <v>40</v>
      </c>
      <c r="D1271">
        <v>4.3257159999999999</v>
      </c>
      <c r="E1271">
        <v>0.52206079999999999</v>
      </c>
      <c r="F1271" t="s">
        <v>42</v>
      </c>
      <c r="G1271">
        <v>-238.63640000000001</v>
      </c>
      <c r="H1271" s="1">
        <v>-8.6271830000000001E-7</v>
      </c>
      <c r="I1271">
        <v>368.06560000000002</v>
      </c>
      <c r="J1271">
        <v>-256.27749999999997</v>
      </c>
      <c r="K1271">
        <v>1.1096469999999901</v>
      </c>
      <c r="L1271">
        <v>368.19220000000001</v>
      </c>
      <c r="M1271">
        <v>0.99985979999999997</v>
      </c>
      <c r="N1271">
        <v>-1.471944E-2</v>
      </c>
      <c r="O1271">
        <v>7.9795349999999994E-3</v>
      </c>
      <c r="P1271">
        <v>0.99028640000000001</v>
      </c>
      <c r="Q1271">
        <v>-0.1359715</v>
      </c>
      <c r="R1271">
        <v>2.9063490000000001E-2</v>
      </c>
      <c r="S1271">
        <v>3.00441</v>
      </c>
      <c r="T1271">
        <v>-0.18703839999999999</v>
      </c>
      <c r="U1271">
        <v>-2.1087649999999999E-2</v>
      </c>
      <c r="V1271">
        <v>-2.1164249999999999E-2</v>
      </c>
      <c r="W1271">
        <v>-0.1213766</v>
      </c>
      <c r="X1271">
        <v>0.99238090000000001</v>
      </c>
      <c r="Y1271">
        <v>1.4953889999999999E-2</v>
      </c>
      <c r="Z1271">
        <v>-9.5411759999999997E-4</v>
      </c>
      <c r="AA1271">
        <v>0.99988770000000005</v>
      </c>
      <c r="AB1271">
        <v>36</v>
      </c>
      <c r="AC1271">
        <v>17.641099999999899</v>
      </c>
      <c r="AD1271">
        <v>-1.10964786271829</v>
      </c>
      <c r="AE1271">
        <v>-0.12659999999999599</v>
      </c>
      <c r="AF1271">
        <v>0.26632531769275503</v>
      </c>
      <c r="AG1271">
        <v>-1.10964786271829</v>
      </c>
      <c r="AH1271">
        <v>17.570014478287099</v>
      </c>
      <c r="AI1271">
        <v>93.613345739320593</v>
      </c>
      <c r="AJ1271">
        <v>89.131580216726107</v>
      </c>
      <c r="AK1271">
        <v>17.607034285230998</v>
      </c>
      <c r="AL1271">
        <v>96.971556536584799</v>
      </c>
      <c r="AM1271">
        <v>91.221747018828907</v>
      </c>
      <c r="AN1271">
        <v>1.0000000275952099</v>
      </c>
    </row>
    <row r="1272" spans="1:40" x14ac:dyDescent="0.25">
      <c r="A1272" t="str">
        <f>"20190305134928190"</f>
        <v>20190305134928190</v>
      </c>
      <c r="B1272" t="str">
        <f>"1551764968182367"</f>
        <v>1551764968182367</v>
      </c>
      <c r="C1272" t="s">
        <v>40</v>
      </c>
      <c r="D1272">
        <v>4.3166149999999996</v>
      </c>
      <c r="E1272">
        <v>0.52206079999999999</v>
      </c>
      <c r="F1272" t="s">
        <v>41</v>
      </c>
      <c r="G1272">
        <v>-255.32980000000001</v>
      </c>
      <c r="H1272">
        <v>1.013684</v>
      </c>
      <c r="I1272">
        <v>368.1653</v>
      </c>
      <c r="J1272">
        <v>-256.03910000000002</v>
      </c>
      <c r="K1272">
        <v>1.109648</v>
      </c>
      <c r="L1272">
        <v>368.19420000000002</v>
      </c>
      <c r="M1272">
        <v>0.99985990000000002</v>
      </c>
      <c r="N1272">
        <v>-1.4717630000000001E-2</v>
      </c>
      <c r="O1272">
        <v>7.9790160000000002E-3</v>
      </c>
      <c r="P1272">
        <v>0.99025300000000005</v>
      </c>
      <c r="Q1272">
        <v>-0.13629539999999901</v>
      </c>
      <c r="R1272">
        <v>2.8689260000000001E-2</v>
      </c>
      <c r="S1272">
        <v>2.9903409999999999</v>
      </c>
      <c r="T1272">
        <v>-0.30281170000000002</v>
      </c>
      <c r="U1272">
        <v>-8.4869379999999994E-2</v>
      </c>
      <c r="V1272">
        <v>-2.079052E-2</v>
      </c>
      <c r="W1272">
        <v>-0.1217028</v>
      </c>
      <c r="X1272">
        <v>0.99234880000000003</v>
      </c>
      <c r="Y1272">
        <v>3.6104259999999999E-2</v>
      </c>
      <c r="Z1272">
        <v>-2.7781379999999999E-3</v>
      </c>
      <c r="AA1272">
        <v>0.99934420000000002</v>
      </c>
      <c r="AB1272">
        <v>36</v>
      </c>
      <c r="AC1272">
        <v>0.70930000000001303</v>
      </c>
      <c r="AD1272">
        <v>-9.5963999999999897E-2</v>
      </c>
      <c r="AE1272">
        <v>-2.8900000000021402E-2</v>
      </c>
      <c r="AF1272">
        <v>3.3939003367754503E-2</v>
      </c>
      <c r="AG1272">
        <v>-9.5963999999999897E-2</v>
      </c>
      <c r="AH1272">
        <v>0.69632212593917397</v>
      </c>
      <c r="AI1272">
        <v>97.837630332688207</v>
      </c>
      <c r="AJ1272">
        <v>87.209590327179797</v>
      </c>
      <c r="AK1272">
        <v>0.70372256487769902</v>
      </c>
      <c r="AL1272">
        <v>96.990386351394307</v>
      </c>
      <c r="AM1272">
        <v>91.200217914575603</v>
      </c>
      <c r="AN1272">
        <v>0.99999997905557503</v>
      </c>
    </row>
    <row r="1273" spans="1:40" x14ac:dyDescent="0.25">
      <c r="A1273" t="str">
        <f>"20190305134928201"</f>
        <v>20190305134928201</v>
      </c>
      <c r="B1273" t="str">
        <f>"1551764968192109"</f>
        <v>1551764968192109</v>
      </c>
      <c r="C1273" t="s">
        <v>40</v>
      </c>
      <c r="D1273">
        <v>4.3420360000000002</v>
      </c>
      <c r="E1273">
        <v>0.50860309999999997</v>
      </c>
      <c r="F1273" t="s">
        <v>41</v>
      </c>
      <c r="G1273">
        <v>-255.0163</v>
      </c>
      <c r="H1273">
        <v>1.0057990000000001</v>
      </c>
      <c r="I1273">
        <v>368.16460000000001</v>
      </c>
      <c r="J1273">
        <v>-255.8494</v>
      </c>
      <c r="K1273">
        <v>1.1096410000000001</v>
      </c>
      <c r="L1273">
        <v>368.19569999999999</v>
      </c>
      <c r="M1273">
        <v>0.99985999999999997</v>
      </c>
      <c r="N1273">
        <v>-1.4716099999999999E-2</v>
      </c>
      <c r="O1273">
        <v>7.9775200000000001E-3</v>
      </c>
      <c r="P1273">
        <v>0.99021729999999997</v>
      </c>
      <c r="Q1273">
        <v>-0.13659449999999901</v>
      </c>
      <c r="R1273">
        <v>2.849198E-2</v>
      </c>
      <c r="S1273">
        <v>2.9902190000000002</v>
      </c>
      <c r="T1273">
        <v>-0.30370399999999997</v>
      </c>
      <c r="U1273">
        <v>-8.6029049999999996E-2</v>
      </c>
      <c r="V1273">
        <v>-2.0595269999999999E-2</v>
      </c>
      <c r="W1273">
        <v>-0.1220039</v>
      </c>
      <c r="X1273">
        <v>0.99231590000000003</v>
      </c>
      <c r="Y1273">
        <v>3.6487520000000002E-2</v>
      </c>
      <c r="Z1273">
        <v>-2.8080399999999999E-3</v>
      </c>
      <c r="AA1273">
        <v>0.99933019999999995</v>
      </c>
      <c r="AB1273">
        <v>36</v>
      </c>
      <c r="AC1273">
        <v>0.83310000000000095</v>
      </c>
      <c r="AD1273">
        <v>-0.103842</v>
      </c>
      <c r="AE1273">
        <v>-3.1099999999980799E-2</v>
      </c>
      <c r="AF1273">
        <v>3.7169128376588902E-2</v>
      </c>
      <c r="AG1273">
        <v>-0.103842</v>
      </c>
      <c r="AH1273">
        <v>0.82010161925962599</v>
      </c>
      <c r="AI1273">
        <v>97.209117148024205</v>
      </c>
      <c r="AJ1273">
        <v>87.404982819308998</v>
      </c>
      <c r="AK1273">
        <v>0.82748496722329401</v>
      </c>
      <c r="AL1273">
        <v>97.007767620120902</v>
      </c>
      <c r="AM1273">
        <v>91.188988967515897</v>
      </c>
      <c r="AN1273">
        <v>0.99999998107719601</v>
      </c>
    </row>
    <row r="1274" spans="1:40" x14ac:dyDescent="0.25">
      <c r="A1274" t="str">
        <f>"20190305134928213"</f>
        <v>20190305134928213</v>
      </c>
      <c r="B1274" t="str">
        <f>"1551764968201869"</f>
        <v>1551764968201869</v>
      </c>
      <c r="C1274" t="s">
        <v>40</v>
      </c>
      <c r="D1274">
        <v>4.2878879999999997</v>
      </c>
      <c r="E1274">
        <v>0.50860309999999997</v>
      </c>
      <c r="F1274" t="s">
        <v>42</v>
      </c>
      <c r="G1274">
        <v>-234.97200000000001</v>
      </c>
      <c r="H1274" s="1">
        <v>-2.35907E-6</v>
      </c>
      <c r="I1274">
        <v>368.37740000000002</v>
      </c>
      <c r="J1274">
        <v>-255.6661</v>
      </c>
      <c r="K1274">
        <v>1.109639</v>
      </c>
      <c r="L1274">
        <v>368.19709999999998</v>
      </c>
      <c r="M1274">
        <v>0.99985999999999997</v>
      </c>
      <c r="N1274">
        <v>-1.47146E-2</v>
      </c>
      <c r="O1274">
        <v>7.9748240000000001E-3</v>
      </c>
      <c r="P1274">
        <v>0.9902166</v>
      </c>
      <c r="Q1274">
        <v>-0.13662469999999999</v>
      </c>
      <c r="R1274">
        <v>2.8365899999999999E-2</v>
      </c>
      <c r="S1274">
        <v>3.006821</v>
      </c>
      <c r="T1274">
        <v>-0.15981389999999901</v>
      </c>
      <c r="U1274">
        <v>2.6184079999999998E-2</v>
      </c>
      <c r="V1274">
        <v>-2.047264E-2</v>
      </c>
      <c r="W1274">
        <v>-0.12203559999999999</v>
      </c>
      <c r="X1274">
        <v>0.99231460000000005</v>
      </c>
      <c r="Y1274">
        <v>-7.3679419999999999E-4</v>
      </c>
      <c r="Z1274">
        <v>-2.8126650000000002E-4</v>
      </c>
      <c r="AA1274">
        <v>0.99999970000000005</v>
      </c>
      <c r="AB1274">
        <v>36</v>
      </c>
      <c r="AC1274">
        <v>20.694099999999899</v>
      </c>
      <c r="AD1274">
        <v>-1.1096413590700001</v>
      </c>
      <c r="AE1274">
        <v>0.18030000000004501</v>
      </c>
      <c r="AF1274">
        <v>-1.52008993605975E-2</v>
      </c>
      <c r="AG1274">
        <v>-1.1096413590700001</v>
      </c>
      <c r="AH1274">
        <v>20.635552413412999</v>
      </c>
      <c r="AI1274">
        <v>93.078016740661297</v>
      </c>
      <c r="AJ1274">
        <v>90.042206150006606</v>
      </c>
      <c r="AK1274">
        <v>20.665370996423299</v>
      </c>
      <c r="AL1274">
        <v>97.009597148108597</v>
      </c>
      <c r="AM1274">
        <v>91.181912956673003</v>
      </c>
      <c r="AN1274">
        <v>1.00000004101454</v>
      </c>
    </row>
    <row r="1275" spans="1:40" x14ac:dyDescent="0.25">
      <c r="A1275" t="str">
        <f>"20190305134928225"</f>
        <v>20190305134928225</v>
      </c>
      <c r="B1275" t="str">
        <f>"1551764968222365"</f>
        <v>1551764968222365</v>
      </c>
      <c r="C1275" t="s">
        <v>40</v>
      </c>
      <c r="D1275">
        <v>4.2931089999999896</v>
      </c>
      <c r="E1275">
        <v>0.51709850000000002</v>
      </c>
      <c r="F1275" t="s">
        <v>42</v>
      </c>
      <c r="G1275">
        <v>-234.79689999999999</v>
      </c>
      <c r="H1275" s="1">
        <v>-2.4341850000000001E-6</v>
      </c>
      <c r="I1275">
        <v>368.37759999999997</v>
      </c>
      <c r="J1275">
        <v>-255.48089999999999</v>
      </c>
      <c r="K1275">
        <v>1.1096349999999999</v>
      </c>
      <c r="L1275">
        <v>368.1986</v>
      </c>
      <c r="M1275">
        <v>0.99986010000000003</v>
      </c>
      <c r="N1275">
        <v>-1.471304E-2</v>
      </c>
      <c r="O1275">
        <v>7.9695500000000006E-3</v>
      </c>
      <c r="P1275">
        <v>0.99017949999999999</v>
      </c>
      <c r="Q1275">
        <v>-0.136876</v>
      </c>
      <c r="R1275">
        <v>2.845781E-2</v>
      </c>
      <c r="S1275">
        <v>3.0068510000000002</v>
      </c>
      <c r="T1275">
        <v>-0.1598773</v>
      </c>
      <c r="U1275">
        <v>2.600098E-2</v>
      </c>
      <c r="V1275">
        <v>-2.0570890000000001E-2</v>
      </c>
      <c r="W1275">
        <v>-0.1222888</v>
      </c>
      <c r="X1275">
        <v>0.99228139999999998</v>
      </c>
      <c r="Y1275">
        <v>-6.8119220000000002E-4</v>
      </c>
      <c r="Z1275">
        <v>-2.8311960000000001E-4</v>
      </c>
      <c r="AA1275">
        <v>0.99999970000000005</v>
      </c>
      <c r="AB1275">
        <v>35</v>
      </c>
      <c r="AC1275">
        <v>20.684000000000001</v>
      </c>
      <c r="AD1275">
        <v>-1.1096374341849999</v>
      </c>
      <c r="AE1275">
        <v>0.17899999999997299</v>
      </c>
      <c r="AF1275">
        <v>-1.40937551639711E-2</v>
      </c>
      <c r="AG1275">
        <v>-1.1096374341849999</v>
      </c>
      <c r="AH1275">
        <v>20.6254138750487</v>
      </c>
      <c r="AI1275">
        <v>93.079516090414003</v>
      </c>
      <c r="AJ1275">
        <v>90.039151338615298</v>
      </c>
      <c r="AK1275">
        <v>20.6552460984209</v>
      </c>
      <c r="AL1275">
        <v>97.0242138920499</v>
      </c>
      <c r="AM1275">
        <v>91.187623163446403</v>
      </c>
      <c r="AN1275">
        <v>1.0000000444533901</v>
      </c>
    </row>
    <row r="1276" spans="1:40" x14ac:dyDescent="0.25">
      <c r="A1276" t="str">
        <f>"20190305134928237"</f>
        <v>20190305134928237</v>
      </c>
      <c r="B1276" t="str">
        <f>"1551764968232124"</f>
        <v>1551764968232124</v>
      </c>
      <c r="C1276" t="s">
        <v>40</v>
      </c>
      <c r="D1276">
        <v>4.2997569999999996</v>
      </c>
      <c r="E1276">
        <v>0.51646229999999904</v>
      </c>
      <c r="F1276" t="s">
        <v>41</v>
      </c>
      <c r="G1276">
        <v>-254.6694</v>
      </c>
      <c r="H1276">
        <v>1.04589</v>
      </c>
      <c r="I1276">
        <v>368.18650000000002</v>
      </c>
      <c r="J1276">
        <v>-255.3135</v>
      </c>
      <c r="K1276">
        <v>1.1096330000000001</v>
      </c>
      <c r="L1276">
        <v>368.2</v>
      </c>
      <c r="M1276">
        <v>0.99986010000000003</v>
      </c>
      <c r="N1276">
        <v>-1.47116E-2</v>
      </c>
      <c r="O1276">
        <v>7.9616389999999995E-3</v>
      </c>
      <c r="P1276">
        <v>0.99014040000000003</v>
      </c>
      <c r="Q1276">
        <v>-0.13715139999999901</v>
      </c>
      <c r="R1276">
        <v>2.8491450000000001E-2</v>
      </c>
      <c r="S1276">
        <v>2.9984440000000001</v>
      </c>
      <c r="T1276">
        <v>-0.23573920000000001</v>
      </c>
      <c r="U1276">
        <v>-4.431152E-2</v>
      </c>
      <c r="V1276">
        <v>-2.061371E-2</v>
      </c>
      <c r="W1276">
        <v>-0.12256599999999999</v>
      </c>
      <c r="X1276">
        <v>0.99224630000000003</v>
      </c>
      <c r="Y1276">
        <v>2.2638539999999999E-2</v>
      </c>
      <c r="Z1276">
        <v>-1.5633279999999999E-3</v>
      </c>
      <c r="AA1276">
        <v>0.99974249999999998</v>
      </c>
      <c r="AB1276">
        <v>35</v>
      </c>
      <c r="AC1276">
        <v>0.644100000000008</v>
      </c>
      <c r="AD1276">
        <v>-6.3743000000000105E-2</v>
      </c>
      <c r="AE1276">
        <v>-1.3499999999964899E-2</v>
      </c>
      <c r="AF1276">
        <v>1.8447622670828102E-2</v>
      </c>
      <c r="AG1276">
        <v>-6.3743000000000105E-2</v>
      </c>
      <c r="AH1276">
        <v>0.63772893733660496</v>
      </c>
      <c r="AI1276">
        <v>95.705563080060401</v>
      </c>
      <c r="AJ1276">
        <v>88.343063656631699</v>
      </c>
      <c r="AK1276">
        <v>0.64117211600917301</v>
      </c>
      <c r="AL1276">
        <v>97.0402167322748</v>
      </c>
      <c r="AM1276">
        <v>91.190136675157206</v>
      </c>
      <c r="AN1276">
        <v>1.0000000346298199</v>
      </c>
    </row>
    <row r="1277" spans="1:40" x14ac:dyDescent="0.25">
      <c r="A1277" t="str">
        <f>"20190305134928247"</f>
        <v>20190305134928247</v>
      </c>
      <c r="B1277" t="str">
        <f>"1551764968241885"</f>
        <v>1551764968241885</v>
      </c>
      <c r="C1277" t="s">
        <v>40</v>
      </c>
      <c r="D1277">
        <v>4.3076299999999996</v>
      </c>
      <c r="E1277">
        <v>0.51614490000000002</v>
      </c>
      <c r="F1277" t="s">
        <v>41</v>
      </c>
      <c r="G1277">
        <v>-254.36660000000001</v>
      </c>
      <c r="H1277">
        <v>1.0372939999999999</v>
      </c>
      <c r="I1277">
        <v>368.18770000000001</v>
      </c>
      <c r="J1277">
        <v>-255.1198</v>
      </c>
      <c r="K1277">
        <v>1.1096269999999999</v>
      </c>
      <c r="L1277">
        <v>368.20150000000001</v>
      </c>
      <c r="M1277">
        <v>0.99986019999999998</v>
      </c>
      <c r="N1277">
        <v>-1.47099E-2</v>
      </c>
      <c r="O1277">
        <v>7.9496540000000004E-3</v>
      </c>
      <c r="P1277">
        <v>0.99011369999999999</v>
      </c>
      <c r="Q1277">
        <v>-0.13736970000000001</v>
      </c>
      <c r="R1277">
        <v>2.837166E-2</v>
      </c>
      <c r="S1277">
        <v>2.9992369999999999</v>
      </c>
      <c r="T1277">
        <v>-0.22920940000000001</v>
      </c>
      <c r="U1277">
        <v>-3.8665770000000002E-2</v>
      </c>
      <c r="V1277">
        <v>-2.0507170000000002E-2</v>
      </c>
      <c r="W1277">
        <v>-0.1227861</v>
      </c>
      <c r="X1277">
        <v>0.99222120000000003</v>
      </c>
      <c r="Y1277">
        <v>2.0752940000000001E-2</v>
      </c>
      <c r="Z1277">
        <v>-1.4345499999999999E-3</v>
      </c>
      <c r="AA1277">
        <v>0.99978359999999999</v>
      </c>
      <c r="AB1277">
        <v>35</v>
      </c>
      <c r="AC1277">
        <v>0.75319999999999199</v>
      </c>
      <c r="AD1277">
        <v>-7.2332999999999897E-2</v>
      </c>
      <c r="AE1277">
        <v>-1.3800000000003299E-2</v>
      </c>
      <c r="AF1277">
        <v>1.9607123611368699E-2</v>
      </c>
      <c r="AG1277">
        <v>-7.2332999999999897E-2</v>
      </c>
      <c r="AH1277">
        <v>0.74618701882911498</v>
      </c>
      <c r="AI1277">
        <v>95.534873033559293</v>
      </c>
      <c r="AJ1277">
        <v>88.4948183790613</v>
      </c>
      <c r="AK1277">
        <v>0.74994104385237703</v>
      </c>
      <c r="AL1277">
        <v>97.052924180614099</v>
      </c>
      <c r="AM1277">
        <v>91.184017264956196</v>
      </c>
      <c r="AN1277">
        <v>0.99999994005202697</v>
      </c>
    </row>
    <row r="1278" spans="1:40" x14ac:dyDescent="0.25">
      <c r="A1278" t="str">
        <f>"20190305134928259"</f>
        <v>20190305134928259</v>
      </c>
      <c r="B1278" t="str">
        <f>"1551764968251645"</f>
        <v>1551764968251645</v>
      </c>
      <c r="C1278" t="s">
        <v>40</v>
      </c>
      <c r="D1278">
        <v>4.3200799999999999</v>
      </c>
      <c r="E1278">
        <v>0.51591809999999905</v>
      </c>
      <c r="F1278" t="s">
        <v>42</v>
      </c>
      <c r="G1278">
        <v>-240.3973</v>
      </c>
      <c r="H1278" s="1">
        <v>-4.8021430000000003E-6</v>
      </c>
      <c r="I1278">
        <v>368.02429999999998</v>
      </c>
      <c r="J1278">
        <v>-254.95269999999999</v>
      </c>
      <c r="K1278">
        <v>1.109618</v>
      </c>
      <c r="L1278">
        <v>368.20280000000002</v>
      </c>
      <c r="M1278">
        <v>0.99986050000000004</v>
      </c>
      <c r="N1278">
        <v>-1.47084E-2</v>
      </c>
      <c r="O1278">
        <v>7.9331160000000005E-3</v>
      </c>
      <c r="P1278">
        <v>0.99009650000000005</v>
      </c>
      <c r="Q1278">
        <v>-0.13743169999999999</v>
      </c>
      <c r="R1278">
        <v>2.8665340000000001E-2</v>
      </c>
      <c r="S1278">
        <v>2.999603</v>
      </c>
      <c r="T1278">
        <v>-0.22607969999999999</v>
      </c>
      <c r="U1278">
        <v>-3.6102290000000002E-2</v>
      </c>
      <c r="V1278">
        <v>-2.081879E-2</v>
      </c>
      <c r="W1278">
        <v>-0.1228496</v>
      </c>
      <c r="X1278">
        <v>0.9922069</v>
      </c>
      <c r="Y1278">
        <v>1.988583E-2</v>
      </c>
      <c r="Z1278">
        <v>-1.375313E-3</v>
      </c>
      <c r="AA1278">
        <v>0.9998013</v>
      </c>
      <c r="AB1278">
        <v>35</v>
      </c>
      <c r="AC1278">
        <v>14.555399999999899</v>
      </c>
      <c r="AD1278">
        <v>-1.1096228021429999</v>
      </c>
      <c r="AE1278">
        <v>-0.17850000000004199</v>
      </c>
      <c r="AF1278">
        <v>0.29227815916055999</v>
      </c>
      <c r="AG1278">
        <v>-1.1096228021429999</v>
      </c>
      <c r="AH1278">
        <v>14.4694463677461</v>
      </c>
      <c r="AI1278">
        <v>94.384384770370701</v>
      </c>
      <c r="AJ1278">
        <v>88.842801068716</v>
      </c>
      <c r="AK1278">
        <v>14.5148740082178</v>
      </c>
      <c r="AL1278">
        <v>97.056589868109697</v>
      </c>
      <c r="AM1278">
        <v>91.202021269252498</v>
      </c>
      <c r="AN1278">
        <v>0.99999998932241696</v>
      </c>
    </row>
    <row r="1279" spans="1:40" x14ac:dyDescent="0.25">
      <c r="A1279" t="str">
        <f>"20190305134928271"</f>
        <v>20190305134928271</v>
      </c>
      <c r="B1279" t="str">
        <f>"1551764968261406"</f>
        <v>1551764968261406</v>
      </c>
      <c r="C1279" t="s">
        <v>40</v>
      </c>
      <c r="D1279">
        <v>4.3200599999999998</v>
      </c>
      <c r="E1279">
        <v>0.51576379999999999</v>
      </c>
      <c r="F1279" t="s">
        <v>41</v>
      </c>
      <c r="G1279">
        <v>-254.0463</v>
      </c>
      <c r="H1279">
        <v>1.0414540000000001</v>
      </c>
      <c r="I1279">
        <v>368.19240000000002</v>
      </c>
      <c r="J1279">
        <v>-254.76570000000001</v>
      </c>
      <c r="K1279">
        <v>1.1096109999999999</v>
      </c>
      <c r="L1279">
        <v>368.20429999999999</v>
      </c>
      <c r="M1279">
        <v>0.99986070000000005</v>
      </c>
      <c r="N1279">
        <v>-1.47067E-2</v>
      </c>
      <c r="O1279">
        <v>7.9126839999999997E-3</v>
      </c>
      <c r="P1279">
        <v>0.99007230000000002</v>
      </c>
      <c r="Q1279">
        <v>-0.13763049999999999</v>
      </c>
      <c r="R1279">
        <v>2.85475E-2</v>
      </c>
      <c r="S1279">
        <v>2.9996489999999998</v>
      </c>
      <c r="T1279">
        <v>-0.22578790000000001</v>
      </c>
      <c r="U1279">
        <v>-3.3538819999999997E-2</v>
      </c>
      <c r="V1279">
        <v>-2.0723169999999999E-2</v>
      </c>
      <c r="W1279">
        <v>-0.12305000000000001</v>
      </c>
      <c r="X1279">
        <v>0.99218410000000001</v>
      </c>
      <c r="Y1279">
        <v>1.9014099999999999E-2</v>
      </c>
      <c r="Z1279">
        <v>-1.333143E-3</v>
      </c>
      <c r="AA1279">
        <v>0.99981830000000005</v>
      </c>
      <c r="AB1279">
        <v>35</v>
      </c>
      <c r="AC1279">
        <v>0.71940000000000703</v>
      </c>
      <c r="AD1279">
        <v>-6.8156999999999995E-2</v>
      </c>
      <c r="AE1279">
        <v>-1.18999999999687E-2</v>
      </c>
      <c r="AF1279">
        <v>1.7436163848723599E-2</v>
      </c>
      <c r="AG1279">
        <v>-6.8156999999999995E-2</v>
      </c>
      <c r="AH1279">
        <v>0.71288622720119799</v>
      </c>
      <c r="AI1279">
        <v>95.459661954351404</v>
      </c>
      <c r="AJ1279">
        <v>88.598907621453407</v>
      </c>
      <c r="AK1279">
        <v>0.71634919514990503</v>
      </c>
      <c r="AL1279">
        <v>97.068159504268706</v>
      </c>
      <c r="AM1279">
        <v>91.1965295219116</v>
      </c>
      <c r="AN1279">
        <v>1.00000002028382</v>
      </c>
    </row>
    <row r="1280" spans="1:40" x14ac:dyDescent="0.25">
      <c r="A1280" t="str">
        <f>"20190305134928284"</f>
        <v>20190305134928284</v>
      </c>
      <c r="B1280" t="str">
        <f>"1551764968281901"</f>
        <v>1551764968281901</v>
      </c>
      <c r="C1280" t="s">
        <v>40</v>
      </c>
      <c r="D1280">
        <v>4.3427119999999997</v>
      </c>
      <c r="E1280">
        <v>0.51577870000000003</v>
      </c>
      <c r="F1280" t="s">
        <v>41</v>
      </c>
      <c r="G1280">
        <v>-253.73699999999999</v>
      </c>
      <c r="H1280">
        <v>1.0326340000000001</v>
      </c>
      <c r="I1280">
        <v>368.19290000000001</v>
      </c>
      <c r="J1280">
        <v>-254.54</v>
      </c>
      <c r="K1280">
        <v>1.109602</v>
      </c>
      <c r="L1280">
        <v>368.20609999999999</v>
      </c>
      <c r="M1280">
        <v>0.99986090000000005</v>
      </c>
      <c r="N1280">
        <v>-1.47046E-2</v>
      </c>
      <c r="O1280">
        <v>7.8775909999999998E-3</v>
      </c>
      <c r="P1280">
        <v>0.99006740000000004</v>
      </c>
      <c r="Q1280">
        <v>-0.1376317</v>
      </c>
      <c r="R1280">
        <v>2.871193E-2</v>
      </c>
      <c r="S1280">
        <v>2.9997859999999998</v>
      </c>
      <c r="T1280">
        <v>-0.2246667</v>
      </c>
      <c r="U1280">
        <v>-3.2745360000000001E-2</v>
      </c>
      <c r="V1280">
        <v>-2.0925659999999999E-2</v>
      </c>
      <c r="W1280">
        <v>-0.12305290000000001</v>
      </c>
      <c r="X1280">
        <v>0.99217949999999999</v>
      </c>
      <c r="Y1280">
        <v>1.8715900000000001E-2</v>
      </c>
      <c r="Z1280">
        <v>-1.311139E-3</v>
      </c>
      <c r="AA1280">
        <v>0.99982400000000005</v>
      </c>
      <c r="AB1280">
        <v>35</v>
      </c>
      <c r="AC1280">
        <v>0.80299999999999705</v>
      </c>
      <c r="AD1280">
        <v>-7.6967999999999898E-2</v>
      </c>
      <c r="AE1280">
        <v>-1.31999999999834E-2</v>
      </c>
      <c r="AF1280">
        <v>1.9348268678533301E-2</v>
      </c>
      <c r="AG1280">
        <v>-7.6967999999999898E-2</v>
      </c>
      <c r="AH1280">
        <v>0.79556394917681295</v>
      </c>
      <c r="AI1280">
        <v>95.524342780833805</v>
      </c>
      <c r="AJ1280">
        <v>88.606830222254004</v>
      </c>
      <c r="AK1280">
        <v>0.79951261763318204</v>
      </c>
      <c r="AL1280">
        <v>97.068326866608302</v>
      </c>
      <c r="AM1280">
        <v>91.208223188441394</v>
      </c>
      <c r="AN1280">
        <v>1.00000002983254</v>
      </c>
    </row>
    <row r="1281" spans="1:40" x14ac:dyDescent="0.25">
      <c r="A1281" t="str">
        <f>"20190305134928295"</f>
        <v>20190305134928295</v>
      </c>
      <c r="B1281" t="str">
        <f>"1551764968291660"</f>
        <v>1551764968291660</v>
      </c>
      <c r="C1281" t="s">
        <v>40</v>
      </c>
      <c r="D1281">
        <v>4.319051</v>
      </c>
      <c r="E1281">
        <v>0.51576499999999903</v>
      </c>
      <c r="F1281" t="s">
        <v>42</v>
      </c>
      <c r="G1281">
        <v>-239.4914</v>
      </c>
      <c r="H1281" s="1">
        <v>-5.7733469999999899E-7</v>
      </c>
      <c r="I1281">
        <v>368.04469999999998</v>
      </c>
      <c r="J1281">
        <v>-254.37219999999999</v>
      </c>
      <c r="K1281">
        <v>1.10959599999999</v>
      </c>
      <c r="L1281">
        <v>368.20729999999998</v>
      </c>
      <c r="M1281">
        <v>0.99986109999999995</v>
      </c>
      <c r="N1281">
        <v>-1.4703010000000001E-2</v>
      </c>
      <c r="O1281">
        <v>7.8474240000000004E-3</v>
      </c>
      <c r="P1281">
        <v>0.99007179999999995</v>
      </c>
      <c r="Q1281">
        <v>-0.13753309999999999</v>
      </c>
      <c r="R1281">
        <v>2.902269E-2</v>
      </c>
      <c r="S1281">
        <v>3.0002900000000001</v>
      </c>
      <c r="T1281">
        <v>-0.22122359999999999</v>
      </c>
      <c r="U1281">
        <v>-3.2165529999999998E-2</v>
      </c>
      <c r="V1281">
        <v>-2.1268450000000001E-2</v>
      </c>
      <c r="W1281">
        <v>-0.12295540000000001</v>
      </c>
      <c r="X1281">
        <v>0.99218430000000002</v>
      </c>
      <c r="Y1281">
        <v>1.849379E-2</v>
      </c>
      <c r="Z1281">
        <v>-1.279622E-3</v>
      </c>
      <c r="AA1281">
        <v>0.99982819999999994</v>
      </c>
      <c r="AB1281">
        <v>35</v>
      </c>
      <c r="AC1281">
        <v>14.880799999999899</v>
      </c>
      <c r="AD1281">
        <v>-1.1095965773347001</v>
      </c>
      <c r="AE1281">
        <v>-0.162599999999997</v>
      </c>
      <c r="AF1281">
        <v>0.27783895436537198</v>
      </c>
      <c r="AG1281">
        <v>-1.1095965773347001</v>
      </c>
      <c r="AH1281">
        <v>14.7968046146367</v>
      </c>
      <c r="AI1281">
        <v>94.2877697423217</v>
      </c>
      <c r="AJ1281">
        <v>88.924286060126093</v>
      </c>
      <c r="AK1281">
        <v>14.8409509753495</v>
      </c>
      <c r="AL1281">
        <v>97.062697771746301</v>
      </c>
      <c r="AM1281">
        <v>91.228003532064207</v>
      </c>
      <c r="AN1281">
        <v>1.00000003126052</v>
      </c>
    </row>
    <row r="1282" spans="1:40" x14ac:dyDescent="0.25">
      <c r="A1282" t="str">
        <f>"20190305134928306"</f>
        <v>20190305134928306</v>
      </c>
      <c r="B1282" t="str">
        <f>"1551764968301420"</f>
        <v>1551764968301420</v>
      </c>
      <c r="C1282" t="s">
        <v>40</v>
      </c>
      <c r="D1282">
        <v>4.328811</v>
      </c>
      <c r="E1282">
        <v>0.51585029999999998</v>
      </c>
      <c r="F1282" t="s">
        <v>41</v>
      </c>
      <c r="G1282">
        <v>-253.4161</v>
      </c>
      <c r="H1282">
        <v>1.039887</v>
      </c>
      <c r="I1282">
        <v>368.19729999999998</v>
      </c>
      <c r="J1282">
        <v>-254.19489999999999</v>
      </c>
      <c r="K1282">
        <v>1.109591</v>
      </c>
      <c r="L1282">
        <v>368.20870000000002</v>
      </c>
      <c r="M1282">
        <v>0.99986140000000001</v>
      </c>
      <c r="N1282">
        <v>-1.470133E-2</v>
      </c>
      <c r="O1282">
        <v>7.81182199999999E-3</v>
      </c>
      <c r="P1282">
        <v>0.9900833</v>
      </c>
      <c r="Q1282">
        <v>-0.13744489999999901</v>
      </c>
      <c r="R1282">
        <v>2.9051810000000001E-2</v>
      </c>
      <c r="S1282">
        <v>3.0005489999999999</v>
      </c>
      <c r="T1282">
        <v>-0.21894440000000001</v>
      </c>
      <c r="U1282">
        <v>-3.0822749999999999E-2</v>
      </c>
      <c r="V1282">
        <v>-2.1335389999999999E-2</v>
      </c>
      <c r="W1282">
        <v>-0.1228683</v>
      </c>
      <c r="X1282">
        <v>0.99219360000000001</v>
      </c>
      <c r="Y1282">
        <v>1.801297E-2</v>
      </c>
      <c r="Z1282">
        <v>-1.243444E-3</v>
      </c>
      <c r="AA1282">
        <v>0.99983699999999998</v>
      </c>
      <c r="AB1282">
        <v>35</v>
      </c>
      <c r="AC1282">
        <v>0.77879999999998895</v>
      </c>
      <c r="AD1282">
        <v>-6.9703999999999905E-2</v>
      </c>
      <c r="AE1282">
        <v>-1.14000000000373E-2</v>
      </c>
      <c r="AF1282">
        <v>1.7345241156293899E-2</v>
      </c>
      <c r="AG1282">
        <v>-6.9703999999999905E-2</v>
      </c>
      <c r="AH1282">
        <v>0.77250032349011999</v>
      </c>
      <c r="AI1282">
        <v>95.1546395662413</v>
      </c>
      <c r="AJ1282">
        <v>88.713732380189995</v>
      </c>
      <c r="AK1282">
        <v>0.77583262034997602</v>
      </c>
      <c r="AL1282">
        <v>97.057669551775206</v>
      </c>
      <c r="AM1282">
        <v>91.231855799884698</v>
      </c>
      <c r="AN1282">
        <v>0.99999997894615</v>
      </c>
    </row>
    <row r="1283" spans="1:40" x14ac:dyDescent="0.25">
      <c r="A1283" t="str">
        <f>"20190305134928318"</f>
        <v>20190305134928318</v>
      </c>
      <c r="B1283" t="str">
        <f>"1551764968312156"</f>
        <v>1551764968312156</v>
      </c>
      <c r="C1283" t="s">
        <v>40</v>
      </c>
      <c r="D1283">
        <v>4.3417029999999999</v>
      </c>
      <c r="E1283">
        <v>0.51590029999999998</v>
      </c>
      <c r="F1283" t="s">
        <v>42</v>
      </c>
      <c r="G1283">
        <v>-238.87110000000001</v>
      </c>
      <c r="H1283" s="1">
        <v>-7.8762629999999999E-7</v>
      </c>
      <c r="I1283">
        <v>368.04770000000002</v>
      </c>
      <c r="J1283">
        <v>-254.02010000000001</v>
      </c>
      <c r="K1283">
        <v>1.109583</v>
      </c>
      <c r="L1283">
        <v>368.21</v>
      </c>
      <c r="M1283">
        <v>0.99986180000000002</v>
      </c>
      <c r="N1283">
        <v>-1.469963E-2</v>
      </c>
      <c r="O1283">
        <v>7.7705669999999999E-3</v>
      </c>
      <c r="P1283">
        <v>0.99013249999999997</v>
      </c>
      <c r="Q1283">
        <v>-0.1370816</v>
      </c>
      <c r="R1283">
        <v>2.9095469999999998E-2</v>
      </c>
      <c r="S1283">
        <v>3.0008240000000002</v>
      </c>
      <c r="T1283">
        <v>-0.21728790000000001</v>
      </c>
      <c r="U1283">
        <v>-3.1524660000000003E-2</v>
      </c>
      <c r="V1283">
        <v>-2.1421989999999998E-2</v>
      </c>
      <c r="W1283">
        <v>-0.1225055</v>
      </c>
      <c r="X1283">
        <v>0.99223660000000002</v>
      </c>
      <c r="Y1283">
        <v>1.820513E-2</v>
      </c>
      <c r="Z1283">
        <v>-1.2400619999999999E-3</v>
      </c>
      <c r="AA1283">
        <v>0.99983350000000004</v>
      </c>
      <c r="AB1283">
        <v>35</v>
      </c>
      <c r="AC1283">
        <v>15.148999999999999</v>
      </c>
      <c r="AD1283">
        <v>-1.1095837876262999</v>
      </c>
      <c r="AE1283">
        <v>-0.162299999999959</v>
      </c>
      <c r="AF1283">
        <v>0.27853005156316502</v>
      </c>
      <c r="AG1283">
        <v>-1.1095837876262999</v>
      </c>
      <c r="AH1283">
        <v>15.066462188788901</v>
      </c>
      <c r="AI1283">
        <v>94.2112807098692</v>
      </c>
      <c r="AJ1283">
        <v>88.940907388193693</v>
      </c>
      <c r="AK1283">
        <v>15.1098324960137</v>
      </c>
      <c r="AL1283">
        <v>97.036724369517501</v>
      </c>
      <c r="AM1283">
        <v>91.236800748174105</v>
      </c>
      <c r="AN1283">
        <v>0.99999998478268404</v>
      </c>
    </row>
    <row r="1284" spans="1:40" x14ac:dyDescent="0.25">
      <c r="A1284" t="str">
        <f>"20190305134928330"</f>
        <v>20190305134928330</v>
      </c>
      <c r="B1284" t="str">
        <f>"1551764968321918"</f>
        <v>1551764968321918</v>
      </c>
      <c r="C1284" t="s">
        <v>40</v>
      </c>
      <c r="D1284">
        <v>4.3580259999999997</v>
      </c>
      <c r="E1284">
        <v>0.51590029999999998</v>
      </c>
      <c r="F1284" t="s">
        <v>41</v>
      </c>
      <c r="G1284">
        <v>-253.0975</v>
      </c>
      <c r="H1284">
        <v>1.0436099999999999</v>
      </c>
      <c r="I1284">
        <v>368.20010000000002</v>
      </c>
      <c r="J1284">
        <v>-253.82040000000001</v>
      </c>
      <c r="K1284">
        <v>1.109577</v>
      </c>
      <c r="L1284">
        <v>368.2115</v>
      </c>
      <c r="M1284">
        <v>0.99986229999999998</v>
      </c>
      <c r="N1284">
        <v>-1.4697679999999999E-2</v>
      </c>
      <c r="O1284">
        <v>7.7207150000000004E-3</v>
      </c>
      <c r="P1284">
        <v>0.99013390000000001</v>
      </c>
      <c r="Q1284">
        <v>-0.13709389999999999</v>
      </c>
      <c r="R1284">
        <v>2.898566E-2</v>
      </c>
      <c r="S1284">
        <v>3.0011139999999998</v>
      </c>
      <c r="T1284">
        <v>-0.21480150000000001</v>
      </c>
      <c r="U1284">
        <v>-3.1890870000000002E-2</v>
      </c>
      <c r="V1284">
        <v>-2.1364230000000001E-2</v>
      </c>
      <c r="W1284">
        <v>-0.1225193</v>
      </c>
      <c r="X1284">
        <v>0.99223609999999896</v>
      </c>
      <c r="Y1284">
        <v>1.8277700000000001E-2</v>
      </c>
      <c r="Z1284">
        <v>-1.226305E-3</v>
      </c>
      <c r="AA1284">
        <v>0.99983219999999995</v>
      </c>
      <c r="AB1284">
        <v>35</v>
      </c>
      <c r="AC1284">
        <v>0.72290000000000898</v>
      </c>
      <c r="AD1284">
        <v>-6.5967000000000095E-2</v>
      </c>
      <c r="AE1284">
        <v>-1.13999999999805E-2</v>
      </c>
      <c r="AF1284">
        <v>1.6841361383572201E-2</v>
      </c>
      <c r="AG1284">
        <v>-6.5967000000000095E-2</v>
      </c>
      <c r="AH1284">
        <v>0.716822807904542</v>
      </c>
      <c r="AI1284">
        <v>95.256502337799205</v>
      </c>
      <c r="AJ1284">
        <v>88.654114473882302</v>
      </c>
      <c r="AK1284">
        <v>0.72004875840071003</v>
      </c>
      <c r="AL1284">
        <v>97.037521343513404</v>
      </c>
      <c r="AM1284">
        <v>91.233467621778004</v>
      </c>
      <c r="AN1284">
        <v>0.99999994366959399</v>
      </c>
    </row>
    <row r="1285" spans="1:40" x14ac:dyDescent="0.25">
      <c r="A1285" t="str">
        <f>"20190305134928343"</f>
        <v>20190305134928343</v>
      </c>
      <c r="B1285" t="str">
        <f>"1551764968331678"</f>
        <v>1551764968331678</v>
      </c>
      <c r="C1285" t="s">
        <v>40</v>
      </c>
      <c r="D1285">
        <v>4.2949310000000001</v>
      </c>
      <c r="E1285">
        <v>0.51587669999999997</v>
      </c>
      <c r="F1285" t="s">
        <v>41</v>
      </c>
      <c r="G1285">
        <v>-252.78960000000001</v>
      </c>
      <c r="H1285">
        <v>1.0358579999999999</v>
      </c>
      <c r="I1285">
        <v>368.20030000000003</v>
      </c>
      <c r="J1285">
        <v>-253.6172</v>
      </c>
      <c r="K1285">
        <v>1.109567</v>
      </c>
      <c r="L1285">
        <v>368.21300000000002</v>
      </c>
      <c r="M1285">
        <v>0.99986269999999999</v>
      </c>
      <c r="N1285">
        <v>-1.4695679999999999E-2</v>
      </c>
      <c r="O1285">
        <v>7.6618179999999999E-3</v>
      </c>
      <c r="P1285">
        <v>0.99014290000000005</v>
      </c>
      <c r="Q1285">
        <v>-0.13697100000000001</v>
      </c>
      <c r="R1285">
        <v>2.925819E-2</v>
      </c>
      <c r="S1285">
        <v>3.001099</v>
      </c>
      <c r="T1285">
        <v>-0.21489659999999999</v>
      </c>
      <c r="U1285">
        <v>-3.207397E-2</v>
      </c>
      <c r="V1285">
        <v>-2.1697649999999999E-2</v>
      </c>
      <c r="W1285">
        <v>-0.1223978</v>
      </c>
      <c r="X1285">
        <v>0.99224389999999996</v>
      </c>
      <c r="Y1285">
        <v>1.827987E-2</v>
      </c>
      <c r="Z1285">
        <v>-1.2235869999999999E-3</v>
      </c>
      <c r="AA1285">
        <v>0.99983219999999995</v>
      </c>
      <c r="AB1285">
        <v>35</v>
      </c>
      <c r="AC1285">
        <v>0.82759999999998901</v>
      </c>
      <c r="AD1285">
        <v>-7.3708999999999997E-2</v>
      </c>
      <c r="AE1285">
        <v>-1.26999999999952E-2</v>
      </c>
      <c r="AF1285">
        <v>1.8891414850797799E-2</v>
      </c>
      <c r="AG1285">
        <v>-7.3708999999999997E-2</v>
      </c>
      <c r="AH1285">
        <v>0.82096774390170002</v>
      </c>
      <c r="AI1285">
        <v>95.129084173326504</v>
      </c>
      <c r="AJ1285">
        <v>88.681790654226006</v>
      </c>
      <c r="AK1285">
        <v>0.82448646972713402</v>
      </c>
      <c r="AL1285">
        <v>97.030506834361901</v>
      </c>
      <c r="AM1285">
        <v>91.252701753364306</v>
      </c>
      <c r="AN1285">
        <v>0.99999998327378603</v>
      </c>
    </row>
    <row r="1286" spans="1:40" x14ac:dyDescent="0.25">
      <c r="A1286" t="str">
        <f>"20190305134928358"</f>
        <v>20190305134928358</v>
      </c>
      <c r="B1286" t="str">
        <f>"1551764968351607"</f>
        <v>1551764968351607</v>
      </c>
      <c r="C1286" t="s">
        <v>40</v>
      </c>
      <c r="D1286">
        <v>4.3127399999999998</v>
      </c>
      <c r="E1286">
        <v>0.51592249999999995</v>
      </c>
      <c r="F1286" t="s">
        <v>42</v>
      </c>
      <c r="G1286">
        <v>-237.98609999999999</v>
      </c>
      <c r="H1286" s="1">
        <v>-1.124003E-6</v>
      </c>
      <c r="I1286">
        <v>368.05070000000001</v>
      </c>
      <c r="J1286">
        <v>-253.38489999999999</v>
      </c>
      <c r="K1286">
        <v>1.1095569999999999</v>
      </c>
      <c r="L1286">
        <v>368.21469999999999</v>
      </c>
      <c r="M1286">
        <v>0.99986339999999996</v>
      </c>
      <c r="N1286">
        <v>-1.4693370000000001E-2</v>
      </c>
      <c r="O1286">
        <v>7.5895090000000004E-3</v>
      </c>
      <c r="P1286">
        <v>0.99012840000000002</v>
      </c>
      <c r="Q1286">
        <v>-0.1371087</v>
      </c>
      <c r="R1286">
        <v>2.911217E-2</v>
      </c>
      <c r="S1286">
        <v>3.001312</v>
      </c>
      <c r="T1286">
        <v>-0.21304619999999999</v>
      </c>
      <c r="U1286">
        <v>-3.1158450000000001E-2</v>
      </c>
      <c r="V1286">
        <v>-2.162582E-2</v>
      </c>
      <c r="W1286">
        <v>-0.1225376</v>
      </c>
      <c r="X1286">
        <v>0.9922282</v>
      </c>
      <c r="Y1286">
        <v>1.7904260000000002E-2</v>
      </c>
      <c r="Z1286">
        <v>-1.1930319999999999E-3</v>
      </c>
      <c r="AA1286">
        <v>0.99983900000000003</v>
      </c>
      <c r="AB1286">
        <v>35</v>
      </c>
      <c r="AC1286">
        <v>15.3987999999999</v>
      </c>
      <c r="AD1286">
        <v>-1.1095581240029999</v>
      </c>
      <c r="AE1286">
        <v>-0.16399999999998699</v>
      </c>
      <c r="AF1286">
        <v>0.27942661563044302</v>
      </c>
      <c r="AG1286">
        <v>-1.1095581240029999</v>
      </c>
      <c r="AH1286">
        <v>15.317593194061899</v>
      </c>
      <c r="AI1286">
        <v>94.142402422177796</v>
      </c>
      <c r="AJ1286">
        <v>88.954914783934399</v>
      </c>
      <c r="AK1286">
        <v>15.3602688688329</v>
      </c>
      <c r="AL1286">
        <v>97.038577629254306</v>
      </c>
      <c r="AM1286">
        <v>91.2485757528043</v>
      </c>
      <c r="AN1286">
        <v>0.999999970189835</v>
      </c>
    </row>
    <row r="1287" spans="1:40" x14ac:dyDescent="0.25">
      <c r="A1287" t="str">
        <f>"20190305134928370"</f>
        <v>20190305134928370</v>
      </c>
      <c r="B1287" t="str">
        <f>"1551764968362344"</f>
        <v>1551764968362344</v>
      </c>
      <c r="C1287" t="s">
        <v>40</v>
      </c>
      <c r="D1287">
        <v>4.304379</v>
      </c>
      <c r="E1287">
        <v>0.51592249999999995</v>
      </c>
      <c r="F1287" t="s">
        <v>41</v>
      </c>
      <c r="G1287">
        <v>-252.46440000000001</v>
      </c>
      <c r="H1287">
        <v>1.0450649999999999</v>
      </c>
      <c r="I1287">
        <v>368.20479999999998</v>
      </c>
      <c r="J1287">
        <v>-253.19460000000001</v>
      </c>
      <c r="K1287">
        <v>1.109553</v>
      </c>
      <c r="L1287">
        <v>368.21609999999998</v>
      </c>
      <c r="M1287">
        <v>0.99986370000000002</v>
      </c>
      <c r="N1287">
        <v>-1.469147E-2</v>
      </c>
      <c r="O1287">
        <v>7.5274280000000001E-3</v>
      </c>
      <c r="P1287">
        <v>0.99011839999999995</v>
      </c>
      <c r="Q1287">
        <v>-0.13720109999999999</v>
      </c>
      <c r="R1287">
        <v>2.9008409999999998E-2</v>
      </c>
      <c r="S1287">
        <v>3.0016630000000002</v>
      </c>
      <c r="T1287">
        <v>-0.21057129999999999</v>
      </c>
      <c r="U1287">
        <v>-3.158569E-2</v>
      </c>
      <c r="V1287">
        <v>-2.1584880000000001E-2</v>
      </c>
      <c r="W1287">
        <v>-0.1226318</v>
      </c>
      <c r="X1287">
        <v>0.99221749999999997</v>
      </c>
      <c r="Y1287">
        <v>1.798464E-2</v>
      </c>
      <c r="Z1287">
        <v>-1.179266E-3</v>
      </c>
      <c r="AA1287">
        <v>0.99983759999999999</v>
      </c>
      <c r="AB1287">
        <v>35</v>
      </c>
      <c r="AC1287">
        <v>0.73019999999999596</v>
      </c>
      <c r="AD1287">
        <v>-6.4488000000000101E-2</v>
      </c>
      <c r="AE1287">
        <v>-1.1300000000005601E-2</v>
      </c>
      <c r="AF1287">
        <v>1.66668371238144E-2</v>
      </c>
      <c r="AG1287">
        <v>-6.4488000000000101E-2</v>
      </c>
      <c r="AH1287">
        <v>0.724445185151532</v>
      </c>
      <c r="AI1287">
        <v>95.085556766572907</v>
      </c>
      <c r="AJ1287">
        <v>88.682065920949498</v>
      </c>
      <c r="AK1287">
        <v>0.72750072982296698</v>
      </c>
      <c r="AL1287">
        <v>97.044015580161499</v>
      </c>
      <c r="AM1287">
        <v>91.246226245747806</v>
      </c>
      <c r="AN1287">
        <v>1.0000000163610501</v>
      </c>
    </row>
    <row r="1288" spans="1:40" x14ac:dyDescent="0.25">
      <c r="A1288" t="str">
        <f>"20190305134928380"</f>
        <v>20190305134928380</v>
      </c>
      <c r="B1288" t="str">
        <f>"1551764968372103"</f>
        <v>1551764968372103</v>
      </c>
      <c r="C1288" t="s">
        <v>40</v>
      </c>
      <c r="D1288">
        <v>4.3619830000000004</v>
      </c>
      <c r="E1288">
        <v>0.52569690000000002</v>
      </c>
      <c r="F1288" t="s">
        <v>41</v>
      </c>
      <c r="G1288">
        <v>-252.15989999999999</v>
      </c>
      <c r="H1288">
        <v>1.0369969999999999</v>
      </c>
      <c r="I1288">
        <v>368.20479999999998</v>
      </c>
      <c r="J1288">
        <v>-253.02080000000001</v>
      </c>
      <c r="K1288">
        <v>1.10955</v>
      </c>
      <c r="L1288">
        <v>368.2174</v>
      </c>
      <c r="M1288">
        <v>0.99986430000000004</v>
      </c>
      <c r="N1288">
        <v>-1.468972E-2</v>
      </c>
      <c r="O1288">
        <v>7.4665649999999997E-3</v>
      </c>
      <c r="P1288">
        <v>0.99009639999999999</v>
      </c>
      <c r="Q1288">
        <v>-0.13738300000000001</v>
      </c>
      <c r="R1288">
        <v>2.89009E-2</v>
      </c>
      <c r="S1288">
        <v>3.0016630000000002</v>
      </c>
      <c r="T1288">
        <v>-0.21081530000000001</v>
      </c>
      <c r="U1288">
        <v>-3.1921390000000001E-2</v>
      </c>
      <c r="V1288">
        <v>-2.153944E-2</v>
      </c>
      <c r="W1288">
        <v>-0.12281549999999999</v>
      </c>
      <c r="X1288">
        <v>0.99219570000000001</v>
      </c>
      <c r="Y1288">
        <v>1.803538E-2</v>
      </c>
      <c r="Z1288">
        <v>-1.179378E-3</v>
      </c>
      <c r="AA1288">
        <v>0.99983670000000002</v>
      </c>
      <c r="AB1288">
        <v>35</v>
      </c>
      <c r="AC1288">
        <v>0.86090000000001499</v>
      </c>
      <c r="AD1288">
        <v>-7.2553000000000006E-2</v>
      </c>
      <c r="AE1288">
        <v>-1.26000000000203E-2</v>
      </c>
      <c r="AF1288">
        <v>1.88941425723484E-2</v>
      </c>
      <c r="AG1288">
        <v>-7.2553000000000006E-2</v>
      </c>
      <c r="AH1288">
        <v>0.85471269396611005</v>
      </c>
      <c r="AI1288">
        <v>94.850789145718693</v>
      </c>
      <c r="AJ1288">
        <v>88.733634881557705</v>
      </c>
      <c r="AK1288">
        <v>0.85799458952801699</v>
      </c>
      <c r="AL1288">
        <v>97.054621446985706</v>
      </c>
      <c r="AM1288">
        <v>91.243630858493205</v>
      </c>
      <c r="AN1288">
        <v>0.999999950807125</v>
      </c>
    </row>
    <row r="1289" spans="1:40" x14ac:dyDescent="0.25">
      <c r="A1289" t="str">
        <f>"20190305134928392"</f>
        <v>20190305134928392</v>
      </c>
      <c r="B1289" t="str">
        <f>"1551764968381863"</f>
        <v>1551764968381863</v>
      </c>
      <c r="C1289" t="s">
        <v>40</v>
      </c>
      <c r="D1289">
        <v>4.2911650000000003</v>
      </c>
      <c r="E1289">
        <v>0.53568899999999997</v>
      </c>
      <c r="F1289" t="s">
        <v>42</v>
      </c>
      <c r="G1289">
        <v>-222.92850000000001</v>
      </c>
      <c r="H1289" s="1">
        <v>-3.4519590000000001E-6</v>
      </c>
      <c r="I1289">
        <v>367.15859999999998</v>
      </c>
      <c r="J1289">
        <v>-252.85169999999999</v>
      </c>
      <c r="K1289">
        <v>1.1095469999999901</v>
      </c>
      <c r="L1289">
        <v>368.21859999999998</v>
      </c>
      <c r="M1289">
        <v>0.99986470000000005</v>
      </c>
      <c r="N1289">
        <v>-1.4688E-2</v>
      </c>
      <c r="O1289">
        <v>7.4071980000000003E-3</v>
      </c>
      <c r="P1289">
        <v>0.99011300000000002</v>
      </c>
      <c r="Q1289">
        <v>-0.13728989999999999</v>
      </c>
      <c r="R1289">
        <v>2.8770710000000001E-2</v>
      </c>
      <c r="S1289">
        <v>3.0176850000000002</v>
      </c>
      <c r="T1289">
        <v>-0.11126659999999999</v>
      </c>
      <c r="U1289">
        <v>-0.10617070000000001</v>
      </c>
      <c r="V1289">
        <v>-2.146872E-2</v>
      </c>
      <c r="W1289">
        <v>-0.12272370000000001</v>
      </c>
      <c r="X1289">
        <v>0.99220870000000005</v>
      </c>
      <c r="Y1289">
        <v>4.252131E-2</v>
      </c>
      <c r="Z1289">
        <v>-1.260143E-3</v>
      </c>
      <c r="AA1289">
        <v>0.99909479999999995</v>
      </c>
      <c r="AB1289">
        <v>35</v>
      </c>
      <c r="AC1289">
        <v>29.923199999999898</v>
      </c>
      <c r="AD1289">
        <v>-1.10955045195899</v>
      </c>
      <c r="AE1289">
        <v>-1.06</v>
      </c>
      <c r="AF1289">
        <v>1.27988435580685</v>
      </c>
      <c r="AG1289">
        <v>-1.10955045195899</v>
      </c>
      <c r="AH1289">
        <v>29.873504184126102</v>
      </c>
      <c r="AI1289">
        <v>92.125132818289899</v>
      </c>
      <c r="AJ1289">
        <v>87.546750716475202</v>
      </c>
      <c r="AK1289">
        <v>29.9214882385332</v>
      </c>
      <c r="AL1289">
        <v>97.049320839457295</v>
      </c>
      <c r="AM1289">
        <v>91.239532711326902</v>
      </c>
      <c r="AN1289">
        <v>1.0000000584179001</v>
      </c>
    </row>
    <row r="1290" spans="1:40" x14ac:dyDescent="0.25">
      <c r="A1290" t="str">
        <f>"20190305134928403"</f>
        <v>20190305134928403</v>
      </c>
      <c r="B1290" t="str">
        <f>"1551764968391624"</f>
        <v>1551764968391624</v>
      </c>
      <c r="C1290" t="s">
        <v>40</v>
      </c>
      <c r="D1290">
        <v>4.2678760000000002</v>
      </c>
      <c r="E1290">
        <v>0.54242869999999999</v>
      </c>
      <c r="F1290" t="s">
        <v>42</v>
      </c>
      <c r="G1290">
        <v>-211.06720000000001</v>
      </c>
      <c r="H1290" s="1">
        <v>-4.5159820000000004E-6</v>
      </c>
      <c r="I1290">
        <v>365.6617</v>
      </c>
      <c r="J1290">
        <v>-252.67939999999999</v>
      </c>
      <c r="K1290">
        <v>1.1095410000000001</v>
      </c>
      <c r="L1290">
        <v>368.21980000000002</v>
      </c>
      <c r="M1290">
        <v>0.99986520000000001</v>
      </c>
      <c r="N1290">
        <v>-1.468619E-2</v>
      </c>
      <c r="O1290">
        <v>7.3446830000000003E-3</v>
      </c>
      <c r="P1290">
        <v>0.99007290000000003</v>
      </c>
      <c r="Q1290">
        <v>-0.13755539999999999</v>
      </c>
      <c r="R1290">
        <v>2.8884360000000001E-2</v>
      </c>
      <c r="S1290">
        <v>3.0241850000000001</v>
      </c>
      <c r="T1290">
        <v>-8.0304379999999995E-2</v>
      </c>
      <c r="U1290">
        <v>-0.18505859999999999</v>
      </c>
      <c r="V1290">
        <v>-2.1646370000000002E-2</v>
      </c>
      <c r="W1290">
        <v>-0.1229913</v>
      </c>
      <c r="X1290">
        <v>0.99217160000000004</v>
      </c>
      <c r="Y1290">
        <v>6.8370899999999998E-2</v>
      </c>
      <c r="Z1290">
        <v>-1.4965099999999999E-3</v>
      </c>
      <c r="AA1290">
        <v>0.99765879999999996</v>
      </c>
      <c r="AB1290">
        <v>35</v>
      </c>
      <c r="AC1290">
        <v>41.612199999999902</v>
      </c>
      <c r="AD1290">
        <v>-1.10954551598199</v>
      </c>
      <c r="AE1290">
        <v>-2.55810000000002</v>
      </c>
      <c r="AF1290">
        <v>2.8616654751457902</v>
      </c>
      <c r="AG1290">
        <v>-1.10954551598199</v>
      </c>
      <c r="AH1290">
        <v>41.562848387623397</v>
      </c>
      <c r="AI1290">
        <v>91.525572465279694</v>
      </c>
      <c r="AJ1290">
        <v>86.061314205858693</v>
      </c>
      <c r="AK1290">
        <v>41.6760193233021</v>
      </c>
      <c r="AL1290">
        <v>97.064770966493896</v>
      </c>
      <c r="AM1290">
        <v>91.249833111550899</v>
      </c>
      <c r="AN1290">
        <v>0.999999954528212</v>
      </c>
    </row>
    <row r="1291" spans="1:40" x14ac:dyDescent="0.25">
      <c r="A1291" t="str">
        <f>"20190305134928415"</f>
        <v>20190305134928415</v>
      </c>
      <c r="B1291" t="str">
        <f>"1551764968412120"</f>
        <v>1551764968412120</v>
      </c>
      <c r="C1291" t="s">
        <v>40</v>
      </c>
      <c r="D1291">
        <v>4.2600680000000004</v>
      </c>
      <c r="E1291">
        <v>0.55048219999999903</v>
      </c>
      <c r="F1291" t="s">
        <v>44</v>
      </c>
      <c r="G1291">
        <v>-198.92859999999999</v>
      </c>
      <c r="H1291" s="1">
        <v>-9.3380389999999994E-6</v>
      </c>
      <c r="I1291">
        <v>364.00299999999999</v>
      </c>
      <c r="J1291">
        <v>-252.4948</v>
      </c>
      <c r="K1291">
        <v>1.1095379999999999</v>
      </c>
      <c r="L1291">
        <v>368.22109999999998</v>
      </c>
      <c r="M1291">
        <v>0.99986569999999997</v>
      </c>
      <c r="N1291">
        <v>-1.4684269999999999E-2</v>
      </c>
      <c r="O1291">
        <v>7.2769289999999997E-3</v>
      </c>
      <c r="P1291">
        <v>0.99009840000000005</v>
      </c>
      <c r="Q1291">
        <v>-0.13746549999999999</v>
      </c>
      <c r="R1291">
        <v>2.843E-2</v>
      </c>
      <c r="S1291">
        <v>3.0283359999999999</v>
      </c>
      <c r="T1291">
        <v>-6.2512399999999996E-2</v>
      </c>
      <c r="U1291">
        <v>-0.23757929999999999</v>
      </c>
      <c r="V1291">
        <v>-2.12596E-2</v>
      </c>
      <c r="W1291">
        <v>-0.122903</v>
      </c>
      <c r="X1291">
        <v>0.99219100000000005</v>
      </c>
      <c r="Y1291">
        <v>8.5433999999999996E-2</v>
      </c>
      <c r="Z1291">
        <v>-1.552007E-3</v>
      </c>
      <c r="AA1291">
        <v>0.99634259999999997</v>
      </c>
      <c r="AB1291">
        <v>35</v>
      </c>
      <c r="AC1291">
        <v>53.566200000000002</v>
      </c>
      <c r="AD1291">
        <v>-1.109547338039</v>
      </c>
      <c r="AE1291">
        <v>-4.2180999999999296</v>
      </c>
      <c r="AF1291">
        <v>4.60586378210437</v>
      </c>
      <c r="AG1291">
        <v>-1.109547338039</v>
      </c>
      <c r="AH1291">
        <v>53.5112656571645</v>
      </c>
      <c r="AI1291">
        <v>91.183473844666295</v>
      </c>
      <c r="AJ1291">
        <v>85.080517356616994</v>
      </c>
      <c r="AK1291">
        <v>53.720579191835597</v>
      </c>
      <c r="AL1291">
        <v>97.059672400277407</v>
      </c>
      <c r="AM1291">
        <v>91.227484418343593</v>
      </c>
      <c r="AN1291">
        <v>1.0000000492410701</v>
      </c>
    </row>
    <row r="1292" spans="1:40" x14ac:dyDescent="0.25">
      <c r="A1292" t="str">
        <f>"20190305134928427"</f>
        <v>20190305134928427</v>
      </c>
      <c r="B1292" t="str">
        <f>"1551764968421879"</f>
        <v>1551764968421879</v>
      </c>
      <c r="C1292" t="s">
        <v>40</v>
      </c>
      <c r="D1292">
        <v>4.2359179999999999</v>
      </c>
      <c r="E1292">
        <v>0.55244499999999996</v>
      </c>
      <c r="F1292" t="s">
        <v>44</v>
      </c>
      <c r="G1292">
        <v>-177.93109999999999</v>
      </c>
      <c r="H1292">
        <v>7.9987970000000005E-2</v>
      </c>
      <c r="I1292">
        <v>360.78429999999997</v>
      </c>
      <c r="J1292">
        <v>-252.29900000000001</v>
      </c>
      <c r="K1292">
        <v>1.1095389999999901</v>
      </c>
      <c r="L1292">
        <v>368.22239999999999</v>
      </c>
      <c r="M1292">
        <v>0.99986620000000004</v>
      </c>
      <c r="N1292">
        <v>-1.4682250000000001E-2</v>
      </c>
      <c r="O1292">
        <v>7.203999E-3</v>
      </c>
      <c r="P1292">
        <v>0.99008929999999995</v>
      </c>
      <c r="Q1292">
        <v>-0.13757130000000001</v>
      </c>
      <c r="R1292">
        <v>2.8242420000000001E-2</v>
      </c>
      <c r="S1292">
        <v>3.032867</v>
      </c>
      <c r="T1292">
        <v>-4.1876789999999997E-2</v>
      </c>
      <c r="U1292">
        <v>-0.30249019999999999</v>
      </c>
      <c r="V1292">
        <v>-2.1145290000000001E-2</v>
      </c>
      <c r="W1292">
        <v>-0.1230108</v>
      </c>
      <c r="X1292">
        <v>0.99217999999999995</v>
      </c>
      <c r="Y1292">
        <v>0.10639079999999999</v>
      </c>
      <c r="Z1292">
        <v>-1.5094520000000001E-3</v>
      </c>
      <c r="AA1292">
        <v>0.99432330000000002</v>
      </c>
      <c r="AB1292">
        <v>35</v>
      </c>
      <c r="AC1292">
        <v>74.367900000000006</v>
      </c>
      <c r="AD1292">
        <v>-1.0295510299999999</v>
      </c>
      <c r="AE1292">
        <v>-7.4381000000000101</v>
      </c>
      <c r="AF1292">
        <v>7.9721982143096701</v>
      </c>
      <c r="AG1292">
        <v>-1.0295510299999999</v>
      </c>
      <c r="AH1292">
        <v>74.298281206708793</v>
      </c>
      <c r="AI1292">
        <v>90.789366101573506</v>
      </c>
      <c r="AJ1292">
        <v>83.875600754823907</v>
      </c>
      <c r="AK1292">
        <v>74.731857396713906</v>
      </c>
      <c r="AL1292">
        <v>97.065896699465497</v>
      </c>
      <c r="AM1292">
        <v>91.220899934837803</v>
      </c>
      <c r="AN1292">
        <v>0.99999996630291099</v>
      </c>
    </row>
    <row r="1293" spans="1:40" x14ac:dyDescent="0.25">
      <c r="A1293" t="str">
        <f>"20190305134928439"</f>
        <v>20190305134928439</v>
      </c>
      <c r="B1293" t="str">
        <f>"1551764968431640"</f>
        <v>1551764968431640</v>
      </c>
      <c r="C1293" t="s">
        <v>40</v>
      </c>
      <c r="D1293">
        <v>4.2253299999999996</v>
      </c>
      <c r="E1293">
        <v>0.55387280000000005</v>
      </c>
      <c r="F1293" t="s">
        <v>43</v>
      </c>
      <c r="G1293">
        <v>-155.48689999999999</v>
      </c>
      <c r="H1293">
        <v>-0.05</v>
      </c>
      <c r="I1293">
        <v>358.06209999999999</v>
      </c>
      <c r="J1293">
        <v>-252.1223</v>
      </c>
      <c r="K1293">
        <v>1.1095349999999999</v>
      </c>
      <c r="L1293">
        <v>368.22370000000001</v>
      </c>
      <c r="M1293">
        <v>0.9998669</v>
      </c>
      <c r="N1293">
        <v>-1.468042E-2</v>
      </c>
      <c r="O1293">
        <v>7.1378149999999996E-3</v>
      </c>
      <c r="P1293">
        <v>0.99011300000000002</v>
      </c>
      <c r="Q1293">
        <v>-0.13744879999999901</v>
      </c>
      <c r="R1293">
        <v>2.8003219999999999E-2</v>
      </c>
      <c r="S1293">
        <v>3.0340579999999999</v>
      </c>
      <c r="T1293">
        <v>-3.633952E-2</v>
      </c>
      <c r="U1293">
        <v>-0.31842039999999999</v>
      </c>
      <c r="V1293">
        <v>-2.0971980000000001E-2</v>
      </c>
      <c r="W1293">
        <v>-0.12288979999999999</v>
      </c>
      <c r="X1293">
        <v>0.99219869999999999</v>
      </c>
      <c r="Y1293">
        <v>0.1114547</v>
      </c>
      <c r="Z1293">
        <v>-1.4668210000000001E-3</v>
      </c>
      <c r="AA1293">
        <v>0.99376850000000005</v>
      </c>
      <c r="AB1293">
        <v>35</v>
      </c>
      <c r="AC1293">
        <v>96.635400000000004</v>
      </c>
      <c r="AD1293">
        <v>-1.159535</v>
      </c>
      <c r="AE1293">
        <v>-10.1616</v>
      </c>
      <c r="AF1293">
        <v>10.849635910692101</v>
      </c>
      <c r="AG1293">
        <v>-1.159535</v>
      </c>
      <c r="AH1293">
        <v>96.546649759460607</v>
      </c>
      <c r="AI1293">
        <v>90.683791295427</v>
      </c>
      <c r="AJ1293">
        <v>83.588165018678595</v>
      </c>
      <c r="AK1293">
        <v>97.161281900697304</v>
      </c>
      <c r="AL1293">
        <v>97.058910713941401</v>
      </c>
      <c r="AM1293">
        <v>91.210873430724405</v>
      </c>
      <c r="AN1293">
        <v>0.99999999358542502</v>
      </c>
    </row>
    <row r="1294" spans="1:40" x14ac:dyDescent="0.25">
      <c r="A1294" t="str">
        <f>"20190305134928450"</f>
        <v>20190305134928450</v>
      </c>
      <c r="B1294" t="str">
        <f>"1551764968442376"</f>
        <v>1551764968442376</v>
      </c>
      <c r="C1294" t="s">
        <v>40</v>
      </c>
      <c r="D1294">
        <v>4.2560589999999996</v>
      </c>
      <c r="E1294">
        <v>0.55485079999999998</v>
      </c>
      <c r="F1294" t="s">
        <v>45</v>
      </c>
      <c r="G1294">
        <v>-158.19499999999999</v>
      </c>
      <c r="H1294">
        <v>0.12485889999999999</v>
      </c>
      <c r="I1294">
        <v>358.00240000000002</v>
      </c>
      <c r="J1294">
        <v>-251.93819999999999</v>
      </c>
      <c r="K1294">
        <v>1.109534</v>
      </c>
      <c r="L1294">
        <v>368.22500000000002</v>
      </c>
      <c r="M1294">
        <v>0.99986739999999996</v>
      </c>
      <c r="N1294">
        <v>-1.467852E-2</v>
      </c>
      <c r="O1294">
        <v>7.0690689999999999E-3</v>
      </c>
      <c r="P1294">
        <v>0.99015699999999995</v>
      </c>
      <c r="Q1294">
        <v>-0.13715429999999901</v>
      </c>
      <c r="R1294">
        <v>2.7900100000000001E-2</v>
      </c>
      <c r="S1294">
        <v>3.034897</v>
      </c>
      <c r="T1294">
        <v>-3.1813139999999997E-2</v>
      </c>
      <c r="U1294">
        <v>-0.33026119999999998</v>
      </c>
      <c r="V1294">
        <v>-2.0937259999999999E-2</v>
      </c>
      <c r="W1294">
        <v>-0.12259639999999999</v>
      </c>
      <c r="X1294">
        <v>0.99223570000000005</v>
      </c>
      <c r="Y1294">
        <v>0.115193</v>
      </c>
      <c r="Z1294">
        <v>-1.420412E-3</v>
      </c>
      <c r="AA1294">
        <v>0.99334210000000001</v>
      </c>
      <c r="AB1294">
        <v>35</v>
      </c>
      <c r="AC1294">
        <v>93.743200000000002</v>
      </c>
      <c r="AD1294">
        <v>-0.98467510000000003</v>
      </c>
      <c r="AE1294">
        <v>-10.2226</v>
      </c>
      <c r="AF1294">
        <v>10.883906245248699</v>
      </c>
      <c r="AG1294">
        <v>-0.98467510000000003</v>
      </c>
      <c r="AH1294">
        <v>93.658372977829401</v>
      </c>
      <c r="AI1294">
        <v>90.598329430691194</v>
      </c>
      <c r="AJ1294">
        <v>83.371470475494405</v>
      </c>
      <c r="AK1294">
        <v>94.293795284006507</v>
      </c>
      <c r="AL1294">
        <v>97.041972250502894</v>
      </c>
      <c r="AM1294">
        <v>91.2088243091126</v>
      </c>
      <c r="AN1294">
        <v>0.99999996525187795</v>
      </c>
    </row>
    <row r="1295" spans="1:40" x14ac:dyDescent="0.25">
      <c r="A1295" t="str">
        <f>"20190305134928461"</f>
        <v>20190305134928461</v>
      </c>
      <c r="B1295" t="str">
        <f>"1551764968451667"</f>
        <v>1551764968451667</v>
      </c>
      <c r="C1295" t="s">
        <v>40</v>
      </c>
      <c r="D1295">
        <v>4.2057039999999999</v>
      </c>
      <c r="E1295">
        <v>0.55547080000000004</v>
      </c>
      <c r="F1295" t="s">
        <v>45</v>
      </c>
      <c r="G1295">
        <v>-158.19499999999999</v>
      </c>
      <c r="H1295">
        <v>0.22477249999999999</v>
      </c>
      <c r="I1295">
        <v>357.77190000000002</v>
      </c>
      <c r="J1295">
        <v>-251.7578</v>
      </c>
      <c r="K1295">
        <v>1.109534</v>
      </c>
      <c r="L1295">
        <v>368.22620000000001</v>
      </c>
      <c r="M1295">
        <v>0.99986799999999998</v>
      </c>
      <c r="N1295">
        <v>-1.4676639999999999E-2</v>
      </c>
      <c r="O1295">
        <v>7.0017029999999997E-3</v>
      </c>
      <c r="P1295">
        <v>0.99015799999999998</v>
      </c>
      <c r="Q1295">
        <v>-0.1372022</v>
      </c>
      <c r="R1295">
        <v>2.7625380000000001E-2</v>
      </c>
      <c r="S1295">
        <v>3.0353850000000002</v>
      </c>
      <c r="T1295">
        <v>-2.8645520000000001E-2</v>
      </c>
      <c r="U1295">
        <v>-0.33847050000000001</v>
      </c>
      <c r="V1295">
        <v>-2.0729419999999998E-2</v>
      </c>
      <c r="W1295">
        <v>-0.1226463</v>
      </c>
      <c r="X1295">
        <v>0.9922339</v>
      </c>
      <c r="Y1295">
        <v>0.1177646</v>
      </c>
      <c r="Z1295">
        <v>-1.384349E-3</v>
      </c>
      <c r="AA1295">
        <v>0.99304060000000005</v>
      </c>
      <c r="AB1295">
        <v>35</v>
      </c>
      <c r="AC1295">
        <v>93.562799999999996</v>
      </c>
      <c r="AD1295">
        <v>-0.88476149999999998</v>
      </c>
      <c r="AE1295">
        <v>-10.4542999999999</v>
      </c>
      <c r="AF1295">
        <v>11.1082319697214</v>
      </c>
      <c r="AG1295">
        <v>-0.88476149999999998</v>
      </c>
      <c r="AH1295">
        <v>93.479044263403594</v>
      </c>
      <c r="AI1295">
        <v>90.538489126710402</v>
      </c>
      <c r="AJ1295">
        <v>83.223249353452204</v>
      </c>
      <c r="AK1295">
        <v>94.140890885971501</v>
      </c>
      <c r="AL1295">
        <v>97.044853030181201</v>
      </c>
      <c r="AM1295">
        <v>91.196830229831804</v>
      </c>
      <c r="AN1295">
        <v>0.999999968033217</v>
      </c>
    </row>
    <row r="1296" spans="1:40" x14ac:dyDescent="0.25">
      <c r="A1296" t="str">
        <f>"20190305134928474"</f>
        <v>20190305134928474</v>
      </c>
      <c r="B1296" t="str">
        <f>"1551764968461427"</f>
        <v>1551764968461427</v>
      </c>
      <c r="C1296" t="s">
        <v>40</v>
      </c>
      <c r="D1296">
        <v>4.2424549999999996</v>
      </c>
      <c r="E1296">
        <v>0.55598059999999905</v>
      </c>
      <c r="F1296" t="s">
        <v>45</v>
      </c>
      <c r="G1296">
        <v>-158.19499999999999</v>
      </c>
      <c r="H1296">
        <v>0.2445021</v>
      </c>
      <c r="I1296">
        <v>357.62150000000003</v>
      </c>
      <c r="J1296">
        <v>-251.58099999999999</v>
      </c>
      <c r="K1296">
        <v>1.1095360000000001</v>
      </c>
      <c r="L1296">
        <v>368.22730000000001</v>
      </c>
      <c r="M1296">
        <v>0.99986830000000004</v>
      </c>
      <c r="N1296">
        <v>-1.467479E-2</v>
      </c>
      <c r="O1296">
        <v>6.9360079999999996E-3</v>
      </c>
      <c r="P1296">
        <v>0.99019069999999998</v>
      </c>
      <c r="Q1296">
        <v>-0.1369658</v>
      </c>
      <c r="R1296">
        <v>2.7621159999999999E-2</v>
      </c>
      <c r="S1296">
        <v>3.0355379999999998</v>
      </c>
      <c r="T1296">
        <v>-2.8062110000000001E-2</v>
      </c>
      <c r="U1296">
        <v>-0.34405520000000001</v>
      </c>
      <c r="V1296">
        <v>-2.0791069999999998E-2</v>
      </c>
      <c r="W1296">
        <v>-0.1224112</v>
      </c>
      <c r="X1296">
        <v>0.99226159999999997</v>
      </c>
      <c r="Y1296">
        <v>0.11949799999999999</v>
      </c>
      <c r="Z1296">
        <v>-1.392737E-3</v>
      </c>
      <c r="AA1296">
        <v>0.99283339999999998</v>
      </c>
      <c r="AB1296">
        <v>35</v>
      </c>
      <c r="AC1296">
        <v>93.385999999999996</v>
      </c>
      <c r="AD1296">
        <v>-0.86503390000000002</v>
      </c>
      <c r="AE1296">
        <v>-10.605799999999901</v>
      </c>
      <c r="AF1296">
        <v>11.2523874079825</v>
      </c>
      <c r="AG1296">
        <v>-0.86503390000000002</v>
      </c>
      <c r="AH1296">
        <v>93.302279661888406</v>
      </c>
      <c r="AI1296">
        <v>90.527370273834293</v>
      </c>
      <c r="AJ1296">
        <v>83.123259348565298</v>
      </c>
      <c r="AK1296">
        <v>93.982338213798002</v>
      </c>
      <c r="AL1296">
        <v>97.031280815024004</v>
      </c>
      <c r="AM1296">
        <v>91.200355103431804</v>
      </c>
      <c r="AN1296">
        <v>0.99999992665586901</v>
      </c>
    </row>
    <row r="1297" spans="1:40" x14ac:dyDescent="0.25">
      <c r="A1297" t="str">
        <f>"20190305134928485"</f>
        <v>20190305134928485</v>
      </c>
      <c r="B1297" t="str">
        <f>"1551764968481923"</f>
        <v>1551764968481923</v>
      </c>
      <c r="C1297" t="s">
        <v>40</v>
      </c>
      <c r="D1297">
        <v>4.234578</v>
      </c>
      <c r="E1297">
        <v>0.55678419999999995</v>
      </c>
      <c r="F1297" t="s">
        <v>45</v>
      </c>
      <c r="G1297">
        <v>-158.19499999999999</v>
      </c>
      <c r="H1297">
        <v>0.25699899999999998</v>
      </c>
      <c r="I1297">
        <v>357.52460000000002</v>
      </c>
      <c r="J1297">
        <v>-251.37979999999999</v>
      </c>
      <c r="K1297">
        <v>1.109537</v>
      </c>
      <c r="L1297">
        <v>368.2287</v>
      </c>
      <c r="M1297">
        <v>0.99986889999999995</v>
      </c>
      <c r="N1297">
        <v>-1.4672660000000001E-2</v>
      </c>
      <c r="O1297">
        <v>6.8613729999999996E-3</v>
      </c>
      <c r="P1297">
        <v>0.99019369999999995</v>
      </c>
      <c r="Q1297">
        <v>-0.13700960000000001</v>
      </c>
      <c r="R1297">
        <v>2.7294220000000001E-2</v>
      </c>
      <c r="S1297">
        <v>3.035568</v>
      </c>
      <c r="T1297">
        <v>-2.7709359999999999E-2</v>
      </c>
      <c r="U1297">
        <v>-0.3479004</v>
      </c>
      <c r="V1297">
        <v>-2.0538290000000001E-2</v>
      </c>
      <c r="W1297">
        <v>-0.1224571</v>
      </c>
      <c r="X1297">
        <v>0.99226130000000001</v>
      </c>
      <c r="Y1297">
        <v>0.1206643</v>
      </c>
      <c r="Z1297">
        <v>-1.39922299999999E-3</v>
      </c>
      <c r="AA1297">
        <v>0.99269240000000003</v>
      </c>
      <c r="AB1297">
        <v>35</v>
      </c>
      <c r="AC1297">
        <v>93.184799999999996</v>
      </c>
      <c r="AD1297">
        <v>-0.85253799999999902</v>
      </c>
      <c r="AE1297">
        <v>-10.704099999999899</v>
      </c>
      <c r="AF1297">
        <v>11.342355407586901</v>
      </c>
      <c r="AG1297">
        <v>-0.85253799999999902</v>
      </c>
      <c r="AH1297">
        <v>93.101461963215996</v>
      </c>
      <c r="AI1297">
        <v>90.520797262184203</v>
      </c>
      <c r="AJ1297">
        <v>83.054004896227198</v>
      </c>
      <c r="AK1297">
        <v>93.793699505465796</v>
      </c>
      <c r="AL1297">
        <v>97.033929931133997</v>
      </c>
      <c r="AM1297">
        <v>91.185765611546401</v>
      </c>
      <c r="AN1297">
        <v>1.0000000250871099</v>
      </c>
    </row>
    <row r="1298" spans="1:40" x14ac:dyDescent="0.25">
      <c r="A1298" t="str">
        <f>"20190305134928497"</f>
        <v>20190305134928497</v>
      </c>
      <c r="B1298" t="str">
        <f>"1551764968491683"</f>
        <v>1551764968491683</v>
      </c>
      <c r="C1298" t="s">
        <v>40</v>
      </c>
      <c r="D1298">
        <v>4.2164010000000003</v>
      </c>
      <c r="E1298">
        <v>0.55696210000000002</v>
      </c>
      <c r="F1298" t="s">
        <v>45</v>
      </c>
      <c r="G1298">
        <v>-158.19499999999999</v>
      </c>
      <c r="H1298">
        <v>0.22199060000000001</v>
      </c>
      <c r="I1298">
        <v>357.32490000000001</v>
      </c>
      <c r="J1298">
        <v>-251.1944</v>
      </c>
      <c r="K1298">
        <v>1.1095360000000001</v>
      </c>
      <c r="L1298">
        <v>368.22989999999999</v>
      </c>
      <c r="M1298">
        <v>0.99986929999999996</v>
      </c>
      <c r="N1298">
        <v>-1.4670799999999999E-2</v>
      </c>
      <c r="O1298">
        <v>6.7927040000000001E-3</v>
      </c>
      <c r="P1298">
        <v>0.99019869999999999</v>
      </c>
      <c r="Q1298">
        <v>-0.13696910000000001</v>
      </c>
      <c r="R1298">
        <v>2.731548E-2</v>
      </c>
      <c r="S1298">
        <v>3.0355219999999998</v>
      </c>
      <c r="T1298">
        <v>-2.8909210000000001E-2</v>
      </c>
      <c r="U1298">
        <v>-0.35519410000000001</v>
      </c>
      <c r="V1298">
        <v>-2.062781E-2</v>
      </c>
      <c r="W1298">
        <v>-0.12241829999999999</v>
      </c>
      <c r="X1298">
        <v>0.99226420000000004</v>
      </c>
      <c r="Y1298">
        <v>0.12295010000000001</v>
      </c>
      <c r="Z1298">
        <v>-1.4536799999999999E-3</v>
      </c>
      <c r="AA1298">
        <v>0.99241179999999996</v>
      </c>
      <c r="AB1298">
        <v>35</v>
      </c>
      <c r="AC1298">
        <v>92.999399999999994</v>
      </c>
      <c r="AD1298">
        <v>-0.88754539999999904</v>
      </c>
      <c r="AE1298">
        <v>-10.9049999999999</v>
      </c>
      <c r="AF1298">
        <v>11.535497355726299</v>
      </c>
      <c r="AG1298">
        <v>-0.88754539999999904</v>
      </c>
      <c r="AH1298">
        <v>92.914823708261295</v>
      </c>
      <c r="AI1298">
        <v>90.543117401240096</v>
      </c>
      <c r="AJ1298">
        <v>82.922866732547405</v>
      </c>
      <c r="AK1298">
        <v>93.632365669240201</v>
      </c>
      <c r="AL1298">
        <v>97.031690217198005</v>
      </c>
      <c r="AM1298">
        <v>91.190929029074695</v>
      </c>
      <c r="AN1298">
        <v>0.99999999466096301</v>
      </c>
    </row>
    <row r="1299" spans="1:40" x14ac:dyDescent="0.25">
      <c r="A1299" t="str">
        <f>"20190305134928509"</f>
        <v>20190305134928509</v>
      </c>
      <c r="B1299" t="str">
        <f>"1551764968501443"</f>
        <v>1551764968501443</v>
      </c>
      <c r="C1299" t="s">
        <v>40</v>
      </c>
      <c r="D1299">
        <v>4.2163979999999999</v>
      </c>
      <c r="E1299">
        <v>0.55708310000000005</v>
      </c>
      <c r="F1299" t="s">
        <v>45</v>
      </c>
      <c r="G1299">
        <v>-158.19499999999999</v>
      </c>
      <c r="H1299">
        <v>0.2170753</v>
      </c>
      <c r="I1299">
        <v>357.30099999999999</v>
      </c>
      <c r="J1299">
        <v>-251.01679999999999</v>
      </c>
      <c r="K1299">
        <v>1.1095389999999901</v>
      </c>
      <c r="L1299">
        <v>368.23099999999999</v>
      </c>
      <c r="M1299">
        <v>0.99986969999999997</v>
      </c>
      <c r="N1299">
        <v>-1.4669049999999999E-2</v>
      </c>
      <c r="O1299">
        <v>6.7266590000000003E-3</v>
      </c>
      <c r="P1299">
        <v>0.99020280000000005</v>
      </c>
      <c r="Q1299">
        <v>-0.13695460000000001</v>
      </c>
      <c r="R1299">
        <v>2.7231499999999999E-2</v>
      </c>
      <c r="S1299">
        <v>3.035507</v>
      </c>
      <c r="T1299">
        <v>-2.9127119999999999E-2</v>
      </c>
      <c r="U1299">
        <v>-0.35671999999999998</v>
      </c>
      <c r="V1299">
        <v>-2.0609869999999999E-2</v>
      </c>
      <c r="W1299">
        <v>-0.1224055</v>
      </c>
      <c r="X1299">
        <v>0.99226619999999999</v>
      </c>
      <c r="Y1299">
        <v>0.123377</v>
      </c>
      <c r="Z1299">
        <v>-1.4639989999999999E-3</v>
      </c>
      <c r="AA1299">
        <v>0.99235879999999999</v>
      </c>
      <c r="AB1299">
        <v>35</v>
      </c>
      <c r="AC1299">
        <v>92.821799999999996</v>
      </c>
      <c r="AD1299">
        <v>-0.89246369999999897</v>
      </c>
      <c r="AE1299">
        <v>-10.93</v>
      </c>
      <c r="AF1299">
        <v>11.5531470779495</v>
      </c>
      <c r="AG1299">
        <v>-0.89246369999999897</v>
      </c>
      <c r="AH1299">
        <v>92.737713379023901</v>
      </c>
      <c r="AI1299">
        <v>90.547141173195797</v>
      </c>
      <c r="AJ1299">
        <v>82.898750219066997</v>
      </c>
      <c r="AK1299">
        <v>93.458842180023495</v>
      </c>
      <c r="AL1299">
        <v>97.030950936440803</v>
      </c>
      <c r="AM1299">
        <v>91.189891178730093</v>
      </c>
      <c r="AN1299">
        <v>1.0000000424170501</v>
      </c>
    </row>
    <row r="1300" spans="1:40" x14ac:dyDescent="0.25">
      <c r="A1300" t="str">
        <f>"20190305134928520"</f>
        <v>20190305134928520</v>
      </c>
      <c r="B1300" t="str">
        <f>"1551764968512179"</f>
        <v>1551764968512179</v>
      </c>
      <c r="C1300" t="s">
        <v>40</v>
      </c>
      <c r="D1300">
        <v>4.1678169999999897</v>
      </c>
      <c r="E1300">
        <v>0.55714319999999995</v>
      </c>
      <c r="F1300" t="s">
        <v>45</v>
      </c>
      <c r="G1300">
        <v>-158.19499999999999</v>
      </c>
      <c r="H1300">
        <v>0.18882270000000001</v>
      </c>
      <c r="I1300">
        <v>357.27870000000001</v>
      </c>
      <c r="J1300">
        <v>-250.83519999999999</v>
      </c>
      <c r="K1300">
        <v>1.109537</v>
      </c>
      <c r="L1300">
        <v>368.23219999999998</v>
      </c>
      <c r="M1300">
        <v>0.99987029999999999</v>
      </c>
      <c r="N1300">
        <v>-1.466716E-2</v>
      </c>
      <c r="O1300">
        <v>6.6587699999999996E-3</v>
      </c>
      <c r="P1300">
        <v>0.99020149999999996</v>
      </c>
      <c r="Q1300">
        <v>-0.1369629</v>
      </c>
      <c r="R1300">
        <v>2.7250199999999999E-2</v>
      </c>
      <c r="S1300">
        <v>3.0353699999999999</v>
      </c>
      <c r="T1300">
        <v>-3.0105469999999999E-2</v>
      </c>
      <c r="U1300">
        <v>-0.35815429999999998</v>
      </c>
      <c r="V1300">
        <v>-2.0695950000000001E-2</v>
      </c>
      <c r="W1300">
        <v>-0.1224156</v>
      </c>
      <c r="X1300">
        <v>0.99226309999999995</v>
      </c>
      <c r="Y1300">
        <v>0.1237766</v>
      </c>
      <c r="Z1300">
        <v>-1.491147E-3</v>
      </c>
      <c r="AA1300">
        <v>0.992309</v>
      </c>
      <c r="AB1300">
        <v>35</v>
      </c>
      <c r="AC1300">
        <v>92.640199999999993</v>
      </c>
      <c r="AD1300">
        <v>-0.92071429999999999</v>
      </c>
      <c r="AE1300">
        <v>-10.953499999999901</v>
      </c>
      <c r="AF1300">
        <v>11.5690662434352</v>
      </c>
      <c r="AG1300">
        <v>-0.92071429999999999</v>
      </c>
      <c r="AH1300">
        <v>92.556184788517896</v>
      </c>
      <c r="AI1300">
        <v>90.565537678262899</v>
      </c>
      <c r="AJ1300">
        <v>82.875262110941506</v>
      </c>
      <c r="AK1300">
        <v>93.280964570342505</v>
      </c>
      <c r="AL1300">
        <v>97.031534446003107</v>
      </c>
      <c r="AM1300">
        <v>91.194863219485399</v>
      </c>
      <c r="AN1300">
        <v>0.99999998054568595</v>
      </c>
    </row>
    <row r="1301" spans="1:40" x14ac:dyDescent="0.25">
      <c r="A1301" t="str">
        <f>"20190305134928533"</f>
        <v>20190305134928533</v>
      </c>
      <c r="B1301" t="str">
        <f>"1551764968521939"</f>
        <v>1551764968521939</v>
      </c>
      <c r="C1301" t="s">
        <v>40</v>
      </c>
      <c r="D1301">
        <v>4.1995440000000004</v>
      </c>
      <c r="E1301">
        <v>0.55735089999999998</v>
      </c>
      <c r="F1301" t="s">
        <v>45</v>
      </c>
      <c r="G1301">
        <v>-158.19499999999999</v>
      </c>
      <c r="H1301">
        <v>0.1741982</v>
      </c>
      <c r="I1301">
        <v>357.2833</v>
      </c>
      <c r="J1301">
        <v>-250.64619999999999</v>
      </c>
      <c r="K1301">
        <v>1.1095360000000001</v>
      </c>
      <c r="L1301">
        <v>368.23340000000002</v>
      </c>
      <c r="M1301">
        <v>0.99987079999999995</v>
      </c>
      <c r="N1301">
        <v>-1.466515E-2</v>
      </c>
      <c r="O1301">
        <v>6.5880180000000002E-3</v>
      </c>
      <c r="P1301">
        <v>0.99018870000000003</v>
      </c>
      <c r="Q1301">
        <v>-0.13712160000000001</v>
      </c>
      <c r="R1301">
        <v>2.6909470000000001E-2</v>
      </c>
      <c r="S1301">
        <v>3.0353089999999998</v>
      </c>
      <c r="T1301">
        <v>-3.0642989999999998E-2</v>
      </c>
      <c r="U1301">
        <v>-0.3587341</v>
      </c>
      <c r="V1301">
        <v>-2.0425370000000002E-2</v>
      </c>
      <c r="W1301">
        <v>-0.12257659999999999</v>
      </c>
      <c r="X1301">
        <v>0.99224880000000004</v>
      </c>
      <c r="Y1301">
        <v>0.1238953</v>
      </c>
      <c r="Z1301">
        <v>-1.5049429999999999E-3</v>
      </c>
      <c r="AA1301">
        <v>0.99229409999999896</v>
      </c>
      <c r="AB1301">
        <v>35</v>
      </c>
      <c r="AC1301">
        <v>92.4512</v>
      </c>
      <c r="AD1301">
        <v>-0.9353378</v>
      </c>
      <c r="AE1301">
        <v>-10.950100000000001</v>
      </c>
      <c r="AF1301">
        <v>11.557831324727299</v>
      </c>
      <c r="AG1301">
        <v>-0.9353378</v>
      </c>
      <c r="AH1301">
        <v>92.367722489008202</v>
      </c>
      <c r="AI1301">
        <v>90.575682074615898</v>
      </c>
      <c r="AJ1301">
        <v>82.867736505487997</v>
      </c>
      <c r="AK1301">
        <v>93.092719798797305</v>
      </c>
      <c r="AL1301">
        <v>97.040829281705598</v>
      </c>
      <c r="AM1301">
        <v>91.179262942004897</v>
      </c>
      <c r="AN1301">
        <v>0.99999994985431695</v>
      </c>
    </row>
    <row r="1302" spans="1:40" x14ac:dyDescent="0.25">
      <c r="A1302" t="str">
        <f>"20190305134928547"</f>
        <v>20190305134928547</v>
      </c>
      <c r="B1302" t="str">
        <f>"1551764968541459"</f>
        <v>1551764968541459</v>
      </c>
      <c r="C1302" t="s">
        <v>40</v>
      </c>
      <c r="D1302">
        <v>4.2154489999999996</v>
      </c>
      <c r="E1302">
        <v>0.55766740000000004</v>
      </c>
      <c r="F1302" t="s">
        <v>45</v>
      </c>
      <c r="G1302">
        <v>-158.19499999999999</v>
      </c>
      <c r="H1302">
        <v>0.170598</v>
      </c>
      <c r="I1302">
        <v>357.22500000000002</v>
      </c>
      <c r="J1302">
        <v>-250.41460000000001</v>
      </c>
      <c r="K1302">
        <v>1.109537</v>
      </c>
      <c r="L1302">
        <v>368.23480000000001</v>
      </c>
      <c r="M1302">
        <v>0.99987139999999997</v>
      </c>
      <c r="N1302">
        <v>-1.466259E-2</v>
      </c>
      <c r="O1302">
        <v>6.4999790000000003E-3</v>
      </c>
      <c r="P1302">
        <v>0.99019069999999998</v>
      </c>
      <c r="Q1302">
        <v>-0.13713120000000001</v>
      </c>
      <c r="R1302">
        <v>2.6782469999999999E-2</v>
      </c>
      <c r="S1302">
        <v>3.0352779999999999</v>
      </c>
      <c r="T1302">
        <v>-3.0823469999999999E-2</v>
      </c>
      <c r="U1302">
        <v>-0.36141970000000001</v>
      </c>
      <c r="V1302">
        <v>-2.0386069999999999E-2</v>
      </c>
      <c r="W1302">
        <v>-0.12258860000000001</v>
      </c>
      <c r="X1302">
        <v>0.99224820000000002</v>
      </c>
      <c r="Y1302">
        <v>0.1246746</v>
      </c>
      <c r="Z1302">
        <v>-1.518957E-3</v>
      </c>
      <c r="AA1302">
        <v>0.99219650000000004</v>
      </c>
      <c r="AB1302">
        <v>35</v>
      </c>
      <c r="AC1302">
        <v>92.2196</v>
      </c>
      <c r="AD1302">
        <v>-0.93893899999999997</v>
      </c>
      <c r="AE1302">
        <v>-11.009799999999901</v>
      </c>
      <c r="AF1302">
        <v>11.607870850071199</v>
      </c>
      <c r="AG1302">
        <v>-0.93893899999999997</v>
      </c>
      <c r="AH1302">
        <v>92.136663234130793</v>
      </c>
      <c r="AI1302">
        <v>90.579286184003394</v>
      </c>
      <c r="AJ1302">
        <v>82.819401908685904</v>
      </c>
      <c r="AK1302">
        <v>92.869742026330997</v>
      </c>
      <c r="AL1302">
        <v>97.041521534209195</v>
      </c>
      <c r="AM1302">
        <v>91.176995298819307</v>
      </c>
      <c r="AN1302">
        <v>1.00000002355162</v>
      </c>
    </row>
    <row r="1303" spans="1:40" x14ac:dyDescent="0.25">
      <c r="A1303" t="str">
        <f>"20190305134928561"</f>
        <v>20190305134928561</v>
      </c>
      <c r="B1303" t="str">
        <f>"1551764968551726"</f>
        <v>1551764968551726</v>
      </c>
      <c r="C1303" t="s">
        <v>40</v>
      </c>
      <c r="D1303">
        <v>4.1835649999999998</v>
      </c>
      <c r="E1303">
        <v>0.55781480000000006</v>
      </c>
      <c r="F1303" t="s">
        <v>45</v>
      </c>
      <c r="G1303">
        <v>-158.19499999999999</v>
      </c>
      <c r="H1303">
        <v>0.18836120000000001</v>
      </c>
      <c r="I1303">
        <v>357.15969999999999</v>
      </c>
      <c r="J1303">
        <v>-250.20529999999999</v>
      </c>
      <c r="K1303">
        <v>1.1095349999999999</v>
      </c>
      <c r="L1303">
        <v>368.23610000000002</v>
      </c>
      <c r="M1303">
        <v>0.99987199999999998</v>
      </c>
      <c r="N1303">
        <v>-1.466022E-2</v>
      </c>
      <c r="O1303">
        <v>6.4189679999999997E-3</v>
      </c>
      <c r="P1303">
        <v>0.99023969999999994</v>
      </c>
      <c r="Q1303">
        <v>-0.136855</v>
      </c>
      <c r="R1303">
        <v>2.6387259999999999E-2</v>
      </c>
      <c r="S1303">
        <v>3.0353699999999999</v>
      </c>
      <c r="T1303">
        <v>-3.0317190000000001E-2</v>
      </c>
      <c r="U1303">
        <v>-0.36453249999999998</v>
      </c>
      <c r="V1303">
        <v>-2.0071169999999999E-2</v>
      </c>
      <c r="W1303">
        <v>-0.1223142</v>
      </c>
      <c r="X1303">
        <v>0.99228850000000002</v>
      </c>
      <c r="Y1303">
        <v>0.12559409999999999</v>
      </c>
      <c r="Z1303">
        <v>-1.519098E-3</v>
      </c>
      <c r="AA1303">
        <v>0.99208059999999998</v>
      </c>
      <c r="AB1303">
        <v>35</v>
      </c>
      <c r="AC1303">
        <v>92.010300000000001</v>
      </c>
      <c r="AD1303">
        <v>-0.92117380000000004</v>
      </c>
      <c r="AE1303">
        <v>-11.0764</v>
      </c>
      <c r="AF1303">
        <v>11.665693781658801</v>
      </c>
      <c r="AG1303">
        <v>-0.92117380000000004</v>
      </c>
      <c r="AH1303">
        <v>91.928214715538203</v>
      </c>
      <c r="AI1303">
        <v>90.569550292723605</v>
      </c>
      <c r="AJ1303">
        <v>82.767819608942204</v>
      </c>
      <c r="AK1303">
        <v>92.670025538808005</v>
      </c>
      <c r="AL1303">
        <v>97.025680234659205</v>
      </c>
      <c r="AM1303">
        <v>91.158772407604403</v>
      </c>
      <c r="AN1303">
        <v>1.00000004130952</v>
      </c>
    </row>
    <row r="1304" spans="1:40" x14ac:dyDescent="0.25">
      <c r="A1304" t="str">
        <f>"20190305134928573"</f>
        <v>20190305134928573</v>
      </c>
      <c r="B1304" t="str">
        <f>"1551764968561487"</f>
        <v>1551764968561487</v>
      </c>
      <c r="C1304" t="s">
        <v>40</v>
      </c>
      <c r="D1304">
        <v>4.2184280000000003</v>
      </c>
      <c r="E1304">
        <v>0.55796650000000003</v>
      </c>
      <c r="F1304" t="s">
        <v>45</v>
      </c>
      <c r="G1304">
        <v>-158.19499999999999</v>
      </c>
      <c r="H1304">
        <v>0.2310934</v>
      </c>
      <c r="I1304">
        <v>357.12029999999999</v>
      </c>
      <c r="J1304">
        <v>-250.0265</v>
      </c>
      <c r="K1304">
        <v>1.109524</v>
      </c>
      <c r="L1304">
        <v>368.23719999999997</v>
      </c>
      <c r="M1304">
        <v>0.99987250000000005</v>
      </c>
      <c r="N1304">
        <v>-1.46582E-2</v>
      </c>
      <c r="O1304">
        <v>6.3490450000000002E-3</v>
      </c>
      <c r="P1304">
        <v>0.99021360000000003</v>
      </c>
      <c r="Q1304">
        <v>-0.13712849999999999</v>
      </c>
      <c r="R1304">
        <v>2.5945639999999999E-2</v>
      </c>
      <c r="S1304">
        <v>3.0353240000000001</v>
      </c>
      <c r="T1304">
        <v>-2.8975959999999999E-2</v>
      </c>
      <c r="U1304">
        <v>-0.3666992</v>
      </c>
      <c r="V1304">
        <v>-1.9699540000000001E-2</v>
      </c>
      <c r="W1304">
        <v>-0.12259009999999999</v>
      </c>
      <c r="X1304">
        <v>0.99226179999999997</v>
      </c>
      <c r="Y1304">
        <v>0.12622539999999999</v>
      </c>
      <c r="Z1304">
        <v>-1.4965340000000001E-3</v>
      </c>
      <c r="AA1304">
        <v>0.99200049999999995</v>
      </c>
      <c r="AB1304">
        <v>35</v>
      </c>
      <c r="AC1304">
        <v>91.831500000000005</v>
      </c>
      <c r="AD1304">
        <v>-0.87843059999999995</v>
      </c>
      <c r="AE1304">
        <v>-11.1168999999999</v>
      </c>
      <c r="AF1304">
        <v>11.6987258060066</v>
      </c>
      <c r="AG1304">
        <v>-0.87843059999999995</v>
      </c>
      <c r="AH1304">
        <v>91.750785285324497</v>
      </c>
      <c r="AI1304">
        <v>90.544133330864796</v>
      </c>
      <c r="AJ1304">
        <v>82.733683892742505</v>
      </c>
      <c r="AK1304">
        <v>92.497775250418201</v>
      </c>
      <c r="AL1304">
        <v>97.041608707371907</v>
      </c>
      <c r="AM1304">
        <v>91.137353311016298</v>
      </c>
      <c r="AN1304">
        <v>0.99999994211672905</v>
      </c>
    </row>
    <row r="1305" spans="1:40" x14ac:dyDescent="0.25">
      <c r="A1305" t="str">
        <f>"20190305134928583"</f>
        <v>20190305134928583</v>
      </c>
      <c r="B1305" t="str">
        <f>"1551764968572223"</f>
        <v>1551764968572223</v>
      </c>
      <c r="C1305" t="s">
        <v>40</v>
      </c>
      <c r="D1305">
        <v>4.1775010000000004</v>
      </c>
      <c r="E1305">
        <v>0.55809940000000002</v>
      </c>
      <c r="F1305" t="s">
        <v>45</v>
      </c>
      <c r="G1305">
        <v>-158.19499999999999</v>
      </c>
      <c r="H1305">
        <v>0.22290989999999999</v>
      </c>
      <c r="I1305">
        <v>357.06610000000001</v>
      </c>
      <c r="J1305">
        <v>-249.86109999999999</v>
      </c>
      <c r="K1305">
        <v>1.1095219999999999</v>
      </c>
      <c r="L1305">
        <v>368.23820000000001</v>
      </c>
      <c r="M1305">
        <v>0.99987289999999995</v>
      </c>
      <c r="N1305">
        <v>-1.465634E-2</v>
      </c>
      <c r="O1305">
        <v>6.2837140000000001E-3</v>
      </c>
      <c r="P1305">
        <v>0.9902126</v>
      </c>
      <c r="Q1305">
        <v>-0.13714289999999901</v>
      </c>
      <c r="R1305">
        <v>2.5899129999999999E-2</v>
      </c>
      <c r="S1305">
        <v>3.035263</v>
      </c>
      <c r="T1305">
        <v>-2.9301879999999999E-2</v>
      </c>
      <c r="U1305">
        <v>-0.36923220000000001</v>
      </c>
      <c r="V1305">
        <v>-1.9717950000000001E-2</v>
      </c>
      <c r="W1305">
        <v>-0.1226064</v>
      </c>
      <c r="X1305">
        <v>0.99225949999999996</v>
      </c>
      <c r="Y1305">
        <v>0.12697839999999999</v>
      </c>
      <c r="Z1305">
        <v>-1.513377E-3</v>
      </c>
      <c r="AA1305">
        <v>0.99190429999999996</v>
      </c>
      <c r="AB1305">
        <v>35</v>
      </c>
      <c r="AC1305">
        <v>91.6661</v>
      </c>
      <c r="AD1305">
        <v>-0.88661209999999901</v>
      </c>
      <c r="AE1305">
        <v>-11.1721</v>
      </c>
      <c r="AF1305">
        <v>11.746861935241901</v>
      </c>
      <c r="AG1305">
        <v>-0.88661209999999901</v>
      </c>
      <c r="AH1305">
        <v>91.585637507326695</v>
      </c>
      <c r="AI1305">
        <v>90.550138919484596</v>
      </c>
      <c r="AJ1305">
        <v>82.6910932016564</v>
      </c>
      <c r="AK1305">
        <v>92.340152934489794</v>
      </c>
      <c r="AL1305">
        <v>97.042549168219097</v>
      </c>
      <c r="AM1305">
        <v>91.138418571209101</v>
      </c>
      <c r="AN1305">
        <v>1.0000000211066999</v>
      </c>
    </row>
    <row r="1306" spans="1:40" x14ac:dyDescent="0.25">
      <c r="A1306" t="str">
        <f>"20190305134928594"</f>
        <v>20190305134928594</v>
      </c>
      <c r="B1306" t="str">
        <f>"1551764968591743"</f>
        <v>1551764968591743</v>
      </c>
      <c r="C1306" t="s">
        <v>40</v>
      </c>
      <c r="D1306">
        <v>4.1739699999999997</v>
      </c>
      <c r="E1306">
        <v>0.55833440000000001</v>
      </c>
      <c r="F1306" t="s">
        <v>45</v>
      </c>
      <c r="G1306">
        <v>-158.19499999999999</v>
      </c>
      <c r="H1306">
        <v>0.24547289999999999</v>
      </c>
      <c r="I1306">
        <v>357.04610000000002</v>
      </c>
      <c r="J1306">
        <v>-249.69460000000001</v>
      </c>
      <c r="K1306">
        <v>1.109518</v>
      </c>
      <c r="L1306">
        <v>368.23919999999998</v>
      </c>
      <c r="M1306">
        <v>0.99987329999999996</v>
      </c>
      <c r="N1306">
        <v>-1.4654469999999999E-2</v>
      </c>
      <c r="O1306">
        <v>6.2173100000000002E-3</v>
      </c>
      <c r="P1306">
        <v>0.99020839999999999</v>
      </c>
      <c r="Q1306">
        <v>-0.13725419999999999</v>
      </c>
      <c r="R1306">
        <v>2.5473309999999999E-2</v>
      </c>
      <c r="S1306">
        <v>3.035355</v>
      </c>
      <c r="T1306">
        <v>-2.8608439999999999E-2</v>
      </c>
      <c r="U1306">
        <v>-0.37060549999999998</v>
      </c>
      <c r="V1306">
        <v>-1.935856E-2</v>
      </c>
      <c r="W1306">
        <v>-0.1227197</v>
      </c>
      <c r="X1306">
        <v>0.99225249999999998</v>
      </c>
      <c r="Y1306">
        <v>0.12735160000000001</v>
      </c>
      <c r="Z1306">
        <v>-1.502219E-3</v>
      </c>
      <c r="AA1306">
        <v>0.99185650000000003</v>
      </c>
      <c r="AB1306">
        <v>35</v>
      </c>
      <c r="AC1306">
        <v>91.499600000000001</v>
      </c>
      <c r="AD1306">
        <v>-0.86404509999999901</v>
      </c>
      <c r="AE1306">
        <v>-11.1930999999999</v>
      </c>
      <c r="AF1306">
        <v>11.760792797578301</v>
      </c>
      <c r="AG1306">
        <v>-0.86404509999999901</v>
      </c>
      <c r="AH1306">
        <v>91.420200663902506</v>
      </c>
      <c r="AI1306">
        <v>90.537081082220595</v>
      </c>
      <c r="AJ1306">
        <v>82.669421266072803</v>
      </c>
      <c r="AK1306">
        <v>92.177632376789802</v>
      </c>
      <c r="AL1306">
        <v>97.049090670524507</v>
      </c>
      <c r="AM1306">
        <v>91.117682334894496</v>
      </c>
      <c r="AN1306">
        <v>0.999999951184805</v>
      </c>
    </row>
    <row r="1307" spans="1:40" x14ac:dyDescent="0.25">
      <c r="A1307" t="str">
        <f>"20190305134928604"</f>
        <v>20190305134928604</v>
      </c>
      <c r="B1307" t="str">
        <f>"1551764968591743"</f>
        <v>1551764968591743</v>
      </c>
      <c r="C1307" t="s">
        <v>40</v>
      </c>
      <c r="D1307">
        <v>4.1739699999999997</v>
      </c>
      <c r="E1307">
        <v>0.55833440000000001</v>
      </c>
      <c r="F1307" t="s">
        <v>45</v>
      </c>
      <c r="G1307">
        <v>-158.19499999999999</v>
      </c>
      <c r="H1307">
        <v>0.2875509</v>
      </c>
      <c r="I1307">
        <v>356.9742</v>
      </c>
      <c r="J1307">
        <v>-249.5419</v>
      </c>
      <c r="K1307">
        <v>1.109523</v>
      </c>
      <c r="L1307">
        <v>368.24009999999998</v>
      </c>
      <c r="M1307">
        <v>0.99987369999999998</v>
      </c>
      <c r="N1307">
        <v>-1.4652750000000001E-2</v>
      </c>
      <c r="O1307">
        <v>6.1559709999999997E-3</v>
      </c>
      <c r="P1307">
        <v>0.99020810000000004</v>
      </c>
      <c r="Q1307">
        <v>-0.1372968</v>
      </c>
      <c r="R1307">
        <v>2.524916E-2</v>
      </c>
      <c r="S1307">
        <v>3.0355219999999998</v>
      </c>
      <c r="T1307">
        <v>-2.726603E-2</v>
      </c>
      <c r="U1307">
        <v>-0.3737183</v>
      </c>
      <c r="V1307">
        <v>-1.9195690000000001E-2</v>
      </c>
      <c r="W1307">
        <v>-0.1227641</v>
      </c>
      <c r="X1307">
        <v>0.99225019999999997</v>
      </c>
      <c r="Y1307">
        <v>0.12828699999999901</v>
      </c>
      <c r="Z1307">
        <v>-1.4827219999999999E-3</v>
      </c>
      <c r="AA1307">
        <v>0.99173599999999995</v>
      </c>
      <c r="AB1307">
        <v>35</v>
      </c>
      <c r="AC1307">
        <v>91.346900000000005</v>
      </c>
      <c r="AD1307">
        <v>-0.82197209999999998</v>
      </c>
      <c r="AE1307">
        <v>-11.265899999999901</v>
      </c>
      <c r="AF1307">
        <v>11.8271324256059</v>
      </c>
      <c r="AG1307">
        <v>-0.82197209999999998</v>
      </c>
      <c r="AH1307">
        <v>91.268529441340505</v>
      </c>
      <c r="AI1307">
        <v>90.511718277596401</v>
      </c>
      <c r="AJ1307">
        <v>82.616409929837403</v>
      </c>
      <c r="AK1307">
        <v>92.035325641466699</v>
      </c>
      <c r="AL1307">
        <v>97.051653787725797</v>
      </c>
      <c r="AM1307">
        <v>91.108283825560704</v>
      </c>
      <c r="AN1307">
        <v>0.99999997908171201</v>
      </c>
    </row>
    <row r="1308" spans="1:40" x14ac:dyDescent="0.25">
      <c r="A1308" t="str">
        <f>"20190305134928614"</f>
        <v>20190305134928614</v>
      </c>
      <c r="B1308" t="str">
        <f>"1551764968612239"</f>
        <v>1551764968612239</v>
      </c>
      <c r="C1308" t="s">
        <v>40</v>
      </c>
      <c r="D1308">
        <v>4.1593980000000004</v>
      </c>
      <c r="E1308">
        <v>0.55855149999999998</v>
      </c>
      <c r="F1308" t="s">
        <v>45</v>
      </c>
      <c r="G1308">
        <v>-158.19499999999999</v>
      </c>
      <c r="H1308">
        <v>0.28406239999999999</v>
      </c>
      <c r="I1308">
        <v>356.9751</v>
      </c>
      <c r="J1308">
        <v>-249.38839999999999</v>
      </c>
      <c r="K1308">
        <v>1.109523</v>
      </c>
      <c r="L1308">
        <v>368.24090000000001</v>
      </c>
      <c r="M1308">
        <v>0.99987420000000005</v>
      </c>
      <c r="N1308">
        <v>-1.4651030000000001E-2</v>
      </c>
      <c r="O1308">
        <v>6.0934379999999996E-3</v>
      </c>
      <c r="P1308">
        <v>0.9902301</v>
      </c>
      <c r="Q1308">
        <v>-0.1371926</v>
      </c>
      <c r="R1308">
        <v>2.495002E-2</v>
      </c>
      <c r="S1308">
        <v>3.0354160000000001</v>
      </c>
      <c r="T1308">
        <v>-2.7426720000000002E-2</v>
      </c>
      <c r="U1308">
        <v>-0.37432860000000001</v>
      </c>
      <c r="V1308">
        <v>-1.895842E-2</v>
      </c>
      <c r="W1308">
        <v>-0.1226613</v>
      </c>
      <c r="X1308">
        <v>0.99226749999999997</v>
      </c>
      <c r="Y1308">
        <v>0.1284254</v>
      </c>
      <c r="Z1308">
        <v>-1.48834799999999E-3</v>
      </c>
      <c r="AA1308">
        <v>0.99171810000000005</v>
      </c>
      <c r="AB1308">
        <v>35</v>
      </c>
      <c r="AC1308">
        <v>91.193399999999997</v>
      </c>
      <c r="AD1308">
        <v>-0.82546059999999999</v>
      </c>
      <c r="AE1308">
        <v>-11.2658</v>
      </c>
      <c r="AF1308">
        <v>11.820377790101199</v>
      </c>
      <c r="AG1308">
        <v>-0.82546059999999999</v>
      </c>
      <c r="AH1308">
        <v>91.115698519223599</v>
      </c>
      <c r="AI1308">
        <v>90.514742440315402</v>
      </c>
      <c r="AJ1308">
        <v>82.6083393660399</v>
      </c>
      <c r="AK1308">
        <v>91.882932217844001</v>
      </c>
      <c r="AL1308">
        <v>97.045718751575293</v>
      </c>
      <c r="AM1308">
        <v>91.094569061156506</v>
      </c>
      <c r="AN1308">
        <v>1.0000000038814101</v>
      </c>
    </row>
    <row r="1309" spans="1:40" x14ac:dyDescent="0.25">
      <c r="A1309" t="str">
        <f>"20190305134928625"</f>
        <v>20190305134928625</v>
      </c>
      <c r="B1309" t="str">
        <f>"1551764968621998"</f>
        <v>1551764968621998</v>
      </c>
      <c r="C1309" t="s">
        <v>40</v>
      </c>
      <c r="D1309">
        <v>4.1356760000000001</v>
      </c>
      <c r="E1309">
        <v>0.55864230000000004</v>
      </c>
      <c r="F1309" t="s">
        <v>45</v>
      </c>
      <c r="G1309">
        <v>-158.19499999999999</v>
      </c>
      <c r="H1309">
        <v>0.31183909999999998</v>
      </c>
      <c r="I1309">
        <v>356.9051</v>
      </c>
      <c r="J1309">
        <v>-249.21250000000001</v>
      </c>
      <c r="K1309">
        <v>1.109523</v>
      </c>
      <c r="L1309">
        <v>368.24189999999999</v>
      </c>
      <c r="M1309">
        <v>0.99987470000000001</v>
      </c>
      <c r="N1309">
        <v>-1.464905E-2</v>
      </c>
      <c r="O1309">
        <v>6.0210059999999998E-3</v>
      </c>
      <c r="P1309">
        <v>0.99028640000000001</v>
      </c>
      <c r="Q1309">
        <v>-0.13682</v>
      </c>
      <c r="R1309">
        <v>2.477234E-2</v>
      </c>
      <c r="S1309">
        <v>3.035431</v>
      </c>
      <c r="T1309">
        <v>-2.6548499999999999E-2</v>
      </c>
      <c r="U1309">
        <v>-0.37731930000000002</v>
      </c>
      <c r="V1309">
        <v>-1.8852830000000001E-2</v>
      </c>
      <c r="W1309">
        <v>-0.12228990000000001</v>
      </c>
      <c r="X1309">
        <v>0.99231539999999996</v>
      </c>
      <c r="Y1309">
        <v>0.12931580000000001</v>
      </c>
      <c r="Z1309">
        <v>-1.4788410000000001E-3</v>
      </c>
      <c r="AA1309">
        <v>0.99160239999999999</v>
      </c>
      <c r="AB1309">
        <v>35</v>
      </c>
      <c r="AC1309">
        <v>91.017499999999998</v>
      </c>
      <c r="AD1309">
        <v>-0.7976839</v>
      </c>
      <c r="AE1309">
        <v>-11.336799999999901</v>
      </c>
      <c r="AF1309">
        <v>11.883771276838001</v>
      </c>
      <c r="AG1309">
        <v>-0.7976839</v>
      </c>
      <c r="AH1309">
        <v>90.940705219869201</v>
      </c>
      <c r="AI1309">
        <v>90.498318991401902</v>
      </c>
      <c r="AJ1309">
        <v>82.555000632418299</v>
      </c>
      <c r="AK1309">
        <v>91.717349423387006</v>
      </c>
      <c r="AL1309">
        <v>97.024277348091005</v>
      </c>
      <c r="AM1309">
        <v>91.088421738163106</v>
      </c>
      <c r="AN1309">
        <v>1.0000000509590801</v>
      </c>
    </row>
    <row r="1310" spans="1:40" x14ac:dyDescent="0.25">
      <c r="A1310" t="str">
        <f>"20190305134928637"</f>
        <v>20190305134928637</v>
      </c>
      <c r="B1310" t="str">
        <f>"1551764968631758"</f>
        <v>1551764968631758</v>
      </c>
      <c r="C1310" t="s">
        <v>40</v>
      </c>
      <c r="D1310">
        <v>4.1362920000000001</v>
      </c>
      <c r="E1310">
        <v>0.55873149999999905</v>
      </c>
      <c r="F1310" t="s">
        <v>45</v>
      </c>
      <c r="G1310">
        <v>-158.19499999999999</v>
      </c>
      <c r="H1310">
        <v>0.33054260000000002</v>
      </c>
      <c r="I1310">
        <v>356.89100000000002</v>
      </c>
      <c r="J1310">
        <v>-249.0291</v>
      </c>
      <c r="K1310">
        <v>1.109518</v>
      </c>
      <c r="L1310">
        <v>368.24299999999999</v>
      </c>
      <c r="M1310">
        <v>0.99987519999999996</v>
      </c>
      <c r="N1310">
        <v>-1.464697E-2</v>
      </c>
      <c r="O1310">
        <v>5.9431429999999997E-3</v>
      </c>
      <c r="P1310">
        <v>0.99032719999999996</v>
      </c>
      <c r="Q1310">
        <v>-0.13656399999999999</v>
      </c>
      <c r="R1310">
        <v>2.4543599999999999E-2</v>
      </c>
      <c r="S1310">
        <v>3.0353089999999998</v>
      </c>
      <c r="T1310">
        <v>-2.597499E-2</v>
      </c>
      <c r="U1310">
        <v>-0.37853999999999999</v>
      </c>
      <c r="V1310">
        <v>-1.8701530000000001E-2</v>
      </c>
      <c r="W1310">
        <v>-0.1220354</v>
      </c>
      <c r="X1310">
        <v>0.99234960000000005</v>
      </c>
      <c r="Y1310">
        <v>0.12963649999999999</v>
      </c>
      <c r="Z1310">
        <v>-1.4696469999999999E-3</v>
      </c>
      <c r="AA1310">
        <v>0.99156049999999996</v>
      </c>
      <c r="AB1310">
        <v>35</v>
      </c>
      <c r="AC1310">
        <v>90.834100000000007</v>
      </c>
      <c r="AD1310">
        <v>-0.77897539999999998</v>
      </c>
      <c r="AE1310">
        <v>-11.352</v>
      </c>
      <c r="AF1310">
        <v>11.8908363065642</v>
      </c>
      <c r="AG1310">
        <v>-0.77897539999999998</v>
      </c>
      <c r="AH1310">
        <v>90.758449552656401</v>
      </c>
      <c r="AI1310">
        <v>90.487588059003897</v>
      </c>
      <c r="AJ1310">
        <v>82.535833323345003</v>
      </c>
      <c r="AK1310">
        <v>91.537396488786996</v>
      </c>
      <c r="AL1310">
        <v>97.009585487588197</v>
      </c>
      <c r="AM1310">
        <v>91.079651679899797</v>
      </c>
      <c r="AN1310">
        <v>1.0000000573488199</v>
      </c>
    </row>
    <row r="1311" spans="1:40" x14ac:dyDescent="0.25">
      <c r="A1311" t="str">
        <f>"20190305134928648"</f>
        <v>20190305134928648</v>
      </c>
      <c r="B1311" t="str">
        <f>"1551764968641519"</f>
        <v>1551764968641519</v>
      </c>
      <c r="C1311" t="s">
        <v>40</v>
      </c>
      <c r="D1311">
        <v>4.1289009999999999</v>
      </c>
      <c r="E1311">
        <v>0.55884409999999995</v>
      </c>
      <c r="F1311" t="s">
        <v>45</v>
      </c>
      <c r="G1311">
        <v>-158.19499999999999</v>
      </c>
      <c r="H1311">
        <v>0.34381679999999998</v>
      </c>
      <c r="I1311">
        <v>356.87139999999999</v>
      </c>
      <c r="J1311">
        <v>-248.8458</v>
      </c>
      <c r="K1311">
        <v>1.1095170000000001</v>
      </c>
      <c r="L1311">
        <v>368.24400000000003</v>
      </c>
      <c r="M1311">
        <v>0.99987570000000003</v>
      </c>
      <c r="N1311">
        <v>-1.4644890000000001E-2</v>
      </c>
      <c r="O1311">
        <v>5.8641450000000003E-3</v>
      </c>
      <c r="P1311">
        <v>0.99040240000000002</v>
      </c>
      <c r="Q1311">
        <v>-0.13603959999999901</v>
      </c>
      <c r="R1311">
        <v>2.4427600000000001E-2</v>
      </c>
      <c r="S1311">
        <v>3.0351720000000002</v>
      </c>
      <c r="T1311">
        <v>-2.5582549999999999E-2</v>
      </c>
      <c r="U1311">
        <v>-0.37997439999999999</v>
      </c>
      <c r="V1311">
        <v>-1.866346E-2</v>
      </c>
      <c r="W1311">
        <v>-0.12151190000000001</v>
      </c>
      <c r="X1311">
        <v>0.99241449999999998</v>
      </c>
      <c r="Y1311">
        <v>0.13002529999999901</v>
      </c>
      <c r="Z1311">
        <v>-1.4654290000000001E-3</v>
      </c>
      <c r="AA1311">
        <v>0.99150959999999999</v>
      </c>
      <c r="AB1311">
        <v>35</v>
      </c>
      <c r="AC1311">
        <v>90.650800000000004</v>
      </c>
      <c r="AD1311">
        <v>-0.76570020000000005</v>
      </c>
      <c r="AE1311">
        <v>-11.3726</v>
      </c>
      <c r="AF1311">
        <v>11.9032146953219</v>
      </c>
      <c r="AG1311">
        <v>-0.76570020000000005</v>
      </c>
      <c r="AH1311">
        <v>90.576181092269294</v>
      </c>
      <c r="AI1311">
        <v>90.480218657749603</v>
      </c>
      <c r="AJ1311">
        <v>82.513285487796793</v>
      </c>
      <c r="AK1311">
        <v>91.358181889411398</v>
      </c>
      <c r="AL1311">
        <v>96.979366633570095</v>
      </c>
      <c r="AM1311">
        <v>91.077383947623801</v>
      </c>
      <c r="AN1311">
        <v>1.0000000031955101</v>
      </c>
    </row>
    <row r="1312" spans="1:40" x14ac:dyDescent="0.25">
      <c r="A1312" t="str">
        <f>"20190305134928660"</f>
        <v>20190305134928660</v>
      </c>
      <c r="B1312" t="str">
        <f>"1551764968652254"</f>
        <v>1551764968652254</v>
      </c>
      <c r="C1312" t="s">
        <v>40</v>
      </c>
      <c r="D1312">
        <v>4.1593239999999998</v>
      </c>
      <c r="E1312">
        <v>0.55890640000000003</v>
      </c>
      <c r="F1312" t="s">
        <v>45</v>
      </c>
      <c r="G1312">
        <v>-158.19499999999999</v>
      </c>
      <c r="H1312">
        <v>0.39688210000000002</v>
      </c>
      <c r="I1312">
        <v>356.85989999999998</v>
      </c>
      <c r="J1312">
        <v>-248.6832</v>
      </c>
      <c r="K1312">
        <v>1.1095200000000001</v>
      </c>
      <c r="L1312">
        <v>368.24489999999997</v>
      </c>
      <c r="M1312">
        <v>0.99987599999999999</v>
      </c>
      <c r="N1312">
        <v>-1.4643059999999999E-2</v>
      </c>
      <c r="O1312">
        <v>5.7899580000000004E-3</v>
      </c>
      <c r="P1312">
        <v>0.99040790000000001</v>
      </c>
      <c r="Q1312">
        <v>-0.1360246</v>
      </c>
      <c r="R1312">
        <v>2.4280699999999999E-2</v>
      </c>
      <c r="S1312">
        <v>3.0351870000000001</v>
      </c>
      <c r="T1312">
        <v>-2.3857590000000001E-2</v>
      </c>
      <c r="U1312">
        <v>-0.38116460000000002</v>
      </c>
      <c r="V1312">
        <v>-1.8591090000000001E-2</v>
      </c>
      <c r="W1312">
        <v>-0.1214986</v>
      </c>
      <c r="X1312">
        <v>0.99241749999999995</v>
      </c>
      <c r="Y1312">
        <v>0.13033499999999901</v>
      </c>
      <c r="Z1312">
        <v>-1.429191E-3</v>
      </c>
      <c r="AA1312">
        <v>0.99146900000000004</v>
      </c>
      <c r="AB1312">
        <v>35</v>
      </c>
      <c r="AC1312">
        <v>90.488200000000006</v>
      </c>
      <c r="AD1312">
        <v>-0.71263789999999905</v>
      </c>
      <c r="AE1312">
        <v>-11.3849999999999</v>
      </c>
      <c r="AF1312">
        <v>11.908061125179</v>
      </c>
      <c r="AG1312">
        <v>-0.71263789999999905</v>
      </c>
      <c r="AH1312">
        <v>90.415236724468798</v>
      </c>
      <c r="AI1312">
        <v>90.447720260457004</v>
      </c>
      <c r="AJ1312">
        <v>82.497091457402504</v>
      </c>
      <c r="AK1312">
        <v>91.198820192364593</v>
      </c>
      <c r="AL1312">
        <v>96.978598819108697</v>
      </c>
      <c r="AM1312">
        <v>91.073203986402703</v>
      </c>
      <c r="AN1312">
        <v>1.00000001636779</v>
      </c>
    </row>
    <row r="1313" spans="1:40" x14ac:dyDescent="0.25">
      <c r="A1313" t="str">
        <f>"20190305134928671"</f>
        <v>20190305134928671</v>
      </c>
      <c r="B1313" t="str">
        <f>"1551764968662015"</f>
        <v>1551764968662015</v>
      </c>
      <c r="C1313" t="s">
        <v>40</v>
      </c>
      <c r="D1313">
        <v>4.088813</v>
      </c>
      <c r="E1313">
        <v>0.55893680000000001</v>
      </c>
      <c r="F1313" t="s">
        <v>45</v>
      </c>
      <c r="G1313">
        <v>-158.19499999999999</v>
      </c>
      <c r="H1313">
        <v>0.40030670000000002</v>
      </c>
      <c r="I1313">
        <v>356.85840000000002</v>
      </c>
      <c r="J1313">
        <v>-248.49799999999999</v>
      </c>
      <c r="K1313">
        <v>1.109524</v>
      </c>
      <c r="L1313">
        <v>368.24590000000001</v>
      </c>
      <c r="M1313">
        <v>0.99987669999999995</v>
      </c>
      <c r="N1313">
        <v>-1.464099E-2</v>
      </c>
      <c r="O1313">
        <v>5.7040199999999998E-3</v>
      </c>
      <c r="P1313">
        <v>0.99043789999999998</v>
      </c>
      <c r="Q1313">
        <v>-0.1358115</v>
      </c>
      <c r="R1313">
        <v>2.4258410000000001E-2</v>
      </c>
      <c r="S1313">
        <v>3.0351560000000002</v>
      </c>
      <c r="T1313">
        <v>-2.378547E-2</v>
      </c>
      <c r="U1313">
        <v>-0.38192749999999998</v>
      </c>
      <c r="V1313">
        <v>-1.865499E-2</v>
      </c>
      <c r="W1313">
        <v>-0.12128700000000001</v>
      </c>
      <c r="X1313">
        <v>0.99244219999999905</v>
      </c>
      <c r="Y1313">
        <v>0.13049630000000001</v>
      </c>
      <c r="Z1313">
        <v>-1.429799E-3</v>
      </c>
      <c r="AA1313">
        <v>0.99144770000000004</v>
      </c>
      <c r="AB1313">
        <v>35</v>
      </c>
      <c r="AC1313">
        <v>90.302999999999997</v>
      </c>
      <c r="AD1313">
        <v>-0.70921729999999905</v>
      </c>
      <c r="AE1313">
        <v>-11.3874999999999</v>
      </c>
      <c r="AF1313">
        <v>11.901737337299799</v>
      </c>
      <c r="AG1313">
        <v>-0.70921729999999905</v>
      </c>
      <c r="AH1313">
        <v>90.231090688617897</v>
      </c>
      <c r="AI1313">
        <v>90.446469133315205</v>
      </c>
      <c r="AJ1313">
        <v>82.485901129108797</v>
      </c>
      <c r="AK1313">
        <v>91.015405661252103</v>
      </c>
      <c r="AL1313">
        <v>96.966384589224802</v>
      </c>
      <c r="AM1313">
        <v>91.076865065750894</v>
      </c>
      <c r="AN1313">
        <v>1.00000003268086</v>
      </c>
    </row>
    <row r="1314" spans="1:40" x14ac:dyDescent="0.25">
      <c r="A1314" t="str">
        <f>"20190305134928681"</f>
        <v>20190305134928681</v>
      </c>
      <c r="B1314" t="str">
        <f>"1551764968671775"</f>
        <v>1551764968671775</v>
      </c>
      <c r="C1314" t="s">
        <v>40</v>
      </c>
      <c r="D1314">
        <v>4.1315809999999997</v>
      </c>
      <c r="E1314">
        <v>0.55903419999999904</v>
      </c>
      <c r="F1314" t="s">
        <v>45</v>
      </c>
      <c r="G1314">
        <v>-158.19499999999999</v>
      </c>
      <c r="H1314">
        <v>0.41953180000000001</v>
      </c>
      <c r="I1314">
        <v>356.87180000000001</v>
      </c>
      <c r="J1314">
        <v>-248.3383</v>
      </c>
      <c r="K1314">
        <v>1.109521</v>
      </c>
      <c r="L1314">
        <v>368.24669999999998</v>
      </c>
      <c r="M1314">
        <v>0.99987709999999996</v>
      </c>
      <c r="N1314">
        <v>-1.4639269999999999E-2</v>
      </c>
      <c r="O1314">
        <v>5.6257590000000001E-3</v>
      </c>
      <c r="P1314">
        <v>0.99047510000000005</v>
      </c>
      <c r="Q1314">
        <v>-0.13554349999999901</v>
      </c>
      <c r="R1314">
        <v>2.4232440000000001E-2</v>
      </c>
      <c r="S1314">
        <v>3.0351560000000002</v>
      </c>
      <c r="T1314">
        <v>-2.3188230000000001E-2</v>
      </c>
      <c r="U1314">
        <v>-0.38229370000000001</v>
      </c>
      <c r="V1314">
        <v>-1.8707660000000001E-2</v>
      </c>
      <c r="W1314">
        <v>-0.1210199</v>
      </c>
      <c r="X1314">
        <v>0.99247379999999996</v>
      </c>
      <c r="Y1314">
        <v>0.13053689999999901</v>
      </c>
      <c r="Z1314">
        <v>-1.4167909999999999E-3</v>
      </c>
      <c r="AA1314">
        <v>0.99144239999999995</v>
      </c>
      <c r="AB1314">
        <v>35</v>
      </c>
      <c r="AC1314">
        <v>90.143299999999996</v>
      </c>
      <c r="AD1314">
        <v>-0.68998919999999997</v>
      </c>
      <c r="AE1314">
        <v>-11.374899999999901</v>
      </c>
      <c r="AF1314">
        <v>11.881213543259101</v>
      </c>
      <c r="AG1314">
        <v>-0.68998919999999997</v>
      </c>
      <c r="AH1314">
        <v>90.072679330692097</v>
      </c>
      <c r="AI1314">
        <v>90.435128716613093</v>
      </c>
      <c r="AJ1314">
        <v>82.485669098101795</v>
      </c>
      <c r="AK1314">
        <v>90.8555275267627</v>
      </c>
      <c r="AL1314">
        <v>96.950967421203401</v>
      </c>
      <c r="AM1314">
        <v>91.079870363171494</v>
      </c>
      <c r="AN1314">
        <v>1.0000000182125599</v>
      </c>
    </row>
    <row r="1315" spans="1:40" x14ac:dyDescent="0.25">
      <c r="A1315" t="str">
        <f>"20190305134928693"</f>
        <v>20190305134928693</v>
      </c>
      <c r="B1315" t="str">
        <f>"1551764968681534"</f>
        <v>1551764968681534</v>
      </c>
      <c r="C1315" t="s">
        <v>40</v>
      </c>
      <c r="D1315">
        <v>4.1205790000000002</v>
      </c>
      <c r="E1315">
        <v>0.55910969999999904</v>
      </c>
      <c r="F1315" t="s">
        <v>45</v>
      </c>
      <c r="G1315">
        <v>-158.19499999999999</v>
      </c>
      <c r="H1315">
        <v>0.43146230000000002</v>
      </c>
      <c r="I1315">
        <v>356.8734</v>
      </c>
      <c r="J1315">
        <v>-248.167</v>
      </c>
      <c r="K1315">
        <v>1.109518</v>
      </c>
      <c r="L1315">
        <v>368.24759999999998</v>
      </c>
      <c r="M1315">
        <v>0.99987749999999997</v>
      </c>
      <c r="N1315">
        <v>-1.463742E-2</v>
      </c>
      <c r="O1315">
        <v>5.5398019999999999E-3</v>
      </c>
      <c r="P1315">
        <v>0.99046239999999997</v>
      </c>
      <c r="Q1315">
        <v>-0.1356617</v>
      </c>
      <c r="R1315">
        <v>2.4089929999999999E-2</v>
      </c>
      <c r="S1315">
        <v>3.0350799999999998</v>
      </c>
      <c r="T1315">
        <v>-2.2826909999999999E-2</v>
      </c>
      <c r="U1315">
        <v>-0.38293460000000001</v>
      </c>
      <c r="V1315">
        <v>-1.865201E-2</v>
      </c>
      <c r="W1315">
        <v>-0.12114</v>
      </c>
      <c r="X1315">
        <v>0.99246020000000001</v>
      </c>
      <c r="Y1315">
        <v>0.130661</v>
      </c>
      <c r="Z1315">
        <v>-1.410279E-3</v>
      </c>
      <c r="AA1315">
        <v>0.99142609999999998</v>
      </c>
      <c r="AB1315">
        <v>35</v>
      </c>
      <c r="AC1315">
        <v>89.971999999999994</v>
      </c>
      <c r="AD1315">
        <v>-0.67805569999999904</v>
      </c>
      <c r="AE1315">
        <v>-11.374199999999901</v>
      </c>
      <c r="AF1315">
        <v>11.871842243168301</v>
      </c>
      <c r="AG1315">
        <v>-0.67805569999999904</v>
      </c>
      <c r="AH1315">
        <v>89.902575766369907</v>
      </c>
      <c r="AI1315">
        <v>90.428404317290202</v>
      </c>
      <c r="AJ1315">
        <v>82.477484232308996</v>
      </c>
      <c r="AK1315">
        <v>90.685575077885801</v>
      </c>
      <c r="AL1315">
        <v>96.957899613964699</v>
      </c>
      <c r="AM1315">
        <v>91.076673561713704</v>
      </c>
      <c r="AN1315">
        <v>1.0000000228305299</v>
      </c>
    </row>
    <row r="1316" spans="1:40" x14ac:dyDescent="0.25">
      <c r="A1316" t="str">
        <f>"20190305134928703"</f>
        <v>20190305134928703</v>
      </c>
      <c r="B1316" t="str">
        <f>"1551764968692270"</f>
        <v>1551764968692270</v>
      </c>
      <c r="C1316" t="s">
        <v>40</v>
      </c>
      <c r="D1316">
        <v>4.1098939999999997</v>
      </c>
      <c r="E1316">
        <v>0.55918419999999902</v>
      </c>
      <c r="F1316" t="s">
        <v>45</v>
      </c>
      <c r="G1316">
        <v>-158.19499999999999</v>
      </c>
      <c r="H1316">
        <v>0.42366979999999999</v>
      </c>
      <c r="I1316">
        <v>356.85599999999999</v>
      </c>
      <c r="J1316">
        <v>-248.0033</v>
      </c>
      <c r="K1316">
        <v>1.109505</v>
      </c>
      <c r="L1316">
        <v>368.2484</v>
      </c>
      <c r="M1316">
        <v>0.99987809999999999</v>
      </c>
      <c r="N1316">
        <v>-1.463565E-2</v>
      </c>
      <c r="O1316">
        <v>5.4533029999999996E-3</v>
      </c>
      <c r="P1316">
        <v>0.99048270000000005</v>
      </c>
      <c r="Q1316">
        <v>-0.13556460000000001</v>
      </c>
      <c r="R1316">
        <v>2.3800060000000001E-2</v>
      </c>
      <c r="S1316">
        <v>3.0350649999999999</v>
      </c>
      <c r="T1316">
        <v>-2.3133040000000001E-2</v>
      </c>
      <c r="U1316">
        <v>-0.38427729999999999</v>
      </c>
      <c r="V1316">
        <v>-1.844873E-2</v>
      </c>
      <c r="W1316">
        <v>-0.12104429999999999</v>
      </c>
      <c r="X1316">
        <v>0.99247560000000001</v>
      </c>
      <c r="Y1316">
        <v>0.1310074</v>
      </c>
      <c r="Z1316">
        <v>-1.4217730000000001E-3</v>
      </c>
      <c r="AA1316">
        <v>0.99138040000000005</v>
      </c>
      <c r="AB1316">
        <v>35</v>
      </c>
      <c r="AC1316">
        <v>89.808300000000003</v>
      </c>
      <c r="AD1316">
        <v>-0.68583519999999898</v>
      </c>
      <c r="AE1316">
        <v>-11.3924</v>
      </c>
      <c r="AF1316">
        <v>11.881352931275</v>
      </c>
      <c r="AG1316">
        <v>-0.68583519999999898</v>
      </c>
      <c r="AH1316">
        <v>89.739680856986297</v>
      </c>
      <c r="AI1316">
        <v>90.434086347724502</v>
      </c>
      <c r="AJ1316">
        <v>82.458018478013898</v>
      </c>
      <c r="AK1316">
        <v>90.525395540217502</v>
      </c>
      <c r="AL1316">
        <v>96.952376286459895</v>
      </c>
      <c r="AM1316">
        <v>91.064925569767297</v>
      </c>
      <c r="AN1316">
        <v>0.99999994739822995</v>
      </c>
    </row>
    <row r="1317" spans="1:40" x14ac:dyDescent="0.25">
      <c r="A1317" t="str">
        <f>"20190305134928714"</f>
        <v>20190305134928714</v>
      </c>
      <c r="B1317" t="str">
        <f>"1551764968711791"</f>
        <v>1551764968711791</v>
      </c>
      <c r="C1317" t="s">
        <v>40</v>
      </c>
      <c r="D1317">
        <v>4.1281489999999996</v>
      </c>
      <c r="E1317">
        <v>0.55943690000000001</v>
      </c>
      <c r="F1317" t="s">
        <v>45</v>
      </c>
      <c r="G1317">
        <v>-158.19499999999999</v>
      </c>
      <c r="H1317">
        <v>0.427865</v>
      </c>
      <c r="I1317">
        <v>356.84010000000001</v>
      </c>
      <c r="J1317">
        <v>-247.83189999999999</v>
      </c>
      <c r="K1317">
        <v>1.109497</v>
      </c>
      <c r="L1317">
        <v>368.24930000000001</v>
      </c>
      <c r="M1317">
        <v>0.99987859999999995</v>
      </c>
      <c r="N1317">
        <v>-1.4633790000000001E-2</v>
      </c>
      <c r="O1317">
        <v>5.3597599999999999E-3</v>
      </c>
      <c r="P1317">
        <v>0.99047160000000001</v>
      </c>
      <c r="Q1317">
        <v>-0.13568659999999999</v>
      </c>
      <c r="R1317">
        <v>2.356455E-2</v>
      </c>
      <c r="S1317">
        <v>3.0349270000000002</v>
      </c>
      <c r="T1317">
        <v>-2.3031949999999999E-2</v>
      </c>
      <c r="U1317">
        <v>-0.3855286</v>
      </c>
      <c r="V1317">
        <v>-1.830743E-2</v>
      </c>
      <c r="W1317">
        <v>-0.1211682</v>
      </c>
      <c r="X1317">
        <v>0.99246319999999999</v>
      </c>
      <c r="Y1317">
        <v>0.13132249999999901</v>
      </c>
      <c r="Z1317">
        <v>-1.4235059999999999E-3</v>
      </c>
      <c r="AA1317">
        <v>0.99133870000000002</v>
      </c>
      <c r="AB1317">
        <v>35</v>
      </c>
      <c r="AC1317">
        <v>89.636899999999997</v>
      </c>
      <c r="AD1317">
        <v>-0.68163200000000002</v>
      </c>
      <c r="AE1317">
        <v>-11.409199999999901</v>
      </c>
      <c r="AF1317">
        <v>11.888843258285901</v>
      </c>
      <c r="AG1317">
        <v>-0.68163200000000002</v>
      </c>
      <c r="AH1317">
        <v>89.569358193381802</v>
      </c>
      <c r="AI1317">
        <v>90.432227584993697</v>
      </c>
      <c r="AJ1317">
        <v>82.439133893984007</v>
      </c>
      <c r="AK1317">
        <v>90.357507399096903</v>
      </c>
      <c r="AL1317">
        <v>96.959527162085394</v>
      </c>
      <c r="AM1317">
        <v>91.056784294161403</v>
      </c>
      <c r="AN1317">
        <v>1.0000000490193399</v>
      </c>
    </row>
    <row r="1318" spans="1:40" x14ac:dyDescent="0.25">
      <c r="A1318" t="str">
        <f>"20190305134928728"</f>
        <v>20190305134928728</v>
      </c>
      <c r="B1318" t="str">
        <f>"1551764968721551"</f>
        <v>1551764968721551</v>
      </c>
      <c r="C1318" t="s">
        <v>40</v>
      </c>
      <c r="D1318">
        <v>4.3031230000000003</v>
      </c>
      <c r="E1318">
        <v>0.55943690000000001</v>
      </c>
      <c r="F1318" t="s">
        <v>45</v>
      </c>
      <c r="G1318">
        <v>-158.19499999999999</v>
      </c>
      <c r="H1318">
        <v>0.42510510000000001</v>
      </c>
      <c r="I1318">
        <v>356.77969999999999</v>
      </c>
      <c r="J1318">
        <v>-247.62809999999999</v>
      </c>
      <c r="K1318">
        <v>1.109488</v>
      </c>
      <c r="L1318">
        <v>368.25020000000001</v>
      </c>
      <c r="M1318">
        <v>0.99987919999999997</v>
      </c>
      <c r="N1318">
        <v>-1.463156E-2</v>
      </c>
      <c r="O1318">
        <v>5.2441349999999996E-3</v>
      </c>
      <c r="P1318">
        <v>0.99044180000000004</v>
      </c>
      <c r="Q1318">
        <v>-0.13596710000000001</v>
      </c>
      <c r="R1318">
        <v>2.3195759999999999E-2</v>
      </c>
      <c r="S1318">
        <v>3.0349119999999998</v>
      </c>
      <c r="T1318">
        <v>-2.3169039999999998E-2</v>
      </c>
      <c r="U1318">
        <v>-0.38833620000000002</v>
      </c>
      <c r="V1318">
        <v>-1.8055979999999999E-2</v>
      </c>
      <c r="W1318">
        <v>-0.12145110000000001</v>
      </c>
      <c r="X1318">
        <v>0.99243320000000002</v>
      </c>
      <c r="Y1318">
        <v>0.1321108</v>
      </c>
      <c r="Z1318">
        <v>-1.4361910000000001E-3</v>
      </c>
      <c r="AA1318">
        <v>0.9912339</v>
      </c>
      <c r="AB1318">
        <v>34</v>
      </c>
      <c r="AC1318">
        <v>89.433099999999996</v>
      </c>
      <c r="AD1318">
        <v>-0.68438290000000002</v>
      </c>
      <c r="AE1318">
        <v>-11.470499999999999</v>
      </c>
      <c r="AF1318">
        <v>11.9387038840439</v>
      </c>
      <c r="AG1318">
        <v>-0.68438290000000002</v>
      </c>
      <c r="AH1318">
        <v>89.366562071440796</v>
      </c>
      <c r="AI1318">
        <v>90.434907751350593</v>
      </c>
      <c r="AJ1318">
        <v>82.3907664374088</v>
      </c>
      <c r="AK1318">
        <v>90.163093596290196</v>
      </c>
      <c r="AL1318">
        <v>96.975856923378899</v>
      </c>
      <c r="AM1318">
        <v>91.042304232963801</v>
      </c>
      <c r="AN1318">
        <v>1.0000000222836001</v>
      </c>
    </row>
    <row r="1319" spans="1:40" x14ac:dyDescent="0.25">
      <c r="A1319" t="str">
        <f>"20190305134928741"</f>
        <v>20190305134928741</v>
      </c>
      <c r="B1319" t="str">
        <f>"1551764968732287"</f>
        <v>1551764968732287</v>
      </c>
      <c r="C1319" t="s">
        <v>40</v>
      </c>
      <c r="D1319">
        <v>4.4152500000000003</v>
      </c>
      <c r="E1319">
        <v>0.57152849999999999</v>
      </c>
      <c r="F1319" t="s">
        <v>45</v>
      </c>
      <c r="G1319">
        <v>-158.19499999999999</v>
      </c>
      <c r="H1319">
        <v>0.4013119</v>
      </c>
      <c r="I1319">
        <v>356.77289999999999</v>
      </c>
      <c r="J1319">
        <v>-247.4376</v>
      </c>
      <c r="K1319">
        <v>1.109478</v>
      </c>
      <c r="L1319">
        <v>368.25110000000001</v>
      </c>
      <c r="M1319">
        <v>0.99987999999999999</v>
      </c>
      <c r="N1319">
        <v>-1.462946E-2</v>
      </c>
      <c r="O1319">
        <v>5.1283309999999999E-3</v>
      </c>
      <c r="P1319">
        <v>0.9903556</v>
      </c>
      <c r="Q1319">
        <v>-0.1366146</v>
      </c>
      <c r="R1319">
        <v>2.3076670000000001E-2</v>
      </c>
      <c r="S1319">
        <v>3.0347749999999998</v>
      </c>
      <c r="T1319">
        <v>-2.4027819999999998E-2</v>
      </c>
      <c r="U1319">
        <v>-0.38946530000000001</v>
      </c>
      <c r="V1319">
        <v>-1.8054529999999999E-2</v>
      </c>
      <c r="W1319">
        <v>-0.1221016</v>
      </c>
      <c r="X1319">
        <v>0.99235340000000005</v>
      </c>
      <c r="Y1319">
        <v>0.13236389999999901</v>
      </c>
      <c r="Z1319">
        <v>-1.4598250000000001E-3</v>
      </c>
      <c r="AA1319">
        <v>0.99120010000000003</v>
      </c>
      <c r="AB1319">
        <v>34</v>
      </c>
      <c r="AC1319">
        <v>89.242599999999996</v>
      </c>
      <c r="AD1319">
        <v>-0.70816609999999902</v>
      </c>
      <c r="AE1319">
        <v>-11.478199999999999</v>
      </c>
      <c r="AF1319">
        <v>11.9350242230757</v>
      </c>
      <c r="AG1319">
        <v>-0.70816609999999902</v>
      </c>
      <c r="AH1319">
        <v>89.177031917031996</v>
      </c>
      <c r="AI1319">
        <v>90.450962778319806</v>
      </c>
      <c r="AJ1319">
        <v>82.377106976924793</v>
      </c>
      <c r="AK1319">
        <v>89.974937198988499</v>
      </c>
      <c r="AL1319">
        <v>97.013407319710694</v>
      </c>
      <c r="AM1319">
        <v>91.042304339920506</v>
      </c>
      <c r="AN1319">
        <v>1.00000001863382</v>
      </c>
    </row>
    <row r="1320" spans="1:40" x14ac:dyDescent="0.25">
      <c r="A1320" t="str">
        <f>"20190305134928753"</f>
        <v>20190305134928753</v>
      </c>
      <c r="B1320" t="str">
        <f>"1551764968742047"</f>
        <v>1551764968742047</v>
      </c>
      <c r="C1320" t="s">
        <v>40</v>
      </c>
      <c r="D1320">
        <v>4.1953170000000002</v>
      </c>
      <c r="E1320">
        <v>0.57471810000000001</v>
      </c>
      <c r="F1320" t="s">
        <v>42</v>
      </c>
      <c r="G1320">
        <v>-222.7501</v>
      </c>
      <c r="H1320" s="1">
        <v>-4.0460870000000004E-6</v>
      </c>
      <c r="I1320">
        <v>364.24059999999997</v>
      </c>
      <c r="J1320">
        <v>-247.23939999999999</v>
      </c>
      <c r="K1320">
        <v>1.10947</v>
      </c>
      <c r="L1320">
        <v>368.25200000000001</v>
      </c>
      <c r="M1320">
        <v>0.99988060000000001</v>
      </c>
      <c r="N1320">
        <v>-1.4627289999999999E-2</v>
      </c>
      <c r="O1320">
        <v>5.003815E-3</v>
      </c>
      <c r="P1320">
        <v>0.99032430000000005</v>
      </c>
      <c r="Q1320">
        <v>-0.13685420000000001</v>
      </c>
      <c r="R1320">
        <v>2.2997509999999999E-2</v>
      </c>
      <c r="S1320">
        <v>3.0219269999999998</v>
      </c>
      <c r="T1320">
        <v>-0.13580789999999901</v>
      </c>
      <c r="U1320">
        <v>-0.4909058</v>
      </c>
      <c r="V1320">
        <v>-1.8100829999999998E-2</v>
      </c>
      <c r="W1320">
        <v>-0.1223434</v>
      </c>
      <c r="X1320">
        <v>0.9923227</v>
      </c>
      <c r="Y1320">
        <v>0.16506499999999999</v>
      </c>
      <c r="Z1320">
        <v>-5.04968E-3</v>
      </c>
      <c r="AA1320">
        <v>0.98626979999999997</v>
      </c>
      <c r="AB1320">
        <v>34</v>
      </c>
      <c r="AC1320">
        <v>24.489299999999901</v>
      </c>
      <c r="AD1320">
        <v>-1.1094740460870001</v>
      </c>
      <c r="AE1320">
        <v>-4.0113999999999796</v>
      </c>
      <c r="AF1320">
        <v>4.1256561831793102</v>
      </c>
      <c r="AG1320">
        <v>-1.1094740460870001</v>
      </c>
      <c r="AH1320">
        <v>24.420106509911601</v>
      </c>
      <c r="AI1320">
        <v>92.565020552195193</v>
      </c>
      <c r="AJ1320">
        <v>80.410711161349795</v>
      </c>
      <c r="AK1320">
        <v>24.7909978330073</v>
      </c>
      <c r="AL1320">
        <v>97.027366617053403</v>
      </c>
      <c r="AM1320">
        <v>91.045009010649494</v>
      </c>
      <c r="AN1320">
        <v>0.99999994425276795</v>
      </c>
    </row>
    <row r="1321" spans="1:40" x14ac:dyDescent="0.25">
      <c r="A1321" t="str">
        <f>"20190305134928766"</f>
        <v>20190305134928766</v>
      </c>
      <c r="B1321" t="str">
        <f>"1551764968761566"</f>
        <v>1551764968761566</v>
      </c>
      <c r="C1321" t="s">
        <v>40</v>
      </c>
      <c r="D1321">
        <v>4.1829519999999896</v>
      </c>
      <c r="E1321">
        <v>0.57740190000000002</v>
      </c>
      <c r="F1321" t="s">
        <v>42</v>
      </c>
      <c r="G1321">
        <v>-220.7379</v>
      </c>
      <c r="H1321" s="1">
        <v>-4.9999490000000001E-6</v>
      </c>
      <c r="I1321">
        <v>363.7296</v>
      </c>
      <c r="J1321">
        <v>-247.0438</v>
      </c>
      <c r="K1321">
        <v>1.109464</v>
      </c>
      <c r="L1321">
        <v>368.25290000000001</v>
      </c>
      <c r="M1321">
        <v>0.99988129999999997</v>
      </c>
      <c r="N1321">
        <v>-1.462515E-2</v>
      </c>
      <c r="O1321">
        <v>4.873807E-3</v>
      </c>
      <c r="P1321">
        <v>0.99034469999999997</v>
      </c>
      <c r="Q1321">
        <v>-0.13677400000000001</v>
      </c>
      <c r="R1321">
        <v>2.2600780000000001E-2</v>
      </c>
      <c r="S1321">
        <v>3.0238040000000002</v>
      </c>
      <c r="T1321">
        <v>-0.1265898</v>
      </c>
      <c r="U1321">
        <v>-0.51599119999999998</v>
      </c>
      <c r="V1321">
        <v>-1.7836020000000001E-2</v>
      </c>
      <c r="W1321">
        <v>-0.122264899999999</v>
      </c>
      <c r="X1321">
        <v>0.99233720000000003</v>
      </c>
      <c r="Y1321">
        <v>0.17281289999999999</v>
      </c>
      <c r="Z1321">
        <v>-4.9951980000000002E-3</v>
      </c>
      <c r="AA1321">
        <v>0.98494199999999998</v>
      </c>
      <c r="AB1321">
        <v>34</v>
      </c>
      <c r="AC1321">
        <v>26.305900000000001</v>
      </c>
      <c r="AD1321">
        <v>-1.1094689999489999</v>
      </c>
      <c r="AE1321">
        <v>-4.5232999999999999</v>
      </c>
      <c r="AF1321">
        <v>4.6434473364341304</v>
      </c>
      <c r="AG1321">
        <v>-1.1094689999489999</v>
      </c>
      <c r="AH1321">
        <v>26.238207578845898</v>
      </c>
      <c r="AI1321">
        <v>92.384274590496702</v>
      </c>
      <c r="AJ1321">
        <v>79.964120670551395</v>
      </c>
      <c r="AK1321">
        <v>26.6690093850276</v>
      </c>
      <c r="AL1321">
        <v>97.022834667267205</v>
      </c>
      <c r="AM1321">
        <v>91.029709098905499</v>
      </c>
      <c r="AN1321">
        <v>0.99999997394264395</v>
      </c>
    </row>
    <row r="1322" spans="1:40" x14ac:dyDescent="0.25">
      <c r="A1322" t="str">
        <f>"20190305134928777"</f>
        <v>20190305134928777</v>
      </c>
      <c r="B1322" t="str">
        <f>"1551764968772303"</f>
        <v>1551764968772303</v>
      </c>
      <c r="C1322" t="s">
        <v>40</v>
      </c>
      <c r="D1322">
        <v>4.1940099999999996</v>
      </c>
      <c r="E1322">
        <v>0.57751070000000004</v>
      </c>
      <c r="F1322" t="s">
        <v>42</v>
      </c>
      <c r="G1322">
        <v>-217.33279999999999</v>
      </c>
      <c r="H1322" s="1">
        <v>-2.6619089999999999E-6</v>
      </c>
      <c r="I1322">
        <v>362.971</v>
      </c>
      <c r="J1322">
        <v>-246.8708</v>
      </c>
      <c r="K1322">
        <v>1.1094580000000001</v>
      </c>
      <c r="L1322">
        <v>368.25360000000001</v>
      </c>
      <c r="M1322">
        <v>0.99988189999999999</v>
      </c>
      <c r="N1322">
        <v>-1.4623280000000001E-2</v>
      </c>
      <c r="O1322">
        <v>4.7531099999999996E-3</v>
      </c>
      <c r="P1322">
        <v>0.9904153</v>
      </c>
      <c r="Q1322">
        <v>-0.13632529999999901</v>
      </c>
      <c r="R1322">
        <v>2.220987E-2</v>
      </c>
      <c r="S1322">
        <v>3.025925</v>
      </c>
      <c r="T1322">
        <v>-0.1129936</v>
      </c>
      <c r="U1322">
        <v>-0.53793329999999995</v>
      </c>
      <c r="V1322">
        <v>-1.7565859999999999E-2</v>
      </c>
      <c r="W1322">
        <v>-0.12181699999999999</v>
      </c>
      <c r="X1322">
        <v>0.99239710000000003</v>
      </c>
      <c r="Y1322">
        <v>0.17953749999999999</v>
      </c>
      <c r="Z1322">
        <v>-4.7556619999999999E-3</v>
      </c>
      <c r="AA1322">
        <v>0.98373960000000005</v>
      </c>
      <c r="AB1322">
        <v>34</v>
      </c>
      <c r="AC1322">
        <v>29.538</v>
      </c>
      <c r="AD1322">
        <v>-1.1094606619089999</v>
      </c>
      <c r="AE1322">
        <v>-5.2826000000000004</v>
      </c>
      <c r="AF1322">
        <v>5.4155492747790897</v>
      </c>
      <c r="AG1322">
        <v>-1.1094606619089999</v>
      </c>
      <c r="AH1322">
        <v>29.472264349268901</v>
      </c>
      <c r="AI1322">
        <v>92.120371414866597</v>
      </c>
      <c r="AJ1322">
        <v>79.5880080358192</v>
      </c>
      <c r="AK1322">
        <v>29.986220881949599</v>
      </c>
      <c r="AL1322">
        <v>96.996978624518903</v>
      </c>
      <c r="AM1322">
        <v>91.014054306057503</v>
      </c>
      <c r="AN1322">
        <v>0.99999997250747397</v>
      </c>
    </row>
    <row r="1323" spans="1:40" x14ac:dyDescent="0.25">
      <c r="A1323" t="str">
        <f>"20190305134928787"</f>
        <v>20190305134928787</v>
      </c>
      <c r="B1323" t="str">
        <f>"1551764968782063"</f>
        <v>1551764968782063</v>
      </c>
      <c r="C1323" t="s">
        <v>40</v>
      </c>
      <c r="D1323">
        <v>4.1751399999999999</v>
      </c>
      <c r="E1323">
        <v>0.57749119999999998</v>
      </c>
      <c r="F1323" t="s">
        <v>42</v>
      </c>
      <c r="G1323">
        <v>-216.99600000000001</v>
      </c>
      <c r="H1323" s="1">
        <v>-2.7893920000000001E-6</v>
      </c>
      <c r="I1323">
        <v>362.92259999999999</v>
      </c>
      <c r="J1323">
        <v>-246.7012</v>
      </c>
      <c r="K1323">
        <v>1.1094539999999999</v>
      </c>
      <c r="L1323">
        <v>368.2543</v>
      </c>
      <c r="M1323">
        <v>0.99988239999999995</v>
      </c>
      <c r="N1323">
        <v>-1.4621459999999999E-2</v>
      </c>
      <c r="O1323">
        <v>4.6322359999999996E-3</v>
      </c>
      <c r="P1323">
        <v>0.99046650000000003</v>
      </c>
      <c r="Q1323">
        <v>-0.13601949999999999</v>
      </c>
      <c r="R1323">
        <v>2.1799200000000001E-2</v>
      </c>
      <c r="S1323">
        <v>3.0256810000000001</v>
      </c>
      <c r="T1323">
        <v>-0.1123648</v>
      </c>
      <c r="U1323">
        <v>-0.53991699999999998</v>
      </c>
      <c r="V1323">
        <v>-1.7276429999999999E-2</v>
      </c>
      <c r="W1323">
        <v>-0.1215122</v>
      </c>
      <c r="X1323">
        <v>0.99243959999999998</v>
      </c>
      <c r="Y1323">
        <v>0.18005850000000001</v>
      </c>
      <c r="Z1323">
        <v>-4.7469230000000001E-3</v>
      </c>
      <c r="AA1323">
        <v>0.98364439999999997</v>
      </c>
      <c r="AB1323">
        <v>34</v>
      </c>
      <c r="AC1323">
        <v>29.705200000000001</v>
      </c>
      <c r="AD1323">
        <v>-1.109456789392</v>
      </c>
      <c r="AE1323">
        <v>-5.3317000000000103</v>
      </c>
      <c r="AF1323">
        <v>5.4618777817248398</v>
      </c>
      <c r="AG1323">
        <v>-1.109456789392</v>
      </c>
      <c r="AH1323">
        <v>29.640125094619499</v>
      </c>
      <c r="AI1323">
        <v>92.1081707950202</v>
      </c>
      <c r="AJ1323">
        <v>79.559057059148799</v>
      </c>
      <c r="AK1323">
        <v>30.159575907076601</v>
      </c>
      <c r="AL1323">
        <v>96.979383799681997</v>
      </c>
      <c r="AM1323">
        <v>90.997306589277301</v>
      </c>
      <c r="AN1323">
        <v>1.0000000247152701</v>
      </c>
    </row>
    <row r="1324" spans="1:40" x14ac:dyDescent="0.25">
      <c r="A1324" t="str">
        <f>"20190305134928798"</f>
        <v>20190305134928798</v>
      </c>
      <c r="B1324" t="str">
        <f>"1551764968791823"</f>
        <v>1551764968791823</v>
      </c>
      <c r="C1324" t="s">
        <v>40</v>
      </c>
      <c r="D1324">
        <v>4.2005759999999999</v>
      </c>
      <c r="E1324">
        <v>0.57746370000000002</v>
      </c>
      <c r="F1324" t="s">
        <v>42</v>
      </c>
      <c r="G1324">
        <v>-217.03790000000001</v>
      </c>
      <c r="H1324" s="1">
        <v>-2.7685479999999999E-6</v>
      </c>
      <c r="I1324">
        <v>362.94740000000002</v>
      </c>
      <c r="J1324">
        <v>-246.54220000000001</v>
      </c>
      <c r="K1324">
        <v>1.1094489999999999</v>
      </c>
      <c r="L1324">
        <v>368.25490000000002</v>
      </c>
      <c r="M1324">
        <v>0.99988310000000002</v>
      </c>
      <c r="N1324">
        <v>-1.4619760000000001E-2</v>
      </c>
      <c r="O1324">
        <v>4.513225E-3</v>
      </c>
      <c r="P1324">
        <v>0.99049350000000003</v>
      </c>
      <c r="Q1324">
        <v>-0.13587189999999999</v>
      </c>
      <c r="R1324">
        <v>2.1486160000000001E-2</v>
      </c>
      <c r="S1324">
        <v>3.0252379999999999</v>
      </c>
      <c r="T1324">
        <v>-0.1131486</v>
      </c>
      <c r="U1324">
        <v>-0.54122919999999997</v>
      </c>
      <c r="V1324">
        <v>-1.7083660000000001E-2</v>
      </c>
      <c r="W1324">
        <v>-0.1213658</v>
      </c>
      <c r="X1324">
        <v>0.99246080000000003</v>
      </c>
      <c r="Y1324">
        <v>0.18037739999999999</v>
      </c>
      <c r="Z1324">
        <v>-4.7770929999999996E-3</v>
      </c>
      <c r="AA1324">
        <v>0.98358590000000001</v>
      </c>
      <c r="AB1324">
        <v>34</v>
      </c>
      <c r="AC1324">
        <v>29.504300000000001</v>
      </c>
      <c r="AD1324">
        <v>-1.1094517685480001</v>
      </c>
      <c r="AE1324">
        <v>-5.3075000000000001</v>
      </c>
      <c r="AF1324">
        <v>5.4331780440603499</v>
      </c>
      <c r="AG1324">
        <v>-1.1094517685480001</v>
      </c>
      <c r="AH1324">
        <v>29.439720329992699</v>
      </c>
      <c r="AI1324">
        <v>92.122393333605103</v>
      </c>
      <c r="AJ1324">
        <v>79.543567578140596</v>
      </c>
      <c r="AK1324">
        <v>29.9574271257292</v>
      </c>
      <c r="AL1324">
        <v>96.970933507595703</v>
      </c>
      <c r="AM1324">
        <v>90.9861598141717</v>
      </c>
      <c r="AN1324">
        <v>0.99999997419263698</v>
      </c>
    </row>
    <row r="1325" spans="1:40" x14ac:dyDescent="0.25">
      <c r="A1325" t="str">
        <f>"20190305134928808"</f>
        <v>20190305134928808</v>
      </c>
      <c r="B1325" t="str">
        <f>"1551764968801584"</f>
        <v>1551764968801584</v>
      </c>
      <c r="C1325" t="s">
        <v>40</v>
      </c>
      <c r="D1325">
        <v>4.2024169999999996</v>
      </c>
      <c r="E1325">
        <v>0.57727340000000005</v>
      </c>
      <c r="F1325" t="s">
        <v>42</v>
      </c>
      <c r="G1325">
        <v>-217.39080000000001</v>
      </c>
      <c r="H1325" s="1">
        <v>-2.6279599999999998E-6</v>
      </c>
      <c r="I1325">
        <v>363.02440000000001</v>
      </c>
      <c r="J1325">
        <v>-246.38630000000001</v>
      </c>
      <c r="K1325">
        <v>1.109448</v>
      </c>
      <c r="L1325">
        <v>368.25549999999998</v>
      </c>
      <c r="M1325">
        <v>0.99988350000000004</v>
      </c>
      <c r="N1325">
        <v>-1.461808E-2</v>
      </c>
      <c r="O1325">
        <v>4.3960650000000002E-3</v>
      </c>
      <c r="P1325">
        <v>0.99050859999999996</v>
      </c>
      <c r="Q1325">
        <v>-0.1358058</v>
      </c>
      <c r="R1325">
        <v>2.1203240000000002E-2</v>
      </c>
      <c r="S1325">
        <v>3.0247959999999998</v>
      </c>
      <c r="T1325">
        <v>-0.11511830000000001</v>
      </c>
      <c r="U1325">
        <v>-0.5427246</v>
      </c>
      <c r="V1325">
        <v>-1.691817E-2</v>
      </c>
      <c r="W1325">
        <v>-0.12130100000000001</v>
      </c>
      <c r="X1325">
        <v>0.99247160000000001</v>
      </c>
      <c r="Y1325">
        <v>0.18075269999999999</v>
      </c>
      <c r="Z1325">
        <v>-4.8456230000000003E-3</v>
      </c>
      <c r="AA1325">
        <v>0.98351659999999996</v>
      </c>
      <c r="AB1325">
        <v>34</v>
      </c>
      <c r="AC1325">
        <v>28.9955</v>
      </c>
      <c r="AD1325">
        <v>-1.10945062796</v>
      </c>
      <c r="AE1325">
        <v>-5.2310999999999597</v>
      </c>
      <c r="AF1325">
        <v>5.3509420832570402</v>
      </c>
      <c r="AG1325">
        <v>-1.10945062796</v>
      </c>
      <c r="AH1325">
        <v>28.9311996086021</v>
      </c>
      <c r="AI1325">
        <v>92.159506464224805</v>
      </c>
      <c r="AJ1325">
        <v>79.5213283667551</v>
      </c>
      <c r="AK1325">
        <v>29.442788126585999</v>
      </c>
      <c r="AL1325">
        <v>96.967192806871594</v>
      </c>
      <c r="AM1325">
        <v>90.976598084167506</v>
      </c>
      <c r="AN1325">
        <v>1.0000000169418499</v>
      </c>
    </row>
    <row r="1326" spans="1:40" x14ac:dyDescent="0.25">
      <c r="A1326" t="str">
        <f>"20190305134928819"</f>
        <v>20190305134928819</v>
      </c>
      <c r="B1326" t="str">
        <f>"1551764968812320"</f>
        <v>1551764968812320</v>
      </c>
      <c r="C1326" t="s">
        <v>40</v>
      </c>
      <c r="D1326">
        <v>4.2055850000000001</v>
      </c>
      <c r="E1326">
        <v>0.57709779999999999</v>
      </c>
      <c r="F1326" t="s">
        <v>42</v>
      </c>
      <c r="G1326">
        <v>-217.4932</v>
      </c>
      <c r="H1326" s="1">
        <v>-2.5786939999999998E-6</v>
      </c>
      <c r="I1326">
        <v>363.07859999999999</v>
      </c>
      <c r="J1326">
        <v>-246.233</v>
      </c>
      <c r="K1326">
        <v>1.1094440000000001</v>
      </c>
      <c r="L1326">
        <v>368.2561</v>
      </c>
      <c r="M1326">
        <v>0.99988410000000005</v>
      </c>
      <c r="N1326">
        <v>-1.461644E-2</v>
      </c>
      <c r="O1326">
        <v>4.2760609999999899E-3</v>
      </c>
      <c r="P1326">
        <v>0.99053029999999997</v>
      </c>
      <c r="Q1326">
        <v>-0.13568629999999901</v>
      </c>
      <c r="R1326">
        <v>2.0960110000000001E-2</v>
      </c>
      <c r="S1326">
        <v>3.0244450000000001</v>
      </c>
      <c r="T1326">
        <v>-0.11613370000000001</v>
      </c>
      <c r="U1326">
        <v>-0.54190059999999995</v>
      </c>
      <c r="V1326">
        <v>-1.679537E-2</v>
      </c>
      <c r="W1326">
        <v>-0.12118279999999999</v>
      </c>
      <c r="X1326">
        <v>0.99248809999999998</v>
      </c>
      <c r="Y1326">
        <v>0.18039250000000001</v>
      </c>
      <c r="Z1326">
        <v>-4.8651440000000001E-3</v>
      </c>
      <c r="AA1326">
        <v>0.98358270000000003</v>
      </c>
      <c r="AB1326">
        <v>34</v>
      </c>
      <c r="AC1326">
        <v>28.739799999999999</v>
      </c>
      <c r="AD1326">
        <v>-1.109446578694</v>
      </c>
      <c r="AE1326">
        <v>-5.1775000000000002</v>
      </c>
      <c r="AF1326">
        <v>5.2927196180703202</v>
      </c>
      <c r="AG1326">
        <v>-1.109446578694</v>
      </c>
      <c r="AH1326">
        <v>28.676005744251999</v>
      </c>
      <c r="AI1326">
        <v>92.178847481428903</v>
      </c>
      <c r="AJ1326">
        <v>79.542626363052406</v>
      </c>
      <c r="AK1326">
        <v>29.181450582705001</v>
      </c>
      <c r="AL1326">
        <v>96.9603702888583</v>
      </c>
      <c r="AM1326">
        <v>90.969494721006001</v>
      </c>
      <c r="AN1326">
        <v>0.99999999205544299</v>
      </c>
    </row>
    <row r="1327" spans="1:40" x14ac:dyDescent="0.25">
      <c r="A1327" t="str">
        <f>"20190305134928828"</f>
        <v>20190305134928828</v>
      </c>
      <c r="B1327" t="str">
        <f>"1551764968822078"</f>
        <v>1551764968822078</v>
      </c>
      <c r="C1327" t="s">
        <v>40</v>
      </c>
      <c r="D1327">
        <v>7.2238759999999997</v>
      </c>
      <c r="E1327">
        <v>0.57735019999999904</v>
      </c>
      <c r="F1327" t="s">
        <v>42</v>
      </c>
      <c r="G1327">
        <v>-217.94120000000001</v>
      </c>
      <c r="H1327" s="1">
        <v>-2.395678E-6</v>
      </c>
      <c r="I1327">
        <v>363.1934</v>
      </c>
      <c r="J1327">
        <v>-246.0746</v>
      </c>
      <c r="K1327">
        <v>1.1094409999999999</v>
      </c>
      <c r="L1327">
        <v>368.25659999999999</v>
      </c>
      <c r="M1327">
        <v>0.99988469999999996</v>
      </c>
      <c r="N1327">
        <v>-1.4614749999999999E-2</v>
      </c>
      <c r="O1327">
        <v>4.1518249999999996E-3</v>
      </c>
      <c r="P1327">
        <v>0.99052819999999997</v>
      </c>
      <c r="Q1327">
        <v>-0.13570960000000001</v>
      </c>
      <c r="R1327">
        <v>2.0913999999999999E-2</v>
      </c>
      <c r="S1327">
        <v>3.023911</v>
      </c>
      <c r="T1327">
        <v>-0.11858059999999999</v>
      </c>
      <c r="U1327">
        <v>-0.54110719999999901</v>
      </c>
      <c r="V1327">
        <v>-1.6873869999999999E-2</v>
      </c>
      <c r="W1327">
        <v>-0.1212075</v>
      </c>
      <c r="X1327">
        <v>0.99248369999999997</v>
      </c>
      <c r="Y1327">
        <v>0.18004410000000001</v>
      </c>
      <c r="Z1327">
        <v>-4.9290870000000004E-3</v>
      </c>
      <c r="AA1327">
        <v>0.98364620000000003</v>
      </c>
      <c r="AB1327">
        <v>34</v>
      </c>
      <c r="AC1327">
        <v>28.133399999999899</v>
      </c>
      <c r="AD1327">
        <v>-1.1094433956780001</v>
      </c>
      <c r="AE1327">
        <v>-5.0631999999999904</v>
      </c>
      <c r="AF1327">
        <v>5.17218271546324</v>
      </c>
      <c r="AG1327">
        <v>-1.1094433956780001</v>
      </c>
      <c r="AH1327">
        <v>28.0698510434746</v>
      </c>
      <c r="AI1327">
        <v>92.225967763909793</v>
      </c>
      <c r="AJ1327">
        <v>79.559719973463004</v>
      </c>
      <c r="AK1327">
        <v>28.5639436404219</v>
      </c>
      <c r="AL1327">
        <v>96.961796367104597</v>
      </c>
      <c r="AM1327">
        <v>90.974029495704002</v>
      </c>
      <c r="AN1327">
        <v>0.99999994015535598</v>
      </c>
    </row>
    <row r="1328" spans="1:40" x14ac:dyDescent="0.25">
      <c r="A1328" t="str">
        <f>"20190305134928839"</f>
        <v>20190305134928839</v>
      </c>
      <c r="B1328" t="str">
        <f>"1551764968831839"</f>
        <v>1551764968831839</v>
      </c>
      <c r="C1328" t="s">
        <v>40</v>
      </c>
      <c r="D1328">
        <v>4.2107269999999897</v>
      </c>
      <c r="E1328">
        <v>0.57733459999999903</v>
      </c>
      <c r="F1328" t="s">
        <v>42</v>
      </c>
      <c r="G1328">
        <v>-217.52189999999999</v>
      </c>
      <c r="H1328" s="1">
        <v>-2.5555520000000001E-6</v>
      </c>
      <c r="I1328">
        <v>363.12889999999999</v>
      </c>
      <c r="J1328">
        <v>-245.92359999999999</v>
      </c>
      <c r="K1328">
        <v>1.109434</v>
      </c>
      <c r="L1328">
        <v>368.25720000000001</v>
      </c>
      <c r="M1328">
        <v>0.99988520000000003</v>
      </c>
      <c r="N1328">
        <v>-1.461311E-2</v>
      </c>
      <c r="O1328">
        <v>4.0304750000000004E-3</v>
      </c>
      <c r="P1328">
        <v>0.99054750000000003</v>
      </c>
      <c r="Q1328">
        <v>-0.13558319999999999</v>
      </c>
      <c r="R1328">
        <v>2.0812520000000001E-2</v>
      </c>
      <c r="S1328">
        <v>3.0240779999999998</v>
      </c>
      <c r="T1328">
        <v>-0.1175035</v>
      </c>
      <c r="U1328">
        <v>-0.54309079999999998</v>
      </c>
      <c r="V1328">
        <v>-1.6893539999999999E-2</v>
      </c>
      <c r="W1328">
        <v>-0.1210823</v>
      </c>
      <c r="X1328">
        <v>0.99249869999999996</v>
      </c>
      <c r="Y1328">
        <v>0.18054290000000001</v>
      </c>
      <c r="Z1328">
        <v>-4.9057299999999996E-3</v>
      </c>
      <c r="AA1328">
        <v>0.98355490000000001</v>
      </c>
      <c r="AB1328">
        <v>34</v>
      </c>
      <c r="AC1328">
        <v>28.401700000000002</v>
      </c>
      <c r="AD1328">
        <v>-1.109436555552</v>
      </c>
      <c r="AE1328">
        <v>-5.1283000000000198</v>
      </c>
      <c r="AF1328">
        <v>5.2350071821750497</v>
      </c>
      <c r="AG1328">
        <v>-1.109436555552</v>
      </c>
      <c r="AH1328">
        <v>28.338921474648401</v>
      </c>
      <c r="AI1328">
        <v>92.204656500963907</v>
      </c>
      <c r="AJ1328">
        <v>79.533822190626196</v>
      </c>
      <c r="AK1328">
        <v>28.839740290344299</v>
      </c>
      <c r="AL1328">
        <v>96.954569345208796</v>
      </c>
      <c r="AM1328">
        <v>90.9751499750666</v>
      </c>
      <c r="AN1328">
        <v>0.99999999228435499</v>
      </c>
    </row>
    <row r="1329" spans="1:40" x14ac:dyDescent="0.25">
      <c r="A1329" t="str">
        <f>"20190305134928848"</f>
        <v>20190305134928848</v>
      </c>
      <c r="B1329" t="str">
        <f>"1551764968841599"</f>
        <v>1551764968841599</v>
      </c>
      <c r="C1329" t="s">
        <v>40</v>
      </c>
      <c r="D1329">
        <v>4.2289669999999999</v>
      </c>
      <c r="E1329">
        <v>0.57737950000000005</v>
      </c>
      <c r="F1329" t="s">
        <v>42</v>
      </c>
      <c r="G1329">
        <v>-216.8819</v>
      </c>
      <c r="H1329" s="1">
        <v>-2.7984569999999998E-6</v>
      </c>
      <c r="I1329">
        <v>363.03449999999998</v>
      </c>
      <c r="J1329">
        <v>-245.76730000000001</v>
      </c>
      <c r="K1329">
        <v>1.1094299999999999</v>
      </c>
      <c r="L1329">
        <v>368.2577</v>
      </c>
      <c r="M1329">
        <v>0.99988560000000004</v>
      </c>
      <c r="N1329">
        <v>-1.461141E-2</v>
      </c>
      <c r="O1329">
        <v>3.904416E-3</v>
      </c>
      <c r="P1329">
        <v>0.99051080000000002</v>
      </c>
      <c r="Q1329">
        <v>-0.1358753</v>
      </c>
      <c r="R1329">
        <v>2.0649029999999999E-2</v>
      </c>
      <c r="S1329">
        <v>3.0242309999999999</v>
      </c>
      <c r="T1329">
        <v>-0.1155298</v>
      </c>
      <c r="U1329">
        <v>-0.54385380000000005</v>
      </c>
      <c r="V1329">
        <v>-1.6856489999999998E-2</v>
      </c>
      <c r="W1329">
        <v>-0.1213765</v>
      </c>
      <c r="X1329">
        <v>0.9924634</v>
      </c>
      <c r="Y1329">
        <v>0.18065580000000001</v>
      </c>
      <c r="Z1329">
        <v>-4.8443640000000003E-3</v>
      </c>
      <c r="AA1329">
        <v>0.98353449999999998</v>
      </c>
      <c r="AB1329">
        <v>34</v>
      </c>
      <c r="AC1329">
        <v>28.885400000000001</v>
      </c>
      <c r="AD1329">
        <v>-1.1094327984569901</v>
      </c>
      <c r="AE1329">
        <v>-5.2232000000000198</v>
      </c>
      <c r="AF1329">
        <v>5.3283414484979996</v>
      </c>
      <c r="AG1329">
        <v>-1.1094327984569901</v>
      </c>
      <c r="AH1329">
        <v>28.823610307893201</v>
      </c>
      <c r="AI1329">
        <v>92.167561023457196</v>
      </c>
      <c r="AJ1329">
        <v>79.526521006436496</v>
      </c>
      <c r="AK1329">
        <v>29.332960554764298</v>
      </c>
      <c r="AL1329">
        <v>96.971550970463596</v>
      </c>
      <c r="AM1329">
        <v>90.973046341883304</v>
      </c>
      <c r="AN1329">
        <v>0.99999999817346497</v>
      </c>
    </row>
    <row r="1330" spans="1:40" x14ac:dyDescent="0.25">
      <c r="A1330" t="str">
        <f>"20190305134928860"</f>
        <v>20190305134928860</v>
      </c>
      <c r="B1330" t="str">
        <f>"1551764968852335"</f>
        <v>1551764968852335</v>
      </c>
      <c r="C1330" t="s">
        <v>40</v>
      </c>
      <c r="D1330">
        <v>4.2058160000000004</v>
      </c>
      <c r="E1330">
        <v>0.57727790000000001</v>
      </c>
      <c r="F1330" t="s">
        <v>42</v>
      </c>
      <c r="G1330">
        <v>-217.27289999999999</v>
      </c>
      <c r="H1330" s="1">
        <v>-2.640824E-6</v>
      </c>
      <c r="I1330">
        <v>363.12689999999998</v>
      </c>
      <c r="J1330">
        <v>-245.60069999999999</v>
      </c>
      <c r="K1330">
        <v>1.109424</v>
      </c>
      <c r="L1330">
        <v>368.25810000000001</v>
      </c>
      <c r="M1330">
        <v>0.99988619999999995</v>
      </c>
      <c r="N1330">
        <v>-1.460961E-2</v>
      </c>
      <c r="O1330">
        <v>3.767407E-3</v>
      </c>
      <c r="P1330">
        <v>0.99048539999999996</v>
      </c>
      <c r="Q1330">
        <v>-0.13608899999999999</v>
      </c>
      <c r="R1330">
        <v>2.0464860000000001E-2</v>
      </c>
      <c r="S1330">
        <v>3.0239410000000002</v>
      </c>
      <c r="T1330">
        <v>-0.1177371</v>
      </c>
      <c r="U1330">
        <v>-0.54449459999999905</v>
      </c>
      <c r="V1330">
        <v>-1.680918E-2</v>
      </c>
      <c r="W1330">
        <v>-0.1215923</v>
      </c>
      <c r="X1330">
        <v>0.99243780000000004</v>
      </c>
      <c r="Y1330">
        <v>0.18073339999999999</v>
      </c>
      <c r="Z1330">
        <v>-4.9114520000000002E-3</v>
      </c>
      <c r="AA1330">
        <v>0.9835199</v>
      </c>
      <c r="AB1330">
        <v>34</v>
      </c>
      <c r="AC1330">
        <v>28.3278</v>
      </c>
      <c r="AD1330">
        <v>-1.1094266408240001</v>
      </c>
      <c r="AE1330">
        <v>-5.13120000000003</v>
      </c>
      <c r="AF1330">
        <v>5.2301301386209804</v>
      </c>
      <c r="AG1330">
        <v>-1.1094266408240001</v>
      </c>
      <c r="AH1330">
        <v>28.2662877448881</v>
      </c>
      <c r="AI1330">
        <v>92.210177028717993</v>
      </c>
      <c r="AJ1330">
        <v>79.517082797262901</v>
      </c>
      <c r="AK1330">
        <v>28.767483581556</v>
      </c>
      <c r="AL1330">
        <v>96.984007569292999</v>
      </c>
      <c r="AM1330">
        <v>90.970340904267701</v>
      </c>
      <c r="AN1330">
        <v>1.0000000114101999</v>
      </c>
    </row>
    <row r="1331" spans="1:40" x14ac:dyDescent="0.25">
      <c r="A1331" t="str">
        <f>"20190305134928871"</f>
        <v>20190305134928871</v>
      </c>
      <c r="B1331" t="str">
        <f>"1551764968862094"</f>
        <v>1551764968862094</v>
      </c>
      <c r="C1331" t="s">
        <v>40</v>
      </c>
      <c r="D1331">
        <v>4.2353909999999999</v>
      </c>
      <c r="E1331">
        <v>0.57728109999999999</v>
      </c>
      <c r="F1331" t="s">
        <v>42</v>
      </c>
      <c r="G1331">
        <v>-217.6748</v>
      </c>
      <c r="H1331" s="1">
        <v>-2.4760839999999999E-6</v>
      </c>
      <c r="I1331">
        <v>363.23200000000003</v>
      </c>
      <c r="J1331">
        <v>-245.42500000000001</v>
      </c>
      <c r="K1331">
        <v>1.109421</v>
      </c>
      <c r="L1331">
        <v>368.25869999999998</v>
      </c>
      <c r="M1331">
        <v>0.99988679999999996</v>
      </c>
      <c r="N1331">
        <v>-1.4607729999999999E-2</v>
      </c>
      <c r="O1331">
        <v>3.6224730000000002E-3</v>
      </c>
      <c r="P1331">
        <v>0.99039029999999995</v>
      </c>
      <c r="Q1331">
        <v>-0.13681279999999901</v>
      </c>
      <c r="R1331">
        <v>2.023529E-2</v>
      </c>
      <c r="S1331">
        <v>3.0235750000000001</v>
      </c>
      <c r="T1331">
        <v>-0.120119</v>
      </c>
      <c r="U1331">
        <v>-0.54418949999999999</v>
      </c>
      <c r="V1331">
        <v>-1.6725340000000002E-2</v>
      </c>
      <c r="W1331">
        <v>-0.12231930000000001</v>
      </c>
      <c r="X1331">
        <v>0.99234990000000001</v>
      </c>
      <c r="Y1331">
        <v>0.18050920000000001</v>
      </c>
      <c r="Z1331">
        <v>-4.9755700000000003E-3</v>
      </c>
      <c r="AA1331">
        <v>0.98356069999999995</v>
      </c>
      <c r="AB1331">
        <v>34</v>
      </c>
      <c r="AC1331">
        <v>27.7502</v>
      </c>
      <c r="AD1331">
        <v>-1.109423476084</v>
      </c>
      <c r="AE1331">
        <v>-5.0266999999999999</v>
      </c>
      <c r="AF1331">
        <v>5.1192798059122699</v>
      </c>
      <c r="AG1331">
        <v>-1.109423476084</v>
      </c>
      <c r="AH1331">
        <v>27.688957162639301</v>
      </c>
      <c r="AI1331">
        <v>92.256265530455494</v>
      </c>
      <c r="AJ1331">
        <v>79.525139027307404</v>
      </c>
      <c r="AK1331">
        <v>28.1800673337553</v>
      </c>
      <c r="AL1331">
        <v>97.025974690737698</v>
      </c>
      <c r="AM1331">
        <v>90.965587509851005</v>
      </c>
      <c r="AN1331">
        <v>1.0000000360903001</v>
      </c>
    </row>
    <row r="1332" spans="1:40" x14ac:dyDescent="0.25">
      <c r="A1332" t="str">
        <f>"20190305134928882"</f>
        <v>20190305134928882</v>
      </c>
      <c r="B1332" t="str">
        <f>"1551764968871855"</f>
        <v>1551764968871855</v>
      </c>
      <c r="C1332" t="s">
        <v>40</v>
      </c>
      <c r="D1332">
        <v>4.2164380000000001</v>
      </c>
      <c r="E1332">
        <v>0.57724589999999998</v>
      </c>
      <c r="F1332" t="s">
        <v>42</v>
      </c>
      <c r="G1332">
        <v>-218.2122</v>
      </c>
      <c r="H1332" s="1">
        <v>-2.260586E-6</v>
      </c>
      <c r="I1332">
        <v>363.3546</v>
      </c>
      <c r="J1332">
        <v>-245.2559</v>
      </c>
      <c r="K1332">
        <v>1.109416</v>
      </c>
      <c r="L1332">
        <v>368.25920000000002</v>
      </c>
      <c r="M1332">
        <v>0.99988739999999998</v>
      </c>
      <c r="N1332">
        <v>-1.460591E-2</v>
      </c>
      <c r="O1332">
        <v>3.4817870000000001E-3</v>
      </c>
      <c r="P1332">
        <v>0.99030870000000004</v>
      </c>
      <c r="Q1332">
        <v>-0.13743050000000001</v>
      </c>
      <c r="R1332">
        <v>2.0049069999999999E-2</v>
      </c>
      <c r="S1332">
        <v>3.023209</v>
      </c>
      <c r="T1332">
        <v>-0.123251399999999</v>
      </c>
      <c r="U1332">
        <v>-0.54483029999999999</v>
      </c>
      <c r="V1332">
        <v>-1.6679570000000001E-2</v>
      </c>
      <c r="W1332">
        <v>-0.1229399</v>
      </c>
      <c r="X1332">
        <v>0.99227390000000004</v>
      </c>
      <c r="Y1332">
        <v>0.18058469999999999</v>
      </c>
      <c r="Z1332">
        <v>-5.070654E-3</v>
      </c>
      <c r="AA1332">
        <v>0.98354640000000004</v>
      </c>
      <c r="AB1332">
        <v>34</v>
      </c>
      <c r="AC1332">
        <v>27.043700000000001</v>
      </c>
      <c r="AD1332">
        <v>-1.1094182605859999</v>
      </c>
      <c r="AE1332">
        <v>-4.9046000000000101</v>
      </c>
      <c r="AF1332">
        <v>4.9906094459602102</v>
      </c>
      <c r="AG1332">
        <v>-1.1094182605859999</v>
      </c>
      <c r="AH1332">
        <v>26.982494575599301</v>
      </c>
      <c r="AI1332">
        <v>92.315235515805796</v>
      </c>
      <c r="AJ1332">
        <v>79.521147232737505</v>
      </c>
      <c r="AK1332">
        <v>27.462556418536</v>
      </c>
      <c r="AL1332">
        <v>97.061803404822101</v>
      </c>
      <c r="AM1332">
        <v>90.963019353758</v>
      </c>
      <c r="AN1332">
        <v>0.99999995984430101</v>
      </c>
    </row>
    <row r="1333" spans="1:40" x14ac:dyDescent="0.25">
      <c r="A1333" t="str">
        <f>"20190305134928894"</f>
        <v>20190305134928894</v>
      </c>
      <c r="B1333" t="str">
        <f>"1551764968881615"</f>
        <v>1551764968881615</v>
      </c>
      <c r="C1333" t="s">
        <v>40</v>
      </c>
      <c r="D1333">
        <v>3.868325</v>
      </c>
      <c r="E1333">
        <v>0.57724589999999998</v>
      </c>
      <c r="F1333" t="s">
        <v>42</v>
      </c>
      <c r="G1333">
        <v>-218.7458</v>
      </c>
      <c r="H1333" s="1">
        <v>-2.0470699999999999E-6</v>
      </c>
      <c r="I1333">
        <v>363.47460000000001</v>
      </c>
      <c r="J1333">
        <v>-245.09010000000001</v>
      </c>
      <c r="K1333">
        <v>1.109415</v>
      </c>
      <c r="L1333">
        <v>368.25959999999998</v>
      </c>
      <c r="M1333">
        <v>0.99988790000000005</v>
      </c>
      <c r="N1333">
        <v>-1.460413E-2</v>
      </c>
      <c r="O1333">
        <v>3.3436099999999999E-3</v>
      </c>
      <c r="P1333">
        <v>0.99021320000000002</v>
      </c>
      <c r="Q1333">
        <v>-0.138154</v>
      </c>
      <c r="R1333">
        <v>1.9788940000000001E-2</v>
      </c>
      <c r="S1333">
        <v>3.0228269999999999</v>
      </c>
      <c r="T1333">
        <v>-0.12650159999999999</v>
      </c>
      <c r="U1333">
        <v>-0.54556269999999996</v>
      </c>
      <c r="V1333">
        <v>-1.6557410000000002E-2</v>
      </c>
      <c r="W1333">
        <v>-0.1236665</v>
      </c>
      <c r="X1333">
        <v>0.99218569999999995</v>
      </c>
      <c r="Y1333">
        <v>0.18069189999999999</v>
      </c>
      <c r="Z1333">
        <v>-5.1701259999999997E-3</v>
      </c>
      <c r="AA1333">
        <v>0.98352620000000002</v>
      </c>
      <c r="AB1333">
        <v>34</v>
      </c>
      <c r="AC1333">
        <v>26.3443</v>
      </c>
      <c r="AD1333">
        <v>-1.10941704707</v>
      </c>
      <c r="AE1333">
        <v>-4.7849999999999602</v>
      </c>
      <c r="AF1333">
        <v>4.86471594525326</v>
      </c>
      <c r="AG1333">
        <v>-1.10941704707</v>
      </c>
      <c r="AH1333">
        <v>26.2830290979105</v>
      </c>
      <c r="AI1333">
        <v>92.376721917189897</v>
      </c>
      <c r="AJ1333">
        <v>79.513816849763401</v>
      </c>
      <c r="AK1333">
        <v>26.752455699878102</v>
      </c>
      <c r="AL1333">
        <v>97.103754311058594</v>
      </c>
      <c r="AM1333">
        <v>90.956052545954506</v>
      </c>
      <c r="AN1333">
        <v>1.00000000716632</v>
      </c>
    </row>
    <row r="1334" spans="1:40" x14ac:dyDescent="0.25">
      <c r="A1334" t="str">
        <f>"20190305134928905"</f>
        <v>20190305134928905</v>
      </c>
      <c r="B1334" t="str">
        <f>"1551764968902111"</f>
        <v>1551764968902111</v>
      </c>
      <c r="C1334" t="s">
        <v>40</v>
      </c>
      <c r="D1334">
        <v>4.2152609999999999</v>
      </c>
      <c r="E1334">
        <v>0.62258719999999901</v>
      </c>
      <c r="F1334" t="s">
        <v>42</v>
      </c>
      <c r="G1334">
        <v>-219.03389999999999</v>
      </c>
      <c r="H1334" s="1">
        <v>-1.9288079999999999E-6</v>
      </c>
      <c r="I1334">
        <v>363.55059999999997</v>
      </c>
      <c r="J1334">
        <v>-244.91370000000001</v>
      </c>
      <c r="K1334">
        <v>1.109415</v>
      </c>
      <c r="L1334">
        <v>368.26010000000002</v>
      </c>
      <c r="M1334">
        <v>0.99988840000000001</v>
      </c>
      <c r="N1334">
        <v>-1.4602230000000001E-2</v>
      </c>
      <c r="O1334">
        <v>3.1961419999999999E-3</v>
      </c>
      <c r="P1334">
        <v>0.99016890000000002</v>
      </c>
      <c r="Q1334">
        <v>-0.13850799999999999</v>
      </c>
      <c r="R1334">
        <v>1.9527349999999999E-2</v>
      </c>
      <c r="S1334">
        <v>3.0226139999999999</v>
      </c>
      <c r="T1334">
        <v>-0.12869620000000001</v>
      </c>
      <c r="U1334">
        <v>-0.54626459999999999</v>
      </c>
      <c r="V1334">
        <v>-1.6443119999999999E-2</v>
      </c>
      <c r="W1334">
        <v>-0.12402299999999999</v>
      </c>
      <c r="X1334">
        <v>0.99214310000000006</v>
      </c>
      <c r="Y1334">
        <v>0.18077370000000001</v>
      </c>
      <c r="Z1334">
        <v>-5.2358329999999996E-3</v>
      </c>
      <c r="AA1334">
        <v>0.98351080000000002</v>
      </c>
      <c r="AB1334">
        <v>34</v>
      </c>
      <c r="AC1334">
        <v>25.879799999999999</v>
      </c>
      <c r="AD1334">
        <v>-1.109416928808</v>
      </c>
      <c r="AE1334">
        <v>-4.7095000000000402</v>
      </c>
      <c r="AF1334">
        <v>4.7836911950412198</v>
      </c>
      <c r="AG1334">
        <v>-1.109416928808</v>
      </c>
      <c r="AH1334">
        <v>25.818688529894299</v>
      </c>
      <c r="AI1334">
        <v>92.419333425007395</v>
      </c>
      <c r="AJ1334">
        <v>79.5032608749475</v>
      </c>
      <c r="AK1334">
        <v>26.281536956105398</v>
      </c>
      <c r="AL1334">
        <v>97.124338733108402</v>
      </c>
      <c r="AM1334">
        <v>90.949495222050899</v>
      </c>
      <c r="AN1334">
        <v>1.0000000058009699</v>
      </c>
    </row>
    <row r="1335" spans="1:40" x14ac:dyDescent="0.25">
      <c r="A1335" t="str">
        <f>"20190305134928915"</f>
        <v>20190305134928915</v>
      </c>
      <c r="B1335" t="str">
        <f>"1551764968911871"</f>
        <v>1551764968911871</v>
      </c>
      <c r="C1335" t="s">
        <v>40</v>
      </c>
      <c r="D1335">
        <v>4.1651790000000002</v>
      </c>
      <c r="E1335">
        <v>0.58035890000000001</v>
      </c>
      <c r="F1335" t="s">
        <v>53</v>
      </c>
      <c r="G1335">
        <v>-151.6454</v>
      </c>
      <c r="H1335">
        <v>21.310410000000001</v>
      </c>
      <c r="I1335">
        <v>342.19</v>
      </c>
      <c r="J1335">
        <v>-244.7509</v>
      </c>
      <c r="K1335">
        <v>1.1094139999999999</v>
      </c>
      <c r="L1335">
        <v>368.26049999999998</v>
      </c>
      <c r="M1335">
        <v>0.99988880000000002</v>
      </c>
      <c r="N1335">
        <v>-1.4600470000000001E-2</v>
      </c>
      <c r="O1335">
        <v>3.0601819999999998E-3</v>
      </c>
      <c r="P1335">
        <v>0.99018680000000003</v>
      </c>
      <c r="Q1335">
        <v>-0.13837629999999901</v>
      </c>
      <c r="R1335">
        <v>1.9560330000000001E-2</v>
      </c>
      <c r="S1335">
        <v>3.1423030000000001</v>
      </c>
      <c r="T1335">
        <v>0.68059209999999903</v>
      </c>
      <c r="U1335">
        <v>-0.87832639999999995</v>
      </c>
      <c r="V1335">
        <v>-1.661087E-2</v>
      </c>
      <c r="W1335">
        <v>-0.12389269999999999</v>
      </c>
      <c r="X1335">
        <v>0.99215660000000006</v>
      </c>
      <c r="Y1335">
        <v>0.26674419999999999</v>
      </c>
      <c r="Z1335">
        <v>2.6719940000000001E-2</v>
      </c>
      <c r="AA1335">
        <v>0.9633969</v>
      </c>
      <c r="AB1335">
        <v>34</v>
      </c>
      <c r="AC1335">
        <v>93.105500000000006</v>
      </c>
      <c r="AD1335">
        <v>20.200996</v>
      </c>
      <c r="AE1335">
        <v>-26.0704999999999</v>
      </c>
      <c r="AF1335">
        <v>25.2529639678101</v>
      </c>
      <c r="AG1335">
        <v>20.200996</v>
      </c>
      <c r="AH1335">
        <v>89.134307662856401</v>
      </c>
      <c r="AI1335">
        <v>77.699020268336497</v>
      </c>
      <c r="AJ1335">
        <v>74.181851258174206</v>
      </c>
      <c r="AK1335">
        <v>94.819392695209103</v>
      </c>
      <c r="AL1335">
        <v>97.116814961389395</v>
      </c>
      <c r="AM1335">
        <v>90.959166966366197</v>
      </c>
      <c r="AN1335">
        <v>1.0000000205195001</v>
      </c>
    </row>
    <row r="1336" spans="1:40" x14ac:dyDescent="0.25">
      <c r="A1336" t="str">
        <f>"20190305134928926"</f>
        <v>20190305134928926</v>
      </c>
      <c r="B1336" t="str">
        <f>"1551764968921631"</f>
        <v>1551764968921631</v>
      </c>
      <c r="C1336" t="s">
        <v>40</v>
      </c>
      <c r="D1336">
        <v>4.2792640000000004</v>
      </c>
      <c r="E1336">
        <v>0.580596</v>
      </c>
      <c r="F1336" t="s">
        <v>42</v>
      </c>
      <c r="G1336">
        <v>-214.44069999999999</v>
      </c>
      <c r="H1336" s="1">
        <v>-3.7607010000000001E-6</v>
      </c>
      <c r="I1336">
        <v>362.5403</v>
      </c>
      <c r="J1336">
        <v>-244.5779</v>
      </c>
      <c r="K1336">
        <v>1.109416</v>
      </c>
      <c r="L1336">
        <v>368.26089999999999</v>
      </c>
      <c r="M1336">
        <v>0.99988920000000003</v>
      </c>
      <c r="N1336">
        <v>-1.459858E-2</v>
      </c>
      <c r="O1336">
        <v>2.9157020000000001E-3</v>
      </c>
      <c r="P1336">
        <v>0.99020859999999999</v>
      </c>
      <c r="Q1336">
        <v>-0.13827929999999999</v>
      </c>
      <c r="R1336">
        <v>1.9128949999999999E-2</v>
      </c>
      <c r="S1336">
        <v>3.0255580000000002</v>
      </c>
      <c r="T1336">
        <v>-0.1107417</v>
      </c>
      <c r="U1336">
        <v>-0.57098389999999999</v>
      </c>
      <c r="V1336">
        <v>-1.632248E-2</v>
      </c>
      <c r="W1336">
        <v>-0.1237975</v>
      </c>
      <c r="X1336">
        <v>0.99217330000000004</v>
      </c>
      <c r="Y1336">
        <v>0.188139</v>
      </c>
      <c r="Z1336">
        <v>-4.8614770000000003E-3</v>
      </c>
      <c r="AA1336">
        <v>0.98213039999999996</v>
      </c>
      <c r="AB1336">
        <v>34</v>
      </c>
      <c r="AC1336">
        <v>30.1372</v>
      </c>
      <c r="AD1336">
        <v>-1.1094197607009999</v>
      </c>
      <c r="AE1336">
        <v>-5.7205999999999904</v>
      </c>
      <c r="AF1336">
        <v>5.8008685048768296</v>
      </c>
      <c r="AG1336">
        <v>-1.1094197607009999</v>
      </c>
      <c r="AH1336">
        <v>30.081044026706198</v>
      </c>
      <c r="AI1336">
        <v>92.073992522843099</v>
      </c>
      <c r="AJ1336">
        <v>79.084991151883798</v>
      </c>
      <c r="AK1336">
        <v>30.6553436998012</v>
      </c>
      <c r="AL1336">
        <v>97.111317869519894</v>
      </c>
      <c r="AM1336">
        <v>90.942501536301094</v>
      </c>
      <c r="AN1336">
        <v>1.0000000507962401</v>
      </c>
    </row>
    <row r="1337" spans="1:40" x14ac:dyDescent="0.25">
      <c r="A1337" t="str">
        <f>"20190305134928940"</f>
        <v>20190305134928940</v>
      </c>
      <c r="B1337" t="str">
        <f>"1551764968932367"</f>
        <v>1551764968932367</v>
      </c>
      <c r="C1337" t="s">
        <v>40</v>
      </c>
      <c r="D1337">
        <v>4.2254990000000001</v>
      </c>
      <c r="E1337">
        <v>0.58044189999999996</v>
      </c>
      <c r="F1337" t="s">
        <v>42</v>
      </c>
      <c r="G1337">
        <v>-213.57040000000001</v>
      </c>
      <c r="H1337" s="1">
        <v>-4.1000429999999998E-6</v>
      </c>
      <c r="I1337">
        <v>362.37810000000002</v>
      </c>
      <c r="J1337">
        <v>-244.38890000000001</v>
      </c>
      <c r="K1337">
        <v>1.109416</v>
      </c>
      <c r="L1337">
        <v>368.26130000000001</v>
      </c>
      <c r="M1337">
        <v>0.99988969999999999</v>
      </c>
      <c r="N1337">
        <v>-1.459654E-2</v>
      </c>
      <c r="O1337">
        <v>2.7578189999999999E-3</v>
      </c>
      <c r="P1337">
        <v>0.99025960000000002</v>
      </c>
      <c r="Q1337">
        <v>-0.13793910000000001</v>
      </c>
      <c r="R1337">
        <v>1.8939890000000001E-2</v>
      </c>
      <c r="S1337">
        <v>3.0256500000000002</v>
      </c>
      <c r="T1337">
        <v>-0.1082549</v>
      </c>
      <c r="U1337">
        <v>-0.57403559999999998</v>
      </c>
      <c r="V1337">
        <v>-1.629005E-2</v>
      </c>
      <c r="W1337">
        <v>-0.1234586</v>
      </c>
      <c r="X1337">
        <v>0.99221599999999999</v>
      </c>
      <c r="Y1337">
        <v>0.18894069999999999</v>
      </c>
      <c r="Z1337">
        <v>-4.7988320000000003E-3</v>
      </c>
      <c r="AA1337">
        <v>0.98197670000000004</v>
      </c>
      <c r="AB1337">
        <v>34</v>
      </c>
      <c r="AC1337">
        <v>30.8185</v>
      </c>
      <c r="AD1337">
        <v>-1.109420100043</v>
      </c>
      <c r="AE1337">
        <v>-5.88319999999998</v>
      </c>
      <c r="AF1337">
        <v>5.9607256570571598</v>
      </c>
      <c r="AG1337">
        <v>-1.109420100043</v>
      </c>
      <c r="AH1337">
        <v>30.763691541978599</v>
      </c>
      <c r="AI1337">
        <v>92.027663770698595</v>
      </c>
      <c r="AJ1337">
        <v>79.034335843825801</v>
      </c>
      <c r="AK1337">
        <v>31.355474491818601</v>
      </c>
      <c r="AL1337">
        <v>97.091750645193898</v>
      </c>
      <c r="AM1337">
        <v>90.940588809656504</v>
      </c>
      <c r="AN1337">
        <v>0.99999999114948102</v>
      </c>
    </row>
    <row r="1338" spans="1:40" x14ac:dyDescent="0.25">
      <c r="A1338" t="str">
        <f>"20190305134928953"</f>
        <v>20190305134928953</v>
      </c>
      <c r="B1338" t="str">
        <f>"1551764968942127"</f>
        <v>1551764968942127</v>
      </c>
      <c r="C1338" t="s">
        <v>40</v>
      </c>
      <c r="D1338">
        <v>4.2234170000000004</v>
      </c>
      <c r="E1338">
        <v>0.5803142</v>
      </c>
      <c r="F1338" t="s">
        <v>42</v>
      </c>
      <c r="G1338">
        <v>-213.61949999999999</v>
      </c>
      <c r="H1338" s="1">
        <v>-4.0702810000000003E-6</v>
      </c>
      <c r="I1338">
        <v>362.42720000000003</v>
      </c>
      <c r="J1338">
        <v>-244.17920000000001</v>
      </c>
      <c r="K1338">
        <v>1.109418</v>
      </c>
      <c r="L1338">
        <v>368.26170000000002</v>
      </c>
      <c r="M1338">
        <v>0.99989030000000001</v>
      </c>
      <c r="N1338">
        <v>-1.4594279999999999E-2</v>
      </c>
      <c r="O1338">
        <v>2.582773E-3</v>
      </c>
      <c r="P1338">
        <v>0.99028340000000004</v>
      </c>
      <c r="Q1338">
        <v>-0.13778959999999901</v>
      </c>
      <c r="R1338">
        <v>1.8789750000000001E-2</v>
      </c>
      <c r="S1338">
        <v>3.0252690000000002</v>
      </c>
      <c r="T1338">
        <v>-0.10907849999999999</v>
      </c>
      <c r="U1338">
        <v>-0.57360840000000002</v>
      </c>
      <c r="V1338">
        <v>-1.6313069999999999E-2</v>
      </c>
      <c r="W1338">
        <v>-0.123311</v>
      </c>
      <c r="X1338">
        <v>0.99223399999999995</v>
      </c>
      <c r="Y1338">
        <v>0.18865570000000001</v>
      </c>
      <c r="Z1338">
        <v>-4.814385E-3</v>
      </c>
      <c r="AA1338">
        <v>0.98203149999999995</v>
      </c>
      <c r="AB1338">
        <v>34</v>
      </c>
      <c r="AC1338">
        <v>30.559699999999999</v>
      </c>
      <c r="AD1338">
        <v>-1.109422070281</v>
      </c>
      <c r="AE1338">
        <v>-5.8344999999999896</v>
      </c>
      <c r="AF1338">
        <v>5.9059078140728802</v>
      </c>
      <c r="AG1338">
        <v>-1.109422070281</v>
      </c>
      <c r="AH1338">
        <v>30.505736508137701</v>
      </c>
      <c r="AI1338">
        <v>92.044859204804794</v>
      </c>
      <c r="AJ1338">
        <v>79.043091983837002</v>
      </c>
      <c r="AK1338">
        <v>31.091968807752899</v>
      </c>
      <c r="AL1338">
        <v>97.083228501972599</v>
      </c>
      <c r="AM1338">
        <v>90.941900662885502</v>
      </c>
      <c r="AN1338">
        <v>1.00000001486491</v>
      </c>
    </row>
    <row r="1339" spans="1:40" x14ac:dyDescent="0.25">
      <c r="A1339" t="str">
        <f>"20190305134928967"</f>
        <v>20190305134928967</v>
      </c>
      <c r="B1339" t="str">
        <f>"1551764968961646"</f>
        <v>1551764968961646</v>
      </c>
      <c r="C1339" t="s">
        <v>40</v>
      </c>
      <c r="D1339">
        <v>6.7390840000000001</v>
      </c>
      <c r="E1339">
        <v>0.58056109999999905</v>
      </c>
      <c r="F1339" t="s">
        <v>42</v>
      </c>
      <c r="G1339">
        <v>-213.71029999999999</v>
      </c>
      <c r="H1339" s="1">
        <v>-4.0223639999999997E-6</v>
      </c>
      <c r="I1339">
        <v>362.49110000000002</v>
      </c>
      <c r="J1339">
        <v>-243.9778</v>
      </c>
      <c r="K1339">
        <v>1.109418</v>
      </c>
      <c r="L1339">
        <v>368.262</v>
      </c>
      <c r="M1339">
        <v>0.99989070000000002</v>
      </c>
      <c r="N1339">
        <v>-1.45920999999999E-2</v>
      </c>
      <c r="O1339">
        <v>2.4152370000000002E-3</v>
      </c>
      <c r="P1339">
        <v>0.99028740000000004</v>
      </c>
      <c r="Q1339">
        <v>-0.1377843</v>
      </c>
      <c r="R1339">
        <v>1.8617660000000001E-2</v>
      </c>
      <c r="S1339">
        <v>3.0249790000000001</v>
      </c>
      <c r="T1339">
        <v>-0.11014400000000001</v>
      </c>
      <c r="U1339">
        <v>-0.57290649999999999</v>
      </c>
      <c r="V1339">
        <v>-1.6307390000000001E-2</v>
      </c>
      <c r="W1339">
        <v>-0.1233079</v>
      </c>
      <c r="X1339">
        <v>0.99223450000000002</v>
      </c>
      <c r="Y1339">
        <v>0.18828590000000001</v>
      </c>
      <c r="Z1339">
        <v>-4.8353520000000002E-3</v>
      </c>
      <c r="AA1339">
        <v>0.98210229999999998</v>
      </c>
      <c r="AB1339">
        <v>34</v>
      </c>
      <c r="AC1339">
        <v>30.267499999999998</v>
      </c>
      <c r="AD1339">
        <v>-1.1094220223639999</v>
      </c>
      <c r="AE1339">
        <v>-5.7708999999999202</v>
      </c>
      <c r="AF1339">
        <v>5.8364278884260496</v>
      </c>
      <c r="AG1339">
        <v>-1.1094220223639999</v>
      </c>
      <c r="AH1339">
        <v>30.214302849524302</v>
      </c>
      <c r="AI1339">
        <v>92.064732122994897</v>
      </c>
      <c r="AJ1339">
        <v>79.066962112787493</v>
      </c>
      <c r="AK1339">
        <v>30.792836900865101</v>
      </c>
      <c r="AL1339">
        <v>97.083049368067293</v>
      </c>
      <c r="AM1339">
        <v>90.941572289923499</v>
      </c>
      <c r="AN1339">
        <v>1.00000003608063</v>
      </c>
    </row>
    <row r="1340" spans="1:40" x14ac:dyDescent="0.25">
      <c r="A1340" t="str">
        <f>"20190305134928980"</f>
        <v>20190305134928980</v>
      </c>
      <c r="B1340" t="str">
        <f>"1551764968972382"</f>
        <v>1551764968972382</v>
      </c>
      <c r="C1340" t="s">
        <v>40</v>
      </c>
      <c r="D1340">
        <v>4.234064</v>
      </c>
      <c r="E1340">
        <v>0.58062519999999995</v>
      </c>
      <c r="F1340" t="s">
        <v>42</v>
      </c>
      <c r="G1340">
        <v>-211.67939999999999</v>
      </c>
      <c r="H1340" s="1">
        <v>-4.8817869999999999E-6</v>
      </c>
      <c r="I1340">
        <v>362.1189</v>
      </c>
      <c r="J1340">
        <v>-243.76929999999999</v>
      </c>
      <c r="K1340">
        <v>1.1094139999999999</v>
      </c>
      <c r="L1340">
        <v>368.26240000000001</v>
      </c>
      <c r="M1340">
        <v>0.99989099999999997</v>
      </c>
      <c r="N1340">
        <v>-1.458983E-2</v>
      </c>
      <c r="O1340">
        <v>2.242338E-3</v>
      </c>
      <c r="P1340">
        <v>0.99029840000000002</v>
      </c>
      <c r="Q1340">
        <v>-0.1377379</v>
      </c>
      <c r="R1340">
        <v>1.8369690000000001E-2</v>
      </c>
      <c r="S1340">
        <v>3.0257869999999998</v>
      </c>
      <c r="T1340">
        <v>-0.10393289999999999</v>
      </c>
      <c r="U1340">
        <v>-0.57550049999999997</v>
      </c>
      <c r="V1340">
        <v>-1.6230830000000002E-2</v>
      </c>
      <c r="W1340">
        <v>-0.1232637</v>
      </c>
      <c r="X1340">
        <v>0.99224120000000005</v>
      </c>
      <c r="Y1340">
        <v>0.18889649999999999</v>
      </c>
      <c r="Z1340">
        <v>-4.649228E-3</v>
      </c>
      <c r="AA1340">
        <v>0.98198600000000003</v>
      </c>
      <c r="AB1340">
        <v>34</v>
      </c>
      <c r="AC1340">
        <v>32.0899</v>
      </c>
      <c r="AD1340">
        <v>-1.1094188817870001</v>
      </c>
      <c r="AE1340">
        <v>-6.1435000000000102</v>
      </c>
      <c r="AF1340">
        <v>6.2082905869208496</v>
      </c>
      <c r="AG1340">
        <v>-1.1094188817870001</v>
      </c>
      <c r="AH1340">
        <v>32.039101618154803</v>
      </c>
      <c r="AI1340">
        <v>91.947002934302802</v>
      </c>
      <c r="AJ1340">
        <v>79.033571548146</v>
      </c>
      <c r="AK1340">
        <v>32.653908108607197</v>
      </c>
      <c r="AL1340">
        <v>97.080497759547399</v>
      </c>
      <c r="AM1340">
        <v>90.937146255899705</v>
      </c>
      <c r="AN1340">
        <v>0.99999998927880895</v>
      </c>
    </row>
    <row r="1341" spans="1:40" x14ac:dyDescent="0.25">
      <c r="A1341" t="str">
        <f>"20190305134928993"</f>
        <v>20190305134928993</v>
      </c>
      <c r="B1341" t="str">
        <f>"1551764968982143"</f>
        <v>1551764968982143</v>
      </c>
      <c r="C1341" t="s">
        <v>40</v>
      </c>
      <c r="D1341">
        <v>4.2238810000000004</v>
      </c>
      <c r="E1341">
        <v>0.58087900000000003</v>
      </c>
      <c r="F1341" t="s">
        <v>42</v>
      </c>
      <c r="G1341">
        <v>-211.70679999999999</v>
      </c>
      <c r="H1341" s="1">
        <v>-4.8637590000000003E-6</v>
      </c>
      <c r="I1341">
        <v>362.1542</v>
      </c>
      <c r="J1341">
        <v>-243.56620000000001</v>
      </c>
      <c r="K1341">
        <v>1.1094139999999999</v>
      </c>
      <c r="L1341">
        <v>368.26260000000002</v>
      </c>
      <c r="M1341">
        <v>0.99989159999999999</v>
      </c>
      <c r="N1341">
        <v>-1.4587640000000001E-2</v>
      </c>
      <c r="O1341">
        <v>2.0737920000000001E-3</v>
      </c>
      <c r="P1341">
        <v>0.99027880000000001</v>
      </c>
      <c r="Q1341">
        <v>-0.13786309999999999</v>
      </c>
      <c r="R1341">
        <v>1.849632E-2</v>
      </c>
      <c r="S1341">
        <v>3.025528</v>
      </c>
      <c r="T1341">
        <v>-0.1046883</v>
      </c>
      <c r="U1341">
        <v>-0.5763855</v>
      </c>
      <c r="V1341">
        <v>-1.6524859999999999E-2</v>
      </c>
      <c r="W1341">
        <v>-0.1233911</v>
      </c>
      <c r="X1341">
        <v>0.99222049999999995</v>
      </c>
      <c r="Y1341">
        <v>0.18902160000000001</v>
      </c>
      <c r="Z1341">
        <v>-4.6728869999999997E-3</v>
      </c>
      <c r="AA1341">
        <v>0.9819618</v>
      </c>
      <c r="AB1341">
        <v>34</v>
      </c>
      <c r="AC1341">
        <v>31.859400000000001</v>
      </c>
      <c r="AD1341">
        <v>-1.1094188637589999</v>
      </c>
      <c r="AE1341">
        <v>-6.1084000000000103</v>
      </c>
      <c r="AF1341">
        <v>6.1672504329056004</v>
      </c>
      <c r="AG1341">
        <v>-1.1094188637589999</v>
      </c>
      <c r="AH1341">
        <v>31.809458224415199</v>
      </c>
      <c r="AI1341">
        <v>91.961008251430798</v>
      </c>
      <c r="AJ1341">
        <v>79.027567811225893</v>
      </c>
      <c r="AK1341">
        <v>32.420786860411901</v>
      </c>
      <c r="AL1341">
        <v>97.087853477866801</v>
      </c>
      <c r="AM1341">
        <v>90.954139942946796</v>
      </c>
      <c r="AN1341">
        <v>0.99999997758873904</v>
      </c>
    </row>
    <row r="1342" spans="1:40" x14ac:dyDescent="0.25">
      <c r="A1342" t="str">
        <f>"20190305134929004"</f>
        <v>20190305134929004</v>
      </c>
      <c r="B1342" t="str">
        <f>"1551764969001663"</f>
        <v>1551764969001663</v>
      </c>
      <c r="C1342" t="s">
        <v>40</v>
      </c>
      <c r="D1342">
        <v>4.2298179999999999</v>
      </c>
      <c r="E1342">
        <v>0.58091890000000002</v>
      </c>
      <c r="F1342" t="s">
        <v>42</v>
      </c>
      <c r="G1342">
        <v>-210.74780000000001</v>
      </c>
      <c r="H1342" s="1">
        <v>-5.303517E-6</v>
      </c>
      <c r="I1342">
        <v>361.99419999999998</v>
      </c>
      <c r="J1342">
        <v>-243.39670000000001</v>
      </c>
      <c r="K1342">
        <v>1.1094139999999999</v>
      </c>
      <c r="L1342">
        <v>368.26280000000003</v>
      </c>
      <c r="M1342">
        <v>0.99989189999999994</v>
      </c>
      <c r="N1342">
        <v>-1.458579E-2</v>
      </c>
      <c r="O1342">
        <v>1.9333219999999999E-3</v>
      </c>
      <c r="P1342">
        <v>0.99024889999999999</v>
      </c>
      <c r="Q1342">
        <v>-0.13806170000000001</v>
      </c>
      <c r="R1342">
        <v>1.8612469999999999E-2</v>
      </c>
      <c r="S1342">
        <v>3.0259860000000001</v>
      </c>
      <c r="T1342">
        <v>-0.1022927</v>
      </c>
      <c r="U1342">
        <v>-0.57797240000000005</v>
      </c>
      <c r="V1342">
        <v>-1.6779929999999998E-2</v>
      </c>
      <c r="W1342">
        <v>-0.1235918</v>
      </c>
      <c r="X1342">
        <v>0.9921913</v>
      </c>
      <c r="Y1342">
        <v>0.1893591</v>
      </c>
      <c r="Z1342">
        <v>-4.6018500000000002E-3</v>
      </c>
      <c r="AA1342">
        <v>0.98189709999999997</v>
      </c>
      <c r="AB1342">
        <v>34</v>
      </c>
      <c r="AC1342">
        <v>32.648899999999998</v>
      </c>
      <c r="AD1342">
        <v>-1.1094193035169999</v>
      </c>
      <c r="AE1342">
        <v>-6.2686000000000401</v>
      </c>
      <c r="AF1342">
        <v>6.3246726168408998</v>
      </c>
      <c r="AG1342">
        <v>-1.1094193035169999</v>
      </c>
      <c r="AH1342">
        <v>32.6004143670852</v>
      </c>
      <c r="AI1342">
        <v>91.913421914706802</v>
      </c>
      <c r="AJ1342">
        <v>79.020672675030397</v>
      </c>
      <c r="AK1342">
        <v>33.226786058944803</v>
      </c>
      <c r="AL1342">
        <v>97.099441012495205</v>
      </c>
      <c r="AM1342">
        <v>90.968893322298797</v>
      </c>
      <c r="AN1342">
        <v>1.0000000374368601</v>
      </c>
    </row>
    <row r="1343" spans="1:40" x14ac:dyDescent="0.25">
      <c r="A1343" t="str">
        <f>"20190305134929018"</f>
        <v>20190305134929018</v>
      </c>
      <c r="B1343" t="str">
        <f>"1551764969012399"</f>
        <v>1551764969012399</v>
      </c>
      <c r="C1343" t="s">
        <v>40</v>
      </c>
      <c r="D1343">
        <v>4.2198060000000002</v>
      </c>
      <c r="E1343">
        <v>0.58085189999999998</v>
      </c>
      <c r="F1343" t="s">
        <v>42</v>
      </c>
      <c r="G1343">
        <v>-211.22450000000001</v>
      </c>
      <c r="H1343" s="1">
        <v>-5.0770720000000001E-6</v>
      </c>
      <c r="I1343">
        <v>362.11799999999999</v>
      </c>
      <c r="J1343">
        <v>-243.20140000000001</v>
      </c>
      <c r="K1343">
        <v>1.109413</v>
      </c>
      <c r="L1343">
        <v>368.26310000000001</v>
      </c>
      <c r="M1343">
        <v>0.99989220000000001</v>
      </c>
      <c r="N1343">
        <v>-1.458368E-2</v>
      </c>
      <c r="O1343">
        <v>1.7715179999999999E-3</v>
      </c>
      <c r="P1343">
        <v>0.99021369999999997</v>
      </c>
      <c r="Q1343">
        <v>-0.1383162</v>
      </c>
      <c r="R1343">
        <v>1.8590369999999998E-2</v>
      </c>
      <c r="S1343">
        <v>3.0258790000000002</v>
      </c>
      <c r="T1343">
        <v>-0.104343699999999</v>
      </c>
      <c r="U1343">
        <v>-0.57794190000000001</v>
      </c>
      <c r="V1343">
        <v>-1.6917999999999999E-2</v>
      </c>
      <c r="W1343">
        <v>-0.1238489</v>
      </c>
      <c r="X1343">
        <v>0.99215690000000001</v>
      </c>
      <c r="Y1343">
        <v>0.1891921</v>
      </c>
      <c r="Z1343">
        <v>-4.6593570000000003E-3</v>
      </c>
      <c r="AA1343">
        <v>0.9819291</v>
      </c>
      <c r="AB1343">
        <v>34</v>
      </c>
      <c r="AC1343">
        <v>31.976900000000001</v>
      </c>
      <c r="AD1343">
        <v>-1.1094180770719999</v>
      </c>
      <c r="AE1343">
        <v>-6.1450999999999496</v>
      </c>
      <c r="AF1343">
        <v>6.1945532130264001</v>
      </c>
      <c r="AG1343">
        <v>-1.1094180770719999</v>
      </c>
      <c r="AH1343">
        <v>31.928898521873101</v>
      </c>
      <c r="AI1343">
        <v>91.953629405837006</v>
      </c>
      <c r="AJ1343">
        <v>79.020398342685596</v>
      </c>
      <c r="AK1343">
        <v>32.543169157271997</v>
      </c>
      <c r="AL1343">
        <v>97.114285778649503</v>
      </c>
      <c r="AM1343">
        <v>90.976897974653497</v>
      </c>
      <c r="AN1343">
        <v>1.0000000414864001</v>
      </c>
    </row>
    <row r="1344" spans="1:40" x14ac:dyDescent="0.25">
      <c r="A1344" t="str">
        <f>"20190305134929028"</f>
        <v>20190305134929028</v>
      </c>
      <c r="B1344" t="str">
        <f>"1551764969022158"</f>
        <v>1551764969022158</v>
      </c>
      <c r="C1344" t="s">
        <v>40</v>
      </c>
      <c r="D1344">
        <v>7.0713229999999996</v>
      </c>
      <c r="E1344">
        <v>0.58101139999999996</v>
      </c>
      <c r="F1344" t="s">
        <v>42</v>
      </c>
      <c r="G1344">
        <v>-211.66730000000001</v>
      </c>
      <c r="H1344" s="1">
        <v>-4.865244E-6</v>
      </c>
      <c r="I1344">
        <v>362.2414</v>
      </c>
      <c r="J1344">
        <v>-243.02459999999999</v>
      </c>
      <c r="K1344">
        <v>1.1094120000000001</v>
      </c>
      <c r="L1344">
        <v>368.26319999999998</v>
      </c>
      <c r="M1344">
        <v>0.99989249999999996</v>
      </c>
      <c r="N1344">
        <v>-1.4581780000000001E-2</v>
      </c>
      <c r="O1344">
        <v>1.625151E-3</v>
      </c>
      <c r="P1344">
        <v>0.99021630000000005</v>
      </c>
      <c r="Q1344">
        <v>-0.13826479999999999</v>
      </c>
      <c r="R1344">
        <v>1.8843149999999999E-2</v>
      </c>
      <c r="S1344">
        <v>3.02562</v>
      </c>
      <c r="T1344">
        <v>-0.1064456</v>
      </c>
      <c r="U1344">
        <v>-0.57775880000000002</v>
      </c>
      <c r="V1344">
        <v>-1.731599E-2</v>
      </c>
      <c r="W1344">
        <v>-0.1237991</v>
      </c>
      <c r="X1344">
        <v>0.99215620000000004</v>
      </c>
      <c r="Y1344">
        <v>0.18900130000000001</v>
      </c>
      <c r="Z1344">
        <v>-4.7180599999999996E-3</v>
      </c>
      <c r="AA1344">
        <v>0.98196550000000005</v>
      </c>
      <c r="AB1344">
        <v>34</v>
      </c>
      <c r="AC1344">
        <v>31.357299999999899</v>
      </c>
      <c r="AD1344">
        <v>-1.109416865244</v>
      </c>
      <c r="AE1344">
        <v>-6.0217999999999803</v>
      </c>
      <c r="AF1344">
        <v>6.0654355264700603</v>
      </c>
      <c r="AG1344">
        <v>-1.109416865244</v>
      </c>
      <c r="AH1344">
        <v>31.3096737321906</v>
      </c>
      <c r="AI1344">
        <v>91.992340856448806</v>
      </c>
      <c r="AJ1344">
        <v>79.036238598130495</v>
      </c>
      <c r="AK1344">
        <v>31.911063647626602</v>
      </c>
      <c r="AL1344">
        <v>97.111410667039607</v>
      </c>
      <c r="AM1344">
        <v>90.999875249313504</v>
      </c>
      <c r="AN1344">
        <v>0.99999999293446495</v>
      </c>
    </row>
    <row r="1345" spans="1:40" x14ac:dyDescent="0.25">
      <c r="A1345" t="str">
        <f>"20190305134929040"</f>
        <v>20190305134929040</v>
      </c>
      <c r="B1345" t="str">
        <f>"1551764969031920"</f>
        <v>1551764969031920</v>
      </c>
      <c r="C1345" t="s">
        <v>40</v>
      </c>
      <c r="D1345">
        <v>4.2232640000000004</v>
      </c>
      <c r="E1345">
        <v>0.58111040000000003</v>
      </c>
      <c r="F1345" t="s">
        <v>42</v>
      </c>
      <c r="G1345">
        <v>-210.8441</v>
      </c>
      <c r="H1345" s="1">
        <v>-5.2405920000000001E-6</v>
      </c>
      <c r="I1345">
        <v>362.11610000000002</v>
      </c>
      <c r="J1345">
        <v>-242.8526</v>
      </c>
      <c r="K1345">
        <v>1.1094139999999999</v>
      </c>
      <c r="L1345">
        <v>368.26339999999999</v>
      </c>
      <c r="M1345">
        <v>0.99989269999999997</v>
      </c>
      <c r="N1345">
        <v>-1.457991E-2</v>
      </c>
      <c r="O1345">
        <v>1.4826609999999999E-3</v>
      </c>
      <c r="P1345">
        <v>0.99023939999999999</v>
      </c>
      <c r="Q1345">
        <v>-0.13809560000000001</v>
      </c>
      <c r="R1345">
        <v>1.8858090000000001E-2</v>
      </c>
      <c r="S1345">
        <v>3.026062</v>
      </c>
      <c r="T1345">
        <v>-0.1043227</v>
      </c>
      <c r="U1345">
        <v>-0.57803340000000003</v>
      </c>
      <c r="V1345">
        <v>-1.7472000000000001E-2</v>
      </c>
      <c r="W1345">
        <v>-0.1236313</v>
      </c>
      <c r="X1345">
        <v>0.99217440000000001</v>
      </c>
      <c r="Y1345">
        <v>0.18892639999999999</v>
      </c>
      <c r="Z1345">
        <v>-4.6459530000000004E-3</v>
      </c>
      <c r="AA1345">
        <v>0.98198030000000003</v>
      </c>
      <c r="AB1345">
        <v>34</v>
      </c>
      <c r="AC1345">
        <v>32.008499999999998</v>
      </c>
      <c r="AD1345">
        <v>-1.10941924059199</v>
      </c>
      <c r="AE1345">
        <v>-6.1472999999999702</v>
      </c>
      <c r="AF1345">
        <v>6.1875871474108797</v>
      </c>
      <c r="AG1345">
        <v>-1.10941924059199</v>
      </c>
      <c r="AH1345">
        <v>31.962318191195099</v>
      </c>
      <c r="AI1345">
        <v>91.951743606403696</v>
      </c>
      <c r="AJ1345">
        <v>79.043635820012696</v>
      </c>
      <c r="AK1345">
        <v>32.574634762548001</v>
      </c>
      <c r="AL1345">
        <v>97.101721921532302</v>
      </c>
      <c r="AM1345">
        <v>91.008863360783806</v>
      </c>
      <c r="AN1345">
        <v>1.0000000045695201</v>
      </c>
    </row>
    <row r="1346" spans="1:40" x14ac:dyDescent="0.25">
      <c r="A1346" t="str">
        <f>"20190305134929051"</f>
        <v>20190305134929051</v>
      </c>
      <c r="B1346" t="str">
        <f>"1551764969041680"</f>
        <v>1551764969041680</v>
      </c>
      <c r="C1346" t="s">
        <v>40</v>
      </c>
      <c r="D1346">
        <v>4.2006240000000004</v>
      </c>
      <c r="E1346">
        <v>0.58119529999999997</v>
      </c>
      <c r="F1346" t="s">
        <v>42</v>
      </c>
      <c r="G1346">
        <v>-210.6534</v>
      </c>
      <c r="H1346" s="1">
        <v>-5.324944E-6</v>
      </c>
      <c r="I1346">
        <v>362.10169999999999</v>
      </c>
      <c r="J1346">
        <v>-242.69120000000001</v>
      </c>
      <c r="K1346">
        <v>1.109416</v>
      </c>
      <c r="L1346">
        <v>368.26350000000002</v>
      </c>
      <c r="M1346">
        <v>0.99989289999999997</v>
      </c>
      <c r="N1346">
        <v>-1.457816E-2</v>
      </c>
      <c r="O1346">
        <v>1.348931E-3</v>
      </c>
      <c r="P1346">
        <v>0.99025260000000004</v>
      </c>
      <c r="Q1346">
        <v>-0.1380112</v>
      </c>
      <c r="R1346">
        <v>1.87878E-2</v>
      </c>
      <c r="S1346">
        <v>3.026062</v>
      </c>
      <c r="T1346">
        <v>-0.1042626</v>
      </c>
      <c r="U1346">
        <v>-0.579071</v>
      </c>
      <c r="V1346">
        <v>-1.753416E-2</v>
      </c>
      <c r="W1346">
        <v>-0.12354850000000001</v>
      </c>
      <c r="X1346">
        <v>0.99218360000000005</v>
      </c>
      <c r="Y1346">
        <v>0.18912000000000001</v>
      </c>
      <c r="Z1346">
        <v>-4.6459370000000002E-3</v>
      </c>
      <c r="AA1346">
        <v>0.98194300000000001</v>
      </c>
      <c r="AB1346">
        <v>34</v>
      </c>
      <c r="AC1346">
        <v>32.037799999999997</v>
      </c>
      <c r="AD1346">
        <v>-1.1094213249439999</v>
      </c>
      <c r="AE1346">
        <v>-6.1618000000000199</v>
      </c>
      <c r="AF1346">
        <v>6.1978488224950903</v>
      </c>
      <c r="AG1346">
        <v>-1.1094213249439999</v>
      </c>
      <c r="AH1346">
        <v>31.992463330034301</v>
      </c>
      <c r="AI1346">
        <v>91.949859330043296</v>
      </c>
      <c r="AJ1346">
        <v>79.035995976969801</v>
      </c>
      <c r="AK1346">
        <v>32.606162847325898</v>
      </c>
      <c r="AL1346">
        <v>97.096941301605298</v>
      </c>
      <c r="AM1346">
        <v>91.012442454430996</v>
      </c>
      <c r="AN1346">
        <v>0.99999998736405704</v>
      </c>
    </row>
    <row r="1347" spans="1:40" x14ac:dyDescent="0.25">
      <c r="A1347" t="str">
        <f>"20190305134929062"</f>
        <v>20190305134929062</v>
      </c>
      <c r="B1347" t="str">
        <f>"1551764969052415"</f>
        <v>1551764969052415</v>
      </c>
      <c r="C1347" t="s">
        <v>40</v>
      </c>
      <c r="D1347">
        <v>4.2002639999999998</v>
      </c>
      <c r="E1347">
        <v>0.58138570000000001</v>
      </c>
      <c r="F1347" t="s">
        <v>42</v>
      </c>
      <c r="G1347">
        <v>-210.64250000000001</v>
      </c>
      <c r="H1347" s="1">
        <v>-5.3264079999999997E-6</v>
      </c>
      <c r="I1347">
        <v>362.12</v>
      </c>
      <c r="J1347">
        <v>-242.5275</v>
      </c>
      <c r="K1347">
        <v>1.1094189999999999</v>
      </c>
      <c r="L1347">
        <v>368.2636</v>
      </c>
      <c r="M1347">
        <v>0.99989300000000003</v>
      </c>
      <c r="N1347">
        <v>-1.457638E-2</v>
      </c>
      <c r="O1347">
        <v>1.213474E-3</v>
      </c>
      <c r="P1347">
        <v>0.99037379999999997</v>
      </c>
      <c r="Q1347">
        <v>-0.1371983</v>
      </c>
      <c r="R1347">
        <v>1.8335089999999998E-2</v>
      </c>
      <c r="S1347">
        <v>3.025925</v>
      </c>
      <c r="T1347">
        <v>-0.1047474</v>
      </c>
      <c r="U1347">
        <v>-0.5800476</v>
      </c>
      <c r="V1347">
        <v>-1.7214670000000001E-2</v>
      </c>
      <c r="W1347">
        <v>-0.1227359</v>
      </c>
      <c r="X1347">
        <v>0.99229009999999995</v>
      </c>
      <c r="Y1347">
        <v>0.18929950000000001</v>
      </c>
      <c r="Z1347">
        <v>-4.66279E-3</v>
      </c>
      <c r="AA1347">
        <v>0.98190829999999996</v>
      </c>
      <c r="AB1347">
        <v>34</v>
      </c>
      <c r="AC1347">
        <v>31.884999999999899</v>
      </c>
      <c r="AD1347">
        <v>-1.1094243264079999</v>
      </c>
      <c r="AE1347">
        <v>-6.1435999999999904</v>
      </c>
      <c r="AF1347">
        <v>6.17508288749148</v>
      </c>
      <c r="AG1347">
        <v>-1.1094243264079999</v>
      </c>
      <c r="AH1347">
        <v>31.840352639767499</v>
      </c>
      <c r="AI1347">
        <v>91.959095453433306</v>
      </c>
      <c r="AJ1347">
        <v>79.024372239099407</v>
      </c>
      <c r="AK1347">
        <v>32.452588914109199</v>
      </c>
      <c r="AL1347">
        <v>97.050025272741493</v>
      </c>
      <c r="AM1347">
        <v>90.993891810046406</v>
      </c>
      <c r="AN1347">
        <v>1.0000000442850101</v>
      </c>
    </row>
    <row r="1348" spans="1:40" x14ac:dyDescent="0.25">
      <c r="A1348" t="str">
        <f>"20190305134929073"</f>
        <v>20190305134929073</v>
      </c>
      <c r="B1348" t="str">
        <f>"1551764969062175"</f>
        <v>1551764969062175</v>
      </c>
      <c r="C1348" t="s">
        <v>40</v>
      </c>
      <c r="D1348">
        <v>4.2034849999999997</v>
      </c>
      <c r="E1348">
        <v>0.58144300000000004</v>
      </c>
      <c r="F1348" t="s">
        <v>44</v>
      </c>
      <c r="G1348">
        <v>-209.5556</v>
      </c>
      <c r="H1348" s="1">
        <v>-6.3390319999999998E-6</v>
      </c>
      <c r="I1348">
        <v>361.916</v>
      </c>
      <c r="J1348">
        <v>-242.3569</v>
      </c>
      <c r="K1348">
        <v>1.109416</v>
      </c>
      <c r="L1348">
        <v>368.26369999999997</v>
      </c>
      <c r="M1348">
        <v>0.99989329999999998</v>
      </c>
      <c r="N1348">
        <v>-1.457453E-2</v>
      </c>
      <c r="O1348">
        <v>1.0718209999999999E-3</v>
      </c>
      <c r="P1348">
        <v>0.99046639999999997</v>
      </c>
      <c r="Q1348">
        <v>-0.13658120000000001</v>
      </c>
      <c r="R1348">
        <v>1.795385E-2</v>
      </c>
      <c r="S1348">
        <v>3.025833</v>
      </c>
      <c r="T1348">
        <v>-0.1018119</v>
      </c>
      <c r="U1348">
        <v>-0.58251949999999997</v>
      </c>
      <c r="V1348">
        <v>-1.6973709999999999E-2</v>
      </c>
      <c r="W1348">
        <v>-0.12211959999999999</v>
      </c>
      <c r="X1348">
        <v>0.99237019999999998</v>
      </c>
      <c r="Y1348">
        <v>0.18994639999999999</v>
      </c>
      <c r="Z1348">
        <v>-4.5833260000000004E-3</v>
      </c>
      <c r="AA1348">
        <v>0.98178370000000004</v>
      </c>
      <c r="AB1348">
        <v>34</v>
      </c>
      <c r="AC1348">
        <v>32.801299999999998</v>
      </c>
      <c r="AD1348">
        <v>-1.1094223390319999</v>
      </c>
      <c r="AE1348">
        <v>-6.3476999999999704</v>
      </c>
      <c r="AF1348">
        <v>6.3758267898724004</v>
      </c>
      <c r="AG1348">
        <v>-1.1094223390319999</v>
      </c>
      <c r="AH1348">
        <v>32.7583552615774</v>
      </c>
      <c r="AI1348">
        <v>91.903985476391</v>
      </c>
      <c r="AJ1348">
        <v>78.986100503264495</v>
      </c>
      <c r="AK1348">
        <v>33.391493297313197</v>
      </c>
      <c r="AL1348">
        <v>97.014446842403203</v>
      </c>
      <c r="AM1348">
        <v>90.979903592337493</v>
      </c>
      <c r="AN1348">
        <v>0.99999995869168101</v>
      </c>
    </row>
    <row r="1349" spans="1:40" x14ac:dyDescent="0.25">
      <c r="A1349" t="str">
        <f>"20190305134929084"</f>
        <v>20190305134929084</v>
      </c>
      <c r="B1349" t="str">
        <f>"1551764969071935"</f>
        <v>1551764969071935</v>
      </c>
      <c r="C1349" t="s">
        <v>40</v>
      </c>
      <c r="D1349">
        <v>4.2192179999999997</v>
      </c>
      <c r="E1349">
        <v>0.58158219999999905</v>
      </c>
      <c r="F1349" t="s">
        <v>44</v>
      </c>
      <c r="G1349">
        <v>-208.98670000000001</v>
      </c>
      <c r="H1349" s="1">
        <v>-6.163311E-6</v>
      </c>
      <c r="I1349">
        <v>361.82170000000002</v>
      </c>
      <c r="J1349">
        <v>-242.19560000000001</v>
      </c>
      <c r="K1349">
        <v>1.1094219999999999</v>
      </c>
      <c r="L1349">
        <v>368.26369999999997</v>
      </c>
      <c r="M1349">
        <v>0.99989340000000004</v>
      </c>
      <c r="N1349">
        <v>-1.4572770000000001E-2</v>
      </c>
      <c r="O1349">
        <v>9.3875199999999995E-4</v>
      </c>
      <c r="P1349">
        <v>0.99053820000000004</v>
      </c>
      <c r="Q1349">
        <v>-0.13614329999999999</v>
      </c>
      <c r="R1349">
        <v>1.7294980000000001E-2</v>
      </c>
      <c r="S1349">
        <v>3.025604</v>
      </c>
      <c r="T1349">
        <v>-0.100589</v>
      </c>
      <c r="U1349">
        <v>-0.58407589999999998</v>
      </c>
      <c r="V1349">
        <v>-1.644603E-2</v>
      </c>
      <c r="W1349">
        <v>-0.1216829</v>
      </c>
      <c r="X1349">
        <v>0.9924328</v>
      </c>
      <c r="Y1349">
        <v>0.1903193</v>
      </c>
      <c r="Z1349">
        <v>-4.5512900000000004E-3</v>
      </c>
      <c r="AA1349">
        <v>0.98171169999999996</v>
      </c>
      <c r="AB1349">
        <v>34</v>
      </c>
      <c r="AC1349">
        <v>33.2089</v>
      </c>
      <c r="AD1349">
        <v>-1.1094281633109999</v>
      </c>
      <c r="AE1349">
        <v>-6.4419999999999398</v>
      </c>
      <c r="AF1349">
        <v>6.4662203871513597</v>
      </c>
      <c r="AG1349">
        <v>-1.1094281633109999</v>
      </c>
      <c r="AH1349">
        <v>33.1671629980208</v>
      </c>
      <c r="AI1349">
        <v>91.880429269499004</v>
      </c>
      <c r="AJ1349">
        <v>78.968081620412903</v>
      </c>
      <c r="AK1349">
        <v>33.809814230220802</v>
      </c>
      <c r="AL1349">
        <v>96.989237260952805</v>
      </c>
      <c r="AM1349">
        <v>90.949386062541706</v>
      </c>
      <c r="AN1349">
        <v>1.0000000312855</v>
      </c>
    </row>
    <row r="1350" spans="1:40" x14ac:dyDescent="0.25">
      <c r="A1350" t="str">
        <f>"20190305134929095"</f>
        <v>20190305134929095</v>
      </c>
      <c r="B1350" t="str">
        <f>"1551764969092431"</f>
        <v>1551764969092431</v>
      </c>
      <c r="C1350" t="s">
        <v>40</v>
      </c>
      <c r="D1350">
        <v>4.1841010000000001</v>
      </c>
      <c r="E1350">
        <v>0.58170119999999903</v>
      </c>
      <c r="F1350" t="s">
        <v>44</v>
      </c>
      <c r="G1350">
        <v>-208.94589999999999</v>
      </c>
      <c r="H1350" s="1">
        <v>-6.1519159999999999E-6</v>
      </c>
      <c r="I1350">
        <v>361.8073</v>
      </c>
      <c r="J1350">
        <v>-242.03399999999999</v>
      </c>
      <c r="K1350">
        <v>1.109426</v>
      </c>
      <c r="L1350">
        <v>368.26369999999997</v>
      </c>
      <c r="M1350">
        <v>0.99989349999999999</v>
      </c>
      <c r="N1350">
        <v>-1.4571010000000001E-2</v>
      </c>
      <c r="O1350">
        <v>8.0598589999999895E-4</v>
      </c>
      <c r="P1350">
        <v>0.99064859999999999</v>
      </c>
      <c r="Q1350">
        <v>-0.13539909999999999</v>
      </c>
      <c r="R1350">
        <v>1.681479E-2</v>
      </c>
      <c r="S1350">
        <v>3.0250400000000002</v>
      </c>
      <c r="T1350">
        <v>-0.100935</v>
      </c>
      <c r="U1350">
        <v>-0.58740230000000004</v>
      </c>
      <c r="V1350">
        <v>-1.6096369999999999E-2</v>
      </c>
      <c r="W1350">
        <v>-0.1209392</v>
      </c>
      <c r="X1350">
        <v>0.99252940000000001</v>
      </c>
      <c r="Y1350">
        <v>0.19126180000000001</v>
      </c>
      <c r="Z1350">
        <v>-4.5824419999999999E-3</v>
      </c>
      <c r="AA1350">
        <v>0.98152830000000002</v>
      </c>
      <c r="AB1350">
        <v>34</v>
      </c>
      <c r="AC1350">
        <v>33.088099999999997</v>
      </c>
      <c r="AD1350">
        <v>-1.109432151916</v>
      </c>
      <c r="AE1350">
        <v>-6.4563999999999702</v>
      </c>
      <c r="AF1350">
        <v>6.4760556959817501</v>
      </c>
      <c r="AG1350">
        <v>-1.109432151916</v>
      </c>
      <c r="AH1350">
        <v>33.0470948652288</v>
      </c>
      <c r="AI1350">
        <v>91.886906041746897</v>
      </c>
      <c r="AJ1350">
        <v>78.912566111443098</v>
      </c>
      <c r="AK1350">
        <v>33.693925507553899</v>
      </c>
      <c r="AL1350">
        <v>96.946309590257997</v>
      </c>
      <c r="AM1350">
        <v>90.929114266847904</v>
      </c>
      <c r="AN1350">
        <v>0.999999996544088</v>
      </c>
    </row>
    <row r="1351" spans="1:40" x14ac:dyDescent="0.25">
      <c r="A1351" t="str">
        <f>"20190305134929107"</f>
        <v>20190305134929107</v>
      </c>
      <c r="B1351" t="str">
        <f>"1551764969102191"</f>
        <v>1551764969102191</v>
      </c>
      <c r="C1351" t="s">
        <v>40</v>
      </c>
      <c r="D1351">
        <v>4.1754160000000002</v>
      </c>
      <c r="E1351">
        <v>0.58172209999999902</v>
      </c>
      <c r="F1351" t="s">
        <v>44</v>
      </c>
      <c r="G1351">
        <v>-208.2054</v>
      </c>
      <c r="H1351" s="1">
        <v>-5.9258790000000004E-6</v>
      </c>
      <c r="I1351">
        <v>361.66739999999999</v>
      </c>
      <c r="J1351">
        <v>-241.8466</v>
      </c>
      <c r="K1351">
        <v>1.109434</v>
      </c>
      <c r="L1351">
        <v>368.26369999999997</v>
      </c>
      <c r="M1351">
        <v>0.9998937</v>
      </c>
      <c r="N1351">
        <v>-1.4569E-2</v>
      </c>
      <c r="O1351">
        <v>6.52846E-4</v>
      </c>
      <c r="P1351">
        <v>0.99078100000000002</v>
      </c>
      <c r="Q1351">
        <v>-0.134517</v>
      </c>
      <c r="R1351">
        <v>1.606051E-2</v>
      </c>
      <c r="S1351">
        <v>3.0247799999999998</v>
      </c>
      <c r="T1351">
        <v>-9.919965E-2</v>
      </c>
      <c r="U1351">
        <v>-0.58981319999999904</v>
      </c>
      <c r="V1351">
        <v>-1.549272E-2</v>
      </c>
      <c r="W1351">
        <v>-0.12005780000000001</v>
      </c>
      <c r="X1351">
        <v>0.99264600000000003</v>
      </c>
      <c r="Y1351">
        <v>0.19188479999999999</v>
      </c>
      <c r="Z1351">
        <v>-4.5395399999999999E-3</v>
      </c>
      <c r="AA1351">
        <v>0.98140689999999997</v>
      </c>
      <c r="AB1351">
        <v>34</v>
      </c>
      <c r="AC1351">
        <v>33.641199999999998</v>
      </c>
      <c r="AD1351">
        <v>-1.109439925879</v>
      </c>
      <c r="AE1351">
        <v>-6.5962999999999798</v>
      </c>
      <c r="AF1351">
        <v>6.6113392422953901</v>
      </c>
      <c r="AG1351">
        <v>-1.109439925879</v>
      </c>
      <c r="AH1351">
        <v>33.601694192025498</v>
      </c>
      <c r="AI1351">
        <v>91.855519856086602</v>
      </c>
      <c r="AJ1351">
        <v>78.8688902076793</v>
      </c>
      <c r="AK1351">
        <v>34.263895226612</v>
      </c>
      <c r="AL1351">
        <v>96.895438457721895</v>
      </c>
      <c r="AM1351">
        <v>90.894171137438207</v>
      </c>
      <c r="AN1351">
        <v>0.99999999051491895</v>
      </c>
    </row>
    <row r="1352" spans="1:40" x14ac:dyDescent="0.25">
      <c r="A1352" t="str">
        <f>"20190305134929117"</f>
        <v>20190305134929117</v>
      </c>
      <c r="B1352" t="str">
        <f>"1551764969111951"</f>
        <v>1551764969111951</v>
      </c>
      <c r="C1352" t="s">
        <v>40</v>
      </c>
      <c r="D1352">
        <v>4.148892</v>
      </c>
      <c r="E1352">
        <v>0.58183609999999997</v>
      </c>
      <c r="F1352" t="s">
        <v>44</v>
      </c>
      <c r="G1352">
        <v>-207.5737</v>
      </c>
      <c r="H1352" s="1">
        <v>-5.7332280000000004E-6</v>
      </c>
      <c r="I1352">
        <v>361.54700000000003</v>
      </c>
      <c r="J1352">
        <v>-241.70439999999999</v>
      </c>
      <c r="K1352">
        <v>1.109442</v>
      </c>
      <c r="L1352">
        <v>368.26369999999997</v>
      </c>
      <c r="M1352">
        <v>0.99989380000000005</v>
      </c>
      <c r="N1352">
        <v>-1.4567480000000001E-2</v>
      </c>
      <c r="O1352">
        <v>5.3827200000000001E-4</v>
      </c>
      <c r="P1352">
        <v>0.99087559999999997</v>
      </c>
      <c r="Q1352">
        <v>-0.1339022</v>
      </c>
      <c r="R1352">
        <v>1.535683E-2</v>
      </c>
      <c r="S1352">
        <v>3.0242309999999999</v>
      </c>
      <c r="T1352">
        <v>-9.7896579999999997E-2</v>
      </c>
      <c r="U1352">
        <v>-0.59268189999999998</v>
      </c>
      <c r="V1352">
        <v>-1.490169E-2</v>
      </c>
      <c r="W1352">
        <v>-0.1194436</v>
      </c>
      <c r="X1352">
        <v>0.99272910000000003</v>
      </c>
      <c r="Y1352">
        <v>0.19270499999999999</v>
      </c>
      <c r="Z1352">
        <v>-4.5157510000000001E-3</v>
      </c>
      <c r="AA1352">
        <v>0.98124639999999996</v>
      </c>
      <c r="AB1352">
        <v>34</v>
      </c>
      <c r="AC1352">
        <v>34.130699999999898</v>
      </c>
      <c r="AD1352">
        <v>-1.1094477332279999</v>
      </c>
      <c r="AE1352">
        <v>-6.7167000000000003</v>
      </c>
      <c r="AF1352">
        <v>6.72822838134491</v>
      </c>
      <c r="AG1352">
        <v>-1.1094477332279999</v>
      </c>
      <c r="AH1352">
        <v>34.0923992535362</v>
      </c>
      <c r="AI1352">
        <v>91.828636953555204</v>
      </c>
      <c r="AJ1352">
        <v>78.835984636250402</v>
      </c>
      <c r="AK1352">
        <v>34.767680657283101</v>
      </c>
      <c r="AL1352">
        <v>96.859992597877493</v>
      </c>
      <c r="AM1352">
        <v>90.859992746727301</v>
      </c>
      <c r="AN1352">
        <v>0.99999994996631103</v>
      </c>
    </row>
    <row r="1353" spans="1:40" x14ac:dyDescent="0.25">
      <c r="A1353" t="str">
        <f>"20190305134929127"</f>
        <v>20190305134929127</v>
      </c>
      <c r="B1353" t="str">
        <f>"1551764969121711"</f>
        <v>1551764969121711</v>
      </c>
      <c r="C1353" t="s">
        <v>40</v>
      </c>
      <c r="D1353">
        <v>4.1589159999999996</v>
      </c>
      <c r="E1353">
        <v>0.58188779999999996</v>
      </c>
      <c r="F1353" t="s">
        <v>44</v>
      </c>
      <c r="G1353">
        <v>-206.43870000000001</v>
      </c>
      <c r="H1353" s="1">
        <v>-5.3888199999999997E-6</v>
      </c>
      <c r="I1353">
        <v>361.31950000000001</v>
      </c>
      <c r="J1353">
        <v>-241.53200000000001</v>
      </c>
      <c r="K1353">
        <v>1.109448</v>
      </c>
      <c r="L1353">
        <v>368.26369999999997</v>
      </c>
      <c r="M1353">
        <v>0.9998939</v>
      </c>
      <c r="N1353">
        <v>-1.4565639999999999E-2</v>
      </c>
      <c r="O1353">
        <v>4.001683E-4</v>
      </c>
      <c r="P1353">
        <v>0.99093739999999997</v>
      </c>
      <c r="Q1353">
        <v>-0.133511299999999</v>
      </c>
      <c r="R1353">
        <v>1.475395E-2</v>
      </c>
      <c r="S1353">
        <v>3.0240019999999999</v>
      </c>
      <c r="T1353">
        <v>-9.513402E-2</v>
      </c>
      <c r="U1353">
        <v>-0.59545899999999996</v>
      </c>
      <c r="V1353">
        <v>-1.4434209999999999E-2</v>
      </c>
      <c r="W1353">
        <v>-0.1190541</v>
      </c>
      <c r="X1353">
        <v>0.99278279999999997</v>
      </c>
      <c r="Y1353">
        <v>0.1934573</v>
      </c>
      <c r="Z1353">
        <v>-4.4429650000000001E-3</v>
      </c>
      <c r="AA1353">
        <v>0.98109869999999999</v>
      </c>
      <c r="AB1353">
        <v>34</v>
      </c>
      <c r="AC1353">
        <v>35.093299999999999</v>
      </c>
      <c r="AD1353">
        <v>-1.10945338882</v>
      </c>
      <c r="AE1353">
        <v>-6.9441999999999604</v>
      </c>
      <c r="AF1353">
        <v>6.9515580848231799</v>
      </c>
      <c r="AG1353">
        <v>-1.10945338882</v>
      </c>
      <c r="AH1353">
        <v>35.056800084519203</v>
      </c>
      <c r="AI1353">
        <v>91.778055098510904</v>
      </c>
      <c r="AJ1353">
        <v>78.7840775882363</v>
      </c>
      <c r="AK1353">
        <v>35.756597696013799</v>
      </c>
      <c r="AL1353">
        <v>96.837515457556194</v>
      </c>
      <c r="AM1353">
        <v>90.832972778519206</v>
      </c>
      <c r="AN1353">
        <v>0.99999995656048601</v>
      </c>
    </row>
    <row r="1354" spans="1:40" x14ac:dyDescent="0.25">
      <c r="A1354" t="str">
        <f>"20190305134929141"</f>
        <v>20190305134929141</v>
      </c>
      <c r="B1354" t="str">
        <f>"1551764969132447"</f>
        <v>1551764969132447</v>
      </c>
      <c r="C1354" t="s">
        <v>40</v>
      </c>
      <c r="D1354">
        <v>4.1585089999999996</v>
      </c>
      <c r="E1354">
        <v>0.58201420000000004</v>
      </c>
      <c r="F1354" t="s">
        <v>44</v>
      </c>
      <c r="G1354">
        <v>-205.96440000000001</v>
      </c>
      <c r="H1354" s="1">
        <v>-5.2439690000000003E-6</v>
      </c>
      <c r="I1354">
        <v>361.23039999999997</v>
      </c>
      <c r="J1354">
        <v>-241.34399999999999</v>
      </c>
      <c r="K1354">
        <v>1.1094580000000001</v>
      </c>
      <c r="L1354">
        <v>368.2636</v>
      </c>
      <c r="M1354">
        <v>0.99989399999999995</v>
      </c>
      <c r="N1354">
        <v>-1.4563660000000001E-2</v>
      </c>
      <c r="O1354">
        <v>2.5411029999999999E-4</v>
      </c>
      <c r="P1354">
        <v>0.99099769999999998</v>
      </c>
      <c r="Q1354">
        <v>-0.13313889999999901</v>
      </c>
      <c r="R1354">
        <v>1.405524E-2</v>
      </c>
      <c r="S1354">
        <v>3.0236209999999999</v>
      </c>
      <c r="T1354">
        <v>-9.4315170000000004E-2</v>
      </c>
      <c r="U1354">
        <v>-0.5979004</v>
      </c>
      <c r="V1354">
        <v>-1.387906E-2</v>
      </c>
      <c r="W1354">
        <v>-0.118683399999999</v>
      </c>
      <c r="X1354">
        <v>0.99283520000000003</v>
      </c>
      <c r="Y1354">
        <v>0.19410140000000001</v>
      </c>
      <c r="Z1354">
        <v>-4.4292630000000001E-3</v>
      </c>
      <c r="AA1354">
        <v>0.9809715</v>
      </c>
      <c r="AB1354">
        <v>34</v>
      </c>
      <c r="AC1354">
        <v>35.379600000000003</v>
      </c>
      <c r="AD1354">
        <v>-1.109463243969</v>
      </c>
      <c r="AE1354">
        <v>-7.0332000000000203</v>
      </c>
      <c r="AF1354">
        <v>7.0355354811300703</v>
      </c>
      <c r="AG1354">
        <v>-1.109463243969</v>
      </c>
      <c r="AH1354">
        <v>35.344375937414803</v>
      </c>
      <c r="AI1354">
        <v>91.763356097595405</v>
      </c>
      <c r="AJ1354">
        <v>78.742044311201496</v>
      </c>
      <c r="AK1354">
        <v>36.054882867668098</v>
      </c>
      <c r="AL1354">
        <v>96.816123565473106</v>
      </c>
      <c r="AM1354">
        <v>90.800898042279599</v>
      </c>
      <c r="AN1354">
        <v>1.00000005605054</v>
      </c>
    </row>
    <row r="1355" spans="1:40" x14ac:dyDescent="0.25">
      <c r="A1355" t="str">
        <f>"20190305134929155"</f>
        <v>20190305134929155</v>
      </c>
      <c r="B1355" t="str">
        <f>"1551764969151966"</f>
        <v>1551764969151966</v>
      </c>
      <c r="C1355" t="s">
        <v>40</v>
      </c>
      <c r="D1355">
        <v>4.1434419999999896</v>
      </c>
      <c r="E1355">
        <v>0.58223990000000003</v>
      </c>
      <c r="F1355" t="s">
        <v>44</v>
      </c>
      <c r="G1355">
        <v>-205.261</v>
      </c>
      <c r="H1355" s="1">
        <v>-4.9667269999999999E-6</v>
      </c>
      <c r="I1355">
        <v>361.09120000000001</v>
      </c>
      <c r="J1355">
        <v>-241.13239999999999</v>
      </c>
      <c r="K1355">
        <v>1.109469</v>
      </c>
      <c r="L1355">
        <v>368.26350000000002</v>
      </c>
      <c r="M1355">
        <v>0.99989399999999995</v>
      </c>
      <c r="N1355">
        <v>-1.456148E-2</v>
      </c>
      <c r="O1355" s="1">
        <v>9.3237899999999997E-5</v>
      </c>
      <c r="P1355">
        <v>0.99104619999999999</v>
      </c>
      <c r="Q1355">
        <v>-0.1328587</v>
      </c>
      <c r="R1355">
        <v>1.3270580000000001E-2</v>
      </c>
      <c r="S1355">
        <v>3.023285</v>
      </c>
      <c r="T1355">
        <v>-9.2958570000000004E-2</v>
      </c>
      <c r="U1355">
        <v>-0.60095209999999999</v>
      </c>
      <c r="V1355">
        <v>-1.3252689999999999E-2</v>
      </c>
      <c r="W1355">
        <v>-0.1184052</v>
      </c>
      <c r="X1355">
        <v>0.99287689999999995</v>
      </c>
      <c r="Y1355">
        <v>0.1949197</v>
      </c>
      <c r="Z1355">
        <v>-4.4018989999999999E-3</v>
      </c>
      <c r="AA1355">
        <v>0.9808093</v>
      </c>
      <c r="AB1355">
        <v>34</v>
      </c>
      <c r="AC1355">
        <v>35.871399999999902</v>
      </c>
      <c r="AD1355">
        <v>-1.1094739667269999</v>
      </c>
      <c r="AE1355">
        <v>-7.1722999999999999</v>
      </c>
      <c r="AF1355">
        <v>7.1690505002406901</v>
      </c>
      <c r="AG1355">
        <v>-1.1094739667269999</v>
      </c>
      <c r="AH1355">
        <v>35.837765943763898</v>
      </c>
      <c r="AI1355">
        <v>91.738782688833496</v>
      </c>
      <c r="AJ1355">
        <v>78.687765781918102</v>
      </c>
      <c r="AK1355">
        <v>36.564623413866201</v>
      </c>
      <c r="AL1355">
        <v>96.800071194682999</v>
      </c>
      <c r="AM1355">
        <v>90.764725329603195</v>
      </c>
      <c r="AN1355">
        <v>0.99999998186644201</v>
      </c>
    </row>
    <row r="1356" spans="1:40" x14ac:dyDescent="0.25">
      <c r="A1356" t="str">
        <f>"20190305134929168"</f>
        <v>20190305134929168</v>
      </c>
      <c r="B1356" t="str">
        <f>"1551764969161726"</f>
        <v>1551764969161726</v>
      </c>
      <c r="C1356" t="s">
        <v>40</v>
      </c>
      <c r="D1356">
        <v>4.2029180000000004</v>
      </c>
      <c r="E1356">
        <v>0.58234560000000002</v>
      </c>
      <c r="F1356" t="s">
        <v>44</v>
      </c>
      <c r="G1356">
        <v>-204.79820000000001</v>
      </c>
      <c r="H1356" s="1">
        <v>-4.7665190000000003E-6</v>
      </c>
      <c r="I1356">
        <v>360.988</v>
      </c>
      <c r="J1356">
        <v>-240.92429999999999</v>
      </c>
      <c r="K1356">
        <v>1.10948</v>
      </c>
      <c r="L1356">
        <v>368.26330000000002</v>
      </c>
      <c r="M1356">
        <v>0.99989410000000001</v>
      </c>
      <c r="N1356">
        <v>-1.455942E-2</v>
      </c>
      <c r="O1356" s="1">
        <v>-6.0762150000000002E-5</v>
      </c>
      <c r="P1356">
        <v>0.9910949</v>
      </c>
      <c r="Q1356">
        <v>-0.13257269999999999</v>
      </c>
      <c r="R1356">
        <v>1.246862E-2</v>
      </c>
      <c r="S1356">
        <v>3.0228269999999999</v>
      </c>
      <c r="T1356">
        <v>-9.2302800000000004E-2</v>
      </c>
      <c r="U1356">
        <v>-0.60528559999999998</v>
      </c>
      <c r="V1356">
        <v>-1.260119E-2</v>
      </c>
      <c r="W1356">
        <v>-0.1181213</v>
      </c>
      <c r="X1356">
        <v>0.9929192</v>
      </c>
      <c r="Y1356">
        <v>0.19614989999999999</v>
      </c>
      <c r="Z1356">
        <v>-4.4061839999999996E-3</v>
      </c>
      <c r="AA1356">
        <v>0.98056399999999999</v>
      </c>
      <c r="AB1356">
        <v>34</v>
      </c>
      <c r="AC1356">
        <v>36.126099999999902</v>
      </c>
      <c r="AD1356">
        <v>-1.109484766519</v>
      </c>
      <c r="AE1356">
        <v>-7.2752999999999597</v>
      </c>
      <c r="AF1356">
        <v>7.2665180551804598</v>
      </c>
      <c r="AG1356">
        <v>-1.109484766519</v>
      </c>
      <c r="AH1356">
        <v>36.093825469890099</v>
      </c>
      <c r="AI1356">
        <v>91.726045155085899</v>
      </c>
      <c r="AJ1356">
        <v>78.617197995660604</v>
      </c>
      <c r="AK1356">
        <v>36.8347319542885</v>
      </c>
      <c r="AL1356">
        <v>96.783689944851602</v>
      </c>
      <c r="AM1356">
        <v>90.727104728565806</v>
      </c>
      <c r="AN1356">
        <v>0.99999998461587203</v>
      </c>
    </row>
    <row r="1357" spans="1:40" x14ac:dyDescent="0.25">
      <c r="A1357" t="str">
        <f>"20190305134929181"</f>
        <v>20190305134929181</v>
      </c>
      <c r="B1357" t="str">
        <f>"1551764969172463"</f>
        <v>1551764969172463</v>
      </c>
      <c r="C1357" t="s">
        <v>40</v>
      </c>
      <c r="D1357">
        <v>4.1483349999999897</v>
      </c>
      <c r="E1357">
        <v>0.58242959999999999</v>
      </c>
      <c r="F1357" t="s">
        <v>44</v>
      </c>
      <c r="G1357">
        <v>-204.298</v>
      </c>
      <c r="H1357" s="1">
        <v>-4.5367180000000002E-6</v>
      </c>
      <c r="I1357">
        <v>360.88909999999998</v>
      </c>
      <c r="J1357">
        <v>-240.7407</v>
      </c>
      <c r="K1357">
        <v>1.1094900000000001</v>
      </c>
      <c r="L1357">
        <v>368.26319999999998</v>
      </c>
      <c r="M1357">
        <v>0.99989410000000001</v>
      </c>
      <c r="N1357">
        <v>-1.4557499999999999E-2</v>
      </c>
      <c r="O1357">
        <v>-1.904419E-4</v>
      </c>
      <c r="P1357">
        <v>0.99119290000000004</v>
      </c>
      <c r="Q1357">
        <v>-0.1319014</v>
      </c>
      <c r="R1357">
        <v>1.176869E-2</v>
      </c>
      <c r="S1357">
        <v>3.0223849999999999</v>
      </c>
      <c r="T1357">
        <v>-9.1554049999999998E-2</v>
      </c>
      <c r="U1357">
        <v>-0.60852050000000002</v>
      </c>
      <c r="V1357">
        <v>-1.2027370000000001E-2</v>
      </c>
      <c r="W1357">
        <v>-0.117451</v>
      </c>
      <c r="X1357">
        <v>0.9930059</v>
      </c>
      <c r="Y1357">
        <v>0.19706029999999999</v>
      </c>
      <c r="Z1357">
        <v>-4.4005549999999996E-3</v>
      </c>
      <c r="AA1357">
        <v>0.98038150000000002</v>
      </c>
      <c r="AB1357">
        <v>34</v>
      </c>
      <c r="AC1357">
        <v>36.442700000000002</v>
      </c>
      <c r="AD1357">
        <v>-1.10949453671799</v>
      </c>
      <c r="AE1357">
        <v>-7.3740999999999897</v>
      </c>
      <c r="AF1357">
        <v>7.3606047833427297</v>
      </c>
      <c r="AG1357">
        <v>-1.10949453671799</v>
      </c>
      <c r="AH1357">
        <v>36.411681634925202</v>
      </c>
      <c r="AI1357">
        <v>91.710727729888106</v>
      </c>
      <c r="AJ1357">
        <v>78.571693827168104</v>
      </c>
      <c r="AK1357">
        <v>37.164768805775203</v>
      </c>
      <c r="AL1357">
        <v>96.745014882821593</v>
      </c>
      <c r="AM1357">
        <v>90.693937311120607</v>
      </c>
      <c r="AN1357">
        <v>1.00000005623246</v>
      </c>
    </row>
    <row r="1358" spans="1:40" x14ac:dyDescent="0.25">
      <c r="A1358" t="str">
        <f>"20190305134929195"</f>
        <v>20190305134929195</v>
      </c>
      <c r="B1358" t="str">
        <f>"1551764969191983"</f>
        <v>1551764969191983</v>
      </c>
      <c r="C1358" t="s">
        <v>40</v>
      </c>
      <c r="D1358">
        <v>6.3186229999999997</v>
      </c>
      <c r="E1358">
        <v>0.58255880000000004</v>
      </c>
      <c r="F1358" t="s">
        <v>44</v>
      </c>
      <c r="G1358">
        <v>-203.41419999999999</v>
      </c>
      <c r="H1358" s="1">
        <v>-4.1308789999999998E-6</v>
      </c>
      <c r="I1358">
        <v>360.71370000000002</v>
      </c>
      <c r="J1358">
        <v>-240.5273</v>
      </c>
      <c r="K1358">
        <v>1.109502</v>
      </c>
      <c r="L1358">
        <v>368.26299999999998</v>
      </c>
      <c r="M1358">
        <v>0.99989399999999995</v>
      </c>
      <c r="N1358">
        <v>-1.4555210000000001E-2</v>
      </c>
      <c r="O1358">
        <v>-3.359379E-4</v>
      </c>
      <c r="P1358">
        <v>0.99129880000000004</v>
      </c>
      <c r="Q1358">
        <v>-0.13119330000000001</v>
      </c>
      <c r="R1358">
        <v>1.0740700000000001E-2</v>
      </c>
      <c r="S1358">
        <v>3.021957</v>
      </c>
      <c r="T1358">
        <v>-8.9824909999999994E-2</v>
      </c>
      <c r="U1358">
        <v>-0.61120609999999997</v>
      </c>
      <c r="V1358">
        <v>-1.1141430000000001E-2</v>
      </c>
      <c r="W1358">
        <v>-0.1167445</v>
      </c>
      <c r="X1358">
        <v>0.99309950000000002</v>
      </c>
      <c r="Y1358">
        <v>0.19778519999999999</v>
      </c>
      <c r="Z1358">
        <v>-4.3587309999999898E-3</v>
      </c>
      <c r="AA1358">
        <v>0.98023570000000004</v>
      </c>
      <c r="AB1358">
        <v>34</v>
      </c>
      <c r="AC1358">
        <v>37.113100000000003</v>
      </c>
      <c r="AD1358">
        <v>-1.109506130879</v>
      </c>
      <c r="AE1358">
        <v>-7.5493000000000103</v>
      </c>
      <c r="AF1358">
        <v>7.5303678684224797</v>
      </c>
      <c r="AG1358">
        <v>-1.109506130879</v>
      </c>
      <c r="AH1358">
        <v>37.083808325720199</v>
      </c>
      <c r="AI1358">
        <v>91.679458475602701</v>
      </c>
      <c r="AJ1358">
        <v>78.521392815158507</v>
      </c>
      <c r="AK1358">
        <v>37.856918575433198</v>
      </c>
      <c r="AL1358">
        <v>96.704255293113903</v>
      </c>
      <c r="AM1358">
        <v>90.642765540643893</v>
      </c>
      <c r="AN1358">
        <v>1.0000000133214699</v>
      </c>
    </row>
    <row r="1359" spans="1:40" x14ac:dyDescent="0.25">
      <c r="A1359" t="str">
        <f>"20190305134929208"</f>
        <v>20190305134929208</v>
      </c>
      <c r="B1359" t="str">
        <f>"1551764969201743"</f>
        <v>1551764969201743</v>
      </c>
      <c r="C1359" t="s">
        <v>40</v>
      </c>
      <c r="D1359">
        <v>4.2656330000000002</v>
      </c>
      <c r="E1359">
        <v>0.58258840000000001</v>
      </c>
      <c r="F1359" t="s">
        <v>44</v>
      </c>
      <c r="G1359">
        <v>-202.53290000000001</v>
      </c>
      <c r="H1359" s="1">
        <v>-3.7287029999999998E-6</v>
      </c>
      <c r="I1359">
        <v>360.52730000000003</v>
      </c>
      <c r="J1359">
        <v>-240.33150000000001</v>
      </c>
      <c r="K1359">
        <v>1.1095109999999999</v>
      </c>
      <c r="L1359">
        <v>368.26280000000003</v>
      </c>
      <c r="M1359">
        <v>0.99989399999999995</v>
      </c>
      <c r="N1359">
        <v>-1.455301E-2</v>
      </c>
      <c r="O1359">
        <v>-4.6247410000000002E-4</v>
      </c>
      <c r="P1359">
        <v>0.99133210000000005</v>
      </c>
      <c r="Q1359">
        <v>-0.1309825</v>
      </c>
      <c r="R1359">
        <v>1.0221569999999999E-2</v>
      </c>
      <c r="S1359">
        <v>3.0213169999999998</v>
      </c>
      <c r="T1359">
        <v>-8.8228109999999998E-2</v>
      </c>
      <c r="U1359">
        <v>-0.61514279999999999</v>
      </c>
      <c r="V1359">
        <v>-1.074486E-2</v>
      </c>
      <c r="W1359">
        <v>-0.1165359</v>
      </c>
      <c r="X1359">
        <v>0.99312840000000002</v>
      </c>
      <c r="Y1359">
        <v>0.1989311</v>
      </c>
      <c r="Z1359">
        <v>-4.3305389999999996E-3</v>
      </c>
      <c r="AA1359">
        <v>0.98000390000000004</v>
      </c>
      <c r="AB1359">
        <v>34</v>
      </c>
      <c r="AC1359">
        <v>37.798599999999901</v>
      </c>
      <c r="AD1359">
        <v>-1.1095147287030001</v>
      </c>
      <c r="AE1359">
        <v>-7.7355</v>
      </c>
      <c r="AF1359">
        <v>7.7116390580573402</v>
      </c>
      <c r="AG1359">
        <v>-1.1095147287030001</v>
      </c>
      <c r="AH1359">
        <v>37.7709379036394</v>
      </c>
      <c r="AI1359">
        <v>91.648579503392099</v>
      </c>
      <c r="AJ1359">
        <v>78.460596462452102</v>
      </c>
      <c r="AK1359">
        <v>38.566101047624002</v>
      </c>
      <c r="AL1359">
        <v>96.692221049605294</v>
      </c>
      <c r="AM1359">
        <v>90.619870612951601</v>
      </c>
      <c r="AN1359">
        <v>1.00000004344589</v>
      </c>
    </row>
    <row r="1360" spans="1:40" x14ac:dyDescent="0.25">
      <c r="A1360" t="str">
        <f>"20190305134929218"</f>
        <v>20190305134929218</v>
      </c>
      <c r="B1360" t="str">
        <f>"1551764969212479"</f>
        <v>1551764969212479</v>
      </c>
      <c r="C1360" t="s">
        <v>40</v>
      </c>
      <c r="D1360">
        <v>4.1880369999999996</v>
      </c>
      <c r="E1360">
        <v>0.58258840000000001</v>
      </c>
      <c r="F1360" t="s">
        <v>44</v>
      </c>
      <c r="G1360">
        <v>-202.20490000000001</v>
      </c>
      <c r="H1360" s="1">
        <v>-3.5749790000000001E-6</v>
      </c>
      <c r="I1360">
        <v>360.47620000000001</v>
      </c>
      <c r="J1360">
        <v>-240.18440000000001</v>
      </c>
      <c r="K1360">
        <v>1.109518</v>
      </c>
      <c r="L1360">
        <v>368.2627</v>
      </c>
      <c r="M1360">
        <v>0.99989410000000001</v>
      </c>
      <c r="N1360">
        <v>-1.455132E-2</v>
      </c>
      <c r="O1360">
        <v>-5.5017809999999897E-4</v>
      </c>
      <c r="P1360">
        <v>0.99130359999999995</v>
      </c>
      <c r="Q1360">
        <v>-0.131225799999999</v>
      </c>
      <c r="R1360">
        <v>9.8495800000000001E-3</v>
      </c>
      <c r="S1360">
        <v>3.02095</v>
      </c>
      <c r="T1360">
        <v>-8.7912080000000004E-2</v>
      </c>
      <c r="U1360">
        <v>-0.61697389999999996</v>
      </c>
      <c r="V1360">
        <v>-1.045805E-2</v>
      </c>
      <c r="W1360">
        <v>-0.1167817</v>
      </c>
      <c r="X1360">
        <v>0.99310259999999995</v>
      </c>
      <c r="Y1360">
        <v>0.19943910000000001</v>
      </c>
      <c r="Z1360">
        <v>-4.3301650000000004E-3</v>
      </c>
      <c r="AA1360">
        <v>0.97990069999999996</v>
      </c>
      <c r="AB1360">
        <v>34</v>
      </c>
      <c r="AC1360">
        <v>37.979500000000002</v>
      </c>
      <c r="AD1360">
        <v>-1.1095215749789999</v>
      </c>
      <c r="AE1360">
        <v>-7.7864999999999798</v>
      </c>
      <c r="AF1360">
        <v>7.7592461852304497</v>
      </c>
      <c r="AG1360">
        <v>-1.1095215749789999</v>
      </c>
      <c r="AH1360">
        <v>37.952694849005603</v>
      </c>
      <c r="AI1360">
        <v>91.640609880554507</v>
      </c>
      <c r="AJ1360">
        <v>78.4453829490988</v>
      </c>
      <c r="AK1360">
        <v>38.753631904507898</v>
      </c>
      <c r="AL1360">
        <v>96.706401093612996</v>
      </c>
      <c r="AM1360">
        <v>90.603341466270805</v>
      </c>
      <c r="AN1360">
        <v>1.00000005519572</v>
      </c>
    </row>
    <row r="1361" spans="1:40" x14ac:dyDescent="0.25">
      <c r="A1361" t="str">
        <f>"20190305134929229"</f>
        <v>20190305134929229</v>
      </c>
      <c r="B1361" t="str">
        <f>"1551764969222239"</f>
        <v>1551764969222239</v>
      </c>
      <c r="C1361" t="s">
        <v>40</v>
      </c>
      <c r="D1361">
        <v>4.0330560000000002</v>
      </c>
      <c r="E1361">
        <v>0.55795249999999996</v>
      </c>
      <c r="F1361" t="s">
        <v>44</v>
      </c>
      <c r="G1361">
        <v>-202.3082</v>
      </c>
      <c r="H1361" s="1">
        <v>-3.618807E-6</v>
      </c>
      <c r="I1361">
        <v>360.5129</v>
      </c>
      <c r="J1361">
        <v>-240.01740000000001</v>
      </c>
      <c r="K1361">
        <v>1.109523</v>
      </c>
      <c r="L1361">
        <v>368.26249999999999</v>
      </c>
      <c r="M1361">
        <v>0.99989399999999995</v>
      </c>
      <c r="N1361">
        <v>-1.4549400000000001E-2</v>
      </c>
      <c r="O1361">
        <v>-6.4823029999999996E-4</v>
      </c>
      <c r="P1361">
        <v>0.99132399999999998</v>
      </c>
      <c r="Q1361">
        <v>-0.1311281</v>
      </c>
      <c r="R1361">
        <v>9.0736740000000003E-3</v>
      </c>
      <c r="S1361">
        <v>3.0207670000000002</v>
      </c>
      <c r="T1361">
        <v>-8.8488579999999997E-2</v>
      </c>
      <c r="U1361">
        <v>-0.61807250000000002</v>
      </c>
      <c r="V1361">
        <v>-9.776725E-3</v>
      </c>
      <c r="W1361">
        <v>-0.1166861</v>
      </c>
      <c r="X1361">
        <v>0.99312069999999997</v>
      </c>
      <c r="Y1361">
        <v>0.19969519999999999</v>
      </c>
      <c r="Z1361">
        <v>-4.3529809999999997E-3</v>
      </c>
      <c r="AA1361">
        <v>0.97984839999999995</v>
      </c>
      <c r="AB1361">
        <v>34</v>
      </c>
      <c r="AC1361">
        <v>37.709200000000003</v>
      </c>
      <c r="AD1361">
        <v>-1.1095266188070001</v>
      </c>
      <c r="AE1361">
        <v>-7.7495999999999796</v>
      </c>
      <c r="AF1361">
        <v>7.7187400056344897</v>
      </c>
      <c r="AG1361">
        <v>-1.1095266188070001</v>
      </c>
      <c r="AH1361">
        <v>37.682915003897399</v>
      </c>
      <c r="AI1361">
        <v>91.652230277179001</v>
      </c>
      <c r="AJ1361">
        <v>78.424004808212899</v>
      </c>
      <c r="AK1361">
        <v>38.481321180325601</v>
      </c>
      <c r="AL1361">
        <v>96.700886434186899</v>
      </c>
      <c r="AM1361">
        <v>90.564027096831097</v>
      </c>
      <c r="AN1361">
        <v>0.99999997752671199</v>
      </c>
    </row>
    <row r="1362" spans="1:40" x14ac:dyDescent="0.25">
      <c r="A1362" t="str">
        <f>"20190305134929239"</f>
        <v>20190305134929239</v>
      </c>
      <c r="B1362" t="str">
        <f>"1551764969231999"</f>
        <v>1551764969231999</v>
      </c>
      <c r="C1362" t="s">
        <v>40</v>
      </c>
      <c r="D1362">
        <v>4.0585849999999999</v>
      </c>
      <c r="E1362">
        <v>0.5502861</v>
      </c>
      <c r="F1362" t="s">
        <v>44</v>
      </c>
      <c r="G1362">
        <v>-189.69149999999999</v>
      </c>
      <c r="H1362" s="1">
        <v>-5.8927649999999998E-6</v>
      </c>
      <c r="I1362">
        <v>361.2165</v>
      </c>
      <c r="J1362">
        <v>-239.85659999999999</v>
      </c>
      <c r="K1362">
        <v>1.109524</v>
      </c>
      <c r="L1362">
        <v>368.26229999999998</v>
      </c>
      <c r="M1362">
        <v>0.99989399999999995</v>
      </c>
      <c r="N1362">
        <v>-1.4547549999999999E-2</v>
      </c>
      <c r="O1362">
        <v>-7.3075949999999897E-4</v>
      </c>
      <c r="P1362">
        <v>0.99125629999999998</v>
      </c>
      <c r="Q1362">
        <v>-0.13167200000000001</v>
      </c>
      <c r="R1362">
        <v>8.6012469999999994E-3</v>
      </c>
      <c r="S1362">
        <v>3.0213169999999998</v>
      </c>
      <c r="T1362">
        <v>-6.6610569999999994E-2</v>
      </c>
      <c r="U1362">
        <v>-0.4230042</v>
      </c>
      <c r="V1362">
        <v>-9.3835359999999996E-3</v>
      </c>
      <c r="W1362">
        <v>-0.117233199999999</v>
      </c>
      <c r="X1362">
        <v>0.9930601</v>
      </c>
      <c r="Y1362">
        <v>0.13787550000000001</v>
      </c>
      <c r="Z1362">
        <v>-2.514849E-3</v>
      </c>
      <c r="AA1362">
        <v>0.99044639999999995</v>
      </c>
      <c r="AB1362">
        <v>34</v>
      </c>
      <c r="AC1362">
        <v>50.165100000000002</v>
      </c>
      <c r="AD1362">
        <v>-1.1095298927649999</v>
      </c>
      <c r="AE1362">
        <v>-7.0457999999999803</v>
      </c>
      <c r="AF1362">
        <v>7.0057747851716403</v>
      </c>
      <c r="AG1362">
        <v>-1.1095298927649999</v>
      </c>
      <c r="AH1362">
        <v>50.146179642227601</v>
      </c>
      <c r="AI1362">
        <v>91.255326875567505</v>
      </c>
      <c r="AJ1362">
        <v>82.046852454499501</v>
      </c>
      <c r="AK1362">
        <v>50.645347956491001</v>
      </c>
      <c r="AL1362">
        <v>96.732449310457199</v>
      </c>
      <c r="AM1362">
        <v>90.541378119475795</v>
      </c>
      <c r="AN1362">
        <v>1.00000001807105</v>
      </c>
    </row>
    <row r="1363" spans="1:40" x14ac:dyDescent="0.25">
      <c r="A1363" t="str">
        <f>"20190305134929253"</f>
        <v>20190305134929253</v>
      </c>
      <c r="B1363" t="str">
        <f>"1551764969241759"</f>
        <v>1551764969241759</v>
      </c>
      <c r="C1363" t="s">
        <v>40</v>
      </c>
      <c r="D1363">
        <v>4.0646559999999896</v>
      </c>
      <c r="E1363">
        <v>0.5487071</v>
      </c>
      <c r="F1363" t="s">
        <v>44</v>
      </c>
      <c r="G1363">
        <v>-202.03149999999999</v>
      </c>
      <c r="H1363" s="1">
        <v>-2.7711149999999998E-6</v>
      </c>
      <c r="I1363">
        <v>363.70060000000001</v>
      </c>
      <c r="J1363">
        <v>-239.66550000000001</v>
      </c>
      <c r="K1363">
        <v>1.1095330000000001</v>
      </c>
      <c r="L1363">
        <v>368.262</v>
      </c>
      <c r="M1363">
        <v>0.9998939</v>
      </c>
      <c r="N1363">
        <v>-1.454537E-2</v>
      </c>
      <c r="O1363">
        <v>-8.2396740000000002E-4</v>
      </c>
      <c r="P1363">
        <v>0.99116740000000003</v>
      </c>
      <c r="Q1363">
        <v>-0.13236110000000001</v>
      </c>
      <c r="R1363">
        <v>8.2334799999999996E-3</v>
      </c>
      <c r="S1363">
        <v>3.0178829999999999</v>
      </c>
      <c r="T1363">
        <v>-8.8523859999999996E-2</v>
      </c>
      <c r="U1363">
        <v>-0.36395260000000001</v>
      </c>
      <c r="V1363">
        <v>-9.1048220000000003E-3</v>
      </c>
      <c r="W1363">
        <v>-0.11792619999999999</v>
      </c>
      <c r="X1363">
        <v>0.99298059999999999</v>
      </c>
      <c r="Y1363">
        <v>0.11883730000000001</v>
      </c>
      <c r="Z1363">
        <v>-2.5918450000000002E-3</v>
      </c>
      <c r="AA1363">
        <v>0.99291030000000002</v>
      </c>
      <c r="AB1363">
        <v>33</v>
      </c>
      <c r="AC1363">
        <v>37.634</v>
      </c>
      <c r="AD1363">
        <v>-1.109535771115</v>
      </c>
      <c r="AE1363">
        <v>-4.5613999999999297</v>
      </c>
      <c r="AF1363">
        <v>4.5265084839407503</v>
      </c>
      <c r="AG1363">
        <v>-1.109535771115</v>
      </c>
      <c r="AH1363">
        <v>37.605532408377798</v>
      </c>
      <c r="AI1363">
        <v>91.677893770662607</v>
      </c>
      <c r="AJ1363">
        <v>83.136433308833602</v>
      </c>
      <c r="AK1363">
        <v>37.893223885018401</v>
      </c>
      <c r="AL1363">
        <v>96.772432896575907</v>
      </c>
      <c r="AM1363">
        <v>90.525340832436896</v>
      </c>
      <c r="AN1363">
        <v>0.99999997920322503</v>
      </c>
    </row>
    <row r="1364" spans="1:40" x14ac:dyDescent="0.25">
      <c r="A1364" t="str">
        <f>"20190305134929263"</f>
        <v>20190305134929263</v>
      </c>
      <c r="B1364" t="str">
        <f>"1551764969252495"</f>
        <v>1551764969252495</v>
      </c>
      <c r="C1364" t="s">
        <v>40</v>
      </c>
      <c r="D1364">
        <v>4.0644539999999996</v>
      </c>
      <c r="E1364">
        <v>0.54627669999999995</v>
      </c>
      <c r="F1364" t="s">
        <v>44</v>
      </c>
      <c r="G1364">
        <v>-201.12639999999999</v>
      </c>
      <c r="H1364" s="1">
        <v>-2.2195620000000001E-6</v>
      </c>
      <c r="I1364">
        <v>363.75990000000002</v>
      </c>
      <c r="J1364">
        <v>-239.50880000000001</v>
      </c>
      <c r="K1364">
        <v>1.10954</v>
      </c>
      <c r="L1364">
        <v>368.26179999999999</v>
      </c>
      <c r="M1364">
        <v>0.99989399999999995</v>
      </c>
      <c r="N1364">
        <v>-1.454359E-2</v>
      </c>
      <c r="O1364">
        <v>-8.9013310000000002E-4</v>
      </c>
      <c r="P1364">
        <v>0.9910793</v>
      </c>
      <c r="Q1364">
        <v>-0.13303519999999999</v>
      </c>
      <c r="R1364">
        <v>7.9909899999999999E-3</v>
      </c>
      <c r="S1364">
        <v>3.018097</v>
      </c>
      <c r="T1364">
        <v>-8.6890579999999995E-2</v>
      </c>
      <c r="U1364">
        <v>-0.35256959999999998</v>
      </c>
      <c r="V1364">
        <v>-8.9246440000000007E-3</v>
      </c>
      <c r="W1364">
        <v>-0.1186035</v>
      </c>
      <c r="X1364">
        <v>0.99290160000000005</v>
      </c>
      <c r="Y1364">
        <v>0.1150742</v>
      </c>
      <c r="Z1364">
        <v>-2.4778349999999998E-3</v>
      </c>
      <c r="AA1364">
        <v>0.99335379999999995</v>
      </c>
      <c r="AB1364">
        <v>33</v>
      </c>
      <c r="AC1364">
        <v>38.382399999999997</v>
      </c>
      <c r="AD1364">
        <v>-1.1095422195619999</v>
      </c>
      <c r="AE1364">
        <v>-4.5018999999999698</v>
      </c>
      <c r="AF1364">
        <v>4.4640494115636304</v>
      </c>
      <c r="AG1364">
        <v>-1.1095422195619999</v>
      </c>
      <c r="AH1364">
        <v>38.354776356816998</v>
      </c>
      <c r="AI1364">
        <v>91.6459086954318</v>
      </c>
      <c r="AJ1364">
        <v>83.361307286794698</v>
      </c>
      <c r="AK1364">
        <v>38.629621930162799</v>
      </c>
      <c r="AL1364">
        <v>96.811513360661706</v>
      </c>
      <c r="AM1364">
        <v>90.514986242992507</v>
      </c>
      <c r="AN1364">
        <v>1.0000000133826601</v>
      </c>
    </row>
    <row r="1365" spans="1:40" x14ac:dyDescent="0.25">
      <c r="A1365" t="str">
        <f>"20190305134929274"</f>
        <v>20190305134929274</v>
      </c>
      <c r="B1365" t="str">
        <f>"1551764969272015"</f>
        <v>1551764969272015</v>
      </c>
      <c r="C1365" t="s">
        <v>40</v>
      </c>
      <c r="D1365">
        <v>3.9915769999999999</v>
      </c>
      <c r="E1365">
        <v>0.54409149999999995</v>
      </c>
      <c r="F1365" t="s">
        <v>44</v>
      </c>
      <c r="G1365">
        <v>-206.40020000000001</v>
      </c>
      <c r="H1365" s="1">
        <v>-4.7210469999999996E-6</v>
      </c>
      <c r="I1365">
        <v>364.5926</v>
      </c>
      <c r="J1365">
        <v>-239.3409</v>
      </c>
      <c r="K1365">
        <v>1.1095549999999901</v>
      </c>
      <c r="L1365">
        <v>368.26159999999999</v>
      </c>
      <c r="M1365">
        <v>0.99989380000000005</v>
      </c>
      <c r="N1365">
        <v>-1.4541689999999999E-2</v>
      </c>
      <c r="O1365">
        <v>-9.5472560000000001E-4</v>
      </c>
      <c r="P1365">
        <v>0.99101249999999996</v>
      </c>
      <c r="Q1365">
        <v>-0.13356129999999999</v>
      </c>
      <c r="R1365">
        <v>7.4662579999999999E-3</v>
      </c>
      <c r="S1365">
        <v>3.0161440000000002</v>
      </c>
      <c r="T1365">
        <v>-0.1010778</v>
      </c>
      <c r="U1365">
        <v>-0.33425899999999997</v>
      </c>
      <c r="V1365">
        <v>-8.4601190000000003E-3</v>
      </c>
      <c r="W1365">
        <v>-0.1191329</v>
      </c>
      <c r="X1365">
        <v>0.99284229999999996</v>
      </c>
      <c r="Y1365">
        <v>0.109113</v>
      </c>
      <c r="Z1365">
        <v>-2.6003010000000002E-3</v>
      </c>
      <c r="AA1365">
        <v>0.99402590000000002</v>
      </c>
      <c r="AB1365">
        <v>33</v>
      </c>
      <c r="AC1365">
        <v>32.9406999999999</v>
      </c>
      <c r="AD1365">
        <v>-1.1095597210469901</v>
      </c>
      <c r="AE1365">
        <v>-3.6689999999999801</v>
      </c>
      <c r="AF1365">
        <v>3.6334737161924</v>
      </c>
      <c r="AG1365">
        <v>-1.1095597210469901</v>
      </c>
      <c r="AH1365">
        <v>32.907309728947403</v>
      </c>
      <c r="AI1365">
        <v>91.919495334115695</v>
      </c>
      <c r="AJ1365">
        <v>83.699186538424499</v>
      </c>
      <c r="AK1365">
        <v>33.125885461640202</v>
      </c>
      <c r="AL1365">
        <v>96.842062243152199</v>
      </c>
      <c r="AM1365">
        <v>90.488211855435907</v>
      </c>
      <c r="AN1365">
        <v>1.0000000270725899</v>
      </c>
    </row>
    <row r="1366" spans="1:40" x14ac:dyDescent="0.25">
      <c r="A1366" t="str">
        <f>"20190305134929285"</f>
        <v>20190305134929285</v>
      </c>
      <c r="B1366" t="str">
        <f>"1551764969281776"</f>
        <v>1551764969281776</v>
      </c>
      <c r="C1366" t="s">
        <v>40</v>
      </c>
      <c r="D1366">
        <v>4.014697</v>
      </c>
      <c r="E1366">
        <v>0.54342729999999995</v>
      </c>
      <c r="F1366" t="s">
        <v>42</v>
      </c>
      <c r="G1366">
        <v>-210.45240000000001</v>
      </c>
      <c r="H1366" s="1">
        <v>-4.8608089999999997E-6</v>
      </c>
      <c r="I1366">
        <v>365.2047</v>
      </c>
      <c r="J1366">
        <v>-239.17500000000001</v>
      </c>
      <c r="K1366">
        <v>1.109569</v>
      </c>
      <c r="L1366">
        <v>368.26139999999998</v>
      </c>
      <c r="M1366">
        <v>0.9998939</v>
      </c>
      <c r="N1366">
        <v>-1.453984E-2</v>
      </c>
      <c r="O1366">
        <v>-1.010372E-3</v>
      </c>
      <c r="P1366">
        <v>0.99095820000000001</v>
      </c>
      <c r="Q1366">
        <v>-0.133970799999999</v>
      </c>
      <c r="R1366">
        <v>7.3422919999999899E-3</v>
      </c>
      <c r="S1366">
        <v>3.014008</v>
      </c>
      <c r="T1366">
        <v>-0.1157627</v>
      </c>
      <c r="U1366">
        <v>-0.31893919999999998</v>
      </c>
      <c r="V1366">
        <v>-8.3872670000000003E-3</v>
      </c>
      <c r="W1366">
        <v>-0.11954529999999999</v>
      </c>
      <c r="X1366">
        <v>0.99279329999999999</v>
      </c>
      <c r="Y1366">
        <v>0.1041219</v>
      </c>
      <c r="Z1366">
        <v>-2.7287230000000002E-3</v>
      </c>
      <c r="AA1366">
        <v>0.99456080000000002</v>
      </c>
      <c r="AB1366">
        <v>33</v>
      </c>
      <c r="AC1366">
        <v>28.7226</v>
      </c>
      <c r="AD1366">
        <v>-1.109573860809</v>
      </c>
      <c r="AE1366">
        <v>-3.05669999999997</v>
      </c>
      <c r="AF1366">
        <v>3.0232137551826201</v>
      </c>
      <c r="AG1366">
        <v>-1.109573860809</v>
      </c>
      <c r="AH1366">
        <v>28.6833483988867</v>
      </c>
      <c r="AI1366">
        <v>92.203108496997004</v>
      </c>
      <c r="AJ1366">
        <v>83.983261660402306</v>
      </c>
      <c r="AK1366">
        <v>28.863566150668699</v>
      </c>
      <c r="AL1366">
        <v>96.865861418888798</v>
      </c>
      <c r="AM1366">
        <v>90.484031840904095</v>
      </c>
      <c r="AN1366">
        <v>0.99999998076235397</v>
      </c>
    </row>
    <row r="1367" spans="1:40" x14ac:dyDescent="0.25">
      <c r="A1367" t="str">
        <f>"20190305134929298"</f>
        <v>20190305134929298</v>
      </c>
      <c r="B1367" t="str">
        <f>"1551764969292512"</f>
        <v>1551764969292512</v>
      </c>
      <c r="C1367" t="s">
        <v>40</v>
      </c>
      <c r="D1367">
        <v>4.0126520000000001</v>
      </c>
      <c r="E1367">
        <v>0.54299090000000005</v>
      </c>
      <c r="F1367" t="s">
        <v>42</v>
      </c>
      <c r="G1367">
        <v>-211.63929999999999</v>
      </c>
      <c r="H1367" s="1">
        <v>-4.3186309999999901E-6</v>
      </c>
      <c r="I1367">
        <v>365.39060000000001</v>
      </c>
      <c r="J1367">
        <v>-238.9871</v>
      </c>
      <c r="K1367">
        <v>1.1095839999999999</v>
      </c>
      <c r="L1367">
        <v>368.2611</v>
      </c>
      <c r="M1367">
        <v>0.99989380000000005</v>
      </c>
      <c r="N1367">
        <v>-1.4537710000000001E-2</v>
      </c>
      <c r="O1367">
        <v>-1.061205E-3</v>
      </c>
      <c r="P1367">
        <v>0.99100109999999997</v>
      </c>
      <c r="Q1367">
        <v>-0.1336591</v>
      </c>
      <c r="R1367">
        <v>7.2213340000000003E-3</v>
      </c>
      <c r="S1367">
        <v>3.0132750000000001</v>
      </c>
      <c r="T1367">
        <v>-0.12142210000000001</v>
      </c>
      <c r="U1367">
        <v>-0.31414789999999998</v>
      </c>
      <c r="V1367">
        <v>-8.3123079999999992E-3</v>
      </c>
      <c r="W1367">
        <v>-0.11923549999999999</v>
      </c>
      <c r="X1367">
        <v>0.99283120000000002</v>
      </c>
      <c r="Y1367">
        <v>0.10252500000000001</v>
      </c>
      <c r="Z1367">
        <v>-2.779704E-3</v>
      </c>
      <c r="AA1367">
        <v>0.99472649999999996</v>
      </c>
      <c r="AB1367">
        <v>33</v>
      </c>
      <c r="AC1367">
        <v>27.347799999999999</v>
      </c>
      <c r="AD1367">
        <v>-1.1095883186309901</v>
      </c>
      <c r="AE1367">
        <v>-2.8704999999999901</v>
      </c>
      <c r="AF1367">
        <v>2.8368545936862599</v>
      </c>
      <c r="AG1367">
        <v>-1.1095883186309901</v>
      </c>
      <c r="AH1367">
        <v>27.306369579798101</v>
      </c>
      <c r="AI1367">
        <v>92.314478208233496</v>
      </c>
      <c r="AJ1367">
        <v>84.068827666092801</v>
      </c>
      <c r="AK1367">
        <v>27.475748394740499</v>
      </c>
      <c r="AL1367">
        <v>96.847983210680098</v>
      </c>
      <c r="AM1367">
        <v>90.479687825004007</v>
      </c>
      <c r="AN1367">
        <v>0.99999999530898798</v>
      </c>
    </row>
    <row r="1368" spans="1:40" x14ac:dyDescent="0.25">
      <c r="A1368" t="str">
        <f>"20190305134929308"</f>
        <v>20190305134929308</v>
      </c>
      <c r="B1368" t="str">
        <f>"1551764969302271"</f>
        <v>1551764969302271</v>
      </c>
      <c r="C1368" t="s">
        <v>40</v>
      </c>
      <c r="D1368">
        <v>3.8289499999999999</v>
      </c>
      <c r="E1368">
        <v>0.54299090000000005</v>
      </c>
      <c r="F1368" t="s">
        <v>42</v>
      </c>
      <c r="G1368">
        <v>-212.1206</v>
      </c>
      <c r="H1368" s="1">
        <v>-4.0951239999999998E-6</v>
      </c>
      <c r="I1368">
        <v>365.48660000000001</v>
      </c>
      <c r="J1368">
        <v>-238.83090000000001</v>
      </c>
      <c r="K1368">
        <v>1.1095930000000001</v>
      </c>
      <c r="L1368">
        <v>368.26089999999999</v>
      </c>
      <c r="M1368">
        <v>0.99989380000000005</v>
      </c>
      <c r="N1368">
        <v>-1.4535930000000001E-2</v>
      </c>
      <c r="O1368">
        <v>-1.0990920000000001E-3</v>
      </c>
      <c r="P1368">
        <v>0.99099700000000002</v>
      </c>
      <c r="Q1368">
        <v>-0.1336995</v>
      </c>
      <c r="R1368">
        <v>7.0506369999999898E-3</v>
      </c>
      <c r="S1368">
        <v>3.0127410000000001</v>
      </c>
      <c r="T1368">
        <v>-0.1244262</v>
      </c>
      <c r="U1368">
        <v>-0.31112669999999998</v>
      </c>
      <c r="V1368">
        <v>-8.1749739999999998E-3</v>
      </c>
      <c r="W1368">
        <v>-0.11927790000000001</v>
      </c>
      <c r="X1368">
        <v>0.99282720000000002</v>
      </c>
      <c r="Y1368">
        <v>0.10151490000000001</v>
      </c>
      <c r="Z1368">
        <v>-2.8007430000000001E-3</v>
      </c>
      <c r="AA1368">
        <v>0.99483010000000005</v>
      </c>
      <c r="AB1368">
        <v>33</v>
      </c>
      <c r="AC1368">
        <v>26.7103</v>
      </c>
      <c r="AD1368">
        <v>-1.109597095124</v>
      </c>
      <c r="AE1368">
        <v>-2.7742999999999798</v>
      </c>
      <c r="AF1368">
        <v>2.74025966805381</v>
      </c>
      <c r="AG1368">
        <v>-1.109597095124</v>
      </c>
      <c r="AH1368">
        <v>26.6678031329368</v>
      </c>
      <c r="AI1368">
        <v>92.370129734366898</v>
      </c>
      <c r="AJ1368">
        <v>84.133142547448202</v>
      </c>
      <c r="AK1368">
        <v>26.8311750152494</v>
      </c>
      <c r="AL1368">
        <v>96.850430336733993</v>
      </c>
      <c r="AM1368">
        <v>90.4717647972534</v>
      </c>
      <c r="AN1368">
        <v>0.99999994834407402</v>
      </c>
    </row>
    <row r="1369" spans="1:40" x14ac:dyDescent="0.25">
      <c r="A1369" t="str">
        <f>"20190305134929318"</f>
        <v>20190305134929318</v>
      </c>
      <c r="B1369" t="str">
        <f>"1551764969312031"</f>
        <v>1551764969312031</v>
      </c>
      <c r="C1369" t="s">
        <v>40</v>
      </c>
      <c r="D1369">
        <v>3.850006</v>
      </c>
      <c r="E1369">
        <v>0.54688669999999995</v>
      </c>
      <c r="F1369" t="s">
        <v>42</v>
      </c>
      <c r="G1369">
        <v>-211.96360000000001</v>
      </c>
      <c r="H1369" s="1">
        <v>-4.1633810000000003E-6</v>
      </c>
      <c r="I1369">
        <v>365.48160000000001</v>
      </c>
      <c r="J1369">
        <v>-238.67959999999999</v>
      </c>
      <c r="K1369">
        <v>1.109604</v>
      </c>
      <c r="L1369">
        <v>368.26069999999999</v>
      </c>
      <c r="M1369">
        <v>0.9998937</v>
      </c>
      <c r="N1369">
        <v>-1.4534210000000001E-2</v>
      </c>
      <c r="O1369">
        <v>-1.1237630000000001E-3</v>
      </c>
      <c r="P1369">
        <v>0.99100149999999998</v>
      </c>
      <c r="Q1369">
        <v>-0.13366</v>
      </c>
      <c r="R1369">
        <v>7.1230130000000001E-3</v>
      </c>
      <c r="S1369">
        <v>3.0126650000000001</v>
      </c>
      <c r="T1369">
        <v>-0.12442</v>
      </c>
      <c r="U1369">
        <v>-0.31164550000000002</v>
      </c>
      <c r="V1369">
        <v>-8.2682750000000003E-3</v>
      </c>
      <c r="W1369">
        <v>-0.1192404</v>
      </c>
      <c r="X1369">
        <v>0.99283100000000002</v>
      </c>
      <c r="Y1369">
        <v>0.1016623</v>
      </c>
      <c r="Z1369">
        <v>-2.8040420000000001E-3</v>
      </c>
      <c r="AA1369">
        <v>0.994815</v>
      </c>
      <c r="AB1369">
        <v>33</v>
      </c>
      <c r="AC1369">
        <v>26.715999999999902</v>
      </c>
      <c r="AD1369">
        <v>-1.109608163381</v>
      </c>
      <c r="AE1369">
        <v>-2.7790999999999699</v>
      </c>
      <c r="AF1369">
        <v>2.7443891483487199</v>
      </c>
      <c r="AG1369">
        <v>-1.109608163381</v>
      </c>
      <c r="AH1369">
        <v>26.673586366691701</v>
      </c>
      <c r="AI1369">
        <v>92.369608132493298</v>
      </c>
      <c r="AJ1369">
        <v>84.125628212819905</v>
      </c>
      <c r="AK1369">
        <v>26.837345467374</v>
      </c>
      <c r="AL1369">
        <v>96.848265835224396</v>
      </c>
      <c r="AM1369">
        <v>90.477146976432294</v>
      </c>
      <c r="AN1369">
        <v>1.0000000159623099</v>
      </c>
    </row>
    <row r="1370" spans="1:40" x14ac:dyDescent="0.25">
      <c r="A1370" t="str">
        <f>"20190305134929328"</f>
        <v>20190305134929328</v>
      </c>
      <c r="B1370" t="str">
        <f>"1551764969321791"</f>
        <v>1551764969321791</v>
      </c>
      <c r="C1370" t="s">
        <v>40</v>
      </c>
      <c r="D1370">
        <v>4.0277479999999999</v>
      </c>
      <c r="E1370">
        <v>0.54688669999999995</v>
      </c>
      <c r="F1370" t="s">
        <v>45</v>
      </c>
      <c r="G1370">
        <v>-168.84350000000001</v>
      </c>
      <c r="H1370">
        <v>10.845560000000001</v>
      </c>
      <c r="I1370">
        <v>360.99369999999999</v>
      </c>
      <c r="J1370">
        <v>-238.52680000000001</v>
      </c>
      <c r="K1370">
        <v>1.1096159999999999</v>
      </c>
      <c r="L1370">
        <v>368.26060000000001</v>
      </c>
      <c r="M1370">
        <v>0.99989380000000005</v>
      </c>
      <c r="N1370">
        <v>-1.453248E-2</v>
      </c>
      <c r="O1370">
        <v>-1.1478370000000001E-3</v>
      </c>
      <c r="P1370">
        <v>0.99100759999999999</v>
      </c>
      <c r="Q1370">
        <v>-0.133605</v>
      </c>
      <c r="R1370">
        <v>7.32167699999999E-3</v>
      </c>
      <c r="S1370">
        <v>3.0876009999999998</v>
      </c>
      <c r="T1370">
        <v>0.43045090000000003</v>
      </c>
      <c r="U1370">
        <v>-0.32128909999999899</v>
      </c>
      <c r="V1370">
        <v>-8.487049E-3</v>
      </c>
      <c r="W1370">
        <v>-0.11918719999999999</v>
      </c>
      <c r="X1370">
        <v>0.99283549999999998</v>
      </c>
      <c r="Y1370">
        <v>0.10150240000000001</v>
      </c>
      <c r="Z1370">
        <v>6.1045429999999996E-3</v>
      </c>
      <c r="AA1370">
        <v>0.99481649999999999</v>
      </c>
      <c r="AB1370">
        <v>33</v>
      </c>
      <c r="AC1370">
        <v>69.683300000000003</v>
      </c>
      <c r="AD1370">
        <v>9.7359439999999999</v>
      </c>
      <c r="AE1370">
        <v>-7.2669000000000201</v>
      </c>
      <c r="AF1370">
        <v>7.0507458834889896</v>
      </c>
      <c r="AG1370">
        <v>9.7359439999999999</v>
      </c>
      <c r="AH1370">
        <v>68.371289251637705</v>
      </c>
      <c r="AI1370">
        <v>81.937861631240807</v>
      </c>
      <c r="AJ1370">
        <v>84.112221636647703</v>
      </c>
      <c r="AK1370">
        <v>69.419988598499401</v>
      </c>
      <c r="AL1370">
        <v>96.845196092409495</v>
      </c>
      <c r="AM1370">
        <v>90.489769195637194</v>
      </c>
      <c r="AN1370">
        <v>0.99999997435240895</v>
      </c>
    </row>
    <row r="1371" spans="1:40" x14ac:dyDescent="0.25">
      <c r="A1371" t="str">
        <f>"20190305134929344"</f>
        <v>20190305134929344</v>
      </c>
      <c r="B1371" t="str">
        <f>"1551764969331551"</f>
        <v>1551764969331551</v>
      </c>
      <c r="C1371" t="s">
        <v>40</v>
      </c>
      <c r="D1371">
        <v>4.0294990000000004</v>
      </c>
      <c r="E1371">
        <v>0.53941600000000001</v>
      </c>
      <c r="F1371" t="s">
        <v>45</v>
      </c>
      <c r="G1371">
        <v>-168.84350000000001</v>
      </c>
      <c r="H1371">
        <v>10.83034</v>
      </c>
      <c r="I1371">
        <v>361.0283</v>
      </c>
      <c r="J1371">
        <v>-238.31190000000001</v>
      </c>
      <c r="K1371">
        <v>1.1096349999999999</v>
      </c>
      <c r="L1371">
        <v>368.26029999999997</v>
      </c>
      <c r="M1371">
        <v>0.99989399999999995</v>
      </c>
      <c r="N1371">
        <v>-1.453017E-2</v>
      </c>
      <c r="O1371">
        <v>-1.1679240000000001E-3</v>
      </c>
      <c r="P1371">
        <v>0.99099680000000001</v>
      </c>
      <c r="Q1371">
        <v>-0.1336918</v>
      </c>
      <c r="R1371">
        <v>7.232919E-3</v>
      </c>
      <c r="S1371">
        <v>3.0876769999999998</v>
      </c>
      <c r="T1371">
        <v>0.43073030000000001</v>
      </c>
      <c r="U1371">
        <v>-0.3204651</v>
      </c>
      <c r="V1371">
        <v>-8.414052E-3</v>
      </c>
      <c r="W1371">
        <v>-0.1192768</v>
      </c>
      <c r="X1371">
        <v>0.99282539999999997</v>
      </c>
      <c r="Y1371">
        <v>0.10121869999999999</v>
      </c>
      <c r="Z1371">
        <v>6.0883739999999997E-3</v>
      </c>
      <c r="AA1371">
        <v>0.9948456</v>
      </c>
      <c r="AB1371">
        <v>33</v>
      </c>
      <c r="AC1371">
        <v>69.468400000000003</v>
      </c>
      <c r="AD1371">
        <v>9.7207050000000006</v>
      </c>
      <c r="AE1371">
        <v>-7.23199999999997</v>
      </c>
      <c r="AF1371">
        <v>7.0149696717120102</v>
      </c>
      <c r="AG1371">
        <v>9.7207050000000006</v>
      </c>
      <c r="AH1371">
        <v>68.156577151514099</v>
      </c>
      <c r="AI1371">
        <v>81.925127906725507</v>
      </c>
      <c r="AJ1371">
        <v>84.123562810498996</v>
      </c>
      <c r="AK1371">
        <v>69.202752215517805</v>
      </c>
      <c r="AL1371">
        <v>96.8503664125585</v>
      </c>
      <c r="AM1371">
        <v>90.485561838932995</v>
      </c>
      <c r="AN1371">
        <v>1.00000001308722</v>
      </c>
    </row>
    <row r="1372" spans="1:40" x14ac:dyDescent="0.25">
      <c r="A1372" t="str">
        <f>"20190305134929357"</f>
        <v>20190305134929357</v>
      </c>
      <c r="B1372" t="str">
        <f>"1551764969352046"</f>
        <v>1551764969352046</v>
      </c>
      <c r="C1372" t="s">
        <v>40</v>
      </c>
      <c r="D1372">
        <v>4.0232419999999998</v>
      </c>
      <c r="E1372">
        <v>0.53887299999999905</v>
      </c>
      <c r="F1372" t="s">
        <v>42</v>
      </c>
      <c r="G1372">
        <v>-214.58779999999999</v>
      </c>
      <c r="H1372" s="1">
        <v>-2.940015E-6</v>
      </c>
      <c r="I1372">
        <v>366.0317</v>
      </c>
      <c r="J1372">
        <v>-238.1199</v>
      </c>
      <c r="K1372">
        <v>1.1096469999999901</v>
      </c>
      <c r="L1372">
        <v>368.26</v>
      </c>
      <c r="M1372">
        <v>0.99989380000000005</v>
      </c>
      <c r="N1372">
        <v>-1.452809E-2</v>
      </c>
      <c r="O1372">
        <v>-1.1803250000000001E-3</v>
      </c>
      <c r="P1372">
        <v>0.99095069999999996</v>
      </c>
      <c r="Q1372">
        <v>-0.13401779999999999</v>
      </c>
      <c r="R1372">
        <v>7.4989719999999996E-3</v>
      </c>
      <c r="S1372">
        <v>3.0103300000000002</v>
      </c>
      <c r="T1372">
        <v>-0.14080039999999999</v>
      </c>
      <c r="U1372">
        <v>-0.28277590000000002</v>
      </c>
      <c r="V1372">
        <v>-8.6887600000000002E-3</v>
      </c>
      <c r="W1372">
        <v>-0.1196057</v>
      </c>
      <c r="X1372">
        <v>0.99278339999999998</v>
      </c>
      <c r="Y1372">
        <v>9.2217499999999994E-2</v>
      </c>
      <c r="Z1372">
        <v>-2.784618E-3</v>
      </c>
      <c r="AA1372">
        <v>0.99573500000000004</v>
      </c>
      <c r="AB1372">
        <v>33</v>
      </c>
      <c r="AC1372">
        <v>23.5321</v>
      </c>
      <c r="AD1372">
        <v>-1.10964994001499</v>
      </c>
      <c r="AE1372">
        <v>-2.2282999999999902</v>
      </c>
      <c r="AF1372">
        <v>2.1956811301936101</v>
      </c>
      <c r="AG1372">
        <v>-1.10964994001499</v>
      </c>
      <c r="AH1372">
        <v>23.482962049973398</v>
      </c>
      <c r="AI1372">
        <v>92.693676692117506</v>
      </c>
      <c r="AJ1372">
        <v>84.658315952837896</v>
      </c>
      <c r="AK1372">
        <v>23.611476981657798</v>
      </c>
      <c r="AL1372">
        <v>96.869347314890703</v>
      </c>
      <c r="AM1372">
        <v>90.501435224636595</v>
      </c>
      <c r="AN1372">
        <v>0.99999994866919195</v>
      </c>
    </row>
    <row r="1373" spans="1:40" x14ac:dyDescent="0.25">
      <c r="A1373" t="str">
        <f>"20190305134929371"</f>
        <v>20190305134929371</v>
      </c>
      <c r="B1373" t="str">
        <f>"1551764969361807"</f>
        <v>1551764969361807</v>
      </c>
      <c r="C1373" t="s">
        <v>40</v>
      </c>
      <c r="D1373">
        <v>4.0031030000000003</v>
      </c>
      <c r="E1373">
        <v>0.53953219999999902</v>
      </c>
      <c r="F1373" t="s">
        <v>42</v>
      </c>
      <c r="G1373">
        <v>-214.80609999999999</v>
      </c>
      <c r="H1373" s="1">
        <v>-2.8325110000000001E-6</v>
      </c>
      <c r="I1373">
        <v>366.10980000000001</v>
      </c>
      <c r="J1373">
        <v>-237.90119999999999</v>
      </c>
      <c r="K1373">
        <v>1.109659</v>
      </c>
      <c r="L1373">
        <v>368.25970000000001</v>
      </c>
      <c r="M1373">
        <v>0.99989380000000005</v>
      </c>
      <c r="N1373">
        <v>-1.4525720000000001E-2</v>
      </c>
      <c r="O1373">
        <v>-1.1890339999999901E-3</v>
      </c>
      <c r="P1373">
        <v>0.99093540000000002</v>
      </c>
      <c r="Q1373">
        <v>-0.1341186</v>
      </c>
      <c r="R1373">
        <v>7.7060469999999997E-3</v>
      </c>
      <c r="S1373">
        <v>3.0101170000000002</v>
      </c>
      <c r="T1373">
        <v>-0.14326949999999999</v>
      </c>
      <c r="U1373">
        <v>-0.27761839999999999</v>
      </c>
      <c r="V1373">
        <v>-8.9007289999999996E-3</v>
      </c>
      <c r="W1373">
        <v>-0.11970939999999999</v>
      </c>
      <c r="X1373">
        <v>0.99276909999999896</v>
      </c>
      <c r="Y1373">
        <v>9.0522270000000002E-2</v>
      </c>
      <c r="Z1373">
        <v>-2.768628E-3</v>
      </c>
      <c r="AA1373">
        <v>0.99589059999999996</v>
      </c>
      <c r="AB1373">
        <v>33</v>
      </c>
      <c r="AC1373">
        <v>23.095099999999999</v>
      </c>
      <c r="AD1373">
        <v>-1.1096618325109999</v>
      </c>
      <c r="AE1373">
        <v>-2.1499000000000001</v>
      </c>
      <c r="AF1373">
        <v>2.1175881377592201</v>
      </c>
      <c r="AG1373">
        <v>-1.1096618325109999</v>
      </c>
      <c r="AH1373">
        <v>23.0448967166828</v>
      </c>
      <c r="AI1373">
        <v>92.745239055312297</v>
      </c>
      <c r="AJ1373">
        <v>84.749853057477196</v>
      </c>
      <c r="AK1373">
        <v>23.168573404210399</v>
      </c>
      <c r="AL1373">
        <v>96.875331360278295</v>
      </c>
      <c r="AM1373">
        <v>90.513674874480301</v>
      </c>
      <c r="AN1373">
        <v>1.0000000246699501</v>
      </c>
    </row>
    <row r="1374" spans="1:40" x14ac:dyDescent="0.25">
      <c r="A1374" t="str">
        <f>"20190305134929384"</f>
        <v>20190305134929384</v>
      </c>
      <c r="B1374" t="str">
        <f>"1551764969382303"</f>
        <v>1551764969382303</v>
      </c>
      <c r="C1374" t="s">
        <v>40</v>
      </c>
      <c r="D1374">
        <v>4.0437399999999997</v>
      </c>
      <c r="E1374">
        <v>0.54048009999999902</v>
      </c>
      <c r="F1374" t="s">
        <v>42</v>
      </c>
      <c r="G1374">
        <v>-214.97049999999999</v>
      </c>
      <c r="H1374" s="1">
        <v>-2.7624800000000001E-6</v>
      </c>
      <c r="I1374">
        <v>366.10700000000003</v>
      </c>
      <c r="J1374">
        <v>-237.70330000000001</v>
      </c>
      <c r="K1374">
        <v>1.1096790000000001</v>
      </c>
      <c r="L1374">
        <v>368.2595</v>
      </c>
      <c r="M1374">
        <v>0.9998939</v>
      </c>
      <c r="N1374">
        <v>-1.452354E-2</v>
      </c>
      <c r="O1374">
        <v>-1.190902E-3</v>
      </c>
      <c r="P1374">
        <v>0.99097460000000004</v>
      </c>
      <c r="Q1374">
        <v>-0.13378950000000001</v>
      </c>
      <c r="R1374">
        <v>8.3661450000000002E-3</v>
      </c>
      <c r="S1374">
        <v>3.009903</v>
      </c>
      <c r="T1374">
        <v>-0.14565439999999999</v>
      </c>
      <c r="U1374">
        <v>-0.28256229999999999</v>
      </c>
      <c r="V1374">
        <v>-9.5605380000000004E-3</v>
      </c>
      <c r="W1374">
        <v>-0.1193819</v>
      </c>
      <c r="X1374">
        <v>0.99280239999999997</v>
      </c>
      <c r="Y1374">
        <v>9.2142139999999997E-2</v>
      </c>
      <c r="Z1374">
        <v>-2.8541830000000002E-3</v>
      </c>
      <c r="AA1374">
        <v>0.99574180000000001</v>
      </c>
      <c r="AB1374">
        <v>33</v>
      </c>
      <c r="AC1374">
        <v>22.732800000000001</v>
      </c>
      <c r="AD1374">
        <v>-1.1096817624799999</v>
      </c>
      <c r="AE1374">
        <v>-2.1525000000000301</v>
      </c>
      <c r="AF1374">
        <v>2.1204154137690598</v>
      </c>
      <c r="AG1374">
        <v>-1.1096817624799999</v>
      </c>
      <c r="AH1374">
        <v>22.6817812415369</v>
      </c>
      <c r="AI1374">
        <v>92.788760755647502</v>
      </c>
      <c r="AJ1374">
        <v>84.659203649945894</v>
      </c>
      <c r="AK1374">
        <v>22.8076907079578</v>
      </c>
      <c r="AL1374">
        <v>96.856431462831495</v>
      </c>
      <c r="AM1374">
        <v>90.551732696911301</v>
      </c>
      <c r="AN1374">
        <v>1.0000000236901001</v>
      </c>
    </row>
    <row r="1375" spans="1:40" x14ac:dyDescent="0.25">
      <c r="A1375" t="str">
        <f>"20190305134929396"</f>
        <v>20190305134929396</v>
      </c>
      <c r="B1375" t="str">
        <f>"1551764969392062"</f>
        <v>1551764969392062</v>
      </c>
      <c r="C1375" t="s">
        <v>40</v>
      </c>
      <c r="D1375">
        <v>4.0421519999999997</v>
      </c>
      <c r="E1375">
        <v>0.54069419999999901</v>
      </c>
      <c r="F1375" t="s">
        <v>42</v>
      </c>
      <c r="G1375">
        <v>-214.72020000000001</v>
      </c>
      <c r="H1375" s="1">
        <v>-2.8778670000000002E-6</v>
      </c>
      <c r="I1375">
        <v>366.06200000000001</v>
      </c>
      <c r="J1375">
        <v>-237.53380000000001</v>
      </c>
      <c r="K1375">
        <v>1.1096889999999999</v>
      </c>
      <c r="L1375">
        <v>368.2593</v>
      </c>
      <c r="M1375">
        <v>0.9998939</v>
      </c>
      <c r="N1375">
        <v>-1.452166E-2</v>
      </c>
      <c r="O1375">
        <v>-1.190668E-3</v>
      </c>
      <c r="P1375">
        <v>0.99105690000000002</v>
      </c>
      <c r="Q1375">
        <v>-0.13317079999999901</v>
      </c>
      <c r="R1375">
        <v>8.4934799999999994E-3</v>
      </c>
      <c r="S1375">
        <v>3.0101469999999999</v>
      </c>
      <c r="T1375">
        <v>-0.14533689999999999</v>
      </c>
      <c r="U1375">
        <v>-0.28781129999999999</v>
      </c>
      <c r="V1375">
        <v>-9.6862389999999993E-3</v>
      </c>
      <c r="W1375">
        <v>-0.1187641</v>
      </c>
      <c r="X1375">
        <v>0.99287530000000002</v>
      </c>
      <c r="Y1375">
        <v>9.3853649999999997E-2</v>
      </c>
      <c r="Z1375">
        <v>-2.9027499999999999E-3</v>
      </c>
      <c r="AA1375">
        <v>0.99558170000000001</v>
      </c>
      <c r="AB1375">
        <v>33</v>
      </c>
      <c r="AC1375">
        <v>22.813600000000001</v>
      </c>
      <c r="AD1375">
        <v>-1.109691877867</v>
      </c>
      <c r="AE1375">
        <v>-2.1973000000000402</v>
      </c>
      <c r="AF1375">
        <v>2.16505668612756</v>
      </c>
      <c r="AG1375">
        <v>-1.109691877867</v>
      </c>
      <c r="AH1375">
        <v>22.7628382013202</v>
      </c>
      <c r="AI1375">
        <v>92.778448826238503</v>
      </c>
      <c r="AJ1375">
        <v>84.566733996539696</v>
      </c>
      <c r="AK1375">
        <v>22.8924810690635</v>
      </c>
      <c r="AL1375">
        <v>96.820780325066096</v>
      </c>
      <c r="AM1375">
        <v>90.558945326144098</v>
      </c>
      <c r="AN1375">
        <v>1.00000004801243</v>
      </c>
    </row>
    <row r="1376" spans="1:40" x14ac:dyDescent="0.25">
      <c r="A1376" t="str">
        <f>"20190305134929408"</f>
        <v>20190305134929408</v>
      </c>
      <c r="B1376" t="str">
        <f>"1551764969401823"</f>
        <v>1551764969401823</v>
      </c>
      <c r="C1376" t="s">
        <v>40</v>
      </c>
      <c r="D1376">
        <v>4.0474259999999997</v>
      </c>
      <c r="E1376">
        <v>0.54066119999999995</v>
      </c>
      <c r="F1376" t="s">
        <v>42</v>
      </c>
      <c r="G1376">
        <v>-213.9555</v>
      </c>
      <c r="H1376" s="1">
        <v>-3.217503E-6</v>
      </c>
      <c r="I1376">
        <v>365.99650000000003</v>
      </c>
      <c r="J1376">
        <v>-237.34700000000001</v>
      </c>
      <c r="K1376">
        <v>1.1096950000000001</v>
      </c>
      <c r="L1376">
        <v>368.25909999999999</v>
      </c>
      <c r="M1376">
        <v>0.99989399999999995</v>
      </c>
      <c r="N1376">
        <v>-1.4519570000000001E-2</v>
      </c>
      <c r="O1376">
        <v>-1.1890080000000001E-3</v>
      </c>
      <c r="P1376">
        <v>0.99105600000000005</v>
      </c>
      <c r="Q1376">
        <v>-0.13314719999999999</v>
      </c>
      <c r="R1376">
        <v>8.9379179999999996E-3</v>
      </c>
      <c r="S1376">
        <v>3.010529</v>
      </c>
      <c r="T1376">
        <v>-0.1416878</v>
      </c>
      <c r="U1376">
        <v>-0.2889099</v>
      </c>
      <c r="V1376">
        <v>-1.012704E-2</v>
      </c>
      <c r="W1376">
        <v>-0.11874270000000001</v>
      </c>
      <c r="X1376">
        <v>0.99287340000000002</v>
      </c>
      <c r="Y1376">
        <v>9.4209009999999996E-2</v>
      </c>
      <c r="Z1376">
        <v>-2.8580860000000001E-3</v>
      </c>
      <c r="AA1376">
        <v>0.9955484</v>
      </c>
      <c r="AB1376">
        <v>33</v>
      </c>
      <c r="AC1376">
        <v>23.391500000000001</v>
      </c>
      <c r="AD1376">
        <v>-1.1096982175029999</v>
      </c>
      <c r="AE1376">
        <v>-2.26259999999996</v>
      </c>
      <c r="AF1376">
        <v>2.22981094998427</v>
      </c>
      <c r="AG1376">
        <v>-1.1096982175029999</v>
      </c>
      <c r="AH1376">
        <v>23.342127723497399</v>
      </c>
      <c r="AI1376">
        <v>92.709508919679905</v>
      </c>
      <c r="AJ1376">
        <v>84.543245904985696</v>
      </c>
      <c r="AK1376">
        <v>23.474633408568199</v>
      </c>
      <c r="AL1376">
        <v>96.819545874716596</v>
      </c>
      <c r="AM1376">
        <v>90.584381181605494</v>
      </c>
      <c r="AN1376">
        <v>0.99999998708500504</v>
      </c>
    </row>
    <row r="1377" spans="1:40" x14ac:dyDescent="0.25">
      <c r="A1377" t="str">
        <f>"20190305134929421"</f>
        <v>20190305134929421</v>
      </c>
      <c r="B1377" t="str">
        <f>"1551764969411583"</f>
        <v>1551764969411583</v>
      </c>
      <c r="C1377" t="s">
        <v>40</v>
      </c>
      <c r="D1377">
        <v>4.0007000000000001</v>
      </c>
      <c r="E1377">
        <v>0.54074560000000005</v>
      </c>
      <c r="F1377" t="s">
        <v>42</v>
      </c>
      <c r="G1377">
        <v>-213.8202</v>
      </c>
      <c r="H1377" s="1">
        <v>-3.2727E-6</v>
      </c>
      <c r="I1377">
        <v>366.01249999999999</v>
      </c>
      <c r="J1377">
        <v>-237.16370000000001</v>
      </c>
      <c r="K1377">
        <v>1.109699</v>
      </c>
      <c r="L1377">
        <v>368.25889999999998</v>
      </c>
      <c r="M1377">
        <v>0.99989399999999995</v>
      </c>
      <c r="N1377">
        <v>-1.4517550000000001E-2</v>
      </c>
      <c r="O1377">
        <v>-1.18571E-3</v>
      </c>
      <c r="P1377">
        <v>0.99100169999999999</v>
      </c>
      <c r="Q1377">
        <v>-0.1335219</v>
      </c>
      <c r="R1377">
        <v>9.3749430000000002E-3</v>
      </c>
      <c r="S1377">
        <v>3.0105900000000001</v>
      </c>
      <c r="T1377">
        <v>-0.1420014</v>
      </c>
      <c r="U1377">
        <v>-0.2874756</v>
      </c>
      <c r="V1377">
        <v>-1.056022E-2</v>
      </c>
      <c r="W1377">
        <v>-0.1191202</v>
      </c>
      <c r="X1377">
        <v>0.99282369999999998</v>
      </c>
      <c r="Y1377">
        <v>9.3740519999999994E-2</v>
      </c>
      <c r="Z1377">
        <v>-2.8484230000000001E-3</v>
      </c>
      <c r="AA1377">
        <v>0.99559260000000005</v>
      </c>
      <c r="AB1377">
        <v>33</v>
      </c>
      <c r="AC1377">
        <v>23.343499999999999</v>
      </c>
      <c r="AD1377">
        <v>-1.1097022727000001</v>
      </c>
      <c r="AE1377">
        <v>-2.2463999999999902</v>
      </c>
      <c r="AF1377">
        <v>2.2137600067773802</v>
      </c>
      <c r="AG1377">
        <v>-1.1097022727000001</v>
      </c>
      <c r="AH1377">
        <v>23.293989374356901</v>
      </c>
      <c r="AI1377">
        <v>92.7152356691996</v>
      </c>
      <c r="AJ1377">
        <v>84.571161755982402</v>
      </c>
      <c r="AK1377">
        <v>23.4252452169512</v>
      </c>
      <c r="AL1377">
        <v>96.841329418100202</v>
      </c>
      <c r="AM1377">
        <v>90.609406504257507</v>
      </c>
      <c r="AN1377">
        <v>1.0000000197880801</v>
      </c>
    </row>
    <row r="1378" spans="1:40" x14ac:dyDescent="0.25">
      <c r="A1378" t="str">
        <f>"20190305134929434"</f>
        <v>20190305134929434</v>
      </c>
      <c r="B1378" t="str">
        <f>"1551764969422320"</f>
        <v>1551764969422320</v>
      </c>
      <c r="C1378" t="s">
        <v>40</v>
      </c>
      <c r="D1378">
        <v>4.0351920000000003</v>
      </c>
      <c r="E1378">
        <v>0.54081179999999995</v>
      </c>
      <c r="F1378" t="s">
        <v>42</v>
      </c>
      <c r="G1378">
        <v>-213.81780000000001</v>
      </c>
      <c r="H1378" s="1">
        <v>-3.269584E-6</v>
      </c>
      <c r="I1378">
        <v>366.036</v>
      </c>
      <c r="J1378">
        <v>-236.97499999999999</v>
      </c>
      <c r="K1378">
        <v>1.109701</v>
      </c>
      <c r="L1378">
        <v>368.25869999999998</v>
      </c>
      <c r="M1378">
        <v>0.99989410000000001</v>
      </c>
      <c r="N1378">
        <v>-1.4515470000000001E-2</v>
      </c>
      <c r="O1378">
        <v>-1.1824190000000001E-3</v>
      </c>
      <c r="P1378">
        <v>0.99098229999999998</v>
      </c>
      <c r="Q1378">
        <v>-0.13363410000000001</v>
      </c>
      <c r="R1378">
        <v>9.8103400000000007E-3</v>
      </c>
      <c r="S1378">
        <v>3.0106809999999999</v>
      </c>
      <c r="T1378">
        <v>-0.1431066</v>
      </c>
      <c r="U1378">
        <v>-0.28665159999999901</v>
      </c>
      <c r="V1378">
        <v>-1.099088E-2</v>
      </c>
      <c r="W1378">
        <v>-0.1192348</v>
      </c>
      <c r="X1378">
        <v>0.99280520000000005</v>
      </c>
      <c r="Y1378">
        <v>9.3469449999999996E-2</v>
      </c>
      <c r="Z1378">
        <v>-2.8566989999999999E-3</v>
      </c>
      <c r="AA1378">
        <v>0.995618</v>
      </c>
      <c r="AB1378">
        <v>33</v>
      </c>
      <c r="AC1378">
        <v>23.1571999999999</v>
      </c>
      <c r="AD1378">
        <v>-1.109704269584</v>
      </c>
      <c r="AE1378">
        <v>-2.2226999999999699</v>
      </c>
      <c r="AF1378">
        <v>2.19033015230645</v>
      </c>
      <c r="AG1378">
        <v>-1.109704269584</v>
      </c>
      <c r="AH1378">
        <v>23.107233813434998</v>
      </c>
      <c r="AI1378">
        <v>92.737215432089101</v>
      </c>
      <c r="AJ1378">
        <v>84.585123391247507</v>
      </c>
      <c r="AK1378">
        <v>23.2373243780515</v>
      </c>
      <c r="AL1378">
        <v>96.847943119917801</v>
      </c>
      <c r="AM1378">
        <v>90.634268749921503</v>
      </c>
      <c r="AN1378">
        <v>0.999999951060626</v>
      </c>
    </row>
    <row r="1379" spans="1:40" x14ac:dyDescent="0.25">
      <c r="A1379" t="str">
        <f>"20190305134929445"</f>
        <v>20190305134929445</v>
      </c>
      <c r="B1379" t="str">
        <f>"1551764969441838"</f>
        <v>1551764969441838</v>
      </c>
      <c r="C1379" t="s">
        <v>40</v>
      </c>
      <c r="D1379">
        <v>4.0177310000000004</v>
      </c>
      <c r="E1379">
        <v>0.54117579999999998</v>
      </c>
      <c r="F1379" t="s">
        <v>42</v>
      </c>
      <c r="G1379">
        <v>-213.9402</v>
      </c>
      <c r="H1379" s="1">
        <v>-3.2105610000000002E-6</v>
      </c>
      <c r="I1379">
        <v>366.07260000000002</v>
      </c>
      <c r="J1379">
        <v>-236.79429999999999</v>
      </c>
      <c r="K1379">
        <v>1.1096950000000001</v>
      </c>
      <c r="L1379">
        <v>368.25850000000003</v>
      </c>
      <c r="M1379">
        <v>0.99989399999999995</v>
      </c>
      <c r="N1379">
        <v>-1.451349E-2</v>
      </c>
      <c r="O1379">
        <v>-1.179023E-3</v>
      </c>
      <c r="P1379">
        <v>0.99088010000000004</v>
      </c>
      <c r="Q1379">
        <v>-0.1343531</v>
      </c>
      <c r="R1379">
        <v>1.029265E-2</v>
      </c>
      <c r="S1379">
        <v>3.010605</v>
      </c>
      <c r="T1379">
        <v>-0.14503559999999999</v>
      </c>
      <c r="U1379">
        <v>-0.285705599999999</v>
      </c>
      <c r="V1379">
        <v>-1.146896E-2</v>
      </c>
      <c r="W1379">
        <v>-0.1199572</v>
      </c>
      <c r="X1379">
        <v>0.99271279999999995</v>
      </c>
      <c r="Y1379">
        <v>9.3162369999999994E-2</v>
      </c>
      <c r="Z1379">
        <v>-2.876268E-3</v>
      </c>
      <c r="AA1379">
        <v>0.99564680000000005</v>
      </c>
      <c r="AB1379">
        <v>33</v>
      </c>
      <c r="AC1379">
        <v>22.854099999999899</v>
      </c>
      <c r="AD1379">
        <v>-1.109698210561</v>
      </c>
      <c r="AE1379">
        <v>-2.1859000000000002</v>
      </c>
      <c r="AF1379">
        <v>2.15391795773452</v>
      </c>
      <c r="AG1379">
        <v>-1.109698210561</v>
      </c>
      <c r="AH1379">
        <v>22.803386304177</v>
      </c>
      <c r="AI1379">
        <v>92.773702892601506</v>
      </c>
      <c r="AJ1379">
        <v>84.6040759614</v>
      </c>
      <c r="AK1379">
        <v>22.9317513422918</v>
      </c>
      <c r="AL1379">
        <v>96.889632580440306</v>
      </c>
      <c r="AM1379">
        <v>90.6619172928838</v>
      </c>
      <c r="AN1379">
        <v>0.99999998507957999</v>
      </c>
    </row>
    <row r="1380" spans="1:40" x14ac:dyDescent="0.25">
      <c r="A1380" t="str">
        <f>"20190305134929458"</f>
        <v>20190305134929458</v>
      </c>
      <c r="B1380" t="str">
        <f>"1551764969451600"</f>
        <v>1551764969451600</v>
      </c>
      <c r="C1380" t="s">
        <v>40</v>
      </c>
      <c r="D1380">
        <v>4.0321020000000001</v>
      </c>
      <c r="E1380">
        <v>0.54133019999999998</v>
      </c>
      <c r="F1380" t="s">
        <v>42</v>
      </c>
      <c r="G1380">
        <v>-214.40469999999999</v>
      </c>
      <c r="H1380" s="1">
        <v>-3.0029859999999999E-6</v>
      </c>
      <c r="I1380">
        <v>366.11939999999998</v>
      </c>
      <c r="J1380">
        <v>-236.62469999999999</v>
      </c>
      <c r="K1380">
        <v>1.109694</v>
      </c>
      <c r="L1380">
        <v>368.25819999999999</v>
      </c>
      <c r="M1380">
        <v>0.99989410000000001</v>
      </c>
      <c r="N1380">
        <v>-1.4511649999999999E-2</v>
      </c>
      <c r="O1380">
        <v>-1.176592E-3</v>
      </c>
      <c r="P1380">
        <v>0.99083589999999999</v>
      </c>
      <c r="Q1380">
        <v>-0.1346301</v>
      </c>
      <c r="R1380">
        <v>1.092981E-2</v>
      </c>
      <c r="S1380">
        <v>3.0103759999999999</v>
      </c>
      <c r="T1380">
        <v>-0.14920369999999999</v>
      </c>
      <c r="U1380">
        <v>-0.28759770000000001</v>
      </c>
      <c r="V1380">
        <v>-1.2103330000000001E-2</v>
      </c>
      <c r="W1380">
        <v>-0.1202367</v>
      </c>
      <c r="X1380">
        <v>0.99267150000000004</v>
      </c>
      <c r="Y1380">
        <v>9.3783939999999996E-2</v>
      </c>
      <c r="Z1380">
        <v>-2.9589009999999999E-3</v>
      </c>
      <c r="AA1380">
        <v>0.99558820000000003</v>
      </c>
      <c r="AB1380">
        <v>33</v>
      </c>
      <c r="AC1380">
        <v>22.22</v>
      </c>
      <c r="AD1380">
        <v>-1.109697002986</v>
      </c>
      <c r="AE1380">
        <v>-2.1387999999999998</v>
      </c>
      <c r="AF1380">
        <v>2.1074438883450899</v>
      </c>
      <c r="AG1380">
        <v>-1.109697002986</v>
      </c>
      <c r="AH1380">
        <v>22.167719555714999</v>
      </c>
      <c r="AI1380">
        <v>92.8529433190579</v>
      </c>
      <c r="AJ1380">
        <v>84.569318254786793</v>
      </c>
      <c r="AK1380">
        <v>22.295303036330001</v>
      </c>
      <c r="AL1380">
        <v>96.905763186972607</v>
      </c>
      <c r="AM1380">
        <v>90.698554724322406</v>
      </c>
      <c r="AN1380">
        <v>1.0000000307681101</v>
      </c>
    </row>
    <row r="1381" spans="1:40" x14ac:dyDescent="0.25">
      <c r="A1381" t="str">
        <f>"20190305134929471"</f>
        <v>20190305134929471</v>
      </c>
      <c r="B1381" t="str">
        <f>"1551764969462337"</f>
        <v>1551764969462337</v>
      </c>
      <c r="C1381" t="s">
        <v>40</v>
      </c>
      <c r="D1381">
        <v>4.0338459999999996</v>
      </c>
      <c r="E1381">
        <v>0.54146490000000003</v>
      </c>
      <c r="F1381" t="s">
        <v>42</v>
      </c>
      <c r="G1381">
        <v>-214.4811</v>
      </c>
      <c r="H1381" s="1">
        <v>-2.9646080000000002E-6</v>
      </c>
      <c r="I1381">
        <v>366.15109999999999</v>
      </c>
      <c r="J1381">
        <v>-236.43190000000001</v>
      </c>
      <c r="K1381">
        <v>1.109694</v>
      </c>
      <c r="L1381">
        <v>368.25810000000001</v>
      </c>
      <c r="M1381">
        <v>0.99989410000000001</v>
      </c>
      <c r="N1381">
        <v>-1.4509569999999999E-2</v>
      </c>
      <c r="O1381">
        <v>-1.1740380000000001E-3</v>
      </c>
      <c r="P1381">
        <v>0.99078659999999996</v>
      </c>
      <c r="Q1381">
        <v>-0.13494200000000001</v>
      </c>
      <c r="R1381">
        <v>1.153853E-2</v>
      </c>
      <c r="S1381">
        <v>3.0104060000000001</v>
      </c>
      <c r="T1381">
        <v>-0.1508622</v>
      </c>
      <c r="U1381">
        <v>-0.28646850000000001</v>
      </c>
      <c r="V1381">
        <v>-1.270919E-2</v>
      </c>
      <c r="W1381">
        <v>-0.1205513</v>
      </c>
      <c r="X1381">
        <v>0.99262570000000006</v>
      </c>
      <c r="Y1381">
        <v>9.341315E-2</v>
      </c>
      <c r="Z1381">
        <v>-2.9720290000000002E-3</v>
      </c>
      <c r="AA1381">
        <v>0.99562300000000004</v>
      </c>
      <c r="AB1381">
        <v>33</v>
      </c>
      <c r="AC1381">
        <v>21.950800000000001</v>
      </c>
      <c r="AD1381">
        <v>-1.1096969646079999</v>
      </c>
      <c r="AE1381">
        <v>-2.1070000000000202</v>
      </c>
      <c r="AF1381">
        <v>2.0759676704095802</v>
      </c>
      <c r="AG1381">
        <v>-1.1096969646079999</v>
      </c>
      <c r="AH1381">
        <v>21.8978057558164</v>
      </c>
      <c r="AI1381">
        <v>92.888121663338495</v>
      </c>
      <c r="AJ1381">
        <v>84.584399975332602</v>
      </c>
      <c r="AK1381">
        <v>22.023963449872301</v>
      </c>
      <c r="AL1381">
        <v>96.923921004973295</v>
      </c>
      <c r="AM1381">
        <v>90.733552597947707</v>
      </c>
      <c r="AN1381">
        <v>0.99999995987131696</v>
      </c>
    </row>
    <row r="1382" spans="1:40" x14ac:dyDescent="0.25">
      <c r="A1382" t="str">
        <f>"20190305134929485"</f>
        <v>20190305134929485</v>
      </c>
      <c r="B1382" t="str">
        <f>"1551764969481854"</f>
        <v>1551764969481854</v>
      </c>
      <c r="C1382" t="s">
        <v>40</v>
      </c>
      <c r="D1382">
        <v>4.017118</v>
      </c>
      <c r="E1382">
        <v>0.54174820000000001</v>
      </c>
      <c r="F1382" t="s">
        <v>42</v>
      </c>
      <c r="G1382">
        <v>-214.43109999999999</v>
      </c>
      <c r="H1382" s="1">
        <v>-2.982821E-6</v>
      </c>
      <c r="I1382">
        <v>366.16930000000002</v>
      </c>
      <c r="J1382">
        <v>-236.21440000000001</v>
      </c>
      <c r="K1382">
        <v>1.1096969999999999</v>
      </c>
      <c r="L1382">
        <v>368.25779999999997</v>
      </c>
      <c r="M1382">
        <v>0.99989410000000001</v>
      </c>
      <c r="N1382">
        <v>-1.450721E-2</v>
      </c>
      <c r="O1382">
        <v>-1.172083E-3</v>
      </c>
      <c r="P1382">
        <v>0.99071960000000003</v>
      </c>
      <c r="Q1382">
        <v>-0.13535050000000001</v>
      </c>
      <c r="R1382">
        <v>1.244177E-2</v>
      </c>
      <c r="S1382">
        <v>3.0105439999999999</v>
      </c>
      <c r="T1382">
        <v>-0.15184839999999999</v>
      </c>
      <c r="U1382">
        <v>-0.28582760000000001</v>
      </c>
      <c r="V1382">
        <v>-1.360923E-2</v>
      </c>
      <c r="W1382">
        <v>-0.12096320000000001</v>
      </c>
      <c r="X1382">
        <v>0.99256369999999905</v>
      </c>
      <c r="Y1382">
        <v>9.3199409999999996E-2</v>
      </c>
      <c r="Z1382">
        <v>-2.9798289999999998E-3</v>
      </c>
      <c r="AA1382">
        <v>0.99564299999999994</v>
      </c>
      <c r="AB1382">
        <v>33</v>
      </c>
      <c r="AC1382">
        <v>21.783300000000001</v>
      </c>
      <c r="AD1382">
        <v>-1.1096999828209999</v>
      </c>
      <c r="AE1382">
        <v>-2.0884999999999501</v>
      </c>
      <c r="AF1382">
        <v>2.0576726964318501</v>
      </c>
      <c r="AG1382">
        <v>-1.1096999828209999</v>
      </c>
      <c r="AH1382">
        <v>21.7298544315057</v>
      </c>
      <c r="AI1382">
        <v>92.910443587916902</v>
      </c>
      <c r="AJ1382">
        <v>84.590600644097094</v>
      </c>
      <c r="AK1382">
        <v>21.855251647875001</v>
      </c>
      <c r="AL1382">
        <v>96.947694815818906</v>
      </c>
      <c r="AM1382">
        <v>90.785544125133697</v>
      </c>
      <c r="AN1382">
        <v>1.0000000027265601</v>
      </c>
    </row>
    <row r="1383" spans="1:40" x14ac:dyDescent="0.25">
      <c r="A1383" t="str">
        <f>"20190305134929499"</f>
        <v>20190305134929499</v>
      </c>
      <c r="B1383" t="str">
        <f>"1551764969491615"</f>
        <v>1551764969491615</v>
      </c>
      <c r="C1383" t="s">
        <v>40</v>
      </c>
      <c r="D1383">
        <v>4.0231779999999997</v>
      </c>
      <c r="E1383">
        <v>0.54191460000000002</v>
      </c>
      <c r="F1383" t="s">
        <v>42</v>
      </c>
      <c r="G1383">
        <v>-214.47450000000001</v>
      </c>
      <c r="H1383" s="1">
        <v>-2.9593920000000002E-6</v>
      </c>
      <c r="I1383">
        <v>366.19650000000001</v>
      </c>
      <c r="J1383">
        <v>-236.0206</v>
      </c>
      <c r="K1383">
        <v>1.1096980000000001</v>
      </c>
      <c r="L1383">
        <v>368.25760000000002</v>
      </c>
      <c r="M1383">
        <v>0.99989410000000001</v>
      </c>
      <c r="N1383">
        <v>-1.45051E-2</v>
      </c>
      <c r="O1383">
        <v>-1.171091E-3</v>
      </c>
      <c r="P1383">
        <v>0.9907011</v>
      </c>
      <c r="Q1383">
        <v>-0.13545119999999999</v>
      </c>
      <c r="R1383">
        <v>1.2823609999999999E-2</v>
      </c>
      <c r="S1383">
        <v>3.0106959999999998</v>
      </c>
      <c r="T1383">
        <v>-0.15367819999999999</v>
      </c>
      <c r="U1383">
        <v>-0.28546139999999998</v>
      </c>
      <c r="V1383">
        <v>-1.3990519999999999E-2</v>
      </c>
      <c r="W1383">
        <v>-0.1210663</v>
      </c>
      <c r="X1383">
        <v>0.99254580000000003</v>
      </c>
      <c r="Y1383">
        <v>9.3072600000000005E-2</v>
      </c>
      <c r="Z1383">
        <v>-3.0030130000000001E-3</v>
      </c>
      <c r="AA1383">
        <v>0.99565479999999995</v>
      </c>
      <c r="AB1383">
        <v>33</v>
      </c>
      <c r="AC1383">
        <v>21.546099999999999</v>
      </c>
      <c r="AD1383">
        <v>-1.10970095939199</v>
      </c>
      <c r="AE1383">
        <v>-2.0611000000000099</v>
      </c>
      <c r="AF1383">
        <v>2.0305261203331399</v>
      </c>
      <c r="AG1383">
        <v>-1.10970095939199</v>
      </c>
      <c r="AH1383">
        <v>21.492006105975801</v>
      </c>
      <c r="AI1383">
        <v>92.942658497661895</v>
      </c>
      <c r="AJ1383">
        <v>84.602818303259397</v>
      </c>
      <c r="AK1383">
        <v>21.616216112075001</v>
      </c>
      <c r="AL1383">
        <v>96.953645943932699</v>
      </c>
      <c r="AM1383">
        <v>90.807564413503499</v>
      </c>
      <c r="AN1383">
        <v>0.99999997437159904</v>
      </c>
    </row>
    <row r="1384" spans="1:40" x14ac:dyDescent="0.25">
      <c r="A1384" t="str">
        <f>"20190305134929511"</f>
        <v>20190305134929511</v>
      </c>
      <c r="B1384" t="str">
        <f>"1551764969502352"</f>
        <v>1551764969502352</v>
      </c>
      <c r="C1384" t="s">
        <v>40</v>
      </c>
      <c r="D1384">
        <v>4.0294499999999998</v>
      </c>
      <c r="E1384">
        <v>0.5420085</v>
      </c>
      <c r="F1384" t="s">
        <v>42</v>
      </c>
      <c r="G1384">
        <v>-214.26339999999999</v>
      </c>
      <c r="H1384" s="1">
        <v>-3.0506430000000002E-6</v>
      </c>
      <c r="I1384">
        <v>366.19260000000003</v>
      </c>
      <c r="J1384">
        <v>-235.84209999999999</v>
      </c>
      <c r="K1384">
        <v>1.1097030000000001</v>
      </c>
      <c r="L1384">
        <v>368.25740000000002</v>
      </c>
      <c r="M1384">
        <v>0.99989430000000001</v>
      </c>
      <c r="N1384">
        <v>-1.4503169999999999E-2</v>
      </c>
      <c r="O1384">
        <v>-1.170581E-3</v>
      </c>
      <c r="P1384">
        <v>0.99071750000000003</v>
      </c>
      <c r="Q1384">
        <v>-0.1353037</v>
      </c>
      <c r="R1384">
        <v>1.312314E-2</v>
      </c>
      <c r="S1384">
        <v>3.0108640000000002</v>
      </c>
      <c r="T1384">
        <v>-0.15356520000000001</v>
      </c>
      <c r="U1384">
        <v>-0.28576659999999998</v>
      </c>
      <c r="V1384">
        <v>-1.428894E-2</v>
      </c>
      <c r="W1384">
        <v>-0.1209205</v>
      </c>
      <c r="X1384">
        <v>0.99255939999999998</v>
      </c>
      <c r="Y1384">
        <v>9.3167979999999997E-2</v>
      </c>
      <c r="Z1384">
        <v>-3.0042269999999999E-3</v>
      </c>
      <c r="AA1384">
        <v>0.99564589999999997</v>
      </c>
      <c r="AB1384">
        <v>33</v>
      </c>
      <c r="AC1384">
        <v>21.578700000000001</v>
      </c>
      <c r="AD1384">
        <v>-1.1097060506430001</v>
      </c>
      <c r="AE1384">
        <v>-2.0647999999999902</v>
      </c>
      <c r="AF1384">
        <v>2.0342053997426701</v>
      </c>
      <c r="AG1384">
        <v>-1.1097060506430001</v>
      </c>
      <c r="AH1384">
        <v>21.524694048934499</v>
      </c>
      <c r="AI1384">
        <v>92.938203453281403</v>
      </c>
      <c r="AJ1384">
        <v>84.601259113795194</v>
      </c>
      <c r="AK1384">
        <v>21.649062174316299</v>
      </c>
      <c r="AL1384">
        <v>96.945229852022806</v>
      </c>
      <c r="AM1384">
        <v>90.824776235540199</v>
      </c>
      <c r="AN1384">
        <v>1.0000000518274601</v>
      </c>
    </row>
    <row r="1385" spans="1:40" x14ac:dyDescent="0.25">
      <c r="A1385" t="str">
        <f>"20190305134929521"</f>
        <v>20190305134929521</v>
      </c>
      <c r="B1385" t="str">
        <f>"1551764969512111"</f>
        <v>1551764969512111</v>
      </c>
      <c r="C1385" t="s">
        <v>40</v>
      </c>
      <c r="D1385">
        <v>4.0216019999999997</v>
      </c>
      <c r="E1385">
        <v>0.54213359999999899</v>
      </c>
      <c r="F1385" t="s">
        <v>42</v>
      </c>
      <c r="G1385">
        <v>-213.95670000000001</v>
      </c>
      <c r="H1385" s="1">
        <v>-3.1835539999999999E-6</v>
      </c>
      <c r="I1385">
        <v>366.185</v>
      </c>
      <c r="J1385">
        <v>-235.67599999999999</v>
      </c>
      <c r="K1385">
        <v>1.1097030000000001</v>
      </c>
      <c r="L1385">
        <v>368.25720000000001</v>
      </c>
      <c r="M1385">
        <v>0.99989419999999996</v>
      </c>
      <c r="N1385">
        <v>-1.450136E-2</v>
      </c>
      <c r="O1385">
        <v>-1.1701979999999999E-3</v>
      </c>
      <c r="P1385">
        <v>0.99078390000000005</v>
      </c>
      <c r="Q1385">
        <v>-0.13478219999999999</v>
      </c>
      <c r="R1385">
        <v>1.346982E-2</v>
      </c>
      <c r="S1385">
        <v>3.0110320000000002</v>
      </c>
      <c r="T1385">
        <v>-0.15267459999999999</v>
      </c>
      <c r="U1385">
        <v>-0.28512569999999998</v>
      </c>
      <c r="V1385">
        <v>-1.4634899999999999E-2</v>
      </c>
      <c r="W1385">
        <v>-0.1203998</v>
      </c>
      <c r="X1385">
        <v>0.99261759999999999</v>
      </c>
      <c r="Y1385">
        <v>9.2955049999999997E-2</v>
      </c>
      <c r="Z1385">
        <v>-2.9837280000000002E-3</v>
      </c>
      <c r="AA1385">
        <v>0.99566580000000005</v>
      </c>
      <c r="AB1385">
        <v>33</v>
      </c>
      <c r="AC1385">
        <v>21.719299999999901</v>
      </c>
      <c r="AD1385">
        <v>-1.1097061835539901</v>
      </c>
      <c r="AE1385">
        <v>-2.0722</v>
      </c>
      <c r="AF1385">
        <v>2.0414987608613302</v>
      </c>
      <c r="AG1385">
        <v>-1.1097061835539901</v>
      </c>
      <c r="AH1385">
        <v>21.665662158253699</v>
      </c>
      <c r="AI1385">
        <v>92.919195337388302</v>
      </c>
      <c r="AJ1385">
        <v>84.617062134406893</v>
      </c>
      <c r="AK1385">
        <v>21.7899077960417</v>
      </c>
      <c r="AL1385">
        <v>96.915176754353894</v>
      </c>
      <c r="AM1385">
        <v>90.844693115521594</v>
      </c>
      <c r="AN1385">
        <v>0.99999999598390499</v>
      </c>
    </row>
    <row r="1386" spans="1:40" x14ac:dyDescent="0.25">
      <c r="A1386" t="str">
        <f>"20190305134929532"</f>
        <v>20190305134929532</v>
      </c>
      <c r="B1386" t="str">
        <f>"1551764969521871"</f>
        <v>1551764969521871</v>
      </c>
      <c r="C1386" t="s">
        <v>40</v>
      </c>
      <c r="D1386">
        <v>4.0549049999999998</v>
      </c>
      <c r="E1386">
        <v>0.54224499999999998</v>
      </c>
      <c r="F1386" t="s">
        <v>42</v>
      </c>
      <c r="G1386">
        <v>-213.5658</v>
      </c>
      <c r="H1386" s="1">
        <v>-3.355083E-6</v>
      </c>
      <c r="I1386">
        <v>366.16340000000002</v>
      </c>
      <c r="J1386">
        <v>-235.52590000000001</v>
      </c>
      <c r="K1386">
        <v>1.1097060000000001</v>
      </c>
      <c r="L1386">
        <v>368.25700000000001</v>
      </c>
      <c r="M1386">
        <v>0.99989419999999996</v>
      </c>
      <c r="N1386">
        <v>-1.4499730000000001E-2</v>
      </c>
      <c r="O1386">
        <v>-1.1699379999999999E-3</v>
      </c>
      <c r="P1386">
        <v>0.99085469999999998</v>
      </c>
      <c r="Q1386">
        <v>-0.134244899999999</v>
      </c>
      <c r="R1386">
        <v>1.3616110000000001E-2</v>
      </c>
      <c r="S1386">
        <v>3.0112299999999999</v>
      </c>
      <c r="T1386">
        <v>-0.15113279999999901</v>
      </c>
      <c r="U1386">
        <v>-0.28515629999999997</v>
      </c>
      <c r="V1386">
        <v>-1.4780700000000001E-2</v>
      </c>
      <c r="W1386">
        <v>-0.1198632</v>
      </c>
      <c r="X1386">
        <v>0.99268040000000002</v>
      </c>
      <c r="Y1386">
        <v>9.2961859999999993E-2</v>
      </c>
      <c r="Z1386">
        <v>-2.9606160000000001E-3</v>
      </c>
      <c r="AA1386">
        <v>0.99566529999999998</v>
      </c>
      <c r="AB1386">
        <v>33</v>
      </c>
      <c r="AC1386">
        <v>21.960100000000001</v>
      </c>
      <c r="AD1386">
        <v>-1.1097093550829999</v>
      </c>
      <c r="AE1386">
        <v>-2.09359999999992</v>
      </c>
      <c r="AF1386">
        <v>2.06268411971763</v>
      </c>
      <c r="AG1386">
        <v>-1.1097093550829999</v>
      </c>
      <c r="AH1386">
        <v>21.907096907932999</v>
      </c>
      <c r="AI1386">
        <v>92.887105519899805</v>
      </c>
      <c r="AJ1386">
        <v>84.621117700344797</v>
      </c>
      <c r="AK1386">
        <v>22.031954419979701</v>
      </c>
      <c r="AL1386">
        <v>96.884207419592698</v>
      </c>
      <c r="AM1386">
        <v>90.853053159880403</v>
      </c>
      <c r="AN1386">
        <v>1.0000000161754401</v>
      </c>
    </row>
    <row r="1387" spans="1:40" x14ac:dyDescent="0.25">
      <c r="A1387" t="str">
        <f>"20190305134929544"</f>
        <v>20190305134929544</v>
      </c>
      <c r="B1387" t="str">
        <f>"1551764969532608"</f>
        <v>1551764969532608</v>
      </c>
      <c r="C1387" t="s">
        <v>40</v>
      </c>
      <c r="D1387">
        <v>4.0408179999999998</v>
      </c>
      <c r="E1387">
        <v>0.54240699999999997</v>
      </c>
      <c r="F1387" t="s">
        <v>42</v>
      </c>
      <c r="G1387">
        <v>-213.2578</v>
      </c>
      <c r="H1387" s="1">
        <v>-3.4904020000000001E-6</v>
      </c>
      <c r="I1387">
        <v>366.1454</v>
      </c>
      <c r="J1387">
        <v>-235.34819999999999</v>
      </c>
      <c r="K1387">
        <v>1.1097109999999999</v>
      </c>
      <c r="L1387">
        <v>368.2568</v>
      </c>
      <c r="M1387">
        <v>0.99989419999999996</v>
      </c>
      <c r="N1387">
        <v>-1.4497799999999899E-2</v>
      </c>
      <c r="O1387">
        <v>-1.169916E-3</v>
      </c>
      <c r="P1387">
        <v>0.99088529999999997</v>
      </c>
      <c r="Q1387">
        <v>-0.13398109999999999</v>
      </c>
      <c r="R1387">
        <v>1.399335E-2</v>
      </c>
      <c r="S1387">
        <v>3.0112760000000001</v>
      </c>
      <c r="T1387">
        <v>-0.1500639</v>
      </c>
      <c r="U1387">
        <v>-0.285553</v>
      </c>
      <c r="V1387">
        <v>-1.515844E-2</v>
      </c>
      <c r="W1387">
        <v>-0.1196009</v>
      </c>
      <c r="X1387">
        <v>0.99270630000000004</v>
      </c>
      <c r="Y1387">
        <v>9.3092140000000004E-2</v>
      </c>
      <c r="Z1387">
        <v>-2.9486400000000002E-3</v>
      </c>
      <c r="AA1387">
        <v>0.99565320000000002</v>
      </c>
      <c r="AB1387">
        <v>33</v>
      </c>
      <c r="AC1387">
        <v>22.090399999999899</v>
      </c>
      <c r="AD1387">
        <v>-1.109714490402</v>
      </c>
      <c r="AE1387">
        <v>-2.1114000000000002</v>
      </c>
      <c r="AF1387">
        <v>2.0803495443097999</v>
      </c>
      <c r="AG1387">
        <v>-1.109714490402</v>
      </c>
      <c r="AH1387">
        <v>22.037744969896199</v>
      </c>
      <c r="AI1387">
        <v>92.8699664595173</v>
      </c>
      <c r="AJ1387">
        <v>84.607294405107794</v>
      </c>
      <c r="AK1387">
        <v>22.1635178578425</v>
      </c>
      <c r="AL1387">
        <v>96.869070119291493</v>
      </c>
      <c r="AM1387">
        <v>90.874827874469702</v>
      </c>
      <c r="AN1387">
        <v>0.99999997582186595</v>
      </c>
    </row>
    <row r="1388" spans="1:40" x14ac:dyDescent="0.25">
      <c r="A1388" t="str">
        <f>"20190305134929557"</f>
        <v>20190305134929557</v>
      </c>
      <c r="B1388" t="str">
        <f>"1551764969552127"</f>
        <v>1551764969552127</v>
      </c>
      <c r="C1388" t="s">
        <v>40</v>
      </c>
      <c r="D1388">
        <v>4.0359059999999998</v>
      </c>
      <c r="E1388">
        <v>0.54268799999999995</v>
      </c>
      <c r="F1388" t="s">
        <v>42</v>
      </c>
      <c r="G1388">
        <v>-213.01419999999999</v>
      </c>
      <c r="H1388" s="1">
        <v>-3.5965409999999999E-6</v>
      </c>
      <c r="I1388">
        <v>366.13630000000001</v>
      </c>
      <c r="J1388">
        <v>-235.1688</v>
      </c>
      <c r="K1388">
        <v>1.109715</v>
      </c>
      <c r="L1388">
        <v>368.25659999999999</v>
      </c>
      <c r="M1388">
        <v>0.99989430000000001</v>
      </c>
      <c r="N1388">
        <v>-1.4495879999999999E-2</v>
      </c>
      <c r="O1388">
        <v>-1.1701330000000001E-3</v>
      </c>
      <c r="P1388">
        <v>0.99092789999999997</v>
      </c>
      <c r="Q1388">
        <v>-0.1336347</v>
      </c>
      <c r="R1388">
        <v>1.4287360000000001E-2</v>
      </c>
      <c r="S1388">
        <v>3.0114139999999998</v>
      </c>
      <c r="T1388">
        <v>-0.14962829999999999</v>
      </c>
      <c r="U1388">
        <v>-0.28591919999999998</v>
      </c>
      <c r="V1388">
        <v>-1.5452570000000001E-2</v>
      </c>
      <c r="W1388">
        <v>-0.1192558</v>
      </c>
      <c r="X1388">
        <v>0.9927433</v>
      </c>
      <c r="Y1388">
        <v>9.3208250000000006E-2</v>
      </c>
      <c r="Z1388">
        <v>-2.94561E-3</v>
      </c>
      <c r="AA1388">
        <v>0.99564229999999998</v>
      </c>
      <c r="AB1388">
        <v>33</v>
      </c>
      <c r="AC1388">
        <v>22.154599999999999</v>
      </c>
      <c r="AD1388">
        <v>-1.1097185965409999</v>
      </c>
      <c r="AE1388">
        <v>-2.1202999999999799</v>
      </c>
      <c r="AF1388">
        <v>2.0891778581136502</v>
      </c>
      <c r="AG1388">
        <v>-1.1097185965409999</v>
      </c>
      <c r="AH1388">
        <v>22.102115581369599</v>
      </c>
      <c r="AI1388">
        <v>92.861599098751</v>
      </c>
      <c r="AJ1388">
        <v>84.600224028622705</v>
      </c>
      <c r="AK1388">
        <v>22.2283524503856</v>
      </c>
      <c r="AL1388">
        <v>96.849154684561</v>
      </c>
      <c r="AM1388">
        <v>90.891766834531595</v>
      </c>
      <c r="AN1388">
        <v>0.999999993724067</v>
      </c>
    </row>
    <row r="1389" spans="1:40" x14ac:dyDescent="0.25">
      <c r="A1389" t="str">
        <f>"20190305134929568"</f>
        <v>20190305134929568</v>
      </c>
      <c r="B1389" t="str">
        <f>"1551764969561887"</f>
        <v>1551764969561887</v>
      </c>
      <c r="C1389" t="s">
        <v>40</v>
      </c>
      <c r="D1389">
        <v>4.0336919999999896</v>
      </c>
      <c r="E1389">
        <v>0.54269799999999901</v>
      </c>
      <c r="F1389" t="s">
        <v>42</v>
      </c>
      <c r="G1389">
        <v>-212.73689999999999</v>
      </c>
      <c r="H1389" s="1">
        <v>-3.719213E-6</v>
      </c>
      <c r="I1389">
        <v>366.11529999999999</v>
      </c>
      <c r="J1389">
        <v>-234.9855</v>
      </c>
      <c r="K1389">
        <v>1.1097170000000001</v>
      </c>
      <c r="L1389">
        <v>368.25639999999999</v>
      </c>
      <c r="M1389">
        <v>0.99989430000000001</v>
      </c>
      <c r="N1389">
        <v>-1.4493900000000001E-2</v>
      </c>
      <c r="O1389">
        <v>-1.169876E-3</v>
      </c>
      <c r="P1389">
        <v>0.99097840000000004</v>
      </c>
      <c r="Q1389">
        <v>-0.13323979999999999</v>
      </c>
      <c r="R1389">
        <v>1.4460789999999999E-2</v>
      </c>
      <c r="S1389">
        <v>3.011536</v>
      </c>
      <c r="T1389">
        <v>-0.148982</v>
      </c>
      <c r="U1389">
        <v>-0.2874756</v>
      </c>
      <c r="V1389">
        <v>-1.562562E-2</v>
      </c>
      <c r="W1389">
        <v>-0.1188622</v>
      </c>
      <c r="X1389">
        <v>0.9927878</v>
      </c>
      <c r="Y1389">
        <v>9.3714969999999995E-2</v>
      </c>
      <c r="Z1389">
        <v>-2.951862E-3</v>
      </c>
      <c r="AA1389">
        <v>0.99559470000000005</v>
      </c>
      <c r="AB1389">
        <v>33</v>
      </c>
      <c r="AC1389">
        <v>22.2486</v>
      </c>
      <c r="AD1389">
        <v>-1.1097207192129901</v>
      </c>
      <c r="AE1389">
        <v>-2.14109999999999</v>
      </c>
      <c r="AF1389">
        <v>2.1098668579351898</v>
      </c>
      <c r="AG1389">
        <v>-1.1097207192129901</v>
      </c>
      <c r="AH1389">
        <v>22.196375601657302</v>
      </c>
      <c r="AI1389">
        <v>92.849330606524404</v>
      </c>
      <c r="AJ1389">
        <v>84.570089057894506</v>
      </c>
      <c r="AK1389">
        <v>22.3240253557173</v>
      </c>
      <c r="AL1389">
        <v>96.826441473135603</v>
      </c>
      <c r="AM1389">
        <v>90.901711486318106</v>
      </c>
      <c r="AN1389">
        <v>0.99999999920903204</v>
      </c>
    </row>
    <row r="1390" spans="1:40" x14ac:dyDescent="0.25">
      <c r="A1390" t="str">
        <f>"20190305134929581"</f>
        <v>20190305134929581</v>
      </c>
      <c r="B1390" t="str">
        <f>"1551764969571648"</f>
        <v>1551764969571648</v>
      </c>
      <c r="C1390" t="s">
        <v>40</v>
      </c>
      <c r="D1390">
        <v>4.0252569999999999</v>
      </c>
      <c r="E1390">
        <v>0.54279849999999996</v>
      </c>
      <c r="F1390" t="s">
        <v>42</v>
      </c>
      <c r="G1390">
        <v>-212.50899999999999</v>
      </c>
      <c r="H1390" s="1">
        <v>-3.817297E-6</v>
      </c>
      <c r="I1390">
        <v>366.11360000000002</v>
      </c>
      <c r="J1390">
        <v>-234.8056</v>
      </c>
      <c r="K1390">
        <v>1.10972</v>
      </c>
      <c r="L1390">
        <v>368.25619999999998</v>
      </c>
      <c r="M1390">
        <v>0.99989430000000001</v>
      </c>
      <c r="N1390">
        <v>-1.449197E-2</v>
      </c>
      <c r="O1390">
        <v>-1.169858E-3</v>
      </c>
      <c r="P1390">
        <v>0.99094260000000001</v>
      </c>
      <c r="Q1390">
        <v>-0.1334861</v>
      </c>
      <c r="R1390">
        <v>1.46456E-2</v>
      </c>
      <c r="S1390">
        <v>3.0115050000000001</v>
      </c>
      <c r="T1390">
        <v>-0.14868509999999999</v>
      </c>
      <c r="U1390">
        <v>-0.28710940000000001</v>
      </c>
      <c r="V1390">
        <v>-1.5810250000000001E-2</v>
      </c>
      <c r="W1390">
        <v>-0.11911090000000001</v>
      </c>
      <c r="X1390">
        <v>0.9927551</v>
      </c>
      <c r="Y1390">
        <v>9.3596670000000007E-2</v>
      </c>
      <c r="Z1390">
        <v>-2.943541E-3</v>
      </c>
      <c r="AA1390">
        <v>0.99560579999999999</v>
      </c>
      <c r="AB1390">
        <v>33</v>
      </c>
      <c r="AC1390">
        <v>22.296599999999899</v>
      </c>
      <c r="AD1390">
        <v>-1.1097238172970001</v>
      </c>
      <c r="AE1390">
        <v>-2.1425999999999501</v>
      </c>
      <c r="AF1390">
        <v>2.1113297094388099</v>
      </c>
      <c r="AG1390">
        <v>-1.1097238172970001</v>
      </c>
      <c r="AH1390">
        <v>22.244492749727399</v>
      </c>
      <c r="AI1390">
        <v>92.843222625851695</v>
      </c>
      <c r="AJ1390">
        <v>84.578030254416504</v>
      </c>
      <c r="AK1390">
        <v>22.3720061189271</v>
      </c>
      <c r="AL1390">
        <v>96.840792679444107</v>
      </c>
      <c r="AM1390">
        <v>90.912394231497004</v>
      </c>
      <c r="AN1390">
        <v>1.00000002953994</v>
      </c>
    </row>
    <row r="1391" spans="1:40" x14ac:dyDescent="0.25">
      <c r="A1391" t="str">
        <f>"20190305134929595"</f>
        <v>20190305134929595</v>
      </c>
      <c r="B1391" t="str">
        <f>"1551764969592143"</f>
        <v>1551764969592143</v>
      </c>
      <c r="C1391" t="s">
        <v>40</v>
      </c>
      <c r="D1391">
        <v>4.0368490000000001</v>
      </c>
      <c r="E1391">
        <v>0.54302119999999998</v>
      </c>
      <c r="F1391" t="s">
        <v>42</v>
      </c>
      <c r="G1391">
        <v>-212.51580000000001</v>
      </c>
      <c r="H1391" s="1">
        <v>-3.8116390000000001E-6</v>
      </c>
      <c r="I1391">
        <v>366.12889999999999</v>
      </c>
      <c r="J1391">
        <v>-234.61320000000001</v>
      </c>
      <c r="K1391">
        <v>1.109721</v>
      </c>
      <c r="L1391">
        <v>368.25599999999997</v>
      </c>
      <c r="M1391">
        <v>0.99989439999999996</v>
      </c>
      <c r="N1391">
        <v>-1.44899E-2</v>
      </c>
      <c r="O1391">
        <v>-1.1700790000000001E-3</v>
      </c>
      <c r="P1391">
        <v>0.99089769999999999</v>
      </c>
      <c r="Q1391">
        <v>-0.1337971</v>
      </c>
      <c r="R1391">
        <v>1.485712E-2</v>
      </c>
      <c r="S1391">
        <v>3.0114899999999998</v>
      </c>
      <c r="T1391">
        <v>-0.14993049999999999</v>
      </c>
      <c r="U1391">
        <v>-0.28741460000000002</v>
      </c>
      <c r="V1391">
        <v>-1.6022189999999999E-2</v>
      </c>
      <c r="W1391">
        <v>-0.11942460000000001</v>
      </c>
      <c r="X1391">
        <v>0.99271399999999999</v>
      </c>
      <c r="Y1391">
        <v>9.3694609999999998E-2</v>
      </c>
      <c r="Z1391">
        <v>-2.9653800000000001E-3</v>
      </c>
      <c r="AA1391">
        <v>0.99559660000000005</v>
      </c>
      <c r="AB1391">
        <v>33</v>
      </c>
      <c r="AC1391">
        <v>22.0974</v>
      </c>
      <c r="AD1391">
        <v>-1.1097248116389999</v>
      </c>
      <c r="AE1391">
        <v>-2.12709999999998</v>
      </c>
      <c r="AF1391">
        <v>2.0960025022015398</v>
      </c>
      <c r="AG1391">
        <v>-1.1097248116389999</v>
      </c>
      <c r="AH1391">
        <v>22.0447870861383</v>
      </c>
      <c r="AI1391">
        <v>92.868894982438206</v>
      </c>
      <c r="AJ1391">
        <v>84.568685707078501</v>
      </c>
      <c r="AK1391">
        <v>22.171994797942101</v>
      </c>
      <c r="AL1391">
        <v>96.858895676423501</v>
      </c>
      <c r="AM1391">
        <v>90.924661248787203</v>
      </c>
      <c r="AN1391">
        <v>1.0000000157267701</v>
      </c>
    </row>
    <row r="1392" spans="1:40" x14ac:dyDescent="0.25">
      <c r="A1392" t="str">
        <f>"20190305134929607"</f>
        <v>20190305134929607</v>
      </c>
      <c r="B1392" t="str">
        <f>"1551764969601903"</f>
        <v>1551764969601903</v>
      </c>
      <c r="C1392" t="s">
        <v>40</v>
      </c>
      <c r="D1392">
        <v>4.0324949999999999</v>
      </c>
      <c r="E1392">
        <v>0.54302119999999998</v>
      </c>
      <c r="F1392" t="s">
        <v>42</v>
      </c>
      <c r="G1392">
        <v>-212.53659999999999</v>
      </c>
      <c r="H1392" s="1">
        <v>-3.8004960000000002E-6</v>
      </c>
      <c r="I1392">
        <v>366.14139999999998</v>
      </c>
      <c r="J1392">
        <v>-234.4068</v>
      </c>
      <c r="K1392">
        <v>1.1097159999999999</v>
      </c>
      <c r="L1392">
        <v>368.25569999999999</v>
      </c>
      <c r="M1392">
        <v>0.99989450000000002</v>
      </c>
      <c r="N1392">
        <v>-1.4487669999999999E-2</v>
      </c>
      <c r="O1392">
        <v>-1.1700599999999999E-3</v>
      </c>
      <c r="P1392">
        <v>0.99068270000000003</v>
      </c>
      <c r="Q1392">
        <v>-0.1354358</v>
      </c>
      <c r="R1392">
        <v>1.432395E-2</v>
      </c>
      <c r="S1392">
        <v>3.0114589999999999</v>
      </c>
      <c r="T1392">
        <v>-0.15137709999999999</v>
      </c>
      <c r="U1392">
        <v>-0.28845209999999999</v>
      </c>
      <c r="V1392">
        <v>-1.548797E-2</v>
      </c>
      <c r="W1392">
        <v>-0.1210685</v>
      </c>
      <c r="X1392">
        <v>0.9925233</v>
      </c>
      <c r="Y1392">
        <v>9.4032420000000005E-2</v>
      </c>
      <c r="Z1392">
        <v>-2.9980499999999999E-3</v>
      </c>
      <c r="AA1392">
        <v>0.99556460000000002</v>
      </c>
      <c r="AB1392">
        <v>33</v>
      </c>
      <c r="AC1392">
        <v>21.870200000000001</v>
      </c>
      <c r="AD1392">
        <v>-1.1097198004959901</v>
      </c>
      <c r="AE1392">
        <v>-2.1143000000000098</v>
      </c>
      <c r="AF1392">
        <v>2.0833920501844601</v>
      </c>
      <c r="AG1392">
        <v>-1.1097198004959901</v>
      </c>
      <c r="AH1392">
        <v>21.817007721916799</v>
      </c>
      <c r="AI1392">
        <v>92.898670334634005</v>
      </c>
      <c r="AJ1392">
        <v>84.545141197776303</v>
      </c>
      <c r="AK1392">
        <v>21.9443347223961</v>
      </c>
      <c r="AL1392">
        <v>96.953772889557598</v>
      </c>
      <c r="AM1392">
        <v>90.894007522442294</v>
      </c>
      <c r="AN1392">
        <v>0.99999997997492995</v>
      </c>
    </row>
    <row r="1393" spans="1:40" x14ac:dyDescent="0.25">
      <c r="A1393" t="str">
        <f>"20190305134929621"</f>
        <v>20190305134929621</v>
      </c>
      <c r="B1393" t="str">
        <f>"1551764969611665"</f>
        <v>1551764969611665</v>
      </c>
      <c r="C1393" t="s">
        <v>40</v>
      </c>
      <c r="D1393">
        <v>4.0865280000000004</v>
      </c>
      <c r="E1393">
        <v>0.55565180000000003</v>
      </c>
      <c r="F1393" t="s">
        <v>42</v>
      </c>
      <c r="G1393">
        <v>-213.059</v>
      </c>
      <c r="H1393" s="1">
        <v>-3.5659500000000001E-6</v>
      </c>
      <c r="I1393">
        <v>366.20030000000003</v>
      </c>
      <c r="J1393">
        <v>-234.22229999999999</v>
      </c>
      <c r="K1393">
        <v>1.109715</v>
      </c>
      <c r="L1393">
        <v>368.25560000000002</v>
      </c>
      <c r="M1393">
        <v>0.99989450000000002</v>
      </c>
      <c r="N1393">
        <v>-1.4485680000000001E-2</v>
      </c>
      <c r="O1393">
        <v>-1.1701630000000001E-3</v>
      </c>
      <c r="P1393">
        <v>0.99065890000000001</v>
      </c>
      <c r="Q1393">
        <v>-0.13565739999999901</v>
      </c>
      <c r="R1393">
        <v>1.3859120000000001E-2</v>
      </c>
      <c r="S1393">
        <v>3.0110169999999998</v>
      </c>
      <c r="T1393">
        <v>-0.1565211</v>
      </c>
      <c r="U1393">
        <v>-0.28991699999999998</v>
      </c>
      <c r="V1393">
        <v>-1.5023740000000001E-2</v>
      </c>
      <c r="W1393">
        <v>-0.12129239999999999</v>
      </c>
      <c r="X1393">
        <v>0.99250309999999997</v>
      </c>
      <c r="Y1393">
        <v>9.4516030000000001E-2</v>
      </c>
      <c r="Z1393">
        <v>-3.0923190000000001E-3</v>
      </c>
      <c r="AA1393">
        <v>0.99551860000000003</v>
      </c>
      <c r="AB1393">
        <v>33</v>
      </c>
      <c r="AC1393">
        <v>21.1632999999999</v>
      </c>
      <c r="AD1393">
        <v>-1.10971856595</v>
      </c>
      <c r="AE1393">
        <v>-2.0552999999999799</v>
      </c>
      <c r="AF1393">
        <v>2.0250156615486201</v>
      </c>
      <c r="AG1393">
        <v>-1.10971856595</v>
      </c>
      <c r="AH1393">
        <v>21.108195388805001</v>
      </c>
      <c r="AI1393">
        <v>92.995704693186994</v>
      </c>
      <c r="AJ1393">
        <v>84.520097274999998</v>
      </c>
      <c r="AK1393">
        <v>21.2341252774184</v>
      </c>
      <c r="AL1393">
        <v>96.966696647477406</v>
      </c>
      <c r="AM1393">
        <v>90.867232714098805</v>
      </c>
      <c r="AN1393">
        <v>0.99999998128547796</v>
      </c>
    </row>
    <row r="1394" spans="1:40" x14ac:dyDescent="0.25">
      <c r="A1394" t="str">
        <f>"20190305134929632"</f>
        <v>20190305134929632</v>
      </c>
      <c r="B1394" t="str">
        <f>"1551764969622400"</f>
        <v>1551764969622400</v>
      </c>
      <c r="C1394" t="s">
        <v>40</v>
      </c>
      <c r="D1394">
        <v>4.1132169999999997</v>
      </c>
      <c r="E1394">
        <v>0.55780149999999995</v>
      </c>
      <c r="F1394" t="s">
        <v>41</v>
      </c>
      <c r="G1394">
        <v>-233.37899999999999</v>
      </c>
      <c r="H1394">
        <v>1.0194379999999901</v>
      </c>
      <c r="I1394">
        <v>368.14269999999999</v>
      </c>
      <c r="J1394">
        <v>-234.0609</v>
      </c>
      <c r="K1394">
        <v>1.109718</v>
      </c>
      <c r="L1394">
        <v>368.25540000000001</v>
      </c>
      <c r="M1394">
        <v>0.99989450000000002</v>
      </c>
      <c r="N1394">
        <v>-1.4483950000000001E-2</v>
      </c>
      <c r="O1394">
        <v>-1.1701490000000001E-3</v>
      </c>
      <c r="P1394">
        <v>0.99061840000000001</v>
      </c>
      <c r="Q1394">
        <v>-0.13602420000000001</v>
      </c>
      <c r="R1394">
        <v>1.313924E-2</v>
      </c>
      <c r="S1394">
        <v>2.9899900000000001</v>
      </c>
      <c r="T1394">
        <v>-0.32043300000000002</v>
      </c>
      <c r="U1394">
        <v>-0.3990784</v>
      </c>
      <c r="V1394">
        <v>-1.430325E-2</v>
      </c>
      <c r="W1394">
        <v>-0.12166159999999999</v>
      </c>
      <c r="X1394">
        <v>0.99246860000000003</v>
      </c>
      <c r="Y1394">
        <v>0.13030890000000001</v>
      </c>
      <c r="Z1394">
        <v>-7.7753600000000003E-3</v>
      </c>
      <c r="AA1394">
        <v>0.99144299999999996</v>
      </c>
      <c r="AB1394">
        <v>33</v>
      </c>
      <c r="AC1394">
        <v>0.68189999999998396</v>
      </c>
      <c r="AD1394">
        <v>-9.0280000000000096E-2</v>
      </c>
      <c r="AE1394">
        <v>-0.11270000000001799</v>
      </c>
      <c r="AF1394">
        <v>0.110024639541753</v>
      </c>
      <c r="AG1394">
        <v>-9.0280000000000096E-2</v>
      </c>
      <c r="AH1394">
        <v>0.67058961160172403</v>
      </c>
      <c r="AI1394">
        <v>97.5675181683456</v>
      </c>
      <c r="AJ1394">
        <v>80.682412111590295</v>
      </c>
      <c r="AK1394">
        <v>0.68552631378703799</v>
      </c>
      <c r="AL1394">
        <v>96.988007770480195</v>
      </c>
      <c r="AM1394">
        <v>90.825677636201604</v>
      </c>
      <c r="AN1394">
        <v>1.0000000249305401</v>
      </c>
    </row>
    <row r="1395" spans="1:40" x14ac:dyDescent="0.25">
      <c r="A1395" t="str">
        <f>"20190305134929643"</f>
        <v>20190305134929643</v>
      </c>
      <c r="B1395" t="str">
        <f>"1551764969632159"</f>
        <v>1551764969632159</v>
      </c>
      <c r="C1395" t="s">
        <v>40</v>
      </c>
      <c r="D1395">
        <v>4.1084050000000003</v>
      </c>
      <c r="E1395">
        <v>0.56031660000000005</v>
      </c>
      <c r="F1395" t="s">
        <v>41</v>
      </c>
      <c r="G1395">
        <v>-233.10579999999999</v>
      </c>
      <c r="H1395">
        <v>0.97993770000000002</v>
      </c>
      <c r="I1395">
        <v>368.12</v>
      </c>
      <c r="J1395">
        <v>-233.88990000000001</v>
      </c>
      <c r="K1395">
        <v>1.10972</v>
      </c>
      <c r="L1395">
        <v>368.2552</v>
      </c>
      <c r="M1395">
        <v>0.99989439999999996</v>
      </c>
      <c r="N1395">
        <v>-1.4482099999999999E-2</v>
      </c>
      <c r="O1395">
        <v>-1.170134E-3</v>
      </c>
      <c r="P1395">
        <v>0.99064269999999999</v>
      </c>
      <c r="Q1395">
        <v>-0.135902</v>
      </c>
      <c r="R1395">
        <v>1.2545580000000001E-2</v>
      </c>
      <c r="S1395">
        <v>2.978424</v>
      </c>
      <c r="T1395">
        <v>-0.404887</v>
      </c>
      <c r="U1395">
        <v>-0.42163089999999998</v>
      </c>
      <c r="V1395">
        <v>-1.371001E-2</v>
      </c>
      <c r="W1395">
        <v>-0.1215408</v>
      </c>
      <c r="X1395">
        <v>0.99249169999999998</v>
      </c>
      <c r="Y1395">
        <v>0.13763719999999999</v>
      </c>
      <c r="Z1395">
        <v>-1.013264E-2</v>
      </c>
      <c r="AA1395">
        <v>0.9904309</v>
      </c>
      <c r="AB1395">
        <v>33</v>
      </c>
      <c r="AC1395">
        <v>0.784100000000023</v>
      </c>
      <c r="AD1395">
        <v>-0.12978229999999999</v>
      </c>
      <c r="AE1395">
        <v>-0.13519999999999699</v>
      </c>
      <c r="AF1395">
        <v>0.130802306139821</v>
      </c>
      <c r="AG1395">
        <v>-0.12978229999999999</v>
      </c>
      <c r="AH1395">
        <v>0.76393319484081801</v>
      </c>
      <c r="AI1395">
        <v>99.5059929111885</v>
      </c>
      <c r="AJ1395">
        <v>80.283909663975805</v>
      </c>
      <c r="AK1395">
        <v>0.78584134204334399</v>
      </c>
      <c r="AL1395">
        <v>96.981035201682104</v>
      </c>
      <c r="AM1395">
        <v>90.791417954803293</v>
      </c>
      <c r="AN1395">
        <v>0.99999995250386298</v>
      </c>
    </row>
    <row r="1396" spans="1:40" x14ac:dyDescent="0.25">
      <c r="A1396" t="str">
        <f>"20190305134929654"</f>
        <v>20190305134929654</v>
      </c>
      <c r="B1396" t="str">
        <f>"1551764969651679"</f>
        <v>1551764969651679</v>
      </c>
      <c r="C1396" t="s">
        <v>40</v>
      </c>
      <c r="D1396">
        <v>4.0861640000000001</v>
      </c>
      <c r="E1396">
        <v>0.5619807</v>
      </c>
      <c r="F1396" t="s">
        <v>41</v>
      </c>
      <c r="G1396">
        <v>-233.10550000000001</v>
      </c>
      <c r="H1396">
        <v>0.98150470000000001</v>
      </c>
      <c r="I1396">
        <v>368.13690000000003</v>
      </c>
      <c r="J1396">
        <v>-233.73750000000001</v>
      </c>
      <c r="K1396">
        <v>1.109723</v>
      </c>
      <c r="L1396">
        <v>368.255</v>
      </c>
      <c r="M1396">
        <v>0.99989450000000002</v>
      </c>
      <c r="N1396">
        <v>-1.4480450000000001E-2</v>
      </c>
      <c r="O1396">
        <v>-1.1704790000000001E-3</v>
      </c>
      <c r="P1396">
        <v>0.99068400000000001</v>
      </c>
      <c r="Q1396">
        <v>-0.13563639999999999</v>
      </c>
      <c r="R1396">
        <v>1.217506E-2</v>
      </c>
      <c r="S1396">
        <v>2.967438</v>
      </c>
      <c r="T1396">
        <v>-0.48517100000000002</v>
      </c>
      <c r="U1396">
        <v>-0.44677729999999999</v>
      </c>
      <c r="V1396">
        <v>-1.333988E-2</v>
      </c>
      <c r="W1396">
        <v>-0.1212763</v>
      </c>
      <c r="X1396">
        <v>0.9925292</v>
      </c>
      <c r="Y1396">
        <v>0.14567269999999999</v>
      </c>
      <c r="Z1396">
        <v>-1.2660859999999999E-2</v>
      </c>
      <c r="AA1396">
        <v>0.98925189999999996</v>
      </c>
      <c r="AB1396">
        <v>33</v>
      </c>
      <c r="AC1396">
        <v>0.632000000000005</v>
      </c>
      <c r="AD1396">
        <v>-0.12821830000000001</v>
      </c>
      <c r="AE1396">
        <v>-0.11809999999996899</v>
      </c>
      <c r="AF1396">
        <v>0.112871173068526</v>
      </c>
      <c r="AG1396">
        <v>-0.12821830000000001</v>
      </c>
      <c r="AH1396">
        <v>0.607959071675098</v>
      </c>
      <c r="AI1396">
        <v>101.714624170218</v>
      </c>
      <c r="AJ1396">
        <v>79.482450860856801</v>
      </c>
      <c r="AK1396">
        <v>0.631501438633993</v>
      </c>
      <c r="AL1396">
        <v>96.965766822272499</v>
      </c>
      <c r="AM1396">
        <v>90.770025512257803</v>
      </c>
      <c r="AN1396">
        <v>1.00000005309637</v>
      </c>
    </row>
    <row r="1397" spans="1:40" x14ac:dyDescent="0.25">
      <c r="A1397" t="str">
        <f>"20190305134929667"</f>
        <v>20190305134929667</v>
      </c>
      <c r="B1397" t="str">
        <f>"1551764969662416"</f>
        <v>1551764969662416</v>
      </c>
      <c r="C1397" t="s">
        <v>40</v>
      </c>
      <c r="D1397">
        <v>4.0828089999999904</v>
      </c>
      <c r="E1397">
        <v>0.56280459999999999</v>
      </c>
      <c r="F1397" t="s">
        <v>41</v>
      </c>
      <c r="G1397">
        <v>-232.8364</v>
      </c>
      <c r="H1397">
        <v>0.93266530000000003</v>
      </c>
      <c r="I1397">
        <v>368.11279999999999</v>
      </c>
      <c r="J1397">
        <v>-233.5581</v>
      </c>
      <c r="K1397">
        <v>1.1097250000000001</v>
      </c>
      <c r="L1397">
        <v>368.25479999999999</v>
      </c>
      <c r="M1397">
        <v>0.99989459999999997</v>
      </c>
      <c r="N1397">
        <v>-1.447852E-2</v>
      </c>
      <c r="O1397">
        <v>-1.170464E-3</v>
      </c>
      <c r="P1397">
        <v>0.99072579999999999</v>
      </c>
      <c r="Q1397">
        <v>-0.13536819999999999</v>
      </c>
      <c r="R1397">
        <v>1.1745439999999999E-2</v>
      </c>
      <c r="S1397">
        <v>2.954437</v>
      </c>
      <c r="T1397">
        <v>-0.58060710000000004</v>
      </c>
      <c r="U1397">
        <v>-0.46548460000000003</v>
      </c>
      <c r="V1397">
        <v>-1.2910100000000001E-2</v>
      </c>
      <c r="W1397">
        <v>-0.12100950000000001</v>
      </c>
      <c r="X1397">
        <v>0.99256739999999999</v>
      </c>
      <c r="Y1397">
        <v>0.15145330000000001</v>
      </c>
      <c r="Z1397">
        <v>-1.5557319999999999E-2</v>
      </c>
      <c r="AA1397">
        <v>0.98834200000000005</v>
      </c>
      <c r="AB1397">
        <v>33</v>
      </c>
      <c r="AC1397">
        <v>0.72169999999999801</v>
      </c>
      <c r="AD1397">
        <v>-0.17705969999999999</v>
      </c>
      <c r="AE1397">
        <v>-0.14199999999999499</v>
      </c>
      <c r="AF1397">
        <v>0.13342360564047001</v>
      </c>
      <c r="AG1397">
        <v>-0.17705969999999999</v>
      </c>
      <c r="AH1397">
        <v>0.68232699275280995</v>
      </c>
      <c r="AI1397">
        <v>104.287835047039</v>
      </c>
      <c r="AJ1397">
        <v>78.935875632165406</v>
      </c>
      <c r="AK1397">
        <v>0.71744137108567096</v>
      </c>
      <c r="AL1397">
        <v>96.950367214129699</v>
      </c>
      <c r="AM1397">
        <v>90.745191242876601</v>
      </c>
      <c r="AN1397">
        <v>1.0000000066575001</v>
      </c>
    </row>
    <row r="1398" spans="1:40" x14ac:dyDescent="0.25">
      <c r="A1398" t="str">
        <f>"20190305134929678"</f>
        <v>20190305134929678</v>
      </c>
      <c r="B1398" t="str">
        <f>"1551764969672176"</f>
        <v>1551764969672176</v>
      </c>
      <c r="C1398" t="s">
        <v>40</v>
      </c>
      <c r="D1398">
        <v>4.0911249999999999</v>
      </c>
      <c r="E1398">
        <v>0.56327069999999901</v>
      </c>
      <c r="F1398" t="s">
        <v>41</v>
      </c>
      <c r="G1398">
        <v>-232.8237</v>
      </c>
      <c r="H1398">
        <v>0.96098790000000001</v>
      </c>
      <c r="I1398">
        <v>368.13670000000002</v>
      </c>
      <c r="J1398">
        <v>-233.39019999999999</v>
      </c>
      <c r="K1398">
        <v>1.109731</v>
      </c>
      <c r="L1398">
        <v>368.25459999999998</v>
      </c>
      <c r="M1398">
        <v>0.99989459999999997</v>
      </c>
      <c r="N1398">
        <v>-1.447671E-2</v>
      </c>
      <c r="O1398">
        <v>-1.170688E-3</v>
      </c>
      <c r="P1398">
        <v>0.99077510000000002</v>
      </c>
      <c r="Q1398">
        <v>-0.13503509999999999</v>
      </c>
      <c r="R1398">
        <v>1.14275E-2</v>
      </c>
      <c r="S1398">
        <v>2.952026</v>
      </c>
      <c r="T1398">
        <v>-0.59791609999999995</v>
      </c>
      <c r="U1398">
        <v>-0.47415160000000001</v>
      </c>
      <c r="V1398">
        <v>-1.259208E-2</v>
      </c>
      <c r="W1398">
        <v>-0.1206774</v>
      </c>
      <c r="X1398">
        <v>0.99261189999999999</v>
      </c>
      <c r="Y1398">
        <v>0.1541708</v>
      </c>
      <c r="Z1398">
        <v>-1.627903E-2</v>
      </c>
      <c r="AA1398">
        <v>0.98791010000000001</v>
      </c>
      <c r="AB1398">
        <v>33</v>
      </c>
      <c r="AC1398">
        <v>0.56649999999999001</v>
      </c>
      <c r="AD1398">
        <v>-0.14874309999999899</v>
      </c>
      <c r="AE1398">
        <v>-0.11789999999996301</v>
      </c>
      <c r="AF1398">
        <v>0.109970023558803</v>
      </c>
      <c r="AG1398">
        <v>-0.14874309999999899</v>
      </c>
      <c r="AH1398">
        <v>0.53151598157864299</v>
      </c>
      <c r="AI1398">
        <v>105.325254950735</v>
      </c>
      <c r="AJ1398">
        <v>78.310506800614206</v>
      </c>
      <c r="AK1398">
        <v>0.56278517620193402</v>
      </c>
      <c r="AL1398">
        <v>96.931198929848705</v>
      </c>
      <c r="AM1398">
        <v>90.726804041841106</v>
      </c>
      <c r="AN1398">
        <v>0.99999998968554804</v>
      </c>
    </row>
    <row r="1399" spans="1:40" x14ac:dyDescent="0.25">
      <c r="A1399" t="str">
        <f>"20190305134929688"</f>
        <v>20190305134929688</v>
      </c>
      <c r="B1399" t="str">
        <f>"1551764969681935"</f>
        <v>1551764969681935</v>
      </c>
      <c r="C1399" t="s">
        <v>40</v>
      </c>
      <c r="D1399">
        <v>4.1034129999999998</v>
      </c>
      <c r="E1399">
        <v>0.56360849999999996</v>
      </c>
      <c r="F1399" t="s">
        <v>41</v>
      </c>
      <c r="G1399">
        <v>-232.5438</v>
      </c>
      <c r="H1399">
        <v>0.93547709999999995</v>
      </c>
      <c r="I1399">
        <v>368.11689999999999</v>
      </c>
      <c r="J1399">
        <v>-233.23259999999999</v>
      </c>
      <c r="K1399">
        <v>1.1097319999999999</v>
      </c>
      <c r="L1399">
        <v>368.25439999999998</v>
      </c>
      <c r="M1399">
        <v>0.99989459999999997</v>
      </c>
      <c r="N1399">
        <v>-1.4475E-2</v>
      </c>
      <c r="O1399">
        <v>-1.1706749999999999E-3</v>
      </c>
      <c r="P1399">
        <v>0.99079740000000005</v>
      </c>
      <c r="Q1399">
        <v>-0.1348888</v>
      </c>
      <c r="R1399">
        <v>1.120225E-2</v>
      </c>
      <c r="S1399">
        <v>2.9506380000000001</v>
      </c>
      <c r="T1399">
        <v>-0.6076009</v>
      </c>
      <c r="U1399">
        <v>-0.47940060000000001</v>
      </c>
      <c r="V1399">
        <v>-1.2367E-2</v>
      </c>
      <c r="W1399">
        <v>-0.1205326</v>
      </c>
      <c r="X1399">
        <v>0.99263230000000002</v>
      </c>
      <c r="Y1399">
        <v>0.15581629999999999</v>
      </c>
      <c r="Z1399">
        <v>-1.6703160000000002E-2</v>
      </c>
      <c r="AA1399">
        <v>0.98764479999999999</v>
      </c>
      <c r="AB1399">
        <v>33</v>
      </c>
      <c r="AC1399">
        <v>0.68879999999998598</v>
      </c>
      <c r="AD1399">
        <v>-0.17425489999999899</v>
      </c>
      <c r="AE1399">
        <v>-0.13749999999998799</v>
      </c>
      <c r="AF1399">
        <v>0.12876805450144399</v>
      </c>
      <c r="AG1399">
        <v>-0.17425489999999899</v>
      </c>
      <c r="AH1399">
        <v>0.64901499011602604</v>
      </c>
      <c r="AI1399">
        <v>104.754277692751</v>
      </c>
      <c r="AJ1399">
        <v>78.777946317677007</v>
      </c>
      <c r="AK1399">
        <v>0.68422689177596796</v>
      </c>
      <c r="AL1399">
        <v>96.922841656492807</v>
      </c>
      <c r="AM1399">
        <v>90.713799305669994</v>
      </c>
      <c r="AN1399">
        <v>0.999999966677524</v>
      </c>
    </row>
    <row r="1400" spans="1:40" x14ac:dyDescent="0.25">
      <c r="A1400" t="str">
        <f>"20190305134929699"</f>
        <v>20190305134929699</v>
      </c>
      <c r="B1400" t="str">
        <f>"1551764969691695"</f>
        <v>1551764969691695</v>
      </c>
      <c r="C1400" t="s">
        <v>40</v>
      </c>
      <c r="D1400">
        <v>4.1235249999999999</v>
      </c>
      <c r="E1400">
        <v>0.56341850000000004</v>
      </c>
      <c r="F1400" t="s">
        <v>41</v>
      </c>
      <c r="G1400">
        <v>-232.53110000000001</v>
      </c>
      <c r="H1400">
        <v>0.96355650000000004</v>
      </c>
      <c r="I1400">
        <v>368.13929999999999</v>
      </c>
      <c r="J1400">
        <v>-233.08269999999999</v>
      </c>
      <c r="K1400">
        <v>1.1097349999999999</v>
      </c>
      <c r="L1400">
        <v>368.25420000000003</v>
      </c>
      <c r="M1400">
        <v>0.99989459999999997</v>
      </c>
      <c r="N1400">
        <v>-1.4473369999999999E-2</v>
      </c>
      <c r="O1400">
        <v>-1.170663E-3</v>
      </c>
      <c r="P1400">
        <v>0.99081920000000001</v>
      </c>
      <c r="Q1400">
        <v>-0.1347506</v>
      </c>
      <c r="R1400">
        <v>1.093598E-2</v>
      </c>
      <c r="S1400">
        <v>2.9496310000000001</v>
      </c>
      <c r="T1400">
        <v>-0.61473820000000001</v>
      </c>
      <c r="U1400">
        <v>-0.48318480000000003</v>
      </c>
      <c r="V1400">
        <v>-1.2100720000000001E-2</v>
      </c>
      <c r="W1400">
        <v>-0.12039569999999999</v>
      </c>
      <c r="X1400">
        <v>0.99265219999999998</v>
      </c>
      <c r="Y1400">
        <v>0.1569991</v>
      </c>
      <c r="Z1400">
        <v>-1.701571E-2</v>
      </c>
      <c r="AA1400">
        <v>0.98745210000000005</v>
      </c>
      <c r="AB1400">
        <v>33</v>
      </c>
      <c r="AC1400">
        <v>0.551599999999979</v>
      </c>
      <c r="AD1400">
        <v>-0.14617849999999999</v>
      </c>
      <c r="AE1400">
        <v>-0.114900000000034</v>
      </c>
      <c r="AF1400">
        <v>0.107048792000425</v>
      </c>
      <c r="AG1400">
        <v>-0.14617849999999999</v>
      </c>
      <c r="AH1400">
        <v>0.51693957174073502</v>
      </c>
      <c r="AI1400">
        <v>105.477511800771</v>
      </c>
      <c r="AJ1400">
        <v>78.300451353051301</v>
      </c>
      <c r="AK1400">
        <v>0.54777195853977001</v>
      </c>
      <c r="AL1400">
        <v>96.914940293340607</v>
      </c>
      <c r="AM1400">
        <v>90.698417678345393</v>
      </c>
      <c r="AN1400">
        <v>0.99999997108392302</v>
      </c>
    </row>
    <row r="1401" spans="1:40" x14ac:dyDescent="0.25">
      <c r="A1401" t="str">
        <f>"20190305134929712"</f>
        <v>20190305134929712</v>
      </c>
      <c r="B1401" t="str">
        <f>"1551764969702431"</f>
        <v>1551764969702431</v>
      </c>
      <c r="C1401" t="s">
        <v>40</v>
      </c>
      <c r="D1401">
        <v>4.0980860000000003</v>
      </c>
      <c r="E1401">
        <v>0.56325769999999997</v>
      </c>
      <c r="F1401" t="s">
        <v>41</v>
      </c>
      <c r="G1401">
        <v>-232.2535</v>
      </c>
      <c r="H1401">
        <v>0.93391219999999997</v>
      </c>
      <c r="I1401">
        <v>368.11829999999998</v>
      </c>
      <c r="J1401">
        <v>-232.90700000000001</v>
      </c>
      <c r="K1401">
        <v>1.109731</v>
      </c>
      <c r="L1401">
        <v>368.25400000000002</v>
      </c>
      <c r="M1401">
        <v>0.99989470000000003</v>
      </c>
      <c r="N1401">
        <v>-1.447147E-2</v>
      </c>
      <c r="O1401">
        <v>-1.170768E-3</v>
      </c>
      <c r="P1401">
        <v>0.99079879999999998</v>
      </c>
      <c r="Q1401">
        <v>-0.13490139999999901</v>
      </c>
      <c r="R1401">
        <v>1.092591E-2</v>
      </c>
      <c r="S1401">
        <v>2.9480900000000001</v>
      </c>
      <c r="T1401">
        <v>-0.62518750000000001</v>
      </c>
      <c r="U1401">
        <v>-0.48297119999999999</v>
      </c>
      <c r="V1401">
        <v>-1.209056E-2</v>
      </c>
      <c r="W1401">
        <v>-0.12054869999999999</v>
      </c>
      <c r="X1401">
        <v>0.99263380000000001</v>
      </c>
      <c r="Y1401">
        <v>0.1568957</v>
      </c>
      <c r="Z1401">
        <v>-1.727623E-2</v>
      </c>
      <c r="AA1401">
        <v>0.98746409999999996</v>
      </c>
      <c r="AB1401">
        <v>33</v>
      </c>
      <c r="AC1401">
        <v>0.65350000000000796</v>
      </c>
      <c r="AD1401">
        <v>-0.1758188</v>
      </c>
      <c r="AE1401">
        <v>-0.13570000000004201</v>
      </c>
      <c r="AF1401">
        <v>0.12617899418124601</v>
      </c>
      <c r="AG1401">
        <v>-0.1758188</v>
      </c>
      <c r="AH1401">
        <v>0.61124341159309803</v>
      </c>
      <c r="AI1401">
        <v>105.732618752184</v>
      </c>
      <c r="AJ1401">
        <v>78.336265836966007</v>
      </c>
      <c r="AK1401">
        <v>0.64842262238604897</v>
      </c>
      <c r="AL1401">
        <v>96.923770552380205</v>
      </c>
      <c r="AM1401">
        <v>90.697844265386806</v>
      </c>
      <c r="AN1401">
        <v>1.0000000158076201</v>
      </c>
    </row>
    <row r="1402" spans="1:40" x14ac:dyDescent="0.25">
      <c r="A1402" t="str">
        <f>"20190305134929722"</f>
        <v>20190305134929722</v>
      </c>
      <c r="B1402" t="str">
        <f>"1551764969712192"</f>
        <v>1551764969712192</v>
      </c>
      <c r="C1402" t="s">
        <v>40</v>
      </c>
      <c r="D1402">
        <v>4.081861</v>
      </c>
      <c r="E1402">
        <v>0.56348640000000005</v>
      </c>
      <c r="F1402" t="s">
        <v>41</v>
      </c>
      <c r="G1402">
        <v>-231.97290000000001</v>
      </c>
      <c r="H1402">
        <v>0.90906799999999999</v>
      </c>
      <c r="I1402">
        <v>368.101</v>
      </c>
      <c r="J1402">
        <v>-232.73650000000001</v>
      </c>
      <c r="K1402">
        <v>1.1097319999999999</v>
      </c>
      <c r="L1402">
        <v>368.25380000000001</v>
      </c>
      <c r="M1402">
        <v>0.99989470000000003</v>
      </c>
      <c r="N1402">
        <v>-1.4469620000000001E-2</v>
      </c>
      <c r="O1402">
        <v>-1.1706349999999999E-3</v>
      </c>
      <c r="P1402">
        <v>0.99081750000000002</v>
      </c>
      <c r="Q1402">
        <v>-0.134769</v>
      </c>
      <c r="R1402">
        <v>1.0865929999999999E-2</v>
      </c>
      <c r="S1402">
        <v>2.9469759999999998</v>
      </c>
      <c r="T1402">
        <v>-0.63313790000000003</v>
      </c>
      <c r="U1402">
        <v>-0.4822998</v>
      </c>
      <c r="V1402">
        <v>-1.203064E-2</v>
      </c>
      <c r="W1402">
        <v>-0.120417899999999</v>
      </c>
      <c r="X1402">
        <v>0.99265040000000004</v>
      </c>
      <c r="Y1402">
        <v>0.1566507</v>
      </c>
      <c r="Z1402">
        <v>-1.745534E-2</v>
      </c>
      <c r="AA1402">
        <v>0.98749980000000004</v>
      </c>
      <c r="AB1402">
        <v>33</v>
      </c>
      <c r="AC1402">
        <v>0.76359999999999595</v>
      </c>
      <c r="AD1402">
        <v>-0.20066399999999901</v>
      </c>
      <c r="AE1402">
        <v>-0.15280000000001301</v>
      </c>
      <c r="AF1402">
        <v>0.142447639304881</v>
      </c>
      <c r="AG1402">
        <v>-0.20066399999999901</v>
      </c>
      <c r="AH1402">
        <v>0.71622249067025301</v>
      </c>
      <c r="AI1402">
        <v>105.364949860842</v>
      </c>
      <c r="AJ1402">
        <v>78.751375292227905</v>
      </c>
      <c r="AK1402">
        <v>0.75731897307636098</v>
      </c>
      <c r="AL1402">
        <v>96.916221298685301</v>
      </c>
      <c r="AM1402">
        <v>90.694374524733007</v>
      </c>
      <c r="AN1402">
        <v>1.0000000117796899</v>
      </c>
    </row>
    <row r="1403" spans="1:40" x14ac:dyDescent="0.25">
      <c r="A1403" t="str">
        <f>"20190305134929734"</f>
        <v>20190305134929734</v>
      </c>
      <c r="B1403" t="str">
        <f>"1551764969721952"</f>
        <v>1551764969721952</v>
      </c>
      <c r="C1403" t="s">
        <v>40</v>
      </c>
      <c r="D1403">
        <v>4.0844189999999996</v>
      </c>
      <c r="E1403">
        <v>0.56371700000000002</v>
      </c>
      <c r="F1403" t="s">
        <v>41</v>
      </c>
      <c r="G1403">
        <v>-231.95930000000001</v>
      </c>
      <c r="H1403">
        <v>0.94192909999999996</v>
      </c>
      <c r="I1403">
        <v>368.1259</v>
      </c>
      <c r="J1403">
        <v>-232.57740000000001</v>
      </c>
      <c r="K1403">
        <v>1.1097349999999999</v>
      </c>
      <c r="L1403">
        <v>368.25369999999998</v>
      </c>
      <c r="M1403">
        <v>0.99989459999999997</v>
      </c>
      <c r="N1403">
        <v>-1.4467890000000001E-2</v>
      </c>
      <c r="O1403">
        <v>-1.1706220000000001E-3</v>
      </c>
      <c r="P1403">
        <v>0.99083900000000003</v>
      </c>
      <c r="Q1403">
        <v>-0.134604799999999</v>
      </c>
      <c r="R1403">
        <v>1.0931980000000001E-2</v>
      </c>
      <c r="S1403">
        <v>2.946564</v>
      </c>
      <c r="T1403">
        <v>-0.63618490000000005</v>
      </c>
      <c r="U1403">
        <v>-0.48406979999999999</v>
      </c>
      <c r="V1403">
        <v>-1.209667E-2</v>
      </c>
      <c r="W1403">
        <v>-0.1202551</v>
      </c>
      <c r="X1403">
        <v>0.99266929999999998</v>
      </c>
      <c r="Y1403">
        <v>0.15720239999999999</v>
      </c>
      <c r="Z1403">
        <v>-1.759602E-2</v>
      </c>
      <c r="AA1403">
        <v>0.98740969999999995</v>
      </c>
      <c r="AB1403">
        <v>33</v>
      </c>
      <c r="AC1403">
        <v>0.61809999999999798</v>
      </c>
      <c r="AD1403">
        <v>-0.16780590000000001</v>
      </c>
      <c r="AE1403">
        <v>-0.12779999999997901</v>
      </c>
      <c r="AF1403">
        <v>0.118687087551211</v>
      </c>
      <c r="AG1403">
        <v>-0.16780590000000001</v>
      </c>
      <c r="AH1403">
        <v>0.57743427350455401</v>
      </c>
      <c r="AI1403">
        <v>105.889282235737</v>
      </c>
      <c r="AJ1403">
        <v>78.385066298299506</v>
      </c>
      <c r="AK1403">
        <v>0.61292396350928402</v>
      </c>
      <c r="AL1403">
        <v>96.906825495091198</v>
      </c>
      <c r="AM1403">
        <v>90.698171921575195</v>
      </c>
      <c r="AN1403">
        <v>0.99999997883179403</v>
      </c>
    </row>
    <row r="1404" spans="1:40" x14ac:dyDescent="0.25">
      <c r="A1404" t="str">
        <f>"20190305134929745"</f>
        <v>20190305134929745</v>
      </c>
      <c r="B1404" t="str">
        <f>"1551764969731711"</f>
        <v>1551764969731711</v>
      </c>
      <c r="C1404" t="s">
        <v>40</v>
      </c>
      <c r="D1404">
        <v>4.0465439999999999</v>
      </c>
      <c r="E1404">
        <v>0.56396119999999905</v>
      </c>
      <c r="F1404" t="s">
        <v>41</v>
      </c>
      <c r="G1404">
        <v>-231.68010000000001</v>
      </c>
      <c r="H1404">
        <v>0.91522910000000002</v>
      </c>
      <c r="I1404">
        <v>368.10539999999997</v>
      </c>
      <c r="J1404">
        <v>-232.41130000000001</v>
      </c>
      <c r="K1404">
        <v>1.1097440000000001</v>
      </c>
      <c r="L1404">
        <v>368.2534</v>
      </c>
      <c r="M1404">
        <v>0.99989470000000003</v>
      </c>
      <c r="N1404">
        <v>-1.4466100000000001E-2</v>
      </c>
      <c r="O1404">
        <v>-1.170609E-3</v>
      </c>
      <c r="P1404">
        <v>0.99085190000000001</v>
      </c>
      <c r="Q1404">
        <v>-0.13450399999999901</v>
      </c>
      <c r="R1404">
        <v>1.100814E-2</v>
      </c>
      <c r="S1404">
        <v>2.9462890000000002</v>
      </c>
      <c r="T1404">
        <v>-0.63879079999999999</v>
      </c>
      <c r="U1404">
        <v>-0.48559570000000002</v>
      </c>
      <c r="V1404">
        <v>-1.217303E-2</v>
      </c>
      <c r="W1404">
        <v>-0.1201559</v>
      </c>
      <c r="X1404">
        <v>0.99268040000000002</v>
      </c>
      <c r="Y1404">
        <v>0.15767390000000001</v>
      </c>
      <c r="Z1404">
        <v>-1.7716280000000001E-2</v>
      </c>
      <c r="AA1404">
        <v>0.98733230000000005</v>
      </c>
      <c r="AB1404">
        <v>33</v>
      </c>
      <c r="AC1404">
        <v>0.73120000000000096</v>
      </c>
      <c r="AD1404">
        <v>-0.19451489999999999</v>
      </c>
      <c r="AE1404">
        <v>-0.148000000000024</v>
      </c>
      <c r="AF1404">
        <v>0.13777743491772501</v>
      </c>
      <c r="AG1404">
        <v>-0.19451489999999999</v>
      </c>
      <c r="AH1404">
        <v>0.68481732109211102</v>
      </c>
      <c r="AI1404">
        <v>105.56036261585901</v>
      </c>
      <c r="AJ1404">
        <v>78.624600308684805</v>
      </c>
      <c r="AK1404">
        <v>0.72511615011823705</v>
      </c>
      <c r="AL1404">
        <v>96.901100094899704</v>
      </c>
      <c r="AM1404">
        <v>90.702570822860594</v>
      </c>
      <c r="AN1404">
        <v>0.99999999975417497</v>
      </c>
    </row>
    <row r="1405" spans="1:40" x14ac:dyDescent="0.25">
      <c r="A1405" t="str">
        <f>"20190305134929759"</f>
        <v>20190305134929759</v>
      </c>
      <c r="B1405" t="str">
        <f>"1551764969752208"</f>
        <v>1551764969752208</v>
      </c>
      <c r="C1405" t="s">
        <v>40</v>
      </c>
      <c r="D1405">
        <v>4.1004139999999998</v>
      </c>
      <c r="E1405">
        <v>0.56430119999999995</v>
      </c>
      <c r="F1405" t="s">
        <v>41</v>
      </c>
      <c r="G1405">
        <v>-231.6662</v>
      </c>
      <c r="H1405">
        <v>0.94782540000000004</v>
      </c>
      <c r="I1405">
        <v>368.12979999999999</v>
      </c>
      <c r="J1405">
        <v>-232.2303</v>
      </c>
      <c r="K1405">
        <v>1.10975</v>
      </c>
      <c r="L1405">
        <v>368.25330000000002</v>
      </c>
      <c r="M1405">
        <v>0.99989470000000003</v>
      </c>
      <c r="N1405">
        <v>-1.446414E-2</v>
      </c>
      <c r="O1405">
        <v>-1.1705939999999901E-3</v>
      </c>
      <c r="P1405">
        <v>0.99088379999999998</v>
      </c>
      <c r="Q1405">
        <v>-0.13425119999999999</v>
      </c>
      <c r="R1405">
        <v>1.121699E-2</v>
      </c>
      <c r="S1405">
        <v>2.9461819999999999</v>
      </c>
      <c r="T1405">
        <v>-0.64034409999999997</v>
      </c>
      <c r="U1405">
        <v>-0.48748780000000003</v>
      </c>
      <c r="V1405">
        <v>-1.2381680000000001E-2</v>
      </c>
      <c r="W1405">
        <v>-0.1199046</v>
      </c>
      <c r="X1405">
        <v>0.99270820000000004</v>
      </c>
      <c r="Y1405">
        <v>0.15826499999999999</v>
      </c>
      <c r="Z1405">
        <v>-1.7822749999999998E-2</v>
      </c>
      <c r="AA1405">
        <v>0.9872358</v>
      </c>
      <c r="AB1405">
        <v>33</v>
      </c>
      <c r="AC1405">
        <v>0.56409999999999605</v>
      </c>
      <c r="AD1405">
        <v>-0.161924599999999</v>
      </c>
      <c r="AE1405">
        <v>-0.123500000000035</v>
      </c>
      <c r="AF1405">
        <v>0.11388490373601499</v>
      </c>
      <c r="AG1405">
        <v>-0.161924599999999</v>
      </c>
      <c r="AH1405">
        <v>0.52311258690325302</v>
      </c>
      <c r="AI1405">
        <v>106.82825616718701</v>
      </c>
      <c r="AJ1405">
        <v>77.717994128404996</v>
      </c>
      <c r="AK1405">
        <v>0.559317553774897</v>
      </c>
      <c r="AL1405">
        <v>96.886596844929102</v>
      </c>
      <c r="AM1405">
        <v>90.714591884606094</v>
      </c>
      <c r="AN1405">
        <v>0.99999999472401102</v>
      </c>
    </row>
    <row r="1406" spans="1:40" x14ac:dyDescent="0.25">
      <c r="A1406" t="str">
        <f>"20190305134929771"</f>
        <v>20190305134929771</v>
      </c>
      <c r="B1406" t="str">
        <f>"1551764969761968"</f>
        <v>1551764969761968</v>
      </c>
      <c r="C1406" t="s">
        <v>40</v>
      </c>
      <c r="D1406">
        <v>4.06088</v>
      </c>
      <c r="E1406">
        <v>0.56449340000000003</v>
      </c>
      <c r="F1406" t="s">
        <v>41</v>
      </c>
      <c r="G1406">
        <v>-231.38630000000001</v>
      </c>
      <c r="H1406">
        <v>0.92475719999999995</v>
      </c>
      <c r="I1406">
        <v>368.11270000000002</v>
      </c>
      <c r="J1406">
        <v>-232.035</v>
      </c>
      <c r="K1406">
        <v>1.1097539999999999</v>
      </c>
      <c r="L1406">
        <v>368.25299999999999</v>
      </c>
      <c r="M1406">
        <v>0.99989490000000003</v>
      </c>
      <c r="N1406">
        <v>-1.4462030000000001E-2</v>
      </c>
      <c r="O1406">
        <v>-1.170698E-3</v>
      </c>
      <c r="P1406">
        <v>0.99092519999999995</v>
      </c>
      <c r="Q1406">
        <v>-0.13393840000000001</v>
      </c>
      <c r="R1406">
        <v>1.1304649999999999E-2</v>
      </c>
      <c r="S1406">
        <v>2.9456479999999998</v>
      </c>
      <c r="T1406">
        <v>-0.64568519999999996</v>
      </c>
      <c r="U1406">
        <v>-0.4899597</v>
      </c>
      <c r="V1406">
        <v>-1.246972E-2</v>
      </c>
      <c r="W1406">
        <v>-0.1195933</v>
      </c>
      <c r="X1406">
        <v>0.99274459999999998</v>
      </c>
      <c r="Y1406">
        <v>0.15901940000000001</v>
      </c>
      <c r="Z1406">
        <v>-1.804706E-2</v>
      </c>
      <c r="AA1406">
        <v>0.9871105</v>
      </c>
      <c r="AB1406">
        <v>32</v>
      </c>
      <c r="AC1406">
        <v>0.64869999999999095</v>
      </c>
      <c r="AD1406">
        <v>-0.18499679999999999</v>
      </c>
      <c r="AE1406">
        <v>-0.14030000000002399</v>
      </c>
      <c r="AF1406">
        <v>0.12948054948274301</v>
      </c>
      <c r="AG1406">
        <v>-0.18499679999999999</v>
      </c>
      <c r="AH1406">
        <v>0.60208547856042705</v>
      </c>
      <c r="AI1406">
        <v>106.719861456926</v>
      </c>
      <c r="AJ1406">
        <v>77.863193608029505</v>
      </c>
      <c r="AK1406">
        <v>0.64303650922628997</v>
      </c>
      <c r="AL1406">
        <v>96.8686317286394</v>
      </c>
      <c r="AM1406">
        <v>90.719646076633495</v>
      </c>
      <c r="AN1406">
        <v>0.99999994607546205</v>
      </c>
    </row>
    <row r="1407" spans="1:40" x14ac:dyDescent="0.25">
      <c r="A1407" t="str">
        <f>"20190305134929784"</f>
        <v>20190305134929784</v>
      </c>
      <c r="B1407" t="str">
        <f>"1551764969771728"</f>
        <v>1551764969771728</v>
      </c>
      <c r="C1407" t="s">
        <v>40</v>
      </c>
      <c r="D1407">
        <v>4.0803079999999996</v>
      </c>
      <c r="E1407">
        <v>0.56457869999999999</v>
      </c>
      <c r="F1407" t="s">
        <v>41</v>
      </c>
      <c r="G1407">
        <v>-231.10419999999999</v>
      </c>
      <c r="H1407">
        <v>0.90535080000000001</v>
      </c>
      <c r="I1407">
        <v>368.09769999999997</v>
      </c>
      <c r="J1407">
        <v>-231.8492</v>
      </c>
      <c r="K1407">
        <v>1.1097589999999999</v>
      </c>
      <c r="L1407">
        <v>368.25279999999998</v>
      </c>
      <c r="M1407">
        <v>0.99989470000000003</v>
      </c>
      <c r="N1407">
        <v>-1.446003E-2</v>
      </c>
      <c r="O1407">
        <v>-1.170564E-3</v>
      </c>
      <c r="P1407">
        <v>0.99089039999999995</v>
      </c>
      <c r="Q1407">
        <v>-0.13419139999999999</v>
      </c>
      <c r="R1407">
        <v>1.135183E-2</v>
      </c>
      <c r="S1407">
        <v>2.9456329999999999</v>
      </c>
      <c r="T1407">
        <v>-0.64691779999999999</v>
      </c>
      <c r="U1407">
        <v>-0.49108889999999999</v>
      </c>
      <c r="V1407">
        <v>-1.2516670000000001E-2</v>
      </c>
      <c r="W1407">
        <v>-0.11984880000000001</v>
      </c>
      <c r="X1407">
        <v>0.99271330000000002</v>
      </c>
      <c r="Y1407">
        <v>0.15936589999999901</v>
      </c>
      <c r="Z1407">
        <v>-1.8117930000000001E-2</v>
      </c>
      <c r="AA1407">
        <v>0.98705330000000002</v>
      </c>
      <c r="AB1407">
        <v>32</v>
      </c>
      <c r="AC1407">
        <v>0.74500000000000399</v>
      </c>
      <c r="AD1407">
        <v>-0.20440820000000001</v>
      </c>
      <c r="AE1407">
        <v>-0.15510000000000401</v>
      </c>
      <c r="AF1407">
        <v>0.14384855772806701</v>
      </c>
      <c r="AG1407">
        <v>-0.20440820000000001</v>
      </c>
      <c r="AH1407">
        <v>0.69503207728489202</v>
      </c>
      <c r="AI1407">
        <v>106.066159346397</v>
      </c>
      <c r="AJ1407">
        <v>78.306771737650607</v>
      </c>
      <c r="AK1407">
        <v>0.73860998384982401</v>
      </c>
      <c r="AL1407">
        <v>96.883376142936498</v>
      </c>
      <c r="AM1407">
        <v>90.722378117617694</v>
      </c>
      <c r="AN1407">
        <v>1.0000000489431</v>
      </c>
    </row>
    <row r="1408" spans="1:40" x14ac:dyDescent="0.25">
      <c r="A1408" t="str">
        <f>"20190305134929799"</f>
        <v>20190305134929799</v>
      </c>
      <c r="B1408" t="str">
        <f>"1551764969792223"</f>
        <v>1551764969792223</v>
      </c>
      <c r="C1408" t="s">
        <v>40</v>
      </c>
      <c r="D1408">
        <v>4.0667359999999997</v>
      </c>
      <c r="E1408">
        <v>0.56470159999999903</v>
      </c>
      <c r="F1408" t="s">
        <v>41</v>
      </c>
      <c r="G1408">
        <v>-231.089</v>
      </c>
      <c r="H1408">
        <v>0.94203419999999904</v>
      </c>
      <c r="I1408">
        <v>368.12569999999999</v>
      </c>
      <c r="J1408">
        <v>-231.63380000000001</v>
      </c>
      <c r="K1408">
        <v>1.109758</v>
      </c>
      <c r="L1408">
        <v>368.25259999999997</v>
      </c>
      <c r="M1408">
        <v>0.99989490000000003</v>
      </c>
      <c r="N1408">
        <v>-1.445772E-2</v>
      </c>
      <c r="O1408">
        <v>-1.1707849999999999E-3</v>
      </c>
      <c r="P1408">
        <v>0.99077280000000001</v>
      </c>
      <c r="Q1408">
        <v>-0.13499149999999999</v>
      </c>
      <c r="R1408">
        <v>1.21082E-2</v>
      </c>
      <c r="S1408">
        <v>2.9451900000000002</v>
      </c>
      <c r="T1408">
        <v>-0.64992729999999999</v>
      </c>
      <c r="U1408">
        <v>-0.49179079999999997</v>
      </c>
      <c r="V1408">
        <v>-1.3273220000000001E-2</v>
      </c>
      <c r="W1408">
        <v>-0.1206528</v>
      </c>
      <c r="X1408">
        <v>0.99260599999999999</v>
      </c>
      <c r="Y1408">
        <v>0.15957729999999901</v>
      </c>
      <c r="Z1408">
        <v>-1.8221379999999999E-2</v>
      </c>
      <c r="AA1408">
        <v>0.98701729999999999</v>
      </c>
      <c r="AB1408">
        <v>32</v>
      </c>
      <c r="AC1408">
        <v>0.54479999999997997</v>
      </c>
      <c r="AD1408">
        <v>-0.16772380000000001</v>
      </c>
      <c r="AE1408">
        <v>-0.126899999999977</v>
      </c>
      <c r="AF1408">
        <v>0.11584712221900501</v>
      </c>
      <c r="AG1408">
        <v>-0.16772380000000001</v>
      </c>
      <c r="AH1408">
        <v>0.49999747398709898</v>
      </c>
      <c r="AI1408">
        <v>108.096998375845</v>
      </c>
      <c r="AJ1408">
        <v>76.955010132356406</v>
      </c>
      <c r="AK1408">
        <v>0.53995305611353395</v>
      </c>
      <c r="AL1408">
        <v>96.929779189286805</v>
      </c>
      <c r="AM1408">
        <v>90.766118845118001</v>
      </c>
      <c r="AN1408">
        <v>0.99999997387650297</v>
      </c>
    </row>
    <row r="1409" spans="1:40" x14ac:dyDescent="0.25">
      <c r="A1409" t="str">
        <f>"20190305134929811"</f>
        <v>20190305134929811</v>
      </c>
      <c r="B1409" t="str">
        <f>"1551764969801984"</f>
        <v>1551764969801984</v>
      </c>
      <c r="C1409" t="s">
        <v>40</v>
      </c>
      <c r="D1409">
        <v>4.0470829999999998</v>
      </c>
      <c r="E1409">
        <v>0.56472840000000002</v>
      </c>
      <c r="F1409" t="s">
        <v>41</v>
      </c>
      <c r="G1409">
        <v>-230.80670000000001</v>
      </c>
      <c r="H1409">
        <v>0.92615539999999996</v>
      </c>
      <c r="I1409">
        <v>368.11470000000003</v>
      </c>
      <c r="J1409">
        <v>-231.4633</v>
      </c>
      <c r="K1409">
        <v>1.109761</v>
      </c>
      <c r="L1409">
        <v>368.25240000000002</v>
      </c>
      <c r="M1409">
        <v>0.99989490000000003</v>
      </c>
      <c r="N1409">
        <v>-1.4455880000000001E-2</v>
      </c>
      <c r="O1409">
        <v>-1.1706520000000001E-3</v>
      </c>
      <c r="P1409">
        <v>0.99075599999999997</v>
      </c>
      <c r="Q1409">
        <v>-0.13509379999999999</v>
      </c>
      <c r="R1409">
        <v>1.2356539999999999E-2</v>
      </c>
      <c r="S1409">
        <v>2.944855</v>
      </c>
      <c r="T1409">
        <v>-0.65375760000000005</v>
      </c>
      <c r="U1409">
        <v>-0.490448</v>
      </c>
      <c r="V1409">
        <v>-1.352153E-2</v>
      </c>
      <c r="W1409">
        <v>-0.12075710000000001</v>
      </c>
      <c r="X1409">
        <v>0.99258999999999997</v>
      </c>
      <c r="Y1409">
        <v>0.1591233</v>
      </c>
      <c r="Z1409">
        <v>-1.82691E-2</v>
      </c>
      <c r="AA1409">
        <v>0.98708969999999896</v>
      </c>
      <c r="AB1409">
        <v>32</v>
      </c>
      <c r="AC1409">
        <v>0.65659999999999696</v>
      </c>
      <c r="AD1409">
        <v>-0.18360560000000001</v>
      </c>
      <c r="AE1409">
        <v>-0.13769999999999499</v>
      </c>
      <c r="AF1409">
        <v>0.127389776891698</v>
      </c>
      <c r="AG1409">
        <v>-0.18360560000000001</v>
      </c>
      <c r="AH1409">
        <v>0.61099751203781705</v>
      </c>
      <c r="AI1409">
        <v>106.392590537502</v>
      </c>
      <c r="AJ1409">
        <v>78.222847269950407</v>
      </c>
      <c r="AK1409">
        <v>0.65058214802150804</v>
      </c>
      <c r="AL1409">
        <v>96.935798913082493</v>
      </c>
      <c r="AM1409">
        <v>90.780461907167705</v>
      </c>
      <c r="AN1409">
        <v>1.00000000853697</v>
      </c>
    </row>
    <row r="1410" spans="1:40" x14ac:dyDescent="0.25">
      <c r="A1410" t="str">
        <f>"20190305134929822"</f>
        <v>20190305134929822</v>
      </c>
      <c r="B1410" t="str">
        <f>"1551764969811744"</f>
        <v>1551764969811744</v>
      </c>
      <c r="C1410" t="s">
        <v>40</v>
      </c>
      <c r="D1410">
        <v>4.0866220000000002</v>
      </c>
      <c r="E1410">
        <v>0.564824199999999</v>
      </c>
      <c r="F1410" t="s">
        <v>41</v>
      </c>
      <c r="G1410">
        <v>-230.5273</v>
      </c>
      <c r="H1410">
        <v>0.9018581</v>
      </c>
      <c r="I1410">
        <v>368.09660000000002</v>
      </c>
      <c r="J1410">
        <v>-231.2928</v>
      </c>
      <c r="K1410">
        <v>1.109764</v>
      </c>
      <c r="L1410">
        <v>368.25220000000002</v>
      </c>
      <c r="M1410">
        <v>0.99989499999999998</v>
      </c>
      <c r="N1410">
        <v>-1.445404E-2</v>
      </c>
      <c r="O1410">
        <v>-1.1706380000000001E-3</v>
      </c>
      <c r="P1410">
        <v>0.99074980000000001</v>
      </c>
      <c r="Q1410">
        <v>-0.13510739999999999</v>
      </c>
      <c r="R1410">
        <v>1.269323E-2</v>
      </c>
      <c r="S1410">
        <v>2.9449010000000002</v>
      </c>
      <c r="T1410">
        <v>-0.65412349999999997</v>
      </c>
      <c r="U1410">
        <v>-0.4898071</v>
      </c>
      <c r="V1410">
        <v>-1.385755E-2</v>
      </c>
      <c r="W1410">
        <v>-0.12077259999999999</v>
      </c>
      <c r="X1410">
        <v>0.99258349999999995</v>
      </c>
      <c r="Y1410">
        <v>0.15891279999999999</v>
      </c>
      <c r="Z1410">
        <v>-1.8253829999999999E-2</v>
      </c>
      <c r="AA1410">
        <v>0.9871238</v>
      </c>
      <c r="AB1410">
        <v>32</v>
      </c>
      <c r="AC1410">
        <v>0.76550000000000296</v>
      </c>
      <c r="AD1410">
        <v>-0.2079059</v>
      </c>
      <c r="AE1410">
        <v>-0.15559999999999199</v>
      </c>
      <c r="AF1410">
        <v>0.14446986206867299</v>
      </c>
      <c r="AG1410">
        <v>-0.2079059</v>
      </c>
      <c r="AH1410">
        <v>0.71503098213127902</v>
      </c>
      <c r="AI1410">
        <v>105.90785294390901</v>
      </c>
      <c r="AJ1410">
        <v>78.5773387417034</v>
      </c>
      <c r="AK1410">
        <v>0.75852864791553698</v>
      </c>
      <c r="AL1410">
        <v>96.936693405923805</v>
      </c>
      <c r="AM1410">
        <v>90.799859709579096</v>
      </c>
      <c r="AN1410">
        <v>1.0000000285374999</v>
      </c>
    </row>
    <row r="1411" spans="1:40" x14ac:dyDescent="0.25">
      <c r="A1411" t="str">
        <f>"20190305134929834"</f>
        <v>20190305134929834</v>
      </c>
      <c r="B1411" t="str">
        <f>"1551764969822480"</f>
        <v>1551764969822480</v>
      </c>
      <c r="C1411" t="s">
        <v>40</v>
      </c>
      <c r="D1411">
        <v>4.0536560000000001</v>
      </c>
      <c r="E1411">
        <v>0.56487039999999999</v>
      </c>
      <c r="F1411" t="s">
        <v>41</v>
      </c>
      <c r="G1411">
        <v>-230.51310000000001</v>
      </c>
      <c r="H1411">
        <v>0.93647769999999997</v>
      </c>
      <c r="I1411">
        <v>368.1225</v>
      </c>
      <c r="J1411">
        <v>-231.13669999999999</v>
      </c>
      <c r="K1411">
        <v>1.1097699999999999</v>
      </c>
      <c r="L1411">
        <v>368.25200000000001</v>
      </c>
      <c r="M1411">
        <v>0.99989499999999998</v>
      </c>
      <c r="N1411">
        <v>-1.4452400000000001E-2</v>
      </c>
      <c r="O1411">
        <v>-1.1715880000000001E-3</v>
      </c>
      <c r="P1411">
        <v>0.99072629999999995</v>
      </c>
      <c r="Q1411">
        <v>-0.1352391</v>
      </c>
      <c r="R1411">
        <v>1.311532E-2</v>
      </c>
      <c r="S1411">
        <v>2.9450229999999999</v>
      </c>
      <c r="T1411">
        <v>-0.65454299999999999</v>
      </c>
      <c r="U1411">
        <v>-0.48968509999999998</v>
      </c>
      <c r="V1411">
        <v>-1.4280920000000001E-2</v>
      </c>
      <c r="W1411">
        <v>-0.12090620000000001</v>
      </c>
      <c r="X1411">
        <v>0.99256120000000003</v>
      </c>
      <c r="Y1411">
        <v>0.15886210000000001</v>
      </c>
      <c r="Z1411">
        <v>-1.825767E-2</v>
      </c>
      <c r="AA1411">
        <v>0.98713200000000001</v>
      </c>
      <c r="AB1411">
        <v>32</v>
      </c>
      <c r="AC1411">
        <v>0.62359999999998195</v>
      </c>
      <c r="AD1411">
        <v>-0.17329230000000001</v>
      </c>
      <c r="AE1411">
        <v>-0.12949999999994999</v>
      </c>
      <c r="AF1411">
        <v>0.11989347208694499</v>
      </c>
      <c r="AG1411">
        <v>-0.17329230000000001</v>
      </c>
      <c r="AH1411">
        <v>0.58075759689343298</v>
      </c>
      <c r="AI1411">
        <v>106.289832363369</v>
      </c>
      <c r="AJ1411">
        <v>78.335540496328804</v>
      </c>
      <c r="AK1411">
        <v>0.61780583700527503</v>
      </c>
      <c r="AL1411">
        <v>96.944404864523193</v>
      </c>
      <c r="AM1411">
        <v>90.824311879906404</v>
      </c>
      <c r="AN1411">
        <v>0.99999999480996304</v>
      </c>
    </row>
    <row r="1412" spans="1:40" x14ac:dyDescent="0.25">
      <c r="A1412" t="str">
        <f>"20190305134929845"</f>
        <v>20190305134929845</v>
      </c>
      <c r="B1412" t="str">
        <f>"1551764969832239"</f>
        <v>1551764969832239</v>
      </c>
      <c r="C1412" t="s">
        <v>40</v>
      </c>
      <c r="D1412">
        <v>4.0990140000000004</v>
      </c>
      <c r="E1412">
        <v>0.56494549999999999</v>
      </c>
      <c r="F1412" t="s">
        <v>41</v>
      </c>
      <c r="G1412">
        <v>-230.2355</v>
      </c>
      <c r="H1412">
        <v>0.90945140000000002</v>
      </c>
      <c r="I1412">
        <v>368.10230000000001</v>
      </c>
      <c r="J1412">
        <v>-230.96340000000001</v>
      </c>
      <c r="K1412">
        <v>1.109772</v>
      </c>
      <c r="L1412">
        <v>368.2518</v>
      </c>
      <c r="M1412">
        <v>0.99989499999999998</v>
      </c>
      <c r="N1412">
        <v>-1.4450650000000001E-2</v>
      </c>
      <c r="O1412">
        <v>-1.174579E-3</v>
      </c>
      <c r="P1412">
        <v>0.99075349999999995</v>
      </c>
      <c r="Q1412">
        <v>-0.13501959999999999</v>
      </c>
      <c r="R1412">
        <v>1.3324280000000001E-2</v>
      </c>
      <c r="S1412">
        <v>2.9451749999999999</v>
      </c>
      <c r="T1412">
        <v>-0.65468000000000004</v>
      </c>
      <c r="U1412">
        <v>-0.4888306</v>
      </c>
      <c r="V1412">
        <v>-1.449334E-2</v>
      </c>
      <c r="W1412">
        <v>-0.120688</v>
      </c>
      <c r="X1412">
        <v>0.99258469999999999</v>
      </c>
      <c r="Y1412">
        <v>0.1585781</v>
      </c>
      <c r="Z1412">
        <v>-1.8226840000000001E-2</v>
      </c>
      <c r="AA1412">
        <v>0.98717820000000001</v>
      </c>
      <c r="AB1412">
        <v>32</v>
      </c>
      <c r="AC1412">
        <v>0.72790000000000499</v>
      </c>
      <c r="AD1412">
        <v>-0.20032059999999899</v>
      </c>
      <c r="AE1412">
        <v>-0.149499999999989</v>
      </c>
      <c r="AF1412">
        <v>0.13857442888492599</v>
      </c>
      <c r="AG1412">
        <v>-0.20032059999999899</v>
      </c>
      <c r="AH1412">
        <v>0.67874942067077604</v>
      </c>
      <c r="AI1412">
        <v>106.128119292275</v>
      </c>
      <c r="AJ1412">
        <v>78.460992073079296</v>
      </c>
      <c r="AK1412">
        <v>0.72113243664812199</v>
      </c>
      <c r="AL1412">
        <v>96.931810536286505</v>
      </c>
      <c r="AM1412">
        <v>90.836551484562506</v>
      </c>
      <c r="AN1412">
        <v>1.0000000184612201</v>
      </c>
    </row>
    <row r="1413" spans="1:40" x14ac:dyDescent="0.25">
      <c r="A1413" t="str">
        <f>"20190305134929857"</f>
        <v>20190305134929857</v>
      </c>
      <c r="B1413" t="str">
        <f>"1551764969851759"</f>
        <v>1551764969851759</v>
      </c>
      <c r="C1413" t="s">
        <v>40</v>
      </c>
      <c r="D1413">
        <v>4.054996</v>
      </c>
      <c r="E1413">
        <v>0.56508419999999904</v>
      </c>
      <c r="F1413" t="s">
        <v>41</v>
      </c>
      <c r="G1413">
        <v>-230.22059999999999</v>
      </c>
      <c r="H1413">
        <v>0.94494900000000004</v>
      </c>
      <c r="I1413">
        <v>368.12849999999997</v>
      </c>
      <c r="J1413">
        <v>-230.803</v>
      </c>
      <c r="K1413">
        <v>1.109772</v>
      </c>
      <c r="L1413">
        <v>368.2516</v>
      </c>
      <c r="M1413">
        <v>0.99989490000000003</v>
      </c>
      <c r="N1413">
        <v>-1.444898E-2</v>
      </c>
      <c r="O1413">
        <v>-1.1824940000000001E-3</v>
      </c>
      <c r="P1413">
        <v>0.99075159999999995</v>
      </c>
      <c r="Q1413">
        <v>-0.13501969999999999</v>
      </c>
      <c r="R1413">
        <v>1.3445500000000001E-2</v>
      </c>
      <c r="S1413">
        <v>2.9454959999999999</v>
      </c>
      <c r="T1413">
        <v>-0.6535687</v>
      </c>
      <c r="U1413">
        <v>-0.48849490000000001</v>
      </c>
      <c r="V1413">
        <v>-1.4623499999999999E-2</v>
      </c>
      <c r="W1413">
        <v>-0.1206898</v>
      </c>
      <c r="X1413">
        <v>0.99258259999999998</v>
      </c>
      <c r="Y1413">
        <v>0.158460299999999</v>
      </c>
      <c r="Z1413">
        <v>-1.818146E-2</v>
      </c>
      <c r="AA1413">
        <v>0.98719789999999996</v>
      </c>
      <c r="AB1413">
        <v>32</v>
      </c>
      <c r="AC1413">
        <v>0.58240000000000602</v>
      </c>
      <c r="AD1413">
        <v>-0.164823</v>
      </c>
      <c r="AE1413">
        <v>-0.123100000000022</v>
      </c>
      <c r="AF1413">
        <v>0.113694485234224</v>
      </c>
      <c r="AG1413">
        <v>-0.164823</v>
      </c>
      <c r="AH1413">
        <v>0.54106320790845996</v>
      </c>
      <c r="AI1413">
        <v>106.60023207960801</v>
      </c>
      <c r="AJ1413">
        <v>78.132998644032398</v>
      </c>
      <c r="AK1413">
        <v>0.57692499707836198</v>
      </c>
      <c r="AL1413">
        <v>96.931914234874199</v>
      </c>
      <c r="AM1413">
        <v>90.844064986378996</v>
      </c>
      <c r="AN1413">
        <v>1.00000004619952</v>
      </c>
    </row>
    <row r="1414" spans="1:40" x14ac:dyDescent="0.25">
      <c r="A1414" t="str">
        <f>"20190305134929867"</f>
        <v>20190305134929867</v>
      </c>
      <c r="B1414" t="str">
        <f>"1551764969862497"</f>
        <v>1551764969862497</v>
      </c>
      <c r="C1414" t="s">
        <v>40</v>
      </c>
      <c r="D1414">
        <v>4.0529339999999996</v>
      </c>
      <c r="E1414">
        <v>0.56516129999999998</v>
      </c>
      <c r="F1414" t="s">
        <v>41</v>
      </c>
      <c r="G1414">
        <v>-229.94309999999999</v>
      </c>
      <c r="H1414">
        <v>0.9197109</v>
      </c>
      <c r="I1414">
        <v>368.10860000000002</v>
      </c>
      <c r="J1414">
        <v>-230.65020000000001</v>
      </c>
      <c r="K1414">
        <v>1.1097779999999999</v>
      </c>
      <c r="L1414">
        <v>368.25139999999999</v>
      </c>
      <c r="M1414">
        <v>0.99989499999999998</v>
      </c>
      <c r="N1414">
        <v>-1.4447349999999999E-2</v>
      </c>
      <c r="O1414">
        <v>-1.1934070000000001E-3</v>
      </c>
      <c r="P1414">
        <v>0.99078790000000005</v>
      </c>
      <c r="Q1414">
        <v>-0.13473489999999999</v>
      </c>
      <c r="R1414">
        <v>1.363842E-2</v>
      </c>
      <c r="S1414">
        <v>2.9458920000000002</v>
      </c>
      <c r="T1414">
        <v>-0.65123439999999999</v>
      </c>
      <c r="U1414">
        <v>-0.48898320000000001</v>
      </c>
      <c r="V1414">
        <v>-1.482847E-2</v>
      </c>
      <c r="W1414">
        <v>-0.12040579999999999</v>
      </c>
      <c r="X1414">
        <v>0.992614</v>
      </c>
      <c r="Y1414">
        <v>0.15861210000000001</v>
      </c>
      <c r="Z1414">
        <v>-1.8134879999999999E-2</v>
      </c>
      <c r="AA1414">
        <v>0.98717440000000001</v>
      </c>
      <c r="AB1414">
        <v>32</v>
      </c>
      <c r="AC1414">
        <v>0.70710000000002504</v>
      </c>
      <c r="AD1414">
        <v>-0.19006709999999999</v>
      </c>
      <c r="AE1414">
        <v>-0.14279999999996501</v>
      </c>
      <c r="AF1414">
        <v>0.132740932120848</v>
      </c>
      <c r="AG1414">
        <v>-0.19006709999999999</v>
      </c>
      <c r="AH1414">
        <v>0.66135775693647503</v>
      </c>
      <c r="AI1414">
        <v>105.736233692147</v>
      </c>
      <c r="AJ1414">
        <v>78.650972746957606</v>
      </c>
      <c r="AK1414">
        <v>0.70081362730954899</v>
      </c>
      <c r="AL1414">
        <v>96.915523044024496</v>
      </c>
      <c r="AM1414">
        <v>90.855866987845701</v>
      </c>
      <c r="AN1414">
        <v>0.99999999659608996</v>
      </c>
    </row>
    <row r="1415" spans="1:40" x14ac:dyDescent="0.25">
      <c r="A1415" t="str">
        <f>"20190305134929878"</f>
        <v>20190305134929878</v>
      </c>
      <c r="B1415" t="str">
        <f>"1551764969872255"</f>
        <v>1551764969872255</v>
      </c>
      <c r="C1415" t="s">
        <v>40</v>
      </c>
      <c r="D1415">
        <v>4.0771119999999996</v>
      </c>
      <c r="E1415">
        <v>0.56534709999999999</v>
      </c>
      <c r="F1415" t="s">
        <v>41</v>
      </c>
      <c r="G1415">
        <v>-229.92939999999999</v>
      </c>
      <c r="H1415">
        <v>0.95108990000000004</v>
      </c>
      <c r="I1415">
        <v>368.13150000000002</v>
      </c>
      <c r="J1415">
        <v>-230.4966</v>
      </c>
      <c r="K1415">
        <v>1.1097729999999999</v>
      </c>
      <c r="L1415">
        <v>368.25119999999998</v>
      </c>
      <c r="M1415">
        <v>0.99989499999999998</v>
      </c>
      <c r="N1415">
        <v>-1.4445619999999999E-2</v>
      </c>
      <c r="O1415">
        <v>-1.214398E-3</v>
      </c>
      <c r="P1415">
        <v>0.99086779999999997</v>
      </c>
      <c r="Q1415">
        <v>-0.13411670000000001</v>
      </c>
      <c r="R1415">
        <v>1.3929179999999999E-2</v>
      </c>
      <c r="S1415">
        <v>2.946396</v>
      </c>
      <c r="T1415">
        <v>-0.6487986</v>
      </c>
      <c r="U1415">
        <v>-0.48904419999999998</v>
      </c>
      <c r="V1415">
        <v>-1.514248E-2</v>
      </c>
      <c r="W1415">
        <v>-0.11978800000000001</v>
      </c>
      <c r="X1415">
        <v>0.99268400000000001</v>
      </c>
      <c r="Y1415">
        <v>0.158614</v>
      </c>
      <c r="Z1415">
        <v>-1.8065870000000001E-2</v>
      </c>
      <c r="AA1415">
        <v>0.98717540000000004</v>
      </c>
      <c r="AB1415">
        <v>32</v>
      </c>
      <c r="AC1415">
        <v>0.56720000000001303</v>
      </c>
      <c r="AD1415">
        <v>-0.15868309999999899</v>
      </c>
      <c r="AE1415">
        <v>-0.119699999999966</v>
      </c>
      <c r="AF1415">
        <v>0.11071497738614999</v>
      </c>
      <c r="AG1415">
        <v>-0.15868309999999899</v>
      </c>
      <c r="AH1415">
        <v>0.52779631164945795</v>
      </c>
      <c r="AI1415">
        <v>106.396413389638</v>
      </c>
      <c r="AJ1415">
        <v>78.152931781558607</v>
      </c>
      <c r="AK1415">
        <v>0.56214506938511699</v>
      </c>
      <c r="AL1415">
        <v>96.879867676643698</v>
      </c>
      <c r="AM1415">
        <v>90.873926558382905</v>
      </c>
      <c r="AN1415">
        <v>0.99999999175027499</v>
      </c>
    </row>
    <row r="1416" spans="1:40" x14ac:dyDescent="0.25">
      <c r="A1416" t="str">
        <f>"20190305134929888"</f>
        <v>20190305134929888</v>
      </c>
      <c r="B1416" t="str">
        <f>"1551764969882016"</f>
        <v>1551764969882016</v>
      </c>
      <c r="C1416" t="s">
        <v>40</v>
      </c>
      <c r="D1416">
        <v>4.0596420000000002</v>
      </c>
      <c r="E1416">
        <v>0.56541350000000001</v>
      </c>
      <c r="F1416" t="s">
        <v>41</v>
      </c>
      <c r="G1416">
        <v>-229.65289999999999</v>
      </c>
      <c r="H1416">
        <v>0.92492989999999997</v>
      </c>
      <c r="I1416">
        <v>368.11110000000002</v>
      </c>
      <c r="J1416">
        <v>-230.34039999999999</v>
      </c>
      <c r="K1416">
        <v>1.109764</v>
      </c>
      <c r="L1416">
        <v>368.25099999999998</v>
      </c>
      <c r="M1416">
        <v>0.99989490000000003</v>
      </c>
      <c r="N1416">
        <v>-1.4443839999999999E-2</v>
      </c>
      <c r="O1416">
        <v>-1.2386280000000001E-3</v>
      </c>
      <c r="P1416">
        <v>0.99091289999999999</v>
      </c>
      <c r="Q1416">
        <v>-0.1337679</v>
      </c>
      <c r="R1416">
        <v>1.407309E-2</v>
      </c>
      <c r="S1416">
        <v>2.9471440000000002</v>
      </c>
      <c r="T1416">
        <v>-0.64565059999999996</v>
      </c>
      <c r="U1416">
        <v>-0.48941040000000002</v>
      </c>
      <c r="V1416">
        <v>-1.5313530000000001E-2</v>
      </c>
      <c r="W1416">
        <v>-0.11944</v>
      </c>
      <c r="X1416">
        <v>0.99272329999999998</v>
      </c>
      <c r="Y1416">
        <v>0.1587056</v>
      </c>
      <c r="Z1416">
        <v>-1.798694E-2</v>
      </c>
      <c r="AA1416">
        <v>0.98716210000000004</v>
      </c>
      <c r="AB1416">
        <v>32</v>
      </c>
      <c r="AC1416">
        <v>0.6875</v>
      </c>
      <c r="AD1416">
        <v>-0.184834099999999</v>
      </c>
      <c r="AE1416">
        <v>-0.13989999999995401</v>
      </c>
      <c r="AF1416">
        <v>0.13002380187878501</v>
      </c>
      <c r="AG1416">
        <v>-0.184834099999999</v>
      </c>
      <c r="AH1416">
        <v>0.64304175350250903</v>
      </c>
      <c r="AI1416">
        <v>105.734409458179</v>
      </c>
      <c r="AJ1416">
        <v>78.568851353495702</v>
      </c>
      <c r="AK1416">
        <v>0.68159557680886196</v>
      </c>
      <c r="AL1416">
        <v>96.859784610655396</v>
      </c>
      <c r="AM1416">
        <v>90.883761924926404</v>
      </c>
      <c r="AN1416">
        <v>0.99999998408197499</v>
      </c>
    </row>
    <row r="1417" spans="1:40" x14ac:dyDescent="0.25">
      <c r="A1417" t="str">
        <f>"20190305134929900"</f>
        <v>20190305134929900</v>
      </c>
      <c r="B1417" t="str">
        <f>"1551764969891776"</f>
        <v>1551764969891776</v>
      </c>
      <c r="C1417" t="s">
        <v>40</v>
      </c>
      <c r="D1417">
        <v>4.0557059999999998</v>
      </c>
      <c r="E1417">
        <v>0.56551770000000001</v>
      </c>
      <c r="F1417" t="s">
        <v>41</v>
      </c>
      <c r="G1417">
        <v>-229.6387</v>
      </c>
      <c r="H1417">
        <v>0.95667060000000004</v>
      </c>
      <c r="I1417">
        <v>368.13440000000003</v>
      </c>
      <c r="J1417">
        <v>-230.18199999999999</v>
      </c>
      <c r="K1417">
        <v>1.1097509999999999</v>
      </c>
      <c r="L1417">
        <v>368.25080000000003</v>
      </c>
      <c r="M1417">
        <v>0.99989499999999998</v>
      </c>
      <c r="N1417">
        <v>-1.444203E-2</v>
      </c>
      <c r="O1417">
        <v>-1.280474E-3</v>
      </c>
      <c r="P1417">
        <v>0.99092840000000004</v>
      </c>
      <c r="Q1417">
        <v>-0.13363340000000001</v>
      </c>
      <c r="R1417">
        <v>1.4254940000000001E-2</v>
      </c>
      <c r="S1417">
        <v>2.947632</v>
      </c>
      <c r="T1417">
        <v>-0.64314700000000002</v>
      </c>
      <c r="U1417">
        <v>-0.48989870000000002</v>
      </c>
      <c r="V1417">
        <v>-1.554052E-2</v>
      </c>
      <c r="W1417">
        <v>-0.1193065</v>
      </c>
      <c r="X1417">
        <v>0.9927359</v>
      </c>
      <c r="Y1417">
        <v>0.1588252</v>
      </c>
      <c r="Z1417">
        <v>-1.7925440000000001E-2</v>
      </c>
      <c r="AA1417">
        <v>0.98714400000000002</v>
      </c>
      <c r="AB1417">
        <v>32</v>
      </c>
      <c r="AC1417">
        <v>0.54330000000001599</v>
      </c>
      <c r="AD1417">
        <v>-0.15308039999999901</v>
      </c>
      <c r="AE1417">
        <v>-0.11639999999999801</v>
      </c>
      <c r="AF1417">
        <v>0.107541257510475</v>
      </c>
      <c r="AG1417">
        <v>-0.15308039999999901</v>
      </c>
      <c r="AH1417">
        <v>0.50510848064541602</v>
      </c>
      <c r="AI1417">
        <v>106.51090640539999</v>
      </c>
      <c r="AJ1417">
        <v>77.980776980351706</v>
      </c>
      <c r="AK1417">
        <v>0.53864024000348798</v>
      </c>
      <c r="AL1417">
        <v>96.85208002716</v>
      </c>
      <c r="AM1417">
        <v>90.896848280885195</v>
      </c>
      <c r="AN1417">
        <v>1.0000000579264601</v>
      </c>
    </row>
    <row r="1418" spans="1:40" x14ac:dyDescent="0.25">
      <c r="A1418" t="str">
        <f>"20190305134929912"</f>
        <v>20190305134929912</v>
      </c>
      <c r="B1418" t="str">
        <f>"1551764969901536"</f>
        <v>1551764969901536</v>
      </c>
      <c r="C1418" t="s">
        <v>40</v>
      </c>
      <c r="D1418">
        <v>4.0563940000000001</v>
      </c>
      <c r="E1418">
        <v>0.56561049999999902</v>
      </c>
      <c r="F1418" t="s">
        <v>41</v>
      </c>
      <c r="G1418">
        <v>-229.3622</v>
      </c>
      <c r="H1418">
        <v>0.93154780000000004</v>
      </c>
      <c r="I1418">
        <v>368.11430000000001</v>
      </c>
      <c r="J1418">
        <v>-230.00290000000001</v>
      </c>
      <c r="K1418">
        <v>1.109728</v>
      </c>
      <c r="L1418">
        <v>368.25049999999999</v>
      </c>
      <c r="M1418">
        <v>0.99989499999999998</v>
      </c>
      <c r="N1418">
        <v>-1.443998E-2</v>
      </c>
      <c r="O1418">
        <v>-1.3348979999999999E-3</v>
      </c>
      <c r="P1418">
        <v>0.99093299999999995</v>
      </c>
      <c r="Q1418">
        <v>-0.1335847</v>
      </c>
      <c r="R1418">
        <v>1.440103E-2</v>
      </c>
      <c r="S1418">
        <v>2.9480900000000001</v>
      </c>
      <c r="T1418">
        <v>-0.64098999999999995</v>
      </c>
      <c r="U1418">
        <v>-0.4898071</v>
      </c>
      <c r="V1418">
        <v>-1.5746059999999999E-2</v>
      </c>
      <c r="W1418">
        <v>-0.11925910000000001</v>
      </c>
      <c r="X1418">
        <v>0.99273829999999996</v>
      </c>
      <c r="Y1418">
        <v>0.15874579999999999</v>
      </c>
      <c r="Z1418">
        <v>-1.784794E-2</v>
      </c>
      <c r="AA1418">
        <v>0.98715819999999999</v>
      </c>
      <c r="AB1418">
        <v>32</v>
      </c>
      <c r="AC1418">
        <v>0.64070000000000904</v>
      </c>
      <c r="AD1418">
        <v>-0.17818019999999901</v>
      </c>
      <c r="AE1418">
        <v>-0.13619999999997301</v>
      </c>
      <c r="AF1418">
        <v>0.12601945909922399</v>
      </c>
      <c r="AG1418">
        <v>-0.17818019999999901</v>
      </c>
      <c r="AH1418">
        <v>0.59672537619926402</v>
      </c>
      <c r="AI1418">
        <v>106.285873027344</v>
      </c>
      <c r="AJ1418">
        <v>78.075207660458005</v>
      </c>
      <c r="AK1418">
        <v>0.63538198144411895</v>
      </c>
      <c r="AL1418">
        <v>96.849345064034196</v>
      </c>
      <c r="AM1418">
        <v>90.908705886188102</v>
      </c>
      <c r="AN1418">
        <v>1.0000000018126101</v>
      </c>
    </row>
    <row r="1419" spans="1:40" x14ac:dyDescent="0.25">
      <c r="A1419" t="str">
        <f>"20190305134929923"</f>
        <v>20190305134929923</v>
      </c>
      <c r="B1419" t="str">
        <f>"1551764969912272"</f>
        <v>1551764969912272</v>
      </c>
      <c r="C1419" t="s">
        <v>40</v>
      </c>
      <c r="D1419">
        <v>4.0290239999999997</v>
      </c>
      <c r="E1419">
        <v>0.56569119999999995</v>
      </c>
      <c r="F1419" t="s">
        <v>41</v>
      </c>
      <c r="G1419">
        <v>-229.08340000000001</v>
      </c>
      <c r="H1419">
        <v>0.91038920000000001</v>
      </c>
      <c r="I1419">
        <v>368.09730000000002</v>
      </c>
      <c r="J1419">
        <v>-229.84479999999999</v>
      </c>
      <c r="K1419">
        <v>1.109707</v>
      </c>
      <c r="L1419">
        <v>368.25020000000001</v>
      </c>
      <c r="M1419">
        <v>0.99989490000000003</v>
      </c>
      <c r="N1419">
        <v>-1.443819E-2</v>
      </c>
      <c r="O1419">
        <v>-1.401631E-3</v>
      </c>
      <c r="P1419">
        <v>0.99094130000000002</v>
      </c>
      <c r="Q1419">
        <v>-0.13351729999999901</v>
      </c>
      <c r="R1419">
        <v>1.4448880000000001E-2</v>
      </c>
      <c r="S1419">
        <v>2.94841</v>
      </c>
      <c r="T1419">
        <v>-0.6392658</v>
      </c>
      <c r="U1419">
        <v>-0.490448</v>
      </c>
      <c r="V1419">
        <v>-1.586547E-2</v>
      </c>
      <c r="W1419">
        <v>-0.1191926</v>
      </c>
      <c r="X1419">
        <v>0.99274439999999997</v>
      </c>
      <c r="Y1419">
        <v>0.1588899</v>
      </c>
      <c r="Z1419">
        <v>-1.7805029999999999E-2</v>
      </c>
      <c r="AA1419">
        <v>0.98713580000000001</v>
      </c>
      <c r="AB1419">
        <v>32</v>
      </c>
      <c r="AC1419">
        <v>0.76139999999997998</v>
      </c>
      <c r="AD1419">
        <v>-0.19931779999999999</v>
      </c>
      <c r="AE1419">
        <v>-0.15289999999998799</v>
      </c>
      <c r="AF1419">
        <v>0.142449209659718</v>
      </c>
      <c r="AG1419">
        <v>-0.19931779999999999</v>
      </c>
      <c r="AH1419">
        <v>0.71454548105992899</v>
      </c>
      <c r="AI1419">
        <v>105.299538637845</v>
      </c>
      <c r="AJ1419">
        <v>78.725529575117704</v>
      </c>
      <c r="AK1419">
        <v>0.75537712914324096</v>
      </c>
      <c r="AL1419">
        <v>96.8455074219153</v>
      </c>
      <c r="AM1419">
        <v>90.915590249379093</v>
      </c>
      <c r="AN1419">
        <v>1.00000001638222</v>
      </c>
    </row>
    <row r="1420" spans="1:40" x14ac:dyDescent="0.25">
      <c r="A1420" t="str">
        <f>"20190305134929941"</f>
        <v>20190305134929941</v>
      </c>
      <c r="B1420" t="str">
        <f>"1551764969931792"</f>
        <v>1551764969931792</v>
      </c>
      <c r="C1420" t="s">
        <v>40</v>
      </c>
      <c r="D1420">
        <v>4.0515169999999996</v>
      </c>
      <c r="E1420">
        <v>0.56596179999999996</v>
      </c>
      <c r="F1420" t="s">
        <v>41</v>
      </c>
      <c r="G1420">
        <v>-229.07</v>
      </c>
      <c r="H1420">
        <v>0.94223749999999995</v>
      </c>
      <c r="I1420">
        <v>368.12110000000001</v>
      </c>
      <c r="J1420">
        <v>-229.57759999999999</v>
      </c>
      <c r="K1420">
        <v>1.109672</v>
      </c>
      <c r="L1420">
        <v>368.24970000000002</v>
      </c>
      <c r="M1420">
        <v>0.99989459999999997</v>
      </c>
      <c r="N1420">
        <v>-1.443522E-2</v>
      </c>
      <c r="O1420">
        <v>-1.5409919999999999E-3</v>
      </c>
      <c r="P1420">
        <v>0.99099320000000002</v>
      </c>
      <c r="Q1420">
        <v>-0.13314139999999999</v>
      </c>
      <c r="R1420">
        <v>1.4352760000000001E-2</v>
      </c>
      <c r="S1420">
        <v>2.9486690000000002</v>
      </c>
      <c r="T1420">
        <v>-0.63748400000000005</v>
      </c>
      <c r="U1420">
        <v>-0.49057010000000001</v>
      </c>
      <c r="V1420">
        <v>-1.5917319999999999E-2</v>
      </c>
      <c r="W1420">
        <v>-0.1188176</v>
      </c>
      <c r="X1420">
        <v>0.99278849999999996</v>
      </c>
      <c r="Y1420">
        <v>0.1588039</v>
      </c>
      <c r="Z1420">
        <v>-1.77206E-2</v>
      </c>
      <c r="AA1420">
        <v>0.98715109999999995</v>
      </c>
      <c r="AB1420">
        <v>32</v>
      </c>
      <c r="AC1420">
        <v>0.50759999999999605</v>
      </c>
      <c r="AD1420">
        <v>-0.16743449999999999</v>
      </c>
      <c r="AE1420">
        <v>-0.12860000000000499</v>
      </c>
      <c r="AF1420">
        <v>0.115961432408188</v>
      </c>
      <c r="AG1420">
        <v>-0.16743449999999999</v>
      </c>
      <c r="AH1420">
        <v>0.46069520232056999</v>
      </c>
      <c r="AI1420">
        <v>109.414759608502</v>
      </c>
      <c r="AJ1420">
        <v>75.871599555662797</v>
      </c>
      <c r="AK1420">
        <v>0.50370768808665201</v>
      </c>
      <c r="AL1420">
        <v>96.823867875861296</v>
      </c>
      <c r="AM1420">
        <v>90.918541184583006</v>
      </c>
      <c r="AN1420">
        <v>0.99999999443899601</v>
      </c>
    </row>
    <row r="1421" spans="1:40" x14ac:dyDescent="0.25">
      <c r="A1421" t="str">
        <f>"20190305134929955"</f>
        <v>20190305134929955</v>
      </c>
      <c r="B1421" t="str">
        <f>"1551764969941552"</f>
        <v>1551764969941552</v>
      </c>
      <c r="C1421" t="s">
        <v>40</v>
      </c>
      <c r="D1421">
        <v>4.0388039999999998</v>
      </c>
      <c r="E1421">
        <v>0.56589739999999999</v>
      </c>
      <c r="F1421" t="s">
        <v>41</v>
      </c>
      <c r="G1421">
        <v>-228.78399999999999</v>
      </c>
      <c r="H1421">
        <v>0.93975469999999905</v>
      </c>
      <c r="I1421">
        <v>368.11669999999998</v>
      </c>
      <c r="J1421">
        <v>-229.3982</v>
      </c>
      <c r="K1421">
        <v>1.1096520000000001</v>
      </c>
      <c r="L1421">
        <v>368.24930000000001</v>
      </c>
      <c r="M1421">
        <v>0.99989459999999997</v>
      </c>
      <c r="N1421">
        <v>-1.443326E-2</v>
      </c>
      <c r="O1421">
        <v>-1.655143E-3</v>
      </c>
      <c r="P1421">
        <v>0.99102690000000004</v>
      </c>
      <c r="Q1421">
        <v>-0.1329215</v>
      </c>
      <c r="R1421">
        <v>1.406017E-2</v>
      </c>
      <c r="S1421">
        <v>2.94957</v>
      </c>
      <c r="T1421">
        <v>-0.63165309999999997</v>
      </c>
      <c r="U1421">
        <v>-0.49310300000000001</v>
      </c>
      <c r="V1421">
        <v>-1.574542E-2</v>
      </c>
      <c r="W1421">
        <v>-0.11859840000000001</v>
      </c>
      <c r="X1421">
        <v>0.99281750000000002</v>
      </c>
      <c r="Y1421">
        <v>0.15952140000000001</v>
      </c>
      <c r="Z1421">
        <v>-1.7624770000000001E-2</v>
      </c>
      <c r="AA1421">
        <v>0.9870371</v>
      </c>
      <c r="AB1421">
        <v>32</v>
      </c>
      <c r="AC1421">
        <v>0.61419999999998198</v>
      </c>
      <c r="AD1421">
        <v>-0.1698973</v>
      </c>
      <c r="AE1421">
        <v>-0.132600000000024</v>
      </c>
      <c r="AF1421">
        <v>0.12261863650857401</v>
      </c>
      <c r="AG1421">
        <v>-0.1698973</v>
      </c>
      <c r="AH1421">
        <v>0.57255957585236295</v>
      </c>
      <c r="AI1421">
        <v>106.180284767269</v>
      </c>
      <c r="AJ1421">
        <v>77.912198879860497</v>
      </c>
      <c r="AK1421">
        <v>0.60969245564198205</v>
      </c>
      <c r="AL1421">
        <v>96.811218868878996</v>
      </c>
      <c r="AM1421">
        <v>90.908596482881507</v>
      </c>
      <c r="AN1421">
        <v>1.0000000435198899</v>
      </c>
    </row>
    <row r="1422" spans="1:40" x14ac:dyDescent="0.25">
      <c r="A1422" t="str">
        <f>"20190305134929967"</f>
        <v>20190305134929967</v>
      </c>
      <c r="B1422" t="str">
        <f>"1551764969962047"</f>
        <v>1551764969962047</v>
      </c>
      <c r="C1422" t="s">
        <v>40</v>
      </c>
      <c r="D1422">
        <v>4.0387130000000004</v>
      </c>
      <c r="E1422">
        <v>0.56605620000000001</v>
      </c>
      <c r="F1422" t="s">
        <v>41</v>
      </c>
      <c r="G1422">
        <v>-228.506</v>
      </c>
      <c r="H1422">
        <v>0.91900040000000005</v>
      </c>
      <c r="I1422">
        <v>368.1</v>
      </c>
      <c r="J1422">
        <v>-229.21420000000001</v>
      </c>
      <c r="K1422">
        <v>1.1096239999999999</v>
      </c>
      <c r="L1422">
        <v>368.24889999999999</v>
      </c>
      <c r="M1422">
        <v>0.99989430000000001</v>
      </c>
      <c r="N1422">
        <v>-1.4431279999999999E-2</v>
      </c>
      <c r="O1422">
        <v>-1.791375E-3</v>
      </c>
      <c r="P1422">
        <v>0.99100029999999995</v>
      </c>
      <c r="Q1422">
        <v>-0.1331225</v>
      </c>
      <c r="R1422">
        <v>1.403243E-2</v>
      </c>
      <c r="S1422">
        <v>2.9496150000000001</v>
      </c>
      <c r="T1422">
        <v>-0.63026700000000002</v>
      </c>
      <c r="U1422">
        <v>-0.49328610000000001</v>
      </c>
      <c r="V1422">
        <v>-1.5860539999999999E-2</v>
      </c>
      <c r="W1422">
        <v>-0.1188007</v>
      </c>
      <c r="X1422">
        <v>0.99279139999999999</v>
      </c>
      <c r="Y1422">
        <v>0.15946389999999999</v>
      </c>
      <c r="Z1422">
        <v>-1.7555850000000001E-2</v>
      </c>
      <c r="AA1422">
        <v>0.98704769999999997</v>
      </c>
      <c r="AB1422">
        <v>32</v>
      </c>
      <c r="AC1422">
        <v>0.70820000000003303</v>
      </c>
      <c r="AD1422">
        <v>-0.190623599999999</v>
      </c>
      <c r="AE1422">
        <v>-0.148899999999969</v>
      </c>
      <c r="AF1422">
        <v>0.138052432625236</v>
      </c>
      <c r="AG1422">
        <v>-0.190623599999999</v>
      </c>
      <c r="AH1422">
        <v>0.66249919288450698</v>
      </c>
      <c r="AI1422">
        <v>105.731643742876</v>
      </c>
      <c r="AJ1422">
        <v>78.229077992167703</v>
      </c>
      <c r="AK1422">
        <v>0.70306543906191898</v>
      </c>
      <c r="AL1422">
        <v>96.822892882126695</v>
      </c>
      <c r="AM1422">
        <v>90.915262464999401</v>
      </c>
      <c r="AN1422">
        <v>0.99999996348177</v>
      </c>
    </row>
    <row r="1423" spans="1:40" x14ac:dyDescent="0.25">
      <c r="A1423" t="str">
        <f>"20190305134929981"</f>
        <v>20190305134929981</v>
      </c>
      <c r="B1423" t="str">
        <f>"1551764969971807"</f>
        <v>1551764969971807</v>
      </c>
      <c r="C1423" t="s">
        <v>40</v>
      </c>
      <c r="D1423">
        <v>4.0068970000000004</v>
      </c>
      <c r="E1423">
        <v>0.56609569999999998</v>
      </c>
      <c r="F1423" t="s">
        <v>41</v>
      </c>
      <c r="G1423">
        <v>-228.49019999999999</v>
      </c>
      <c r="H1423">
        <v>0.95513159999999997</v>
      </c>
      <c r="I1423">
        <v>368.12740000000002</v>
      </c>
      <c r="J1423">
        <v>-229.0179</v>
      </c>
      <c r="K1423">
        <v>1.1095969999999999</v>
      </c>
      <c r="L1423">
        <v>368.2484</v>
      </c>
      <c r="M1423">
        <v>0.99989410000000001</v>
      </c>
      <c r="N1423">
        <v>-1.442917E-2</v>
      </c>
      <c r="O1423">
        <v>-1.9645940000000001E-3</v>
      </c>
      <c r="P1423">
        <v>0.99100699999999997</v>
      </c>
      <c r="Q1423">
        <v>-0.1330799</v>
      </c>
      <c r="R1423">
        <v>1.3972719999999999E-2</v>
      </c>
      <c r="S1423">
        <v>2.9497070000000001</v>
      </c>
      <c r="T1423">
        <v>-0.62948019999999905</v>
      </c>
      <c r="U1423">
        <v>-0.49481199999999997</v>
      </c>
      <c r="V1423">
        <v>-1.5980390000000001E-2</v>
      </c>
      <c r="W1423">
        <v>-0.1187589</v>
      </c>
      <c r="X1423">
        <v>0.99279450000000002</v>
      </c>
      <c r="Y1423">
        <v>0.15978979999999901</v>
      </c>
      <c r="Z1423">
        <v>-1.7537259999999999E-2</v>
      </c>
      <c r="AA1423">
        <v>0.98699530000000002</v>
      </c>
      <c r="AB1423">
        <v>32</v>
      </c>
      <c r="AC1423">
        <v>0.52770000000000905</v>
      </c>
      <c r="AD1423">
        <v>-0.1544654</v>
      </c>
      <c r="AE1423">
        <v>-0.12099999999998</v>
      </c>
      <c r="AF1423">
        <v>0.110932805740903</v>
      </c>
      <c r="AG1423">
        <v>-0.1544654</v>
      </c>
      <c r="AH1423">
        <v>0.48819661021551097</v>
      </c>
      <c r="AI1423">
        <v>107.14681937616101</v>
      </c>
      <c r="AJ1423">
        <v>77.198074084107802</v>
      </c>
      <c r="AK1423">
        <v>0.52392898126809595</v>
      </c>
      <c r="AL1423">
        <v>96.820480700650606</v>
      </c>
      <c r="AM1423">
        <v>90.922174567091801</v>
      </c>
      <c r="AN1423">
        <v>0.99999998421200598</v>
      </c>
    </row>
    <row r="1424" spans="1:40" x14ac:dyDescent="0.25">
      <c r="A1424" t="str">
        <f>"20190305134929995"</f>
        <v>20190305134929995</v>
      </c>
      <c r="B1424" t="str">
        <f>"1551764969992304"</f>
        <v>1551764969992304</v>
      </c>
      <c r="C1424" t="s">
        <v>40</v>
      </c>
      <c r="D1424">
        <v>4.019069</v>
      </c>
      <c r="E1424">
        <v>0.55659150000000002</v>
      </c>
      <c r="F1424" t="s">
        <v>41</v>
      </c>
      <c r="G1424">
        <v>-228.2116</v>
      </c>
      <c r="H1424">
        <v>0.93777790000000005</v>
      </c>
      <c r="I1424">
        <v>368.11309999999997</v>
      </c>
      <c r="J1424">
        <v>-228.82</v>
      </c>
      <c r="K1424">
        <v>1.109569</v>
      </c>
      <c r="L1424">
        <v>368.24779999999998</v>
      </c>
      <c r="M1424">
        <v>0.9998937</v>
      </c>
      <c r="N1424">
        <v>-1.442703E-2</v>
      </c>
      <c r="O1424">
        <v>-2.1574860000000001E-3</v>
      </c>
      <c r="P1424">
        <v>0.99103339999999995</v>
      </c>
      <c r="Q1424">
        <v>-0.132905299999999</v>
      </c>
      <c r="R1424">
        <v>1.376258E-2</v>
      </c>
      <c r="S1424">
        <v>2.9497680000000002</v>
      </c>
      <c r="T1424">
        <v>-0.62865669999999996</v>
      </c>
      <c r="U1424">
        <v>-0.494751</v>
      </c>
      <c r="V1424">
        <v>-1.5969839999999999E-2</v>
      </c>
      <c r="W1424">
        <v>-0.118585</v>
      </c>
      <c r="X1424">
        <v>0.99281549999999996</v>
      </c>
      <c r="Y1424">
        <v>0.15959400000000001</v>
      </c>
      <c r="Z1424">
        <v>-1.7456260000000001E-2</v>
      </c>
      <c r="AA1424">
        <v>0.98702840000000003</v>
      </c>
      <c r="AB1424">
        <v>32</v>
      </c>
      <c r="AC1424">
        <v>0.60839999999998895</v>
      </c>
      <c r="AD1424">
        <v>-0.171791099999999</v>
      </c>
      <c r="AE1424">
        <v>-0.13470000000000901</v>
      </c>
      <c r="AF1424">
        <v>0.123965022707238</v>
      </c>
      <c r="AG1424">
        <v>-0.171791099999999</v>
      </c>
      <c r="AH1424">
        <v>0.56569388615501603</v>
      </c>
      <c r="AI1424">
        <v>106.52262050779299</v>
      </c>
      <c r="AJ1424">
        <v>77.639699274286002</v>
      </c>
      <c r="AK1424">
        <v>0.60406049508901005</v>
      </c>
      <c r="AL1424">
        <v>96.810445758366598</v>
      </c>
      <c r="AM1424">
        <v>90.921546377531996</v>
      </c>
      <c r="AN1424">
        <v>1.0000000275274299</v>
      </c>
    </row>
    <row r="1425" spans="1:40" x14ac:dyDescent="0.25">
      <c r="A1425" t="str">
        <f>"20190305134930007"</f>
        <v>20190305134930007</v>
      </c>
      <c r="B1425" t="str">
        <f>"1551764970002064"</f>
        <v>1551764970002064</v>
      </c>
      <c r="C1425" t="s">
        <v>40</v>
      </c>
      <c r="D1425">
        <v>4.035355</v>
      </c>
      <c r="E1425">
        <v>0.55851070000000003</v>
      </c>
      <c r="F1425" t="s">
        <v>41</v>
      </c>
      <c r="G1425">
        <v>-227.90620000000001</v>
      </c>
      <c r="H1425">
        <v>0.97852870000000003</v>
      </c>
      <c r="I1425">
        <v>368.12119999999999</v>
      </c>
      <c r="J1425">
        <v>-228.6317</v>
      </c>
      <c r="K1425">
        <v>1.1095489999999999</v>
      </c>
      <c r="L1425">
        <v>368.24720000000002</v>
      </c>
      <c r="M1425">
        <v>0.99989329999999998</v>
      </c>
      <c r="N1425">
        <v>-1.4425E-2</v>
      </c>
      <c r="O1425">
        <v>-2.3613200000000001E-3</v>
      </c>
      <c r="P1425">
        <v>0.99106139999999998</v>
      </c>
      <c r="Q1425">
        <v>-0.13271939999999999</v>
      </c>
      <c r="R1425">
        <v>1.353098E-2</v>
      </c>
      <c r="S1425">
        <v>2.9756010000000002</v>
      </c>
      <c r="T1425">
        <v>-0.42684630000000001</v>
      </c>
      <c r="U1425">
        <v>-0.41159059999999997</v>
      </c>
      <c r="V1425">
        <v>-1.5947949999999999E-2</v>
      </c>
      <c r="W1425">
        <v>-0.1183998</v>
      </c>
      <c r="X1425">
        <v>0.99283790000000005</v>
      </c>
      <c r="Y1425">
        <v>0.1332207</v>
      </c>
      <c r="Z1425">
        <v>-1.013123E-2</v>
      </c>
      <c r="AA1425">
        <v>0.99103459999999999</v>
      </c>
      <c r="AB1425">
        <v>32</v>
      </c>
      <c r="AC1425">
        <v>0.72549999999998205</v>
      </c>
      <c r="AD1425">
        <v>-0.13102029999999901</v>
      </c>
      <c r="AE1425">
        <v>-0.126000000000033</v>
      </c>
      <c r="AF1425">
        <v>0.120472305099931</v>
      </c>
      <c r="AG1425">
        <v>-0.13102029999999901</v>
      </c>
      <c r="AH1425">
        <v>0.70352273621009398</v>
      </c>
      <c r="AI1425">
        <v>100.401572571977</v>
      </c>
      <c r="AJ1425">
        <v>80.282832876060397</v>
      </c>
      <c r="AK1425">
        <v>0.72568873194553496</v>
      </c>
      <c r="AL1425">
        <v>96.799759668188202</v>
      </c>
      <c r="AM1425">
        <v>90.920262663723094</v>
      </c>
      <c r="AN1425">
        <v>0.99999997271282604</v>
      </c>
    </row>
    <row r="1426" spans="1:40" x14ac:dyDescent="0.25">
      <c r="A1426" t="str">
        <f>"20190305134930021"</f>
        <v>20190305134930021</v>
      </c>
      <c r="B1426" t="str">
        <f>"1551764970011823"</f>
        <v>1551764970011823</v>
      </c>
      <c r="C1426" t="s">
        <v>40</v>
      </c>
      <c r="D1426">
        <v>4.0726589999999998</v>
      </c>
      <c r="E1426">
        <v>0.56065390000000004</v>
      </c>
      <c r="F1426" t="s">
        <v>41</v>
      </c>
      <c r="G1426">
        <v>-227.88409999999999</v>
      </c>
      <c r="H1426">
        <v>1.0241400000000001</v>
      </c>
      <c r="I1426">
        <v>368.14089999999999</v>
      </c>
      <c r="J1426">
        <v>-228.43799999999999</v>
      </c>
      <c r="K1426">
        <v>1.109529</v>
      </c>
      <c r="L1426">
        <v>368.24650000000003</v>
      </c>
      <c r="M1426">
        <v>0.99989249999999996</v>
      </c>
      <c r="N1426">
        <v>-1.442302E-2</v>
      </c>
      <c r="O1426">
        <v>-2.594945E-3</v>
      </c>
      <c r="P1426">
        <v>0.99123280000000002</v>
      </c>
      <c r="Q1426">
        <v>-0.13150689999999901</v>
      </c>
      <c r="R1426">
        <v>1.2790309999999999E-2</v>
      </c>
      <c r="S1426">
        <v>2.9871219999999998</v>
      </c>
      <c r="T1426">
        <v>-0.34155229999999998</v>
      </c>
      <c r="U1426">
        <v>-0.4239502</v>
      </c>
      <c r="V1426">
        <v>-1.5445520000000001E-2</v>
      </c>
      <c r="W1426">
        <v>-0.11718629999999999</v>
      </c>
      <c r="X1426">
        <v>0.99298980000000003</v>
      </c>
      <c r="Y1426">
        <v>0.13697279999999901</v>
      </c>
      <c r="Z1426">
        <v>-8.5060499999999994E-3</v>
      </c>
      <c r="AA1426">
        <v>0.99053829999999998</v>
      </c>
      <c r="AB1426">
        <v>32</v>
      </c>
      <c r="AC1426">
        <v>0.55389999999999795</v>
      </c>
      <c r="AD1426">
        <v>-8.5388999999999896E-2</v>
      </c>
      <c r="AE1426">
        <v>-0.105600000000038</v>
      </c>
      <c r="AF1426">
        <v>0.101827087510515</v>
      </c>
      <c r="AG1426">
        <v>-8.5388999999999896E-2</v>
      </c>
      <c r="AH1426">
        <v>0.54174897028430302</v>
      </c>
      <c r="AI1426">
        <v>98.805401998419896</v>
      </c>
      <c r="AJ1426">
        <v>79.354890899348206</v>
      </c>
      <c r="AK1426">
        <v>0.55780998904284396</v>
      </c>
      <c r="AL1426">
        <v>96.729743826564899</v>
      </c>
      <c r="AM1426">
        <v>90.891138809416006</v>
      </c>
      <c r="AN1426">
        <v>0.99999996794989898</v>
      </c>
    </row>
    <row r="1427" spans="1:40" x14ac:dyDescent="0.25">
      <c r="A1427" t="str">
        <f>"20190305134930033"</f>
        <v>20190305134930033</v>
      </c>
      <c r="B1427" t="str">
        <f>"1551764970021585"</f>
        <v>1551764970021585</v>
      </c>
      <c r="C1427" t="s">
        <v>40</v>
      </c>
      <c r="D1427">
        <v>4.0083219999999997</v>
      </c>
      <c r="E1427">
        <v>0.56281840000000005</v>
      </c>
      <c r="F1427" t="s">
        <v>41</v>
      </c>
      <c r="G1427">
        <v>-227.59270000000001</v>
      </c>
      <c r="H1427">
        <v>1.03505</v>
      </c>
      <c r="I1427">
        <v>368.12200000000001</v>
      </c>
      <c r="J1427">
        <v>-228.27019999999999</v>
      </c>
      <c r="K1427">
        <v>1.1095139999999999</v>
      </c>
      <c r="L1427">
        <v>368.24590000000001</v>
      </c>
      <c r="M1427">
        <v>0.99989220000000001</v>
      </c>
      <c r="N1427">
        <v>-1.442131E-2</v>
      </c>
      <c r="O1427">
        <v>-2.8063179999999999E-3</v>
      </c>
      <c r="P1427">
        <v>0.9912938</v>
      </c>
      <c r="Q1427">
        <v>-0.1310839</v>
      </c>
      <c r="R1427">
        <v>1.2395400000000001E-2</v>
      </c>
      <c r="S1427">
        <v>2.9971619999999999</v>
      </c>
      <c r="T1427">
        <v>-0.26438460000000003</v>
      </c>
      <c r="U1427">
        <v>-0.44046020000000002</v>
      </c>
      <c r="V1427">
        <v>-1.5265880000000001E-2</v>
      </c>
      <c r="W1427">
        <v>-0.11676350000000001</v>
      </c>
      <c r="X1427">
        <v>0.99304239999999999</v>
      </c>
      <c r="Y1427">
        <v>0.1419977</v>
      </c>
      <c r="Z1427">
        <v>-7.0437290000000003E-3</v>
      </c>
      <c r="AA1427">
        <v>0.98984190000000005</v>
      </c>
      <c r="AB1427">
        <v>32</v>
      </c>
      <c r="AC1427">
        <v>0.67749999999998001</v>
      </c>
      <c r="AD1427">
        <v>-7.4463999999999794E-2</v>
      </c>
      <c r="AE1427">
        <v>-0.123900000000048</v>
      </c>
      <c r="AF1427">
        <v>0.120588444496983</v>
      </c>
      <c r="AG1427">
        <v>-7.4463999999999794E-2</v>
      </c>
      <c r="AH1427">
        <v>0.67001311361670002</v>
      </c>
      <c r="AI1427">
        <v>96.242236145518902</v>
      </c>
      <c r="AJ1427">
        <v>79.797178950660594</v>
      </c>
      <c r="AK1427">
        <v>0.68483869097806305</v>
      </c>
      <c r="AL1427">
        <v>96.705351599426194</v>
      </c>
      <c r="AM1427">
        <v>90.8807293650312</v>
      </c>
      <c r="AN1427">
        <v>0.999999985111092</v>
      </c>
    </row>
    <row r="1428" spans="1:40" x14ac:dyDescent="0.25">
      <c r="A1428" t="str">
        <f>"20190305134930044"</f>
        <v>20190305134930044</v>
      </c>
      <c r="B1428" t="str">
        <f>"1551764970032320"</f>
        <v>1551764970032320</v>
      </c>
      <c r="C1428" t="s">
        <v>40</v>
      </c>
      <c r="D1428">
        <v>4.0282530000000003</v>
      </c>
      <c r="E1428">
        <v>0.56427399999999905</v>
      </c>
      <c r="F1428" t="s">
        <v>42</v>
      </c>
      <c r="G1428">
        <v>-212.4333</v>
      </c>
      <c r="H1428" s="1">
        <v>-3.8987749999999998E-6</v>
      </c>
      <c r="I1428">
        <v>365.8372</v>
      </c>
      <c r="J1428">
        <v>-228.11330000000001</v>
      </c>
      <c r="K1428">
        <v>1.109499</v>
      </c>
      <c r="L1428">
        <v>368.24529999999999</v>
      </c>
      <c r="M1428">
        <v>0.99989150000000004</v>
      </c>
      <c r="N1428">
        <v>-1.4419710000000001E-2</v>
      </c>
      <c r="O1428">
        <v>-3.0160849999999999E-3</v>
      </c>
      <c r="P1428">
        <v>0.99136880000000005</v>
      </c>
      <c r="Q1428">
        <v>-0.13055120000000001</v>
      </c>
      <c r="R1428">
        <v>1.2010969999999999E-2</v>
      </c>
      <c r="S1428">
        <v>3.0042420000000001</v>
      </c>
      <c r="T1428">
        <v>-0.21047440000000001</v>
      </c>
      <c r="U1428">
        <v>-0.4569397</v>
      </c>
      <c r="V1428">
        <v>-1.5094460000000001E-2</v>
      </c>
      <c r="W1428">
        <v>-0.1162309</v>
      </c>
      <c r="X1428">
        <v>0.99310750000000003</v>
      </c>
      <c r="Y1428">
        <v>0.1469646</v>
      </c>
      <c r="Z1428">
        <v>-6.0131250000000002E-3</v>
      </c>
      <c r="AA1428">
        <v>0.98912350000000004</v>
      </c>
      <c r="AB1428">
        <v>32</v>
      </c>
      <c r="AC1428">
        <v>15.68</v>
      </c>
      <c r="AD1428">
        <v>-1.109502898775</v>
      </c>
      <c r="AE1428">
        <v>-2.4080999999999899</v>
      </c>
      <c r="AF1428">
        <v>2.3493003573572899</v>
      </c>
      <c r="AG1428">
        <v>-1.109502898775</v>
      </c>
      <c r="AH1428">
        <v>15.6108323662971</v>
      </c>
      <c r="AI1428">
        <v>94.020207301900697</v>
      </c>
      <c r="AJ1428">
        <v>81.441685207895105</v>
      </c>
      <c r="AK1428">
        <v>15.825558316220601</v>
      </c>
      <c r="AL1428">
        <v>96.674626656999607</v>
      </c>
      <c r="AM1428">
        <v>90.870784142900703</v>
      </c>
      <c r="AN1428">
        <v>0.99999998569687498</v>
      </c>
    </row>
    <row r="1429" spans="1:40" x14ac:dyDescent="0.25">
      <c r="A1429" t="str">
        <f>"20190305134930055"</f>
        <v>20190305134930055</v>
      </c>
      <c r="B1429" t="str">
        <f>"1551764970051840"</f>
        <v>1551764970051840</v>
      </c>
      <c r="C1429" t="s">
        <v>40</v>
      </c>
      <c r="D1429">
        <v>4.0169300000000003</v>
      </c>
      <c r="E1429">
        <v>0.56587730000000003</v>
      </c>
      <c r="F1429" t="s">
        <v>44</v>
      </c>
      <c r="G1429">
        <v>-209.15309999999999</v>
      </c>
      <c r="H1429" s="1">
        <v>-5.6766180000000001E-6</v>
      </c>
      <c r="I1429">
        <v>365.29450000000003</v>
      </c>
      <c r="J1429">
        <v>-227.95160000000001</v>
      </c>
      <c r="K1429">
        <v>1.1094839999999999</v>
      </c>
      <c r="L1429">
        <v>368.24459999999999</v>
      </c>
      <c r="M1429">
        <v>0.99989090000000003</v>
      </c>
      <c r="N1429">
        <v>-1.441804E-2</v>
      </c>
      <c r="O1429">
        <v>-3.2392940000000002E-3</v>
      </c>
      <c r="P1429">
        <v>0.99145419999999995</v>
      </c>
      <c r="Q1429">
        <v>-0.12995950000000001</v>
      </c>
      <c r="R1429">
        <v>1.135413E-2</v>
      </c>
      <c r="S1429">
        <v>3.0086210000000002</v>
      </c>
      <c r="T1429">
        <v>-0.17605789999999999</v>
      </c>
      <c r="U1429">
        <v>-0.46823120000000001</v>
      </c>
      <c r="V1429">
        <v>-1.4663610000000001E-2</v>
      </c>
      <c r="W1429">
        <v>-0.1156394</v>
      </c>
      <c r="X1429">
        <v>0.99318300000000004</v>
      </c>
      <c r="Y1429">
        <v>0.1502657</v>
      </c>
      <c r="Z1429">
        <v>-5.3157259999999998E-3</v>
      </c>
      <c r="AA1429">
        <v>0.98863140000000005</v>
      </c>
      <c r="AB1429">
        <v>32</v>
      </c>
      <c r="AC1429">
        <v>18.798500000000001</v>
      </c>
      <c r="AD1429">
        <v>-1.109489676618</v>
      </c>
      <c r="AE1429">
        <v>-2.95009999999996</v>
      </c>
      <c r="AF1429">
        <v>2.8793953949438098</v>
      </c>
      <c r="AG1429">
        <v>-1.109489676618</v>
      </c>
      <c r="AH1429">
        <v>18.744234783918699</v>
      </c>
      <c r="AI1429">
        <v>93.348257055370496</v>
      </c>
      <c r="AJ1429">
        <v>81.266776794600602</v>
      </c>
      <c r="AK1429">
        <v>18.996531862885199</v>
      </c>
      <c r="AL1429">
        <v>96.640506145685606</v>
      </c>
      <c r="AM1429">
        <v>90.845868209826506</v>
      </c>
      <c r="AN1429">
        <v>0.999999981889795</v>
      </c>
    </row>
    <row r="1430" spans="1:40" x14ac:dyDescent="0.25">
      <c r="A1430" t="str">
        <f>"20190305134930066"</f>
        <v>20190305134930066</v>
      </c>
      <c r="B1430" t="str">
        <f>"1551764970061600"</f>
        <v>1551764970061600</v>
      </c>
      <c r="C1430" t="s">
        <v>40</v>
      </c>
      <c r="D1430">
        <v>4.0610619999999997</v>
      </c>
      <c r="E1430">
        <v>0.56605079999999997</v>
      </c>
      <c r="F1430" t="s">
        <v>44</v>
      </c>
      <c r="G1430">
        <v>-204.1474</v>
      </c>
      <c r="H1430" s="1">
        <v>-3.6744619999999999E-6</v>
      </c>
      <c r="I1430">
        <v>364.43610000000001</v>
      </c>
      <c r="J1430">
        <v>-227.7945</v>
      </c>
      <c r="K1430">
        <v>1.109478</v>
      </c>
      <c r="L1430">
        <v>368.2439</v>
      </c>
      <c r="M1430">
        <v>0.9998901</v>
      </c>
      <c r="N1430">
        <v>-1.4416389999999999E-2</v>
      </c>
      <c r="O1430">
        <v>-3.4621029999999998E-3</v>
      </c>
      <c r="P1430">
        <v>0.99144379999999999</v>
      </c>
      <c r="Q1430">
        <v>-0.1300955</v>
      </c>
      <c r="R1430">
        <v>1.070202E-2</v>
      </c>
      <c r="S1430">
        <v>3.0129549999999998</v>
      </c>
      <c r="T1430">
        <v>-0.14043069999999999</v>
      </c>
      <c r="U1430">
        <v>-0.48205569999999998</v>
      </c>
      <c r="V1430">
        <v>-1.423667E-2</v>
      </c>
      <c r="W1430">
        <v>-0.11577709999999999</v>
      </c>
      <c r="X1430">
        <v>0.99317319999999998</v>
      </c>
      <c r="Y1430">
        <v>0.15435189999999999</v>
      </c>
      <c r="Z1430">
        <v>-4.5822559999999998E-3</v>
      </c>
      <c r="AA1430">
        <v>0.98800529999999998</v>
      </c>
      <c r="AB1430">
        <v>32</v>
      </c>
      <c r="AC1430">
        <v>23.647099999999899</v>
      </c>
      <c r="AD1430">
        <v>-1.109481674462</v>
      </c>
      <c r="AE1430">
        <v>-3.8077999999999799</v>
      </c>
      <c r="AF1430">
        <v>3.71792246159968</v>
      </c>
      <c r="AG1430">
        <v>-1.109481674462</v>
      </c>
      <c r="AH1430">
        <v>23.6094839788691</v>
      </c>
      <c r="AI1430">
        <v>92.657818615463498</v>
      </c>
      <c r="AJ1430">
        <v>81.050794143967593</v>
      </c>
      <c r="AK1430">
        <v>23.9261704157793</v>
      </c>
      <c r="AL1430">
        <v>96.648448921796998</v>
      </c>
      <c r="AM1430">
        <v>90.821251764010199</v>
      </c>
      <c r="AN1430">
        <v>1.00000001242766</v>
      </c>
    </row>
    <row r="1431" spans="1:40" x14ac:dyDescent="0.25">
      <c r="A1431" t="str">
        <f>"20190305134930079"</f>
        <v>20190305134930079</v>
      </c>
      <c r="B1431" t="str">
        <f>"1551764970072336"</f>
        <v>1551764970072336</v>
      </c>
      <c r="C1431" t="s">
        <v>40</v>
      </c>
      <c r="D1431">
        <v>4.0047100000000002</v>
      </c>
      <c r="E1431">
        <v>0.56628339999999999</v>
      </c>
      <c r="F1431" t="s">
        <v>44</v>
      </c>
      <c r="G1431">
        <v>-202.4417</v>
      </c>
      <c r="H1431" s="1">
        <v>-2.8764009999999999E-6</v>
      </c>
      <c r="I1431">
        <v>364.16410000000002</v>
      </c>
      <c r="J1431">
        <v>-227.62280000000001</v>
      </c>
      <c r="K1431">
        <v>1.1094679999999999</v>
      </c>
      <c r="L1431">
        <v>368.24299999999999</v>
      </c>
      <c r="M1431">
        <v>0.99988929999999998</v>
      </c>
      <c r="N1431">
        <v>-1.441459E-2</v>
      </c>
      <c r="O1431">
        <v>-3.712056E-3</v>
      </c>
      <c r="P1431">
        <v>0.99140879999999998</v>
      </c>
      <c r="Q1431">
        <v>-0.13042139999999999</v>
      </c>
      <c r="R1431">
        <v>9.942312E-3</v>
      </c>
      <c r="S1431">
        <v>3.0138240000000001</v>
      </c>
      <c r="T1431">
        <v>-0.1318898</v>
      </c>
      <c r="U1431">
        <v>-0.48498540000000001</v>
      </c>
      <c r="V1431">
        <v>-1.372846E-2</v>
      </c>
      <c r="W1431">
        <v>-0.11610520000000001</v>
      </c>
      <c r="X1431">
        <v>0.99314199999999997</v>
      </c>
      <c r="Y1431">
        <v>0.15501819999999999</v>
      </c>
      <c r="Z1431">
        <v>-4.3856579999999997E-3</v>
      </c>
      <c r="AA1431">
        <v>0.9879019</v>
      </c>
      <c r="AB1431">
        <v>32</v>
      </c>
      <c r="AC1431">
        <v>25.181100000000001</v>
      </c>
      <c r="AD1431">
        <v>-1.109470876401</v>
      </c>
      <c r="AE1431">
        <v>-4.0789000000000302</v>
      </c>
      <c r="AF1431">
        <v>3.97786392221985</v>
      </c>
      <c r="AG1431">
        <v>-1.109470876401</v>
      </c>
      <c r="AH1431">
        <v>25.148497719418199</v>
      </c>
      <c r="AI1431">
        <v>92.495087681040303</v>
      </c>
      <c r="AJ1431">
        <v>81.011706106588207</v>
      </c>
      <c r="AK1431">
        <v>25.4853146842032</v>
      </c>
      <c r="AL1431">
        <v>96.667375655152895</v>
      </c>
      <c r="AM1431">
        <v>90.791964011406705</v>
      </c>
      <c r="AN1431">
        <v>0.99999996012250503</v>
      </c>
    </row>
    <row r="1432" spans="1:40" x14ac:dyDescent="0.25">
      <c r="A1432" t="str">
        <f>"20190305134930088"</f>
        <v>20190305134930088</v>
      </c>
      <c r="B1432" t="str">
        <f>"1551764970082096"</f>
        <v>1551764970082096</v>
      </c>
      <c r="C1432" t="s">
        <v>40</v>
      </c>
      <c r="D1432">
        <v>4.0399979999999998</v>
      </c>
      <c r="E1432">
        <v>0.5665386</v>
      </c>
      <c r="F1432" t="s">
        <v>44</v>
      </c>
      <c r="G1432">
        <v>-201.57640000000001</v>
      </c>
      <c r="H1432" s="1">
        <v>-2.4177970000000001E-6</v>
      </c>
      <c r="I1432">
        <v>364.01600000000002</v>
      </c>
      <c r="J1432">
        <v>-227.4736</v>
      </c>
      <c r="K1432">
        <v>1.109461</v>
      </c>
      <c r="L1432">
        <v>368.24220000000003</v>
      </c>
      <c r="M1432">
        <v>0.99988849999999996</v>
      </c>
      <c r="N1432">
        <v>-1.441301E-2</v>
      </c>
      <c r="O1432">
        <v>-3.9314459999999999E-3</v>
      </c>
      <c r="P1432">
        <v>0.99140019999999995</v>
      </c>
      <c r="Q1432">
        <v>-0.13053399999999901</v>
      </c>
      <c r="R1432">
        <v>9.3117119999999998E-3</v>
      </c>
      <c r="S1432">
        <v>3.014008</v>
      </c>
      <c r="T1432">
        <v>-0.12838440000000001</v>
      </c>
      <c r="U1432">
        <v>-0.48913570000000001</v>
      </c>
      <c r="V1432">
        <v>-1.331864E-2</v>
      </c>
      <c r="W1432">
        <v>-0.11621960000000001</v>
      </c>
      <c r="X1432">
        <v>0.99313430000000003</v>
      </c>
      <c r="Y1432">
        <v>0.15612519999999999</v>
      </c>
      <c r="Z1432">
        <v>-4.3252259999999997E-3</v>
      </c>
      <c r="AA1432">
        <v>0.98772780000000004</v>
      </c>
      <c r="AB1432">
        <v>32</v>
      </c>
      <c r="AC1432">
        <v>25.897200000000002</v>
      </c>
      <c r="AD1432">
        <v>-1.109463417797</v>
      </c>
      <c r="AE1432">
        <v>-4.2262000000000599</v>
      </c>
      <c r="AF1432">
        <v>4.1169832027787701</v>
      </c>
      <c r="AG1432">
        <v>-1.109463417797</v>
      </c>
      <c r="AH1432">
        <v>25.867372332616199</v>
      </c>
      <c r="AI1432">
        <v>92.425446606494106</v>
      </c>
      <c r="AJ1432">
        <v>80.956802756979798</v>
      </c>
      <c r="AK1432">
        <v>26.216433990182399</v>
      </c>
      <c r="AL1432">
        <v>96.673974300700095</v>
      </c>
      <c r="AM1432">
        <v>90.7683312503992</v>
      </c>
      <c r="AN1432">
        <v>1.0000000597160399</v>
      </c>
    </row>
    <row r="1433" spans="1:40" x14ac:dyDescent="0.25">
      <c r="A1433" t="str">
        <f>"20190305134930100"</f>
        <v>20190305134930100</v>
      </c>
      <c r="B1433" t="str">
        <f>"1551764970091856"</f>
        <v>1551764970091856</v>
      </c>
      <c r="C1433" t="s">
        <v>40</v>
      </c>
      <c r="D1433">
        <v>4.0127899999999999</v>
      </c>
      <c r="E1433">
        <v>0.56673309999999999</v>
      </c>
      <c r="F1433" t="s">
        <v>44</v>
      </c>
      <c r="G1433">
        <v>-200.52260000000001</v>
      </c>
      <c r="H1433" s="1">
        <v>-1.841727E-6</v>
      </c>
      <c r="I1433">
        <v>363.83670000000001</v>
      </c>
      <c r="J1433">
        <v>-227.3158</v>
      </c>
      <c r="K1433">
        <v>1.109459</v>
      </c>
      <c r="L1433">
        <v>368.2414</v>
      </c>
      <c r="M1433">
        <v>0.99988750000000004</v>
      </c>
      <c r="N1433">
        <v>-1.441135E-2</v>
      </c>
      <c r="O1433">
        <v>-4.1687790000000001E-3</v>
      </c>
      <c r="P1433">
        <v>0.99136749999999996</v>
      </c>
      <c r="Q1433">
        <v>-0.13082079999999999</v>
      </c>
      <c r="R1433">
        <v>8.7522780000000005E-3</v>
      </c>
      <c r="S1433">
        <v>3.014313</v>
      </c>
      <c r="T1433">
        <v>-0.12408660000000001</v>
      </c>
      <c r="U1433">
        <v>-0.49273679999999997</v>
      </c>
      <c r="V1433">
        <v>-1.299665E-2</v>
      </c>
      <c r="W1433">
        <v>-0.1165086</v>
      </c>
      <c r="X1433">
        <v>0.9931046</v>
      </c>
      <c r="Y1433">
        <v>0.15703410000000001</v>
      </c>
      <c r="Z1433">
        <v>-4.2385469999999996E-3</v>
      </c>
      <c r="AA1433">
        <v>0.98758409999999996</v>
      </c>
      <c r="AB1433">
        <v>32</v>
      </c>
      <c r="AC1433">
        <v>26.793199999999899</v>
      </c>
      <c r="AD1433">
        <v>-1.109460841727</v>
      </c>
      <c r="AE1433">
        <v>-4.4046999999999903</v>
      </c>
      <c r="AF1433">
        <v>4.2857999358295302</v>
      </c>
      <c r="AG1433">
        <v>-1.109460841727</v>
      </c>
      <c r="AH1433">
        <v>26.766643642851601</v>
      </c>
      <c r="AI1433">
        <v>92.343696784197505</v>
      </c>
      <c r="AJ1433">
        <v>80.903175952119796</v>
      </c>
      <c r="AK1433">
        <v>27.130281906988898</v>
      </c>
      <c r="AL1433">
        <v>96.69064673007</v>
      </c>
      <c r="AM1433">
        <v>90.749780723754299</v>
      </c>
      <c r="AN1433">
        <v>0.99999995666316999</v>
      </c>
    </row>
    <row r="1434" spans="1:40" x14ac:dyDescent="0.25">
      <c r="A1434" t="str">
        <f>"20190305134930111"</f>
        <v>20190305134930111</v>
      </c>
      <c r="B1434" t="str">
        <f>"1551764970101616"</f>
        <v>1551764970101616</v>
      </c>
      <c r="C1434" t="s">
        <v>40</v>
      </c>
      <c r="D1434">
        <v>4.045598</v>
      </c>
      <c r="E1434">
        <v>0.56704489999999996</v>
      </c>
      <c r="F1434" t="s">
        <v>44</v>
      </c>
      <c r="G1434">
        <v>-199.85599999999999</v>
      </c>
      <c r="H1434" s="1">
        <v>-9.7157209999999999E-6</v>
      </c>
      <c r="I1434">
        <v>363.72109999999998</v>
      </c>
      <c r="J1434">
        <v>-227.1549</v>
      </c>
      <c r="K1434">
        <v>1.1094539999999999</v>
      </c>
      <c r="L1434">
        <v>368.2405</v>
      </c>
      <c r="M1434">
        <v>0.99988650000000001</v>
      </c>
      <c r="N1434">
        <v>-1.4409659999999999E-2</v>
      </c>
      <c r="O1434">
        <v>-4.4113479999999998E-3</v>
      </c>
      <c r="P1434">
        <v>0.99139290000000002</v>
      </c>
      <c r="Q1434">
        <v>-0.1306754</v>
      </c>
      <c r="R1434">
        <v>8.0221000000000008E-3</v>
      </c>
      <c r="S1434">
        <v>3.0144199999999999</v>
      </c>
      <c r="T1434">
        <v>-0.1217932</v>
      </c>
      <c r="U1434">
        <v>-0.49621579999999899</v>
      </c>
      <c r="V1434">
        <v>-1.250863E-2</v>
      </c>
      <c r="W1434">
        <v>-0.11636489999999999</v>
      </c>
      <c r="X1434">
        <v>0.99312780000000001</v>
      </c>
      <c r="Y1434">
        <v>0.1579035</v>
      </c>
      <c r="Z1434">
        <v>-4.1994679999999996E-3</v>
      </c>
      <c r="AA1434">
        <v>0.98744560000000003</v>
      </c>
      <c r="AB1434">
        <v>32</v>
      </c>
      <c r="AC1434">
        <v>27.2989</v>
      </c>
      <c r="AD1434">
        <v>-1.1094637157209899</v>
      </c>
      <c r="AE1434">
        <v>-4.5194000000000099</v>
      </c>
      <c r="AF1434">
        <v>4.3918579744261503</v>
      </c>
      <c r="AG1434">
        <v>-1.1094637157209899</v>
      </c>
      <c r="AH1434">
        <v>27.274724665299502</v>
      </c>
      <c r="AI1434">
        <v>92.299765292195502</v>
      </c>
      <c r="AJ1434">
        <v>80.852581720107906</v>
      </c>
      <c r="AK1434">
        <v>27.6483260211523</v>
      </c>
      <c r="AL1434">
        <v>96.682356370743804</v>
      </c>
      <c r="AM1434">
        <v>90.721612879776799</v>
      </c>
      <c r="AN1434">
        <v>1.0000000414546599</v>
      </c>
    </row>
    <row r="1435" spans="1:40" x14ac:dyDescent="0.25">
      <c r="A1435" t="str">
        <f>"20190305134930122"</f>
        <v>20190305134930122</v>
      </c>
      <c r="B1435" t="str">
        <f>"1551764970112352"</f>
        <v>1551764970112352</v>
      </c>
      <c r="C1435" t="s">
        <v>40</v>
      </c>
      <c r="D1435">
        <v>4.0434469999999996</v>
      </c>
      <c r="E1435">
        <v>0.56729200000000002</v>
      </c>
      <c r="F1435" t="s">
        <v>44</v>
      </c>
      <c r="G1435">
        <v>-198.94669999999999</v>
      </c>
      <c r="H1435" s="1">
        <v>-9.4090349999999999E-6</v>
      </c>
      <c r="I1435">
        <v>363.55450000000002</v>
      </c>
      <c r="J1435">
        <v>-226.9931</v>
      </c>
      <c r="K1435">
        <v>1.1094550000000001</v>
      </c>
      <c r="L1435">
        <v>368.23950000000002</v>
      </c>
      <c r="M1435">
        <v>0.99988540000000004</v>
      </c>
      <c r="N1435">
        <v>-1.4407980000000001E-2</v>
      </c>
      <c r="O1435">
        <v>-4.6569769999999996E-3</v>
      </c>
      <c r="P1435">
        <v>0.99140170000000005</v>
      </c>
      <c r="Q1435">
        <v>-0.130657</v>
      </c>
      <c r="R1435">
        <v>7.1701019999999898E-3</v>
      </c>
      <c r="S1435">
        <v>3.0144500000000001</v>
      </c>
      <c r="T1435">
        <v>-0.1185623</v>
      </c>
      <c r="U1435">
        <v>-0.50076290000000001</v>
      </c>
      <c r="V1435">
        <v>-1.190155E-2</v>
      </c>
      <c r="W1435">
        <v>-0.1163483</v>
      </c>
      <c r="X1435">
        <v>0.99313720000000005</v>
      </c>
      <c r="Y1435">
        <v>0.1591156</v>
      </c>
      <c r="Z1435">
        <v>-4.1461680000000004E-3</v>
      </c>
      <c r="AA1435">
        <v>0.98725130000000005</v>
      </c>
      <c r="AB1435">
        <v>32</v>
      </c>
      <c r="AC1435">
        <v>28.046399999999998</v>
      </c>
      <c r="AD1435">
        <v>-1.1094644090350001</v>
      </c>
      <c r="AE1435">
        <v>-4.6849999999999996</v>
      </c>
      <c r="AF1435">
        <v>4.5474013698583198</v>
      </c>
      <c r="AG1435">
        <v>-1.1094644090350001</v>
      </c>
      <c r="AH1435">
        <v>28.025251230031699</v>
      </c>
      <c r="AI1435">
        <v>92.237805665786098</v>
      </c>
      <c r="AJ1435">
        <v>80.783463464504095</v>
      </c>
      <c r="AK1435">
        <v>28.4134559144061</v>
      </c>
      <c r="AL1435">
        <v>96.681398793433402</v>
      </c>
      <c r="AM1435">
        <v>90.686587859382897</v>
      </c>
      <c r="AN1435">
        <v>1.00000003591456</v>
      </c>
    </row>
    <row r="1436" spans="1:40" x14ac:dyDescent="0.25">
      <c r="A1436" t="str">
        <f>"20190305134930133"</f>
        <v>20190305134930133</v>
      </c>
      <c r="B1436" t="str">
        <f>"1551764970122112"</f>
        <v>1551764970122112</v>
      </c>
      <c r="C1436" t="s">
        <v>40</v>
      </c>
      <c r="D1436">
        <v>4.0427749999999998</v>
      </c>
      <c r="E1436">
        <v>0.56770469999999995</v>
      </c>
      <c r="F1436" t="s">
        <v>44</v>
      </c>
      <c r="G1436">
        <v>-198.09950000000001</v>
      </c>
      <c r="H1436" s="1">
        <v>-9.1238179999999999E-6</v>
      </c>
      <c r="I1436">
        <v>363.3954</v>
      </c>
      <c r="J1436">
        <v>-226.84039999999999</v>
      </c>
      <c r="K1436">
        <v>1.109451</v>
      </c>
      <c r="L1436">
        <v>368.23860000000002</v>
      </c>
      <c r="M1436">
        <v>0.9998842</v>
      </c>
      <c r="N1436">
        <v>-1.440638E-2</v>
      </c>
      <c r="O1436">
        <v>-4.8891220000000001E-3</v>
      </c>
      <c r="P1436">
        <v>0.99146500000000004</v>
      </c>
      <c r="Q1436">
        <v>-0.13021630000000001</v>
      </c>
      <c r="R1436">
        <v>6.4065709999999998E-3</v>
      </c>
      <c r="S1436">
        <v>3.0144199999999999</v>
      </c>
      <c r="T1436">
        <v>-0.1157485</v>
      </c>
      <c r="U1436">
        <v>-0.50537109999999996</v>
      </c>
      <c r="V1436">
        <v>-1.1368899999999999E-2</v>
      </c>
      <c r="W1436">
        <v>-0.11590880000000001</v>
      </c>
      <c r="X1436">
        <v>0.99319480000000004</v>
      </c>
      <c r="Y1436">
        <v>0.16036159999999999</v>
      </c>
      <c r="Z1436">
        <v>-4.1037169999999998E-3</v>
      </c>
      <c r="AA1436">
        <v>0.98704979999999998</v>
      </c>
      <c r="AB1436">
        <v>32</v>
      </c>
      <c r="AC1436">
        <v>28.7408999999999</v>
      </c>
      <c r="AD1436">
        <v>-1.109460123818</v>
      </c>
      <c r="AE1436">
        <v>-4.8432000000000199</v>
      </c>
      <c r="AF1436">
        <v>4.6958056187015096</v>
      </c>
      <c r="AG1436">
        <v>-1.109460123818</v>
      </c>
      <c r="AH1436">
        <v>28.7226194042705</v>
      </c>
      <c r="AI1436">
        <v>92.183093177380997</v>
      </c>
      <c r="AJ1436">
        <v>80.714966603041304</v>
      </c>
      <c r="AK1436">
        <v>29.125081246539899</v>
      </c>
      <c r="AL1436">
        <v>96.656045963485099</v>
      </c>
      <c r="AM1436">
        <v>90.655824556851996</v>
      </c>
      <c r="AN1436">
        <v>1.0000000062758401</v>
      </c>
    </row>
    <row r="1437" spans="1:40" x14ac:dyDescent="0.25">
      <c r="A1437" t="str">
        <f>"20190305134930144"</f>
        <v>20190305134930144</v>
      </c>
      <c r="B1437" t="str">
        <f>"1551764970141632"</f>
        <v>1551764970141632</v>
      </c>
      <c r="C1437" t="s">
        <v>40</v>
      </c>
      <c r="D1437">
        <v>4.0316769999999904</v>
      </c>
      <c r="E1437">
        <v>0.56795869999999904</v>
      </c>
      <c r="F1437" t="s">
        <v>44</v>
      </c>
      <c r="G1437">
        <v>-196.48750000000001</v>
      </c>
      <c r="H1437" s="1">
        <v>-8.5814189999999992E-6</v>
      </c>
      <c r="I1437">
        <v>363.09289999999999</v>
      </c>
      <c r="J1437">
        <v>-226.6799</v>
      </c>
      <c r="K1437">
        <v>1.1094550000000001</v>
      </c>
      <c r="L1437">
        <v>368.23750000000001</v>
      </c>
      <c r="M1437">
        <v>0.99988310000000002</v>
      </c>
      <c r="N1437">
        <v>-1.4404729999999999E-2</v>
      </c>
      <c r="O1437">
        <v>-5.1332890000000001E-3</v>
      </c>
      <c r="P1437">
        <v>0.99147680000000005</v>
      </c>
      <c r="Q1437">
        <v>-0.1301581</v>
      </c>
      <c r="R1437">
        <v>5.7214190000000002E-3</v>
      </c>
      <c r="S1437">
        <v>3.014694</v>
      </c>
      <c r="T1437">
        <v>-0.110193</v>
      </c>
      <c r="U1437">
        <v>-0.51107789999999997</v>
      </c>
      <c r="V1437">
        <v>-1.092664E-2</v>
      </c>
      <c r="W1437">
        <v>-0.1158525</v>
      </c>
      <c r="X1437">
        <v>0.99320629999999999</v>
      </c>
      <c r="Y1437">
        <v>0.16193389999999999</v>
      </c>
      <c r="Z1437">
        <v>-3.9999359999999999E-3</v>
      </c>
      <c r="AA1437">
        <v>0.98679349999999999</v>
      </c>
      <c r="AB1437">
        <v>32</v>
      </c>
      <c r="AC1437">
        <v>30.1923999999999</v>
      </c>
      <c r="AD1437">
        <v>-1.1094635814189999</v>
      </c>
      <c r="AE1437">
        <v>-5.14460000000002</v>
      </c>
      <c r="AF1437">
        <v>4.9829911149418704</v>
      </c>
      <c r="AG1437">
        <v>-1.1094635814189999</v>
      </c>
      <c r="AH1437">
        <v>30.178812845059099</v>
      </c>
      <c r="AI1437">
        <v>92.077314856543893</v>
      </c>
      <c r="AJ1437">
        <v>80.624170269991495</v>
      </c>
      <c r="AK1437">
        <v>30.607545713878999</v>
      </c>
      <c r="AL1437">
        <v>96.652798549403997</v>
      </c>
      <c r="AM1437">
        <v>90.630307219213805</v>
      </c>
      <c r="AN1437">
        <v>0.999999973788814</v>
      </c>
    </row>
    <row r="1438" spans="1:40" x14ac:dyDescent="0.25">
      <c r="A1438" t="str">
        <f>"20190305134930156"</f>
        <v>20190305134930156</v>
      </c>
      <c r="B1438" t="str">
        <f>"1551764970152368"</f>
        <v>1551764970152368</v>
      </c>
      <c r="C1438" t="s">
        <v>40</v>
      </c>
      <c r="D1438">
        <v>4.039784</v>
      </c>
      <c r="E1438">
        <v>0.56827229999999995</v>
      </c>
      <c r="F1438" t="s">
        <v>44</v>
      </c>
      <c r="G1438">
        <v>-195.40969999999999</v>
      </c>
      <c r="H1438" s="1">
        <v>-8.2336159999999905E-6</v>
      </c>
      <c r="I1438">
        <v>362.89749999999998</v>
      </c>
      <c r="J1438">
        <v>-226.51820000000001</v>
      </c>
      <c r="K1438">
        <v>1.1094569999999999</v>
      </c>
      <c r="L1438">
        <v>368.23649999999998</v>
      </c>
      <c r="M1438">
        <v>0.99988189999999999</v>
      </c>
      <c r="N1438">
        <v>-1.4403050000000001E-2</v>
      </c>
      <c r="O1438">
        <v>-5.3787560000000002E-3</v>
      </c>
      <c r="P1438">
        <v>0.991587</v>
      </c>
      <c r="Q1438">
        <v>-0.12935289999999999</v>
      </c>
      <c r="R1438">
        <v>4.7997730000000002E-3</v>
      </c>
      <c r="S1438">
        <v>3.0147550000000001</v>
      </c>
      <c r="T1438">
        <v>-0.10696319999999999</v>
      </c>
      <c r="U1438">
        <v>-0.5148315</v>
      </c>
      <c r="V1438">
        <v>-1.024894E-2</v>
      </c>
      <c r="W1438">
        <v>-0.11504789999999999</v>
      </c>
      <c r="X1438">
        <v>0.9933071</v>
      </c>
      <c r="Y1438">
        <v>0.1628889</v>
      </c>
      <c r="Z1438">
        <v>-3.937566E-3</v>
      </c>
      <c r="AA1438">
        <v>0.98663659999999997</v>
      </c>
      <c r="AB1438">
        <v>32</v>
      </c>
      <c r="AC1438">
        <v>31.108499999999999</v>
      </c>
      <c r="AD1438">
        <v>-1.109465233616</v>
      </c>
      <c r="AE1438">
        <v>-5.3389999999999898</v>
      </c>
      <c r="AF1438">
        <v>5.1651984960581201</v>
      </c>
      <c r="AG1438">
        <v>-1.109465233616</v>
      </c>
      <c r="AH1438">
        <v>31.098346364588998</v>
      </c>
      <c r="AI1438">
        <v>92.015628961071101</v>
      </c>
      <c r="AJ1438">
        <v>80.569695429065604</v>
      </c>
      <c r="AK1438">
        <v>31.543895371691601</v>
      </c>
      <c r="AL1438">
        <v>96.606387671683805</v>
      </c>
      <c r="AM1438">
        <v>90.591156721912498</v>
      </c>
      <c r="AN1438">
        <v>1.0000000274879699</v>
      </c>
    </row>
    <row r="1439" spans="1:40" x14ac:dyDescent="0.25">
      <c r="A1439" t="str">
        <f>"20190305134930167"</f>
        <v>20190305134930167</v>
      </c>
      <c r="B1439" t="str">
        <f>"1551764970162128"</f>
        <v>1551764970162128</v>
      </c>
      <c r="C1439" t="s">
        <v>40</v>
      </c>
      <c r="D1439">
        <v>4.0569050000000004</v>
      </c>
      <c r="E1439">
        <v>0.5689206</v>
      </c>
      <c r="F1439" t="s">
        <v>44</v>
      </c>
      <c r="G1439">
        <v>-193.65029999999999</v>
      </c>
      <c r="H1439" s="1">
        <v>-7.6682159999999993E-6</v>
      </c>
      <c r="I1439">
        <v>362.56349999999998</v>
      </c>
      <c r="J1439">
        <v>-226.34809999999999</v>
      </c>
      <c r="K1439">
        <v>1.109459</v>
      </c>
      <c r="L1439">
        <v>368.2353</v>
      </c>
      <c r="M1439">
        <v>0.9998804</v>
      </c>
      <c r="N1439">
        <v>-1.4401270000000001E-2</v>
      </c>
      <c r="O1439">
        <v>-5.6366109999999997E-3</v>
      </c>
      <c r="P1439">
        <v>0.99170670000000005</v>
      </c>
      <c r="Q1439">
        <v>-0.1284662</v>
      </c>
      <c r="R1439">
        <v>3.7681699999999999E-3</v>
      </c>
      <c r="S1439">
        <v>3.0146790000000001</v>
      </c>
      <c r="T1439">
        <v>-0.1017612</v>
      </c>
      <c r="U1439">
        <v>-0.52032469999999997</v>
      </c>
      <c r="V1439">
        <v>-9.4731299999999997E-3</v>
      </c>
      <c r="W1439">
        <v>-0.1141621</v>
      </c>
      <c r="X1439">
        <v>0.99341699999999999</v>
      </c>
      <c r="Y1439">
        <v>0.16439489999999901</v>
      </c>
      <c r="Z1439">
        <v>-3.8382210000000002E-3</v>
      </c>
      <c r="AA1439">
        <v>0.98638709999999996</v>
      </c>
      <c r="AB1439">
        <v>32</v>
      </c>
      <c r="AC1439">
        <v>32.697800000000001</v>
      </c>
      <c r="AD1439">
        <v>-1.1094666682159999</v>
      </c>
      <c r="AE1439">
        <v>-5.6718000000000099</v>
      </c>
      <c r="AF1439">
        <v>5.48125969965115</v>
      </c>
      <c r="AG1439">
        <v>-1.1094666682159999</v>
      </c>
      <c r="AH1439">
        <v>32.692713573090401</v>
      </c>
      <c r="AI1439">
        <v>91.916920378705797</v>
      </c>
      <c r="AJ1439">
        <v>80.482312252774506</v>
      </c>
      <c r="AK1439">
        <v>33.167584249610798</v>
      </c>
      <c r="AL1439">
        <v>96.555298429801695</v>
      </c>
      <c r="AM1439">
        <v>90.546350542296494</v>
      </c>
      <c r="AN1439">
        <v>1.0000000305787</v>
      </c>
    </row>
    <row r="1440" spans="1:40" x14ac:dyDescent="0.25">
      <c r="A1440" t="str">
        <f>"20190305134930181"</f>
        <v>20190305134930181</v>
      </c>
      <c r="B1440" t="str">
        <f>"1551764970171887"</f>
        <v>1551764970171887</v>
      </c>
      <c r="C1440" t="s">
        <v>40</v>
      </c>
      <c r="D1440">
        <v>4.0600339999999999</v>
      </c>
      <c r="E1440">
        <v>0.56953240000000005</v>
      </c>
      <c r="F1440" t="s">
        <v>44</v>
      </c>
      <c r="G1440">
        <v>-190.37469999999999</v>
      </c>
      <c r="H1440" s="1">
        <v>-6.6176E-6</v>
      </c>
      <c r="I1440">
        <v>361.9289</v>
      </c>
      <c r="J1440">
        <v>-226.16370000000001</v>
      </c>
      <c r="K1440">
        <v>1.1094649999999999</v>
      </c>
      <c r="L1440">
        <v>368.23399999999998</v>
      </c>
      <c r="M1440">
        <v>0.99987879999999996</v>
      </c>
      <c r="N1440">
        <v>-1.439937E-2</v>
      </c>
      <c r="O1440">
        <v>-5.9135219999999896E-3</v>
      </c>
      <c r="P1440">
        <v>0.99177740000000003</v>
      </c>
      <c r="Q1440">
        <v>-0.12794410000000001</v>
      </c>
      <c r="R1440">
        <v>2.8110040000000002E-3</v>
      </c>
      <c r="S1440">
        <v>3.0150600000000001</v>
      </c>
      <c r="T1440">
        <v>-9.2988370000000001E-2</v>
      </c>
      <c r="U1440">
        <v>-0.52856449999999999</v>
      </c>
      <c r="V1440">
        <v>-8.7905810000000004E-3</v>
      </c>
      <c r="W1440">
        <v>-0.1136416</v>
      </c>
      <c r="X1440">
        <v>0.99348289999999995</v>
      </c>
      <c r="Y1440">
        <v>0.166733399999999</v>
      </c>
      <c r="Z1440">
        <v>-3.6646510000000001E-3</v>
      </c>
      <c r="AA1440">
        <v>0.98599519999999996</v>
      </c>
      <c r="AB1440">
        <v>32</v>
      </c>
      <c r="AC1440">
        <v>35.789000000000001</v>
      </c>
      <c r="AD1440">
        <v>-1.1094716175999999</v>
      </c>
      <c r="AE1440">
        <v>-6.3051000000000403</v>
      </c>
      <c r="AF1440">
        <v>6.0876544863074704</v>
      </c>
      <c r="AG1440">
        <v>-1.1094716175999999</v>
      </c>
      <c r="AH1440">
        <v>35.792301589379903</v>
      </c>
      <c r="AI1440">
        <v>91.750336487131406</v>
      </c>
      <c r="AJ1440">
        <v>80.347344510890096</v>
      </c>
      <c r="AK1440">
        <v>36.323261382756499</v>
      </c>
      <c r="AL1440">
        <v>96.525280952416097</v>
      </c>
      <c r="AM1440">
        <v>90.506953916580201</v>
      </c>
      <c r="AN1440">
        <v>0.99999998007864299</v>
      </c>
    </row>
    <row r="1441" spans="1:40" x14ac:dyDescent="0.25">
      <c r="A1441" t="str">
        <f>"20190305134930195"</f>
        <v>20190305134930195</v>
      </c>
      <c r="B1441" t="str">
        <f>"1551764970192384"</f>
        <v>1551764970192384</v>
      </c>
      <c r="C1441" t="s">
        <v>40</v>
      </c>
      <c r="D1441">
        <v>4.050128</v>
      </c>
      <c r="E1441">
        <v>0.57060679999999997</v>
      </c>
      <c r="F1441" t="s">
        <v>44</v>
      </c>
      <c r="G1441">
        <v>-187.6438</v>
      </c>
      <c r="H1441" s="1">
        <v>-6.0727770000000001E-6</v>
      </c>
      <c r="I1441">
        <v>361.38470000000001</v>
      </c>
      <c r="J1441">
        <v>-225.9727</v>
      </c>
      <c r="K1441">
        <v>1.1094679999999999</v>
      </c>
      <c r="L1441">
        <v>368.23259999999999</v>
      </c>
      <c r="M1441">
        <v>0.99987700000000002</v>
      </c>
      <c r="N1441">
        <v>-1.4397399999999999E-2</v>
      </c>
      <c r="O1441">
        <v>-6.1984070000000004E-3</v>
      </c>
      <c r="P1441">
        <v>0.99187590000000003</v>
      </c>
      <c r="Q1441">
        <v>-0.12719469999999999</v>
      </c>
      <c r="R1441">
        <v>1.880491E-3</v>
      </c>
      <c r="S1441">
        <v>3.0151819999999998</v>
      </c>
      <c r="T1441">
        <v>-8.6844920000000006E-2</v>
      </c>
      <c r="U1441">
        <v>-0.53613279999999996</v>
      </c>
      <c r="V1441">
        <v>-8.1427429999999992E-3</v>
      </c>
      <c r="W1441">
        <v>-0.1128934</v>
      </c>
      <c r="X1441">
        <v>0.9935737</v>
      </c>
      <c r="Y1441">
        <v>0.16885629999999999</v>
      </c>
      <c r="Z1441">
        <v>-3.549249E-3</v>
      </c>
      <c r="AA1441">
        <v>0.98563429999999996</v>
      </c>
      <c r="AB1441">
        <v>32</v>
      </c>
      <c r="AC1441">
        <v>38.328899999999997</v>
      </c>
      <c r="AD1441">
        <v>-1.1094740727770001</v>
      </c>
      <c r="AE1441">
        <v>-6.8478999999999797</v>
      </c>
      <c r="AF1441">
        <v>6.6048027925324604</v>
      </c>
      <c r="AG1441">
        <v>-1.1094740727770001</v>
      </c>
      <c r="AH1441">
        <v>38.339483817907997</v>
      </c>
      <c r="AI1441">
        <v>91.633522895824996</v>
      </c>
      <c r="AJ1441">
        <v>80.225507101293005</v>
      </c>
      <c r="AK1441">
        <v>38.920051028615497</v>
      </c>
      <c r="AL1441">
        <v>96.4821347073364</v>
      </c>
      <c r="AM1441">
        <v>90.469551843876005</v>
      </c>
      <c r="AN1441">
        <v>0.999999960679406</v>
      </c>
    </row>
    <row r="1442" spans="1:40" x14ac:dyDescent="0.25">
      <c r="A1442" t="str">
        <f>"20190305134930207"</f>
        <v>20190305134930207</v>
      </c>
      <c r="B1442" t="str">
        <f>"1551764970202143"</f>
        <v>1551764970202143</v>
      </c>
      <c r="C1442" t="s">
        <v>40</v>
      </c>
      <c r="D1442">
        <v>4.041398</v>
      </c>
      <c r="E1442">
        <v>0.57111109999999998</v>
      </c>
      <c r="F1442" t="s">
        <v>44</v>
      </c>
      <c r="G1442">
        <v>-181.68469999999999</v>
      </c>
      <c r="H1442" s="1">
        <v>-5.9840340000000003E-6</v>
      </c>
      <c r="I1442">
        <v>360.18939999999998</v>
      </c>
      <c r="J1442">
        <v>-225.79349999999999</v>
      </c>
      <c r="K1442">
        <v>1.109472</v>
      </c>
      <c r="L1442">
        <v>368.2312</v>
      </c>
      <c r="M1442">
        <v>0.99987550000000003</v>
      </c>
      <c r="N1442">
        <v>-1.439554E-2</v>
      </c>
      <c r="O1442">
        <v>-6.4634890000000002E-3</v>
      </c>
      <c r="P1442">
        <v>0.99194119999999997</v>
      </c>
      <c r="Q1442">
        <v>-0.12669830000000001</v>
      </c>
      <c r="R1442">
        <v>7.2860950000000002E-4</v>
      </c>
      <c r="S1442">
        <v>3.01593</v>
      </c>
      <c r="T1442">
        <v>-7.5553179999999998E-2</v>
      </c>
      <c r="U1442">
        <v>-0.54772949999999998</v>
      </c>
      <c r="V1442">
        <v>-7.2538780000000001E-3</v>
      </c>
      <c r="W1442">
        <v>-0.11239879999999999</v>
      </c>
      <c r="X1442">
        <v>0.99363670000000004</v>
      </c>
      <c r="Y1442">
        <v>0.17224239999999999</v>
      </c>
      <c r="Z1442">
        <v>-3.3215549999999999E-3</v>
      </c>
      <c r="AA1442">
        <v>0.98504899999999995</v>
      </c>
      <c r="AB1442">
        <v>32</v>
      </c>
      <c r="AC1442">
        <v>44.108800000000002</v>
      </c>
      <c r="AD1442">
        <v>-1.1094779840340001</v>
      </c>
      <c r="AE1442">
        <v>-8.0418000000000198</v>
      </c>
      <c r="AF1442">
        <v>7.7517590602657398</v>
      </c>
      <c r="AG1442">
        <v>-1.1094779840340001</v>
      </c>
      <c r="AH1442">
        <v>44.132838031802798</v>
      </c>
      <c r="AI1442">
        <v>91.418380246362602</v>
      </c>
      <c r="AJ1442">
        <v>80.037841942565606</v>
      </c>
      <c r="AK1442">
        <v>44.822183153733299</v>
      </c>
      <c r="AL1442">
        <v>96.453614431657599</v>
      </c>
      <c r="AM1442">
        <v>90.418270793873404</v>
      </c>
      <c r="AN1442">
        <v>1.0000000002871801</v>
      </c>
    </row>
    <row r="1443" spans="1:40" x14ac:dyDescent="0.25">
      <c r="A1443" t="str">
        <f>"20190305134930217"</f>
        <v>20190305134930217</v>
      </c>
      <c r="B1443" t="str">
        <f>"1551764970211903"</f>
        <v>1551764970211903</v>
      </c>
      <c r="C1443" t="s">
        <v>40</v>
      </c>
      <c r="D1443">
        <v>4.0297460000000003</v>
      </c>
      <c r="E1443">
        <v>0.57156209999999996</v>
      </c>
      <c r="F1443" t="s">
        <v>44</v>
      </c>
      <c r="G1443">
        <v>-180</v>
      </c>
      <c r="H1443">
        <v>4.2902849999999999E-2</v>
      </c>
      <c r="I1443">
        <v>359.80070000000001</v>
      </c>
      <c r="J1443">
        <v>-225.65440000000001</v>
      </c>
      <c r="K1443">
        <v>1.1094759999999999</v>
      </c>
      <c r="L1443">
        <v>368.23</v>
      </c>
      <c r="M1443">
        <v>0.99987409999999999</v>
      </c>
      <c r="N1443">
        <v>-1.439409E-2</v>
      </c>
      <c r="O1443">
        <v>-6.6670540000000004E-3</v>
      </c>
      <c r="P1443">
        <v>0.99197210000000002</v>
      </c>
      <c r="Q1443">
        <v>-0.1264554</v>
      </c>
      <c r="R1443">
        <v>-3.1763689999999997E-4</v>
      </c>
      <c r="S1443">
        <v>3.0158079999999998</v>
      </c>
      <c r="T1443">
        <v>-7.0240739999999996E-2</v>
      </c>
      <c r="U1443">
        <v>-0.55520630000000004</v>
      </c>
      <c r="V1443">
        <v>-6.4087859999999996E-3</v>
      </c>
      <c r="W1443">
        <v>-0.1121577</v>
      </c>
      <c r="X1443">
        <v>0.99366969999999999</v>
      </c>
      <c r="Y1443">
        <v>0.17441980000000001</v>
      </c>
      <c r="Z1443">
        <v>-3.2213440000000001E-3</v>
      </c>
      <c r="AA1443">
        <v>0.98466609999999999</v>
      </c>
      <c r="AB1443">
        <v>32</v>
      </c>
      <c r="AC1443">
        <v>45.654400000000003</v>
      </c>
      <c r="AD1443">
        <v>-1.06657315</v>
      </c>
      <c r="AE1443">
        <v>-8.4293000000000102</v>
      </c>
      <c r="AF1443">
        <v>8.1204148677832606</v>
      </c>
      <c r="AG1443">
        <v>-1.06657315</v>
      </c>
      <c r="AH1443">
        <v>45.685477381591902</v>
      </c>
      <c r="AI1443">
        <v>91.316752976962306</v>
      </c>
      <c r="AJ1443">
        <v>79.921162104369103</v>
      </c>
      <c r="AK1443">
        <v>46.413807853839799</v>
      </c>
      <c r="AL1443">
        <v>96.439712856345295</v>
      </c>
      <c r="AM1443">
        <v>90.369530537404003</v>
      </c>
      <c r="AN1443">
        <v>0.99999994745268495</v>
      </c>
    </row>
    <row r="1444" spans="1:40" x14ac:dyDescent="0.25">
      <c r="A1444" t="str">
        <f>"20190305134930228"</f>
        <v>20190305134930228</v>
      </c>
      <c r="B1444" t="str">
        <f>"1551764970221664"</f>
        <v>1551764970221664</v>
      </c>
      <c r="C1444" t="s">
        <v>40</v>
      </c>
      <c r="D1444">
        <v>4.056324</v>
      </c>
      <c r="E1444">
        <v>0.57200459999999997</v>
      </c>
      <c r="F1444" t="s">
        <v>44</v>
      </c>
      <c r="G1444">
        <v>-178.99090000000001</v>
      </c>
      <c r="H1444">
        <v>7.9987920000000004E-2</v>
      </c>
      <c r="I1444">
        <v>359.53030000000001</v>
      </c>
      <c r="J1444">
        <v>-225.49520000000001</v>
      </c>
      <c r="K1444">
        <v>1.1094809999999999</v>
      </c>
      <c r="L1444">
        <v>368.22879999999998</v>
      </c>
      <c r="M1444">
        <v>0.99987269999999995</v>
      </c>
      <c r="N1444">
        <v>-1.4392439999999999E-2</v>
      </c>
      <c r="O1444">
        <v>-6.8994570000000003E-3</v>
      </c>
      <c r="P1444">
        <v>0.99198629999999999</v>
      </c>
      <c r="Q1444">
        <v>-0.1263379</v>
      </c>
      <c r="R1444">
        <v>-1.499579E-3</v>
      </c>
      <c r="S1444">
        <v>3.0156559999999999</v>
      </c>
      <c r="T1444">
        <v>-6.6531300000000002E-2</v>
      </c>
      <c r="U1444">
        <v>-0.56222530000000004</v>
      </c>
      <c r="V1444">
        <v>-5.4574269999999999E-3</v>
      </c>
      <c r="W1444">
        <v>-0.1120425</v>
      </c>
      <c r="X1444">
        <v>0.99368840000000003</v>
      </c>
      <c r="Y1444">
        <v>0.17642070000000001</v>
      </c>
      <c r="Z1444">
        <v>-3.157562E-3</v>
      </c>
      <c r="AA1444">
        <v>0.98430980000000001</v>
      </c>
      <c r="AB1444">
        <v>32</v>
      </c>
      <c r="AC1444">
        <v>46.504300000000001</v>
      </c>
      <c r="AD1444">
        <v>-1.0294930799999999</v>
      </c>
      <c r="AE1444">
        <v>-8.6984999999999602</v>
      </c>
      <c r="AF1444">
        <v>8.3734404127857598</v>
      </c>
      <c r="AG1444">
        <v>-1.0294930799999999</v>
      </c>
      <c r="AH1444">
        <v>46.5411764890613</v>
      </c>
      <c r="AI1444">
        <v>91.247161140920298</v>
      </c>
      <c r="AJ1444">
        <v>79.800761959665493</v>
      </c>
      <c r="AK1444">
        <v>47.299634980982603</v>
      </c>
      <c r="AL1444">
        <v>96.433070364114698</v>
      </c>
      <c r="AM1444">
        <v>90.314670464389494</v>
      </c>
      <c r="AN1444">
        <v>0.99999997080513403</v>
      </c>
    </row>
    <row r="1445" spans="1:40" x14ac:dyDescent="0.25">
      <c r="A1445" t="str">
        <f>"20190305134930240"</f>
        <v>20190305134930240</v>
      </c>
      <c r="B1445" t="str">
        <f>"1551764970232401"</f>
        <v>1551764970232401</v>
      </c>
      <c r="C1445" t="s">
        <v>40</v>
      </c>
      <c r="D1445">
        <v>4.0385289999999996</v>
      </c>
      <c r="E1445">
        <v>0.57229209999999997</v>
      </c>
      <c r="F1445" t="s">
        <v>44</v>
      </c>
      <c r="G1445">
        <v>-176.4967</v>
      </c>
      <c r="H1445">
        <v>7.9988030000000002E-2</v>
      </c>
      <c r="I1445">
        <v>358.97559999999999</v>
      </c>
      <c r="J1445">
        <v>-225.33189999999999</v>
      </c>
      <c r="K1445">
        <v>1.109486</v>
      </c>
      <c r="L1445">
        <v>368.22739999999999</v>
      </c>
      <c r="M1445">
        <v>0.99987110000000001</v>
      </c>
      <c r="N1445">
        <v>-1.4390790000000001E-2</v>
      </c>
      <c r="O1445">
        <v>-7.1343509999999997E-3</v>
      </c>
      <c r="P1445">
        <v>0.99201950000000005</v>
      </c>
      <c r="Q1445">
        <v>-0.1260608</v>
      </c>
      <c r="R1445">
        <v>-2.437182E-3</v>
      </c>
      <c r="S1445">
        <v>3.0152890000000001</v>
      </c>
      <c r="T1445">
        <v>-6.3353300000000001E-2</v>
      </c>
      <c r="U1445">
        <v>-0.56942749999999998</v>
      </c>
      <c r="V1445">
        <v>-4.7520449999999999E-3</v>
      </c>
      <c r="W1445">
        <v>-0.1117673</v>
      </c>
      <c r="X1445">
        <v>0.99372300000000002</v>
      </c>
      <c r="Y1445">
        <v>0.17848610000000001</v>
      </c>
      <c r="Z1445">
        <v>-3.1075090000000001E-3</v>
      </c>
      <c r="AA1445">
        <v>0.98393750000000002</v>
      </c>
      <c r="AB1445">
        <v>32</v>
      </c>
      <c r="AC1445">
        <v>48.835199999999901</v>
      </c>
      <c r="AD1445">
        <v>-1.02949797</v>
      </c>
      <c r="AE1445">
        <v>-9.2517999999999994</v>
      </c>
      <c r="AF1445">
        <v>8.8993030700562894</v>
      </c>
      <c r="AG1445">
        <v>-1.02949797</v>
      </c>
      <c r="AH1445">
        <v>48.878999563386003</v>
      </c>
      <c r="AI1445">
        <v>91.187086155488501</v>
      </c>
      <c r="AJ1445">
        <v>79.6812970831418</v>
      </c>
      <c r="AK1445">
        <v>49.693199328685203</v>
      </c>
      <c r="AL1445">
        <v>96.4172029956502</v>
      </c>
      <c r="AM1445">
        <v>90.273989881621404</v>
      </c>
      <c r="AN1445">
        <v>0.99999995600498504</v>
      </c>
    </row>
    <row r="1446" spans="1:40" x14ac:dyDescent="0.25">
      <c r="A1446" t="str">
        <f>"20190305134930250"</f>
        <v>20190305134930250</v>
      </c>
      <c r="B1446" t="str">
        <f>"1551764970242161"</f>
        <v>1551764970242161</v>
      </c>
      <c r="C1446" t="s">
        <v>40</v>
      </c>
      <c r="D1446">
        <v>4.1439779999999997</v>
      </c>
      <c r="E1446">
        <v>0.57210090000000002</v>
      </c>
      <c r="F1446" t="s">
        <v>43</v>
      </c>
      <c r="G1446">
        <v>-167.75919999999999</v>
      </c>
      <c r="H1446">
        <v>-0.05</v>
      </c>
      <c r="I1446">
        <v>357.2525</v>
      </c>
      <c r="J1446">
        <v>-225.17599999999999</v>
      </c>
      <c r="K1446">
        <v>1.109491</v>
      </c>
      <c r="L1446">
        <v>368.22609999999997</v>
      </c>
      <c r="M1446">
        <v>0.99986949999999997</v>
      </c>
      <c r="N1446">
        <v>-1.43892E-2</v>
      </c>
      <c r="O1446">
        <v>-7.3580410000000001E-3</v>
      </c>
      <c r="P1446">
        <v>0.99202310000000005</v>
      </c>
      <c r="Q1446">
        <v>-0.1259989</v>
      </c>
      <c r="R1446">
        <v>-3.8227230000000001E-3</v>
      </c>
      <c r="S1446">
        <v>3.014999</v>
      </c>
      <c r="T1446">
        <v>-6.072056E-2</v>
      </c>
      <c r="U1446">
        <v>-0.57473750000000001</v>
      </c>
      <c r="V1446">
        <v>-3.588305E-3</v>
      </c>
      <c r="W1446">
        <v>-0.1117079</v>
      </c>
      <c r="X1446">
        <v>0.99373460000000002</v>
      </c>
      <c r="Y1446">
        <v>0.17995939999999999</v>
      </c>
      <c r="Z1446">
        <v>-3.0605060000000002E-3</v>
      </c>
      <c r="AA1446">
        <v>0.98366929999999997</v>
      </c>
      <c r="AB1446">
        <v>32</v>
      </c>
      <c r="AC1446">
        <v>57.416800000000002</v>
      </c>
      <c r="AD1446">
        <v>-1.159491</v>
      </c>
      <c r="AE1446">
        <v>-10.9735999999999</v>
      </c>
      <c r="AF1446">
        <v>10.546634563368199</v>
      </c>
      <c r="AG1446">
        <v>-1.159491</v>
      </c>
      <c r="AH1446">
        <v>57.473385717498097</v>
      </c>
      <c r="AI1446">
        <v>91.136774840087995</v>
      </c>
      <c r="AJ1446">
        <v>79.601644944015604</v>
      </c>
      <c r="AK1446">
        <v>58.444554800465703</v>
      </c>
      <c r="AL1446">
        <v>96.413777940554297</v>
      </c>
      <c r="AM1446">
        <v>90.206890087698099</v>
      </c>
      <c r="AN1446">
        <v>0.99999999304617104</v>
      </c>
    </row>
    <row r="1447" spans="1:40" x14ac:dyDescent="0.25">
      <c r="A1447" t="str">
        <f>"20190305134930262"</f>
        <v>20190305134930262</v>
      </c>
      <c r="B1447" t="str">
        <f>"1551764970251919"</f>
        <v>1551764970251919</v>
      </c>
      <c r="C1447" t="s">
        <v>40</v>
      </c>
      <c r="D1447">
        <v>4.1175179999999996</v>
      </c>
      <c r="E1447">
        <v>0.57187100000000002</v>
      </c>
      <c r="F1447" t="s">
        <v>44</v>
      </c>
      <c r="G1447">
        <v>-175.39179999999999</v>
      </c>
      <c r="H1447">
        <v>7.9988080000000003E-2</v>
      </c>
      <c r="I1447">
        <v>358.6848</v>
      </c>
      <c r="J1447">
        <v>-225.01570000000001</v>
      </c>
      <c r="K1447">
        <v>1.1094980000000001</v>
      </c>
      <c r="L1447">
        <v>368.22460000000001</v>
      </c>
      <c r="M1447">
        <v>0.99986770000000003</v>
      </c>
      <c r="N1447">
        <v>-1.4387530000000001E-2</v>
      </c>
      <c r="O1447">
        <v>-7.5858919999999899E-3</v>
      </c>
      <c r="P1447">
        <v>0.99197670000000004</v>
      </c>
      <c r="Q1447">
        <v>-0.12632579999999999</v>
      </c>
      <c r="R1447">
        <v>-4.8665319999999998E-3</v>
      </c>
      <c r="S1447">
        <v>3.0139770000000001</v>
      </c>
      <c r="T1447">
        <v>-6.2326909999999999E-2</v>
      </c>
      <c r="U1447">
        <v>-0.577636699999999</v>
      </c>
      <c r="V1447">
        <v>-2.7693879999999998E-3</v>
      </c>
      <c r="W1447">
        <v>-0.1120379</v>
      </c>
      <c r="X1447">
        <v>0.99370009999999998</v>
      </c>
      <c r="Y1447">
        <v>0.1807066</v>
      </c>
      <c r="Z1447">
        <v>-3.1161520000000001E-3</v>
      </c>
      <c r="AA1447">
        <v>0.98353210000000002</v>
      </c>
      <c r="AB1447">
        <v>32</v>
      </c>
      <c r="AC1447">
        <v>49.623899999999999</v>
      </c>
      <c r="AD1447">
        <v>-1.02950992</v>
      </c>
      <c r="AE1447">
        <v>-9.5398000000000103</v>
      </c>
      <c r="AF1447">
        <v>9.1592432285154999</v>
      </c>
      <c r="AG1447">
        <v>-1.02950992</v>
      </c>
      <c r="AH1447">
        <v>49.674229097471098</v>
      </c>
      <c r="AI1447">
        <v>91.1676212716132</v>
      </c>
      <c r="AJ1447">
        <v>79.552788946576996</v>
      </c>
      <c r="AK1447">
        <v>50.522080951031</v>
      </c>
      <c r="AL1447">
        <v>96.432804785751102</v>
      </c>
      <c r="AM1447">
        <v>90.159679800198305</v>
      </c>
      <c r="AN1447">
        <v>1.00000002464315</v>
      </c>
    </row>
    <row r="1448" spans="1:40" x14ac:dyDescent="0.25">
      <c r="A1448" t="str">
        <f>"20190305134930272"</f>
        <v>20190305134930272</v>
      </c>
      <c r="B1448" t="str">
        <f>"1551764970262187"</f>
        <v>1551764970262187</v>
      </c>
      <c r="C1448" t="s">
        <v>40</v>
      </c>
      <c r="D1448">
        <v>4.1030230000000003</v>
      </c>
      <c r="E1448">
        <v>0.57169380000000003</v>
      </c>
      <c r="F1448" t="s">
        <v>44</v>
      </c>
      <c r="G1448">
        <v>-177.65209999999999</v>
      </c>
      <c r="H1448">
        <v>7.9987989999999995E-2</v>
      </c>
      <c r="I1448">
        <v>359.1173</v>
      </c>
      <c r="J1448">
        <v>-224.8674</v>
      </c>
      <c r="K1448">
        <v>1.109502</v>
      </c>
      <c r="L1448">
        <v>368.22329999999999</v>
      </c>
      <c r="M1448">
        <v>0.99986609999999998</v>
      </c>
      <c r="N1448">
        <v>-1.438598E-2</v>
      </c>
      <c r="O1448">
        <v>-7.7959880000000002E-3</v>
      </c>
      <c r="P1448">
        <v>0.99194300000000002</v>
      </c>
      <c r="Q1448">
        <v>-0.12654499999999999</v>
      </c>
      <c r="R1448">
        <v>-5.9771850000000003E-3</v>
      </c>
      <c r="S1448">
        <v>3.0130919999999999</v>
      </c>
      <c r="T1448">
        <v>-6.5493579999999996E-2</v>
      </c>
      <c r="U1448">
        <v>-0.57937620000000001</v>
      </c>
      <c r="V1448">
        <v>-1.8662139999999999E-3</v>
      </c>
      <c r="W1448">
        <v>-0.11225980000000001</v>
      </c>
      <c r="X1448">
        <v>0.99367709999999998</v>
      </c>
      <c r="Y1448">
        <v>0.1810956</v>
      </c>
      <c r="Z1448">
        <v>-3.2081409999999999E-3</v>
      </c>
      <c r="AA1448">
        <v>0.98346020000000001</v>
      </c>
      <c r="AB1448">
        <v>32</v>
      </c>
      <c r="AC1448">
        <v>47.215299999999999</v>
      </c>
      <c r="AD1448">
        <v>-1.02951401</v>
      </c>
      <c r="AE1448">
        <v>-9.1059999999999892</v>
      </c>
      <c r="AF1448">
        <v>8.73359178121372</v>
      </c>
      <c r="AG1448">
        <v>-1.02951401</v>
      </c>
      <c r="AH1448">
        <v>47.263197343785897</v>
      </c>
      <c r="AI1448">
        <v>91.227084483013201</v>
      </c>
      <c r="AJ1448">
        <v>79.530620739421593</v>
      </c>
      <c r="AK1448">
        <v>48.074373086451402</v>
      </c>
      <c r="AL1448">
        <v>96.445599838838802</v>
      </c>
      <c r="AM1448">
        <v>90.107606444941894</v>
      </c>
      <c r="AN1448">
        <v>0.99999996225757104</v>
      </c>
    </row>
    <row r="1449" spans="1:40" x14ac:dyDescent="0.25">
      <c r="A1449" t="str">
        <f>"20190305134930283"</f>
        <v>20190305134930283</v>
      </c>
      <c r="B1449" t="str">
        <f>"1551764970271947"</f>
        <v>1551764970271947</v>
      </c>
      <c r="C1449" t="s">
        <v>40</v>
      </c>
      <c r="D1449">
        <v>4.1321139999999996</v>
      </c>
      <c r="E1449">
        <v>0.57150649999999903</v>
      </c>
      <c r="F1449" t="s">
        <v>44</v>
      </c>
      <c r="G1449">
        <v>-179.38</v>
      </c>
      <c r="H1449">
        <v>7.9987909999999995E-2</v>
      </c>
      <c r="I1449">
        <v>359.44310000000002</v>
      </c>
      <c r="J1449">
        <v>-224.71289999999999</v>
      </c>
      <c r="K1449">
        <v>1.1095060000000001</v>
      </c>
      <c r="L1449">
        <v>368.22190000000001</v>
      </c>
      <c r="M1449">
        <v>0.99986450000000004</v>
      </c>
      <c r="N1449">
        <v>-1.4384350000000001E-2</v>
      </c>
      <c r="O1449">
        <v>-8.013236E-3</v>
      </c>
      <c r="P1449">
        <v>0.99192749999999996</v>
      </c>
      <c r="Q1449">
        <v>-0.12661620000000001</v>
      </c>
      <c r="R1449">
        <v>-6.9492190000000004E-3</v>
      </c>
      <c r="S1449">
        <v>3.0121609999999999</v>
      </c>
      <c r="T1449">
        <v>-6.8174120000000005E-2</v>
      </c>
      <c r="U1449">
        <v>-0.58142090000000002</v>
      </c>
      <c r="V1449">
        <v>-1.10951E-3</v>
      </c>
      <c r="W1449">
        <v>-0.1123335</v>
      </c>
      <c r="X1449">
        <v>0.99366989999999999</v>
      </c>
      <c r="Y1449">
        <v>0.18157719999999999</v>
      </c>
      <c r="Z1449">
        <v>-3.288572E-3</v>
      </c>
      <c r="AA1449">
        <v>0.9833712</v>
      </c>
      <c r="AB1449">
        <v>32</v>
      </c>
      <c r="AC1449">
        <v>45.332900000000002</v>
      </c>
      <c r="AD1449">
        <v>-1.0295180899999901</v>
      </c>
      <c r="AE1449">
        <v>-8.7787999999999897</v>
      </c>
      <c r="AF1449">
        <v>8.4110360878669095</v>
      </c>
      <c r="AG1449">
        <v>-1.0295180899999901</v>
      </c>
      <c r="AH1449">
        <v>45.379239619101597</v>
      </c>
      <c r="AI1449">
        <v>91.277887613046801</v>
      </c>
      <c r="AJ1449">
        <v>79.499400461211707</v>
      </c>
      <c r="AK1449">
        <v>46.163630966128302</v>
      </c>
      <c r="AL1449">
        <v>96.449849443978806</v>
      </c>
      <c r="AM1449">
        <v>90.063975183216201</v>
      </c>
      <c r="AN1449">
        <v>0.99999995820034904</v>
      </c>
    </row>
    <row r="1450" spans="1:40" x14ac:dyDescent="0.25">
      <c r="A1450" t="str">
        <f>"20190305134930295"</f>
        <v>20190305134930295</v>
      </c>
      <c r="B1450" t="str">
        <f>"1551764970292443"</f>
        <v>1551764970292443</v>
      </c>
      <c r="C1450" t="s">
        <v>40</v>
      </c>
      <c r="D1450">
        <v>4.1436710000000003</v>
      </c>
      <c r="E1450">
        <v>0.57113150000000001</v>
      </c>
      <c r="F1450" t="s">
        <v>44</v>
      </c>
      <c r="G1450">
        <v>-179.9821</v>
      </c>
      <c r="H1450">
        <v>6.7843089999999995E-2</v>
      </c>
      <c r="I1450">
        <v>359.56020000000001</v>
      </c>
      <c r="J1450">
        <v>-224.5642</v>
      </c>
      <c r="K1450">
        <v>1.109507</v>
      </c>
      <c r="L1450">
        <v>368.22050000000002</v>
      </c>
      <c r="M1450">
        <v>0.99986269999999999</v>
      </c>
      <c r="N1450">
        <v>-1.4382789999999999E-2</v>
      </c>
      <c r="O1450">
        <v>-8.2216700000000004E-3</v>
      </c>
      <c r="P1450">
        <v>0.99196589999999996</v>
      </c>
      <c r="Q1450">
        <v>-0.12625140000000001</v>
      </c>
      <c r="R1450">
        <v>-8.0264469999999904E-3</v>
      </c>
      <c r="S1450">
        <v>3.0113829999999999</v>
      </c>
      <c r="T1450">
        <v>-7.0127250000000002E-2</v>
      </c>
      <c r="U1450">
        <v>-0.58312989999999998</v>
      </c>
      <c r="V1450">
        <v>-2.3816700000000001E-4</v>
      </c>
      <c r="W1450">
        <v>-0.1119705</v>
      </c>
      <c r="X1450">
        <v>0.99371149999999997</v>
      </c>
      <c r="Y1450">
        <v>0.1819538</v>
      </c>
      <c r="Z1450">
        <v>-3.3472850000000002E-3</v>
      </c>
      <c r="AA1450">
        <v>0.98330139999999999</v>
      </c>
      <c r="AB1450">
        <v>32</v>
      </c>
      <c r="AC1450">
        <v>44.582099999999997</v>
      </c>
      <c r="AD1450">
        <v>-1.04166391</v>
      </c>
      <c r="AE1450">
        <v>-8.6602999999999994</v>
      </c>
      <c r="AF1450">
        <v>8.28906930753136</v>
      </c>
      <c r="AG1450">
        <v>-1.04166391</v>
      </c>
      <c r="AH1450">
        <v>44.6283245303539</v>
      </c>
      <c r="AI1450">
        <v>91.314615289347401</v>
      </c>
      <c r="AJ1450">
        <v>79.478034351025997</v>
      </c>
      <c r="AK1450">
        <v>45.403536030501499</v>
      </c>
      <c r="AL1450">
        <v>96.428918773172597</v>
      </c>
      <c r="AM1450">
        <v>90.013732319348193</v>
      </c>
      <c r="AN1450">
        <v>0.99999999741300905</v>
      </c>
    </row>
    <row r="1451" spans="1:40" x14ac:dyDescent="0.25">
      <c r="A1451" t="str">
        <f>"20190305134930306"</f>
        <v>20190305134930306</v>
      </c>
      <c r="B1451" t="str">
        <f>"1551764970302203"</f>
        <v>1551764970302203</v>
      </c>
      <c r="C1451" t="s">
        <v>40</v>
      </c>
      <c r="D1451">
        <v>4.1630529999999997</v>
      </c>
      <c r="E1451">
        <v>0.57095810000000002</v>
      </c>
      <c r="F1451" t="s">
        <v>44</v>
      </c>
      <c r="G1451">
        <v>-180</v>
      </c>
      <c r="H1451">
        <v>4.9974480000000002E-2</v>
      </c>
      <c r="I1451">
        <v>359.58609999999999</v>
      </c>
      <c r="J1451">
        <v>-224.39699999999999</v>
      </c>
      <c r="K1451">
        <v>1.1095139999999999</v>
      </c>
      <c r="L1451">
        <v>368.21890000000002</v>
      </c>
      <c r="M1451">
        <v>0.99986079999999999</v>
      </c>
      <c r="N1451">
        <v>-1.4381039999999999E-2</v>
      </c>
      <c r="O1451">
        <v>-8.4548969999999994E-3</v>
      </c>
      <c r="P1451">
        <v>0.99196709999999999</v>
      </c>
      <c r="Q1451">
        <v>-0.12615999999999999</v>
      </c>
      <c r="R1451">
        <v>-9.1978630000000006E-3</v>
      </c>
      <c r="S1451">
        <v>3.0104519999999999</v>
      </c>
      <c r="T1451">
        <v>-7.1574810000000003E-2</v>
      </c>
      <c r="U1451">
        <v>-0.58328250000000004</v>
      </c>
      <c r="V1451">
        <v>7.0269389999999998E-4</v>
      </c>
      <c r="W1451">
        <v>-0.1118816</v>
      </c>
      <c r="X1451">
        <v>0.99372130000000003</v>
      </c>
      <c r="Y1451">
        <v>0.18182670000000001</v>
      </c>
      <c r="Z1451">
        <v>-3.3825270000000002E-3</v>
      </c>
      <c r="AA1451">
        <v>0.9833248</v>
      </c>
      <c r="AB1451">
        <v>31</v>
      </c>
      <c r="AC1451">
        <v>44.396999999999998</v>
      </c>
      <c r="AD1451">
        <v>-1.05953952</v>
      </c>
      <c r="AE1451">
        <v>-8.6328000000000298</v>
      </c>
      <c r="AF1451">
        <v>8.2525515186882998</v>
      </c>
      <c r="AG1451">
        <v>-1.05953952</v>
      </c>
      <c r="AH1451">
        <v>44.444019138687402</v>
      </c>
      <c r="AI1451">
        <v>91.342722273593594</v>
      </c>
      <c r="AJ1451">
        <v>79.480882781234101</v>
      </c>
      <c r="AK1451">
        <v>45.216126191471297</v>
      </c>
      <c r="AL1451">
        <v>96.423792927210997</v>
      </c>
      <c r="AM1451">
        <v>89.9594842255581</v>
      </c>
      <c r="AN1451">
        <v>1.00000000413548</v>
      </c>
    </row>
    <row r="1452" spans="1:40" x14ac:dyDescent="0.25">
      <c r="A1452" t="str">
        <f>"20190305134930316"</f>
        <v>20190305134930316</v>
      </c>
      <c r="B1452" t="str">
        <f>"1551764970311963"</f>
        <v>1551764970311963</v>
      </c>
      <c r="C1452" t="s">
        <v>40</v>
      </c>
      <c r="D1452">
        <v>4.1589519999999904</v>
      </c>
      <c r="E1452">
        <v>0.57078790000000001</v>
      </c>
      <c r="F1452" t="s">
        <v>44</v>
      </c>
      <c r="G1452">
        <v>-180</v>
      </c>
      <c r="H1452">
        <v>3.6113590000000001E-2</v>
      </c>
      <c r="I1452">
        <v>359.57839999999999</v>
      </c>
      <c r="J1452">
        <v>-224.25810000000001</v>
      </c>
      <c r="K1452">
        <v>1.1095170000000001</v>
      </c>
      <c r="L1452">
        <v>368.21749999999997</v>
      </c>
      <c r="M1452">
        <v>0.99985930000000001</v>
      </c>
      <c r="N1452">
        <v>-1.4379589999999999E-2</v>
      </c>
      <c r="O1452">
        <v>-8.6479669999999995E-3</v>
      </c>
      <c r="P1452">
        <v>0.99196930000000005</v>
      </c>
      <c r="Q1452">
        <v>-0.12606619999999999</v>
      </c>
      <c r="R1452">
        <v>-1.02147E-2</v>
      </c>
      <c r="S1452">
        <v>3.009598</v>
      </c>
      <c r="T1452">
        <v>-7.2764040000000002E-2</v>
      </c>
      <c r="U1452">
        <v>-0.58572389999999996</v>
      </c>
      <c r="V1452">
        <v>1.528115E-3</v>
      </c>
      <c r="W1452">
        <v>-0.111789899999999</v>
      </c>
      <c r="X1452">
        <v>0.99373069999999997</v>
      </c>
      <c r="Y1452">
        <v>0.18245510000000001</v>
      </c>
      <c r="Z1452">
        <v>-3.4253619999999999E-3</v>
      </c>
      <c r="AA1452">
        <v>0.98320819999999998</v>
      </c>
      <c r="AB1452">
        <v>31</v>
      </c>
      <c r="AC1452">
        <v>44.258099999999999</v>
      </c>
      <c r="AD1452">
        <v>-1.0734034100000001</v>
      </c>
      <c r="AE1452">
        <v>-8.6390999999999796</v>
      </c>
      <c r="AF1452">
        <v>8.2513192968294398</v>
      </c>
      <c r="AG1452">
        <v>-1.0734034100000001</v>
      </c>
      <c r="AH1452">
        <v>44.306057843702398</v>
      </c>
      <c r="AI1452">
        <v>91.364384162329699</v>
      </c>
      <c r="AJ1452">
        <v>79.450402569473795</v>
      </c>
      <c r="AK1452">
        <v>45.080630282509702</v>
      </c>
      <c r="AL1452">
        <v>96.418505695120203</v>
      </c>
      <c r="AM1452">
        <v>89.911893160694802</v>
      </c>
      <c r="AN1452">
        <v>1.00000001049997</v>
      </c>
    </row>
    <row r="1453" spans="1:40" x14ac:dyDescent="0.25">
      <c r="A1453" t="str">
        <f>"20190305134930327"</f>
        <v>20190305134930327</v>
      </c>
      <c r="B1453" t="str">
        <f>"1551764970321723"</f>
        <v>1551764970321723</v>
      </c>
      <c r="C1453" t="s">
        <v>40</v>
      </c>
      <c r="D1453">
        <v>4.1464119999999998</v>
      </c>
      <c r="E1453">
        <v>0.57068409999999903</v>
      </c>
      <c r="F1453" t="s">
        <v>44</v>
      </c>
      <c r="G1453">
        <v>-180</v>
      </c>
      <c r="H1453">
        <v>2.4555170000000001E-2</v>
      </c>
      <c r="I1453">
        <v>359.57600000000002</v>
      </c>
      <c r="J1453">
        <v>-224.09970000000001</v>
      </c>
      <c r="K1453">
        <v>1.1095189999999999</v>
      </c>
      <c r="L1453">
        <v>368.21589999999998</v>
      </c>
      <c r="M1453">
        <v>0.99985740000000001</v>
      </c>
      <c r="N1453">
        <v>-1.4377930000000001E-2</v>
      </c>
      <c r="O1453">
        <v>-8.8678549999999991E-3</v>
      </c>
      <c r="P1453">
        <v>0.9919772</v>
      </c>
      <c r="Q1453">
        <v>-0.12592600000000001</v>
      </c>
      <c r="R1453">
        <v>-1.114271E-2</v>
      </c>
      <c r="S1453">
        <v>3.0088810000000001</v>
      </c>
      <c r="T1453">
        <v>-7.3760989999999999E-2</v>
      </c>
      <c r="U1453">
        <v>-0.58749390000000001</v>
      </c>
      <c r="V1453">
        <v>2.2383899999999998E-3</v>
      </c>
      <c r="W1453">
        <v>-0.11165170000000001</v>
      </c>
      <c r="X1453">
        <v>0.99374490000000004</v>
      </c>
      <c r="Y1453">
        <v>0.1828381</v>
      </c>
      <c r="Z1453">
        <v>-3.4579440000000001E-3</v>
      </c>
      <c r="AA1453">
        <v>0.98313700000000004</v>
      </c>
      <c r="AB1453">
        <v>31</v>
      </c>
      <c r="AC1453">
        <v>44.099699999999999</v>
      </c>
      <c r="AD1453">
        <v>-1.08496383</v>
      </c>
      <c r="AE1453">
        <v>-8.6399000000000097</v>
      </c>
      <c r="AF1453">
        <v>8.2436447679535494</v>
      </c>
      <c r="AG1453">
        <v>-1.08496383</v>
      </c>
      <c r="AH1453">
        <v>44.148856122522801</v>
      </c>
      <c r="AI1453">
        <v>91.383859367024201</v>
      </c>
      <c r="AJ1453">
        <v>79.423310093388196</v>
      </c>
      <c r="AK1453">
        <v>44.925007762935699</v>
      </c>
      <c r="AL1453">
        <v>96.410537477655694</v>
      </c>
      <c r="AM1453">
        <v>89.870942650366999</v>
      </c>
      <c r="AN1453">
        <v>1.0000000193893399</v>
      </c>
    </row>
    <row r="1454" spans="1:40" x14ac:dyDescent="0.25">
      <c r="A1454" t="str">
        <f>"20190305134930338"</f>
        <v>20190305134930338</v>
      </c>
      <c r="B1454" t="str">
        <f>"1551764970332459"</f>
        <v>1551764970332459</v>
      </c>
      <c r="C1454" t="s">
        <v>40</v>
      </c>
      <c r="D1454">
        <v>4.3050550000000003</v>
      </c>
      <c r="E1454">
        <v>0.57068409999999903</v>
      </c>
      <c r="F1454" t="s">
        <v>44</v>
      </c>
      <c r="G1454">
        <v>-180</v>
      </c>
      <c r="H1454">
        <v>2.1736869999999998E-2</v>
      </c>
      <c r="I1454">
        <v>359.57069999999999</v>
      </c>
      <c r="J1454">
        <v>-223.96010000000001</v>
      </c>
      <c r="K1454">
        <v>1.109523</v>
      </c>
      <c r="L1454">
        <v>368.21440000000001</v>
      </c>
      <c r="M1454">
        <v>0.99985579999999996</v>
      </c>
      <c r="N1454">
        <v>-1.4376470000000001E-2</v>
      </c>
      <c r="O1454">
        <v>-9.0614110000000001E-3</v>
      </c>
      <c r="P1454">
        <v>0.99195719999999998</v>
      </c>
      <c r="Q1454">
        <v>-0.12597149999999999</v>
      </c>
      <c r="R1454">
        <v>-1.2353390000000001E-2</v>
      </c>
      <c r="S1454">
        <v>3.0082089999999999</v>
      </c>
      <c r="T1454">
        <v>-7.4201699999999995E-2</v>
      </c>
      <c r="U1454">
        <v>-0.58972170000000002</v>
      </c>
      <c r="V1454">
        <v>3.2574290000000001E-3</v>
      </c>
      <c r="W1454">
        <v>-0.1116997</v>
      </c>
      <c r="X1454">
        <v>0.99373670000000003</v>
      </c>
      <c r="Y1454">
        <v>0.1833892</v>
      </c>
      <c r="Z1454">
        <v>-3.4789230000000001E-3</v>
      </c>
      <c r="AA1454">
        <v>0.98303430000000003</v>
      </c>
      <c r="AB1454">
        <v>31</v>
      </c>
      <c r="AC1454">
        <v>43.960099999999997</v>
      </c>
      <c r="AD1454">
        <v>-1.08778613</v>
      </c>
      <c r="AE1454">
        <v>-8.6437000000000204</v>
      </c>
      <c r="AF1454">
        <v>8.2401057595984604</v>
      </c>
      <c r="AG1454">
        <v>-1.08778613</v>
      </c>
      <c r="AH1454">
        <v>44.010682027009203</v>
      </c>
      <c r="AI1454">
        <v>91.391684937794196</v>
      </c>
      <c r="AJ1454">
        <v>79.395307829400593</v>
      </c>
      <c r="AK1454">
        <v>44.788645369965202</v>
      </c>
      <c r="AL1454">
        <v>96.413304909412005</v>
      </c>
      <c r="AM1454">
        <v>89.812187408097898</v>
      </c>
      <c r="AN1454">
        <v>1.0000000313753299</v>
      </c>
    </row>
    <row r="1455" spans="1:40" x14ac:dyDescent="0.25">
      <c r="A1455" t="str">
        <f>"20190305134930348"</f>
        <v>20190305134930348</v>
      </c>
      <c r="B1455" t="str">
        <f>"1551764970342219"</f>
        <v>1551764970342219</v>
      </c>
      <c r="C1455" t="s">
        <v>40</v>
      </c>
      <c r="D1455">
        <v>4.3830609999999997</v>
      </c>
      <c r="E1455">
        <v>0.57178229999999997</v>
      </c>
      <c r="F1455" t="s">
        <v>44</v>
      </c>
      <c r="G1455">
        <v>-180</v>
      </c>
      <c r="H1455">
        <v>2.1158590000000001E-2</v>
      </c>
      <c r="I1455">
        <v>359.5419</v>
      </c>
      <c r="J1455">
        <v>-223.80699999999999</v>
      </c>
      <c r="K1455">
        <v>1.1095269999999999</v>
      </c>
      <c r="L1455">
        <v>368.21289999999999</v>
      </c>
      <c r="M1455">
        <v>0.99985380000000001</v>
      </c>
      <c r="N1455">
        <v>-1.437486E-2</v>
      </c>
      <c r="O1455">
        <v>-9.2732019999999995E-3</v>
      </c>
      <c r="P1455">
        <v>0.99195679999999997</v>
      </c>
      <c r="Q1455">
        <v>-0.12589539999999999</v>
      </c>
      <c r="R1455">
        <v>-1.313228E-2</v>
      </c>
      <c r="S1455">
        <v>3.0074770000000002</v>
      </c>
      <c r="T1455">
        <v>-7.4459200000000003E-2</v>
      </c>
      <c r="U1455">
        <v>-0.59332280000000004</v>
      </c>
      <c r="V1455">
        <v>3.8265370000000001E-3</v>
      </c>
      <c r="W1455">
        <v>-0.11162569999999999</v>
      </c>
      <c r="X1455">
        <v>0.99374289999999998</v>
      </c>
      <c r="Y1455">
        <v>0.1843583</v>
      </c>
      <c r="Z1455">
        <v>-3.5029000000000002E-3</v>
      </c>
      <c r="AA1455">
        <v>0.98285290000000003</v>
      </c>
      <c r="AB1455">
        <v>31</v>
      </c>
      <c r="AC1455">
        <v>43.807000000000002</v>
      </c>
      <c r="AD1455">
        <v>-1.08836841</v>
      </c>
      <c r="AE1455">
        <v>-8.6709999999999905</v>
      </c>
      <c r="AF1455">
        <v>8.2594480310362908</v>
      </c>
      <c r="AG1455">
        <v>-1.08836841</v>
      </c>
      <c r="AH1455">
        <v>43.859480454778897</v>
      </c>
      <c r="AI1455">
        <v>91.396952771437199</v>
      </c>
      <c r="AJ1455">
        <v>79.335178193521202</v>
      </c>
      <c r="AK1455">
        <v>44.643667561440402</v>
      </c>
      <c r="AL1455">
        <v>96.4090388934559</v>
      </c>
      <c r="AM1455">
        <v>89.779376198154296</v>
      </c>
      <c r="AN1455">
        <v>0.99999994529315395</v>
      </c>
    </row>
    <row r="1456" spans="1:40" x14ac:dyDescent="0.25">
      <c r="A1456" t="str">
        <f>"20190305134930360"</f>
        <v>20190305134930360</v>
      </c>
      <c r="B1456" t="str">
        <f>"1551764970351979"</f>
        <v>1551764970351979</v>
      </c>
      <c r="C1456" t="s">
        <v>40</v>
      </c>
      <c r="D1456">
        <v>4.4016650000000004</v>
      </c>
      <c r="E1456">
        <v>0.57311459999999903</v>
      </c>
      <c r="F1456" t="s">
        <v>44</v>
      </c>
      <c r="G1456">
        <v>-180.82560000000001</v>
      </c>
      <c r="H1456" s="1">
        <v>-5.804627E-6</v>
      </c>
      <c r="I1456">
        <v>359.56779999999998</v>
      </c>
      <c r="J1456">
        <v>-223.65350000000001</v>
      </c>
      <c r="K1456">
        <v>1.109531</v>
      </c>
      <c r="L1456">
        <v>368.21120000000002</v>
      </c>
      <c r="M1456">
        <v>0.99985179999999996</v>
      </c>
      <c r="N1456">
        <v>-1.4373250000000001E-2</v>
      </c>
      <c r="O1456">
        <v>-9.4873979999999993E-3</v>
      </c>
      <c r="P1456">
        <v>0.99195610000000001</v>
      </c>
      <c r="Q1456">
        <v>-0.1258013</v>
      </c>
      <c r="R1456">
        <v>-1.406936E-2</v>
      </c>
      <c r="S1456">
        <v>3.0064850000000001</v>
      </c>
      <c r="T1456">
        <v>-7.7610139999999994E-2</v>
      </c>
      <c r="U1456">
        <v>-0.60470579999999996</v>
      </c>
      <c r="V1456">
        <v>4.5508409999999999E-3</v>
      </c>
      <c r="W1456">
        <v>-0.1115337</v>
      </c>
      <c r="X1456">
        <v>0.99375020000000003</v>
      </c>
      <c r="Y1456">
        <v>0.18777969999999999</v>
      </c>
      <c r="Z1456">
        <v>-3.6552339999999998E-3</v>
      </c>
      <c r="AA1456">
        <v>0.98220439999999998</v>
      </c>
      <c r="AB1456">
        <v>31</v>
      </c>
      <c r="AC1456">
        <v>42.8279</v>
      </c>
      <c r="AD1456">
        <v>-1.109536804627</v>
      </c>
      <c r="AE1456">
        <v>-8.6434000000000406</v>
      </c>
      <c r="AF1456">
        <v>8.2313352658233594</v>
      </c>
      <c r="AG1456">
        <v>-1.109536804627</v>
      </c>
      <c r="AH1456">
        <v>42.880330427539803</v>
      </c>
      <c r="AI1456">
        <v>91.455643537991804</v>
      </c>
      <c r="AJ1456">
        <v>79.133650182779803</v>
      </c>
      <c r="AK1456">
        <v>43.677324663424699</v>
      </c>
      <c r="AL1456">
        <v>96.403734411195302</v>
      </c>
      <c r="AM1456">
        <v>89.737618005178902</v>
      </c>
      <c r="AN1456">
        <v>0.999999968194768</v>
      </c>
    </row>
    <row r="1457" spans="1:40" x14ac:dyDescent="0.25">
      <c r="A1457" t="str">
        <f>"20190305134930374"</f>
        <v>20190305134930374</v>
      </c>
      <c r="B1457" t="str">
        <f>"1551764970372008"</f>
        <v>1551764970372008</v>
      </c>
      <c r="C1457" t="s">
        <v>40</v>
      </c>
      <c r="D1457">
        <v>4.3553379999999997</v>
      </c>
      <c r="E1457">
        <v>0.5762507</v>
      </c>
      <c r="F1457" t="s">
        <v>44</v>
      </c>
      <c r="G1457">
        <v>-182.7867</v>
      </c>
      <c r="H1457" s="1">
        <v>-5.779863E-6</v>
      </c>
      <c r="I1457">
        <v>359.80369999999999</v>
      </c>
      <c r="J1457">
        <v>-223.45160000000001</v>
      </c>
      <c r="K1457">
        <v>1.1095269999999999</v>
      </c>
      <c r="L1457">
        <v>368.209</v>
      </c>
      <c r="M1457">
        <v>0.99984910000000005</v>
      </c>
      <c r="N1457">
        <v>-1.4371159999999999E-2</v>
      </c>
      <c r="O1457">
        <v>-9.7718230000000007E-3</v>
      </c>
      <c r="P1457">
        <v>0.99196119999999999</v>
      </c>
      <c r="Q1457">
        <v>-0.12564589999999901</v>
      </c>
      <c r="R1457">
        <v>-1.504802E-2</v>
      </c>
      <c r="S1457">
        <v>3.0052029999999998</v>
      </c>
      <c r="T1457">
        <v>-8.1591369999999996E-2</v>
      </c>
      <c r="U1457">
        <v>-0.61825559999999902</v>
      </c>
      <c r="V1457">
        <v>5.2473119999999996E-3</v>
      </c>
      <c r="W1457">
        <v>-0.1113809</v>
      </c>
      <c r="X1457">
        <v>0.99376390000000003</v>
      </c>
      <c r="Y1457">
        <v>0.19182199999999999</v>
      </c>
      <c r="Z1457">
        <v>-3.846197E-3</v>
      </c>
      <c r="AA1457">
        <v>0.98142220000000002</v>
      </c>
      <c r="AB1457">
        <v>31</v>
      </c>
      <c r="AC1457">
        <v>40.664900000000003</v>
      </c>
      <c r="AD1457">
        <v>-1.1095327798629999</v>
      </c>
      <c r="AE1457">
        <v>-8.4053000000000093</v>
      </c>
      <c r="AF1457">
        <v>8.0017744867486993</v>
      </c>
      <c r="AG1457">
        <v>-1.1095327798629999</v>
      </c>
      <c r="AH1457">
        <v>40.716032142782502</v>
      </c>
      <c r="AI1457">
        <v>91.531669138398499</v>
      </c>
      <c r="AJ1457">
        <v>78.881563628254995</v>
      </c>
      <c r="AK1457">
        <v>41.509694426464698</v>
      </c>
      <c r="AL1457">
        <v>96.394924751189706</v>
      </c>
      <c r="AM1457">
        <v>89.697467338759694</v>
      </c>
      <c r="AN1457">
        <v>0.99999996405562197</v>
      </c>
    </row>
    <row r="1458" spans="1:40" x14ac:dyDescent="0.25">
      <c r="A1458" t="str">
        <f>"20190305134930388"</f>
        <v>20190305134930388</v>
      </c>
      <c r="B1458" t="str">
        <f>"1551764970381769"</f>
        <v>1551764970381769</v>
      </c>
      <c r="C1458" t="s">
        <v>40</v>
      </c>
      <c r="D1458">
        <v>4.3804040000000004</v>
      </c>
      <c r="E1458">
        <v>0.57760800000000001</v>
      </c>
      <c r="F1458" t="s">
        <v>44</v>
      </c>
      <c r="G1458">
        <v>-184.6088</v>
      </c>
      <c r="H1458" s="1">
        <v>-5.6917519999999998E-6</v>
      </c>
      <c r="I1458">
        <v>359.85230000000001</v>
      </c>
      <c r="J1458">
        <v>-223.2533</v>
      </c>
      <c r="K1458">
        <v>1.109526</v>
      </c>
      <c r="L1458">
        <v>368.20679999999999</v>
      </c>
      <c r="M1458">
        <v>0.99984620000000002</v>
      </c>
      <c r="N1458">
        <v>-1.4369130000000001E-2</v>
      </c>
      <c r="O1458">
        <v>-1.0056290000000001E-2</v>
      </c>
      <c r="P1458">
        <v>0.99194760000000004</v>
      </c>
      <c r="Q1458">
        <v>-0.12569330000000001</v>
      </c>
      <c r="R1458">
        <v>-1.55345E-2</v>
      </c>
      <c r="S1458">
        <v>3.003647</v>
      </c>
      <c r="T1458">
        <v>-8.5798260000000001E-2</v>
      </c>
      <c r="U1458">
        <v>-0.6462097</v>
      </c>
      <c r="V1458">
        <v>5.4505899999999999E-3</v>
      </c>
      <c r="W1458">
        <v>-0.1114306</v>
      </c>
      <c r="X1458">
        <v>0.99375720000000001</v>
      </c>
      <c r="Y1458">
        <v>0.20036809999999999</v>
      </c>
      <c r="Z1458">
        <v>-4.1441759999999899E-3</v>
      </c>
      <c r="AA1458">
        <v>0.97971189999999997</v>
      </c>
      <c r="AB1458">
        <v>31</v>
      </c>
      <c r="AC1458">
        <v>38.644500000000001</v>
      </c>
      <c r="AD1458">
        <v>-1.1095316917519999</v>
      </c>
      <c r="AE1458">
        <v>-8.3544999999999696</v>
      </c>
      <c r="AF1458">
        <v>7.9591489849004899</v>
      </c>
      <c r="AG1458">
        <v>-1.1095316917519999</v>
      </c>
      <c r="AH1458">
        <v>38.696095180532303</v>
      </c>
      <c r="AI1458">
        <v>91.608731241764303</v>
      </c>
      <c r="AJ1458">
        <v>78.377295580231305</v>
      </c>
      <c r="AK1458">
        <v>39.521726877246401</v>
      </c>
      <c r="AL1458">
        <v>96.397790407344203</v>
      </c>
      <c r="AM1458">
        <v>89.685745500735706</v>
      </c>
      <c r="AN1458">
        <v>0.99999993004977095</v>
      </c>
    </row>
    <row r="1459" spans="1:40" x14ac:dyDescent="0.25">
      <c r="A1459" t="str">
        <f>"20190305134930402"</f>
        <v>20190305134930402</v>
      </c>
      <c r="B1459" t="str">
        <f>"1551764970392504"</f>
        <v>1551764970392504</v>
      </c>
      <c r="C1459" t="s">
        <v>40</v>
      </c>
      <c r="D1459">
        <v>4.3704789999999996</v>
      </c>
      <c r="E1459">
        <v>0.57882540000000005</v>
      </c>
      <c r="F1459" t="s">
        <v>44</v>
      </c>
      <c r="G1459">
        <v>-185.80549999999999</v>
      </c>
      <c r="H1459" s="1">
        <v>-5.6724530000000001E-6</v>
      </c>
      <c r="I1459">
        <v>359.99020000000002</v>
      </c>
      <c r="J1459">
        <v>-223.06549999999999</v>
      </c>
      <c r="K1459">
        <v>1.109515</v>
      </c>
      <c r="L1459">
        <v>368.20460000000003</v>
      </c>
      <c r="M1459">
        <v>0.99984340000000005</v>
      </c>
      <c r="N1459">
        <v>-1.436717E-2</v>
      </c>
      <c r="O1459">
        <v>-1.0335799999999999E-2</v>
      </c>
      <c r="P1459">
        <v>0.99201689999999998</v>
      </c>
      <c r="Q1459">
        <v>-0.12502969999999999</v>
      </c>
      <c r="R1459">
        <v>-1.6433610000000001E-2</v>
      </c>
      <c r="S1459">
        <v>3.0027620000000002</v>
      </c>
      <c r="T1459">
        <v>-8.8967920000000006E-2</v>
      </c>
      <c r="U1459">
        <v>-0.65884399999999999</v>
      </c>
      <c r="V1459">
        <v>6.0706659999999997E-3</v>
      </c>
      <c r="W1459">
        <v>-0.11076850000000001</v>
      </c>
      <c r="X1459">
        <v>0.99382769999999998</v>
      </c>
      <c r="Y1459">
        <v>0.20407900000000001</v>
      </c>
      <c r="Z1459">
        <v>-4.3152219999999996E-3</v>
      </c>
      <c r="AA1459">
        <v>0.97894490000000001</v>
      </c>
      <c r="AB1459">
        <v>31</v>
      </c>
      <c r="AC1459">
        <v>37.259999999999899</v>
      </c>
      <c r="AD1459">
        <v>-1.109520672453</v>
      </c>
      <c r="AE1459">
        <v>-8.2144000000000101</v>
      </c>
      <c r="AF1459">
        <v>7.8221948997805404</v>
      </c>
      <c r="AG1459">
        <v>-1.109520672453</v>
      </c>
      <c r="AH1459">
        <v>37.311369333001203</v>
      </c>
      <c r="AI1459">
        <v>91.667070930829794</v>
      </c>
      <c r="AJ1459">
        <v>78.159625385162101</v>
      </c>
      <c r="AK1459">
        <v>38.138642486019002</v>
      </c>
      <c r="AL1459">
        <v>96.359618075788603</v>
      </c>
      <c r="AM1459">
        <v>89.650020607481906</v>
      </c>
      <c r="AN1459">
        <v>1.0000000054326099</v>
      </c>
    </row>
    <row r="1460" spans="1:40" x14ac:dyDescent="0.25">
      <c r="A1460" t="str">
        <f>"20190305134930416"</f>
        <v>20190305134930416</v>
      </c>
      <c r="B1460" t="str">
        <f>"1551764970412025"</f>
        <v>1551764970412025</v>
      </c>
      <c r="C1460" t="s">
        <v>40</v>
      </c>
      <c r="D1460">
        <v>4.3521049999999999</v>
      </c>
      <c r="E1460">
        <v>0.5812039</v>
      </c>
      <c r="F1460" t="s">
        <v>44</v>
      </c>
      <c r="G1460">
        <v>-186.08799999999999</v>
      </c>
      <c r="H1460" s="1">
        <v>-5.6356249999999999E-6</v>
      </c>
      <c r="I1460">
        <v>359.9341</v>
      </c>
      <c r="J1460">
        <v>-222.86269999999999</v>
      </c>
      <c r="K1460">
        <v>1.1095079999999999</v>
      </c>
      <c r="L1460">
        <v>368.20209999999997</v>
      </c>
      <c r="M1460">
        <v>0.99984010000000001</v>
      </c>
      <c r="N1460">
        <v>-1.4365070000000001E-2</v>
      </c>
      <c r="O1460">
        <v>-1.064733E-2</v>
      </c>
      <c r="P1460">
        <v>0.99203649999999999</v>
      </c>
      <c r="Q1460">
        <v>-0.12481390000000001</v>
      </c>
      <c r="R1460">
        <v>-1.6889089999999999E-2</v>
      </c>
      <c r="S1460">
        <v>3.001633</v>
      </c>
      <c r="T1460">
        <v>-9.006488E-2</v>
      </c>
      <c r="U1460">
        <v>-0.67135619999999996</v>
      </c>
      <c r="V1460">
        <v>6.2142830000000001E-3</v>
      </c>
      <c r="W1460">
        <v>-0.11055479999999999</v>
      </c>
      <c r="X1460">
        <v>0.99385060000000003</v>
      </c>
      <c r="Y1460">
        <v>0.20773449999999999</v>
      </c>
      <c r="Z1460">
        <v>-4.4244050000000002E-3</v>
      </c>
      <c r="AA1460">
        <v>0.97817520000000002</v>
      </c>
      <c r="AB1460">
        <v>31</v>
      </c>
      <c r="AC1460">
        <v>36.774700000000003</v>
      </c>
      <c r="AD1460">
        <v>-1.1095136356249999</v>
      </c>
      <c r="AE1460">
        <v>-8.2679999999999705</v>
      </c>
      <c r="AF1460">
        <v>7.86912013415981</v>
      </c>
      <c r="AG1460">
        <v>-1.1095136356249999</v>
      </c>
      <c r="AH1460">
        <v>36.8287453982038</v>
      </c>
      <c r="AI1460">
        <v>91.687519319887897</v>
      </c>
      <c r="AJ1460">
        <v>77.939092114687796</v>
      </c>
      <c r="AK1460">
        <v>37.676392605970101</v>
      </c>
      <c r="AL1460">
        <v>96.347298348017006</v>
      </c>
      <c r="AM1460">
        <v>89.641749425360004</v>
      </c>
      <c r="AN1460">
        <v>0.99999999811830198</v>
      </c>
    </row>
    <row r="1461" spans="1:40" x14ac:dyDescent="0.25">
      <c r="A1461" t="str">
        <f>"20190305134930427"</f>
        <v>20190305134930427</v>
      </c>
      <c r="B1461" t="str">
        <f>"1551764970421784"</f>
        <v>1551764970421784</v>
      </c>
      <c r="C1461" t="s">
        <v>40</v>
      </c>
      <c r="D1461">
        <v>4.3404800000000003</v>
      </c>
      <c r="E1461">
        <v>0.58229989999999998</v>
      </c>
      <c r="F1461" t="s">
        <v>44</v>
      </c>
      <c r="G1461">
        <v>-186.6284</v>
      </c>
      <c r="H1461" s="1">
        <v>-5.5737370000000001E-6</v>
      </c>
      <c r="I1461">
        <v>359.8501</v>
      </c>
      <c r="J1461">
        <v>-222.6968</v>
      </c>
      <c r="K1461">
        <v>1.109499</v>
      </c>
      <c r="L1461">
        <v>368.20010000000002</v>
      </c>
      <c r="M1461">
        <v>0.99983730000000004</v>
      </c>
      <c r="N1461">
        <v>-1.436337E-2</v>
      </c>
      <c r="O1461">
        <v>-1.091084E-2</v>
      </c>
      <c r="P1461">
        <v>0.99209130000000001</v>
      </c>
      <c r="Q1461">
        <v>-0.1243109</v>
      </c>
      <c r="R1461">
        <v>-1.7370960000000001E-2</v>
      </c>
      <c r="S1461">
        <v>3.0007630000000001</v>
      </c>
      <c r="T1461">
        <v>-9.1885090000000003E-2</v>
      </c>
      <c r="U1461">
        <v>-0.69168090000000004</v>
      </c>
      <c r="V1461">
        <v>6.4316620000000003E-3</v>
      </c>
      <c r="W1461">
        <v>-0.110053</v>
      </c>
      <c r="X1461">
        <v>0.99390489999999998</v>
      </c>
      <c r="Y1461">
        <v>0.21382499999999999</v>
      </c>
      <c r="Z1461">
        <v>-4.6118540000000003E-3</v>
      </c>
      <c r="AA1461">
        <v>0.97686110000000004</v>
      </c>
      <c r="AB1461">
        <v>31</v>
      </c>
      <c r="AC1461">
        <v>36.068399999999997</v>
      </c>
      <c r="AD1461">
        <v>-1.109504573737</v>
      </c>
      <c r="AE1461">
        <v>-8.3500000000000192</v>
      </c>
      <c r="AF1461">
        <v>7.9487868084306603</v>
      </c>
      <c r="AG1461">
        <v>-1.109504573737</v>
      </c>
      <c r="AH1461">
        <v>36.124923235918999</v>
      </c>
      <c r="AI1461">
        <v>91.718097488707102</v>
      </c>
      <c r="AJ1461">
        <v>77.590609222860195</v>
      </c>
      <c r="AK1461">
        <v>37.0057332169768</v>
      </c>
      <c r="AL1461">
        <v>96.318370860573097</v>
      </c>
      <c r="AM1461">
        <v>89.6292382256933</v>
      </c>
      <c r="AN1461">
        <v>0.99999998966454595</v>
      </c>
    </row>
    <row r="1462" spans="1:40" x14ac:dyDescent="0.25">
      <c r="A1462" t="str">
        <f>"20190305134930440"</f>
        <v>20190305134930440</v>
      </c>
      <c r="B1462" t="str">
        <f>"1551764970431543"</f>
        <v>1551764970431543</v>
      </c>
      <c r="C1462" t="s">
        <v>40</v>
      </c>
      <c r="D1462">
        <v>4.361097</v>
      </c>
      <c r="E1462">
        <v>0.58335079999999995</v>
      </c>
      <c r="F1462" t="s">
        <v>44</v>
      </c>
      <c r="G1462">
        <v>-186.9914</v>
      </c>
      <c r="H1462" s="1">
        <v>-5.5498739999999997E-6</v>
      </c>
      <c r="I1462">
        <v>359.8424</v>
      </c>
      <c r="J1462">
        <v>-222.53030000000001</v>
      </c>
      <c r="K1462">
        <v>1.109488</v>
      </c>
      <c r="L1462">
        <v>368.19799999999998</v>
      </c>
      <c r="M1462">
        <v>0.99983440000000001</v>
      </c>
      <c r="N1462">
        <v>-1.436169E-2</v>
      </c>
      <c r="O1462">
        <v>-1.119098E-2</v>
      </c>
      <c r="P1462">
        <v>0.99211349999999998</v>
      </c>
      <c r="Q1462">
        <v>-0.1240782</v>
      </c>
      <c r="R1462">
        <v>-1.7766110000000002E-2</v>
      </c>
      <c r="S1462">
        <v>2.9999389999999999</v>
      </c>
      <c r="T1462">
        <v>-9.3219640000000006E-2</v>
      </c>
      <c r="U1462">
        <v>-0.70220950000000004</v>
      </c>
      <c r="V1462">
        <v>6.5449949999999996E-3</v>
      </c>
      <c r="W1462">
        <v>-0.109822</v>
      </c>
      <c r="X1462">
        <v>0.99392970000000003</v>
      </c>
      <c r="Y1462">
        <v>0.2168564</v>
      </c>
      <c r="Z1462">
        <v>-4.7178799999999998E-3</v>
      </c>
      <c r="AA1462">
        <v>0.97619210000000001</v>
      </c>
      <c r="AB1462">
        <v>31</v>
      </c>
      <c r="AC1462">
        <v>35.538899999999998</v>
      </c>
      <c r="AD1462">
        <v>-1.109493549874</v>
      </c>
      <c r="AE1462">
        <v>-8.3556000000000292</v>
      </c>
      <c r="AF1462">
        <v>7.9499781307367003</v>
      </c>
      <c r="AG1462">
        <v>-1.109493549874</v>
      </c>
      <c r="AH1462">
        <v>35.597314041076203</v>
      </c>
      <c r="AI1462">
        <v>91.742316892174998</v>
      </c>
      <c r="AJ1462">
        <v>77.410676406608204</v>
      </c>
      <c r="AK1462">
        <v>36.491120771434304</v>
      </c>
      <c r="AL1462">
        <v>96.305054890277304</v>
      </c>
      <c r="AM1462">
        <v>89.622714594058607</v>
      </c>
      <c r="AN1462">
        <v>0.99999997859281897</v>
      </c>
    </row>
    <row r="1463" spans="1:40" x14ac:dyDescent="0.25">
      <c r="A1463" t="str">
        <f>"20190305134930452"</f>
        <v>20190305134930452</v>
      </c>
      <c r="B1463" t="str">
        <f>"1551764970442281"</f>
        <v>1551764970442281</v>
      </c>
      <c r="C1463" t="s">
        <v>40</v>
      </c>
      <c r="D1463">
        <v>4.3575530000000002</v>
      </c>
      <c r="E1463">
        <v>0.58435609999999905</v>
      </c>
      <c r="F1463" t="s">
        <v>44</v>
      </c>
      <c r="G1463">
        <v>-187.8398</v>
      </c>
      <c r="H1463" s="1">
        <v>-5.5452309999999997E-6</v>
      </c>
      <c r="I1463">
        <v>359.96510000000001</v>
      </c>
      <c r="J1463">
        <v>-222.35820000000001</v>
      </c>
      <c r="K1463">
        <v>1.1094740000000001</v>
      </c>
      <c r="L1463">
        <v>368.19580000000002</v>
      </c>
      <c r="M1463">
        <v>0.99983109999999997</v>
      </c>
      <c r="N1463">
        <v>-1.435996E-2</v>
      </c>
      <c r="O1463">
        <v>-1.14882E-2</v>
      </c>
      <c r="P1463">
        <v>0.99207179999999995</v>
      </c>
      <c r="Q1463">
        <v>-0.1242761</v>
      </c>
      <c r="R1463">
        <v>-1.8694140000000001E-2</v>
      </c>
      <c r="S1463">
        <v>2.9990999999999999</v>
      </c>
      <c r="T1463">
        <v>-9.5919009999999999E-2</v>
      </c>
      <c r="U1463">
        <v>-0.71176149999999905</v>
      </c>
      <c r="V1463">
        <v>7.1740750000000002E-3</v>
      </c>
      <c r="W1463">
        <v>-0.11002290000000001</v>
      </c>
      <c r="X1463">
        <v>0.99390319999999999</v>
      </c>
      <c r="Y1463">
        <v>0.2195626</v>
      </c>
      <c r="Z1463">
        <v>-4.8614249999999999E-3</v>
      </c>
      <c r="AA1463">
        <v>0.97558630000000002</v>
      </c>
      <c r="AB1463">
        <v>31</v>
      </c>
      <c r="AC1463">
        <v>34.5184</v>
      </c>
      <c r="AD1463">
        <v>-1.109479545231</v>
      </c>
      <c r="AE1463">
        <v>-8.2307000000000095</v>
      </c>
      <c r="AF1463">
        <v>7.8259117230016502</v>
      </c>
      <c r="AG1463">
        <v>-1.109479545231</v>
      </c>
      <c r="AH1463">
        <v>34.5768879762024</v>
      </c>
      <c r="AI1463">
        <v>91.792528504539703</v>
      </c>
      <c r="AJ1463">
        <v>77.246909205713493</v>
      </c>
      <c r="AK1463">
        <v>35.468817590615501</v>
      </c>
      <c r="AL1463">
        <v>96.316635411512394</v>
      </c>
      <c r="AM1463">
        <v>89.586441535686603</v>
      </c>
      <c r="AN1463">
        <v>1.00000003842337</v>
      </c>
    </row>
    <row r="1464" spans="1:40" x14ac:dyDescent="0.25">
      <c r="A1464" t="str">
        <f>"20190305134930464"</f>
        <v>20190305134930464</v>
      </c>
      <c r="B1464" t="str">
        <f>"1551764970452041"</f>
        <v>1551764970452041</v>
      </c>
      <c r="C1464" t="s">
        <v>40</v>
      </c>
      <c r="D1464">
        <v>4.3629550000000004</v>
      </c>
      <c r="E1464">
        <v>0.58531489999999997</v>
      </c>
      <c r="F1464" t="s">
        <v>44</v>
      </c>
      <c r="G1464">
        <v>-188.7269</v>
      </c>
      <c r="H1464" s="1">
        <v>-5.5385539999999998E-6</v>
      </c>
      <c r="I1464">
        <v>360.0883</v>
      </c>
      <c r="J1464">
        <v>-222.19569999999999</v>
      </c>
      <c r="K1464">
        <v>1.1094550000000001</v>
      </c>
      <c r="L1464">
        <v>368.1936</v>
      </c>
      <c r="M1464">
        <v>0.99982760000000004</v>
      </c>
      <c r="N1464">
        <v>-1.4358360000000001E-2</v>
      </c>
      <c r="O1464">
        <v>-1.1786649999999999E-2</v>
      </c>
      <c r="P1464">
        <v>0.99203350000000001</v>
      </c>
      <c r="Q1464">
        <v>-0.1244802</v>
      </c>
      <c r="R1464">
        <v>-1.9348600000000001E-2</v>
      </c>
      <c r="S1464">
        <v>2.9979710000000002</v>
      </c>
      <c r="T1464">
        <v>-9.8901509999999998E-2</v>
      </c>
      <c r="U1464">
        <v>-0.72271730000000001</v>
      </c>
      <c r="V1464">
        <v>7.5278100000000002E-3</v>
      </c>
      <c r="W1464">
        <v>-0.1102298</v>
      </c>
      <c r="X1464">
        <v>0.99387760000000003</v>
      </c>
      <c r="Y1464">
        <v>0.22271460000000001</v>
      </c>
      <c r="Z1464">
        <v>-5.0267619999999997E-3</v>
      </c>
      <c r="AA1464">
        <v>0.97487069999999998</v>
      </c>
      <c r="AB1464">
        <v>31</v>
      </c>
      <c r="AC1464">
        <v>33.468799999999902</v>
      </c>
      <c r="AD1464">
        <v>-1.109460538554</v>
      </c>
      <c r="AE1464">
        <v>-8.1052999999999997</v>
      </c>
      <c r="AF1464">
        <v>7.70221641579462</v>
      </c>
      <c r="AG1464">
        <v>-1.109460538554</v>
      </c>
      <c r="AH1464">
        <v>33.527217989616801</v>
      </c>
      <c r="AI1464">
        <v>91.8472193946928</v>
      </c>
      <c r="AJ1464">
        <v>77.061914969786798</v>
      </c>
      <c r="AK1464">
        <v>34.418445440281502</v>
      </c>
      <c r="AL1464">
        <v>96.328562822559405</v>
      </c>
      <c r="AM1464">
        <v>89.566039626614199</v>
      </c>
      <c r="AN1464">
        <v>0.99999998025659798</v>
      </c>
    </row>
    <row r="1465" spans="1:40" x14ac:dyDescent="0.25">
      <c r="A1465" t="str">
        <f>"20190305134930476"</f>
        <v>20190305134930476</v>
      </c>
      <c r="B1465" t="str">
        <f>"1551764970472068"</f>
        <v>1551764970472068</v>
      </c>
      <c r="C1465" t="s">
        <v>40</v>
      </c>
      <c r="D1465">
        <v>4.3636559999999998</v>
      </c>
      <c r="E1465">
        <v>0.58717229999999998</v>
      </c>
      <c r="F1465" t="s">
        <v>44</v>
      </c>
      <c r="G1465">
        <v>-189.63329999999999</v>
      </c>
      <c r="H1465" s="1">
        <v>-5.5388549999999998E-6</v>
      </c>
      <c r="I1465">
        <v>360.23379999999997</v>
      </c>
      <c r="J1465">
        <v>-222.02789999999999</v>
      </c>
      <c r="K1465">
        <v>1.109437</v>
      </c>
      <c r="L1465">
        <v>368.19130000000001</v>
      </c>
      <c r="M1465">
        <v>0.99982369999999998</v>
      </c>
      <c r="N1465">
        <v>-1.435672E-2</v>
      </c>
      <c r="O1465">
        <v>-1.2106830000000001E-2</v>
      </c>
      <c r="P1465">
        <v>0.99201680000000003</v>
      </c>
      <c r="Q1465">
        <v>-0.12444860000000001</v>
      </c>
      <c r="R1465">
        <v>-2.038353E-2</v>
      </c>
      <c r="S1465">
        <v>2.9969939999999999</v>
      </c>
      <c r="T1465">
        <v>-0.1021131</v>
      </c>
      <c r="U1465">
        <v>-0.73260499999999995</v>
      </c>
      <c r="V1465">
        <v>8.2399710000000004E-3</v>
      </c>
      <c r="W1465">
        <v>-0.11020099999999999</v>
      </c>
      <c r="X1465">
        <v>0.99387510000000001</v>
      </c>
      <c r="Y1465">
        <v>0.22550000000000001</v>
      </c>
      <c r="Z1465">
        <v>-5.1928399999999998E-3</v>
      </c>
      <c r="AA1465">
        <v>0.97422929999999996</v>
      </c>
      <c r="AB1465">
        <v>31</v>
      </c>
      <c r="AC1465">
        <v>32.394599999999997</v>
      </c>
      <c r="AD1465">
        <v>-1.109442538855</v>
      </c>
      <c r="AE1465">
        <v>-7.9575000000000298</v>
      </c>
      <c r="AF1465">
        <v>7.5563218328089397</v>
      </c>
      <c r="AG1465">
        <v>-1.109442538855</v>
      </c>
      <c r="AH1465">
        <v>32.452677375881301</v>
      </c>
      <c r="AI1465">
        <v>91.907005290678299</v>
      </c>
      <c r="AJ1465">
        <v>76.8927193602633</v>
      </c>
      <c r="AK1465">
        <v>33.339243111550097</v>
      </c>
      <c r="AL1465">
        <v>96.326902870874903</v>
      </c>
      <c r="AM1465">
        <v>89.524985840919399</v>
      </c>
      <c r="AN1465">
        <v>0.99999993596154302</v>
      </c>
    </row>
    <row r="1466" spans="1:40" x14ac:dyDescent="0.25">
      <c r="A1466" t="str">
        <f>"20190305134930488"</f>
        <v>20190305134930488</v>
      </c>
      <c r="B1466" t="str">
        <f>"1551764970481828"</f>
        <v>1551764970481828</v>
      </c>
      <c r="C1466" t="s">
        <v>40</v>
      </c>
      <c r="D1466">
        <v>4.3610009999999999</v>
      </c>
      <c r="E1466">
        <v>0.58804529999999999</v>
      </c>
      <c r="F1466" t="s">
        <v>44</v>
      </c>
      <c r="G1466">
        <v>-190.94720000000001</v>
      </c>
      <c r="H1466" s="1">
        <v>-7.0570929999999998E-6</v>
      </c>
      <c r="I1466">
        <v>360.40159999999997</v>
      </c>
      <c r="J1466">
        <v>-221.8518</v>
      </c>
      <c r="K1466">
        <v>1.1094170000000001</v>
      </c>
      <c r="L1466">
        <v>368.18880000000001</v>
      </c>
      <c r="M1466">
        <v>0.99981949999999997</v>
      </c>
      <c r="N1466">
        <v>-1.435498E-2</v>
      </c>
      <c r="O1466">
        <v>-1.2454689999999999E-2</v>
      </c>
      <c r="P1466">
        <v>0.9919637</v>
      </c>
      <c r="Q1466">
        <v>-0.124653</v>
      </c>
      <c r="R1466">
        <v>-2.1677689999999999E-2</v>
      </c>
      <c r="S1466">
        <v>2.9952999999999999</v>
      </c>
      <c r="T1466">
        <v>-0.1069191</v>
      </c>
      <c r="U1466">
        <v>-0.75070190000000003</v>
      </c>
      <c r="V1466">
        <v>9.1835259999999991E-3</v>
      </c>
      <c r="W1466">
        <v>-0.1104092</v>
      </c>
      <c r="X1466">
        <v>0.99384380000000005</v>
      </c>
      <c r="Y1466">
        <v>0.2308123</v>
      </c>
      <c r="Z1466">
        <v>-5.4768200000000003E-3</v>
      </c>
      <c r="AA1466">
        <v>0.97298289999999998</v>
      </c>
      <c r="AB1466">
        <v>31</v>
      </c>
      <c r="AC1466">
        <v>30.904599999999899</v>
      </c>
      <c r="AD1466">
        <v>-1.1094240570930001</v>
      </c>
      <c r="AE1466">
        <v>-7.7872000000000403</v>
      </c>
      <c r="AF1466">
        <v>7.3926909143657902</v>
      </c>
      <c r="AG1466">
        <v>-1.1094240570930001</v>
      </c>
      <c r="AH1466">
        <v>30.9616816357392</v>
      </c>
      <c r="AI1466">
        <v>91.996090538767405</v>
      </c>
      <c r="AJ1466">
        <v>76.570973081008404</v>
      </c>
      <c r="AK1466">
        <v>31.851348957409598</v>
      </c>
      <c r="AL1466">
        <v>96.338904598465902</v>
      </c>
      <c r="AM1466">
        <v>89.470578469477203</v>
      </c>
      <c r="AN1466">
        <v>1.00000001369643</v>
      </c>
    </row>
    <row r="1467" spans="1:40" x14ac:dyDescent="0.25">
      <c r="A1467" t="str">
        <f>"20190305134930501"</f>
        <v>20190305134930501</v>
      </c>
      <c r="B1467" t="str">
        <f>"1551764970491588"</f>
        <v>1551764970491588</v>
      </c>
      <c r="C1467" t="s">
        <v>40</v>
      </c>
      <c r="D1467">
        <v>4.3587259999999999</v>
      </c>
      <c r="E1467">
        <v>0.58887869999999998</v>
      </c>
      <c r="F1467" t="s">
        <v>44</v>
      </c>
      <c r="G1467">
        <v>-191.5712</v>
      </c>
      <c r="H1467" s="1">
        <v>-7.2631529999999999E-6</v>
      </c>
      <c r="I1467">
        <v>360.4846</v>
      </c>
      <c r="J1467">
        <v>-221.6712</v>
      </c>
      <c r="K1467">
        <v>1.109397</v>
      </c>
      <c r="L1467">
        <v>368.18619999999999</v>
      </c>
      <c r="M1467">
        <v>0.9998146</v>
      </c>
      <c r="N1467">
        <v>-1.4353289999999999E-2</v>
      </c>
      <c r="O1467">
        <v>-1.2833539999999999E-2</v>
      </c>
      <c r="P1467">
        <v>0.99187899999999996</v>
      </c>
      <c r="Q1467">
        <v>-0.1249193</v>
      </c>
      <c r="R1467">
        <v>-2.3900769999999998E-2</v>
      </c>
      <c r="S1467">
        <v>2.9938660000000001</v>
      </c>
      <c r="T1467">
        <v>-0.1096898</v>
      </c>
      <c r="U1467">
        <v>-0.76171880000000003</v>
      </c>
      <c r="V1467">
        <v>1.1025439999999999E-2</v>
      </c>
      <c r="W1467">
        <v>-0.1106808</v>
      </c>
      <c r="X1467">
        <v>0.99379490000000004</v>
      </c>
      <c r="Y1467">
        <v>0.2339069</v>
      </c>
      <c r="Z1467">
        <v>-5.6411400000000002E-3</v>
      </c>
      <c r="AA1467">
        <v>0.97224270000000002</v>
      </c>
      <c r="AB1467">
        <v>31</v>
      </c>
      <c r="AC1467">
        <v>30.099999999999898</v>
      </c>
      <c r="AD1467">
        <v>-1.1094042631529999</v>
      </c>
      <c r="AE1467">
        <v>-7.7015999999999796</v>
      </c>
      <c r="AF1467">
        <v>7.3053220550431099</v>
      </c>
      <c r="AG1467">
        <v>-1.1094042631529999</v>
      </c>
      <c r="AH1467">
        <v>30.157918633193798</v>
      </c>
      <c r="AI1467">
        <v>92.0475956211979</v>
      </c>
      <c r="AJ1467">
        <v>76.383213079617406</v>
      </c>
      <c r="AK1467">
        <v>31.049936625270899</v>
      </c>
      <c r="AL1467">
        <v>96.354561853458506</v>
      </c>
      <c r="AM1467">
        <v>89.364370592425701</v>
      </c>
      <c r="AN1467">
        <v>1.00000005154092</v>
      </c>
    </row>
    <row r="1468" spans="1:40" x14ac:dyDescent="0.25">
      <c r="A1468" t="str">
        <f>"20190305134930514"</f>
        <v>20190305134930514</v>
      </c>
      <c r="B1468" t="str">
        <f>"1551764970502324"</f>
        <v>1551764970502324</v>
      </c>
      <c r="C1468" t="s">
        <v>40</v>
      </c>
      <c r="D1468">
        <v>4.4023089999999998</v>
      </c>
      <c r="E1468">
        <v>0.58887869999999998</v>
      </c>
      <c r="F1468" t="s">
        <v>44</v>
      </c>
      <c r="G1468">
        <v>-192.46780000000001</v>
      </c>
      <c r="H1468" s="1">
        <v>-7.5563080000000002E-6</v>
      </c>
      <c r="I1468">
        <v>360.62259999999998</v>
      </c>
      <c r="J1468">
        <v>-221.5025</v>
      </c>
      <c r="K1468">
        <v>1.10938</v>
      </c>
      <c r="L1468">
        <v>368.18369999999999</v>
      </c>
      <c r="M1468">
        <v>0.99980999999999998</v>
      </c>
      <c r="N1468">
        <v>-1.43517E-2</v>
      </c>
      <c r="O1468">
        <v>-1.3196619999999999E-2</v>
      </c>
      <c r="P1468">
        <v>0.99181390000000003</v>
      </c>
      <c r="Q1468">
        <v>-0.12511069999999999</v>
      </c>
      <c r="R1468">
        <v>-2.555029E-2</v>
      </c>
      <c r="S1468">
        <v>2.9915919999999998</v>
      </c>
      <c r="T1468">
        <v>-0.1136472</v>
      </c>
      <c r="U1468">
        <v>-0.77481080000000002</v>
      </c>
      <c r="V1468">
        <v>1.23102E-2</v>
      </c>
      <c r="W1468">
        <v>-0.1108765</v>
      </c>
      <c r="X1468">
        <v>0.99375800000000003</v>
      </c>
      <c r="Y1468">
        <v>0.2377039</v>
      </c>
      <c r="Z1468">
        <v>-5.8681330000000002E-3</v>
      </c>
      <c r="AA1468">
        <v>0.97131990000000001</v>
      </c>
      <c r="AB1468">
        <v>31</v>
      </c>
      <c r="AC1468">
        <v>29.034699999999901</v>
      </c>
      <c r="AD1468">
        <v>-1.109387556308</v>
      </c>
      <c r="AE1468">
        <v>-7.5610999999999997</v>
      </c>
      <c r="AF1468">
        <v>7.16744271118682</v>
      </c>
      <c r="AG1468">
        <v>-1.109387556308</v>
      </c>
      <c r="AH1468">
        <v>29.0921872611666</v>
      </c>
      <c r="AI1468">
        <v>92.120485404252406</v>
      </c>
      <c r="AJ1468">
        <v>76.159671455365896</v>
      </c>
      <c r="AK1468">
        <v>29.9826338970915</v>
      </c>
      <c r="AL1468">
        <v>96.365844081829096</v>
      </c>
      <c r="AM1468">
        <v>89.290283518857805</v>
      </c>
      <c r="AN1468">
        <v>1.0000000509201401</v>
      </c>
    </row>
    <row r="1469" spans="1:40" x14ac:dyDescent="0.25">
      <c r="A1469" t="str">
        <f>"20190305134930524"</f>
        <v>20190305134930524</v>
      </c>
      <c r="B1469" t="str">
        <f>"1551764970521844"</f>
        <v>1551764970521844</v>
      </c>
      <c r="C1469" t="s">
        <v>40</v>
      </c>
      <c r="D1469">
        <v>4.4346209999999999</v>
      </c>
      <c r="E1469">
        <v>0.63306390000000001</v>
      </c>
      <c r="F1469" t="s">
        <v>44</v>
      </c>
      <c r="G1469">
        <v>-192.5575</v>
      </c>
      <c r="H1469" s="1">
        <v>-7.5865379999999999E-6</v>
      </c>
      <c r="I1469">
        <v>360.63069999999999</v>
      </c>
      <c r="J1469">
        <v>-221.3519</v>
      </c>
      <c r="K1469">
        <v>1.1093660000000001</v>
      </c>
      <c r="L1469">
        <v>368.1814</v>
      </c>
      <c r="M1469">
        <v>0.99980559999999996</v>
      </c>
      <c r="N1469">
        <v>-1.435024E-2</v>
      </c>
      <c r="O1469">
        <v>-1.353247E-2</v>
      </c>
      <c r="P1469">
        <v>0.99180449999999998</v>
      </c>
      <c r="Q1469">
        <v>-0.1248476</v>
      </c>
      <c r="R1469">
        <v>-2.7153750000000001E-2</v>
      </c>
      <c r="S1469">
        <v>2.9902039999999999</v>
      </c>
      <c r="T1469">
        <v>-0.1146071</v>
      </c>
      <c r="U1469">
        <v>-0.78027340000000001</v>
      </c>
      <c r="V1469">
        <v>1.357652E-2</v>
      </c>
      <c r="W1469">
        <v>-0.1106168</v>
      </c>
      <c r="X1469">
        <v>0.99377040000000005</v>
      </c>
      <c r="Y1469">
        <v>0.23914440000000001</v>
      </c>
      <c r="Z1469">
        <v>-5.9322690000000004E-3</v>
      </c>
      <c r="AA1469">
        <v>0.97096590000000005</v>
      </c>
      <c r="AB1469">
        <v>31</v>
      </c>
      <c r="AC1469">
        <v>28.7944</v>
      </c>
      <c r="AD1469">
        <v>-1.1093735865379999</v>
      </c>
      <c r="AE1469">
        <v>-7.5507</v>
      </c>
      <c r="AF1469">
        <v>7.1503781687189596</v>
      </c>
      <c r="AG1469">
        <v>-1.1093735865379999</v>
      </c>
      <c r="AH1469">
        <v>28.853878989666299</v>
      </c>
      <c r="AI1469">
        <v>92.137237870390294</v>
      </c>
      <c r="AJ1469">
        <v>76.081729842655704</v>
      </c>
      <c r="AK1469">
        <v>29.747351990732</v>
      </c>
      <c r="AL1469">
        <v>96.350872576853504</v>
      </c>
      <c r="AM1469">
        <v>89.217295154349202</v>
      </c>
      <c r="AN1469">
        <v>1.0000000031268499</v>
      </c>
    </row>
    <row r="1470" spans="1:40" x14ac:dyDescent="0.25">
      <c r="A1470" t="str">
        <f>"20190305134930536"</f>
        <v>20190305134930536</v>
      </c>
      <c r="B1470" t="str">
        <f>"1551764970531604"</f>
        <v>1551764970531604</v>
      </c>
      <c r="C1470" t="s">
        <v>40</v>
      </c>
      <c r="D1470">
        <v>4.41587</v>
      </c>
      <c r="E1470">
        <v>0.63337460000000001</v>
      </c>
      <c r="F1470" t="s">
        <v>44</v>
      </c>
      <c r="G1470">
        <v>-206.9376</v>
      </c>
      <c r="H1470" s="1">
        <v>-5.3496990000000004E-6</v>
      </c>
      <c r="I1470">
        <v>362.63920000000002</v>
      </c>
      <c r="J1470">
        <v>-221.19030000000001</v>
      </c>
      <c r="K1470">
        <v>1.1093580000000001</v>
      </c>
      <c r="L1470">
        <v>368.17880000000002</v>
      </c>
      <c r="M1470">
        <v>0.99980040000000003</v>
      </c>
      <c r="N1470">
        <v>-1.4348720000000001E-2</v>
      </c>
      <c r="O1470">
        <v>-1.390192E-2</v>
      </c>
      <c r="P1470">
        <v>0.99178060000000001</v>
      </c>
      <c r="Q1470">
        <v>-0.12462910000000001</v>
      </c>
      <c r="R1470">
        <v>-2.8963269999999999E-2</v>
      </c>
      <c r="S1470">
        <v>2.9648590000000001</v>
      </c>
      <c r="T1470">
        <v>-0.2281842</v>
      </c>
      <c r="U1470">
        <v>-1.1399539999999999</v>
      </c>
      <c r="V1470">
        <v>1.501603E-2</v>
      </c>
      <c r="W1470">
        <v>-0.110402399999999</v>
      </c>
      <c r="X1470">
        <v>0.99377349999999998</v>
      </c>
      <c r="Y1470">
        <v>0.34481489999999998</v>
      </c>
      <c r="Z1470">
        <v>-1.451935E-2</v>
      </c>
      <c r="AA1470">
        <v>0.93855840000000001</v>
      </c>
      <c r="AB1470">
        <v>31</v>
      </c>
      <c r="AC1470">
        <v>14.252700000000001</v>
      </c>
      <c r="AD1470">
        <v>-1.1093633496990001</v>
      </c>
      <c r="AE1470">
        <v>-5.5396000000000001</v>
      </c>
      <c r="AF1470">
        <v>5.3129409514605799</v>
      </c>
      <c r="AG1470">
        <v>-1.1093633496990001</v>
      </c>
      <c r="AH1470">
        <v>14.2533226498788</v>
      </c>
      <c r="AI1470">
        <v>94.171200482154703</v>
      </c>
      <c r="AJ1470">
        <v>69.557007404694602</v>
      </c>
      <c r="AK1470">
        <v>15.2517289235322</v>
      </c>
      <c r="AL1470">
        <v>96.338512867548104</v>
      </c>
      <c r="AM1470">
        <v>89.134320168999096</v>
      </c>
      <c r="AN1470">
        <v>0.99999997019248399</v>
      </c>
    </row>
    <row r="1471" spans="1:40" x14ac:dyDescent="0.25">
      <c r="A1471" t="str">
        <f>"20190305134930546"</f>
        <v>20190305134930546</v>
      </c>
      <c r="B1471" t="str">
        <f>"1551764970542339"</f>
        <v>1551764970542339</v>
      </c>
      <c r="C1471" t="s">
        <v>40</v>
      </c>
      <c r="D1471">
        <v>4.4142510000000001</v>
      </c>
      <c r="E1471">
        <v>0.63360360000000004</v>
      </c>
      <c r="F1471" t="s">
        <v>44</v>
      </c>
      <c r="G1471">
        <v>-207.25149999999999</v>
      </c>
      <c r="H1471" s="1">
        <v>-5.4333299999999997E-6</v>
      </c>
      <c r="I1471">
        <v>362.77659999999997</v>
      </c>
      <c r="J1471">
        <v>-221.04300000000001</v>
      </c>
      <c r="K1471">
        <v>1.1093489999999999</v>
      </c>
      <c r="L1471">
        <v>368.1764</v>
      </c>
      <c r="M1471">
        <v>0.99979560000000001</v>
      </c>
      <c r="N1471">
        <v>-1.434737E-2</v>
      </c>
      <c r="O1471">
        <v>-1.424546E-2</v>
      </c>
      <c r="P1471">
        <v>0.99176880000000001</v>
      </c>
      <c r="Q1471">
        <v>-0.1243117</v>
      </c>
      <c r="R1471">
        <v>-3.0679330000000001E-2</v>
      </c>
      <c r="S1471">
        <v>2.961716</v>
      </c>
      <c r="T1471">
        <v>-0.2357167</v>
      </c>
      <c r="U1471">
        <v>-1.147858</v>
      </c>
      <c r="V1471">
        <v>1.6388099999999899E-2</v>
      </c>
      <c r="W1471">
        <v>-0.11008850000000001</v>
      </c>
      <c r="X1471">
        <v>0.99378670000000002</v>
      </c>
      <c r="Y1471">
        <v>0.34693400000000002</v>
      </c>
      <c r="Z1471">
        <v>-1.4989590000000001E-2</v>
      </c>
      <c r="AA1471">
        <v>0.93776979999999999</v>
      </c>
      <c r="AB1471">
        <v>31</v>
      </c>
      <c r="AC1471">
        <v>13.791499999999999</v>
      </c>
      <c r="AD1471">
        <v>-1.1093544333299901</v>
      </c>
      <c r="AE1471">
        <v>-5.3998000000000204</v>
      </c>
      <c r="AF1471">
        <v>5.1737398743489198</v>
      </c>
      <c r="AG1471">
        <v>-1.1093544333299901</v>
      </c>
      <c r="AH1471">
        <v>13.7896683214431</v>
      </c>
      <c r="AI1471">
        <v>94.307460819953207</v>
      </c>
      <c r="AJ1471">
        <v>69.434432376408793</v>
      </c>
      <c r="AK1471">
        <v>14.770010289826701</v>
      </c>
      <c r="AL1471">
        <v>96.320417062433904</v>
      </c>
      <c r="AM1471">
        <v>89.055246096414805</v>
      </c>
      <c r="AN1471">
        <v>1.0000000263753701</v>
      </c>
    </row>
    <row r="1472" spans="1:40" x14ac:dyDescent="0.25">
      <c r="A1472" t="str">
        <f>"20190305134930557"</f>
        <v>20190305134930557</v>
      </c>
      <c r="B1472" t="str">
        <f>"1551764970552099"</f>
        <v>1551764970552099</v>
      </c>
      <c r="C1472" t="s">
        <v>40</v>
      </c>
      <c r="D1472">
        <v>4.4549399999999997</v>
      </c>
      <c r="E1472">
        <v>0.63389629999999997</v>
      </c>
      <c r="F1472" t="s">
        <v>44</v>
      </c>
      <c r="G1472">
        <v>-207.2594</v>
      </c>
      <c r="H1472" s="1">
        <v>-5.4327840000000003E-6</v>
      </c>
      <c r="I1472">
        <v>362.7971</v>
      </c>
      <c r="J1472">
        <v>-220.8861</v>
      </c>
      <c r="K1472">
        <v>1.109343</v>
      </c>
      <c r="L1472">
        <v>368.1737</v>
      </c>
      <c r="M1472">
        <v>0.99979030000000002</v>
      </c>
      <c r="N1472">
        <v>-1.434585E-2</v>
      </c>
      <c r="O1472">
        <v>-1.461876E-2</v>
      </c>
      <c r="P1472">
        <v>0.9917378</v>
      </c>
      <c r="Q1472">
        <v>-0.124153</v>
      </c>
      <c r="R1472">
        <v>-3.2283119999999998E-2</v>
      </c>
      <c r="S1472">
        <v>2.95932</v>
      </c>
      <c r="T1472">
        <v>-0.2381779</v>
      </c>
      <c r="U1472">
        <v>-1.154938</v>
      </c>
      <c r="V1472">
        <v>1.7619019999999999E-2</v>
      </c>
      <c r="W1472">
        <v>-0.10993360000000001</v>
      </c>
      <c r="X1472">
        <v>0.99378279999999997</v>
      </c>
      <c r="Y1472">
        <v>0.34876040000000003</v>
      </c>
      <c r="Z1472">
        <v>-1.5182350000000001E-2</v>
      </c>
      <c r="AA1472">
        <v>0.93708899999999995</v>
      </c>
      <c r="AB1472">
        <v>31</v>
      </c>
      <c r="AC1472">
        <v>13.6267</v>
      </c>
      <c r="AD1472">
        <v>-1.109348432784</v>
      </c>
      <c r="AE1472">
        <v>-5.3765999999999901</v>
      </c>
      <c r="AF1472">
        <v>5.1472808708149103</v>
      </c>
      <c r="AG1472">
        <v>-1.109348432784</v>
      </c>
      <c r="AH1472">
        <v>13.625710405179101</v>
      </c>
      <c r="AI1472">
        <v>94.3553880792185</v>
      </c>
      <c r="AJ1472">
        <v>69.305321023827204</v>
      </c>
      <c r="AK1472">
        <v>14.607708182811701</v>
      </c>
      <c r="AL1472">
        <v>96.311487662865204</v>
      </c>
      <c r="AM1472">
        <v>88.984295426711199</v>
      </c>
      <c r="AN1472">
        <v>1.00000003992527</v>
      </c>
    </row>
    <row r="1473" spans="1:40" x14ac:dyDescent="0.25">
      <c r="A1473" t="str">
        <f>"20190305134930570"</f>
        <v>20190305134930570</v>
      </c>
      <c r="B1473" t="str">
        <f>"1551764970561859"</f>
        <v>1551764970561859</v>
      </c>
      <c r="C1473" t="s">
        <v>40</v>
      </c>
      <c r="D1473">
        <v>4.4335529999999999</v>
      </c>
      <c r="E1473">
        <v>0.63405540000000005</v>
      </c>
      <c r="F1473" t="s">
        <v>44</v>
      </c>
      <c r="G1473">
        <v>-207.45230000000001</v>
      </c>
      <c r="H1473" s="1">
        <v>-5.4823010000000002E-6</v>
      </c>
      <c r="I1473">
        <v>362.89339999999999</v>
      </c>
      <c r="J1473">
        <v>-220.72149999999999</v>
      </c>
      <c r="K1473">
        <v>1.1093390000000001</v>
      </c>
      <c r="L1473">
        <v>368.17099999999999</v>
      </c>
      <c r="M1473">
        <v>0.99978449999999996</v>
      </c>
      <c r="N1473">
        <v>-1.434422E-2</v>
      </c>
      <c r="O1473">
        <v>-1.501327E-2</v>
      </c>
      <c r="P1473">
        <v>0.99174079999999998</v>
      </c>
      <c r="Q1473">
        <v>-0.123738</v>
      </c>
      <c r="R1473">
        <v>-3.3754409999999999E-2</v>
      </c>
      <c r="S1473">
        <v>2.9566189999999999</v>
      </c>
      <c r="T1473">
        <v>-0.2441545</v>
      </c>
      <c r="U1473">
        <v>-1.16214</v>
      </c>
      <c r="V1473">
        <v>1.8696600000000001E-2</v>
      </c>
      <c r="W1473">
        <v>-0.10952190000000001</v>
      </c>
      <c r="X1473">
        <v>0.99380849999999998</v>
      </c>
      <c r="Y1473">
        <v>0.35059960000000001</v>
      </c>
      <c r="Z1473">
        <v>-1.5559440000000001E-2</v>
      </c>
      <c r="AA1473">
        <v>0.93639620000000001</v>
      </c>
      <c r="AB1473">
        <v>31</v>
      </c>
      <c r="AC1473">
        <v>13.2691999999999</v>
      </c>
      <c r="AD1473">
        <v>-1.1093444823009999</v>
      </c>
      <c r="AE1473">
        <v>-5.2775999999999996</v>
      </c>
      <c r="AF1473">
        <v>5.0473109853008999</v>
      </c>
      <c r="AG1473">
        <v>-1.1093444823009999</v>
      </c>
      <c r="AH1473">
        <v>13.2668833574962</v>
      </c>
      <c r="AI1473">
        <v>94.468741615325598</v>
      </c>
      <c r="AJ1473">
        <v>69.170964705846799</v>
      </c>
      <c r="AK1473">
        <v>14.237843494861099</v>
      </c>
      <c r="AL1473">
        <v>96.287756118460393</v>
      </c>
      <c r="AM1473">
        <v>88.922216990025106</v>
      </c>
      <c r="AN1473">
        <v>0.99999997205170899</v>
      </c>
    </row>
    <row r="1474" spans="1:40" x14ac:dyDescent="0.25">
      <c r="A1474" t="str">
        <f>"20190305134930583"</f>
        <v>20190305134930583</v>
      </c>
      <c r="B1474" t="str">
        <f>"1551764970571619"</f>
        <v>1551764970571619</v>
      </c>
      <c r="C1474" t="s">
        <v>40</v>
      </c>
      <c r="D1474">
        <v>4.4143080000000001</v>
      </c>
      <c r="E1474">
        <v>0.63420909999999997</v>
      </c>
      <c r="F1474" t="s">
        <v>44</v>
      </c>
      <c r="G1474">
        <v>-207.30539999999999</v>
      </c>
      <c r="H1474" s="1">
        <v>-5.4370479999999901E-6</v>
      </c>
      <c r="I1474">
        <v>362.8682</v>
      </c>
      <c r="J1474">
        <v>-220.54130000000001</v>
      </c>
      <c r="K1474">
        <v>1.1093329999999999</v>
      </c>
      <c r="L1474">
        <v>368.1678</v>
      </c>
      <c r="M1474">
        <v>0.99977780000000005</v>
      </c>
      <c r="N1474">
        <v>-1.434235E-2</v>
      </c>
      <c r="O1474">
        <v>-1.545243E-2</v>
      </c>
      <c r="P1474">
        <v>0.99171279999999995</v>
      </c>
      <c r="Q1474">
        <v>-0.1235343</v>
      </c>
      <c r="R1474">
        <v>-3.5290479999999999E-2</v>
      </c>
      <c r="S1474">
        <v>2.9547729999999999</v>
      </c>
      <c r="T1474">
        <v>-0.24432180000000001</v>
      </c>
      <c r="U1474">
        <v>-1.1678770000000001</v>
      </c>
      <c r="V1474">
        <v>1.9795299999999998E-2</v>
      </c>
      <c r="W1474">
        <v>-0.1093219</v>
      </c>
      <c r="X1474">
        <v>0.99380930000000001</v>
      </c>
      <c r="Y1474">
        <v>0.35195510000000002</v>
      </c>
      <c r="Z1474">
        <v>-1.560688E-2</v>
      </c>
      <c r="AA1474">
        <v>0.93588680000000002</v>
      </c>
      <c r="AB1474">
        <v>31</v>
      </c>
      <c r="AC1474">
        <v>13.235900000000001</v>
      </c>
      <c r="AD1474">
        <v>-1.1093384370479999</v>
      </c>
      <c r="AE1474">
        <v>-5.2995999999999901</v>
      </c>
      <c r="AF1474">
        <v>5.06376310203248</v>
      </c>
      <c r="AG1474">
        <v>-1.1093384370479999</v>
      </c>
      <c r="AH1474">
        <v>13.2360878080994</v>
      </c>
      <c r="AI1474">
        <v>94.475911695369902</v>
      </c>
      <c r="AJ1474">
        <v>69.064524163297193</v>
      </c>
      <c r="AK1474">
        <v>14.215004361066301</v>
      </c>
      <c r="AL1474">
        <v>96.276227384768802</v>
      </c>
      <c r="AM1474">
        <v>88.858898600312102</v>
      </c>
      <c r="AN1474">
        <v>1.00000002824409</v>
      </c>
    </row>
    <row r="1475" spans="1:40" x14ac:dyDescent="0.25">
      <c r="A1475" t="str">
        <f>"20190305134930596"</f>
        <v>20190305134930596</v>
      </c>
      <c r="B1475" t="str">
        <f>"1551764970592115"</f>
        <v>1551764970592115</v>
      </c>
      <c r="C1475" t="s">
        <v>40</v>
      </c>
      <c r="D1475">
        <v>4.4328000000000003</v>
      </c>
      <c r="E1475">
        <v>0.63416640000000002</v>
      </c>
      <c r="F1475" t="s">
        <v>44</v>
      </c>
      <c r="G1475">
        <v>-207.08690000000001</v>
      </c>
      <c r="H1475" s="1">
        <v>-5.3715990000000001E-6</v>
      </c>
      <c r="I1475">
        <v>362.81900000000002</v>
      </c>
      <c r="J1475">
        <v>-220.3683</v>
      </c>
      <c r="K1475">
        <v>1.109329</v>
      </c>
      <c r="L1475">
        <v>368.16469999999998</v>
      </c>
      <c r="M1475">
        <v>0.99977119999999997</v>
      </c>
      <c r="N1475">
        <v>-1.4340510000000001E-2</v>
      </c>
      <c r="O1475">
        <v>-1.587558E-2</v>
      </c>
      <c r="P1475">
        <v>0.9917222</v>
      </c>
      <c r="Q1475">
        <v>-0.1231381</v>
      </c>
      <c r="R1475">
        <v>-3.639071E-2</v>
      </c>
      <c r="S1475">
        <v>2.9529719999999999</v>
      </c>
      <c r="T1475">
        <v>-0.2434781</v>
      </c>
      <c r="U1475">
        <v>-1.17395</v>
      </c>
      <c r="V1475">
        <v>2.0474490000000001E-2</v>
      </c>
      <c r="W1475">
        <v>-0.10892839999999999</v>
      </c>
      <c r="X1475">
        <v>0.99383869999999996</v>
      </c>
      <c r="Y1475">
        <v>0.35342000000000001</v>
      </c>
      <c r="Z1475">
        <v>-1.5607340000000001E-2</v>
      </c>
      <c r="AA1475">
        <v>0.93533460000000002</v>
      </c>
      <c r="AB1475">
        <v>31</v>
      </c>
      <c r="AC1475">
        <v>13.2813999999999</v>
      </c>
      <c r="AD1475">
        <v>-1.1093343715990001</v>
      </c>
      <c r="AE1475">
        <v>-5.3456999999999599</v>
      </c>
      <c r="AF1475">
        <v>5.1035138147770098</v>
      </c>
      <c r="AG1475">
        <v>-1.1093343715990001</v>
      </c>
      <c r="AH1475">
        <v>13.284840421430101</v>
      </c>
      <c r="AI1475">
        <v>94.457178940985898</v>
      </c>
      <c r="AJ1475">
        <v>68.985185964028801</v>
      </c>
      <c r="AK1475">
        <v>14.274573935095001</v>
      </c>
      <c r="AL1475">
        <v>96.253546337944101</v>
      </c>
      <c r="AM1475">
        <v>88.819792442314096</v>
      </c>
      <c r="AN1475">
        <v>0.99999998134250401</v>
      </c>
    </row>
    <row r="1476" spans="1:40" x14ac:dyDescent="0.25">
      <c r="A1476" t="str">
        <f>"20190305134930608"</f>
        <v>20190305134930608</v>
      </c>
      <c r="B1476" t="str">
        <f>"1551764970601876"</f>
        <v>1551764970601876</v>
      </c>
      <c r="C1476" t="s">
        <v>40</v>
      </c>
      <c r="D1476">
        <v>4.4591029999999998</v>
      </c>
      <c r="E1476">
        <v>0.63444230000000001</v>
      </c>
      <c r="F1476" t="s">
        <v>44</v>
      </c>
      <c r="G1476">
        <v>-206.59270000000001</v>
      </c>
      <c r="H1476" s="1">
        <v>-5.22867E-6</v>
      </c>
      <c r="I1476">
        <v>362.67500000000001</v>
      </c>
      <c r="J1476">
        <v>-220.18299999999999</v>
      </c>
      <c r="K1476">
        <v>1.1093219999999999</v>
      </c>
      <c r="L1476">
        <v>368.16129999999998</v>
      </c>
      <c r="M1476">
        <v>0.99976390000000004</v>
      </c>
      <c r="N1476">
        <v>-1.4338480000000001E-2</v>
      </c>
      <c r="O1476">
        <v>-1.6331720000000001E-2</v>
      </c>
      <c r="P1476">
        <v>0.99170049999999998</v>
      </c>
      <c r="Q1476">
        <v>-0.122945</v>
      </c>
      <c r="R1476">
        <v>-3.761403E-2</v>
      </c>
      <c r="S1476">
        <v>2.9523320000000002</v>
      </c>
      <c r="T1476">
        <v>-0.23774770000000001</v>
      </c>
      <c r="U1476">
        <v>-1.1765139999999901</v>
      </c>
      <c r="V1476">
        <v>2.124434E-2</v>
      </c>
      <c r="W1476">
        <v>-0.10873869999999999</v>
      </c>
      <c r="X1476">
        <v>0.99384329999999999</v>
      </c>
      <c r="Y1476">
        <v>0.35381469999999998</v>
      </c>
      <c r="Z1476">
        <v>-1.529763E-2</v>
      </c>
      <c r="AA1476">
        <v>0.93519039999999998</v>
      </c>
      <c r="AB1476">
        <v>31</v>
      </c>
      <c r="AC1476">
        <v>13.5902999999999</v>
      </c>
      <c r="AD1476">
        <v>-1.10932722867</v>
      </c>
      <c r="AE1476">
        <v>-5.4862999999999698</v>
      </c>
      <c r="AF1476">
        <v>5.2336079935537398</v>
      </c>
      <c r="AG1476">
        <v>-1.10932722867</v>
      </c>
      <c r="AH1476">
        <v>13.6001788992117</v>
      </c>
      <c r="AI1476">
        <v>94.353251034432702</v>
      </c>
      <c r="AJ1476">
        <v>68.952324004098799</v>
      </c>
      <c r="AK1476">
        <v>14.614586057121899</v>
      </c>
      <c r="AL1476">
        <v>96.242612477241394</v>
      </c>
      <c r="AM1476">
        <v>88.775435043411207</v>
      </c>
      <c r="AN1476">
        <v>0.999999965907307</v>
      </c>
    </row>
    <row r="1477" spans="1:40" x14ac:dyDescent="0.25">
      <c r="A1477" t="str">
        <f>"20190305134930625"</f>
        <v>20190305134930625</v>
      </c>
      <c r="B1477" t="str">
        <f>"1551764970622371"</f>
        <v>1551764970622371</v>
      </c>
      <c r="C1477" t="s">
        <v>40</v>
      </c>
      <c r="D1477">
        <v>4.4967709999999999</v>
      </c>
      <c r="E1477">
        <v>0.63511709999999999</v>
      </c>
      <c r="F1477" t="s">
        <v>44</v>
      </c>
      <c r="G1477">
        <v>-206.4085</v>
      </c>
      <c r="H1477" s="1">
        <v>-5.157478E-6</v>
      </c>
      <c r="I1477">
        <v>362.64179999999999</v>
      </c>
      <c r="J1477">
        <v>-219.96780000000001</v>
      </c>
      <c r="K1477">
        <v>1.1093170000000001</v>
      </c>
      <c r="L1477">
        <v>368.15719999999999</v>
      </c>
      <c r="M1477">
        <v>0.99975510000000001</v>
      </c>
      <c r="N1477">
        <v>-1.433618E-2</v>
      </c>
      <c r="O1477">
        <v>-1.686151E-2</v>
      </c>
      <c r="P1477">
        <v>0.99161239999999995</v>
      </c>
      <c r="Q1477">
        <v>-0.1230364</v>
      </c>
      <c r="R1477">
        <v>-3.9587219999999999E-2</v>
      </c>
      <c r="S1477">
        <v>2.950806</v>
      </c>
      <c r="T1477">
        <v>-0.23764370000000001</v>
      </c>
      <c r="U1477">
        <v>-1.182404</v>
      </c>
      <c r="V1477">
        <v>2.269169E-2</v>
      </c>
      <c r="W1477">
        <v>-0.1088354</v>
      </c>
      <c r="X1477">
        <v>0.99380080000000004</v>
      </c>
      <c r="Y1477">
        <v>0.35509230000000003</v>
      </c>
      <c r="Z1477">
        <v>-1.53195E-2</v>
      </c>
      <c r="AA1477">
        <v>0.93470569999999997</v>
      </c>
      <c r="AB1477">
        <v>31</v>
      </c>
      <c r="AC1477">
        <v>13.5593</v>
      </c>
      <c r="AD1477">
        <v>-1.1093221574779999</v>
      </c>
      <c r="AE1477">
        <v>-5.5153999999999996</v>
      </c>
      <c r="AF1477">
        <v>5.25577759296299</v>
      </c>
      <c r="AG1477">
        <v>-1.1093221574779999</v>
      </c>
      <c r="AH1477">
        <v>13.5724318123399</v>
      </c>
      <c r="AI1477">
        <v>94.358564889847798</v>
      </c>
      <c r="AJ1477">
        <v>68.831643724200902</v>
      </c>
      <c r="AK1477">
        <v>14.5967359041801</v>
      </c>
      <c r="AL1477">
        <v>96.248185570811401</v>
      </c>
      <c r="AM1477">
        <v>88.691979124569102</v>
      </c>
      <c r="AN1477">
        <v>1.0000000435844201</v>
      </c>
    </row>
    <row r="1478" spans="1:40" x14ac:dyDescent="0.25">
      <c r="A1478" t="str">
        <f>"20190305134930637"</f>
        <v>20190305134930637</v>
      </c>
      <c r="B1478" t="str">
        <f>"1551764970632131"</f>
        <v>1551764970632131</v>
      </c>
      <c r="C1478" t="s">
        <v>40</v>
      </c>
      <c r="D1478">
        <v>4.4512839999999896</v>
      </c>
      <c r="E1478">
        <v>0.63526819999999995</v>
      </c>
      <c r="F1478" t="s">
        <v>44</v>
      </c>
      <c r="G1478">
        <v>-206.25059999999999</v>
      </c>
      <c r="H1478" s="1">
        <v>-5.0924499999999998E-6</v>
      </c>
      <c r="I1478">
        <v>362.60329999999999</v>
      </c>
      <c r="J1478">
        <v>-219.80009999999999</v>
      </c>
      <c r="K1478">
        <v>1.10931</v>
      </c>
      <c r="L1478">
        <v>368.154</v>
      </c>
      <c r="M1478">
        <v>0.99974810000000003</v>
      </c>
      <c r="N1478">
        <v>-1.4334339999999999E-2</v>
      </c>
      <c r="O1478">
        <v>-1.7274210000000002E-2</v>
      </c>
      <c r="P1478">
        <v>0.99153329999999995</v>
      </c>
      <c r="Q1478">
        <v>-0.123325</v>
      </c>
      <c r="R1478">
        <v>-4.065365E-2</v>
      </c>
      <c r="S1478">
        <v>2.9481660000000001</v>
      </c>
      <c r="T1478">
        <v>-0.23842160000000001</v>
      </c>
      <c r="U1478">
        <v>-1.193665</v>
      </c>
      <c r="V1478">
        <v>2.3349000000000002E-2</v>
      </c>
      <c r="W1478">
        <v>-0.10912769999999999</v>
      </c>
      <c r="X1478">
        <v>0.99375349999999996</v>
      </c>
      <c r="Y1478">
        <v>0.35804920000000001</v>
      </c>
      <c r="Z1478">
        <v>-1.5473819999999999E-2</v>
      </c>
      <c r="AA1478">
        <v>0.93357449999999997</v>
      </c>
      <c r="AB1478">
        <v>31</v>
      </c>
      <c r="AC1478">
        <v>13.549499999999901</v>
      </c>
      <c r="AD1478">
        <v>-1.1093150924499999</v>
      </c>
      <c r="AE1478">
        <v>-5.5507</v>
      </c>
      <c r="AF1478">
        <v>5.2854539241992802</v>
      </c>
      <c r="AG1478">
        <v>-1.1093150924499999</v>
      </c>
      <c r="AH1478">
        <v>13.565510162072099</v>
      </c>
      <c r="AI1478">
        <v>94.357256951450594</v>
      </c>
      <c r="AJ1478">
        <v>68.712897335823001</v>
      </c>
      <c r="AK1478">
        <v>14.601016030278601</v>
      </c>
      <c r="AL1478">
        <v>96.265033595008305</v>
      </c>
      <c r="AM1478">
        <v>88.654039397538796</v>
      </c>
      <c r="AN1478">
        <v>1.0000000247352601</v>
      </c>
    </row>
    <row r="1479" spans="1:40" x14ac:dyDescent="0.25">
      <c r="A1479" t="str">
        <f>"20190305134930646"</f>
        <v>20190305134930646</v>
      </c>
      <c r="B1479" t="str">
        <f>"1551764970641892"</f>
        <v>1551764970641892</v>
      </c>
      <c r="C1479" t="s">
        <v>40</v>
      </c>
      <c r="D1479">
        <v>4.4402220000000003</v>
      </c>
      <c r="E1479">
        <v>0.63520569999999998</v>
      </c>
      <c r="F1479" t="s">
        <v>44</v>
      </c>
      <c r="G1479">
        <v>-206.01249999999999</v>
      </c>
      <c r="H1479" s="1">
        <v>-4.9937729999999998E-6</v>
      </c>
      <c r="I1479">
        <v>362.54820000000001</v>
      </c>
      <c r="J1479">
        <v>-219.65299999999999</v>
      </c>
      <c r="K1479">
        <v>1.109308</v>
      </c>
      <c r="L1479">
        <v>368.15109999999999</v>
      </c>
      <c r="M1479">
        <v>0.99974180000000001</v>
      </c>
      <c r="N1479">
        <v>-1.433268E-2</v>
      </c>
      <c r="O1479">
        <v>-1.7636249999999999E-2</v>
      </c>
      <c r="P1479">
        <v>0.99143610000000004</v>
      </c>
      <c r="Q1479">
        <v>-0.12379279999999999</v>
      </c>
      <c r="R1479">
        <v>-4.1593190000000002E-2</v>
      </c>
      <c r="S1479">
        <v>2.9470209999999999</v>
      </c>
      <c r="T1479">
        <v>-0.2371105</v>
      </c>
      <c r="U1479">
        <v>-1.1982120000000001</v>
      </c>
      <c r="V1479">
        <v>2.3929760000000001E-2</v>
      </c>
      <c r="W1479">
        <v>-0.1095991</v>
      </c>
      <c r="X1479">
        <v>0.99368769999999995</v>
      </c>
      <c r="Y1479">
        <v>0.35908269999999998</v>
      </c>
      <c r="Z1479">
        <v>-1.5430940000000001E-2</v>
      </c>
      <c r="AA1479">
        <v>0.93317819999999996</v>
      </c>
      <c r="AB1479">
        <v>31</v>
      </c>
      <c r="AC1479">
        <v>13.640499999999999</v>
      </c>
      <c r="AD1479">
        <v>-1.109312993773</v>
      </c>
      <c r="AE1479">
        <v>-5.6028999999999698</v>
      </c>
      <c r="AF1479">
        <v>5.3312669554629197</v>
      </c>
      <c r="AG1479">
        <v>-1.109312993773</v>
      </c>
      <c r="AH1479">
        <v>13.6599013727631</v>
      </c>
      <c r="AI1479">
        <v>94.326289395269299</v>
      </c>
      <c r="AJ1479">
        <v>68.679999295571307</v>
      </c>
      <c r="AK1479">
        <v>14.7053013631881</v>
      </c>
      <c r="AL1479">
        <v>96.292206466173596</v>
      </c>
      <c r="AM1479">
        <v>88.620482771598404</v>
      </c>
      <c r="AN1479">
        <v>0.99999992063287502</v>
      </c>
    </row>
    <row r="1480" spans="1:40" x14ac:dyDescent="0.25">
      <c r="A1480" t="str">
        <f>"20190305134930659"</f>
        <v>20190305134930659</v>
      </c>
      <c r="B1480" t="str">
        <f>"1551764970651652"</f>
        <v>1551764970651652</v>
      </c>
      <c r="C1480" t="s">
        <v>40</v>
      </c>
      <c r="D1480">
        <v>4.4515209999999996</v>
      </c>
      <c r="E1480">
        <v>0.63533890000000004</v>
      </c>
      <c r="F1480" t="s">
        <v>44</v>
      </c>
      <c r="G1480">
        <v>-206.03049999999999</v>
      </c>
      <c r="H1480" s="1">
        <v>-4.9907350000000003E-6</v>
      </c>
      <c r="I1480">
        <v>362.59969999999998</v>
      </c>
      <c r="J1480">
        <v>-219.48750000000001</v>
      </c>
      <c r="K1480">
        <v>1.1093059999999999</v>
      </c>
      <c r="L1480">
        <v>368.14769999999999</v>
      </c>
      <c r="M1480">
        <v>0.99973460000000003</v>
      </c>
      <c r="N1480">
        <v>-1.4330839999999999E-2</v>
      </c>
      <c r="O1480">
        <v>-1.8042369999999999E-2</v>
      </c>
      <c r="P1480">
        <v>0.99135430000000002</v>
      </c>
      <c r="Q1480">
        <v>-0.12404660000000001</v>
      </c>
      <c r="R1480">
        <v>-4.2771179999999999E-2</v>
      </c>
      <c r="S1480">
        <v>2.9456020000000001</v>
      </c>
      <c r="T1480">
        <v>-0.2398689</v>
      </c>
      <c r="U1480">
        <v>-1.2003779999999999</v>
      </c>
      <c r="V1480">
        <v>2.4705520000000002E-2</v>
      </c>
      <c r="W1480">
        <v>-0.1098567</v>
      </c>
      <c r="X1480">
        <v>0.99364039999999998</v>
      </c>
      <c r="Y1480">
        <v>0.35942380000000002</v>
      </c>
      <c r="Z1480">
        <v>-1.5569889999999999E-2</v>
      </c>
      <c r="AA1480">
        <v>0.9330446</v>
      </c>
      <c r="AB1480">
        <v>31</v>
      </c>
      <c r="AC1480">
        <v>13.457000000000001</v>
      </c>
      <c r="AD1480">
        <v>-1.1093109907349901</v>
      </c>
      <c r="AE1480">
        <v>-5.548</v>
      </c>
      <c r="AF1480">
        <v>5.2736457285094103</v>
      </c>
      <c r="AG1480">
        <v>-1.1093109907349901</v>
      </c>
      <c r="AH1480">
        <v>13.476644575023499</v>
      </c>
      <c r="AI1480">
        <v>94.383355747073594</v>
      </c>
      <c r="AJ1480">
        <v>68.628728417502998</v>
      </c>
      <c r="AK1480">
        <v>14.514195091203</v>
      </c>
      <c r="AL1480">
        <v>96.307054698987997</v>
      </c>
      <c r="AM1480">
        <v>88.575711653259305</v>
      </c>
      <c r="AN1480">
        <v>1.00000005088275</v>
      </c>
    </row>
    <row r="1481" spans="1:40" x14ac:dyDescent="0.25">
      <c r="A1481" t="str">
        <f>"20190305134930672"</f>
        <v>20190305134930672</v>
      </c>
      <c r="B1481" t="str">
        <f>"1551764970662388"</f>
        <v>1551764970662388</v>
      </c>
      <c r="C1481" t="s">
        <v>40</v>
      </c>
      <c r="D1481">
        <v>4.4770940000000001</v>
      </c>
      <c r="E1481">
        <v>0.635542099999999</v>
      </c>
      <c r="F1481" t="s">
        <v>44</v>
      </c>
      <c r="G1481">
        <v>-205.86770000000001</v>
      </c>
      <c r="H1481" s="1">
        <v>-4.9207040000000003E-6</v>
      </c>
      <c r="I1481">
        <v>362.57339999999999</v>
      </c>
      <c r="J1481">
        <v>-219.31800000000001</v>
      </c>
      <c r="K1481">
        <v>1.1093029999999999</v>
      </c>
      <c r="L1481">
        <v>368.14420000000001</v>
      </c>
      <c r="M1481">
        <v>0.99972709999999998</v>
      </c>
      <c r="N1481">
        <v>-1.432896E-2</v>
      </c>
      <c r="O1481">
        <v>-1.8457910000000001E-2</v>
      </c>
      <c r="P1481">
        <v>0.99122209999999999</v>
      </c>
      <c r="Q1481">
        <v>-0.1246269</v>
      </c>
      <c r="R1481">
        <v>-4.4126579999999999E-2</v>
      </c>
      <c r="S1481">
        <v>2.9441679999999999</v>
      </c>
      <c r="T1481">
        <v>-0.23979739999999999</v>
      </c>
      <c r="U1481">
        <v>-1.204987</v>
      </c>
      <c r="V1481">
        <v>2.5649769999999999E-2</v>
      </c>
      <c r="W1481">
        <v>-0.1104416</v>
      </c>
      <c r="X1481">
        <v>0.99355159999999998</v>
      </c>
      <c r="Y1481">
        <v>0.36044409999999999</v>
      </c>
      <c r="Z1481">
        <v>-1.558936E-2</v>
      </c>
      <c r="AA1481">
        <v>0.9326506</v>
      </c>
      <c r="AB1481">
        <v>31</v>
      </c>
      <c r="AC1481">
        <v>13.450299999999899</v>
      </c>
      <c r="AD1481">
        <v>-1.109307920704</v>
      </c>
      <c r="AE1481">
        <v>-5.57080000000001</v>
      </c>
      <c r="AF1481">
        <v>5.2908418706978404</v>
      </c>
      <c r="AG1481">
        <v>-1.109307920704</v>
      </c>
      <c r="AH1481">
        <v>13.472620991979801</v>
      </c>
      <c r="AI1481">
        <v>94.382580446080794</v>
      </c>
      <c r="AJ1481">
        <v>68.559534787438693</v>
      </c>
      <c r="AK1481">
        <v>14.516717540725301</v>
      </c>
      <c r="AL1481">
        <v>96.340772365644099</v>
      </c>
      <c r="AM1481">
        <v>88.521166685074206</v>
      </c>
      <c r="AN1481">
        <v>1.00000001978708</v>
      </c>
    </row>
    <row r="1482" spans="1:40" x14ac:dyDescent="0.25">
      <c r="A1482" t="str">
        <f>"20190305134930682"</f>
        <v>20190305134930682</v>
      </c>
      <c r="B1482" t="str">
        <f>"1551764970672149"</f>
        <v>1551764970672149</v>
      </c>
      <c r="C1482" t="s">
        <v>40</v>
      </c>
      <c r="D1482">
        <v>4.4866650000000003</v>
      </c>
      <c r="E1482">
        <v>0.63578710000000005</v>
      </c>
      <c r="F1482" t="s">
        <v>44</v>
      </c>
      <c r="G1482">
        <v>-205.78200000000001</v>
      </c>
      <c r="H1482" s="1">
        <v>-4.8805110000000002E-6</v>
      </c>
      <c r="I1482">
        <v>362.57470000000001</v>
      </c>
      <c r="J1482">
        <v>-219.1644</v>
      </c>
      <c r="K1482">
        <v>1.1093029999999999</v>
      </c>
      <c r="L1482">
        <v>368.14100000000002</v>
      </c>
      <c r="M1482">
        <v>0.99972000000000005</v>
      </c>
      <c r="N1482">
        <v>-1.432726E-2</v>
      </c>
      <c r="O1482">
        <v>-1.8833389999999998E-2</v>
      </c>
      <c r="P1482">
        <v>0.9911063</v>
      </c>
      <c r="Q1482">
        <v>-0.12504580000000001</v>
      </c>
      <c r="R1482">
        <v>-4.5518959999999997E-2</v>
      </c>
      <c r="S1482">
        <v>2.9423370000000002</v>
      </c>
      <c r="T1482">
        <v>-0.24113229999999999</v>
      </c>
      <c r="U1482">
        <v>-1.2106629999999901</v>
      </c>
      <c r="V1482">
        <v>2.6670840000000001E-2</v>
      </c>
      <c r="W1482">
        <v>-0.11086500000000001</v>
      </c>
      <c r="X1482">
        <v>0.99347750000000001</v>
      </c>
      <c r="Y1482">
        <v>0.36182049999999999</v>
      </c>
      <c r="Z1482">
        <v>-1.5703080000000001E-2</v>
      </c>
      <c r="AA1482">
        <v>0.93211560000000004</v>
      </c>
      <c r="AB1482">
        <v>31</v>
      </c>
      <c r="AC1482">
        <v>13.382399999999899</v>
      </c>
      <c r="AD1482">
        <v>-1.1093078805109999</v>
      </c>
      <c r="AE1482">
        <v>-5.5662999999999503</v>
      </c>
      <c r="AF1482">
        <v>5.2823079501453298</v>
      </c>
      <c r="AG1482">
        <v>-1.1093078805109999</v>
      </c>
      <c r="AH1482">
        <v>13.4063372246796</v>
      </c>
      <c r="AI1482">
        <v>94.402213774667899</v>
      </c>
      <c r="AJ1482">
        <v>68.494778861775103</v>
      </c>
      <c r="AK1482">
        <v>14.452100851978599</v>
      </c>
      <c r="AL1482">
        <v>96.365181658298795</v>
      </c>
      <c r="AM1482">
        <v>88.462210148259899</v>
      </c>
      <c r="AN1482">
        <v>0.99999996246877698</v>
      </c>
    </row>
    <row r="1483" spans="1:40" x14ac:dyDescent="0.25">
      <c r="A1483" t="str">
        <f>"20190305134930694"</f>
        <v>20190305134930694</v>
      </c>
      <c r="B1483" t="str">
        <f>"1551764970681911"</f>
        <v>1551764970681911</v>
      </c>
      <c r="C1483" t="s">
        <v>40</v>
      </c>
      <c r="D1483">
        <v>4.448321</v>
      </c>
      <c r="E1483">
        <v>0.6359321</v>
      </c>
      <c r="F1483" t="s">
        <v>44</v>
      </c>
      <c r="G1483">
        <v>-205.60149999999999</v>
      </c>
      <c r="H1483" s="1">
        <v>-4.8063019999999997E-6</v>
      </c>
      <c r="I1483">
        <v>362.53030000000001</v>
      </c>
      <c r="J1483">
        <v>-219.01410000000001</v>
      </c>
      <c r="K1483">
        <v>1.1093029999999999</v>
      </c>
      <c r="L1483">
        <v>368.13780000000003</v>
      </c>
      <c r="M1483">
        <v>0.99971299999999996</v>
      </c>
      <c r="N1483">
        <v>-1.4325589999999999E-2</v>
      </c>
      <c r="O1483">
        <v>-1.9200410000000001E-2</v>
      </c>
      <c r="P1483">
        <v>0.99101910000000004</v>
      </c>
      <c r="Q1483">
        <v>-0.12516240000000001</v>
      </c>
      <c r="R1483">
        <v>-4.7071259999999997E-2</v>
      </c>
      <c r="S1483">
        <v>2.9407199999999998</v>
      </c>
      <c r="T1483">
        <v>-0.24052209999999999</v>
      </c>
      <c r="U1483">
        <v>-1.2165220000000001</v>
      </c>
      <c r="V1483">
        <v>2.7860139999999999E-2</v>
      </c>
      <c r="W1483">
        <v>-0.11098570000000001</v>
      </c>
      <c r="X1483">
        <v>0.99343139999999996</v>
      </c>
      <c r="Y1483">
        <v>0.36324650000000003</v>
      </c>
      <c r="Z1483">
        <v>-1.5716190000000001E-2</v>
      </c>
      <c r="AA1483">
        <v>0.93156050000000001</v>
      </c>
      <c r="AB1483">
        <v>31</v>
      </c>
      <c r="AC1483">
        <v>13.412599999999999</v>
      </c>
      <c r="AD1483">
        <v>-1.1093078063019901</v>
      </c>
      <c r="AE1483">
        <v>-5.6075000000000097</v>
      </c>
      <c r="AF1483">
        <v>5.3179478244003402</v>
      </c>
      <c r="AG1483">
        <v>-1.1093078063019901</v>
      </c>
      <c r="AH1483">
        <v>13.439550884498001</v>
      </c>
      <c r="AI1483">
        <v>94.388869983680806</v>
      </c>
      <c r="AJ1483">
        <v>68.411598409647397</v>
      </c>
      <c r="AK1483">
        <v>14.4959532576916</v>
      </c>
      <c r="AL1483">
        <v>96.372140091517707</v>
      </c>
      <c r="AM1483">
        <v>88.393598032787494</v>
      </c>
      <c r="AN1483">
        <v>0.99999997975563404</v>
      </c>
    </row>
    <row r="1484" spans="1:40" x14ac:dyDescent="0.25">
      <c r="A1484" t="str">
        <f>"20190305134930706"</f>
        <v>20190305134930706</v>
      </c>
      <c r="B1484" t="str">
        <f>"1551764970702404"</f>
        <v>1551764970702404</v>
      </c>
      <c r="C1484" t="s">
        <v>40</v>
      </c>
      <c r="D1484">
        <v>4.3812170000000004</v>
      </c>
      <c r="E1484">
        <v>0.64135390000000003</v>
      </c>
      <c r="F1484" t="s">
        <v>44</v>
      </c>
      <c r="G1484">
        <v>-205.41669999999999</v>
      </c>
      <c r="H1484" s="1">
        <v>-4.7310159999999997E-6</v>
      </c>
      <c r="I1484">
        <v>362.48149999999998</v>
      </c>
      <c r="J1484">
        <v>-218.84630000000001</v>
      </c>
      <c r="K1484">
        <v>1.1093029999999999</v>
      </c>
      <c r="L1484">
        <v>368.13420000000002</v>
      </c>
      <c r="M1484">
        <v>0.99970519999999996</v>
      </c>
      <c r="N1484">
        <v>-1.432373E-2</v>
      </c>
      <c r="O1484">
        <v>-1.9609729999999999E-2</v>
      </c>
      <c r="P1484">
        <v>0.99093209999999998</v>
      </c>
      <c r="Q1484">
        <v>-0.12526319999999999</v>
      </c>
      <c r="R1484">
        <v>-4.860867E-2</v>
      </c>
      <c r="S1484">
        <v>2.938828</v>
      </c>
      <c r="T1484">
        <v>-0.23975679999999999</v>
      </c>
      <c r="U1484">
        <v>-1.222504</v>
      </c>
      <c r="V1484">
        <v>2.8992899999999999E-2</v>
      </c>
      <c r="W1484">
        <v>-0.1110908</v>
      </c>
      <c r="X1484">
        <v>0.99338729999999997</v>
      </c>
      <c r="Y1484">
        <v>0.36469659999999998</v>
      </c>
      <c r="Z1484">
        <v>-1.5720319999999999E-2</v>
      </c>
      <c r="AA1484">
        <v>0.93099370000000004</v>
      </c>
      <c r="AB1484">
        <v>31</v>
      </c>
      <c r="AC1484">
        <v>13.429600000000001</v>
      </c>
      <c r="AD1484">
        <v>-1.109307731016</v>
      </c>
      <c r="AE1484">
        <v>-5.6527000000000296</v>
      </c>
      <c r="AF1484">
        <v>5.357183972644</v>
      </c>
      <c r="AG1484">
        <v>-1.109307731016</v>
      </c>
      <c r="AH1484">
        <v>13.459861049000599</v>
      </c>
      <c r="AI1484">
        <v>94.378805161957104</v>
      </c>
      <c r="AJ1484">
        <v>68.296859131337897</v>
      </c>
      <c r="AK1484">
        <v>14.529206558420499</v>
      </c>
      <c r="AL1484">
        <v>96.378198955784299</v>
      </c>
      <c r="AM1484">
        <v>88.328245815304101</v>
      </c>
      <c r="AN1484">
        <v>1.00000004094816</v>
      </c>
    </row>
    <row r="1485" spans="1:40" x14ac:dyDescent="0.25">
      <c r="A1485" t="str">
        <f>"20190305134930717"</f>
        <v>20190305134930717</v>
      </c>
      <c r="B1485" t="str">
        <f>"1551764970712164"</f>
        <v>1551764970712164</v>
      </c>
      <c r="C1485" t="s">
        <v>40</v>
      </c>
      <c r="D1485">
        <v>4.3983239999999997</v>
      </c>
      <c r="E1485">
        <v>0.64079140000000001</v>
      </c>
      <c r="F1485" t="s">
        <v>44</v>
      </c>
      <c r="G1485">
        <v>-193.62909999999999</v>
      </c>
      <c r="H1485" s="1">
        <v>-5.0110220000000001E-6</v>
      </c>
      <c r="I1485">
        <v>357.2799</v>
      </c>
      <c r="J1485">
        <v>-218.7046</v>
      </c>
      <c r="K1485">
        <v>1.1093059999999999</v>
      </c>
      <c r="L1485">
        <v>368.13099999999997</v>
      </c>
      <c r="M1485">
        <v>0.99969839999999999</v>
      </c>
      <c r="N1485">
        <v>-1.432218E-2</v>
      </c>
      <c r="O1485">
        <v>-1.9954449999999999E-2</v>
      </c>
      <c r="P1485">
        <v>0.99088469999999995</v>
      </c>
      <c r="Q1485">
        <v>-0.12496</v>
      </c>
      <c r="R1485">
        <v>-5.0327280000000002E-2</v>
      </c>
      <c r="S1485">
        <v>2.948807</v>
      </c>
      <c r="T1485">
        <v>-0.12971820000000001</v>
      </c>
      <c r="U1485">
        <v>-1.2692570000000001</v>
      </c>
      <c r="V1485">
        <v>3.037076E-2</v>
      </c>
      <c r="W1485">
        <v>-0.1107913</v>
      </c>
      <c r="X1485">
        <v>0.99337949999999997</v>
      </c>
      <c r="Y1485">
        <v>0.37653769999999998</v>
      </c>
      <c r="Z1485">
        <v>-1.017413E-2</v>
      </c>
      <c r="AA1485">
        <v>0.92634539999999999</v>
      </c>
      <c r="AB1485">
        <v>31</v>
      </c>
      <c r="AC1485">
        <v>25.075500000000002</v>
      </c>
      <c r="AD1485">
        <v>-1.1093110110219999</v>
      </c>
      <c r="AE1485">
        <v>-10.851099999999899</v>
      </c>
      <c r="AF1485">
        <v>10.3314895395471</v>
      </c>
      <c r="AG1485">
        <v>-1.1093110110219999</v>
      </c>
      <c r="AH1485">
        <v>25.245441678975499</v>
      </c>
      <c r="AI1485">
        <v>92.328784110840601</v>
      </c>
      <c r="AJ1485">
        <v>67.743571637366998</v>
      </c>
      <c r="AK1485">
        <v>27.3002302662725</v>
      </c>
      <c r="AL1485">
        <v>96.360932780205403</v>
      </c>
      <c r="AM1485">
        <v>88.248831892178103</v>
      </c>
      <c r="AN1485">
        <v>0.99999996311945805</v>
      </c>
    </row>
    <row r="1486" spans="1:40" x14ac:dyDescent="0.25">
      <c r="A1486" t="str">
        <f>"20190305134930727"</f>
        <v>20190305134930727</v>
      </c>
      <c r="B1486" t="str">
        <f>"1551764970721923"</f>
        <v>1551764970721923</v>
      </c>
      <c r="C1486" t="s">
        <v>40</v>
      </c>
      <c r="D1486">
        <v>4.426939</v>
      </c>
      <c r="E1486">
        <v>0.64052749999999903</v>
      </c>
      <c r="F1486" t="s">
        <v>44</v>
      </c>
      <c r="G1486">
        <v>-198.15219999999999</v>
      </c>
      <c r="H1486" s="1">
        <v>-6.446482E-6</v>
      </c>
      <c r="I1486">
        <v>359.25959999999998</v>
      </c>
      <c r="J1486">
        <v>-218.54159999999999</v>
      </c>
      <c r="K1486">
        <v>1.1093109999999999</v>
      </c>
      <c r="L1486">
        <v>368.12729999999999</v>
      </c>
      <c r="M1486">
        <v>0.99969039999999998</v>
      </c>
      <c r="N1486">
        <v>-1.432041E-2</v>
      </c>
      <c r="O1486">
        <v>-2.0350409999999999E-2</v>
      </c>
      <c r="P1486">
        <v>0.99081819999999998</v>
      </c>
      <c r="Q1486">
        <v>-0.12480040000000001</v>
      </c>
      <c r="R1486">
        <v>-5.2003229999999998E-2</v>
      </c>
      <c r="S1486">
        <v>2.9430390000000002</v>
      </c>
      <c r="T1486">
        <v>-0.1588503</v>
      </c>
      <c r="U1486">
        <v>-1.2703549999999999</v>
      </c>
      <c r="V1486">
        <v>3.1655269999999999E-2</v>
      </c>
      <c r="W1486">
        <v>-0.1106357</v>
      </c>
      <c r="X1486">
        <v>0.99335680000000004</v>
      </c>
      <c r="Y1486">
        <v>0.37694640000000001</v>
      </c>
      <c r="Z1486">
        <v>-1.177841E-2</v>
      </c>
      <c r="AA1486">
        <v>0.92616019999999999</v>
      </c>
      <c r="AB1486">
        <v>31</v>
      </c>
      <c r="AC1486">
        <v>20.389399999999899</v>
      </c>
      <c r="AD1486">
        <v>-1.1093174464819999</v>
      </c>
      <c r="AE1486">
        <v>-8.8677000000000099</v>
      </c>
      <c r="AF1486">
        <v>8.4299040500665203</v>
      </c>
      <c r="AG1486">
        <v>-1.1093174464819999</v>
      </c>
      <c r="AH1486">
        <v>20.514590958314098</v>
      </c>
      <c r="AI1486">
        <v>92.863341392686806</v>
      </c>
      <c r="AJ1486">
        <v>67.661143552674403</v>
      </c>
      <c r="AK1486">
        <v>22.2068077327053</v>
      </c>
      <c r="AL1486">
        <v>96.351962026990094</v>
      </c>
      <c r="AM1486">
        <v>88.174774864433004</v>
      </c>
      <c r="AN1486">
        <v>1.0000000231697499</v>
      </c>
    </row>
    <row r="1487" spans="1:40" x14ac:dyDescent="0.25">
      <c r="A1487" t="str">
        <f>"20190305134930738"</f>
        <v>20190305134930738</v>
      </c>
      <c r="B1487" t="str">
        <f>"1551764970731684"</f>
        <v>1551764970731684</v>
      </c>
      <c r="C1487" t="s">
        <v>40</v>
      </c>
      <c r="D1487">
        <v>4.4287229999999997</v>
      </c>
      <c r="E1487">
        <v>0.64093080000000002</v>
      </c>
      <c r="F1487" t="s">
        <v>44</v>
      </c>
      <c r="G1487">
        <v>-199.68190000000001</v>
      </c>
      <c r="H1487" s="1">
        <v>-1.0192739999999999E-5</v>
      </c>
      <c r="I1487">
        <v>359.95839999999998</v>
      </c>
      <c r="J1487">
        <v>-218.405</v>
      </c>
      <c r="K1487">
        <v>1.109324</v>
      </c>
      <c r="L1487">
        <v>368.12419999999997</v>
      </c>
      <c r="M1487">
        <v>0.99968369999999995</v>
      </c>
      <c r="N1487">
        <v>-1.431896E-2</v>
      </c>
      <c r="O1487">
        <v>-2.068128E-2</v>
      </c>
      <c r="P1487">
        <v>0.99079280000000003</v>
      </c>
      <c r="Q1487">
        <v>-0.1243237</v>
      </c>
      <c r="R1487">
        <v>-5.3603940000000003E-2</v>
      </c>
      <c r="S1487">
        <v>2.9392239999999998</v>
      </c>
      <c r="T1487">
        <v>-0.17288399999999901</v>
      </c>
      <c r="U1487">
        <v>-1.273102</v>
      </c>
      <c r="V1487">
        <v>3.292925E-2</v>
      </c>
      <c r="W1487">
        <v>-0.1101621</v>
      </c>
      <c r="X1487">
        <v>0.99336800000000003</v>
      </c>
      <c r="Y1487">
        <v>0.37770969999999998</v>
      </c>
      <c r="Z1487">
        <v>-1.2567750000000001E-2</v>
      </c>
      <c r="AA1487">
        <v>0.92583879999999996</v>
      </c>
      <c r="AB1487">
        <v>31</v>
      </c>
      <c r="AC1487">
        <v>18.723099999999899</v>
      </c>
      <c r="AD1487">
        <v>-1.10933419273999</v>
      </c>
      <c r="AE1487">
        <v>-8.1657999999999902</v>
      </c>
      <c r="AF1487">
        <v>7.7539258197729497</v>
      </c>
      <c r="AG1487">
        <v>-1.10933419273999</v>
      </c>
      <c r="AH1487">
        <v>18.8324453888272</v>
      </c>
      <c r="AI1487">
        <v>93.117775872763801</v>
      </c>
      <c r="AJ1487">
        <v>67.621453127724607</v>
      </c>
      <c r="AK1487">
        <v>20.396445457306601</v>
      </c>
      <c r="AL1487">
        <v>96.3246599820895</v>
      </c>
      <c r="AM1487">
        <v>88.101392006170499</v>
      </c>
      <c r="AN1487">
        <v>1.0000000036029799</v>
      </c>
    </row>
    <row r="1488" spans="1:40" x14ac:dyDescent="0.25">
      <c r="A1488" t="str">
        <f>"20190305134930748"</f>
        <v>20190305134930748</v>
      </c>
      <c r="B1488" t="str">
        <f>"1551764970742420"</f>
        <v>1551764970742420</v>
      </c>
      <c r="C1488" t="s">
        <v>40</v>
      </c>
      <c r="D1488">
        <v>4.4287269999999896</v>
      </c>
      <c r="E1488">
        <v>0.64131910000000003</v>
      </c>
      <c r="F1488" t="s">
        <v>44</v>
      </c>
      <c r="G1488">
        <v>-200.01779999999999</v>
      </c>
      <c r="H1488" s="1">
        <v>-2.5370649999999999E-6</v>
      </c>
      <c r="I1488">
        <v>360.10050000000001</v>
      </c>
      <c r="J1488">
        <v>-218.2602</v>
      </c>
      <c r="K1488">
        <v>1.1093329999999999</v>
      </c>
      <c r="L1488">
        <v>368.12079999999997</v>
      </c>
      <c r="M1488">
        <v>0.99967640000000002</v>
      </c>
      <c r="N1488">
        <v>-1.4317420000000001E-2</v>
      </c>
      <c r="O1488">
        <v>-2.1032060000000002E-2</v>
      </c>
      <c r="P1488">
        <v>0.99074980000000001</v>
      </c>
      <c r="Q1488">
        <v>-0.12389020000000001</v>
      </c>
      <c r="R1488">
        <v>-5.5373659999999998E-2</v>
      </c>
      <c r="S1488">
        <v>2.9363250000000001</v>
      </c>
      <c r="T1488">
        <v>-0.17715239999999999</v>
      </c>
      <c r="U1488">
        <v>-1.281342</v>
      </c>
      <c r="V1488">
        <v>3.4352260000000003E-2</v>
      </c>
      <c r="W1488">
        <v>-0.1097322</v>
      </c>
      <c r="X1488">
        <v>0.99336740000000001</v>
      </c>
      <c r="Y1488">
        <v>0.37986769999999997</v>
      </c>
      <c r="Z1488">
        <v>-1.286875E-2</v>
      </c>
      <c r="AA1488">
        <v>0.92495130000000003</v>
      </c>
      <c r="AB1488">
        <v>31</v>
      </c>
      <c r="AC1488">
        <v>18.2424</v>
      </c>
      <c r="AD1488">
        <v>-1.109335537065</v>
      </c>
      <c r="AE1488">
        <v>-8.0202999999999598</v>
      </c>
      <c r="AF1488">
        <v>7.6112242184937804</v>
      </c>
      <c r="AG1488">
        <v>-1.109335537065</v>
      </c>
      <c r="AH1488">
        <v>18.350198334841298</v>
      </c>
      <c r="AI1488">
        <v>93.1961188828068</v>
      </c>
      <c r="AJ1488">
        <v>67.472493183601998</v>
      </c>
      <c r="AK1488">
        <v>19.897013302654099</v>
      </c>
      <c r="AL1488">
        <v>96.299878229860894</v>
      </c>
      <c r="AM1488">
        <v>88.019408047154201</v>
      </c>
      <c r="AN1488">
        <v>1.0000000124333499</v>
      </c>
    </row>
    <row r="1489" spans="1:40" x14ac:dyDescent="0.25">
      <c r="A1489" t="str">
        <f>"20190305134930759"</f>
        <v>20190305134930759</v>
      </c>
      <c r="B1489" t="str">
        <f>"1551764970752180"</f>
        <v>1551764970752180</v>
      </c>
      <c r="C1489" t="s">
        <v>40</v>
      </c>
      <c r="D1489">
        <v>4.441865</v>
      </c>
      <c r="E1489">
        <v>0.64167059999999998</v>
      </c>
      <c r="F1489" t="s">
        <v>44</v>
      </c>
      <c r="G1489">
        <v>-200.5085</v>
      </c>
      <c r="H1489" s="1">
        <v>-2.757166E-6</v>
      </c>
      <c r="I1489">
        <v>360.31450000000001</v>
      </c>
      <c r="J1489">
        <v>-218.1096</v>
      </c>
      <c r="K1489">
        <v>1.1093390000000001</v>
      </c>
      <c r="L1489">
        <v>368.1173</v>
      </c>
      <c r="M1489">
        <v>0.99966860000000002</v>
      </c>
      <c r="N1489">
        <v>-1.4315799999999899E-2</v>
      </c>
      <c r="O1489">
        <v>-2.1396060000000001E-2</v>
      </c>
      <c r="P1489">
        <v>0.99077660000000001</v>
      </c>
      <c r="Q1489">
        <v>-0.1227829</v>
      </c>
      <c r="R1489">
        <v>-5.7322610000000003E-2</v>
      </c>
      <c r="S1489">
        <v>2.9329990000000001</v>
      </c>
      <c r="T1489">
        <v>-0.18328910000000001</v>
      </c>
      <c r="U1489">
        <v>-1.289795</v>
      </c>
      <c r="V1489">
        <v>3.5941460000000001E-2</v>
      </c>
      <c r="W1489">
        <v>-0.10862769999999999</v>
      </c>
      <c r="X1489">
        <v>0.99343250000000005</v>
      </c>
      <c r="Y1489">
        <v>0.38210129999999998</v>
      </c>
      <c r="Z1489">
        <v>-1.3278460000000001E-2</v>
      </c>
      <c r="AA1489">
        <v>0.92402510000000004</v>
      </c>
      <c r="AB1489">
        <v>31</v>
      </c>
      <c r="AC1489">
        <v>17.601099999999999</v>
      </c>
      <c r="AD1489">
        <v>-1.10934175716599</v>
      </c>
      <c r="AE1489">
        <v>-7.8027999999999897</v>
      </c>
      <c r="AF1489">
        <v>7.3998137692611001</v>
      </c>
      <c r="AG1489">
        <v>-1.10934175716599</v>
      </c>
      <c r="AH1489">
        <v>17.705255994542402</v>
      </c>
      <c r="AI1489">
        <v>93.308592928413404</v>
      </c>
      <c r="AJ1489">
        <v>67.317781087875204</v>
      </c>
      <c r="AK1489">
        <v>19.2214456476671</v>
      </c>
      <c r="AL1489">
        <v>96.236214854588695</v>
      </c>
      <c r="AM1489">
        <v>87.927995927738706</v>
      </c>
      <c r="AN1489">
        <v>0.99999994890523403</v>
      </c>
    </row>
    <row r="1490" spans="1:40" x14ac:dyDescent="0.25">
      <c r="A1490" t="str">
        <f>"20190305134930770"</f>
        <v>20190305134930770</v>
      </c>
      <c r="B1490" t="str">
        <f>"1551764970761940"</f>
        <v>1551764970761940</v>
      </c>
      <c r="C1490" t="s">
        <v>40</v>
      </c>
      <c r="D1490">
        <v>4.4342600000000001</v>
      </c>
      <c r="E1490">
        <v>0.64192780000000005</v>
      </c>
      <c r="F1490" t="s">
        <v>44</v>
      </c>
      <c r="G1490">
        <v>-200.50479999999999</v>
      </c>
      <c r="H1490" s="1">
        <v>-2.7552100000000002E-6</v>
      </c>
      <c r="I1490">
        <v>360.315</v>
      </c>
      <c r="J1490">
        <v>-217.95519999999999</v>
      </c>
      <c r="K1490">
        <v>1.1093470000000001</v>
      </c>
      <c r="L1490">
        <v>368.11360000000002</v>
      </c>
      <c r="M1490">
        <v>0.99966060000000001</v>
      </c>
      <c r="N1490">
        <v>-1.431414E-2</v>
      </c>
      <c r="O1490">
        <v>-2.1769239999999999E-2</v>
      </c>
      <c r="P1490">
        <v>0.99076149999999996</v>
      </c>
      <c r="Q1490">
        <v>-0.1219891</v>
      </c>
      <c r="R1490">
        <v>-5.9248750000000003E-2</v>
      </c>
      <c r="S1490">
        <v>2.929916</v>
      </c>
      <c r="T1490">
        <v>-0.18462529999999999</v>
      </c>
      <c r="U1490">
        <v>-1.2985230000000001</v>
      </c>
      <c r="V1490">
        <v>3.7498829999999997E-2</v>
      </c>
      <c r="W1490">
        <v>-0.1078373</v>
      </c>
      <c r="X1490">
        <v>0.99346109999999999</v>
      </c>
      <c r="Y1490">
        <v>0.38440190000000002</v>
      </c>
      <c r="Z1490">
        <v>-1.3426449999999999E-2</v>
      </c>
      <c r="AA1490">
        <v>0.92306820000000001</v>
      </c>
      <c r="AB1490">
        <v>31</v>
      </c>
      <c r="AC1490">
        <v>17.450399999999998</v>
      </c>
      <c r="AD1490">
        <v>-1.10934975520999</v>
      </c>
      <c r="AE1490">
        <v>-7.79860000000002</v>
      </c>
      <c r="AF1490">
        <v>7.3919304081508601</v>
      </c>
      <c r="AG1490">
        <v>-1.10934975520999</v>
      </c>
      <c r="AH1490">
        <v>17.5569090177075</v>
      </c>
      <c r="AI1490">
        <v>93.332851636732997</v>
      </c>
      <c r="AJ1490">
        <v>67.167599708337804</v>
      </c>
      <c r="AK1490">
        <v>19.0818328861351</v>
      </c>
      <c r="AL1490">
        <v>96.190660337695604</v>
      </c>
      <c r="AM1490">
        <v>87.838360043980899</v>
      </c>
      <c r="AN1490">
        <v>1.00000000136793</v>
      </c>
    </row>
    <row r="1491" spans="1:40" x14ac:dyDescent="0.25">
      <c r="A1491" t="str">
        <f>"20190305134930783"</f>
        <v>20190305134930783</v>
      </c>
      <c r="B1491" t="str">
        <f>"1551764970771700"</f>
        <v>1551764970771700</v>
      </c>
      <c r="C1491" t="s">
        <v>40</v>
      </c>
      <c r="D1491">
        <v>4.3841910000000004</v>
      </c>
      <c r="E1491">
        <v>0.64199689999999998</v>
      </c>
      <c r="F1491" t="s">
        <v>44</v>
      </c>
      <c r="G1491">
        <v>-200.36490000000001</v>
      </c>
      <c r="H1491" s="1">
        <v>-2.6966199999999999E-6</v>
      </c>
      <c r="I1491">
        <v>360.26159999999999</v>
      </c>
      <c r="J1491">
        <v>-217.7893</v>
      </c>
      <c r="K1491">
        <v>1.1093550000000001</v>
      </c>
      <c r="L1491">
        <v>368.1096</v>
      </c>
      <c r="M1491">
        <v>0.99965199999999999</v>
      </c>
      <c r="N1491">
        <v>-1.431229E-2</v>
      </c>
      <c r="O1491">
        <v>-2.2169479999999998E-2</v>
      </c>
      <c r="P1491">
        <v>0.99074119999999999</v>
      </c>
      <c r="Q1491">
        <v>-0.1211124</v>
      </c>
      <c r="R1491">
        <v>-6.1352469999999999E-2</v>
      </c>
      <c r="S1491">
        <v>2.9271240000000001</v>
      </c>
      <c r="T1491">
        <v>-0.18460190000000001</v>
      </c>
      <c r="U1491">
        <v>-1.30661</v>
      </c>
      <c r="V1491">
        <v>3.9207110000000003E-2</v>
      </c>
      <c r="W1491">
        <v>-0.1069644</v>
      </c>
      <c r="X1491">
        <v>0.99348950000000003</v>
      </c>
      <c r="Y1491">
        <v>0.3864822</v>
      </c>
      <c r="Z1491">
        <v>-1.348924E-2</v>
      </c>
      <c r="AA1491">
        <v>0.92219819999999997</v>
      </c>
      <c r="AB1491">
        <v>31</v>
      </c>
      <c r="AC1491">
        <v>17.424399999999899</v>
      </c>
      <c r="AD1491">
        <v>-1.1093576966199901</v>
      </c>
      <c r="AE1491">
        <v>-7.8480000000000096</v>
      </c>
      <c r="AF1491">
        <v>7.4346875741247196</v>
      </c>
      <c r="AG1491">
        <v>-1.1093576966199901</v>
      </c>
      <c r="AH1491">
        <v>17.535029995998801</v>
      </c>
      <c r="AI1491">
        <v>93.333488811696796</v>
      </c>
      <c r="AJ1491">
        <v>67.023512881162603</v>
      </c>
      <c r="AK1491">
        <v>19.078326205002199</v>
      </c>
      <c r="AL1491">
        <v>96.140355989412299</v>
      </c>
      <c r="AM1491">
        <v>87.740049765549102</v>
      </c>
      <c r="AN1491">
        <v>0.99999998347607999</v>
      </c>
    </row>
    <row r="1492" spans="1:40" x14ac:dyDescent="0.25">
      <c r="A1492" t="str">
        <f>"20190305134930798"</f>
        <v>20190305134930798</v>
      </c>
      <c r="B1492" t="str">
        <f>"1551764970792196"</f>
        <v>1551764970792196</v>
      </c>
      <c r="C1492" t="s">
        <v>40</v>
      </c>
      <c r="D1492">
        <v>4.0280709999999997</v>
      </c>
      <c r="E1492">
        <v>0.64250580000000002</v>
      </c>
      <c r="F1492" t="s">
        <v>44</v>
      </c>
      <c r="G1492">
        <v>-199.87549999999999</v>
      </c>
      <c r="H1492" s="1">
        <v>-1.0248000000000001E-5</v>
      </c>
      <c r="I1492">
        <v>360.06389999999999</v>
      </c>
      <c r="J1492">
        <v>-217.59559999999999</v>
      </c>
      <c r="K1492">
        <v>1.109359</v>
      </c>
      <c r="L1492">
        <v>368.10469999999998</v>
      </c>
      <c r="M1492">
        <v>0.99964149999999996</v>
      </c>
      <c r="N1492">
        <v>-1.43102E-2</v>
      </c>
      <c r="O1492">
        <v>-2.2637669999999999E-2</v>
      </c>
      <c r="P1492">
        <v>0.99072389999999999</v>
      </c>
      <c r="Q1492">
        <v>-0.1199532</v>
      </c>
      <c r="R1492">
        <v>-6.3858360000000003E-2</v>
      </c>
      <c r="S1492">
        <v>2.9245610000000002</v>
      </c>
      <c r="T1492">
        <v>-0.1811123</v>
      </c>
      <c r="U1492">
        <v>-1.313507</v>
      </c>
      <c r="V1492">
        <v>4.1250149999999999E-2</v>
      </c>
      <c r="W1492">
        <v>-0.1058096</v>
      </c>
      <c r="X1492">
        <v>0.99353049999999998</v>
      </c>
      <c r="Y1492">
        <v>0.38818459999999999</v>
      </c>
      <c r="Z1492">
        <v>-1.3341E-2</v>
      </c>
      <c r="AA1492">
        <v>0.92148509999999995</v>
      </c>
      <c r="AB1492">
        <v>31</v>
      </c>
      <c r="AC1492">
        <v>17.720099999999999</v>
      </c>
      <c r="AD1492">
        <v>-1.1093692479999999</v>
      </c>
      <c r="AE1492">
        <v>-8.0407999999999902</v>
      </c>
      <c r="AF1492">
        <v>7.6128132373067601</v>
      </c>
      <c r="AG1492">
        <v>-1.1093692479999999</v>
      </c>
      <c r="AH1492">
        <v>17.839619704253401</v>
      </c>
      <c r="AI1492">
        <v>93.273500711650698</v>
      </c>
      <c r="AJ1492">
        <v>66.890298162692702</v>
      </c>
      <c r="AK1492">
        <v>19.427754803551199</v>
      </c>
      <c r="AL1492">
        <v>96.073812766556202</v>
      </c>
      <c r="AM1492">
        <v>87.622516014587603</v>
      </c>
      <c r="AN1492">
        <v>1.0000000503787101</v>
      </c>
    </row>
    <row r="1493" spans="1:40" x14ac:dyDescent="0.25">
      <c r="A1493" t="str">
        <f>"20190305134930811"</f>
        <v>20190305134930811</v>
      </c>
      <c r="B1493" t="str">
        <f>"1551764970801956"</f>
        <v>1551764970801956</v>
      </c>
      <c r="C1493" t="s">
        <v>40</v>
      </c>
      <c r="D1493">
        <v>4.3713499999999996</v>
      </c>
      <c r="E1493">
        <v>0.64288459999999903</v>
      </c>
      <c r="F1493" t="s">
        <v>44</v>
      </c>
      <c r="G1493">
        <v>-198.33580000000001</v>
      </c>
      <c r="H1493" s="1">
        <v>-6.5123560000000002E-6</v>
      </c>
      <c r="I1493">
        <v>359.37079999999997</v>
      </c>
      <c r="J1493">
        <v>-217.4076</v>
      </c>
      <c r="K1493">
        <v>1.109369</v>
      </c>
      <c r="L1493">
        <v>368.1</v>
      </c>
      <c r="M1493">
        <v>0.99963109999999999</v>
      </c>
      <c r="N1493">
        <v>-1.430822E-2</v>
      </c>
      <c r="O1493">
        <v>-2.3094320000000002E-2</v>
      </c>
      <c r="P1493">
        <v>0.99065789999999998</v>
      </c>
      <c r="Q1493">
        <v>-0.1191657</v>
      </c>
      <c r="R1493">
        <v>-6.6311330000000002E-2</v>
      </c>
      <c r="S1493">
        <v>2.9222869999999999</v>
      </c>
      <c r="T1493">
        <v>-0.16832329999999901</v>
      </c>
      <c r="U1493">
        <v>-1.3251949999999999</v>
      </c>
      <c r="V1493">
        <v>4.3251949999999997E-2</v>
      </c>
      <c r="W1493">
        <v>-0.1050271</v>
      </c>
      <c r="X1493">
        <v>0.99352839999999998</v>
      </c>
      <c r="Y1493">
        <v>0.39117849999999998</v>
      </c>
      <c r="Z1493">
        <v>-1.271358E-2</v>
      </c>
      <c r="AA1493">
        <v>0.92022709999999996</v>
      </c>
      <c r="AB1493">
        <v>31</v>
      </c>
      <c r="AC1493">
        <v>19.0718</v>
      </c>
      <c r="AD1493">
        <v>-1.1093755123559901</v>
      </c>
      <c r="AE1493">
        <v>-8.7292000000000396</v>
      </c>
      <c r="AF1493">
        <v>8.2632595870013397</v>
      </c>
      <c r="AG1493">
        <v>-1.1093755123559901</v>
      </c>
      <c r="AH1493">
        <v>19.214574968563301</v>
      </c>
      <c r="AI1493">
        <v>93.036090282655096</v>
      </c>
      <c r="AJ1493">
        <v>66.7297979106729</v>
      </c>
      <c r="AK1493">
        <v>20.945454500968001</v>
      </c>
      <c r="AL1493">
        <v>96.028727592550297</v>
      </c>
      <c r="AM1493">
        <v>87.507277646892405</v>
      </c>
      <c r="AN1493">
        <v>1.00000005225988</v>
      </c>
    </row>
    <row r="1494" spans="1:40" x14ac:dyDescent="0.25">
      <c r="A1494" t="str">
        <f>"20190305134930824"</f>
        <v>20190305134930824</v>
      </c>
      <c r="B1494" t="str">
        <f>"1551764970811716"</f>
        <v>1551764970811716</v>
      </c>
      <c r="C1494" t="s">
        <v>40</v>
      </c>
      <c r="D1494">
        <v>4.3774389999999999</v>
      </c>
      <c r="E1494">
        <v>0.64296399999999998</v>
      </c>
      <c r="F1494" t="s">
        <v>44</v>
      </c>
      <c r="G1494">
        <v>-198.19329999999999</v>
      </c>
      <c r="H1494" s="1">
        <v>-6.4695240000000003E-6</v>
      </c>
      <c r="I1494">
        <v>359.30930000000001</v>
      </c>
      <c r="J1494">
        <v>-217.22649999999999</v>
      </c>
      <c r="K1494">
        <v>1.10937</v>
      </c>
      <c r="L1494">
        <v>368.09539999999998</v>
      </c>
      <c r="M1494">
        <v>0.99962059999999997</v>
      </c>
      <c r="N1494">
        <v>-1.4306279999999999E-2</v>
      </c>
      <c r="O1494">
        <v>-2.3541510000000002E-2</v>
      </c>
      <c r="P1494">
        <v>0.99056750000000005</v>
      </c>
      <c r="Q1494">
        <v>-0.1185216</v>
      </c>
      <c r="R1494">
        <v>-6.876794E-2</v>
      </c>
      <c r="S1494">
        <v>2.918625</v>
      </c>
      <c r="T1494">
        <v>-0.16851289999999999</v>
      </c>
      <c r="U1494">
        <v>-1.335297</v>
      </c>
      <c r="V1494">
        <v>4.5266420000000002E-2</v>
      </c>
      <c r="W1494">
        <v>-0.1043887</v>
      </c>
      <c r="X1494">
        <v>0.99350590000000005</v>
      </c>
      <c r="Y1494">
        <v>0.39383040000000002</v>
      </c>
      <c r="Z1494">
        <v>-1.2804380000000001E-2</v>
      </c>
      <c r="AA1494">
        <v>0.91909399999999997</v>
      </c>
      <c r="AB1494">
        <v>31</v>
      </c>
      <c r="AC1494">
        <v>19.033199999999901</v>
      </c>
      <c r="AD1494">
        <v>-1.109376469524</v>
      </c>
      <c r="AE1494">
        <v>-8.7860999999999692</v>
      </c>
      <c r="AF1494">
        <v>8.3122696816031194</v>
      </c>
      <c r="AG1494">
        <v>-1.109376469524</v>
      </c>
      <c r="AH1494">
        <v>19.181066117043699</v>
      </c>
      <c r="AI1494">
        <v>93.037736700420695</v>
      </c>
      <c r="AJ1494">
        <v>66.570114240002098</v>
      </c>
      <c r="AK1494">
        <v>20.934131001721401</v>
      </c>
      <c r="AL1494">
        <v>95.991948036055604</v>
      </c>
      <c r="AM1494">
        <v>87.391276323685005</v>
      </c>
      <c r="AN1494">
        <v>1.0000000114010501</v>
      </c>
    </row>
    <row r="1495" spans="1:40" x14ac:dyDescent="0.25">
      <c r="A1495" t="str">
        <f>"20190305134930838"</f>
        <v>20190305134930838</v>
      </c>
      <c r="B1495" t="str">
        <f>"1551764970832212"</f>
        <v>1551764970832212</v>
      </c>
      <c r="C1495" t="s">
        <v>40</v>
      </c>
      <c r="D1495">
        <v>4.3676329999999997</v>
      </c>
      <c r="E1495">
        <v>0.64322380000000001</v>
      </c>
      <c r="F1495" t="s">
        <v>44</v>
      </c>
      <c r="G1495">
        <v>-198.0829</v>
      </c>
      <c r="H1495" s="1">
        <v>-6.439847E-6</v>
      </c>
      <c r="I1495">
        <v>359.2722</v>
      </c>
      <c r="J1495">
        <v>-217.05029999999999</v>
      </c>
      <c r="K1495">
        <v>1.109364</v>
      </c>
      <c r="L1495">
        <v>368.09070000000003</v>
      </c>
      <c r="M1495">
        <v>0.99961009999999995</v>
      </c>
      <c r="N1495">
        <v>-1.430448E-2</v>
      </c>
      <c r="O1495">
        <v>-2.3985780000000002E-2</v>
      </c>
      <c r="P1495">
        <v>0.99028760000000005</v>
      </c>
      <c r="Q1495">
        <v>-0.1179795</v>
      </c>
      <c r="R1495">
        <v>-7.3564299999999999E-2</v>
      </c>
      <c r="S1495">
        <v>2.9150700000000001</v>
      </c>
      <c r="T1495">
        <v>-0.16892850000000001</v>
      </c>
      <c r="U1495">
        <v>-1.3435360000000001</v>
      </c>
      <c r="V1495">
        <v>4.9626299999999998E-2</v>
      </c>
      <c r="W1495">
        <v>-0.10385809999999999</v>
      </c>
      <c r="X1495">
        <v>0.99335320000000005</v>
      </c>
      <c r="Y1495">
        <v>0.39598290000000003</v>
      </c>
      <c r="Z1495">
        <v>-1.2891390000000001E-2</v>
      </c>
      <c r="AA1495">
        <v>0.91816739999999997</v>
      </c>
      <c r="AB1495">
        <v>31</v>
      </c>
      <c r="AC1495">
        <v>18.967400000000001</v>
      </c>
      <c r="AD1495">
        <v>-1.1093704398469999</v>
      </c>
      <c r="AE1495">
        <v>-8.8185000000000304</v>
      </c>
      <c r="AF1495">
        <v>8.3375158155048492</v>
      </c>
      <c r="AG1495">
        <v>-1.1093704398469999</v>
      </c>
      <c r="AH1495">
        <v>19.1197012538676</v>
      </c>
      <c r="AI1495">
        <v>93.044437699723204</v>
      </c>
      <c r="AJ1495">
        <v>66.439459327126698</v>
      </c>
      <c r="AK1495">
        <v>20.887983358470599</v>
      </c>
      <c r="AL1495">
        <v>95.961381246777506</v>
      </c>
      <c r="AM1495">
        <v>87.139974439790095</v>
      </c>
      <c r="AN1495">
        <v>0.99999992726876696</v>
      </c>
    </row>
    <row r="1496" spans="1:40" x14ac:dyDescent="0.25">
      <c r="A1496" t="str">
        <f>"20190305134930850"</f>
        <v>20190305134930850</v>
      </c>
      <c r="B1496" t="str">
        <f>"1551764970841972"</f>
        <v>1551764970841972</v>
      </c>
      <c r="C1496" t="s">
        <v>40</v>
      </c>
      <c r="D1496">
        <v>4.3435449999999998</v>
      </c>
      <c r="E1496">
        <v>0.64331510000000003</v>
      </c>
      <c r="F1496" t="s">
        <v>44</v>
      </c>
      <c r="G1496">
        <v>-198.48070000000001</v>
      </c>
      <c r="H1496" s="1">
        <v>-6.54690799999999E-6</v>
      </c>
      <c r="I1496">
        <v>359.40640000000002</v>
      </c>
      <c r="J1496">
        <v>-216.87370000000001</v>
      </c>
      <c r="K1496">
        <v>1.109354</v>
      </c>
      <c r="L1496">
        <v>368.08609999999999</v>
      </c>
      <c r="M1496">
        <v>0.99959909999999996</v>
      </c>
      <c r="N1496">
        <v>-1.430274E-2</v>
      </c>
      <c r="O1496">
        <v>-2.4438930000000001E-2</v>
      </c>
      <c r="P1496">
        <v>0.99008260000000003</v>
      </c>
      <c r="Q1496">
        <v>-0.11817279999999999</v>
      </c>
      <c r="R1496">
        <v>-7.5973840000000001E-2</v>
      </c>
      <c r="S1496">
        <v>2.9077000000000002</v>
      </c>
      <c r="T1496">
        <v>-0.17370959999999999</v>
      </c>
      <c r="U1496">
        <v>-1.3598330000000001</v>
      </c>
      <c r="V1496">
        <v>5.1587540000000001E-2</v>
      </c>
      <c r="W1496">
        <v>-0.1040591</v>
      </c>
      <c r="X1496">
        <v>0.99323229999999996</v>
      </c>
      <c r="Y1496">
        <v>0.40063349999999998</v>
      </c>
      <c r="Z1496">
        <v>-1.332447E-2</v>
      </c>
      <c r="AA1496">
        <v>0.91614150000000005</v>
      </c>
      <c r="AB1496">
        <v>30</v>
      </c>
      <c r="AC1496">
        <v>18.393000000000001</v>
      </c>
      <c r="AD1496">
        <v>-1.1093605469079999</v>
      </c>
      <c r="AE1496">
        <v>-8.6796999999999596</v>
      </c>
      <c r="AF1496">
        <v>8.2031494672092897</v>
      </c>
      <c r="AG1496">
        <v>-1.1093605469079999</v>
      </c>
      <c r="AH1496">
        <v>18.544475177051901</v>
      </c>
      <c r="AI1496">
        <v>93.131423246127795</v>
      </c>
      <c r="AJ1496">
        <v>66.137795169085194</v>
      </c>
      <c r="AK1496">
        <v>20.308124029479099</v>
      </c>
      <c r="AL1496">
        <v>95.972960086639404</v>
      </c>
      <c r="AM1496">
        <v>87.026783423585101</v>
      </c>
      <c r="AN1496">
        <v>0.999999986169675</v>
      </c>
    </row>
    <row r="1497" spans="1:40" x14ac:dyDescent="0.25">
      <c r="A1497" t="str">
        <f>"20190305134930860"</f>
        <v>20190305134930860</v>
      </c>
      <c r="B1497" t="str">
        <f>"1551764970851732"</f>
        <v>1551764970851732</v>
      </c>
      <c r="C1497" t="s">
        <v>40</v>
      </c>
      <c r="D1497">
        <v>4.3223050000000001</v>
      </c>
      <c r="E1497">
        <v>0.64345240000000004</v>
      </c>
      <c r="F1497" t="s">
        <v>44</v>
      </c>
      <c r="G1497">
        <v>-198.23580000000001</v>
      </c>
      <c r="H1497" s="1">
        <v>-6.4762409999999996E-6</v>
      </c>
      <c r="I1497">
        <v>359.30950000000001</v>
      </c>
      <c r="J1497">
        <v>-216.72630000000001</v>
      </c>
      <c r="K1497">
        <v>1.1093379999999999</v>
      </c>
      <c r="L1497">
        <v>368.08199999999999</v>
      </c>
      <c r="M1497">
        <v>0.99958930000000001</v>
      </c>
      <c r="N1497">
        <v>-1.4301289999999999E-2</v>
      </c>
      <c r="O1497">
        <v>-2.4839509999999999E-2</v>
      </c>
      <c r="P1497">
        <v>0.98989459999999996</v>
      </c>
      <c r="Q1497">
        <v>-0.1181721</v>
      </c>
      <c r="R1497">
        <v>-7.8385259999999998E-2</v>
      </c>
      <c r="S1497">
        <v>2.9044650000000001</v>
      </c>
      <c r="T1497">
        <v>-0.17287949999999999</v>
      </c>
      <c r="U1497">
        <v>-1.3677060000000001</v>
      </c>
      <c r="V1497">
        <v>5.3601650000000001E-2</v>
      </c>
      <c r="W1497">
        <v>-0.1040667</v>
      </c>
      <c r="X1497">
        <v>0.99312480000000003</v>
      </c>
      <c r="Y1497">
        <v>0.402694</v>
      </c>
      <c r="Z1497">
        <v>-1.3339210000000001E-2</v>
      </c>
      <c r="AA1497">
        <v>0.91523750000000004</v>
      </c>
      <c r="AB1497">
        <v>30</v>
      </c>
      <c r="AC1497">
        <v>18.490500000000001</v>
      </c>
      <c r="AD1497">
        <v>-1.1093444762410001</v>
      </c>
      <c r="AE1497">
        <v>-8.7724999999999795</v>
      </c>
      <c r="AF1497">
        <v>8.2861053097839594</v>
      </c>
      <c r="AG1497">
        <v>-1.1093444762410001</v>
      </c>
      <c r="AH1497">
        <v>18.6479307150544</v>
      </c>
      <c r="AI1497">
        <v>93.111744068511697</v>
      </c>
      <c r="AJ1497">
        <v>66.042293396457495</v>
      </c>
      <c r="AK1497">
        <v>20.4361323719843</v>
      </c>
      <c r="AL1497">
        <v>95.973398178526693</v>
      </c>
      <c r="AM1497">
        <v>86.910588296431101</v>
      </c>
      <c r="AN1497">
        <v>0.99999994165332395</v>
      </c>
    </row>
    <row r="1498" spans="1:40" x14ac:dyDescent="0.25">
      <c r="A1498" t="str">
        <f>"20190305134930872"</f>
        <v>20190305134930872</v>
      </c>
      <c r="B1498" t="str">
        <f>"1551764970862468"</f>
        <v>1551764970862468</v>
      </c>
      <c r="C1498" t="s">
        <v>40</v>
      </c>
      <c r="D1498">
        <v>4.3401079999999999</v>
      </c>
      <c r="E1498">
        <v>0.64363139999999996</v>
      </c>
      <c r="F1498" t="s">
        <v>44</v>
      </c>
      <c r="G1498">
        <v>-198.47040000000001</v>
      </c>
      <c r="H1498" s="1">
        <v>-6.5506179999999997E-6</v>
      </c>
      <c r="I1498">
        <v>359.42230000000001</v>
      </c>
      <c r="J1498">
        <v>-216.57589999999999</v>
      </c>
      <c r="K1498">
        <v>1.109321</v>
      </c>
      <c r="L1498">
        <v>368.0779</v>
      </c>
      <c r="M1498">
        <v>0.99957879999999999</v>
      </c>
      <c r="N1498">
        <v>-1.4311340000000001E-2</v>
      </c>
      <c r="O1498">
        <v>-2.52537E-2</v>
      </c>
      <c r="P1498">
        <v>0.98970380000000002</v>
      </c>
      <c r="Q1498">
        <v>-0.11818960000000001</v>
      </c>
      <c r="R1498">
        <v>-8.0736230000000006E-2</v>
      </c>
      <c r="S1498">
        <v>2.90062</v>
      </c>
      <c r="T1498">
        <v>-0.17626040000000001</v>
      </c>
      <c r="U1498">
        <v>-1.3759159999999999</v>
      </c>
      <c r="V1498">
        <v>5.5541189999999997E-2</v>
      </c>
      <c r="W1498">
        <v>-0.1040813</v>
      </c>
      <c r="X1498">
        <v>0.99301680000000003</v>
      </c>
      <c r="Y1498">
        <v>0.40486820000000001</v>
      </c>
      <c r="Z1498">
        <v>-1.3605330000000001E-2</v>
      </c>
      <c r="AA1498">
        <v>0.91427380000000003</v>
      </c>
      <c r="AB1498">
        <v>30</v>
      </c>
      <c r="AC1498">
        <v>18.1054999999999</v>
      </c>
      <c r="AD1498">
        <v>-1.109327550618</v>
      </c>
      <c r="AE1498">
        <v>-8.6555999999999909</v>
      </c>
      <c r="AF1498">
        <v>8.1705946418325706</v>
      </c>
      <c r="AG1498">
        <v>-1.109327550618</v>
      </c>
      <c r="AH1498">
        <v>18.262528434054701</v>
      </c>
      <c r="AI1498">
        <v>93.173633678295403</v>
      </c>
      <c r="AJ1498">
        <v>65.896416267402998</v>
      </c>
      <c r="AK1498">
        <v>20.0376937101144</v>
      </c>
      <c r="AL1498">
        <v>95.974238597157694</v>
      </c>
      <c r="AM1498">
        <v>86.798680996262902</v>
      </c>
      <c r="AN1498">
        <v>1.0000000529392701</v>
      </c>
    </row>
    <row r="1499" spans="1:40" x14ac:dyDescent="0.25">
      <c r="A1499" t="str">
        <f>"20190305134930882"</f>
        <v>20190305134930882</v>
      </c>
      <c r="B1499" t="str">
        <f>"1551764970872228"</f>
        <v>1551764970872228</v>
      </c>
      <c r="C1499" t="s">
        <v>40</v>
      </c>
      <c r="D1499">
        <v>4.336144</v>
      </c>
      <c r="E1499">
        <v>0.64358780000000004</v>
      </c>
      <c r="F1499" t="s">
        <v>44</v>
      </c>
      <c r="G1499">
        <v>-198.62520000000001</v>
      </c>
      <c r="H1499" s="1">
        <v>-6.6015189999999997E-6</v>
      </c>
      <c r="I1499">
        <v>359.50209999999998</v>
      </c>
      <c r="J1499">
        <v>-216.4288</v>
      </c>
      <c r="K1499">
        <v>1.10931</v>
      </c>
      <c r="L1499">
        <v>368.07369999999997</v>
      </c>
      <c r="M1499">
        <v>0.99956719999999999</v>
      </c>
      <c r="N1499">
        <v>-1.4358839999999999E-2</v>
      </c>
      <c r="O1499">
        <v>-2.567699E-2</v>
      </c>
      <c r="P1499">
        <v>0.98950700000000003</v>
      </c>
      <c r="Q1499">
        <v>-0.1184201</v>
      </c>
      <c r="R1499">
        <v>-8.2781190000000004E-2</v>
      </c>
      <c r="S1499">
        <v>2.8969269999999998</v>
      </c>
      <c r="T1499">
        <v>-0.1790254</v>
      </c>
      <c r="U1499">
        <v>-1.383972</v>
      </c>
      <c r="V1499">
        <v>5.7164359999999997E-2</v>
      </c>
      <c r="W1499">
        <v>-0.1042724</v>
      </c>
      <c r="X1499">
        <v>0.99290460000000003</v>
      </c>
      <c r="Y1499">
        <v>0.4069777</v>
      </c>
      <c r="Z1499">
        <v>-1.384317E-2</v>
      </c>
      <c r="AA1499">
        <v>0.91333319999999996</v>
      </c>
      <c r="AB1499">
        <v>30</v>
      </c>
      <c r="AC1499">
        <v>17.8035999999999</v>
      </c>
      <c r="AD1499">
        <v>-1.1093166015189999</v>
      </c>
      <c r="AE1499">
        <v>-8.5715999999999894</v>
      </c>
      <c r="AF1499">
        <v>8.0860976969998699</v>
      </c>
      <c r="AG1499">
        <v>-1.1093166015189999</v>
      </c>
      <c r="AH1499">
        <v>17.961234473039202</v>
      </c>
      <c r="AI1499">
        <v>93.223360250341003</v>
      </c>
      <c r="AJ1499">
        <v>65.762858737517007</v>
      </c>
      <c r="AK1499">
        <v>19.728697450245502</v>
      </c>
      <c r="AL1499">
        <v>95.985247914426495</v>
      </c>
      <c r="AM1499">
        <v>86.704955375399706</v>
      </c>
      <c r="AN1499">
        <v>1.00000002107856</v>
      </c>
    </row>
    <row r="1500" spans="1:40" x14ac:dyDescent="0.25">
      <c r="A1500" t="str">
        <f>"20190305134930894"</f>
        <v>20190305134930894</v>
      </c>
      <c r="B1500" t="str">
        <f>"1551764970891748"</f>
        <v>1551764970891748</v>
      </c>
      <c r="C1500" t="s">
        <v>40</v>
      </c>
      <c r="D1500">
        <v>4.2830589999999997</v>
      </c>
      <c r="E1500">
        <v>0.64401569999999997</v>
      </c>
      <c r="F1500" t="s">
        <v>44</v>
      </c>
      <c r="G1500">
        <v>-198.85140000000001</v>
      </c>
      <c r="H1500" s="1">
        <v>-9.9518489999999992E-6</v>
      </c>
      <c r="I1500">
        <v>359.6311</v>
      </c>
      <c r="J1500">
        <v>-216.27930000000001</v>
      </c>
      <c r="K1500">
        <v>1.109302</v>
      </c>
      <c r="L1500">
        <v>368.06950000000001</v>
      </c>
      <c r="M1500">
        <v>0.99955459999999996</v>
      </c>
      <c r="N1500">
        <v>-1.4436920000000001E-2</v>
      </c>
      <c r="O1500">
        <v>-2.61237E-2</v>
      </c>
      <c r="P1500">
        <v>0.98929350000000005</v>
      </c>
      <c r="Q1500">
        <v>-0.11849759999999999</v>
      </c>
      <c r="R1500">
        <v>-8.5186440000000002E-2</v>
      </c>
      <c r="S1500">
        <v>2.8936769999999998</v>
      </c>
      <c r="T1500">
        <v>-0.18262149999999999</v>
      </c>
      <c r="U1500">
        <v>-1.3898619999999999</v>
      </c>
      <c r="V1500">
        <v>5.9124830000000003E-2</v>
      </c>
      <c r="W1500">
        <v>-0.10428129999999999</v>
      </c>
      <c r="X1500">
        <v>0.99278889999999997</v>
      </c>
      <c r="Y1500">
        <v>0.40844750000000002</v>
      </c>
      <c r="Z1500">
        <v>-1.411305E-2</v>
      </c>
      <c r="AA1500">
        <v>0.9126727</v>
      </c>
      <c r="AB1500">
        <v>30</v>
      </c>
      <c r="AC1500">
        <v>17.427899999999902</v>
      </c>
      <c r="AD1500">
        <v>-1.109311951849</v>
      </c>
      <c r="AE1500">
        <v>-8.4383999999999997</v>
      </c>
      <c r="AF1500">
        <v>7.9540850539045902</v>
      </c>
      <c r="AG1500">
        <v>-1.109311951849</v>
      </c>
      <c r="AH1500">
        <v>17.584701918977601</v>
      </c>
      <c r="AI1500">
        <v>93.289591017153498</v>
      </c>
      <c r="AJ1500">
        <v>65.661342080082605</v>
      </c>
      <c r="AK1500">
        <v>19.3318334265159</v>
      </c>
      <c r="AL1500">
        <v>95.985760363156899</v>
      </c>
      <c r="AM1500">
        <v>86.591816474792495</v>
      </c>
      <c r="AN1500">
        <v>1.0000000675077101</v>
      </c>
    </row>
    <row r="1501" spans="1:40" x14ac:dyDescent="0.25">
      <c r="A1501" t="str">
        <f>"20190305134930906"</f>
        <v>20190305134930906</v>
      </c>
      <c r="B1501" t="str">
        <f>"1551764970902483"</f>
        <v>1551764970902483</v>
      </c>
      <c r="C1501" t="s">
        <v>40</v>
      </c>
      <c r="D1501">
        <v>4.3052609999999998</v>
      </c>
      <c r="E1501">
        <v>0.64430330000000002</v>
      </c>
      <c r="F1501" t="s">
        <v>44</v>
      </c>
      <c r="G1501">
        <v>-198.4357</v>
      </c>
      <c r="H1501" s="1">
        <v>-6.54661799999999E-6</v>
      </c>
      <c r="I1501">
        <v>359.42649999999998</v>
      </c>
      <c r="J1501">
        <v>-216.11060000000001</v>
      </c>
      <c r="K1501">
        <v>1.1092949999999999</v>
      </c>
      <c r="L1501">
        <v>368.06450000000001</v>
      </c>
      <c r="M1501">
        <v>0.9995385</v>
      </c>
      <c r="N1501">
        <v>-1.4575690000000001E-2</v>
      </c>
      <c r="O1501">
        <v>-2.6656050000000001E-2</v>
      </c>
      <c r="P1501">
        <v>0.98904970000000003</v>
      </c>
      <c r="Q1501">
        <v>-0.11896370000000001</v>
      </c>
      <c r="R1501">
        <v>-8.7342100000000006E-2</v>
      </c>
      <c r="S1501">
        <v>2.8904109999999998</v>
      </c>
      <c r="T1501">
        <v>-0.17969160000000001</v>
      </c>
      <c r="U1501">
        <v>-1.4000239999999999</v>
      </c>
      <c r="V1501">
        <v>6.0749070000000002E-2</v>
      </c>
      <c r="W1501">
        <v>-0.10461959999999999</v>
      </c>
      <c r="X1501">
        <v>0.99265519999999996</v>
      </c>
      <c r="Y1501">
        <v>0.41098099999999999</v>
      </c>
      <c r="Z1501">
        <v>-1.4050979999999999E-2</v>
      </c>
      <c r="AA1501">
        <v>0.9115356</v>
      </c>
      <c r="AB1501">
        <v>30</v>
      </c>
      <c r="AC1501">
        <v>17.674900000000001</v>
      </c>
      <c r="AD1501">
        <v>-1.1093015466180001</v>
      </c>
      <c r="AE1501">
        <v>-8.6380000000000301</v>
      </c>
      <c r="AF1501">
        <v>8.1378619940077304</v>
      </c>
      <c r="AG1501">
        <v>-1.1093015466180001</v>
      </c>
      <c r="AH1501">
        <v>17.8421670389395</v>
      </c>
      <c r="AI1501">
        <v>93.237600470660297</v>
      </c>
      <c r="AJ1501">
        <v>65.482139223109002</v>
      </c>
      <c r="AK1501">
        <v>19.6417482012235</v>
      </c>
      <c r="AL1501">
        <v>96.0052503686139</v>
      </c>
      <c r="AM1501">
        <v>86.497948409232905</v>
      </c>
      <c r="AN1501">
        <v>1.00000002814853</v>
      </c>
    </row>
    <row r="1502" spans="1:40" x14ac:dyDescent="0.25">
      <c r="A1502" t="str">
        <f>"20190305134930917"</f>
        <v>20190305134930917</v>
      </c>
      <c r="B1502" t="str">
        <f>"1551764970912244"</f>
        <v>1551764970912244</v>
      </c>
      <c r="C1502" t="s">
        <v>40</v>
      </c>
      <c r="D1502">
        <v>4.3314260000000004</v>
      </c>
      <c r="E1502">
        <v>0.64439369999999996</v>
      </c>
      <c r="F1502" t="s">
        <v>44</v>
      </c>
      <c r="G1502">
        <v>-197.96879999999999</v>
      </c>
      <c r="H1502" s="1">
        <v>-6.4022019999999999E-6</v>
      </c>
      <c r="I1502">
        <v>359.21300000000002</v>
      </c>
      <c r="J1502">
        <v>-215.96799999999999</v>
      </c>
      <c r="K1502">
        <v>1.1092979999999999</v>
      </c>
      <c r="L1502">
        <v>368.06020000000001</v>
      </c>
      <c r="M1502">
        <v>0.99952269999999999</v>
      </c>
      <c r="N1502">
        <v>-1.474377E-2</v>
      </c>
      <c r="O1502">
        <v>-2.7142889999999999E-2</v>
      </c>
      <c r="P1502">
        <v>0.98878279999999996</v>
      </c>
      <c r="Q1502">
        <v>-0.11956840000000001</v>
      </c>
      <c r="R1502">
        <v>-8.9508500000000005E-2</v>
      </c>
      <c r="S1502">
        <v>2.887527</v>
      </c>
      <c r="T1502">
        <v>-0.176561</v>
      </c>
      <c r="U1502">
        <v>-1.408844</v>
      </c>
      <c r="V1502">
        <v>6.2429800000000001E-2</v>
      </c>
      <c r="W1502">
        <v>-0.1050683</v>
      </c>
      <c r="X1502">
        <v>0.99250349999999998</v>
      </c>
      <c r="Y1502">
        <v>0.41316239999999999</v>
      </c>
      <c r="Z1502">
        <v>-1.3971849999999999E-2</v>
      </c>
      <c r="AA1502">
        <v>0.91055019999999998</v>
      </c>
      <c r="AB1502">
        <v>30</v>
      </c>
      <c r="AC1502">
        <v>17.999199999999998</v>
      </c>
      <c r="AD1502">
        <v>-1.109304402202</v>
      </c>
      <c r="AE1502">
        <v>-8.8471999999999795</v>
      </c>
      <c r="AF1502">
        <v>8.3298532709323396</v>
      </c>
      <c r="AG1502">
        <v>-1.109304402202</v>
      </c>
      <c r="AH1502">
        <v>18.177123760759301</v>
      </c>
      <c r="AI1502">
        <v>93.175485175498494</v>
      </c>
      <c r="AJ1502">
        <v>65.379895765258595</v>
      </c>
      <c r="AK1502">
        <v>20.0256046097482</v>
      </c>
      <c r="AL1502">
        <v>96.031101552260395</v>
      </c>
      <c r="AM1502">
        <v>86.400760591452695</v>
      </c>
      <c r="AN1502">
        <v>1.0000000125525801</v>
      </c>
    </row>
    <row r="1503" spans="1:40" x14ac:dyDescent="0.25">
      <c r="A1503" t="str">
        <f>"20190305134930927"</f>
        <v>20190305134930927</v>
      </c>
      <c r="B1503" t="str">
        <f>"1551764970922004"</f>
        <v>1551764970922004</v>
      </c>
      <c r="C1503" t="s">
        <v>40</v>
      </c>
      <c r="D1503">
        <v>4.3081199999999997</v>
      </c>
      <c r="E1503">
        <v>0.64447460000000001</v>
      </c>
      <c r="F1503" t="s">
        <v>44</v>
      </c>
      <c r="G1503">
        <v>-197.7774</v>
      </c>
      <c r="H1503" s="1">
        <v>-6.3452200000000004E-6</v>
      </c>
      <c r="I1503">
        <v>359.13199999999898</v>
      </c>
      <c r="J1503">
        <v>-215.82300000000001</v>
      </c>
      <c r="K1503">
        <v>1.109305</v>
      </c>
      <c r="L1503">
        <v>368.0557</v>
      </c>
      <c r="M1503">
        <v>0.99950600000000001</v>
      </c>
      <c r="N1503">
        <v>-1.493649E-2</v>
      </c>
      <c r="O1503">
        <v>-2.7654689999999999E-2</v>
      </c>
      <c r="P1503">
        <v>0.9884889</v>
      </c>
      <c r="Q1503">
        <v>-0.1205064</v>
      </c>
      <c r="R1503">
        <v>-9.1477279999999994E-2</v>
      </c>
      <c r="S1503">
        <v>2.8846129999999999</v>
      </c>
      <c r="T1503">
        <v>-0.17591010000000001</v>
      </c>
      <c r="U1503">
        <v>-1.415802</v>
      </c>
      <c r="V1503">
        <v>6.3887509999999995E-2</v>
      </c>
      <c r="W1503">
        <v>-0.1058265</v>
      </c>
      <c r="X1503">
        <v>0.99233009999999999</v>
      </c>
      <c r="Y1503">
        <v>0.4148288</v>
      </c>
      <c r="Z1503">
        <v>-1.4025330000000001E-2</v>
      </c>
      <c r="AA1503">
        <v>0.90979140000000003</v>
      </c>
      <c r="AB1503">
        <v>30</v>
      </c>
      <c r="AC1503">
        <v>18.045599999999901</v>
      </c>
      <c r="AD1503">
        <v>-1.1093113452200001</v>
      </c>
      <c r="AE1503">
        <v>-8.9237000000000499</v>
      </c>
      <c r="AF1503">
        <v>8.3956926226967408</v>
      </c>
      <c r="AG1503">
        <v>-1.1093113452200001</v>
      </c>
      <c r="AH1503">
        <v>18.230152696789101</v>
      </c>
      <c r="AI1503">
        <v>93.1635567132235</v>
      </c>
      <c r="AJ1503">
        <v>65.272095544344396</v>
      </c>
      <c r="AK1503">
        <v>20.101161499368299</v>
      </c>
      <c r="AL1503">
        <v>96.074787176765398</v>
      </c>
      <c r="AM1503">
        <v>86.316306725724203</v>
      </c>
      <c r="AN1503">
        <v>0.99999994470112796</v>
      </c>
    </row>
    <row r="1504" spans="1:40" x14ac:dyDescent="0.25">
      <c r="A1504" t="str">
        <f>"20190305134930939"</f>
        <v>20190305134930939</v>
      </c>
      <c r="B1504" t="str">
        <f>"1551764970931764"</f>
        <v>1551764970931764</v>
      </c>
      <c r="C1504" t="s">
        <v>40</v>
      </c>
      <c r="D1504">
        <v>4.3187280000000001</v>
      </c>
      <c r="E1504">
        <v>0.64461239999999997</v>
      </c>
      <c r="F1504" t="s">
        <v>44</v>
      </c>
      <c r="G1504">
        <v>-197.5505</v>
      </c>
      <c r="H1504" s="1">
        <v>-6.2779810000000004E-6</v>
      </c>
      <c r="I1504">
        <v>359.03699999999998</v>
      </c>
      <c r="J1504">
        <v>-215.6798</v>
      </c>
      <c r="K1504">
        <v>1.1093059999999999</v>
      </c>
      <c r="L1504">
        <v>368.05119999999999</v>
      </c>
      <c r="M1504">
        <v>0.99948700000000001</v>
      </c>
      <c r="N1504">
        <v>-1.516061E-2</v>
      </c>
      <c r="O1504">
        <v>-2.8214409999999999E-2</v>
      </c>
      <c r="P1504">
        <v>0.98819829999999997</v>
      </c>
      <c r="Q1504">
        <v>-0.12133149999999999</v>
      </c>
      <c r="R1504">
        <v>-9.3505089999999999E-2</v>
      </c>
      <c r="S1504">
        <v>2.8819889999999999</v>
      </c>
      <c r="T1504">
        <v>-0.1749638</v>
      </c>
      <c r="U1504">
        <v>-1.422455</v>
      </c>
      <c r="V1504">
        <v>6.5355120000000003E-2</v>
      </c>
      <c r="W1504">
        <v>-0.1064422</v>
      </c>
      <c r="X1504">
        <v>0.99216870000000001</v>
      </c>
      <c r="Y1504">
        <v>0.4163384</v>
      </c>
      <c r="Z1504">
        <v>-1.4060949999999999E-2</v>
      </c>
      <c r="AA1504">
        <v>0.90910100000000005</v>
      </c>
      <c r="AB1504">
        <v>30</v>
      </c>
      <c r="AC1504">
        <v>18.129300000000001</v>
      </c>
      <c r="AD1504">
        <v>-1.1093122779810001</v>
      </c>
      <c r="AE1504">
        <v>-9.0142000000000095</v>
      </c>
      <c r="AF1504">
        <v>8.4736071270072397</v>
      </c>
      <c r="AG1504">
        <v>-1.1093122779810001</v>
      </c>
      <c r="AH1504">
        <v>18.321440801126698</v>
      </c>
      <c r="AI1504">
        <v>93.145489022190006</v>
      </c>
      <c r="AJ1504">
        <v>65.179611287236895</v>
      </c>
      <c r="AK1504">
        <v>20.2165225620565</v>
      </c>
      <c r="AL1504">
        <v>96.110264348813502</v>
      </c>
      <c r="AM1504">
        <v>86.2313155819012</v>
      </c>
      <c r="AN1504">
        <v>0.99999998145537194</v>
      </c>
    </row>
    <row r="1505" spans="1:40" x14ac:dyDescent="0.25">
      <c r="A1505" t="str">
        <f>"20190305134930949"</f>
        <v>20190305134930949</v>
      </c>
      <c r="B1505" t="str">
        <f>"1551764970942500"</f>
        <v>1551764970942500</v>
      </c>
      <c r="C1505" t="s">
        <v>40</v>
      </c>
      <c r="D1505">
        <v>4.3185529999999996</v>
      </c>
      <c r="E1505">
        <v>0.64477869999999904</v>
      </c>
      <c r="F1505" t="s">
        <v>44</v>
      </c>
      <c r="G1505">
        <v>-197.26009999999999</v>
      </c>
      <c r="H1505" s="1">
        <v>-6.1895709999999998E-6</v>
      </c>
      <c r="I1505">
        <v>358.90839999999997</v>
      </c>
      <c r="J1505">
        <v>-215.53309999999999</v>
      </c>
      <c r="K1505">
        <v>1.1093090000000001</v>
      </c>
      <c r="L1505">
        <v>368.04660000000001</v>
      </c>
      <c r="M1505">
        <v>0.99946679999999999</v>
      </c>
      <c r="N1505">
        <v>-1.539717E-2</v>
      </c>
      <c r="O1505">
        <v>-2.8799140000000001E-2</v>
      </c>
      <c r="P1505">
        <v>0.98793929999999996</v>
      </c>
      <c r="Q1505">
        <v>-0.1219611</v>
      </c>
      <c r="R1505">
        <v>-9.5403390000000005E-2</v>
      </c>
      <c r="S1505">
        <v>2.879318</v>
      </c>
      <c r="T1505">
        <v>-0.17340420000000001</v>
      </c>
      <c r="U1505">
        <v>-1.4291689999999999</v>
      </c>
      <c r="V1505">
        <v>6.6667409999999996E-2</v>
      </c>
      <c r="W1505">
        <v>-0.1068501</v>
      </c>
      <c r="X1505">
        <v>0.99203750000000002</v>
      </c>
      <c r="Y1505">
        <v>0.41784890000000002</v>
      </c>
      <c r="Z1505">
        <v>-1.4063010000000001E-2</v>
      </c>
      <c r="AA1505">
        <v>0.90840770000000004</v>
      </c>
      <c r="AB1505">
        <v>30</v>
      </c>
      <c r="AC1505">
        <v>18.273</v>
      </c>
      <c r="AD1505">
        <v>-1.1093151895710001</v>
      </c>
      <c r="AE1505">
        <v>-9.1382000000000296</v>
      </c>
      <c r="AF1505">
        <v>8.5827964918207797</v>
      </c>
      <c r="AG1505">
        <v>-1.1093151895710001</v>
      </c>
      <c r="AH1505">
        <v>18.474157988316801</v>
      </c>
      <c r="AI1505">
        <v>93.117068090777096</v>
      </c>
      <c r="AJ1505">
        <v>65.081177417937795</v>
      </c>
      <c r="AK1505">
        <v>20.400722761390401</v>
      </c>
      <c r="AL1505">
        <v>96.133769574065198</v>
      </c>
      <c r="AM1505">
        <v>86.155360542583495</v>
      </c>
      <c r="AN1505">
        <v>0.99999994441618201</v>
      </c>
    </row>
    <row r="1506" spans="1:40" x14ac:dyDescent="0.25">
      <c r="A1506" t="str">
        <f>"20190305134930961"</f>
        <v>20190305134930961</v>
      </c>
      <c r="B1506" t="str">
        <f>"1551764970952260"</f>
        <v>1551764970952260</v>
      </c>
      <c r="C1506" t="s">
        <v>40</v>
      </c>
      <c r="D1506">
        <v>4.3220269999999896</v>
      </c>
      <c r="E1506">
        <v>0.64478389999999997</v>
      </c>
      <c r="F1506" t="s">
        <v>44</v>
      </c>
      <c r="G1506">
        <v>-196.78309999999999</v>
      </c>
      <c r="H1506" s="1">
        <v>-6.0414369999999998E-6</v>
      </c>
      <c r="I1506">
        <v>358.68849999999998</v>
      </c>
      <c r="J1506">
        <v>-215.3809</v>
      </c>
      <c r="K1506">
        <v>1.109294</v>
      </c>
      <c r="L1506">
        <v>368.04140000000001</v>
      </c>
      <c r="M1506">
        <v>0.99944270000000002</v>
      </c>
      <c r="N1506">
        <v>-1.565281E-2</v>
      </c>
      <c r="O1506">
        <v>-2.9483140000000001E-2</v>
      </c>
      <c r="P1506">
        <v>0.98771960000000003</v>
      </c>
      <c r="Q1506">
        <v>-0.12237729999999999</v>
      </c>
      <c r="R1506">
        <v>-9.7128450000000005E-2</v>
      </c>
      <c r="S1506">
        <v>2.8769529999999999</v>
      </c>
      <c r="T1506">
        <v>-0.17021040000000001</v>
      </c>
      <c r="U1506">
        <v>-1.435883</v>
      </c>
      <c r="V1506">
        <v>6.7703550000000001E-2</v>
      </c>
      <c r="W1506">
        <v>-0.1070272</v>
      </c>
      <c r="X1506">
        <v>0.99194830000000001</v>
      </c>
      <c r="Y1506">
        <v>0.41924159999999999</v>
      </c>
      <c r="Z1506">
        <v>-1.396439E-2</v>
      </c>
      <c r="AA1506">
        <v>0.90776730000000005</v>
      </c>
      <c r="AB1506">
        <v>30</v>
      </c>
      <c r="AC1506">
        <v>18.597799999999999</v>
      </c>
      <c r="AD1506">
        <v>-1.109300041437</v>
      </c>
      <c r="AE1506">
        <v>-9.3529000000000302</v>
      </c>
      <c r="AF1506">
        <v>8.7755255369891607</v>
      </c>
      <c r="AG1506">
        <v>-1.109300041437</v>
      </c>
      <c r="AH1506">
        <v>18.812081352140599</v>
      </c>
      <c r="AI1506">
        <v>93.058921785474297</v>
      </c>
      <c r="AJ1506">
        <v>64.991725054560106</v>
      </c>
      <c r="AK1506">
        <v>20.787852217866</v>
      </c>
      <c r="AL1506">
        <v>96.143974769055106</v>
      </c>
      <c r="AM1506">
        <v>86.095440827942596</v>
      </c>
      <c r="AN1506">
        <v>1.0000000110476599</v>
      </c>
    </row>
    <row r="1507" spans="1:40" x14ac:dyDescent="0.25">
      <c r="A1507" t="str">
        <f>"20190305134930972"</f>
        <v>20190305134930972</v>
      </c>
      <c r="B1507" t="str">
        <f>"1551764970962020"</f>
        <v>1551764970962020</v>
      </c>
      <c r="C1507" t="s">
        <v>40</v>
      </c>
      <c r="D1507">
        <v>4.289568</v>
      </c>
      <c r="E1507">
        <v>0.64485309999999996</v>
      </c>
      <c r="F1507" t="s">
        <v>44</v>
      </c>
      <c r="G1507">
        <v>-197.12010000000001</v>
      </c>
      <c r="H1507" s="1">
        <v>-6.1610540000000002E-6</v>
      </c>
      <c r="I1507">
        <v>358.88850000000002</v>
      </c>
      <c r="J1507">
        <v>-215.22630000000001</v>
      </c>
      <c r="K1507">
        <v>1.109275</v>
      </c>
      <c r="L1507">
        <v>368.03620000000001</v>
      </c>
      <c r="M1507">
        <v>0.99941729999999995</v>
      </c>
      <c r="N1507">
        <v>-1.5908930000000002E-2</v>
      </c>
      <c r="O1507">
        <v>-3.0201180000000001E-2</v>
      </c>
      <c r="P1507">
        <v>0.98751619999999996</v>
      </c>
      <c r="Q1507">
        <v>-0.1227799</v>
      </c>
      <c r="R1507">
        <v>-9.8675230000000003E-2</v>
      </c>
      <c r="S1507">
        <v>2.8740079999999999</v>
      </c>
      <c r="T1507">
        <v>-0.17458959999999901</v>
      </c>
      <c r="U1507">
        <v>-1.4405520000000001</v>
      </c>
      <c r="V1507">
        <v>6.8526599999999993E-2</v>
      </c>
      <c r="W1507">
        <v>-0.1071906</v>
      </c>
      <c r="X1507">
        <v>0.99187409999999998</v>
      </c>
      <c r="Y1507">
        <v>0.42010150000000002</v>
      </c>
      <c r="Z1507">
        <v>-1.429571E-2</v>
      </c>
      <c r="AA1507">
        <v>0.90736450000000002</v>
      </c>
      <c r="AB1507">
        <v>30</v>
      </c>
      <c r="AC1507">
        <v>18.106200000000001</v>
      </c>
      <c r="AD1507">
        <v>-1.1092811610539901</v>
      </c>
      <c r="AE1507">
        <v>-9.1476999999999808</v>
      </c>
      <c r="AF1507">
        <v>8.5709994997628201</v>
      </c>
      <c r="AG1507">
        <v>-1.1092811610539901</v>
      </c>
      <c r="AH1507">
        <v>18.319466323369401</v>
      </c>
      <c r="AI1507">
        <v>93.139303278972093</v>
      </c>
      <c r="AJ1507">
        <v>64.926847998522007</v>
      </c>
      <c r="AK1507">
        <v>20.255749393499801</v>
      </c>
      <c r="AL1507">
        <v>96.153391291549198</v>
      </c>
      <c r="AM1507">
        <v>86.047829179395407</v>
      </c>
      <c r="AN1507">
        <v>0.99999997494336401</v>
      </c>
    </row>
    <row r="1508" spans="1:40" x14ac:dyDescent="0.25">
      <c r="A1508" t="str">
        <f>"20190305134930984"</f>
        <v>20190305134930984</v>
      </c>
      <c r="B1508" t="str">
        <f>"1551764970971780"</f>
        <v>1551764970971780</v>
      </c>
      <c r="C1508" t="s">
        <v>40</v>
      </c>
      <c r="D1508">
        <v>4.298076</v>
      </c>
      <c r="E1508">
        <v>0.64500709999999895</v>
      </c>
      <c r="F1508" t="s">
        <v>44</v>
      </c>
      <c r="G1508">
        <v>-197.04239999999999</v>
      </c>
      <c r="H1508" s="1">
        <v>-6.147553E-6</v>
      </c>
      <c r="I1508">
        <v>358.8845</v>
      </c>
      <c r="J1508">
        <v>-215.06739999999999</v>
      </c>
      <c r="K1508">
        <v>1.1092360000000001</v>
      </c>
      <c r="L1508">
        <v>368.03059999999999</v>
      </c>
      <c r="M1508">
        <v>0.99938839999999995</v>
      </c>
      <c r="N1508">
        <v>-1.6161160000000001E-2</v>
      </c>
      <c r="O1508">
        <v>-3.1010260000000001E-2</v>
      </c>
      <c r="P1508">
        <v>0.98724940000000005</v>
      </c>
      <c r="Q1508">
        <v>-0.123333</v>
      </c>
      <c r="R1508">
        <v>-0.1006374</v>
      </c>
      <c r="S1508">
        <v>2.87175</v>
      </c>
      <c r="T1508">
        <v>-0.1751865</v>
      </c>
      <c r="U1508">
        <v>-1.4453129999999901</v>
      </c>
      <c r="V1508">
        <v>6.9672769999999995E-2</v>
      </c>
      <c r="W1508">
        <v>-0.10751230000000001</v>
      </c>
      <c r="X1508">
        <v>0.99175950000000002</v>
      </c>
      <c r="Y1508">
        <v>0.42084440000000001</v>
      </c>
      <c r="Z1508">
        <v>-1.4392739999999999E-2</v>
      </c>
      <c r="AA1508">
        <v>0.90701869999999996</v>
      </c>
      <c r="AB1508">
        <v>30</v>
      </c>
      <c r="AC1508">
        <v>18.024999999999999</v>
      </c>
      <c r="AD1508">
        <v>-1.1092421475530001</v>
      </c>
      <c r="AE1508">
        <v>-9.1460999999999899</v>
      </c>
      <c r="AF1508">
        <v>8.5568967888623906</v>
      </c>
      <c r="AG1508">
        <v>-1.1092421475530001</v>
      </c>
      <c r="AH1508">
        <v>18.245041068568099</v>
      </c>
      <c r="AI1508">
        <v>93.150600884081797</v>
      </c>
      <c r="AJ1508">
        <v>64.873493389220599</v>
      </c>
      <c r="AK1508">
        <v>20.1824781528654</v>
      </c>
      <c r="AL1508">
        <v>96.171930029122805</v>
      </c>
      <c r="AM1508">
        <v>85.981477483092107</v>
      </c>
      <c r="AN1508">
        <v>1.0000000476855</v>
      </c>
    </row>
    <row r="1509" spans="1:40" x14ac:dyDescent="0.25">
      <c r="A1509" t="str">
        <f>"20190305134930998"</f>
        <v>20190305134930998</v>
      </c>
      <c r="B1509" t="str">
        <f>"1551764970992276"</f>
        <v>1551764970992276</v>
      </c>
      <c r="C1509" t="s">
        <v>40</v>
      </c>
      <c r="D1509">
        <v>4.3301059999999998</v>
      </c>
      <c r="E1509">
        <v>0.64528999999999903</v>
      </c>
      <c r="F1509" t="s">
        <v>44</v>
      </c>
      <c r="G1509">
        <v>-196.9632</v>
      </c>
      <c r="H1509" s="1">
        <v>-6.1277039999999999E-6</v>
      </c>
      <c r="I1509">
        <v>358.86219999999997</v>
      </c>
      <c r="J1509">
        <v>-214.8981</v>
      </c>
      <c r="K1509">
        <v>1.1091839999999999</v>
      </c>
      <c r="L1509">
        <v>368.02440000000001</v>
      </c>
      <c r="M1509">
        <v>0.99935529999999995</v>
      </c>
      <c r="N1509">
        <v>-1.6418099999999901E-2</v>
      </c>
      <c r="O1509">
        <v>-3.1931750000000002E-2</v>
      </c>
      <c r="P1509">
        <v>0.98704480000000006</v>
      </c>
      <c r="Q1509">
        <v>-0.1236063</v>
      </c>
      <c r="R1509">
        <v>-0.10229539999999999</v>
      </c>
      <c r="S1509">
        <v>2.8687130000000001</v>
      </c>
      <c r="T1509">
        <v>-0.17576549999999999</v>
      </c>
      <c r="U1509">
        <v>-1.4527890000000001</v>
      </c>
      <c r="V1509">
        <v>7.0400389999999993E-2</v>
      </c>
      <c r="W1509">
        <v>-0.1075494</v>
      </c>
      <c r="X1509">
        <v>0.99170400000000003</v>
      </c>
      <c r="Y1509">
        <v>0.42226609999999998</v>
      </c>
      <c r="Z1509">
        <v>-1.4512199999999999E-2</v>
      </c>
      <c r="AA1509">
        <v>0.90635580000000004</v>
      </c>
      <c r="AB1509">
        <v>30</v>
      </c>
      <c r="AC1509">
        <v>17.934899999999999</v>
      </c>
      <c r="AD1509">
        <v>-1.1091901277039999</v>
      </c>
      <c r="AE1509">
        <v>-9.1622000000000394</v>
      </c>
      <c r="AF1509">
        <v>8.5587957096319194</v>
      </c>
      <c r="AG1509">
        <v>-1.1091901277039999</v>
      </c>
      <c r="AH1509">
        <v>18.1632625836417</v>
      </c>
      <c r="AI1509">
        <v>93.161915682649095</v>
      </c>
      <c r="AJ1509">
        <v>64.769498918866802</v>
      </c>
      <c r="AK1509">
        <v>20.109385729577401</v>
      </c>
      <c r="AL1509">
        <v>96.174068667881997</v>
      </c>
      <c r="AM1509">
        <v>85.939423650068704</v>
      </c>
      <c r="AN1509">
        <v>0.99999995598425495</v>
      </c>
    </row>
    <row r="1510" spans="1:40" x14ac:dyDescent="0.25">
      <c r="A1510" t="str">
        <f>"20190305134931010"</f>
        <v>20190305134931010</v>
      </c>
      <c r="B1510" t="str">
        <f>"1551764971002035"</f>
        <v>1551764971002035</v>
      </c>
      <c r="C1510" t="s">
        <v>40</v>
      </c>
      <c r="D1510">
        <v>4.3018320000000001</v>
      </c>
      <c r="E1510">
        <v>0.64552279999999995</v>
      </c>
      <c r="F1510" t="s">
        <v>44</v>
      </c>
      <c r="G1510">
        <v>-197.05240000000001</v>
      </c>
      <c r="H1510" s="1">
        <v>-6.1663389999999997E-6</v>
      </c>
      <c r="I1510">
        <v>358.9359</v>
      </c>
      <c r="J1510">
        <v>-214.72749999999999</v>
      </c>
      <c r="K1510">
        <v>1.109127</v>
      </c>
      <c r="L1510">
        <v>368.01799999999997</v>
      </c>
      <c r="M1510">
        <v>0.99931950000000003</v>
      </c>
      <c r="N1510">
        <v>-1.6668120000000002E-2</v>
      </c>
      <c r="O1510">
        <v>-3.2905909999999997E-2</v>
      </c>
      <c r="P1510">
        <v>0.98678359999999998</v>
      </c>
      <c r="Q1510">
        <v>-0.1240677</v>
      </c>
      <c r="R1510">
        <v>-0.1042375</v>
      </c>
      <c r="S1510">
        <v>2.8658139999999999</v>
      </c>
      <c r="T1510">
        <v>-0.17812339999999999</v>
      </c>
      <c r="U1510">
        <v>-1.459503</v>
      </c>
      <c r="V1510">
        <v>7.1360119999999999E-2</v>
      </c>
      <c r="W1510">
        <v>-0.1077838</v>
      </c>
      <c r="X1510">
        <v>0.99160999999999999</v>
      </c>
      <c r="Y1510">
        <v>0.42341519999999999</v>
      </c>
      <c r="Z1510">
        <v>-1.472262E-2</v>
      </c>
      <c r="AA1510">
        <v>0.90581610000000001</v>
      </c>
      <c r="AB1510">
        <v>30</v>
      </c>
      <c r="AC1510">
        <v>17.675099999999901</v>
      </c>
      <c r="AD1510">
        <v>-1.1091331663390001</v>
      </c>
      <c r="AE1510">
        <v>-9.08210000000002</v>
      </c>
      <c r="AF1510">
        <v>8.4691012027952208</v>
      </c>
      <c r="AG1510">
        <v>-1.1091331663390001</v>
      </c>
      <c r="AH1510">
        <v>17.908632602098098</v>
      </c>
      <c r="AI1510">
        <v>93.204526484508804</v>
      </c>
      <c r="AJ1510">
        <v>64.690248419147196</v>
      </c>
      <c r="AK1510">
        <v>19.841244246286401</v>
      </c>
      <c r="AL1510">
        <v>96.187577031091706</v>
      </c>
      <c r="AM1510">
        <v>85.883868177293607</v>
      </c>
      <c r="AN1510">
        <v>1.0000000031844201</v>
      </c>
    </row>
    <row r="1511" spans="1:40" x14ac:dyDescent="0.25">
      <c r="A1511" t="str">
        <f>"20190305134931022"</f>
        <v>20190305134931022</v>
      </c>
      <c r="B1511" t="str">
        <f>"1551764971011796"</f>
        <v>1551764971011796</v>
      </c>
      <c r="C1511" t="s">
        <v>40</v>
      </c>
      <c r="D1511">
        <v>4.3076840000000001</v>
      </c>
      <c r="E1511">
        <v>0.64574390000000004</v>
      </c>
      <c r="F1511" t="s">
        <v>44</v>
      </c>
      <c r="G1511">
        <v>-196.97309999999999</v>
      </c>
      <c r="H1511" s="1">
        <v>-6.1487920000000001E-6</v>
      </c>
      <c r="I1511">
        <v>358.9205</v>
      </c>
      <c r="J1511">
        <v>-214.55930000000001</v>
      </c>
      <c r="K1511">
        <v>1.1090599999999999</v>
      </c>
      <c r="L1511">
        <v>368.01130000000001</v>
      </c>
      <c r="M1511">
        <v>0.99927969999999999</v>
      </c>
      <c r="N1511">
        <v>-1.6897840000000001E-2</v>
      </c>
      <c r="O1511">
        <v>-3.3978010000000003E-2</v>
      </c>
      <c r="P1511">
        <v>0.98656330000000003</v>
      </c>
      <c r="Q1511">
        <v>-0.12448770000000001</v>
      </c>
      <c r="R1511">
        <v>-0.1058099</v>
      </c>
      <c r="S1511">
        <v>2.8627319999999998</v>
      </c>
      <c r="T1511">
        <v>-0.17883750000000001</v>
      </c>
      <c r="U1511">
        <v>-1.466888</v>
      </c>
      <c r="V1511">
        <v>7.1852170000000007E-2</v>
      </c>
      <c r="W1511">
        <v>-0.1079953</v>
      </c>
      <c r="X1511">
        <v>0.99155150000000003</v>
      </c>
      <c r="Y1511">
        <v>0.42467929999999998</v>
      </c>
      <c r="Z1511">
        <v>-1.483226E-2</v>
      </c>
      <c r="AA1511">
        <v>0.90522239999999998</v>
      </c>
      <c r="AB1511">
        <v>30</v>
      </c>
      <c r="AC1511">
        <v>17.586200000000002</v>
      </c>
      <c r="AD1511">
        <v>-1.1090661487919999</v>
      </c>
      <c r="AE1511">
        <v>-9.0907999999999998</v>
      </c>
      <c r="AF1511">
        <v>8.4613639728727197</v>
      </c>
      <c r="AG1511">
        <v>-1.1090661487919999</v>
      </c>
      <c r="AH1511">
        <v>17.829017706192101</v>
      </c>
      <c r="AI1511">
        <v>93.216527798747194</v>
      </c>
      <c r="AJ1511">
        <v>64.611739013933601</v>
      </c>
      <c r="AK1511">
        <v>19.766096740923199</v>
      </c>
      <c r="AL1511">
        <v>96.199765958333998</v>
      </c>
      <c r="AM1511">
        <v>85.855341078168195</v>
      </c>
      <c r="AN1511">
        <v>1.0000000481540201</v>
      </c>
    </row>
    <row r="1512" spans="1:40" x14ac:dyDescent="0.25">
      <c r="A1512" t="str">
        <f>"20190305134931036"</f>
        <v>20190305134931036</v>
      </c>
      <c r="B1512" t="str">
        <f>"1551764971032292"</f>
        <v>1551764971032292</v>
      </c>
      <c r="C1512" t="s">
        <v>40</v>
      </c>
      <c r="D1512">
        <v>4.342708</v>
      </c>
      <c r="E1512">
        <v>0.64597990000000005</v>
      </c>
      <c r="F1512" t="s">
        <v>44</v>
      </c>
      <c r="G1512">
        <v>-196.86</v>
      </c>
      <c r="H1512" s="1">
        <v>-6.1223860000000001E-6</v>
      </c>
      <c r="I1512">
        <v>358.89440000000002</v>
      </c>
      <c r="J1512">
        <v>-214.39150000000001</v>
      </c>
      <c r="K1512">
        <v>1.108992</v>
      </c>
      <c r="L1512">
        <v>368.00439999999998</v>
      </c>
      <c r="M1512">
        <v>0.99923709999999999</v>
      </c>
      <c r="N1512">
        <v>-1.711888E-2</v>
      </c>
      <c r="O1512">
        <v>-3.5104580000000003E-2</v>
      </c>
      <c r="P1512">
        <v>0.98627940000000003</v>
      </c>
      <c r="Q1512">
        <v>-0.12500410000000001</v>
      </c>
      <c r="R1512">
        <v>-0.10782849999999999</v>
      </c>
      <c r="S1512">
        <v>2.860214</v>
      </c>
      <c r="T1512">
        <v>-0.17922569999999999</v>
      </c>
      <c r="U1512">
        <v>-1.4732970000000001</v>
      </c>
      <c r="V1512">
        <v>7.2738419999999998E-2</v>
      </c>
      <c r="W1512">
        <v>-0.1083143</v>
      </c>
      <c r="X1512">
        <v>0.991452</v>
      </c>
      <c r="Y1512">
        <v>0.42557879999999998</v>
      </c>
      <c r="Z1512">
        <v>-1.49035E-2</v>
      </c>
      <c r="AA1512">
        <v>0.90479860000000001</v>
      </c>
      <c r="AB1512">
        <v>30</v>
      </c>
      <c r="AC1512">
        <v>17.531499999999902</v>
      </c>
      <c r="AD1512">
        <v>-1.1089981223859999</v>
      </c>
      <c r="AE1512">
        <v>-9.1099999999999497</v>
      </c>
      <c r="AF1512">
        <v>8.4621951005811695</v>
      </c>
      <c r="AG1512">
        <v>-1.1089981223859999</v>
      </c>
      <c r="AH1512">
        <v>17.784506433244498</v>
      </c>
      <c r="AI1512">
        <v>93.222824341479296</v>
      </c>
      <c r="AJ1512">
        <v>64.554036065182601</v>
      </c>
      <c r="AK1512">
        <v>19.726309635354198</v>
      </c>
      <c r="AL1512">
        <v>96.218151665337999</v>
      </c>
      <c r="AM1512">
        <v>85.803981284017695</v>
      </c>
      <c r="AN1512">
        <v>0.999999966816292</v>
      </c>
    </row>
    <row r="1513" spans="1:40" x14ac:dyDescent="0.25">
      <c r="A1513" t="str">
        <f>"20190305134931048"</f>
        <v>20190305134931048</v>
      </c>
      <c r="B1513" t="str">
        <f>"1551764971042052"</f>
        <v>1551764971042052</v>
      </c>
      <c r="C1513" t="s">
        <v>40</v>
      </c>
      <c r="D1513">
        <v>4.1217269999999999</v>
      </c>
      <c r="E1513">
        <v>0.64597990000000005</v>
      </c>
      <c r="F1513" t="s">
        <v>44</v>
      </c>
      <c r="G1513">
        <v>-196.89609999999999</v>
      </c>
      <c r="H1513" s="1">
        <v>-6.1423020000000001E-6</v>
      </c>
      <c r="I1513">
        <v>358.93699999999899</v>
      </c>
      <c r="J1513">
        <v>-214.21119999999999</v>
      </c>
      <c r="K1513">
        <v>1.108922</v>
      </c>
      <c r="L1513">
        <v>367.99680000000001</v>
      </c>
      <c r="M1513">
        <v>0.9991873</v>
      </c>
      <c r="N1513">
        <v>-1.7346420000000001E-2</v>
      </c>
      <c r="O1513">
        <v>-3.6384439999999997E-2</v>
      </c>
      <c r="P1513">
        <v>0.98599890000000001</v>
      </c>
      <c r="Q1513">
        <v>-0.1245687</v>
      </c>
      <c r="R1513">
        <v>-0.1108556</v>
      </c>
      <c r="S1513">
        <v>2.8568880000000001</v>
      </c>
      <c r="T1513">
        <v>-0.1810927</v>
      </c>
      <c r="U1513">
        <v>-1.4806520000000001</v>
      </c>
      <c r="V1513">
        <v>7.4482149999999997E-2</v>
      </c>
      <c r="W1513">
        <v>-0.1076791</v>
      </c>
      <c r="X1513">
        <v>0.99139180000000005</v>
      </c>
      <c r="Y1513">
        <v>0.4266665</v>
      </c>
      <c r="Z1513">
        <v>-1.506598E-2</v>
      </c>
      <c r="AA1513">
        <v>0.90428350000000002</v>
      </c>
      <c r="AB1513">
        <v>29</v>
      </c>
      <c r="AC1513">
        <v>17.315100000000001</v>
      </c>
      <c r="AD1513">
        <v>-1.1089281423020001</v>
      </c>
      <c r="AE1513">
        <v>-9.0598000000000507</v>
      </c>
      <c r="AF1513">
        <v>8.3966665106738798</v>
      </c>
      <c r="AG1513">
        <v>-1.1089281423020001</v>
      </c>
      <c r="AH1513">
        <v>17.576718717790001</v>
      </c>
      <c r="AI1513">
        <v>93.258240139458707</v>
      </c>
      <c r="AJ1513">
        <v>64.465482618362699</v>
      </c>
      <c r="AK1513">
        <v>19.5108885241183</v>
      </c>
      <c r="AL1513">
        <v>96.181542815826901</v>
      </c>
      <c r="AM1513">
        <v>85.703504086375702</v>
      </c>
      <c r="AN1513">
        <v>1.00000004017633</v>
      </c>
    </row>
    <row r="1514" spans="1:40" x14ac:dyDescent="0.25">
      <c r="A1514" t="str">
        <f>"20190305134931062"</f>
        <v>20190305134931062</v>
      </c>
      <c r="B1514" t="str">
        <f>"1551764971051812"</f>
        <v>1551764971051812</v>
      </c>
      <c r="C1514" t="s">
        <v>40</v>
      </c>
      <c r="D1514">
        <v>4.1234580000000003</v>
      </c>
      <c r="E1514">
        <v>0.68001739999999999</v>
      </c>
      <c r="F1514" t="s">
        <v>44</v>
      </c>
      <c r="G1514">
        <v>-196.63050000000001</v>
      </c>
      <c r="H1514" s="1">
        <v>-6.0602080000000002E-6</v>
      </c>
      <c r="I1514">
        <v>358.81580000000002</v>
      </c>
      <c r="J1514">
        <v>-214.04429999999999</v>
      </c>
      <c r="K1514">
        <v>1.1088450000000001</v>
      </c>
      <c r="L1514">
        <v>367.98939999999999</v>
      </c>
      <c r="M1514">
        <v>0.9991352</v>
      </c>
      <c r="N1514">
        <v>-1.753915E-2</v>
      </c>
      <c r="O1514">
        <v>-3.7702850000000003E-2</v>
      </c>
      <c r="P1514">
        <v>0.98587100000000005</v>
      </c>
      <c r="Q1514">
        <v>-0.1236647</v>
      </c>
      <c r="R1514">
        <v>-0.1129867</v>
      </c>
      <c r="S1514">
        <v>2.8524020000000001</v>
      </c>
      <c r="T1514">
        <v>-0.17991940000000001</v>
      </c>
      <c r="U1514">
        <v>-1.4895940000000001</v>
      </c>
      <c r="V1514">
        <v>7.5289789999999995E-2</v>
      </c>
      <c r="W1514">
        <v>-0.1066045</v>
      </c>
      <c r="X1514">
        <v>0.99144690000000002</v>
      </c>
      <c r="Y1514">
        <v>0.42828749999999999</v>
      </c>
      <c r="Z1514">
        <v>-1.5065220000000001E-2</v>
      </c>
      <c r="AA1514">
        <v>0.90351689999999996</v>
      </c>
      <c r="AB1514">
        <v>29</v>
      </c>
      <c r="AC1514">
        <v>17.413799999999899</v>
      </c>
      <c r="AD1514">
        <v>-1.108851060208</v>
      </c>
      <c r="AE1514">
        <v>-9.1735999999999596</v>
      </c>
      <c r="AF1514">
        <v>8.4834990083625392</v>
      </c>
      <c r="AG1514">
        <v>-1.108851060208</v>
      </c>
      <c r="AH1514">
        <v>17.691189012020399</v>
      </c>
      <c r="AI1514">
        <v>93.234693286878198</v>
      </c>
      <c r="AJ1514">
        <v>64.380770981561696</v>
      </c>
      <c r="AK1514">
        <v>19.651398799007801</v>
      </c>
      <c r="AL1514">
        <v>96.119616468688605</v>
      </c>
      <c r="AM1514">
        <v>85.657333173071606</v>
      </c>
      <c r="AN1514">
        <v>1.0000000137090499</v>
      </c>
    </row>
    <row r="1515" spans="1:40" x14ac:dyDescent="0.25">
      <c r="A1515" t="str">
        <f>"20190305134931074"</f>
        <v>20190305134931074</v>
      </c>
      <c r="B1515" t="str">
        <f>"1551764971062548"</f>
        <v>1551764971062548</v>
      </c>
      <c r="C1515" t="s">
        <v>40</v>
      </c>
      <c r="D1515">
        <v>4.3481259999999997</v>
      </c>
      <c r="E1515">
        <v>0.68001739999999999</v>
      </c>
      <c r="F1515" t="s">
        <v>41</v>
      </c>
      <c r="G1515">
        <v>-213.50020000000001</v>
      </c>
      <c r="H1515">
        <v>1.2133320000000001</v>
      </c>
      <c r="I1515">
        <v>367.65910000000002</v>
      </c>
      <c r="J1515">
        <v>-213.89240000000001</v>
      </c>
      <c r="K1515">
        <v>1.1087670000000001</v>
      </c>
      <c r="L1515">
        <v>367.98239999999998</v>
      </c>
      <c r="M1515">
        <v>0.99908410000000003</v>
      </c>
      <c r="N1515">
        <v>-1.7708129999999999E-2</v>
      </c>
      <c r="O1515">
        <v>-3.8953990000000001E-2</v>
      </c>
      <c r="P1515">
        <v>0.98574949999999995</v>
      </c>
      <c r="Q1515">
        <v>-0.1225121</v>
      </c>
      <c r="R1515">
        <v>-0.11527610000000001</v>
      </c>
      <c r="S1515">
        <v>2.9107509999999999</v>
      </c>
      <c r="T1515">
        <v>0.5586776</v>
      </c>
      <c r="U1515">
        <v>-1.7654110000000001</v>
      </c>
      <c r="V1515">
        <v>7.6324470000000005E-2</v>
      </c>
      <c r="W1515">
        <v>-0.1053053</v>
      </c>
      <c r="X1515">
        <v>0.99150660000000002</v>
      </c>
      <c r="Y1515">
        <v>0.47986469999999998</v>
      </c>
      <c r="Z1515">
        <v>3.0086680000000001E-2</v>
      </c>
      <c r="AA1515">
        <v>0.87682649999999995</v>
      </c>
      <c r="AB1515">
        <v>29</v>
      </c>
      <c r="AC1515">
        <v>0.39220000000000199</v>
      </c>
      <c r="AD1515">
        <v>0.10456500000000001</v>
      </c>
      <c r="AE1515">
        <v>-0.32329999999996001</v>
      </c>
      <c r="AF1515">
        <v>0.29527741204466901</v>
      </c>
      <c r="AG1515">
        <v>0.10456500000000001</v>
      </c>
      <c r="AH1515">
        <v>0.38807365132651001</v>
      </c>
      <c r="AI1515">
        <v>77.897228625934602</v>
      </c>
      <c r="AJ1515">
        <v>52.733225782172099</v>
      </c>
      <c r="AK1515">
        <v>0.49872211515300502</v>
      </c>
      <c r="AL1515">
        <v>96.044756573298798</v>
      </c>
      <c r="AM1515">
        <v>85.598150514033904</v>
      </c>
      <c r="AN1515">
        <v>0.99999998438621496</v>
      </c>
    </row>
    <row r="1516" spans="1:40" x14ac:dyDescent="0.25">
      <c r="A1516" t="str">
        <f>"20190305134931084"</f>
        <v>20190305134931084</v>
      </c>
      <c r="B1516" t="str">
        <f>"1551764971082069"</f>
        <v>1551764971082069</v>
      </c>
      <c r="C1516" t="s">
        <v>40</v>
      </c>
      <c r="D1516">
        <v>4.3438089999999896</v>
      </c>
      <c r="E1516">
        <v>0.656292599999999</v>
      </c>
      <c r="F1516" t="s">
        <v>41</v>
      </c>
      <c r="G1516">
        <v>-213.24270000000001</v>
      </c>
      <c r="H1516">
        <v>1.234656</v>
      </c>
      <c r="I1516">
        <v>367.58640000000003</v>
      </c>
      <c r="J1516">
        <v>-213.74709999999999</v>
      </c>
      <c r="K1516">
        <v>1.108692</v>
      </c>
      <c r="L1516">
        <v>367.97539999999998</v>
      </c>
      <c r="M1516">
        <v>0.99903050000000004</v>
      </c>
      <c r="N1516">
        <v>-1.7859440000000001E-2</v>
      </c>
      <c r="O1516">
        <v>-4.0236229999999998E-2</v>
      </c>
      <c r="P1516">
        <v>0.98565080000000005</v>
      </c>
      <c r="Q1516">
        <v>-0.12125229999999999</v>
      </c>
      <c r="R1516">
        <v>-0.1174325</v>
      </c>
      <c r="S1516">
        <v>2.9062190000000001</v>
      </c>
      <c r="T1516">
        <v>0.5631292</v>
      </c>
      <c r="U1516">
        <v>-1.7714540000000001</v>
      </c>
      <c r="V1516">
        <v>7.7194499999999999E-2</v>
      </c>
      <c r="W1516">
        <v>-0.1039162</v>
      </c>
      <c r="X1516">
        <v>0.99158579999999996</v>
      </c>
      <c r="Y1516">
        <v>0.48060530000000001</v>
      </c>
      <c r="Z1516">
        <v>3.0157679999999999E-2</v>
      </c>
      <c r="AA1516">
        <v>0.87641840000000004</v>
      </c>
      <c r="AB1516">
        <v>29</v>
      </c>
      <c r="AC1516">
        <v>0.50439999999997498</v>
      </c>
      <c r="AD1516">
        <v>0.12596399999999899</v>
      </c>
      <c r="AE1516">
        <v>-0.38899999999995299</v>
      </c>
      <c r="AF1516">
        <v>0.354522494384509</v>
      </c>
      <c r="AG1516">
        <v>0.12596399999999899</v>
      </c>
      <c r="AH1516">
        <v>0.50008924752679595</v>
      </c>
      <c r="AI1516">
        <v>78.388153589124897</v>
      </c>
      <c r="AJ1516">
        <v>54.666468735805701</v>
      </c>
      <c r="AK1516">
        <v>0.62581337778329005</v>
      </c>
      <c r="AL1516">
        <v>95.964727907829996</v>
      </c>
      <c r="AM1516">
        <v>85.5485281317833</v>
      </c>
      <c r="AN1516">
        <v>0.99999998310716398</v>
      </c>
    </row>
    <row r="1517" spans="1:40" x14ac:dyDescent="0.25">
      <c r="A1517" t="str">
        <f>"20190305134931095"</f>
        <v>20190305134931095</v>
      </c>
      <c r="B1517" t="str">
        <f>"1551764971091828"</f>
        <v>1551764971091828</v>
      </c>
      <c r="C1517" t="s">
        <v>40</v>
      </c>
      <c r="D1517">
        <v>4.1222560000000001</v>
      </c>
      <c r="E1517">
        <v>0.656292599999999</v>
      </c>
      <c r="F1517" t="s">
        <v>44</v>
      </c>
      <c r="G1517">
        <v>-195.56649999999999</v>
      </c>
      <c r="H1517" s="1">
        <v>-5.5446899999999998E-6</v>
      </c>
      <c r="I1517">
        <v>357.7722</v>
      </c>
      <c r="J1517">
        <v>-213.6104</v>
      </c>
      <c r="K1517">
        <v>1.108614</v>
      </c>
      <c r="L1517">
        <v>367.96859999999998</v>
      </c>
      <c r="M1517">
        <v>0.99897639999999999</v>
      </c>
      <c r="N1517">
        <v>-1.799193E-2</v>
      </c>
      <c r="O1517">
        <v>-4.1507540000000002E-2</v>
      </c>
      <c r="P1517">
        <v>0.98555250000000005</v>
      </c>
      <c r="Q1517">
        <v>-0.12015240000000001</v>
      </c>
      <c r="R1517">
        <v>-0.11937390000000001</v>
      </c>
      <c r="S1517">
        <v>2.833008</v>
      </c>
      <c r="T1517">
        <v>-0.17276420000000001</v>
      </c>
      <c r="U1517">
        <v>-1.5899350000000001</v>
      </c>
      <c r="V1517">
        <v>7.786071E-2</v>
      </c>
      <c r="W1517">
        <v>-0.1027048</v>
      </c>
      <c r="X1517">
        <v>0.99165990000000004</v>
      </c>
      <c r="Y1517">
        <v>0.45194489999999998</v>
      </c>
      <c r="Z1517">
        <v>-1.5524970000000001E-2</v>
      </c>
      <c r="AA1517">
        <v>0.89191069999999995</v>
      </c>
      <c r="AB1517">
        <v>29</v>
      </c>
      <c r="AC1517">
        <v>18.043900000000001</v>
      </c>
      <c r="AD1517">
        <v>-1.10861954469</v>
      </c>
      <c r="AE1517">
        <v>-10.196399999999899</v>
      </c>
      <c r="AF1517">
        <v>9.4116020758618593</v>
      </c>
      <c r="AG1517">
        <v>-1.10861954469</v>
      </c>
      <c r="AH1517">
        <v>18.398996752813598</v>
      </c>
      <c r="AI1517">
        <v>93.070602777558193</v>
      </c>
      <c r="AJ1517">
        <v>62.9089842357265</v>
      </c>
      <c r="AK1517">
        <v>20.6961439026521</v>
      </c>
      <c r="AL1517">
        <v>95.894946531596403</v>
      </c>
      <c r="AM1517">
        <v>85.510601212107304</v>
      </c>
      <c r="AN1517">
        <v>0.99999996168637595</v>
      </c>
    </row>
    <row r="1518" spans="1:40" x14ac:dyDescent="0.25">
      <c r="A1518" t="str">
        <f>"20190305134931106"</f>
        <v>20190305134931106</v>
      </c>
      <c r="B1518" t="str">
        <f>"1551764971102563"</f>
        <v>1551764971102563</v>
      </c>
      <c r="C1518" t="s">
        <v>40</v>
      </c>
      <c r="D1518">
        <v>4.1497469999999996</v>
      </c>
      <c r="E1518">
        <v>0.68616619999999995</v>
      </c>
      <c r="F1518" t="s">
        <v>44</v>
      </c>
      <c r="G1518">
        <v>-195.02440000000001</v>
      </c>
      <c r="H1518" s="1">
        <v>-5.3662950000000003E-6</v>
      </c>
      <c r="I1518">
        <v>357.49220000000003</v>
      </c>
      <c r="J1518">
        <v>-213.46250000000001</v>
      </c>
      <c r="K1518">
        <v>1.108527</v>
      </c>
      <c r="L1518">
        <v>367.96100000000001</v>
      </c>
      <c r="M1518">
        <v>0.9989133</v>
      </c>
      <c r="N1518">
        <v>-1.8126529999999998E-2</v>
      </c>
      <c r="O1518">
        <v>-4.2939690000000003E-2</v>
      </c>
      <c r="P1518">
        <v>0.98539219999999905</v>
      </c>
      <c r="Q1518">
        <v>-0.11925479999999999</v>
      </c>
      <c r="R1518">
        <v>-0.1215758</v>
      </c>
      <c r="S1518">
        <v>2.8301850000000002</v>
      </c>
      <c r="T1518">
        <v>-0.1688154</v>
      </c>
      <c r="U1518">
        <v>-1.5953059999999999</v>
      </c>
      <c r="V1518">
        <v>7.8627150000000007E-2</v>
      </c>
      <c r="W1518">
        <v>-0.1016972</v>
      </c>
      <c r="X1518">
        <v>0.99170329999999995</v>
      </c>
      <c r="Y1518">
        <v>0.45236150000000003</v>
      </c>
      <c r="Z1518">
        <v>-1.52906E-2</v>
      </c>
      <c r="AA1518">
        <v>0.89170360000000004</v>
      </c>
      <c r="AB1518">
        <v>29</v>
      </c>
      <c r="AC1518">
        <v>18.438099999999899</v>
      </c>
      <c r="AD1518">
        <v>-1.108532366295</v>
      </c>
      <c r="AE1518">
        <v>-10.4687999999999</v>
      </c>
      <c r="AF1518">
        <v>9.6409318434928508</v>
      </c>
      <c r="AG1518">
        <v>-1.108532366295</v>
      </c>
      <c r="AH1518">
        <v>18.819247873996002</v>
      </c>
      <c r="AI1518">
        <v>93.000997366995406</v>
      </c>
      <c r="AJ1518">
        <v>62.874343732708397</v>
      </c>
      <c r="AK1518">
        <v>21.174052549309</v>
      </c>
      <c r="AL1518">
        <v>95.836911235252202</v>
      </c>
      <c r="AM1518">
        <v>85.466789660256495</v>
      </c>
      <c r="AN1518">
        <v>0.99999999221792601</v>
      </c>
    </row>
    <row r="1519" spans="1:40" x14ac:dyDescent="0.25">
      <c r="A1519" t="str">
        <f>"20190305134931117"</f>
        <v>20190305134931117</v>
      </c>
      <c r="B1519" t="str">
        <f>"1551764971112324"</f>
        <v>1551764971112324</v>
      </c>
      <c r="C1519" t="s">
        <v>40</v>
      </c>
      <c r="D1519">
        <v>4.1460269999999904</v>
      </c>
      <c r="E1519">
        <v>0.68751490000000004</v>
      </c>
      <c r="F1519" t="s">
        <v>41</v>
      </c>
      <c r="G1519">
        <v>-212.98140000000001</v>
      </c>
      <c r="H1519">
        <v>1.2104200000000001</v>
      </c>
      <c r="I1519">
        <v>367.65499999999997</v>
      </c>
      <c r="J1519">
        <v>-213.3347</v>
      </c>
      <c r="K1519">
        <v>1.1084449999999999</v>
      </c>
      <c r="L1519">
        <v>367.95420000000001</v>
      </c>
      <c r="M1519">
        <v>0.99885369999999996</v>
      </c>
      <c r="N1519">
        <v>-1.823168E-2</v>
      </c>
      <c r="O1519">
        <v>-4.4260399999999998E-2</v>
      </c>
      <c r="P1519">
        <v>0.98518839999999996</v>
      </c>
      <c r="Q1519">
        <v>-0.11827840000000001</v>
      </c>
      <c r="R1519">
        <v>-0.124154399999999</v>
      </c>
      <c r="S1519">
        <v>2.8918759999999999</v>
      </c>
      <c r="T1519">
        <v>0.61205669999999901</v>
      </c>
      <c r="U1519">
        <v>-1.8370059999999999</v>
      </c>
      <c r="V1519">
        <v>7.9885810000000002E-2</v>
      </c>
      <c r="W1519">
        <v>-0.1006413</v>
      </c>
      <c r="X1519">
        <v>0.99171039999999999</v>
      </c>
      <c r="Y1519">
        <v>0.49224950000000001</v>
      </c>
      <c r="Z1519">
        <v>3.3175509999999998E-2</v>
      </c>
      <c r="AA1519">
        <v>0.86982169999999903</v>
      </c>
      <c r="AB1519">
        <v>29</v>
      </c>
      <c r="AC1519">
        <v>0.35329999999999001</v>
      </c>
      <c r="AD1519">
        <v>0.101974999999999</v>
      </c>
      <c r="AE1519">
        <v>-0.29920000000004099</v>
      </c>
      <c r="AF1519">
        <v>0.27015993473036798</v>
      </c>
      <c r="AG1519">
        <v>0.101974999999999</v>
      </c>
      <c r="AH1519">
        <v>0.34925430321997902</v>
      </c>
      <c r="AI1519">
        <v>76.995623254169303</v>
      </c>
      <c r="AJ1519">
        <v>52.276844437995699</v>
      </c>
      <c r="AK1519">
        <v>0.45317089411853201</v>
      </c>
      <c r="AL1519">
        <v>95.776100766653499</v>
      </c>
      <c r="AM1519">
        <v>85.394564784167997</v>
      </c>
      <c r="AN1519">
        <v>0.99999996568660199</v>
      </c>
    </row>
    <row r="1520" spans="1:40" x14ac:dyDescent="0.25">
      <c r="A1520" t="str">
        <f>"20190305134931127"</f>
        <v>20190305134931127</v>
      </c>
      <c r="B1520" t="str">
        <f>"1551764971122084"</f>
        <v>1551764971122084</v>
      </c>
      <c r="C1520" t="s">
        <v>40</v>
      </c>
      <c r="D1520">
        <v>4.142398</v>
      </c>
      <c r="E1520">
        <v>0.68679990000000002</v>
      </c>
      <c r="F1520" t="s">
        <v>41</v>
      </c>
      <c r="G1520">
        <v>-212.72720000000001</v>
      </c>
      <c r="H1520">
        <v>1.238818</v>
      </c>
      <c r="I1520">
        <v>367.56360000000001</v>
      </c>
      <c r="J1520">
        <v>-213.19380000000001</v>
      </c>
      <c r="K1520">
        <v>1.108347</v>
      </c>
      <c r="L1520">
        <v>367.94650000000001</v>
      </c>
      <c r="M1520">
        <v>0.99878440000000002</v>
      </c>
      <c r="N1520">
        <v>-1.834268E-2</v>
      </c>
      <c r="O1520">
        <v>-4.5752849999999998E-2</v>
      </c>
      <c r="P1520">
        <v>0.98486969999999996</v>
      </c>
      <c r="Q1520">
        <v>-0.1174022</v>
      </c>
      <c r="R1520">
        <v>-0.12747020000000001</v>
      </c>
      <c r="S1520">
        <v>2.8856959999999998</v>
      </c>
      <c r="T1520">
        <v>0.61926590000000004</v>
      </c>
      <c r="U1520">
        <v>-1.8549500000000001</v>
      </c>
      <c r="V1520">
        <v>8.1713190000000005E-2</v>
      </c>
      <c r="W1520">
        <v>-9.9686880000000005E-2</v>
      </c>
      <c r="X1520">
        <v>0.99165800000000004</v>
      </c>
      <c r="Y1520">
        <v>0.49547059999999998</v>
      </c>
      <c r="Z1520">
        <v>3.3562719999999997E-2</v>
      </c>
      <c r="AA1520">
        <v>0.86797610000000003</v>
      </c>
      <c r="AB1520">
        <v>29</v>
      </c>
      <c r="AC1520">
        <v>0.46659999999999902</v>
      </c>
      <c r="AD1520">
        <v>0.130471</v>
      </c>
      <c r="AE1520">
        <v>-0.38290000000000601</v>
      </c>
      <c r="AF1520">
        <v>0.345026182260114</v>
      </c>
      <c r="AG1520">
        <v>0.130471</v>
      </c>
      <c r="AH1520">
        <v>0.46204457622376899</v>
      </c>
      <c r="AI1520">
        <v>77.251150189206399</v>
      </c>
      <c r="AJ1520">
        <v>53.249909831546603</v>
      </c>
      <c r="AK1520">
        <v>0.59122833043063105</v>
      </c>
      <c r="AL1520">
        <v>95.721139615724695</v>
      </c>
      <c r="AM1520">
        <v>85.289436899783695</v>
      </c>
      <c r="AN1520">
        <v>1.0000000542140499</v>
      </c>
    </row>
    <row r="1521" spans="1:40" x14ac:dyDescent="0.25">
      <c r="A1521" t="str">
        <f>"20190305134931139"</f>
        <v>20190305134931139</v>
      </c>
      <c r="B1521" t="str">
        <f>"1551764971131844"</f>
        <v>1551764971131844</v>
      </c>
      <c r="C1521" t="s">
        <v>40</v>
      </c>
      <c r="D1521">
        <v>4.3822739999999998</v>
      </c>
      <c r="E1521">
        <v>0.68679990000000002</v>
      </c>
      <c r="F1521" t="s">
        <v>41</v>
      </c>
      <c r="G1521">
        <v>-212.7235</v>
      </c>
      <c r="H1521">
        <v>1.2083710000000001</v>
      </c>
      <c r="I1521">
        <v>367.64260000000002</v>
      </c>
      <c r="J1521">
        <v>-213.04429999999999</v>
      </c>
      <c r="K1521">
        <v>1.1082369999999999</v>
      </c>
      <c r="L1521">
        <v>367.93779999999998</v>
      </c>
      <c r="M1521">
        <v>0.99870289999999995</v>
      </c>
      <c r="N1521">
        <v>-1.8456090000000001E-2</v>
      </c>
      <c r="O1521">
        <v>-4.7456119999999997E-2</v>
      </c>
      <c r="P1521">
        <v>0.9845218</v>
      </c>
      <c r="Q1521">
        <v>-0.11670270000000001</v>
      </c>
      <c r="R1521">
        <v>-0.1307577</v>
      </c>
      <c r="S1521">
        <v>2.8783720000000002</v>
      </c>
      <c r="T1521">
        <v>0.61205589999999999</v>
      </c>
      <c r="U1521">
        <v>-1.8594360000000001</v>
      </c>
      <c r="V1521">
        <v>8.3302769999999998E-2</v>
      </c>
      <c r="W1521">
        <v>-9.890794E-2</v>
      </c>
      <c r="X1521">
        <v>0.99160369999999998</v>
      </c>
      <c r="Y1521">
        <v>0.49611840000000001</v>
      </c>
      <c r="Z1521">
        <v>3.2844449999999997E-2</v>
      </c>
      <c r="AA1521">
        <v>0.8676334</v>
      </c>
      <c r="AB1521">
        <v>29</v>
      </c>
      <c r="AC1521">
        <v>0.32079999999999098</v>
      </c>
      <c r="AD1521">
        <v>0.100133999999999</v>
      </c>
      <c r="AE1521">
        <v>-0.29519999999996499</v>
      </c>
      <c r="AF1521">
        <v>0.26562702121535697</v>
      </c>
      <c r="AG1521">
        <v>0.100133999999999</v>
      </c>
      <c r="AH1521">
        <v>0.31768944452917097</v>
      </c>
      <c r="AI1521">
        <v>76.406396632218403</v>
      </c>
      <c r="AJ1521">
        <v>50.100274380230502</v>
      </c>
      <c r="AK1521">
        <v>0.42604121340663498</v>
      </c>
      <c r="AL1521">
        <v>95.676288200205306</v>
      </c>
      <c r="AM1521">
        <v>85.197964245136703</v>
      </c>
      <c r="AN1521">
        <v>1.0000000149692001</v>
      </c>
    </row>
    <row r="1522" spans="1:40" x14ac:dyDescent="0.25">
      <c r="A1522" t="str">
        <f>"20190305134931152"</f>
        <v>20190305134931152</v>
      </c>
      <c r="B1522" t="str">
        <f>"1551764971142580"</f>
        <v>1551764971142580</v>
      </c>
      <c r="C1522" t="s">
        <v>40</v>
      </c>
      <c r="D1522">
        <v>4.3628679999999997</v>
      </c>
      <c r="E1522">
        <v>0.65900110000000001</v>
      </c>
      <c r="F1522" t="s">
        <v>41</v>
      </c>
      <c r="G1522">
        <v>-212.4709</v>
      </c>
      <c r="H1522">
        <v>1.2306319999999999</v>
      </c>
      <c r="I1522">
        <v>367.56389999999999</v>
      </c>
      <c r="J1522">
        <v>-212.88509999999999</v>
      </c>
      <c r="K1522">
        <v>1.1081259999999999</v>
      </c>
      <c r="L1522">
        <v>367.92840000000001</v>
      </c>
      <c r="M1522">
        <v>0.99861029999999995</v>
      </c>
      <c r="N1522">
        <v>-1.8578939999999999E-2</v>
      </c>
      <c r="O1522">
        <v>-4.9320719999999998E-2</v>
      </c>
      <c r="P1522">
        <v>0.9840814</v>
      </c>
      <c r="Q1522">
        <v>-0.11599619999999999</v>
      </c>
      <c r="R1522">
        <v>-0.13464300000000001</v>
      </c>
      <c r="S1522">
        <v>2.8713839999999999</v>
      </c>
      <c r="T1522">
        <v>0.61252669999999998</v>
      </c>
      <c r="U1522">
        <v>-1.8703000000000001</v>
      </c>
      <c r="V1522">
        <v>8.5333309999999996E-2</v>
      </c>
      <c r="W1522">
        <v>-9.8118510000000006E-2</v>
      </c>
      <c r="X1522">
        <v>0.99150939999999999</v>
      </c>
      <c r="Y1522">
        <v>0.4977742</v>
      </c>
      <c r="Z1522">
        <v>3.2627459999999997E-2</v>
      </c>
      <c r="AA1522">
        <v>0.86669280000000004</v>
      </c>
      <c r="AB1522">
        <v>29</v>
      </c>
      <c r="AC1522">
        <v>0.41419999999999302</v>
      </c>
      <c r="AD1522">
        <v>0.122505999999999</v>
      </c>
      <c r="AE1522">
        <v>-0.36450000000001997</v>
      </c>
      <c r="AF1522">
        <v>0.3274796355297</v>
      </c>
      <c r="AG1522">
        <v>0.122505999999999</v>
      </c>
      <c r="AH1522">
        <v>0.41139485613444199</v>
      </c>
      <c r="AI1522">
        <v>76.885176278359296</v>
      </c>
      <c r="AJ1522">
        <v>51.479415065454099</v>
      </c>
      <c r="AK1522">
        <v>0.53990402793139403</v>
      </c>
      <c r="AL1522">
        <v>95.630836451517894</v>
      </c>
      <c r="AM1522">
        <v>85.0810145431698</v>
      </c>
      <c r="AN1522">
        <v>0.99999995304426603</v>
      </c>
    </row>
    <row r="1523" spans="1:40" x14ac:dyDescent="0.25">
      <c r="A1523" t="str">
        <f>"20190305134931164"</f>
        <v>20190305134931164</v>
      </c>
      <c r="B1523" t="str">
        <f>"1551764971152341"</f>
        <v>1551764971152341</v>
      </c>
      <c r="C1523" t="s">
        <v>40</v>
      </c>
      <c r="D1523">
        <v>4.3658159999999997</v>
      </c>
      <c r="E1523">
        <v>0.66029550000000004</v>
      </c>
      <c r="F1523" t="s">
        <v>44</v>
      </c>
      <c r="G1523">
        <v>-196.78819999999999</v>
      </c>
      <c r="H1523" s="1">
        <v>-5.9377849999999999E-6</v>
      </c>
      <c r="I1523">
        <v>358.37639999999999</v>
      </c>
      <c r="J1523">
        <v>-212.72540000000001</v>
      </c>
      <c r="K1523">
        <v>1.108025</v>
      </c>
      <c r="L1523">
        <v>367.91829999999999</v>
      </c>
      <c r="M1523">
        <v>0.99850700000000003</v>
      </c>
      <c r="N1523">
        <v>-1.8718729999999999E-2</v>
      </c>
      <c r="O1523">
        <v>-5.1318339999999997E-2</v>
      </c>
      <c r="P1523">
        <v>0.98359529999999995</v>
      </c>
      <c r="Q1523">
        <v>-0.1153449</v>
      </c>
      <c r="R1523">
        <v>-0.13869289999999901</v>
      </c>
      <c r="S1523">
        <v>2.7986149999999999</v>
      </c>
      <c r="T1523">
        <v>-0.19266050000000001</v>
      </c>
      <c r="U1523">
        <v>-1.660706</v>
      </c>
      <c r="V1523">
        <v>8.7399710000000005E-2</v>
      </c>
      <c r="W1523">
        <v>-9.7368850000000007E-2</v>
      </c>
      <c r="X1523">
        <v>0.99140329999999999</v>
      </c>
      <c r="Y1523">
        <v>0.46446130000000002</v>
      </c>
      <c r="Z1523">
        <v>-1.7090040000000001E-2</v>
      </c>
      <c r="AA1523">
        <v>0.88542849999999995</v>
      </c>
      <c r="AB1523">
        <v>29</v>
      </c>
      <c r="AC1523">
        <v>15.937200000000001</v>
      </c>
      <c r="AD1523">
        <v>-1.1080309377849999</v>
      </c>
      <c r="AE1523">
        <v>-9.5418999999999894</v>
      </c>
      <c r="AF1523">
        <v>8.6804220108668595</v>
      </c>
      <c r="AG1523">
        <v>-1.1080309377849999</v>
      </c>
      <c r="AH1523">
        <v>16.347784306571501</v>
      </c>
      <c r="AI1523">
        <v>93.425807915150699</v>
      </c>
      <c r="AJ1523">
        <v>62.032385387992399</v>
      </c>
      <c r="AK1523">
        <v>18.5425864048146</v>
      </c>
      <c r="AL1523">
        <v>95.587677434303998</v>
      </c>
      <c r="AM1523">
        <v>84.961967582075502</v>
      </c>
      <c r="AN1523">
        <v>0.99999995275464704</v>
      </c>
    </row>
    <row r="1524" spans="1:40" x14ac:dyDescent="0.25">
      <c r="A1524" t="str">
        <f>"20190305134931176"</f>
        <v>20190305134931176</v>
      </c>
      <c r="B1524" t="str">
        <f>"1551764971171859"</f>
        <v>1551764971171859</v>
      </c>
      <c r="C1524" t="s">
        <v>40</v>
      </c>
      <c r="D1524">
        <v>4.1441369999999997</v>
      </c>
      <c r="E1524">
        <v>0.66091049999999996</v>
      </c>
      <c r="F1524" t="s">
        <v>44</v>
      </c>
      <c r="G1524">
        <v>-195.46780000000001</v>
      </c>
      <c r="H1524" s="1">
        <v>-5.4438570000000004E-6</v>
      </c>
      <c r="I1524">
        <v>357.517</v>
      </c>
      <c r="J1524">
        <v>-212.57300000000001</v>
      </c>
      <c r="K1524">
        <v>1.1079369999999999</v>
      </c>
      <c r="L1524">
        <v>367.9085</v>
      </c>
      <c r="M1524">
        <v>0.99840019999999996</v>
      </c>
      <c r="N1524">
        <v>-1.8866500000000001E-2</v>
      </c>
      <c r="O1524">
        <v>-5.3302509999999997E-2</v>
      </c>
      <c r="P1524">
        <v>0.98311839999999995</v>
      </c>
      <c r="Q1524">
        <v>-0.11460049999999999</v>
      </c>
      <c r="R1524">
        <v>-0.14263580000000001</v>
      </c>
      <c r="S1524">
        <v>2.7917480000000001</v>
      </c>
      <c r="T1524">
        <v>-0.17924489999999901</v>
      </c>
      <c r="U1524">
        <v>-1.68261699999999</v>
      </c>
      <c r="V1524">
        <v>8.9375830000000003E-2</v>
      </c>
      <c r="W1524">
        <v>-9.6516469999999993E-2</v>
      </c>
      <c r="X1524">
        <v>0.99131049999999998</v>
      </c>
      <c r="Y1524">
        <v>0.46887610000000002</v>
      </c>
      <c r="Z1524">
        <v>-1.6436619999999999E-2</v>
      </c>
      <c r="AA1524">
        <v>0.88311099999999998</v>
      </c>
      <c r="AB1524">
        <v>29</v>
      </c>
      <c r="AC1524">
        <v>17.1051999999999</v>
      </c>
      <c r="AD1524">
        <v>-1.107942443857</v>
      </c>
      <c r="AE1524">
        <v>-10.391500000000001</v>
      </c>
      <c r="AF1524">
        <v>9.4358939449317099</v>
      </c>
      <c r="AG1524">
        <v>-1.107942443857</v>
      </c>
      <c r="AH1524">
        <v>17.580990049676998</v>
      </c>
      <c r="AI1524">
        <v>93.178213698936005</v>
      </c>
      <c r="AJ1524">
        <v>61.777097880737003</v>
      </c>
      <c r="AK1524">
        <v>19.983864544320301</v>
      </c>
      <c r="AL1524">
        <v>95.538608343735206</v>
      </c>
      <c r="AM1524">
        <v>84.848183453396999</v>
      </c>
      <c r="AN1524">
        <v>0.99999998768984899</v>
      </c>
    </row>
    <row r="1525" spans="1:40" x14ac:dyDescent="0.25">
      <c r="A1525" t="str">
        <f>"20190305134931188"</f>
        <v>20190305134931188</v>
      </c>
      <c r="B1525" t="str">
        <f>"1551764971182596"</f>
        <v>1551764971182596</v>
      </c>
      <c r="C1525" t="s">
        <v>40</v>
      </c>
      <c r="D1525">
        <v>3.8435830000000002</v>
      </c>
      <c r="E1525">
        <v>0.66201259999999995</v>
      </c>
      <c r="F1525" t="s">
        <v>44</v>
      </c>
      <c r="G1525">
        <v>-194.62450000000001</v>
      </c>
      <c r="H1525" s="1">
        <v>-5.0844309999999998E-6</v>
      </c>
      <c r="I1525">
        <v>356.96370000000002</v>
      </c>
      <c r="J1525">
        <v>-212.4187</v>
      </c>
      <c r="K1525">
        <v>1.107855</v>
      </c>
      <c r="L1525">
        <v>367.8981</v>
      </c>
      <c r="M1525">
        <v>0.99828439999999996</v>
      </c>
      <c r="N1525">
        <v>-1.9027909999999999E-2</v>
      </c>
      <c r="O1525">
        <v>-5.5375430000000003E-2</v>
      </c>
      <c r="P1525">
        <v>0.98267930000000003</v>
      </c>
      <c r="Q1525">
        <v>-0.1138653</v>
      </c>
      <c r="R1525">
        <v>-0.14620749999999999</v>
      </c>
      <c r="S1525">
        <v>2.7850649999999999</v>
      </c>
      <c r="T1525">
        <v>-0.17191899999999999</v>
      </c>
      <c r="U1525">
        <v>-1.6983029999999999</v>
      </c>
      <c r="V1525">
        <v>9.0892719999999996E-2</v>
      </c>
      <c r="W1525">
        <v>-9.5656430000000001E-2</v>
      </c>
      <c r="X1525">
        <v>0.99125589999999997</v>
      </c>
      <c r="Y1525">
        <v>0.4716668</v>
      </c>
      <c r="Z1525">
        <v>-1.6087770000000001E-2</v>
      </c>
      <c r="AA1525">
        <v>0.88163009999999997</v>
      </c>
      <c r="AB1525">
        <v>28</v>
      </c>
      <c r="AC1525">
        <v>17.794199999999901</v>
      </c>
      <c r="AD1525">
        <v>-1.107860084431</v>
      </c>
      <c r="AE1525">
        <v>-10.934399999999901</v>
      </c>
      <c r="AF1525">
        <v>9.9042082124451891</v>
      </c>
      <c r="AG1525">
        <v>-1.107860084431</v>
      </c>
      <c r="AH1525">
        <v>18.320942402469001</v>
      </c>
      <c r="AI1525">
        <v>93.044938590401102</v>
      </c>
      <c r="AJ1525">
        <v>61.604569869502797</v>
      </c>
      <c r="AK1525">
        <v>20.8561172032746</v>
      </c>
      <c r="AL1525">
        <v>95.489102827788798</v>
      </c>
      <c r="AM1525">
        <v>84.760942156290795</v>
      </c>
      <c r="AN1525">
        <v>0.99999994921707502</v>
      </c>
    </row>
    <row r="1526" spans="1:40" x14ac:dyDescent="0.25">
      <c r="A1526" t="str">
        <f>"20190305134931200"</f>
        <v>20190305134931200</v>
      </c>
      <c r="B1526" t="str">
        <f>"1551764971192356"</f>
        <v>1551764971192356</v>
      </c>
      <c r="C1526" t="s">
        <v>40</v>
      </c>
      <c r="D1526">
        <v>4.1613550000000004</v>
      </c>
      <c r="E1526">
        <v>0.66201259999999995</v>
      </c>
      <c r="F1526" t="s">
        <v>44</v>
      </c>
      <c r="G1526">
        <v>-187.2979</v>
      </c>
      <c r="H1526" s="1">
        <v>-2.03095E-6</v>
      </c>
      <c r="I1526">
        <v>352.39819999999997</v>
      </c>
      <c r="J1526">
        <v>-212.2724</v>
      </c>
      <c r="K1526">
        <v>1.10778</v>
      </c>
      <c r="L1526">
        <v>367.88780000000003</v>
      </c>
      <c r="M1526">
        <v>0.99816320000000003</v>
      </c>
      <c r="N1526">
        <v>-1.9189029999999999E-2</v>
      </c>
      <c r="O1526">
        <v>-5.7463729999999998E-2</v>
      </c>
      <c r="P1526">
        <v>0.98231760000000001</v>
      </c>
      <c r="Q1526">
        <v>-0.112701</v>
      </c>
      <c r="R1526">
        <v>-0.14950279999999999</v>
      </c>
      <c r="S1526">
        <v>2.7831570000000001</v>
      </c>
      <c r="T1526">
        <v>-0.12274060000000001</v>
      </c>
      <c r="U1526">
        <v>-1.717255</v>
      </c>
      <c r="V1526">
        <v>9.2119510000000002E-2</v>
      </c>
      <c r="W1526">
        <v>-9.4363580000000002E-2</v>
      </c>
      <c r="X1526">
        <v>0.9912666</v>
      </c>
      <c r="Y1526">
        <v>0.47481299999999999</v>
      </c>
      <c r="Z1526">
        <v>-1.324908E-2</v>
      </c>
      <c r="AA1526">
        <v>0.87998699999999996</v>
      </c>
      <c r="AB1526">
        <v>28</v>
      </c>
      <c r="AC1526">
        <v>24.974499999999999</v>
      </c>
      <c r="AD1526">
        <v>-1.1077820309499999</v>
      </c>
      <c r="AE1526">
        <v>-15.489599999999999</v>
      </c>
      <c r="AF1526">
        <v>14.0086980837758</v>
      </c>
      <c r="AG1526">
        <v>-1.1077820309499999</v>
      </c>
      <c r="AH1526">
        <v>25.786829887190201</v>
      </c>
      <c r="AI1526">
        <v>92.161810978057403</v>
      </c>
      <c r="AJ1526">
        <v>61.486973911564696</v>
      </c>
      <c r="AK1526">
        <v>29.3671823412013</v>
      </c>
      <c r="AL1526">
        <v>95.414691184638301</v>
      </c>
      <c r="AM1526">
        <v>84.690688385807306</v>
      </c>
      <c r="AN1526">
        <v>0.99999998081430796</v>
      </c>
    </row>
    <row r="1527" spans="1:40" x14ac:dyDescent="0.25">
      <c r="A1527" t="str">
        <f>"20190305134931213"</f>
        <v>20190305134931213</v>
      </c>
      <c r="B1527" t="str">
        <f>"1551764971202116"</f>
        <v>1551764971202116</v>
      </c>
      <c r="C1527" t="s">
        <v>40</v>
      </c>
      <c r="D1527">
        <v>4.3971679999999997</v>
      </c>
      <c r="E1527">
        <v>0.66205979999999998</v>
      </c>
      <c r="F1527" t="s">
        <v>44</v>
      </c>
      <c r="G1527">
        <v>-185.92259999999999</v>
      </c>
      <c r="H1527" s="1">
        <v>-1.73065999999999E-6</v>
      </c>
      <c r="I1527">
        <v>351.51389999999998</v>
      </c>
      <c r="J1527">
        <v>-212.10480000000001</v>
      </c>
      <c r="K1527">
        <v>1.107699</v>
      </c>
      <c r="L1527">
        <v>367.87560000000002</v>
      </c>
      <c r="M1527">
        <v>0.99801519999999999</v>
      </c>
      <c r="N1527">
        <v>-1.9371570000000001E-2</v>
      </c>
      <c r="O1527">
        <v>-5.9919340000000001E-2</v>
      </c>
      <c r="P1527">
        <v>0.98180400000000001</v>
      </c>
      <c r="Q1527">
        <v>-0.1117985</v>
      </c>
      <c r="R1527">
        <v>-0.1535001</v>
      </c>
      <c r="S1527">
        <v>2.7778930000000002</v>
      </c>
      <c r="T1527">
        <v>-0.11678620000000001</v>
      </c>
      <c r="U1527">
        <v>-1.7261959999999901</v>
      </c>
      <c r="V1527">
        <v>9.3687060000000003E-2</v>
      </c>
      <c r="W1527">
        <v>-9.3319399999999997E-2</v>
      </c>
      <c r="X1527">
        <v>0.99121859999999995</v>
      </c>
      <c r="Y1527">
        <v>0.47547469999999997</v>
      </c>
      <c r="Z1527">
        <v>-1.293064E-2</v>
      </c>
      <c r="AA1527">
        <v>0.87963440000000004</v>
      </c>
      <c r="AB1527">
        <v>28</v>
      </c>
      <c r="AC1527">
        <v>26.182200000000002</v>
      </c>
      <c r="AD1527">
        <v>-1.10770073066</v>
      </c>
      <c r="AE1527">
        <v>-16.361699999999999</v>
      </c>
      <c r="AF1527">
        <v>14.744196847136701</v>
      </c>
      <c r="AG1527">
        <v>-1.10770073066</v>
      </c>
      <c r="AH1527">
        <v>27.0808458400187</v>
      </c>
      <c r="AI1527">
        <v>92.057415898798595</v>
      </c>
      <c r="AJ1527">
        <v>61.433868179930599</v>
      </c>
      <c r="AK1527">
        <v>30.854344150972999</v>
      </c>
      <c r="AL1527">
        <v>95.3545985544296</v>
      </c>
      <c r="AM1527">
        <v>84.600612130071099</v>
      </c>
      <c r="AN1527">
        <v>1.0000000443068799</v>
      </c>
    </row>
    <row r="1528" spans="1:40" x14ac:dyDescent="0.25">
      <c r="A1528" t="str">
        <f>"20190305134931226"</f>
        <v>20190305134931226</v>
      </c>
      <c r="B1528" t="str">
        <f>"1551764971222612"</f>
        <v>1551764971222612</v>
      </c>
      <c r="C1528" t="s">
        <v>40</v>
      </c>
      <c r="D1528">
        <v>4.1782000000000004</v>
      </c>
      <c r="E1528">
        <v>0.66207419999999995</v>
      </c>
      <c r="F1528" t="s">
        <v>44</v>
      </c>
      <c r="G1528">
        <v>-186.71379999999999</v>
      </c>
      <c r="H1528" s="1">
        <v>-1.8467039999999999E-6</v>
      </c>
      <c r="I1528">
        <v>351.9495</v>
      </c>
      <c r="J1528">
        <v>-211.9325</v>
      </c>
      <c r="K1528">
        <v>1.1075999999999999</v>
      </c>
      <c r="L1528">
        <v>367.86250000000001</v>
      </c>
      <c r="M1528">
        <v>0.9978494</v>
      </c>
      <c r="N1528">
        <v>-1.955076E-2</v>
      </c>
      <c r="O1528">
        <v>-6.256515E-2</v>
      </c>
      <c r="P1528">
        <v>0.98125810000000002</v>
      </c>
      <c r="Q1528">
        <v>-0.110649499999999</v>
      </c>
      <c r="R1528">
        <v>-0.15776499999999999</v>
      </c>
      <c r="S1528">
        <v>2.770187</v>
      </c>
      <c r="T1528">
        <v>-0.120851399999999</v>
      </c>
      <c r="U1528">
        <v>-1.737549</v>
      </c>
      <c r="V1528">
        <v>9.5336329999999997E-2</v>
      </c>
      <c r="W1528">
        <v>-9.2035080000000005E-2</v>
      </c>
      <c r="X1528">
        <v>0.99118139999999999</v>
      </c>
      <c r="Y1528">
        <v>0.47680030000000001</v>
      </c>
      <c r="Z1528">
        <v>-1.3224079999999999E-2</v>
      </c>
      <c r="AA1528">
        <v>0.87891219999999903</v>
      </c>
      <c r="AB1528">
        <v>28</v>
      </c>
      <c r="AC1528">
        <v>25.218699999999998</v>
      </c>
      <c r="AD1528">
        <v>-1.1076018467040001</v>
      </c>
      <c r="AE1528">
        <v>-15.913</v>
      </c>
      <c r="AF1528">
        <v>14.283992565519499</v>
      </c>
      <c r="AG1528">
        <v>-1.1076018467040001</v>
      </c>
      <c r="AH1528">
        <v>26.1290156644387</v>
      </c>
      <c r="AI1528">
        <v>92.130117769552001</v>
      </c>
      <c r="AJ1528">
        <v>61.335822285424399</v>
      </c>
      <c r="AK1528">
        <v>29.799071882444998</v>
      </c>
      <c r="AL1528">
        <v>95.280694498458502</v>
      </c>
      <c r="AM1528">
        <v>84.505932759742905</v>
      </c>
      <c r="AN1528">
        <v>1.0000000197372101</v>
      </c>
    </row>
    <row r="1529" spans="1:40" x14ac:dyDescent="0.25">
      <c r="A1529" t="str">
        <f>"20190305134931240"</f>
        <v>20190305134931240</v>
      </c>
      <c r="B1529" t="str">
        <f>"1551764971232373"</f>
        <v>1551764971232373</v>
      </c>
      <c r="C1529" t="s">
        <v>40</v>
      </c>
      <c r="D1529">
        <v>4.1856350000000004</v>
      </c>
      <c r="E1529">
        <v>0.6912431</v>
      </c>
      <c r="F1529" t="s">
        <v>44</v>
      </c>
      <c r="G1529">
        <v>-186.82929999999999</v>
      </c>
      <c r="H1529" s="1">
        <v>-1.839525E-6</v>
      </c>
      <c r="I1529">
        <v>351.96460000000002</v>
      </c>
      <c r="J1529">
        <v>-211.7714</v>
      </c>
      <c r="K1529">
        <v>1.1074980000000001</v>
      </c>
      <c r="L1529">
        <v>367.84949999999998</v>
      </c>
      <c r="M1529">
        <v>0.99768089999999998</v>
      </c>
      <c r="N1529">
        <v>-1.9698879999999998E-2</v>
      </c>
      <c r="O1529">
        <v>-6.5151020000000004E-2</v>
      </c>
      <c r="P1529">
        <v>0.98034809999999994</v>
      </c>
      <c r="Q1529">
        <v>-0.1086891</v>
      </c>
      <c r="R1529">
        <v>-0.16463429999999901</v>
      </c>
      <c r="S1529">
        <v>2.762283</v>
      </c>
      <c r="T1529">
        <v>-0.1218772</v>
      </c>
      <c r="U1529">
        <v>-1.7493590000000001</v>
      </c>
      <c r="V1529">
        <v>9.9677070000000006E-2</v>
      </c>
      <c r="W1529">
        <v>-8.9994790000000005E-2</v>
      </c>
      <c r="X1529">
        <v>0.99094170000000004</v>
      </c>
      <c r="Y1529">
        <v>0.47832989999999997</v>
      </c>
      <c r="Z1529">
        <v>-1.333645E-2</v>
      </c>
      <c r="AA1529">
        <v>0.87807900000000005</v>
      </c>
      <c r="AB1529">
        <v>28</v>
      </c>
      <c r="AC1529">
        <v>24.9421</v>
      </c>
      <c r="AD1529">
        <v>-1.107499839525</v>
      </c>
      <c r="AE1529">
        <v>-15.884899999999901</v>
      </c>
      <c r="AF1529">
        <v>14.2058930328336</v>
      </c>
      <c r="AG1529">
        <v>-1.107499839525</v>
      </c>
      <c r="AH1529">
        <v>25.8878937637846</v>
      </c>
      <c r="AI1529">
        <v>92.147864786396596</v>
      </c>
      <c r="AJ1529">
        <v>61.244372460329203</v>
      </c>
      <c r="AK1529">
        <v>29.550245282905099</v>
      </c>
      <c r="AL1529">
        <v>95.163307277313905</v>
      </c>
      <c r="AM1529">
        <v>84.256039500910006</v>
      </c>
      <c r="AN1529">
        <v>1.0000000166548999</v>
      </c>
    </row>
    <row r="1530" spans="1:40" x14ac:dyDescent="0.25">
      <c r="A1530" t="str">
        <f>"20190305134931251"</f>
        <v>20190305134931251</v>
      </c>
      <c r="B1530" t="str">
        <f>"1551764971242132"</f>
        <v>1551764971242132</v>
      </c>
      <c r="C1530" t="s">
        <v>40</v>
      </c>
      <c r="D1530">
        <v>4.4153390000000003</v>
      </c>
      <c r="E1530">
        <v>0.6912431</v>
      </c>
      <c r="F1530" t="s">
        <v>41</v>
      </c>
      <c r="G1530">
        <v>-211.21539999999999</v>
      </c>
      <c r="H1530">
        <v>1.235177</v>
      </c>
      <c r="I1530">
        <v>367.4522</v>
      </c>
      <c r="J1530">
        <v>-211.6241</v>
      </c>
      <c r="K1530">
        <v>1.1074040000000001</v>
      </c>
      <c r="L1530">
        <v>367.83749999999998</v>
      </c>
      <c r="M1530">
        <v>0.99751809999999996</v>
      </c>
      <c r="N1530">
        <v>-1.9825880000000001E-2</v>
      </c>
      <c r="O1530">
        <v>-6.7561330000000003E-2</v>
      </c>
      <c r="P1530">
        <v>0.9795355</v>
      </c>
      <c r="Q1530">
        <v>-0.1085004</v>
      </c>
      <c r="R1530">
        <v>-0.16952229999999999</v>
      </c>
      <c r="S1530">
        <v>2.7957610000000002</v>
      </c>
      <c r="T1530">
        <v>0.64201239999999904</v>
      </c>
      <c r="U1530">
        <v>-1.9981690000000001</v>
      </c>
      <c r="V1530">
        <v>0.10219830000000001</v>
      </c>
      <c r="W1530">
        <v>-8.9731820000000004E-2</v>
      </c>
      <c r="X1530">
        <v>0.9907087</v>
      </c>
      <c r="Y1530">
        <v>0.51870810000000001</v>
      </c>
      <c r="Z1530">
        <v>3.2316169999999998E-2</v>
      </c>
      <c r="AA1530">
        <v>0.85434049999999995</v>
      </c>
      <c r="AB1530">
        <v>28</v>
      </c>
      <c r="AC1530">
        <v>0.40870000000001</v>
      </c>
      <c r="AD1530">
        <v>0.127772999999999</v>
      </c>
      <c r="AE1530">
        <v>-0.385299999999972</v>
      </c>
      <c r="AF1530">
        <v>0.339246363809037</v>
      </c>
      <c r="AG1530">
        <v>0.127772999999999</v>
      </c>
      <c r="AH1530">
        <v>0.41245856461151598</v>
      </c>
      <c r="AI1530">
        <v>76.544766354646995</v>
      </c>
      <c r="AJ1530">
        <v>50.5627700088897</v>
      </c>
      <c r="AK1530">
        <v>0.54912303030199505</v>
      </c>
      <c r="AL1530">
        <v>95.148179032593504</v>
      </c>
      <c r="AM1530">
        <v>84.110385132941005</v>
      </c>
      <c r="AN1530">
        <v>1.0000000101495401</v>
      </c>
    </row>
    <row r="1531" spans="1:40" x14ac:dyDescent="0.25">
      <c r="A1531" t="str">
        <f>"20190305134931264"</f>
        <v>20190305134931264</v>
      </c>
      <c r="B1531" t="str">
        <f>"1551764971262629"</f>
        <v>1551764971262629</v>
      </c>
      <c r="C1531" t="s">
        <v>40</v>
      </c>
      <c r="D1531">
        <v>4.1663180000000004</v>
      </c>
      <c r="E1531">
        <v>0.67024220000000001</v>
      </c>
      <c r="F1531" t="s">
        <v>53</v>
      </c>
      <c r="G1531">
        <v>-168.4504</v>
      </c>
      <c r="H1531">
        <v>11.06343</v>
      </c>
      <c r="I1531">
        <v>336.6465</v>
      </c>
      <c r="J1531">
        <v>-211.46109999999999</v>
      </c>
      <c r="K1531">
        <v>1.1072979999999999</v>
      </c>
      <c r="L1531">
        <v>367.82339999999999</v>
      </c>
      <c r="M1531">
        <v>0.99732339999999997</v>
      </c>
      <c r="N1531">
        <v>-1.994864E-2</v>
      </c>
      <c r="O1531">
        <v>-7.034282E-2</v>
      </c>
      <c r="P1531">
        <v>0.97857459999999996</v>
      </c>
      <c r="Q1531">
        <v>-0.108456399999999</v>
      </c>
      <c r="R1531">
        <v>-0.17501120000000001</v>
      </c>
      <c r="S1531">
        <v>2.7855379999999998</v>
      </c>
      <c r="T1531">
        <v>0.6423565</v>
      </c>
      <c r="U1531">
        <v>-2.0124209999999998</v>
      </c>
      <c r="V1531">
        <v>0.10496</v>
      </c>
      <c r="W1531">
        <v>-8.9623700000000001E-2</v>
      </c>
      <c r="X1531">
        <v>0.99042969999999997</v>
      </c>
      <c r="Y1531">
        <v>0.52070810000000001</v>
      </c>
      <c r="Z1531">
        <v>3.1922209999999999E-2</v>
      </c>
      <c r="AA1531">
        <v>0.85313779999999995</v>
      </c>
      <c r="AB1531">
        <v>28</v>
      </c>
      <c r="AC1531">
        <v>43.0106999999999</v>
      </c>
      <c r="AD1531">
        <v>9.9561320000000002</v>
      </c>
      <c r="AE1531">
        <v>-31.1768999999999</v>
      </c>
      <c r="AF1531">
        <v>27.120878593755599</v>
      </c>
      <c r="AG1531">
        <v>9.9561320000000002</v>
      </c>
      <c r="AH1531">
        <v>43.5672508180647</v>
      </c>
      <c r="AI1531">
        <v>79.020749114593499</v>
      </c>
      <c r="AJ1531">
        <v>58.097485059562104</v>
      </c>
      <c r="AK1531">
        <v>52.275921454746403</v>
      </c>
      <c r="AL1531">
        <v>95.141959204764504</v>
      </c>
      <c r="AM1531">
        <v>83.950703503064005</v>
      </c>
      <c r="AN1531">
        <v>0.99999999992188904</v>
      </c>
    </row>
    <row r="1532" spans="1:40" x14ac:dyDescent="0.25">
      <c r="A1532" t="str">
        <f>"20190305134931277"</f>
        <v>20190305134931277</v>
      </c>
      <c r="B1532" t="str">
        <f>"1551764971272388"</f>
        <v>1551764971272388</v>
      </c>
      <c r="C1532" t="s">
        <v>40</v>
      </c>
      <c r="D1532">
        <v>4.4087870000000002</v>
      </c>
      <c r="E1532">
        <v>0.66761059999999905</v>
      </c>
      <c r="F1532" t="s">
        <v>53</v>
      </c>
      <c r="G1532">
        <v>-168.40020000000001</v>
      </c>
      <c r="H1532">
        <v>0.29015259999999998</v>
      </c>
      <c r="I1532">
        <v>338.42009999999999</v>
      </c>
      <c r="J1532">
        <v>-211.3185</v>
      </c>
      <c r="K1532">
        <v>1.107213</v>
      </c>
      <c r="L1532">
        <v>367.8107</v>
      </c>
      <c r="M1532">
        <v>0.99714199999999997</v>
      </c>
      <c r="N1532">
        <v>-2.00463E-2</v>
      </c>
      <c r="O1532">
        <v>-7.2842190000000001E-2</v>
      </c>
      <c r="P1532">
        <v>0.97760959999999997</v>
      </c>
      <c r="Q1532">
        <v>-0.10893750000000001</v>
      </c>
      <c r="R1532">
        <v>-0.18003350000000001</v>
      </c>
      <c r="S1532">
        <v>2.7269290000000002</v>
      </c>
      <c r="T1532">
        <v>-5.17472E-2</v>
      </c>
      <c r="U1532">
        <v>-1.8620300000000001</v>
      </c>
      <c r="V1532">
        <v>0.1075383</v>
      </c>
      <c r="W1532">
        <v>-9.0060619999999994E-2</v>
      </c>
      <c r="X1532">
        <v>0.99011340000000003</v>
      </c>
      <c r="Y1532">
        <v>0.50208330000000001</v>
      </c>
      <c r="Z1532">
        <v>-9.9115390000000005E-3</v>
      </c>
      <c r="AA1532">
        <v>0.86476249999999999</v>
      </c>
      <c r="AB1532">
        <v>28</v>
      </c>
      <c r="AC1532">
        <v>42.918299999999903</v>
      </c>
      <c r="AD1532">
        <v>-0.81706040000000002</v>
      </c>
      <c r="AE1532">
        <v>-29.390599999999999</v>
      </c>
      <c r="AF1532">
        <v>26.179141465929799</v>
      </c>
      <c r="AG1532">
        <v>-0.81706040000000002</v>
      </c>
      <c r="AH1532">
        <v>44.934460205205198</v>
      </c>
      <c r="AI1532">
        <v>90.900121906821795</v>
      </c>
      <c r="AJ1532">
        <v>59.774612899376002</v>
      </c>
      <c r="AK1532">
        <v>52.010775321308003</v>
      </c>
      <c r="AL1532">
        <v>95.167094663002999</v>
      </c>
      <c r="AM1532">
        <v>83.801283177783006</v>
      </c>
      <c r="AN1532">
        <v>0.99999997305061605</v>
      </c>
    </row>
    <row r="1533" spans="1:40" x14ac:dyDescent="0.25">
      <c r="A1533" t="str">
        <f>"20190305134931288"</f>
        <v>20190305134931288</v>
      </c>
      <c r="B1533" t="str">
        <f>"1551764971282148"</f>
        <v>1551764971282148</v>
      </c>
      <c r="C1533" t="s">
        <v>40</v>
      </c>
      <c r="D1533">
        <v>4.1752219999999998</v>
      </c>
      <c r="E1533">
        <v>0.66761059999999905</v>
      </c>
      <c r="F1533" t="s">
        <v>42</v>
      </c>
      <c r="G1533">
        <v>-179.95779999999999</v>
      </c>
      <c r="H1533">
        <v>1.2883840000000001E-2</v>
      </c>
      <c r="I1533">
        <v>346.39659999999998</v>
      </c>
      <c r="J1533">
        <v>-211.16059999999999</v>
      </c>
      <c r="K1533">
        <v>1.1071230000000001</v>
      </c>
      <c r="L1533">
        <v>367.7962</v>
      </c>
      <c r="M1533">
        <v>0.99692990000000004</v>
      </c>
      <c r="N1533">
        <v>-2.0146529999999999E-2</v>
      </c>
      <c r="O1533">
        <v>-7.5664910000000002E-2</v>
      </c>
      <c r="P1533">
        <v>0.97661719999999996</v>
      </c>
      <c r="Q1533">
        <v>-0.1095283</v>
      </c>
      <c r="R1533">
        <v>-0.1849934</v>
      </c>
      <c r="S1533">
        <v>2.7165219999999999</v>
      </c>
      <c r="T1533">
        <v>-9.4792719999999997E-2</v>
      </c>
      <c r="U1533">
        <v>-1.854919</v>
      </c>
      <c r="V1533">
        <v>0.109736</v>
      </c>
      <c r="W1533">
        <v>-9.0602810000000006E-2</v>
      </c>
      <c r="X1533">
        <v>0.9898228</v>
      </c>
      <c r="Y1533">
        <v>0.49942120000000001</v>
      </c>
      <c r="Z1533">
        <v>-1.241132E-2</v>
      </c>
      <c r="AA1533">
        <v>0.8662704</v>
      </c>
      <c r="AB1533">
        <v>28</v>
      </c>
      <c r="AC1533">
        <v>31.2028</v>
      </c>
      <c r="AD1533">
        <v>-1.0942391600000001</v>
      </c>
      <c r="AE1533">
        <v>-21.3996</v>
      </c>
      <c r="AF1533">
        <v>18.960933893658598</v>
      </c>
      <c r="AG1533">
        <v>-1.0942391600000001</v>
      </c>
      <c r="AH1533">
        <v>32.705486944550898</v>
      </c>
      <c r="AI1533">
        <v>91.657953415688596</v>
      </c>
      <c r="AJ1533">
        <v>59.897080936005302</v>
      </c>
      <c r="AK1533">
        <v>37.820143438902498</v>
      </c>
      <c r="AL1533">
        <v>95.198287157288803</v>
      </c>
      <c r="AM1533">
        <v>83.673778090523399</v>
      </c>
      <c r="AN1533">
        <v>1.00000001713786</v>
      </c>
    </row>
    <row r="1534" spans="1:40" x14ac:dyDescent="0.25">
      <c r="A1534" t="str">
        <f>"20190305134931299"</f>
        <v>20190305134931299</v>
      </c>
      <c r="B1534" t="str">
        <f>"1551764971291909"</f>
        <v>1551764971291909</v>
      </c>
      <c r="C1534" t="s">
        <v>40</v>
      </c>
      <c r="D1534">
        <v>4.4091329999999997</v>
      </c>
      <c r="E1534">
        <v>0.66687189999999996</v>
      </c>
      <c r="F1534" t="s">
        <v>42</v>
      </c>
      <c r="G1534">
        <v>-179.95779999999999</v>
      </c>
      <c r="H1534">
        <v>1.13752E-2</v>
      </c>
      <c r="I1534">
        <v>346.25880000000001</v>
      </c>
      <c r="J1534">
        <v>-211.03739999999999</v>
      </c>
      <c r="K1534">
        <v>1.1070610000000001</v>
      </c>
      <c r="L1534">
        <v>367.7842</v>
      </c>
      <c r="M1534">
        <v>0.99675159999999996</v>
      </c>
      <c r="N1534">
        <v>-2.0213600000000002E-2</v>
      </c>
      <c r="O1534">
        <v>-7.7960680000000004E-2</v>
      </c>
      <c r="P1534">
        <v>0.97564910000000005</v>
      </c>
      <c r="Q1534">
        <v>-0.10969379999999999</v>
      </c>
      <c r="R1534">
        <v>-0.18993869999999999</v>
      </c>
      <c r="S1534">
        <v>2.707214</v>
      </c>
      <c r="T1534">
        <v>-9.5069169999999995E-2</v>
      </c>
      <c r="U1534">
        <v>-1.868622</v>
      </c>
      <c r="V1534">
        <v>0.1124513</v>
      </c>
      <c r="W1534">
        <v>-9.0750460000000005E-2</v>
      </c>
      <c r="X1534">
        <v>0.98950450000000001</v>
      </c>
      <c r="Y1534">
        <v>0.50178219999999996</v>
      </c>
      <c r="Z1534">
        <v>-1.249959E-2</v>
      </c>
      <c r="AA1534">
        <v>0.86490370000000005</v>
      </c>
      <c r="AB1534">
        <v>28</v>
      </c>
      <c r="AC1534">
        <v>31.079599999999999</v>
      </c>
      <c r="AD1534">
        <v>-1.0956858</v>
      </c>
      <c r="AE1534">
        <v>-21.525399999999902</v>
      </c>
      <c r="AF1534">
        <v>19.020401392394199</v>
      </c>
      <c r="AG1534">
        <v>-1.0956858</v>
      </c>
      <c r="AH1534">
        <v>32.636033447892203</v>
      </c>
      <c r="AI1534">
        <v>91.661468910116298</v>
      </c>
      <c r="AJ1534">
        <v>59.766208994799101</v>
      </c>
      <c r="AK1534">
        <v>37.790036725465797</v>
      </c>
      <c r="AL1534">
        <v>95.206781711795699</v>
      </c>
      <c r="AM1534">
        <v>83.516491461303104</v>
      </c>
      <c r="AN1534">
        <v>1.00000004819107</v>
      </c>
    </row>
    <row r="1535" spans="1:40" x14ac:dyDescent="0.25">
      <c r="A1535" t="str">
        <f>"20190305134931310"</f>
        <v>20190305134931310</v>
      </c>
      <c r="B1535" t="str">
        <f>"1551764971302644"</f>
        <v>1551764971302644</v>
      </c>
      <c r="C1535" t="s">
        <v>40</v>
      </c>
      <c r="D1535">
        <v>4.426882</v>
      </c>
      <c r="E1535">
        <v>0.66630819999999902</v>
      </c>
      <c r="F1535" t="s">
        <v>44</v>
      </c>
      <c r="G1535">
        <v>-186.8526</v>
      </c>
      <c r="H1535" s="1">
        <v>-1.292749E-6</v>
      </c>
      <c r="I1535">
        <v>350.95069999999998</v>
      </c>
      <c r="J1535">
        <v>-210.89869999999999</v>
      </c>
      <c r="K1535">
        <v>1.106992</v>
      </c>
      <c r="L1535">
        <v>367.77069999999998</v>
      </c>
      <c r="M1535">
        <v>0.99654319999999996</v>
      </c>
      <c r="N1535">
        <v>-2.0287429999999999E-2</v>
      </c>
      <c r="O1535">
        <v>-8.0561859999999999E-2</v>
      </c>
      <c r="P1535">
        <v>0.97462579999999999</v>
      </c>
      <c r="Q1535">
        <v>-0.10992</v>
      </c>
      <c r="R1535">
        <v>-0.19499349999999999</v>
      </c>
      <c r="S1535">
        <v>2.6957239999999998</v>
      </c>
      <c r="T1535">
        <v>-0.1233966</v>
      </c>
      <c r="U1535">
        <v>-1.876312</v>
      </c>
      <c r="V1535">
        <v>0.1149772</v>
      </c>
      <c r="W1535">
        <v>-9.0952959999999999E-2</v>
      </c>
      <c r="X1535">
        <v>0.98919550000000001</v>
      </c>
      <c r="Y1535">
        <v>0.50272819999999996</v>
      </c>
      <c r="Z1535">
        <v>-1.416069E-2</v>
      </c>
      <c r="AA1535">
        <v>0.8643286</v>
      </c>
      <c r="AB1535">
        <v>28</v>
      </c>
      <c r="AC1535">
        <v>24.046099999999999</v>
      </c>
      <c r="AD1535">
        <v>-1.106993292749</v>
      </c>
      <c r="AE1535">
        <v>-16.819999999999901</v>
      </c>
      <c r="AF1535">
        <v>14.8066380268458</v>
      </c>
      <c r="AG1535">
        <v>-1.106993292749</v>
      </c>
      <c r="AH1535">
        <v>25.2872526964561</v>
      </c>
      <c r="AI1535">
        <v>92.163440999414107</v>
      </c>
      <c r="AJ1535">
        <v>59.649421335000902</v>
      </c>
      <c r="AK1535">
        <v>29.324172839871501</v>
      </c>
      <c r="AL1535">
        <v>95.218432711461205</v>
      </c>
      <c r="AM1535">
        <v>83.370087533910507</v>
      </c>
      <c r="AN1535">
        <v>0.99999996733642504</v>
      </c>
    </row>
    <row r="1536" spans="1:40" x14ac:dyDescent="0.25">
      <c r="A1536" t="str">
        <f>"20190305134931321"</f>
        <v>20190305134931321</v>
      </c>
      <c r="B1536" t="str">
        <f>"1551764971312404"</f>
        <v>1551764971312404</v>
      </c>
      <c r="C1536" t="s">
        <v>40</v>
      </c>
      <c r="D1536">
        <v>4.4040520000000001</v>
      </c>
      <c r="E1536">
        <v>0.66622890000000001</v>
      </c>
      <c r="F1536" t="s">
        <v>44</v>
      </c>
      <c r="G1536">
        <v>-189.691</v>
      </c>
      <c r="H1536" s="1">
        <v>-1.9819859999999999E-6</v>
      </c>
      <c r="I1536">
        <v>352.8784</v>
      </c>
      <c r="J1536">
        <v>-210.76329999999999</v>
      </c>
      <c r="K1536">
        <v>1.1069230000000001</v>
      </c>
      <c r="L1536">
        <v>367.7568</v>
      </c>
      <c r="M1536">
        <v>0.99632449999999995</v>
      </c>
      <c r="N1536">
        <v>-2.035029E-2</v>
      </c>
      <c r="O1536">
        <v>-8.3206760000000005E-2</v>
      </c>
      <c r="P1536">
        <v>0.97353889999999998</v>
      </c>
      <c r="Q1536">
        <v>-0.1099285</v>
      </c>
      <c r="R1536">
        <v>-0.20034389999999999</v>
      </c>
      <c r="S1536">
        <v>2.6850429999999998</v>
      </c>
      <c r="T1536">
        <v>-0.14015329999999901</v>
      </c>
      <c r="U1536">
        <v>-1.8854679999999999</v>
      </c>
      <c r="V1536">
        <v>0.1177651</v>
      </c>
      <c r="W1536">
        <v>-9.095048E-2</v>
      </c>
      <c r="X1536">
        <v>0.98886779999999996</v>
      </c>
      <c r="Y1536">
        <v>0.50389659999999903</v>
      </c>
      <c r="Z1536">
        <v>-1.513422E-2</v>
      </c>
      <c r="AA1536">
        <v>0.86363140000000005</v>
      </c>
      <c r="AB1536">
        <v>27</v>
      </c>
      <c r="AC1536">
        <v>21.072299999999998</v>
      </c>
      <c r="AD1536">
        <v>-1.1069249819860001</v>
      </c>
      <c r="AE1536">
        <v>-14.878399999999999</v>
      </c>
      <c r="AF1536">
        <v>13.049035374993</v>
      </c>
      <c r="AG1536">
        <v>-1.1069249819860001</v>
      </c>
      <c r="AH1536">
        <v>22.196564507270601</v>
      </c>
      <c r="AI1536">
        <v>92.4616610152232</v>
      </c>
      <c r="AJ1536">
        <v>59.5493528167313</v>
      </c>
      <c r="AK1536">
        <v>25.771885516178099</v>
      </c>
      <c r="AL1536">
        <v>95.218289503799397</v>
      </c>
      <c r="AM1536">
        <v>83.208583491219002</v>
      </c>
      <c r="AN1536">
        <v>1.0000000672335301</v>
      </c>
    </row>
    <row r="1537" spans="1:40" x14ac:dyDescent="0.25">
      <c r="A1537" t="str">
        <f>"20190305134931331"</f>
        <v>20190305134931331</v>
      </c>
      <c r="B1537" t="str">
        <f>"1551764971322165"</f>
        <v>1551764971322165</v>
      </c>
      <c r="C1537" t="s">
        <v>40</v>
      </c>
      <c r="D1537">
        <v>4.1668940000000001</v>
      </c>
      <c r="E1537">
        <v>0.66622890000000001</v>
      </c>
      <c r="F1537" t="s">
        <v>44</v>
      </c>
      <c r="G1537">
        <v>-190.298</v>
      </c>
      <c r="H1537" s="1">
        <v>-2.2197900000000001E-6</v>
      </c>
      <c r="I1537">
        <v>353.21890000000002</v>
      </c>
      <c r="J1537">
        <v>-210.6429</v>
      </c>
      <c r="K1537">
        <v>1.1068629999999999</v>
      </c>
      <c r="L1537">
        <v>367.74430000000001</v>
      </c>
      <c r="M1537">
        <v>0.99612319999999999</v>
      </c>
      <c r="N1537">
        <v>-2.0404660000000002E-2</v>
      </c>
      <c r="O1537">
        <v>-8.5572120000000002E-2</v>
      </c>
      <c r="P1537">
        <v>0.97237580000000001</v>
      </c>
      <c r="Q1537">
        <v>-0.1098263</v>
      </c>
      <c r="R1537">
        <v>-0.2059716</v>
      </c>
      <c r="S1537">
        <v>2.6742710000000001</v>
      </c>
      <c r="T1537">
        <v>-0.14464589999999999</v>
      </c>
      <c r="U1537">
        <v>-1.8997189999999999</v>
      </c>
      <c r="V1537">
        <v>0.12111710000000001</v>
      </c>
      <c r="W1537">
        <v>-9.0851020000000005E-2</v>
      </c>
      <c r="X1537">
        <v>0.98847189999999996</v>
      </c>
      <c r="Y1537">
        <v>0.50650490000000004</v>
      </c>
      <c r="Z1537">
        <v>-1.545464E-2</v>
      </c>
      <c r="AA1537">
        <v>0.86209859999999905</v>
      </c>
      <c r="AB1537">
        <v>27</v>
      </c>
      <c r="AC1537">
        <v>20.344899999999999</v>
      </c>
      <c r="AD1537">
        <v>-1.10686521979</v>
      </c>
      <c r="AE1537">
        <v>-14.5253999999999</v>
      </c>
      <c r="AF1537">
        <v>12.705869408723199</v>
      </c>
      <c r="AG1537">
        <v>-1.10686521979</v>
      </c>
      <c r="AH1537">
        <v>21.471375587446399</v>
      </c>
      <c r="AI1537">
        <v>92.540254785795099</v>
      </c>
      <c r="AJ1537">
        <v>59.384713635829399</v>
      </c>
      <c r="AK1537">
        <v>24.973670888828</v>
      </c>
      <c r="AL1537">
        <v>95.212567639501501</v>
      </c>
      <c r="AM1537">
        <v>83.014389752444501</v>
      </c>
      <c r="AN1537">
        <v>0.99999997841852994</v>
      </c>
    </row>
    <row r="1538" spans="1:40" x14ac:dyDescent="0.25">
      <c r="A1538" t="str">
        <f>"20190305134931342"</f>
        <v>20190305134931342</v>
      </c>
      <c r="B1538" t="str">
        <f>"1551764971331925"</f>
        <v>1551764971331925</v>
      </c>
      <c r="C1538" t="s">
        <v>40</v>
      </c>
      <c r="D1538">
        <v>4.4255979999999999</v>
      </c>
      <c r="E1538">
        <v>0.66601109999999997</v>
      </c>
      <c r="F1538" t="s">
        <v>44</v>
      </c>
      <c r="G1538">
        <v>-190.32329999999999</v>
      </c>
      <c r="H1538" s="1">
        <v>-2.1743239999999999E-6</v>
      </c>
      <c r="I1538">
        <v>353.13069999999999</v>
      </c>
      <c r="J1538">
        <v>-210.50710000000001</v>
      </c>
      <c r="K1538">
        <v>1.106795</v>
      </c>
      <c r="L1538">
        <v>367.7296</v>
      </c>
      <c r="M1538">
        <v>0.99588180000000004</v>
      </c>
      <c r="N1538">
        <v>-2.0459640000000001E-2</v>
      </c>
      <c r="O1538">
        <v>-8.8323579999999999E-2</v>
      </c>
      <c r="P1538">
        <v>0.97111579999999997</v>
      </c>
      <c r="Q1538">
        <v>-0.1100271</v>
      </c>
      <c r="R1538">
        <v>-0.21172759999999999</v>
      </c>
      <c r="S1538">
        <v>2.6631320000000001</v>
      </c>
      <c r="T1538">
        <v>-0.1450678</v>
      </c>
      <c r="U1538">
        <v>-1.9152830000000001</v>
      </c>
      <c r="V1538">
        <v>0.124222</v>
      </c>
      <c r="W1538">
        <v>-9.1053750000000003E-2</v>
      </c>
      <c r="X1538">
        <v>0.9880679</v>
      </c>
      <c r="Y1538">
        <v>0.50914280000000001</v>
      </c>
      <c r="Z1538">
        <v>-1.5534600000000001E-2</v>
      </c>
      <c r="AA1538">
        <v>0.86054189999999997</v>
      </c>
      <c r="AB1538">
        <v>27</v>
      </c>
      <c r="AC1538">
        <v>20.183800000000002</v>
      </c>
      <c r="AD1538">
        <v>-1.1067971743239999</v>
      </c>
      <c r="AE1538">
        <v>-14.5989</v>
      </c>
      <c r="AF1538">
        <v>12.733604342159</v>
      </c>
      <c r="AG1538">
        <v>-1.1067971743239999</v>
      </c>
      <c r="AH1538">
        <v>21.3524289055118</v>
      </c>
      <c r="AI1538">
        <v>92.549088137970301</v>
      </c>
      <c r="AJ1538">
        <v>59.190097864321203</v>
      </c>
      <c r="AK1538">
        <v>24.8856565051573</v>
      </c>
      <c r="AL1538">
        <v>95.224231272158306</v>
      </c>
      <c r="AM1538">
        <v>82.834248871117893</v>
      </c>
      <c r="AN1538">
        <v>1.00000003284173</v>
      </c>
    </row>
    <row r="1539" spans="1:40" x14ac:dyDescent="0.25">
      <c r="A1539" t="str">
        <f>"20190305134931354"</f>
        <v>20190305134931354</v>
      </c>
      <c r="B1539" t="str">
        <f>"1551764971342661"</f>
        <v>1551764971342661</v>
      </c>
      <c r="C1539" t="s">
        <v>40</v>
      </c>
      <c r="D1539">
        <v>4.4286649999999996</v>
      </c>
      <c r="E1539">
        <v>0.66567219999999905</v>
      </c>
      <c r="F1539" t="s">
        <v>44</v>
      </c>
      <c r="G1539">
        <v>-191.80510000000001</v>
      </c>
      <c r="H1539" s="1">
        <v>-3.1156939999999999E-6</v>
      </c>
      <c r="I1539">
        <v>354.11799999999999</v>
      </c>
      <c r="J1539">
        <v>-210.375</v>
      </c>
      <c r="K1539">
        <v>1.1067340000000001</v>
      </c>
      <c r="L1539">
        <v>367.71499999999997</v>
      </c>
      <c r="M1539">
        <v>0.99563639999999998</v>
      </c>
      <c r="N1539">
        <v>-2.05106E-2</v>
      </c>
      <c r="O1539">
        <v>-9.1035400000000002E-2</v>
      </c>
      <c r="P1539">
        <v>0.96973259999999994</v>
      </c>
      <c r="Q1539">
        <v>-0.1099884</v>
      </c>
      <c r="R1539">
        <v>-0.21799399999999999</v>
      </c>
      <c r="S1539">
        <v>2.6508180000000001</v>
      </c>
      <c r="T1539">
        <v>-0.15687679999999901</v>
      </c>
      <c r="U1539">
        <v>-1.9292910000000001</v>
      </c>
      <c r="V1539">
        <v>0.12789010000000001</v>
      </c>
      <c r="W1539">
        <v>-9.1028410000000004E-2</v>
      </c>
      <c r="X1539">
        <v>0.98760210000000004</v>
      </c>
      <c r="Y1539">
        <v>0.51156899999999905</v>
      </c>
      <c r="Z1539">
        <v>-1.6245559999999999E-2</v>
      </c>
      <c r="AA1539">
        <v>0.85908859999999998</v>
      </c>
      <c r="AB1539">
        <v>27</v>
      </c>
      <c r="AC1539">
        <v>18.569899999999901</v>
      </c>
      <c r="AD1539">
        <v>-1.106737115694</v>
      </c>
      <c r="AE1539">
        <v>-13.5969999999999</v>
      </c>
      <c r="AF1539">
        <v>11.822306140783001</v>
      </c>
      <c r="AG1539">
        <v>-1.106737115694</v>
      </c>
      <c r="AH1539">
        <v>19.6853094736149</v>
      </c>
      <c r="AI1539">
        <v>92.759377981044906</v>
      </c>
      <c r="AJ1539">
        <v>59.012450103931499</v>
      </c>
      <c r="AK1539">
        <v>22.9891974327432</v>
      </c>
      <c r="AL1539">
        <v>95.222773627098604</v>
      </c>
      <c r="AM1539">
        <v>82.621510912229596</v>
      </c>
      <c r="AN1539">
        <v>0.99999997851477296</v>
      </c>
    </row>
    <row r="1540" spans="1:40" x14ac:dyDescent="0.25">
      <c r="A1540" t="str">
        <f>"20190305134931365"</f>
        <v>20190305134931365</v>
      </c>
      <c r="B1540" t="str">
        <f>"1551764971362180"</f>
        <v>1551764971362180</v>
      </c>
      <c r="C1540" t="s">
        <v>40</v>
      </c>
      <c r="D1540">
        <v>4.4410360000000004</v>
      </c>
      <c r="E1540">
        <v>0.66531719999999905</v>
      </c>
      <c r="F1540" t="s">
        <v>44</v>
      </c>
      <c r="G1540">
        <v>-193.22389999999999</v>
      </c>
      <c r="H1540" s="1">
        <v>-3.8938610000000001E-6</v>
      </c>
      <c r="I1540">
        <v>355.0745</v>
      </c>
      <c r="J1540">
        <v>-210.23140000000001</v>
      </c>
      <c r="K1540">
        <v>1.10667</v>
      </c>
      <c r="L1540">
        <v>367.6986</v>
      </c>
      <c r="M1540">
        <v>0.99535499999999999</v>
      </c>
      <c r="N1540">
        <v>-2.0561220000000002E-2</v>
      </c>
      <c r="O1540">
        <v>-9.4052520000000001E-2</v>
      </c>
      <c r="P1540">
        <v>0.96825930000000004</v>
      </c>
      <c r="Q1540">
        <v>-0.1096805</v>
      </c>
      <c r="R1540">
        <v>-0.2245983</v>
      </c>
      <c r="S1540">
        <v>2.6374050000000002</v>
      </c>
      <c r="T1540">
        <v>-0.17018839999999999</v>
      </c>
      <c r="U1540">
        <v>-1.9437869999999999</v>
      </c>
      <c r="V1540">
        <v>0.1316051</v>
      </c>
      <c r="W1540">
        <v>-9.0737639999999994E-2</v>
      </c>
      <c r="X1540">
        <v>0.98714069999999998</v>
      </c>
      <c r="Y1540">
        <v>0.51398650000000001</v>
      </c>
      <c r="Z1540">
        <v>-1.702248E-2</v>
      </c>
      <c r="AA1540">
        <v>0.85762939999999999</v>
      </c>
      <c r="AB1540">
        <v>27</v>
      </c>
      <c r="AC1540">
        <v>17.0075</v>
      </c>
      <c r="AD1540">
        <v>-1.1066738938609999</v>
      </c>
      <c r="AE1540">
        <v>-12.6241</v>
      </c>
      <c r="AF1540">
        <v>10.9383190744778</v>
      </c>
      <c r="AG1540">
        <v>-1.1066738938609999</v>
      </c>
      <c r="AH1540">
        <v>18.070325749361398</v>
      </c>
      <c r="AI1540">
        <v>92.999084164290196</v>
      </c>
      <c r="AJ1540">
        <v>58.812666187661002</v>
      </c>
      <c r="AK1540">
        <v>21.1520264743233</v>
      </c>
      <c r="AL1540">
        <v>95.206044432171495</v>
      </c>
      <c r="AM1540">
        <v>82.4061356397292</v>
      </c>
      <c r="AN1540">
        <v>0.99999999162763398</v>
      </c>
    </row>
    <row r="1541" spans="1:40" x14ac:dyDescent="0.25">
      <c r="A1541" t="str">
        <f>"20190305134931376"</f>
        <v>20190305134931376</v>
      </c>
      <c r="B1541" t="str">
        <f>"1551764971371940"</f>
        <v>1551764971371940</v>
      </c>
      <c r="C1541" t="s">
        <v>40</v>
      </c>
      <c r="D1541">
        <v>4.4237209999999996</v>
      </c>
      <c r="E1541">
        <v>0.66500509999999902</v>
      </c>
      <c r="F1541" t="s">
        <v>44</v>
      </c>
      <c r="G1541">
        <v>-193.44</v>
      </c>
      <c r="H1541" s="1">
        <v>-3.9837139999999996E-6</v>
      </c>
      <c r="I1541">
        <v>355.16449999999998</v>
      </c>
      <c r="J1541">
        <v>-210.10220000000001</v>
      </c>
      <c r="K1541">
        <v>1.1066069999999999</v>
      </c>
      <c r="L1541">
        <v>367.68329999999997</v>
      </c>
      <c r="M1541">
        <v>0.99508739999999996</v>
      </c>
      <c r="N1541">
        <v>-2.0598499999999999E-2</v>
      </c>
      <c r="O1541">
        <v>-9.6834370000000003E-2</v>
      </c>
      <c r="P1541">
        <v>0.96674320000000002</v>
      </c>
      <c r="Q1541">
        <v>-0.10982</v>
      </c>
      <c r="R1541">
        <v>-0.2309707</v>
      </c>
      <c r="S1541">
        <v>2.6243289999999999</v>
      </c>
      <c r="T1541">
        <v>-0.17296249999999999</v>
      </c>
      <c r="U1541">
        <v>-1.9589540000000001</v>
      </c>
      <c r="V1541">
        <v>0.135325</v>
      </c>
      <c r="W1541">
        <v>-9.0909829999999997E-2</v>
      </c>
      <c r="X1541">
        <v>0.98662179999999999</v>
      </c>
      <c r="Y1541">
        <v>0.51678449999999998</v>
      </c>
      <c r="Z1541">
        <v>-1.7227639999999999E-2</v>
      </c>
      <c r="AA1541">
        <v>0.85594219999999899</v>
      </c>
      <c r="AB1541">
        <v>27</v>
      </c>
      <c r="AC1541">
        <v>16.662199999999999</v>
      </c>
      <c r="AD1541">
        <v>-1.1066109837139999</v>
      </c>
      <c r="AE1541">
        <v>-12.518800000000001</v>
      </c>
      <c r="AF1541">
        <v>10.815633865638199</v>
      </c>
      <c r="AG1541">
        <v>-1.1066109837139999</v>
      </c>
      <c r="AH1541">
        <v>17.746336790918001</v>
      </c>
      <c r="AI1541">
        <v>93.047970993713705</v>
      </c>
      <c r="AJ1541">
        <v>58.639477837081699</v>
      </c>
      <c r="AK1541">
        <v>20.811895475460801</v>
      </c>
      <c r="AL1541">
        <v>95.215951017350207</v>
      </c>
      <c r="AM1541">
        <v>82.190046088186605</v>
      </c>
      <c r="AN1541">
        <v>1.00000001452543</v>
      </c>
    </row>
    <row r="1542" spans="1:40" x14ac:dyDescent="0.25">
      <c r="A1542" t="str">
        <f>"20190305134931387"</f>
        <v>20190305134931387</v>
      </c>
      <c r="B1542" t="str">
        <f>"1551764971382677"</f>
        <v>1551764971382677</v>
      </c>
      <c r="C1542" t="s">
        <v>40</v>
      </c>
      <c r="D1542">
        <v>4.4821710000000001</v>
      </c>
      <c r="E1542">
        <v>0.66472410000000004</v>
      </c>
      <c r="F1542" t="s">
        <v>44</v>
      </c>
      <c r="G1542">
        <v>-193.58760000000001</v>
      </c>
      <c r="H1542" s="1">
        <v>-4.0350679999999997E-6</v>
      </c>
      <c r="I1542">
        <v>355.2045</v>
      </c>
      <c r="J1542">
        <v>-209.9665</v>
      </c>
      <c r="K1542">
        <v>1.106536</v>
      </c>
      <c r="L1542">
        <v>367.66699999999997</v>
      </c>
      <c r="M1542">
        <v>0.99479329999999999</v>
      </c>
      <c r="N1542">
        <v>-2.0631739999999999E-2</v>
      </c>
      <c r="O1542">
        <v>-9.9803009999999998E-2</v>
      </c>
      <c r="P1542">
        <v>0.96520669999999997</v>
      </c>
      <c r="Q1542">
        <v>-0.1092574</v>
      </c>
      <c r="R1542">
        <v>-0.23756859999999999</v>
      </c>
      <c r="S1542">
        <v>2.6117859999999999</v>
      </c>
      <c r="T1542">
        <v>-0.17501129999999901</v>
      </c>
      <c r="U1542">
        <v>-1.973541</v>
      </c>
      <c r="V1542">
        <v>0.13909530000000001</v>
      </c>
      <c r="W1542">
        <v>-9.0386809999999998E-2</v>
      </c>
      <c r="X1542">
        <v>0.98614539999999995</v>
      </c>
      <c r="Y1542">
        <v>0.51922270000000004</v>
      </c>
      <c r="Z1542">
        <v>-1.7366429999999999E-2</v>
      </c>
      <c r="AA1542">
        <v>0.85446250000000001</v>
      </c>
      <c r="AB1542">
        <v>27</v>
      </c>
      <c r="AC1542">
        <v>16.378899999999899</v>
      </c>
      <c r="AD1542">
        <v>-1.1065400350679999</v>
      </c>
      <c r="AE1542">
        <v>-12.462499999999901</v>
      </c>
      <c r="AF1542">
        <v>10.734210418630701</v>
      </c>
      <c r="AG1542">
        <v>-1.1065400350679999</v>
      </c>
      <c r="AH1542">
        <v>17.4905892953795</v>
      </c>
      <c r="AI1542">
        <v>93.086413449443299</v>
      </c>
      <c r="AJ1542">
        <v>58.461998422123798</v>
      </c>
      <c r="AK1542">
        <v>20.551603783167199</v>
      </c>
      <c r="AL1542">
        <v>95.185860297441806</v>
      </c>
      <c r="AM1542">
        <v>81.9714230214054</v>
      </c>
      <c r="AN1542">
        <v>1.00000001392261</v>
      </c>
    </row>
    <row r="1543" spans="1:40" x14ac:dyDescent="0.25">
      <c r="A1543" t="str">
        <f>"20190305134931400"</f>
        <v>20190305134931400</v>
      </c>
      <c r="B1543" t="str">
        <f>"1551764971392436"</f>
        <v>1551764971392436</v>
      </c>
      <c r="C1543" t="s">
        <v>40</v>
      </c>
      <c r="D1543">
        <v>4.4325419999999998</v>
      </c>
      <c r="E1543">
        <v>0.66432919999999995</v>
      </c>
      <c r="F1543" t="s">
        <v>44</v>
      </c>
      <c r="G1543">
        <v>-193.82669999999999</v>
      </c>
      <c r="H1543" s="1">
        <v>-4.1374109999999996E-6</v>
      </c>
      <c r="I1543">
        <v>355.31040000000002</v>
      </c>
      <c r="J1543">
        <v>-209.82329999999999</v>
      </c>
      <c r="K1543">
        <v>1.10643799999999</v>
      </c>
      <c r="L1543">
        <v>367.649</v>
      </c>
      <c r="M1543">
        <v>0.99446060000000003</v>
      </c>
      <c r="N1543">
        <v>-2.064189E-2</v>
      </c>
      <c r="O1543">
        <v>-0.103063</v>
      </c>
      <c r="P1543">
        <v>0.96345409999999998</v>
      </c>
      <c r="Q1543">
        <v>-0.1087779</v>
      </c>
      <c r="R1543">
        <v>-0.24479290000000001</v>
      </c>
      <c r="S1543">
        <v>2.5983429999999998</v>
      </c>
      <c r="T1543">
        <v>-0.1781422</v>
      </c>
      <c r="U1543">
        <v>-1.9892879999999999</v>
      </c>
      <c r="V1543">
        <v>0.14322029999999999</v>
      </c>
      <c r="W1543">
        <v>-8.9983779999999999E-2</v>
      </c>
      <c r="X1543">
        <v>0.98559169999999996</v>
      </c>
      <c r="Y1543">
        <v>0.52178270000000004</v>
      </c>
      <c r="Z1543">
        <v>-1.7548379999999999E-2</v>
      </c>
      <c r="AA1543">
        <v>0.85289789999999999</v>
      </c>
      <c r="AB1543">
        <v>27</v>
      </c>
      <c r="AC1543">
        <v>15.996600000000001</v>
      </c>
      <c r="AD1543">
        <v>-1.1064421374109901</v>
      </c>
      <c r="AE1543">
        <v>-12.3385999999999</v>
      </c>
      <c r="AF1543">
        <v>10.592086282778499</v>
      </c>
      <c r="AG1543">
        <v>-1.1064421374109901</v>
      </c>
      <c r="AH1543">
        <v>17.1319150617255</v>
      </c>
      <c r="AI1543">
        <v>93.144237531433006</v>
      </c>
      <c r="AJ1543">
        <v>58.2728937338441</v>
      </c>
      <c r="AK1543">
        <v>20.172233879950898</v>
      </c>
      <c r="AL1543">
        <v>95.162673620043904</v>
      </c>
      <c r="AM1543">
        <v>81.731991574267695</v>
      </c>
      <c r="AN1543">
        <v>1.0000000670520299</v>
      </c>
    </row>
    <row r="1544" spans="1:40" x14ac:dyDescent="0.25">
      <c r="A1544" t="str">
        <f>"20190305134931414"</f>
        <v>20190305134931414</v>
      </c>
      <c r="B1544" t="str">
        <f>"1551764971402196"</f>
        <v>1551764971402196</v>
      </c>
      <c r="C1544" t="s">
        <v>40</v>
      </c>
      <c r="D1544">
        <v>4.1754699999999998</v>
      </c>
      <c r="E1544">
        <v>0.66432919999999995</v>
      </c>
      <c r="F1544" t="s">
        <v>44</v>
      </c>
      <c r="G1544">
        <v>-193.8364</v>
      </c>
      <c r="H1544" s="1">
        <v>-4.1084109999999996E-6</v>
      </c>
      <c r="I1544">
        <v>355.24349999999998</v>
      </c>
      <c r="J1544">
        <v>-209.6506</v>
      </c>
      <c r="K1544">
        <v>1.106306</v>
      </c>
      <c r="L1544">
        <v>367.62670000000003</v>
      </c>
      <c r="M1544">
        <v>0.994035</v>
      </c>
      <c r="N1544">
        <v>-2.0634400000000001E-2</v>
      </c>
      <c r="O1544">
        <v>-0.10709150000000001</v>
      </c>
      <c r="P1544">
        <v>0.96136860000000002</v>
      </c>
      <c r="Q1544">
        <v>-0.10871210000000001</v>
      </c>
      <c r="R1544">
        <v>-0.2528878</v>
      </c>
      <c r="S1544">
        <v>2.5841219999999998</v>
      </c>
      <c r="T1544">
        <v>-0.17884549999999999</v>
      </c>
      <c r="U1544">
        <v>-2.0052189999999999</v>
      </c>
      <c r="V1544">
        <v>0.14747869999999999</v>
      </c>
      <c r="W1544">
        <v>-9.0028289999999997E-2</v>
      </c>
      <c r="X1544">
        <v>0.98495940000000004</v>
      </c>
      <c r="Y1544">
        <v>0.52386809999999995</v>
      </c>
      <c r="Z1544">
        <v>-1.754091E-2</v>
      </c>
      <c r="AA1544">
        <v>0.85161880000000001</v>
      </c>
      <c r="AB1544">
        <v>27</v>
      </c>
      <c r="AC1544">
        <v>15.8142</v>
      </c>
      <c r="AD1544">
        <v>-1.1063101084110001</v>
      </c>
      <c r="AE1544">
        <v>-12.3832</v>
      </c>
      <c r="AF1544">
        <v>10.5859135491836</v>
      </c>
      <c r="AG1544">
        <v>-1.1063101084110001</v>
      </c>
      <c r="AH1544">
        <v>16.998066022546698</v>
      </c>
      <c r="AI1544">
        <v>93.162192647390398</v>
      </c>
      <c r="AJ1544">
        <v>58.086520207802799</v>
      </c>
      <c r="AK1544">
        <v>20.055416630766299</v>
      </c>
      <c r="AL1544">
        <v>95.165234389183198</v>
      </c>
      <c r="AM1544">
        <v>81.484322958141405</v>
      </c>
      <c r="AN1544">
        <v>1.0000000398011799</v>
      </c>
    </row>
    <row r="1545" spans="1:40" x14ac:dyDescent="0.25">
      <c r="A1545" t="str">
        <f>"20190305134931428"</f>
        <v>20190305134931428</v>
      </c>
      <c r="B1545" t="str">
        <f>"1551764971421716"</f>
        <v>1551764971421716</v>
      </c>
      <c r="C1545" t="s">
        <v>40</v>
      </c>
      <c r="D1545">
        <v>4.4453579999999997</v>
      </c>
      <c r="E1545">
        <v>0.66327329999999995</v>
      </c>
      <c r="F1545" t="s">
        <v>44</v>
      </c>
      <c r="G1545">
        <v>-193.50040000000001</v>
      </c>
      <c r="H1545" s="1">
        <v>-3.86433E-6</v>
      </c>
      <c r="I1545">
        <v>354.87950000000001</v>
      </c>
      <c r="J1545">
        <v>-209.4787</v>
      </c>
      <c r="K1545">
        <v>1.106142</v>
      </c>
      <c r="L1545">
        <v>367.6037</v>
      </c>
      <c r="M1545">
        <v>0.99357859999999998</v>
      </c>
      <c r="N1545">
        <v>-2.0596670000000001E-2</v>
      </c>
      <c r="O1545">
        <v>-0.1112537</v>
      </c>
      <c r="P1545">
        <v>0.95928840000000004</v>
      </c>
      <c r="Q1545">
        <v>-0.10821550000000001</v>
      </c>
      <c r="R1545">
        <v>-0.26087399999999999</v>
      </c>
      <c r="S1545">
        <v>2.5675810000000001</v>
      </c>
      <c r="T1545">
        <v>-0.1758834</v>
      </c>
      <c r="U1545">
        <v>-2.0265810000000002</v>
      </c>
      <c r="V1545">
        <v>0.15150269999999999</v>
      </c>
      <c r="W1545">
        <v>-8.9677389999999996E-2</v>
      </c>
      <c r="X1545">
        <v>0.98438049999999999</v>
      </c>
      <c r="Y1545">
        <v>0.52735290000000001</v>
      </c>
      <c r="Z1545">
        <v>-1.7384190000000001E-2</v>
      </c>
      <c r="AA1545">
        <v>0.84946849999999996</v>
      </c>
      <c r="AB1545">
        <v>27</v>
      </c>
      <c r="AC1545">
        <v>15.9782999999999</v>
      </c>
      <c r="AD1545">
        <v>-1.10614586433</v>
      </c>
      <c r="AE1545">
        <v>-12.7241999999999</v>
      </c>
      <c r="AF1545">
        <v>10.8353759010933</v>
      </c>
      <c r="AG1545">
        <v>-1.10614586433</v>
      </c>
      <c r="AH1545">
        <v>17.2444069582886</v>
      </c>
      <c r="AI1545">
        <v>93.108867943887205</v>
      </c>
      <c r="AJ1545">
        <v>57.857150338003301</v>
      </c>
      <c r="AK1545">
        <v>20.396041305465101</v>
      </c>
      <c r="AL1545">
        <v>95.145047668308095</v>
      </c>
      <c r="AM1545">
        <v>81.250452025557607</v>
      </c>
      <c r="AN1545">
        <v>1.0000000355823699</v>
      </c>
    </row>
    <row r="1546" spans="1:40" x14ac:dyDescent="0.25">
      <c r="A1546" t="str">
        <f>"20190305134931441"</f>
        <v>20190305134931441</v>
      </c>
      <c r="B1546" t="str">
        <f>"1551764971432452"</f>
        <v>1551764971432452</v>
      </c>
      <c r="C1546" t="s">
        <v>40</v>
      </c>
      <c r="D1546">
        <v>4.4790519999999896</v>
      </c>
      <c r="E1546">
        <v>0.66277710000000001</v>
      </c>
      <c r="F1546" t="s">
        <v>44</v>
      </c>
      <c r="G1546">
        <v>-193.70349999999999</v>
      </c>
      <c r="H1546" s="1">
        <v>-3.9647149999999997E-6</v>
      </c>
      <c r="I1546">
        <v>354.99829999999997</v>
      </c>
      <c r="J1546">
        <v>-209.33359999999999</v>
      </c>
      <c r="K1546">
        <v>1.1059810000000001</v>
      </c>
      <c r="L1546">
        <v>367.58330000000001</v>
      </c>
      <c r="M1546">
        <v>0.99316079999999995</v>
      </c>
      <c r="N1546">
        <v>-2.051909E-2</v>
      </c>
      <c r="O1546">
        <v>-0.114938899999999</v>
      </c>
      <c r="P1546">
        <v>0.95582599999999995</v>
      </c>
      <c r="Q1546">
        <v>-0.1087306</v>
      </c>
      <c r="R1546">
        <v>-0.27308369999999998</v>
      </c>
      <c r="S1546">
        <v>2.55246</v>
      </c>
      <c r="T1546">
        <v>-0.17897689999999999</v>
      </c>
      <c r="U1546">
        <v>-2.0395810000000001</v>
      </c>
      <c r="V1546">
        <v>0.16034760000000001</v>
      </c>
      <c r="W1546">
        <v>-9.0451190000000001E-2</v>
      </c>
      <c r="X1546">
        <v>0.98290750000000005</v>
      </c>
      <c r="Y1546">
        <v>0.52925840000000002</v>
      </c>
      <c r="Z1546">
        <v>-1.7482669999999999E-2</v>
      </c>
      <c r="AA1546">
        <v>0.84828049999999999</v>
      </c>
      <c r="AB1546">
        <v>27</v>
      </c>
      <c r="AC1546">
        <v>15.630100000000001</v>
      </c>
      <c r="AD1546">
        <v>-1.105984964715</v>
      </c>
      <c r="AE1546">
        <v>-12.585000000000001</v>
      </c>
      <c r="AF1546">
        <v>10.672255551611601</v>
      </c>
      <c r="AG1546">
        <v>-1.105984964715</v>
      </c>
      <c r="AH1546">
        <v>16.921876637367401</v>
      </c>
      <c r="AI1546">
        <v>93.164215162650606</v>
      </c>
      <c r="AJ1546">
        <v>57.761271098659797</v>
      </c>
      <c r="AK1546">
        <v>20.0367200467382</v>
      </c>
      <c r="AL1546">
        <v>95.189564441230004</v>
      </c>
      <c r="AM1546">
        <v>80.734614592559694</v>
      </c>
      <c r="AN1546">
        <v>0.99999996207721198</v>
      </c>
    </row>
    <row r="1547" spans="1:40" x14ac:dyDescent="0.25">
      <c r="A1547" t="str">
        <f>"20190305134931456"</f>
        <v>20190305134931456</v>
      </c>
      <c r="B1547" t="str">
        <f>"1551764971451972"</f>
        <v>1551764971451972</v>
      </c>
      <c r="C1547" t="s">
        <v>40</v>
      </c>
      <c r="D1547">
        <v>4.4614989999999999</v>
      </c>
      <c r="E1547">
        <v>0.66192569999999995</v>
      </c>
      <c r="F1547" t="s">
        <v>44</v>
      </c>
      <c r="G1547">
        <v>-194.09059999999999</v>
      </c>
      <c r="H1547" s="1">
        <v>-4.1014829999999998E-6</v>
      </c>
      <c r="I1547">
        <v>355.10759999999999</v>
      </c>
      <c r="J1547">
        <v>-209.17189999999999</v>
      </c>
      <c r="K1547">
        <v>1.1057870000000001</v>
      </c>
      <c r="L1547">
        <v>367.56</v>
      </c>
      <c r="M1547">
        <v>0.99266540000000003</v>
      </c>
      <c r="N1547">
        <v>-2.0388799999999999E-2</v>
      </c>
      <c r="O1547">
        <v>-0.1191627</v>
      </c>
      <c r="P1547">
        <v>0.95327439999999997</v>
      </c>
      <c r="Q1547">
        <v>-0.1090667</v>
      </c>
      <c r="R1547">
        <v>-0.28173150000000002</v>
      </c>
      <c r="S1547">
        <v>2.5269010000000001</v>
      </c>
      <c r="T1547">
        <v>-0.18334439999999999</v>
      </c>
      <c r="U1547">
        <v>-2.068146</v>
      </c>
      <c r="V1547">
        <v>0.16502349999999999</v>
      </c>
      <c r="W1547">
        <v>-9.1050010000000001E-2</v>
      </c>
      <c r="X1547">
        <v>0.98207800000000001</v>
      </c>
      <c r="Y1547">
        <v>0.53552449999999996</v>
      </c>
      <c r="Z1547">
        <v>-1.7805519999999998E-2</v>
      </c>
      <c r="AA1547">
        <v>0.84433199999999997</v>
      </c>
      <c r="AB1547">
        <v>27</v>
      </c>
      <c r="AC1547">
        <v>15.081300000000001</v>
      </c>
      <c r="AD1547">
        <v>-1.105791101483</v>
      </c>
      <c r="AE1547">
        <v>-12.452400000000001</v>
      </c>
      <c r="AF1547">
        <v>10.532464924243399</v>
      </c>
      <c r="AG1547">
        <v>-1.105791101483</v>
      </c>
      <c r="AH1547">
        <v>16.4055230637797</v>
      </c>
      <c r="AI1547">
        <v>93.246359043267901</v>
      </c>
      <c r="AJ1547">
        <v>57.299242472510997</v>
      </c>
      <c r="AK1547">
        <v>19.526822023482101</v>
      </c>
      <c r="AL1547">
        <v>95.224016112361596</v>
      </c>
      <c r="AM1547">
        <v>80.461412625547695</v>
      </c>
      <c r="AN1547">
        <v>1.0000000289786199</v>
      </c>
    </row>
    <row r="1548" spans="1:40" x14ac:dyDescent="0.25">
      <c r="A1548" t="str">
        <f>"20190305134931470"</f>
        <v>20190305134931470</v>
      </c>
      <c r="B1548" t="str">
        <f>"1551764971462708"</f>
        <v>1551764971462708</v>
      </c>
      <c r="C1548" t="s">
        <v>40</v>
      </c>
      <c r="D1548">
        <v>4.4435520000000004</v>
      </c>
      <c r="E1548">
        <v>0.66138149999999996</v>
      </c>
      <c r="F1548" t="s">
        <v>44</v>
      </c>
      <c r="G1548">
        <v>-194.8424</v>
      </c>
      <c r="H1548" s="1">
        <v>-4.5223860000000001E-6</v>
      </c>
      <c r="I1548">
        <v>355.65339999999998</v>
      </c>
      <c r="J1548">
        <v>-208.9854</v>
      </c>
      <c r="K1548">
        <v>1.105526</v>
      </c>
      <c r="L1548">
        <v>367.53219999999999</v>
      </c>
      <c r="M1548">
        <v>0.99204599999999998</v>
      </c>
      <c r="N1548">
        <v>-2.0152050000000001E-2</v>
      </c>
      <c r="O1548">
        <v>-0.1242534</v>
      </c>
      <c r="P1548">
        <v>0.95050690000000004</v>
      </c>
      <c r="Q1548">
        <v>-0.1086579</v>
      </c>
      <c r="R1548">
        <v>-0.29108529999999999</v>
      </c>
      <c r="S1548">
        <v>2.5088200000000001</v>
      </c>
      <c r="T1548">
        <v>-0.19360260000000001</v>
      </c>
      <c r="U1548">
        <v>-2.084625</v>
      </c>
      <c r="V1548">
        <v>0.16957700000000001</v>
      </c>
      <c r="W1548">
        <v>-9.1025780000000001E-2</v>
      </c>
      <c r="X1548">
        <v>0.98130419999999996</v>
      </c>
      <c r="Y1548">
        <v>0.53736169999999905</v>
      </c>
      <c r="Z1548">
        <v>-1.8129820000000001E-2</v>
      </c>
      <c r="AA1548">
        <v>0.84315699999999905</v>
      </c>
      <c r="AB1548">
        <v>26</v>
      </c>
      <c r="AC1548">
        <v>14.142999999999899</v>
      </c>
      <c r="AD1548">
        <v>-1.1055305223859999</v>
      </c>
      <c r="AE1548">
        <v>-11.8788</v>
      </c>
      <c r="AF1548">
        <v>9.9932317866646496</v>
      </c>
      <c r="AG1548">
        <v>-1.1055305223859999</v>
      </c>
      <c r="AH1548">
        <v>15.454265934633099</v>
      </c>
      <c r="AI1548">
        <v>93.437675126820494</v>
      </c>
      <c r="AJ1548">
        <v>57.1119750982296</v>
      </c>
      <c r="AK1548">
        <v>18.4369524286497</v>
      </c>
      <c r="AL1548">
        <v>95.222622239083407</v>
      </c>
      <c r="AM1548">
        <v>80.195672314548602</v>
      </c>
      <c r="AN1548">
        <v>0.99999999224562397</v>
      </c>
    </row>
    <row r="1549" spans="1:40" x14ac:dyDescent="0.25">
      <c r="A1549" t="str">
        <f>"20190305134931482"</f>
        <v>20190305134931482</v>
      </c>
      <c r="B1549" t="str">
        <f>"1551764971472468"</f>
        <v>1551764971472468</v>
      </c>
      <c r="C1549" t="s">
        <v>40</v>
      </c>
      <c r="D1549">
        <v>4.2096770000000001</v>
      </c>
      <c r="E1549">
        <v>0.66138149999999996</v>
      </c>
      <c r="F1549" t="s">
        <v>44</v>
      </c>
      <c r="G1549">
        <v>-194.89920000000001</v>
      </c>
      <c r="H1549" s="1">
        <v>-4.5201049999999996E-6</v>
      </c>
      <c r="I1549">
        <v>355.62139999999999</v>
      </c>
      <c r="J1549">
        <v>-208.84020000000001</v>
      </c>
      <c r="K1549">
        <v>1.105302</v>
      </c>
      <c r="L1549">
        <v>367.50940000000003</v>
      </c>
      <c r="M1549">
        <v>0.99151659999999997</v>
      </c>
      <c r="N1549">
        <v>-1.989846E-2</v>
      </c>
      <c r="O1549">
        <v>-0.1284476</v>
      </c>
      <c r="P1549">
        <v>0.94782440000000001</v>
      </c>
      <c r="Q1549">
        <v>-0.1085618</v>
      </c>
      <c r="R1549">
        <v>-0.29973880000000003</v>
      </c>
      <c r="S1549">
        <v>2.4892729999999998</v>
      </c>
      <c r="T1549">
        <v>-0.1953655</v>
      </c>
      <c r="U1549">
        <v>-2.1048279999999999</v>
      </c>
      <c r="V1549">
        <v>0.17432220000000001</v>
      </c>
      <c r="W1549">
        <v>-9.1324500000000003E-2</v>
      </c>
      <c r="X1549">
        <v>0.9804446</v>
      </c>
      <c r="Y1549">
        <v>0.54102189999999994</v>
      </c>
      <c r="Z1549">
        <v>-1.812658E-2</v>
      </c>
      <c r="AA1549">
        <v>0.84081309999999998</v>
      </c>
      <c r="AB1549">
        <v>26</v>
      </c>
      <c r="AC1549">
        <v>13.941000000000001</v>
      </c>
      <c r="AD1549">
        <v>-1.1053065201050001</v>
      </c>
      <c r="AE1549">
        <v>-11.888</v>
      </c>
      <c r="AF1549">
        <v>9.9621838133359706</v>
      </c>
      <c r="AG1549">
        <v>-1.1053065201050001</v>
      </c>
      <c r="AH1549">
        <v>15.297084313291499</v>
      </c>
      <c r="AI1549">
        <v>93.464918976825402</v>
      </c>
      <c r="AJ1549">
        <v>56.925924784875697</v>
      </c>
      <c r="AK1549">
        <v>18.288455301693102</v>
      </c>
      <c r="AL1549">
        <v>95.239809160363293</v>
      </c>
      <c r="AM1549">
        <v>79.918215929273003</v>
      </c>
      <c r="AN1549">
        <v>1.0000000036911201</v>
      </c>
    </row>
    <row r="1550" spans="1:40" x14ac:dyDescent="0.25">
      <c r="A1550" t="str">
        <f>"20190305134931496"</f>
        <v>20190305134931496</v>
      </c>
      <c r="B1550" t="str">
        <f>"1551764971491988"</f>
        <v>1551764971491988</v>
      </c>
      <c r="C1550" t="s">
        <v>40</v>
      </c>
      <c r="D1550">
        <v>4.4434579999999997</v>
      </c>
      <c r="E1550">
        <v>0.66136319999999904</v>
      </c>
      <c r="F1550" t="s">
        <v>44</v>
      </c>
      <c r="G1550">
        <v>-194.78790000000001</v>
      </c>
      <c r="H1550" s="1">
        <v>-4.3958289999999997E-6</v>
      </c>
      <c r="I1550">
        <v>355.4076</v>
      </c>
      <c r="J1550">
        <v>-208.6808</v>
      </c>
      <c r="K1550">
        <v>1.1050549999999999</v>
      </c>
      <c r="L1550">
        <v>367.48360000000002</v>
      </c>
      <c r="M1550">
        <v>0.99090069999999997</v>
      </c>
      <c r="N1550">
        <v>-1.961011E-2</v>
      </c>
      <c r="O1550">
        <v>-0.13316</v>
      </c>
      <c r="P1550">
        <v>0.94326299999999996</v>
      </c>
      <c r="Q1550">
        <v>-0.107666899999999</v>
      </c>
      <c r="R1550">
        <v>-0.31410700000000003</v>
      </c>
      <c r="S1550">
        <v>2.470154</v>
      </c>
      <c r="T1550">
        <v>-0.1942943</v>
      </c>
      <c r="U1550">
        <v>-2.1272890000000002</v>
      </c>
      <c r="V1550">
        <v>0.1844847</v>
      </c>
      <c r="W1550">
        <v>-9.0957960000000004E-2</v>
      </c>
      <c r="X1550">
        <v>0.97861739999999997</v>
      </c>
      <c r="Y1550">
        <v>0.54463909999999904</v>
      </c>
      <c r="Z1550">
        <v>-1.7932679999999999E-2</v>
      </c>
      <c r="AA1550">
        <v>0.83847870000000002</v>
      </c>
      <c r="AB1550">
        <v>26</v>
      </c>
      <c r="AC1550">
        <v>13.8928999999999</v>
      </c>
      <c r="AD1550">
        <v>-1.10505939582899</v>
      </c>
      <c r="AE1550">
        <v>-12.076000000000001</v>
      </c>
      <c r="AF1550">
        <v>10.0817485737835</v>
      </c>
      <c r="AG1550">
        <v>-1.10505939582899</v>
      </c>
      <c r="AH1550">
        <v>15.322258945970299</v>
      </c>
      <c r="AI1550">
        <v>93.447839423307798</v>
      </c>
      <c r="AJ1550">
        <v>56.655860759249897</v>
      </c>
      <c r="AK1550">
        <v>18.3748314218298</v>
      </c>
      <c r="AL1550">
        <v>95.218720288758902</v>
      </c>
      <c r="AM1550">
        <v>79.324138703191295</v>
      </c>
      <c r="AN1550">
        <v>0.99999998530210499</v>
      </c>
    </row>
    <row r="1551" spans="1:40" x14ac:dyDescent="0.25">
      <c r="A1551" t="str">
        <f>"20190305134931507"</f>
        <v>20190305134931507</v>
      </c>
      <c r="B1551" t="str">
        <f>"1551764971501750"</f>
        <v>1551764971501750</v>
      </c>
      <c r="C1551" t="s">
        <v>40</v>
      </c>
      <c r="D1551">
        <v>4.3737000000000004</v>
      </c>
      <c r="E1551">
        <v>0.66136319999999904</v>
      </c>
      <c r="F1551" t="s">
        <v>44</v>
      </c>
      <c r="G1551">
        <v>-194.36080000000001</v>
      </c>
      <c r="H1551" s="1">
        <v>-4.0042889999999998E-6</v>
      </c>
      <c r="I1551">
        <v>354.7704</v>
      </c>
      <c r="J1551">
        <v>-208.5384</v>
      </c>
      <c r="K1551">
        <v>1.1048420000000001</v>
      </c>
      <c r="L1551">
        <v>367.46</v>
      </c>
      <c r="M1551">
        <v>0.99031530000000001</v>
      </c>
      <c r="N1551">
        <v>-1.9342330000000001E-2</v>
      </c>
      <c r="O1551">
        <v>-0.13748389999999999</v>
      </c>
      <c r="P1551">
        <v>0.94014350000000002</v>
      </c>
      <c r="Q1551">
        <v>-0.1072105</v>
      </c>
      <c r="R1551">
        <v>-0.32347530000000002</v>
      </c>
      <c r="S1551">
        <v>2.4381560000000002</v>
      </c>
      <c r="T1551">
        <v>-0.1881496</v>
      </c>
      <c r="U1551">
        <v>-2.1645810000000001</v>
      </c>
      <c r="V1551">
        <v>0.1898967</v>
      </c>
      <c r="W1551">
        <v>-9.0926339999999994E-2</v>
      </c>
      <c r="X1551">
        <v>0.97758460000000003</v>
      </c>
      <c r="Y1551">
        <v>0.55362869999999997</v>
      </c>
      <c r="Z1551">
        <v>-1.7782840000000001E-2</v>
      </c>
      <c r="AA1551">
        <v>0.83257380000000003</v>
      </c>
      <c r="AB1551">
        <v>26</v>
      </c>
      <c r="AC1551">
        <v>14.177599999999901</v>
      </c>
      <c r="AD1551">
        <v>-1.104846004289</v>
      </c>
      <c r="AE1551">
        <v>-12.689599999999899</v>
      </c>
      <c r="AF1551">
        <v>10.5838119411987</v>
      </c>
      <c r="AG1551">
        <v>-1.104846004289</v>
      </c>
      <c r="AH1551">
        <v>15.734806566058699</v>
      </c>
      <c r="AI1551">
        <v>93.334441616060701</v>
      </c>
      <c r="AJ1551">
        <v>56.073766367223897</v>
      </c>
      <c r="AK1551">
        <v>18.995312515753401</v>
      </c>
      <c r="AL1551">
        <v>95.216900964677706</v>
      </c>
      <c r="AM1551">
        <v>79.007144162866894</v>
      </c>
      <c r="AN1551">
        <v>1.0000000030669201</v>
      </c>
    </row>
    <row r="1552" spans="1:40" x14ac:dyDescent="0.25">
      <c r="A1552" t="str">
        <f>"20190305134931519"</f>
        <v>20190305134931519</v>
      </c>
      <c r="B1552" t="str">
        <f>"1551764971512485"</f>
        <v>1551764971512485</v>
      </c>
      <c r="C1552" t="s">
        <v>40</v>
      </c>
      <c r="D1552">
        <v>4.655742</v>
      </c>
      <c r="E1552">
        <v>0.66136319999999904</v>
      </c>
      <c r="F1552" t="s">
        <v>44</v>
      </c>
      <c r="G1552">
        <v>-194.25790000000001</v>
      </c>
      <c r="H1552" s="1">
        <v>-3.8652200000000004E-6</v>
      </c>
      <c r="I1552">
        <v>354.52670000000001</v>
      </c>
      <c r="J1552">
        <v>-208.41220000000001</v>
      </c>
      <c r="K1552">
        <v>1.104665</v>
      </c>
      <c r="L1552">
        <v>367.43810000000002</v>
      </c>
      <c r="M1552">
        <v>0.98975489999999999</v>
      </c>
      <c r="N1552">
        <v>-1.9112779999999999E-2</v>
      </c>
      <c r="O1552">
        <v>-0.1414926</v>
      </c>
      <c r="P1552">
        <v>0.93683249999999996</v>
      </c>
      <c r="Q1552">
        <v>-0.1066947</v>
      </c>
      <c r="R1552">
        <v>-0.33310849999999997</v>
      </c>
      <c r="S1552">
        <v>2.4166409999999998</v>
      </c>
      <c r="T1552">
        <v>-0.18697</v>
      </c>
      <c r="U1552">
        <v>-2.18866</v>
      </c>
      <c r="V1552">
        <v>0.1959234</v>
      </c>
      <c r="W1552">
        <v>-9.0803969999999998E-2</v>
      </c>
      <c r="X1552">
        <v>0.976406</v>
      </c>
      <c r="Y1552">
        <v>0.55850049999999996</v>
      </c>
      <c r="Z1552">
        <v>-1.7699960000000001E-2</v>
      </c>
      <c r="AA1552">
        <v>0.82931529999999998</v>
      </c>
      <c r="AB1552">
        <v>26</v>
      </c>
      <c r="AC1552">
        <v>14.154299999999999</v>
      </c>
      <c r="AD1552">
        <v>-1.1046688652200001</v>
      </c>
      <c r="AE1552">
        <v>-12.9114</v>
      </c>
      <c r="AF1552">
        <v>10.7426452649275</v>
      </c>
      <c r="AG1552">
        <v>-1.1046688652200001</v>
      </c>
      <c r="AH1552">
        <v>15.786562698418001</v>
      </c>
      <c r="AI1552">
        <v>93.310935483444993</v>
      </c>
      <c r="AJ1552">
        <v>55.764987270648902</v>
      </c>
      <c r="AK1552">
        <v>19.126951728410301</v>
      </c>
      <c r="AL1552">
        <v>95.209860528425097</v>
      </c>
      <c r="AM1552">
        <v>78.653837039206294</v>
      </c>
      <c r="AN1552">
        <v>1.0000000082356599</v>
      </c>
    </row>
    <row r="1553" spans="1:40" x14ac:dyDescent="0.25">
      <c r="A1553" t="str">
        <f>"20190305134931530"</f>
        <v>20190305134931530</v>
      </c>
      <c r="B1553" t="str">
        <f>"1551764971522244"</f>
        <v>1551764971522244</v>
      </c>
      <c r="C1553" t="s">
        <v>40</v>
      </c>
      <c r="D1553">
        <v>4.6671690000000003</v>
      </c>
      <c r="E1553">
        <v>0.7192672</v>
      </c>
      <c r="F1553" t="s">
        <v>44</v>
      </c>
      <c r="G1553">
        <v>-194.2159</v>
      </c>
      <c r="H1553" s="1">
        <v>-3.7489639999999999E-6</v>
      </c>
      <c r="I1553">
        <v>354.31420000000003</v>
      </c>
      <c r="J1553">
        <v>-208.2834</v>
      </c>
      <c r="K1553">
        <v>1.1044909999999999</v>
      </c>
      <c r="L1553">
        <v>367.41550000000001</v>
      </c>
      <c r="M1553">
        <v>0.98916029999999999</v>
      </c>
      <c r="N1553">
        <v>-1.8878659999999998E-2</v>
      </c>
      <c r="O1553">
        <v>-0.14562120000000001</v>
      </c>
      <c r="P1553">
        <v>0.9334711</v>
      </c>
      <c r="Q1553">
        <v>-0.1062375</v>
      </c>
      <c r="R1553">
        <v>-0.34255730000000001</v>
      </c>
      <c r="S1553">
        <v>2.3941189999999999</v>
      </c>
      <c r="T1553">
        <v>-0.18629519999999999</v>
      </c>
      <c r="U1553">
        <v>-2.213257</v>
      </c>
      <c r="V1553">
        <v>0.2016656</v>
      </c>
      <c r="W1553">
        <v>-9.0744989999999998E-2</v>
      </c>
      <c r="X1553">
        <v>0.97524169999999999</v>
      </c>
      <c r="Y1553">
        <v>0.56351470000000004</v>
      </c>
      <c r="Z1553">
        <v>-1.7640260000000001E-2</v>
      </c>
      <c r="AA1553">
        <v>0.82591769999999998</v>
      </c>
      <c r="AB1553">
        <v>26</v>
      </c>
      <c r="AC1553">
        <v>14.0674999999999</v>
      </c>
      <c r="AD1553">
        <v>-1.10449474896399</v>
      </c>
      <c r="AE1553">
        <v>-13.101299999999901</v>
      </c>
      <c r="AF1553">
        <v>10.876798118742499</v>
      </c>
      <c r="AG1553">
        <v>-1.10449474896399</v>
      </c>
      <c r="AH1553">
        <v>15.7735884227729</v>
      </c>
      <c r="AI1553">
        <v>93.299190006843503</v>
      </c>
      <c r="AJ1553">
        <v>55.411499199578103</v>
      </c>
      <c r="AK1553">
        <v>19.191944604375198</v>
      </c>
      <c r="AL1553">
        <v>95.206467150347194</v>
      </c>
      <c r="AM1553">
        <v>78.316746233360803</v>
      </c>
      <c r="AN1553">
        <v>1.0000000204261701</v>
      </c>
    </row>
    <row r="1554" spans="1:40" x14ac:dyDescent="0.25">
      <c r="A1554" t="str">
        <f>"20190305134931540"</f>
        <v>20190305134931540</v>
      </c>
      <c r="B1554" t="str">
        <f>"1551764971532004"</f>
        <v>1551764971532004</v>
      </c>
      <c r="C1554" t="s">
        <v>40</v>
      </c>
      <c r="D1554">
        <v>4.5081199999999999</v>
      </c>
      <c r="E1554">
        <v>0.7192672</v>
      </c>
      <c r="F1554" t="s">
        <v>44</v>
      </c>
      <c r="G1554">
        <v>-202.93629999999999</v>
      </c>
      <c r="H1554" s="1">
        <v>-3.8539880000000004E-6</v>
      </c>
      <c r="I1554">
        <v>360.87779999999998</v>
      </c>
      <c r="J1554">
        <v>-208.14850000000001</v>
      </c>
      <c r="K1554">
        <v>1.104312</v>
      </c>
      <c r="L1554">
        <v>367.39069999999998</v>
      </c>
      <c r="M1554">
        <v>0.98848029999999998</v>
      </c>
      <c r="N1554">
        <v>-1.864944E-2</v>
      </c>
      <c r="O1554">
        <v>-0.150197</v>
      </c>
      <c r="P1554">
        <v>0.92988309999999996</v>
      </c>
      <c r="Q1554">
        <v>-0.1058592</v>
      </c>
      <c r="R1554">
        <v>-0.35229480000000002</v>
      </c>
      <c r="S1554">
        <v>2.183014</v>
      </c>
      <c r="T1554">
        <v>-0.45092539999999998</v>
      </c>
      <c r="U1554">
        <v>-2.669098</v>
      </c>
      <c r="V1554">
        <v>0.2072927</v>
      </c>
      <c r="W1554">
        <v>-9.0771530000000003E-2</v>
      </c>
      <c r="X1554">
        <v>0.97405870000000006</v>
      </c>
      <c r="Y1554">
        <v>0.66475189999999995</v>
      </c>
      <c r="Z1554">
        <v>-3.9356240000000001E-2</v>
      </c>
      <c r="AA1554">
        <v>0.74602679999999999</v>
      </c>
      <c r="AB1554">
        <v>26</v>
      </c>
      <c r="AC1554">
        <v>5.2122000000000197</v>
      </c>
      <c r="AD1554">
        <v>-1.104315853988</v>
      </c>
      <c r="AE1554">
        <v>-6.5129000000000001</v>
      </c>
      <c r="AF1554">
        <v>5.5585823131696701</v>
      </c>
      <c r="AG1554">
        <v>-1.104315853988</v>
      </c>
      <c r="AH1554">
        <v>6.02583460738472</v>
      </c>
      <c r="AI1554">
        <v>97.671802446551098</v>
      </c>
      <c r="AJ1554">
        <v>47.309747719393997</v>
      </c>
      <c r="AK1554">
        <v>8.2721238840582707</v>
      </c>
      <c r="AL1554">
        <v>95.207993966281606</v>
      </c>
      <c r="AM1554">
        <v>77.9859235669106</v>
      </c>
      <c r="AN1554">
        <v>1.0000000425887501</v>
      </c>
    </row>
    <row r="1555" spans="1:40" x14ac:dyDescent="0.25">
      <c r="A1555" t="str">
        <f>"20190305134931551"</f>
        <v>20190305134931551</v>
      </c>
      <c r="B1555" t="str">
        <f>"1551764971541765"</f>
        <v>1551764971541765</v>
      </c>
      <c r="C1555" t="s">
        <v>40</v>
      </c>
      <c r="D1555">
        <v>4.60989</v>
      </c>
      <c r="E1555">
        <v>0.71903300000000003</v>
      </c>
      <c r="F1555" t="s">
        <v>44</v>
      </c>
      <c r="G1555">
        <v>-202.84360000000001</v>
      </c>
      <c r="H1555" s="1">
        <v>-3.8322159999999999E-6</v>
      </c>
      <c r="I1555">
        <v>360.76560000000001</v>
      </c>
      <c r="J1555">
        <v>-208.02619999999999</v>
      </c>
      <c r="K1555">
        <v>1.1041430000000001</v>
      </c>
      <c r="L1555">
        <v>367.36790000000002</v>
      </c>
      <c r="M1555">
        <v>0.98783790000000005</v>
      </c>
      <c r="N1555">
        <v>-1.84438E-2</v>
      </c>
      <c r="O1555">
        <v>-0.1543899</v>
      </c>
      <c r="P1555">
        <v>0.9265601</v>
      </c>
      <c r="Q1555">
        <v>-0.10492219999999999</v>
      </c>
      <c r="R1555">
        <v>-0.36121740000000002</v>
      </c>
      <c r="S1555">
        <v>2.1553499999999999</v>
      </c>
      <c r="T1555">
        <v>-0.44867800000000002</v>
      </c>
      <c r="U1555">
        <v>-2.6917110000000002</v>
      </c>
      <c r="V1555">
        <v>0.2124732</v>
      </c>
      <c r="W1555">
        <v>-9.0204510000000002E-2</v>
      </c>
      <c r="X1555">
        <v>0.97299449999999998</v>
      </c>
      <c r="Y1555">
        <v>0.66933299999999996</v>
      </c>
      <c r="Z1555">
        <v>-3.9113330000000002E-2</v>
      </c>
      <c r="AA1555">
        <v>0.74193229999999999</v>
      </c>
      <c r="AB1555">
        <v>26</v>
      </c>
      <c r="AC1555">
        <v>5.1825999999999697</v>
      </c>
      <c r="AD1555">
        <v>-1.104146832216</v>
      </c>
      <c r="AE1555">
        <v>-6.6023000000000103</v>
      </c>
      <c r="AF1555">
        <v>5.62548450591426</v>
      </c>
      <c r="AG1555">
        <v>-1.104146832216</v>
      </c>
      <c r="AH1555">
        <v>6.0354961957697197</v>
      </c>
      <c r="AI1555">
        <v>97.622340894253199</v>
      </c>
      <c r="AJ1555">
        <v>47.013747056228802</v>
      </c>
      <c r="AK1555">
        <v>8.3242074987667607</v>
      </c>
      <c r="AL1555">
        <v>95.175372476822702</v>
      </c>
      <c r="AM1555">
        <v>77.681670520976496</v>
      </c>
      <c r="AN1555">
        <v>1.00000000568641</v>
      </c>
    </row>
    <row r="1556" spans="1:40" x14ac:dyDescent="0.25">
      <c r="A1556" t="str">
        <f>"20190305134931562"</f>
        <v>20190305134931562</v>
      </c>
      <c r="B1556" t="str">
        <f>"1551764971552501"</f>
        <v>1551764971552501</v>
      </c>
      <c r="C1556" t="s">
        <v>40</v>
      </c>
      <c r="D1556">
        <v>4.6582710000000001</v>
      </c>
      <c r="E1556">
        <v>0.71902109999999997</v>
      </c>
      <c r="F1556" t="s">
        <v>44</v>
      </c>
      <c r="G1556">
        <v>-202.495</v>
      </c>
      <c r="H1556" s="1">
        <v>-3.7519879999999999E-6</v>
      </c>
      <c r="I1556">
        <v>360.33629999999999</v>
      </c>
      <c r="J1556">
        <v>-207.89660000000001</v>
      </c>
      <c r="K1556">
        <v>1.1039600000000001</v>
      </c>
      <c r="L1556">
        <v>367.34269999999998</v>
      </c>
      <c r="M1556">
        <v>0.9871067</v>
      </c>
      <c r="N1556">
        <v>-1.8239849999999998E-2</v>
      </c>
      <c r="O1556">
        <v>-0.15902140000000001</v>
      </c>
      <c r="P1556">
        <v>0.92314070000000004</v>
      </c>
      <c r="Q1556">
        <v>-0.10415290000000001</v>
      </c>
      <c r="R1556">
        <v>-0.37008649999999998</v>
      </c>
      <c r="S1556">
        <v>2.1326450000000001</v>
      </c>
      <c r="T1556">
        <v>-0.42572209999999999</v>
      </c>
      <c r="U1556">
        <v>-2.7111510000000001</v>
      </c>
      <c r="V1556">
        <v>0.2171891</v>
      </c>
      <c r="W1556">
        <v>-8.9807849999999995E-2</v>
      </c>
      <c r="X1556">
        <v>0.97198949999999995</v>
      </c>
      <c r="Y1556">
        <v>0.67275269999999898</v>
      </c>
      <c r="Z1556">
        <v>-3.734639E-2</v>
      </c>
      <c r="AA1556">
        <v>0.73892419999999903</v>
      </c>
      <c r="AB1556">
        <v>26</v>
      </c>
      <c r="AC1556">
        <v>5.4016000000000002</v>
      </c>
      <c r="AD1556">
        <v>-1.1039637519879999</v>
      </c>
      <c r="AE1556">
        <v>-7.0063999999999798</v>
      </c>
      <c r="AF1556">
        <v>5.9652142752925901</v>
      </c>
      <c r="AG1556">
        <v>-1.1039637519879999</v>
      </c>
      <c r="AH1556">
        <v>6.3483417948776104</v>
      </c>
      <c r="AI1556">
        <v>97.222539015308698</v>
      </c>
      <c r="AJ1556">
        <v>46.782142388807699</v>
      </c>
      <c r="AK1556">
        <v>8.7808861090693906</v>
      </c>
      <c r="AL1556">
        <v>95.152552572491103</v>
      </c>
      <c r="AM1556">
        <v>77.404283376363097</v>
      </c>
      <c r="AN1556">
        <v>1.0000000715953301</v>
      </c>
    </row>
    <row r="1557" spans="1:40" x14ac:dyDescent="0.25">
      <c r="A1557" t="str">
        <f>"20190305134931574"</f>
        <v>20190305134931574</v>
      </c>
      <c r="B1557" t="str">
        <f>"1551764971572021"</f>
        <v>1551764971572021</v>
      </c>
      <c r="C1557" t="s">
        <v>40</v>
      </c>
      <c r="D1557">
        <v>4.6194069999999998</v>
      </c>
      <c r="E1557">
        <v>0.71610390000000002</v>
      </c>
      <c r="F1557" t="s">
        <v>44</v>
      </c>
      <c r="G1557">
        <v>-202.499</v>
      </c>
      <c r="H1557" s="1">
        <v>-3.7525410000000001E-6</v>
      </c>
      <c r="I1557">
        <v>360.34269999999998</v>
      </c>
      <c r="J1557">
        <v>-207.75890000000001</v>
      </c>
      <c r="K1557">
        <v>1.1037629999999901</v>
      </c>
      <c r="L1557">
        <v>367.31529999999998</v>
      </c>
      <c r="M1557">
        <v>0.98628850000000001</v>
      </c>
      <c r="N1557">
        <v>-1.8031100000000001E-2</v>
      </c>
      <c r="O1557">
        <v>-0.16404170000000001</v>
      </c>
      <c r="P1557">
        <v>0.91957040000000001</v>
      </c>
      <c r="Q1557">
        <v>-0.1034887</v>
      </c>
      <c r="R1557">
        <v>-0.37905220000000001</v>
      </c>
      <c r="S1557">
        <v>2.1061709999999998</v>
      </c>
      <c r="T1557">
        <v>-0.43077159999999898</v>
      </c>
      <c r="U1557">
        <v>-2.7314150000000001</v>
      </c>
      <c r="V1557">
        <v>0.22164829999999999</v>
      </c>
      <c r="W1557">
        <v>-8.9528159999999996E-2</v>
      </c>
      <c r="X1557">
        <v>0.97100810000000004</v>
      </c>
      <c r="Y1557">
        <v>0.67603119999999906</v>
      </c>
      <c r="Z1557">
        <v>-3.7339509999999999E-2</v>
      </c>
      <c r="AA1557">
        <v>0.73592630000000003</v>
      </c>
      <c r="AB1557">
        <v>26</v>
      </c>
      <c r="AC1557">
        <v>5.2598999999999796</v>
      </c>
      <c r="AD1557">
        <v>-1.10376675254099</v>
      </c>
      <c r="AE1557">
        <v>-6.9725999999999999</v>
      </c>
      <c r="AF1557">
        <v>5.9205752478587099</v>
      </c>
      <c r="AG1557">
        <v>-1.10376675254099</v>
      </c>
      <c r="AH1557">
        <v>6.2330600840007602</v>
      </c>
      <c r="AI1557">
        <v>97.316370418665002</v>
      </c>
      <c r="AJ1557">
        <v>46.472820114016201</v>
      </c>
      <c r="AK1557">
        <v>8.6673265959196293</v>
      </c>
      <c r="AL1557">
        <v>95.136463095336396</v>
      </c>
      <c r="AM1557">
        <v>77.141621175934802</v>
      </c>
      <c r="AN1557">
        <v>0.99999999529574202</v>
      </c>
    </row>
    <row r="1558" spans="1:40" x14ac:dyDescent="0.25">
      <c r="A1558" t="str">
        <f>"20190305134931585"</f>
        <v>20190305134931585</v>
      </c>
      <c r="B1558" t="str">
        <f>"1551764971581780"</f>
        <v>1551764971581780</v>
      </c>
      <c r="C1558" t="s">
        <v>40</v>
      </c>
      <c r="D1558">
        <v>4.6479200000000001</v>
      </c>
      <c r="E1558">
        <v>0.71367550000000002</v>
      </c>
      <c r="F1558" t="s">
        <v>44</v>
      </c>
      <c r="G1558">
        <v>-202.26920000000001</v>
      </c>
      <c r="H1558" s="1">
        <v>-3.6813569999999999E-6</v>
      </c>
      <c r="I1558">
        <v>360.14240000000001</v>
      </c>
      <c r="J1558">
        <v>-207.62899999999999</v>
      </c>
      <c r="K1558">
        <v>1.1035710000000001</v>
      </c>
      <c r="L1558">
        <v>367.28879999999998</v>
      </c>
      <c r="M1558">
        <v>0.98547010000000002</v>
      </c>
      <c r="N1558">
        <v>-1.7844680000000002E-2</v>
      </c>
      <c r="O1558">
        <v>-0.16890869999999999</v>
      </c>
      <c r="P1558">
        <v>0.91593950000000002</v>
      </c>
      <c r="Q1558">
        <v>-0.1035538</v>
      </c>
      <c r="R1558">
        <v>-0.38772620000000002</v>
      </c>
      <c r="S1558">
        <v>2.089645</v>
      </c>
      <c r="T1558">
        <v>-0.42014859999999998</v>
      </c>
      <c r="U1558">
        <v>-2.7303769999999998</v>
      </c>
      <c r="V1558">
        <v>0.22598109999999999</v>
      </c>
      <c r="W1558">
        <v>-8.9957159999999994E-2</v>
      </c>
      <c r="X1558">
        <v>0.96996919999999998</v>
      </c>
      <c r="Y1558">
        <v>0.67530639999999997</v>
      </c>
      <c r="Z1558">
        <v>-3.6015039999999998E-2</v>
      </c>
      <c r="AA1558">
        <v>0.73665740000000002</v>
      </c>
      <c r="AB1558">
        <v>26</v>
      </c>
      <c r="AC1558">
        <v>5.3597999999999999</v>
      </c>
      <c r="AD1558">
        <v>-1.10357468135699</v>
      </c>
      <c r="AE1558">
        <v>-7.1463999999999697</v>
      </c>
      <c r="AF1558">
        <v>6.0459516157537196</v>
      </c>
      <c r="AG1558">
        <v>-1.10357468135699</v>
      </c>
      <c r="AH1558">
        <v>6.3924840118056698</v>
      </c>
      <c r="AI1558">
        <v>97.1489647149577</v>
      </c>
      <c r="AJ1558">
        <v>46.595836473371001</v>
      </c>
      <c r="AK1558">
        <v>8.8676524434913606</v>
      </c>
      <c r="AL1558">
        <v>95.161142550104699</v>
      </c>
      <c r="AM1558">
        <v>76.885308634507794</v>
      </c>
      <c r="AN1558">
        <v>0.99999999857055699</v>
      </c>
    </row>
    <row r="1559" spans="1:40" x14ac:dyDescent="0.25">
      <c r="A1559" t="str">
        <f>"20190305134931599"</f>
        <v>20190305134931599</v>
      </c>
      <c r="B1559" t="str">
        <f>"1551764971592516"</f>
        <v>1551764971592516</v>
      </c>
      <c r="C1559" t="s">
        <v>40</v>
      </c>
      <c r="D1559">
        <v>4.5932760000000004</v>
      </c>
      <c r="E1559">
        <v>0.71164609999999995</v>
      </c>
      <c r="F1559" t="s">
        <v>44</v>
      </c>
      <c r="G1559">
        <v>-202.07339999999999</v>
      </c>
      <c r="H1559" s="1">
        <v>-3.622362E-6</v>
      </c>
      <c r="I1559">
        <v>359.96409999999997</v>
      </c>
      <c r="J1559">
        <v>-207.47460000000001</v>
      </c>
      <c r="K1559">
        <v>1.103334</v>
      </c>
      <c r="L1559">
        <v>367.25599999999997</v>
      </c>
      <c r="M1559">
        <v>0.98442940000000001</v>
      </c>
      <c r="N1559">
        <v>-1.7640240000000001E-2</v>
      </c>
      <c r="O1559">
        <v>-0.1748934</v>
      </c>
      <c r="P1559">
        <v>0.91191480000000003</v>
      </c>
      <c r="Q1559">
        <v>-0.1036113</v>
      </c>
      <c r="R1559">
        <v>-0.3970844</v>
      </c>
      <c r="S1559">
        <v>2.0722499999999999</v>
      </c>
      <c r="T1559">
        <v>-0.41163309999999997</v>
      </c>
      <c r="U1559">
        <v>-2.7321170000000001</v>
      </c>
      <c r="V1559">
        <v>0.2299602</v>
      </c>
      <c r="W1559">
        <v>-9.0415910000000002E-2</v>
      </c>
      <c r="X1559">
        <v>0.96899089999999999</v>
      </c>
      <c r="Y1559">
        <v>0.67423699999999998</v>
      </c>
      <c r="Z1559">
        <v>-3.4658950000000001E-2</v>
      </c>
      <c r="AA1559">
        <v>0.7377013</v>
      </c>
      <c r="AB1559">
        <v>26</v>
      </c>
      <c r="AC1559">
        <v>5.40120000000001</v>
      </c>
      <c r="AD1559">
        <v>-1.1033376223619999</v>
      </c>
      <c r="AE1559">
        <v>-7.2918999999999903</v>
      </c>
      <c r="AF1559">
        <v>6.1438676354021604</v>
      </c>
      <c r="AG1559">
        <v>-1.1033376223619999</v>
      </c>
      <c r="AH1559">
        <v>6.4973760470696797</v>
      </c>
      <c r="AI1559">
        <v>97.033913396795995</v>
      </c>
      <c r="AJ1559">
        <v>46.601841017570102</v>
      </c>
      <c r="AK1559">
        <v>9.0100143688729109</v>
      </c>
      <c r="AL1559">
        <v>95.187534285856998</v>
      </c>
      <c r="AM1559">
        <v>76.649584845485094</v>
      </c>
      <c r="AN1559">
        <v>1.0000000473239801</v>
      </c>
    </row>
    <row r="1560" spans="1:40" x14ac:dyDescent="0.25">
      <c r="A1560" t="str">
        <f>"20190305134931613"</f>
        <v>20190305134931613</v>
      </c>
      <c r="B1560" t="str">
        <f>"1551764971602277"</f>
        <v>1551764971602277</v>
      </c>
      <c r="C1560" t="s">
        <v>40</v>
      </c>
      <c r="D1560">
        <v>4.5770350000000004</v>
      </c>
      <c r="E1560">
        <v>0.70987549999999999</v>
      </c>
      <c r="F1560" t="s">
        <v>44</v>
      </c>
      <c r="G1560">
        <v>-201.91079999999999</v>
      </c>
      <c r="H1560" s="1">
        <v>-3.570833E-6</v>
      </c>
      <c r="I1560">
        <v>359.82749999999999</v>
      </c>
      <c r="J1560">
        <v>-207.3211</v>
      </c>
      <c r="K1560">
        <v>1.103094</v>
      </c>
      <c r="L1560">
        <v>367.22250000000003</v>
      </c>
      <c r="M1560">
        <v>0.98333349999999997</v>
      </c>
      <c r="N1560">
        <v>-1.7447999999999901E-2</v>
      </c>
      <c r="O1560">
        <v>-0.1809722</v>
      </c>
      <c r="P1560">
        <v>0.90769670000000002</v>
      </c>
      <c r="Q1560">
        <v>-0.1041623</v>
      </c>
      <c r="R1560">
        <v>-0.40649400000000002</v>
      </c>
      <c r="S1560">
        <v>2.0511020000000002</v>
      </c>
      <c r="T1560">
        <v>-0.4067518</v>
      </c>
      <c r="U1560">
        <v>-2.738556</v>
      </c>
      <c r="V1560">
        <v>0.23393539999999999</v>
      </c>
      <c r="W1560">
        <v>-9.1363630000000001E-2</v>
      </c>
      <c r="X1560">
        <v>0.96794990000000003</v>
      </c>
      <c r="Y1560">
        <v>0.67427990000000004</v>
      </c>
      <c r="Z1560">
        <v>-3.364176E-2</v>
      </c>
      <c r="AA1560">
        <v>0.73770919999999995</v>
      </c>
      <c r="AB1560">
        <v>26</v>
      </c>
      <c r="AC1560">
        <v>5.4103000000000003</v>
      </c>
      <c r="AD1560">
        <v>-1.103097570833</v>
      </c>
      <c r="AE1560">
        <v>-7.3950000000000298</v>
      </c>
      <c r="AF1560">
        <v>6.2036827563985701</v>
      </c>
      <c r="AG1560">
        <v>-1.103097570833</v>
      </c>
      <c r="AH1560">
        <v>6.5642932787585302</v>
      </c>
      <c r="AI1560">
        <v>96.963230916297306</v>
      </c>
      <c r="AJ1560">
        <v>46.617795158396198</v>
      </c>
      <c r="AK1560">
        <v>9.0990356765081994</v>
      </c>
      <c r="AL1560">
        <v>95.242060330929803</v>
      </c>
      <c r="AM1560">
        <v>76.4132160811468</v>
      </c>
      <c r="AN1560">
        <v>1.0000000465849701</v>
      </c>
    </row>
    <row r="1561" spans="1:40" x14ac:dyDescent="0.25">
      <c r="A1561" t="str">
        <f>"20190305134931624"</f>
        <v>20190305134931624</v>
      </c>
      <c r="B1561" t="str">
        <f>"1551764971621796"</f>
        <v>1551764971621796</v>
      </c>
      <c r="C1561" t="s">
        <v>40</v>
      </c>
      <c r="D1561">
        <v>4.3064929999999997</v>
      </c>
      <c r="E1561">
        <v>0.7074606</v>
      </c>
      <c r="F1561" t="s">
        <v>44</v>
      </c>
      <c r="G1561">
        <v>-201.80109999999999</v>
      </c>
      <c r="H1561" s="1">
        <v>-3.5331079999999999E-6</v>
      </c>
      <c r="I1561">
        <v>359.74849999999998</v>
      </c>
      <c r="J1561">
        <v>-207.17320000000001</v>
      </c>
      <c r="K1561">
        <v>1.1028639999999901</v>
      </c>
      <c r="L1561">
        <v>367.18880000000001</v>
      </c>
      <c r="M1561">
        <v>0.98219869999999998</v>
      </c>
      <c r="N1561">
        <v>-1.728213E-2</v>
      </c>
      <c r="O1561">
        <v>-0.18704850000000001</v>
      </c>
      <c r="P1561">
        <v>0.90358910000000003</v>
      </c>
      <c r="Q1561">
        <v>-0.1047001</v>
      </c>
      <c r="R1561">
        <v>-0.41540929999999998</v>
      </c>
      <c r="S1561">
        <v>2.0285340000000001</v>
      </c>
      <c r="T1561">
        <v>-0.40537269999999997</v>
      </c>
      <c r="U1561">
        <v>-2.7465820000000001</v>
      </c>
      <c r="V1561">
        <v>0.23742150000000001</v>
      </c>
      <c r="W1561">
        <v>-9.2265730000000004E-2</v>
      </c>
      <c r="X1561">
        <v>0.96701499999999996</v>
      </c>
      <c r="Y1561">
        <v>0.67471680000000001</v>
      </c>
      <c r="Z1561">
        <v>-3.2885490000000003E-2</v>
      </c>
      <c r="AA1561">
        <v>0.73734369999999905</v>
      </c>
      <c r="AB1561">
        <v>26</v>
      </c>
      <c r="AC1561">
        <v>5.3721000000000103</v>
      </c>
      <c r="AD1561">
        <v>-1.10286753310799</v>
      </c>
      <c r="AE1561">
        <v>-7.4403000000000299</v>
      </c>
      <c r="AF1561">
        <v>6.2142019070639396</v>
      </c>
      <c r="AG1561">
        <v>-1.10286753310799</v>
      </c>
      <c r="AH1561">
        <v>6.5742137882682696</v>
      </c>
      <c r="AI1561">
        <v>96.950792838887196</v>
      </c>
      <c r="AJ1561">
        <v>46.612530858283698</v>
      </c>
      <c r="AK1561">
        <v>9.1133368790579397</v>
      </c>
      <c r="AL1561">
        <v>95.293966493630606</v>
      </c>
      <c r="AM1561">
        <v>76.205597267868697</v>
      </c>
      <c r="AN1561">
        <v>0.99999997190984102</v>
      </c>
    </row>
    <row r="1562" spans="1:40" x14ac:dyDescent="0.25">
      <c r="A1562" t="str">
        <f>"20190305134931636"</f>
        <v>20190305134931636</v>
      </c>
      <c r="B1562" t="str">
        <f>"1551764971632533"</f>
        <v>1551764971632533</v>
      </c>
      <c r="C1562" t="s">
        <v>40</v>
      </c>
      <c r="D1562">
        <v>4.1291339999999996</v>
      </c>
      <c r="E1562">
        <v>0.7074606</v>
      </c>
      <c r="F1562" t="s">
        <v>44</v>
      </c>
      <c r="G1562">
        <v>-200.81440000000001</v>
      </c>
      <c r="H1562" s="1">
        <v>-6.1962010000000003E-6</v>
      </c>
      <c r="I1562">
        <v>358.5129</v>
      </c>
      <c r="J1562">
        <v>-207.0444</v>
      </c>
      <c r="K1562">
        <v>1.102662</v>
      </c>
      <c r="L1562">
        <v>367.15859999999998</v>
      </c>
      <c r="M1562">
        <v>0.98115209999999997</v>
      </c>
      <c r="N1562">
        <v>-1.714984E-2</v>
      </c>
      <c r="O1562">
        <v>-0.19247500000000001</v>
      </c>
      <c r="P1562">
        <v>0.89976599999999995</v>
      </c>
      <c r="Q1562">
        <v>-0.10471709999999999</v>
      </c>
      <c r="R1562">
        <v>-0.4236222</v>
      </c>
      <c r="S1562">
        <v>2.015396</v>
      </c>
      <c r="T1562">
        <v>-0.34955389999999997</v>
      </c>
      <c r="U1562">
        <v>-2.7498170000000002</v>
      </c>
      <c r="V1562">
        <v>0.2408314</v>
      </c>
      <c r="W1562">
        <v>-9.2598369999999999E-2</v>
      </c>
      <c r="X1562">
        <v>0.96613959999999999</v>
      </c>
      <c r="Y1562">
        <v>0.67435199999999995</v>
      </c>
      <c r="Z1562">
        <v>-2.9125939999999999E-2</v>
      </c>
      <c r="AA1562">
        <v>0.73783529999999997</v>
      </c>
      <c r="AB1562">
        <v>26</v>
      </c>
      <c r="AC1562">
        <v>6.2299999999999898</v>
      </c>
      <c r="AD1562">
        <v>-1.1026681962010001</v>
      </c>
      <c r="AE1562">
        <v>-8.6456999999999695</v>
      </c>
      <c r="AF1562">
        <v>7.2075284509237996</v>
      </c>
      <c r="AG1562">
        <v>-1.1026681962010001</v>
      </c>
      <c r="AH1562">
        <v>7.6954085124828904</v>
      </c>
      <c r="AI1562">
        <v>95.970382188339599</v>
      </c>
      <c r="AJ1562">
        <v>46.8750323375343</v>
      </c>
      <c r="AK1562">
        <v>10.6011157759824</v>
      </c>
      <c r="AL1562">
        <v>95.313107293027301</v>
      </c>
      <c r="AM1562">
        <v>76.003029367578606</v>
      </c>
      <c r="AN1562">
        <v>0.99999997402038798</v>
      </c>
    </row>
    <row r="1563" spans="1:40" x14ac:dyDescent="0.25">
      <c r="A1563" t="str">
        <f>"20190305134931647"</f>
        <v>20190305134931647</v>
      </c>
      <c r="B1563" t="str">
        <f>"1551764971642292"</f>
        <v>1551764971642292</v>
      </c>
      <c r="C1563" t="s">
        <v>40</v>
      </c>
      <c r="D1563">
        <v>4.32158</v>
      </c>
      <c r="E1563">
        <v>0.7063026</v>
      </c>
      <c r="F1563" t="s">
        <v>44</v>
      </c>
      <c r="G1563">
        <v>-200.79580000000001</v>
      </c>
      <c r="H1563">
        <v>9.2264949999999995E-3</v>
      </c>
      <c r="I1563">
        <v>358.46879999999999</v>
      </c>
      <c r="J1563">
        <v>-206.9152</v>
      </c>
      <c r="K1563">
        <v>1.102454</v>
      </c>
      <c r="L1563">
        <v>367.1277</v>
      </c>
      <c r="M1563">
        <v>0.98005189999999998</v>
      </c>
      <c r="N1563">
        <v>-1.7024649999999999E-2</v>
      </c>
      <c r="O1563">
        <v>-0.19801199999999999</v>
      </c>
      <c r="P1563">
        <v>0.89605610000000002</v>
      </c>
      <c r="Q1563">
        <v>-0.1055328</v>
      </c>
      <c r="R1563">
        <v>-0.43121520000000002</v>
      </c>
      <c r="S1563">
        <v>1.9904170000000001</v>
      </c>
      <c r="T1563">
        <v>-0.3482982</v>
      </c>
      <c r="U1563">
        <v>-2.7680359999999999</v>
      </c>
      <c r="V1563">
        <v>0.2434983</v>
      </c>
      <c r="W1563">
        <v>-9.3710589999999996E-2</v>
      </c>
      <c r="X1563">
        <v>0.96536359999999999</v>
      </c>
      <c r="Y1563">
        <v>0.67690349999999999</v>
      </c>
      <c r="Z1563">
        <v>-2.8695200000000001E-2</v>
      </c>
      <c r="AA1563">
        <v>0.73551230000000001</v>
      </c>
      <c r="AB1563">
        <v>26</v>
      </c>
      <c r="AC1563">
        <v>6.1193999999999802</v>
      </c>
      <c r="AD1563">
        <v>-1.093227505</v>
      </c>
      <c r="AE1563">
        <v>-8.6589000000000098</v>
      </c>
      <c r="AF1563">
        <v>7.1989795510849701</v>
      </c>
      <c r="AG1563">
        <v>-1.093227505</v>
      </c>
      <c r="AH1563">
        <v>7.6318797775603402</v>
      </c>
      <c r="AI1563">
        <v>95.948841902000396</v>
      </c>
      <c r="AJ1563">
        <v>46.671940564496403</v>
      </c>
      <c r="AK1563">
        <v>10.548271986148301</v>
      </c>
      <c r="AL1563">
        <v>95.377111041862705</v>
      </c>
      <c r="AM1563">
        <v>75.843307170864094</v>
      </c>
      <c r="AN1563">
        <v>0.99999998849299798</v>
      </c>
    </row>
    <row r="1564" spans="1:40" x14ac:dyDescent="0.25">
      <c r="A1564" t="str">
        <f>"20190305134931658"</f>
        <v>20190305134931658</v>
      </c>
      <c r="B1564" t="str">
        <f>"1551764971652052"</f>
        <v>1551764971652052</v>
      </c>
      <c r="C1564" t="s">
        <v>40</v>
      </c>
      <c r="D1564">
        <v>4.3642409999999998</v>
      </c>
      <c r="E1564">
        <v>0.70508899999999997</v>
      </c>
      <c r="F1564" t="s">
        <v>44</v>
      </c>
      <c r="G1564">
        <v>-199.8586</v>
      </c>
      <c r="H1564" s="1">
        <v>-6.0253919999999997E-6</v>
      </c>
      <c r="I1564">
        <v>357.20549999999997</v>
      </c>
      <c r="J1564">
        <v>-206.78649999999999</v>
      </c>
      <c r="K1564">
        <v>1.102249</v>
      </c>
      <c r="L1564">
        <v>367.09550000000002</v>
      </c>
      <c r="M1564">
        <v>0.97888129999999995</v>
      </c>
      <c r="N1564">
        <v>-1.6916199999999999E-2</v>
      </c>
      <c r="O1564">
        <v>-0.20372870000000001</v>
      </c>
      <c r="P1564">
        <v>0.89239849999999998</v>
      </c>
      <c r="Q1564">
        <v>-0.1066395</v>
      </c>
      <c r="R1564">
        <v>-0.43846669999999999</v>
      </c>
      <c r="S1564">
        <v>1.9751590000000001</v>
      </c>
      <c r="T1564">
        <v>-0.3085794</v>
      </c>
      <c r="U1564">
        <v>-2.7772220000000001</v>
      </c>
      <c r="V1564">
        <v>0.24564710000000001</v>
      </c>
      <c r="W1564">
        <v>-9.5088069999999997E-2</v>
      </c>
      <c r="X1564">
        <v>0.96468419999999999</v>
      </c>
      <c r="Y1564">
        <v>0.67707740000000005</v>
      </c>
      <c r="Z1564">
        <v>-2.6040730000000002E-2</v>
      </c>
      <c r="AA1564">
        <v>0.73545099999999997</v>
      </c>
      <c r="AB1564">
        <v>26</v>
      </c>
      <c r="AC1564">
        <v>6.9278999999999904</v>
      </c>
      <c r="AD1564">
        <v>-1.1022550253919901</v>
      </c>
      <c r="AE1564">
        <v>-9.8900000000000396</v>
      </c>
      <c r="AF1564">
        <v>8.2025578508957793</v>
      </c>
      <c r="AG1564">
        <v>-1.1022550253919901</v>
      </c>
      <c r="AH1564">
        <v>8.7250242714326909</v>
      </c>
      <c r="AI1564">
        <v>95.258913684439406</v>
      </c>
      <c r="AJ1564">
        <v>46.767861487323003</v>
      </c>
      <c r="AK1564">
        <v>12.0259290691149</v>
      </c>
      <c r="AL1564">
        <v>95.456389224126099</v>
      </c>
      <c r="AM1564">
        <v>75.7138216785644</v>
      </c>
      <c r="AN1564">
        <v>0.99999992226218404</v>
      </c>
    </row>
    <row r="1565" spans="1:40" x14ac:dyDescent="0.25">
      <c r="A1565" t="str">
        <f>"20190305134931670"</f>
        <v>20190305134931670</v>
      </c>
      <c r="B1565" t="str">
        <f>"1551764971661813"</f>
        <v>1551764971661813</v>
      </c>
      <c r="C1565" t="s">
        <v>40</v>
      </c>
      <c r="D1565">
        <v>4.3533879999999998</v>
      </c>
      <c r="E1565">
        <v>0.70392949999999999</v>
      </c>
      <c r="F1565" t="s">
        <v>44</v>
      </c>
      <c r="G1565">
        <v>-198.9504</v>
      </c>
      <c r="H1565" s="1">
        <v>-5.4674509999999999E-6</v>
      </c>
      <c r="I1565">
        <v>355.96249999999998</v>
      </c>
      <c r="J1565">
        <v>-206.65530000000001</v>
      </c>
      <c r="K1565">
        <v>1.102042</v>
      </c>
      <c r="L1565">
        <v>367.06229999999999</v>
      </c>
      <c r="M1565">
        <v>0.97764209999999996</v>
      </c>
      <c r="N1565">
        <v>-1.680854E-2</v>
      </c>
      <c r="O1565">
        <v>-0.2096036</v>
      </c>
      <c r="P1565">
        <v>0.88868599999999998</v>
      </c>
      <c r="Q1565">
        <v>-0.1078817</v>
      </c>
      <c r="R1565">
        <v>-0.4456444</v>
      </c>
      <c r="S1565">
        <v>1.9603269999999999</v>
      </c>
      <c r="T1565">
        <v>-0.27574939999999998</v>
      </c>
      <c r="U1565">
        <v>-2.785126</v>
      </c>
      <c r="V1565">
        <v>0.24758450000000001</v>
      </c>
      <c r="W1565">
        <v>-9.6599550000000006E-2</v>
      </c>
      <c r="X1565">
        <v>0.96403859999999997</v>
      </c>
      <c r="Y1565">
        <v>0.67673609999999995</v>
      </c>
      <c r="Z1565">
        <v>-2.3822090000000001E-2</v>
      </c>
      <c r="AA1565">
        <v>0.7358401</v>
      </c>
      <c r="AB1565">
        <v>26</v>
      </c>
      <c r="AC1565">
        <v>7.7049000000000003</v>
      </c>
      <c r="AD1565">
        <v>-1.1020474674509999</v>
      </c>
      <c r="AE1565">
        <v>-11.0998</v>
      </c>
      <c r="AF1565">
        <v>9.1769136832821196</v>
      </c>
      <c r="AG1565">
        <v>-1.1020474674509999</v>
      </c>
      <c r="AH1565">
        <v>9.7954227323176504</v>
      </c>
      <c r="AI1565">
        <v>94.693679432761201</v>
      </c>
      <c r="AJ1565">
        <v>46.867213972357703</v>
      </c>
      <c r="AK1565">
        <v>13.4677600170084</v>
      </c>
      <c r="AL1565">
        <v>95.5433908111535</v>
      </c>
      <c r="AM1565">
        <v>75.596573328684499</v>
      </c>
      <c r="AN1565">
        <v>0.99999998999520601</v>
      </c>
    </row>
    <row r="1566" spans="1:40" x14ac:dyDescent="0.25">
      <c r="A1566" t="str">
        <f>"20190305134931681"</f>
        <v>20190305134931681</v>
      </c>
      <c r="B1566" t="str">
        <f>"1551764971672549"</f>
        <v>1551764971672549</v>
      </c>
      <c r="C1566" t="s">
        <v>40</v>
      </c>
      <c r="D1566">
        <v>4.373024</v>
      </c>
      <c r="E1566">
        <v>0.70272239999999997</v>
      </c>
      <c r="F1566" t="s">
        <v>44</v>
      </c>
      <c r="G1566">
        <v>-198.09899999999999</v>
      </c>
      <c r="H1566" s="1">
        <v>-4.835098E-6</v>
      </c>
      <c r="I1566">
        <v>354.77460000000002</v>
      </c>
      <c r="J1566">
        <v>-206.5223</v>
      </c>
      <c r="K1566">
        <v>1.1018380000000001</v>
      </c>
      <c r="L1566">
        <v>367.02690000000001</v>
      </c>
      <c r="M1566">
        <v>0.97629120000000003</v>
      </c>
      <c r="N1566">
        <v>-1.6719129999999999E-2</v>
      </c>
      <c r="O1566">
        <v>-0.2158147</v>
      </c>
      <c r="P1566">
        <v>0.88518180000000002</v>
      </c>
      <c r="Q1566">
        <v>-0.109033199999999</v>
      </c>
      <c r="R1566">
        <v>-0.45228839999999998</v>
      </c>
      <c r="S1566">
        <v>1.9447939999999999</v>
      </c>
      <c r="T1566">
        <v>-0.25048690000000001</v>
      </c>
      <c r="U1566">
        <v>-2.7929080000000002</v>
      </c>
      <c r="V1566">
        <v>0.24863399999999999</v>
      </c>
      <c r="W1566">
        <v>-9.7984349999999998E-2</v>
      </c>
      <c r="X1566">
        <v>0.96362859999999995</v>
      </c>
      <c r="Y1566">
        <v>0.67611009999999905</v>
      </c>
      <c r="Z1566">
        <v>-2.2062760000000001E-2</v>
      </c>
      <c r="AA1566">
        <v>0.73647019999999996</v>
      </c>
      <c r="AB1566">
        <v>26</v>
      </c>
      <c r="AC1566">
        <v>8.4232999999999798</v>
      </c>
      <c r="AD1566">
        <v>-1.1018428350980001</v>
      </c>
      <c r="AE1566">
        <v>-12.2522999999999</v>
      </c>
      <c r="AF1566">
        <v>10.0899475632259</v>
      </c>
      <c r="AG1566">
        <v>-1.1018428350980001</v>
      </c>
      <c r="AH1566">
        <v>10.8099739774838</v>
      </c>
      <c r="AI1566">
        <v>94.261408968739701</v>
      </c>
      <c r="AJ1566">
        <v>46.973125344503302</v>
      </c>
      <c r="AK1566">
        <v>14.828237820313801</v>
      </c>
      <c r="AL1566">
        <v>95.623112510530504</v>
      </c>
      <c r="AM1566">
        <v>75.532178165607405</v>
      </c>
      <c r="AN1566">
        <v>0.99999993876943905</v>
      </c>
    </row>
    <row r="1567" spans="1:40" x14ac:dyDescent="0.25">
      <c r="A1567" t="str">
        <f>"20190305134931693"</f>
        <v>20190305134931693</v>
      </c>
      <c r="B1567" t="str">
        <f>"1551764971682309"</f>
        <v>1551764971682309</v>
      </c>
      <c r="C1567" t="s">
        <v>40</v>
      </c>
      <c r="D1567">
        <v>4.3966240000000001</v>
      </c>
      <c r="E1567">
        <v>0.70154519999999998</v>
      </c>
      <c r="F1567" t="s">
        <v>44</v>
      </c>
      <c r="G1567">
        <v>-197.39410000000001</v>
      </c>
      <c r="H1567" s="1">
        <v>-4.1894150000000003E-6</v>
      </c>
      <c r="I1567">
        <v>353.78910000000002</v>
      </c>
      <c r="J1567">
        <v>-206.39789999999999</v>
      </c>
      <c r="K1567">
        <v>1.1016459999999999</v>
      </c>
      <c r="L1567">
        <v>366.99340000000001</v>
      </c>
      <c r="M1567">
        <v>0.97497639999999997</v>
      </c>
      <c r="N1567">
        <v>-1.6638549999999998E-2</v>
      </c>
      <c r="O1567">
        <v>-0.22168489999999999</v>
      </c>
      <c r="P1567">
        <v>0.88179839999999998</v>
      </c>
      <c r="Q1567">
        <v>-0.110192899999999</v>
      </c>
      <c r="R1567">
        <v>-0.45857310000000001</v>
      </c>
      <c r="S1567">
        <v>1.9301759999999999</v>
      </c>
      <c r="T1567">
        <v>-0.2329859</v>
      </c>
      <c r="U1567">
        <v>-2.7991640000000002</v>
      </c>
      <c r="V1567">
        <v>0.24965100000000001</v>
      </c>
      <c r="W1567">
        <v>-9.9360320000000002E-2</v>
      </c>
      <c r="X1567">
        <v>0.96322470000000004</v>
      </c>
      <c r="Y1567">
        <v>0.67527130000000002</v>
      </c>
      <c r="Z1567">
        <v>-2.0777770000000001E-2</v>
      </c>
      <c r="AA1567">
        <v>0.73727670000000001</v>
      </c>
      <c r="AB1567">
        <v>26</v>
      </c>
      <c r="AC1567">
        <v>9.0037999999999805</v>
      </c>
      <c r="AD1567">
        <v>-1.1016501894149999</v>
      </c>
      <c r="AE1567">
        <v>-13.2042999999999</v>
      </c>
      <c r="AF1567">
        <v>10.8279315840088</v>
      </c>
      <c r="AG1567">
        <v>-1.1016501894149999</v>
      </c>
      <c r="AH1567">
        <v>11.6519429703173</v>
      </c>
      <c r="AI1567">
        <v>93.961894718846295</v>
      </c>
      <c r="AJ1567">
        <v>47.099266450616099</v>
      </c>
      <c r="AK1567">
        <v>15.9444507748414</v>
      </c>
      <c r="AL1567">
        <v>95.702336295159</v>
      </c>
      <c r="AM1567">
        <v>75.469665193131902</v>
      </c>
      <c r="AN1567">
        <v>0.99999995884079496</v>
      </c>
    </row>
    <row r="1568" spans="1:40" x14ac:dyDescent="0.25">
      <c r="A1568" t="str">
        <f>"20190305134931702"</f>
        <v>20190305134931702</v>
      </c>
      <c r="B1568" t="str">
        <f>"1551764971692068"</f>
        <v>1551764971692068</v>
      </c>
      <c r="C1568" t="s">
        <v>40</v>
      </c>
      <c r="D1568">
        <v>4.3986559999999999</v>
      </c>
      <c r="E1568">
        <v>0.70048369999999904</v>
      </c>
      <c r="F1568" t="s">
        <v>44</v>
      </c>
      <c r="G1568">
        <v>-196.8211</v>
      </c>
      <c r="H1568" s="1">
        <v>-3.6534730000000001E-6</v>
      </c>
      <c r="I1568">
        <v>352.97649999999999</v>
      </c>
      <c r="J1568">
        <v>-206.27359999999999</v>
      </c>
      <c r="K1568">
        <v>1.1014600000000001</v>
      </c>
      <c r="L1568">
        <v>366.95870000000002</v>
      </c>
      <c r="M1568">
        <v>0.97358690000000003</v>
      </c>
      <c r="N1568">
        <v>-1.6570990000000001E-2</v>
      </c>
      <c r="O1568">
        <v>-0.22771530000000001</v>
      </c>
      <c r="P1568">
        <v>0.87846950000000001</v>
      </c>
      <c r="Q1568">
        <v>-0.11098189999999999</v>
      </c>
      <c r="R1568">
        <v>-0.4647309</v>
      </c>
      <c r="S1568">
        <v>1.9161379999999999</v>
      </c>
      <c r="T1568">
        <v>-0.2204208</v>
      </c>
      <c r="U1568">
        <v>-2.804535</v>
      </c>
      <c r="V1568">
        <v>0.25038830000000001</v>
      </c>
      <c r="W1568">
        <v>-0.1003431</v>
      </c>
      <c r="X1568">
        <v>0.96293150000000005</v>
      </c>
      <c r="Y1568">
        <v>0.67403069999999998</v>
      </c>
      <c r="Z1568">
        <v>-1.9754190000000001E-2</v>
      </c>
      <c r="AA1568">
        <v>0.73843910000000001</v>
      </c>
      <c r="AB1568">
        <v>26</v>
      </c>
      <c r="AC1568">
        <v>9.4524999999999793</v>
      </c>
      <c r="AD1568">
        <v>-1.101463653473</v>
      </c>
      <c r="AE1568">
        <v>-13.982200000000001</v>
      </c>
      <c r="AF1568">
        <v>11.4133688459433</v>
      </c>
      <c r="AG1568">
        <v>-1.101463653473</v>
      </c>
      <c r="AH1568">
        <v>12.335949683230799</v>
      </c>
      <c r="AI1568">
        <v>93.749803631140097</v>
      </c>
      <c r="AJ1568">
        <v>47.2246289966779</v>
      </c>
      <c r="AK1568">
        <v>16.842026753947199</v>
      </c>
      <c r="AL1568">
        <v>95.758927712138799</v>
      </c>
      <c r="AM1568">
        <v>75.424328601990496</v>
      </c>
      <c r="AN1568">
        <v>1.0000000560933699</v>
      </c>
    </row>
    <row r="1569" spans="1:40" x14ac:dyDescent="0.25">
      <c r="A1569" t="str">
        <f>"20190305134931713"</f>
        <v>20190305134931713</v>
      </c>
      <c r="B1569" t="str">
        <f>"1551764971701828"</f>
        <v>1551764971701828</v>
      </c>
      <c r="C1569" t="s">
        <v>40</v>
      </c>
      <c r="D1569">
        <v>4.1741449999999896</v>
      </c>
      <c r="E1569">
        <v>0.70048369999999904</v>
      </c>
      <c r="F1569" t="s">
        <v>44</v>
      </c>
      <c r="G1569">
        <v>-196.21610000000001</v>
      </c>
      <c r="H1569" s="1">
        <v>-3.074534E-6</v>
      </c>
      <c r="I1569">
        <v>352.09269999999998</v>
      </c>
      <c r="J1569">
        <v>-206.15940000000001</v>
      </c>
      <c r="K1569">
        <v>1.1012959999999901</v>
      </c>
      <c r="L1569">
        <v>366.92610000000002</v>
      </c>
      <c r="M1569">
        <v>0.97225640000000002</v>
      </c>
      <c r="N1569">
        <v>-1.6513429999999999E-2</v>
      </c>
      <c r="O1569">
        <v>-0.23333419999999999</v>
      </c>
      <c r="P1569">
        <v>0.87536559999999897</v>
      </c>
      <c r="Q1569">
        <v>-0.1115009</v>
      </c>
      <c r="R1569">
        <v>-0.47042859999999997</v>
      </c>
      <c r="S1569">
        <v>1.9017029999999999</v>
      </c>
      <c r="T1569">
        <v>-0.20826819999999999</v>
      </c>
      <c r="U1569">
        <v>-2.8109130000000002</v>
      </c>
      <c r="V1569">
        <v>0.25104599999999999</v>
      </c>
      <c r="W1569">
        <v>-0.10103429999999999</v>
      </c>
      <c r="X1569">
        <v>0.96268790000000004</v>
      </c>
      <c r="Y1569">
        <v>0.67327999999999999</v>
      </c>
      <c r="Z1569">
        <v>-1.8854570000000001E-2</v>
      </c>
      <c r="AA1569">
        <v>0.7391472</v>
      </c>
      <c r="AB1569">
        <v>26</v>
      </c>
      <c r="AC1569">
        <v>9.94329999999999</v>
      </c>
      <c r="AD1569">
        <v>-1.1012990745340001</v>
      </c>
      <c r="AE1569">
        <v>-14.833399999999999</v>
      </c>
      <c r="AF1569">
        <v>12.0575480647994</v>
      </c>
      <c r="AG1569">
        <v>-1.1012990745340001</v>
      </c>
      <c r="AH1569">
        <v>13.080617511242901</v>
      </c>
      <c r="AI1569">
        <v>93.542387757936694</v>
      </c>
      <c r="AJ1569">
        <v>47.330529263100303</v>
      </c>
      <c r="AK1569">
        <v>17.8241375517009</v>
      </c>
      <c r="AL1569">
        <v>95.798733121819396</v>
      </c>
      <c r="AM1569">
        <v>75.384139855920495</v>
      </c>
      <c r="AN1569">
        <v>1.00000000834945</v>
      </c>
    </row>
    <row r="1570" spans="1:40" x14ac:dyDescent="0.25">
      <c r="A1570" t="str">
        <f>"20190305134931724"</f>
        <v>20190305134931724</v>
      </c>
      <c r="B1570" t="str">
        <f>"1551764971722325"</f>
        <v>1551764971722325</v>
      </c>
      <c r="C1570" t="s">
        <v>40</v>
      </c>
      <c r="D1570">
        <v>4.4070179999999999</v>
      </c>
      <c r="E1570">
        <v>0.72291859999999997</v>
      </c>
      <c r="F1570" t="s">
        <v>44</v>
      </c>
      <c r="G1570">
        <v>-196.28720000000001</v>
      </c>
      <c r="H1570" s="1">
        <v>-3.1065560000000001E-6</v>
      </c>
      <c r="I1570">
        <v>352.125</v>
      </c>
      <c r="J1570">
        <v>-206.0282</v>
      </c>
      <c r="K1570">
        <v>1.101111</v>
      </c>
      <c r="L1570">
        <v>366.88760000000002</v>
      </c>
      <c r="M1570">
        <v>0.97065000000000001</v>
      </c>
      <c r="N1570">
        <v>-1.645688E-2</v>
      </c>
      <c r="O1570">
        <v>-0.23993310000000001</v>
      </c>
      <c r="P1570">
        <v>0.87175049999999898</v>
      </c>
      <c r="Q1570">
        <v>-0.11184139999999999</v>
      </c>
      <c r="R1570">
        <v>-0.47701450000000001</v>
      </c>
      <c r="S1570">
        <v>1.8831180000000001</v>
      </c>
      <c r="T1570">
        <v>-0.21007200000000001</v>
      </c>
      <c r="U1570">
        <v>-2.8233030000000001</v>
      </c>
      <c r="V1570">
        <v>0.25172020000000001</v>
      </c>
      <c r="W1570">
        <v>-0.101559</v>
      </c>
      <c r="X1570">
        <v>0.9624566</v>
      </c>
      <c r="Y1570">
        <v>0.67311869999999996</v>
      </c>
      <c r="Z1570">
        <v>-1.853803E-2</v>
      </c>
      <c r="AA1570">
        <v>0.73930220000000002</v>
      </c>
      <c r="AB1570">
        <v>26</v>
      </c>
      <c r="AC1570">
        <v>9.7409999999999801</v>
      </c>
      <c r="AD1570">
        <v>-1.1011141065559999</v>
      </c>
      <c r="AE1570">
        <v>-14.762600000000001</v>
      </c>
      <c r="AF1570">
        <v>11.947446102440299</v>
      </c>
      <c r="AG1570">
        <v>-1.1011141065559999</v>
      </c>
      <c r="AH1570">
        <v>12.9487100601509</v>
      </c>
      <c r="AI1570">
        <v>93.576203496863897</v>
      </c>
      <c r="AJ1570">
        <v>47.3030582864859</v>
      </c>
      <c r="AK1570">
        <v>17.6528471603939</v>
      </c>
      <c r="AL1570">
        <v>95.828951712756094</v>
      </c>
      <c r="AM1570">
        <v>75.343205337373504</v>
      </c>
      <c r="AN1570">
        <v>0.99999999822630004</v>
      </c>
    </row>
    <row r="1571" spans="1:40" x14ac:dyDescent="0.25">
      <c r="A1571" t="str">
        <f>"20190305134931735"</f>
        <v>20190305134931735</v>
      </c>
      <c r="B1571" t="str">
        <f>"1551764971732084"</f>
        <v>1551764971732084</v>
      </c>
      <c r="C1571" t="s">
        <v>40</v>
      </c>
      <c r="D1571">
        <v>4.4108029999999996</v>
      </c>
      <c r="E1571">
        <v>0.67411709999999903</v>
      </c>
      <c r="F1571" t="s">
        <v>59</v>
      </c>
      <c r="G1571">
        <v>-157.25</v>
      </c>
      <c r="H1571">
        <v>22.871970000000001</v>
      </c>
      <c r="I1571">
        <v>289.43770000000001</v>
      </c>
      <c r="J1571">
        <v>-205.91470000000001</v>
      </c>
      <c r="K1571">
        <v>1.100951</v>
      </c>
      <c r="L1571">
        <v>366.85329999999999</v>
      </c>
      <c r="M1571">
        <v>0.96919239999999995</v>
      </c>
      <c r="N1571">
        <v>-1.641428E-2</v>
      </c>
      <c r="O1571">
        <v>-0.24575810000000001</v>
      </c>
      <c r="P1571">
        <v>0.86856440000000001</v>
      </c>
      <c r="Q1571">
        <v>-0.1118502</v>
      </c>
      <c r="R1571">
        <v>-0.48278959999999999</v>
      </c>
      <c r="S1571">
        <v>1.8996580000000001</v>
      </c>
      <c r="T1571">
        <v>0.84786340000000004</v>
      </c>
      <c r="U1571">
        <v>-3.0162659999999999</v>
      </c>
      <c r="V1571">
        <v>0.25228779999999901</v>
      </c>
      <c r="W1571">
        <v>-0.10171959999999999</v>
      </c>
      <c r="X1571">
        <v>0.96229100000000001</v>
      </c>
      <c r="Y1571">
        <v>0.6800562</v>
      </c>
      <c r="Z1571">
        <v>2.1366989999999999E-2</v>
      </c>
      <c r="AA1571">
        <v>0.73284850000000001</v>
      </c>
      <c r="AB1571">
        <v>26</v>
      </c>
      <c r="AC1571">
        <v>48.664700000000003</v>
      </c>
      <c r="AD1571">
        <v>21.771018999999999</v>
      </c>
      <c r="AE1571">
        <v>-77.415599999999898</v>
      </c>
      <c r="AF1571">
        <v>59.695447425456599</v>
      </c>
      <c r="AG1571">
        <v>21.771018999999999</v>
      </c>
      <c r="AH1571">
        <v>62.648567404334798</v>
      </c>
      <c r="AI1571">
        <v>75.878322829049694</v>
      </c>
      <c r="AJ1571">
        <v>46.3827277290438</v>
      </c>
      <c r="AK1571">
        <v>89.232094615330496</v>
      </c>
      <c r="AL1571">
        <v>95.838201364707601</v>
      </c>
      <c r="AM1571">
        <v>75.309165182117596</v>
      </c>
      <c r="AN1571">
        <v>0.99999998986700001</v>
      </c>
    </row>
    <row r="1572" spans="1:40" x14ac:dyDescent="0.25">
      <c r="A1572" t="str">
        <f>"20190305134931745"</f>
        <v>20190305134931745</v>
      </c>
      <c r="B1572" t="str">
        <f>"1551764971742822"</f>
        <v>1551764971742822</v>
      </c>
      <c r="C1572" t="s">
        <v>40</v>
      </c>
      <c r="D1572">
        <v>4.4270230000000002</v>
      </c>
      <c r="E1572">
        <v>0.67407600000000001</v>
      </c>
      <c r="F1572" t="s">
        <v>42</v>
      </c>
      <c r="G1572">
        <v>-176.70189999999999</v>
      </c>
      <c r="H1572">
        <v>7.9986230000000005E-2</v>
      </c>
      <c r="I1572">
        <v>327.1053</v>
      </c>
      <c r="J1572">
        <v>-205.7961</v>
      </c>
      <c r="K1572">
        <v>1.1007800000000001</v>
      </c>
      <c r="L1572">
        <v>366.81670000000003</v>
      </c>
      <c r="M1572">
        <v>0.96760360000000001</v>
      </c>
      <c r="N1572">
        <v>-1.637479E-2</v>
      </c>
      <c r="O1572">
        <v>-0.25194260000000002</v>
      </c>
      <c r="P1572">
        <v>0.86509319999999901</v>
      </c>
      <c r="Q1572">
        <v>-0.1117204</v>
      </c>
      <c r="R1572">
        <v>-0.48901119999999998</v>
      </c>
      <c r="S1572">
        <v>1.9615940000000001</v>
      </c>
      <c r="T1572">
        <v>-6.8556069999999997E-2</v>
      </c>
      <c r="U1572">
        <v>-2.669006</v>
      </c>
      <c r="V1572">
        <v>0.25300589999999901</v>
      </c>
      <c r="W1572">
        <v>-0.1017463</v>
      </c>
      <c r="X1572">
        <v>0.96209960000000005</v>
      </c>
      <c r="Y1572">
        <v>0.63029309999999905</v>
      </c>
      <c r="Z1572">
        <v>-1.1643189999999999E-2</v>
      </c>
      <c r="AA1572">
        <v>0.77627000000000002</v>
      </c>
      <c r="AB1572">
        <v>26</v>
      </c>
      <c r="AC1572">
        <v>29.094200000000001</v>
      </c>
      <c r="AD1572">
        <v>-1.0207937699999901</v>
      </c>
      <c r="AE1572">
        <v>-39.711399999999998</v>
      </c>
      <c r="AF1572">
        <v>31.085629949096599</v>
      </c>
      <c r="AG1572">
        <v>-1.0207937699999901</v>
      </c>
      <c r="AH1572">
        <v>38.145362467405597</v>
      </c>
      <c r="AI1572">
        <v>91.188410353736501</v>
      </c>
      <c r="AJ1572">
        <v>50.822529651456797</v>
      </c>
      <c r="AK1572">
        <v>49.218158102704301</v>
      </c>
      <c r="AL1572">
        <v>95.839739270547597</v>
      </c>
      <c r="AM1572">
        <v>75.266362901728897</v>
      </c>
      <c r="AN1572">
        <v>0.99999996765932897</v>
      </c>
    </row>
    <row r="1573" spans="1:40" x14ac:dyDescent="0.25">
      <c r="A1573" t="str">
        <f>"20190305134931755"</f>
        <v>20190305134931755</v>
      </c>
      <c r="B1573" t="str">
        <f>"1551764971752582"</f>
        <v>1551764971752582</v>
      </c>
      <c r="C1573" t="s">
        <v>40</v>
      </c>
      <c r="D1573">
        <v>4.4231790000000002</v>
      </c>
      <c r="E1573">
        <v>0.67372489999999996</v>
      </c>
      <c r="F1573" t="s">
        <v>53</v>
      </c>
      <c r="G1573">
        <v>-168.98179999999999</v>
      </c>
      <c r="H1573">
        <v>1.054105E-2</v>
      </c>
      <c r="I1573">
        <v>316.00889999999998</v>
      </c>
      <c r="J1573">
        <v>-205.6867</v>
      </c>
      <c r="K1573">
        <v>1.1006290000000001</v>
      </c>
      <c r="L1573">
        <v>366.78190000000001</v>
      </c>
      <c r="M1573">
        <v>0.96606829999999999</v>
      </c>
      <c r="N1573">
        <v>-1.6345099999999901E-2</v>
      </c>
      <c r="O1573">
        <v>-0.25776900000000003</v>
      </c>
      <c r="P1573">
        <v>0.86176719999999896</v>
      </c>
      <c r="Q1573">
        <v>-0.1114576</v>
      </c>
      <c r="R1573">
        <v>-0.49490869999999998</v>
      </c>
      <c r="S1573">
        <v>1.9439090000000001</v>
      </c>
      <c r="T1573">
        <v>-5.7567599999999997E-2</v>
      </c>
      <c r="U1573">
        <v>-2.6827999999999999</v>
      </c>
      <c r="V1573">
        <v>0.25373820000000002</v>
      </c>
      <c r="W1573">
        <v>-0.1016229</v>
      </c>
      <c r="X1573">
        <v>0.96191979999999999</v>
      </c>
      <c r="Y1573">
        <v>0.63091889999999995</v>
      </c>
      <c r="Z1573">
        <v>-1.1311979999999999E-2</v>
      </c>
      <c r="AA1573">
        <v>0.77576639999999997</v>
      </c>
      <c r="AB1573">
        <v>26</v>
      </c>
      <c r="AC1573">
        <v>36.704900000000002</v>
      </c>
      <c r="AD1573">
        <v>-1.09008795</v>
      </c>
      <c r="AE1573">
        <v>-50.773000000000003</v>
      </c>
      <c r="AF1573">
        <v>39.582107189439803</v>
      </c>
      <c r="AG1573">
        <v>-1.09008795</v>
      </c>
      <c r="AH1573">
        <v>48.538937964941297</v>
      </c>
      <c r="AI1573">
        <v>90.997111689061498</v>
      </c>
      <c r="AJ1573">
        <v>50.803746376724497</v>
      </c>
      <c r="AK1573">
        <v>62.641519777695898</v>
      </c>
      <c r="AL1573">
        <v>95.832631973824903</v>
      </c>
      <c r="AM1573">
        <v>75.222940016533897</v>
      </c>
      <c r="AN1573">
        <v>0.99999999478784496</v>
      </c>
    </row>
    <row r="1574" spans="1:40" x14ac:dyDescent="0.25">
      <c r="A1574" t="str">
        <f>"20190305134931764"</f>
        <v>20190305134931764</v>
      </c>
      <c r="B1574" t="str">
        <f>"1551764971762341"</f>
        <v>1551764971762341</v>
      </c>
      <c r="C1574" t="s">
        <v>40</v>
      </c>
      <c r="D1574">
        <v>4.4180199999999896</v>
      </c>
      <c r="E1574">
        <v>0.67317039999999995</v>
      </c>
      <c r="F1574" t="s">
        <v>53</v>
      </c>
      <c r="G1574">
        <v>-168.9819</v>
      </c>
      <c r="H1574">
        <v>0.10035239999999999</v>
      </c>
      <c r="I1574">
        <v>315.4948</v>
      </c>
      <c r="J1574">
        <v>-205.57820000000001</v>
      </c>
      <c r="K1574">
        <v>1.1004849999999999</v>
      </c>
      <c r="L1574">
        <v>366.74669999999998</v>
      </c>
      <c r="M1574">
        <v>0.96448809999999996</v>
      </c>
      <c r="N1574">
        <v>-1.6319609999999998E-2</v>
      </c>
      <c r="O1574">
        <v>-0.26362200000000002</v>
      </c>
      <c r="P1574">
        <v>0.85846139999999904</v>
      </c>
      <c r="Q1574">
        <v>-0.1110025</v>
      </c>
      <c r="R1574">
        <v>-0.50072249999999996</v>
      </c>
      <c r="S1574">
        <v>1.9276120000000001</v>
      </c>
      <c r="T1574">
        <v>-5.2530769999999997E-2</v>
      </c>
      <c r="U1574">
        <v>-2.6934200000000001</v>
      </c>
      <c r="V1574">
        <v>0.25436500000000001</v>
      </c>
      <c r="W1574">
        <v>-0.1012989</v>
      </c>
      <c r="X1574">
        <v>0.96178839999999999</v>
      </c>
      <c r="Y1574">
        <v>0.63078749999999995</v>
      </c>
      <c r="Z1574">
        <v>-1.114857E-2</v>
      </c>
      <c r="AA1574">
        <v>0.775875599999999</v>
      </c>
      <c r="AB1574">
        <v>26</v>
      </c>
      <c r="AC1574">
        <v>36.596299999999999</v>
      </c>
      <c r="AD1574">
        <v>-1.0001325999999999</v>
      </c>
      <c r="AE1574">
        <v>-51.2518999999999</v>
      </c>
      <c r="AF1574">
        <v>39.779520443832901</v>
      </c>
      <c r="AG1574">
        <v>-1.0001325999999999</v>
      </c>
      <c r="AH1574">
        <v>48.802012322148798</v>
      </c>
      <c r="AI1574">
        <v>90.910068981641899</v>
      </c>
      <c r="AJ1574">
        <v>50.815817765895297</v>
      </c>
      <c r="AK1574">
        <v>62.968618522642501</v>
      </c>
      <c r="AL1574">
        <v>95.813971970956302</v>
      </c>
      <c r="AM1574">
        <v>75.186105090968596</v>
      </c>
      <c r="AN1574">
        <v>0.99999997337038404</v>
      </c>
    </row>
    <row r="1575" spans="1:40" x14ac:dyDescent="0.25">
      <c r="A1575" t="str">
        <f>"20190305134931776"</f>
        <v>20190305134931776</v>
      </c>
      <c r="B1575" t="str">
        <f>"1551764971772100"</f>
        <v>1551764971772100</v>
      </c>
      <c r="C1575" t="s">
        <v>40</v>
      </c>
      <c r="D1575">
        <v>4.2006600000000001</v>
      </c>
      <c r="E1575">
        <v>0.67317039999999995</v>
      </c>
      <c r="F1575" t="s">
        <v>53</v>
      </c>
      <c r="G1575">
        <v>-168.9819</v>
      </c>
      <c r="H1575">
        <v>9.2513170000000006E-2</v>
      </c>
      <c r="I1575">
        <v>315.0025</v>
      </c>
      <c r="J1575">
        <v>-205.46209999999999</v>
      </c>
      <c r="K1575">
        <v>1.1003309999999999</v>
      </c>
      <c r="L1575">
        <v>366.7081</v>
      </c>
      <c r="M1575">
        <v>0.96271960000000001</v>
      </c>
      <c r="N1575">
        <v>-1.629866E-2</v>
      </c>
      <c r="O1575">
        <v>-0.27000999999999997</v>
      </c>
      <c r="P1575">
        <v>0.85517140000000003</v>
      </c>
      <c r="Q1575">
        <v>-0.1105614</v>
      </c>
      <c r="R1575">
        <v>-0.50641709999999995</v>
      </c>
      <c r="S1575">
        <v>1.911438</v>
      </c>
      <c r="T1575">
        <v>-5.2646279999999997E-2</v>
      </c>
      <c r="U1575">
        <v>-2.7026059999999998</v>
      </c>
      <c r="V1575">
        <v>0.25433840000000002</v>
      </c>
      <c r="W1575">
        <v>-0.1009723</v>
      </c>
      <c r="X1575">
        <v>0.96182979999999996</v>
      </c>
      <c r="Y1575">
        <v>0.62997950000000003</v>
      </c>
      <c r="Z1575">
        <v>-1.1103450000000001E-2</v>
      </c>
      <c r="AA1575">
        <v>0.77653240000000001</v>
      </c>
      <c r="AB1575">
        <v>26</v>
      </c>
      <c r="AC1575">
        <v>36.480200000000004</v>
      </c>
      <c r="AD1575">
        <v>-1.00781783</v>
      </c>
      <c r="AE1575">
        <v>-51.705599999999997</v>
      </c>
      <c r="AF1575">
        <v>39.923152039969999</v>
      </c>
      <c r="AG1575">
        <v>-1.00781783</v>
      </c>
      <c r="AH1575">
        <v>49.075303093096402</v>
      </c>
      <c r="AI1575">
        <v>90.912675062829393</v>
      </c>
      <c r="AJ1575">
        <v>50.871369631200899</v>
      </c>
      <c r="AK1575">
        <v>63.271313715334799</v>
      </c>
      <c r="AL1575">
        <v>95.7951625977974</v>
      </c>
      <c r="AM1575">
        <v>75.188195670357004</v>
      </c>
      <c r="AN1575">
        <v>0.99999999562494402</v>
      </c>
    </row>
    <row r="1576" spans="1:40" x14ac:dyDescent="0.25">
      <c r="A1576" t="str">
        <f>"20190305134931787"</f>
        <v>20190305134931787</v>
      </c>
      <c r="B1576" t="str">
        <f>"1551764971781860"</f>
        <v>1551764971781860</v>
      </c>
      <c r="C1576" t="s">
        <v>40</v>
      </c>
      <c r="D1576">
        <v>4.4108790000000004</v>
      </c>
      <c r="E1576">
        <v>0.67312240000000001</v>
      </c>
      <c r="F1576" t="s">
        <v>43</v>
      </c>
      <c r="G1576">
        <v>-162.50799999999899</v>
      </c>
      <c r="H1576">
        <v>-0.05</v>
      </c>
      <c r="I1576">
        <v>305.12920000000003</v>
      </c>
      <c r="J1576">
        <v>-205.3279</v>
      </c>
      <c r="K1576">
        <v>1.100155</v>
      </c>
      <c r="L1576">
        <v>366.66239999999999</v>
      </c>
      <c r="M1576">
        <v>0.96059119999999998</v>
      </c>
      <c r="N1576">
        <v>-1.627922E-2</v>
      </c>
      <c r="O1576">
        <v>-0.27748810000000002</v>
      </c>
      <c r="P1576">
        <v>0.85120959999999901</v>
      </c>
      <c r="Q1576">
        <v>-0.1100251</v>
      </c>
      <c r="R1576">
        <v>-0.51316399999999995</v>
      </c>
      <c r="S1576">
        <v>1.8937679999999999</v>
      </c>
      <c r="T1576">
        <v>-5.0716039999999997E-2</v>
      </c>
      <c r="U1576">
        <v>-2.7149049999999999</v>
      </c>
      <c r="V1576">
        <v>0.25441469999999999</v>
      </c>
      <c r="W1576">
        <v>-0.100566</v>
      </c>
      <c r="X1576">
        <v>0.96185220000000005</v>
      </c>
      <c r="Y1576">
        <v>0.62899930000000004</v>
      </c>
      <c r="Z1576">
        <v>-1.101166E-2</v>
      </c>
      <c r="AA1576">
        <v>0.77732789999999996</v>
      </c>
      <c r="AB1576">
        <v>26</v>
      </c>
      <c r="AC1576">
        <v>42.819899999999997</v>
      </c>
      <c r="AD1576">
        <v>-1.15015499999999</v>
      </c>
      <c r="AE1576">
        <v>-61.533199999999901</v>
      </c>
      <c r="AF1576">
        <v>47.221378728545602</v>
      </c>
      <c r="AG1576">
        <v>-1.15015499999999</v>
      </c>
      <c r="AH1576">
        <v>58.201161071244698</v>
      </c>
      <c r="AI1576">
        <v>90.879191877068493</v>
      </c>
      <c r="AJ1576">
        <v>50.945931719084903</v>
      </c>
      <c r="AK1576">
        <v>74.957031795487595</v>
      </c>
      <c r="AL1576">
        <v>95.7717641531476</v>
      </c>
      <c r="AM1576">
        <v>75.184277507363902</v>
      </c>
      <c r="AN1576">
        <v>1.0000000072884601</v>
      </c>
    </row>
    <row r="1577" spans="1:40" x14ac:dyDescent="0.25">
      <c r="A1577" t="str">
        <f>"20190305134931800"</f>
        <v>20190305134931800</v>
      </c>
      <c r="B1577" t="str">
        <f>"1551764971792597"</f>
        <v>1551764971792597</v>
      </c>
      <c r="C1577" t="s">
        <v>40</v>
      </c>
      <c r="D1577">
        <v>4.4080050000000002</v>
      </c>
      <c r="E1577">
        <v>0.67276659999999999</v>
      </c>
      <c r="F1577" t="s">
        <v>43</v>
      </c>
      <c r="G1577">
        <v>-155.643</v>
      </c>
      <c r="H1577">
        <v>-0.05</v>
      </c>
      <c r="I1577">
        <v>294.26179999999999</v>
      </c>
      <c r="J1577">
        <v>-205.1962</v>
      </c>
      <c r="K1577">
        <v>1.09998</v>
      </c>
      <c r="L1577">
        <v>366.61590000000001</v>
      </c>
      <c r="M1577">
        <v>0.95837989999999995</v>
      </c>
      <c r="N1577">
        <v>-1.6270429999999999E-2</v>
      </c>
      <c r="O1577">
        <v>-0.2850318</v>
      </c>
      <c r="P1577">
        <v>0.84736009999999995</v>
      </c>
      <c r="Q1577">
        <v>-0.1094257</v>
      </c>
      <c r="R1577">
        <v>-0.51962159999999902</v>
      </c>
      <c r="S1577">
        <v>1.8731990000000001</v>
      </c>
      <c r="T1577">
        <v>-4.3362619999999998E-2</v>
      </c>
      <c r="U1577">
        <v>-2.7296140000000002</v>
      </c>
      <c r="V1577">
        <v>0.25411810000000001</v>
      </c>
      <c r="W1577">
        <v>-0.10007199999999999</v>
      </c>
      <c r="X1577">
        <v>0.96198209999999995</v>
      </c>
      <c r="Y1577">
        <v>0.62885440000000004</v>
      </c>
      <c r="Z1577">
        <v>-1.0865120000000001E-2</v>
      </c>
      <c r="AA1577">
        <v>0.7774472</v>
      </c>
      <c r="AB1577">
        <v>26</v>
      </c>
      <c r="AC1577">
        <v>49.553199999999997</v>
      </c>
      <c r="AD1577">
        <v>-1.14998</v>
      </c>
      <c r="AE1577">
        <v>-72.354100000000003</v>
      </c>
      <c r="AF1577">
        <v>55.216296025987603</v>
      </c>
      <c r="AG1577">
        <v>-1.14998</v>
      </c>
      <c r="AH1577">
        <v>68.111319501802399</v>
      </c>
      <c r="AI1577">
        <v>90.751417977561601</v>
      </c>
      <c r="AJ1577">
        <v>50.969105106937</v>
      </c>
      <c r="AK1577">
        <v>87.688731574282201</v>
      </c>
      <c r="AL1577">
        <v>95.743316643987399</v>
      </c>
      <c r="AM1577">
        <v>75.202702117442897</v>
      </c>
      <c r="AN1577">
        <v>0.99999998732600903</v>
      </c>
    </row>
    <row r="1578" spans="1:40" x14ac:dyDescent="0.25">
      <c r="A1578" t="str">
        <f>"20190305134931812"</f>
        <v>20190305134931812</v>
      </c>
      <c r="B1578" t="str">
        <f>"1551764971802357"</f>
        <v>1551764971802357</v>
      </c>
      <c r="C1578" t="s">
        <v>40</v>
      </c>
      <c r="D1578">
        <v>4.4221219999999999</v>
      </c>
      <c r="E1578">
        <v>0.67216529999999997</v>
      </c>
      <c r="F1578" t="s">
        <v>43</v>
      </c>
      <c r="G1578">
        <v>-153.6326</v>
      </c>
      <c r="H1578">
        <v>-0.05</v>
      </c>
      <c r="I1578">
        <v>290.39859999999999</v>
      </c>
      <c r="J1578">
        <v>-205.0624</v>
      </c>
      <c r="K1578">
        <v>1.099807</v>
      </c>
      <c r="L1578">
        <v>366.56790000000001</v>
      </c>
      <c r="M1578">
        <v>0.95604739999999999</v>
      </c>
      <c r="N1578">
        <v>-1.626348E-2</v>
      </c>
      <c r="O1578">
        <v>-0.29276089999999999</v>
      </c>
      <c r="P1578">
        <v>0.84349010000000002</v>
      </c>
      <c r="Q1578">
        <v>-0.10898190000000001</v>
      </c>
      <c r="R1578">
        <v>-0.52597320000000003</v>
      </c>
      <c r="S1578">
        <v>1.8542940000000001</v>
      </c>
      <c r="T1578">
        <v>-4.1354780000000001E-2</v>
      </c>
      <c r="U1578">
        <v>-2.740875</v>
      </c>
      <c r="V1578">
        <v>0.25353130000000001</v>
      </c>
      <c r="W1578">
        <v>-9.9724240000000006E-2</v>
      </c>
      <c r="X1578">
        <v>0.96217299999999994</v>
      </c>
      <c r="Y1578">
        <v>0.62774339999999995</v>
      </c>
      <c r="Z1578">
        <v>-1.081151E-2</v>
      </c>
      <c r="AA1578">
        <v>0.77834530000000002</v>
      </c>
      <c r="AB1578">
        <v>26</v>
      </c>
      <c r="AC1578">
        <v>51.4298</v>
      </c>
      <c r="AD1578">
        <v>-1.149807</v>
      </c>
      <c r="AE1578">
        <v>-76.169300000000007</v>
      </c>
      <c r="AF1578">
        <v>57.763424526759003</v>
      </c>
      <c r="AG1578">
        <v>-1.149807</v>
      </c>
      <c r="AH1578">
        <v>71.466984586140697</v>
      </c>
      <c r="AI1578">
        <v>90.716881090434896</v>
      </c>
      <c r="AJ1578">
        <v>51.053010125316199</v>
      </c>
      <c r="AK1578">
        <v>91.899211939121201</v>
      </c>
      <c r="AL1578">
        <v>95.723291429477996</v>
      </c>
      <c r="AM1578">
        <v>75.238178606203604</v>
      </c>
      <c r="AN1578">
        <v>0.99999996302613303</v>
      </c>
    </row>
    <row r="1579" spans="1:40" x14ac:dyDescent="0.25">
      <c r="A1579" t="str">
        <f>"20190305134931824"</f>
        <v>20190305134931824</v>
      </c>
      <c r="B1579" t="str">
        <f>"1551764971821877"</f>
        <v>1551764971821877</v>
      </c>
      <c r="C1579" t="s">
        <v>40</v>
      </c>
      <c r="D1579">
        <v>4.4445360000000003</v>
      </c>
      <c r="E1579">
        <v>0.67091480000000003</v>
      </c>
      <c r="F1579" t="s">
        <v>43</v>
      </c>
      <c r="G1579">
        <v>-153.45160000000001</v>
      </c>
      <c r="H1579">
        <v>-0.05</v>
      </c>
      <c r="I1579">
        <v>289.27289999999999</v>
      </c>
      <c r="J1579">
        <v>-204.911</v>
      </c>
      <c r="K1579">
        <v>1.099612</v>
      </c>
      <c r="L1579">
        <v>366.51130000000001</v>
      </c>
      <c r="M1579">
        <v>0.95324949999999997</v>
      </c>
      <c r="N1579">
        <v>-1.6266160000000002E-2</v>
      </c>
      <c r="O1579">
        <v>-0.30174669999999998</v>
      </c>
      <c r="P1579">
        <v>0.83871319999999905</v>
      </c>
      <c r="Q1579">
        <v>-0.10858719999999999</v>
      </c>
      <c r="R1579">
        <v>-0.53363769999999999</v>
      </c>
      <c r="S1579">
        <v>1.836395</v>
      </c>
      <c r="T1579">
        <v>-4.0911910000000003E-2</v>
      </c>
      <c r="U1579">
        <v>-2.7502749999999998</v>
      </c>
      <c r="V1579">
        <v>0.2531911</v>
      </c>
      <c r="W1579">
        <v>-9.9436159999999996E-2</v>
      </c>
      <c r="X1579">
        <v>0.96229240000000005</v>
      </c>
      <c r="Y1579">
        <v>0.62514440000000004</v>
      </c>
      <c r="Z1579">
        <v>-1.0763109999999999E-2</v>
      </c>
      <c r="AA1579">
        <v>0.78043490000000004</v>
      </c>
      <c r="AB1579">
        <v>26</v>
      </c>
      <c r="AC1579">
        <v>51.459399999999903</v>
      </c>
      <c r="AD1579">
        <v>-1.1496120000000001</v>
      </c>
      <c r="AE1579">
        <v>-77.238399999999999</v>
      </c>
      <c r="AF1579">
        <v>58.098528063425199</v>
      </c>
      <c r="AG1579">
        <v>-1.1496120000000001</v>
      </c>
      <c r="AH1579">
        <v>72.358542774674305</v>
      </c>
      <c r="AI1579">
        <v>90.709773736150794</v>
      </c>
      <c r="AJ1579">
        <v>51.238126617325896</v>
      </c>
      <c r="AK1579">
        <v>92.803659859735703</v>
      </c>
      <c r="AL1579">
        <v>95.706703152055994</v>
      </c>
      <c r="AM1579">
        <v>75.2588729544849</v>
      </c>
      <c r="AN1579">
        <v>0.99999997306625699</v>
      </c>
    </row>
    <row r="1580" spans="1:40" x14ac:dyDescent="0.25">
      <c r="A1580" t="str">
        <f>"20190305134931836"</f>
        <v>20190305134931836</v>
      </c>
      <c r="B1580" t="str">
        <f>"1551764971832613"</f>
        <v>1551764971832613</v>
      </c>
      <c r="C1580" t="s">
        <v>40</v>
      </c>
      <c r="D1580">
        <v>4.4174009999999999</v>
      </c>
      <c r="E1580">
        <v>0.67057860000000002</v>
      </c>
      <c r="F1580" t="s">
        <v>43</v>
      </c>
      <c r="G1580">
        <v>-157.8323</v>
      </c>
      <c r="H1580">
        <v>-0.05</v>
      </c>
      <c r="I1580">
        <v>294.9973</v>
      </c>
      <c r="J1580">
        <v>-204.78829999999999</v>
      </c>
      <c r="K1580">
        <v>1.0994520000000001</v>
      </c>
      <c r="L1580">
        <v>366.46409999999997</v>
      </c>
      <c r="M1580">
        <v>0.95087239999999995</v>
      </c>
      <c r="N1580">
        <v>-1.62729E-2</v>
      </c>
      <c r="O1580">
        <v>-0.30915540000000002</v>
      </c>
      <c r="P1580">
        <v>0.83486719999999903</v>
      </c>
      <c r="Q1580">
        <v>-0.1083385</v>
      </c>
      <c r="R1580">
        <v>-0.53968470000000002</v>
      </c>
      <c r="S1580">
        <v>1.8160099999999999</v>
      </c>
      <c r="T1580">
        <v>-4.4345019999999999E-2</v>
      </c>
      <c r="U1580">
        <v>-2.758575</v>
      </c>
      <c r="V1580">
        <v>0.2526177</v>
      </c>
      <c r="W1580">
        <v>-9.9258139999999995E-2</v>
      </c>
      <c r="X1580">
        <v>0.96246149999999997</v>
      </c>
      <c r="Y1580">
        <v>0.62415299999999996</v>
      </c>
      <c r="Z1580">
        <v>-1.077847E-2</v>
      </c>
      <c r="AA1580">
        <v>0.78122780000000003</v>
      </c>
      <c r="AB1580">
        <v>26</v>
      </c>
      <c r="AC1580">
        <v>46.955999999999896</v>
      </c>
      <c r="AD1580">
        <v>-1.1494519999999999</v>
      </c>
      <c r="AE1580">
        <v>-71.466799999999907</v>
      </c>
      <c r="AF1580">
        <v>53.436523330127997</v>
      </c>
      <c r="AG1580">
        <v>-1.1494519999999999</v>
      </c>
      <c r="AH1580">
        <v>66.740285052153098</v>
      </c>
      <c r="AI1580">
        <v>90.7702588724989</v>
      </c>
      <c r="AJ1580">
        <v>51.317012054219397</v>
      </c>
      <c r="AK1580">
        <v>85.504671886127298</v>
      </c>
      <c r="AL1580">
        <v>95.696452435941595</v>
      </c>
      <c r="AM1580">
        <v>75.293280226071303</v>
      </c>
      <c r="AN1580">
        <v>1.0000000098458901</v>
      </c>
    </row>
    <row r="1581" spans="1:40" x14ac:dyDescent="0.25">
      <c r="A1581" t="str">
        <f>"20190305134931846"</f>
        <v>20190305134931846</v>
      </c>
      <c r="B1581" t="str">
        <f>"1551764971842373"</f>
        <v>1551764971842373</v>
      </c>
      <c r="C1581" t="s">
        <v>40</v>
      </c>
      <c r="D1581">
        <v>4.4651259999999997</v>
      </c>
      <c r="E1581">
        <v>0.67020139999999995</v>
      </c>
      <c r="F1581" t="s">
        <v>43</v>
      </c>
      <c r="G1581">
        <v>-159.5506</v>
      </c>
      <c r="H1581">
        <v>-0.05</v>
      </c>
      <c r="I1581">
        <v>296.7697</v>
      </c>
      <c r="J1581">
        <v>-204.6781</v>
      </c>
      <c r="K1581">
        <v>1.09931</v>
      </c>
      <c r="L1581">
        <v>366.42110000000002</v>
      </c>
      <c r="M1581">
        <v>0.94866070000000002</v>
      </c>
      <c r="N1581">
        <v>-1.6281090000000002E-2</v>
      </c>
      <c r="O1581">
        <v>-0.31587670000000001</v>
      </c>
      <c r="P1581">
        <v>0.83110189999999995</v>
      </c>
      <c r="Q1581">
        <v>-0.1082086</v>
      </c>
      <c r="R1581">
        <v>-0.54549119999999995</v>
      </c>
      <c r="S1581">
        <v>1.797409</v>
      </c>
      <c r="T1581">
        <v>-4.5670629999999997E-2</v>
      </c>
      <c r="U1581">
        <v>-2.7691349999999999</v>
      </c>
      <c r="V1581">
        <v>0.25248150000000003</v>
      </c>
      <c r="W1581">
        <v>-9.9199709999999997E-2</v>
      </c>
      <c r="X1581">
        <v>0.96250329999999995</v>
      </c>
      <c r="Y1581">
        <v>0.62366929999999998</v>
      </c>
      <c r="Z1581">
        <v>-1.077675E-2</v>
      </c>
      <c r="AA1581">
        <v>0.78161400000000003</v>
      </c>
      <c r="AB1581">
        <v>26</v>
      </c>
      <c r="AC1581">
        <v>45.127499999999998</v>
      </c>
      <c r="AD1581">
        <v>-1.1493100000000001</v>
      </c>
      <c r="AE1581">
        <v>-69.651399999999995</v>
      </c>
      <c r="AF1581">
        <v>51.817744817055903</v>
      </c>
      <c r="AG1581">
        <v>-1.1493100000000001</v>
      </c>
      <c r="AH1581">
        <v>64.808093885677707</v>
      </c>
      <c r="AI1581">
        <v>90.793550894405698</v>
      </c>
      <c r="AJ1581">
        <v>51.355682889666298</v>
      </c>
      <c r="AK1581">
        <v>82.984869852862005</v>
      </c>
      <c r="AL1581">
        <v>95.693087830195793</v>
      </c>
      <c r="AM1581">
        <v>75.301476687844698</v>
      </c>
      <c r="AN1581">
        <v>1.0000000464086101</v>
      </c>
    </row>
    <row r="1582" spans="1:40" x14ac:dyDescent="0.25">
      <c r="A1582" t="str">
        <f>"20190305134931857"</f>
        <v>20190305134931857</v>
      </c>
      <c r="B1582" t="str">
        <f>"1551764971852133"</f>
        <v>1551764971852133</v>
      </c>
      <c r="C1582" t="s">
        <v>40</v>
      </c>
      <c r="D1582">
        <v>4.4316230000000001</v>
      </c>
      <c r="E1582">
        <v>0.66977169999999997</v>
      </c>
      <c r="F1582" t="s">
        <v>43</v>
      </c>
      <c r="G1582">
        <v>-166.85929999999999</v>
      </c>
      <c r="H1582">
        <v>-0.05</v>
      </c>
      <c r="I1582">
        <v>307.32760000000002</v>
      </c>
      <c r="J1582">
        <v>-204.56630000000001</v>
      </c>
      <c r="K1582">
        <v>1.0991709999999999</v>
      </c>
      <c r="L1582">
        <v>366.3759</v>
      </c>
      <c r="M1582">
        <v>0.9463125</v>
      </c>
      <c r="N1582">
        <v>-1.629448E-2</v>
      </c>
      <c r="O1582">
        <v>-0.32284259999999998</v>
      </c>
      <c r="P1582">
        <v>0.82684709999999995</v>
      </c>
      <c r="Q1582">
        <v>-0.1086782</v>
      </c>
      <c r="R1582">
        <v>-0.55182749999999903</v>
      </c>
      <c r="S1582">
        <v>1.778564</v>
      </c>
      <c r="T1582">
        <v>-5.405045E-2</v>
      </c>
      <c r="U1582">
        <v>-2.779083</v>
      </c>
      <c r="V1582">
        <v>0.25273620000000002</v>
      </c>
      <c r="W1582">
        <v>-9.9749309999999994E-2</v>
      </c>
      <c r="X1582">
        <v>0.9623796</v>
      </c>
      <c r="Y1582">
        <v>0.62291669999999999</v>
      </c>
      <c r="Z1582">
        <v>-1.078281E-2</v>
      </c>
      <c r="AA1582">
        <v>0.78221390000000002</v>
      </c>
      <c r="AB1582">
        <v>26</v>
      </c>
      <c r="AC1582">
        <v>37.707000000000001</v>
      </c>
      <c r="AD1582">
        <v>-1.1491709999999999</v>
      </c>
      <c r="AE1582">
        <v>-59.048299999999898</v>
      </c>
      <c r="AF1582">
        <v>43.698760467611002</v>
      </c>
      <c r="AG1582">
        <v>-1.1491709999999999</v>
      </c>
      <c r="AH1582">
        <v>54.738448945966702</v>
      </c>
      <c r="AI1582">
        <v>90.939961118812903</v>
      </c>
      <c r="AJ1582">
        <v>51.398957455873898</v>
      </c>
      <c r="AK1582">
        <v>70.051410074338193</v>
      </c>
      <c r="AL1582">
        <v>95.724734802752593</v>
      </c>
      <c r="AM1582">
        <v>75.285482929643507</v>
      </c>
      <c r="AN1582">
        <v>1.0000000030660301</v>
      </c>
    </row>
    <row r="1583" spans="1:40" x14ac:dyDescent="0.25">
      <c r="A1583" t="str">
        <f>"20190305134931866"</f>
        <v>20190305134931866</v>
      </c>
      <c r="B1583" t="str">
        <f>"1551764971861892"</f>
        <v>1551764971861892</v>
      </c>
      <c r="C1583" t="s">
        <v>40</v>
      </c>
      <c r="D1583">
        <v>4.4618120000000001</v>
      </c>
      <c r="E1583">
        <v>0.66925990000000002</v>
      </c>
      <c r="F1583" t="s">
        <v>43</v>
      </c>
      <c r="G1583">
        <v>-169.80009999999999</v>
      </c>
      <c r="H1583">
        <v>-0.05</v>
      </c>
      <c r="I1583">
        <v>311.22070000000002</v>
      </c>
      <c r="J1583">
        <v>-204.4598</v>
      </c>
      <c r="K1583">
        <v>1.0990439999999999</v>
      </c>
      <c r="L1583">
        <v>366.3322</v>
      </c>
      <c r="M1583">
        <v>0.94400629999999996</v>
      </c>
      <c r="N1583">
        <v>-1.6308130000000001E-2</v>
      </c>
      <c r="O1583">
        <v>-0.32952429999999999</v>
      </c>
      <c r="P1583">
        <v>0.82279930000000001</v>
      </c>
      <c r="Q1583">
        <v>-0.1089517</v>
      </c>
      <c r="R1583">
        <v>-0.55779140000000005</v>
      </c>
      <c r="S1583">
        <v>1.758621</v>
      </c>
      <c r="T1583">
        <v>-5.812991E-2</v>
      </c>
      <c r="U1583">
        <v>-2.7899780000000001</v>
      </c>
      <c r="V1583">
        <v>0.2528647</v>
      </c>
      <c r="W1583">
        <v>-0.1000939</v>
      </c>
      <c r="X1583">
        <v>0.96231009999999995</v>
      </c>
      <c r="Y1583">
        <v>0.62274689999999999</v>
      </c>
      <c r="Z1583">
        <v>-1.0761649999999999E-2</v>
      </c>
      <c r="AA1583">
        <v>0.78234930000000003</v>
      </c>
      <c r="AB1583">
        <v>26</v>
      </c>
      <c r="AC1583">
        <v>34.659700000000001</v>
      </c>
      <c r="AD1583">
        <v>-1.149044</v>
      </c>
      <c r="AE1583">
        <v>-55.1114999999999</v>
      </c>
      <c r="AF1583">
        <v>40.597142175390204</v>
      </c>
      <c r="AG1583">
        <v>-1.149044</v>
      </c>
      <c r="AH1583">
        <v>50.870471912506197</v>
      </c>
      <c r="AI1583">
        <v>91.011438874619401</v>
      </c>
      <c r="AJ1583">
        <v>51.408408759474703</v>
      </c>
      <c r="AK1583">
        <v>65.094186895020599</v>
      </c>
      <c r="AL1583">
        <v>95.744577467497905</v>
      </c>
      <c r="AM1583">
        <v>75.277309385298395</v>
      </c>
      <c r="AN1583">
        <v>1.0000000369426501</v>
      </c>
    </row>
    <row r="1584" spans="1:40" x14ac:dyDescent="0.25">
      <c r="A1584" t="str">
        <f>"20190305134931876"</f>
        <v>20190305134931876</v>
      </c>
      <c r="B1584" t="str">
        <f>"1551764971872630"</f>
        <v>1551764971872630</v>
      </c>
      <c r="C1584" t="s">
        <v>40</v>
      </c>
      <c r="D1584">
        <v>4.4567399999999999</v>
      </c>
      <c r="E1584">
        <v>0.66872419999999899</v>
      </c>
      <c r="F1584" t="s">
        <v>42</v>
      </c>
      <c r="G1584">
        <v>-175.85980000000001</v>
      </c>
      <c r="H1584">
        <v>7.998574E-2</v>
      </c>
      <c r="I1584">
        <v>320.33049999999997</v>
      </c>
      <c r="J1584">
        <v>-204.35310000000001</v>
      </c>
      <c r="K1584">
        <v>1.098916</v>
      </c>
      <c r="L1584">
        <v>366.28719999999998</v>
      </c>
      <c r="M1584">
        <v>0.94159440000000005</v>
      </c>
      <c r="N1584">
        <v>-1.632664E-2</v>
      </c>
      <c r="O1584">
        <v>-0.33635330000000002</v>
      </c>
      <c r="P1584">
        <v>0.81872990000000001</v>
      </c>
      <c r="Q1584">
        <v>-0.1087022</v>
      </c>
      <c r="R1584">
        <v>-0.5637953</v>
      </c>
      <c r="S1584">
        <v>1.7402799999999901</v>
      </c>
      <c r="T1584">
        <v>-6.200874E-2</v>
      </c>
      <c r="U1584">
        <v>-2.7991640000000002</v>
      </c>
      <c r="V1584">
        <v>0.25289879999999998</v>
      </c>
      <c r="W1584">
        <v>-9.9906110000000006E-2</v>
      </c>
      <c r="X1584">
        <v>0.96232059999999997</v>
      </c>
      <c r="Y1584">
        <v>0.62190919999999905</v>
      </c>
      <c r="Z1584">
        <v>-1.0707879999999999E-2</v>
      </c>
      <c r="AA1584">
        <v>0.78301609999999999</v>
      </c>
      <c r="AB1584">
        <v>26</v>
      </c>
      <c r="AC1584">
        <v>28.493300000000001</v>
      </c>
      <c r="AD1584">
        <v>-1.0189302600000001</v>
      </c>
      <c r="AE1584">
        <v>-45.956699999999998</v>
      </c>
      <c r="AF1584">
        <v>33.681285239482698</v>
      </c>
      <c r="AG1584">
        <v>-1.0189302600000001</v>
      </c>
      <c r="AH1584">
        <v>42.277442118482597</v>
      </c>
      <c r="AI1584">
        <v>91.079915051084299</v>
      </c>
      <c r="AJ1584">
        <v>51.456623558718597</v>
      </c>
      <c r="AK1584">
        <v>54.063382305769402</v>
      </c>
      <c r="AL1584">
        <v>95.733763984526703</v>
      </c>
      <c r="AM1584">
        <v>75.275563907301603</v>
      </c>
      <c r="AN1584">
        <v>0.99999998552056502</v>
      </c>
    </row>
    <row r="1585" spans="1:40" x14ac:dyDescent="0.25">
      <c r="A1585" t="str">
        <f>"20190305134931888"</f>
        <v>20190305134931888</v>
      </c>
      <c r="B1585" t="str">
        <f>"1551764971882389"</f>
        <v>1551764971882389</v>
      </c>
      <c r="C1585" t="s">
        <v>40</v>
      </c>
      <c r="D1585">
        <v>4.4367169999999998</v>
      </c>
      <c r="E1585">
        <v>0.66847219999999996</v>
      </c>
      <c r="F1585" t="s">
        <v>42</v>
      </c>
      <c r="G1585">
        <v>-176.7773</v>
      </c>
      <c r="H1585">
        <v>7.9985990000000007E-2</v>
      </c>
      <c r="I1585">
        <v>321.3295</v>
      </c>
      <c r="J1585">
        <v>-204.22479999999999</v>
      </c>
      <c r="K1585">
        <v>1.0987629999999999</v>
      </c>
      <c r="L1585">
        <v>366.23219999999998</v>
      </c>
      <c r="M1585">
        <v>0.93859939999999997</v>
      </c>
      <c r="N1585">
        <v>-1.634971E-2</v>
      </c>
      <c r="O1585">
        <v>-0.34462150000000003</v>
      </c>
      <c r="P1585">
        <v>0.81387349999999903</v>
      </c>
      <c r="Q1585">
        <v>-0.10818949999999999</v>
      </c>
      <c r="R1585">
        <v>-0.57088139999999998</v>
      </c>
      <c r="S1585">
        <v>1.7222440000000001</v>
      </c>
      <c r="T1585">
        <v>-6.3637260000000001E-2</v>
      </c>
      <c r="U1585">
        <v>-2.8078310000000002</v>
      </c>
      <c r="V1585">
        <v>0.2527432</v>
      </c>
      <c r="W1585">
        <v>-9.9459759999999994E-2</v>
      </c>
      <c r="X1585">
        <v>0.96240780000000004</v>
      </c>
      <c r="Y1585">
        <v>0.61974300000000004</v>
      </c>
      <c r="Z1585">
        <v>-1.060557E-2</v>
      </c>
      <c r="AA1585">
        <v>0.78473319999999902</v>
      </c>
      <c r="AB1585">
        <v>26</v>
      </c>
      <c r="AC1585">
        <v>27.447499999999899</v>
      </c>
      <c r="AD1585">
        <v>-1.01877701</v>
      </c>
      <c r="AE1585">
        <v>-44.902699999999903</v>
      </c>
      <c r="AF1585">
        <v>32.678769994616601</v>
      </c>
      <c r="AG1585">
        <v>-1.01877701</v>
      </c>
      <c r="AH1585">
        <v>41.226703339727003</v>
      </c>
      <c r="AI1585">
        <v>91.109430986652995</v>
      </c>
      <c r="AJ1585">
        <v>51.597535355165697</v>
      </c>
      <c r="AK1585">
        <v>52.617306879191602</v>
      </c>
      <c r="AL1585">
        <v>95.708061506641897</v>
      </c>
      <c r="AM1585">
        <v>75.285505528052994</v>
      </c>
      <c r="AN1585">
        <v>1.00000007125316</v>
      </c>
    </row>
    <row r="1586" spans="1:40" x14ac:dyDescent="0.25">
      <c r="A1586" t="str">
        <f>"20190305134931898"</f>
        <v>20190305134931898</v>
      </c>
      <c r="B1586" t="str">
        <f>"1551764971892148"</f>
        <v>1551764971892148</v>
      </c>
      <c r="C1586" t="s">
        <v>40</v>
      </c>
      <c r="D1586">
        <v>4.4541969999999997</v>
      </c>
      <c r="E1586">
        <v>0.66816719999999996</v>
      </c>
      <c r="F1586" t="s">
        <v>42</v>
      </c>
      <c r="G1586">
        <v>-176.56020000000001</v>
      </c>
      <c r="H1586">
        <v>7.9985689999999998E-2</v>
      </c>
      <c r="I1586">
        <v>320.29629999999997</v>
      </c>
      <c r="J1586">
        <v>-204.1122</v>
      </c>
      <c r="K1586">
        <v>1.0986359999999999</v>
      </c>
      <c r="L1586">
        <v>366.18200000000002</v>
      </c>
      <c r="M1586">
        <v>0.93583119999999997</v>
      </c>
      <c r="N1586">
        <v>-1.637688E-2</v>
      </c>
      <c r="O1586">
        <v>-0.352068099999999</v>
      </c>
      <c r="P1586">
        <v>0.80957290000000004</v>
      </c>
      <c r="Q1586">
        <v>-0.1079237</v>
      </c>
      <c r="R1586">
        <v>-0.57701349999999996</v>
      </c>
      <c r="S1586">
        <v>1.6989749999999999</v>
      </c>
      <c r="T1586">
        <v>-6.2566399999999994E-2</v>
      </c>
      <c r="U1586">
        <v>-2.821075</v>
      </c>
      <c r="V1586">
        <v>0.25233129999999998</v>
      </c>
      <c r="W1586">
        <v>-9.9236840000000007E-2</v>
      </c>
      <c r="X1586">
        <v>0.96253880000000003</v>
      </c>
      <c r="Y1586">
        <v>0.61988889999999996</v>
      </c>
      <c r="Z1586">
        <v>-1.0579689999999999E-2</v>
      </c>
      <c r="AA1586">
        <v>0.78461829999999999</v>
      </c>
      <c r="AB1586">
        <v>26</v>
      </c>
      <c r="AC1586">
        <v>27.5519999999999</v>
      </c>
      <c r="AD1586">
        <v>-1.0186503099999999</v>
      </c>
      <c r="AE1586">
        <v>-45.8856999999999</v>
      </c>
      <c r="AF1586">
        <v>33.233506723162897</v>
      </c>
      <c r="AG1586">
        <v>-1.0186503099999999</v>
      </c>
      <c r="AH1586">
        <v>41.929345684400602</v>
      </c>
      <c r="AI1586">
        <v>91.090736402572105</v>
      </c>
      <c r="AJ1586">
        <v>51.599398389511997</v>
      </c>
      <c r="AK1586">
        <v>53.512369103736603</v>
      </c>
      <c r="AL1586">
        <v>95.695226102889194</v>
      </c>
      <c r="AM1586">
        <v>75.310360828840004</v>
      </c>
      <c r="AN1586">
        <v>0.99999998843915705</v>
      </c>
    </row>
    <row r="1587" spans="1:40" x14ac:dyDescent="0.25">
      <c r="A1587" t="str">
        <f>"20190305134931910"</f>
        <v>20190305134931910</v>
      </c>
      <c r="B1587" t="str">
        <f>"1551764971901909"</f>
        <v>1551764971901909</v>
      </c>
      <c r="C1587" t="s">
        <v>40</v>
      </c>
      <c r="D1587">
        <v>4.44747</v>
      </c>
      <c r="E1587">
        <v>0.66761000000000004</v>
      </c>
      <c r="F1587" t="s">
        <v>42</v>
      </c>
      <c r="G1587">
        <v>-177.3853</v>
      </c>
      <c r="H1587">
        <v>7.9985899999999999E-2</v>
      </c>
      <c r="I1587">
        <v>321.09539999999998</v>
      </c>
      <c r="J1587">
        <v>-203.99160000000001</v>
      </c>
      <c r="K1587">
        <v>1.098492</v>
      </c>
      <c r="L1587">
        <v>366.12790000000001</v>
      </c>
      <c r="M1587">
        <v>0.93278229999999995</v>
      </c>
      <c r="N1587">
        <v>-1.640513E-2</v>
      </c>
      <c r="O1587">
        <v>-0.36006670000000002</v>
      </c>
      <c r="P1587">
        <v>0.805011699999999</v>
      </c>
      <c r="Q1587">
        <v>-0.10758330000000001</v>
      </c>
      <c r="R1587">
        <v>-0.58342269999999996</v>
      </c>
      <c r="S1587">
        <v>1.6787259999999999</v>
      </c>
      <c r="T1587">
        <v>-6.3981769999999993E-2</v>
      </c>
      <c r="U1587">
        <v>-2.831909</v>
      </c>
      <c r="V1587">
        <v>0.25169370000000002</v>
      </c>
      <c r="W1587">
        <v>-9.893631E-2</v>
      </c>
      <c r="X1587">
        <v>0.9627367</v>
      </c>
      <c r="Y1587">
        <v>0.61863169999999901</v>
      </c>
      <c r="Z1587">
        <v>-1.04949E-2</v>
      </c>
      <c r="AA1587">
        <v>0.78561110000000001</v>
      </c>
      <c r="AB1587">
        <v>25</v>
      </c>
      <c r="AC1587">
        <v>26.606300000000001</v>
      </c>
      <c r="AD1587">
        <v>-1.0185061</v>
      </c>
      <c r="AE1587">
        <v>-45.032499999999999</v>
      </c>
      <c r="AF1587">
        <v>32.4175489423247</v>
      </c>
      <c r="AG1587">
        <v>-1.0185061</v>
      </c>
      <c r="AH1587">
        <v>41.022557777163101</v>
      </c>
      <c r="AI1587">
        <v>91.115968986976299</v>
      </c>
      <c r="AJ1587">
        <v>51.6828992790401</v>
      </c>
      <c r="AK1587">
        <v>52.295172632705302</v>
      </c>
      <c r="AL1587">
        <v>95.677921591913105</v>
      </c>
      <c r="AM1587">
        <v>75.3487622701211</v>
      </c>
      <c r="AN1587">
        <v>1.00000003279149</v>
      </c>
    </row>
    <row r="1588" spans="1:40" x14ac:dyDescent="0.25">
      <c r="A1588" t="str">
        <f>"20190305134931921"</f>
        <v>20190305134931921</v>
      </c>
      <c r="B1588" t="str">
        <f>"1551764971911669"</f>
        <v>1551764971911669</v>
      </c>
      <c r="C1588" t="s">
        <v>40</v>
      </c>
      <c r="D1588">
        <v>4.454491</v>
      </c>
      <c r="E1588">
        <v>0.66717280000000001</v>
      </c>
      <c r="F1588" t="s">
        <v>42</v>
      </c>
      <c r="G1588">
        <v>-178.0352</v>
      </c>
      <c r="H1588">
        <v>7.9986039999999994E-2</v>
      </c>
      <c r="I1588">
        <v>321.65789999999998</v>
      </c>
      <c r="J1588">
        <v>-203.8758</v>
      </c>
      <c r="K1588">
        <v>1.098352</v>
      </c>
      <c r="L1588">
        <v>366.0736</v>
      </c>
      <c r="M1588">
        <v>0.92969869999999999</v>
      </c>
      <c r="N1588">
        <v>-1.6439929999999998E-2</v>
      </c>
      <c r="O1588">
        <v>-0.36795430000000001</v>
      </c>
      <c r="P1588">
        <v>0.80056099999999997</v>
      </c>
      <c r="Q1588">
        <v>-0.107307399999999</v>
      </c>
      <c r="R1588">
        <v>-0.58956540000000002</v>
      </c>
      <c r="S1588">
        <v>1.658569</v>
      </c>
      <c r="T1588">
        <v>-6.5080760000000001E-2</v>
      </c>
      <c r="U1588">
        <v>-2.8415530000000002</v>
      </c>
      <c r="V1588">
        <v>0.25087029999999999</v>
      </c>
      <c r="W1588">
        <v>-9.8683129999999994E-2</v>
      </c>
      <c r="X1588">
        <v>0.96297750000000004</v>
      </c>
      <c r="Y1588">
        <v>0.61728680000000002</v>
      </c>
      <c r="Z1588">
        <v>-1.040868E-2</v>
      </c>
      <c r="AA1588">
        <v>0.78666939999999996</v>
      </c>
      <c r="AB1588">
        <v>25</v>
      </c>
      <c r="AC1588">
        <v>25.840599999999899</v>
      </c>
      <c r="AD1588">
        <v>-1.0183659599999999</v>
      </c>
      <c r="AE1588">
        <v>-44.415700000000001</v>
      </c>
      <c r="AF1588">
        <v>31.776869323754202</v>
      </c>
      <c r="AG1588">
        <v>-1.0183659599999999</v>
      </c>
      <c r="AH1588">
        <v>40.356519593252898</v>
      </c>
      <c r="AI1588">
        <v>91.135789385380207</v>
      </c>
      <c r="AJ1588">
        <v>51.782976779445399</v>
      </c>
      <c r="AK1588">
        <v>51.375628141445098</v>
      </c>
      <c r="AL1588">
        <v>95.663344486183703</v>
      </c>
      <c r="AM1588">
        <v>75.398136268070303</v>
      </c>
      <c r="AN1588">
        <v>0.99999996653746703</v>
      </c>
    </row>
    <row r="1589" spans="1:40" x14ac:dyDescent="0.25">
      <c r="A1589" t="str">
        <f>"20190305134931932"</f>
        <v>20190305134931932</v>
      </c>
      <c r="B1589" t="str">
        <f>"1551764971922405"</f>
        <v>1551764971922405</v>
      </c>
      <c r="C1589" t="s">
        <v>40</v>
      </c>
      <c r="D1589">
        <v>4.2144209999999998</v>
      </c>
      <c r="E1589">
        <v>0.66717280000000001</v>
      </c>
      <c r="F1589" t="s">
        <v>42</v>
      </c>
      <c r="G1589">
        <v>-179.1105</v>
      </c>
      <c r="H1589">
        <v>7.9986379999999996E-2</v>
      </c>
      <c r="I1589">
        <v>322.9828</v>
      </c>
      <c r="J1589">
        <v>-203.7585</v>
      </c>
      <c r="K1589">
        <v>1.0982160000000001</v>
      </c>
      <c r="L1589">
        <v>366.0181</v>
      </c>
      <c r="M1589">
        <v>0.92648350000000002</v>
      </c>
      <c r="N1589">
        <v>-1.647473E-2</v>
      </c>
      <c r="O1589">
        <v>-0.37597510000000001</v>
      </c>
      <c r="P1589">
        <v>0.79580569999999995</v>
      </c>
      <c r="Q1589">
        <v>-0.10789219999999999</v>
      </c>
      <c r="R1589">
        <v>-0.59586300000000003</v>
      </c>
      <c r="S1589">
        <v>1.6386259999999999</v>
      </c>
      <c r="T1589">
        <v>-6.7381499999999997E-2</v>
      </c>
      <c r="U1589">
        <v>-2.8511660000000001</v>
      </c>
      <c r="V1589">
        <v>0.25012800000000002</v>
      </c>
      <c r="W1589">
        <v>-9.9295110000000006E-2</v>
      </c>
      <c r="X1589">
        <v>0.96310770000000001</v>
      </c>
      <c r="Y1589">
        <v>0.61575760000000002</v>
      </c>
      <c r="Z1589">
        <v>-1.0289070000000001E-2</v>
      </c>
      <c r="AA1589">
        <v>0.78786849999999997</v>
      </c>
      <c r="AB1589">
        <v>25</v>
      </c>
      <c r="AC1589">
        <v>24.648</v>
      </c>
      <c r="AD1589">
        <v>-1.0182296200000001</v>
      </c>
      <c r="AE1589">
        <v>-43.035299999999999</v>
      </c>
      <c r="AF1589">
        <v>30.595712421048301</v>
      </c>
      <c r="AG1589">
        <v>-1.0182296200000001</v>
      </c>
      <c r="AH1589">
        <v>39.005013252354502</v>
      </c>
      <c r="AI1589">
        <v>91.176688562919594</v>
      </c>
      <c r="AJ1589">
        <v>51.889199033109598</v>
      </c>
      <c r="AK1589">
        <v>49.583520134485099</v>
      </c>
      <c r="AL1589">
        <v>95.698581299032199</v>
      </c>
      <c r="AM1589">
        <v>75.441387627477994</v>
      </c>
      <c r="AN1589">
        <v>0.99999998852660099</v>
      </c>
    </row>
    <row r="1590" spans="1:40" x14ac:dyDescent="0.25">
      <c r="A1590" t="str">
        <f>"20190305134931943"</f>
        <v>20190305134931943</v>
      </c>
      <c r="B1590" t="str">
        <f>"1551764971932164"</f>
        <v>1551764971932164</v>
      </c>
      <c r="C1590" t="s">
        <v>40</v>
      </c>
      <c r="D1590">
        <v>4.4426439999999996</v>
      </c>
      <c r="E1590">
        <v>0.66662109999999997</v>
      </c>
      <c r="F1590" t="s">
        <v>42</v>
      </c>
      <c r="G1590">
        <v>-179.94130000000001</v>
      </c>
      <c r="H1590">
        <v>6.6483120000000007E-2</v>
      </c>
      <c r="I1590">
        <v>323.80189999999999</v>
      </c>
      <c r="J1590">
        <v>-203.63239999999999</v>
      </c>
      <c r="K1590">
        <v>1.0980749999999999</v>
      </c>
      <c r="L1590">
        <v>365.95650000000001</v>
      </c>
      <c r="M1590">
        <v>0.9228672</v>
      </c>
      <c r="N1590">
        <v>-1.6517170000000001E-2</v>
      </c>
      <c r="O1590">
        <v>-0.38476389999999999</v>
      </c>
      <c r="P1590">
        <v>0.7906919</v>
      </c>
      <c r="Q1590">
        <v>-0.10803400000000001</v>
      </c>
      <c r="R1590">
        <v>-0.60260689999999995</v>
      </c>
      <c r="S1590">
        <v>1.6158140000000001</v>
      </c>
      <c r="T1590">
        <v>-6.9995160000000001E-2</v>
      </c>
      <c r="U1590">
        <v>-2.8640439999999998</v>
      </c>
      <c r="V1590">
        <v>0.24913350000000001</v>
      </c>
      <c r="W1590">
        <v>-9.9450490000000002E-2</v>
      </c>
      <c r="X1590">
        <v>0.96334940000000002</v>
      </c>
      <c r="Y1590">
        <v>0.61453400000000002</v>
      </c>
      <c r="Z1590">
        <v>-1.0154140000000001E-2</v>
      </c>
      <c r="AA1590">
        <v>0.788825</v>
      </c>
      <c r="AB1590">
        <v>25</v>
      </c>
      <c r="AC1590">
        <v>23.691099999999899</v>
      </c>
      <c r="AD1590">
        <v>-1.0315918799999999</v>
      </c>
      <c r="AE1590">
        <v>-42.154600000000002</v>
      </c>
      <c r="AF1590">
        <v>29.778130154393502</v>
      </c>
      <c r="AG1590">
        <v>-1.0315918799999999</v>
      </c>
      <c r="AH1590">
        <v>38.071177724797799</v>
      </c>
      <c r="AI1590">
        <v>91.222683648388497</v>
      </c>
      <c r="AJ1590">
        <v>51.968551599332301</v>
      </c>
      <c r="AK1590">
        <v>48.344759702081703</v>
      </c>
      <c r="AL1590">
        <v>95.707528230118598</v>
      </c>
      <c r="AM1590">
        <v>75.500311889568906</v>
      </c>
      <c r="AN1590">
        <v>0.99999998363192399</v>
      </c>
    </row>
    <row r="1591" spans="1:40" x14ac:dyDescent="0.25">
      <c r="A1591" t="str">
        <f>"20190305134931955"</f>
        <v>20190305134931955</v>
      </c>
      <c r="B1591" t="str">
        <f>"1551764971951685"</f>
        <v>1551764971951685</v>
      </c>
      <c r="C1591" t="s">
        <v>40</v>
      </c>
      <c r="D1591">
        <v>4.4631339999999904</v>
      </c>
      <c r="E1591">
        <v>0.66597309999999998</v>
      </c>
      <c r="F1591" t="s">
        <v>42</v>
      </c>
      <c r="G1591">
        <v>-179.97370000000001</v>
      </c>
      <c r="H1591" s="1">
        <v>-3.9042389999999998E-6</v>
      </c>
      <c r="I1591">
        <v>323.28160000000003</v>
      </c>
      <c r="J1591">
        <v>-203.52420000000001</v>
      </c>
      <c r="K1591">
        <v>1.09796</v>
      </c>
      <c r="L1591">
        <v>365.90249999999997</v>
      </c>
      <c r="M1591">
        <v>0.91964970000000001</v>
      </c>
      <c r="N1591">
        <v>-1.6554780000000002E-2</v>
      </c>
      <c r="O1591">
        <v>-0.39239049999999998</v>
      </c>
      <c r="P1591">
        <v>0.78625159999999905</v>
      </c>
      <c r="Q1591">
        <v>-0.107769</v>
      </c>
      <c r="R1591">
        <v>-0.60843590000000003</v>
      </c>
      <c r="S1591">
        <v>1.593491</v>
      </c>
      <c r="T1591">
        <v>-7.3959349999999993E-2</v>
      </c>
      <c r="U1591">
        <v>-2.874298</v>
      </c>
      <c r="V1591">
        <v>0.24824779999999999</v>
      </c>
      <c r="W1591">
        <v>-9.9192180000000005E-2</v>
      </c>
      <c r="X1591">
        <v>0.96360460000000003</v>
      </c>
      <c r="Y1591">
        <v>0.61386300000000005</v>
      </c>
      <c r="Z1591">
        <v>-9.9924860000000001E-3</v>
      </c>
      <c r="AA1591">
        <v>0.78934939999999998</v>
      </c>
      <c r="AB1591">
        <v>25</v>
      </c>
      <c r="AC1591">
        <v>23.5505</v>
      </c>
      <c r="AD1591">
        <v>-1.0979639042389999</v>
      </c>
      <c r="AE1591">
        <v>-42.620899999999899</v>
      </c>
      <c r="AF1591">
        <v>29.944188098767999</v>
      </c>
      <c r="AG1591">
        <v>-1.0979639042389999</v>
      </c>
      <c r="AH1591">
        <v>38.368001696099299</v>
      </c>
      <c r="AI1591">
        <v>91.2923397239081</v>
      </c>
      <c r="AJ1591">
        <v>52.029852619044298</v>
      </c>
      <c r="AK1591">
        <v>48.682270692535397</v>
      </c>
      <c r="AL1591">
        <v>95.692654851122896</v>
      </c>
      <c r="AM1591">
        <v>75.553365026147702</v>
      </c>
      <c r="AN1591">
        <v>0.99999994195957398</v>
      </c>
    </row>
    <row r="1592" spans="1:40" x14ac:dyDescent="0.25">
      <c r="A1592" t="str">
        <f>"20190305134931965"</f>
        <v>20190305134931965</v>
      </c>
      <c r="B1592" t="str">
        <f>"1551764971962421"</f>
        <v>1551764971962421</v>
      </c>
      <c r="C1592" t="s">
        <v>40</v>
      </c>
      <c r="D1592">
        <v>4.5037310000000002</v>
      </c>
      <c r="E1592">
        <v>0.66597309999999998</v>
      </c>
      <c r="F1592" t="s">
        <v>42</v>
      </c>
      <c r="G1592">
        <v>-179.21440000000001</v>
      </c>
      <c r="H1592">
        <v>7.9985920000000002E-2</v>
      </c>
      <c r="I1592">
        <v>321.45659999999998</v>
      </c>
      <c r="J1592">
        <v>-203.41040000000001</v>
      </c>
      <c r="K1592">
        <v>1.097842</v>
      </c>
      <c r="L1592">
        <v>365.84429999999998</v>
      </c>
      <c r="M1592">
        <v>0.91614549999999995</v>
      </c>
      <c r="N1592">
        <v>-1.6595929999999998E-2</v>
      </c>
      <c r="O1592">
        <v>-0.40050239999999998</v>
      </c>
      <c r="P1592">
        <v>0.78154230000000002</v>
      </c>
      <c r="Q1592">
        <v>-0.1064548</v>
      </c>
      <c r="R1592">
        <v>-0.61470279999999999</v>
      </c>
      <c r="S1592">
        <v>1.576309</v>
      </c>
      <c r="T1592">
        <v>-6.6008209999999998E-2</v>
      </c>
      <c r="U1592">
        <v>-2.8819889999999999</v>
      </c>
      <c r="V1592">
        <v>0.24737629999999999</v>
      </c>
      <c r="W1592">
        <v>-9.788086E-2</v>
      </c>
      <c r="X1592">
        <v>0.96396280000000001</v>
      </c>
      <c r="Y1592">
        <v>0.6114252</v>
      </c>
      <c r="Z1592">
        <v>-1.007629E-2</v>
      </c>
      <c r="AA1592">
        <v>0.79123809999999895</v>
      </c>
      <c r="AB1592">
        <v>25</v>
      </c>
      <c r="AC1592">
        <v>24.196000000000002</v>
      </c>
      <c r="AD1592">
        <v>-1.0178560800000001</v>
      </c>
      <c r="AE1592">
        <v>-44.387700000000002</v>
      </c>
      <c r="AF1592">
        <v>30.966746120690299</v>
      </c>
      <c r="AG1592">
        <v>-1.0178560800000001</v>
      </c>
      <c r="AH1592">
        <v>39.933747122705</v>
      </c>
      <c r="AI1592">
        <v>91.153905251489803</v>
      </c>
      <c r="AJ1592">
        <v>52.208101823613802</v>
      </c>
      <c r="AK1592">
        <v>50.5438379583806</v>
      </c>
      <c r="AL1592">
        <v>95.617154050871505</v>
      </c>
      <c r="AM1592">
        <v>75.607097581070605</v>
      </c>
      <c r="AN1592">
        <v>0.99999998816993396</v>
      </c>
    </row>
    <row r="1593" spans="1:40" x14ac:dyDescent="0.25">
      <c r="A1593" t="str">
        <f>"20190305134931978"</f>
        <v>20190305134931978</v>
      </c>
      <c r="B1593" t="str">
        <f>"1551764971972184"</f>
        <v>1551764971972184</v>
      </c>
      <c r="C1593" t="s">
        <v>40</v>
      </c>
      <c r="D1593">
        <v>4.6665330000000003</v>
      </c>
      <c r="E1593">
        <v>0.66793279999999999</v>
      </c>
      <c r="F1593" t="s">
        <v>42</v>
      </c>
      <c r="G1593">
        <v>-177.34979999999999</v>
      </c>
      <c r="H1593">
        <v>7.9985920000000002E-2</v>
      </c>
      <c r="I1593">
        <v>317.30340000000001</v>
      </c>
      <c r="J1593">
        <v>-203.2851</v>
      </c>
      <c r="K1593">
        <v>1.0977110000000001</v>
      </c>
      <c r="L1593">
        <v>365.77850000000001</v>
      </c>
      <c r="M1593">
        <v>0.91212439999999995</v>
      </c>
      <c r="N1593">
        <v>-1.6643459999999999E-2</v>
      </c>
      <c r="O1593">
        <v>-0.40957569999999999</v>
      </c>
      <c r="P1593">
        <v>0.77589109999999994</v>
      </c>
      <c r="Q1593">
        <v>-0.10458870000000001</v>
      </c>
      <c r="R1593">
        <v>-0.62213680000000005</v>
      </c>
      <c r="S1593">
        <v>1.5538639999999999</v>
      </c>
      <c r="T1593">
        <v>-6.0689809999999997E-2</v>
      </c>
      <c r="U1593">
        <v>-2.8942570000000001</v>
      </c>
      <c r="V1593">
        <v>0.24693570000000001</v>
      </c>
      <c r="W1593">
        <v>-9.6029820000000002E-2</v>
      </c>
      <c r="X1593">
        <v>0.96426190000000001</v>
      </c>
      <c r="Y1593">
        <v>0.60975349999999995</v>
      </c>
      <c r="Z1593">
        <v>-1.0149679999999999E-2</v>
      </c>
      <c r="AA1593">
        <v>0.79252619999999996</v>
      </c>
      <c r="AB1593">
        <v>25</v>
      </c>
      <c r="AC1593">
        <v>25.935300000000002</v>
      </c>
      <c r="AD1593">
        <v>-1.0177250799999999</v>
      </c>
      <c r="AE1593">
        <v>-48.475099999999998</v>
      </c>
      <c r="AF1593">
        <v>33.585993985569303</v>
      </c>
      <c r="AG1593">
        <v>-1.0177250799999999</v>
      </c>
      <c r="AH1593">
        <v>43.501559164798003</v>
      </c>
      <c r="AI1593">
        <v>91.060891352035995</v>
      </c>
      <c r="AJ1593">
        <v>52.329556767664499</v>
      </c>
      <c r="AK1593">
        <v>54.9676305302091</v>
      </c>
      <c r="AL1593">
        <v>95.510595222364302</v>
      </c>
      <c r="AM1593">
        <v>75.635942871337093</v>
      </c>
      <c r="AN1593">
        <v>0.99999998902766596</v>
      </c>
    </row>
    <row r="1594" spans="1:40" x14ac:dyDescent="0.25">
      <c r="A1594" t="str">
        <f>"20190305134931988"</f>
        <v>20190305134931988</v>
      </c>
      <c r="B1594" t="str">
        <f>"1551764971981941"</f>
        <v>1551764971981941</v>
      </c>
      <c r="C1594" t="s">
        <v>40</v>
      </c>
      <c r="D1594">
        <v>4.7075659999999999</v>
      </c>
      <c r="E1594">
        <v>0.66793279999999999</v>
      </c>
      <c r="F1594" t="s">
        <v>42</v>
      </c>
      <c r="G1594">
        <v>-178.46449999999999</v>
      </c>
      <c r="H1594">
        <v>7.9986039999999994E-2</v>
      </c>
      <c r="I1594">
        <v>317.96280000000002</v>
      </c>
      <c r="J1594">
        <v>-203.1694</v>
      </c>
      <c r="K1594">
        <v>1.097596</v>
      </c>
      <c r="L1594">
        <v>365.71679999999998</v>
      </c>
      <c r="M1594">
        <v>0.90829349999999998</v>
      </c>
      <c r="N1594">
        <v>-1.6686909999999999E-2</v>
      </c>
      <c r="O1594">
        <v>-0.41800080000000001</v>
      </c>
      <c r="P1594">
        <v>0.7705765</v>
      </c>
      <c r="Q1594">
        <v>-0.1025049</v>
      </c>
      <c r="R1594">
        <v>-0.62905089999999997</v>
      </c>
      <c r="S1594">
        <v>1.5161290000000001</v>
      </c>
      <c r="T1594">
        <v>-6.216609E-2</v>
      </c>
      <c r="U1594">
        <v>-2.9207459999999998</v>
      </c>
      <c r="V1594">
        <v>0.24655369999999999</v>
      </c>
      <c r="W1594">
        <v>-9.3959290000000001E-2</v>
      </c>
      <c r="X1594">
        <v>0.96456359999999997</v>
      </c>
      <c r="Y1594">
        <v>0.61342750000000001</v>
      </c>
      <c r="Z1594">
        <v>-1.015859E-2</v>
      </c>
      <c r="AA1594">
        <v>0.78968570000000005</v>
      </c>
      <c r="AB1594">
        <v>25</v>
      </c>
      <c r="AC1594">
        <v>24.704899999999999</v>
      </c>
      <c r="AD1594">
        <v>-1.0176099599999999</v>
      </c>
      <c r="AE1594">
        <v>-47.753999999999898</v>
      </c>
      <c r="AF1594">
        <v>33.040742769834097</v>
      </c>
      <c r="AG1594">
        <v>-1.0176099599999999</v>
      </c>
      <c r="AH1594">
        <v>42.3912251471153</v>
      </c>
      <c r="AI1594">
        <v>91.084676857273095</v>
      </c>
      <c r="AJ1594">
        <v>52.066289830048802</v>
      </c>
      <c r="AK1594">
        <v>53.756322254098301</v>
      </c>
      <c r="AL1594">
        <v>95.3914235539809</v>
      </c>
      <c r="AM1594">
        <v>75.661547306446295</v>
      </c>
      <c r="AN1594">
        <v>1.00000000680297</v>
      </c>
    </row>
    <row r="1595" spans="1:40" x14ac:dyDescent="0.25">
      <c r="A1595" t="str">
        <f>"20190305134932001"</f>
        <v>20190305134932001</v>
      </c>
      <c r="B1595" t="str">
        <f>"1551764971992677"</f>
        <v>1551764971992677</v>
      </c>
      <c r="C1595" t="s">
        <v>40</v>
      </c>
      <c r="D1595">
        <v>4.678096</v>
      </c>
      <c r="E1595">
        <v>0.72411329999999996</v>
      </c>
      <c r="F1595" t="s">
        <v>42</v>
      </c>
      <c r="G1595">
        <v>-175.71170000000001</v>
      </c>
      <c r="H1595">
        <v>7.9986050000000003E-2</v>
      </c>
      <c r="I1595">
        <v>311.68259999999998</v>
      </c>
      <c r="J1595">
        <v>-203.05449999999999</v>
      </c>
      <c r="K1595">
        <v>1.0974740000000001</v>
      </c>
      <c r="L1595">
        <v>365.65300000000002</v>
      </c>
      <c r="M1595">
        <v>0.9043002</v>
      </c>
      <c r="N1595">
        <v>-1.673415E-2</v>
      </c>
      <c r="O1595">
        <v>-0.42656909999999998</v>
      </c>
      <c r="P1595">
        <v>0.76519219999999999</v>
      </c>
      <c r="Q1595">
        <v>-0.1003473</v>
      </c>
      <c r="R1595">
        <v>-0.63593339999999998</v>
      </c>
      <c r="S1595">
        <v>1.490845</v>
      </c>
      <c r="T1595">
        <v>-5.5252080000000002E-2</v>
      </c>
      <c r="U1595">
        <v>-2.9338380000000002</v>
      </c>
      <c r="V1595">
        <v>0.24600179999999999</v>
      </c>
      <c r="W1595">
        <v>-9.1801720000000003E-2</v>
      </c>
      <c r="X1595">
        <v>0.9649122</v>
      </c>
      <c r="Y1595">
        <v>0.61282000000000003</v>
      </c>
      <c r="Z1595">
        <v>-1.0357679999999999E-2</v>
      </c>
      <c r="AA1595">
        <v>0.79015459999999904</v>
      </c>
      <c r="AB1595">
        <v>25</v>
      </c>
      <c r="AC1595">
        <v>27.342799999999901</v>
      </c>
      <c r="AD1595">
        <v>-1.01748795</v>
      </c>
      <c r="AE1595">
        <v>-53.970399999999998</v>
      </c>
      <c r="AF1595">
        <v>37.136546626335402</v>
      </c>
      <c r="AG1595">
        <v>-1.01748795</v>
      </c>
      <c r="AH1595">
        <v>47.741386734253602</v>
      </c>
      <c r="AI1595">
        <v>90.963756989875705</v>
      </c>
      <c r="AJ1595">
        <v>52.121758491631397</v>
      </c>
      <c r="AK1595">
        <v>60.492961444848603</v>
      </c>
      <c r="AL1595">
        <v>95.267267228494902</v>
      </c>
      <c r="AM1595">
        <v>75.697281099076605</v>
      </c>
      <c r="AN1595">
        <v>0.99999999755351898</v>
      </c>
    </row>
    <row r="1596" spans="1:40" x14ac:dyDescent="0.25">
      <c r="A1596" t="str">
        <f>"20190305134932013"</f>
        <v>20190305134932013</v>
      </c>
      <c r="B1596" t="str">
        <f>"1551764972002438"</f>
        <v>1551764972002438</v>
      </c>
      <c r="C1596" t="s">
        <v>40</v>
      </c>
      <c r="D1596">
        <v>4.6595760000000004</v>
      </c>
      <c r="E1596">
        <v>0.72397639999999996</v>
      </c>
      <c r="F1596" t="s">
        <v>44</v>
      </c>
      <c r="G1596">
        <v>-200.07730000000001</v>
      </c>
      <c r="H1596" s="1">
        <v>-5.9799829999999997E-6</v>
      </c>
      <c r="I1596">
        <v>357.08580000000001</v>
      </c>
      <c r="J1596">
        <v>-202.93299999999999</v>
      </c>
      <c r="K1596">
        <v>1.0973520000000001</v>
      </c>
      <c r="L1596">
        <v>365.5847</v>
      </c>
      <c r="M1596">
        <v>0.89995550000000002</v>
      </c>
      <c r="N1596">
        <v>-1.6783300000000001E-2</v>
      </c>
      <c r="O1596">
        <v>-0.4356585</v>
      </c>
      <c r="P1596">
        <v>0.75916219999999901</v>
      </c>
      <c r="Q1596">
        <v>-9.8947610000000005E-2</v>
      </c>
      <c r="R1596">
        <v>-0.64333669999999898</v>
      </c>
      <c r="S1596">
        <v>1.1397710000000001</v>
      </c>
      <c r="T1596">
        <v>-0.42014420000000002</v>
      </c>
      <c r="U1596">
        <v>-3.2797550000000002</v>
      </c>
      <c r="V1596">
        <v>0.245592</v>
      </c>
      <c r="W1596">
        <v>-9.0409859999999995E-2</v>
      </c>
      <c r="X1596">
        <v>0.96514800000000001</v>
      </c>
      <c r="Y1596">
        <v>0.70416159999999905</v>
      </c>
      <c r="Z1596">
        <v>-5.6902389999999997E-3</v>
      </c>
      <c r="AA1596">
        <v>0.71001700000000001</v>
      </c>
      <c r="AB1596">
        <v>25</v>
      </c>
      <c r="AC1596">
        <v>2.8556999999999801</v>
      </c>
      <c r="AD1596">
        <v>-1.097357979983</v>
      </c>
      <c r="AE1596">
        <v>-8.4988999999999901</v>
      </c>
      <c r="AF1596">
        <v>6.31088664686495</v>
      </c>
      <c r="AG1596">
        <v>-1.097357979983</v>
      </c>
      <c r="AH1596">
        <v>6.1809141860613002</v>
      </c>
      <c r="AI1596">
        <v>97.081384081885204</v>
      </c>
      <c r="AJ1596">
        <v>44.403880605307201</v>
      </c>
      <c r="AK1596">
        <v>8.9014147741392495</v>
      </c>
      <c r="AL1596">
        <v>95.187186375589505</v>
      </c>
      <c r="AM1596">
        <v>75.723478079054004</v>
      </c>
      <c r="AN1596">
        <v>1.0000000175766</v>
      </c>
    </row>
    <row r="1597" spans="1:40" x14ac:dyDescent="0.25">
      <c r="A1597" t="str">
        <f>"20190305134932025"</f>
        <v>20190305134932025</v>
      </c>
      <c r="B1597" t="str">
        <f>"1551764972021957"</f>
        <v>1551764972021957</v>
      </c>
      <c r="C1597" t="s">
        <v>40</v>
      </c>
      <c r="D1597">
        <v>4.1083699999999999</v>
      </c>
      <c r="E1597">
        <v>0.72176799999999997</v>
      </c>
      <c r="F1597" t="s">
        <v>44</v>
      </c>
      <c r="G1597">
        <v>-200.12129999999999</v>
      </c>
      <c r="H1597" s="1">
        <v>-6.012781E-6</v>
      </c>
      <c r="I1597">
        <v>357.23039999999997</v>
      </c>
      <c r="J1597">
        <v>-202.7954</v>
      </c>
      <c r="K1597">
        <v>1.0972139999999999</v>
      </c>
      <c r="L1597">
        <v>365.50490000000002</v>
      </c>
      <c r="M1597">
        <v>0.89480959999999998</v>
      </c>
      <c r="N1597">
        <v>-1.684192E-2</v>
      </c>
      <c r="O1597">
        <v>-0.44613019999999998</v>
      </c>
      <c r="P1597">
        <v>0.7522278</v>
      </c>
      <c r="Q1597">
        <v>-9.8126950000000004E-2</v>
      </c>
      <c r="R1597">
        <v>-0.65155540000000001</v>
      </c>
      <c r="S1597">
        <v>1.1073</v>
      </c>
      <c r="T1597">
        <v>-0.43215550000000003</v>
      </c>
      <c r="U1597">
        <v>-3.2900390000000002</v>
      </c>
      <c r="V1597">
        <v>0.2447783</v>
      </c>
      <c r="W1597">
        <v>-8.9581939999999999E-2</v>
      </c>
      <c r="X1597">
        <v>0.96543190000000001</v>
      </c>
      <c r="Y1597">
        <v>0.70277709999999904</v>
      </c>
      <c r="Z1597">
        <v>-3.9455410000000003E-3</v>
      </c>
      <c r="AA1597">
        <v>0.71139929999999996</v>
      </c>
      <c r="AB1597">
        <v>25</v>
      </c>
      <c r="AC1597">
        <v>2.6741000000000099</v>
      </c>
      <c r="AD1597">
        <v>-1.0972200127809999</v>
      </c>
      <c r="AE1597">
        <v>-8.2745000000000406</v>
      </c>
      <c r="AF1597">
        <v>6.11463714765177</v>
      </c>
      <c r="AG1597">
        <v>-1.0972200127809999</v>
      </c>
      <c r="AH1597">
        <v>5.9898158262700196</v>
      </c>
      <c r="AI1597">
        <v>97.304679044960906</v>
      </c>
      <c r="AJ1597">
        <v>44.409185905356701</v>
      </c>
      <c r="AK1597">
        <v>8.6296334126383893</v>
      </c>
      <c r="AL1597">
        <v>95.139556628062806</v>
      </c>
      <c r="AM1597">
        <v>75.772869713184306</v>
      </c>
      <c r="AN1597">
        <v>1.0000000468313299</v>
      </c>
    </row>
    <row r="1598" spans="1:40" x14ac:dyDescent="0.25">
      <c r="A1598" t="str">
        <f>"20190305134932039"</f>
        <v>20190305134932039</v>
      </c>
      <c r="B1598" t="str">
        <f>"1551764972031717"</f>
        <v>1551764972031717</v>
      </c>
      <c r="C1598" t="s">
        <v>40</v>
      </c>
      <c r="D1598">
        <v>4.6610319999999996</v>
      </c>
      <c r="E1598">
        <v>0.71952240000000001</v>
      </c>
      <c r="F1598" t="s">
        <v>44</v>
      </c>
      <c r="G1598">
        <v>-199.89949999999999</v>
      </c>
      <c r="H1598" s="1">
        <v>-5.870861E-6</v>
      </c>
      <c r="I1598">
        <v>356.72480000000002</v>
      </c>
      <c r="J1598">
        <v>-202.66560000000001</v>
      </c>
      <c r="K1598">
        <v>1.097089</v>
      </c>
      <c r="L1598">
        <v>365.42720000000003</v>
      </c>
      <c r="M1598">
        <v>0.88973880000000005</v>
      </c>
      <c r="N1598">
        <v>-1.6899190000000001E-2</v>
      </c>
      <c r="O1598">
        <v>-0.45615719999999998</v>
      </c>
      <c r="P1598">
        <v>0.74584050000000002</v>
      </c>
      <c r="Q1598">
        <v>-9.8081959999999996E-2</v>
      </c>
      <c r="R1598">
        <v>-0.65886440000000002</v>
      </c>
      <c r="S1598">
        <v>1.0850519999999999</v>
      </c>
      <c r="T1598">
        <v>-0.41110930000000001</v>
      </c>
      <c r="U1598">
        <v>-3.2897340000000002</v>
      </c>
      <c r="V1598">
        <v>0.2433266</v>
      </c>
      <c r="W1598">
        <v>-8.9501479999999994E-2</v>
      </c>
      <c r="X1598">
        <v>0.96580619999999995</v>
      </c>
      <c r="Y1598">
        <v>0.69939309999999999</v>
      </c>
      <c r="Z1598">
        <v>-2.8120279999999998E-3</v>
      </c>
      <c r="AA1598">
        <v>0.71473180000000003</v>
      </c>
      <c r="AB1598">
        <v>25</v>
      </c>
      <c r="AC1598">
        <v>2.7661000000000202</v>
      </c>
      <c r="AD1598">
        <v>-1.097094870861</v>
      </c>
      <c r="AE1598">
        <v>-8.7024000000000097</v>
      </c>
      <c r="AF1598">
        <v>6.3897767163581998</v>
      </c>
      <c r="AG1598">
        <v>-1.097094870861</v>
      </c>
      <c r="AH1598">
        <v>6.3401680332416497</v>
      </c>
      <c r="AI1598">
        <v>96.948887861710602</v>
      </c>
      <c r="AJ1598">
        <v>44.776719079530501</v>
      </c>
      <c r="AK1598">
        <v>9.0681086412946303</v>
      </c>
      <c r="AL1598">
        <v>95.134928347910702</v>
      </c>
      <c r="AM1598">
        <v>75.859111713142497</v>
      </c>
      <c r="AN1598">
        <v>0.99999998257409495</v>
      </c>
    </row>
    <row r="1599" spans="1:40" x14ac:dyDescent="0.25">
      <c r="A1599" t="str">
        <f>"20190305134932052"</f>
        <v>20190305134932052</v>
      </c>
      <c r="B1599" t="str">
        <f>"1551764972042452"</f>
        <v>1551764972042452</v>
      </c>
      <c r="C1599" t="s">
        <v>40</v>
      </c>
      <c r="D1599">
        <v>4.6535989999999998</v>
      </c>
      <c r="E1599">
        <v>0.7178928</v>
      </c>
      <c r="F1599" t="s">
        <v>44</v>
      </c>
      <c r="G1599">
        <v>-199.7593</v>
      </c>
      <c r="H1599" s="1">
        <v>-5.7611270000000003E-6</v>
      </c>
      <c r="I1599">
        <v>356.4624</v>
      </c>
      <c r="J1599">
        <v>-202.54140000000001</v>
      </c>
      <c r="K1599">
        <v>1.0969719999999901</v>
      </c>
      <c r="L1599">
        <v>365.35140000000001</v>
      </c>
      <c r="M1599">
        <v>0.884723699999999</v>
      </c>
      <c r="N1599">
        <v>-1.695381E-2</v>
      </c>
      <c r="O1599">
        <v>-0.46580769999999999</v>
      </c>
      <c r="P1599">
        <v>0.73977459999999995</v>
      </c>
      <c r="Q1599">
        <v>-9.8110119999999995E-2</v>
      </c>
      <c r="R1599">
        <v>-0.66566349999999996</v>
      </c>
      <c r="S1599">
        <v>1.0656429999999999</v>
      </c>
      <c r="T1599">
        <v>-0.40226879999999998</v>
      </c>
      <c r="U1599">
        <v>-3.2870789999999999</v>
      </c>
      <c r="V1599">
        <v>0.2416432</v>
      </c>
      <c r="W1599">
        <v>-8.9482839999999994E-2</v>
      </c>
      <c r="X1599">
        <v>0.96623049999999999</v>
      </c>
      <c r="Y1599">
        <v>0.69541469999999905</v>
      </c>
      <c r="Z1599">
        <v>-1.4556199999999999E-3</v>
      </c>
      <c r="AA1599">
        <v>0.71860709999999905</v>
      </c>
      <c r="AB1599">
        <v>25</v>
      </c>
      <c r="AC1599">
        <v>2.78210000000001</v>
      </c>
      <c r="AD1599">
        <v>-1.09697776112699</v>
      </c>
      <c r="AE1599">
        <v>-8.88900000000001</v>
      </c>
      <c r="AF1599">
        <v>6.4794529255942699</v>
      </c>
      <c r="AG1599">
        <v>-1.09697776112699</v>
      </c>
      <c r="AH1599">
        <v>6.5125675020064797</v>
      </c>
      <c r="AI1599">
        <v>96.809353531972704</v>
      </c>
      <c r="AJ1599">
        <v>45.146037436645102</v>
      </c>
      <c r="AK1599">
        <v>9.2520379318067096</v>
      </c>
      <c r="AL1599">
        <v>95.1338559780243</v>
      </c>
      <c r="AM1599">
        <v>75.958980680643705</v>
      </c>
      <c r="AN1599">
        <v>0.99999999694547703</v>
      </c>
    </row>
    <row r="1600" spans="1:40" x14ac:dyDescent="0.25">
      <c r="A1600" t="str">
        <f>"20190305134932066"</f>
        <v>20190305134932066</v>
      </c>
      <c r="B1600" t="str">
        <f>"1551764972061973"</f>
        <v>1551764972061973</v>
      </c>
      <c r="C1600" t="s">
        <v>40</v>
      </c>
      <c r="D1600">
        <v>4.1418990000000004</v>
      </c>
      <c r="E1600">
        <v>0.71636309999999903</v>
      </c>
      <c r="F1600" t="s">
        <v>44</v>
      </c>
      <c r="G1600">
        <v>-199.7234</v>
      </c>
      <c r="H1600" s="1">
        <v>-5.7590899999999998E-6</v>
      </c>
      <c r="I1600">
        <v>356.47309999999999</v>
      </c>
      <c r="J1600">
        <v>-202.39490000000001</v>
      </c>
      <c r="K1600">
        <v>1.096838</v>
      </c>
      <c r="L1600">
        <v>365.25909999999999</v>
      </c>
      <c r="M1600">
        <v>0.8785328</v>
      </c>
      <c r="N1600">
        <v>-1.7020319999999999E-2</v>
      </c>
      <c r="O1600">
        <v>-0.47737859999999999</v>
      </c>
      <c r="P1600">
        <v>0.73361350000000003</v>
      </c>
      <c r="Q1600">
        <v>-9.842273E-2</v>
      </c>
      <c r="R1600">
        <v>-0.67240180000000005</v>
      </c>
      <c r="S1600">
        <v>1.043396</v>
      </c>
      <c r="T1600">
        <v>-0.40617510000000001</v>
      </c>
      <c r="U1600">
        <v>-3.2873839999999999</v>
      </c>
      <c r="V1600">
        <v>0.2377901</v>
      </c>
      <c r="W1600">
        <v>-8.9665930000000005E-2</v>
      </c>
      <c r="X1600">
        <v>0.96716899999999995</v>
      </c>
      <c r="Y1600">
        <v>0.69045159999999905</v>
      </c>
      <c r="Z1600">
        <v>6.063059E-4</v>
      </c>
      <c r="AA1600">
        <v>0.72337839999999998</v>
      </c>
      <c r="AB1600">
        <v>25</v>
      </c>
      <c r="AC1600">
        <v>2.6715</v>
      </c>
      <c r="AD1600">
        <v>-1.09684375909</v>
      </c>
      <c r="AE1600">
        <v>-8.7859999999999996</v>
      </c>
      <c r="AF1600">
        <v>6.3537629756888299</v>
      </c>
      <c r="AG1600">
        <v>-1.09684375909</v>
      </c>
      <c r="AH1600">
        <v>6.4501781857156004</v>
      </c>
      <c r="AI1600">
        <v>96.907410074532095</v>
      </c>
      <c r="AJ1600">
        <v>45.4314359256459</v>
      </c>
      <c r="AK1600">
        <v>9.1202066210459503</v>
      </c>
      <c r="AL1600">
        <v>95.144388624427194</v>
      </c>
      <c r="AM1600">
        <v>76.187116605462606</v>
      </c>
      <c r="AN1600">
        <v>0.99999999261088701</v>
      </c>
    </row>
    <row r="1601" spans="1:40" x14ac:dyDescent="0.25">
      <c r="A1601" t="str">
        <f>"20190305134932079"</f>
        <v>20190305134932079</v>
      </c>
      <c r="B1601" t="str">
        <f>"1551764972072242"</f>
        <v>1551764972072242</v>
      </c>
      <c r="C1601" t="s">
        <v>40</v>
      </c>
      <c r="D1601">
        <v>4.6587820000000004</v>
      </c>
      <c r="E1601">
        <v>0.71495109999999995</v>
      </c>
      <c r="F1601" t="s">
        <v>44</v>
      </c>
      <c r="G1601">
        <v>-199.6833</v>
      </c>
      <c r="H1601" s="1">
        <v>-5.7694350000000001E-6</v>
      </c>
      <c r="I1601">
        <v>356.52269999999999</v>
      </c>
      <c r="J1601">
        <v>-202.2817</v>
      </c>
      <c r="K1601">
        <v>1.0967370000000001</v>
      </c>
      <c r="L1601">
        <v>365.18549999999999</v>
      </c>
      <c r="M1601">
        <v>0.87354279999999995</v>
      </c>
      <c r="N1601">
        <v>-1.7072150000000001E-2</v>
      </c>
      <c r="O1601">
        <v>-0.48644809999999999</v>
      </c>
      <c r="P1601">
        <v>0.72798750000000001</v>
      </c>
      <c r="Q1601">
        <v>-9.8733559999999998E-2</v>
      </c>
      <c r="R1601">
        <v>-0.67844399999999905</v>
      </c>
      <c r="S1601">
        <v>1.0204930000000001</v>
      </c>
      <c r="T1601">
        <v>-0.41278369999999998</v>
      </c>
      <c r="U1601">
        <v>-3.2878419999999999</v>
      </c>
      <c r="V1601">
        <v>0.2357688</v>
      </c>
      <c r="W1601">
        <v>-8.9907100000000004E-2</v>
      </c>
      <c r="X1601">
        <v>0.96764139999999998</v>
      </c>
      <c r="Y1601">
        <v>0.6875732</v>
      </c>
      <c r="Z1601">
        <v>2.3072180000000002E-3</v>
      </c>
      <c r="AA1601">
        <v>0.72611139999999996</v>
      </c>
      <c r="AB1601">
        <v>25</v>
      </c>
      <c r="AC1601">
        <v>2.5983999999999901</v>
      </c>
      <c r="AD1601">
        <v>-1.096742769435</v>
      </c>
      <c r="AE1601">
        <v>-8.6628000000000007</v>
      </c>
      <c r="AF1601">
        <v>6.21289438998165</v>
      </c>
      <c r="AG1601">
        <v>-1.096742769435</v>
      </c>
      <c r="AH1601">
        <v>6.3907811557228804</v>
      </c>
      <c r="AI1601">
        <v>97.014945290303402</v>
      </c>
      <c r="AJ1601">
        <v>45.808612074086</v>
      </c>
      <c r="AK1601">
        <v>8.9802552961325208</v>
      </c>
      <c r="AL1601">
        <v>95.158262406669394</v>
      </c>
      <c r="AM1601">
        <v>76.306525203536196</v>
      </c>
      <c r="AN1601">
        <v>1.0000000463389001</v>
      </c>
    </row>
    <row r="1602" spans="1:40" x14ac:dyDescent="0.25">
      <c r="A1602" t="str">
        <f>"20190305134932089"</f>
        <v>20190305134932089</v>
      </c>
      <c r="B1602" t="str">
        <f>"1551764972082002"</f>
        <v>1551764972082002</v>
      </c>
      <c r="C1602" t="s">
        <v>40</v>
      </c>
      <c r="D1602">
        <v>4.1463890000000001</v>
      </c>
      <c r="E1602">
        <v>0.71495109999999995</v>
      </c>
      <c r="F1602" t="s">
        <v>44</v>
      </c>
      <c r="G1602">
        <v>-199.66</v>
      </c>
      <c r="H1602" s="1">
        <v>-5.7820760000000003E-6</v>
      </c>
      <c r="I1602">
        <v>356.57130000000001</v>
      </c>
      <c r="J1602">
        <v>-202.1737</v>
      </c>
      <c r="K1602">
        <v>1.0966370000000001</v>
      </c>
      <c r="L1602">
        <v>365.11439999999999</v>
      </c>
      <c r="M1602">
        <v>0.86866139999999903</v>
      </c>
      <c r="N1602">
        <v>-1.7120449999999999E-2</v>
      </c>
      <c r="O1602">
        <v>-0.49511050000000001</v>
      </c>
      <c r="P1602">
        <v>0.72252869999999902</v>
      </c>
      <c r="Q1602">
        <v>-9.9104750000000005E-2</v>
      </c>
      <c r="R1602">
        <v>-0.6842009</v>
      </c>
      <c r="S1602">
        <v>1.000534</v>
      </c>
      <c r="T1602">
        <v>-0.41854609999999898</v>
      </c>
      <c r="U1602">
        <v>-3.2873839999999999</v>
      </c>
      <c r="V1602">
        <v>0.23382629999999999</v>
      </c>
      <c r="W1602">
        <v>-9.0210970000000001E-2</v>
      </c>
      <c r="X1602">
        <v>0.96808430000000001</v>
      </c>
      <c r="Y1602">
        <v>0.68435649999999904</v>
      </c>
      <c r="Z1602">
        <v>4.0084379999999996E-3</v>
      </c>
      <c r="AA1602">
        <v>0.72913660000000002</v>
      </c>
      <c r="AB1602">
        <v>25</v>
      </c>
      <c r="AC1602">
        <v>2.5137</v>
      </c>
      <c r="AD1602">
        <v>-1.0966427820760001</v>
      </c>
      <c r="AE1602">
        <v>-8.5430999999999795</v>
      </c>
      <c r="AF1602">
        <v>6.0851265846190499</v>
      </c>
      <c r="AG1602">
        <v>-1.0966427820760001</v>
      </c>
      <c r="AH1602">
        <v>6.3184536348073301</v>
      </c>
      <c r="AI1602">
        <v>97.125767894585593</v>
      </c>
      <c r="AJ1602">
        <v>46.077679059285003</v>
      </c>
      <c r="AK1602">
        <v>8.8404890858779392</v>
      </c>
      <c r="AL1602">
        <v>95.175744231200298</v>
      </c>
      <c r="AM1602">
        <v>76.421133398002993</v>
      </c>
      <c r="AN1602">
        <v>0.99999998479326002</v>
      </c>
    </row>
    <row r="1603" spans="1:40" x14ac:dyDescent="0.25">
      <c r="A1603" t="str">
        <f>"20190305134932100"</f>
        <v>20190305134932100</v>
      </c>
      <c r="B1603" t="str">
        <f>"1551764972091762"</f>
        <v>1551764972091762</v>
      </c>
      <c r="C1603" t="s">
        <v>40</v>
      </c>
      <c r="D1603">
        <v>4.6860799999999996</v>
      </c>
      <c r="E1603">
        <v>0.7135705</v>
      </c>
      <c r="F1603" t="s">
        <v>44</v>
      </c>
      <c r="G1603">
        <v>-199.63319999999999</v>
      </c>
      <c r="H1603" s="1">
        <v>-5.760779E-6</v>
      </c>
      <c r="I1603">
        <v>356.52019999999999</v>
      </c>
      <c r="J1603">
        <v>-202.0712</v>
      </c>
      <c r="K1603">
        <v>1.0965510000000001</v>
      </c>
      <c r="L1603">
        <v>365.04430000000002</v>
      </c>
      <c r="M1603">
        <v>0.86381949999999996</v>
      </c>
      <c r="N1603">
        <v>-1.7167720000000001E-2</v>
      </c>
      <c r="O1603">
        <v>-0.50350879999999998</v>
      </c>
      <c r="P1603">
        <v>0.7172828</v>
      </c>
      <c r="Q1603">
        <v>-9.9881010000000006E-2</v>
      </c>
      <c r="R1603">
        <v>-0.68958640000000004</v>
      </c>
      <c r="S1603">
        <v>0.97407529999999998</v>
      </c>
      <c r="T1603">
        <v>-0.4204659</v>
      </c>
      <c r="U1603">
        <v>-3.2951350000000001</v>
      </c>
      <c r="V1603">
        <v>0.2316993</v>
      </c>
      <c r="W1603">
        <v>-9.0908829999999996E-2</v>
      </c>
      <c r="X1603">
        <v>0.96853040000000001</v>
      </c>
      <c r="Y1603">
        <v>0.68317169999999905</v>
      </c>
      <c r="Z1603">
        <v>5.3133929999999996E-3</v>
      </c>
      <c r="AA1603">
        <v>0.73023850000000001</v>
      </c>
      <c r="AB1603">
        <v>25</v>
      </c>
      <c r="AC1603">
        <v>2.4380000000000099</v>
      </c>
      <c r="AD1603">
        <v>-1.0965567607790001</v>
      </c>
      <c r="AE1603">
        <v>-8.5241000000000309</v>
      </c>
      <c r="AF1603">
        <v>6.0441738381372803</v>
      </c>
      <c r="AG1603">
        <v>-1.0965567607790001</v>
      </c>
      <c r="AH1603">
        <v>6.3024829985042601</v>
      </c>
      <c r="AI1603">
        <v>97.1574282166942</v>
      </c>
      <c r="AJ1603">
        <v>46.198532211290001</v>
      </c>
      <c r="AK1603">
        <v>8.8008957533689998</v>
      </c>
      <c r="AL1603">
        <v>95.215893254071901</v>
      </c>
      <c r="AM1603">
        <v>76.546113615387796</v>
      </c>
      <c r="AN1603">
        <v>1.0000000583583</v>
      </c>
    </row>
    <row r="1604" spans="1:40" x14ac:dyDescent="0.25">
      <c r="A1604" t="str">
        <f>"20190305134932112"</f>
        <v>20190305134932112</v>
      </c>
      <c r="B1604" t="str">
        <f>"1551764972102498"</f>
        <v>1551764972102498</v>
      </c>
      <c r="C1604" t="s">
        <v>40</v>
      </c>
      <c r="D1604">
        <v>4.154604</v>
      </c>
      <c r="E1604">
        <v>0.7135705</v>
      </c>
      <c r="F1604" t="s">
        <v>44</v>
      </c>
      <c r="G1604">
        <v>-199.59829999999999</v>
      </c>
      <c r="H1604" s="1">
        <v>-5.7578659999999999E-6</v>
      </c>
      <c r="I1604">
        <v>356.52780000000001</v>
      </c>
      <c r="J1604">
        <v>-201.96639999999999</v>
      </c>
      <c r="K1604">
        <v>1.096463</v>
      </c>
      <c r="L1604">
        <v>364.97199999999998</v>
      </c>
      <c r="M1604">
        <v>0.858763099999999</v>
      </c>
      <c r="N1604">
        <v>-1.721466E-2</v>
      </c>
      <c r="O1604">
        <v>-0.51208390000000004</v>
      </c>
      <c r="P1604">
        <v>0.71180180000000004</v>
      </c>
      <c r="Q1604">
        <v>-0.100799</v>
      </c>
      <c r="R1604">
        <v>-0.69511029999999996</v>
      </c>
      <c r="S1604">
        <v>0.95651249999999999</v>
      </c>
      <c r="T1604">
        <v>-0.42413810000000002</v>
      </c>
      <c r="U1604">
        <v>-3.294098</v>
      </c>
      <c r="V1604">
        <v>0.22956750000000001</v>
      </c>
      <c r="W1604">
        <v>-9.1748629999999998E-2</v>
      </c>
      <c r="X1604">
        <v>0.96895869999999995</v>
      </c>
      <c r="Y1604">
        <v>0.67945269999999902</v>
      </c>
      <c r="Z1604">
        <v>7.0234310000000001E-3</v>
      </c>
      <c r="AA1604">
        <v>0.7336857</v>
      </c>
      <c r="AB1604">
        <v>25</v>
      </c>
      <c r="AC1604">
        <v>2.3680999999999899</v>
      </c>
      <c r="AD1604">
        <v>-1.096468757866</v>
      </c>
      <c r="AE1604">
        <v>-8.4441999999999595</v>
      </c>
      <c r="AF1604">
        <v>5.9468384642720498</v>
      </c>
      <c r="AG1604">
        <v>-1.096468757866</v>
      </c>
      <c r="AH1604">
        <v>6.26085150762158</v>
      </c>
      <c r="AI1604">
        <v>97.236669822865295</v>
      </c>
      <c r="AJ1604">
        <v>46.4734692361112</v>
      </c>
      <c r="AK1604">
        <v>8.7043318558984897</v>
      </c>
      <c r="AL1604">
        <v>95.264212463313399</v>
      </c>
      <c r="AM1604">
        <v>76.671141777582505</v>
      </c>
      <c r="AN1604">
        <v>1.0000000052344</v>
      </c>
    </row>
    <row r="1605" spans="1:40" x14ac:dyDescent="0.25">
      <c r="A1605" t="str">
        <f>"20190305134932122"</f>
        <v>20190305134932122</v>
      </c>
      <c r="B1605" t="str">
        <f>"1551764972112259"</f>
        <v>1551764972112259</v>
      </c>
      <c r="C1605" t="s">
        <v>40</v>
      </c>
      <c r="D1605">
        <v>4.6711669999999996</v>
      </c>
      <c r="E1605">
        <v>0.71221049999999997</v>
      </c>
      <c r="F1605" t="s">
        <v>44</v>
      </c>
      <c r="G1605">
        <v>-199.56960000000001</v>
      </c>
      <c r="H1605" s="1">
        <v>-5.7321599999999997E-6</v>
      </c>
      <c r="I1605">
        <v>356.46440000000001</v>
      </c>
      <c r="J1605">
        <v>-201.86359999999999</v>
      </c>
      <c r="K1605">
        <v>1.0963849999999999</v>
      </c>
      <c r="L1605">
        <v>364.89879999999999</v>
      </c>
      <c r="M1605">
        <v>0.85361309999999901</v>
      </c>
      <c r="N1605">
        <v>-1.7261220000000001E-2</v>
      </c>
      <c r="O1605">
        <v>-0.52062180000000002</v>
      </c>
      <c r="P1605">
        <v>0.70625000000000004</v>
      </c>
      <c r="Q1605">
        <v>-0.1016579</v>
      </c>
      <c r="R1605">
        <v>-0.70062639999999998</v>
      </c>
      <c r="S1605">
        <v>0.93014529999999995</v>
      </c>
      <c r="T1605">
        <v>-0.4255236</v>
      </c>
      <c r="U1605">
        <v>-3.3016969999999999</v>
      </c>
      <c r="V1605">
        <v>0.2274678</v>
      </c>
      <c r="W1605">
        <v>-9.25261E-2</v>
      </c>
      <c r="X1605">
        <v>0.96937980000000001</v>
      </c>
      <c r="Y1605">
        <v>0.67804730000000002</v>
      </c>
      <c r="Z1605">
        <v>8.3789559999999999E-3</v>
      </c>
      <c r="AA1605">
        <v>0.73497049999999997</v>
      </c>
      <c r="AB1605">
        <v>25</v>
      </c>
      <c r="AC1605">
        <v>2.2939999999999801</v>
      </c>
      <c r="AD1605">
        <v>-1.0963907321599999</v>
      </c>
      <c r="AE1605">
        <v>-8.4343999999999806</v>
      </c>
      <c r="AF1605">
        <v>5.9132647277627504</v>
      </c>
      <c r="AG1605">
        <v>-1.0963907321599999</v>
      </c>
      <c r="AH1605">
        <v>6.2519009827421401</v>
      </c>
      <c r="AI1605">
        <v>97.260778979533598</v>
      </c>
      <c r="AJ1605">
        <v>46.594505123435702</v>
      </c>
      <c r="AK1605">
        <v>8.6749661829993094</v>
      </c>
      <c r="AL1605">
        <v>95.3089488657034</v>
      </c>
      <c r="AM1605">
        <v>76.794295778452593</v>
      </c>
      <c r="AN1605">
        <v>0.99999993793304298</v>
      </c>
    </row>
    <row r="1606" spans="1:40" x14ac:dyDescent="0.25">
      <c r="A1606" t="str">
        <f>"20190305134932134"</f>
        <v>20190305134932134</v>
      </c>
      <c r="B1606" t="str">
        <f>"1551764972122020"</f>
        <v>1551764972122020</v>
      </c>
      <c r="C1606" t="s">
        <v>40</v>
      </c>
      <c r="D1606">
        <v>4.224933</v>
      </c>
      <c r="E1606">
        <v>0.71221049999999997</v>
      </c>
      <c r="F1606" t="s">
        <v>44</v>
      </c>
      <c r="G1606">
        <v>-199.5308</v>
      </c>
      <c r="H1606" s="1">
        <v>-5.7214959999999899E-6</v>
      </c>
      <c r="I1606">
        <v>356.45060000000001</v>
      </c>
      <c r="J1606">
        <v>-201.75880000000001</v>
      </c>
      <c r="K1606">
        <v>1.0963080000000001</v>
      </c>
      <c r="L1606">
        <v>364.8229</v>
      </c>
      <c r="M1606">
        <v>0.84821959999999996</v>
      </c>
      <c r="N1606">
        <v>-1.7307800000000002E-2</v>
      </c>
      <c r="O1606">
        <v>-0.52936209999999995</v>
      </c>
      <c r="P1606">
        <v>0.70034730000000001</v>
      </c>
      <c r="Q1606">
        <v>-0.1020853</v>
      </c>
      <c r="R1606">
        <v>-0.70646509999999996</v>
      </c>
      <c r="S1606">
        <v>0.91149899999999995</v>
      </c>
      <c r="T1606">
        <v>-0.42839120000000003</v>
      </c>
      <c r="U1606">
        <v>-3.3009339999999998</v>
      </c>
      <c r="V1606">
        <v>0.22556599999999999</v>
      </c>
      <c r="W1606">
        <v>-9.287724E-2</v>
      </c>
      <c r="X1606">
        <v>0.96979059999999995</v>
      </c>
      <c r="Y1606">
        <v>0.67434280000000002</v>
      </c>
      <c r="Z1606">
        <v>1.011856E-2</v>
      </c>
      <c r="AA1606">
        <v>0.73834909999999998</v>
      </c>
      <c r="AB1606">
        <v>25</v>
      </c>
      <c r="AC1606">
        <v>2.2280000000000002</v>
      </c>
      <c r="AD1606">
        <v>-1.0963137214959999</v>
      </c>
      <c r="AE1606">
        <v>-8.3722999999999903</v>
      </c>
      <c r="AF1606">
        <v>5.8296678342838497</v>
      </c>
      <c r="AG1606">
        <v>-1.0963137214959999</v>
      </c>
      <c r="AH1606">
        <v>6.2231089794422898</v>
      </c>
      <c r="AI1606">
        <v>97.326189730222794</v>
      </c>
      <c r="AJ1606">
        <v>46.869653410976397</v>
      </c>
      <c r="AK1606">
        <v>8.5973261078104599</v>
      </c>
      <c r="AL1606">
        <v>95.329154356692499</v>
      </c>
      <c r="AM1606">
        <v>76.906240379730207</v>
      </c>
      <c r="AN1606">
        <v>1.00000000495718</v>
      </c>
    </row>
    <row r="1607" spans="1:40" x14ac:dyDescent="0.25">
      <c r="A1607" t="str">
        <f>"20190305134932144"</f>
        <v>20190305134932144</v>
      </c>
      <c r="B1607" t="str">
        <f>"1551764972142514"</f>
        <v>1551764972142514</v>
      </c>
      <c r="C1607" t="s">
        <v>40</v>
      </c>
      <c r="D1607">
        <v>4.4554819999999999</v>
      </c>
      <c r="E1607">
        <v>0.71027899999999999</v>
      </c>
      <c r="F1607" t="s">
        <v>44</v>
      </c>
      <c r="G1607">
        <v>-199.49109999999999</v>
      </c>
      <c r="H1607" s="1">
        <v>-5.677067E-6</v>
      </c>
      <c r="I1607">
        <v>356.33640000000003</v>
      </c>
      <c r="J1607">
        <v>-201.65870000000001</v>
      </c>
      <c r="K1607">
        <v>1.096241</v>
      </c>
      <c r="L1607">
        <v>364.74860000000001</v>
      </c>
      <c r="M1607">
        <v>0.84290339999999997</v>
      </c>
      <c r="N1607">
        <v>-1.7352030000000001E-2</v>
      </c>
      <c r="O1607">
        <v>-0.53778519999999996</v>
      </c>
      <c r="P1607">
        <v>0.69454869999999902</v>
      </c>
      <c r="Q1607">
        <v>-0.1022419</v>
      </c>
      <c r="R1607">
        <v>-0.71214390000000005</v>
      </c>
      <c r="S1607">
        <v>0.88401790000000002</v>
      </c>
      <c r="T1607">
        <v>-0.42739070000000001</v>
      </c>
      <c r="U1607">
        <v>-3.308411</v>
      </c>
      <c r="V1607">
        <v>0.22379969999999999</v>
      </c>
      <c r="W1607">
        <v>-9.2959680000000003E-2</v>
      </c>
      <c r="X1607">
        <v>0.97019180000000005</v>
      </c>
      <c r="Y1607">
        <v>0.67318669999999903</v>
      </c>
      <c r="Z1607">
        <v>1.1323349999999999E-2</v>
      </c>
      <c r="AA1607">
        <v>0.73938590000000004</v>
      </c>
      <c r="AB1607">
        <v>25</v>
      </c>
      <c r="AC1607">
        <v>2.1676000000000202</v>
      </c>
      <c r="AD1607">
        <v>-1.0962466770670001</v>
      </c>
      <c r="AE1607">
        <v>-8.4121999999999808</v>
      </c>
      <c r="AF1607">
        <v>5.8329705281936697</v>
      </c>
      <c r="AG1607">
        <v>-1.0962466770670001</v>
      </c>
      <c r="AH1607">
        <v>6.2524202089398502</v>
      </c>
      <c r="AI1607">
        <v>97.305689290185796</v>
      </c>
      <c r="AJ1607">
        <v>46.987776323285303</v>
      </c>
      <c r="AK1607">
        <v>8.6207923318518596</v>
      </c>
      <c r="AL1607">
        <v>95.3338985406034</v>
      </c>
      <c r="AM1607">
        <v>77.010469737698401</v>
      </c>
      <c r="AN1607">
        <v>0.99999996830651505</v>
      </c>
    </row>
    <row r="1608" spans="1:40" x14ac:dyDescent="0.25">
      <c r="A1608" t="str">
        <f>"20190305134932156"</f>
        <v>20190305134932156</v>
      </c>
      <c r="B1608" t="str">
        <f>"1551764972152274"</f>
        <v>1551764972152274</v>
      </c>
      <c r="C1608" t="s">
        <v>40</v>
      </c>
      <c r="D1608">
        <v>4.4355890000000002</v>
      </c>
      <c r="E1608">
        <v>0.70944649999999998</v>
      </c>
      <c r="F1608" t="s">
        <v>44</v>
      </c>
      <c r="G1608">
        <v>-199.0933</v>
      </c>
      <c r="H1608" s="1">
        <v>-5.17782299999999E-6</v>
      </c>
      <c r="I1608">
        <v>355.03699999999998</v>
      </c>
      <c r="J1608">
        <v>-201.55260000000001</v>
      </c>
      <c r="K1608">
        <v>1.0961730000000001</v>
      </c>
      <c r="L1608">
        <v>364.66809999999998</v>
      </c>
      <c r="M1608">
        <v>0.83708959999999999</v>
      </c>
      <c r="N1608">
        <v>-1.7398139999999999E-2</v>
      </c>
      <c r="O1608">
        <v>-0.54678909999999903</v>
      </c>
      <c r="P1608">
        <v>0.68828900000000004</v>
      </c>
      <c r="Q1608">
        <v>-0.102092</v>
      </c>
      <c r="R1608">
        <v>-0.71821699999999999</v>
      </c>
      <c r="S1608">
        <v>0.87358089999999999</v>
      </c>
      <c r="T1608">
        <v>-0.37329790000000002</v>
      </c>
      <c r="U1608">
        <v>-3.3070369999999998</v>
      </c>
      <c r="V1608">
        <v>0.22190589999999999</v>
      </c>
      <c r="W1608">
        <v>-9.2727939999999995E-2</v>
      </c>
      <c r="X1608">
        <v>0.97064890000000004</v>
      </c>
      <c r="Y1608">
        <v>0.66784239999999995</v>
      </c>
      <c r="Z1608">
        <v>9.5425920000000008E-3</v>
      </c>
      <c r="AA1608">
        <v>0.74424169999999901</v>
      </c>
      <c r="AB1608">
        <v>25</v>
      </c>
      <c r="AC1608">
        <v>2.45930000000001</v>
      </c>
      <c r="AD1608">
        <v>-1.096178177823</v>
      </c>
      <c r="AE1608">
        <v>-9.6311</v>
      </c>
      <c r="AF1608">
        <v>6.63766975175764</v>
      </c>
      <c r="AG1608">
        <v>-1.096178177823</v>
      </c>
      <c r="AH1608">
        <v>7.2379216392619501</v>
      </c>
      <c r="AI1608">
        <v>96.368942909083003</v>
      </c>
      <c r="AJ1608">
        <v>47.4770454351236</v>
      </c>
      <c r="AK1608">
        <v>9.8816889238140906</v>
      </c>
      <c r="AL1608">
        <v>95.320563083959399</v>
      </c>
      <c r="AM1608">
        <v>77.122569762001305</v>
      </c>
      <c r="AN1608">
        <v>0.99999999319133104</v>
      </c>
    </row>
    <row r="1609" spans="1:40" x14ac:dyDescent="0.25">
      <c r="A1609" t="str">
        <f>"20190305134932167"</f>
        <v>20190305134932167</v>
      </c>
      <c r="B1609" t="str">
        <f>"1551764972162034"</f>
        <v>1551764972162034</v>
      </c>
      <c r="C1609" t="s">
        <v>40</v>
      </c>
      <c r="D1609">
        <v>4.4210059999999904</v>
      </c>
      <c r="E1609">
        <v>0.70863430000000005</v>
      </c>
      <c r="F1609" t="s">
        <v>44</v>
      </c>
      <c r="G1609">
        <v>-198.74510000000001</v>
      </c>
      <c r="H1609" s="1">
        <v>-4.4822040000000002E-6</v>
      </c>
      <c r="I1609">
        <v>353.7756</v>
      </c>
      <c r="J1609">
        <v>-201.4479</v>
      </c>
      <c r="K1609">
        <v>1.096098</v>
      </c>
      <c r="L1609">
        <v>364.58710000000002</v>
      </c>
      <c r="M1609">
        <v>0.83118890000000001</v>
      </c>
      <c r="N1609">
        <v>-1.744275E-2</v>
      </c>
      <c r="O1609">
        <v>-0.55571660000000001</v>
      </c>
      <c r="P1609">
        <v>0.68191559999999996</v>
      </c>
      <c r="Q1609">
        <v>-0.1025039</v>
      </c>
      <c r="R1609">
        <v>-0.72421289999999905</v>
      </c>
      <c r="S1609">
        <v>0.85357669999999997</v>
      </c>
      <c r="T1609">
        <v>-0.33327020000000002</v>
      </c>
      <c r="U1609">
        <v>-3.3116150000000002</v>
      </c>
      <c r="V1609">
        <v>0.2200241</v>
      </c>
      <c r="W1609">
        <v>-9.305882E-2</v>
      </c>
      <c r="X1609">
        <v>0.97104559999999995</v>
      </c>
      <c r="Y1609">
        <v>0.66465969999999996</v>
      </c>
      <c r="Z1609">
        <v>8.0827509999999905E-3</v>
      </c>
      <c r="AA1609">
        <v>0.7471025</v>
      </c>
      <c r="AB1609">
        <v>25</v>
      </c>
      <c r="AC1609">
        <v>2.7027999999999901</v>
      </c>
      <c r="AD1609">
        <v>-1.096102482204</v>
      </c>
      <c r="AE1609">
        <v>-10.811500000000001</v>
      </c>
      <c r="AF1609">
        <v>7.4138253088882298</v>
      </c>
      <c r="AG1609">
        <v>-1.096102482204</v>
      </c>
      <c r="AH1609">
        <v>8.1768206939063699</v>
      </c>
      <c r="AI1609">
        <v>95.671312993220695</v>
      </c>
      <c r="AJ1609">
        <v>47.801780267999</v>
      </c>
      <c r="AK1609">
        <v>11.0917376015888</v>
      </c>
      <c r="AL1609">
        <v>95.339603121178698</v>
      </c>
      <c r="AM1609">
        <v>77.233223012332104</v>
      </c>
      <c r="AN1609">
        <v>1.00000005291997</v>
      </c>
    </row>
    <row r="1610" spans="1:40" x14ac:dyDescent="0.25">
      <c r="A1610" t="str">
        <f>"20190305134932179"</f>
        <v>20190305134932179</v>
      </c>
      <c r="B1610" t="str">
        <f>"1551764972172301"</f>
        <v>1551764972172301</v>
      </c>
      <c r="C1610" t="s">
        <v>40</v>
      </c>
      <c r="D1610">
        <v>4.3865829999999999</v>
      </c>
      <c r="E1610">
        <v>0.70776229999999996</v>
      </c>
      <c r="F1610" t="s">
        <v>44</v>
      </c>
      <c r="G1610">
        <v>-198.4041</v>
      </c>
      <c r="H1610" s="1">
        <v>-3.753993E-6</v>
      </c>
      <c r="I1610">
        <v>352.47879999999998</v>
      </c>
      <c r="J1610">
        <v>-201.3486</v>
      </c>
      <c r="K1610">
        <v>1.0960379999999901</v>
      </c>
      <c r="L1610">
        <v>364.50779999999997</v>
      </c>
      <c r="M1610">
        <v>0.82538929999999999</v>
      </c>
      <c r="N1610">
        <v>-1.7484429999999999E-2</v>
      </c>
      <c r="O1610">
        <v>-0.56429309999999999</v>
      </c>
      <c r="P1610">
        <v>0.67562480000000003</v>
      </c>
      <c r="Q1610">
        <v>-0.1028211</v>
      </c>
      <c r="R1610">
        <v>-0.73004040000000003</v>
      </c>
      <c r="S1610">
        <v>0.83335879999999996</v>
      </c>
      <c r="T1610">
        <v>-0.30010879999999901</v>
      </c>
      <c r="U1610">
        <v>-3.3152159999999999</v>
      </c>
      <c r="V1610">
        <v>0.2183155</v>
      </c>
      <c r="W1610">
        <v>-9.3299499999999994E-2</v>
      </c>
      <c r="X1610">
        <v>0.97140800000000005</v>
      </c>
      <c r="Y1610">
        <v>0.66163930000000004</v>
      </c>
      <c r="Z1610">
        <v>6.7799499999999999E-3</v>
      </c>
      <c r="AA1610">
        <v>0.74979169999999995</v>
      </c>
      <c r="AB1610">
        <v>25</v>
      </c>
      <c r="AC1610">
        <v>2.9445000000000001</v>
      </c>
      <c r="AD1610">
        <v>-1.0960417539930001</v>
      </c>
      <c r="AE1610">
        <v>-12.0289999999999</v>
      </c>
      <c r="AF1610">
        <v>8.20404969276189</v>
      </c>
      <c r="AG1610">
        <v>-1.0960417539930001</v>
      </c>
      <c r="AH1610">
        <v>9.1479949734173793</v>
      </c>
      <c r="AI1610">
        <v>95.097116999105495</v>
      </c>
      <c r="AJ1610">
        <v>48.113801600479803</v>
      </c>
      <c r="AK1610">
        <v>12.3366750350924</v>
      </c>
      <c r="AL1610">
        <v>95.3534537263331</v>
      </c>
      <c r="AM1610">
        <v>77.333725298108703</v>
      </c>
      <c r="AN1610">
        <v>0.99999997835224896</v>
      </c>
    </row>
    <row r="1611" spans="1:40" x14ac:dyDescent="0.25">
      <c r="A1611" t="str">
        <f>"20190305134932190"</f>
        <v>20190305134932190</v>
      </c>
      <c r="B1611" t="str">
        <f>"1551764972182062"</f>
        <v>1551764972182062</v>
      </c>
      <c r="C1611" t="s">
        <v>40</v>
      </c>
      <c r="D1611">
        <v>4.4395899999999999</v>
      </c>
      <c r="E1611">
        <v>0.70696819999999905</v>
      </c>
      <c r="F1611" t="s">
        <v>44</v>
      </c>
      <c r="G1611">
        <v>-198.06180000000001</v>
      </c>
      <c r="H1611" s="1">
        <v>-2.978279E-6</v>
      </c>
      <c r="I1611">
        <v>351.0881</v>
      </c>
      <c r="J1611">
        <v>-201.2439</v>
      </c>
      <c r="K1611">
        <v>1.09597099999999</v>
      </c>
      <c r="L1611">
        <v>364.42329999999998</v>
      </c>
      <c r="M1611">
        <v>0.81913349999999996</v>
      </c>
      <c r="N1611">
        <v>-1.7527230000000001E-2</v>
      </c>
      <c r="O1611">
        <v>-0.57333519999999905</v>
      </c>
      <c r="P1611">
        <v>0.66881769999999996</v>
      </c>
      <c r="Q1611">
        <v>-0.1032115</v>
      </c>
      <c r="R1611">
        <v>-0.73622710000000002</v>
      </c>
      <c r="S1611">
        <v>0.81288149999999904</v>
      </c>
      <c r="T1611">
        <v>-0.271069</v>
      </c>
      <c r="U1611">
        <v>-3.3189090000000001</v>
      </c>
      <c r="V1611">
        <v>0.216587</v>
      </c>
      <c r="W1611">
        <v>-9.3612119999999993E-2</v>
      </c>
      <c r="X1611">
        <v>0.97176479999999998</v>
      </c>
      <c r="Y1611">
        <v>0.65814269999999997</v>
      </c>
      <c r="Z1611">
        <v>5.6146869999999897E-3</v>
      </c>
      <c r="AA1611">
        <v>0.75287230000000005</v>
      </c>
      <c r="AB1611">
        <v>25</v>
      </c>
      <c r="AC1611">
        <v>3.1820999999999899</v>
      </c>
      <c r="AD1611">
        <v>-1.0959739782789999</v>
      </c>
      <c r="AE1611">
        <v>-13.335199999999899</v>
      </c>
      <c r="AF1611">
        <v>9.04250814403429</v>
      </c>
      <c r="AG1611">
        <v>-1.0959739782789999</v>
      </c>
      <c r="AH1611">
        <v>10.1885662469757</v>
      </c>
      <c r="AI1611">
        <v>94.599706333812193</v>
      </c>
      <c r="AJ1611">
        <v>48.410455479347299</v>
      </c>
      <c r="AK1611">
        <v>13.666564845088301</v>
      </c>
      <c r="AL1611">
        <v>95.371444196501201</v>
      </c>
      <c r="AM1611">
        <v>77.435279507269698</v>
      </c>
      <c r="AN1611">
        <v>0.99999999204946699</v>
      </c>
    </row>
    <row r="1612" spans="1:40" x14ac:dyDescent="0.25">
      <c r="A1612" t="str">
        <f>"20190305134932200"</f>
        <v>20190305134932200</v>
      </c>
      <c r="B1612" t="str">
        <f>"1551764972191821"</f>
        <v>1551764972191821</v>
      </c>
      <c r="C1612" t="s">
        <v>40</v>
      </c>
      <c r="D1612">
        <v>4.2235769999999997</v>
      </c>
      <c r="E1612">
        <v>0.70696819999999905</v>
      </c>
      <c r="F1612" t="s">
        <v>44</v>
      </c>
      <c r="G1612">
        <v>-197.7585</v>
      </c>
      <c r="H1612" s="1">
        <v>-2.150962E-6</v>
      </c>
      <c r="I1612">
        <v>349.74900000000002</v>
      </c>
      <c r="J1612">
        <v>-201.15530000000001</v>
      </c>
      <c r="K1612">
        <v>1.09592</v>
      </c>
      <c r="L1612">
        <v>364.3492</v>
      </c>
      <c r="M1612">
        <v>0.8136388</v>
      </c>
      <c r="N1612">
        <v>-1.756276E-2</v>
      </c>
      <c r="O1612">
        <v>-0.58110550000000005</v>
      </c>
      <c r="P1612">
        <v>0.66309180000000001</v>
      </c>
      <c r="Q1612">
        <v>-0.1038526</v>
      </c>
      <c r="R1612">
        <v>-0.74129909999999999</v>
      </c>
      <c r="S1612">
        <v>0.78926090000000004</v>
      </c>
      <c r="T1612">
        <v>-0.2481796</v>
      </c>
      <c r="U1612">
        <v>-3.322937</v>
      </c>
      <c r="V1612">
        <v>0.2147703</v>
      </c>
      <c r="W1612">
        <v>-9.4172339999999993E-2</v>
      </c>
      <c r="X1612">
        <v>0.97211380000000003</v>
      </c>
      <c r="Y1612">
        <v>0.656385</v>
      </c>
      <c r="Z1612">
        <v>4.529735E-3</v>
      </c>
      <c r="AA1612">
        <v>0.75441250000000004</v>
      </c>
      <c r="AB1612">
        <v>25</v>
      </c>
      <c r="AC1612">
        <v>3.39680000000001</v>
      </c>
      <c r="AD1612">
        <v>-1.0959221509620001</v>
      </c>
      <c r="AE1612">
        <v>-14.6001999999999</v>
      </c>
      <c r="AF1612">
        <v>9.8542462853291006</v>
      </c>
      <c r="AG1612">
        <v>-1.0959221509620001</v>
      </c>
      <c r="AH1612">
        <v>11.1899487112531</v>
      </c>
      <c r="AI1612">
        <v>94.203700210111293</v>
      </c>
      <c r="AJ1612">
        <v>48.631765886665498</v>
      </c>
      <c r="AK1612">
        <v>14.950657757214801</v>
      </c>
      <c r="AL1612">
        <v>95.403684954492505</v>
      </c>
      <c r="AM1612">
        <v>77.541698931860594</v>
      </c>
      <c r="AN1612">
        <v>0.999999975766802</v>
      </c>
    </row>
    <row r="1613" spans="1:40" x14ac:dyDescent="0.25">
      <c r="A1613" t="str">
        <f>"20190305134932213"</f>
        <v>20190305134932213</v>
      </c>
      <c r="B1613" t="str">
        <f>"1551764972202557"</f>
        <v>1551764972202557</v>
      </c>
      <c r="C1613" t="s">
        <v>40</v>
      </c>
      <c r="D1613">
        <v>4.2154870000000004</v>
      </c>
      <c r="E1613">
        <v>0.74231469999999999</v>
      </c>
      <c r="F1613" t="s">
        <v>44</v>
      </c>
      <c r="G1613">
        <v>-197.798</v>
      </c>
      <c r="H1613" s="1">
        <v>-2.1440690000000001E-6</v>
      </c>
      <c r="I1613">
        <v>349.71960000000001</v>
      </c>
      <c r="J1613">
        <v>-201.04859999999999</v>
      </c>
      <c r="K1613">
        <v>1.095861</v>
      </c>
      <c r="L1613">
        <v>364.25889999999998</v>
      </c>
      <c r="M1613">
        <v>0.8068786</v>
      </c>
      <c r="N1613">
        <v>-1.760428E-2</v>
      </c>
      <c r="O1613">
        <v>-0.5904549</v>
      </c>
      <c r="P1613">
        <v>0.65572189999999997</v>
      </c>
      <c r="Q1613">
        <v>-0.10436620000000001</v>
      </c>
      <c r="R1613">
        <v>-0.74775440000000004</v>
      </c>
      <c r="S1613">
        <v>0.76391600000000004</v>
      </c>
      <c r="T1613">
        <v>-0.24936330000000001</v>
      </c>
      <c r="U1613">
        <v>-3.3287659999999999</v>
      </c>
      <c r="V1613">
        <v>0.2130939</v>
      </c>
      <c r="W1613">
        <v>-9.4607319999999995E-2</v>
      </c>
      <c r="X1613">
        <v>0.97244050000000004</v>
      </c>
      <c r="Y1613">
        <v>0.65343669999999998</v>
      </c>
      <c r="Z1613">
        <v>5.4976549999999997E-3</v>
      </c>
      <c r="AA1613">
        <v>0.756961199999999</v>
      </c>
      <c r="AB1613">
        <v>25</v>
      </c>
      <c r="AC1613">
        <v>3.2505999999999902</v>
      </c>
      <c r="AD1613">
        <v>-1.0958631440690001</v>
      </c>
      <c r="AE1613">
        <v>-14.5392999999999</v>
      </c>
      <c r="AF1613">
        <v>9.7608266715727794</v>
      </c>
      <c r="AG1613">
        <v>-1.0958631440690001</v>
      </c>
      <c r="AH1613">
        <v>11.1490550584735</v>
      </c>
      <c r="AI1613">
        <v>94.229582064144495</v>
      </c>
      <c r="AJ1613">
        <v>48.7983510680031</v>
      </c>
      <c r="AK1613">
        <v>14.858535662705499</v>
      </c>
      <c r="AL1613">
        <v>95.428718890568703</v>
      </c>
      <c r="AM1613">
        <v>77.639966836570096</v>
      </c>
      <c r="AN1613">
        <v>1.00000004062752</v>
      </c>
    </row>
    <row r="1614" spans="1:40" x14ac:dyDescent="0.25">
      <c r="A1614" t="str">
        <f>"20190305134932225"</f>
        <v>20190305134932225</v>
      </c>
      <c r="B1614" t="str">
        <f>"1551764972222079"</f>
        <v>1551764972222079</v>
      </c>
      <c r="C1614" t="s">
        <v>40</v>
      </c>
      <c r="D1614">
        <v>4.4647730000000001</v>
      </c>
      <c r="E1614">
        <v>0.68908179999999997</v>
      </c>
      <c r="F1614" t="s">
        <v>60</v>
      </c>
      <c r="G1614">
        <v>-168.43270000000001</v>
      </c>
      <c r="H1614">
        <v>50.288879999999999</v>
      </c>
      <c r="I1614">
        <v>189.81630000000001</v>
      </c>
      <c r="J1614">
        <v>-200.94130000000001</v>
      </c>
      <c r="K1614">
        <v>1.095812</v>
      </c>
      <c r="L1614">
        <v>364.16550000000001</v>
      </c>
      <c r="M1614">
        <v>0.79984319999999998</v>
      </c>
      <c r="N1614">
        <v>-1.7644699999999999E-2</v>
      </c>
      <c r="O1614">
        <v>-0.59994969999999903</v>
      </c>
      <c r="P1614">
        <v>0.64792910000000004</v>
      </c>
      <c r="Q1614">
        <v>-0.104867</v>
      </c>
      <c r="R1614">
        <v>-0.75444730000000004</v>
      </c>
      <c r="S1614">
        <v>0.66700740000000003</v>
      </c>
      <c r="T1614">
        <v>1.0060150000000001</v>
      </c>
      <c r="U1614">
        <v>-3.5674130000000002</v>
      </c>
      <c r="V1614">
        <v>0.21161160000000001</v>
      </c>
      <c r="W1614">
        <v>-9.5034720000000003E-2</v>
      </c>
      <c r="X1614">
        <v>0.97272239999999999</v>
      </c>
      <c r="Y1614">
        <v>0.67389109999999997</v>
      </c>
      <c r="Z1614">
        <v>-9.4165650000000004E-2</v>
      </c>
      <c r="AA1614">
        <v>0.73280529999999999</v>
      </c>
      <c r="AB1614">
        <v>25</v>
      </c>
      <c r="AC1614">
        <v>32.508600000000001</v>
      </c>
      <c r="AD1614">
        <v>49.193067999999997</v>
      </c>
      <c r="AE1614">
        <v>-174.3492</v>
      </c>
      <c r="AF1614">
        <v>111.396818052176</v>
      </c>
      <c r="AG1614">
        <v>49.193067999999997</v>
      </c>
      <c r="AH1614">
        <v>121.291278585032</v>
      </c>
      <c r="AI1614">
        <v>73.368491038282997</v>
      </c>
      <c r="AJ1614">
        <v>47.434888246323503</v>
      </c>
      <c r="AK1614">
        <v>171.874324063236</v>
      </c>
      <c r="AL1614">
        <v>95.453318341720404</v>
      </c>
      <c r="AM1614">
        <v>77.726778138503505</v>
      </c>
      <c r="AN1614">
        <v>0.99999996736089802</v>
      </c>
    </row>
    <row r="1615" spans="1:40" x14ac:dyDescent="0.25">
      <c r="A1615" t="str">
        <f>"20190305134932238"</f>
        <v>20190305134932238</v>
      </c>
      <c r="B1615" t="str">
        <f>"1551764972231838"</f>
        <v>1551764972231838</v>
      </c>
      <c r="C1615" t="s">
        <v>40</v>
      </c>
      <c r="D1615">
        <v>4.4570249999999998</v>
      </c>
      <c r="E1615">
        <v>0.68831160000000002</v>
      </c>
      <c r="F1615" t="s">
        <v>60</v>
      </c>
      <c r="G1615">
        <v>-161.2706</v>
      </c>
      <c r="H1615">
        <v>1.448631</v>
      </c>
      <c r="I1615">
        <v>209.34229999999999</v>
      </c>
      <c r="J1615">
        <v>-200.8398</v>
      </c>
      <c r="K1615">
        <v>1.095777</v>
      </c>
      <c r="L1615">
        <v>364.07479999999998</v>
      </c>
      <c r="M1615">
        <v>0.79297959999999901</v>
      </c>
      <c r="N1615">
        <v>-1.7681160000000001E-2</v>
      </c>
      <c r="O1615">
        <v>-0.60899169999999903</v>
      </c>
      <c r="P1615">
        <v>0.64033109999999904</v>
      </c>
      <c r="Q1615">
        <v>-0.1048317</v>
      </c>
      <c r="R1615">
        <v>-0.76091209999999998</v>
      </c>
      <c r="S1615">
        <v>0.83532709999999999</v>
      </c>
      <c r="T1615">
        <v>7.4298380000000002E-3</v>
      </c>
      <c r="U1615">
        <v>-3.26004</v>
      </c>
      <c r="V1615">
        <v>0.2103237</v>
      </c>
      <c r="W1615">
        <v>-9.4931630000000003E-2</v>
      </c>
      <c r="X1615">
        <v>0.97301179999999998</v>
      </c>
      <c r="Y1615">
        <v>0.61706559999999999</v>
      </c>
      <c r="Z1615">
        <v>-1.6352200000000001E-2</v>
      </c>
      <c r="AA1615">
        <v>0.78674180000000005</v>
      </c>
      <c r="AB1615">
        <v>25</v>
      </c>
      <c r="AC1615">
        <v>39.569200000000002</v>
      </c>
      <c r="AD1615">
        <v>0.352854</v>
      </c>
      <c r="AE1615">
        <v>-154.73249999999999</v>
      </c>
      <c r="AF1615">
        <v>98.617328649938798</v>
      </c>
      <c r="AG1615">
        <v>0.352854</v>
      </c>
      <c r="AH1615">
        <v>125.627392016122</v>
      </c>
      <c r="AI1615">
        <v>89.873415069076202</v>
      </c>
      <c r="AJ1615">
        <v>51.868135448250598</v>
      </c>
      <c r="AK1615">
        <v>159.71143866601301</v>
      </c>
      <c r="AL1615">
        <v>95.447384616825403</v>
      </c>
      <c r="AM1615">
        <v>77.802750775024407</v>
      </c>
      <c r="AN1615">
        <v>1.00000001804769</v>
      </c>
    </row>
    <row r="1616" spans="1:40" x14ac:dyDescent="0.25">
      <c r="A1616" t="str">
        <f>"20190305134932250"</f>
        <v>20190305134932250</v>
      </c>
      <c r="B1616" t="str">
        <f>"1551764972242574"</f>
        <v>1551764972242574</v>
      </c>
      <c r="C1616" t="s">
        <v>40</v>
      </c>
      <c r="D1616">
        <v>4.4571740000000002</v>
      </c>
      <c r="E1616">
        <v>0.68777809999999995</v>
      </c>
      <c r="F1616" t="s">
        <v>61</v>
      </c>
      <c r="G1616">
        <v>-166.35470000000001</v>
      </c>
      <c r="H1616">
        <v>1.215401</v>
      </c>
      <c r="I1616">
        <v>224.61510000000001</v>
      </c>
      <c r="J1616">
        <v>-200.7321</v>
      </c>
      <c r="K1616">
        <v>1.095742</v>
      </c>
      <c r="L1616">
        <v>363.97710000000001</v>
      </c>
      <c r="M1616">
        <v>0.78551689999999996</v>
      </c>
      <c r="N1616">
        <v>-1.7718370000000001E-2</v>
      </c>
      <c r="O1616">
        <v>-0.61858679999999999</v>
      </c>
      <c r="P1616">
        <v>0.63223869999999904</v>
      </c>
      <c r="Q1616">
        <v>-0.1046961</v>
      </c>
      <c r="R1616">
        <v>-0.76766749999999995</v>
      </c>
      <c r="S1616">
        <v>0.80706789999999995</v>
      </c>
      <c r="T1616">
        <v>2.8009409999999999E-3</v>
      </c>
      <c r="U1616">
        <v>-3.2638240000000001</v>
      </c>
      <c r="V1616">
        <v>0.20881350000000001</v>
      </c>
      <c r="W1616">
        <v>-9.4717860000000001E-2</v>
      </c>
      <c r="X1616">
        <v>0.97335780000000005</v>
      </c>
      <c r="Y1616">
        <v>0.61410799999999999</v>
      </c>
      <c r="Z1616">
        <v>-1.6031179999999999E-2</v>
      </c>
      <c r="AA1616">
        <v>0.78905919999999996</v>
      </c>
      <c r="AB1616">
        <v>25</v>
      </c>
      <c r="AC1616">
        <v>34.377399999999902</v>
      </c>
      <c r="AD1616">
        <v>0.119658999999999</v>
      </c>
      <c r="AE1616">
        <v>-139.36199999999999</v>
      </c>
      <c r="AF1616">
        <v>88.219571681665798</v>
      </c>
      <c r="AG1616">
        <v>0.119658999999999</v>
      </c>
      <c r="AH1616">
        <v>113.22919769450201</v>
      </c>
      <c r="AI1616">
        <v>89.952236412855797</v>
      </c>
      <c r="AJ1616">
        <v>52.076992321295599</v>
      </c>
      <c r="AK1616">
        <v>143.53939653110399</v>
      </c>
      <c r="AL1616">
        <v>95.435081272118197</v>
      </c>
      <c r="AM1616">
        <v>77.891914929615993</v>
      </c>
      <c r="AN1616">
        <v>0.99999997880303404</v>
      </c>
    </row>
    <row r="1617" spans="1:40" x14ac:dyDescent="0.25">
      <c r="A1617" t="str">
        <f>"20190305134932262"</f>
        <v>20190305134932262</v>
      </c>
      <c r="B1617" t="str">
        <f>"1551764972252333"</f>
        <v>1551764972252333</v>
      </c>
      <c r="C1617" t="s">
        <v>40</v>
      </c>
      <c r="D1617">
        <v>4.4863350000000004</v>
      </c>
      <c r="E1617">
        <v>0.68724849999999904</v>
      </c>
      <c r="F1617" t="s">
        <v>61</v>
      </c>
      <c r="G1617">
        <v>-167.672</v>
      </c>
      <c r="H1617">
        <v>1.0752660000000001</v>
      </c>
      <c r="I1617">
        <v>224.61510000000001</v>
      </c>
      <c r="J1617">
        <v>-200.63310000000001</v>
      </c>
      <c r="K1617">
        <v>1.0957190000000001</v>
      </c>
      <c r="L1617">
        <v>363.88389999999998</v>
      </c>
      <c r="M1617">
        <v>0.77839569999999902</v>
      </c>
      <c r="N1617">
        <v>-1.7749640000000001E-2</v>
      </c>
      <c r="O1617">
        <v>-0.62752319999999995</v>
      </c>
      <c r="P1617">
        <v>0.62490389999999996</v>
      </c>
      <c r="Q1617">
        <v>-0.1039808</v>
      </c>
      <c r="R1617">
        <v>-0.77374659999999995</v>
      </c>
      <c r="S1617">
        <v>0.775528</v>
      </c>
      <c r="T1617">
        <v>-4.7898290000000001E-4</v>
      </c>
      <c r="U1617">
        <v>-3.2691650000000001</v>
      </c>
      <c r="V1617">
        <v>0.2070536</v>
      </c>
      <c r="W1617">
        <v>-9.3913250000000004E-2</v>
      </c>
      <c r="X1617">
        <v>0.9738116</v>
      </c>
      <c r="Y1617">
        <v>0.61256999999999995</v>
      </c>
      <c r="Z1617">
        <v>-1.5817069999999999E-2</v>
      </c>
      <c r="AA1617">
        <v>0.79025800000000002</v>
      </c>
      <c r="AB1617">
        <v>24</v>
      </c>
      <c r="AC1617">
        <v>32.961100000000002</v>
      </c>
      <c r="AD1617">
        <v>-2.0452999999999999E-2</v>
      </c>
      <c r="AE1617">
        <v>-139.268799999999</v>
      </c>
      <c r="AF1617">
        <v>87.7361876700501</v>
      </c>
      <c r="AG1617">
        <v>-2.0452999999999999E-2</v>
      </c>
      <c r="AH1617">
        <v>113.068975864846</v>
      </c>
      <c r="AI1617">
        <v>90.008188248381302</v>
      </c>
      <c r="AJ1617">
        <v>52.190225347003199</v>
      </c>
      <c r="AK1617">
        <v>143.11614985152701</v>
      </c>
      <c r="AL1617">
        <v>95.388774182177201</v>
      </c>
      <c r="AM1617">
        <v>77.996422351817003</v>
      </c>
      <c r="AN1617">
        <v>0.99999996204653996</v>
      </c>
    </row>
    <row r="1618" spans="1:40" x14ac:dyDescent="0.25">
      <c r="A1618" t="str">
        <f>"20190305134932273"</f>
        <v>20190305134932273</v>
      </c>
      <c r="B1618" t="str">
        <f>"1551764972262094"</f>
        <v>1551764972262094</v>
      </c>
      <c r="C1618" t="s">
        <v>40</v>
      </c>
      <c r="D1618">
        <v>4.4756159999999996</v>
      </c>
      <c r="E1618">
        <v>0.6864188</v>
      </c>
      <c r="F1618" t="s">
        <v>61</v>
      </c>
      <c r="G1618">
        <v>-168.35059999999999</v>
      </c>
      <c r="H1618">
        <v>1.2175229999999999</v>
      </c>
      <c r="I1618">
        <v>222.56190000000001</v>
      </c>
      <c r="J1618">
        <v>-200.5444</v>
      </c>
      <c r="K1618">
        <v>1.095704</v>
      </c>
      <c r="L1618">
        <v>363.79919999999998</v>
      </c>
      <c r="M1618">
        <v>0.77187109999999903</v>
      </c>
      <c r="N1618">
        <v>-1.777631E-2</v>
      </c>
      <c r="O1618">
        <v>-0.63553079999999995</v>
      </c>
      <c r="P1618">
        <v>0.61837390000000003</v>
      </c>
      <c r="Q1618">
        <v>-0.10344449999999999</v>
      </c>
      <c r="R1618">
        <v>-0.77904640000000003</v>
      </c>
      <c r="S1618">
        <v>0.74781799999999998</v>
      </c>
      <c r="T1618">
        <v>2.8228760000000002E-3</v>
      </c>
      <c r="U1618">
        <v>-3.273682</v>
      </c>
      <c r="V1618">
        <v>0.2052592</v>
      </c>
      <c r="W1618">
        <v>-9.3289049999999998E-2</v>
      </c>
      <c r="X1618">
        <v>0.97425139999999999</v>
      </c>
      <c r="Y1618">
        <v>0.61100259999999995</v>
      </c>
      <c r="Z1618">
        <v>-1.629278E-2</v>
      </c>
      <c r="AA1618">
        <v>0.79146090000000002</v>
      </c>
      <c r="AB1618">
        <v>24</v>
      </c>
      <c r="AC1618">
        <v>32.193800000000003</v>
      </c>
      <c r="AD1618">
        <v>0.121818999999999</v>
      </c>
      <c r="AE1618">
        <v>-141.23729999999901</v>
      </c>
      <c r="AF1618">
        <v>88.570753905335707</v>
      </c>
      <c r="AG1618">
        <v>0.121818999999999</v>
      </c>
      <c r="AH1618">
        <v>114.62812718815699</v>
      </c>
      <c r="AI1618">
        <v>89.951817489239403</v>
      </c>
      <c r="AJ1618">
        <v>52.307489085246502</v>
      </c>
      <c r="AK1618">
        <v>144.859935212924</v>
      </c>
      <c r="AL1618">
        <v>95.352852309657905</v>
      </c>
      <c r="AM1618">
        <v>78.102690012682302</v>
      </c>
      <c r="AN1618">
        <v>0.99999998821825098</v>
      </c>
    </row>
    <row r="1619" spans="1:40" x14ac:dyDescent="0.25">
      <c r="A1619" t="str">
        <f>"20190305134932285"</f>
        <v>20190305134932285</v>
      </c>
      <c r="B1619" t="str">
        <f>"1551764972282120"</f>
        <v>1551764972282120</v>
      </c>
      <c r="C1619" t="s">
        <v>40</v>
      </c>
      <c r="D1619">
        <v>4.5293839999999896</v>
      </c>
      <c r="E1619">
        <v>0.68453280000000005</v>
      </c>
      <c r="F1619" t="s">
        <v>60</v>
      </c>
      <c r="G1619">
        <v>-166.34630000000001</v>
      </c>
      <c r="H1619">
        <v>1.092857</v>
      </c>
      <c r="I1619">
        <v>209.3441</v>
      </c>
      <c r="J1619">
        <v>-200.4496</v>
      </c>
      <c r="K1619">
        <v>1.095691</v>
      </c>
      <c r="L1619">
        <v>363.7063</v>
      </c>
      <c r="M1619">
        <v>0.76469929999999997</v>
      </c>
      <c r="N1619">
        <v>-1.7802229999999999E-2</v>
      </c>
      <c r="O1619">
        <v>-0.64414139999999998</v>
      </c>
      <c r="P1619">
        <v>0.61098439999999998</v>
      </c>
      <c r="Q1619">
        <v>-0.1027612</v>
      </c>
      <c r="R1619">
        <v>-0.7849448</v>
      </c>
      <c r="S1619">
        <v>0.72517399999999999</v>
      </c>
      <c r="T1619" s="1">
        <v>-5.9604639999999998E-5</v>
      </c>
      <c r="U1619">
        <v>-3.2752379999999999</v>
      </c>
      <c r="V1619">
        <v>0.20364070000000001</v>
      </c>
      <c r="W1619">
        <v>-9.2522480000000004E-2</v>
      </c>
      <c r="X1619">
        <v>0.97466410000000003</v>
      </c>
      <c r="Y1619">
        <v>0.60740699999999903</v>
      </c>
      <c r="Z1619">
        <v>-1.6071700000000001E-2</v>
      </c>
      <c r="AA1619">
        <v>0.79422819999999905</v>
      </c>
      <c r="AB1619">
        <v>24</v>
      </c>
      <c r="AC1619">
        <v>34.103299999999898</v>
      </c>
      <c r="AD1619">
        <v>-2.8340000000000001E-3</v>
      </c>
      <c r="AE1619">
        <v>-154.3622</v>
      </c>
      <c r="AF1619">
        <v>96.088542276155096</v>
      </c>
      <c r="AG1619">
        <v>-2.8340000000000001E-3</v>
      </c>
      <c r="AH1619">
        <v>125.529741045341</v>
      </c>
      <c r="AI1619">
        <v>90.001027148084404</v>
      </c>
      <c r="AJ1619">
        <v>52.567231664700202</v>
      </c>
      <c r="AK1619">
        <v>158.08454653032399</v>
      </c>
      <c r="AL1619">
        <v>95.308740093015999</v>
      </c>
      <c r="AM1619">
        <v>78.198717954713004</v>
      </c>
      <c r="AN1619">
        <v>1.0000000259153199</v>
      </c>
    </row>
    <row r="1620" spans="1:40" x14ac:dyDescent="0.25">
      <c r="A1620" t="str">
        <f>"20190305134932296"</f>
        <v>20190305134932296</v>
      </c>
      <c r="B1620" t="str">
        <f>"1551764972291879"</f>
        <v>1551764972291879</v>
      </c>
      <c r="C1620" t="s">
        <v>40</v>
      </c>
      <c r="D1620">
        <v>4.5126019999999896</v>
      </c>
      <c r="E1620">
        <v>0.68379579999999995</v>
      </c>
      <c r="F1620" t="s">
        <v>60</v>
      </c>
      <c r="G1620">
        <v>-167.41829999999999</v>
      </c>
      <c r="H1620">
        <v>0.63932609999999901</v>
      </c>
      <c r="I1620">
        <v>210.2363</v>
      </c>
      <c r="J1620">
        <v>-200.35929999999999</v>
      </c>
      <c r="K1620">
        <v>1.095682</v>
      </c>
      <c r="L1620">
        <v>363.61590000000001</v>
      </c>
      <c r="M1620">
        <v>0.75769259999999905</v>
      </c>
      <c r="N1620">
        <v>-1.7824929999999999E-2</v>
      </c>
      <c r="O1620">
        <v>-0.65236810000000001</v>
      </c>
      <c r="P1620">
        <v>0.60384839999999995</v>
      </c>
      <c r="Q1620">
        <v>-0.10236580000000001</v>
      </c>
      <c r="R1620">
        <v>-0.790498699999999</v>
      </c>
      <c r="S1620">
        <v>0.70433040000000002</v>
      </c>
      <c r="T1620">
        <v>-9.7304580000000009E-3</v>
      </c>
      <c r="U1620">
        <v>-3.2724609999999998</v>
      </c>
      <c r="V1620">
        <v>0.201992</v>
      </c>
      <c r="W1620">
        <v>-9.2044200000000007E-2</v>
      </c>
      <c r="X1620">
        <v>0.97505240000000004</v>
      </c>
      <c r="Y1620">
        <v>0.60347550000000005</v>
      </c>
      <c r="Z1620">
        <v>-1.5009679999999999E-2</v>
      </c>
      <c r="AA1620">
        <v>0.79724030000000001</v>
      </c>
      <c r="AB1620">
        <v>24</v>
      </c>
      <c r="AC1620">
        <v>32.941000000000003</v>
      </c>
      <c r="AD1620">
        <v>-0.45635589999999998</v>
      </c>
      <c r="AE1620">
        <v>-153.37960000000001</v>
      </c>
      <c r="AF1620">
        <v>94.739183334317701</v>
      </c>
      <c r="AG1620">
        <v>-0.45635589999999998</v>
      </c>
      <c r="AH1620">
        <v>125.03792145656701</v>
      </c>
      <c r="AI1620">
        <v>90.166674559989204</v>
      </c>
      <c r="AJ1620">
        <v>52.8493874423623</v>
      </c>
      <c r="AK1620">
        <v>156.87639376827701</v>
      </c>
      <c r="AL1620">
        <v>95.281219141355194</v>
      </c>
      <c r="AM1620">
        <v>78.296148561157096</v>
      </c>
      <c r="AN1620">
        <v>1.00000004278169</v>
      </c>
    </row>
    <row r="1621" spans="1:40" x14ac:dyDescent="0.25">
      <c r="A1621" t="str">
        <f>"20190305134932307"</f>
        <v>20190305134932307</v>
      </c>
      <c r="B1621" t="str">
        <f>"1551764972302616"</f>
        <v>1551764972302616</v>
      </c>
      <c r="C1621" t="s">
        <v>40</v>
      </c>
      <c r="D1621">
        <v>4.5222020000000001</v>
      </c>
      <c r="E1621">
        <v>0.68327689999999996</v>
      </c>
      <c r="F1621" t="s">
        <v>60</v>
      </c>
      <c r="G1621">
        <v>-168.5565</v>
      </c>
      <c r="H1621">
        <v>0.58118819999999904</v>
      </c>
      <c r="I1621">
        <v>210.23670000000001</v>
      </c>
      <c r="J1621">
        <v>-200.26939999999999</v>
      </c>
      <c r="K1621">
        <v>1.0956779999999999</v>
      </c>
      <c r="L1621">
        <v>363.52429999999998</v>
      </c>
      <c r="M1621">
        <v>0.75054949999999998</v>
      </c>
      <c r="N1621">
        <v>-1.7846089999999998E-2</v>
      </c>
      <c r="O1621">
        <v>-0.66057319999999997</v>
      </c>
      <c r="P1621">
        <v>0.59627280000000005</v>
      </c>
      <c r="Q1621">
        <v>-0.1024246</v>
      </c>
      <c r="R1621">
        <v>-0.79622109999999902</v>
      </c>
      <c r="S1621">
        <v>0.6790619</v>
      </c>
      <c r="T1621">
        <v>-1.0984900000000001E-2</v>
      </c>
      <c r="U1621">
        <v>-3.274994</v>
      </c>
      <c r="V1621">
        <v>0.20068849999999999</v>
      </c>
      <c r="W1621">
        <v>-9.203414E-2</v>
      </c>
      <c r="X1621">
        <v>0.97532240000000003</v>
      </c>
      <c r="Y1621">
        <v>0.60080859999999903</v>
      </c>
      <c r="Z1621">
        <v>-1.491804E-2</v>
      </c>
      <c r="AA1621">
        <v>0.79925369999999996</v>
      </c>
      <c r="AB1621">
        <v>24</v>
      </c>
      <c r="AC1621">
        <v>31.712899999999902</v>
      </c>
      <c r="AD1621">
        <v>-0.5144898</v>
      </c>
      <c r="AE1621">
        <v>-153.287599999999</v>
      </c>
      <c r="AF1621">
        <v>94.115211981309201</v>
      </c>
      <c r="AG1621">
        <v>-0.5144898</v>
      </c>
      <c r="AH1621">
        <v>125.07835073646</v>
      </c>
      <c r="AI1621">
        <v>90.188319244862797</v>
      </c>
      <c r="AJ1621">
        <v>53.040366134234198</v>
      </c>
      <c r="AK1621">
        <v>156.532845272147</v>
      </c>
      <c r="AL1621">
        <v>95.280640671877507</v>
      </c>
      <c r="AM1621">
        <v>78.372744063191604</v>
      </c>
      <c r="AN1621">
        <v>0.99999997044977396</v>
      </c>
    </row>
    <row r="1622" spans="1:40" x14ac:dyDescent="0.25">
      <c r="A1622" t="str">
        <f>"20190305134932319"</f>
        <v>20190305134932319</v>
      </c>
      <c r="B1622" t="str">
        <f>"1551764972312376"</f>
        <v>1551764972312376</v>
      </c>
      <c r="C1622" t="s">
        <v>40</v>
      </c>
      <c r="D1622">
        <v>4.5247460000000004</v>
      </c>
      <c r="E1622">
        <v>0.68327689999999996</v>
      </c>
      <c r="F1622" t="s">
        <v>60</v>
      </c>
      <c r="G1622">
        <v>-168.4118</v>
      </c>
      <c r="H1622">
        <v>0.27322960000000002</v>
      </c>
      <c r="I1622">
        <v>202.9256</v>
      </c>
      <c r="J1622">
        <v>-200.18029999999999</v>
      </c>
      <c r="K1622">
        <v>1.095677</v>
      </c>
      <c r="L1622">
        <v>363.43060000000003</v>
      </c>
      <c r="M1622">
        <v>0.74324179999999995</v>
      </c>
      <c r="N1622">
        <v>-1.786428E-2</v>
      </c>
      <c r="O1622">
        <v>-0.66878470000000001</v>
      </c>
      <c r="P1622">
        <v>0.58827209999999996</v>
      </c>
      <c r="Q1622">
        <v>-0.1029788</v>
      </c>
      <c r="R1622">
        <v>-0.802079599999999</v>
      </c>
      <c r="S1622">
        <v>0.65037539999999905</v>
      </c>
      <c r="T1622">
        <v>-1.678967E-2</v>
      </c>
      <c r="U1622">
        <v>-3.2786249999999999</v>
      </c>
      <c r="V1622">
        <v>0.19966120000000001</v>
      </c>
      <c r="W1622">
        <v>-9.2531569999999994E-2</v>
      </c>
      <c r="X1622">
        <v>0.97548619999999997</v>
      </c>
      <c r="Y1622">
        <v>0.59889669999999995</v>
      </c>
      <c r="Z1622">
        <v>-1.424891E-2</v>
      </c>
      <c r="AA1622">
        <v>0.80069950000000001</v>
      </c>
      <c r="AB1622">
        <v>24</v>
      </c>
      <c r="AC1622">
        <v>31.7684999999999</v>
      </c>
      <c r="AD1622">
        <v>-0.82244740000000005</v>
      </c>
      <c r="AE1622">
        <v>-160.505</v>
      </c>
      <c r="AF1622">
        <v>98.060885960164498</v>
      </c>
      <c r="AG1622">
        <v>-0.82244740000000005</v>
      </c>
      <c r="AH1622">
        <v>130.972525644797</v>
      </c>
      <c r="AI1622">
        <v>90.288008318330299</v>
      </c>
      <c r="AJ1622">
        <v>53.177309943322598</v>
      </c>
      <c r="AK1622">
        <v>163.61667472722701</v>
      </c>
      <c r="AL1622">
        <v>95.309263259867393</v>
      </c>
      <c r="AM1622">
        <v>78.432544248207293</v>
      </c>
      <c r="AN1622">
        <v>1.00000000631127</v>
      </c>
    </row>
    <row r="1623" spans="1:40" x14ac:dyDescent="0.25">
      <c r="A1623" t="str">
        <f>"20190305134932336"</f>
        <v>20190305134932336</v>
      </c>
      <c r="B1623" t="str">
        <f>"1551764972331896"</f>
        <v>1551764972331896</v>
      </c>
      <c r="C1623" t="s">
        <v>40</v>
      </c>
      <c r="D1623">
        <v>4.530138</v>
      </c>
      <c r="E1623">
        <v>0.67281210000000002</v>
      </c>
      <c r="F1623" t="s">
        <v>60</v>
      </c>
      <c r="G1623">
        <v>-168.4145</v>
      </c>
      <c r="H1623">
        <v>0.1376772</v>
      </c>
      <c r="I1623">
        <v>194.47290000000001</v>
      </c>
      <c r="J1623">
        <v>-200.0489</v>
      </c>
      <c r="K1623">
        <v>1.095674</v>
      </c>
      <c r="L1623">
        <v>363.28930000000003</v>
      </c>
      <c r="M1623">
        <v>0.7321607</v>
      </c>
      <c r="N1623">
        <v>-1.788826E-2</v>
      </c>
      <c r="O1623">
        <v>-0.68089690000000003</v>
      </c>
      <c r="P1623">
        <v>0.57600830000000003</v>
      </c>
      <c r="Q1623">
        <v>-0.1042617</v>
      </c>
      <c r="R1623">
        <v>-0.81076789999999999</v>
      </c>
      <c r="S1623">
        <v>0.61761469999999996</v>
      </c>
      <c r="T1623">
        <v>-1.86255E-2</v>
      </c>
      <c r="U1623">
        <v>-3.2850039999999998</v>
      </c>
      <c r="V1623">
        <v>0.19831860000000001</v>
      </c>
      <c r="W1623">
        <v>-9.3738790000000002E-2</v>
      </c>
      <c r="X1623">
        <v>0.97564479999999998</v>
      </c>
      <c r="Y1623">
        <v>0.59372749999999996</v>
      </c>
      <c r="Z1623">
        <v>-1.4040749999999999E-2</v>
      </c>
      <c r="AA1623">
        <v>0.80454369999999997</v>
      </c>
      <c r="AB1623">
        <v>24</v>
      </c>
      <c r="AC1623">
        <v>31.634399999999999</v>
      </c>
      <c r="AD1623">
        <v>-0.95799679999999998</v>
      </c>
      <c r="AE1623">
        <v>-168.81639999999999</v>
      </c>
      <c r="AF1623">
        <v>102.074132950403</v>
      </c>
      <c r="AG1623">
        <v>-0.95799679999999998</v>
      </c>
      <c r="AH1623">
        <v>138.12584162515901</v>
      </c>
      <c r="AI1623">
        <v>90.319585310121894</v>
      </c>
      <c r="AJ1623">
        <v>53.535830735307201</v>
      </c>
      <c r="AK1623">
        <v>171.75213099144901</v>
      </c>
      <c r="AL1623">
        <v>95.378733854704095</v>
      </c>
      <c r="AM1623">
        <v>78.510070702005507</v>
      </c>
      <c r="AN1623">
        <v>1.00000000181183</v>
      </c>
    </row>
    <row r="1624" spans="1:40" x14ac:dyDescent="0.25">
      <c r="A1624" t="str">
        <f>"20190305134932346"</f>
        <v>20190305134932346</v>
      </c>
      <c r="B1624" t="str">
        <f>"1551764972341657"</f>
        <v>1551764972341657</v>
      </c>
      <c r="C1624" t="s">
        <v>40</v>
      </c>
      <c r="D1624">
        <v>4.5423090000000004</v>
      </c>
      <c r="E1624">
        <v>0.67173640000000001</v>
      </c>
      <c r="F1624" t="s">
        <v>42</v>
      </c>
      <c r="G1624">
        <v>-193.1696</v>
      </c>
      <c r="H1624" s="1">
        <v>-4.2148629999999997E-6</v>
      </c>
      <c r="I1624">
        <v>327.72019999999998</v>
      </c>
      <c r="J1624">
        <v>-199.9649</v>
      </c>
      <c r="K1624">
        <v>1.095683</v>
      </c>
      <c r="L1624">
        <v>363.19670000000002</v>
      </c>
      <c r="M1624">
        <v>0.72486169999999905</v>
      </c>
      <c r="N1624">
        <v>-1.7901630000000002E-2</v>
      </c>
      <c r="O1624">
        <v>-0.68866190000000005</v>
      </c>
      <c r="P1624">
        <v>0.56783139999999999</v>
      </c>
      <c r="Q1624">
        <v>-0.1046265</v>
      </c>
      <c r="R1624">
        <v>-0.81646839999999998</v>
      </c>
      <c r="S1624">
        <v>0.62699890000000003</v>
      </c>
      <c r="T1624">
        <v>-9.9862809999999996E-2</v>
      </c>
      <c r="U1624">
        <v>-3.2418520000000002</v>
      </c>
      <c r="V1624">
        <v>0.19768179999999999</v>
      </c>
      <c r="W1624">
        <v>-9.4062569999999998E-2</v>
      </c>
      <c r="X1624">
        <v>0.97574289999999997</v>
      </c>
      <c r="Y1624">
        <v>0.58067190000000002</v>
      </c>
      <c r="Z1624">
        <v>-2.676197E-3</v>
      </c>
      <c r="AA1624">
        <v>0.81413329999999995</v>
      </c>
      <c r="AB1624">
        <v>24</v>
      </c>
      <c r="AC1624">
        <v>6.7952999999999903</v>
      </c>
      <c r="AD1624">
        <v>-1.0956872148629999</v>
      </c>
      <c r="AE1624">
        <v>-35.476500000000001</v>
      </c>
      <c r="AF1624">
        <v>21.019920842382799</v>
      </c>
      <c r="AG1624">
        <v>-1.0956872148629999</v>
      </c>
      <c r="AH1624">
        <v>29.3346779597085</v>
      </c>
      <c r="AI1624">
        <v>91.739042685829503</v>
      </c>
      <c r="AJ1624">
        <v>54.3763061493771</v>
      </c>
      <c r="AK1624">
        <v>36.104860250285697</v>
      </c>
      <c r="AL1624">
        <v>95.397367239002193</v>
      </c>
      <c r="AM1624">
        <v>78.547109308372399</v>
      </c>
      <c r="AN1624">
        <v>1.0000000340133199</v>
      </c>
    </row>
    <row r="1625" spans="1:40" x14ac:dyDescent="0.25">
      <c r="A1625" t="str">
        <f>"20190305134932359"</f>
        <v>20190305134932359</v>
      </c>
      <c r="B1625" t="str">
        <f>"1551764972352392"</f>
        <v>1551764972352392</v>
      </c>
      <c r="C1625" t="s">
        <v>40</v>
      </c>
      <c r="D1625">
        <v>4.5470800000000002</v>
      </c>
      <c r="E1625">
        <v>0.67059999999999997</v>
      </c>
      <c r="F1625" t="s">
        <v>42</v>
      </c>
      <c r="G1625">
        <v>-194.19739999999999</v>
      </c>
      <c r="H1625" s="1">
        <v>-2.1654309999999999E-6</v>
      </c>
      <c r="I1625">
        <v>332.03339999999997</v>
      </c>
      <c r="J1625">
        <v>-199.87629999999999</v>
      </c>
      <c r="K1625">
        <v>1.095696</v>
      </c>
      <c r="L1625">
        <v>363.09609999999998</v>
      </c>
      <c r="M1625">
        <v>0.71693799999999996</v>
      </c>
      <c r="N1625">
        <v>-1.791324E-2</v>
      </c>
      <c r="O1625">
        <v>-0.69690669999999899</v>
      </c>
      <c r="P1625">
        <v>0.5592471</v>
      </c>
      <c r="Q1625">
        <v>-0.1042922</v>
      </c>
      <c r="R1625">
        <v>-0.8224148</v>
      </c>
      <c r="S1625">
        <v>0.60009769999999996</v>
      </c>
      <c r="T1625">
        <v>-0.1140046</v>
      </c>
      <c r="U1625">
        <v>-3.2424930000000001</v>
      </c>
      <c r="V1625">
        <v>0.19679170000000001</v>
      </c>
      <c r="W1625">
        <v>-9.3675480000000005E-2</v>
      </c>
      <c r="X1625">
        <v>0.97596000000000005</v>
      </c>
      <c r="Y1625">
        <v>0.57787310000000003</v>
      </c>
      <c r="Z1625">
        <v>-3.6966290000000002E-4</v>
      </c>
      <c r="AA1625">
        <v>0.81612649999999998</v>
      </c>
      <c r="AB1625">
        <v>24</v>
      </c>
      <c r="AC1625">
        <v>5.6788999999999898</v>
      </c>
      <c r="AD1625">
        <v>-1.0956981654310001</v>
      </c>
      <c r="AE1625">
        <v>-31.0627</v>
      </c>
      <c r="AF1625">
        <v>18.293280945726799</v>
      </c>
      <c r="AG1625">
        <v>-1.0956981654310001</v>
      </c>
      <c r="AH1625">
        <v>25.6924177383172</v>
      </c>
      <c r="AI1625">
        <v>91.989679741238206</v>
      </c>
      <c r="AJ1625">
        <v>54.548720286331204</v>
      </c>
      <c r="AK1625">
        <v>31.558596474957799</v>
      </c>
      <c r="AL1625">
        <v>95.375090462919204</v>
      </c>
      <c r="AM1625">
        <v>78.599794378107006</v>
      </c>
      <c r="AN1625">
        <v>0.99999999517105997</v>
      </c>
    </row>
    <row r="1626" spans="1:40" x14ac:dyDescent="0.25">
      <c r="A1626" t="str">
        <f>"20190305134932371"</f>
        <v>20190305134932371</v>
      </c>
      <c r="B1626" t="str">
        <f>"1551764972362152"</f>
        <v>1551764972362152</v>
      </c>
      <c r="C1626" t="s">
        <v>40</v>
      </c>
      <c r="D1626">
        <v>4.541347</v>
      </c>
      <c r="E1626">
        <v>0.6695238</v>
      </c>
      <c r="F1626" t="s">
        <v>42</v>
      </c>
      <c r="G1626">
        <v>-194.89619999999999</v>
      </c>
      <c r="H1626" s="1">
        <v>-3.551883E-6</v>
      </c>
      <c r="I1626">
        <v>334.87200000000001</v>
      </c>
      <c r="J1626">
        <v>-199.78630000000001</v>
      </c>
      <c r="K1626">
        <v>1.0957170000000001</v>
      </c>
      <c r="L1626">
        <v>362.99250000000001</v>
      </c>
      <c r="M1626">
        <v>0.70872100000000005</v>
      </c>
      <c r="N1626">
        <v>-1.7924180000000001E-2</v>
      </c>
      <c r="O1626">
        <v>-0.70526119999999903</v>
      </c>
      <c r="P1626">
        <v>0.55050840000000001</v>
      </c>
      <c r="Q1626">
        <v>-0.103835</v>
      </c>
      <c r="R1626">
        <v>-0.82834719999999995</v>
      </c>
      <c r="S1626">
        <v>0.57217410000000002</v>
      </c>
      <c r="T1626">
        <v>-0.12588759999999999</v>
      </c>
      <c r="U1626">
        <v>-3.242737</v>
      </c>
      <c r="V1626">
        <v>0.1957496</v>
      </c>
      <c r="W1626">
        <v>-9.3159119999999998E-2</v>
      </c>
      <c r="X1626">
        <v>0.97621899999999995</v>
      </c>
      <c r="Y1626">
        <v>0.57509339999999998</v>
      </c>
      <c r="Z1626">
        <v>1.72482E-3</v>
      </c>
      <c r="AA1626">
        <v>0.81808599999999998</v>
      </c>
      <c r="AB1626">
        <v>24</v>
      </c>
      <c r="AC1626">
        <v>4.8901000000000101</v>
      </c>
      <c r="AD1626">
        <v>-1.095720551883</v>
      </c>
      <c r="AE1626">
        <v>-28.1205</v>
      </c>
      <c r="AF1626">
        <v>16.4591821847266</v>
      </c>
      <c r="AG1626">
        <v>-1.095720551883</v>
      </c>
      <c r="AH1626">
        <v>23.267466786541899</v>
      </c>
      <c r="AI1626">
        <v>92.2016881651776</v>
      </c>
      <c r="AJ1626">
        <v>54.724779067409003</v>
      </c>
      <c r="AK1626">
        <v>28.521575909838301</v>
      </c>
      <c r="AL1626">
        <v>95.345375074357804</v>
      </c>
      <c r="AM1626">
        <v>78.661525975898996</v>
      </c>
      <c r="AN1626">
        <v>1.0000000317501601</v>
      </c>
    </row>
    <row r="1627" spans="1:40" x14ac:dyDescent="0.25">
      <c r="A1627" t="str">
        <f>"20190305134932382"</f>
        <v>20190305134932382</v>
      </c>
      <c r="B1627" t="str">
        <f>"1551764972372418"</f>
        <v>1551764972372418</v>
      </c>
      <c r="C1627" t="s">
        <v>40</v>
      </c>
      <c r="D1627">
        <v>4.542071</v>
      </c>
      <c r="E1627">
        <v>0.66858379999999995</v>
      </c>
      <c r="F1627" t="s">
        <v>42</v>
      </c>
      <c r="G1627">
        <v>-195.35419999999999</v>
      </c>
      <c r="H1627" s="1">
        <v>-4.2052979999999997E-6</v>
      </c>
      <c r="I1627">
        <v>336.55340000000001</v>
      </c>
      <c r="J1627">
        <v>-199.7038</v>
      </c>
      <c r="K1627">
        <v>1.095739</v>
      </c>
      <c r="L1627">
        <v>362.89409999999998</v>
      </c>
      <c r="M1627">
        <v>0.70094040000000002</v>
      </c>
      <c r="N1627">
        <v>-1.7931570000000001E-2</v>
      </c>
      <c r="O1627">
        <v>-0.71299460000000003</v>
      </c>
      <c r="P1627">
        <v>0.54270850000000004</v>
      </c>
      <c r="Q1627">
        <v>-0.10317999999999999</v>
      </c>
      <c r="R1627">
        <v>-0.83355990000000002</v>
      </c>
      <c r="S1627">
        <v>0.54373169999999904</v>
      </c>
      <c r="T1627">
        <v>-0.1344235</v>
      </c>
      <c r="U1627">
        <v>-3.2435610000000001</v>
      </c>
      <c r="V1627">
        <v>0.19429009999999999</v>
      </c>
      <c r="W1627">
        <v>-9.2430730000000003E-2</v>
      </c>
      <c r="X1627">
        <v>0.97657969999999905</v>
      </c>
      <c r="Y1627">
        <v>0.57310019999999995</v>
      </c>
      <c r="Z1627">
        <v>3.3649589999999998E-3</v>
      </c>
      <c r="AA1627">
        <v>0.81947839999999905</v>
      </c>
      <c r="AB1627">
        <v>24</v>
      </c>
      <c r="AC1627">
        <v>4.3495999999999997</v>
      </c>
      <c r="AD1627">
        <v>-1.0957432052980001</v>
      </c>
      <c r="AE1627">
        <v>-26.340699999999899</v>
      </c>
      <c r="AF1627">
        <v>15.338649191961499</v>
      </c>
      <c r="AG1627">
        <v>-1.0957432052980001</v>
      </c>
      <c r="AH1627">
        <v>21.796377802078801</v>
      </c>
      <c r="AI1627">
        <v>92.354229585360798</v>
      </c>
      <c r="AJ1627">
        <v>54.865002794592598</v>
      </c>
      <c r="AK1627">
        <v>26.675023851853901</v>
      </c>
      <c r="AL1627">
        <v>95.303460737686905</v>
      </c>
      <c r="AM1627">
        <v>78.7479502314402</v>
      </c>
      <c r="AN1627">
        <v>0.99999999662921601</v>
      </c>
    </row>
    <row r="1628" spans="1:40" x14ac:dyDescent="0.25">
      <c r="A1628" t="str">
        <f>"20190305134932392"</f>
        <v>20190305134932392</v>
      </c>
      <c r="B1628" t="str">
        <f>"1551764972382179"</f>
        <v>1551764972382179</v>
      </c>
      <c r="C1628" t="s">
        <v>40</v>
      </c>
      <c r="D1628">
        <v>4.3127639999999996</v>
      </c>
      <c r="E1628">
        <v>0.66858379999999995</v>
      </c>
      <c r="F1628" t="s">
        <v>42</v>
      </c>
      <c r="G1628">
        <v>-195.5095</v>
      </c>
      <c r="H1628" s="1">
        <v>-4.2763750000000002E-6</v>
      </c>
      <c r="I1628">
        <v>336.68130000000002</v>
      </c>
      <c r="J1628">
        <v>-199.6275</v>
      </c>
      <c r="K1628">
        <v>1.0957600000000001</v>
      </c>
      <c r="L1628">
        <v>362.80189999999999</v>
      </c>
      <c r="M1628">
        <v>0.69360109999999997</v>
      </c>
      <c r="N1628">
        <v>-1.793782E-2</v>
      </c>
      <c r="O1628">
        <v>-0.72013609999999995</v>
      </c>
      <c r="P1628">
        <v>0.53564299999999998</v>
      </c>
      <c r="Q1628">
        <v>-0.1023177</v>
      </c>
      <c r="R1628">
        <v>-0.8382231</v>
      </c>
      <c r="S1628">
        <v>0.51910400000000001</v>
      </c>
      <c r="T1628">
        <v>-0.13561329999999999</v>
      </c>
      <c r="U1628">
        <v>-3.244202</v>
      </c>
      <c r="V1628">
        <v>0.1926542</v>
      </c>
      <c r="W1628">
        <v>-9.1489329999999994E-2</v>
      </c>
      <c r="X1628">
        <v>0.97699239999999998</v>
      </c>
      <c r="Y1628">
        <v>0.57079139999999995</v>
      </c>
      <c r="Z1628">
        <v>3.9246020000000001E-3</v>
      </c>
      <c r="AA1628">
        <v>0.82108570000000003</v>
      </c>
      <c r="AB1628">
        <v>24</v>
      </c>
      <c r="AC1628">
        <v>4.1179999999999897</v>
      </c>
      <c r="AD1628">
        <v>-1.095764276375</v>
      </c>
      <c r="AE1628">
        <v>-26.1205999999999</v>
      </c>
      <c r="AF1628">
        <v>15.1282154871438</v>
      </c>
      <c r="AG1628">
        <v>-1.095764276375</v>
      </c>
      <c r="AH1628">
        <v>21.632973374267401</v>
      </c>
      <c r="AI1628">
        <v>92.376957156491898</v>
      </c>
      <c r="AJ1628">
        <v>55.034413067020402</v>
      </c>
      <c r="AK1628">
        <v>26.4206196026248</v>
      </c>
      <c r="AL1628">
        <v>95.249292714248995</v>
      </c>
      <c r="AM1628">
        <v>78.844899314035302</v>
      </c>
      <c r="AN1628">
        <v>1.0000000439696199</v>
      </c>
    </row>
    <row r="1629" spans="1:40" x14ac:dyDescent="0.25">
      <c r="A1629" t="str">
        <f>"20190305134932404"</f>
        <v>20190305134932404</v>
      </c>
      <c r="B1629" t="str">
        <f>"1551764972402676"</f>
        <v>1551764972402676</v>
      </c>
      <c r="C1629" t="s">
        <v>40</v>
      </c>
      <c r="D1629">
        <v>4.5365229999999999</v>
      </c>
      <c r="E1629">
        <v>0.66601860000000002</v>
      </c>
      <c r="F1629" t="s">
        <v>42</v>
      </c>
      <c r="G1629">
        <v>-195.54320000000001</v>
      </c>
      <c r="H1629" s="1">
        <v>-3.9913880000000001E-6</v>
      </c>
      <c r="I1629">
        <v>335.8263</v>
      </c>
      <c r="J1629">
        <v>-199.54519999999999</v>
      </c>
      <c r="K1629">
        <v>1.0957809999999999</v>
      </c>
      <c r="L1629">
        <v>362.69990000000001</v>
      </c>
      <c r="M1629">
        <v>0.68548109999999995</v>
      </c>
      <c r="N1629">
        <v>-1.794279E-2</v>
      </c>
      <c r="O1629">
        <v>-0.72786930000000005</v>
      </c>
      <c r="P1629">
        <v>0.52751759999999903</v>
      </c>
      <c r="Q1629">
        <v>-0.1011958</v>
      </c>
      <c r="R1629">
        <v>-0.843495199999999</v>
      </c>
      <c r="S1629">
        <v>0.49185180000000001</v>
      </c>
      <c r="T1629">
        <v>-0.131957399999999</v>
      </c>
      <c r="U1629">
        <v>-3.248535</v>
      </c>
      <c r="V1629">
        <v>0.19127839999999999</v>
      </c>
      <c r="W1629">
        <v>-9.0297039999999995E-2</v>
      </c>
      <c r="X1629">
        <v>0.97737350000000001</v>
      </c>
      <c r="Y1629">
        <v>0.56849209999999994</v>
      </c>
      <c r="Z1629">
        <v>3.741304E-3</v>
      </c>
      <c r="AA1629">
        <v>0.82268019999999997</v>
      </c>
      <c r="AB1629">
        <v>24</v>
      </c>
      <c r="AC1629">
        <v>4.0019999999999802</v>
      </c>
      <c r="AD1629">
        <v>-1.09578499138799</v>
      </c>
      <c r="AE1629">
        <v>-26.8736</v>
      </c>
      <c r="AF1629">
        <v>15.4857203543278</v>
      </c>
      <c r="AG1629">
        <v>-1.09578499138799</v>
      </c>
      <c r="AH1629">
        <v>22.271129364702599</v>
      </c>
      <c r="AI1629">
        <v>92.313283443172097</v>
      </c>
      <c r="AJ1629">
        <v>55.188063145101502</v>
      </c>
      <c r="AK1629">
        <v>27.147955407711901</v>
      </c>
      <c r="AL1629">
        <v>95.180695964046095</v>
      </c>
      <c r="AM1629">
        <v>78.926796556790507</v>
      </c>
      <c r="AN1629">
        <v>0.99999997012078501</v>
      </c>
    </row>
    <row r="1630" spans="1:40" x14ac:dyDescent="0.25">
      <c r="A1630" t="str">
        <f>"20190305134932419"</f>
        <v>20190305134932419</v>
      </c>
      <c r="B1630" t="str">
        <f>"1551764972412435"</f>
        <v>1551764972412435</v>
      </c>
      <c r="C1630" t="s">
        <v>40</v>
      </c>
      <c r="D1630">
        <v>4.5627409999999999</v>
      </c>
      <c r="E1630">
        <v>0.66498369999999996</v>
      </c>
      <c r="F1630" t="s">
        <v>42</v>
      </c>
      <c r="G1630">
        <v>-195.85509999999999</v>
      </c>
      <c r="H1630" s="1">
        <v>-4.6419770000000002E-6</v>
      </c>
      <c r="I1630">
        <v>337.57549999999998</v>
      </c>
      <c r="J1630">
        <v>-199.45099999999999</v>
      </c>
      <c r="K1630">
        <v>1.0958129999999999</v>
      </c>
      <c r="L1630">
        <v>362.58</v>
      </c>
      <c r="M1630">
        <v>0.67593040000000004</v>
      </c>
      <c r="N1630">
        <v>-1.7946480000000001E-2</v>
      </c>
      <c r="O1630">
        <v>-0.73674680000000003</v>
      </c>
      <c r="P1630">
        <v>0.51795179999999996</v>
      </c>
      <c r="Q1630">
        <v>-0.1000897</v>
      </c>
      <c r="R1630">
        <v>-0.84953400000000001</v>
      </c>
      <c r="S1630">
        <v>0.47615049999999998</v>
      </c>
      <c r="T1630">
        <v>-0.14139309999999999</v>
      </c>
      <c r="U1630">
        <v>-3.2418819999999999</v>
      </c>
      <c r="V1630">
        <v>0.18971370000000001</v>
      </c>
      <c r="W1630">
        <v>-8.9112250000000004E-2</v>
      </c>
      <c r="X1630">
        <v>0.97778710000000002</v>
      </c>
      <c r="Y1630">
        <v>0.56137630000000005</v>
      </c>
      <c r="Z1630">
        <v>5.8730989999999997E-3</v>
      </c>
      <c r="AA1630">
        <v>0.82753989999999999</v>
      </c>
      <c r="AB1630">
        <v>24</v>
      </c>
      <c r="AC1630">
        <v>3.5958999999999999</v>
      </c>
      <c r="AD1630">
        <v>-1.0958176419769901</v>
      </c>
      <c r="AE1630">
        <v>-25.0045</v>
      </c>
      <c r="AF1630">
        <v>14.2275587851365</v>
      </c>
      <c r="AG1630">
        <v>-1.0958176419769901</v>
      </c>
      <c r="AH1630">
        <v>20.816753282439802</v>
      </c>
      <c r="AI1630">
        <v>92.488518612646104</v>
      </c>
      <c r="AJ1630">
        <v>55.648691809899297</v>
      </c>
      <c r="AK1630">
        <v>25.238095461245699</v>
      </c>
      <c r="AL1630">
        <v>95.112537823773806</v>
      </c>
      <c r="AM1630">
        <v>79.019699269979</v>
      </c>
      <c r="AN1630">
        <v>0.99999994699707895</v>
      </c>
    </row>
    <row r="1631" spans="1:40" x14ac:dyDescent="0.25">
      <c r="A1631" t="str">
        <f>"20190305134932433"</f>
        <v>20190305134932433</v>
      </c>
      <c r="B1631" t="str">
        <f>"1551764972422195"</f>
        <v>1551764972422195</v>
      </c>
      <c r="C1631" t="s">
        <v>40</v>
      </c>
      <c r="D1631">
        <v>4.5386749999999996</v>
      </c>
      <c r="E1631">
        <v>0.6638309</v>
      </c>
      <c r="F1631" t="s">
        <v>42</v>
      </c>
      <c r="G1631">
        <v>-196.03039999999999</v>
      </c>
      <c r="H1631" s="1">
        <v>-4.7174750000000001E-6</v>
      </c>
      <c r="I1631">
        <v>337.70600000000002</v>
      </c>
      <c r="J1631">
        <v>-199.35069999999999</v>
      </c>
      <c r="K1631">
        <v>1.0958479999999999</v>
      </c>
      <c r="L1631">
        <v>362.44929999999999</v>
      </c>
      <c r="M1631">
        <v>0.66547480000000003</v>
      </c>
      <c r="N1631">
        <v>-1.7948639999999998E-2</v>
      </c>
      <c r="O1631">
        <v>-0.7462048</v>
      </c>
      <c r="P1631">
        <v>0.50723169999999995</v>
      </c>
      <c r="Q1631">
        <v>-9.9094329999999994E-2</v>
      </c>
      <c r="R1631">
        <v>-0.85609400000000002</v>
      </c>
      <c r="S1631">
        <v>0.44592290000000001</v>
      </c>
      <c r="T1631">
        <v>-0.1428547</v>
      </c>
      <c r="U1631">
        <v>-3.2426759999999999</v>
      </c>
      <c r="V1631">
        <v>0.18833939999999999</v>
      </c>
      <c r="W1631">
        <v>-8.8045070000000003E-2</v>
      </c>
      <c r="X1631">
        <v>0.97814950000000001</v>
      </c>
      <c r="Y1631">
        <v>0.5572954</v>
      </c>
      <c r="Z1631">
        <v>6.682098E-3</v>
      </c>
      <c r="AA1631">
        <v>0.83028749999999996</v>
      </c>
      <c r="AB1631">
        <v>24</v>
      </c>
      <c r="AC1631">
        <v>3.3203</v>
      </c>
      <c r="AD1631">
        <v>-1.0958527174749999</v>
      </c>
      <c r="AE1631">
        <v>-24.743300000000001</v>
      </c>
      <c r="AF1631">
        <v>13.9637638210544</v>
      </c>
      <c r="AG1631">
        <v>-1.0958527174749999</v>
      </c>
      <c r="AH1631">
        <v>20.636708178713601</v>
      </c>
      <c r="AI1631">
        <v>92.518245444900202</v>
      </c>
      <c r="AJ1631">
        <v>55.915876342916903</v>
      </c>
      <c r="AK1631">
        <v>24.941157103910999</v>
      </c>
      <c r="AL1631">
        <v>95.051151067035093</v>
      </c>
      <c r="AM1631">
        <v>79.101271071968199</v>
      </c>
      <c r="AN1631">
        <v>1.00000005414695</v>
      </c>
    </row>
    <row r="1632" spans="1:40" x14ac:dyDescent="0.25">
      <c r="A1632" t="str">
        <f>"20190305134932450"</f>
        <v>20190305134932450</v>
      </c>
      <c r="B1632" t="str">
        <f>"1551764972441715"</f>
        <v>1551764972441715</v>
      </c>
      <c r="C1632" t="s">
        <v>40</v>
      </c>
      <c r="D1632">
        <v>4.5384200000000003</v>
      </c>
      <c r="E1632">
        <v>0.66142990000000002</v>
      </c>
      <c r="F1632" t="s">
        <v>42</v>
      </c>
      <c r="G1632">
        <v>-196.28380000000001</v>
      </c>
      <c r="H1632" s="1">
        <v>-4.9667640000000003E-6</v>
      </c>
      <c r="I1632">
        <v>338.3064</v>
      </c>
      <c r="J1632">
        <v>-199.24029999999999</v>
      </c>
      <c r="K1632">
        <v>1.095888</v>
      </c>
      <c r="L1632">
        <v>362.30099999999999</v>
      </c>
      <c r="M1632">
        <v>0.65358749999999999</v>
      </c>
      <c r="N1632">
        <v>-1.7948309999999999E-2</v>
      </c>
      <c r="O1632">
        <v>-0.75663819999999904</v>
      </c>
      <c r="P1632">
        <v>0.49636069999999999</v>
      </c>
      <c r="Q1632">
        <v>-9.7332829999999995E-2</v>
      </c>
      <c r="R1632">
        <v>-0.86264289999999999</v>
      </c>
      <c r="S1632">
        <v>0.4119873</v>
      </c>
      <c r="T1632">
        <v>-0.14720820000000001</v>
      </c>
      <c r="U1632">
        <v>-3.2431640000000002</v>
      </c>
      <c r="V1632">
        <v>0.185447</v>
      </c>
      <c r="W1632">
        <v>-8.6151740000000004E-2</v>
      </c>
      <c r="X1632">
        <v>0.97887040000000003</v>
      </c>
      <c r="Y1632">
        <v>0.55270629999999998</v>
      </c>
      <c r="Z1632">
        <v>8.0680690000000006E-3</v>
      </c>
      <c r="AA1632">
        <v>0.83333709999999905</v>
      </c>
      <c r="AB1632">
        <v>24</v>
      </c>
      <c r="AC1632">
        <v>2.9564999999999699</v>
      </c>
      <c r="AD1632">
        <v>-1.0958929667640001</v>
      </c>
      <c r="AE1632">
        <v>-23.994599999999899</v>
      </c>
      <c r="AF1632">
        <v>13.4201596673262</v>
      </c>
      <c r="AG1632">
        <v>-1.0958929667640001</v>
      </c>
      <c r="AH1632">
        <v>20.0495999000326</v>
      </c>
      <c r="AI1632">
        <v>92.600748474216999</v>
      </c>
      <c r="AJ1632">
        <v>56.203705314719997</v>
      </c>
      <c r="AK1632">
        <v>24.151358616908499</v>
      </c>
      <c r="AL1632">
        <v>94.942257748227703</v>
      </c>
      <c r="AM1632">
        <v>79.272450530747406</v>
      </c>
      <c r="AN1632">
        <v>0.99999998605509299</v>
      </c>
    </row>
    <row r="1633" spans="1:40" x14ac:dyDescent="0.25">
      <c r="A1633" t="str">
        <f>"20190305134932472"</f>
        <v>20190305134932472</v>
      </c>
      <c r="B1633" t="str">
        <f>"1551764972462211"</f>
        <v>1551764972462211</v>
      </c>
      <c r="C1633" t="s">
        <v>40</v>
      </c>
      <c r="D1633">
        <v>4.5183730000000004</v>
      </c>
      <c r="E1633">
        <v>0.64310929999999999</v>
      </c>
      <c r="F1633" t="s">
        <v>42</v>
      </c>
      <c r="G1633">
        <v>-196.48750000000001</v>
      </c>
      <c r="H1633" s="1">
        <v>-5.3104349999999999E-6</v>
      </c>
      <c r="I1633">
        <v>339.21010000000001</v>
      </c>
      <c r="J1633">
        <v>-199.09639999999999</v>
      </c>
      <c r="K1633">
        <v>1.09596</v>
      </c>
      <c r="L1633">
        <v>362.09879999999998</v>
      </c>
      <c r="M1633">
        <v>0.63738799999999995</v>
      </c>
      <c r="N1633">
        <v>-1.7941740000000001E-2</v>
      </c>
      <c r="O1633">
        <v>-0.77033409999999902</v>
      </c>
      <c r="P1633">
        <v>0.48064200000000001</v>
      </c>
      <c r="Q1633">
        <v>-9.6653790000000003E-2</v>
      </c>
      <c r="R1633">
        <v>-0.87157430000000002</v>
      </c>
      <c r="S1633">
        <v>0.38604739999999999</v>
      </c>
      <c r="T1633">
        <v>-0.153686299999999</v>
      </c>
      <c r="U1633">
        <v>-3.2382200000000001</v>
      </c>
      <c r="V1633">
        <v>0.1825136</v>
      </c>
      <c r="W1633">
        <v>-8.5338849999999994E-2</v>
      </c>
      <c r="X1633">
        <v>0.97949280000000005</v>
      </c>
      <c r="Y1633">
        <v>0.54139510000000002</v>
      </c>
      <c r="Z1633">
        <v>1.0268309999999999E-2</v>
      </c>
      <c r="AA1633">
        <v>0.84070560000000005</v>
      </c>
      <c r="AB1633">
        <v>24</v>
      </c>
      <c r="AC1633">
        <v>2.60889999999997</v>
      </c>
      <c r="AD1633">
        <v>-1.095965310435</v>
      </c>
      <c r="AE1633">
        <v>-22.888699999999901</v>
      </c>
      <c r="AF1633">
        <v>12.5528721478434</v>
      </c>
      <c r="AG1633">
        <v>-1.095965310435</v>
      </c>
      <c r="AH1633">
        <v>19.254355324333702</v>
      </c>
      <c r="AI1633">
        <v>92.729910149871401</v>
      </c>
      <c r="AJ1633">
        <v>56.897669905893302</v>
      </c>
      <c r="AK1633">
        <v>23.010996025324001</v>
      </c>
      <c r="AL1633">
        <v>94.895510152151999</v>
      </c>
      <c r="AM1633">
        <v>79.444851714059297</v>
      </c>
      <c r="AN1633">
        <v>1.0000000393780599</v>
      </c>
    </row>
    <row r="1634" spans="1:40" x14ac:dyDescent="0.25">
      <c r="A1634" t="str">
        <f>"20190305134932485"</f>
        <v>20190305134932485</v>
      </c>
      <c r="B1634" t="str">
        <f>"1551764972482239"</f>
        <v>1551764972482239</v>
      </c>
      <c r="C1634" t="s">
        <v>40</v>
      </c>
      <c r="D1634">
        <v>4.5288000000000004</v>
      </c>
      <c r="E1634">
        <v>0.64339009999999996</v>
      </c>
      <c r="F1634" t="s">
        <v>42</v>
      </c>
      <c r="G1634">
        <v>-197.1611</v>
      </c>
      <c r="H1634" s="1">
        <v>-5.111751E-6</v>
      </c>
      <c r="I1634">
        <v>348.27519999999998</v>
      </c>
      <c r="J1634">
        <v>-199.01240000000001</v>
      </c>
      <c r="K1634">
        <v>1.0960030000000001</v>
      </c>
      <c r="L1634">
        <v>361.97640000000001</v>
      </c>
      <c r="M1634">
        <v>0.62757549999999995</v>
      </c>
      <c r="N1634">
        <v>-1.7935039999999999E-2</v>
      </c>
      <c r="O1634">
        <v>-0.77834930000000002</v>
      </c>
      <c r="P1634">
        <v>0.47097050000000001</v>
      </c>
      <c r="Q1634">
        <v>-9.6461229999999995E-2</v>
      </c>
      <c r="R1634">
        <v>-0.87685939999999996</v>
      </c>
      <c r="S1634">
        <v>0.4437256</v>
      </c>
      <c r="T1634">
        <v>-0.2512915</v>
      </c>
      <c r="U1634">
        <v>-3.1695859999999998</v>
      </c>
      <c r="V1634">
        <v>0.1809692</v>
      </c>
      <c r="W1634">
        <v>-8.5075910000000005E-2</v>
      </c>
      <c r="X1634">
        <v>0.97980210000000001</v>
      </c>
      <c r="Y1634">
        <v>0.51311189999999995</v>
      </c>
      <c r="Z1634">
        <v>3.0354409999999998E-2</v>
      </c>
      <c r="AA1634">
        <v>0.85778469999999996</v>
      </c>
      <c r="AB1634">
        <v>24</v>
      </c>
      <c r="AC1634">
        <v>1.8512999999999999</v>
      </c>
      <c r="AD1634">
        <v>-1.0960081117509901</v>
      </c>
      <c r="AE1634">
        <v>-13.7012</v>
      </c>
      <c r="AF1634">
        <v>7.11402350056962</v>
      </c>
      <c r="AG1634">
        <v>-1.0960081117509901</v>
      </c>
      <c r="AH1634">
        <v>11.754184508149301</v>
      </c>
      <c r="AI1634">
        <v>94.560904985419</v>
      </c>
      <c r="AJ1634">
        <v>58.816278757493698</v>
      </c>
      <c r="AK1634">
        <v>13.7830119204511</v>
      </c>
      <c r="AL1634">
        <v>94.880390207095701</v>
      </c>
      <c r="AM1634">
        <v>79.535416681026604</v>
      </c>
      <c r="AN1634">
        <v>0.99999995848768797</v>
      </c>
    </row>
    <row r="1635" spans="1:40" x14ac:dyDescent="0.25">
      <c r="A1635" t="str">
        <f>"20190305134932497"</f>
        <v>20190305134932497</v>
      </c>
      <c r="B1635" t="str">
        <f>"1551764972491999"</f>
        <v>1551764972491999</v>
      </c>
      <c r="C1635" t="s">
        <v>40</v>
      </c>
      <c r="D1635">
        <v>4.5657509999999997</v>
      </c>
      <c r="E1635">
        <v>0.64378539999999995</v>
      </c>
      <c r="F1635" t="s">
        <v>42</v>
      </c>
      <c r="G1635">
        <v>-197.04849999999999</v>
      </c>
      <c r="H1635" s="1">
        <v>-4.5670690000000001E-6</v>
      </c>
      <c r="I1635">
        <v>346.73329999999999</v>
      </c>
      <c r="J1635">
        <v>-198.93969999999999</v>
      </c>
      <c r="K1635">
        <v>1.0960449999999999</v>
      </c>
      <c r="L1635">
        <v>361.86770000000001</v>
      </c>
      <c r="M1635">
        <v>0.61885459999999903</v>
      </c>
      <c r="N1635">
        <v>-1.79273E-2</v>
      </c>
      <c r="O1635">
        <v>-0.78530100000000003</v>
      </c>
      <c r="P1635">
        <v>0.46278429999999998</v>
      </c>
      <c r="Q1635">
        <v>-9.6349190000000001E-2</v>
      </c>
      <c r="R1635">
        <v>-0.88121959999999999</v>
      </c>
      <c r="S1635">
        <v>0.40922550000000002</v>
      </c>
      <c r="T1635">
        <v>-0.22838410000000001</v>
      </c>
      <c r="U1635">
        <v>-3.1763309999999998</v>
      </c>
      <c r="V1635">
        <v>0.17918779999999901</v>
      </c>
      <c r="W1635">
        <v>-8.4887080000000004E-2</v>
      </c>
      <c r="X1635">
        <v>0.98014590000000001</v>
      </c>
      <c r="Y1635">
        <v>0.51299229999999996</v>
      </c>
      <c r="Z1635">
        <v>2.6614829999999999E-2</v>
      </c>
      <c r="AA1635">
        <v>0.85798050000000003</v>
      </c>
      <c r="AB1635">
        <v>24</v>
      </c>
      <c r="AC1635">
        <v>1.89119999999999</v>
      </c>
      <c r="AD1635">
        <v>-1.096049567069</v>
      </c>
      <c r="AE1635">
        <v>-15.134399999999999</v>
      </c>
      <c r="AF1635">
        <v>7.8416028622879104</v>
      </c>
      <c r="AG1635">
        <v>-1.096049567069</v>
      </c>
      <c r="AH1635">
        <v>12.9904503486724</v>
      </c>
      <c r="AI1635">
        <v>94.131487259282096</v>
      </c>
      <c r="AJ1635">
        <v>58.882985958188101</v>
      </c>
      <c r="AK1635">
        <v>15.213279079956299</v>
      </c>
      <c r="AL1635">
        <v>94.869531392701404</v>
      </c>
      <c r="AM1635">
        <v>79.639740100662493</v>
      </c>
      <c r="AN1635">
        <v>1.00000003465328</v>
      </c>
    </row>
    <row r="1636" spans="1:40" x14ac:dyDescent="0.25">
      <c r="A1636" t="str">
        <f>"20190305134932515"</f>
        <v>20190305134932515</v>
      </c>
      <c r="B1636" t="str">
        <f>"1551764972512495"</f>
        <v>1551764972512495</v>
      </c>
      <c r="C1636" t="s">
        <v>40</v>
      </c>
      <c r="D1636">
        <v>4.4762950000000004</v>
      </c>
      <c r="E1636">
        <v>0.67107649999999996</v>
      </c>
      <c r="F1636" t="s">
        <v>42</v>
      </c>
      <c r="G1636">
        <v>-197.11750000000001</v>
      </c>
      <c r="H1636" s="1">
        <v>-4.4953120000000003E-6</v>
      </c>
      <c r="I1636">
        <v>346.48649999999998</v>
      </c>
      <c r="J1636">
        <v>-198.83240000000001</v>
      </c>
      <c r="K1636">
        <v>1.096115</v>
      </c>
      <c r="L1636">
        <v>361.70299999999997</v>
      </c>
      <c r="M1636">
        <v>0.60563500000000003</v>
      </c>
      <c r="N1636">
        <v>-1.791272E-2</v>
      </c>
      <c r="O1636">
        <v>-0.7955411</v>
      </c>
      <c r="P1636">
        <v>0.45092120000000002</v>
      </c>
      <c r="Q1636">
        <v>-9.6529100000000007E-2</v>
      </c>
      <c r="R1636">
        <v>-0.88732919999999904</v>
      </c>
      <c r="S1636">
        <v>0.3769226</v>
      </c>
      <c r="T1636">
        <v>-0.2267209</v>
      </c>
      <c r="U1636">
        <v>-3.1816409999999999</v>
      </c>
      <c r="V1636">
        <v>0.1759463</v>
      </c>
      <c r="W1636">
        <v>-8.4931939999999997E-2</v>
      </c>
      <c r="X1636">
        <v>0.98072899999999996</v>
      </c>
      <c r="Y1636">
        <v>0.50741020000000003</v>
      </c>
      <c r="Z1636">
        <v>2.7343220000000001E-2</v>
      </c>
      <c r="AA1636">
        <v>0.86127069999999994</v>
      </c>
      <c r="AB1636">
        <v>24</v>
      </c>
      <c r="AC1636">
        <v>1.7149000000000001</v>
      </c>
      <c r="AD1636">
        <v>-1.0961194953119999</v>
      </c>
      <c r="AE1636">
        <v>-15.2165</v>
      </c>
      <c r="AF1636">
        <v>7.8125990739213202</v>
      </c>
      <c r="AG1636">
        <v>-1.0961194953119999</v>
      </c>
      <c r="AH1636">
        <v>13.0790457464685</v>
      </c>
      <c r="AI1636">
        <v>94.1152572579402</v>
      </c>
      <c r="AJ1636">
        <v>59.148561846006601</v>
      </c>
      <c r="AK1636">
        <v>15.274148744727301</v>
      </c>
      <c r="AL1636">
        <v>94.8721113950063</v>
      </c>
      <c r="AM1636">
        <v>79.829129266879903</v>
      </c>
      <c r="AN1636">
        <v>0.99999995317842505</v>
      </c>
    </row>
    <row r="1637" spans="1:40" x14ac:dyDescent="0.25">
      <c r="A1637" t="str">
        <f>"20190305134932527"</f>
        <v>20190305134932527</v>
      </c>
      <c r="B1637" t="str">
        <f>"1551764972522256"</f>
        <v>1551764972522256</v>
      </c>
      <c r="C1637" t="s">
        <v>40</v>
      </c>
      <c r="D1637">
        <v>4.4677689999999997</v>
      </c>
      <c r="E1637">
        <v>0.67367390000000005</v>
      </c>
      <c r="F1637" t="s">
        <v>42</v>
      </c>
      <c r="G1637">
        <v>-196.34289999999999</v>
      </c>
      <c r="H1637" s="1">
        <v>-1.8844839999999999E-6</v>
      </c>
      <c r="I1637">
        <v>310.00790000000001</v>
      </c>
      <c r="J1637">
        <v>-198.7612</v>
      </c>
      <c r="K1637">
        <v>1.096168</v>
      </c>
      <c r="L1637">
        <v>361.59030000000001</v>
      </c>
      <c r="M1637">
        <v>0.5965956</v>
      </c>
      <c r="N1637">
        <v>-1.7900309999999999E-2</v>
      </c>
      <c r="O1637">
        <v>-0.80234229999999995</v>
      </c>
      <c r="P1637">
        <v>0.44234620000000002</v>
      </c>
      <c r="Q1637">
        <v>-9.6508319999999995E-2</v>
      </c>
      <c r="R1637">
        <v>-0.89163669999999995</v>
      </c>
      <c r="S1637">
        <v>0.1585693</v>
      </c>
      <c r="T1637">
        <v>-6.9817299999999999E-2</v>
      </c>
      <c r="U1637">
        <v>-3.2927249999999999</v>
      </c>
      <c r="V1637">
        <v>0.1743208</v>
      </c>
      <c r="W1637">
        <v>-8.4840150000000003E-2</v>
      </c>
      <c r="X1637">
        <v>0.98102719999999999</v>
      </c>
      <c r="Y1637">
        <v>0.55718029999999996</v>
      </c>
      <c r="Z1637">
        <v>-4.4701599999999999E-3</v>
      </c>
      <c r="AA1637">
        <v>0.83037950000000005</v>
      </c>
      <c r="AB1637">
        <v>24</v>
      </c>
      <c r="AC1637">
        <v>2.4183000000000101</v>
      </c>
      <c r="AD1637">
        <v>-1.096169884484</v>
      </c>
      <c r="AE1637">
        <v>-51.5824</v>
      </c>
      <c r="AF1637">
        <v>28.8251616634636</v>
      </c>
      <c r="AG1637">
        <v>-1.096169884484</v>
      </c>
      <c r="AH1637">
        <v>42.817060457899899</v>
      </c>
      <c r="AI1637">
        <v>91.216613338935502</v>
      </c>
      <c r="AJ1637">
        <v>56.050900274621803</v>
      </c>
      <c r="AK1637">
        <v>51.627436500332998</v>
      </c>
      <c r="AL1637">
        <v>94.866833034614999</v>
      </c>
      <c r="AM1637">
        <v>79.924159719063198</v>
      </c>
      <c r="AN1637">
        <v>0.99999997975225097</v>
      </c>
    </row>
    <row r="1638" spans="1:40" x14ac:dyDescent="0.25">
      <c r="A1638" t="str">
        <f>"20190305134932538"</f>
        <v>20190305134932538</v>
      </c>
      <c r="B1638" t="str">
        <f>"1551764972532015"</f>
        <v>1551764972532015</v>
      </c>
      <c r="C1638" t="s">
        <v>40</v>
      </c>
      <c r="D1638">
        <v>4.460439</v>
      </c>
      <c r="E1638">
        <v>0.6747031</v>
      </c>
      <c r="F1638" t="s">
        <v>62</v>
      </c>
      <c r="G1638">
        <v>-195.73519999999999</v>
      </c>
      <c r="H1638" s="1">
        <v>5.5331350000000003E-6</v>
      </c>
      <c r="I1638">
        <v>272.209</v>
      </c>
      <c r="J1638">
        <v>-198.69139999999999</v>
      </c>
      <c r="K1638">
        <v>1.0962270000000001</v>
      </c>
      <c r="L1638">
        <v>361.47629999999998</v>
      </c>
      <c r="M1638">
        <v>0.58749200000000001</v>
      </c>
      <c r="N1638">
        <v>-1.7883509999999998E-2</v>
      </c>
      <c r="O1638">
        <v>-0.80903239999999998</v>
      </c>
      <c r="P1638">
        <v>0.43348049999999999</v>
      </c>
      <c r="Q1638">
        <v>-9.7035270000000007E-2</v>
      </c>
      <c r="R1638">
        <v>-0.89592349999999998</v>
      </c>
      <c r="S1638">
        <v>0.1118774</v>
      </c>
      <c r="T1638">
        <v>-4.0527939999999998E-2</v>
      </c>
      <c r="U1638">
        <v>-3.3046570000000002</v>
      </c>
      <c r="V1638">
        <v>0.1729311</v>
      </c>
      <c r="W1638">
        <v>-8.5306969999999996E-2</v>
      </c>
      <c r="X1638">
        <v>0.98123260000000001</v>
      </c>
      <c r="Y1638">
        <v>0.55971119999999996</v>
      </c>
      <c r="Z1638">
        <v>-9.9752880000000006E-3</v>
      </c>
      <c r="AA1638">
        <v>0.82862769999999997</v>
      </c>
      <c r="AB1638">
        <v>24</v>
      </c>
      <c r="AC1638">
        <v>2.9561999999999902</v>
      </c>
      <c r="AD1638">
        <v>-1.0962214668649899</v>
      </c>
      <c r="AE1638">
        <v>-89.267299999999906</v>
      </c>
      <c r="AF1638">
        <v>50.052626581915099</v>
      </c>
      <c r="AG1638">
        <v>-1.0962214668649899</v>
      </c>
      <c r="AH1638">
        <v>73.957566752366503</v>
      </c>
      <c r="AI1638">
        <v>90.703289490624002</v>
      </c>
      <c r="AJ1638">
        <v>55.9108436090415</v>
      </c>
      <c r="AK1638">
        <v>89.309511303017501</v>
      </c>
      <c r="AL1638">
        <v>94.893677414569694</v>
      </c>
      <c r="AM1638">
        <v>80.0049089399064</v>
      </c>
      <c r="AN1638">
        <v>0.99999992989027298</v>
      </c>
    </row>
    <row r="1639" spans="1:40" x14ac:dyDescent="0.25">
      <c r="A1639" t="str">
        <f>"20190305134932551"</f>
        <v>20190305134932551</v>
      </c>
      <c r="B1639" t="str">
        <f>"1551764972541775"</f>
        <v>1551764972541775</v>
      </c>
      <c r="C1639" t="s">
        <v>40</v>
      </c>
      <c r="D1639">
        <v>4.472194</v>
      </c>
      <c r="E1639">
        <v>0.67401499999999903</v>
      </c>
      <c r="F1639" t="s">
        <v>62</v>
      </c>
      <c r="G1639">
        <v>-195.25239999999999</v>
      </c>
      <c r="H1639" s="1">
        <v>3.9973629999999997E-6</v>
      </c>
      <c r="I1639">
        <v>207.6249</v>
      </c>
      <c r="J1639">
        <v>-198.6208</v>
      </c>
      <c r="K1639">
        <v>1.096295</v>
      </c>
      <c r="L1639">
        <v>361.35939999999999</v>
      </c>
      <c r="M1639">
        <v>0.57813409999999998</v>
      </c>
      <c r="N1639">
        <v>-1.7865099999999998E-2</v>
      </c>
      <c r="O1639">
        <v>-0.81574619999999998</v>
      </c>
      <c r="P1639">
        <v>0.4245237</v>
      </c>
      <c r="Q1639">
        <v>-9.757826E-2</v>
      </c>
      <c r="R1639">
        <v>-0.90014349999999999</v>
      </c>
      <c r="S1639">
        <v>7.3989869999999999E-2</v>
      </c>
      <c r="T1639">
        <v>-2.3585080000000001E-2</v>
      </c>
      <c r="U1639">
        <v>-3.3100890000000001</v>
      </c>
      <c r="V1639">
        <v>0.17137920000000001</v>
      </c>
      <c r="W1639">
        <v>-8.5783419999999999E-2</v>
      </c>
      <c r="X1639">
        <v>0.98146339999999999</v>
      </c>
      <c r="Y1639">
        <v>0.55972119999999903</v>
      </c>
      <c r="Z1639">
        <v>-1.3187839999999999E-2</v>
      </c>
      <c r="AA1639">
        <v>0.82857599999999998</v>
      </c>
      <c r="AB1639">
        <v>24</v>
      </c>
      <c r="AC1639">
        <v>3.3683999999999998</v>
      </c>
      <c r="AD1639">
        <v>-1.0962910026369901</v>
      </c>
      <c r="AE1639">
        <v>-153.7345</v>
      </c>
      <c r="AF1639">
        <v>86.140764495283804</v>
      </c>
      <c r="AG1639">
        <v>-1.0962910026369901</v>
      </c>
      <c r="AH1639">
        <v>127.369571626441</v>
      </c>
      <c r="AI1639">
        <v>90.408495838560597</v>
      </c>
      <c r="AJ1639">
        <v>55.929287501793702</v>
      </c>
      <c r="AK1639">
        <v>153.76748986082001</v>
      </c>
      <c r="AL1639">
        <v>94.921076005686302</v>
      </c>
      <c r="AM1639">
        <v>80.095104426804596</v>
      </c>
      <c r="AN1639">
        <v>1.0000000154395401</v>
      </c>
    </row>
    <row r="1640" spans="1:40" x14ac:dyDescent="0.25">
      <c r="A1640" t="str">
        <f>"20190305134932563"</f>
        <v>20190305134932563</v>
      </c>
      <c r="B1640" t="str">
        <f>"1551764972552511"</f>
        <v>1551764972552511</v>
      </c>
      <c r="C1640" t="s">
        <v>40</v>
      </c>
      <c r="D1640">
        <v>4.4526500000000002</v>
      </c>
      <c r="E1640">
        <v>0.67390240000000001</v>
      </c>
      <c r="F1640" t="s">
        <v>62</v>
      </c>
      <c r="G1640">
        <v>-197.5213</v>
      </c>
      <c r="H1640" s="1">
        <v>3.4592010000000001E-6</v>
      </c>
      <c r="I1640">
        <v>278.13740000000001</v>
      </c>
      <c r="J1640">
        <v>-198.5539</v>
      </c>
      <c r="K1640">
        <v>1.096371</v>
      </c>
      <c r="L1640">
        <v>361.24419999999998</v>
      </c>
      <c r="M1640">
        <v>0.56898649999999995</v>
      </c>
      <c r="N1640">
        <v>-1.7840870000000002E-2</v>
      </c>
      <c r="O1640">
        <v>-0.82215360000000004</v>
      </c>
      <c r="P1640">
        <v>0.41599409999999998</v>
      </c>
      <c r="Q1640">
        <v>-9.7759730000000003E-2</v>
      </c>
      <c r="R1640">
        <v>-0.90409759999999995</v>
      </c>
      <c r="S1640">
        <v>4.3701169999999998E-2</v>
      </c>
      <c r="T1640">
        <v>-4.356956E-2</v>
      </c>
      <c r="U1640">
        <v>-3.3074650000000001</v>
      </c>
      <c r="V1640">
        <v>0.1696983</v>
      </c>
      <c r="W1640">
        <v>-8.5894120000000004E-2</v>
      </c>
      <c r="X1640">
        <v>0.98174570000000005</v>
      </c>
      <c r="Y1640">
        <v>0.55799849999999995</v>
      </c>
      <c r="Z1640">
        <v>-9.2229200000000008E-3</v>
      </c>
      <c r="AA1640">
        <v>0.82979080000000005</v>
      </c>
      <c r="AB1640">
        <v>24</v>
      </c>
      <c r="AC1640">
        <v>1.0326</v>
      </c>
      <c r="AD1640">
        <v>-1.0963675407989999</v>
      </c>
      <c r="AE1640">
        <v>-83.106799999999893</v>
      </c>
      <c r="AF1640">
        <v>46.436992179773</v>
      </c>
      <c r="AG1640">
        <v>-1.0963675407989999</v>
      </c>
      <c r="AH1640">
        <v>68.913052537742004</v>
      </c>
      <c r="AI1640">
        <v>90.755890849856399</v>
      </c>
      <c r="AJ1640">
        <v>56.0259790702844</v>
      </c>
      <c r="AK1640">
        <v>83.105986995874204</v>
      </c>
      <c r="AL1640">
        <v>94.927442388911302</v>
      </c>
      <c r="AM1640">
        <v>80.193121932059896</v>
      </c>
      <c r="AN1640">
        <v>0.99999996617097597</v>
      </c>
    </row>
    <row r="1641" spans="1:40" x14ac:dyDescent="0.25">
      <c r="A1641" t="str">
        <f>"20190305134932576"</f>
        <v>20190305134932576</v>
      </c>
      <c r="B1641" t="str">
        <f>"1551764972572342"</f>
        <v>1551764972572342</v>
      </c>
      <c r="C1641" t="s">
        <v>40</v>
      </c>
      <c r="D1641">
        <v>4.4740409999999997</v>
      </c>
      <c r="E1641">
        <v>0.67207609999999995</v>
      </c>
      <c r="F1641" t="s">
        <v>42</v>
      </c>
      <c r="G1641">
        <v>-198.1404</v>
      </c>
      <c r="H1641" s="1">
        <v>-4.2716669999999998E-6</v>
      </c>
      <c r="I1641">
        <v>265.29610000000002</v>
      </c>
      <c r="J1641">
        <v>-198.48779999999999</v>
      </c>
      <c r="K1641">
        <v>1.096463</v>
      </c>
      <c r="L1641">
        <v>361.1284</v>
      </c>
      <c r="M1641">
        <v>0.55979590000000001</v>
      </c>
      <c r="N1641">
        <v>-1.7814199999999999E-2</v>
      </c>
      <c r="O1641">
        <v>-0.82843909999999998</v>
      </c>
      <c r="P1641">
        <v>0.4074509</v>
      </c>
      <c r="Q1641">
        <v>-9.8141129999999993E-2</v>
      </c>
      <c r="R1641">
        <v>-0.90793849999999998</v>
      </c>
      <c r="S1641">
        <v>1.4251710000000001E-2</v>
      </c>
      <c r="T1641">
        <v>-3.7795309999999999E-2</v>
      </c>
      <c r="U1641">
        <v>-3.307617</v>
      </c>
      <c r="V1641">
        <v>0.1680075</v>
      </c>
      <c r="W1641">
        <v>-8.6205309999999993E-2</v>
      </c>
      <c r="X1641">
        <v>0.98200920000000003</v>
      </c>
      <c r="Y1641">
        <v>0.55615599999999998</v>
      </c>
      <c r="Z1641">
        <v>-1.0266809999999999E-2</v>
      </c>
      <c r="AA1641">
        <v>0.83101449999999999</v>
      </c>
      <c r="AB1641">
        <v>24</v>
      </c>
      <c r="AC1641">
        <v>0.34739999999999299</v>
      </c>
      <c r="AD1641">
        <v>-1.0964672716670001</v>
      </c>
      <c r="AE1641">
        <v>-95.832299999999904</v>
      </c>
      <c r="AF1641">
        <v>53.360208596353502</v>
      </c>
      <c r="AG1641">
        <v>-1.0964672716670001</v>
      </c>
      <c r="AH1641">
        <v>79.587904481205598</v>
      </c>
      <c r="AI1641">
        <v>90.655603757724293</v>
      </c>
      <c r="AJ1641">
        <v>56.159876184098202</v>
      </c>
      <c r="AK1641">
        <v>95.826659347144599</v>
      </c>
      <c r="AL1641">
        <v>94.945338613290104</v>
      </c>
      <c r="AM1641">
        <v>80.291519896925294</v>
      </c>
      <c r="AN1641">
        <v>0.99999997220654202</v>
      </c>
    </row>
    <row r="1642" spans="1:40" x14ac:dyDescent="0.25">
      <c r="A1642" t="str">
        <f>"20190305134932593"</f>
        <v>20190305134932593</v>
      </c>
      <c r="B1642" t="str">
        <f>"1551764972582103"</f>
        <v>1551764972582103</v>
      </c>
      <c r="C1642" t="s">
        <v>40</v>
      </c>
      <c r="D1642">
        <v>4.478472</v>
      </c>
      <c r="E1642">
        <v>0.6712186</v>
      </c>
      <c r="F1642" t="s">
        <v>42</v>
      </c>
      <c r="G1642">
        <v>-198.58099999999999</v>
      </c>
      <c r="H1642" s="1">
        <v>-3.4872440000000002E-6</v>
      </c>
      <c r="I1642">
        <v>262.76139999999998</v>
      </c>
      <c r="J1642">
        <v>-198.39320000000001</v>
      </c>
      <c r="K1642">
        <v>1.0966089999999999</v>
      </c>
      <c r="L1642">
        <v>360.95740000000001</v>
      </c>
      <c r="M1642">
        <v>0.54628959999999904</v>
      </c>
      <c r="N1642">
        <v>-1.7769150000000001E-2</v>
      </c>
      <c r="O1642">
        <v>-0.83740780000000004</v>
      </c>
      <c r="P1642">
        <v>0.39686969999999999</v>
      </c>
      <c r="Q1642">
        <v>-9.7908499999999996E-2</v>
      </c>
      <c r="R1642">
        <v>-0.91263810000000001</v>
      </c>
      <c r="S1642">
        <v>-3.1280520000000001E-3</v>
      </c>
      <c r="T1642">
        <v>-3.6802290000000001E-2</v>
      </c>
      <c r="U1642">
        <v>-3.3016359999999998</v>
      </c>
      <c r="V1642">
        <v>0.16355639999999999</v>
      </c>
      <c r="W1642">
        <v>-8.579966E-2</v>
      </c>
      <c r="X1642">
        <v>0.98279589999999994</v>
      </c>
      <c r="Y1642">
        <v>0.54702079999999997</v>
      </c>
      <c r="Z1642">
        <v>-1.0252529999999999E-2</v>
      </c>
      <c r="AA1642">
        <v>0.83705620000000003</v>
      </c>
      <c r="AB1642">
        <v>24</v>
      </c>
      <c r="AC1642">
        <v>-0.18779999999998101</v>
      </c>
      <c r="AD1642">
        <v>-1.096612487244</v>
      </c>
      <c r="AE1642">
        <v>-98.195999999999998</v>
      </c>
      <c r="AF1642">
        <v>53.802507266357601</v>
      </c>
      <c r="AG1642">
        <v>-1.096612487244</v>
      </c>
      <c r="AH1642">
        <v>82.130233341043393</v>
      </c>
      <c r="AI1642">
        <v>90.6399076903799</v>
      </c>
      <c r="AJ1642">
        <v>56.771684284441903</v>
      </c>
      <c r="AK1642">
        <v>98.190058436421495</v>
      </c>
      <c r="AL1642">
        <v>94.922009863795694</v>
      </c>
      <c r="AM1642">
        <v>80.5514573340499</v>
      </c>
      <c r="AN1642">
        <v>1.00000002934694</v>
      </c>
    </row>
    <row r="1643" spans="1:40" x14ac:dyDescent="0.25">
      <c r="A1643" t="str">
        <f>"20190305134932604"</f>
        <v>20190305134932604</v>
      </c>
      <c r="B1643" t="str">
        <f>"1551764972602599"</f>
        <v>1551764972602599</v>
      </c>
      <c r="C1643" t="s">
        <v>40</v>
      </c>
      <c r="D1643">
        <v>4.4722470000000003</v>
      </c>
      <c r="E1643">
        <v>0.66905809999999999</v>
      </c>
      <c r="F1643" t="s">
        <v>42</v>
      </c>
      <c r="G1643">
        <v>-199.55119999999999</v>
      </c>
      <c r="H1643" s="1">
        <v>-2.8009839999999999E-6</v>
      </c>
      <c r="I1643">
        <v>250.239</v>
      </c>
      <c r="J1643">
        <v>-198.33070000000001</v>
      </c>
      <c r="K1643">
        <v>1.0967209999999901</v>
      </c>
      <c r="L1643">
        <v>360.84039999999999</v>
      </c>
      <c r="M1643">
        <v>0.53710459999999904</v>
      </c>
      <c r="N1643">
        <v>-1.773371E-2</v>
      </c>
      <c r="O1643">
        <v>-0.84332929999999995</v>
      </c>
      <c r="P1643">
        <v>0.38922060000000003</v>
      </c>
      <c r="Q1643">
        <v>-9.7358609999999998E-2</v>
      </c>
      <c r="R1643">
        <v>-0.91598489999999999</v>
      </c>
      <c r="S1643">
        <v>-3.4500120000000002E-2</v>
      </c>
      <c r="T1643">
        <v>-3.2670860000000003E-2</v>
      </c>
      <c r="U1643">
        <v>-3.2985839999999902</v>
      </c>
      <c r="V1643">
        <v>0.16111199999999901</v>
      </c>
      <c r="W1643">
        <v>-8.5154259999999996E-2</v>
      </c>
      <c r="X1643">
        <v>0.98325569999999896</v>
      </c>
      <c r="Y1643">
        <v>0.54584029999999994</v>
      </c>
      <c r="Z1643">
        <v>-1.1014980000000001E-2</v>
      </c>
      <c r="AA1643">
        <v>0.83781679999999903</v>
      </c>
      <c r="AB1643">
        <v>24</v>
      </c>
      <c r="AC1643">
        <v>-1.2204999999999799</v>
      </c>
      <c r="AD1643">
        <v>-1.0967238009839999</v>
      </c>
      <c r="AE1643">
        <v>-110.601399999999</v>
      </c>
      <c r="AF1643">
        <v>60.437362842824498</v>
      </c>
      <c r="AG1643">
        <v>-1.0967238009839999</v>
      </c>
      <c r="AH1643">
        <v>92.623319004116098</v>
      </c>
      <c r="AI1643">
        <v>90.568147756735797</v>
      </c>
      <c r="AJ1643">
        <v>56.875271081150402</v>
      </c>
      <c r="AK1643">
        <v>110.602698221287</v>
      </c>
      <c r="AL1643">
        <v>94.884895242783401</v>
      </c>
      <c r="AM1643">
        <v>80.694455405441602</v>
      </c>
      <c r="AN1643">
        <v>1.00000004806131</v>
      </c>
    </row>
    <row r="1644" spans="1:40" x14ac:dyDescent="0.25">
      <c r="A1644" t="str">
        <f>"20190305134932617"</f>
        <v>20190305134932617</v>
      </c>
      <c r="B1644" t="str">
        <f>"1551764972612359"</f>
        <v>1551764972612359</v>
      </c>
      <c r="C1644" t="s">
        <v>40</v>
      </c>
      <c r="D1644">
        <v>4.4551720000000001</v>
      </c>
      <c r="E1644">
        <v>0.66817629999999995</v>
      </c>
      <c r="F1644" t="s">
        <v>42</v>
      </c>
      <c r="G1644">
        <v>-199.8193</v>
      </c>
      <c r="H1644" s="1">
        <v>-4.5083289999999998E-6</v>
      </c>
      <c r="I1644">
        <v>255.1164</v>
      </c>
      <c r="J1644">
        <v>-198.27029999999999</v>
      </c>
      <c r="K1644">
        <v>1.096835</v>
      </c>
      <c r="L1644">
        <v>360.72460000000001</v>
      </c>
      <c r="M1644">
        <v>0.52806719999999996</v>
      </c>
      <c r="N1644">
        <v>-1.7695990000000002E-2</v>
      </c>
      <c r="O1644">
        <v>-0.84901839999999995</v>
      </c>
      <c r="P1644">
        <v>0.38172780000000001</v>
      </c>
      <c r="Q1644">
        <v>-9.7127710000000006E-2</v>
      </c>
      <c r="R1644">
        <v>-0.91915780000000002</v>
      </c>
      <c r="S1644">
        <v>-4.6340939999999997E-2</v>
      </c>
      <c r="T1644">
        <v>-3.414118E-2</v>
      </c>
      <c r="U1644">
        <v>-3.2911990000000002</v>
      </c>
      <c r="V1644">
        <v>0.158686299999999</v>
      </c>
      <c r="W1644">
        <v>-8.4831500000000004E-2</v>
      </c>
      <c r="X1644">
        <v>0.98367789999999999</v>
      </c>
      <c r="Y1644">
        <v>0.53991129999999998</v>
      </c>
      <c r="Z1644">
        <v>-1.056618E-2</v>
      </c>
      <c r="AA1644">
        <v>0.84165559999999995</v>
      </c>
      <c r="AB1644">
        <v>24</v>
      </c>
      <c r="AC1644">
        <v>-1.5489999999999999</v>
      </c>
      <c r="AD1644">
        <v>-1.0968395083289999</v>
      </c>
      <c r="AE1644">
        <v>-105.6082</v>
      </c>
      <c r="AF1644">
        <v>57.086129165653603</v>
      </c>
      <c r="AG1644">
        <v>-1.0968395083289999</v>
      </c>
      <c r="AH1644">
        <v>88.849645134243602</v>
      </c>
      <c r="AI1644">
        <v>90.595048802753595</v>
      </c>
      <c r="AJ1644">
        <v>57.279149187729502</v>
      </c>
      <c r="AK1644">
        <v>105.61386575874199</v>
      </c>
      <c r="AL1644">
        <v>94.866335689917307</v>
      </c>
      <c r="AM1644">
        <v>80.836030814815999</v>
      </c>
      <c r="AN1644">
        <v>0.99999996807417402</v>
      </c>
    </row>
    <row r="1645" spans="1:40" x14ac:dyDescent="0.25">
      <c r="A1645" t="str">
        <f>"20190305134932628"</f>
        <v>20190305134932628</v>
      </c>
      <c r="B1645" t="str">
        <f>"1551764972622119"</f>
        <v>1551764972622119</v>
      </c>
      <c r="C1645" t="s">
        <v>40</v>
      </c>
      <c r="D1645">
        <v>4.4776160000000003</v>
      </c>
      <c r="E1645">
        <v>0.66725690000000004</v>
      </c>
      <c r="F1645" t="s">
        <v>42</v>
      </c>
      <c r="G1645">
        <v>-200.18010000000001</v>
      </c>
      <c r="H1645">
        <v>7.9986160000000001E-2</v>
      </c>
      <c r="I1645">
        <v>266.89949999999999</v>
      </c>
      <c r="J1645">
        <v>-198.20939999999999</v>
      </c>
      <c r="K1645">
        <v>1.0969530000000001</v>
      </c>
      <c r="L1645">
        <v>360.60590000000002</v>
      </c>
      <c r="M1645">
        <v>0.51880230000000005</v>
      </c>
      <c r="N1645">
        <v>-1.765688E-2</v>
      </c>
      <c r="O1645">
        <v>-0.85471189999999997</v>
      </c>
      <c r="P1645">
        <v>0.37423600000000001</v>
      </c>
      <c r="Q1645">
        <v>-9.7158750000000002E-2</v>
      </c>
      <c r="R1645">
        <v>-0.92222979999999999</v>
      </c>
      <c r="S1645">
        <v>-6.692505E-2</v>
      </c>
      <c r="T1645">
        <v>-3.563297E-2</v>
      </c>
      <c r="U1645">
        <v>-3.2878720000000001</v>
      </c>
      <c r="V1645">
        <v>0.15601699999999999</v>
      </c>
      <c r="W1645">
        <v>-8.4763450000000004E-2</v>
      </c>
      <c r="X1645">
        <v>0.9841107</v>
      </c>
      <c r="Y1645">
        <v>0.53603040000000002</v>
      </c>
      <c r="Z1645">
        <v>-1.012997E-2</v>
      </c>
      <c r="AA1645">
        <v>0.8441379</v>
      </c>
      <c r="AB1645">
        <v>24</v>
      </c>
      <c r="AC1645">
        <v>-1.9707000000000201</v>
      </c>
      <c r="AD1645">
        <v>-1.01696684</v>
      </c>
      <c r="AE1645">
        <v>-93.706400000000002</v>
      </c>
      <c r="AF1645">
        <v>50.301396709644401</v>
      </c>
      <c r="AG1645">
        <v>-1.01696684</v>
      </c>
      <c r="AH1645">
        <v>79.072589881814196</v>
      </c>
      <c r="AI1645">
        <v>90.621724857032007</v>
      </c>
      <c r="AJ1645">
        <v>57.5378465561433</v>
      </c>
      <c r="AK1645">
        <v>93.721604783060897</v>
      </c>
      <c r="AL1645">
        <v>94.862422421858199</v>
      </c>
      <c r="AM1645">
        <v>80.991527494364504</v>
      </c>
      <c r="AN1645">
        <v>1.00000000829969</v>
      </c>
    </row>
    <row r="1646" spans="1:40" x14ac:dyDescent="0.25">
      <c r="A1646" t="str">
        <f>"20190305134932642"</f>
        <v>20190305134932642</v>
      </c>
      <c r="B1646" t="str">
        <f>"1551764972631878"</f>
        <v>1551764972631878</v>
      </c>
      <c r="C1646" t="s">
        <v>40</v>
      </c>
      <c r="D1646">
        <v>4.4276359999999997</v>
      </c>
      <c r="E1646">
        <v>0.66610849999999999</v>
      </c>
      <c r="F1646" t="s">
        <v>62</v>
      </c>
      <c r="G1646">
        <v>-200.50899999999999</v>
      </c>
      <c r="H1646">
        <v>8.0001630000000004E-2</v>
      </c>
      <c r="I1646">
        <v>273.77300000000002</v>
      </c>
      <c r="J1646">
        <v>-198.14689999999999</v>
      </c>
      <c r="K1646">
        <v>1.0970879999999901</v>
      </c>
      <c r="L1646">
        <v>360.47879999999998</v>
      </c>
      <c r="M1646">
        <v>0.50902449999999999</v>
      </c>
      <c r="N1646">
        <v>-1.760896E-2</v>
      </c>
      <c r="O1646">
        <v>-0.86057220000000001</v>
      </c>
      <c r="P1646">
        <v>0.3662918</v>
      </c>
      <c r="Q1646">
        <v>-9.7265229999999994E-2</v>
      </c>
      <c r="R1646">
        <v>-0.92540290000000003</v>
      </c>
      <c r="S1646">
        <v>-8.69751E-2</v>
      </c>
      <c r="T1646">
        <v>-3.8462999999999997E-2</v>
      </c>
      <c r="U1646">
        <v>-3.2841800000000001</v>
      </c>
      <c r="V1646">
        <v>0.15328220000000001</v>
      </c>
      <c r="W1646">
        <v>-8.4771940000000004E-2</v>
      </c>
      <c r="X1646">
        <v>0.98453959999999996</v>
      </c>
      <c r="Y1646">
        <v>0.53156599999999998</v>
      </c>
      <c r="Z1646">
        <v>-9.3764220000000006E-3</v>
      </c>
      <c r="AA1646">
        <v>0.84696499999999997</v>
      </c>
      <c r="AB1646">
        <v>24</v>
      </c>
      <c r="AC1646">
        <v>-2.3621000000000199</v>
      </c>
      <c r="AD1646">
        <v>-1.0170863699999999</v>
      </c>
      <c r="AE1646">
        <v>-86.705799999999996</v>
      </c>
      <c r="AF1646">
        <v>46.168933200949297</v>
      </c>
      <c r="AG1646">
        <v>-1.0170863699999999</v>
      </c>
      <c r="AH1646">
        <v>73.415504999974203</v>
      </c>
      <c r="AI1646">
        <v>90.671909867866802</v>
      </c>
      <c r="AJ1646">
        <v>57.835374739193199</v>
      </c>
      <c r="AK1646">
        <v>86.732008116951803</v>
      </c>
      <c r="AL1646">
        <v>94.862910810242894</v>
      </c>
      <c r="AM1646">
        <v>81.150708254878296</v>
      </c>
      <c r="AN1646">
        <v>0.99999996930818102</v>
      </c>
    </row>
    <row r="1647" spans="1:40" x14ac:dyDescent="0.25">
      <c r="A1647" t="str">
        <f>"20190305134932656"</f>
        <v>20190305134932656</v>
      </c>
      <c r="B1647" t="str">
        <f>"1551764972652375"</f>
        <v>1551764972652375</v>
      </c>
      <c r="C1647" t="s">
        <v>40</v>
      </c>
      <c r="D1647">
        <v>4.4438000000000004</v>
      </c>
      <c r="E1647">
        <v>0.66437539999999995</v>
      </c>
      <c r="F1647" t="s">
        <v>62</v>
      </c>
      <c r="G1647">
        <v>-200.8236</v>
      </c>
      <c r="H1647">
        <v>4.360965E-2</v>
      </c>
      <c r="I1647">
        <v>278.55520000000001</v>
      </c>
      <c r="J1647">
        <v>-198.08070000000001</v>
      </c>
      <c r="K1647">
        <v>1.0972420000000001</v>
      </c>
      <c r="L1647">
        <v>360.3415</v>
      </c>
      <c r="M1647">
        <v>0.49850739999999999</v>
      </c>
      <c r="N1647">
        <v>-1.7555399999999999E-2</v>
      </c>
      <c r="O1647">
        <v>-0.86670780000000003</v>
      </c>
      <c r="P1647">
        <v>0.35738999999999999</v>
      </c>
      <c r="Q1647">
        <v>-9.7386050000000002E-2</v>
      </c>
      <c r="R1647">
        <v>-0.92886420000000003</v>
      </c>
      <c r="S1647">
        <v>-0.10716249999999999</v>
      </c>
      <c r="T1647">
        <v>-4.2176489999999997E-2</v>
      </c>
      <c r="U1647">
        <v>-3.279846</v>
      </c>
      <c r="V1647">
        <v>0.15077019999999999</v>
      </c>
      <c r="W1647">
        <v>-8.4803020000000007E-2</v>
      </c>
      <c r="X1647">
        <v>0.98492480000000004</v>
      </c>
      <c r="Y1647">
        <v>0.52647670000000002</v>
      </c>
      <c r="Z1647">
        <v>-8.3924769999999902E-3</v>
      </c>
      <c r="AA1647">
        <v>0.85014820000000002</v>
      </c>
      <c r="AB1647">
        <v>24</v>
      </c>
      <c r="AC1647">
        <v>-2.7428999999999899</v>
      </c>
      <c r="AD1647">
        <v>-1.05363235</v>
      </c>
      <c r="AE1647">
        <v>-81.786299999999898</v>
      </c>
      <c r="AF1647">
        <v>43.1478611491329</v>
      </c>
      <c r="AG1647">
        <v>-1.05363235</v>
      </c>
      <c r="AH1647">
        <v>69.516650639171502</v>
      </c>
      <c r="AI1647">
        <v>90.737793887072897</v>
      </c>
      <c r="AJ1647">
        <v>58.172794251766703</v>
      </c>
      <c r="AK1647">
        <v>81.825502008618599</v>
      </c>
      <c r="AL1647">
        <v>94.864697685503998</v>
      </c>
      <c r="AM1647">
        <v>81.296843786541999</v>
      </c>
      <c r="AN1647">
        <v>1.00000003353209</v>
      </c>
    </row>
    <row r="1648" spans="1:40" x14ac:dyDescent="0.25">
      <c r="A1648" t="str">
        <f>"20190305134932673"</f>
        <v>20190305134932673</v>
      </c>
      <c r="B1648" t="str">
        <f>"1551764972662135"</f>
        <v>1551764972662135</v>
      </c>
      <c r="C1648" t="s">
        <v>40</v>
      </c>
      <c r="D1648">
        <v>4.4392319999999996</v>
      </c>
      <c r="E1648">
        <v>0.66338719999999995</v>
      </c>
      <c r="F1648" t="s">
        <v>62</v>
      </c>
      <c r="G1648">
        <v>-200.6096</v>
      </c>
      <c r="H1648">
        <v>7.999995E-2</v>
      </c>
      <c r="I1648">
        <v>294.93680000000001</v>
      </c>
      <c r="J1648">
        <v>-198.0017</v>
      </c>
      <c r="K1648">
        <v>1.09744</v>
      </c>
      <c r="L1648">
        <v>360.17230000000001</v>
      </c>
      <c r="M1648">
        <v>0.48567129999999997</v>
      </c>
      <c r="N1648">
        <v>-1.7484420000000001E-2</v>
      </c>
      <c r="O1648">
        <v>-0.87396659999999904</v>
      </c>
      <c r="P1648">
        <v>0.34922779999999998</v>
      </c>
      <c r="Q1648">
        <v>-9.7507689999999994E-2</v>
      </c>
      <c r="R1648">
        <v>-0.93195090000000003</v>
      </c>
      <c r="S1648">
        <v>-0.12655640000000001</v>
      </c>
      <c r="T1648">
        <v>-5.0907139999999997E-2</v>
      </c>
      <c r="U1648">
        <v>-3.2731319999999999</v>
      </c>
      <c r="V1648">
        <v>0.14492339999999901</v>
      </c>
      <c r="W1648">
        <v>-8.4726270000000006E-2</v>
      </c>
      <c r="X1648">
        <v>0.98580860000000003</v>
      </c>
      <c r="Y1648">
        <v>0.51899580000000001</v>
      </c>
      <c r="Z1648">
        <v>-6.1891630000000001E-3</v>
      </c>
      <c r="AA1648">
        <v>0.85475440000000003</v>
      </c>
      <c r="AB1648">
        <v>24</v>
      </c>
      <c r="AC1648">
        <v>-2.6078999999999999</v>
      </c>
      <c r="AD1648">
        <v>-1.01744005</v>
      </c>
      <c r="AE1648">
        <v>-65.235500000000002</v>
      </c>
      <c r="AF1648">
        <v>33.959173772842099</v>
      </c>
      <c r="AG1648">
        <v>-1.01744005</v>
      </c>
      <c r="AH1648">
        <v>55.742053288212396</v>
      </c>
      <c r="AI1648">
        <v>90.893040183718597</v>
      </c>
      <c r="AJ1648">
        <v>58.649391215569999</v>
      </c>
      <c r="AK1648">
        <v>65.279684223924804</v>
      </c>
      <c r="AL1648">
        <v>94.860284688456105</v>
      </c>
      <c r="AM1648">
        <v>81.636870396192094</v>
      </c>
      <c r="AN1648">
        <v>0.99999996426481497</v>
      </c>
    </row>
    <row r="1649" spans="1:40" x14ac:dyDescent="0.25">
      <c r="A1649" t="str">
        <f>"20190305134932688"</f>
        <v>20190305134932688</v>
      </c>
      <c r="B1649" t="str">
        <f>"1551764972682163"</f>
        <v>1551764972682163</v>
      </c>
      <c r="C1649" t="s">
        <v>40</v>
      </c>
      <c r="D1649">
        <v>4.4509840000000001</v>
      </c>
      <c r="E1649">
        <v>0.6614892</v>
      </c>
      <c r="F1649" t="s">
        <v>62</v>
      </c>
      <c r="G1649">
        <v>-200.8236</v>
      </c>
      <c r="H1649">
        <v>7.9999009999999995E-2</v>
      </c>
      <c r="I1649">
        <v>297.88639999999998</v>
      </c>
      <c r="J1649">
        <v>-197.9366</v>
      </c>
      <c r="K1649">
        <v>1.0976189999999999</v>
      </c>
      <c r="L1649">
        <v>360.02800000000002</v>
      </c>
      <c r="M1649">
        <v>0.4748445</v>
      </c>
      <c r="N1649">
        <v>-1.741877E-2</v>
      </c>
      <c r="O1649">
        <v>-0.87989740000000005</v>
      </c>
      <c r="P1649">
        <v>0.34039079999999999</v>
      </c>
      <c r="Q1649">
        <v>-9.7536040000000004E-2</v>
      </c>
      <c r="R1649">
        <v>-0.93521180000000004</v>
      </c>
      <c r="S1649">
        <v>-0.14810179999999901</v>
      </c>
      <c r="T1649">
        <v>-5.339932E-2</v>
      </c>
      <c r="U1649">
        <v>-3.269012</v>
      </c>
      <c r="V1649">
        <v>0.14212130000000001</v>
      </c>
      <c r="W1649">
        <v>-8.4663840000000004E-2</v>
      </c>
      <c r="X1649">
        <v>0.98622180000000004</v>
      </c>
      <c r="Y1649">
        <v>0.5140981</v>
      </c>
      <c r="Z1649">
        <v>-5.4044160000000004E-3</v>
      </c>
      <c r="AA1649">
        <v>0.85771439999999999</v>
      </c>
      <c r="AB1649">
        <v>24</v>
      </c>
      <c r="AC1649">
        <v>-2.887</v>
      </c>
      <c r="AD1649">
        <v>-1.01761999</v>
      </c>
      <c r="AE1649">
        <v>-62.141599999999997</v>
      </c>
      <c r="AF1649">
        <v>32.044146702299599</v>
      </c>
      <c r="AG1649">
        <v>-1.01761999</v>
      </c>
      <c r="AH1649">
        <v>53.301178334123399</v>
      </c>
      <c r="AI1649">
        <v>90.937421893676103</v>
      </c>
      <c r="AJ1649">
        <v>58.986127058233102</v>
      </c>
      <c r="AK1649">
        <v>62.200309485794101</v>
      </c>
      <c r="AL1649">
        <v>94.856694960194005</v>
      </c>
      <c r="AM1649">
        <v>81.799740037280003</v>
      </c>
      <c r="AN1649">
        <v>0.99999993425623501</v>
      </c>
    </row>
    <row r="1650" spans="1:40" x14ac:dyDescent="0.25">
      <c r="A1650" t="str">
        <f>"20190305134932706"</f>
        <v>20190305134932706</v>
      </c>
      <c r="B1650" t="str">
        <f>"1551764972701683"</f>
        <v>1551764972701683</v>
      </c>
      <c r="C1650" t="s">
        <v>40</v>
      </c>
      <c r="D1650">
        <v>4.419861</v>
      </c>
      <c r="E1650">
        <v>0.66066599999999998</v>
      </c>
      <c r="F1650" t="s">
        <v>42</v>
      </c>
      <c r="G1650">
        <v>-200.80799999999999</v>
      </c>
      <c r="H1650">
        <v>7.9985730000000005E-2</v>
      </c>
      <c r="I1650">
        <v>303.44310000000002</v>
      </c>
      <c r="J1650">
        <v>-197.858</v>
      </c>
      <c r="K1650">
        <v>1.097845</v>
      </c>
      <c r="L1650">
        <v>359.84719999999999</v>
      </c>
      <c r="M1650">
        <v>0.46146409999999999</v>
      </c>
      <c r="N1650">
        <v>-1.733121E-2</v>
      </c>
      <c r="O1650">
        <v>-0.88698969999999899</v>
      </c>
      <c r="P1650">
        <v>0.33197510000000002</v>
      </c>
      <c r="Q1650">
        <v>-9.7746929999999996E-2</v>
      </c>
      <c r="R1650">
        <v>-0.93821049999999995</v>
      </c>
      <c r="S1650">
        <v>-0.16552729999999999</v>
      </c>
      <c r="T1650">
        <v>-5.8663729999999997E-2</v>
      </c>
      <c r="U1650">
        <v>-3.2619630000000002</v>
      </c>
      <c r="V1650">
        <v>0.13608210000000001</v>
      </c>
      <c r="W1650">
        <v>-8.4688509999999995E-2</v>
      </c>
      <c r="X1650">
        <v>0.98707120000000004</v>
      </c>
      <c r="Y1650">
        <v>0.50573489999999999</v>
      </c>
      <c r="Z1650">
        <v>-3.8659779999999999E-3</v>
      </c>
      <c r="AA1650">
        <v>0.86268029999999996</v>
      </c>
      <c r="AB1650">
        <v>24</v>
      </c>
      <c r="AC1650">
        <v>-2.9499999999999802</v>
      </c>
      <c r="AD1650">
        <v>-1.01785927</v>
      </c>
      <c r="AE1650">
        <v>-56.4040999999999</v>
      </c>
      <c r="AF1650">
        <v>28.640085564006998</v>
      </c>
      <c r="AG1650">
        <v>-1.01785927</v>
      </c>
      <c r="AH1650">
        <v>48.660039351352502</v>
      </c>
      <c r="AI1650">
        <v>91.032762596183503</v>
      </c>
      <c r="AJ1650">
        <v>59.519994500655599</v>
      </c>
      <c r="AK1650">
        <v>56.472028193454697</v>
      </c>
      <c r="AL1650">
        <v>94.858113135287198</v>
      </c>
      <c r="AM1650">
        <v>82.1504264204668</v>
      </c>
      <c r="AN1650">
        <v>1.00000001776793</v>
      </c>
    </row>
    <row r="1651" spans="1:40" x14ac:dyDescent="0.25">
      <c r="A1651" t="str">
        <f>"20190305134932719"</f>
        <v>20190305134932719</v>
      </c>
      <c r="B1651" t="str">
        <f>"1551764972712419"</f>
        <v>1551764972712419</v>
      </c>
      <c r="C1651" t="s">
        <v>40</v>
      </c>
      <c r="D1651">
        <v>4.3899869999999996</v>
      </c>
      <c r="E1651">
        <v>0.63981409999999905</v>
      </c>
      <c r="F1651" t="s">
        <v>42</v>
      </c>
      <c r="G1651">
        <v>-201.2961</v>
      </c>
      <c r="H1651">
        <v>7.9986689999999999E-2</v>
      </c>
      <c r="I1651">
        <v>300.24680000000001</v>
      </c>
      <c r="J1651">
        <v>-197.79910000000001</v>
      </c>
      <c r="K1651">
        <v>1.098034</v>
      </c>
      <c r="L1651">
        <v>359.70690000000002</v>
      </c>
      <c r="M1651">
        <v>0.45123560000000001</v>
      </c>
      <c r="N1651">
        <v>-1.7259360000000001E-2</v>
      </c>
      <c r="O1651">
        <v>-0.89223799999999898</v>
      </c>
      <c r="P1651">
        <v>0.32403569999999998</v>
      </c>
      <c r="Q1651">
        <v>-9.8043630000000007E-2</v>
      </c>
      <c r="R1651">
        <v>-0.94095079999999998</v>
      </c>
      <c r="S1651">
        <v>-0.18795780000000001</v>
      </c>
      <c r="T1651">
        <v>-5.5644869999999999E-2</v>
      </c>
      <c r="U1651">
        <v>-3.25827</v>
      </c>
      <c r="V1651">
        <v>0.13309309999999999</v>
      </c>
      <c r="W1651">
        <v>-8.4899039999999995E-2</v>
      </c>
      <c r="X1651">
        <v>0.98746060000000002</v>
      </c>
      <c r="Y1651">
        <v>0.50178889999999998</v>
      </c>
      <c r="Z1651">
        <v>-4.3552080000000002E-3</v>
      </c>
      <c r="AA1651">
        <v>0.864979099999999</v>
      </c>
      <c r="AB1651">
        <v>24</v>
      </c>
      <c r="AC1651">
        <v>-3.4969999999999799</v>
      </c>
      <c r="AD1651">
        <v>-1.01804731</v>
      </c>
      <c r="AE1651">
        <v>-59.460099999999997</v>
      </c>
      <c r="AF1651">
        <v>29.946382190836601</v>
      </c>
      <c r="AG1651">
        <v>-1.01804731</v>
      </c>
      <c r="AH1651">
        <v>51.467220267009601</v>
      </c>
      <c r="AI1651">
        <v>90.9794893177463</v>
      </c>
      <c r="AJ1651">
        <v>59.806865294755397</v>
      </c>
      <c r="AK1651">
        <v>59.554151733174201</v>
      </c>
      <c r="AL1651">
        <v>94.870219163392505</v>
      </c>
      <c r="AM1651">
        <v>82.323751945574401</v>
      </c>
      <c r="AN1651">
        <v>1.0000000284064401</v>
      </c>
    </row>
    <row r="1652" spans="1:40" x14ac:dyDescent="0.25">
      <c r="A1652" t="str">
        <f>"20190305134932731"</f>
        <v>20190305134932731</v>
      </c>
      <c r="B1652" t="str">
        <f>"1551764972722179"</f>
        <v>1551764972722179</v>
      </c>
      <c r="C1652" t="s">
        <v>40</v>
      </c>
      <c r="D1652">
        <v>3.8807109999999998</v>
      </c>
      <c r="E1652">
        <v>0.63907380000000003</v>
      </c>
      <c r="F1652" t="s">
        <v>42</v>
      </c>
      <c r="G1652">
        <v>-198.7475</v>
      </c>
      <c r="H1652" s="1">
        <v>-5.363477E-6</v>
      </c>
      <c r="I1652">
        <v>308.18799999999999</v>
      </c>
      <c r="J1652">
        <v>-197.74789999999999</v>
      </c>
      <c r="K1652">
        <v>1.0982080000000001</v>
      </c>
      <c r="L1652">
        <v>359.5822</v>
      </c>
      <c r="M1652">
        <v>0.44221880000000002</v>
      </c>
      <c r="N1652">
        <v>-1.7194589999999999E-2</v>
      </c>
      <c r="O1652">
        <v>-0.896742499999999</v>
      </c>
      <c r="P1652">
        <v>0.31767479999999998</v>
      </c>
      <c r="Q1652">
        <v>-9.845835E-2</v>
      </c>
      <c r="R1652">
        <v>-0.94307419999999997</v>
      </c>
      <c r="S1652">
        <v>-5.892944E-2</v>
      </c>
      <c r="T1652">
        <v>-6.8233489999999994E-2</v>
      </c>
      <c r="U1652">
        <v>-3.2014469999999999</v>
      </c>
      <c r="V1652">
        <v>0.12981599999999999</v>
      </c>
      <c r="W1652">
        <v>-8.5219100000000006E-2</v>
      </c>
      <c r="X1652">
        <v>0.9878692</v>
      </c>
      <c r="Y1652">
        <v>0.4585534</v>
      </c>
      <c r="Z1652">
        <v>-4.4705150000000002E-4</v>
      </c>
      <c r="AA1652">
        <v>0.88866669999999903</v>
      </c>
      <c r="AB1652">
        <v>24</v>
      </c>
      <c r="AC1652">
        <v>-0.99960000000001503</v>
      </c>
      <c r="AD1652">
        <v>-1.0982133634769999</v>
      </c>
      <c r="AE1652">
        <v>-51.394199999999998</v>
      </c>
      <c r="AF1652">
        <v>23.616576045297801</v>
      </c>
      <c r="AG1652">
        <v>-1.0982133634769999</v>
      </c>
      <c r="AH1652">
        <v>45.631237491412399</v>
      </c>
      <c r="AI1652">
        <v>91.224461619685499</v>
      </c>
      <c r="AJ1652">
        <v>62.636047747129801</v>
      </c>
      <c r="AK1652">
        <v>51.3922034134822</v>
      </c>
      <c r="AL1652">
        <v>94.888623979269198</v>
      </c>
      <c r="AM1652">
        <v>82.5136516198544</v>
      </c>
      <c r="AN1652">
        <v>1.0000000225847201</v>
      </c>
    </row>
    <row r="1653" spans="1:40" x14ac:dyDescent="0.25">
      <c r="A1653" t="str">
        <f>"20190305134932751"</f>
        <v>20190305134932751</v>
      </c>
      <c r="B1653" t="str">
        <f>"1551764972741698"</f>
        <v>1551764972741698</v>
      </c>
      <c r="C1653" t="s">
        <v>40</v>
      </c>
      <c r="D1653">
        <v>4.4722479999999996</v>
      </c>
      <c r="E1653">
        <v>0.63559790000000005</v>
      </c>
      <c r="F1653" t="s">
        <v>42</v>
      </c>
      <c r="G1653">
        <v>-199.0959</v>
      </c>
      <c r="H1653" s="1">
        <v>-3.0607499999999999E-6</v>
      </c>
      <c r="I1653">
        <v>301.23970000000003</v>
      </c>
      <c r="J1653">
        <v>-197.67019999999999</v>
      </c>
      <c r="K1653">
        <v>1.0985100000000001</v>
      </c>
      <c r="L1653">
        <v>359.3861</v>
      </c>
      <c r="M1653">
        <v>0.42833939999999998</v>
      </c>
      <c r="N1653">
        <v>-1.7083750000000002E-2</v>
      </c>
      <c r="O1653">
        <v>-0.90345629999999999</v>
      </c>
      <c r="P1653">
        <v>0.30928939999999999</v>
      </c>
      <c r="Q1653">
        <v>-9.9623379999999997E-2</v>
      </c>
      <c r="R1653">
        <v>-0.9457352</v>
      </c>
      <c r="S1653">
        <v>-7.3928830000000001E-2</v>
      </c>
      <c r="T1653">
        <v>-6.0230369999999998E-2</v>
      </c>
      <c r="U1653">
        <v>-3.199738</v>
      </c>
      <c r="V1653">
        <v>0.123339</v>
      </c>
      <c r="W1653">
        <v>-8.6203399999999999E-2</v>
      </c>
      <c r="X1653">
        <v>0.98861339999999998</v>
      </c>
      <c r="Y1653">
        <v>0.44901380000000002</v>
      </c>
      <c r="Z1653">
        <v>-2.082179E-3</v>
      </c>
      <c r="AA1653">
        <v>0.89352240000000005</v>
      </c>
      <c r="AB1653">
        <v>24</v>
      </c>
      <c r="AC1653">
        <v>-1.4257</v>
      </c>
      <c r="AD1653">
        <v>-1.09851306075</v>
      </c>
      <c r="AE1653">
        <v>-58.1463999999999</v>
      </c>
      <c r="AF1653">
        <v>26.188936303559899</v>
      </c>
      <c r="AG1653">
        <v>-1.09851306075</v>
      </c>
      <c r="AH1653">
        <v>51.911115356536797</v>
      </c>
      <c r="AI1653">
        <v>91.0823749619761</v>
      </c>
      <c r="AJ1653">
        <v>63.229250295388702</v>
      </c>
      <c r="AK1653">
        <v>58.1535124753117</v>
      </c>
      <c r="AL1653">
        <v>94.945228657066707</v>
      </c>
      <c r="AM1653">
        <v>82.888546755417806</v>
      </c>
      <c r="AN1653">
        <v>0.99999999487605995</v>
      </c>
    </row>
    <row r="1654" spans="1:40" x14ac:dyDescent="0.25">
      <c r="A1654" t="str">
        <f>"20190305134932764"</f>
        <v>20190305134932764</v>
      </c>
      <c r="B1654" t="str">
        <f>"1551764972752435"</f>
        <v>1551764972752435</v>
      </c>
      <c r="C1654" t="s">
        <v>40</v>
      </c>
      <c r="D1654">
        <v>4.3690089999999904</v>
      </c>
      <c r="E1654">
        <v>0.63559790000000005</v>
      </c>
      <c r="F1654" t="s">
        <v>42</v>
      </c>
      <c r="G1654">
        <v>-198.63550000000001</v>
      </c>
      <c r="H1654" s="1">
        <v>-2.6523180000000001E-6</v>
      </c>
      <c r="I1654">
        <v>320.41570000000002</v>
      </c>
      <c r="J1654">
        <v>-197.62100000000001</v>
      </c>
      <c r="K1654">
        <v>1.0987199999999999</v>
      </c>
      <c r="L1654">
        <v>359.25689999999997</v>
      </c>
      <c r="M1654">
        <v>0.4194022</v>
      </c>
      <c r="N1654">
        <v>-1.7003730000000002E-2</v>
      </c>
      <c r="O1654">
        <v>-0.90764140000000004</v>
      </c>
      <c r="P1654">
        <v>0.30282629999999999</v>
      </c>
      <c r="Q1654">
        <v>-0.1001708</v>
      </c>
      <c r="R1654">
        <v>-0.94776729999999998</v>
      </c>
      <c r="S1654">
        <v>-7.8979489999999999E-2</v>
      </c>
      <c r="T1654">
        <v>-8.9879039999999993E-2</v>
      </c>
      <c r="U1654">
        <v>-3.188507</v>
      </c>
      <c r="V1654">
        <v>0.1203395</v>
      </c>
      <c r="W1654">
        <v>-8.6676959999999997E-2</v>
      </c>
      <c r="X1654">
        <v>0.98894159999999998</v>
      </c>
      <c r="Y1654">
        <v>0.44162899999999999</v>
      </c>
      <c r="Z1654">
        <v>5.7274140000000001E-3</v>
      </c>
      <c r="AA1654">
        <v>0.89717950000000002</v>
      </c>
      <c r="AB1654">
        <v>23</v>
      </c>
      <c r="AC1654">
        <v>-1.0145000000000199</v>
      </c>
      <c r="AD1654">
        <v>-1.098722652318</v>
      </c>
      <c r="AE1654">
        <v>-38.841199999999901</v>
      </c>
      <c r="AF1654">
        <v>17.199619931465602</v>
      </c>
      <c r="AG1654">
        <v>-1.098722652318</v>
      </c>
      <c r="AH1654">
        <v>34.805597421135502</v>
      </c>
      <c r="AI1654">
        <v>91.621067944260602</v>
      </c>
      <c r="AJ1654">
        <v>63.703145856557001</v>
      </c>
      <c r="AK1654">
        <v>38.838946034821099</v>
      </c>
      <c r="AL1654">
        <v>94.972463613122599</v>
      </c>
      <c r="AM1654">
        <v>83.062064670202204</v>
      </c>
      <c r="AN1654">
        <v>0.99999998943282498</v>
      </c>
    </row>
    <row r="1655" spans="1:40" x14ac:dyDescent="0.25">
      <c r="A1655" t="str">
        <f>"20190305134932777"</f>
        <v>20190305134932777</v>
      </c>
      <c r="B1655" t="str">
        <f>"1551764972772462"</f>
        <v>1551764972772462</v>
      </c>
      <c r="C1655" t="s">
        <v>40</v>
      </c>
      <c r="D1655">
        <v>4.3613589999999904</v>
      </c>
      <c r="E1655">
        <v>0.59749289999999999</v>
      </c>
      <c r="F1655" t="s">
        <v>42</v>
      </c>
      <c r="G1655">
        <v>-198.81829999999999</v>
      </c>
      <c r="H1655" s="1">
        <v>-3.092045E-6</v>
      </c>
      <c r="I1655">
        <v>321.47629999999998</v>
      </c>
      <c r="J1655">
        <v>-197.57409999999999</v>
      </c>
      <c r="K1655">
        <v>1.0989249999999999</v>
      </c>
      <c r="L1655">
        <v>359.13099999999997</v>
      </c>
      <c r="M1655">
        <v>0.41080470000000002</v>
      </c>
      <c r="N1655">
        <v>-1.692426E-2</v>
      </c>
      <c r="O1655">
        <v>-0.9115666</v>
      </c>
      <c r="P1655">
        <v>0.29659799999999997</v>
      </c>
      <c r="Q1655">
        <v>-0.10109700000000001</v>
      </c>
      <c r="R1655">
        <v>-0.94963649999999999</v>
      </c>
      <c r="S1655">
        <v>-0.1010284</v>
      </c>
      <c r="T1655">
        <v>-9.2709539999999993E-2</v>
      </c>
      <c r="U1655">
        <v>-3.187897</v>
      </c>
      <c r="V1655">
        <v>0.1174665</v>
      </c>
      <c r="W1655">
        <v>-8.7537089999999998E-2</v>
      </c>
      <c r="X1655">
        <v>0.98921130000000002</v>
      </c>
      <c r="Y1655">
        <v>0.43935000000000002</v>
      </c>
      <c r="Z1655">
        <v>6.6905769999999996E-3</v>
      </c>
      <c r="AA1655">
        <v>0.89829110000000001</v>
      </c>
      <c r="AB1655">
        <v>23</v>
      </c>
      <c r="AC1655">
        <v>-1.2442</v>
      </c>
      <c r="AD1655">
        <v>-1.098928092045</v>
      </c>
      <c r="AE1655">
        <v>-37.654699999999899</v>
      </c>
      <c r="AF1655">
        <v>16.591156514939001</v>
      </c>
      <c r="AG1655">
        <v>-1.098928092045</v>
      </c>
      <c r="AH1655">
        <v>33.7897289750914</v>
      </c>
      <c r="AI1655">
        <v>91.672175185908003</v>
      </c>
      <c r="AJ1655">
        <v>63.848415757526404</v>
      </c>
      <c r="AK1655">
        <v>37.659260503424903</v>
      </c>
      <c r="AL1655">
        <v>95.021933123769699</v>
      </c>
      <c r="AM1655">
        <v>83.227973790708702</v>
      </c>
      <c r="AN1655">
        <v>1.0000000583977999</v>
      </c>
    </row>
    <row r="1656" spans="1:40" x14ac:dyDescent="0.25">
      <c r="A1656" t="str">
        <f>"20190305134932794"</f>
        <v>20190305134932794</v>
      </c>
      <c r="B1656" t="str">
        <f>"1551764972791982"</f>
        <v>1551764972791982</v>
      </c>
      <c r="C1656" t="s">
        <v>40</v>
      </c>
      <c r="D1656">
        <v>4.3219070000000004</v>
      </c>
      <c r="E1656">
        <v>0.59706519999999996</v>
      </c>
      <c r="F1656" t="s">
        <v>42</v>
      </c>
      <c r="G1656">
        <v>-196.0205</v>
      </c>
      <c r="H1656" s="1">
        <v>-1.8795570000000001E-6</v>
      </c>
      <c r="I1656">
        <v>330.2364</v>
      </c>
      <c r="J1656">
        <v>-197.50880000000001</v>
      </c>
      <c r="K1656">
        <v>1.0992360000000001</v>
      </c>
      <c r="L1656">
        <v>358.95049999999998</v>
      </c>
      <c r="M1656">
        <v>0.39871380000000001</v>
      </c>
      <c r="N1656">
        <v>-1.6805560000000001E-2</v>
      </c>
      <c r="O1656">
        <v>-0.9169214</v>
      </c>
      <c r="P1656">
        <v>0.28970420000000002</v>
      </c>
      <c r="Q1656">
        <v>-0.10196760000000001</v>
      </c>
      <c r="R1656">
        <v>-0.95166899999999999</v>
      </c>
      <c r="S1656">
        <v>0.16639709999999999</v>
      </c>
      <c r="T1656">
        <v>-0.11769589999999901</v>
      </c>
      <c r="U1656">
        <v>-3.0946349999999998</v>
      </c>
      <c r="V1656">
        <v>0.1115718</v>
      </c>
      <c r="W1656">
        <v>-8.826871E-2</v>
      </c>
      <c r="X1656">
        <v>0.9898285</v>
      </c>
      <c r="Y1656">
        <v>0.3487885</v>
      </c>
      <c r="Z1656">
        <v>1.546664E-2</v>
      </c>
      <c r="AA1656">
        <v>0.93707379999999996</v>
      </c>
      <c r="AB1656">
        <v>23</v>
      </c>
      <c r="AC1656">
        <v>1.4883</v>
      </c>
      <c r="AD1656">
        <v>-1.0992378795569999</v>
      </c>
      <c r="AE1656">
        <v>-28.714099999999899</v>
      </c>
      <c r="AF1656">
        <v>10.070758841410299</v>
      </c>
      <c r="AG1656">
        <v>-1.0992378795569999</v>
      </c>
      <c r="AH1656">
        <v>26.8864841913094</v>
      </c>
      <c r="AI1656">
        <v>92.192596663179103</v>
      </c>
      <c r="AJ1656">
        <v>69.4657660103002</v>
      </c>
      <c r="AK1656">
        <v>28.731716616436699</v>
      </c>
      <c r="AL1656">
        <v>95.064014821605298</v>
      </c>
      <c r="AM1656">
        <v>83.568861411566601</v>
      </c>
      <c r="AN1656">
        <v>1.0000000455662701</v>
      </c>
    </row>
    <row r="1657" spans="1:40" x14ac:dyDescent="0.25">
      <c r="A1657" t="str">
        <f>"20190305134932818"</f>
        <v>20190305134932818</v>
      </c>
      <c r="B1657" t="str">
        <f>"1551764972812478"</f>
        <v>1551764972812478</v>
      </c>
      <c r="C1657" t="s">
        <v>40</v>
      </c>
      <c r="D1657">
        <v>4.3203880000000003</v>
      </c>
      <c r="E1657">
        <v>0.59644339999999996</v>
      </c>
      <c r="F1657" t="s">
        <v>42</v>
      </c>
      <c r="G1657">
        <v>-196.10290000000001</v>
      </c>
      <c r="H1657" s="1">
        <v>-5.3444320000000001E-6</v>
      </c>
      <c r="I1657">
        <v>329.51049999999998</v>
      </c>
      <c r="J1657">
        <v>-197.42529999999999</v>
      </c>
      <c r="K1657">
        <v>1.0997110000000001</v>
      </c>
      <c r="L1657">
        <v>358.7097</v>
      </c>
      <c r="M1657">
        <v>0.38317190000000001</v>
      </c>
      <c r="N1657">
        <v>-1.661812E-2</v>
      </c>
      <c r="O1657">
        <v>-0.92352769999999995</v>
      </c>
      <c r="P1657">
        <v>0.27979009999999999</v>
      </c>
      <c r="Q1657">
        <v>-0.1027911</v>
      </c>
      <c r="R1657">
        <v>-0.95454260000000002</v>
      </c>
      <c r="S1657">
        <v>0.1477966</v>
      </c>
      <c r="T1657">
        <v>-0.11556139999999999</v>
      </c>
      <c r="U1657">
        <v>-3.0949710000000001</v>
      </c>
      <c r="V1657">
        <v>0.1052027</v>
      </c>
      <c r="W1657">
        <v>-8.8977169999999994E-2</v>
      </c>
      <c r="X1657">
        <v>0.99046219999999996</v>
      </c>
      <c r="Y1657">
        <v>0.338572599999999</v>
      </c>
      <c r="Z1657">
        <v>1.547988E-2</v>
      </c>
      <c r="AA1657">
        <v>0.94081289999999995</v>
      </c>
      <c r="AB1657">
        <v>23</v>
      </c>
      <c r="AC1657">
        <v>1.32239999999998</v>
      </c>
      <c r="AD1657">
        <v>-1.0997163444319999</v>
      </c>
      <c r="AE1657">
        <v>-29.199200000000001</v>
      </c>
      <c r="AF1657">
        <v>9.9543240764439904</v>
      </c>
      <c r="AG1657">
        <v>-1.0997163444319999</v>
      </c>
      <c r="AH1657">
        <v>27.437926829059801</v>
      </c>
      <c r="AI1657">
        <v>92.157726457372107</v>
      </c>
      <c r="AJ1657">
        <v>70.059515897417498</v>
      </c>
      <c r="AK1657">
        <v>29.2085222586478</v>
      </c>
      <c r="AL1657">
        <v>95.104767390157406</v>
      </c>
      <c r="AM1657">
        <v>83.937017201818804</v>
      </c>
      <c r="AN1657">
        <v>0.99999995724866797</v>
      </c>
    </row>
    <row r="1658" spans="1:40" x14ac:dyDescent="0.25">
      <c r="A1658" t="str">
        <f>"20190305134932831"</f>
        <v>20190305134932831</v>
      </c>
      <c r="B1658" t="str">
        <f>"1551764972822238"</f>
        <v>1551764972822238</v>
      </c>
      <c r="C1658" t="s">
        <v>40</v>
      </c>
      <c r="D1658">
        <v>4.3164999999999996</v>
      </c>
      <c r="E1658">
        <v>0.59589789999999998</v>
      </c>
      <c r="F1658" t="s">
        <v>42</v>
      </c>
      <c r="G1658">
        <v>-196.31450000000001</v>
      </c>
      <c r="H1658" s="1">
        <v>-1.9145699999999999E-6</v>
      </c>
      <c r="I1658">
        <v>330.13560000000001</v>
      </c>
      <c r="J1658">
        <v>-197.38249999999999</v>
      </c>
      <c r="K1658">
        <v>1.09997099999999</v>
      </c>
      <c r="L1658">
        <v>358.58260000000001</v>
      </c>
      <c r="M1658">
        <v>0.37517479999999997</v>
      </c>
      <c r="N1658">
        <v>-1.6501640000000001E-2</v>
      </c>
      <c r="O1658">
        <v>-0.9268073</v>
      </c>
      <c r="P1658">
        <v>0.274887099999999</v>
      </c>
      <c r="Q1658">
        <v>-0.10247489999999999</v>
      </c>
      <c r="R1658">
        <v>-0.95600039999999997</v>
      </c>
      <c r="S1658">
        <v>0.12031559999999999</v>
      </c>
      <c r="T1658">
        <v>-0.1191086</v>
      </c>
      <c r="U1658">
        <v>-3.0948180000000001</v>
      </c>
      <c r="V1658">
        <v>0.1018052</v>
      </c>
      <c r="W1658">
        <v>-8.8618409999999995E-2</v>
      </c>
      <c r="X1658">
        <v>0.99084939999999999</v>
      </c>
      <c r="Y1658">
        <v>0.3387734</v>
      </c>
      <c r="Z1658">
        <v>1.6735179999999999E-2</v>
      </c>
      <c r="AA1658">
        <v>0.94071910000000003</v>
      </c>
      <c r="AB1658">
        <v>23</v>
      </c>
      <c r="AC1658">
        <v>1.0679999999999801</v>
      </c>
      <c r="AD1658">
        <v>-1.0999729145699999</v>
      </c>
      <c r="AE1658">
        <v>-28.446999999999999</v>
      </c>
      <c r="AF1658">
        <v>9.6696475069543304</v>
      </c>
      <c r="AG1658">
        <v>-1.0999729145699999</v>
      </c>
      <c r="AH1658">
        <v>26.729307474444301</v>
      </c>
      <c r="AI1658">
        <v>92.216121629675001</v>
      </c>
      <c r="AJ1658">
        <v>70.111801811173393</v>
      </c>
      <c r="AK1658">
        <v>28.4458767026949</v>
      </c>
      <c r="AL1658">
        <v>95.084130074939395</v>
      </c>
      <c r="AM1658">
        <v>84.133708186153996</v>
      </c>
      <c r="AN1658">
        <v>1.0000000274091601</v>
      </c>
    </row>
    <row r="1659" spans="1:40" x14ac:dyDescent="0.25">
      <c r="A1659" t="str">
        <f>"20190305134932844"</f>
        <v>20190305134932844</v>
      </c>
      <c r="B1659" t="str">
        <f>"1551764972841758"</f>
        <v>1551764972841758</v>
      </c>
      <c r="C1659" t="s">
        <v>40</v>
      </c>
      <c r="D1659">
        <v>4.3637610000000002</v>
      </c>
      <c r="E1659">
        <v>0.59428749999999997</v>
      </c>
      <c r="F1659" t="s">
        <v>42</v>
      </c>
      <c r="G1659">
        <v>-196.36689999999999</v>
      </c>
      <c r="H1659" s="1">
        <v>-1.7237520000000001E-6</v>
      </c>
      <c r="I1659">
        <v>329.6583</v>
      </c>
      <c r="J1659">
        <v>-197.33369999999999</v>
      </c>
      <c r="K1659">
        <v>1.100285</v>
      </c>
      <c r="L1659">
        <v>358.43279999999999</v>
      </c>
      <c r="M1659">
        <v>0.36610480000000001</v>
      </c>
      <c r="N1659">
        <v>-1.6314269999999999E-2</v>
      </c>
      <c r="O1659">
        <v>-0.9304308</v>
      </c>
      <c r="P1659">
        <v>0.26886369999999998</v>
      </c>
      <c r="Q1659">
        <v>-0.1021746</v>
      </c>
      <c r="R1659">
        <v>-0.95774380000000003</v>
      </c>
      <c r="S1659">
        <v>0.10864260000000001</v>
      </c>
      <c r="T1659">
        <v>-0.11767279999999999</v>
      </c>
      <c r="U1659">
        <v>-3.0942690000000002</v>
      </c>
      <c r="V1659">
        <v>9.8454659999999999E-2</v>
      </c>
      <c r="W1659">
        <v>-8.8336209999999998E-2</v>
      </c>
      <c r="X1659">
        <v>0.99121309999999996</v>
      </c>
      <c r="Y1659">
        <v>0.33312140000000001</v>
      </c>
      <c r="Z1659">
        <v>1.675859E-2</v>
      </c>
      <c r="AA1659">
        <v>0.94273499999999999</v>
      </c>
      <c r="AB1659">
        <v>23</v>
      </c>
      <c r="AC1659">
        <v>0.96680000000000599</v>
      </c>
      <c r="AD1659">
        <v>-1.100286723752</v>
      </c>
      <c r="AE1659">
        <v>-28.7744999999999</v>
      </c>
      <c r="AF1659">
        <v>9.6221694903337696</v>
      </c>
      <c r="AG1659">
        <v>-1.100286723752</v>
      </c>
      <c r="AH1659">
        <v>27.090670703492499</v>
      </c>
      <c r="AI1659">
        <v>92.191783408151295</v>
      </c>
      <c r="AJ1659">
        <v>70.445781887810497</v>
      </c>
      <c r="AK1659">
        <v>28.769796936027198</v>
      </c>
      <c r="AL1659">
        <v>95.067897644919299</v>
      </c>
      <c r="AM1659">
        <v>84.327562697796296</v>
      </c>
      <c r="AN1659">
        <v>1.00000000784224</v>
      </c>
    </row>
    <row r="1660" spans="1:40" x14ac:dyDescent="0.25">
      <c r="A1660" t="str">
        <f>"20190305134932864"</f>
        <v>20190305134932864</v>
      </c>
      <c r="B1660" t="str">
        <f>"1551764972852495"</f>
        <v>1551764972852495</v>
      </c>
      <c r="C1660" t="s">
        <v>40</v>
      </c>
      <c r="D1660">
        <v>4.3029650000000004</v>
      </c>
      <c r="E1660">
        <v>0.59376260000000003</v>
      </c>
      <c r="F1660" t="s">
        <v>42</v>
      </c>
      <c r="G1660">
        <v>-196.43180000000001</v>
      </c>
      <c r="H1660" s="1">
        <v>-2.2038879999999999E-6</v>
      </c>
      <c r="I1660">
        <v>330.7373</v>
      </c>
      <c r="J1660">
        <v>-197.2731</v>
      </c>
      <c r="K1660">
        <v>1.1007009999999999</v>
      </c>
      <c r="L1660">
        <v>358.24169999999998</v>
      </c>
      <c r="M1660">
        <v>0.3549466</v>
      </c>
      <c r="N1660">
        <v>-1.6034739999999999E-2</v>
      </c>
      <c r="O1660">
        <v>-0.93474919999999995</v>
      </c>
      <c r="P1660">
        <v>0.26374819999999999</v>
      </c>
      <c r="Q1660">
        <v>-0.10108</v>
      </c>
      <c r="R1660">
        <v>-0.95928119999999995</v>
      </c>
      <c r="S1660">
        <v>0.10066219999999999</v>
      </c>
      <c r="T1660">
        <v>-0.122798</v>
      </c>
      <c r="U1660">
        <v>-3.090973</v>
      </c>
      <c r="V1660">
        <v>9.204967E-2</v>
      </c>
      <c r="W1660">
        <v>-8.7254280000000004E-2</v>
      </c>
      <c r="X1660">
        <v>0.99192420000000003</v>
      </c>
      <c r="Y1660">
        <v>0.32422459999999997</v>
      </c>
      <c r="Z1660">
        <v>1.8814350000000001E-2</v>
      </c>
      <c r="AA1660">
        <v>0.94579299999999999</v>
      </c>
      <c r="AB1660">
        <v>23</v>
      </c>
      <c r="AC1660">
        <v>0.84129999999998895</v>
      </c>
      <c r="AD1660">
        <v>-1.100703203888</v>
      </c>
      <c r="AE1660">
        <v>-27.504399999999901</v>
      </c>
      <c r="AF1660">
        <v>8.9630005957358101</v>
      </c>
      <c r="AG1660">
        <v>-1.100703203888</v>
      </c>
      <c r="AH1660">
        <v>25.970120012518201</v>
      </c>
      <c r="AI1660">
        <v>92.294297535953504</v>
      </c>
      <c r="AJ1660">
        <v>70.959041648759296</v>
      </c>
      <c r="AK1660">
        <v>27.4953461641568</v>
      </c>
      <c r="AL1660">
        <v>95.005667184314603</v>
      </c>
      <c r="AM1660">
        <v>84.698187765798707</v>
      </c>
      <c r="AN1660">
        <v>1.00000003483553</v>
      </c>
    </row>
    <row r="1661" spans="1:40" x14ac:dyDescent="0.25">
      <c r="A1661" t="str">
        <f>"20190305134932885"</f>
        <v>20190305134932885</v>
      </c>
      <c r="B1661" t="str">
        <f>"1551764972882281"</f>
        <v>1551764972882281</v>
      </c>
      <c r="C1661" t="s">
        <v>40</v>
      </c>
      <c r="D1661">
        <v>4.3204840000000004</v>
      </c>
      <c r="E1661">
        <v>0.58061130000000005</v>
      </c>
      <c r="F1661" t="s">
        <v>42</v>
      </c>
      <c r="G1661">
        <v>-196.4768</v>
      </c>
      <c r="H1661" s="1">
        <v>-1.9790820000000002E-6</v>
      </c>
      <c r="I1661">
        <v>330.18529999999998</v>
      </c>
      <c r="J1661">
        <v>-197.20750000000001</v>
      </c>
      <c r="K1661">
        <v>1.10124</v>
      </c>
      <c r="L1661">
        <v>358.02850000000001</v>
      </c>
      <c r="M1661">
        <v>0.343198</v>
      </c>
      <c r="N1661">
        <v>-1.5687449999999999E-2</v>
      </c>
      <c r="O1661">
        <v>-0.93913230000000003</v>
      </c>
      <c r="P1661">
        <v>0.25763239999999998</v>
      </c>
      <c r="Q1661">
        <v>-0.1005539</v>
      </c>
      <c r="R1661">
        <v>-0.96099670000000004</v>
      </c>
      <c r="S1661">
        <v>8.7707519999999997E-2</v>
      </c>
      <c r="T1661">
        <v>-0.12124310000000001</v>
      </c>
      <c r="U1661">
        <v>-3.0904240000000001</v>
      </c>
      <c r="V1661">
        <v>8.6081359999999996E-2</v>
      </c>
      <c r="W1661">
        <v>-8.6807799999999893E-2</v>
      </c>
      <c r="X1661">
        <v>0.99249909999999997</v>
      </c>
      <c r="Y1661">
        <v>0.31631559999999997</v>
      </c>
      <c r="Z1661">
        <v>1.9021509999999998E-2</v>
      </c>
      <c r="AA1661">
        <v>0.94846330000000001</v>
      </c>
      <c r="AB1661">
        <v>23</v>
      </c>
      <c r="AC1661">
        <v>0.73070000000001301</v>
      </c>
      <c r="AD1661">
        <v>-1.1012419790820001</v>
      </c>
      <c r="AE1661">
        <v>-27.8432</v>
      </c>
      <c r="AF1661">
        <v>8.8567508971134892</v>
      </c>
      <c r="AG1661">
        <v>-1.1012419790820001</v>
      </c>
      <c r="AH1661">
        <v>26.361257179203299</v>
      </c>
      <c r="AI1661">
        <v>92.267713917214493</v>
      </c>
      <c r="AJ1661">
        <v>71.428884846619397</v>
      </c>
      <c r="AK1661">
        <v>27.831109399700701</v>
      </c>
      <c r="AL1661">
        <v>94.979988358199904</v>
      </c>
      <c r="AM1661">
        <v>85.043031247765597</v>
      </c>
      <c r="AN1661">
        <v>1.00000002909054</v>
      </c>
    </row>
    <row r="1662" spans="1:40" x14ac:dyDescent="0.25">
      <c r="A1662" t="str">
        <f>"20190305134932897"</f>
        <v>20190305134932897</v>
      </c>
      <c r="B1662" t="str">
        <f>"1551764972892040"</f>
        <v>1551764972892040</v>
      </c>
      <c r="C1662" t="s">
        <v>40</v>
      </c>
      <c r="D1662">
        <v>4.3290249999999997</v>
      </c>
      <c r="E1662">
        <v>0.58042490000000002</v>
      </c>
      <c r="F1662" t="s">
        <v>42</v>
      </c>
      <c r="G1662">
        <v>-196.11799999999999</v>
      </c>
      <c r="H1662" s="1">
        <v>-4.7484409999999998E-6</v>
      </c>
      <c r="I1662">
        <v>337.75130000000001</v>
      </c>
      <c r="J1662">
        <v>-197.16749999999999</v>
      </c>
      <c r="K1662">
        <v>1.101623</v>
      </c>
      <c r="L1662">
        <v>357.89519999999999</v>
      </c>
      <c r="M1662">
        <v>0.33628740000000001</v>
      </c>
      <c r="N1662">
        <v>-1.5464779999999999E-2</v>
      </c>
      <c r="O1662">
        <v>-0.94163249999999998</v>
      </c>
      <c r="P1662">
        <v>0.25391560000000002</v>
      </c>
      <c r="Q1662">
        <v>-0.1000458</v>
      </c>
      <c r="R1662">
        <v>-0.96203850000000002</v>
      </c>
      <c r="S1662">
        <v>0.16442870000000001</v>
      </c>
      <c r="T1662">
        <v>-0.16619900000000001</v>
      </c>
      <c r="U1662">
        <v>-3.0602109999999998</v>
      </c>
      <c r="V1662">
        <v>8.2736809999999994E-2</v>
      </c>
      <c r="W1662">
        <v>-8.6362960000000003E-2</v>
      </c>
      <c r="X1662">
        <v>0.99282230000000005</v>
      </c>
      <c r="Y1662">
        <v>0.28517809999999999</v>
      </c>
      <c r="Z1662">
        <v>3.304211E-2</v>
      </c>
      <c r="AA1662">
        <v>0.9579048</v>
      </c>
      <c r="AB1662">
        <v>23</v>
      </c>
      <c r="AC1662">
        <v>1.0494999999999901</v>
      </c>
      <c r="AD1662">
        <v>-1.101627748441</v>
      </c>
      <c r="AE1662">
        <v>-20.143899999999899</v>
      </c>
      <c r="AF1662">
        <v>5.7693798809826298</v>
      </c>
      <c r="AG1662">
        <v>-1.101627748441</v>
      </c>
      <c r="AH1662">
        <v>19.265930083807401</v>
      </c>
      <c r="AI1662">
        <v>93.135342134996407</v>
      </c>
      <c r="AJ1662">
        <v>73.329132881087105</v>
      </c>
      <c r="AK1662">
        <v>20.141385004546699</v>
      </c>
      <c r="AL1662">
        <v>94.954404819081702</v>
      </c>
      <c r="AM1662">
        <v>85.236265559358898</v>
      </c>
      <c r="AN1662">
        <v>1.00000002998311</v>
      </c>
    </row>
    <row r="1663" spans="1:40" x14ac:dyDescent="0.25">
      <c r="A1663" t="str">
        <f>"20190305134932919"</f>
        <v>20190305134932919</v>
      </c>
      <c r="B1663" t="str">
        <f>"1551764972912537"</f>
        <v>1551764972912537</v>
      </c>
      <c r="C1663" t="s">
        <v>40</v>
      </c>
      <c r="D1663">
        <v>4.3366499999999997</v>
      </c>
      <c r="E1663">
        <v>0.57985059999999999</v>
      </c>
      <c r="F1663" t="s">
        <v>42</v>
      </c>
      <c r="G1663">
        <v>-196.06049999999999</v>
      </c>
      <c r="H1663" s="1">
        <v>-4.1554369999999996E-6</v>
      </c>
      <c r="I1663">
        <v>336.03870000000001</v>
      </c>
      <c r="J1663">
        <v>-197.10149999999999</v>
      </c>
      <c r="K1663">
        <v>1.102328</v>
      </c>
      <c r="L1663">
        <v>357.6703</v>
      </c>
      <c r="M1663">
        <v>0.32534550000000001</v>
      </c>
      <c r="N1663">
        <v>-1.5095809999999999E-2</v>
      </c>
      <c r="O1663">
        <v>-0.94547499999999995</v>
      </c>
      <c r="P1663">
        <v>0.2496642</v>
      </c>
      <c r="Q1663">
        <v>-9.9091020000000002E-2</v>
      </c>
      <c r="R1663">
        <v>-0.96324940000000003</v>
      </c>
      <c r="S1663">
        <v>0.1550598</v>
      </c>
      <c r="T1663">
        <v>-0.15430769999999999</v>
      </c>
      <c r="U1663">
        <v>-3.061493</v>
      </c>
      <c r="V1663">
        <v>7.5812370000000004E-2</v>
      </c>
      <c r="W1663">
        <v>-8.5489029999999994E-2</v>
      </c>
      <c r="X1663">
        <v>0.99345059999999996</v>
      </c>
      <c r="Y1663">
        <v>0.27701130000000002</v>
      </c>
      <c r="Z1663">
        <v>3.027436E-2</v>
      </c>
      <c r="AA1663">
        <v>0.96038959999999995</v>
      </c>
      <c r="AB1663">
        <v>23</v>
      </c>
      <c r="AC1663">
        <v>1.0409999999999899</v>
      </c>
      <c r="AD1663">
        <v>-1.102332155437</v>
      </c>
      <c r="AE1663">
        <v>-21.631599999999899</v>
      </c>
      <c r="AF1663">
        <v>6.0385474335178602</v>
      </c>
      <c r="AG1663">
        <v>-1.102332155437</v>
      </c>
      <c r="AH1663">
        <v>20.739452362429901</v>
      </c>
      <c r="AI1663">
        <v>92.921401870225395</v>
      </c>
      <c r="AJ1663">
        <v>73.766429378745002</v>
      </c>
      <c r="AK1663">
        <v>21.62877887402</v>
      </c>
      <c r="AL1663">
        <v>94.904146624771599</v>
      </c>
      <c r="AM1663">
        <v>85.636092819905897</v>
      </c>
      <c r="AN1663">
        <v>0.99999999216785795</v>
      </c>
    </row>
    <row r="1664" spans="1:40" x14ac:dyDescent="0.25">
      <c r="A1664" t="str">
        <f>"20190305134932932"</f>
        <v>20190305134932932</v>
      </c>
      <c r="B1664" t="str">
        <f>"1551764972922298"</f>
        <v>1551764972922298</v>
      </c>
      <c r="C1664" t="s">
        <v>40</v>
      </c>
      <c r="D1664">
        <v>4.3018140000000002</v>
      </c>
      <c r="E1664">
        <v>0.57958299999999996</v>
      </c>
      <c r="F1664" t="s">
        <v>42</v>
      </c>
      <c r="G1664">
        <v>-196.00810000000001</v>
      </c>
      <c r="H1664" s="1">
        <v>-3.7266539999999998E-6</v>
      </c>
      <c r="I1664">
        <v>334.80599999999998</v>
      </c>
      <c r="J1664">
        <v>-197.06389999999999</v>
      </c>
      <c r="K1664">
        <v>1.102754</v>
      </c>
      <c r="L1664">
        <v>357.53980000000001</v>
      </c>
      <c r="M1664">
        <v>0.31935540000000001</v>
      </c>
      <c r="N1664">
        <v>-1.4889350000000001E-2</v>
      </c>
      <c r="O1664">
        <v>-0.94751790000000002</v>
      </c>
      <c r="P1664">
        <v>0.2472982</v>
      </c>
      <c r="Q1664">
        <v>-9.8363939999999997E-2</v>
      </c>
      <c r="R1664">
        <v>-0.9639337</v>
      </c>
      <c r="S1664">
        <v>0.14640810000000001</v>
      </c>
      <c r="T1664">
        <v>-0.14759359999999999</v>
      </c>
      <c r="U1664">
        <v>-3.06134</v>
      </c>
      <c r="V1664">
        <v>7.2092649999999994E-2</v>
      </c>
      <c r="W1664">
        <v>-8.4815959999999996E-2</v>
      </c>
      <c r="X1664">
        <v>0.99378509999999998</v>
      </c>
      <c r="Y1664">
        <v>0.2736403</v>
      </c>
      <c r="Z1664">
        <v>2.8679320000000001E-2</v>
      </c>
      <c r="AA1664">
        <v>0.96140440000000005</v>
      </c>
      <c r="AB1664">
        <v>24</v>
      </c>
      <c r="AC1664">
        <v>1.0557999999999701</v>
      </c>
      <c r="AD1664">
        <v>-1.1027577266540001</v>
      </c>
      <c r="AE1664">
        <v>-22.733799999999999</v>
      </c>
      <c r="AF1664">
        <v>6.2458026626671197</v>
      </c>
      <c r="AG1664">
        <v>-1.1027577266540001</v>
      </c>
      <c r="AH1664">
        <v>21.829033760486499</v>
      </c>
      <c r="AI1664">
        <v>92.780610775222101</v>
      </c>
      <c r="AJ1664">
        <v>74.032922146748504</v>
      </c>
      <c r="AK1664">
        <v>22.7317584102315</v>
      </c>
      <c r="AL1664">
        <v>94.865442126851903</v>
      </c>
      <c r="AM1664">
        <v>85.850831813101195</v>
      </c>
      <c r="AN1664">
        <v>0.99999996111837597</v>
      </c>
    </row>
    <row r="1665" spans="1:40" x14ac:dyDescent="0.25">
      <c r="A1665" t="str">
        <f>"20190305134932943"</f>
        <v>20190305134932943</v>
      </c>
      <c r="B1665" t="str">
        <f>"1551764972932057"</f>
        <v>1551764972932057</v>
      </c>
      <c r="C1665" t="s">
        <v>40</v>
      </c>
      <c r="D1665">
        <v>4.2558569999999998</v>
      </c>
      <c r="E1665">
        <v>0.57958299999999996</v>
      </c>
      <c r="F1665" t="s">
        <v>42</v>
      </c>
      <c r="G1665">
        <v>-195.95269999999999</v>
      </c>
      <c r="H1665" s="1">
        <v>-3.2587569999999999E-6</v>
      </c>
      <c r="I1665">
        <v>333.49329999999998</v>
      </c>
      <c r="J1665">
        <v>-197.02799999999999</v>
      </c>
      <c r="K1665">
        <v>1.1031580000000001</v>
      </c>
      <c r="L1665">
        <v>357.41309999999999</v>
      </c>
      <c r="M1665">
        <v>0.31393470000000001</v>
      </c>
      <c r="N1665">
        <v>-1.469527E-2</v>
      </c>
      <c r="O1665">
        <v>-0.94933100000000004</v>
      </c>
      <c r="P1665">
        <v>0.24553920000000001</v>
      </c>
      <c r="Q1665">
        <v>-9.7428409999999993E-2</v>
      </c>
      <c r="R1665">
        <v>-0.96447839999999996</v>
      </c>
      <c r="S1665">
        <v>0.14147950000000001</v>
      </c>
      <c r="T1665">
        <v>-0.14040529999999901</v>
      </c>
      <c r="U1665">
        <v>-3.0616460000000001</v>
      </c>
      <c r="V1665">
        <v>6.8357699999999993E-2</v>
      </c>
      <c r="W1665">
        <v>-8.3933649999999999E-2</v>
      </c>
      <c r="X1665">
        <v>0.99412389999999995</v>
      </c>
      <c r="Y1665">
        <v>0.26969609999999999</v>
      </c>
      <c r="Z1665">
        <v>2.689977E-2</v>
      </c>
      <c r="AA1665">
        <v>0.96256969999999997</v>
      </c>
      <c r="AB1665">
        <v>24</v>
      </c>
      <c r="AC1665">
        <v>1.0752999999999899</v>
      </c>
      <c r="AD1665">
        <v>-1.1031612587569899</v>
      </c>
      <c r="AE1665">
        <v>-23.919799999999999</v>
      </c>
      <c r="AF1665">
        <v>6.4753941227692096</v>
      </c>
      <c r="AG1665">
        <v>-1.1031612587569899</v>
      </c>
      <c r="AH1665">
        <v>22.9990471844505</v>
      </c>
      <c r="AI1665">
        <v>92.643493722484095</v>
      </c>
      <c r="AJ1665">
        <v>74.275406077001904</v>
      </c>
      <c r="AK1665">
        <v>23.9186927987421</v>
      </c>
      <c r="AL1665">
        <v>94.814708478319304</v>
      </c>
      <c r="AM1665">
        <v>86.066433617244698</v>
      </c>
      <c r="AN1665">
        <v>0.99999998065141105</v>
      </c>
    </row>
    <row r="1666" spans="1:40" x14ac:dyDescent="0.25">
      <c r="A1666" t="str">
        <f>"20190305134932963"</f>
        <v>20190305134932963</v>
      </c>
      <c r="B1666" t="str">
        <f>"1551764972952556"</f>
        <v>1551764972952556</v>
      </c>
      <c r="C1666" t="s">
        <v>40</v>
      </c>
      <c r="D1666">
        <v>4.3023220000000002</v>
      </c>
      <c r="E1666">
        <v>0.5782079</v>
      </c>
      <c r="F1666" t="s">
        <v>42</v>
      </c>
      <c r="G1666">
        <v>-195.94450000000001</v>
      </c>
      <c r="H1666" s="1">
        <v>-3.0257480000000002E-6</v>
      </c>
      <c r="I1666">
        <v>332.95530000000002</v>
      </c>
      <c r="J1666">
        <v>-196.97399999999999</v>
      </c>
      <c r="K1666">
        <v>1.1037490000000001</v>
      </c>
      <c r="L1666">
        <v>357.22039999999998</v>
      </c>
      <c r="M1666">
        <v>0.30620829999999999</v>
      </c>
      <c r="N1666">
        <v>-1.441183E-2</v>
      </c>
      <c r="O1666">
        <v>-0.95185549999999997</v>
      </c>
      <c r="P1666">
        <v>0.24490500000000001</v>
      </c>
      <c r="Q1666">
        <v>-9.5710580000000003E-2</v>
      </c>
      <c r="R1666">
        <v>-0.96481159999999999</v>
      </c>
      <c r="S1666">
        <v>0.13565060000000001</v>
      </c>
      <c r="T1666">
        <v>-0.13811109999999999</v>
      </c>
      <c r="U1666">
        <v>-3.0620120000000002</v>
      </c>
      <c r="V1666">
        <v>6.1135929999999998E-2</v>
      </c>
      <c r="W1666">
        <v>-8.2280539999999999E-2</v>
      </c>
      <c r="X1666">
        <v>0.99473230000000001</v>
      </c>
      <c r="Y1666">
        <v>0.26370440000000001</v>
      </c>
      <c r="Z1666">
        <v>2.6700700000000001E-2</v>
      </c>
      <c r="AA1666">
        <v>0.96423389999999998</v>
      </c>
      <c r="AB1666">
        <v>24</v>
      </c>
      <c r="AC1666">
        <v>1.0295000000000101</v>
      </c>
      <c r="AD1666">
        <v>-1.10375202574799</v>
      </c>
      <c r="AE1666">
        <v>-24.265099999999901</v>
      </c>
      <c r="AF1666">
        <v>6.4376133195824696</v>
      </c>
      <c r="AG1666">
        <v>-1.10375202574799</v>
      </c>
      <c r="AH1666">
        <v>23.3662806995419</v>
      </c>
      <c r="AI1666">
        <v>92.607459829627402</v>
      </c>
      <c r="AJ1666">
        <v>74.596655818438606</v>
      </c>
      <c r="AK1666">
        <v>24.2619910047917</v>
      </c>
      <c r="AL1666">
        <v>94.719663261506597</v>
      </c>
      <c r="AM1666">
        <v>86.483043398712795</v>
      </c>
      <c r="AN1666">
        <v>1.0000000189314699</v>
      </c>
    </row>
    <row r="1667" spans="1:40" x14ac:dyDescent="0.25">
      <c r="A1667" t="str">
        <f>"20190305134932976"</f>
        <v>20190305134932976</v>
      </c>
      <c r="B1667" t="str">
        <f>"1551764972972073"</f>
        <v>1551764972972073</v>
      </c>
      <c r="C1667" t="s">
        <v>40</v>
      </c>
      <c r="D1667">
        <v>4.2375689999999997</v>
      </c>
      <c r="E1667">
        <v>0.57852760000000003</v>
      </c>
      <c r="F1667" t="s">
        <v>42</v>
      </c>
      <c r="G1667">
        <v>-194.3579</v>
      </c>
      <c r="H1667" s="1">
        <v>-3.0744409999999998E-6</v>
      </c>
      <c r="I1667">
        <v>304.05279999999999</v>
      </c>
      <c r="J1667">
        <v>-196.93639999999999</v>
      </c>
      <c r="K1667">
        <v>1.104158</v>
      </c>
      <c r="L1667">
        <v>357.08409999999998</v>
      </c>
      <c r="M1667">
        <v>0.30116310000000002</v>
      </c>
      <c r="N1667">
        <v>-1.421935E-2</v>
      </c>
      <c r="O1667">
        <v>-0.95346679999999995</v>
      </c>
      <c r="P1667">
        <v>0.24326780000000001</v>
      </c>
      <c r="Q1667">
        <v>-9.5444979999999999E-2</v>
      </c>
      <c r="R1667">
        <v>-0.9652522</v>
      </c>
      <c r="S1667">
        <v>0.15080260000000001</v>
      </c>
      <c r="T1667">
        <v>-6.3625219999999996E-2</v>
      </c>
      <c r="U1667">
        <v>-3.064819</v>
      </c>
      <c r="V1667">
        <v>5.7650149999999997E-2</v>
      </c>
      <c r="W1667">
        <v>-8.2093730000000004E-2</v>
      </c>
      <c r="X1667">
        <v>0.99495579999999995</v>
      </c>
      <c r="Y1667">
        <v>0.25390220000000002</v>
      </c>
      <c r="Z1667">
        <v>4.8509750000000004E-3</v>
      </c>
      <c r="AA1667">
        <v>0.96721769999999996</v>
      </c>
      <c r="AB1667">
        <v>24</v>
      </c>
      <c r="AC1667">
        <v>2.5784999999999898</v>
      </c>
      <c r="AD1667">
        <v>-1.104161074441</v>
      </c>
      <c r="AE1667">
        <v>-53.031299999999902</v>
      </c>
      <c r="AF1667">
        <v>13.508078420505701</v>
      </c>
      <c r="AG1667">
        <v>-1.104161074441</v>
      </c>
      <c r="AH1667">
        <v>51.323118542146702</v>
      </c>
      <c r="AI1667">
        <v>91.191887240065597</v>
      </c>
      <c r="AJ1667">
        <v>75.254354688681502</v>
      </c>
      <c r="AK1667">
        <v>53.0824815846441</v>
      </c>
      <c r="AL1667">
        <v>94.708923677308405</v>
      </c>
      <c r="AM1667">
        <v>86.683851509600004</v>
      </c>
      <c r="AN1667">
        <v>0.99999998212698704</v>
      </c>
    </row>
    <row r="1668" spans="1:40" x14ac:dyDescent="0.25">
      <c r="A1668" t="str">
        <f>"20190305134932988"</f>
        <v>20190305134932988</v>
      </c>
      <c r="B1668" t="str">
        <f>"1551764972981833"</f>
        <v>1551764972981833</v>
      </c>
      <c r="C1668" t="s">
        <v>40</v>
      </c>
      <c r="D1668">
        <v>4.2486319999999997</v>
      </c>
      <c r="E1668">
        <v>0.57831359999999998</v>
      </c>
      <c r="F1668" t="s">
        <v>42</v>
      </c>
      <c r="G1668">
        <v>-194.6755</v>
      </c>
      <c r="H1668" s="1">
        <v>-4.6716000000000003E-6</v>
      </c>
      <c r="I1668">
        <v>308.2774</v>
      </c>
      <c r="J1668">
        <v>-196.89850000000001</v>
      </c>
      <c r="K1668">
        <v>1.1045529999999999</v>
      </c>
      <c r="L1668">
        <v>356.94580000000002</v>
      </c>
      <c r="M1668">
        <v>0.29633989999999999</v>
      </c>
      <c r="N1668">
        <v>-1.4030050000000001E-2</v>
      </c>
      <c r="O1668">
        <v>-0.95497969999999999</v>
      </c>
      <c r="P1668">
        <v>0.2417425</v>
      </c>
      <c r="Q1668">
        <v>-9.5286599999999999E-2</v>
      </c>
      <c r="R1668">
        <v>-0.96565089999999998</v>
      </c>
      <c r="S1668">
        <v>0.14199829999999999</v>
      </c>
      <c r="T1668">
        <v>-6.9349049999999995E-2</v>
      </c>
      <c r="U1668">
        <v>-3.0653990000000002</v>
      </c>
      <c r="V1668">
        <v>5.4281219999999998E-2</v>
      </c>
      <c r="W1668">
        <v>-8.2020860000000001E-2</v>
      </c>
      <c r="X1668">
        <v>0.99515129999999996</v>
      </c>
      <c r="Y1668">
        <v>0.2517913</v>
      </c>
      <c r="Z1668">
        <v>6.7909769999999897E-3</v>
      </c>
      <c r="AA1668">
        <v>0.96775770000000005</v>
      </c>
      <c r="AB1668">
        <v>24</v>
      </c>
      <c r="AC1668">
        <v>2.2230000000000101</v>
      </c>
      <c r="AD1668">
        <v>-1.1045576716000001</v>
      </c>
      <c r="AE1668">
        <v>-48.668399999999998</v>
      </c>
      <c r="AF1668">
        <v>12.294357615606099</v>
      </c>
      <c r="AG1668">
        <v>-1.1045576716000001</v>
      </c>
      <c r="AH1668">
        <v>47.1165092421653</v>
      </c>
      <c r="AI1668">
        <v>91.299451560924993</v>
      </c>
      <c r="AJ1668">
        <v>75.375602975067395</v>
      </c>
      <c r="AK1668">
        <v>48.706639383120603</v>
      </c>
      <c r="AL1668">
        <v>94.704734363599798</v>
      </c>
      <c r="AM1668">
        <v>86.877855760887499</v>
      </c>
      <c r="AN1668">
        <v>0.99999999110575799</v>
      </c>
    </row>
    <row r="1669" spans="1:40" x14ac:dyDescent="0.25">
      <c r="A1669" t="str">
        <f>"20190305134933001"</f>
        <v>20190305134933001</v>
      </c>
      <c r="B1669" t="str">
        <f>"1551764972992569"</f>
        <v>1551764972992569</v>
      </c>
      <c r="C1669" t="s">
        <v>40</v>
      </c>
      <c r="D1669">
        <v>6.562735</v>
      </c>
      <c r="E1669">
        <v>0.57778019999999997</v>
      </c>
      <c r="F1669" t="s">
        <v>42</v>
      </c>
      <c r="G1669">
        <v>-194.59790000000001</v>
      </c>
      <c r="H1669" s="1">
        <v>-3.9194570000000002E-6</v>
      </c>
      <c r="I1669">
        <v>306.10770000000002</v>
      </c>
      <c r="J1669">
        <v>-196.86539999999999</v>
      </c>
      <c r="K1669">
        <v>1.1048800000000001</v>
      </c>
      <c r="L1669">
        <v>356.82350000000002</v>
      </c>
      <c r="M1669">
        <v>0.29255710000000001</v>
      </c>
      <c r="N1669">
        <v>-1.387029E-2</v>
      </c>
      <c r="O1669">
        <v>-0.95614759999999999</v>
      </c>
      <c r="P1669">
        <v>0.24112649999999999</v>
      </c>
      <c r="Q1669">
        <v>-9.5765900000000001E-2</v>
      </c>
      <c r="R1669">
        <v>-0.96575739999999999</v>
      </c>
      <c r="S1669">
        <v>0.1387177</v>
      </c>
      <c r="T1669">
        <v>-6.6601750000000001E-2</v>
      </c>
      <c r="U1669">
        <v>-3.0653990000000002</v>
      </c>
      <c r="V1669">
        <v>5.1025670000000002E-2</v>
      </c>
      <c r="W1669">
        <v>-8.2573820000000006E-2</v>
      </c>
      <c r="X1669">
        <v>0.99527779999999999</v>
      </c>
      <c r="Y1669">
        <v>0.24899540000000001</v>
      </c>
      <c r="Z1669">
        <v>6.1715240000000003E-3</v>
      </c>
      <c r="AA1669">
        <v>0.96848500000000004</v>
      </c>
      <c r="AB1669">
        <v>24</v>
      </c>
      <c r="AC1669">
        <v>2.2674999999999801</v>
      </c>
      <c r="AD1669">
        <v>-1.1048839194569999</v>
      </c>
      <c r="AE1669">
        <v>-50.715800000000002</v>
      </c>
      <c r="AF1669">
        <v>12.6644210005836</v>
      </c>
      <c r="AG1669">
        <v>-1.1048839194569999</v>
      </c>
      <c r="AH1669">
        <v>49.1366112313681</v>
      </c>
      <c r="AI1669">
        <v>91.247381815419701</v>
      </c>
      <c r="AJ1669">
        <v>75.547193490977506</v>
      </c>
      <c r="AK1669">
        <v>50.754456859059196</v>
      </c>
      <c r="AL1669">
        <v>94.736524543459197</v>
      </c>
      <c r="AM1669">
        <v>87.065142856685299</v>
      </c>
      <c r="AN1669">
        <v>0.99999997696058995</v>
      </c>
    </row>
    <row r="1670" spans="1:40" x14ac:dyDescent="0.25">
      <c r="A1670" t="str">
        <f>"20190305134933019"</f>
        <v>20190305134933019</v>
      </c>
      <c r="B1670" t="str">
        <f>"1551764973012089"</f>
        <v>1551764973012089</v>
      </c>
      <c r="C1670" t="s">
        <v>40</v>
      </c>
      <c r="D1670">
        <v>4.2824400000000002</v>
      </c>
      <c r="E1670">
        <v>0.57687469999999996</v>
      </c>
      <c r="F1670" t="s">
        <v>42</v>
      </c>
      <c r="G1670">
        <v>-194.75210000000001</v>
      </c>
      <c r="H1670" s="1">
        <v>-1.7536100000000001E-6</v>
      </c>
      <c r="I1670">
        <v>310.62650000000002</v>
      </c>
      <c r="J1670">
        <v>-196.81440000000001</v>
      </c>
      <c r="K1670">
        <v>1.1053729999999999</v>
      </c>
      <c r="L1670">
        <v>356.63369999999998</v>
      </c>
      <c r="M1670">
        <v>0.28709309999999899</v>
      </c>
      <c r="N1670">
        <v>-1.3634179999999999E-2</v>
      </c>
      <c r="O1670">
        <v>-0.95780580000000004</v>
      </c>
      <c r="P1670">
        <v>0.24171200000000001</v>
      </c>
      <c r="Q1670">
        <v>-9.7900260000000003E-2</v>
      </c>
      <c r="R1670">
        <v>-0.96539660000000005</v>
      </c>
      <c r="S1670">
        <v>0.14016719999999999</v>
      </c>
      <c r="T1670">
        <v>-7.3283669999999995E-2</v>
      </c>
      <c r="U1670">
        <v>-3.064117</v>
      </c>
      <c r="V1670">
        <v>4.4762290000000003E-2</v>
      </c>
      <c r="W1670">
        <v>-8.4811159999999997E-2</v>
      </c>
      <c r="X1670">
        <v>0.99539109999999997</v>
      </c>
      <c r="Y1670">
        <v>0.24298439999999999</v>
      </c>
      <c r="Z1670">
        <v>8.4921919999999904E-3</v>
      </c>
      <c r="AA1670">
        <v>0.96999310000000005</v>
      </c>
      <c r="AB1670">
        <v>24</v>
      </c>
      <c r="AC1670">
        <v>2.0622999999999898</v>
      </c>
      <c r="AD1670">
        <v>-1.10537475361</v>
      </c>
      <c r="AE1670">
        <v>-46.007199999999898</v>
      </c>
      <c r="AF1670">
        <v>11.2276411388686</v>
      </c>
      <c r="AG1670">
        <v>-1.10537475361</v>
      </c>
      <c r="AH1670">
        <v>44.636465036925202</v>
      </c>
      <c r="AI1670">
        <v>91.375742446919702</v>
      </c>
      <c r="AJ1670">
        <v>75.881001381579907</v>
      </c>
      <c r="AK1670">
        <v>46.0401541035842</v>
      </c>
      <c r="AL1670">
        <v>94.865165831693204</v>
      </c>
      <c r="AM1670">
        <v>87.4251692936746</v>
      </c>
      <c r="AN1670">
        <v>1.0000000187128899</v>
      </c>
    </row>
    <row r="1671" spans="1:40" x14ac:dyDescent="0.25">
      <c r="A1671" t="str">
        <f>"20190305134933033"</f>
        <v>20190305134933033</v>
      </c>
      <c r="B1671" t="str">
        <f>"1551764973021848"</f>
        <v>1551764973021848</v>
      </c>
      <c r="C1671" t="s">
        <v>40</v>
      </c>
      <c r="D1671">
        <v>4.2407570000000003</v>
      </c>
      <c r="E1671">
        <v>0.57663240000000004</v>
      </c>
      <c r="F1671" t="s">
        <v>42</v>
      </c>
      <c r="G1671">
        <v>-194.9194</v>
      </c>
      <c r="H1671" s="1">
        <v>-4.79815E-6</v>
      </c>
      <c r="I1671">
        <v>317.50839999999999</v>
      </c>
      <c r="J1671">
        <v>-196.77799999999999</v>
      </c>
      <c r="K1671">
        <v>1.105721</v>
      </c>
      <c r="L1671">
        <v>356.4975</v>
      </c>
      <c r="M1671">
        <v>0.28351659999999901</v>
      </c>
      <c r="N1671">
        <v>-1.347486E-2</v>
      </c>
      <c r="O1671">
        <v>-0.95887259999999996</v>
      </c>
      <c r="P1671">
        <v>0.24090880000000001</v>
      </c>
      <c r="Q1671">
        <v>-9.866047E-2</v>
      </c>
      <c r="R1671">
        <v>-0.9655203</v>
      </c>
      <c r="S1671">
        <v>0.1482849</v>
      </c>
      <c r="T1671">
        <v>-8.6497550000000006E-2</v>
      </c>
      <c r="U1671">
        <v>-3.0616150000000002</v>
      </c>
      <c r="V1671">
        <v>4.1921239999999999E-2</v>
      </c>
      <c r="W1671">
        <v>-8.5662340000000003E-2</v>
      </c>
      <c r="X1671">
        <v>0.99544189999999999</v>
      </c>
      <c r="Y1671">
        <v>0.23675379999999999</v>
      </c>
      <c r="Z1671">
        <v>1.271213E-2</v>
      </c>
      <c r="AA1671">
        <v>0.97148650000000003</v>
      </c>
      <c r="AB1671">
        <v>24</v>
      </c>
      <c r="AC1671">
        <v>1.85859999999999</v>
      </c>
      <c r="AD1671">
        <v>-1.1057257981499999</v>
      </c>
      <c r="AE1671">
        <v>-38.989100000000001</v>
      </c>
      <c r="AF1671">
        <v>9.2653037793699795</v>
      </c>
      <c r="AG1671">
        <v>-1.1057257981499999</v>
      </c>
      <c r="AH1671">
        <v>37.885566377549402</v>
      </c>
      <c r="AI1671">
        <v>91.623925225301306</v>
      </c>
      <c r="AJ1671">
        <v>76.257470531455198</v>
      </c>
      <c r="AK1671">
        <v>39.017747544065202</v>
      </c>
      <c r="AL1671">
        <v>94.914113070464595</v>
      </c>
      <c r="AM1671">
        <v>87.588516530418602</v>
      </c>
      <c r="AN1671">
        <v>1.00000000156651</v>
      </c>
    </row>
    <row r="1672" spans="1:40" x14ac:dyDescent="0.25">
      <c r="A1672" t="str">
        <f>"20190305134933047"</f>
        <v>20190305134933047</v>
      </c>
      <c r="B1672" t="str">
        <f>"1551764973042346"</f>
        <v>1551764973042346</v>
      </c>
      <c r="C1672" t="s">
        <v>40</v>
      </c>
      <c r="D1672">
        <v>4.3094789999999996</v>
      </c>
      <c r="E1672">
        <v>0.5760345</v>
      </c>
      <c r="F1672" t="s">
        <v>42</v>
      </c>
      <c r="G1672">
        <v>-194.97120000000001</v>
      </c>
      <c r="H1672" s="1">
        <v>-5.3608319999999996E-6</v>
      </c>
      <c r="I1672">
        <v>318.94979999999998</v>
      </c>
      <c r="J1672">
        <v>-196.73779999999999</v>
      </c>
      <c r="K1672">
        <v>1.106082</v>
      </c>
      <c r="L1672">
        <v>356.34570000000002</v>
      </c>
      <c r="M1672">
        <v>0.27990379999999998</v>
      </c>
      <c r="N1672">
        <v>-1.3309690000000001E-2</v>
      </c>
      <c r="O1672">
        <v>-0.95993600000000001</v>
      </c>
      <c r="P1672">
        <v>0.23973269999999999</v>
      </c>
      <c r="Q1672">
        <v>-9.9244139999999995E-2</v>
      </c>
      <c r="R1672">
        <v>-0.96575319999999998</v>
      </c>
      <c r="S1672">
        <v>0.147308299999999</v>
      </c>
      <c r="T1672">
        <v>-9.0147500000000005E-2</v>
      </c>
      <c r="U1672">
        <v>-3.061188</v>
      </c>
      <c r="V1672">
        <v>3.9441869999999997E-2</v>
      </c>
      <c r="W1672">
        <v>-8.634944E-2</v>
      </c>
      <c r="X1672">
        <v>0.99548389999999998</v>
      </c>
      <c r="Y1672">
        <v>0.23339679999999999</v>
      </c>
      <c r="Z1672">
        <v>1.4037259999999999E-2</v>
      </c>
      <c r="AA1672">
        <v>0.97228029999999999</v>
      </c>
      <c r="AB1672">
        <v>24</v>
      </c>
      <c r="AC1672">
        <v>1.76659999999998</v>
      </c>
      <c r="AD1672">
        <v>-1.1060873608319901</v>
      </c>
      <c r="AE1672">
        <v>-37.395899999999997</v>
      </c>
      <c r="AF1672">
        <v>8.7645562544300208</v>
      </c>
      <c r="AG1672">
        <v>-1.1060873608319901</v>
      </c>
      <c r="AH1672">
        <v>36.363623411178999</v>
      </c>
      <c r="AI1672">
        <v>91.693777674872393</v>
      </c>
      <c r="AJ1672">
        <v>76.448729253364505</v>
      </c>
      <c r="AK1672">
        <v>37.421303867942797</v>
      </c>
      <c r="AL1672">
        <v>94.953627220665993</v>
      </c>
      <c r="AM1672">
        <v>87.731082051549507</v>
      </c>
      <c r="AN1672">
        <v>1.0000000410283001</v>
      </c>
    </row>
    <row r="1673" spans="1:40" x14ac:dyDescent="0.25">
      <c r="A1673" t="str">
        <f>"20190305134933064"</f>
        <v>20190305134933064</v>
      </c>
      <c r="B1673" t="str">
        <f>"1551764973052104"</f>
        <v>1551764973052104</v>
      </c>
      <c r="C1673" t="s">
        <v>40</v>
      </c>
      <c r="D1673">
        <v>4.2717029999999996</v>
      </c>
      <c r="E1673">
        <v>0.57572990000000002</v>
      </c>
      <c r="F1673" t="s">
        <v>42</v>
      </c>
      <c r="G1673">
        <v>-195.07130000000001</v>
      </c>
      <c r="H1673" s="1">
        <v>-2.2833350000000001E-6</v>
      </c>
      <c r="I1673">
        <v>321.7663</v>
      </c>
      <c r="J1673">
        <v>-196.6925</v>
      </c>
      <c r="K1673">
        <v>1.106454</v>
      </c>
      <c r="L1673">
        <v>356.17360000000002</v>
      </c>
      <c r="M1673">
        <v>0.27622089999999999</v>
      </c>
      <c r="N1673">
        <v>-1.3138800000000001E-2</v>
      </c>
      <c r="O1673">
        <v>-0.96100459999999999</v>
      </c>
      <c r="P1673">
        <v>0.2398748</v>
      </c>
      <c r="Q1673">
        <v>-9.9818480000000001E-2</v>
      </c>
      <c r="R1673">
        <v>-0.96565880000000004</v>
      </c>
      <c r="S1673">
        <v>0.14746090000000001</v>
      </c>
      <c r="T1673">
        <v>-9.7871659999999999E-2</v>
      </c>
      <c r="U1673">
        <v>-3.0597530000000002</v>
      </c>
      <c r="V1673">
        <v>3.5540179999999998E-2</v>
      </c>
      <c r="W1673">
        <v>-8.7025019999999995E-2</v>
      </c>
      <c r="X1673">
        <v>0.99557200000000001</v>
      </c>
      <c r="Y1673">
        <v>0.22959579999999999</v>
      </c>
      <c r="Z1673">
        <v>1.661874E-2</v>
      </c>
      <c r="AA1673">
        <v>0.97314420000000001</v>
      </c>
      <c r="AB1673">
        <v>24</v>
      </c>
      <c r="AC1673">
        <v>1.62119999999998</v>
      </c>
      <c r="AD1673">
        <v>-1.106456283335</v>
      </c>
      <c r="AE1673">
        <v>-34.407299999999999</v>
      </c>
      <c r="AF1673">
        <v>7.9385277134574901</v>
      </c>
      <c r="AG1673">
        <v>-1.106456283335</v>
      </c>
      <c r="AH1673">
        <v>33.481721190186498</v>
      </c>
      <c r="AI1673">
        <v>91.841717497975395</v>
      </c>
      <c r="AJ1673">
        <v>76.661459280807406</v>
      </c>
      <c r="AK1673">
        <v>34.427752201118899</v>
      </c>
      <c r="AL1673">
        <v>94.992481406972999</v>
      </c>
      <c r="AM1673">
        <v>87.955509013578194</v>
      </c>
      <c r="AN1673">
        <v>1.0000000328422101</v>
      </c>
    </row>
    <row r="1674" spans="1:40" x14ac:dyDescent="0.25">
      <c r="A1674" t="str">
        <f>"20190305134933079"</f>
        <v>20190305134933079</v>
      </c>
      <c r="B1674" t="str">
        <f>"1551764973072601"</f>
        <v>1551764973072601</v>
      </c>
      <c r="C1674" t="s">
        <v>40</v>
      </c>
      <c r="D1674">
        <v>4.2693120000000002</v>
      </c>
      <c r="E1674">
        <v>0.57538990000000001</v>
      </c>
      <c r="F1674" t="s">
        <v>42</v>
      </c>
      <c r="G1674">
        <v>-195.10239999999999</v>
      </c>
      <c r="H1674" s="1">
        <v>-3.0993729999999998E-6</v>
      </c>
      <c r="I1674">
        <v>323.64920000000001</v>
      </c>
      <c r="J1674">
        <v>-196.65119999999999</v>
      </c>
      <c r="K1674">
        <v>1.1067750000000001</v>
      </c>
      <c r="L1674">
        <v>356.01600000000002</v>
      </c>
      <c r="M1674">
        <v>0.27317380000000002</v>
      </c>
      <c r="N1674">
        <v>-1.29947999999999E-2</v>
      </c>
      <c r="O1674">
        <v>-0.96187710000000004</v>
      </c>
      <c r="P1674">
        <v>0.23864920000000001</v>
      </c>
      <c r="Q1674">
        <v>-0.1000916</v>
      </c>
      <c r="R1674">
        <v>-0.96593419999999997</v>
      </c>
      <c r="S1674">
        <v>0.14953610000000001</v>
      </c>
      <c r="T1674">
        <v>-0.10405830000000001</v>
      </c>
      <c r="U1674">
        <v>-3.0588069999999998</v>
      </c>
      <c r="V1674">
        <v>3.3707819999999999E-2</v>
      </c>
      <c r="W1674">
        <v>-8.7399740000000004E-2</v>
      </c>
      <c r="X1674">
        <v>0.99560280000000001</v>
      </c>
      <c r="Y1674">
        <v>0.2258366</v>
      </c>
      <c r="Z1674">
        <v>1.8704209999999999E-2</v>
      </c>
      <c r="AA1674">
        <v>0.97398560000000001</v>
      </c>
      <c r="AB1674">
        <v>24</v>
      </c>
      <c r="AC1674">
        <v>1.5488</v>
      </c>
      <c r="AD1674">
        <v>-1.1067780993729901</v>
      </c>
      <c r="AE1674">
        <v>-32.366799999999898</v>
      </c>
      <c r="AF1674">
        <v>7.3440583507633201</v>
      </c>
      <c r="AG1674">
        <v>-1.1067780993729901</v>
      </c>
      <c r="AH1674">
        <v>31.521860598776101</v>
      </c>
      <c r="AI1674">
        <v>91.958501656973397</v>
      </c>
      <c r="AJ1674">
        <v>76.885014162739196</v>
      </c>
      <c r="AK1674">
        <v>32.384994155153699</v>
      </c>
      <c r="AL1674">
        <v>95.014033898814603</v>
      </c>
      <c r="AM1674">
        <v>88.060894977874696</v>
      </c>
      <c r="AN1674">
        <v>0.99999993352452698</v>
      </c>
    </row>
    <row r="1675" spans="1:40" x14ac:dyDescent="0.25">
      <c r="A1675" t="str">
        <f>"20190305134933097"</f>
        <v>20190305134933097</v>
      </c>
      <c r="B1675" t="str">
        <f>"1551764973092121"</f>
        <v>1551764973092121</v>
      </c>
      <c r="C1675" t="s">
        <v>40</v>
      </c>
      <c r="D1675">
        <v>4.2973939999999997</v>
      </c>
      <c r="E1675">
        <v>0.57493339999999904</v>
      </c>
      <c r="F1675" t="s">
        <v>42</v>
      </c>
      <c r="G1675">
        <v>-195.096</v>
      </c>
      <c r="H1675" s="1">
        <v>-3.197518E-6</v>
      </c>
      <c r="I1675">
        <v>323.88189999999997</v>
      </c>
      <c r="J1675">
        <v>-196.60380000000001</v>
      </c>
      <c r="K1675">
        <v>1.107113</v>
      </c>
      <c r="L1675">
        <v>355.83420000000001</v>
      </c>
      <c r="M1675">
        <v>0.27001639999999999</v>
      </c>
      <c r="N1675">
        <v>-1.2841999999999999E-2</v>
      </c>
      <c r="O1675">
        <v>-0.96277020000000002</v>
      </c>
      <c r="P1675">
        <v>0.23907510000000001</v>
      </c>
      <c r="Q1675">
        <v>-0.1024427</v>
      </c>
      <c r="R1675">
        <v>-0.96558200000000005</v>
      </c>
      <c r="S1675">
        <v>0.14801029999999901</v>
      </c>
      <c r="T1675">
        <v>-0.1053361</v>
      </c>
      <c r="U1675">
        <v>-3.058319</v>
      </c>
      <c r="V1675">
        <v>2.999721E-2</v>
      </c>
      <c r="W1675">
        <v>-8.9852680000000004E-2</v>
      </c>
      <c r="X1675">
        <v>0.99550320000000003</v>
      </c>
      <c r="Y1675">
        <v>0.22311810000000001</v>
      </c>
      <c r="Z1675">
        <v>1.9303910000000001E-2</v>
      </c>
      <c r="AA1675">
        <v>0.97460029999999997</v>
      </c>
      <c r="AB1675">
        <v>24</v>
      </c>
      <c r="AC1675">
        <v>1.50780000000003</v>
      </c>
      <c r="AD1675">
        <v>-1.1071161975179999</v>
      </c>
      <c r="AE1675">
        <v>-31.952300000000001</v>
      </c>
      <c r="AF1675">
        <v>7.16798463252732</v>
      </c>
      <c r="AG1675">
        <v>-1.1071161975179999</v>
      </c>
      <c r="AH1675">
        <v>31.135123536599501</v>
      </c>
      <c r="AI1675">
        <v>91.984617841125399</v>
      </c>
      <c r="AJ1675">
        <v>77.035165571474806</v>
      </c>
      <c r="AK1675">
        <v>31.9687601825011</v>
      </c>
      <c r="AL1675">
        <v>95.155132047590499</v>
      </c>
      <c r="AM1675">
        <v>88.274045098609406</v>
      </c>
      <c r="AN1675">
        <v>0.999999978960603</v>
      </c>
    </row>
    <row r="1676" spans="1:40" x14ac:dyDescent="0.25">
      <c r="A1676" t="str">
        <f>"20190305134933110"</f>
        <v>20190305134933110</v>
      </c>
      <c r="B1676" t="str">
        <f>"1551764973101883"</f>
        <v>1551764973101883</v>
      </c>
      <c r="C1676" t="s">
        <v>40</v>
      </c>
      <c r="D1676">
        <v>5.3701309999999998</v>
      </c>
      <c r="E1676">
        <v>0.57472369999999995</v>
      </c>
      <c r="F1676" t="s">
        <v>42</v>
      </c>
      <c r="G1676">
        <v>-195.1516</v>
      </c>
      <c r="H1676" s="1">
        <v>-4.2245470000000002E-6</v>
      </c>
      <c r="I1676">
        <v>326.71559999999999</v>
      </c>
      <c r="J1676">
        <v>-196.56729999999999</v>
      </c>
      <c r="K1676">
        <v>1.1073580000000001</v>
      </c>
      <c r="L1676">
        <v>355.69409999999999</v>
      </c>
      <c r="M1676">
        <v>0.26780009999999999</v>
      </c>
      <c r="N1676">
        <v>-1.27327E-2</v>
      </c>
      <c r="O1676">
        <v>-0.96339059999999999</v>
      </c>
      <c r="P1676">
        <v>0.23900930000000001</v>
      </c>
      <c r="Q1676">
        <v>-0.103878399999999</v>
      </c>
      <c r="R1676">
        <v>-0.96544509999999994</v>
      </c>
      <c r="S1676">
        <v>0.15245059999999999</v>
      </c>
      <c r="T1676">
        <v>-0.1162233</v>
      </c>
      <c r="U1676">
        <v>-3.0568240000000002</v>
      </c>
      <c r="V1676">
        <v>2.7780800000000001E-2</v>
      </c>
      <c r="W1676">
        <v>-9.1367370000000003E-2</v>
      </c>
      <c r="X1676">
        <v>0.99542969999999997</v>
      </c>
      <c r="Y1676">
        <v>0.21943779999999999</v>
      </c>
      <c r="Z1676">
        <v>2.2791519999999999E-2</v>
      </c>
      <c r="AA1676">
        <v>0.97536020000000001</v>
      </c>
      <c r="AB1676">
        <v>24</v>
      </c>
      <c r="AC1676">
        <v>1.41569999999998</v>
      </c>
      <c r="AD1676">
        <v>-1.1073622245469901</v>
      </c>
      <c r="AE1676">
        <v>-28.9785</v>
      </c>
      <c r="AF1676">
        <v>6.3877846558855396</v>
      </c>
      <c r="AG1676">
        <v>-1.1073622245469901</v>
      </c>
      <c r="AH1676">
        <v>28.2578612506471</v>
      </c>
      <c r="AI1676">
        <v>92.188969114305195</v>
      </c>
      <c r="AJ1676">
        <v>77.262184215459797</v>
      </c>
      <c r="AK1676">
        <v>28.992012113117301</v>
      </c>
      <c r="AL1676">
        <v>95.242275612787594</v>
      </c>
      <c r="AM1676">
        <v>88.401384313710594</v>
      </c>
      <c r="AN1676">
        <v>1.00000002839572</v>
      </c>
    </row>
    <row r="1677" spans="1:40" x14ac:dyDescent="0.25">
      <c r="A1677" t="str">
        <f>"20190305134933123"</f>
        <v>20190305134933123</v>
      </c>
      <c r="B1677" t="str">
        <f>"1551764973112617"</f>
        <v>1551764973112617</v>
      </c>
      <c r="C1677" t="s">
        <v>40</v>
      </c>
      <c r="D1677">
        <v>6.7635579999999997</v>
      </c>
      <c r="E1677">
        <v>0.57452519999999996</v>
      </c>
      <c r="F1677" t="s">
        <v>42</v>
      </c>
      <c r="G1677">
        <v>-195.14410000000001</v>
      </c>
      <c r="H1677" s="1">
        <v>-4.4747709999999997E-6</v>
      </c>
      <c r="I1677">
        <v>327.4547</v>
      </c>
      <c r="J1677">
        <v>-196.53360000000001</v>
      </c>
      <c r="K1677">
        <v>1.107564</v>
      </c>
      <c r="L1677">
        <v>355.56369999999998</v>
      </c>
      <c r="M1677">
        <v>0.26598620000000001</v>
      </c>
      <c r="N1677">
        <v>-1.26435E-2</v>
      </c>
      <c r="O1677">
        <v>-0.96389389999999997</v>
      </c>
      <c r="P1677">
        <v>0.23923230000000001</v>
      </c>
      <c r="Q1677">
        <v>-0.1054785</v>
      </c>
      <c r="R1677">
        <v>-0.96521639999999997</v>
      </c>
      <c r="S1677">
        <v>0.15403749999999999</v>
      </c>
      <c r="T1677">
        <v>-0.1198509</v>
      </c>
      <c r="U1677">
        <v>-3.0563660000000001</v>
      </c>
      <c r="V1677">
        <v>2.567057E-2</v>
      </c>
      <c r="W1677">
        <v>-9.3032760000000006E-2</v>
      </c>
      <c r="X1677">
        <v>0.99533210000000005</v>
      </c>
      <c r="Y1677">
        <v>0.21708930000000001</v>
      </c>
      <c r="Z1677">
        <v>2.402986E-2</v>
      </c>
      <c r="AA1677">
        <v>0.9758559</v>
      </c>
      <c r="AB1677">
        <v>24</v>
      </c>
      <c r="AC1677">
        <v>1.38949999999999</v>
      </c>
      <c r="AD1677">
        <v>-1.107568474771</v>
      </c>
      <c r="AE1677">
        <v>-28.108999999999899</v>
      </c>
      <c r="AF1677">
        <v>6.12827486294072</v>
      </c>
      <c r="AG1677">
        <v>-1.107568474771</v>
      </c>
      <c r="AH1677">
        <v>27.423404430625599</v>
      </c>
      <c r="AI1677">
        <v>92.257174877401297</v>
      </c>
      <c r="AJ1677">
        <v>77.403148582523201</v>
      </c>
      <c r="AK1677">
        <v>28.1216210643646</v>
      </c>
      <c r="AL1677">
        <v>95.338103605230998</v>
      </c>
      <c r="AM1677">
        <v>88.522614378710102</v>
      </c>
      <c r="AN1677">
        <v>1.0000000309438699</v>
      </c>
    </row>
    <row r="1678" spans="1:40" x14ac:dyDescent="0.25">
      <c r="A1678" t="str">
        <f>"20190305134933142"</f>
        <v>20190305134933142</v>
      </c>
      <c r="B1678" t="str">
        <f>"1551764973132140"</f>
        <v>1551764973132140</v>
      </c>
      <c r="C1678" t="s">
        <v>40</v>
      </c>
      <c r="D1678">
        <v>4.285215</v>
      </c>
      <c r="E1678">
        <v>0.57398229999999995</v>
      </c>
      <c r="F1678" t="s">
        <v>42</v>
      </c>
      <c r="G1678">
        <v>-195.1327</v>
      </c>
      <c r="H1678" s="1">
        <v>-4.736145E-6</v>
      </c>
      <c r="I1678">
        <v>328.22879999999998</v>
      </c>
      <c r="J1678">
        <v>-196.4836</v>
      </c>
      <c r="K1678">
        <v>1.1078509999999999</v>
      </c>
      <c r="L1678">
        <v>355.37049999999999</v>
      </c>
      <c r="M1678">
        <v>0.26352029999999999</v>
      </c>
      <c r="N1678">
        <v>-1.252462E-2</v>
      </c>
      <c r="O1678">
        <v>-0.96457250000000005</v>
      </c>
      <c r="P1678">
        <v>0.24095510000000001</v>
      </c>
      <c r="Q1678">
        <v>-0.10738300000000001</v>
      </c>
      <c r="R1678">
        <v>-0.96457740000000003</v>
      </c>
      <c r="S1678">
        <v>0.15660099999999999</v>
      </c>
      <c r="T1678">
        <v>-0.1238134</v>
      </c>
      <c r="U1678">
        <v>-3.0557249999999998</v>
      </c>
      <c r="V1678">
        <v>2.1352050000000001E-2</v>
      </c>
      <c r="W1678">
        <v>-9.5019960000000001E-2</v>
      </c>
      <c r="X1678">
        <v>0.99524639999999998</v>
      </c>
      <c r="Y1678">
        <v>0.2137665</v>
      </c>
      <c r="Z1678">
        <v>2.5419509999999999E-2</v>
      </c>
      <c r="AA1678">
        <v>0.97655400000000003</v>
      </c>
      <c r="AB1678">
        <v>24</v>
      </c>
      <c r="AC1678">
        <v>1.35089999999999</v>
      </c>
      <c r="AD1678">
        <v>-1.1078557361450001</v>
      </c>
      <c r="AE1678">
        <v>-27.1417</v>
      </c>
      <c r="AF1678">
        <v>5.8401010470929302</v>
      </c>
      <c r="AG1678">
        <v>-1.1078557361450001</v>
      </c>
      <c r="AH1678">
        <v>26.4941775984103</v>
      </c>
      <c r="AI1678">
        <v>92.338360626596895</v>
      </c>
      <c r="AJ1678">
        <v>77.569105497117306</v>
      </c>
      <c r="AK1678">
        <v>27.1528188442466</v>
      </c>
      <c r="AL1678">
        <v>95.452468360853501</v>
      </c>
      <c r="AM1678">
        <v>88.770962946360399</v>
      </c>
      <c r="AN1678">
        <v>1.0000000497752799</v>
      </c>
    </row>
    <row r="1679" spans="1:40" x14ac:dyDescent="0.25">
      <c r="A1679" t="str">
        <f>"20190305134933156"</f>
        <v>20190305134933156</v>
      </c>
      <c r="B1679" t="str">
        <f>"1551764973152634"</f>
        <v>1551764973152634</v>
      </c>
      <c r="C1679" t="s">
        <v>40</v>
      </c>
      <c r="D1679">
        <v>4.2703160000000002</v>
      </c>
      <c r="E1679">
        <v>0.57350140000000005</v>
      </c>
      <c r="F1679" t="s">
        <v>42</v>
      </c>
      <c r="G1679">
        <v>-195.04750000000001</v>
      </c>
      <c r="H1679" s="1">
        <v>-4.9909879999999998E-6</v>
      </c>
      <c r="I1679">
        <v>329.02199999999999</v>
      </c>
      <c r="J1679">
        <v>-196.44749999999999</v>
      </c>
      <c r="K1679">
        <v>1.1080429999999999</v>
      </c>
      <c r="L1679">
        <v>355.2303</v>
      </c>
      <c r="M1679">
        <v>0.26190550000000001</v>
      </c>
      <c r="N1679">
        <v>-1.2447929999999999E-2</v>
      </c>
      <c r="O1679">
        <v>-0.96501340000000002</v>
      </c>
      <c r="P1679">
        <v>0.2413566</v>
      </c>
      <c r="Q1679">
        <v>-0.107808399999999</v>
      </c>
      <c r="R1679">
        <v>-0.96442989999999995</v>
      </c>
      <c r="S1679">
        <v>0.16647339999999999</v>
      </c>
      <c r="T1679">
        <v>-0.12842139999999999</v>
      </c>
      <c r="U1679">
        <v>-3.0542910000000001</v>
      </c>
      <c r="V1679">
        <v>1.9301929999999998E-2</v>
      </c>
      <c r="W1679">
        <v>-9.550401E-2</v>
      </c>
      <c r="X1679">
        <v>0.99524190000000001</v>
      </c>
      <c r="Y1679">
        <v>0.2089598</v>
      </c>
      <c r="Z1679">
        <v>2.6972240000000001E-2</v>
      </c>
      <c r="AA1679">
        <v>0.97755219999999998</v>
      </c>
      <c r="AB1679">
        <v>24</v>
      </c>
      <c r="AC1679">
        <v>1.3999999999999699</v>
      </c>
      <c r="AD1679">
        <v>-1.1080479909880001</v>
      </c>
      <c r="AE1679">
        <v>-26.208300000000001</v>
      </c>
      <c r="AF1679">
        <v>5.5036957809914098</v>
      </c>
      <c r="AG1679">
        <v>-1.1080479909880001</v>
      </c>
      <c r="AH1679">
        <v>25.614357896638101</v>
      </c>
      <c r="AI1679">
        <v>92.421799852277601</v>
      </c>
      <c r="AJ1679">
        <v>77.873370447438106</v>
      </c>
      <c r="AK1679">
        <v>26.222390586235701</v>
      </c>
      <c r="AL1679">
        <v>95.48032930462</v>
      </c>
      <c r="AM1679">
        <v>88.888932933481101</v>
      </c>
      <c r="AN1679">
        <v>1.0000000099716999</v>
      </c>
    </row>
    <row r="1680" spans="1:40" x14ac:dyDescent="0.25">
      <c r="A1680" t="str">
        <f>"20190305134933175"</f>
        <v>20190305134933175</v>
      </c>
      <c r="B1680" t="str">
        <f>"1551764973172153"</f>
        <v>1551764973172153</v>
      </c>
      <c r="C1680" t="s">
        <v>40</v>
      </c>
      <c r="D1680">
        <v>4.1718719999999996</v>
      </c>
      <c r="E1680">
        <v>0.57309370000000004</v>
      </c>
      <c r="F1680" t="s">
        <v>42</v>
      </c>
      <c r="G1680">
        <v>-194.9974</v>
      </c>
      <c r="H1680" s="1">
        <v>-5.119851E-6</v>
      </c>
      <c r="I1680">
        <v>329.42680000000001</v>
      </c>
      <c r="J1680">
        <v>-196.39760000000001</v>
      </c>
      <c r="K1680">
        <v>1.1082970000000001</v>
      </c>
      <c r="L1680">
        <v>355.03660000000002</v>
      </c>
      <c r="M1680">
        <v>0.25989699999999999</v>
      </c>
      <c r="N1680">
        <v>-1.23532E-2</v>
      </c>
      <c r="O1680">
        <v>-0.96555749999999996</v>
      </c>
      <c r="P1680">
        <v>0.24376970000000001</v>
      </c>
      <c r="Q1680">
        <v>-0.1073066</v>
      </c>
      <c r="R1680">
        <v>-0.96387849999999997</v>
      </c>
      <c r="S1680">
        <v>0.17156979999999999</v>
      </c>
      <c r="T1680">
        <v>-0.13110169999999999</v>
      </c>
      <c r="U1680">
        <v>-3.0530089999999999</v>
      </c>
      <c r="V1680">
        <v>1.481261E-2</v>
      </c>
      <c r="W1680">
        <v>-9.5068979999999997E-2</v>
      </c>
      <c r="X1680">
        <v>0.99536049999999998</v>
      </c>
      <c r="Y1680">
        <v>0.2052764</v>
      </c>
      <c r="Z1680">
        <v>2.795452E-2</v>
      </c>
      <c r="AA1680">
        <v>0.97830470000000003</v>
      </c>
      <c r="AB1680">
        <v>24</v>
      </c>
      <c r="AC1680">
        <v>1.4002000000000101</v>
      </c>
      <c r="AD1680">
        <v>-1.1083021198509999</v>
      </c>
      <c r="AE1680">
        <v>-25.6098</v>
      </c>
      <c r="AF1680">
        <v>5.2944542355747304</v>
      </c>
      <c r="AG1680">
        <v>-1.1083021198509999</v>
      </c>
      <c r="AH1680">
        <v>25.046783567119899</v>
      </c>
      <c r="AI1680">
        <v>92.478937322849205</v>
      </c>
      <c r="AJ1680">
        <v>78.064370784467798</v>
      </c>
      <c r="AK1680">
        <v>25.624225769759502</v>
      </c>
      <c r="AL1680">
        <v>95.455289909665694</v>
      </c>
      <c r="AM1680">
        <v>89.147407001946107</v>
      </c>
      <c r="AN1680">
        <v>1.00000002466675</v>
      </c>
    </row>
    <row r="1681" spans="1:40" x14ac:dyDescent="0.25">
      <c r="A1681" t="str">
        <f>"20190305134933187"</f>
        <v>20190305134933187</v>
      </c>
      <c r="B1681" t="str">
        <f>"1551764973181914"</f>
        <v>1551764973181914</v>
      </c>
      <c r="C1681" t="s">
        <v>40</v>
      </c>
      <c r="D1681">
        <v>4.2622809999999998</v>
      </c>
      <c r="E1681">
        <v>0.57289460000000003</v>
      </c>
      <c r="F1681" t="s">
        <v>42</v>
      </c>
      <c r="G1681">
        <v>-194.81880000000001</v>
      </c>
      <c r="H1681" s="1">
        <v>-4.8157889999999996E-6</v>
      </c>
      <c r="I1681">
        <v>328.62639999999999</v>
      </c>
      <c r="J1681">
        <v>-196.36089999999999</v>
      </c>
      <c r="K1681">
        <v>1.1084510000000001</v>
      </c>
      <c r="L1681">
        <v>354.89370000000002</v>
      </c>
      <c r="M1681">
        <v>0.25854579999999999</v>
      </c>
      <c r="N1681">
        <v>-1.228974E-2</v>
      </c>
      <c r="O1681">
        <v>-0.96592109999999998</v>
      </c>
      <c r="P1681">
        <v>0.2446381</v>
      </c>
      <c r="Q1681">
        <v>-0.106032</v>
      </c>
      <c r="R1681">
        <v>-0.96379999999999999</v>
      </c>
      <c r="S1681">
        <v>0.18244930000000001</v>
      </c>
      <c r="T1681">
        <v>-0.12807950000000001</v>
      </c>
      <c r="U1681">
        <v>-3.052063</v>
      </c>
      <c r="V1681">
        <v>1.2598460000000001E-2</v>
      </c>
      <c r="W1681">
        <v>-9.3843599999999999E-2</v>
      </c>
      <c r="X1681">
        <v>0.99550720000000004</v>
      </c>
      <c r="Y1681">
        <v>0.20041410000000001</v>
      </c>
      <c r="Z1681">
        <v>2.7149240000000002E-2</v>
      </c>
      <c r="AA1681">
        <v>0.97933499999999996</v>
      </c>
      <c r="AB1681">
        <v>24</v>
      </c>
      <c r="AC1681">
        <v>1.5420999999999701</v>
      </c>
      <c r="AD1681">
        <v>-1.1084558157889901</v>
      </c>
      <c r="AE1681">
        <v>-26.267299999999999</v>
      </c>
      <c r="AF1681">
        <v>5.2927593884102402</v>
      </c>
      <c r="AG1681">
        <v>-1.1084558157889901</v>
      </c>
      <c r="AH1681">
        <v>25.727125706256299</v>
      </c>
      <c r="AI1681">
        <v>92.416522602163795</v>
      </c>
      <c r="AJ1681">
        <v>78.374916065643603</v>
      </c>
      <c r="AK1681">
        <v>26.289293892089901</v>
      </c>
      <c r="AL1681">
        <v>95.3847658190045</v>
      </c>
      <c r="AM1681">
        <v>89.274942407029997</v>
      </c>
      <c r="AN1681">
        <v>0.99999996385358503</v>
      </c>
    </row>
    <row r="1682" spans="1:40" x14ac:dyDescent="0.25">
      <c r="A1682" t="str">
        <f>"20190305134933200"</f>
        <v>20190305134933200</v>
      </c>
      <c r="B1682" t="str">
        <f>"1551764973192649"</f>
        <v>1551764973192649</v>
      </c>
      <c r="C1682" t="s">
        <v>40</v>
      </c>
      <c r="D1682">
        <v>5.0356820000000004</v>
      </c>
      <c r="E1682">
        <v>0.57289460000000003</v>
      </c>
      <c r="F1682" t="s">
        <v>42</v>
      </c>
      <c r="G1682">
        <v>-194.68559999999999</v>
      </c>
      <c r="H1682" s="1">
        <v>-4.4246519999999997E-6</v>
      </c>
      <c r="I1682">
        <v>327.54649999999998</v>
      </c>
      <c r="J1682">
        <v>-196.328</v>
      </c>
      <c r="K1682">
        <v>1.108562</v>
      </c>
      <c r="L1682">
        <v>354.76519999999999</v>
      </c>
      <c r="M1682">
        <v>0.25743749999999999</v>
      </c>
      <c r="N1682">
        <v>-1.2238870000000001E-2</v>
      </c>
      <c r="O1682">
        <v>-0.9662174</v>
      </c>
      <c r="P1682">
        <v>0.2457589</v>
      </c>
      <c r="Q1682">
        <v>-0.1044385</v>
      </c>
      <c r="R1682">
        <v>-0.9636884</v>
      </c>
      <c r="S1682">
        <v>0.1869507</v>
      </c>
      <c r="T1682">
        <v>-0.123692</v>
      </c>
      <c r="U1682">
        <v>-3.051666</v>
      </c>
      <c r="V1682">
        <v>1.03725E-2</v>
      </c>
      <c r="W1682">
        <v>-9.2289189999999993E-2</v>
      </c>
      <c r="X1682">
        <v>0.99567819999999996</v>
      </c>
      <c r="Y1682">
        <v>0.19784360000000001</v>
      </c>
      <c r="Z1682">
        <v>2.588756E-2</v>
      </c>
      <c r="AA1682">
        <v>0.97989170000000003</v>
      </c>
      <c r="AB1682">
        <v>24</v>
      </c>
      <c r="AC1682">
        <v>1.6424000000000001</v>
      </c>
      <c r="AD1682">
        <v>-1.1085664246519999</v>
      </c>
      <c r="AE1682">
        <v>-27.218699999999998</v>
      </c>
      <c r="AF1682">
        <v>5.4116606441829296</v>
      </c>
      <c r="AG1682">
        <v>-1.1085664246519999</v>
      </c>
      <c r="AH1682">
        <v>26.6799039994578</v>
      </c>
      <c r="AI1682">
        <v>92.331874023864998</v>
      </c>
      <c r="AJ1682">
        <v>78.533879641423297</v>
      </c>
      <c r="AK1682">
        <v>27.245775229674599</v>
      </c>
      <c r="AL1682">
        <v>95.295316365889207</v>
      </c>
      <c r="AM1682">
        <v>89.403141521402802</v>
      </c>
      <c r="AN1682">
        <v>0.99999998065117202</v>
      </c>
    </row>
    <row r="1683" spans="1:40" x14ac:dyDescent="0.25">
      <c r="A1683" t="str">
        <f>"20190305134933213"</f>
        <v>20190305134933213</v>
      </c>
      <c r="B1683" t="str">
        <f>"1551764973202409"</f>
        <v>1551764973202409</v>
      </c>
      <c r="C1683" t="s">
        <v>40</v>
      </c>
      <c r="D1683">
        <v>4.2227880000000004</v>
      </c>
      <c r="E1683">
        <v>0.57269689999999995</v>
      </c>
      <c r="F1683" t="s">
        <v>42</v>
      </c>
      <c r="G1683">
        <v>-194.54759999999999</v>
      </c>
      <c r="H1683" s="1">
        <v>-3.9560559999999998E-6</v>
      </c>
      <c r="I1683">
        <v>326.2414</v>
      </c>
      <c r="J1683">
        <v>-196.29570000000001</v>
      </c>
      <c r="K1683">
        <v>1.108662</v>
      </c>
      <c r="L1683">
        <v>354.63909999999998</v>
      </c>
      <c r="M1683">
        <v>0.25639060000000002</v>
      </c>
      <c r="N1683">
        <v>-1.219166E-2</v>
      </c>
      <c r="O1683">
        <v>-0.96649629999999997</v>
      </c>
      <c r="P1683">
        <v>0.246668</v>
      </c>
      <c r="Q1683">
        <v>-0.1030742</v>
      </c>
      <c r="R1683">
        <v>-0.96360299999999999</v>
      </c>
      <c r="S1683">
        <v>0.19047549999999999</v>
      </c>
      <c r="T1683">
        <v>-0.1185997</v>
      </c>
      <c r="U1683">
        <v>-3.0516049999999999</v>
      </c>
      <c r="V1683">
        <v>8.4170119999999998E-3</v>
      </c>
      <c r="W1683">
        <v>-9.0962719999999997E-2</v>
      </c>
      <c r="X1683">
        <v>0.99581869999999995</v>
      </c>
      <c r="Y1683">
        <v>0.1956532</v>
      </c>
      <c r="Z1683">
        <v>2.4396299999999999E-2</v>
      </c>
      <c r="AA1683">
        <v>0.98036959999999995</v>
      </c>
      <c r="AB1683">
        <v>24</v>
      </c>
      <c r="AC1683">
        <v>1.74810000000002</v>
      </c>
      <c r="AD1683">
        <v>-1.1086659560559999</v>
      </c>
      <c r="AE1683">
        <v>-28.397699999999901</v>
      </c>
      <c r="AF1683">
        <v>5.5833092787673699</v>
      </c>
      <c r="AG1683">
        <v>-1.1086659560559999</v>
      </c>
      <c r="AH1683">
        <v>27.854248935125799</v>
      </c>
      <c r="AI1683">
        <v>92.234896874227402</v>
      </c>
      <c r="AJ1683">
        <v>78.665426386705704</v>
      </c>
      <c r="AK1683">
        <v>28.429943131220799</v>
      </c>
      <c r="AL1683">
        <v>95.2189942169001</v>
      </c>
      <c r="AM1683">
        <v>89.515727331053995</v>
      </c>
      <c r="AN1683">
        <v>0.999999972895247</v>
      </c>
    </row>
    <row r="1684" spans="1:40" x14ac:dyDescent="0.25">
      <c r="A1684" t="str">
        <f>"20190305134933232"</f>
        <v>20190305134933232</v>
      </c>
      <c r="B1684" t="str">
        <f>"1551764973221929"</f>
        <v>1551764973221929</v>
      </c>
      <c r="C1684" t="s">
        <v>40</v>
      </c>
      <c r="D1684">
        <v>4.2576749999999999</v>
      </c>
      <c r="E1684">
        <v>0.57229090000000005</v>
      </c>
      <c r="F1684" t="s">
        <v>42</v>
      </c>
      <c r="G1684">
        <v>-194.39670000000001</v>
      </c>
      <c r="H1684" s="1">
        <v>-3.4486579999999998E-6</v>
      </c>
      <c r="I1684">
        <v>324.90109999999999</v>
      </c>
      <c r="J1684">
        <v>-196.2458</v>
      </c>
      <c r="K1684">
        <v>1.1087769999999999</v>
      </c>
      <c r="L1684">
        <v>354.44369999999998</v>
      </c>
      <c r="M1684">
        <v>0.25489250000000002</v>
      </c>
      <c r="N1684">
        <v>-1.212688E-2</v>
      </c>
      <c r="O1684">
        <v>-0.96689340000000001</v>
      </c>
      <c r="P1684">
        <v>0.24843519999999999</v>
      </c>
      <c r="Q1684">
        <v>-0.1010571</v>
      </c>
      <c r="R1684">
        <v>-0.96336279999999996</v>
      </c>
      <c r="S1684">
        <v>0.19485469999999999</v>
      </c>
      <c r="T1684">
        <v>-0.11375490000000001</v>
      </c>
      <c r="U1684">
        <v>-3.0512700000000001</v>
      </c>
      <c r="V1684">
        <v>5.1317810000000002E-3</v>
      </c>
      <c r="W1684">
        <v>-8.8997510000000002E-2</v>
      </c>
      <c r="X1684">
        <v>0.99601859999999998</v>
      </c>
      <c r="Y1684">
        <v>0.19272539999999999</v>
      </c>
      <c r="Z1684">
        <v>2.3008500000000001E-2</v>
      </c>
      <c r="AA1684">
        <v>0.98098300000000005</v>
      </c>
      <c r="AB1684">
        <v>24</v>
      </c>
      <c r="AC1684">
        <v>1.84909999999999</v>
      </c>
      <c r="AD1684">
        <v>-1.108780448658</v>
      </c>
      <c r="AE1684">
        <v>-29.5426</v>
      </c>
      <c r="AF1684">
        <v>5.7346801351169301</v>
      </c>
      <c r="AG1684">
        <v>-1.108780448658</v>
      </c>
      <c r="AH1684">
        <v>28.9973137800459</v>
      </c>
      <c r="AI1684">
        <v>92.148205426074199</v>
      </c>
      <c r="AJ1684">
        <v>78.813200961786904</v>
      </c>
      <c r="AK1684">
        <v>29.5797254347276</v>
      </c>
      <c r="AL1684">
        <v>95.105937353926905</v>
      </c>
      <c r="AM1684">
        <v>89.7047978913794</v>
      </c>
      <c r="AN1684">
        <v>0.99999997175419497</v>
      </c>
    </row>
    <row r="1685" spans="1:40" x14ac:dyDescent="0.25">
      <c r="A1685" t="str">
        <f>"20190305134933245"</f>
        <v>20190305134933245</v>
      </c>
      <c r="B1685" t="str">
        <f>"1551764973242426"</f>
        <v>1551764973242426</v>
      </c>
      <c r="C1685" t="s">
        <v>40</v>
      </c>
      <c r="D1685">
        <v>4.2564229999999998</v>
      </c>
      <c r="E1685">
        <v>0.57207019999999997</v>
      </c>
      <c r="F1685" t="s">
        <v>42</v>
      </c>
      <c r="G1685">
        <v>-194.1404</v>
      </c>
      <c r="H1685" s="1">
        <v>-2.535666E-6</v>
      </c>
      <c r="I1685">
        <v>322.93180000000001</v>
      </c>
      <c r="J1685">
        <v>-196.21100000000001</v>
      </c>
      <c r="K1685">
        <v>1.1088260000000001</v>
      </c>
      <c r="L1685">
        <v>354.30650000000003</v>
      </c>
      <c r="M1685">
        <v>0.25391209999999997</v>
      </c>
      <c r="N1685">
        <v>-1.2086950000000001E-2</v>
      </c>
      <c r="O1685">
        <v>-0.96715180000000001</v>
      </c>
      <c r="P1685">
        <v>0.2485677</v>
      </c>
      <c r="Q1685">
        <v>-0.1000209</v>
      </c>
      <c r="R1685">
        <v>-0.96343670000000003</v>
      </c>
      <c r="S1685">
        <v>0.20379639999999999</v>
      </c>
      <c r="T1685">
        <v>-0.10732559999999999</v>
      </c>
      <c r="U1685">
        <v>-3.0502319999999998</v>
      </c>
      <c r="V1685">
        <v>4.0264669999999997E-3</v>
      </c>
      <c r="W1685">
        <v>-8.7996679999999994E-2</v>
      </c>
      <c r="X1685">
        <v>0.99611260000000001</v>
      </c>
      <c r="Y1685">
        <v>0.1888454</v>
      </c>
      <c r="Z1685">
        <v>2.1109159999999998E-2</v>
      </c>
      <c r="AA1685">
        <v>0.98177990000000004</v>
      </c>
      <c r="AB1685">
        <v>24</v>
      </c>
      <c r="AC1685">
        <v>2.0705999999999798</v>
      </c>
      <c r="AD1685">
        <v>-1.1088285356659999</v>
      </c>
      <c r="AE1685">
        <v>-31.374700000000001</v>
      </c>
      <c r="AF1685">
        <v>5.9568590022173904</v>
      </c>
      <c r="AG1685">
        <v>-1.1088285356659999</v>
      </c>
      <c r="AH1685">
        <v>30.8337573655459</v>
      </c>
      <c r="AI1685">
        <v>92.022195305678906</v>
      </c>
      <c r="AJ1685">
        <v>79.065578284574599</v>
      </c>
      <c r="AK1685">
        <v>31.423466759273499</v>
      </c>
      <c r="AL1685">
        <v>95.048368147112896</v>
      </c>
      <c r="AM1685">
        <v>89.768401374526206</v>
      </c>
      <c r="AN1685">
        <v>0.999999970003141</v>
      </c>
    </row>
    <row r="1686" spans="1:40" x14ac:dyDescent="0.25">
      <c r="A1686" t="str">
        <f>"20190305134933265"</f>
        <v>20190305134933265</v>
      </c>
      <c r="B1686" t="str">
        <f>"1551764973261945"</f>
        <v>1551764973261945</v>
      </c>
      <c r="C1686" t="s">
        <v>40</v>
      </c>
      <c r="D1686">
        <v>3.9000859999999999</v>
      </c>
      <c r="E1686">
        <v>0.57189319999999999</v>
      </c>
      <c r="F1686" t="s">
        <v>42</v>
      </c>
      <c r="G1686">
        <v>-194.0361</v>
      </c>
      <c r="H1686" s="1">
        <v>-2.1417120000000001E-6</v>
      </c>
      <c r="I1686">
        <v>322.07819999999998</v>
      </c>
      <c r="J1686">
        <v>-196.15729999999999</v>
      </c>
      <c r="K1686">
        <v>1.10887</v>
      </c>
      <c r="L1686">
        <v>354.09500000000003</v>
      </c>
      <c r="M1686">
        <v>0.25247000000000003</v>
      </c>
      <c r="N1686">
        <v>-1.2032019999999999E-2</v>
      </c>
      <c r="O1686">
        <v>-0.96753009999999995</v>
      </c>
      <c r="P1686">
        <v>0.2484653</v>
      </c>
      <c r="Q1686">
        <v>-9.8852060000000005E-2</v>
      </c>
      <c r="R1686">
        <v>-0.96358390000000005</v>
      </c>
      <c r="S1686">
        <v>0.20581050000000001</v>
      </c>
      <c r="T1686">
        <v>-0.10493280000000001</v>
      </c>
      <c r="U1686">
        <v>-3.0498959999999999</v>
      </c>
      <c r="V1686">
        <v>2.6926720000000001E-3</v>
      </c>
      <c r="W1686">
        <v>-8.6877819999999994E-2</v>
      </c>
      <c r="X1686">
        <v>0.99621530000000003</v>
      </c>
      <c r="Y1686">
        <v>0.18672920000000001</v>
      </c>
      <c r="Z1686">
        <v>2.0456140000000001E-2</v>
      </c>
      <c r="AA1686">
        <v>0.98219840000000003</v>
      </c>
      <c r="AB1686">
        <v>24</v>
      </c>
      <c r="AC1686">
        <v>2.12119999999998</v>
      </c>
      <c r="AD1686">
        <v>-1.108872141712</v>
      </c>
      <c r="AE1686">
        <v>-32.016800000000003</v>
      </c>
      <c r="AF1686">
        <v>6.0241975853001897</v>
      </c>
      <c r="AG1686">
        <v>-1.108872141712</v>
      </c>
      <c r="AH1686">
        <v>31.477439837351401</v>
      </c>
      <c r="AI1686">
        <v>91.981619478785206</v>
      </c>
      <c r="AJ1686">
        <v>79.165659719456897</v>
      </c>
      <c r="AK1686">
        <v>32.067893175066501</v>
      </c>
      <c r="AL1686">
        <v>94.984015742832199</v>
      </c>
      <c r="AM1686">
        <v>89.845135518887204</v>
      </c>
      <c r="AN1686">
        <v>0.99999996502226995</v>
      </c>
    </row>
    <row r="1687" spans="1:40" x14ac:dyDescent="0.25">
      <c r="A1687" t="str">
        <f>"20190305134933288"</f>
        <v>20190305134933288</v>
      </c>
      <c r="B1687" t="str">
        <f>"1551764973282441"</f>
        <v>1551764973282441</v>
      </c>
      <c r="C1687" t="s">
        <v>40</v>
      </c>
      <c r="D1687">
        <v>4.3004740000000004</v>
      </c>
      <c r="E1687">
        <v>0.57166759999999905</v>
      </c>
      <c r="F1687" t="s">
        <v>42</v>
      </c>
      <c r="G1687">
        <v>-193.91579999999999</v>
      </c>
      <c r="H1687" s="1">
        <v>-1.659401E-6</v>
      </c>
      <c r="I1687">
        <v>321.02859999999998</v>
      </c>
      <c r="J1687">
        <v>-196.1</v>
      </c>
      <c r="K1687">
        <v>1.1088910000000001</v>
      </c>
      <c r="L1687">
        <v>353.86790000000002</v>
      </c>
      <c r="M1687">
        <v>0.25101820000000002</v>
      </c>
      <c r="N1687">
        <v>-1.198102E-2</v>
      </c>
      <c r="O1687">
        <v>-0.96790830000000005</v>
      </c>
      <c r="P1687">
        <v>0.24722250000000001</v>
      </c>
      <c r="Q1687">
        <v>-0.1001855</v>
      </c>
      <c r="R1687">
        <v>-0.9637656</v>
      </c>
      <c r="S1687">
        <v>0.2067261</v>
      </c>
      <c r="T1687">
        <v>-0.1022658</v>
      </c>
      <c r="U1687">
        <v>-3.0495610000000002</v>
      </c>
      <c r="V1687">
        <v>2.4546400000000001E-3</v>
      </c>
      <c r="W1687">
        <v>-8.8262750000000001E-2</v>
      </c>
      <c r="X1687">
        <v>0.99609420000000004</v>
      </c>
      <c r="Y1687">
        <v>0.18495500000000001</v>
      </c>
      <c r="Z1687">
        <v>1.9711869999999999E-2</v>
      </c>
      <c r="AA1687">
        <v>0.98254929999999996</v>
      </c>
      <c r="AB1687">
        <v>24</v>
      </c>
      <c r="AC1687">
        <v>2.1842000000000001</v>
      </c>
      <c r="AD1687">
        <v>-1.108892659401</v>
      </c>
      <c r="AE1687">
        <v>-32.839300000000001</v>
      </c>
      <c r="AF1687">
        <v>6.1226456744840796</v>
      </c>
      <c r="AG1687">
        <v>-1.108892659401</v>
      </c>
      <c r="AH1687">
        <v>32.299356952961901</v>
      </c>
      <c r="AI1687">
        <v>91.931914280096393</v>
      </c>
      <c r="AJ1687">
        <v>79.266401622650605</v>
      </c>
      <c r="AK1687">
        <v>32.893234753672402</v>
      </c>
      <c r="AL1687">
        <v>95.063672248393502</v>
      </c>
      <c r="AM1687">
        <v>89.858808305940897</v>
      </c>
      <c r="AN1687">
        <v>0.99999999678436602</v>
      </c>
    </row>
    <row r="1688" spans="1:40" x14ac:dyDescent="0.25">
      <c r="A1688" t="str">
        <f>"20190305134933300"</f>
        <v>20190305134933300</v>
      </c>
      <c r="B1688" t="str">
        <f>"1551764973292201"</f>
        <v>1551764973292201</v>
      </c>
      <c r="C1688" t="s">
        <v>40</v>
      </c>
      <c r="D1688">
        <v>4.302378</v>
      </c>
      <c r="E1688">
        <v>0.57153609999999999</v>
      </c>
      <c r="F1688" t="s">
        <v>42</v>
      </c>
      <c r="G1688">
        <v>-193.99809999999999</v>
      </c>
      <c r="H1688" s="1">
        <v>-2.327156E-6</v>
      </c>
      <c r="I1688">
        <v>322.53399999999999</v>
      </c>
      <c r="J1688">
        <v>-196.0677</v>
      </c>
      <c r="K1688">
        <v>1.1089039999999999</v>
      </c>
      <c r="L1688">
        <v>353.7398</v>
      </c>
      <c r="M1688">
        <v>0.2502548</v>
      </c>
      <c r="N1688">
        <v>-1.1956079999999999E-2</v>
      </c>
      <c r="O1688">
        <v>-0.96810629999999998</v>
      </c>
      <c r="P1688">
        <v>0.246006</v>
      </c>
      <c r="Q1688">
        <v>-0.101606</v>
      </c>
      <c r="R1688">
        <v>-0.96392800000000001</v>
      </c>
      <c r="S1688">
        <v>0.20452880000000001</v>
      </c>
      <c r="T1688">
        <v>-0.10790660000000001</v>
      </c>
      <c r="U1688">
        <v>-3.0491030000000001</v>
      </c>
      <c r="V1688">
        <v>2.8913509999999999E-3</v>
      </c>
      <c r="W1688">
        <v>-8.9710479999999995E-2</v>
      </c>
      <c r="X1688">
        <v>0.99596370000000001</v>
      </c>
      <c r="Y1688">
        <v>0.18487519999999999</v>
      </c>
      <c r="Z1688">
        <v>2.149237E-2</v>
      </c>
      <c r="AA1688">
        <v>0.98252700000000004</v>
      </c>
      <c r="AB1688">
        <v>24</v>
      </c>
      <c r="AC1688">
        <v>2.0695999999999999</v>
      </c>
      <c r="AD1688">
        <v>-1.108906327156</v>
      </c>
      <c r="AE1688">
        <v>-31.2058</v>
      </c>
      <c r="AF1688">
        <v>5.7989322433994603</v>
      </c>
      <c r="AG1688">
        <v>-1.108906327156</v>
      </c>
      <c r="AH1688">
        <v>30.692065201243999</v>
      </c>
      <c r="AI1688">
        <v>92.033257829534506</v>
      </c>
      <c r="AJ1688">
        <v>79.300709589771401</v>
      </c>
      <c r="AK1688">
        <v>31.254762112730202</v>
      </c>
      <c r="AL1688">
        <v>95.146951385491903</v>
      </c>
      <c r="AM1688">
        <v>89.833666885647006</v>
      </c>
      <c r="AN1688">
        <v>1.00000001092506</v>
      </c>
    </row>
    <row r="1689" spans="1:40" x14ac:dyDescent="0.25">
      <c r="A1689" t="str">
        <f>"20190305134933321"</f>
        <v>20190305134933321</v>
      </c>
      <c r="B1689" t="str">
        <f>"1551764973312700"</f>
        <v>1551764973312700</v>
      </c>
      <c r="C1689" t="s">
        <v>40</v>
      </c>
      <c r="D1689">
        <v>4.2700209999999998</v>
      </c>
      <c r="E1689">
        <v>0.57201499999999905</v>
      </c>
      <c r="F1689" t="s">
        <v>42</v>
      </c>
      <c r="G1689">
        <v>-194.084</v>
      </c>
      <c r="H1689" s="1">
        <v>-2.884836E-6</v>
      </c>
      <c r="I1689">
        <v>323.78070000000002</v>
      </c>
      <c r="J1689">
        <v>-196.0147</v>
      </c>
      <c r="K1689">
        <v>1.108932</v>
      </c>
      <c r="L1689">
        <v>353.52870000000001</v>
      </c>
      <c r="M1689">
        <v>0.24906049999999999</v>
      </c>
      <c r="N1689">
        <v>-1.1918440000000001E-2</v>
      </c>
      <c r="O1689">
        <v>-0.96841469999999996</v>
      </c>
      <c r="P1689">
        <v>0.24370559999999999</v>
      </c>
      <c r="Q1689">
        <v>-0.1040879</v>
      </c>
      <c r="R1689">
        <v>-0.96424790000000005</v>
      </c>
      <c r="S1689">
        <v>0.20187379999999999</v>
      </c>
      <c r="T1689">
        <v>-0.1128504</v>
      </c>
      <c r="U1689">
        <v>-3.0488590000000002</v>
      </c>
      <c r="V1689">
        <v>3.9788319999999999E-3</v>
      </c>
      <c r="W1689">
        <v>-9.2234430000000006E-2</v>
      </c>
      <c r="X1689">
        <v>0.99572939999999999</v>
      </c>
      <c r="Y1689">
        <v>0.18451029999999999</v>
      </c>
      <c r="Z1689">
        <v>2.3076059999999999E-2</v>
      </c>
      <c r="AA1689">
        <v>0.98255959999999998</v>
      </c>
      <c r="AB1689">
        <v>24</v>
      </c>
      <c r="AC1689">
        <v>1.9307000000000001</v>
      </c>
      <c r="AD1689">
        <v>-1.1089348848359999</v>
      </c>
      <c r="AE1689">
        <v>-29.747999999999902</v>
      </c>
      <c r="AF1689">
        <v>5.5320711338278796</v>
      </c>
      <c r="AG1689">
        <v>-1.1089348848359999</v>
      </c>
      <c r="AH1689">
        <v>29.250861833477199</v>
      </c>
      <c r="AI1689">
        <v>92.1333295425041</v>
      </c>
      <c r="AJ1689">
        <v>79.290424127090603</v>
      </c>
      <c r="AK1689">
        <v>29.790039704735399</v>
      </c>
      <c r="AL1689">
        <v>95.2921651496289</v>
      </c>
      <c r="AM1689">
        <v>89.771053192107402</v>
      </c>
      <c r="AN1689">
        <v>1.0000000296029301</v>
      </c>
    </row>
    <row r="1690" spans="1:40" x14ac:dyDescent="0.25">
      <c r="A1690" t="str">
        <f>"20190305134933333"</f>
        <v>20190305134933333</v>
      </c>
      <c r="B1690" t="str">
        <f>"1551764973322457"</f>
        <v>1551764973322457</v>
      </c>
      <c r="C1690" t="s">
        <v>40</v>
      </c>
      <c r="D1690">
        <v>5.4161859999999997</v>
      </c>
      <c r="E1690">
        <v>0.57197519999999902</v>
      </c>
      <c r="F1690" t="s">
        <v>42</v>
      </c>
      <c r="G1690">
        <v>-194.14660000000001</v>
      </c>
      <c r="H1690" s="1">
        <v>-2.912643E-6</v>
      </c>
      <c r="I1690">
        <v>323.80669999999998</v>
      </c>
      <c r="J1690">
        <v>-195.98310000000001</v>
      </c>
      <c r="K1690">
        <v>1.1089549999999999</v>
      </c>
      <c r="L1690">
        <v>353.40260000000001</v>
      </c>
      <c r="M1690">
        <v>0.24838769999999999</v>
      </c>
      <c r="N1690">
        <v>-1.189804E-2</v>
      </c>
      <c r="O1690">
        <v>-0.96858770000000005</v>
      </c>
      <c r="P1690">
        <v>0.24249119999999999</v>
      </c>
      <c r="Q1690">
        <v>-0.10537349999999999</v>
      </c>
      <c r="R1690">
        <v>-0.96441410000000005</v>
      </c>
      <c r="S1690">
        <v>0.1917267</v>
      </c>
      <c r="T1690">
        <v>-0.1138151</v>
      </c>
      <c r="U1690">
        <v>-3.0505070000000001</v>
      </c>
      <c r="V1690">
        <v>4.5115800000000003E-3</v>
      </c>
      <c r="W1690">
        <v>-9.3542399999999998E-2</v>
      </c>
      <c r="X1690">
        <v>0.99560510000000002</v>
      </c>
      <c r="Y1690">
        <v>0.187116</v>
      </c>
      <c r="Z1690">
        <v>2.3373959999999999E-2</v>
      </c>
      <c r="AA1690">
        <v>0.98205969999999998</v>
      </c>
      <c r="AB1690">
        <v>24</v>
      </c>
      <c r="AC1690">
        <v>1.8365</v>
      </c>
      <c r="AD1690">
        <v>-1.10895791264299</v>
      </c>
      <c r="AE1690">
        <v>-29.5959</v>
      </c>
      <c r="AF1690">
        <v>5.5650569145337103</v>
      </c>
      <c r="AG1690">
        <v>-1.10895791264299</v>
      </c>
      <c r="AH1690">
        <v>29.083771173702299</v>
      </c>
      <c r="AI1690">
        <v>92.144745151713906</v>
      </c>
      <c r="AJ1690">
        <v>79.167630331654905</v>
      </c>
      <c r="AK1690">
        <v>29.6321681926634</v>
      </c>
      <c r="AL1690">
        <v>95.367431751332802</v>
      </c>
      <c r="AM1690">
        <v>89.740366211854493</v>
      </c>
      <c r="AN1690">
        <v>1.00000002504893</v>
      </c>
    </row>
    <row r="1691" spans="1:40" x14ac:dyDescent="0.25">
      <c r="A1691" t="str">
        <f>"20190305134933353"</f>
        <v>20190305134933353</v>
      </c>
      <c r="B1691" t="str">
        <f>"1551764973341977"</f>
        <v>1551764973341977</v>
      </c>
      <c r="C1691" t="s">
        <v>40</v>
      </c>
      <c r="D1691">
        <v>4.2894489999999896</v>
      </c>
      <c r="E1691">
        <v>0.5719052</v>
      </c>
      <c r="F1691" t="s">
        <v>42</v>
      </c>
      <c r="G1691">
        <v>-194.19319999999999</v>
      </c>
      <c r="H1691" s="1">
        <v>-3.1833519999999998E-6</v>
      </c>
      <c r="I1691">
        <v>324.40890000000002</v>
      </c>
      <c r="J1691">
        <v>-195.93</v>
      </c>
      <c r="K1691">
        <v>1.1090009999999999</v>
      </c>
      <c r="L1691">
        <v>353.19049999999999</v>
      </c>
      <c r="M1691">
        <v>0.2473359</v>
      </c>
      <c r="N1691">
        <v>-1.186769E-2</v>
      </c>
      <c r="O1691">
        <v>-0.96885730000000003</v>
      </c>
      <c r="P1691">
        <v>0.24080599999999999</v>
      </c>
      <c r="Q1691">
        <v>-0.1081799</v>
      </c>
      <c r="R1691">
        <v>-0.96452610000000005</v>
      </c>
      <c r="S1691">
        <v>0.18832399999999999</v>
      </c>
      <c r="T1691">
        <v>-0.1166787</v>
      </c>
      <c r="U1691">
        <v>-3.0505680000000002</v>
      </c>
      <c r="V1691">
        <v>5.1029669999999999E-3</v>
      </c>
      <c r="W1691">
        <v>-9.6382570000000001E-2</v>
      </c>
      <c r="X1691">
        <v>0.99533130000000003</v>
      </c>
      <c r="Y1691">
        <v>0.18714220000000001</v>
      </c>
      <c r="Z1691">
        <v>2.430177E-2</v>
      </c>
      <c r="AA1691">
        <v>0.98203220000000002</v>
      </c>
      <c r="AB1691">
        <v>24</v>
      </c>
      <c r="AC1691">
        <v>1.7368000000000099</v>
      </c>
      <c r="AD1691">
        <v>-1.1090041833519999</v>
      </c>
      <c r="AE1691">
        <v>-28.781599999999901</v>
      </c>
      <c r="AF1691">
        <v>5.4283632508731401</v>
      </c>
      <c r="AG1691">
        <v>-1.1090041833519999</v>
      </c>
      <c r="AH1691">
        <v>28.2749980029079</v>
      </c>
      <c r="AI1691">
        <v>92.2058649975924</v>
      </c>
      <c r="AJ1691">
        <v>79.132327465514393</v>
      </c>
      <c r="AK1691">
        <v>28.812714726775798</v>
      </c>
      <c r="AL1691">
        <v>95.530900333389994</v>
      </c>
      <c r="AM1691">
        <v>89.706252671447999</v>
      </c>
      <c r="AN1691">
        <v>1.00000001841584</v>
      </c>
    </row>
    <row r="1692" spans="1:40" x14ac:dyDescent="0.25">
      <c r="A1692" t="str">
        <f>"20190305134933366"</f>
        <v>20190305134933366</v>
      </c>
      <c r="B1692" t="str">
        <f>"1551764973362473"</f>
        <v>1551764973362473</v>
      </c>
      <c r="C1692" t="s">
        <v>40</v>
      </c>
      <c r="D1692">
        <v>4.2903900000000004</v>
      </c>
      <c r="E1692">
        <v>0.57183619999999902</v>
      </c>
      <c r="F1692" t="s">
        <v>42</v>
      </c>
      <c r="G1692">
        <v>-194.28469999999999</v>
      </c>
      <c r="H1692" s="1">
        <v>-3.8170360000000002E-6</v>
      </c>
      <c r="I1692">
        <v>325.9699</v>
      </c>
      <c r="J1692">
        <v>-195.89660000000001</v>
      </c>
      <c r="K1692">
        <v>1.109038</v>
      </c>
      <c r="L1692">
        <v>353.05650000000003</v>
      </c>
      <c r="M1692">
        <v>0.24671509999999999</v>
      </c>
      <c r="N1692">
        <v>-1.185049E-2</v>
      </c>
      <c r="O1692">
        <v>-0.96901579999999998</v>
      </c>
      <c r="P1692">
        <v>0.2402813</v>
      </c>
      <c r="Q1692">
        <v>-0.1091398</v>
      </c>
      <c r="R1692">
        <v>-0.96454859999999998</v>
      </c>
      <c r="S1692">
        <v>0.18437190000000001</v>
      </c>
      <c r="T1692">
        <v>-0.12427580000000001</v>
      </c>
      <c r="U1692">
        <v>-3.050354</v>
      </c>
      <c r="V1692">
        <v>4.9883559999999898E-3</v>
      </c>
      <c r="W1692">
        <v>-9.7360130000000003E-2</v>
      </c>
      <c r="X1692">
        <v>0.99523669999999997</v>
      </c>
      <c r="Y1692">
        <v>0.18777669999999999</v>
      </c>
      <c r="Z1692">
        <v>2.6673929999999998E-2</v>
      </c>
      <c r="AA1692">
        <v>0.98184950000000004</v>
      </c>
      <c r="AB1692">
        <v>24</v>
      </c>
      <c r="AC1692">
        <v>1.6119000000000201</v>
      </c>
      <c r="AD1692">
        <v>-1.1090418170359999</v>
      </c>
      <c r="AE1692">
        <v>-27.086600000000001</v>
      </c>
      <c r="AF1692">
        <v>5.1125346571553001</v>
      </c>
      <c r="AG1692">
        <v>-1.1090418170359999</v>
      </c>
      <c r="AH1692">
        <v>26.6024493878</v>
      </c>
      <c r="AI1692">
        <v>92.344395363738599</v>
      </c>
      <c r="AJ1692">
        <v>79.121370702065406</v>
      </c>
      <c r="AK1692">
        <v>27.111958575562401</v>
      </c>
      <c r="AL1692">
        <v>95.587175255846404</v>
      </c>
      <c r="AM1692">
        <v>89.712822736426702</v>
      </c>
      <c r="AN1692">
        <v>0.999999983818044</v>
      </c>
    </row>
    <row r="1693" spans="1:40" x14ac:dyDescent="0.25">
      <c r="A1693" t="str">
        <f>"20190305134933379"</f>
        <v>20190305134933379</v>
      </c>
      <c r="B1693" t="str">
        <f>"1551764973372232"</f>
        <v>1551764973372232</v>
      </c>
      <c r="C1693" t="s">
        <v>40</v>
      </c>
      <c r="D1693">
        <v>4.2513209999999999</v>
      </c>
      <c r="E1693">
        <v>0.57181789999999999</v>
      </c>
      <c r="F1693" t="s">
        <v>42</v>
      </c>
      <c r="G1693">
        <v>-194.29040000000001</v>
      </c>
      <c r="H1693" s="1">
        <v>-3.9565089999999998E-6</v>
      </c>
      <c r="I1693">
        <v>326.3768</v>
      </c>
      <c r="J1693">
        <v>-195.86449999999999</v>
      </c>
      <c r="K1693">
        <v>1.1090679999999999</v>
      </c>
      <c r="L1693">
        <v>352.92790000000002</v>
      </c>
      <c r="M1693">
        <v>0.24615390000000001</v>
      </c>
      <c r="N1693">
        <v>-1.1835699999999999E-2</v>
      </c>
      <c r="O1693">
        <v>-0.96915839999999998</v>
      </c>
      <c r="P1693">
        <v>0.2403739</v>
      </c>
      <c r="Q1693">
        <v>-0.1100904</v>
      </c>
      <c r="R1693">
        <v>-0.96441719999999997</v>
      </c>
      <c r="S1693">
        <v>0.18362429999999999</v>
      </c>
      <c r="T1693">
        <v>-0.12679289999999999</v>
      </c>
      <c r="U1693">
        <v>-3.0502009999999999</v>
      </c>
      <c r="V1693">
        <v>4.2969929999999998E-3</v>
      </c>
      <c r="W1693">
        <v>-9.8325179999999998E-2</v>
      </c>
      <c r="X1693">
        <v>0.9951451</v>
      </c>
      <c r="Y1693">
        <v>0.18744530000000001</v>
      </c>
      <c r="Z1693">
        <v>2.7477789999999998E-2</v>
      </c>
      <c r="AA1693">
        <v>0.98189059999999995</v>
      </c>
      <c r="AB1693">
        <v>24</v>
      </c>
      <c r="AC1693">
        <v>1.5740999999999801</v>
      </c>
      <c r="AD1693">
        <v>-1.1090719565089999</v>
      </c>
      <c r="AE1693">
        <v>-26.551100000000002</v>
      </c>
      <c r="AF1693">
        <v>5.0017592768935701</v>
      </c>
      <c r="AG1693">
        <v>-1.1090719565089999</v>
      </c>
      <c r="AH1693">
        <v>26.076185039371101</v>
      </c>
      <c r="AI1693">
        <v>92.391883484022401</v>
      </c>
      <c r="AJ1693">
        <v>79.141791452992607</v>
      </c>
      <c r="AK1693">
        <v>26.574707198315998</v>
      </c>
      <c r="AL1693">
        <v>95.6427348285048</v>
      </c>
      <c r="AM1693">
        <v>89.752600868551795</v>
      </c>
      <c r="AN1693">
        <v>1.0000000376124401</v>
      </c>
    </row>
    <row r="1694" spans="1:40" x14ac:dyDescent="0.25">
      <c r="A1694" t="str">
        <f>"20190305134933399"</f>
        <v>20190305134933399</v>
      </c>
      <c r="B1694" t="str">
        <f>"1551764973392729"</f>
        <v>1551764973392729</v>
      </c>
      <c r="C1694" t="s">
        <v>40</v>
      </c>
      <c r="D1694">
        <v>3.9671210000000001</v>
      </c>
      <c r="E1694">
        <v>0.57175849999999995</v>
      </c>
      <c r="F1694" t="s">
        <v>42</v>
      </c>
      <c r="G1694">
        <v>-194.2884</v>
      </c>
      <c r="H1694" s="1">
        <v>-4.1090540000000002E-6</v>
      </c>
      <c r="I1694">
        <v>326.8261</v>
      </c>
      <c r="J1694">
        <v>-195.81229999999999</v>
      </c>
      <c r="K1694">
        <v>1.1091139999999999</v>
      </c>
      <c r="L1694">
        <v>352.71800000000002</v>
      </c>
      <c r="M1694">
        <v>0.245283</v>
      </c>
      <c r="N1694">
        <v>-1.1811530000000001E-2</v>
      </c>
      <c r="O1694">
        <v>-0.96937980000000001</v>
      </c>
      <c r="P1694">
        <v>0.2406055</v>
      </c>
      <c r="Q1694">
        <v>-0.1109637</v>
      </c>
      <c r="R1694">
        <v>-0.96425970000000005</v>
      </c>
      <c r="S1694">
        <v>0.18417359999999999</v>
      </c>
      <c r="T1694">
        <v>-0.12959599999999999</v>
      </c>
      <c r="U1694">
        <v>-3.0500180000000001</v>
      </c>
      <c r="V1694">
        <v>3.1487720000000002E-3</v>
      </c>
      <c r="W1694">
        <v>-9.9221599999999993E-2</v>
      </c>
      <c r="X1694">
        <v>0.99506039999999996</v>
      </c>
      <c r="Y1694">
        <v>0.18638360000000001</v>
      </c>
      <c r="Z1694">
        <v>2.8388070000000001E-2</v>
      </c>
      <c r="AA1694">
        <v>0.98206680000000002</v>
      </c>
      <c r="AB1694">
        <v>24</v>
      </c>
      <c r="AC1694">
        <v>1.52389999999999</v>
      </c>
      <c r="AD1694">
        <v>-1.1091181090540001</v>
      </c>
      <c r="AE1694">
        <v>-25.8919</v>
      </c>
      <c r="AF1694">
        <v>4.8650475374671602</v>
      </c>
      <c r="AG1694">
        <v>-1.1091181090540001</v>
      </c>
      <c r="AH1694">
        <v>25.428144158248202</v>
      </c>
      <c r="AI1694">
        <v>92.453090420331193</v>
      </c>
      <c r="AJ1694">
        <v>79.1687618774139</v>
      </c>
      <c r="AK1694">
        <v>25.9131114660957</v>
      </c>
      <c r="AL1694">
        <v>95.694348403069498</v>
      </c>
      <c r="AM1694">
        <v>89.818693675205196</v>
      </c>
      <c r="AN1694">
        <v>1.00000002015991</v>
      </c>
    </row>
    <row r="1695" spans="1:40" x14ac:dyDescent="0.25">
      <c r="A1695" t="str">
        <f>"20190305134933414"</f>
        <v>20190305134933414</v>
      </c>
      <c r="B1695" t="str">
        <f>"1551764973402489"</f>
        <v>1551764973402489</v>
      </c>
      <c r="C1695" t="s">
        <v>40</v>
      </c>
      <c r="D1695">
        <v>4.2840800000000003</v>
      </c>
      <c r="E1695">
        <v>0.57166240000000001</v>
      </c>
      <c r="F1695" t="s">
        <v>42</v>
      </c>
      <c r="G1695">
        <v>-194.2577</v>
      </c>
      <c r="H1695" s="1">
        <v>-4.2144260000000001E-6</v>
      </c>
      <c r="I1695">
        <v>327.15179999999998</v>
      </c>
      <c r="J1695">
        <v>-195.7756</v>
      </c>
      <c r="K1695">
        <v>1.109138</v>
      </c>
      <c r="L1695">
        <v>352.57049999999998</v>
      </c>
      <c r="M1695">
        <v>0.2446999</v>
      </c>
      <c r="N1695">
        <v>-1.179352E-2</v>
      </c>
      <c r="O1695">
        <v>-0.96952720000000003</v>
      </c>
      <c r="P1695">
        <v>0.2407726</v>
      </c>
      <c r="Q1695">
        <v>-0.11042970000000001</v>
      </c>
      <c r="R1695">
        <v>-0.9642792</v>
      </c>
      <c r="S1695">
        <v>0.1854401</v>
      </c>
      <c r="T1695">
        <v>-0.13230439999999999</v>
      </c>
      <c r="U1695">
        <v>-3.049744</v>
      </c>
      <c r="V1695">
        <v>2.3979119999999999E-3</v>
      </c>
      <c r="W1695">
        <v>-9.8703810000000003E-2</v>
      </c>
      <c r="X1695">
        <v>0.99511400000000005</v>
      </c>
      <c r="Y1695">
        <v>0.18538189999999999</v>
      </c>
      <c r="Z1695">
        <v>2.9260149999999999E-2</v>
      </c>
      <c r="AA1695">
        <v>0.98223079999999996</v>
      </c>
      <c r="AB1695">
        <v>24</v>
      </c>
      <c r="AC1695">
        <v>1.51789999999999</v>
      </c>
      <c r="AD1695">
        <v>-1.1091422144259999</v>
      </c>
      <c r="AE1695">
        <v>-25.418700000000001</v>
      </c>
      <c r="AF1695">
        <v>4.7396457385890702</v>
      </c>
      <c r="AG1695">
        <v>-1.1091422144259999</v>
      </c>
      <c r="AH1695">
        <v>24.969915492962699</v>
      </c>
      <c r="AI1695">
        <v>92.498798723971007</v>
      </c>
      <c r="AJ1695">
        <v>79.252305233547204</v>
      </c>
      <c r="AK1695">
        <v>25.439951216636601</v>
      </c>
      <c r="AL1695">
        <v>95.664534800917593</v>
      </c>
      <c r="AM1695">
        <v>89.861935445263498</v>
      </c>
      <c r="AN1695">
        <v>1.0000000325432301</v>
      </c>
    </row>
    <row r="1696" spans="1:40" x14ac:dyDescent="0.25">
      <c r="A1696" t="str">
        <f>"20190305134933433"</f>
        <v>20190305134933433</v>
      </c>
      <c r="B1696" t="str">
        <f>"1551764973422009"</f>
        <v>1551764973422009</v>
      </c>
      <c r="C1696" t="s">
        <v>40</v>
      </c>
      <c r="D1696">
        <v>3.9352580000000001</v>
      </c>
      <c r="E1696">
        <v>0.57158520000000002</v>
      </c>
      <c r="F1696" t="s">
        <v>42</v>
      </c>
      <c r="G1696">
        <v>-194.20310000000001</v>
      </c>
      <c r="H1696" s="1">
        <v>-4.1012800000000003E-6</v>
      </c>
      <c r="I1696">
        <v>326.84769999999997</v>
      </c>
      <c r="J1696">
        <v>-195.72640000000001</v>
      </c>
      <c r="K1696">
        <v>1.1091580000000001</v>
      </c>
      <c r="L1696">
        <v>352.3716</v>
      </c>
      <c r="M1696">
        <v>0.2439434</v>
      </c>
      <c r="N1696">
        <v>-1.176833E-2</v>
      </c>
      <c r="O1696">
        <v>-0.96971819999999997</v>
      </c>
      <c r="P1696">
        <v>0.2409848</v>
      </c>
      <c r="Q1696">
        <v>-0.107935199999999</v>
      </c>
      <c r="R1696">
        <v>-0.9645089</v>
      </c>
      <c r="S1696">
        <v>0.18643190000000001</v>
      </c>
      <c r="T1696">
        <v>-0.1314929</v>
      </c>
      <c r="U1696">
        <v>-3.0495299999999999</v>
      </c>
      <c r="V1696">
        <v>1.4763669999999999E-3</v>
      </c>
      <c r="W1696">
        <v>-9.6230070000000001E-2</v>
      </c>
      <c r="X1696">
        <v>0.99535799999999997</v>
      </c>
      <c r="Y1696">
        <v>0.18429319999999999</v>
      </c>
      <c r="Z1696">
        <v>2.9053570000000001E-2</v>
      </c>
      <c r="AA1696">
        <v>0.98244180000000003</v>
      </c>
      <c r="AB1696">
        <v>24</v>
      </c>
      <c r="AC1696">
        <v>1.5233000000000001</v>
      </c>
      <c r="AD1696">
        <v>-1.1091621012799999</v>
      </c>
      <c r="AE1696">
        <v>-25.523900000000001</v>
      </c>
      <c r="AF1696">
        <v>4.7406230297036203</v>
      </c>
      <c r="AG1696">
        <v>-1.1091621012799999</v>
      </c>
      <c r="AH1696">
        <v>25.077138068909601</v>
      </c>
      <c r="AI1696">
        <v>92.4885237231845</v>
      </c>
      <c r="AJ1696">
        <v>79.295039622632004</v>
      </c>
      <c r="AK1696">
        <v>25.5453831641615</v>
      </c>
      <c r="AL1696">
        <v>95.522122151733598</v>
      </c>
      <c r="AM1696">
        <v>89.9150159680446</v>
      </c>
      <c r="AN1696">
        <v>0.99999997709786104</v>
      </c>
    </row>
    <row r="1697" spans="1:40" x14ac:dyDescent="0.25">
      <c r="A1697" t="str">
        <f>"20190305134933447"</f>
        <v>20190305134933447</v>
      </c>
      <c r="B1697" t="str">
        <f>"1551764973442504"</f>
        <v>1551764973442504</v>
      </c>
      <c r="C1697" t="s">
        <v>40</v>
      </c>
      <c r="D1697">
        <v>4.3510809999999998</v>
      </c>
      <c r="E1697">
        <v>0.57135249999999904</v>
      </c>
      <c r="F1697" t="s">
        <v>42</v>
      </c>
      <c r="G1697">
        <v>-194.08109999999999</v>
      </c>
      <c r="H1697" s="1">
        <v>-3.6354809999999999E-6</v>
      </c>
      <c r="I1697">
        <v>325.54259999999999</v>
      </c>
      <c r="J1697">
        <v>-195.68950000000001</v>
      </c>
      <c r="K1697">
        <v>1.1091610000000001</v>
      </c>
      <c r="L1697">
        <v>352.22230000000002</v>
      </c>
      <c r="M1697">
        <v>0.2433871</v>
      </c>
      <c r="N1697">
        <v>-1.175053E-2</v>
      </c>
      <c r="O1697">
        <v>-0.96985809999999995</v>
      </c>
      <c r="P1697">
        <v>0.24084449999999999</v>
      </c>
      <c r="Q1697">
        <v>-0.1065237</v>
      </c>
      <c r="R1697">
        <v>-0.96470040000000001</v>
      </c>
      <c r="S1697">
        <v>0.1870117</v>
      </c>
      <c r="T1697">
        <v>-0.12607309999999999</v>
      </c>
      <c r="U1697">
        <v>-3.0495299999999999</v>
      </c>
      <c r="V1697">
        <v>1.0889230000000001E-3</v>
      </c>
      <c r="W1697">
        <v>-9.4834109999999999E-2</v>
      </c>
      <c r="X1697">
        <v>0.9954925</v>
      </c>
      <c r="Y1697">
        <v>0.1835427</v>
      </c>
      <c r="Z1697">
        <v>2.7406139999999999E-2</v>
      </c>
      <c r="AA1697">
        <v>0.98262969999999905</v>
      </c>
      <c r="AB1697">
        <v>24</v>
      </c>
      <c r="AC1697">
        <v>1.60840000000001</v>
      </c>
      <c r="AD1697">
        <v>-1.1091646354809901</v>
      </c>
      <c r="AE1697">
        <v>-26.6797</v>
      </c>
      <c r="AF1697">
        <v>4.9254334438246303</v>
      </c>
      <c r="AG1697">
        <v>-1.1091646354809901</v>
      </c>
      <c r="AH1697">
        <v>26.2236400384696</v>
      </c>
      <c r="AI1697">
        <v>92.380385117894605</v>
      </c>
      <c r="AJ1697">
        <v>79.362402965104806</v>
      </c>
      <c r="AK1697">
        <v>26.705232402384699</v>
      </c>
      <c r="AL1697">
        <v>95.441771876509307</v>
      </c>
      <c r="AM1697">
        <v>89.937326833470905</v>
      </c>
      <c r="AN1697">
        <v>1.00000000586452</v>
      </c>
    </row>
    <row r="1698" spans="1:40" x14ac:dyDescent="0.25">
      <c r="A1698" t="str">
        <f>"20190305134933467"</f>
        <v>20190305134933467</v>
      </c>
      <c r="B1698" t="str">
        <f>"1551764973462025"</f>
        <v>1551764973462025</v>
      </c>
      <c r="C1698" t="s">
        <v>40</v>
      </c>
      <c r="D1698">
        <v>4.3267329999999999</v>
      </c>
      <c r="E1698">
        <v>0.57115700000000003</v>
      </c>
      <c r="F1698" t="s">
        <v>42</v>
      </c>
      <c r="G1698">
        <v>-194.00149999999999</v>
      </c>
      <c r="H1698" s="1">
        <v>-3.3079339999999998E-6</v>
      </c>
      <c r="I1698">
        <v>324.81810000000002</v>
      </c>
      <c r="J1698">
        <v>-195.6396</v>
      </c>
      <c r="K1698">
        <v>1.109156</v>
      </c>
      <c r="L1698">
        <v>352.01960000000003</v>
      </c>
      <c r="M1698">
        <v>0.2426316</v>
      </c>
      <c r="N1698">
        <v>-1.172933E-2</v>
      </c>
      <c r="O1698">
        <v>-0.97004769999999896</v>
      </c>
      <c r="P1698">
        <v>0.2404154</v>
      </c>
      <c r="Q1698">
        <v>-0.1038676</v>
      </c>
      <c r="R1698">
        <v>-0.96509719999999999</v>
      </c>
      <c r="S1698">
        <v>0.1878204</v>
      </c>
      <c r="T1698">
        <v>-0.1234151</v>
      </c>
      <c r="U1698">
        <v>-3.0492249999999999</v>
      </c>
      <c r="V1698">
        <v>8.266638E-4</v>
      </c>
      <c r="W1698">
        <v>-9.2195739999999998E-2</v>
      </c>
      <c r="X1698">
        <v>0.99574050000000003</v>
      </c>
      <c r="Y1698">
        <v>0.18251139999999999</v>
      </c>
      <c r="Z1698">
        <v>2.6623569999999999E-2</v>
      </c>
      <c r="AA1698">
        <v>0.98284320000000003</v>
      </c>
      <c r="AB1698">
        <v>24</v>
      </c>
      <c r="AC1698">
        <v>1.6380999999999999</v>
      </c>
      <c r="AD1698">
        <v>-1.1091593079340001</v>
      </c>
      <c r="AE1698">
        <v>-27.201499999999999</v>
      </c>
      <c r="AF1698">
        <v>5.00296438432785</v>
      </c>
      <c r="AG1698">
        <v>-1.1091593079340001</v>
      </c>
      <c r="AH1698">
        <v>26.7417455152701</v>
      </c>
      <c r="AI1698">
        <v>92.334619263503399</v>
      </c>
      <c r="AJ1698">
        <v>79.403347859375998</v>
      </c>
      <c r="AK1698">
        <v>27.228309536302401</v>
      </c>
      <c r="AL1698">
        <v>95.289939362337904</v>
      </c>
      <c r="AM1698">
        <v>89.952433052653205</v>
      </c>
      <c r="AN1698">
        <v>0.999999940593716</v>
      </c>
    </row>
    <row r="1699" spans="1:40" x14ac:dyDescent="0.25">
      <c r="A1699" t="str">
        <f>"20190305134933489"</f>
        <v>20190305134933489</v>
      </c>
      <c r="B1699" t="str">
        <f>"1551764973482520"</f>
        <v>1551764973482520</v>
      </c>
      <c r="C1699" t="s">
        <v>40</v>
      </c>
      <c r="D1699">
        <v>4.3559530000000004</v>
      </c>
      <c r="E1699">
        <v>0.57105329999999999</v>
      </c>
      <c r="F1699" t="s">
        <v>42</v>
      </c>
      <c r="G1699">
        <v>-193.89420000000001</v>
      </c>
      <c r="H1699" s="1">
        <v>-2.7403050000000002E-6</v>
      </c>
      <c r="I1699">
        <v>323.56150000000002</v>
      </c>
      <c r="J1699">
        <v>-195.58410000000001</v>
      </c>
      <c r="K1699">
        <v>1.109135</v>
      </c>
      <c r="L1699">
        <v>351.79320000000001</v>
      </c>
      <c r="M1699">
        <v>0.24176839999999999</v>
      </c>
      <c r="N1699">
        <v>-1.1708669999999999E-2</v>
      </c>
      <c r="O1699">
        <v>-0.9702634</v>
      </c>
      <c r="P1699">
        <v>0.2390024</v>
      </c>
      <c r="Q1699">
        <v>-0.1029457</v>
      </c>
      <c r="R1699">
        <v>-0.96554669999999998</v>
      </c>
      <c r="S1699">
        <v>0.1870117</v>
      </c>
      <c r="T1699">
        <v>-0.11884160000000001</v>
      </c>
      <c r="U1699">
        <v>-3.0491640000000002</v>
      </c>
      <c r="V1699">
        <v>1.417427E-3</v>
      </c>
      <c r="W1699">
        <v>-9.1294280000000005E-2</v>
      </c>
      <c r="X1699">
        <v>0.99582300000000001</v>
      </c>
      <c r="Y1699">
        <v>0.18189469999999999</v>
      </c>
      <c r="Z1699">
        <v>2.524295E-2</v>
      </c>
      <c r="AA1699">
        <v>0.98299400000000003</v>
      </c>
      <c r="AB1699">
        <v>24</v>
      </c>
      <c r="AC1699">
        <v>1.68989999999999</v>
      </c>
      <c r="AD1699">
        <v>-1.109137740305</v>
      </c>
      <c r="AE1699">
        <v>-28.231699999999901</v>
      </c>
      <c r="AF1699">
        <v>5.1782760692376897</v>
      </c>
      <c r="AG1699">
        <v>-1.109137740305</v>
      </c>
      <c r="AH1699">
        <v>27.759960286253001</v>
      </c>
      <c r="AI1699">
        <v>92.249254869370603</v>
      </c>
      <c r="AJ1699">
        <v>79.433623321115803</v>
      </c>
      <c r="AK1699">
        <v>28.260575448326499</v>
      </c>
      <c r="AL1699">
        <v>95.2380701699729</v>
      </c>
      <c r="AM1699">
        <v>89.918446822354198</v>
      </c>
      <c r="AN1699">
        <v>1.0000000509945</v>
      </c>
    </row>
    <row r="1700" spans="1:40" x14ac:dyDescent="0.25">
      <c r="A1700" t="str">
        <f>"20190305134933511"</f>
        <v>20190305134933511</v>
      </c>
      <c r="B1700" t="str">
        <f>"1551764973502041"</f>
        <v>1551764973502041</v>
      </c>
      <c r="C1700" t="s">
        <v>40</v>
      </c>
      <c r="D1700">
        <v>3.9581909999999998</v>
      </c>
      <c r="E1700">
        <v>0.57093850000000002</v>
      </c>
      <c r="F1700" t="s">
        <v>42</v>
      </c>
      <c r="G1700">
        <v>-193.87710000000001</v>
      </c>
      <c r="H1700" s="1">
        <v>-2.634939E-6</v>
      </c>
      <c r="I1700">
        <v>323.32650000000001</v>
      </c>
      <c r="J1700">
        <v>-195.52879999999999</v>
      </c>
      <c r="K1700">
        <v>1.109102</v>
      </c>
      <c r="L1700">
        <v>351.56670000000003</v>
      </c>
      <c r="M1700">
        <v>0.24087030000000001</v>
      </c>
      <c r="N1700">
        <v>-1.1690269999999999E-2</v>
      </c>
      <c r="O1700">
        <v>-0.97048710000000005</v>
      </c>
      <c r="P1700">
        <v>0.23751349999999999</v>
      </c>
      <c r="Q1700">
        <v>-0.1040596</v>
      </c>
      <c r="R1700">
        <v>-0.96579499999999996</v>
      </c>
      <c r="S1700">
        <v>0.18283079999999999</v>
      </c>
      <c r="T1700">
        <v>-0.118801</v>
      </c>
      <c r="U1700">
        <v>-3.0491030000000001</v>
      </c>
      <c r="V1700">
        <v>1.994479E-3</v>
      </c>
      <c r="W1700">
        <v>-9.2428620000000003E-2</v>
      </c>
      <c r="X1700">
        <v>0.99571730000000003</v>
      </c>
      <c r="Y1700">
        <v>0.1823263</v>
      </c>
      <c r="Z1700">
        <v>2.5259940000000002E-2</v>
      </c>
      <c r="AA1700">
        <v>0.98291360000000005</v>
      </c>
      <c r="AB1700">
        <v>24</v>
      </c>
      <c r="AC1700">
        <v>1.65169999999997</v>
      </c>
      <c r="AD1700">
        <v>-1.1091046349389999</v>
      </c>
      <c r="AE1700">
        <v>-28.240200000000002</v>
      </c>
      <c r="AF1700">
        <v>5.1916457117292296</v>
      </c>
      <c r="AG1700">
        <v>-1.1091046349389999</v>
      </c>
      <c r="AH1700">
        <v>27.763812034457001</v>
      </c>
      <c r="AI1700">
        <v>92.248691348585595</v>
      </c>
      <c r="AJ1700">
        <v>79.4083953182393</v>
      </c>
      <c r="AK1700">
        <v>28.266810166200599</v>
      </c>
      <c r="AL1700">
        <v>95.303339387661097</v>
      </c>
      <c r="AM1700">
        <v>89.885233412942895</v>
      </c>
      <c r="AN1700">
        <v>0.99999998463043704</v>
      </c>
    </row>
    <row r="1701" spans="1:40" x14ac:dyDescent="0.25">
      <c r="A1701" t="str">
        <f>"20190305134933524"</f>
        <v>20190305134933524</v>
      </c>
      <c r="B1701" t="str">
        <f>"1551764973512778"</f>
        <v>1551764973512778</v>
      </c>
      <c r="C1701" t="s">
        <v>40</v>
      </c>
      <c r="D1701">
        <v>4.3172439999999996</v>
      </c>
      <c r="E1701">
        <v>0.57086680000000001</v>
      </c>
      <c r="F1701" t="s">
        <v>42</v>
      </c>
      <c r="G1701">
        <v>-193.9323</v>
      </c>
      <c r="H1701" s="1">
        <v>-3.0754400000000001E-6</v>
      </c>
      <c r="I1701">
        <v>324.31920000000002</v>
      </c>
      <c r="J1701">
        <v>-195.49629999999999</v>
      </c>
      <c r="K1701">
        <v>1.109078</v>
      </c>
      <c r="L1701">
        <v>351.43340000000001</v>
      </c>
      <c r="M1701">
        <v>0.24032490000000001</v>
      </c>
      <c r="N1701">
        <v>-1.1680370000000001E-2</v>
      </c>
      <c r="O1701">
        <v>-0.97062210000000004</v>
      </c>
      <c r="P1701">
        <v>0.2365543</v>
      </c>
      <c r="Q1701">
        <v>-0.10465380000000001</v>
      </c>
      <c r="R1701">
        <v>-0.96596570000000004</v>
      </c>
      <c r="S1701">
        <v>0.1786499</v>
      </c>
      <c r="T1701">
        <v>-0.1241082</v>
      </c>
      <c r="U1701">
        <v>-3.0489809999999999</v>
      </c>
      <c r="V1701">
        <v>2.403732E-3</v>
      </c>
      <c r="W1701">
        <v>-9.3034099999999995E-2</v>
      </c>
      <c r="X1701">
        <v>0.99565999999999999</v>
      </c>
      <c r="Y1701">
        <v>0.1831149</v>
      </c>
      <c r="Z1701">
        <v>2.692052E-2</v>
      </c>
      <c r="AA1701">
        <v>0.98272289999999995</v>
      </c>
      <c r="AB1701">
        <v>24</v>
      </c>
      <c r="AC1701">
        <v>1.5639999999999901</v>
      </c>
      <c r="AD1701">
        <v>-1.10908107544</v>
      </c>
      <c r="AE1701">
        <v>-27.114199999999901</v>
      </c>
      <c r="AF1701">
        <v>4.9901844490378098</v>
      </c>
      <c r="AG1701">
        <v>-1.10908107544</v>
      </c>
      <c r="AH1701">
        <v>26.650891452521702</v>
      </c>
      <c r="AI1701">
        <v>92.342337233042898</v>
      </c>
      <c r="AJ1701">
        <v>79.3945877932927</v>
      </c>
      <c r="AK1701">
        <v>27.1367281904324</v>
      </c>
      <c r="AL1701">
        <v>95.338180995994307</v>
      </c>
      <c r="AM1701">
        <v>89.861676243786505</v>
      </c>
      <c r="AN1701">
        <v>0.99999997864516799</v>
      </c>
    </row>
    <row r="1702" spans="1:40" x14ac:dyDescent="0.25">
      <c r="A1702" t="str">
        <f>"20190305134933537"</f>
        <v>20190305134933537</v>
      </c>
      <c r="B1702" t="str">
        <f>"1551764973532297"</f>
        <v>1551764973532297</v>
      </c>
      <c r="C1702" t="s">
        <v>40</v>
      </c>
      <c r="D1702">
        <v>4.3399570000000001</v>
      </c>
      <c r="E1702">
        <v>0.57077709999999904</v>
      </c>
      <c r="F1702" t="s">
        <v>42</v>
      </c>
      <c r="G1702">
        <v>-193.9598</v>
      </c>
      <c r="H1702" s="1">
        <v>-3.2987209999999998E-6</v>
      </c>
      <c r="I1702">
        <v>324.82249999999999</v>
      </c>
      <c r="J1702">
        <v>-195.46459999999999</v>
      </c>
      <c r="K1702">
        <v>1.109056</v>
      </c>
      <c r="L1702">
        <v>351.30290000000002</v>
      </c>
      <c r="M1702">
        <v>0.2397833</v>
      </c>
      <c r="N1702">
        <v>-1.167118E-2</v>
      </c>
      <c r="O1702">
        <v>-0.97075619999999996</v>
      </c>
      <c r="P1702">
        <v>0.2356703</v>
      </c>
      <c r="Q1702">
        <v>-0.1054032</v>
      </c>
      <c r="R1702">
        <v>-0.96610019999999996</v>
      </c>
      <c r="S1702">
        <v>0.17604059999999999</v>
      </c>
      <c r="T1702">
        <v>-0.1270694</v>
      </c>
      <c r="U1702">
        <v>-3.0488590000000002</v>
      </c>
      <c r="V1702">
        <v>2.7354269999999999E-3</v>
      </c>
      <c r="W1702">
        <v>-9.3794160000000001E-2</v>
      </c>
      <c r="X1702">
        <v>0.99558780000000002</v>
      </c>
      <c r="Y1702">
        <v>0.1834026</v>
      </c>
      <c r="Z1702">
        <v>2.7855649999999999E-2</v>
      </c>
      <c r="AA1702">
        <v>0.98264309999999999</v>
      </c>
      <c r="AB1702">
        <v>24</v>
      </c>
      <c r="AC1702">
        <v>1.5047999999999799</v>
      </c>
      <c r="AD1702">
        <v>-1.109059298721</v>
      </c>
      <c r="AE1702">
        <v>-26.480399999999999</v>
      </c>
      <c r="AF1702">
        <v>4.8805635805880403</v>
      </c>
      <c r="AG1702">
        <v>-1.109059298721</v>
      </c>
      <c r="AH1702">
        <v>26.023115075287201</v>
      </c>
      <c r="AI1702">
        <v>92.3985989272757</v>
      </c>
      <c r="AJ1702">
        <v>79.377729651784705</v>
      </c>
      <c r="AK1702">
        <v>26.5000458794675</v>
      </c>
      <c r="AL1702">
        <v>95.381920655521398</v>
      </c>
      <c r="AM1702">
        <v>89.842577392083896</v>
      </c>
      <c r="AN1702">
        <v>0.99999994725990704</v>
      </c>
    </row>
    <row r="1703" spans="1:40" x14ac:dyDescent="0.25">
      <c r="A1703" t="str">
        <f>"20190305134933554"</f>
        <v>20190305134933554</v>
      </c>
      <c r="B1703" t="str">
        <f>"1551764973551817"</f>
        <v>1551764973551817</v>
      </c>
      <c r="C1703" t="s">
        <v>40</v>
      </c>
      <c r="D1703">
        <v>4.3461109999999996</v>
      </c>
      <c r="E1703">
        <v>0.57099180000000005</v>
      </c>
      <c r="F1703" t="s">
        <v>42</v>
      </c>
      <c r="G1703">
        <v>-193.99629999999999</v>
      </c>
      <c r="H1703" s="1">
        <v>-3.6114599999999998E-6</v>
      </c>
      <c r="I1703">
        <v>325.52890000000002</v>
      </c>
      <c r="J1703">
        <v>-195.41890000000001</v>
      </c>
      <c r="K1703">
        <v>1.109013</v>
      </c>
      <c r="L1703">
        <v>351.11360000000002</v>
      </c>
      <c r="M1703">
        <v>0.23898559999999999</v>
      </c>
      <c r="N1703">
        <v>-1.1658959999999999E-2</v>
      </c>
      <c r="O1703">
        <v>-0.97095330000000002</v>
      </c>
      <c r="P1703">
        <v>0.2338353</v>
      </c>
      <c r="Q1703">
        <v>-0.107253399999999</v>
      </c>
      <c r="R1703">
        <v>-0.96634260000000005</v>
      </c>
      <c r="S1703">
        <v>0.17367550000000001</v>
      </c>
      <c r="T1703">
        <v>-0.13117999999999999</v>
      </c>
      <c r="U1703">
        <v>-3.0485530000000001</v>
      </c>
      <c r="V1703">
        <v>3.7515700000000001E-3</v>
      </c>
      <c r="W1703">
        <v>-9.5660350000000005E-2</v>
      </c>
      <c r="X1703">
        <v>0.99540700000000004</v>
      </c>
      <c r="Y1703">
        <v>0.1833496</v>
      </c>
      <c r="Z1703">
        <v>2.9158280000000002E-2</v>
      </c>
      <c r="AA1703">
        <v>0.98261520000000002</v>
      </c>
      <c r="AB1703">
        <v>24</v>
      </c>
      <c r="AC1703">
        <v>1.4226000000000101</v>
      </c>
      <c r="AD1703">
        <v>-1.10901661146</v>
      </c>
      <c r="AE1703">
        <v>-25.584700000000002</v>
      </c>
      <c r="AF1703">
        <v>4.7245677171446196</v>
      </c>
      <c r="AG1703">
        <v>-1.10901661146</v>
      </c>
      <c r="AH1703">
        <v>25.136152914138499</v>
      </c>
      <c r="AI1703">
        <v>92.482851834672999</v>
      </c>
      <c r="AJ1703">
        <v>79.354937824315599</v>
      </c>
      <c r="AK1703">
        <v>25.600344553957299</v>
      </c>
      <c r="AL1703">
        <v>95.489327982776302</v>
      </c>
      <c r="AM1703">
        <v>89.784060078127695</v>
      </c>
      <c r="AN1703">
        <v>1.00000003624429</v>
      </c>
    </row>
    <row r="1704" spans="1:40" x14ac:dyDescent="0.25">
      <c r="A1704" t="str">
        <f>"20190305134933567"</f>
        <v>20190305134933567</v>
      </c>
      <c r="B1704" t="str">
        <f>"1551764973562553"</f>
        <v>1551764973562553</v>
      </c>
      <c r="C1704" t="s">
        <v>40</v>
      </c>
      <c r="D1704">
        <v>4.3283509999999996</v>
      </c>
      <c r="E1704">
        <v>0.58663259999999995</v>
      </c>
      <c r="F1704" t="s">
        <v>42</v>
      </c>
      <c r="G1704">
        <v>-194.08340000000001</v>
      </c>
      <c r="H1704" s="1">
        <v>-3.9960810000000003E-6</v>
      </c>
      <c r="I1704">
        <v>326.601</v>
      </c>
      <c r="J1704">
        <v>-195.38810000000001</v>
      </c>
      <c r="K1704">
        <v>1.108994</v>
      </c>
      <c r="L1704">
        <v>350.98630000000003</v>
      </c>
      <c r="M1704">
        <v>0.23844209999999999</v>
      </c>
      <c r="N1704">
        <v>-1.165157E-2</v>
      </c>
      <c r="O1704">
        <v>-0.97108689999999998</v>
      </c>
      <c r="P1704">
        <v>0.23269129999999999</v>
      </c>
      <c r="Q1704">
        <v>-0.10828749999999999</v>
      </c>
      <c r="R1704">
        <v>-0.96650349999999996</v>
      </c>
      <c r="S1704">
        <v>0.16610720000000001</v>
      </c>
      <c r="T1704">
        <v>-0.1379426</v>
      </c>
      <c r="U1704">
        <v>-3.04895</v>
      </c>
      <c r="V1704">
        <v>4.3406859999999999E-3</v>
      </c>
      <c r="W1704">
        <v>-9.6704090000000006E-2</v>
      </c>
      <c r="X1704">
        <v>0.99530370000000001</v>
      </c>
      <c r="Y1704">
        <v>0.18523819999999999</v>
      </c>
      <c r="Z1704">
        <v>3.125671E-2</v>
      </c>
      <c r="AA1704">
        <v>0.98219650000000003</v>
      </c>
      <c r="AB1704">
        <v>24</v>
      </c>
      <c r="AC1704">
        <v>1.30469999999999</v>
      </c>
      <c r="AD1704">
        <v>-1.1089979960809999</v>
      </c>
      <c r="AE1704">
        <v>-24.385300000000001</v>
      </c>
      <c r="AF1704">
        <v>4.5384534975808997</v>
      </c>
      <c r="AG1704">
        <v>-1.1089979960809999</v>
      </c>
      <c r="AH1704">
        <v>23.943587312331601</v>
      </c>
      <c r="AI1704">
        <v>92.605552294571098</v>
      </c>
      <c r="AJ1704">
        <v>79.267043255193201</v>
      </c>
      <c r="AK1704">
        <v>24.395139066794901</v>
      </c>
      <c r="AL1704">
        <v>95.549408692237805</v>
      </c>
      <c r="AM1704">
        <v>89.750125101262299</v>
      </c>
      <c r="AN1704">
        <v>0.99999998890568398</v>
      </c>
    </row>
    <row r="1705" spans="1:40" x14ac:dyDescent="0.25">
      <c r="A1705" t="str">
        <f>"20190305134933580"</f>
        <v>20190305134933580</v>
      </c>
      <c r="B1705" t="str">
        <f>"1551764973572314"</f>
        <v>1551764973572314</v>
      </c>
      <c r="C1705" t="s">
        <v>40</v>
      </c>
      <c r="D1705">
        <v>5.0068060000000001</v>
      </c>
      <c r="E1705">
        <v>0.58663259999999995</v>
      </c>
      <c r="F1705" t="s">
        <v>42</v>
      </c>
      <c r="G1705">
        <v>-195.18950000000001</v>
      </c>
      <c r="H1705" s="1">
        <v>-3.2482620000000001E-6</v>
      </c>
      <c r="I1705">
        <v>333.94220000000001</v>
      </c>
      <c r="J1705">
        <v>-195.35640000000001</v>
      </c>
      <c r="K1705">
        <v>1.1089719999999901</v>
      </c>
      <c r="L1705">
        <v>350.8544</v>
      </c>
      <c r="M1705">
        <v>0.2378748</v>
      </c>
      <c r="N1705">
        <v>-1.164452E-2</v>
      </c>
      <c r="O1705">
        <v>-0.97122620000000004</v>
      </c>
      <c r="P1705">
        <v>0.23153180000000001</v>
      </c>
      <c r="Q1705">
        <v>-0.1092602</v>
      </c>
      <c r="R1705">
        <v>-0.96667250000000005</v>
      </c>
      <c r="S1705">
        <v>3.5812379999999998E-2</v>
      </c>
      <c r="T1705">
        <v>-0.1999476</v>
      </c>
      <c r="U1705">
        <v>-3.0729679999999999</v>
      </c>
      <c r="V1705">
        <v>4.9231079999999998E-3</v>
      </c>
      <c r="W1705">
        <v>-9.7686010000000004E-2</v>
      </c>
      <c r="X1705">
        <v>0.99520509999999995</v>
      </c>
      <c r="Y1705">
        <v>0.22646189999999999</v>
      </c>
      <c r="Z1705">
        <v>4.9683270000000002E-2</v>
      </c>
      <c r="AA1705">
        <v>0.97275199999999995</v>
      </c>
      <c r="AB1705">
        <v>24</v>
      </c>
      <c r="AC1705">
        <v>0.16689999999999799</v>
      </c>
      <c r="AD1705">
        <v>-1.1089752482619999</v>
      </c>
      <c r="AE1705">
        <v>-16.912199999999899</v>
      </c>
      <c r="AF1705">
        <v>3.8446203473499598</v>
      </c>
      <c r="AG1705">
        <v>-1.1089752482619999</v>
      </c>
      <c r="AH1705">
        <v>16.3958951719232</v>
      </c>
      <c r="AI1705">
        <v>93.767556972334106</v>
      </c>
      <c r="AJ1705">
        <v>76.803319457156604</v>
      </c>
      <c r="AK1705">
        <v>16.877094246498999</v>
      </c>
      <c r="AL1705">
        <v>95.605936185758196</v>
      </c>
      <c r="AM1705">
        <v>89.716569971718101</v>
      </c>
      <c r="AN1705">
        <v>0.99999999230405401</v>
      </c>
    </row>
    <row r="1706" spans="1:40" x14ac:dyDescent="0.25">
      <c r="A1706" t="str">
        <f>"20190305134933592"</f>
        <v>20190305134933592</v>
      </c>
      <c r="B1706" t="str">
        <f>"1551764973582073"</f>
        <v>1551764973582073</v>
      </c>
      <c r="C1706" t="s">
        <v>40</v>
      </c>
      <c r="D1706">
        <v>4.3249810000000002</v>
      </c>
      <c r="E1706">
        <v>0.58552380000000004</v>
      </c>
      <c r="F1706" t="s">
        <v>42</v>
      </c>
      <c r="G1706">
        <v>-195.18010000000001</v>
      </c>
      <c r="H1706" s="1">
        <v>-3.2912809999999998E-6</v>
      </c>
      <c r="I1706">
        <v>334.04829999999998</v>
      </c>
      <c r="J1706">
        <v>-195.32380000000001</v>
      </c>
      <c r="K1706">
        <v>1.108957</v>
      </c>
      <c r="L1706">
        <v>350.71839999999997</v>
      </c>
      <c r="M1706">
        <v>0.2372881</v>
      </c>
      <c r="N1706">
        <v>-1.1637649999999999E-2</v>
      </c>
      <c r="O1706">
        <v>-0.97136990000000001</v>
      </c>
      <c r="P1706">
        <v>0.23046649999999999</v>
      </c>
      <c r="Q1706">
        <v>-0.11021549999999999</v>
      </c>
      <c r="R1706">
        <v>-0.96681870000000003</v>
      </c>
      <c r="S1706">
        <v>3.2226560000000001E-2</v>
      </c>
      <c r="T1706">
        <v>-0.20276269999999999</v>
      </c>
      <c r="U1706">
        <v>-3.072784</v>
      </c>
      <c r="V1706">
        <v>5.3891800000000004E-3</v>
      </c>
      <c r="W1706">
        <v>-9.8650199999999993E-2</v>
      </c>
      <c r="X1706">
        <v>0.99510759999999998</v>
      </c>
      <c r="Y1706">
        <v>0.22700670000000001</v>
      </c>
      <c r="Z1706">
        <v>5.0562290000000003E-2</v>
      </c>
      <c r="AA1706">
        <v>0.97257979999999999</v>
      </c>
      <c r="AB1706">
        <v>24</v>
      </c>
      <c r="AC1706">
        <v>0.143699999999995</v>
      </c>
      <c r="AD1706">
        <v>-1.1089602912809999</v>
      </c>
      <c r="AE1706">
        <v>-16.670099999999898</v>
      </c>
      <c r="AF1706">
        <v>3.7994748061961201</v>
      </c>
      <c r="AG1706">
        <v>-1.1089602912809999</v>
      </c>
      <c r="AH1706">
        <v>16.156531778981901</v>
      </c>
      <c r="AI1706">
        <v>93.822582007701001</v>
      </c>
      <c r="AJ1706">
        <v>76.766409410746306</v>
      </c>
      <c r="AK1706">
        <v>16.634281495027299</v>
      </c>
      <c r="AL1706">
        <v>95.661448178703793</v>
      </c>
      <c r="AM1706">
        <v>89.689707675507506</v>
      </c>
      <c r="AN1706">
        <v>1.0000000203994299</v>
      </c>
    </row>
    <row r="1707" spans="1:40" x14ac:dyDescent="0.25">
      <c r="A1707" t="str">
        <f>"20190305134933611"</f>
        <v>20190305134933611</v>
      </c>
      <c r="B1707" t="str">
        <f>"1551764973602572"</f>
        <v>1551764973602572</v>
      </c>
      <c r="C1707" t="s">
        <v>40</v>
      </c>
      <c r="D1707">
        <v>4.3258590000000003</v>
      </c>
      <c r="E1707">
        <v>0.58527390000000001</v>
      </c>
      <c r="F1707" t="s">
        <v>42</v>
      </c>
      <c r="G1707">
        <v>-195.12370000000001</v>
      </c>
      <c r="H1707" s="1">
        <v>-3.3712220000000002E-6</v>
      </c>
      <c r="I1707">
        <v>334.2697</v>
      </c>
      <c r="J1707">
        <v>-195.27860000000001</v>
      </c>
      <c r="K1707">
        <v>1.10894</v>
      </c>
      <c r="L1707">
        <v>350.52969999999999</v>
      </c>
      <c r="M1707">
        <v>0.23646980000000001</v>
      </c>
      <c r="N1707">
        <v>-1.1629260000000001E-2</v>
      </c>
      <c r="O1707">
        <v>-0.97156920000000002</v>
      </c>
      <c r="P1707">
        <v>0.2291164</v>
      </c>
      <c r="Q1707">
        <v>-0.1121875</v>
      </c>
      <c r="R1707">
        <v>-0.9669122</v>
      </c>
      <c r="S1707">
        <v>3.7353520000000001E-2</v>
      </c>
      <c r="T1707">
        <v>-0.20700789999999999</v>
      </c>
      <c r="U1707">
        <v>-3.070465</v>
      </c>
      <c r="V1707">
        <v>5.8811940000000002E-3</v>
      </c>
      <c r="W1707">
        <v>-0.1006339</v>
      </c>
      <c r="X1707">
        <v>0.99490610000000002</v>
      </c>
      <c r="Y1707">
        <v>0.22455439999999999</v>
      </c>
      <c r="Z1707">
        <v>5.1956269999999999E-2</v>
      </c>
      <c r="AA1707">
        <v>0.97307549999999998</v>
      </c>
      <c r="AB1707">
        <v>24</v>
      </c>
      <c r="AC1707">
        <v>0.15489999999999701</v>
      </c>
      <c r="AD1707">
        <v>-1.108943371222</v>
      </c>
      <c r="AE1707">
        <v>-16.259999999999899</v>
      </c>
      <c r="AF1707">
        <v>3.6776484563164198</v>
      </c>
      <c r="AG1707">
        <v>-1.108943371222</v>
      </c>
      <c r="AH1707">
        <v>15.762107654425099</v>
      </c>
      <c r="AI1707">
        <v>93.919482685152303</v>
      </c>
      <c r="AJ1707">
        <v>76.866586713442203</v>
      </c>
      <c r="AK1707">
        <v>16.223405662144799</v>
      </c>
      <c r="AL1707">
        <v>95.775674652851194</v>
      </c>
      <c r="AM1707">
        <v>89.661311082690304</v>
      </c>
      <c r="AN1707">
        <v>0.99999995904464201</v>
      </c>
    </row>
    <row r="1708" spans="1:40" x14ac:dyDescent="0.25">
      <c r="A1708" t="str">
        <f>"20190305134933623"</f>
        <v>20190305134933623</v>
      </c>
      <c r="B1708" t="str">
        <f>"1551764973612329"</f>
        <v>1551764973612329</v>
      </c>
      <c r="C1708" t="s">
        <v>40</v>
      </c>
      <c r="D1708">
        <v>4.376341</v>
      </c>
      <c r="E1708">
        <v>0.58517240000000004</v>
      </c>
      <c r="F1708" t="s">
        <v>42</v>
      </c>
      <c r="G1708">
        <v>-195.08600000000001</v>
      </c>
      <c r="H1708" s="1">
        <v>-3.240786E-6</v>
      </c>
      <c r="I1708">
        <v>333.98899999999998</v>
      </c>
      <c r="J1708">
        <v>-195.24770000000001</v>
      </c>
      <c r="K1708">
        <v>1.1089290000000001</v>
      </c>
      <c r="L1708">
        <v>350.39980000000003</v>
      </c>
      <c r="M1708">
        <v>0.23590630000000001</v>
      </c>
      <c r="N1708">
        <v>-1.162414E-2</v>
      </c>
      <c r="O1708">
        <v>-0.97170659999999998</v>
      </c>
      <c r="P1708">
        <v>0.22821440000000001</v>
      </c>
      <c r="Q1708">
        <v>-0.112757</v>
      </c>
      <c r="R1708">
        <v>-0.96705960000000002</v>
      </c>
      <c r="S1708">
        <v>3.575134E-2</v>
      </c>
      <c r="T1708">
        <v>-0.20583960000000001</v>
      </c>
      <c r="U1708">
        <v>-3.0702509999999998</v>
      </c>
      <c r="V1708">
        <v>6.2144309999999899E-3</v>
      </c>
      <c r="W1708">
        <v>-0.1012098</v>
      </c>
      <c r="X1708">
        <v>0.99484570000000005</v>
      </c>
      <c r="Y1708">
        <v>0.22449659999999999</v>
      </c>
      <c r="Z1708">
        <v>5.1621979999999998E-2</v>
      </c>
      <c r="AA1708">
        <v>0.97310660000000004</v>
      </c>
      <c r="AB1708">
        <v>24</v>
      </c>
      <c r="AC1708">
        <v>0.16170000000002399</v>
      </c>
      <c r="AD1708">
        <v>-1.1089322407860001</v>
      </c>
      <c r="AE1708">
        <v>-16.410799999999899</v>
      </c>
      <c r="AF1708">
        <v>3.6976535489331299</v>
      </c>
      <c r="AG1708">
        <v>-1.1089322407860001</v>
      </c>
      <c r="AH1708">
        <v>15.913049429915599</v>
      </c>
      <c r="AI1708">
        <v>93.883197534041997</v>
      </c>
      <c r="AJ1708">
        <v>76.918544811976602</v>
      </c>
      <c r="AK1708">
        <v>16.3745996788175</v>
      </c>
      <c r="AL1708">
        <v>95.808840361130393</v>
      </c>
      <c r="AM1708">
        <v>89.642099234807503</v>
      </c>
      <c r="AN1708">
        <v>1.00000000478859</v>
      </c>
    </row>
    <row r="1709" spans="1:40" x14ac:dyDescent="0.25">
      <c r="A1709" t="str">
        <f>"20190305134933636"</f>
        <v>20190305134933636</v>
      </c>
      <c r="B1709" t="str">
        <f>"1551764973631849"</f>
        <v>1551764973631849</v>
      </c>
      <c r="C1709" t="s">
        <v>40</v>
      </c>
      <c r="D1709">
        <v>3.9878239999999998</v>
      </c>
      <c r="E1709">
        <v>0.58484689999999995</v>
      </c>
      <c r="F1709" t="s">
        <v>42</v>
      </c>
      <c r="G1709">
        <v>-195.06370000000001</v>
      </c>
      <c r="H1709" s="1">
        <v>-3.1483590000000001E-6</v>
      </c>
      <c r="I1709">
        <v>333.78739999999999</v>
      </c>
      <c r="J1709">
        <v>-195.21789999999999</v>
      </c>
      <c r="K1709">
        <v>1.108924</v>
      </c>
      <c r="L1709">
        <v>350.27460000000002</v>
      </c>
      <c r="M1709">
        <v>0.2353642</v>
      </c>
      <c r="N1709">
        <v>-1.161951E-2</v>
      </c>
      <c r="O1709">
        <v>-0.97183770000000003</v>
      </c>
      <c r="P1709">
        <v>0.22778780000000001</v>
      </c>
      <c r="Q1709">
        <v>-0.1134442</v>
      </c>
      <c r="R1709">
        <v>-0.96707969999999999</v>
      </c>
      <c r="S1709">
        <v>3.3996579999999998E-2</v>
      </c>
      <c r="T1709">
        <v>-0.20494709999999999</v>
      </c>
      <c r="U1709">
        <v>-3.0702210000000001</v>
      </c>
      <c r="V1709">
        <v>6.0778209999999997E-3</v>
      </c>
      <c r="W1709">
        <v>-0.1019023</v>
      </c>
      <c r="X1709">
        <v>0.99477579999999999</v>
      </c>
      <c r="Y1709">
        <v>0.2245094</v>
      </c>
      <c r="Z1709">
        <v>5.1366469999999997E-2</v>
      </c>
      <c r="AA1709">
        <v>0.97311720000000002</v>
      </c>
      <c r="AB1709">
        <v>24</v>
      </c>
      <c r="AC1709">
        <v>0.154199999999974</v>
      </c>
      <c r="AD1709">
        <v>-1.108927148359</v>
      </c>
      <c r="AE1709">
        <v>-16.487200000000001</v>
      </c>
      <c r="AF1709">
        <v>3.7140907655094</v>
      </c>
      <c r="AG1709">
        <v>-1.108927148359</v>
      </c>
      <c r="AH1709">
        <v>15.9879398370818</v>
      </c>
      <c r="AI1709">
        <v>93.865096756579007</v>
      </c>
      <c r="AJ1709">
        <v>76.921825195221999</v>
      </c>
      <c r="AK1709">
        <v>16.4510914491701</v>
      </c>
      <c r="AL1709">
        <v>95.848724183681796</v>
      </c>
      <c r="AM1709">
        <v>89.649942068380199</v>
      </c>
      <c r="AN1709">
        <v>0.99999995545951803</v>
      </c>
    </row>
    <row r="1710" spans="1:40" x14ac:dyDescent="0.25">
      <c r="A1710" t="str">
        <f>"20190305134933648"</f>
        <v>20190305134933648</v>
      </c>
      <c r="B1710" t="str">
        <f>"1551764973642585"</f>
        <v>1551764973642585</v>
      </c>
      <c r="C1710" t="s">
        <v>40</v>
      </c>
      <c r="D1710">
        <v>4.2957939999999999</v>
      </c>
      <c r="E1710">
        <v>0.58464459999999996</v>
      </c>
      <c r="F1710" t="s">
        <v>42</v>
      </c>
      <c r="G1710">
        <v>-195.0284</v>
      </c>
      <c r="H1710" s="1">
        <v>-3.119417E-6</v>
      </c>
      <c r="I1710">
        <v>333.74180000000001</v>
      </c>
      <c r="J1710">
        <v>-195.18549999999999</v>
      </c>
      <c r="K1710">
        <v>1.1089249999999999</v>
      </c>
      <c r="L1710">
        <v>350.13810000000001</v>
      </c>
      <c r="M1710">
        <v>0.23477329999999999</v>
      </c>
      <c r="N1710">
        <v>-1.161481E-2</v>
      </c>
      <c r="O1710">
        <v>-0.97198090000000004</v>
      </c>
      <c r="P1710">
        <v>0.2271611</v>
      </c>
      <c r="Q1710">
        <v>-0.1135501</v>
      </c>
      <c r="R1710">
        <v>-0.96721500000000005</v>
      </c>
      <c r="S1710">
        <v>3.5186769999999999E-2</v>
      </c>
      <c r="T1710">
        <v>-0.20589789999999999</v>
      </c>
      <c r="U1710">
        <v>-3.0697019999999999</v>
      </c>
      <c r="V1710">
        <v>6.1137919999999998E-3</v>
      </c>
      <c r="W1710">
        <v>-0.1020131</v>
      </c>
      <c r="X1710">
        <v>0.99476430000000005</v>
      </c>
      <c r="Y1710">
        <v>0.22353790000000001</v>
      </c>
      <c r="Z1710">
        <v>5.1694980000000001E-2</v>
      </c>
      <c r="AA1710">
        <v>0.97332339999999995</v>
      </c>
      <c r="AB1710">
        <v>24</v>
      </c>
      <c r="AC1710">
        <v>0.157099999999985</v>
      </c>
      <c r="AD1710">
        <v>-1.108928119417</v>
      </c>
      <c r="AE1710">
        <v>-16.396299999999901</v>
      </c>
      <c r="AF1710">
        <v>3.6801320126364301</v>
      </c>
      <c r="AG1710">
        <v>-1.108928119417</v>
      </c>
      <c r="AH1710">
        <v>15.902115910522699</v>
      </c>
      <c r="AI1710">
        <v>93.886648060311998</v>
      </c>
      <c r="AJ1710">
        <v>76.969767128891206</v>
      </c>
      <c r="AK1710">
        <v>16.360023949742999</v>
      </c>
      <c r="AL1710">
        <v>95.855105364219</v>
      </c>
      <c r="AM1710">
        <v>89.647866265437401</v>
      </c>
      <c r="AN1710">
        <v>1.00000003178935</v>
      </c>
    </row>
    <row r="1711" spans="1:40" x14ac:dyDescent="0.25">
      <c r="A1711" t="str">
        <f>"20190305134933667"</f>
        <v>20190305134933667</v>
      </c>
      <c r="B1711" t="str">
        <f>"1551764973662105"</f>
        <v>1551764973662105</v>
      </c>
      <c r="C1711" t="s">
        <v>40</v>
      </c>
      <c r="D1711">
        <v>4.3168540000000002</v>
      </c>
      <c r="E1711">
        <v>0.58414569999999999</v>
      </c>
      <c r="F1711" t="s">
        <v>42</v>
      </c>
      <c r="G1711">
        <v>-194.99680000000001</v>
      </c>
      <c r="H1711" s="1">
        <v>-3.016975E-6</v>
      </c>
      <c r="I1711">
        <v>333.52260000000001</v>
      </c>
      <c r="J1711">
        <v>-195.14060000000001</v>
      </c>
      <c r="K1711">
        <v>1.1089260000000001</v>
      </c>
      <c r="L1711">
        <v>349.94819999999999</v>
      </c>
      <c r="M1711">
        <v>0.233955</v>
      </c>
      <c r="N1711">
        <v>-1.1609110000000001E-2</v>
      </c>
      <c r="O1711">
        <v>-0.9721784</v>
      </c>
      <c r="P1711">
        <v>0.22634099999999999</v>
      </c>
      <c r="Q1711">
        <v>-0.1130655</v>
      </c>
      <c r="R1711">
        <v>-0.96746379999999998</v>
      </c>
      <c r="S1711">
        <v>3.4866330000000001E-2</v>
      </c>
      <c r="T1711">
        <v>-0.2048577</v>
      </c>
      <c r="U1711">
        <v>-3.069458</v>
      </c>
      <c r="V1711">
        <v>6.1332690000000002E-3</v>
      </c>
      <c r="W1711">
        <v>-0.1015337</v>
      </c>
      <c r="X1711">
        <v>0.99481319999999995</v>
      </c>
      <c r="Y1711">
        <v>0.22281880000000001</v>
      </c>
      <c r="Z1711">
        <v>5.1412140000000002E-2</v>
      </c>
      <c r="AA1711">
        <v>0.97350320000000001</v>
      </c>
      <c r="AB1711">
        <v>24</v>
      </c>
      <c r="AC1711">
        <v>0.14379999999999801</v>
      </c>
      <c r="AD1711">
        <v>-1.1089290169749999</v>
      </c>
      <c r="AE1711">
        <v>-16.4255999999999</v>
      </c>
      <c r="AF1711">
        <v>3.68649910953541</v>
      </c>
      <c r="AG1711">
        <v>-1.1089290169749999</v>
      </c>
      <c r="AH1711">
        <v>15.9307251242377</v>
      </c>
      <c r="AI1711">
        <v>93.879706217078507</v>
      </c>
      <c r="AJ1711">
        <v>76.970633410347105</v>
      </c>
      <c r="AK1711">
        <v>16.389264847250299</v>
      </c>
      <c r="AL1711">
        <v>95.827494551619793</v>
      </c>
      <c r="AM1711">
        <v>89.646761848336595</v>
      </c>
      <c r="AN1711">
        <v>1.00000000605927</v>
      </c>
    </row>
    <row r="1712" spans="1:40" x14ac:dyDescent="0.25">
      <c r="A1712" t="str">
        <f>"20190305134933691"</f>
        <v>20190305134933691</v>
      </c>
      <c r="B1712" t="str">
        <f>"1551764973682602"</f>
        <v>1551764973682602</v>
      </c>
      <c r="C1712" t="s">
        <v>40</v>
      </c>
      <c r="D1712">
        <v>4.3067739999999999</v>
      </c>
      <c r="E1712">
        <v>0.58385200000000004</v>
      </c>
      <c r="F1712" t="s">
        <v>42</v>
      </c>
      <c r="G1712">
        <v>-194.9392</v>
      </c>
      <c r="H1712" s="1">
        <v>-2.7676220000000002E-6</v>
      </c>
      <c r="I1712">
        <v>332.97710000000001</v>
      </c>
      <c r="J1712">
        <v>-195.08349999999999</v>
      </c>
      <c r="K1712">
        <v>1.108927</v>
      </c>
      <c r="L1712">
        <v>349.70549999999997</v>
      </c>
      <c r="M1712">
        <v>0.23291290000000001</v>
      </c>
      <c r="N1712">
        <v>-1.160283E-2</v>
      </c>
      <c r="O1712">
        <v>-0.97242839999999997</v>
      </c>
      <c r="P1712">
        <v>0.2250984</v>
      </c>
      <c r="Q1712">
        <v>-0.1130255</v>
      </c>
      <c r="R1712">
        <v>-0.96775849999999997</v>
      </c>
      <c r="S1712">
        <v>3.642273E-2</v>
      </c>
      <c r="T1712">
        <v>-0.20053299999999999</v>
      </c>
      <c r="U1712">
        <v>-3.0689700000000002</v>
      </c>
      <c r="V1712">
        <v>6.3450629999999997E-3</v>
      </c>
      <c r="W1712">
        <v>-0.1015003</v>
      </c>
      <c r="X1712">
        <v>0.99481529999999996</v>
      </c>
      <c r="Y1712">
        <v>0.22128049999999999</v>
      </c>
      <c r="Z1712">
        <v>5.0139540000000003E-2</v>
      </c>
      <c r="AA1712">
        <v>0.97392040000000002</v>
      </c>
      <c r="AB1712">
        <v>24</v>
      </c>
      <c r="AC1712">
        <v>0.14429999999998699</v>
      </c>
      <c r="AD1712">
        <v>-1.108929767622</v>
      </c>
      <c r="AE1712">
        <v>-16.728399999999901</v>
      </c>
      <c r="AF1712">
        <v>3.7397587543547601</v>
      </c>
      <c r="AG1712">
        <v>-1.108929767622</v>
      </c>
      <c r="AH1712">
        <v>16.230559420164901</v>
      </c>
      <c r="AI1712">
        <v>93.809077179475807</v>
      </c>
      <c r="AJ1712">
        <v>77.024673185885206</v>
      </c>
      <c r="AK1712">
        <v>16.692710380935601</v>
      </c>
      <c r="AL1712">
        <v>95.825570818718901</v>
      </c>
      <c r="AM1712">
        <v>89.634564927759001</v>
      </c>
      <c r="AN1712">
        <v>1.00000002591932</v>
      </c>
    </row>
    <row r="1713" spans="1:40" x14ac:dyDescent="0.25">
      <c r="A1713" t="str">
        <f>"20190305134933711"</f>
        <v>20190305134933711</v>
      </c>
      <c r="B1713" t="str">
        <f>"1551764973702121"</f>
        <v>1551764973702121</v>
      </c>
      <c r="C1713" t="s">
        <v>40</v>
      </c>
      <c r="D1713">
        <v>4.3320889999999999</v>
      </c>
      <c r="E1713">
        <v>0.5837369</v>
      </c>
      <c r="F1713" t="s">
        <v>42</v>
      </c>
      <c r="G1713">
        <v>-194.88589999999999</v>
      </c>
      <c r="H1713" s="1">
        <v>-2.5200130000000002E-6</v>
      </c>
      <c r="I1713">
        <v>332.43299999999999</v>
      </c>
      <c r="J1713">
        <v>-195.0316</v>
      </c>
      <c r="K1713">
        <v>1.10893</v>
      </c>
      <c r="L1713">
        <v>349.48379999999997</v>
      </c>
      <c r="M1713">
        <v>0.23196520000000001</v>
      </c>
      <c r="N1713">
        <v>-1.159774E-2</v>
      </c>
      <c r="O1713">
        <v>-0.97265500000000005</v>
      </c>
      <c r="P1713">
        <v>0.2238193</v>
      </c>
      <c r="Q1713">
        <v>-0.1127349</v>
      </c>
      <c r="R1713">
        <v>-0.96808890000000003</v>
      </c>
      <c r="S1713">
        <v>3.5110469999999998E-2</v>
      </c>
      <c r="T1713">
        <v>-0.19702020000000001</v>
      </c>
      <c r="U1713">
        <v>-3.068756</v>
      </c>
      <c r="V1713">
        <v>6.6981439999999996E-3</v>
      </c>
      <c r="W1713">
        <v>-0.101214899999999</v>
      </c>
      <c r="X1713">
        <v>0.99484209999999995</v>
      </c>
      <c r="Y1713">
        <v>0.22074730000000001</v>
      </c>
      <c r="Z1713">
        <v>4.9096590000000002E-2</v>
      </c>
      <c r="AA1713">
        <v>0.97409449999999997</v>
      </c>
      <c r="AB1713">
        <v>24</v>
      </c>
      <c r="AC1713">
        <v>0.14570000000000499</v>
      </c>
      <c r="AD1713">
        <v>-1.108932520013</v>
      </c>
      <c r="AE1713">
        <v>-17.050799999999899</v>
      </c>
      <c r="AF1713">
        <v>3.7976704379738102</v>
      </c>
      <c r="AG1713">
        <v>-1.108932520013</v>
      </c>
      <c r="AH1713">
        <v>16.549464088657501</v>
      </c>
      <c r="AI1713">
        <v>93.736661666469203</v>
      </c>
      <c r="AJ1713">
        <v>77.075866399515604</v>
      </c>
      <c r="AK1713">
        <v>17.015780725878201</v>
      </c>
      <c r="AL1713">
        <v>95.809133741340403</v>
      </c>
      <c r="AM1713">
        <v>89.614240709271101</v>
      </c>
      <c r="AN1713">
        <v>1.00000006252373</v>
      </c>
    </row>
    <row r="1714" spans="1:40" x14ac:dyDescent="0.25">
      <c r="A1714" t="str">
        <f>"20190305134933723"</f>
        <v>20190305134933723</v>
      </c>
      <c r="B1714" t="str">
        <f>"1551764973711881"</f>
        <v>1551764973711881</v>
      </c>
      <c r="C1714" t="s">
        <v>40</v>
      </c>
      <c r="D1714">
        <v>4.3763990000000002</v>
      </c>
      <c r="E1714">
        <v>0.58361940000000001</v>
      </c>
      <c r="F1714" t="s">
        <v>42</v>
      </c>
      <c r="G1714">
        <v>-194.84780000000001</v>
      </c>
      <c r="H1714" s="1">
        <v>-2.2935020000000002E-6</v>
      </c>
      <c r="I1714">
        <v>331.92860000000002</v>
      </c>
      <c r="J1714">
        <v>-195.00149999999999</v>
      </c>
      <c r="K1714">
        <v>1.1089329999999999</v>
      </c>
      <c r="L1714">
        <v>349.35480000000001</v>
      </c>
      <c r="M1714">
        <v>0.2314147</v>
      </c>
      <c r="N1714">
        <v>-1.1595329999999999E-2</v>
      </c>
      <c r="O1714">
        <v>-0.97278609999999999</v>
      </c>
      <c r="P1714">
        <v>0.22275300000000001</v>
      </c>
      <c r="Q1714">
        <v>-0.1123977</v>
      </c>
      <c r="R1714">
        <v>-0.96837379999999995</v>
      </c>
      <c r="S1714">
        <v>3.2135009999999999E-2</v>
      </c>
      <c r="T1714">
        <v>-0.19385769999999999</v>
      </c>
      <c r="U1714">
        <v>-3.0689090000000001</v>
      </c>
      <c r="V1714">
        <v>7.2396079999999998E-3</v>
      </c>
      <c r="W1714">
        <v>-0.1008806</v>
      </c>
      <c r="X1714">
        <v>0.99487219999999998</v>
      </c>
      <c r="Y1714">
        <v>0.221141</v>
      </c>
      <c r="Z1714">
        <v>4.813394E-2</v>
      </c>
      <c r="AA1714">
        <v>0.97405330000000001</v>
      </c>
      <c r="AB1714">
        <v>24</v>
      </c>
      <c r="AC1714">
        <v>0.15369999999998599</v>
      </c>
      <c r="AD1714">
        <v>-1.108935293502</v>
      </c>
      <c r="AE1714">
        <v>-17.426199999999898</v>
      </c>
      <c r="AF1714">
        <v>3.8677611912750498</v>
      </c>
      <c r="AG1714">
        <v>-1.108935293502</v>
      </c>
      <c r="AH1714">
        <v>16.9201618425334</v>
      </c>
      <c r="AI1714">
        <v>93.655732093916399</v>
      </c>
      <c r="AJ1714">
        <v>77.124047082043106</v>
      </c>
      <c r="AK1714">
        <v>17.3919863987824</v>
      </c>
      <c r="AL1714">
        <v>95.789881579087805</v>
      </c>
      <c r="AM1714">
        <v>89.583070406167096</v>
      </c>
      <c r="AN1714">
        <v>1.0000000008565899</v>
      </c>
    </row>
    <row r="1715" spans="1:40" x14ac:dyDescent="0.25">
      <c r="A1715" t="str">
        <f>"20190305134933737"</f>
        <v>20190305134933737</v>
      </c>
      <c r="B1715" t="str">
        <f>"1551764973732377"</f>
        <v>1551764973732377</v>
      </c>
      <c r="C1715" t="s">
        <v>40</v>
      </c>
      <c r="D1715">
        <v>4.3420500000000004</v>
      </c>
      <c r="E1715">
        <v>0.58326999999999996</v>
      </c>
      <c r="F1715" t="s">
        <v>42</v>
      </c>
      <c r="G1715">
        <v>-194.8304</v>
      </c>
      <c r="H1715" s="1">
        <v>-2.1493829999999999E-6</v>
      </c>
      <c r="I1715">
        <v>331.60340000000002</v>
      </c>
      <c r="J1715">
        <v>-194.97130000000001</v>
      </c>
      <c r="K1715">
        <v>1.1089340000000001</v>
      </c>
      <c r="L1715">
        <v>349.2253</v>
      </c>
      <c r="M1715">
        <v>0.23086209999999999</v>
      </c>
      <c r="N1715">
        <v>-1.1593040000000001E-2</v>
      </c>
      <c r="O1715">
        <v>-0.97291729999999998</v>
      </c>
      <c r="P1715">
        <v>0.22160640000000001</v>
      </c>
      <c r="Q1715">
        <v>-0.112079399999999</v>
      </c>
      <c r="R1715">
        <v>-0.96867380000000003</v>
      </c>
      <c r="S1715">
        <v>2.9571529999999999E-2</v>
      </c>
      <c r="T1715">
        <v>-0.19171369999999999</v>
      </c>
      <c r="U1715">
        <v>-3.0688780000000002</v>
      </c>
      <c r="V1715">
        <v>7.8606049999999997E-3</v>
      </c>
      <c r="W1715">
        <v>-0.1005653</v>
      </c>
      <c r="X1715">
        <v>0.99489939999999999</v>
      </c>
      <c r="Y1715">
        <v>0.22140109999999999</v>
      </c>
      <c r="Z1715">
        <v>4.748811E-2</v>
      </c>
      <c r="AA1715">
        <v>0.9740259</v>
      </c>
      <c r="AB1715">
        <v>24</v>
      </c>
      <c r="AC1715">
        <v>0.14090000000001601</v>
      </c>
      <c r="AD1715">
        <v>-1.1089361493829999</v>
      </c>
      <c r="AE1715">
        <v>-17.621899999999901</v>
      </c>
      <c r="AF1715">
        <v>3.91590299247386</v>
      </c>
      <c r="AG1715">
        <v>-1.1089361493829999</v>
      </c>
      <c r="AH1715">
        <v>17.110580628462301</v>
      </c>
      <c r="AI1715">
        <v>93.614948442883602</v>
      </c>
      <c r="AJ1715">
        <v>77.109364350117701</v>
      </c>
      <c r="AK1715">
        <v>17.587950564889098</v>
      </c>
      <c r="AL1715">
        <v>95.771723927977803</v>
      </c>
      <c r="AM1715">
        <v>89.547320945484003</v>
      </c>
      <c r="AN1715">
        <v>0.99999999239770798</v>
      </c>
    </row>
    <row r="1716" spans="1:40" x14ac:dyDescent="0.25">
      <c r="A1716" t="str">
        <f>"20190305134933749"</f>
        <v>20190305134933749</v>
      </c>
      <c r="B1716" t="str">
        <f>"1551764973742138"</f>
        <v>1551764973742138</v>
      </c>
      <c r="C1716" t="s">
        <v>40</v>
      </c>
      <c r="D1716">
        <v>4.3366339999999903</v>
      </c>
      <c r="E1716">
        <v>0.5832446</v>
      </c>
      <c r="F1716" t="s">
        <v>42</v>
      </c>
      <c r="G1716">
        <v>-194.80459999999999</v>
      </c>
      <c r="H1716" s="1">
        <v>-2.022535E-6</v>
      </c>
      <c r="I1716">
        <v>331.32380000000001</v>
      </c>
      <c r="J1716">
        <v>-194.93879999999999</v>
      </c>
      <c r="K1716">
        <v>1.1089389999999999</v>
      </c>
      <c r="L1716">
        <v>349.08530000000002</v>
      </c>
      <c r="M1716">
        <v>0.23026550000000001</v>
      </c>
      <c r="N1716">
        <v>-1.1590710000000001E-2</v>
      </c>
      <c r="O1716">
        <v>-0.97305889999999995</v>
      </c>
      <c r="P1716">
        <v>0.22067400000000001</v>
      </c>
      <c r="Q1716">
        <v>-0.111443899999999</v>
      </c>
      <c r="R1716">
        <v>-0.96895980000000004</v>
      </c>
      <c r="S1716">
        <v>2.8579710000000001E-2</v>
      </c>
      <c r="T1716">
        <v>-0.19008</v>
      </c>
      <c r="U1716">
        <v>-3.068451</v>
      </c>
      <c r="V1716">
        <v>8.2256669999999903E-3</v>
      </c>
      <c r="W1716">
        <v>-9.9932019999999996E-2</v>
      </c>
      <c r="X1716">
        <v>0.99496019999999996</v>
      </c>
      <c r="Y1716">
        <v>0.22111739999999999</v>
      </c>
      <c r="Z1716">
        <v>4.7011610000000002E-2</v>
      </c>
      <c r="AA1716">
        <v>0.97411349999999997</v>
      </c>
      <c r="AB1716">
        <v>24</v>
      </c>
      <c r="AC1716">
        <v>0.13419999999999199</v>
      </c>
      <c r="AD1716">
        <v>-1.1089410225349901</v>
      </c>
      <c r="AE1716">
        <v>-17.761500000000002</v>
      </c>
      <c r="AF1716">
        <v>3.9441677747143502</v>
      </c>
      <c r="AG1716">
        <v>-1.1089410225349901</v>
      </c>
      <c r="AH1716">
        <v>17.247818357598099</v>
      </c>
      <c r="AI1716">
        <v>93.586417756416594</v>
      </c>
      <c r="AJ1716">
        <v>77.119286671400104</v>
      </c>
      <c r="AK1716">
        <v>17.727759241462302</v>
      </c>
      <c r="AL1716">
        <v>95.735256276096607</v>
      </c>
      <c r="AM1716">
        <v>89.526327519717299</v>
      </c>
      <c r="AN1716">
        <v>0.999999934901455</v>
      </c>
    </row>
    <row r="1717" spans="1:40" x14ac:dyDescent="0.25">
      <c r="A1717" t="str">
        <f>"20190305134933767"</f>
        <v>20190305134933767</v>
      </c>
      <c r="B1717" t="str">
        <f>"1551764973762634"</f>
        <v>1551764973762634</v>
      </c>
      <c r="C1717" t="s">
        <v>40</v>
      </c>
      <c r="D1717">
        <v>4.3773099999999996</v>
      </c>
      <c r="E1717">
        <v>0.58329399999999998</v>
      </c>
      <c r="F1717" t="s">
        <v>42</v>
      </c>
      <c r="G1717">
        <v>-194.78450000000001</v>
      </c>
      <c r="H1717" s="1">
        <v>-1.8135479999999999E-6</v>
      </c>
      <c r="I1717">
        <v>330.84910000000002</v>
      </c>
      <c r="J1717">
        <v>-194.89779999999999</v>
      </c>
      <c r="K1717">
        <v>1.1089329999999999</v>
      </c>
      <c r="L1717">
        <v>348.90809999999999</v>
      </c>
      <c r="M1717">
        <v>0.22951070000000001</v>
      </c>
      <c r="N1717">
        <v>-1.158813E-2</v>
      </c>
      <c r="O1717">
        <v>-0.97323720000000002</v>
      </c>
      <c r="P1717">
        <v>0.21801880000000001</v>
      </c>
      <c r="Q1717">
        <v>-0.11037</v>
      </c>
      <c r="R1717">
        <v>-0.96968359999999998</v>
      </c>
      <c r="S1717">
        <v>2.5970460000000001E-2</v>
      </c>
      <c r="T1717">
        <v>-0.18660650000000001</v>
      </c>
      <c r="U1717">
        <v>-3.068695</v>
      </c>
      <c r="V1717">
        <v>1.020717E-2</v>
      </c>
      <c r="W1717">
        <v>-9.8862779999999997E-2</v>
      </c>
      <c r="X1717">
        <v>0.99504870000000001</v>
      </c>
      <c r="Y1717">
        <v>0.2211911</v>
      </c>
      <c r="Z1717">
        <v>4.5957129999999999E-2</v>
      </c>
      <c r="AA1717">
        <v>0.97414699999999999</v>
      </c>
      <c r="AB1717">
        <v>24</v>
      </c>
      <c r="AC1717">
        <v>0.113299999999981</v>
      </c>
      <c r="AD1717">
        <v>-1.1089348135479999</v>
      </c>
      <c r="AE1717">
        <v>-18.058999999999902</v>
      </c>
      <c r="AF1717">
        <v>4.0195805499469399</v>
      </c>
      <c r="AG1717">
        <v>-1.1089348135479999</v>
      </c>
      <c r="AH1717">
        <v>17.536751640038801</v>
      </c>
      <c r="AI1717">
        <v>93.527051475534094</v>
      </c>
      <c r="AJ1717">
        <v>77.090289203577498</v>
      </c>
      <c r="AK1717">
        <v>18.025660107264201</v>
      </c>
      <c r="AL1717">
        <v>95.673688203502707</v>
      </c>
      <c r="AM1717">
        <v>89.412282785668694</v>
      </c>
      <c r="AN1717">
        <v>0.99999997548021302</v>
      </c>
    </row>
    <row r="1718" spans="1:40" x14ac:dyDescent="0.25">
      <c r="A1718" t="str">
        <f>"20190305134933780"</f>
        <v>20190305134933780</v>
      </c>
      <c r="B1718" t="str">
        <f>"1551764973772393"</f>
        <v>1551764973772393</v>
      </c>
      <c r="C1718" t="s">
        <v>40</v>
      </c>
      <c r="D1718">
        <v>4.3283170000000002</v>
      </c>
      <c r="E1718">
        <v>0.58318599999999998</v>
      </c>
      <c r="F1718" t="s">
        <v>42</v>
      </c>
      <c r="G1718">
        <v>-194.79480000000001</v>
      </c>
      <c r="H1718" s="1">
        <v>-1.551113E-6</v>
      </c>
      <c r="I1718">
        <v>330.23090000000002</v>
      </c>
      <c r="J1718">
        <v>-194.86609999999999</v>
      </c>
      <c r="K1718">
        <v>1.1089279999999999</v>
      </c>
      <c r="L1718">
        <v>348.77089999999998</v>
      </c>
      <c r="M1718">
        <v>0.2289262</v>
      </c>
      <c r="N1718">
        <v>-1.1586290000000001E-2</v>
      </c>
      <c r="O1718">
        <v>-0.97337510000000005</v>
      </c>
      <c r="P1718">
        <v>0.21632290000000001</v>
      </c>
      <c r="Q1718">
        <v>-0.11040419999999999</v>
      </c>
      <c r="R1718">
        <v>-0.97005949999999996</v>
      </c>
      <c r="S1718">
        <v>1.6922E-2</v>
      </c>
      <c r="T1718">
        <v>-0.18223210000000001</v>
      </c>
      <c r="U1718">
        <v>-3.0692439999999999</v>
      </c>
      <c r="V1718">
        <v>1.134727E-2</v>
      </c>
      <c r="W1718">
        <v>-9.890082E-2</v>
      </c>
      <c r="X1718">
        <v>0.99503260000000004</v>
      </c>
      <c r="Y1718">
        <v>0.2234787</v>
      </c>
      <c r="Z1718">
        <v>4.4597570000000003E-2</v>
      </c>
      <c r="AA1718">
        <v>0.973688</v>
      </c>
      <c r="AB1718">
        <v>24</v>
      </c>
      <c r="AC1718">
        <v>7.1299999999979394E-2</v>
      </c>
      <c r="AD1718">
        <v>-1.108929551113</v>
      </c>
      <c r="AE1718">
        <v>-18.5399999999999</v>
      </c>
      <c r="AF1718">
        <v>4.1602857388284598</v>
      </c>
      <c r="AG1718">
        <v>-1.108929551113</v>
      </c>
      <c r="AH1718">
        <v>17.999510887275999</v>
      </c>
      <c r="AI1718">
        <v>93.435134718416094</v>
      </c>
      <c r="AJ1718">
        <v>76.985581704675596</v>
      </c>
      <c r="AK1718">
        <v>18.5072984079038</v>
      </c>
      <c r="AL1718">
        <v>95.675878307268803</v>
      </c>
      <c r="AM1718">
        <v>89.346631961299394</v>
      </c>
      <c r="AN1718">
        <v>1.00000000389794</v>
      </c>
    </row>
    <row r="1719" spans="1:40" x14ac:dyDescent="0.25">
      <c r="A1719" t="str">
        <f>"20190305134933793"</f>
        <v>20190305134933793</v>
      </c>
      <c r="B1719" t="str">
        <f>"1551764973782154"</f>
        <v>1551764973782154</v>
      </c>
      <c r="C1719" t="s">
        <v>40</v>
      </c>
      <c r="D1719">
        <v>4.355791</v>
      </c>
      <c r="E1719">
        <v>0.58306899999999995</v>
      </c>
      <c r="F1719" t="s">
        <v>42</v>
      </c>
      <c r="G1719">
        <v>-194.7894</v>
      </c>
      <c r="H1719" s="1">
        <v>-1.459477E-6</v>
      </c>
      <c r="I1719">
        <v>330.02069999999998</v>
      </c>
      <c r="J1719">
        <v>-194.83510000000001</v>
      </c>
      <c r="K1719">
        <v>1.108924</v>
      </c>
      <c r="L1719">
        <v>348.63600000000002</v>
      </c>
      <c r="M1719">
        <v>0.22834960000000001</v>
      </c>
      <c r="N1719">
        <v>-1.158464E-2</v>
      </c>
      <c r="O1719">
        <v>-0.97351049999999995</v>
      </c>
      <c r="P1719">
        <v>0.21503420000000001</v>
      </c>
      <c r="Q1719">
        <v>-0.1106781</v>
      </c>
      <c r="R1719">
        <v>-0.97031469999999997</v>
      </c>
      <c r="S1719">
        <v>1.255798E-2</v>
      </c>
      <c r="T1719">
        <v>-0.18151429999999999</v>
      </c>
      <c r="U1719">
        <v>-3.0691220000000001</v>
      </c>
      <c r="V1719">
        <v>1.2070859999999999E-2</v>
      </c>
      <c r="W1719">
        <v>-9.9178050000000004E-2</v>
      </c>
      <c r="X1719">
        <v>0.99499649999999995</v>
      </c>
      <c r="Y1719">
        <v>0.2242855</v>
      </c>
      <c r="Z1719">
        <v>4.4385470000000003E-2</v>
      </c>
      <c r="AA1719">
        <v>0.97351220000000005</v>
      </c>
      <c r="AB1719">
        <v>24</v>
      </c>
      <c r="AC1719">
        <v>4.5700000000010697E-2</v>
      </c>
      <c r="AD1719">
        <v>-1.1089254594769999</v>
      </c>
      <c r="AE1719">
        <v>-18.615299999999898</v>
      </c>
      <c r="AF1719">
        <v>4.19171335484838</v>
      </c>
      <c r="AG1719">
        <v>-1.1089254594769999</v>
      </c>
      <c r="AH1719">
        <v>18.069715553081998</v>
      </c>
      <c r="AI1719">
        <v>93.421176609874806</v>
      </c>
      <c r="AJ1719">
        <v>76.939834970231004</v>
      </c>
      <c r="AK1719">
        <v>18.582647730966301</v>
      </c>
      <c r="AL1719">
        <v>95.691840843370301</v>
      </c>
      <c r="AM1719">
        <v>89.304946894843795</v>
      </c>
      <c r="AN1719">
        <v>1.0000000131375899</v>
      </c>
    </row>
    <row r="1720" spans="1:40" x14ac:dyDescent="0.25">
      <c r="A1720" t="str">
        <f>"20190305134933812"</f>
        <v>20190305134933812</v>
      </c>
      <c r="B1720" t="str">
        <f>"1551764973802649"</f>
        <v>1551764973802649</v>
      </c>
      <c r="C1720" t="s">
        <v>40</v>
      </c>
      <c r="D1720">
        <v>4.3789949999999997</v>
      </c>
      <c r="E1720">
        <v>0.58305509999999905</v>
      </c>
      <c r="F1720" t="s">
        <v>42</v>
      </c>
      <c r="G1720">
        <v>-194.7783</v>
      </c>
      <c r="H1720" s="1">
        <v>-1.4029839999999999E-6</v>
      </c>
      <c r="I1720">
        <v>329.89589999999998</v>
      </c>
      <c r="J1720">
        <v>-194.79</v>
      </c>
      <c r="K1720">
        <v>1.1088979999999999</v>
      </c>
      <c r="L1720">
        <v>348.43920000000003</v>
      </c>
      <c r="M1720">
        <v>0.22749910000000001</v>
      </c>
      <c r="N1720">
        <v>-1.1582739999999999E-2</v>
      </c>
      <c r="O1720">
        <v>-0.97370950000000001</v>
      </c>
      <c r="P1720">
        <v>0.21269689999999999</v>
      </c>
      <c r="Q1720">
        <v>-0.11254459999999999</v>
      </c>
      <c r="R1720">
        <v>-0.97061540000000002</v>
      </c>
      <c r="S1720">
        <v>9.3078610000000006E-3</v>
      </c>
      <c r="T1720">
        <v>-0.18160519999999999</v>
      </c>
      <c r="U1720">
        <v>-3.069</v>
      </c>
      <c r="V1720">
        <v>1.354288E-2</v>
      </c>
      <c r="W1720">
        <v>-0.1010515</v>
      </c>
      <c r="X1720">
        <v>0.99478900000000003</v>
      </c>
      <c r="Y1720">
        <v>0.224465</v>
      </c>
      <c r="Z1720">
        <v>4.443254E-2</v>
      </c>
      <c r="AA1720">
        <v>0.97346869999999996</v>
      </c>
      <c r="AB1720">
        <v>24</v>
      </c>
      <c r="AC1720">
        <v>1.16999999999904E-2</v>
      </c>
      <c r="AD1720">
        <v>-1.108899402984</v>
      </c>
      <c r="AE1720">
        <v>-18.543299999999999</v>
      </c>
      <c r="AF1720">
        <v>4.1924807600201</v>
      </c>
      <c r="AG1720">
        <v>-1.108899402984</v>
      </c>
      <c r="AH1720">
        <v>17.995305793859199</v>
      </c>
      <c r="AI1720">
        <v>93.4344515284252</v>
      </c>
      <c r="AJ1720">
        <v>76.885376475765298</v>
      </c>
      <c r="AK1720">
        <v>18.510472263655998</v>
      </c>
      <c r="AL1720">
        <v>95.799723815368907</v>
      </c>
      <c r="AM1720">
        <v>89.220033660808497</v>
      </c>
      <c r="AN1720">
        <v>0.99999998488597197</v>
      </c>
    </row>
    <row r="1721" spans="1:40" x14ac:dyDescent="0.25">
      <c r="A1721" t="str">
        <f>"20190305134933824"</f>
        <v>20190305134933824</v>
      </c>
      <c r="B1721" t="str">
        <f>"1551764973812410"</f>
        <v>1551764973812410</v>
      </c>
      <c r="C1721" t="s">
        <v>40</v>
      </c>
      <c r="D1721">
        <v>4.3863070000000004</v>
      </c>
      <c r="E1721">
        <v>0.58298030000000001</v>
      </c>
      <c r="F1721" t="s">
        <v>42</v>
      </c>
      <c r="G1721">
        <v>-194.7757</v>
      </c>
      <c r="H1721" s="1">
        <v>-1.491998E-6</v>
      </c>
      <c r="I1721">
        <v>330.10489999999999</v>
      </c>
      <c r="J1721">
        <v>-194.7603</v>
      </c>
      <c r="K1721">
        <v>1.108886</v>
      </c>
      <c r="L1721">
        <v>348.30950000000001</v>
      </c>
      <c r="M1721">
        <v>0.22692689999999999</v>
      </c>
      <c r="N1721">
        <v>-1.158172E-2</v>
      </c>
      <c r="O1721">
        <v>-0.97384329999999997</v>
      </c>
      <c r="P1721">
        <v>0.21155940000000001</v>
      </c>
      <c r="Q1721">
        <v>-0.11339390000000001</v>
      </c>
      <c r="R1721">
        <v>-0.97076530000000005</v>
      </c>
      <c r="S1721">
        <v>2.380371E-3</v>
      </c>
      <c r="T1721">
        <v>-0.18560979999999999</v>
      </c>
      <c r="U1721">
        <v>-3.0688170000000001</v>
      </c>
      <c r="V1721">
        <v>1.4097470000000001E-2</v>
      </c>
      <c r="W1721">
        <v>-0.1019041</v>
      </c>
      <c r="X1721">
        <v>0.99469439999999998</v>
      </c>
      <c r="Y1721">
        <v>0.2260866</v>
      </c>
      <c r="Z1721">
        <v>4.5665810000000001E-2</v>
      </c>
      <c r="AA1721">
        <v>0.97303620000000002</v>
      </c>
      <c r="AB1721">
        <v>24</v>
      </c>
      <c r="AC1721">
        <v>-1.53999999999996E-2</v>
      </c>
      <c r="AD1721">
        <v>-1.1088874919980001</v>
      </c>
      <c r="AE1721">
        <v>-18.204599999999999</v>
      </c>
      <c r="AF1721">
        <v>4.1310596338675101</v>
      </c>
      <c r="AG1721">
        <v>-1.1088874919980001</v>
      </c>
      <c r="AH1721">
        <v>17.6605889282806</v>
      </c>
      <c r="AI1721">
        <v>93.4986215780241</v>
      </c>
      <c r="AJ1721">
        <v>76.834427873903905</v>
      </c>
      <c r="AK1721">
        <v>18.1711773548713</v>
      </c>
      <c r="AL1721">
        <v>95.848827202148101</v>
      </c>
      <c r="AM1721">
        <v>89.188020503359994</v>
      </c>
      <c r="AN1721">
        <v>1.0000000668242801</v>
      </c>
    </row>
    <row r="1722" spans="1:40" x14ac:dyDescent="0.25">
      <c r="A1722" t="str">
        <f>"20190305134933845"</f>
        <v>20190305134933845</v>
      </c>
      <c r="B1722" t="str">
        <f>"1551764973842666"</f>
        <v>1551764973842666</v>
      </c>
      <c r="C1722" t="s">
        <v>40</v>
      </c>
      <c r="D1722">
        <v>4.3644930000000004</v>
      </c>
      <c r="E1722">
        <v>0.5827348</v>
      </c>
      <c r="F1722" t="s">
        <v>42</v>
      </c>
      <c r="G1722">
        <v>-194.76329999999999</v>
      </c>
      <c r="H1722" s="1">
        <v>-1.5264229999999999E-6</v>
      </c>
      <c r="I1722">
        <v>330.19290000000001</v>
      </c>
      <c r="J1722">
        <v>-194.7116</v>
      </c>
      <c r="K1722">
        <v>1.1088579999999999</v>
      </c>
      <c r="L1722">
        <v>348.09519999999998</v>
      </c>
      <c r="M1722">
        <v>0.2259535</v>
      </c>
      <c r="N1722">
        <v>-1.1580170000000001E-2</v>
      </c>
      <c r="O1722">
        <v>-0.97406939999999997</v>
      </c>
      <c r="P1722">
        <v>0.2098362</v>
      </c>
      <c r="Q1722">
        <v>-0.1153787</v>
      </c>
      <c r="R1722">
        <v>-0.97090529999999997</v>
      </c>
      <c r="S1722">
        <v>-5.0354000000000002E-4</v>
      </c>
      <c r="T1722">
        <v>-0.18781690000000001</v>
      </c>
      <c r="U1722">
        <v>-3.0684809999999998</v>
      </c>
      <c r="V1722">
        <v>1.4805769999999999E-2</v>
      </c>
      <c r="W1722">
        <v>-0.10389519999999999</v>
      </c>
      <c r="X1722">
        <v>0.99447799999999997</v>
      </c>
      <c r="Y1722">
        <v>0.22602649999999999</v>
      </c>
      <c r="Z1722">
        <v>4.6371959999999997E-2</v>
      </c>
      <c r="AA1722">
        <v>0.97301680000000002</v>
      </c>
      <c r="AB1722">
        <v>24</v>
      </c>
      <c r="AC1722">
        <v>-5.1699999999982503E-2</v>
      </c>
      <c r="AD1722">
        <v>-1.1088595264229999</v>
      </c>
      <c r="AE1722">
        <v>-17.902299999999901</v>
      </c>
      <c r="AF1722">
        <v>4.0800677280042601</v>
      </c>
      <c r="AG1722">
        <v>-1.1088595264229999</v>
      </c>
      <c r="AH1722">
        <v>17.3609621331935</v>
      </c>
      <c r="AI1722">
        <v>93.557892093476795</v>
      </c>
      <c r="AJ1722">
        <v>76.774693111385204</v>
      </c>
      <c r="AK1722">
        <v>17.868394676204701</v>
      </c>
      <c r="AL1722">
        <v>95.9635182987885</v>
      </c>
      <c r="AM1722">
        <v>89.147044514428799</v>
      </c>
      <c r="AN1722">
        <v>0.99999995794616503</v>
      </c>
    </row>
    <row r="1723" spans="1:40" x14ac:dyDescent="0.25">
      <c r="A1723" t="str">
        <f>"20190305134933860"</f>
        <v>20190305134933860</v>
      </c>
      <c r="B1723" t="str">
        <f>"1551764973852426"</f>
        <v>1551764973852426</v>
      </c>
      <c r="C1723" t="s">
        <v>40</v>
      </c>
      <c r="D1723">
        <v>4.3805690000000004</v>
      </c>
      <c r="E1723">
        <v>0.58266870000000004</v>
      </c>
      <c r="F1723" t="s">
        <v>42</v>
      </c>
      <c r="G1723">
        <v>-194.73410000000001</v>
      </c>
      <c r="H1723" s="1">
        <v>-1.6405480000000001E-6</v>
      </c>
      <c r="I1723">
        <v>330.47710000000001</v>
      </c>
      <c r="J1723">
        <v>-194.67830000000001</v>
      </c>
      <c r="K1723">
        <v>1.1088249999999999</v>
      </c>
      <c r="L1723">
        <v>347.94830000000002</v>
      </c>
      <c r="M1723">
        <v>0.22524449999999999</v>
      </c>
      <c r="N1723">
        <v>-1.158172E-2</v>
      </c>
      <c r="O1723">
        <v>-0.97423329999999997</v>
      </c>
      <c r="P1723">
        <v>0.20896400000000001</v>
      </c>
      <c r="Q1723">
        <v>-0.11585239999999999</v>
      </c>
      <c r="R1723">
        <v>-0.97103669999999997</v>
      </c>
      <c r="S1723">
        <v>-3.9215090000000001E-3</v>
      </c>
      <c r="T1723">
        <v>-0.193083</v>
      </c>
      <c r="U1723">
        <v>-3.0678100000000001</v>
      </c>
      <c r="V1723">
        <v>1.4953889999999999E-2</v>
      </c>
      <c r="W1723">
        <v>-0.1043694</v>
      </c>
      <c r="X1723">
        <v>0.99442620000000004</v>
      </c>
      <c r="Y1723">
        <v>0.22639880000000001</v>
      </c>
      <c r="Z1723">
        <v>4.8013859999999998E-2</v>
      </c>
      <c r="AA1723">
        <v>0.97285060000000001</v>
      </c>
      <c r="AB1723">
        <v>24</v>
      </c>
      <c r="AC1723">
        <v>-5.5800000000004901E-2</v>
      </c>
      <c r="AD1723">
        <v>-1.1088266405479901</v>
      </c>
      <c r="AE1723">
        <v>-17.4712</v>
      </c>
      <c r="AF1723">
        <v>3.9739155557301298</v>
      </c>
      <c r="AG1723">
        <v>-1.1088266405479901</v>
      </c>
      <c r="AH1723">
        <v>16.9413612980984</v>
      </c>
      <c r="AI1723">
        <v>93.646030843739297</v>
      </c>
      <c r="AJ1723">
        <v>76.798861560012199</v>
      </c>
      <c r="AK1723">
        <v>17.4364911606541</v>
      </c>
      <c r="AL1723">
        <v>95.990836048962294</v>
      </c>
      <c r="AM1723">
        <v>89.138467781745803</v>
      </c>
      <c r="AN1723">
        <v>1.0000000288644599</v>
      </c>
    </row>
    <row r="1724" spans="1:40" x14ac:dyDescent="0.25">
      <c r="A1724" t="str">
        <f>"20190305134933880"</f>
        <v>20190305134933880</v>
      </c>
      <c r="B1724" t="str">
        <f>"1551764973871945"</f>
        <v>1551764973871945</v>
      </c>
      <c r="C1724" t="s">
        <v>40</v>
      </c>
      <c r="D1724">
        <v>4.4335199999999997</v>
      </c>
      <c r="E1724">
        <v>0.58258909999999997</v>
      </c>
      <c r="F1724" t="s">
        <v>42</v>
      </c>
      <c r="G1724">
        <v>-194.71340000000001</v>
      </c>
      <c r="H1724" s="1">
        <v>-1.59717899999999E-6</v>
      </c>
      <c r="I1724">
        <v>330.3888</v>
      </c>
      <c r="J1724">
        <v>-194.62790000000001</v>
      </c>
      <c r="K1724">
        <v>1.108754</v>
      </c>
      <c r="L1724">
        <v>347.72460000000001</v>
      </c>
      <c r="M1724">
        <v>0.22407920000000001</v>
      </c>
      <c r="N1724">
        <v>-1.1591550000000001E-2</v>
      </c>
      <c r="O1724">
        <v>-0.97450219999999999</v>
      </c>
      <c r="P1724">
        <v>0.2077341</v>
      </c>
      <c r="Q1724">
        <v>-0.11703379999999999</v>
      </c>
      <c r="R1724">
        <v>-0.9711592</v>
      </c>
      <c r="S1724">
        <v>-6.1340329999999997E-3</v>
      </c>
      <c r="T1724">
        <v>-0.19371469999999999</v>
      </c>
      <c r="U1724">
        <v>-3.067688</v>
      </c>
      <c r="V1724">
        <v>1.4971780000000001E-2</v>
      </c>
      <c r="W1724">
        <v>-0.10554520000000001</v>
      </c>
      <c r="X1724">
        <v>0.99430180000000001</v>
      </c>
      <c r="Y1724">
        <v>0.22593540000000001</v>
      </c>
      <c r="Z1724">
        <v>4.8228439999999997E-2</v>
      </c>
      <c r="AA1724">
        <v>0.97294769999999997</v>
      </c>
      <c r="AB1724">
        <v>24</v>
      </c>
      <c r="AC1724">
        <v>-8.5499999999996107E-2</v>
      </c>
      <c r="AD1724">
        <v>-1.108755597179</v>
      </c>
      <c r="AE1724">
        <v>-17.335799999999999</v>
      </c>
      <c r="AF1724">
        <v>3.95201236763282</v>
      </c>
      <c r="AG1724">
        <v>-1.108755597179</v>
      </c>
      <c r="AH1724">
        <v>16.806998424918401</v>
      </c>
      <c r="AI1724">
        <v>93.674397922508305</v>
      </c>
      <c r="AJ1724">
        <v>76.767799759953803</v>
      </c>
      <c r="AK1724">
        <v>17.3009519039678</v>
      </c>
      <c r="AL1724">
        <v>96.058578725226496</v>
      </c>
      <c r="AM1724">
        <v>89.137329346843302</v>
      </c>
      <c r="AN1724">
        <v>1.0000000064613199</v>
      </c>
    </row>
    <row r="1725" spans="1:40" x14ac:dyDescent="0.25">
      <c r="A1725" t="str">
        <f>"20190305134933903"</f>
        <v>20190305134933903</v>
      </c>
      <c r="B1725" t="str">
        <f>"1551764973892442"</f>
        <v>1551764973892442</v>
      </c>
      <c r="C1725" t="s">
        <v>40</v>
      </c>
      <c r="D1725">
        <v>4.36904</v>
      </c>
      <c r="E1725">
        <v>0.58347990000000005</v>
      </c>
      <c r="F1725" t="s">
        <v>42</v>
      </c>
      <c r="G1725">
        <v>-194.67920000000001</v>
      </c>
      <c r="H1725" s="1">
        <v>-1.586715E-6</v>
      </c>
      <c r="I1725">
        <v>330.38560000000001</v>
      </c>
      <c r="J1725">
        <v>-194.5761</v>
      </c>
      <c r="K1725">
        <v>1.108654</v>
      </c>
      <c r="L1725">
        <v>347.49239999999998</v>
      </c>
      <c r="M1725">
        <v>0.2227286</v>
      </c>
      <c r="N1725">
        <v>-1.1611089999999999E-2</v>
      </c>
      <c r="O1725">
        <v>-0.9748116</v>
      </c>
      <c r="P1725">
        <v>0.2070419</v>
      </c>
      <c r="Q1725">
        <v>-0.117117899999999</v>
      </c>
      <c r="R1725">
        <v>-0.97129699999999997</v>
      </c>
      <c r="S1725">
        <v>-9.0789789999999992E-3</v>
      </c>
      <c r="T1725">
        <v>-0.19614789999999999</v>
      </c>
      <c r="U1725">
        <v>-3.0674130000000002</v>
      </c>
      <c r="V1725">
        <v>1.4274E-2</v>
      </c>
      <c r="W1725">
        <v>-0.1056122</v>
      </c>
      <c r="X1725">
        <v>0.99430499999999999</v>
      </c>
      <c r="Y1725">
        <v>0.22551860000000001</v>
      </c>
      <c r="Z1725">
        <v>4.8994330000000003E-2</v>
      </c>
      <c r="AA1725">
        <v>0.97300609999999998</v>
      </c>
      <c r="AB1725">
        <v>24</v>
      </c>
      <c r="AC1725">
        <v>-0.103100000000011</v>
      </c>
      <c r="AD1725">
        <v>-1.1086555867149901</v>
      </c>
      <c r="AE1725">
        <v>-17.1067999999999</v>
      </c>
      <c r="AF1725">
        <v>3.8945824534179501</v>
      </c>
      <c r="AG1725">
        <v>-1.1086555867149901</v>
      </c>
      <c r="AH1725">
        <v>16.584409221262199</v>
      </c>
      <c r="AI1725">
        <v>93.723495217467502</v>
      </c>
      <c r="AJ1725">
        <v>76.784464776110696</v>
      </c>
      <c r="AK1725">
        <v>17.071599776081701</v>
      </c>
      <c r="AL1725">
        <v>96.062438802029803</v>
      </c>
      <c r="AM1725">
        <v>89.177532264792504</v>
      </c>
      <c r="AN1725">
        <v>1.00000005844491</v>
      </c>
    </row>
    <row r="1726" spans="1:40" x14ac:dyDescent="0.25">
      <c r="A1726" t="str">
        <f>"20190305134933923"</f>
        <v>20190305134933923</v>
      </c>
      <c r="B1726" t="str">
        <f>"1551764973911961"</f>
        <v>1551764973911961</v>
      </c>
      <c r="C1726" t="s">
        <v>40</v>
      </c>
      <c r="D1726">
        <v>4.4361139999999999</v>
      </c>
      <c r="E1726">
        <v>0.60807719999999998</v>
      </c>
      <c r="F1726" t="s">
        <v>42</v>
      </c>
      <c r="G1726">
        <v>-194.6799</v>
      </c>
      <c r="H1726" s="1">
        <v>-1.4175399999999901E-6</v>
      </c>
      <c r="I1726">
        <v>329.99079999999998</v>
      </c>
      <c r="J1726">
        <v>-194.5291</v>
      </c>
      <c r="K1726">
        <v>1.108552</v>
      </c>
      <c r="L1726">
        <v>347.27969999999999</v>
      </c>
      <c r="M1726">
        <v>0.22134180000000001</v>
      </c>
      <c r="N1726">
        <v>-1.163494E-2</v>
      </c>
      <c r="O1726">
        <v>-0.97512690000000002</v>
      </c>
      <c r="P1726">
        <v>0.20672850000000001</v>
      </c>
      <c r="Q1726">
        <v>-0.1165508</v>
      </c>
      <c r="R1726">
        <v>-0.97143170000000001</v>
      </c>
      <c r="S1726">
        <v>-1.820374E-2</v>
      </c>
      <c r="T1726">
        <v>-0.19441079999999999</v>
      </c>
      <c r="U1726">
        <v>-3.0690309999999998</v>
      </c>
      <c r="V1726">
        <v>1.3168300000000001E-2</v>
      </c>
      <c r="W1726">
        <v>-0.1050218</v>
      </c>
      <c r="X1726">
        <v>0.99438269999999995</v>
      </c>
      <c r="Y1726">
        <v>0.227024</v>
      </c>
      <c r="Z1726">
        <v>4.8418460000000003E-2</v>
      </c>
      <c r="AA1726">
        <v>0.97268480000000002</v>
      </c>
      <c r="AB1726">
        <v>24</v>
      </c>
      <c r="AC1726">
        <v>-0.15080000000000299</v>
      </c>
      <c r="AD1726">
        <v>-1.10855341754</v>
      </c>
      <c r="AE1726">
        <v>-17.288900000000002</v>
      </c>
      <c r="AF1726">
        <v>3.95780385317331</v>
      </c>
      <c r="AG1726">
        <v>-1.10855341754</v>
      </c>
      <c r="AH1726">
        <v>16.757741027387201</v>
      </c>
      <c r="AI1726">
        <v>93.683648126986895</v>
      </c>
      <c r="AJ1726">
        <v>76.711522619712994</v>
      </c>
      <c r="AK1726">
        <v>17.254419328412901</v>
      </c>
      <c r="AL1726">
        <v>96.028422744046296</v>
      </c>
      <c r="AM1726">
        <v>89.241294208504996</v>
      </c>
      <c r="AN1726">
        <v>0.99999996832970905</v>
      </c>
    </row>
    <row r="1727" spans="1:40" x14ac:dyDescent="0.25">
      <c r="A1727" t="str">
        <f>"20190305134933936"</f>
        <v>20190305134933936</v>
      </c>
      <c r="B1727" t="str">
        <f>"1551764973932457"</f>
        <v>1551764973932457</v>
      </c>
      <c r="C1727" t="s">
        <v>40</v>
      </c>
      <c r="D1727">
        <v>4.3911879999999996</v>
      </c>
      <c r="E1727">
        <v>0.60810659999999905</v>
      </c>
      <c r="F1727" t="s">
        <v>42</v>
      </c>
      <c r="G1727">
        <v>-196.49039999999999</v>
      </c>
      <c r="H1727" s="1">
        <v>-5.047856E-6</v>
      </c>
      <c r="I1727">
        <v>317.43299999999999</v>
      </c>
      <c r="J1727">
        <v>-194.50030000000001</v>
      </c>
      <c r="K1727">
        <v>1.108481</v>
      </c>
      <c r="L1727">
        <v>347.14859999999999</v>
      </c>
      <c r="M1727">
        <v>0.22040409999999999</v>
      </c>
      <c r="N1727">
        <v>-1.165308E-2</v>
      </c>
      <c r="O1727">
        <v>-0.97533919999999996</v>
      </c>
      <c r="P1727">
        <v>0.20653009999999999</v>
      </c>
      <c r="Q1727">
        <v>-0.11625000000000001</v>
      </c>
      <c r="R1727">
        <v>-0.97150999999999998</v>
      </c>
      <c r="S1727">
        <v>-0.2048798</v>
      </c>
      <c r="T1727">
        <v>-0.1158025</v>
      </c>
      <c r="U1727">
        <v>-3.1178590000000002</v>
      </c>
      <c r="V1727">
        <v>1.240481E-2</v>
      </c>
      <c r="W1727">
        <v>-0.104703</v>
      </c>
      <c r="X1727">
        <v>0.99442620000000004</v>
      </c>
      <c r="Y1727">
        <v>0.28379989999999999</v>
      </c>
      <c r="Z1727">
        <v>2.320999E-2</v>
      </c>
      <c r="AA1727">
        <v>0.95860259999999997</v>
      </c>
      <c r="AB1727">
        <v>24</v>
      </c>
      <c r="AC1727">
        <v>-1.99009999999998</v>
      </c>
      <c r="AD1727">
        <v>-1.1084860478559999</v>
      </c>
      <c r="AE1727">
        <v>-29.715599999999899</v>
      </c>
      <c r="AF1727">
        <v>8.47929133555124</v>
      </c>
      <c r="AG1727">
        <v>-1.1084860478559999</v>
      </c>
      <c r="AH1727">
        <v>28.506606503376499</v>
      </c>
      <c r="AI1727">
        <v>92.134503291340806</v>
      </c>
      <c r="AJ1727">
        <v>73.434887973169495</v>
      </c>
      <c r="AK1727">
        <v>29.761615164668001</v>
      </c>
      <c r="AL1727">
        <v>96.010055199579597</v>
      </c>
      <c r="AM1727">
        <v>89.285310065188298</v>
      </c>
      <c r="AN1727">
        <v>1.0000000323832801</v>
      </c>
    </row>
    <row r="1728" spans="1:40" x14ac:dyDescent="0.25">
      <c r="A1728" t="str">
        <f>"20190305134933948"</f>
        <v>20190305134933948</v>
      </c>
      <c r="B1728" t="str">
        <f>"1551764973942218"</f>
        <v>1551764973942218</v>
      </c>
      <c r="C1728" t="s">
        <v>40</v>
      </c>
      <c r="D1728">
        <v>4.1812880000000003</v>
      </c>
      <c r="E1728">
        <v>0.60810659999999905</v>
      </c>
      <c r="F1728" t="s">
        <v>42</v>
      </c>
      <c r="G1728">
        <v>-196.62780000000001</v>
      </c>
      <c r="H1728" s="1">
        <v>-4.072884E-6</v>
      </c>
      <c r="I1728">
        <v>314.83069999999998</v>
      </c>
      <c r="J1728">
        <v>-194.47020000000001</v>
      </c>
      <c r="K1728">
        <v>1.1083970000000001</v>
      </c>
      <c r="L1728">
        <v>347.0104</v>
      </c>
      <c r="M1728">
        <v>0.2193551</v>
      </c>
      <c r="N1728">
        <v>-1.1674830000000001E-2</v>
      </c>
      <c r="O1728">
        <v>-0.97557539999999998</v>
      </c>
      <c r="P1728">
        <v>0.2058789</v>
      </c>
      <c r="Q1728">
        <v>-0.1160035</v>
      </c>
      <c r="R1728">
        <v>-0.97167769999999998</v>
      </c>
      <c r="S1728">
        <v>-0.20530699999999999</v>
      </c>
      <c r="T1728">
        <v>-0.106972</v>
      </c>
      <c r="U1728">
        <v>-3.1187740000000002</v>
      </c>
      <c r="V1728">
        <v>1.1987360000000001E-2</v>
      </c>
      <c r="W1728">
        <v>-0.104436</v>
      </c>
      <c r="X1728">
        <v>0.99445939999999999</v>
      </c>
      <c r="Y1728">
        <v>0.28289029999999998</v>
      </c>
      <c r="Z1728">
        <v>2.0533160000000002E-2</v>
      </c>
      <c r="AA1728">
        <v>0.95893249999999997</v>
      </c>
      <c r="AB1728">
        <v>24</v>
      </c>
      <c r="AC1728">
        <v>-2.1576</v>
      </c>
      <c r="AD1728">
        <v>-1.1084010728839999</v>
      </c>
      <c r="AE1728">
        <v>-32.179699999999997</v>
      </c>
      <c r="AF1728">
        <v>9.1534948184049405</v>
      </c>
      <c r="AG1728">
        <v>-1.1084010728839999</v>
      </c>
      <c r="AH1728">
        <v>30.886066483471701</v>
      </c>
      <c r="AI1728">
        <v>91.970629238442598</v>
      </c>
      <c r="AJ1728">
        <v>73.492112502695093</v>
      </c>
      <c r="AK1728">
        <v>32.2329664032086</v>
      </c>
      <c r="AL1728">
        <v>95.994672869465802</v>
      </c>
      <c r="AM1728">
        <v>89.309381687569399</v>
      </c>
      <c r="AN1728">
        <v>1.00000003657206</v>
      </c>
    </row>
    <row r="1729" spans="1:40" x14ac:dyDescent="0.25">
      <c r="A1729" t="str">
        <f>"20190305134933961"</f>
        <v>20190305134933961</v>
      </c>
      <c r="B1729" t="str">
        <f>"1551764973951978"</f>
        <v>1551764973951978</v>
      </c>
      <c r="C1729" t="s">
        <v>40</v>
      </c>
      <c r="D1729">
        <v>4.4378289999999998</v>
      </c>
      <c r="E1729">
        <v>0.60775109999999999</v>
      </c>
      <c r="F1729" t="s">
        <v>42</v>
      </c>
      <c r="G1729">
        <v>-196.62909999999999</v>
      </c>
      <c r="H1729" s="1">
        <v>-3.9631829999999998E-6</v>
      </c>
      <c r="I1729">
        <v>314.5444</v>
      </c>
      <c r="J1729">
        <v>-194.4419</v>
      </c>
      <c r="K1729">
        <v>1.10832</v>
      </c>
      <c r="L1729">
        <v>346.87909999999999</v>
      </c>
      <c r="M1729">
        <v>0.2182491</v>
      </c>
      <c r="N1729">
        <v>-1.169836E-2</v>
      </c>
      <c r="O1729">
        <v>-0.9758232</v>
      </c>
      <c r="P1729">
        <v>0.20542260000000001</v>
      </c>
      <c r="Q1729">
        <v>-0.11575589999999999</v>
      </c>
      <c r="R1729">
        <v>-0.9718038</v>
      </c>
      <c r="S1729">
        <v>-0.20738219999999999</v>
      </c>
      <c r="T1729">
        <v>-0.106474</v>
      </c>
      <c r="U1729">
        <v>-3.1187130000000001</v>
      </c>
      <c r="V1729">
        <v>1.13131E-2</v>
      </c>
      <c r="W1729">
        <v>-0.1041651</v>
      </c>
      <c r="X1729">
        <v>0.99449569999999998</v>
      </c>
      <c r="Y1729">
        <v>0.28244000000000002</v>
      </c>
      <c r="Z1729">
        <v>2.0373749999999999E-2</v>
      </c>
      <c r="AA1729">
        <v>0.95906860000000005</v>
      </c>
      <c r="AB1729">
        <v>24</v>
      </c>
      <c r="AC1729">
        <v>-2.18719999999999</v>
      </c>
      <c r="AD1729">
        <v>-1.108323963183</v>
      </c>
      <c r="AE1729">
        <v>-32.334699999999998</v>
      </c>
      <c r="AF1729">
        <v>9.1812288809726805</v>
      </c>
      <c r="AG1729">
        <v>-1.108323963183</v>
      </c>
      <c r="AH1729">
        <v>31.041411748604499</v>
      </c>
      <c r="AI1729">
        <v>91.960953227529899</v>
      </c>
      <c r="AJ1729">
        <v>73.523175888360001</v>
      </c>
      <c r="AK1729">
        <v>32.389698811791597</v>
      </c>
      <c r="AL1729">
        <v>95.979066387077296</v>
      </c>
      <c r="AM1729">
        <v>89.348247634283595</v>
      </c>
      <c r="AN1729">
        <v>1.00000002580405</v>
      </c>
    </row>
    <row r="1730" spans="1:40" x14ac:dyDescent="0.25">
      <c r="A1730" t="str">
        <f>"20190305134933980"</f>
        <v>20190305134933980</v>
      </c>
      <c r="B1730" t="str">
        <f>"1551764973972474"</f>
        <v>1551764973972474</v>
      </c>
      <c r="C1730" t="s">
        <v>40</v>
      </c>
      <c r="D1730">
        <v>4.2060890000000004</v>
      </c>
      <c r="E1730">
        <v>0.60723530000000003</v>
      </c>
      <c r="F1730" t="s">
        <v>42</v>
      </c>
      <c r="G1730">
        <v>-196.63890000000001</v>
      </c>
      <c r="H1730" s="1">
        <v>-3.62305E-6</v>
      </c>
      <c r="I1730">
        <v>313.65410000000003</v>
      </c>
      <c r="J1730">
        <v>-194.40010000000001</v>
      </c>
      <c r="K1730">
        <v>1.1082050000000001</v>
      </c>
      <c r="L1730">
        <v>346.68310000000002</v>
      </c>
      <c r="M1730">
        <v>0.21648709999999999</v>
      </c>
      <c r="N1730">
        <v>-1.1736089999999999E-2</v>
      </c>
      <c r="O1730">
        <v>-0.9762149</v>
      </c>
      <c r="P1730">
        <v>0.2043971</v>
      </c>
      <c r="Q1730">
        <v>-0.11530079999999999</v>
      </c>
      <c r="R1730">
        <v>-0.97207399999999999</v>
      </c>
      <c r="S1730">
        <v>-0.20619199999999999</v>
      </c>
      <c r="T1730">
        <v>-0.10401729999999999</v>
      </c>
      <c r="U1730">
        <v>-3.1181950000000001</v>
      </c>
      <c r="V1730">
        <v>1.054823E-2</v>
      </c>
      <c r="W1730">
        <v>-0.1036728</v>
      </c>
      <c r="X1730">
        <v>0.99455550000000004</v>
      </c>
      <c r="Y1730">
        <v>0.28035660000000001</v>
      </c>
      <c r="Z1730">
        <v>1.9631050000000001E-2</v>
      </c>
      <c r="AA1730">
        <v>0.95969519999999997</v>
      </c>
      <c r="AB1730">
        <v>24</v>
      </c>
      <c r="AC1730">
        <v>-2.2387999999999901</v>
      </c>
      <c r="AD1730">
        <v>-1.1082086230499999</v>
      </c>
      <c r="AE1730">
        <v>-33.029000000000003</v>
      </c>
      <c r="AF1730">
        <v>9.3260945944356095</v>
      </c>
      <c r="AG1730">
        <v>-1.1082086230499999</v>
      </c>
      <c r="AH1730">
        <v>31.725366759240998</v>
      </c>
      <c r="AI1730">
        <v>91.919451879278199</v>
      </c>
      <c r="AJ1730">
        <v>73.618597536979095</v>
      </c>
      <c r="AK1730">
        <v>33.086297205110696</v>
      </c>
      <c r="AL1730">
        <v>95.950706408180196</v>
      </c>
      <c r="AM1730">
        <v>89.392345222861493</v>
      </c>
      <c r="AN1730">
        <v>0.99999997859811096</v>
      </c>
    </row>
    <row r="1731" spans="1:40" x14ac:dyDescent="0.25">
      <c r="A1731" t="str">
        <f>"20190305134934016"</f>
        <v>20190305134934016</v>
      </c>
      <c r="B1731" t="str">
        <f>"1551764974012490"</f>
        <v>1551764974012490</v>
      </c>
      <c r="C1731" t="s">
        <v>40</v>
      </c>
      <c r="D1731">
        <v>4.2090129999999997</v>
      </c>
      <c r="E1731">
        <v>0.60723530000000003</v>
      </c>
      <c r="F1731" t="s">
        <v>42</v>
      </c>
      <c r="G1731">
        <v>-196.6542</v>
      </c>
      <c r="H1731" s="1">
        <v>-3.1276200000000001E-6</v>
      </c>
      <c r="I1731">
        <v>312.46260000000001</v>
      </c>
      <c r="J1731">
        <v>-194.32220000000001</v>
      </c>
      <c r="K1731">
        <v>1.107972</v>
      </c>
      <c r="L1731">
        <v>346.31099999999998</v>
      </c>
      <c r="M1731">
        <v>0.21272640000000001</v>
      </c>
      <c r="N1731">
        <v>-1.1822239999999999E-2</v>
      </c>
      <c r="O1731">
        <v>-0.97704049999999998</v>
      </c>
      <c r="P1731">
        <v>0.2008607</v>
      </c>
      <c r="Q1731">
        <v>-0.1152273</v>
      </c>
      <c r="R1731">
        <v>-0.97281969999999995</v>
      </c>
      <c r="S1731">
        <v>-0.20533750000000001</v>
      </c>
      <c r="T1731">
        <v>-0.1009538</v>
      </c>
      <c r="U1731">
        <v>-3.1173709999999999</v>
      </c>
      <c r="V1731">
        <v>1.0278590000000001E-2</v>
      </c>
      <c r="W1731">
        <v>-0.10351870000000001</v>
      </c>
      <c r="X1731">
        <v>0.99457439999999997</v>
      </c>
      <c r="Y1731">
        <v>0.27641670000000002</v>
      </c>
      <c r="Z1731">
        <v>1.868763E-2</v>
      </c>
      <c r="AA1731">
        <v>0.96085620000000005</v>
      </c>
      <c r="AB1731">
        <v>24</v>
      </c>
      <c r="AC1731">
        <v>-2.3319999999999901</v>
      </c>
      <c r="AD1731">
        <v>-1.1079751276200001</v>
      </c>
      <c r="AE1731">
        <v>-33.848399999999899</v>
      </c>
      <c r="AF1731">
        <v>9.4694687830227302</v>
      </c>
      <c r="AG1731">
        <v>-1.1079751276200001</v>
      </c>
      <c r="AH1731">
        <v>32.542745299279098</v>
      </c>
      <c r="AI1731">
        <v>91.872382121494695</v>
      </c>
      <c r="AJ1731">
        <v>73.775767181498793</v>
      </c>
      <c r="AK1731">
        <v>33.910598926144303</v>
      </c>
      <c r="AL1731">
        <v>95.941829214424502</v>
      </c>
      <c r="AM1731">
        <v>89.407888579159305</v>
      </c>
      <c r="AN1731">
        <v>1.00000000389871</v>
      </c>
    </row>
    <row r="1732" spans="1:40" x14ac:dyDescent="0.25">
      <c r="A1732" t="str">
        <f>"20190305134934028"</f>
        <v>20190305134934028</v>
      </c>
      <c r="B1732" t="str">
        <f>"1551764974022250"</f>
        <v>1551764974022250</v>
      </c>
      <c r="C1732" t="s">
        <v>40</v>
      </c>
      <c r="D1732">
        <v>4.1698919999999999</v>
      </c>
      <c r="E1732">
        <v>0.60723530000000003</v>
      </c>
      <c r="F1732" t="s">
        <v>42</v>
      </c>
      <c r="G1732">
        <v>-196.70240000000001</v>
      </c>
      <c r="H1732" s="1">
        <v>-2.9707249999999998E-6</v>
      </c>
      <c r="I1732">
        <v>312.1035</v>
      </c>
      <c r="J1732">
        <v>-194.2937</v>
      </c>
      <c r="K1732">
        <v>1.1078950000000001</v>
      </c>
      <c r="L1732">
        <v>346.17320000000001</v>
      </c>
      <c r="M1732">
        <v>0.21122199999999999</v>
      </c>
      <c r="N1732">
        <v>-1.185921E-2</v>
      </c>
      <c r="O1732">
        <v>-0.97736639999999997</v>
      </c>
      <c r="P1732">
        <v>0.19907630000000001</v>
      </c>
      <c r="Q1732">
        <v>-0.1157492</v>
      </c>
      <c r="R1732">
        <v>-0.97312469999999995</v>
      </c>
      <c r="S1732">
        <v>-0.21685789999999999</v>
      </c>
      <c r="T1732">
        <v>-0.10094740000000001</v>
      </c>
      <c r="U1732">
        <v>-3.116638</v>
      </c>
      <c r="V1732">
        <v>1.0536429999999999E-2</v>
      </c>
      <c r="W1732">
        <v>-0.10400760000000001</v>
      </c>
      <c r="X1732">
        <v>0.99452070000000004</v>
      </c>
      <c r="Y1732">
        <v>0.27848600000000001</v>
      </c>
      <c r="Z1732">
        <v>1.8653779999999998E-2</v>
      </c>
      <c r="AA1732">
        <v>0.96025910000000003</v>
      </c>
      <c r="AB1732">
        <v>24</v>
      </c>
      <c r="AC1732">
        <v>-2.4087000000000098</v>
      </c>
      <c r="AD1732">
        <v>-1.1078979707250001</v>
      </c>
      <c r="AE1732">
        <v>-34.069699999999997</v>
      </c>
      <c r="AF1732">
        <v>9.5410830050988693</v>
      </c>
      <c r="AG1732">
        <v>-1.1078979707250001</v>
      </c>
      <c r="AH1732">
        <v>32.757640668065299</v>
      </c>
      <c r="AI1732">
        <v>91.859839903985005</v>
      </c>
      <c r="AJ1732">
        <v>73.761121905900396</v>
      </c>
      <c r="AK1732">
        <v>34.136823592153597</v>
      </c>
      <c r="AL1732">
        <v>95.969993112746096</v>
      </c>
      <c r="AM1732">
        <v>89.3930037002917</v>
      </c>
      <c r="AN1732">
        <v>1.0000000099716899</v>
      </c>
    </row>
    <row r="1733" spans="1:40" x14ac:dyDescent="0.25">
      <c r="A1733" t="str">
        <f>"20190305134934046"</f>
        <v>20190305134934046</v>
      </c>
      <c r="B1733" t="str">
        <f>"1551764974041770"</f>
        <v>1551764974041770</v>
      </c>
      <c r="C1733" t="s">
        <v>40</v>
      </c>
      <c r="D1733">
        <v>4.1864840000000001</v>
      </c>
      <c r="E1733">
        <v>0.60723530000000003</v>
      </c>
      <c r="F1733" t="s">
        <v>42</v>
      </c>
      <c r="G1733">
        <v>-196.69489999999999</v>
      </c>
      <c r="H1733" s="1">
        <v>-3.1849319999999998E-6</v>
      </c>
      <c r="I1733">
        <v>312.5609</v>
      </c>
      <c r="J1733">
        <v>-194.25559999999999</v>
      </c>
      <c r="K1733">
        <v>1.1078049999999999</v>
      </c>
      <c r="L1733">
        <v>345.9853</v>
      </c>
      <c r="M1733">
        <v>0.2090679</v>
      </c>
      <c r="N1733">
        <v>-1.1919030000000001E-2</v>
      </c>
      <c r="O1733">
        <v>-0.97782840000000004</v>
      </c>
      <c r="P1733">
        <v>0.1963086</v>
      </c>
      <c r="Q1733">
        <v>-0.1181065</v>
      </c>
      <c r="R1733">
        <v>-0.97340309999999997</v>
      </c>
      <c r="S1733">
        <v>-0.22261049999999999</v>
      </c>
      <c r="T1733">
        <v>-0.10271280000000001</v>
      </c>
      <c r="U1733">
        <v>-3.1161799999999999</v>
      </c>
      <c r="V1733">
        <v>1.108022E-2</v>
      </c>
      <c r="W1733">
        <v>-0.10631350000000001</v>
      </c>
      <c r="X1733">
        <v>0.99427089999999996</v>
      </c>
      <c r="Y1733">
        <v>0.27814149999999999</v>
      </c>
      <c r="Z1733">
        <v>1.9153839999999998E-2</v>
      </c>
      <c r="AA1733">
        <v>0.96034909999999996</v>
      </c>
      <c r="AB1733">
        <v>24</v>
      </c>
      <c r="AC1733">
        <v>-2.4392999999999998</v>
      </c>
      <c r="AD1733">
        <v>-1.1078081849319901</v>
      </c>
      <c r="AE1733">
        <v>-33.424399999999899</v>
      </c>
      <c r="AF1733">
        <v>9.3636211056293206</v>
      </c>
      <c r="AG1733">
        <v>-1.1078081849319901</v>
      </c>
      <c r="AH1733">
        <v>32.140517089721598</v>
      </c>
      <c r="AI1733">
        <v>91.895334876600998</v>
      </c>
      <c r="AJ1733">
        <v>73.7573699890483</v>
      </c>
      <c r="AK1733">
        <v>33.495036617073303</v>
      </c>
      <c r="AL1733">
        <v>96.102848328400597</v>
      </c>
      <c r="AM1733">
        <v>89.361518512383299</v>
      </c>
      <c r="AN1733">
        <v>0.99999997707215305</v>
      </c>
    </row>
    <row r="1734" spans="1:40" x14ac:dyDescent="0.25">
      <c r="A1734" t="str">
        <f>"20190305134934059"</f>
        <v>20190305134934059</v>
      </c>
      <c r="B1734" t="str">
        <f>"1551764974052506"</f>
        <v>1551764974052506</v>
      </c>
      <c r="C1734" t="s">
        <v>40</v>
      </c>
      <c r="D1734">
        <v>4.2263599999999997</v>
      </c>
      <c r="E1734">
        <v>0.60723530000000003</v>
      </c>
      <c r="F1734" t="s">
        <v>42</v>
      </c>
      <c r="G1734">
        <v>-196.5763</v>
      </c>
      <c r="H1734" s="1">
        <v>-4.0380769999999999E-6</v>
      </c>
      <c r="I1734">
        <v>314.7638</v>
      </c>
      <c r="J1734">
        <v>-194.2276</v>
      </c>
      <c r="K1734">
        <v>1.1077520000000001</v>
      </c>
      <c r="L1734">
        <v>345.84559999999999</v>
      </c>
      <c r="M1734">
        <v>0.20740980000000001</v>
      </c>
      <c r="N1734">
        <v>-1.197606E-2</v>
      </c>
      <c r="O1734">
        <v>-0.97818090000000002</v>
      </c>
      <c r="P1734">
        <v>0.19418369999999999</v>
      </c>
      <c r="Q1734">
        <v>-0.11946710000000001</v>
      </c>
      <c r="R1734">
        <v>-0.97366350000000002</v>
      </c>
      <c r="S1734">
        <v>-0.23155210000000001</v>
      </c>
      <c r="T1734">
        <v>-0.1105368</v>
      </c>
      <c r="U1734">
        <v>-3.115265</v>
      </c>
      <c r="V1734">
        <v>1.150962E-2</v>
      </c>
      <c r="W1734">
        <v>-0.10762289999999999</v>
      </c>
      <c r="X1734">
        <v>0.99412520000000004</v>
      </c>
      <c r="Y1734">
        <v>0.27926600000000001</v>
      </c>
      <c r="Z1734">
        <v>2.148427E-2</v>
      </c>
      <c r="AA1734">
        <v>0.95997339999999998</v>
      </c>
      <c r="AB1734">
        <v>24</v>
      </c>
      <c r="AC1734">
        <v>-2.3487</v>
      </c>
      <c r="AD1734">
        <v>-1.107756038077</v>
      </c>
      <c r="AE1734">
        <v>-31.081799999999902</v>
      </c>
      <c r="AF1734">
        <v>8.7337193111646592</v>
      </c>
      <c r="AG1734">
        <v>-1.107756038077</v>
      </c>
      <c r="AH1734">
        <v>29.880883935967098</v>
      </c>
      <c r="AI1734">
        <v>92.037929526560504</v>
      </c>
      <c r="AJ1734">
        <v>73.707176610787101</v>
      </c>
      <c r="AK1734">
        <v>31.150797762510798</v>
      </c>
      <c r="AL1734">
        <v>96.1783039934828</v>
      </c>
      <c r="AM1734">
        <v>89.336679939851507</v>
      </c>
      <c r="AN1734">
        <v>1.00000003661599</v>
      </c>
    </row>
    <row r="1735" spans="1:40" x14ac:dyDescent="0.25">
      <c r="A1735" t="str">
        <f>"20190305134934073"</f>
        <v>20190305134934073</v>
      </c>
      <c r="B1735" t="str">
        <f>"1551764974062266"</f>
        <v>1551764974062266</v>
      </c>
      <c r="C1735" t="s">
        <v>40</v>
      </c>
      <c r="D1735">
        <v>4.218947</v>
      </c>
      <c r="E1735">
        <v>0.60723530000000003</v>
      </c>
      <c r="F1735" t="s">
        <v>42</v>
      </c>
      <c r="G1735">
        <v>-196.52600000000001</v>
      </c>
      <c r="H1735" s="1">
        <v>-4.4309040000000003E-6</v>
      </c>
      <c r="I1735">
        <v>315.81</v>
      </c>
      <c r="J1735">
        <v>-194.20099999999999</v>
      </c>
      <c r="K1735">
        <v>1.1077079999999999</v>
      </c>
      <c r="L1735">
        <v>345.71199999999999</v>
      </c>
      <c r="M1735">
        <v>0.20579919999999999</v>
      </c>
      <c r="N1735">
        <v>-1.203809E-2</v>
      </c>
      <c r="O1735">
        <v>-0.97852050000000002</v>
      </c>
      <c r="P1735">
        <v>0.1921187</v>
      </c>
      <c r="Q1735">
        <v>-0.12099749999999999</v>
      </c>
      <c r="R1735">
        <v>-0.97388450000000004</v>
      </c>
      <c r="S1735">
        <v>-0.23832700000000001</v>
      </c>
      <c r="T1735">
        <v>-0.1148686</v>
      </c>
      <c r="U1735">
        <v>-3.1145320000000001</v>
      </c>
      <c r="V1735">
        <v>1.1922820000000001E-2</v>
      </c>
      <c r="W1735">
        <v>-0.109097</v>
      </c>
      <c r="X1735">
        <v>0.99395960000000005</v>
      </c>
      <c r="Y1735">
        <v>0.27977299999999999</v>
      </c>
      <c r="Z1735">
        <v>2.275464E-2</v>
      </c>
      <c r="AA1735">
        <v>0.95979650000000005</v>
      </c>
      <c r="AB1735">
        <v>24</v>
      </c>
      <c r="AC1735">
        <v>-2.3249999999999802</v>
      </c>
      <c r="AD1735">
        <v>-1.1077124309039901</v>
      </c>
      <c r="AE1735">
        <v>-29.901999999999902</v>
      </c>
      <c r="AF1735">
        <v>8.41799342356693</v>
      </c>
      <c r="AG1735">
        <v>-1.1077124309039901</v>
      </c>
      <c r="AH1735">
        <v>28.744105033680398</v>
      </c>
      <c r="AI1735">
        <v>92.118042577179494</v>
      </c>
      <c r="AJ1735">
        <v>73.676812503234004</v>
      </c>
      <c r="AK1735">
        <v>29.971873720140401</v>
      </c>
      <c r="AL1735">
        <v>96.263264219175895</v>
      </c>
      <c r="AM1735">
        <v>89.312754256386299</v>
      </c>
      <c r="AN1735">
        <v>0.99999999773895598</v>
      </c>
    </row>
    <row r="1736" spans="1:40" x14ac:dyDescent="0.25">
      <c r="A1736" t="str">
        <f>"20190305134934093"</f>
        <v>20190305134934093</v>
      </c>
      <c r="B1736" t="str">
        <f>"1551764974082762"</f>
        <v>1551764974082762</v>
      </c>
      <c r="C1736" t="s">
        <v>40</v>
      </c>
      <c r="D1736">
        <v>4.206251</v>
      </c>
      <c r="E1736">
        <v>0.60723530000000003</v>
      </c>
      <c r="F1736" t="s">
        <v>42</v>
      </c>
      <c r="G1736">
        <v>-196.47020000000001</v>
      </c>
      <c r="H1736" s="1">
        <v>-4.823682E-6</v>
      </c>
      <c r="I1736">
        <v>316.85860000000002</v>
      </c>
      <c r="J1736">
        <v>-194.15819999999999</v>
      </c>
      <c r="K1736">
        <v>1.1076589999999999</v>
      </c>
      <c r="L1736">
        <v>345.49340000000001</v>
      </c>
      <c r="M1736">
        <v>0.2030941</v>
      </c>
      <c r="N1736">
        <v>-1.216574E-2</v>
      </c>
      <c r="O1736">
        <v>-0.97908379999999995</v>
      </c>
      <c r="P1736">
        <v>0.1882296</v>
      </c>
      <c r="Q1736">
        <v>-0.1236339</v>
      </c>
      <c r="R1736">
        <v>-0.97431270000000003</v>
      </c>
      <c r="S1736">
        <v>-0.2448883</v>
      </c>
      <c r="T1736">
        <v>-0.11954430000000001</v>
      </c>
      <c r="U1736">
        <v>-3.113861</v>
      </c>
      <c r="V1736">
        <v>1.304892E-2</v>
      </c>
      <c r="W1736">
        <v>-0.1116176</v>
      </c>
      <c r="X1736">
        <v>0.99366560000000004</v>
      </c>
      <c r="Y1736">
        <v>0.2791399</v>
      </c>
      <c r="Z1736">
        <v>2.4083980000000001E-2</v>
      </c>
      <c r="AA1736">
        <v>0.95994840000000003</v>
      </c>
      <c r="AB1736">
        <v>24</v>
      </c>
      <c r="AC1736">
        <v>-2.31200000000001</v>
      </c>
      <c r="AD1736">
        <v>-1.107663823682</v>
      </c>
      <c r="AE1736">
        <v>-28.634799999999899</v>
      </c>
      <c r="AF1736">
        <v>8.0678034778884395</v>
      </c>
      <c r="AG1736">
        <v>-1.107663823682</v>
      </c>
      <c r="AH1736">
        <v>27.527427866076</v>
      </c>
      <c r="AI1736">
        <v>92.211336765442695</v>
      </c>
      <c r="AJ1736">
        <v>73.665069883794501</v>
      </c>
      <c r="AK1736">
        <v>28.706717977263398</v>
      </c>
      <c r="AL1736">
        <v>96.408571245314107</v>
      </c>
      <c r="AM1736">
        <v>89.247629112035796</v>
      </c>
      <c r="AN1736">
        <v>1.00000004378314</v>
      </c>
    </row>
    <row r="1737" spans="1:40" x14ac:dyDescent="0.25">
      <c r="A1737" t="str">
        <f>"20190305134934114"</f>
        <v>20190305134934114</v>
      </c>
      <c r="B1737" t="str">
        <f>"1551764974112043"</f>
        <v>1551764974112043</v>
      </c>
      <c r="C1737" t="s">
        <v>40</v>
      </c>
      <c r="D1737">
        <v>4.1783190000000001</v>
      </c>
      <c r="E1737">
        <v>0.65401509999999996</v>
      </c>
      <c r="F1737" t="s">
        <v>42</v>
      </c>
      <c r="G1737">
        <v>-196.3905</v>
      </c>
      <c r="H1737" s="1">
        <v>-5.4323730000000002E-6</v>
      </c>
      <c r="I1737">
        <v>318.48050000000001</v>
      </c>
      <c r="J1737">
        <v>-194.11609999999999</v>
      </c>
      <c r="K1737">
        <v>1.107623</v>
      </c>
      <c r="L1737">
        <v>345.2747</v>
      </c>
      <c r="M1737">
        <v>0.2003402</v>
      </c>
      <c r="N1737">
        <v>-1.231105E-2</v>
      </c>
      <c r="O1737">
        <v>-0.9796492</v>
      </c>
      <c r="P1737">
        <v>0.1842848</v>
      </c>
      <c r="Q1737">
        <v>-0.12664510000000001</v>
      </c>
      <c r="R1737">
        <v>-0.97467959999999998</v>
      </c>
      <c r="S1737">
        <v>-0.25721739999999998</v>
      </c>
      <c r="T1737">
        <v>-0.12763369999999999</v>
      </c>
      <c r="U1737">
        <v>-3.1126399999999999</v>
      </c>
      <c r="V1737">
        <v>1.417529E-2</v>
      </c>
      <c r="W1737">
        <v>-0.1144955</v>
      </c>
      <c r="X1737">
        <v>0.99332259999999994</v>
      </c>
      <c r="Y1737">
        <v>0.28023559999999997</v>
      </c>
      <c r="Z1737">
        <v>2.6427490000000001E-2</v>
      </c>
      <c r="AA1737">
        <v>0.95956739999999996</v>
      </c>
      <c r="AB1737">
        <v>24</v>
      </c>
      <c r="AC1737">
        <v>-2.2744000000000102</v>
      </c>
      <c r="AD1737">
        <v>-1.1076284323729999</v>
      </c>
      <c r="AE1737">
        <v>-26.794199999999901</v>
      </c>
      <c r="AF1737">
        <v>7.5837771352677699</v>
      </c>
      <c r="AG1737">
        <v>-1.1076284323729999</v>
      </c>
      <c r="AH1737">
        <v>25.751522717759102</v>
      </c>
      <c r="AI1737">
        <v>92.362690750750403</v>
      </c>
      <c r="AJ1737">
        <v>73.590393552404706</v>
      </c>
      <c r="AK1737">
        <v>26.867851396508701</v>
      </c>
      <c r="AL1737">
        <v>96.574527304194106</v>
      </c>
      <c r="AM1737">
        <v>89.182411470877696</v>
      </c>
      <c r="AN1737">
        <v>0.99999997301879595</v>
      </c>
    </row>
    <row r="1738" spans="1:40" x14ac:dyDescent="0.25">
      <c r="A1738" t="str">
        <f>"20190305134934127"</f>
        <v>20190305134934127</v>
      </c>
      <c r="B1738" t="str">
        <f>"1551764974122778"</f>
        <v>1551764974122778</v>
      </c>
      <c r="C1738" t="s">
        <v>40</v>
      </c>
      <c r="D1738">
        <v>4.1450959999999997</v>
      </c>
      <c r="E1738">
        <v>0.65609810000000002</v>
      </c>
      <c r="F1738" t="s">
        <v>41</v>
      </c>
      <c r="G1738">
        <v>-194.25299999999999</v>
      </c>
      <c r="H1738">
        <v>1.184148</v>
      </c>
      <c r="I1738">
        <v>344.5367</v>
      </c>
      <c r="J1738">
        <v>-194.08949999999999</v>
      </c>
      <c r="K1738">
        <v>1.107612</v>
      </c>
      <c r="L1738">
        <v>345.13499999999999</v>
      </c>
      <c r="M1738">
        <v>0.19856770000000001</v>
      </c>
      <c r="N1738">
        <v>-1.2407319999999999E-2</v>
      </c>
      <c r="O1738">
        <v>-0.98000869999999995</v>
      </c>
      <c r="P1738">
        <v>0.182142</v>
      </c>
      <c r="Q1738">
        <v>-0.129444</v>
      </c>
      <c r="R1738">
        <v>-0.97471470000000004</v>
      </c>
      <c r="S1738">
        <v>-0.59988399999999997</v>
      </c>
      <c r="T1738">
        <v>0.33537840000000002</v>
      </c>
      <c r="U1738">
        <v>-3.2348940000000002</v>
      </c>
      <c r="V1738">
        <v>1.447245E-2</v>
      </c>
      <c r="W1738">
        <v>-0.1172049</v>
      </c>
      <c r="X1738">
        <v>0.9930023</v>
      </c>
      <c r="Y1738">
        <v>0.37303740000000002</v>
      </c>
      <c r="Z1738">
        <v>-0.1080578</v>
      </c>
      <c r="AA1738">
        <v>0.92150240000000005</v>
      </c>
      <c r="AB1738">
        <v>24</v>
      </c>
      <c r="AC1738">
        <v>-0.16349999999999901</v>
      </c>
      <c r="AD1738">
        <v>7.6535999999999896E-2</v>
      </c>
      <c r="AE1738">
        <v>-0.59829999999999395</v>
      </c>
      <c r="AF1738">
        <v>0.274870482472167</v>
      </c>
      <c r="AG1738">
        <v>7.6535999999999896E-2</v>
      </c>
      <c r="AH1738">
        <v>0.54560800640187701</v>
      </c>
      <c r="AI1738">
        <v>82.859369907050507</v>
      </c>
      <c r="AJ1738">
        <v>63.2616066811729</v>
      </c>
      <c r="AK1738">
        <v>0.61571067725053497</v>
      </c>
      <c r="AL1738">
        <v>96.7308166785254</v>
      </c>
      <c r="AM1738">
        <v>89.165005358322801</v>
      </c>
      <c r="AN1738">
        <v>1.0000000040991499</v>
      </c>
    </row>
    <row r="1739" spans="1:40" x14ac:dyDescent="0.25">
      <c r="A1739" t="str">
        <f>"20190305134934147"</f>
        <v>20190305134934147</v>
      </c>
      <c r="B1739" t="str">
        <f>"1551764974142300"</f>
        <v>1551764974142300</v>
      </c>
      <c r="C1739" t="s">
        <v>40</v>
      </c>
      <c r="D1739">
        <v>4.1147369999999999</v>
      </c>
      <c r="E1739">
        <v>0.65848509999999905</v>
      </c>
      <c r="F1739" t="s">
        <v>63</v>
      </c>
      <c r="G1739">
        <v>-241.6208</v>
      </c>
      <c r="H1739">
        <v>27.742000000000001</v>
      </c>
      <c r="I1739">
        <v>97.150030000000001</v>
      </c>
      <c r="J1739">
        <v>-194.05080000000001</v>
      </c>
      <c r="K1739">
        <v>1.1075980000000001</v>
      </c>
      <c r="L1739">
        <v>344.92880000000002</v>
      </c>
      <c r="M1739">
        <v>0.19594639999999999</v>
      </c>
      <c r="N1739">
        <v>-1.25454E-2</v>
      </c>
      <c r="O1739">
        <v>-0.98053469999999998</v>
      </c>
      <c r="P1739">
        <v>0.17898120000000001</v>
      </c>
      <c r="Q1739">
        <v>-0.1343723</v>
      </c>
      <c r="R1739">
        <v>-0.97463359999999999</v>
      </c>
      <c r="S1739">
        <v>-0.62103269999999899</v>
      </c>
      <c r="T1739">
        <v>0.34799869999999999</v>
      </c>
      <c r="U1739">
        <v>-3.2401119999999999</v>
      </c>
      <c r="V1739">
        <v>1.4880640000000001E-2</v>
      </c>
      <c r="W1739">
        <v>-0.1220062</v>
      </c>
      <c r="X1739">
        <v>0.99241780000000002</v>
      </c>
      <c r="Y1739">
        <v>0.37603399999999998</v>
      </c>
      <c r="Z1739">
        <v>-0.1115564</v>
      </c>
      <c r="AA1739">
        <v>0.91986610000000002</v>
      </c>
      <c r="AB1739">
        <v>24</v>
      </c>
      <c r="AC1739">
        <v>-47.569999999999901</v>
      </c>
      <c r="AD1739">
        <v>26.634402000000001</v>
      </c>
      <c r="AE1739">
        <v>-247.77877000000001</v>
      </c>
      <c r="AF1739">
        <v>94.153612727240699</v>
      </c>
      <c r="AG1739">
        <v>26.634402000000001</v>
      </c>
      <c r="AH1739">
        <v>231.077707497696</v>
      </c>
      <c r="AI1739">
        <v>83.907249480019104</v>
      </c>
      <c r="AJ1739">
        <v>67.831348409106695</v>
      </c>
      <c r="AK1739">
        <v>250.94063254459101</v>
      </c>
      <c r="AL1739">
        <v>97.007900132095898</v>
      </c>
      <c r="AM1739">
        <v>89.140952549858895</v>
      </c>
      <c r="AN1739">
        <v>1.00000001802104</v>
      </c>
    </row>
    <row r="1740" spans="1:40" x14ac:dyDescent="0.25">
      <c r="A1740" t="str">
        <f>"20190305134934159"</f>
        <v>20190305134934159</v>
      </c>
      <c r="B1740" t="str">
        <f>"1551764974152058"</f>
        <v>1551764974152058</v>
      </c>
      <c r="C1740" t="s">
        <v>40</v>
      </c>
      <c r="D1740">
        <v>4.1500079999999997</v>
      </c>
      <c r="E1740">
        <v>0.65999390000000002</v>
      </c>
      <c r="F1740" t="s">
        <v>63</v>
      </c>
      <c r="G1740">
        <v>-243.35400000000001</v>
      </c>
      <c r="H1740">
        <v>28.742609999999999</v>
      </c>
      <c r="I1740">
        <v>97.150030000000001</v>
      </c>
      <c r="J1740">
        <v>-194.0258</v>
      </c>
      <c r="K1740">
        <v>1.1076029999999999</v>
      </c>
      <c r="L1740">
        <v>344.7937</v>
      </c>
      <c r="M1740">
        <v>0.1942333</v>
      </c>
      <c r="N1740">
        <v>-1.263041E-2</v>
      </c>
      <c r="O1740">
        <v>-0.98087409999999997</v>
      </c>
      <c r="P1740">
        <v>0.17735219999999999</v>
      </c>
      <c r="Q1740">
        <v>-0.13607420000000001</v>
      </c>
      <c r="R1740">
        <v>-0.97469499999999998</v>
      </c>
      <c r="S1740">
        <v>-0.64602660000000001</v>
      </c>
      <c r="T1740">
        <v>0.36210500000000001</v>
      </c>
      <c r="U1740">
        <v>-3.2466740000000001</v>
      </c>
      <c r="V1740">
        <v>1.4753260000000001E-2</v>
      </c>
      <c r="W1740">
        <v>-0.12362579999999999</v>
      </c>
      <c r="X1740">
        <v>0.99221919999999997</v>
      </c>
      <c r="Y1740">
        <v>0.38081520000000002</v>
      </c>
      <c r="Z1740">
        <v>-0.1152753</v>
      </c>
      <c r="AA1740">
        <v>0.91743739999999996</v>
      </c>
      <c r="AB1740">
        <v>24</v>
      </c>
      <c r="AC1740">
        <v>-49.328200000000002</v>
      </c>
      <c r="AD1740">
        <v>27.635007000000002</v>
      </c>
      <c r="AE1740">
        <v>-247.64366999999999</v>
      </c>
      <c r="AF1740">
        <v>95.351025652470796</v>
      </c>
      <c r="AG1740">
        <v>27.635007000000002</v>
      </c>
      <c r="AH1740">
        <v>230.58287653312701</v>
      </c>
      <c r="AI1740">
        <v>83.680098133286805</v>
      </c>
      <c r="AJ1740">
        <v>67.533843266003302</v>
      </c>
      <c r="AK1740">
        <v>251.04576207369001</v>
      </c>
      <c r="AL1740">
        <v>97.101404612638902</v>
      </c>
      <c r="AM1740">
        <v>89.148134559618697</v>
      </c>
      <c r="AN1740">
        <v>0.99999996897745302</v>
      </c>
    </row>
    <row r="1741" spans="1:40" x14ac:dyDescent="0.25">
      <c r="A1741" t="str">
        <f>"20190305134934172"</f>
        <v>20190305134934172</v>
      </c>
      <c r="B1741" t="str">
        <f>"1551764974161818"</f>
        <v>1551764974161818</v>
      </c>
      <c r="C1741" t="s">
        <v>40</v>
      </c>
      <c r="D1741">
        <v>4.3229930000000003</v>
      </c>
      <c r="E1741">
        <v>0.65999390000000002</v>
      </c>
      <c r="F1741" t="s">
        <v>64</v>
      </c>
      <c r="G1741">
        <v>-227.53639999999999</v>
      </c>
      <c r="H1741">
        <v>20.129010000000001</v>
      </c>
      <c r="I1741">
        <v>180.02449999999999</v>
      </c>
      <c r="J1741">
        <v>-194.00200000000001</v>
      </c>
      <c r="K1741">
        <v>1.107613</v>
      </c>
      <c r="L1741">
        <v>344.66460000000001</v>
      </c>
      <c r="M1741">
        <v>0.19259879999999999</v>
      </c>
      <c r="N1741">
        <v>-1.270922E-2</v>
      </c>
      <c r="O1741">
        <v>-0.98119529999999999</v>
      </c>
      <c r="P1741">
        <v>0.17630209999999999</v>
      </c>
      <c r="Q1741">
        <v>-0.1373084</v>
      </c>
      <c r="R1741">
        <v>-0.97471240000000003</v>
      </c>
      <c r="S1741">
        <v>-0.66110230000000003</v>
      </c>
      <c r="T1741">
        <v>0.3752567</v>
      </c>
      <c r="U1741">
        <v>-3.2505799999999998</v>
      </c>
      <c r="V1741">
        <v>1.4132850000000001E-2</v>
      </c>
      <c r="W1741">
        <v>-0.1247805</v>
      </c>
      <c r="X1741">
        <v>0.99208370000000001</v>
      </c>
      <c r="Y1741">
        <v>0.38307629999999998</v>
      </c>
      <c r="Z1741">
        <v>-0.11885800000000001</v>
      </c>
      <c r="AA1741">
        <v>0.91603780000000001</v>
      </c>
      <c r="AB1741">
        <v>24</v>
      </c>
      <c r="AC1741">
        <v>-33.534399999999899</v>
      </c>
      <c r="AD1741">
        <v>19.021397</v>
      </c>
      <c r="AE1741">
        <v>-164.64009999999999</v>
      </c>
      <c r="AF1741">
        <v>63.800814045130998</v>
      </c>
      <c r="AG1741">
        <v>19.021397</v>
      </c>
      <c r="AH1741">
        <v>153.13531540301199</v>
      </c>
      <c r="AI1741">
        <v>83.459051326997795</v>
      </c>
      <c r="AJ1741">
        <v>67.381909972726007</v>
      </c>
      <c r="AK1741">
        <v>166.98138291508101</v>
      </c>
      <c r="AL1741">
        <v>97.168080192183595</v>
      </c>
      <c r="AM1741">
        <v>89.183841154031896</v>
      </c>
      <c r="AN1741">
        <v>0.99999998921753097</v>
      </c>
    </row>
    <row r="1742" spans="1:40" x14ac:dyDescent="0.25">
      <c r="A1742" t="str">
        <f>"20190305134934193"</f>
        <v>20190305134934193</v>
      </c>
      <c r="B1742" t="str">
        <f>"1551764974182317"</f>
        <v>1551764974182317</v>
      </c>
      <c r="C1742" t="s">
        <v>40</v>
      </c>
      <c r="D1742">
        <v>4.5860059999999896</v>
      </c>
      <c r="E1742">
        <v>0.57913510000000001</v>
      </c>
      <c r="F1742" t="s">
        <v>41</v>
      </c>
      <c r="G1742">
        <v>-194.1489</v>
      </c>
      <c r="H1742">
        <v>1.189759</v>
      </c>
      <c r="I1742">
        <v>343.9468</v>
      </c>
      <c r="J1742">
        <v>-193.96440000000001</v>
      </c>
      <c r="K1742">
        <v>1.1076299999999999</v>
      </c>
      <c r="L1742">
        <v>344.4572</v>
      </c>
      <c r="M1742">
        <v>0.18998609999999999</v>
      </c>
      <c r="N1742">
        <v>-1.2827450000000001E-2</v>
      </c>
      <c r="O1742">
        <v>-0.9817032</v>
      </c>
      <c r="P1742">
        <v>0.17474990000000001</v>
      </c>
      <c r="Q1742">
        <v>-0.13972689999999999</v>
      </c>
      <c r="R1742">
        <v>-0.97464839999999997</v>
      </c>
      <c r="S1742">
        <v>-0.66412349999999998</v>
      </c>
      <c r="T1742">
        <v>0.37187039999999999</v>
      </c>
      <c r="U1742">
        <v>-3.250305</v>
      </c>
      <c r="V1742">
        <v>1.300133E-2</v>
      </c>
      <c r="W1742">
        <v>-0.12707959999999999</v>
      </c>
      <c r="X1742">
        <v>0.99180729999999995</v>
      </c>
      <c r="Y1742">
        <v>0.38146920000000001</v>
      </c>
      <c r="Z1742">
        <v>-0.1181557</v>
      </c>
      <c r="AA1742">
        <v>0.91679909999999998</v>
      </c>
      <c r="AB1742">
        <v>24</v>
      </c>
      <c r="AC1742">
        <v>-0.18449999999998501</v>
      </c>
      <c r="AD1742">
        <v>8.2129000000000105E-2</v>
      </c>
      <c r="AE1742">
        <v>-0.51040000000000396</v>
      </c>
      <c r="AF1742">
        <v>0.27188968077070602</v>
      </c>
      <c r="AG1742">
        <v>8.2129000000000105E-2</v>
      </c>
      <c r="AH1742">
        <v>0.45561354864323</v>
      </c>
      <c r="AI1742">
        <v>81.2008478476005</v>
      </c>
      <c r="AJ1742">
        <v>59.1731469912108</v>
      </c>
      <c r="AK1742">
        <v>0.53689186700663705</v>
      </c>
      <c r="AL1742">
        <v>97.300866038509099</v>
      </c>
      <c r="AM1742">
        <v>89.248968350317895</v>
      </c>
      <c r="AN1742">
        <v>0.999999989825609</v>
      </c>
    </row>
    <row r="1743" spans="1:40" x14ac:dyDescent="0.25">
      <c r="A1743" t="str">
        <f>"20190305134934205"</f>
        <v>20190305134934205</v>
      </c>
      <c r="B1743" t="str">
        <f>"1551764974201834"</f>
        <v>1551764974201834</v>
      </c>
      <c r="C1743" t="s">
        <v>40</v>
      </c>
      <c r="D1743">
        <v>4.2777099999999999</v>
      </c>
      <c r="E1743">
        <v>0.57913510000000001</v>
      </c>
      <c r="F1743" t="s">
        <v>65</v>
      </c>
      <c r="G1743">
        <v>-201.8322</v>
      </c>
      <c r="H1743">
        <v>10.151490000000001</v>
      </c>
      <c r="I1743">
        <v>-81.818529999999996</v>
      </c>
      <c r="J1743">
        <v>-193.93819999999999</v>
      </c>
      <c r="K1743">
        <v>1.1076410000000001</v>
      </c>
      <c r="L1743">
        <v>344.3109</v>
      </c>
      <c r="M1743">
        <v>0.18815419999999999</v>
      </c>
      <c r="N1743">
        <v>-1.2905379999999999E-2</v>
      </c>
      <c r="O1743">
        <v>-0.98205469999999895</v>
      </c>
      <c r="P1743">
        <v>0.17392669999999999</v>
      </c>
      <c r="Q1743">
        <v>-0.14022879999999999</v>
      </c>
      <c r="R1743">
        <v>-0.97472349999999996</v>
      </c>
      <c r="S1743">
        <v>-5.7174679999999999E-2</v>
      </c>
      <c r="T1743">
        <v>6.5721150000000006E-2</v>
      </c>
      <c r="U1743">
        <v>-3.0977169999999998</v>
      </c>
      <c r="V1743">
        <v>1.1978620000000001E-2</v>
      </c>
      <c r="W1743">
        <v>-0.12749959999999999</v>
      </c>
      <c r="X1743">
        <v>0.99176629999999999</v>
      </c>
      <c r="Y1743">
        <v>0.20626249999999999</v>
      </c>
      <c r="Z1743">
        <v>-3.3336150000000002E-2</v>
      </c>
      <c r="AA1743">
        <v>0.97792860000000004</v>
      </c>
      <c r="AB1743">
        <v>24</v>
      </c>
      <c r="AC1743">
        <v>-7.8940000000000001</v>
      </c>
      <c r="AD1743">
        <v>9.0438489999999998</v>
      </c>
      <c r="AE1743">
        <v>-426.12942999999899</v>
      </c>
      <c r="AF1743">
        <v>87.898127670349595</v>
      </c>
      <c r="AG1743">
        <v>9.0438489999999998</v>
      </c>
      <c r="AH1743">
        <v>416.84415973979202</v>
      </c>
      <c r="AI1743">
        <v>88.783841507480801</v>
      </c>
      <c r="AJ1743">
        <v>78.092724250877893</v>
      </c>
      <c r="AK1743">
        <v>426.10670677878397</v>
      </c>
      <c r="AL1743">
        <v>97.325127437583404</v>
      </c>
      <c r="AM1743">
        <v>89.308011373533702</v>
      </c>
      <c r="AN1743">
        <v>1.00000001457647</v>
      </c>
    </row>
    <row r="1744" spans="1:40" x14ac:dyDescent="0.25">
      <c r="A1744" t="str">
        <f>"20190305134934260"</f>
        <v>20190305134934260</v>
      </c>
      <c r="B1744" t="str">
        <f>"1551764974252586"</f>
        <v>1551764974252586</v>
      </c>
      <c r="C1744" t="s">
        <v>40</v>
      </c>
      <c r="D1744">
        <v>4.339296</v>
      </c>
      <c r="E1744">
        <v>0.48768620000000001</v>
      </c>
      <c r="F1744" t="s">
        <v>65</v>
      </c>
      <c r="G1744">
        <v>-202.12450000000001</v>
      </c>
      <c r="H1744">
        <v>9.9730519999999991</v>
      </c>
      <c r="I1744">
        <v>-81.818469999999905</v>
      </c>
      <c r="J1744">
        <v>-193.8409</v>
      </c>
      <c r="K1744">
        <v>1.10771</v>
      </c>
      <c r="L1744">
        <v>343.7527</v>
      </c>
      <c r="M1744">
        <v>0.1812153</v>
      </c>
      <c r="N1744">
        <v>-1.316005E-2</v>
      </c>
      <c r="O1744">
        <v>-0.9833556</v>
      </c>
      <c r="P1744">
        <v>0.17242080000000001</v>
      </c>
      <c r="Q1744">
        <v>-0.14329129999999901</v>
      </c>
      <c r="R1744">
        <v>-0.97454560000000001</v>
      </c>
      <c r="S1744">
        <v>-5.9509279999999998E-2</v>
      </c>
      <c r="T1744">
        <v>6.4445849999999999E-2</v>
      </c>
      <c r="U1744">
        <v>-3.0976870000000001</v>
      </c>
      <c r="V1744">
        <v>6.4393990000000002E-3</v>
      </c>
      <c r="W1744">
        <v>-0.13028670000000001</v>
      </c>
      <c r="X1744">
        <v>0.99145539999999999</v>
      </c>
      <c r="Y1744">
        <v>0.20008590000000001</v>
      </c>
      <c r="Z1744">
        <v>-3.324949E-2</v>
      </c>
      <c r="AA1744">
        <v>0.97921400000000003</v>
      </c>
      <c r="AB1744">
        <v>24</v>
      </c>
      <c r="AC1744">
        <v>-8.2835999999999999</v>
      </c>
      <c r="AD1744">
        <v>8.8653420000000001</v>
      </c>
      <c r="AE1744">
        <v>-425.57117</v>
      </c>
      <c r="AF1744">
        <v>85.236123914802405</v>
      </c>
      <c r="AG1744">
        <v>8.8653420000000001</v>
      </c>
      <c r="AH1744">
        <v>416.84188319826598</v>
      </c>
      <c r="AI1744">
        <v>88.806316519119903</v>
      </c>
      <c r="AJ1744">
        <v>78.443429910268904</v>
      </c>
      <c r="AK1744">
        <v>425.55956891729397</v>
      </c>
      <c r="AL1744">
        <v>97.486160296347407</v>
      </c>
      <c r="AM1744">
        <v>89.627875144420003</v>
      </c>
      <c r="AN1744">
        <v>0.99999995012276399</v>
      </c>
    </row>
    <row r="1745" spans="1:40" x14ac:dyDescent="0.25">
      <c r="A1745" t="str">
        <f>"20190305134934274"</f>
        <v>20190305134934274</v>
      </c>
      <c r="B1745" t="str">
        <f>"1551764974262346"</f>
        <v>1551764974262346</v>
      </c>
      <c r="C1745" t="s">
        <v>40</v>
      </c>
      <c r="D1745">
        <v>4.3680580000000004</v>
      </c>
      <c r="E1745">
        <v>0.48906909999999998</v>
      </c>
      <c r="F1745" t="s">
        <v>61</v>
      </c>
      <c r="G1745">
        <v>-167.39670000000001</v>
      </c>
      <c r="H1745">
        <v>6.6509660000000004</v>
      </c>
      <c r="I1745">
        <v>224.61510000000001</v>
      </c>
      <c r="J1745">
        <v>-193.81649999999999</v>
      </c>
      <c r="K1745">
        <v>1.107728</v>
      </c>
      <c r="L1745">
        <v>343.60950000000003</v>
      </c>
      <c r="M1745">
        <v>0.17944460000000001</v>
      </c>
      <c r="N1745">
        <v>-1.3214740000000001E-2</v>
      </c>
      <c r="O1745">
        <v>-0.98367939999999998</v>
      </c>
      <c r="P1745">
        <v>0.17182329999999901</v>
      </c>
      <c r="Q1745">
        <v>-0.14405219999999999</v>
      </c>
      <c r="R1745">
        <v>-0.97453900000000004</v>
      </c>
      <c r="S1745">
        <v>0.66181950000000001</v>
      </c>
      <c r="T1745">
        <v>0.13873260000000001</v>
      </c>
      <c r="U1745">
        <v>-2.9816590000000001</v>
      </c>
      <c r="V1745">
        <v>5.2447850000000001E-3</v>
      </c>
      <c r="W1745">
        <v>-0.13098889999999999</v>
      </c>
      <c r="X1745">
        <v>0.99136999999999997</v>
      </c>
      <c r="Y1745">
        <v>-3.7616209999999997E-2</v>
      </c>
      <c r="Z1745">
        <v>-5.7732209999999999E-2</v>
      </c>
      <c r="AA1745">
        <v>0.99762320000000004</v>
      </c>
      <c r="AB1745">
        <v>24</v>
      </c>
      <c r="AC1745">
        <v>26.419799999999899</v>
      </c>
      <c r="AD1745">
        <v>5.5432379999999997</v>
      </c>
      <c r="AE1745">
        <v>-118.9944</v>
      </c>
      <c r="AF1745">
        <v>-4.6265466940522497</v>
      </c>
      <c r="AG1745">
        <v>5.5432379999999997</v>
      </c>
      <c r="AH1745">
        <v>121.552471280161</v>
      </c>
      <c r="AI1745">
        <v>87.390798347266099</v>
      </c>
      <c r="AJ1745">
        <v>92.179747539773402</v>
      </c>
      <c r="AK1745">
        <v>121.76672655594901</v>
      </c>
      <c r="AL1745">
        <v>97.526740499650501</v>
      </c>
      <c r="AM1745">
        <v>89.696882857640503</v>
      </c>
      <c r="AN1745">
        <v>1.00000003829645</v>
      </c>
    </row>
    <row r="1746" spans="1:40" x14ac:dyDescent="0.25">
      <c r="A1746" t="str">
        <f>"20190305134934293"</f>
        <v>20190305134934293</v>
      </c>
      <c r="B1746" t="str">
        <f>"1551764974281866"</f>
        <v>1551764974281866</v>
      </c>
      <c r="C1746" t="s">
        <v>40</v>
      </c>
      <c r="D1746">
        <v>4.3510790000000004</v>
      </c>
      <c r="E1746">
        <v>0.48831269999999999</v>
      </c>
      <c r="F1746" t="s">
        <v>61</v>
      </c>
      <c r="G1746">
        <v>-168.03659999999999</v>
      </c>
      <c r="H1746">
        <v>4.5960710000000002</v>
      </c>
      <c r="I1746">
        <v>224.61510000000001</v>
      </c>
      <c r="J1746">
        <v>-193.78200000000001</v>
      </c>
      <c r="K1746">
        <v>1.1077490000000001</v>
      </c>
      <c r="L1746">
        <v>343.40339999999998</v>
      </c>
      <c r="M1746">
        <v>0.17690040000000001</v>
      </c>
      <c r="N1746">
        <v>-1.328552E-2</v>
      </c>
      <c r="O1746">
        <v>-0.98413919999999999</v>
      </c>
      <c r="P1746">
        <v>0.17231830000000001</v>
      </c>
      <c r="Q1746">
        <v>-0.14453150000000001</v>
      </c>
      <c r="R1746">
        <v>-0.97438060000000004</v>
      </c>
      <c r="S1746">
        <v>0.6450806</v>
      </c>
      <c r="T1746">
        <v>8.7288500000000005E-2</v>
      </c>
      <c r="U1746">
        <v>-2.9775390000000002</v>
      </c>
      <c r="V1746">
        <v>2.1737789999999998E-3</v>
      </c>
      <c r="W1746">
        <v>-0.13138429999999901</v>
      </c>
      <c r="X1746">
        <v>0.99132909999999996</v>
      </c>
      <c r="Y1746">
        <v>-3.5312129999999997E-2</v>
      </c>
      <c r="Z1746">
        <v>-4.130379E-2</v>
      </c>
      <c r="AA1746">
        <v>0.99852249999999998</v>
      </c>
      <c r="AB1746">
        <v>24</v>
      </c>
      <c r="AC1746">
        <v>25.7454</v>
      </c>
      <c r="AD1746">
        <v>3.4883220000000001</v>
      </c>
      <c r="AE1746">
        <v>-118.788299999999</v>
      </c>
      <c r="AF1746">
        <v>-4.3201823140234197</v>
      </c>
      <c r="AG1746">
        <v>3.4883220000000001</v>
      </c>
      <c r="AH1746">
        <v>121.369333511744</v>
      </c>
      <c r="AI1746">
        <v>88.354734907483902</v>
      </c>
      <c r="AJ1746">
        <v>92.038601876089402</v>
      </c>
      <c r="AK1746">
        <v>121.496285880215</v>
      </c>
      <c r="AL1746">
        <v>97.549593249286701</v>
      </c>
      <c r="AM1746">
        <v>89.874362446667604</v>
      </c>
      <c r="AN1746">
        <v>0.99999997205421898</v>
      </c>
    </row>
    <row r="1747" spans="1:40" x14ac:dyDescent="0.25">
      <c r="A1747" t="str">
        <f>"20190305134934314"</f>
        <v>20190305134934314</v>
      </c>
      <c r="B1747" t="str">
        <f>"1551764974302362"</f>
        <v>1551764974302362</v>
      </c>
      <c r="C1747" t="s">
        <v>40</v>
      </c>
      <c r="D1747">
        <v>4.3554559999999896</v>
      </c>
      <c r="E1747">
        <v>0.4886974</v>
      </c>
      <c r="F1747" t="s">
        <v>61</v>
      </c>
      <c r="G1747">
        <v>-167.72980000000001</v>
      </c>
      <c r="H1747">
        <v>4.5695139999999999</v>
      </c>
      <c r="I1747">
        <v>224.61510000000001</v>
      </c>
      <c r="J1747">
        <v>-193.74619999999999</v>
      </c>
      <c r="K1747">
        <v>1.107766</v>
      </c>
      <c r="L1747">
        <v>343.18619999999999</v>
      </c>
      <c r="M1747">
        <v>0.17421989999999901</v>
      </c>
      <c r="N1747">
        <v>-1.335156E-2</v>
      </c>
      <c r="O1747">
        <v>-0.98461639999999995</v>
      </c>
      <c r="P1747">
        <v>0.17286199999999999</v>
      </c>
      <c r="Q1747">
        <v>-0.14541270000000001</v>
      </c>
      <c r="R1747">
        <v>-0.97415289999999999</v>
      </c>
      <c r="S1747">
        <v>0.65275569999999905</v>
      </c>
      <c r="T1747">
        <v>8.6738109999999993E-2</v>
      </c>
      <c r="U1747">
        <v>-2.976318</v>
      </c>
      <c r="V1747">
        <v>-1.094963E-3</v>
      </c>
      <c r="W1747">
        <v>-0.13218650000000001</v>
      </c>
      <c r="X1747">
        <v>0.99122429999999995</v>
      </c>
      <c r="Y1747">
        <v>-4.0577050000000003E-2</v>
      </c>
      <c r="Z1747">
        <v>-4.121259E-2</v>
      </c>
      <c r="AA1747">
        <v>0.99832609999999999</v>
      </c>
      <c r="AB1747">
        <v>24</v>
      </c>
      <c r="AC1747">
        <v>26.016399999999901</v>
      </c>
      <c r="AD1747">
        <v>3.461748</v>
      </c>
      <c r="AE1747">
        <v>-118.57109999999901</v>
      </c>
      <c r="AF1747">
        <v>-4.9551405779737898</v>
      </c>
      <c r="AG1747">
        <v>3.461748</v>
      </c>
      <c r="AH1747">
        <v>121.19186116391499</v>
      </c>
      <c r="AI1747">
        <v>88.365202206223202</v>
      </c>
      <c r="AJ1747">
        <v>92.341333749488399</v>
      </c>
      <c r="AK1747">
        <v>121.342508337913</v>
      </c>
      <c r="AL1747">
        <v>97.595959798149494</v>
      </c>
      <c r="AM1747">
        <v>90.063292166167003</v>
      </c>
      <c r="AN1747">
        <v>1.0000000413183501</v>
      </c>
    </row>
    <row r="1748" spans="1:40" x14ac:dyDescent="0.25">
      <c r="A1748" t="str">
        <f>"20190305134934327"</f>
        <v>20190305134934327</v>
      </c>
      <c r="B1748" t="str">
        <f>"1551764974321882"</f>
        <v>1551764974321882</v>
      </c>
      <c r="C1748" t="s">
        <v>40</v>
      </c>
      <c r="D1748">
        <v>4.3800949999999998</v>
      </c>
      <c r="E1748">
        <v>0.48877480000000001</v>
      </c>
      <c r="F1748" t="s">
        <v>61</v>
      </c>
      <c r="G1748">
        <v>-167.845</v>
      </c>
      <c r="H1748">
        <v>3.5061770000000001</v>
      </c>
      <c r="I1748">
        <v>224.61510000000001</v>
      </c>
      <c r="J1748">
        <v>-193.7236</v>
      </c>
      <c r="K1748">
        <v>1.107772</v>
      </c>
      <c r="L1748">
        <v>343.048</v>
      </c>
      <c r="M1748">
        <v>0.17251359999999999</v>
      </c>
      <c r="N1748">
        <v>-1.338962E-2</v>
      </c>
      <c r="O1748">
        <v>-0.98491620000000002</v>
      </c>
      <c r="P1748">
        <v>0.17273429999999901</v>
      </c>
      <c r="Q1748">
        <v>-0.14565810000000001</v>
      </c>
      <c r="R1748">
        <v>-0.97413870000000002</v>
      </c>
      <c r="S1748">
        <v>0.64952089999999996</v>
      </c>
      <c r="T1748">
        <v>6.014597E-2</v>
      </c>
      <c r="U1748">
        <v>-2.9733890000000001</v>
      </c>
      <c r="V1748">
        <v>-2.684419E-3</v>
      </c>
      <c r="W1748">
        <v>-0.13238730000000001</v>
      </c>
      <c r="X1748">
        <v>0.99119440000000003</v>
      </c>
      <c r="Y1748">
        <v>-4.1543740000000003E-2</v>
      </c>
      <c r="Z1748">
        <v>-3.2669360000000001E-2</v>
      </c>
      <c r="AA1748">
        <v>0.9986024</v>
      </c>
      <c r="AB1748">
        <v>23</v>
      </c>
      <c r="AC1748">
        <v>25.878599999999999</v>
      </c>
      <c r="AD1748">
        <v>2.3984049999999901</v>
      </c>
      <c r="AE1748">
        <v>-118.4329</v>
      </c>
      <c r="AF1748">
        <v>-5.0554406346309397</v>
      </c>
      <c r="AG1748">
        <v>2.3984049999999901</v>
      </c>
      <c r="AH1748">
        <v>121.074350374134</v>
      </c>
      <c r="AI1748">
        <v>88.866143621260505</v>
      </c>
      <c r="AJ1748">
        <v>92.390987455528403</v>
      </c>
      <c r="AK1748">
        <v>121.203581403657</v>
      </c>
      <c r="AL1748">
        <v>97.607567337205595</v>
      </c>
      <c r="AM1748">
        <v>90.155171884653399</v>
      </c>
      <c r="AN1748">
        <v>0.99999997094900805</v>
      </c>
    </row>
    <row r="1749" spans="1:40" x14ac:dyDescent="0.25">
      <c r="A1749" t="str">
        <f>"20190305134934340"</f>
        <v>20190305134934340</v>
      </c>
      <c r="B1749" t="str">
        <f>"1551764974332618"</f>
        <v>1551764974332618</v>
      </c>
      <c r="C1749" t="s">
        <v>40</v>
      </c>
      <c r="D1749">
        <v>4.3791739999999999</v>
      </c>
      <c r="E1749">
        <v>0.48904120000000001</v>
      </c>
      <c r="F1749" t="s">
        <v>61</v>
      </c>
      <c r="G1749">
        <v>-167.93109999999999</v>
      </c>
      <c r="H1749">
        <v>3.0364040000000001</v>
      </c>
      <c r="I1749">
        <v>224.61510000000001</v>
      </c>
      <c r="J1749">
        <v>-193.7013</v>
      </c>
      <c r="K1749">
        <v>1.1077729999999999</v>
      </c>
      <c r="L1749">
        <v>342.90879999999999</v>
      </c>
      <c r="M1749">
        <v>0.17079569999999999</v>
      </c>
      <c r="N1749">
        <v>-1.3424119999999999E-2</v>
      </c>
      <c r="O1749">
        <v>-0.98521510000000001</v>
      </c>
      <c r="P1749">
        <v>0.17265220000000001</v>
      </c>
      <c r="Q1749">
        <v>-0.146453</v>
      </c>
      <c r="R1749">
        <v>-0.97403439999999997</v>
      </c>
      <c r="S1749">
        <v>0.64727780000000001</v>
      </c>
      <c r="T1749">
        <v>4.8401470000000002E-2</v>
      </c>
      <c r="U1749">
        <v>-2.972137</v>
      </c>
      <c r="V1749">
        <v>-4.3481300000000004E-3</v>
      </c>
      <c r="W1749">
        <v>-0.13314200000000001</v>
      </c>
      <c r="X1749">
        <v>0.99108739999999995</v>
      </c>
      <c r="Y1749">
        <v>-4.2678239999999999E-2</v>
      </c>
      <c r="Z1749">
        <v>-2.89091E-2</v>
      </c>
      <c r="AA1749">
        <v>0.99867050000000002</v>
      </c>
      <c r="AB1749">
        <v>23</v>
      </c>
      <c r="AC1749">
        <v>25.770199999999999</v>
      </c>
      <c r="AD1749">
        <v>1.928631</v>
      </c>
      <c r="AE1749">
        <v>-118.29369999999901</v>
      </c>
      <c r="AF1749">
        <v>-5.1842860800860997</v>
      </c>
      <c r="AG1749">
        <v>1.928631</v>
      </c>
      <c r="AH1749">
        <v>120.92638025390799</v>
      </c>
      <c r="AI1749">
        <v>89.087116768686698</v>
      </c>
      <c r="AJ1749">
        <v>92.454848403904506</v>
      </c>
      <c r="AK1749">
        <v>121.052822689134</v>
      </c>
      <c r="AL1749">
        <v>97.651194706247296</v>
      </c>
      <c r="AM1749">
        <v>90.251368244005803</v>
      </c>
      <c r="AN1749">
        <v>0.99999996641862698</v>
      </c>
    </row>
    <row r="1750" spans="1:40" x14ac:dyDescent="0.25">
      <c r="A1750" t="str">
        <f>"20190305134934360"</f>
        <v>20190305134934360</v>
      </c>
      <c r="B1750" t="str">
        <f>"1551764974352138"</f>
        <v>1551764974352138</v>
      </c>
      <c r="C1750" t="s">
        <v>40</v>
      </c>
      <c r="D1750">
        <v>4.3901899999999996</v>
      </c>
      <c r="E1750">
        <v>0.48916199999999999</v>
      </c>
      <c r="F1750" t="s">
        <v>61</v>
      </c>
      <c r="G1750">
        <v>-168.0592</v>
      </c>
      <c r="H1750">
        <v>2.4522339999999998</v>
      </c>
      <c r="I1750">
        <v>224.61510000000001</v>
      </c>
      <c r="J1750">
        <v>-193.66919999999999</v>
      </c>
      <c r="K1750">
        <v>1.1077669999999999</v>
      </c>
      <c r="L1750">
        <v>342.70679999999999</v>
      </c>
      <c r="M1750">
        <v>0.16830100000000001</v>
      </c>
      <c r="N1750">
        <v>-1.346983E-2</v>
      </c>
      <c r="O1750">
        <v>-0.98564359999999995</v>
      </c>
      <c r="P1750">
        <v>0.17261609999999999</v>
      </c>
      <c r="Q1750">
        <v>-0.14873359999999999</v>
      </c>
      <c r="R1750">
        <v>-0.97369519999999998</v>
      </c>
      <c r="S1750">
        <v>0.6439819</v>
      </c>
      <c r="T1750">
        <v>3.376651E-2</v>
      </c>
      <c r="U1750">
        <v>-2.9708559999999999</v>
      </c>
      <c r="V1750">
        <v>-6.8814480000000001E-3</v>
      </c>
      <c r="W1750">
        <v>-0.1353705</v>
      </c>
      <c r="X1750">
        <v>0.99077119999999996</v>
      </c>
      <c r="Y1750">
        <v>-4.4264449999999997E-2</v>
      </c>
      <c r="Z1750">
        <v>-2.4215819999999999E-2</v>
      </c>
      <c r="AA1750">
        <v>0.99872629999999996</v>
      </c>
      <c r="AB1750">
        <v>23</v>
      </c>
      <c r="AC1750">
        <v>25.6099999999999</v>
      </c>
      <c r="AD1750">
        <v>1.3444670000000001</v>
      </c>
      <c r="AE1750">
        <v>-118.09169999999899</v>
      </c>
      <c r="AF1750">
        <v>-5.3672040307667004</v>
      </c>
      <c r="AG1750">
        <v>1.3444670000000001</v>
      </c>
      <c r="AH1750">
        <v>120.70252821691</v>
      </c>
      <c r="AI1750">
        <v>89.362456891631695</v>
      </c>
      <c r="AJ1750">
        <v>92.546058499668106</v>
      </c>
      <c r="AK1750">
        <v>120.829279516912</v>
      </c>
      <c r="AL1750">
        <v>97.7800442659791</v>
      </c>
      <c r="AM1750">
        <v>90.397944134277594</v>
      </c>
      <c r="AN1750">
        <v>1.00000004867313</v>
      </c>
    </row>
    <row r="1751" spans="1:40" x14ac:dyDescent="0.25">
      <c r="A1751" t="str">
        <f>"20190305134934376"</f>
        <v>20190305134934376</v>
      </c>
      <c r="B1751" t="str">
        <f>"1551764974372634"</f>
        <v>1551764974372634</v>
      </c>
      <c r="C1751" t="s">
        <v>40</v>
      </c>
      <c r="D1751">
        <v>4.1138349999999999</v>
      </c>
      <c r="E1751">
        <v>0.48958069999999998</v>
      </c>
      <c r="F1751" t="s">
        <v>61</v>
      </c>
      <c r="G1751">
        <v>-168.1266</v>
      </c>
      <c r="H1751">
        <v>1.9721010000000001</v>
      </c>
      <c r="I1751">
        <v>224.61510000000001</v>
      </c>
      <c r="J1751">
        <v>-193.6437</v>
      </c>
      <c r="K1751">
        <v>1.107766</v>
      </c>
      <c r="L1751">
        <v>342.54379999999998</v>
      </c>
      <c r="M1751">
        <v>0.16628490000000001</v>
      </c>
      <c r="N1751">
        <v>-1.3502800000000001E-2</v>
      </c>
      <c r="O1751">
        <v>-0.98598540000000001</v>
      </c>
      <c r="P1751">
        <v>0.1719685</v>
      </c>
      <c r="Q1751">
        <v>-0.14945269999999999</v>
      </c>
      <c r="R1751">
        <v>-0.97369969999999995</v>
      </c>
      <c r="S1751">
        <v>0.64250180000000001</v>
      </c>
      <c r="T1751">
        <v>2.1742939999999999E-2</v>
      </c>
      <c r="U1751">
        <v>-2.9704899999999999</v>
      </c>
      <c r="V1751">
        <v>-8.2658450000000008E-3</v>
      </c>
      <c r="W1751">
        <v>-0.13605220000000001</v>
      </c>
      <c r="X1751">
        <v>0.99066719999999997</v>
      </c>
      <c r="Y1751">
        <v>-4.5874810000000002E-2</v>
      </c>
      <c r="Z1751">
        <v>-2.0343940000000001E-2</v>
      </c>
      <c r="AA1751">
        <v>0.99873999999999996</v>
      </c>
      <c r="AB1751">
        <v>23</v>
      </c>
      <c r="AC1751">
        <v>25.517099999999999</v>
      </c>
      <c r="AD1751">
        <v>0.86433499999999897</v>
      </c>
      <c r="AE1751">
        <v>-117.928699999999</v>
      </c>
      <c r="AF1751">
        <v>-5.5499465976423998</v>
      </c>
      <c r="AG1751">
        <v>0.86433499999999897</v>
      </c>
      <c r="AH1751">
        <v>120.523876198377</v>
      </c>
      <c r="AI1751">
        <v>89.589546232934694</v>
      </c>
      <c r="AJ1751">
        <v>92.636523573416795</v>
      </c>
      <c r="AK1751">
        <v>120.654687916014</v>
      </c>
      <c r="AL1751">
        <v>97.819467804055805</v>
      </c>
      <c r="AM1751">
        <v>90.478048574554705</v>
      </c>
      <c r="AN1751">
        <v>1.0000000132371201</v>
      </c>
    </row>
    <row r="1752" spans="1:40" x14ac:dyDescent="0.25">
      <c r="A1752" t="str">
        <f>"20190305134934392"</f>
        <v>20190305134934392</v>
      </c>
      <c r="B1752" t="str">
        <f>"1551764974381926"</f>
        <v>1551764974381926</v>
      </c>
      <c r="C1752" t="s">
        <v>40</v>
      </c>
      <c r="D1752">
        <v>4.3806180000000001</v>
      </c>
      <c r="E1752">
        <v>0.48994969999999999</v>
      </c>
      <c r="F1752" t="s">
        <v>61</v>
      </c>
      <c r="G1752">
        <v>-168.35059999999999</v>
      </c>
      <c r="H1752">
        <v>1.615307</v>
      </c>
      <c r="I1752">
        <v>224.53110000000001</v>
      </c>
      <c r="J1752">
        <v>-193.61680000000001</v>
      </c>
      <c r="K1752">
        <v>1.107769</v>
      </c>
      <c r="L1752">
        <v>342.36930000000001</v>
      </c>
      <c r="M1752">
        <v>0.16412689999999999</v>
      </c>
      <c r="N1752">
        <v>-1.35345E-2</v>
      </c>
      <c r="O1752">
        <v>-0.98634650000000001</v>
      </c>
      <c r="P1752">
        <v>0.1720507</v>
      </c>
      <c r="Q1752">
        <v>-0.14999370000000001</v>
      </c>
      <c r="R1752">
        <v>-0.97360190000000002</v>
      </c>
      <c r="S1752">
        <v>0.63667299999999905</v>
      </c>
      <c r="T1752">
        <v>1.277709E-2</v>
      </c>
      <c r="U1752">
        <v>-2.9705810000000001</v>
      </c>
      <c r="V1752">
        <v>-1.052735E-2</v>
      </c>
      <c r="W1752">
        <v>-0.1365529</v>
      </c>
      <c r="X1752">
        <v>0.99057689999999998</v>
      </c>
      <c r="Y1752">
        <v>-4.6192080000000003E-2</v>
      </c>
      <c r="Z1752">
        <v>-1.7463630000000001E-2</v>
      </c>
      <c r="AA1752">
        <v>0.99877990000000005</v>
      </c>
      <c r="AB1752">
        <v>23</v>
      </c>
      <c r="AC1752">
        <v>25.266200000000001</v>
      </c>
      <c r="AD1752">
        <v>0.50753800000000004</v>
      </c>
      <c r="AE1752">
        <v>-117.8382</v>
      </c>
      <c r="AF1752">
        <v>-5.5812210388359</v>
      </c>
      <c r="AG1752">
        <v>0.50753800000000004</v>
      </c>
      <c r="AH1752">
        <v>120.385036601141</v>
      </c>
      <c r="AI1752">
        <v>89.758704130131306</v>
      </c>
      <c r="AJ1752">
        <v>92.654412907951695</v>
      </c>
      <c r="AK1752">
        <v>120.51541254364</v>
      </c>
      <c r="AL1752">
        <v>97.848425713496596</v>
      </c>
      <c r="AM1752">
        <v>90.608887626820206</v>
      </c>
      <c r="AN1752">
        <v>1.0000000572050101</v>
      </c>
    </row>
    <row r="1753" spans="1:40" x14ac:dyDescent="0.25">
      <c r="A1753" t="str">
        <f>"20190305134934405"</f>
        <v>20190305134934405</v>
      </c>
      <c r="B1753" t="str">
        <f>"1551764974402424"</f>
        <v>1551764974402424</v>
      </c>
      <c r="C1753" t="s">
        <v>40</v>
      </c>
      <c r="D1753">
        <v>4.1555970000000002</v>
      </c>
      <c r="E1753">
        <v>0.49024709999999999</v>
      </c>
      <c r="F1753" t="s">
        <v>61</v>
      </c>
      <c r="G1753">
        <v>-168.35059999999999</v>
      </c>
      <c r="H1753">
        <v>0.92184259999999996</v>
      </c>
      <c r="I1753">
        <v>223.95570000000001</v>
      </c>
      <c r="J1753">
        <v>-193.59639999999999</v>
      </c>
      <c r="K1753">
        <v>1.107766</v>
      </c>
      <c r="L1753">
        <v>342.23540000000003</v>
      </c>
      <c r="M1753">
        <v>0.16247</v>
      </c>
      <c r="N1753">
        <v>-1.355635E-2</v>
      </c>
      <c r="O1753">
        <v>-0.98662050000000001</v>
      </c>
      <c r="P1753">
        <v>0.17152679999999901</v>
      </c>
      <c r="Q1753">
        <v>-0.15041979999999999</v>
      </c>
      <c r="R1753">
        <v>-0.97362859999999996</v>
      </c>
      <c r="S1753">
        <v>0.633438099999999</v>
      </c>
      <c r="T1753">
        <v>-4.6598909999999898E-3</v>
      </c>
      <c r="U1753">
        <v>-2.9686889999999999</v>
      </c>
      <c r="V1753">
        <v>-1.16674E-2</v>
      </c>
      <c r="W1753">
        <v>-0.1369533</v>
      </c>
      <c r="X1753">
        <v>0.99050879999999997</v>
      </c>
      <c r="Y1753">
        <v>-4.697523E-2</v>
      </c>
      <c r="Z1753">
        <v>-1.1803940000000001E-2</v>
      </c>
      <c r="AA1753">
        <v>0.99882629999999994</v>
      </c>
      <c r="AB1753">
        <v>23</v>
      </c>
      <c r="AC1753">
        <v>25.245799999999999</v>
      </c>
      <c r="AD1753">
        <v>-0.18592339999999999</v>
      </c>
      <c r="AE1753">
        <v>-118.27970000000001</v>
      </c>
      <c r="AF1753">
        <v>-5.6916297077525497</v>
      </c>
      <c r="AG1753">
        <v>-0.18592339999999999</v>
      </c>
      <c r="AH1753">
        <v>120.809660483851</v>
      </c>
      <c r="AI1753">
        <v>90.088079175101399</v>
      </c>
      <c r="AJ1753">
        <v>92.697345623922899</v>
      </c>
      <c r="AK1753">
        <v>120.943802166396</v>
      </c>
      <c r="AL1753">
        <v>97.871584899515</v>
      </c>
      <c r="AM1753">
        <v>90.674867161987805</v>
      </c>
      <c r="AN1753">
        <v>1.0000000087405401</v>
      </c>
    </row>
    <row r="1754" spans="1:40" x14ac:dyDescent="0.25">
      <c r="A1754" t="str">
        <f>"20190305134934420"</f>
        <v>20190305134934420</v>
      </c>
      <c r="B1754" t="str">
        <f>"1551764974412183"</f>
        <v>1551764974412183</v>
      </c>
      <c r="C1754" t="s">
        <v>40</v>
      </c>
      <c r="D1754">
        <v>4.1435529999999998</v>
      </c>
      <c r="E1754">
        <v>0.49587369999999997</v>
      </c>
      <c r="F1754" t="s">
        <v>61</v>
      </c>
      <c r="G1754">
        <v>-168.35059999999999</v>
      </c>
      <c r="H1754">
        <v>0.32109260000000001</v>
      </c>
      <c r="I1754">
        <v>223.0924</v>
      </c>
      <c r="J1754">
        <v>-193.5727</v>
      </c>
      <c r="K1754">
        <v>1.1077699999999999</v>
      </c>
      <c r="L1754">
        <v>342.0779</v>
      </c>
      <c r="M1754">
        <v>0.16051860000000001</v>
      </c>
      <c r="N1754">
        <v>-1.357964E-2</v>
      </c>
      <c r="O1754">
        <v>-0.98693960000000003</v>
      </c>
      <c r="P1754">
        <v>0.17087160000000001</v>
      </c>
      <c r="Q1754">
        <v>-0.15100450000000001</v>
      </c>
      <c r="R1754">
        <v>-0.9736532</v>
      </c>
      <c r="S1754">
        <v>0.62879940000000001</v>
      </c>
      <c r="T1754">
        <v>-1.9592289999999998E-2</v>
      </c>
      <c r="U1754">
        <v>-2.9674990000000001</v>
      </c>
      <c r="V1754">
        <v>-1.2972799999999901E-2</v>
      </c>
      <c r="W1754">
        <v>-0.13751050000000001</v>
      </c>
      <c r="X1754">
        <v>0.9904153</v>
      </c>
      <c r="Y1754">
        <v>-4.7546409999999997E-2</v>
      </c>
      <c r="Z1754">
        <v>-6.9523099999999997E-3</v>
      </c>
      <c r="AA1754">
        <v>0.99884490000000004</v>
      </c>
      <c r="AB1754">
        <v>23</v>
      </c>
      <c r="AC1754">
        <v>25.222100000000001</v>
      </c>
      <c r="AD1754">
        <v>-0.78667739999999997</v>
      </c>
      <c r="AE1754">
        <v>-118.9855</v>
      </c>
      <c r="AF1754">
        <v>-5.7935941148546597</v>
      </c>
      <c r="AG1754">
        <v>-0.78667739999999997</v>
      </c>
      <c r="AH1754">
        <v>121.486213871742</v>
      </c>
      <c r="AI1754">
        <v>90.370589373161295</v>
      </c>
      <c r="AJ1754">
        <v>92.730327798971302</v>
      </c>
      <c r="AK1754">
        <v>121.626825803315</v>
      </c>
      <c r="AL1754">
        <v>97.9038155157684</v>
      </c>
      <c r="AM1754">
        <v>90.750436897650204</v>
      </c>
      <c r="AN1754">
        <v>0.99999994881208798</v>
      </c>
    </row>
    <row r="1755" spans="1:40" x14ac:dyDescent="0.25">
      <c r="A1755" t="str">
        <f>"20190305134934439"</f>
        <v>20190305134934439</v>
      </c>
      <c r="B1755" t="str">
        <f>"1551764974432679"</f>
        <v>1551764974432679</v>
      </c>
      <c r="C1755" t="s">
        <v>40</v>
      </c>
      <c r="D1755">
        <v>4.1281339999999904</v>
      </c>
      <c r="E1755">
        <v>0.49554860000000001</v>
      </c>
      <c r="F1755" t="s">
        <v>60</v>
      </c>
      <c r="G1755">
        <v>-166.28489999999999</v>
      </c>
      <c r="H1755">
        <v>21.73657</v>
      </c>
      <c r="I1755">
        <v>209.3373</v>
      </c>
      <c r="J1755">
        <v>-193.5446</v>
      </c>
      <c r="K1755">
        <v>1.107782</v>
      </c>
      <c r="L1755">
        <v>341.88810000000001</v>
      </c>
      <c r="M1755">
        <v>0.15816749999999999</v>
      </c>
      <c r="N1755">
        <v>-1.360479E-2</v>
      </c>
      <c r="O1755">
        <v>-0.98731880000000005</v>
      </c>
      <c r="P1755">
        <v>0.17093220000000001</v>
      </c>
      <c r="Q1755">
        <v>-0.15220649999999999</v>
      </c>
      <c r="R1755">
        <v>-0.97345579999999998</v>
      </c>
      <c r="S1755">
        <v>0.62591549999999996</v>
      </c>
      <c r="T1755">
        <v>0.47317409999999999</v>
      </c>
      <c r="U1755">
        <v>-3.0447389999999999</v>
      </c>
      <c r="V1755">
        <v>-1.542223E-2</v>
      </c>
      <c r="W1755">
        <v>-0.13867950000000001</v>
      </c>
      <c r="X1755">
        <v>0.99021720000000002</v>
      </c>
      <c r="Y1755">
        <v>-4.1221239999999999E-2</v>
      </c>
      <c r="Z1755">
        <v>-0.16233549999999999</v>
      </c>
      <c r="AA1755">
        <v>0.98587420000000003</v>
      </c>
      <c r="AB1755">
        <v>23</v>
      </c>
      <c r="AC1755">
        <v>27.259699999999999</v>
      </c>
      <c r="AD1755">
        <v>20.628788</v>
      </c>
      <c r="AE1755">
        <v>-132.55080000000001</v>
      </c>
      <c r="AF1755">
        <v>-5.8142258219845298</v>
      </c>
      <c r="AG1755">
        <v>20.628788</v>
      </c>
      <c r="AH1755">
        <v>132.12372904668501</v>
      </c>
      <c r="AI1755">
        <v>81.134364893659196</v>
      </c>
      <c r="AJ1755">
        <v>92.5197276412473</v>
      </c>
      <c r="AK1755">
        <v>133.85078219218499</v>
      </c>
      <c r="AL1755">
        <v>97.971442003506198</v>
      </c>
      <c r="AM1755">
        <v>90.892286311942101</v>
      </c>
      <c r="AN1755">
        <v>0.99999997603713098</v>
      </c>
    </row>
    <row r="1756" spans="1:40" x14ac:dyDescent="0.25">
      <c r="A1756" t="str">
        <f>"20190305134934454"</f>
        <v>20190305134934454</v>
      </c>
      <c r="B1756" t="str">
        <f>"1551764974442438"</f>
        <v>1551764974442438</v>
      </c>
      <c r="C1756" t="s">
        <v>40</v>
      </c>
      <c r="D1756">
        <v>4.351432</v>
      </c>
      <c r="E1756">
        <v>0.49554860000000001</v>
      </c>
      <c r="F1756" t="s">
        <v>60</v>
      </c>
      <c r="G1756">
        <v>-166.06799999999899</v>
      </c>
      <c r="H1756">
        <v>21.46762</v>
      </c>
      <c r="I1756">
        <v>209.3373</v>
      </c>
      <c r="J1756">
        <v>-193.52379999999999</v>
      </c>
      <c r="K1756">
        <v>1.107785</v>
      </c>
      <c r="L1756">
        <v>341.74619999999999</v>
      </c>
      <c r="M1756">
        <v>0.156409299999999</v>
      </c>
      <c r="N1756">
        <v>-1.362176E-2</v>
      </c>
      <c r="O1756">
        <v>-0.98759859999999999</v>
      </c>
      <c r="P1756">
        <v>0.17057539999999999</v>
      </c>
      <c r="Q1756">
        <v>-0.15242990000000001</v>
      </c>
      <c r="R1756">
        <v>-0.97348330000000005</v>
      </c>
      <c r="S1756">
        <v>0.63102720000000001</v>
      </c>
      <c r="T1756">
        <v>0.46758450000000001</v>
      </c>
      <c r="U1756">
        <v>-3.0441590000000001</v>
      </c>
      <c r="V1756">
        <v>-1.6824550000000001E-2</v>
      </c>
      <c r="W1756">
        <v>-0.13888059999999999</v>
      </c>
      <c r="X1756">
        <v>0.9901662</v>
      </c>
      <c r="Y1756">
        <v>-4.4683580000000001E-2</v>
      </c>
      <c r="Z1756">
        <v>-0.1606882</v>
      </c>
      <c r="AA1756">
        <v>0.98599329999999996</v>
      </c>
      <c r="AB1756">
        <v>23</v>
      </c>
      <c r="AC1756">
        <v>27.4558</v>
      </c>
      <c r="AD1756">
        <v>20.359835</v>
      </c>
      <c r="AE1756">
        <v>-132.40889999999999</v>
      </c>
      <c r="AF1756">
        <v>-6.2639227814829601</v>
      </c>
      <c r="AG1756">
        <v>20.359835</v>
      </c>
      <c r="AH1756">
        <v>132.07958620144899</v>
      </c>
      <c r="AI1756">
        <v>81.246616502239206</v>
      </c>
      <c r="AJ1756">
        <v>92.715238887492603</v>
      </c>
      <c r="AK1756">
        <v>133.78630984142501</v>
      </c>
      <c r="AL1756">
        <v>97.983076619042606</v>
      </c>
      <c r="AM1756">
        <v>90.973455720429399</v>
      </c>
      <c r="AN1756">
        <v>0.99999999508075099</v>
      </c>
    </row>
    <row r="1757" spans="1:40" x14ac:dyDescent="0.25">
      <c r="A1757" t="str">
        <f>"20190305134934473"</f>
        <v>20190305134934473</v>
      </c>
      <c r="B1757" t="str">
        <f>"1551764974461958"</f>
        <v>1551764974461958</v>
      </c>
      <c r="C1757" t="s">
        <v>40</v>
      </c>
      <c r="D1757">
        <v>4.2809439999999999</v>
      </c>
      <c r="E1757">
        <v>0.4909887</v>
      </c>
      <c r="F1757" t="s">
        <v>60</v>
      </c>
      <c r="G1757">
        <v>-166.0831</v>
      </c>
      <c r="H1757">
        <v>21.41339</v>
      </c>
      <c r="I1757">
        <v>209.3373</v>
      </c>
      <c r="J1757">
        <v>-193.49420000000001</v>
      </c>
      <c r="K1757">
        <v>1.1077969999999999</v>
      </c>
      <c r="L1757">
        <v>341.53980000000001</v>
      </c>
      <c r="M1757">
        <v>0.1538514</v>
      </c>
      <c r="N1757">
        <v>-1.364334E-2</v>
      </c>
      <c r="O1757">
        <v>-0.9880002</v>
      </c>
      <c r="P1757">
        <v>0.1709447</v>
      </c>
      <c r="Q1757">
        <v>-0.15274769999999999</v>
      </c>
      <c r="R1757">
        <v>-0.97336889999999998</v>
      </c>
      <c r="S1757">
        <v>0.63090519999999894</v>
      </c>
      <c r="T1757">
        <v>0.46685720000000003</v>
      </c>
      <c r="U1757">
        <v>-3.0442809999999998</v>
      </c>
      <c r="V1757">
        <v>-1.9765629999999999E-2</v>
      </c>
      <c r="W1757">
        <v>-0.1391655</v>
      </c>
      <c r="X1757">
        <v>0.99007179999999995</v>
      </c>
      <c r="Y1757">
        <v>-4.7231910000000002E-2</v>
      </c>
      <c r="Z1757">
        <v>-0.16056419999999999</v>
      </c>
      <c r="AA1757">
        <v>0.98589470000000001</v>
      </c>
      <c r="AB1757">
        <v>23</v>
      </c>
      <c r="AC1757">
        <v>27.411100000000001</v>
      </c>
      <c r="AD1757">
        <v>20.305592999999998</v>
      </c>
      <c r="AE1757">
        <v>-132.20249999999999</v>
      </c>
      <c r="AF1757">
        <v>-6.5941060654696502</v>
      </c>
      <c r="AG1757">
        <v>20.305592999999998</v>
      </c>
      <c r="AH1757">
        <v>131.86322794269699</v>
      </c>
      <c r="AI1757">
        <v>81.256553978302094</v>
      </c>
      <c r="AJ1757">
        <v>92.862814669394993</v>
      </c>
      <c r="AK1757">
        <v>133.58035119489699</v>
      </c>
      <c r="AL1757">
        <v>97.999560677638897</v>
      </c>
      <c r="AM1757">
        <v>91.143691560235297</v>
      </c>
      <c r="AN1757">
        <v>0.99999994283739102</v>
      </c>
    </row>
    <row r="1758" spans="1:40" x14ac:dyDescent="0.25">
      <c r="A1758" t="str">
        <f>"20190305134934604"</f>
        <v>20190305134934604</v>
      </c>
      <c r="B1758" t="str">
        <f>"1551764974602539"</f>
        <v>1551764974602539</v>
      </c>
      <c r="C1758" t="s">
        <v>40</v>
      </c>
      <c r="D1758">
        <v>4.1653769999999897</v>
      </c>
      <c r="E1758">
        <v>0.48160199999999997</v>
      </c>
      <c r="F1758" t="s">
        <v>42</v>
      </c>
      <c r="G1758">
        <v>-187.7978</v>
      </c>
      <c r="H1758" s="1">
        <v>-2.5296579999999998E-6</v>
      </c>
      <c r="I1758">
        <v>314.15629999999999</v>
      </c>
      <c r="J1758">
        <v>-193.3125</v>
      </c>
      <c r="K1758">
        <v>1.1079479999999999</v>
      </c>
      <c r="L1758">
        <v>340.1866</v>
      </c>
      <c r="M1758">
        <v>0.1375411</v>
      </c>
      <c r="N1758">
        <v>-1.372144E-2</v>
      </c>
      <c r="O1758">
        <v>-0.99040119999999998</v>
      </c>
      <c r="P1758">
        <v>0.16831209999999999</v>
      </c>
      <c r="Q1758">
        <v>-0.15382570000000001</v>
      </c>
      <c r="R1758">
        <v>-0.97365769999999996</v>
      </c>
      <c r="S1758">
        <v>0.61477660000000001</v>
      </c>
      <c r="T1758">
        <v>-0.119559</v>
      </c>
      <c r="U1758">
        <v>-2.9553530000000001</v>
      </c>
      <c r="V1758">
        <v>-3.3356770000000001E-2</v>
      </c>
      <c r="W1758">
        <v>-0.140125</v>
      </c>
      <c r="X1758">
        <v>0.9895718</v>
      </c>
      <c r="Y1758">
        <v>-6.6961489999999999E-2</v>
      </c>
      <c r="Z1758">
        <v>2.586188E-2</v>
      </c>
      <c r="AA1758">
        <v>0.99742030000000004</v>
      </c>
      <c r="AB1758">
        <v>23</v>
      </c>
      <c r="AC1758">
        <v>5.5147000000000004</v>
      </c>
      <c r="AD1758">
        <v>-1.1079505296579999</v>
      </c>
      <c r="AE1758">
        <v>-26.0303</v>
      </c>
      <c r="AF1758">
        <v>-1.8784492331410001</v>
      </c>
      <c r="AG1758">
        <v>-1.1079505296579999</v>
      </c>
      <c r="AH1758">
        <v>26.495492529994099</v>
      </c>
      <c r="AI1758">
        <v>92.388529400139305</v>
      </c>
      <c r="AJ1758">
        <v>94.055309782268296</v>
      </c>
      <c r="AK1758">
        <v>26.5850945137426</v>
      </c>
      <c r="AL1758">
        <v>98.055079370203202</v>
      </c>
      <c r="AM1758">
        <v>91.930611568931397</v>
      </c>
      <c r="AN1758">
        <v>1.00000001854253</v>
      </c>
    </row>
    <row r="1759" spans="1:40" x14ac:dyDescent="0.25">
      <c r="A1759" t="str">
        <f>"20190305134934617"</f>
        <v>20190305134934617</v>
      </c>
      <c r="B1759" t="str">
        <f>"1551764974612300"</f>
        <v>1551764974612300</v>
      </c>
      <c r="C1759" t="s">
        <v>40</v>
      </c>
      <c r="D1759">
        <v>4.3583020000000001</v>
      </c>
      <c r="E1759">
        <v>0.4780527</v>
      </c>
      <c r="F1759" t="s">
        <v>60</v>
      </c>
      <c r="G1759">
        <v>-161.60640000000001</v>
      </c>
      <c r="H1759">
        <v>20.75224</v>
      </c>
      <c r="I1759">
        <v>209.33609999999999</v>
      </c>
      <c r="J1759">
        <v>-193.29679999999999</v>
      </c>
      <c r="K1759">
        <v>1.1079779999999999</v>
      </c>
      <c r="L1759">
        <v>340.06199999999899</v>
      </c>
      <c r="M1759">
        <v>0.1361386</v>
      </c>
      <c r="N1759">
        <v>-1.372044E-2</v>
      </c>
      <c r="O1759">
        <v>-0.9905948</v>
      </c>
      <c r="P1759">
        <v>0.16789470000000001</v>
      </c>
      <c r="Q1759">
        <v>-0.15467500000000001</v>
      </c>
      <c r="R1759">
        <v>-0.97359510000000005</v>
      </c>
      <c r="S1759">
        <v>0.7332611</v>
      </c>
      <c r="T1759">
        <v>0.4543102</v>
      </c>
      <c r="U1759">
        <v>-3.026154</v>
      </c>
      <c r="V1759">
        <v>-3.4341589999999998E-2</v>
      </c>
      <c r="W1759">
        <v>-0.14097609999999999</v>
      </c>
      <c r="X1759">
        <v>0.9894172</v>
      </c>
      <c r="Y1759">
        <v>-9.8109940000000007E-2</v>
      </c>
      <c r="Z1759">
        <v>-0.1573657</v>
      </c>
      <c r="AA1759">
        <v>0.98265480000000005</v>
      </c>
      <c r="AB1759">
        <v>23</v>
      </c>
      <c r="AC1759">
        <v>31.690399999999901</v>
      </c>
      <c r="AD1759">
        <v>19.644262000000001</v>
      </c>
      <c r="AE1759">
        <v>-130.725899999999</v>
      </c>
      <c r="AF1759">
        <v>-13.312849175168401</v>
      </c>
      <c r="AG1759">
        <v>19.644262000000001</v>
      </c>
      <c r="AH1759">
        <v>131.02871281441301</v>
      </c>
      <c r="AI1759">
        <v>81.516564972600406</v>
      </c>
      <c r="AJ1759">
        <v>95.801487948734504</v>
      </c>
      <c r="AK1759">
        <v>133.16025144346699</v>
      </c>
      <c r="AL1759">
        <v>98.104332868291394</v>
      </c>
      <c r="AM1759">
        <v>91.987875893112701</v>
      </c>
      <c r="AN1759">
        <v>1.00000000061538</v>
      </c>
    </row>
    <row r="1760" spans="1:40" x14ac:dyDescent="0.25">
      <c r="A1760" t="str">
        <f>"20190305134934630"</f>
        <v>20190305134934630</v>
      </c>
      <c r="B1760" t="str">
        <f>"1551764974622060"</f>
        <v>1551764974622060</v>
      </c>
      <c r="C1760" t="s">
        <v>40</v>
      </c>
      <c r="D1760">
        <v>4.4008390000000004</v>
      </c>
      <c r="E1760">
        <v>0.4780527</v>
      </c>
      <c r="F1760" t="s">
        <v>60</v>
      </c>
      <c r="G1760">
        <v>-160.40700000000001</v>
      </c>
      <c r="H1760">
        <v>20.901129999999998</v>
      </c>
      <c r="I1760">
        <v>209.3356</v>
      </c>
      <c r="J1760">
        <v>-193.2791</v>
      </c>
      <c r="K1760">
        <v>1.1080159999999999</v>
      </c>
      <c r="L1760">
        <v>339.9203</v>
      </c>
      <c r="M1760">
        <v>0.13456940000000001</v>
      </c>
      <c r="N1760">
        <v>-1.371471E-2</v>
      </c>
      <c r="O1760">
        <v>-0.9908093</v>
      </c>
      <c r="P1760">
        <v>0.1675827</v>
      </c>
      <c r="Q1760">
        <v>-0.1554991</v>
      </c>
      <c r="R1760">
        <v>-0.97351739999999998</v>
      </c>
      <c r="S1760">
        <v>0.7605286</v>
      </c>
      <c r="T1760">
        <v>0.4576886</v>
      </c>
      <c r="U1760">
        <v>-3.0228579999999998</v>
      </c>
      <c r="V1760">
        <v>-3.5596500000000003E-2</v>
      </c>
      <c r="W1760">
        <v>-0.14180670000000001</v>
      </c>
      <c r="X1760">
        <v>0.98925410000000003</v>
      </c>
      <c r="Y1760">
        <v>-0.10825120000000001</v>
      </c>
      <c r="Z1760">
        <v>-0.1583696</v>
      </c>
      <c r="AA1760">
        <v>0.98142790000000002</v>
      </c>
      <c r="AB1760">
        <v>23</v>
      </c>
      <c r="AC1760">
        <v>32.872099999999897</v>
      </c>
      <c r="AD1760">
        <v>19.793113999999999</v>
      </c>
      <c r="AE1760">
        <v>-130.5847</v>
      </c>
      <c r="AF1760">
        <v>-14.6814898491248</v>
      </c>
      <c r="AG1760">
        <v>19.793113999999999</v>
      </c>
      <c r="AH1760">
        <v>130.990604510455</v>
      </c>
      <c r="AI1760">
        <v>81.460096570231897</v>
      </c>
      <c r="AJ1760">
        <v>96.395049321257801</v>
      </c>
      <c r="AK1760">
        <v>133.28860407409701</v>
      </c>
      <c r="AL1760">
        <v>98.152406006184506</v>
      </c>
      <c r="AM1760">
        <v>92.060794739761107</v>
      </c>
      <c r="AN1760">
        <v>0.999999962671974</v>
      </c>
    </row>
    <row r="1761" spans="1:40" x14ac:dyDescent="0.25">
      <c r="A1761" t="str">
        <f>"20190305134934642"</f>
        <v>20190305134934642</v>
      </c>
      <c r="B1761" t="str">
        <f>"1551764974631820"</f>
        <v>1551764974631820</v>
      </c>
      <c r="C1761" t="s">
        <v>40</v>
      </c>
      <c r="D1761">
        <v>4.4482010000000001</v>
      </c>
      <c r="E1761">
        <v>0.46009060000000002</v>
      </c>
      <c r="F1761" t="s">
        <v>60</v>
      </c>
      <c r="G1761">
        <v>-160.4418</v>
      </c>
      <c r="H1761">
        <v>20.757159999999999</v>
      </c>
      <c r="I1761">
        <v>209.3357</v>
      </c>
      <c r="J1761">
        <v>-193.26329999999999</v>
      </c>
      <c r="K1761">
        <v>1.1080540000000001</v>
      </c>
      <c r="L1761">
        <v>339.79169999999999</v>
      </c>
      <c r="M1761">
        <v>0.13319420000000001</v>
      </c>
      <c r="N1761">
        <v>-1.3696470000000001E-2</v>
      </c>
      <c r="O1761">
        <v>-0.99099550000000003</v>
      </c>
      <c r="P1761">
        <v>0.1672611</v>
      </c>
      <c r="Q1761">
        <v>-0.15591479999999999</v>
      </c>
      <c r="R1761">
        <v>-0.97350650000000005</v>
      </c>
      <c r="S1761">
        <v>0.76026919999999898</v>
      </c>
      <c r="T1761">
        <v>0.45492969999999999</v>
      </c>
      <c r="U1761">
        <v>-3.0233759999999998</v>
      </c>
      <c r="V1761">
        <v>-3.6636189999999999E-2</v>
      </c>
      <c r="W1761">
        <v>-0.14224139999999999</v>
      </c>
      <c r="X1761">
        <v>0.98915379999999997</v>
      </c>
      <c r="Y1761">
        <v>-0.10954609999999999</v>
      </c>
      <c r="Z1761">
        <v>-0.15750819999999999</v>
      </c>
      <c r="AA1761">
        <v>0.98142280000000004</v>
      </c>
      <c r="AB1761">
        <v>23</v>
      </c>
      <c r="AC1761">
        <v>32.821499999999901</v>
      </c>
      <c r="AD1761">
        <v>19.649106</v>
      </c>
      <c r="AE1761">
        <v>-130.45599999999999</v>
      </c>
      <c r="AF1761">
        <v>-14.834885173458201</v>
      </c>
      <c r="AG1761">
        <v>19.649106</v>
      </c>
      <c r="AH1761">
        <v>130.87321200297501</v>
      </c>
      <c r="AI1761">
        <v>81.515013493625204</v>
      </c>
      <c r="AJ1761">
        <v>96.467050663538302</v>
      </c>
      <c r="AK1761">
        <v>133.16891080385301</v>
      </c>
      <c r="AL1761">
        <v>98.177566959477105</v>
      </c>
      <c r="AM1761">
        <v>92.121146378754304</v>
      </c>
      <c r="AN1761">
        <v>1.0000000331730501</v>
      </c>
    </row>
    <row r="1762" spans="1:40" x14ac:dyDescent="0.25">
      <c r="A1762" t="str">
        <f>"20190305134934662"</f>
        <v>20190305134934662</v>
      </c>
      <c r="B1762" t="str">
        <f>"1551764974652318"</f>
        <v>1551764974652318</v>
      </c>
      <c r="C1762" t="s">
        <v>40</v>
      </c>
      <c r="D1762">
        <v>4.4622549999999999</v>
      </c>
      <c r="E1762">
        <v>0.46303820000000001</v>
      </c>
      <c r="F1762" t="s">
        <v>42</v>
      </c>
      <c r="G1762">
        <v>-188.57939999999999</v>
      </c>
      <c r="H1762" s="1">
        <v>-1.9589980000000002E-6</v>
      </c>
      <c r="I1762">
        <v>323.61180000000002</v>
      </c>
      <c r="J1762">
        <v>-193.2396</v>
      </c>
      <c r="K1762">
        <v>1.108109</v>
      </c>
      <c r="L1762">
        <v>339.59800000000001</v>
      </c>
      <c r="M1762">
        <v>0.13117010000000001</v>
      </c>
      <c r="N1762">
        <v>-1.365916E-2</v>
      </c>
      <c r="O1762">
        <v>-0.99126590000000003</v>
      </c>
      <c r="P1762">
        <v>0.1675972</v>
      </c>
      <c r="Q1762">
        <v>-0.1563541</v>
      </c>
      <c r="R1762">
        <v>-0.97337810000000002</v>
      </c>
      <c r="S1762">
        <v>0.84104920000000005</v>
      </c>
      <c r="T1762">
        <v>-0.19896359999999999</v>
      </c>
      <c r="U1762">
        <v>-2.9052730000000002</v>
      </c>
      <c r="V1762">
        <v>-3.8982749999999997E-2</v>
      </c>
      <c r="W1762">
        <v>-0.1427166</v>
      </c>
      <c r="X1762">
        <v>0.98899559999999997</v>
      </c>
      <c r="Y1762">
        <v>-0.14919879999999999</v>
      </c>
      <c r="Z1762">
        <v>5.2337450000000001E-2</v>
      </c>
      <c r="AA1762">
        <v>0.9874212</v>
      </c>
      <c r="AB1762">
        <v>23</v>
      </c>
      <c r="AC1762">
        <v>4.6601999999999997</v>
      </c>
      <c r="AD1762">
        <v>-1.1081109589980001</v>
      </c>
      <c r="AE1762">
        <v>-15.986199999999901</v>
      </c>
      <c r="AF1762">
        <v>-2.5116979420324799</v>
      </c>
      <c r="AG1762">
        <v>-1.1081109589980001</v>
      </c>
      <c r="AH1762">
        <v>16.386818655306701</v>
      </c>
      <c r="AI1762">
        <v>93.824046691352194</v>
      </c>
      <c r="AJ1762">
        <v>98.714219854917005</v>
      </c>
      <c r="AK1762">
        <v>16.615184684238901</v>
      </c>
      <c r="AL1762">
        <v>98.205074909123496</v>
      </c>
      <c r="AM1762">
        <v>92.257230872445703</v>
      </c>
      <c r="AN1762">
        <v>0.99999998976624105</v>
      </c>
    </row>
    <row r="1763" spans="1:40" x14ac:dyDescent="0.25">
      <c r="A1763" t="str">
        <f>"20190305134934675"</f>
        <v>20190305134934675</v>
      </c>
      <c r="B1763" t="str">
        <f>"1551764974671835"</f>
        <v>1551764974671835</v>
      </c>
      <c r="C1763" t="s">
        <v>40</v>
      </c>
      <c r="D1763">
        <v>4.2993300000000003</v>
      </c>
      <c r="E1763">
        <v>0.52233009999999902</v>
      </c>
      <c r="F1763" t="s">
        <v>42</v>
      </c>
      <c r="G1763">
        <v>-188.11779999999999</v>
      </c>
      <c r="H1763" s="1">
        <v>-1.1099069999999999E-6</v>
      </c>
      <c r="I1763">
        <v>321.43799999999999</v>
      </c>
      <c r="J1763">
        <v>-193.22329999999999</v>
      </c>
      <c r="K1763">
        <v>1.1081430000000001</v>
      </c>
      <c r="L1763">
        <v>339.46260000000001</v>
      </c>
      <c r="M1763">
        <v>0.12979869999999999</v>
      </c>
      <c r="N1763">
        <v>-1.3628400000000001E-2</v>
      </c>
      <c r="O1763">
        <v>-0.99144670000000001</v>
      </c>
      <c r="P1763">
        <v>0.16752020000000001</v>
      </c>
      <c r="Q1763">
        <v>-0.15651760000000001</v>
      </c>
      <c r="R1763">
        <v>-0.97336520000000004</v>
      </c>
      <c r="S1763">
        <v>0.82131960000000004</v>
      </c>
      <c r="T1763">
        <v>-0.17769289999999999</v>
      </c>
      <c r="U1763">
        <v>-2.9120789999999999</v>
      </c>
      <c r="V1763">
        <v>-4.0259110000000001E-2</v>
      </c>
      <c r="W1763">
        <v>-0.14291099999999901</v>
      </c>
      <c r="X1763">
        <v>0.98891640000000003</v>
      </c>
      <c r="Y1763">
        <v>-0.14386559999999901</v>
      </c>
      <c r="Z1763">
        <v>4.5315090000000002E-2</v>
      </c>
      <c r="AA1763">
        <v>0.98855919999999997</v>
      </c>
      <c r="AB1763">
        <v>23</v>
      </c>
      <c r="AC1763">
        <v>5.1055000000000001</v>
      </c>
      <c r="AD1763">
        <v>-1.108144109907</v>
      </c>
      <c r="AE1763">
        <v>-18.0246</v>
      </c>
      <c r="AF1763">
        <v>-2.71302145754164</v>
      </c>
      <c r="AG1763">
        <v>-1.108144109907</v>
      </c>
      <c r="AH1763">
        <v>18.4702115180832</v>
      </c>
      <c r="AI1763">
        <v>93.397053960792903</v>
      </c>
      <c r="AJ1763">
        <v>98.356211559538295</v>
      </c>
      <c r="AK1763">
        <v>18.701261516810501</v>
      </c>
      <c r="AL1763">
        <v>98.216328495235004</v>
      </c>
      <c r="AM1763">
        <v>92.331242607250999</v>
      </c>
      <c r="AN1763">
        <v>0.99999999802397599</v>
      </c>
    </row>
    <row r="1764" spans="1:40" x14ac:dyDescent="0.25">
      <c r="A1764" t="str">
        <f>"20190305134934689"</f>
        <v>20190305134934689</v>
      </c>
      <c r="B1764" t="str">
        <f>"1551764974682572"</f>
        <v>1551764974682572</v>
      </c>
      <c r="C1764" t="s">
        <v>40</v>
      </c>
      <c r="D1764">
        <v>4.5219860000000001</v>
      </c>
      <c r="E1764">
        <v>0.52855629999999998</v>
      </c>
      <c r="F1764" t="s">
        <v>66</v>
      </c>
      <c r="G1764">
        <v>-163.87370000000001</v>
      </c>
      <c r="H1764">
        <v>17.532</v>
      </c>
      <c r="I1764">
        <v>110.7548</v>
      </c>
      <c r="J1764">
        <v>-193.20580000000001</v>
      </c>
      <c r="K1764">
        <v>1.1081859999999999</v>
      </c>
      <c r="L1764">
        <v>339.31630000000001</v>
      </c>
      <c r="M1764">
        <v>0.12835379999999999</v>
      </c>
      <c r="N1764">
        <v>-1.3593829999999999E-2</v>
      </c>
      <c r="O1764">
        <v>-0.9916353</v>
      </c>
      <c r="P1764">
        <v>0.16702890000000001</v>
      </c>
      <c r="Q1764">
        <v>-0.1562847</v>
      </c>
      <c r="R1764">
        <v>-0.97348670000000004</v>
      </c>
      <c r="S1764">
        <v>0.39140320000000001</v>
      </c>
      <c r="T1764">
        <v>0.21902669999999999</v>
      </c>
      <c r="U1764">
        <v>-3.0500180000000001</v>
      </c>
      <c r="V1764">
        <v>-4.1176980000000002E-2</v>
      </c>
      <c r="W1764">
        <v>-0.1427138</v>
      </c>
      <c r="X1764">
        <v>0.98890710000000004</v>
      </c>
      <c r="Y1764">
        <v>1.5432110000000001E-3</v>
      </c>
      <c r="Z1764">
        <v>-8.3896509999999994E-2</v>
      </c>
      <c r="AA1764">
        <v>0.99647330000000001</v>
      </c>
      <c r="AB1764">
        <v>23</v>
      </c>
      <c r="AC1764">
        <v>29.332100000000001</v>
      </c>
      <c r="AD1764">
        <v>16.423814</v>
      </c>
      <c r="AE1764">
        <v>-228.5615</v>
      </c>
      <c r="AF1764">
        <v>0.248750762890772</v>
      </c>
      <c r="AG1764">
        <v>16.423814</v>
      </c>
      <c r="AH1764">
        <v>229.27116959292101</v>
      </c>
      <c r="AI1764">
        <v>85.902624870748795</v>
      </c>
      <c r="AJ1764">
        <v>89.937836216837695</v>
      </c>
      <c r="AK1764">
        <v>229.85881046797999</v>
      </c>
      <c r="AL1764">
        <v>98.204912634698104</v>
      </c>
      <c r="AM1764">
        <v>92.384354493737504</v>
      </c>
      <c r="AN1764">
        <v>1.0000000124113799</v>
      </c>
    </row>
    <row r="1765" spans="1:40" x14ac:dyDescent="0.25">
      <c r="A1765" t="str">
        <f>"20190305134934706"</f>
        <v>20190305134934706</v>
      </c>
      <c r="B1765" t="str">
        <f>"1551764974702091"</f>
        <v>1551764974702091</v>
      </c>
      <c r="C1765" t="s">
        <v>40</v>
      </c>
      <c r="D1765">
        <v>4.4280980000000003</v>
      </c>
      <c r="E1765">
        <v>0.53427619999999998</v>
      </c>
      <c r="F1765" t="s">
        <v>66</v>
      </c>
      <c r="G1765">
        <v>-167.83340000000001</v>
      </c>
      <c r="H1765">
        <v>10.746869999999999</v>
      </c>
      <c r="I1765">
        <v>106.7838</v>
      </c>
      <c r="J1765">
        <v>-193.18549999999999</v>
      </c>
      <c r="K1765">
        <v>1.1082430000000001</v>
      </c>
      <c r="L1765">
        <v>339.14460000000003</v>
      </c>
      <c r="M1765">
        <v>0.1267288</v>
      </c>
      <c r="N1765">
        <v>-1.355657E-2</v>
      </c>
      <c r="O1765">
        <v>-0.99184479999999997</v>
      </c>
      <c r="P1765">
        <v>0.16738029999999901</v>
      </c>
      <c r="Q1765">
        <v>-0.1555212</v>
      </c>
      <c r="R1765">
        <v>-0.97354870000000004</v>
      </c>
      <c r="S1765">
        <v>0.33224490000000001</v>
      </c>
      <c r="T1765">
        <v>0.1262162</v>
      </c>
      <c r="U1765">
        <v>-3.0449519999999999</v>
      </c>
      <c r="V1765">
        <v>-4.3113390000000001E-2</v>
      </c>
      <c r="W1765">
        <v>-0.14198569999999999</v>
      </c>
      <c r="X1765">
        <v>0.98892939999999996</v>
      </c>
      <c r="Y1765">
        <v>1.8562220000000001E-2</v>
      </c>
      <c r="Z1765">
        <v>-5.4239330000000002E-2</v>
      </c>
      <c r="AA1765">
        <v>0.9983554</v>
      </c>
      <c r="AB1765">
        <v>23</v>
      </c>
      <c r="AC1765">
        <v>25.352099999999901</v>
      </c>
      <c r="AD1765">
        <v>9.6386269999999996</v>
      </c>
      <c r="AE1765">
        <v>-232.36080000000001</v>
      </c>
      <c r="AF1765">
        <v>4.2945492600100597</v>
      </c>
      <c r="AG1765">
        <v>9.6386269999999996</v>
      </c>
      <c r="AH1765">
        <v>233.30343717441701</v>
      </c>
      <c r="AI1765">
        <v>87.634645260914397</v>
      </c>
      <c r="AJ1765">
        <v>88.945443047707897</v>
      </c>
      <c r="AK1765">
        <v>233.54194501457101</v>
      </c>
      <c r="AL1765">
        <v>98.162766226384804</v>
      </c>
      <c r="AM1765">
        <v>92.496287495381793</v>
      </c>
      <c r="AN1765">
        <v>1.0000000307930701</v>
      </c>
    </row>
    <row r="1766" spans="1:40" x14ac:dyDescent="0.25">
      <c r="A1766" t="str">
        <f>"20190305134934728"</f>
        <v>20190305134934728</v>
      </c>
      <c r="B1766" t="str">
        <f>"1551764974722587"</f>
        <v>1551764974722587</v>
      </c>
      <c r="C1766" t="s">
        <v>40</v>
      </c>
      <c r="D1766">
        <v>4.460979</v>
      </c>
      <c r="E1766">
        <v>0.53626059999999998</v>
      </c>
      <c r="F1766" t="s">
        <v>66</v>
      </c>
      <c r="G1766">
        <v>-168.8597</v>
      </c>
      <c r="H1766">
        <v>4.5745089999999999</v>
      </c>
      <c r="I1766">
        <v>75.11797</v>
      </c>
      <c r="J1766">
        <v>-193.15889999999999</v>
      </c>
      <c r="K1766">
        <v>1.1083149999999999</v>
      </c>
      <c r="L1766">
        <v>338.91629999999998</v>
      </c>
      <c r="M1766">
        <v>0.1246501</v>
      </c>
      <c r="N1766">
        <v>-1.3505380000000001E-2</v>
      </c>
      <c r="O1766">
        <v>-0.99210880000000001</v>
      </c>
      <c r="P1766">
        <v>0.16654829999999901</v>
      </c>
      <c r="Q1766">
        <v>-0.15451029999999999</v>
      </c>
      <c r="R1766">
        <v>-0.97385250000000001</v>
      </c>
      <c r="S1766">
        <v>0.28005980000000003</v>
      </c>
      <c r="T1766">
        <v>3.9906740000000003E-2</v>
      </c>
      <c r="U1766">
        <v>-3.0397029999999998</v>
      </c>
      <c r="V1766">
        <v>-4.4289889999999998E-2</v>
      </c>
      <c r="W1766">
        <v>-0.14102790000000001</v>
      </c>
      <c r="X1766">
        <v>0.98901439999999996</v>
      </c>
      <c r="Y1766">
        <v>3.3138069999999999E-2</v>
      </c>
      <c r="Z1766">
        <v>-2.6368639999999999E-2</v>
      </c>
      <c r="AA1766">
        <v>0.99910290000000002</v>
      </c>
      <c r="AB1766">
        <v>23</v>
      </c>
      <c r="AC1766">
        <v>24.2991999999999</v>
      </c>
      <c r="AD1766">
        <v>3.4661940000000002</v>
      </c>
      <c r="AE1766">
        <v>-263.79833000000002</v>
      </c>
      <c r="AF1766">
        <v>8.7743366853398896</v>
      </c>
      <c r="AG1766">
        <v>3.4661940000000002</v>
      </c>
      <c r="AH1766">
        <v>264.72438160197203</v>
      </c>
      <c r="AI1766">
        <v>89.250246781502298</v>
      </c>
      <c r="AJ1766">
        <v>88.101616189580596</v>
      </c>
      <c r="AK1766">
        <v>264.89243420615003</v>
      </c>
      <c r="AL1766">
        <v>98.107330964474997</v>
      </c>
      <c r="AM1766">
        <v>92.564097632761403</v>
      </c>
      <c r="AN1766">
        <v>0.99999997317098999</v>
      </c>
    </row>
    <row r="1767" spans="1:40" x14ac:dyDescent="0.25">
      <c r="A1767" t="str">
        <f>"20190305134934742"</f>
        <v>20190305134934742</v>
      </c>
      <c r="B1767" t="str">
        <f>"1551764974732348"</f>
        <v>1551764974732348</v>
      </c>
      <c r="C1767" t="s">
        <v>40</v>
      </c>
      <c r="D1767">
        <v>4.4792300000000003</v>
      </c>
      <c r="E1767">
        <v>0.53684469999999995</v>
      </c>
      <c r="F1767" t="s">
        <v>67</v>
      </c>
      <c r="G1767">
        <v>-168.87629999999999</v>
      </c>
      <c r="H1767">
        <v>0.93577129999999997</v>
      </c>
      <c r="I1767">
        <v>52.638829999999999</v>
      </c>
      <c r="J1767">
        <v>-193.14269999999999</v>
      </c>
      <c r="K1767">
        <v>1.1083590000000001</v>
      </c>
      <c r="L1767">
        <v>338.77629999999999</v>
      </c>
      <c r="M1767">
        <v>0.12343659999999999</v>
      </c>
      <c r="N1767">
        <v>-1.3471530000000001E-2</v>
      </c>
      <c r="O1767">
        <v>-0.99226139999999996</v>
      </c>
      <c r="P1767">
        <v>0.16587489999999999</v>
      </c>
      <c r="Q1767">
        <v>-0.1543621</v>
      </c>
      <c r="R1767">
        <v>-0.9739911</v>
      </c>
      <c r="S1767">
        <v>0.25753779999999998</v>
      </c>
      <c r="T1767">
        <v>-1.829982E-3</v>
      </c>
      <c r="U1767">
        <v>-3.0362239999999998</v>
      </c>
      <c r="V1767">
        <v>-4.4796629999999997E-2</v>
      </c>
      <c r="W1767">
        <v>-0.14091619999999999</v>
      </c>
      <c r="X1767">
        <v>0.98900750000000004</v>
      </c>
      <c r="Y1767">
        <v>3.9137600000000002E-2</v>
      </c>
      <c r="Z1767">
        <v>-1.280657E-2</v>
      </c>
      <c r="AA1767">
        <v>0.99915180000000003</v>
      </c>
      <c r="AB1767">
        <v>23</v>
      </c>
      <c r="AC1767">
        <v>24.266400000000001</v>
      </c>
      <c r="AD1767">
        <v>-0.17258770000000001</v>
      </c>
      <c r="AE1767">
        <v>-286.13747000000001</v>
      </c>
      <c r="AF1767">
        <v>11.2422362255435</v>
      </c>
      <c r="AG1767">
        <v>-0.17258770000000001</v>
      </c>
      <c r="AH1767">
        <v>286.94435428949203</v>
      </c>
      <c r="AI1767">
        <v>90.034435125507599</v>
      </c>
      <c r="AJ1767">
        <v>87.756347531798099</v>
      </c>
      <c r="AK1767">
        <v>287.16455233973198</v>
      </c>
      <c r="AL1767">
        <v>98.100866459573794</v>
      </c>
      <c r="AM1767">
        <v>92.593412836488199</v>
      </c>
      <c r="AN1767">
        <v>0.99999997426902298</v>
      </c>
    </row>
    <row r="1768" spans="1:40" x14ac:dyDescent="0.25">
      <c r="A1768" t="str">
        <f>"20190305134934755"</f>
        <v>20190305134934755</v>
      </c>
      <c r="B1768" t="str">
        <f>"1551764974751867"</f>
        <v>1551764974751867</v>
      </c>
      <c r="C1768" t="s">
        <v>40</v>
      </c>
      <c r="D1768">
        <v>4.2232469999999998</v>
      </c>
      <c r="E1768">
        <v>0.53745900000000002</v>
      </c>
      <c r="F1768" t="s">
        <v>42</v>
      </c>
      <c r="G1768">
        <v>-178.9675</v>
      </c>
      <c r="H1768">
        <v>7.9985600000000004E-2</v>
      </c>
      <c r="I1768">
        <v>166.30189999999999</v>
      </c>
      <c r="J1768">
        <v>-193.12799999999999</v>
      </c>
      <c r="K1768">
        <v>1.108395</v>
      </c>
      <c r="L1768">
        <v>338.64729999999997</v>
      </c>
      <c r="M1768">
        <v>0.1223429</v>
      </c>
      <c r="N1768">
        <v>-1.3439019999999999E-2</v>
      </c>
      <c r="O1768">
        <v>-0.99239710000000003</v>
      </c>
      <c r="P1768">
        <v>0.165028799999999</v>
      </c>
      <c r="Q1768">
        <v>-0.15382460000000001</v>
      </c>
      <c r="R1768">
        <v>-0.97421970000000002</v>
      </c>
      <c r="S1768">
        <v>0.24942020000000001</v>
      </c>
      <c r="T1768">
        <v>-1.8094659999999999E-2</v>
      </c>
      <c r="U1768">
        <v>-3.0347599999999999</v>
      </c>
      <c r="V1768">
        <v>-4.5001720000000002E-2</v>
      </c>
      <c r="W1768">
        <v>-0.1404136</v>
      </c>
      <c r="X1768">
        <v>0.98906970000000005</v>
      </c>
      <c r="Y1768">
        <v>4.0643659999999998E-2</v>
      </c>
      <c r="Z1768">
        <v>-7.4888769999999997E-3</v>
      </c>
      <c r="AA1768">
        <v>0.99914559999999997</v>
      </c>
      <c r="AB1768">
        <v>23</v>
      </c>
      <c r="AC1768">
        <v>14.1604999999999</v>
      </c>
      <c r="AD1768">
        <v>-1.0284093999999999</v>
      </c>
      <c r="AE1768">
        <v>-172.34539999999899</v>
      </c>
      <c r="AF1768">
        <v>7.0327819099268103</v>
      </c>
      <c r="AG1768">
        <v>-1.0284093999999999</v>
      </c>
      <c r="AH1768">
        <v>172.776970399536</v>
      </c>
      <c r="AI1768">
        <v>90.340751842635598</v>
      </c>
      <c r="AJ1768">
        <v>87.669096754287395</v>
      </c>
      <c r="AK1768">
        <v>172.92310183352899</v>
      </c>
      <c r="AL1768">
        <v>98.071780174022507</v>
      </c>
      <c r="AM1768">
        <v>92.605106184090602</v>
      </c>
      <c r="AN1768">
        <v>1.000000002663</v>
      </c>
    </row>
    <row r="1769" spans="1:40" x14ac:dyDescent="0.25">
      <c r="A1769" t="str">
        <f>"20190305134934772"</f>
        <v>20190305134934772</v>
      </c>
      <c r="B1769" t="str">
        <f>"1551764974762606"</f>
        <v>1551764974762606</v>
      </c>
      <c r="C1769" t="s">
        <v>40</v>
      </c>
      <c r="D1769">
        <v>4.4814870000000004</v>
      </c>
      <c r="E1769">
        <v>0.53768930000000004</v>
      </c>
      <c r="F1769" t="s">
        <v>62</v>
      </c>
      <c r="G1769">
        <v>-183.8783</v>
      </c>
      <c r="H1769" s="1">
        <v>2.0081299999999999E-6</v>
      </c>
      <c r="I1769">
        <v>222.1627</v>
      </c>
      <c r="J1769">
        <v>-193.1078</v>
      </c>
      <c r="K1769">
        <v>1.1084400000000001</v>
      </c>
      <c r="L1769">
        <v>338.46960000000001</v>
      </c>
      <c r="M1769">
        <v>0.1208853</v>
      </c>
      <c r="N1769">
        <v>-1.3391899999999899E-2</v>
      </c>
      <c r="O1769">
        <v>-0.99257620000000002</v>
      </c>
      <c r="P1769">
        <v>0.16336889999999901</v>
      </c>
      <c r="Q1769">
        <v>-0.15356339999999999</v>
      </c>
      <c r="R1769">
        <v>-0.97454070000000004</v>
      </c>
      <c r="S1769">
        <v>0.240921</v>
      </c>
      <c r="T1769">
        <v>-2.8869869999999999E-2</v>
      </c>
      <c r="U1769">
        <v>-3.034027</v>
      </c>
      <c r="V1769">
        <v>-4.4746969999999997E-2</v>
      </c>
      <c r="W1769">
        <v>-0.14020469999999999</v>
      </c>
      <c r="X1769">
        <v>0.98911090000000002</v>
      </c>
      <c r="Y1769">
        <v>4.1934399999999997E-2</v>
      </c>
      <c r="Z1769">
        <v>-3.9364279999999996E-3</v>
      </c>
      <c r="AA1769">
        <v>0.99911260000000002</v>
      </c>
      <c r="AB1769">
        <v>23</v>
      </c>
      <c r="AC1769">
        <v>9.2294999999999998</v>
      </c>
      <c r="AD1769">
        <v>-1.10843799186999</v>
      </c>
      <c r="AE1769">
        <v>-116.3069</v>
      </c>
      <c r="AF1769">
        <v>4.8988093736693799</v>
      </c>
      <c r="AG1769">
        <v>-1.10843799186999</v>
      </c>
      <c r="AH1769">
        <v>116.559098262036</v>
      </c>
      <c r="AI1769">
        <v>90.544366709290102</v>
      </c>
      <c r="AJ1769">
        <v>87.593358082202101</v>
      </c>
      <c r="AK1769">
        <v>116.667263427751</v>
      </c>
      <c r="AL1769">
        <v>98.059691434908103</v>
      </c>
      <c r="AM1769">
        <v>92.590271345047597</v>
      </c>
      <c r="AN1769">
        <v>1.00000001086254</v>
      </c>
    </row>
    <row r="1770" spans="1:40" x14ac:dyDescent="0.25">
      <c r="A1770" t="str">
        <f>"20190305134934785"</f>
        <v>20190305134934785</v>
      </c>
      <c r="B1770" t="str">
        <f>"1551764974782630"</f>
        <v>1551764974782630</v>
      </c>
      <c r="C1770" t="s">
        <v>40</v>
      </c>
      <c r="D1770">
        <v>4.4902499999999996</v>
      </c>
      <c r="E1770">
        <v>0.53780319999999904</v>
      </c>
      <c r="F1770" t="s">
        <v>42</v>
      </c>
      <c r="G1770">
        <v>-186.82820000000001</v>
      </c>
      <c r="H1770" s="1">
        <v>-3.5889360000000002E-6</v>
      </c>
      <c r="I1770">
        <v>256.68720000000002</v>
      </c>
      <c r="J1770">
        <v>-193.09270000000001</v>
      </c>
      <c r="K1770">
        <v>1.108473</v>
      </c>
      <c r="L1770">
        <v>338.33620000000002</v>
      </c>
      <c r="M1770">
        <v>0.11983190000000001</v>
      </c>
      <c r="N1770">
        <v>-1.3356120000000001E-2</v>
      </c>
      <c r="O1770">
        <v>-0.99270440000000004</v>
      </c>
      <c r="P1770">
        <v>0.16214519999999999</v>
      </c>
      <c r="Q1770">
        <v>-0.15340899999999999</v>
      </c>
      <c r="R1770">
        <v>-0.97476910000000005</v>
      </c>
      <c r="S1770">
        <v>0.23287959999999999</v>
      </c>
      <c r="T1770">
        <v>-4.1106579999999997E-2</v>
      </c>
      <c r="U1770">
        <v>-3.0328979999999999</v>
      </c>
      <c r="V1770">
        <v>-4.4539229999999999E-2</v>
      </c>
      <c r="W1770">
        <v>-0.14008979999999999</v>
      </c>
      <c r="X1770">
        <v>0.98913649999999997</v>
      </c>
      <c r="Y1770">
        <v>4.3475649999999998E-2</v>
      </c>
      <c r="Z1770" s="1">
        <v>8.5291209999999995E-5</v>
      </c>
      <c r="AA1770">
        <v>0.99905449999999996</v>
      </c>
      <c r="AB1770">
        <v>23</v>
      </c>
      <c r="AC1770">
        <v>6.2644999999999902</v>
      </c>
      <c r="AD1770">
        <v>-1.108476588936</v>
      </c>
      <c r="AE1770">
        <v>-81.649000000000001</v>
      </c>
      <c r="AF1770">
        <v>3.56502273794622</v>
      </c>
      <c r="AG1770">
        <v>-1.108476588936</v>
      </c>
      <c r="AH1770">
        <v>81.796314151009298</v>
      </c>
      <c r="AI1770">
        <v>90.7756696400198</v>
      </c>
      <c r="AJ1770">
        <v>87.504391613895507</v>
      </c>
      <c r="AK1770">
        <v>81.881469919395698</v>
      </c>
      <c r="AL1770">
        <v>98.053042979677599</v>
      </c>
      <c r="AM1770">
        <v>92.578195510035499</v>
      </c>
      <c r="AN1770">
        <v>0.99999995535263997</v>
      </c>
    </row>
    <row r="1771" spans="1:40" x14ac:dyDescent="0.25">
      <c r="A1771" t="str">
        <f>"20190305134934798"</f>
        <v>20190305134934798</v>
      </c>
      <c r="B1771" t="str">
        <f>"1551764974792390"</f>
        <v>1551764974792390</v>
      </c>
      <c r="C1771" t="s">
        <v>40</v>
      </c>
      <c r="D1771">
        <v>4.4706849999999996</v>
      </c>
      <c r="E1771">
        <v>0.53790329999999997</v>
      </c>
      <c r="F1771" t="s">
        <v>62</v>
      </c>
      <c r="G1771">
        <v>-188.9556</v>
      </c>
      <c r="H1771" s="1">
        <v>3.9384140000000002E-6</v>
      </c>
      <c r="I1771">
        <v>282.96809999999999</v>
      </c>
      <c r="J1771">
        <v>-193.07839999999999</v>
      </c>
      <c r="K1771">
        <v>1.1085020000000001</v>
      </c>
      <c r="L1771">
        <v>338.2072</v>
      </c>
      <c r="M1771">
        <v>0.1188394</v>
      </c>
      <c r="N1771">
        <v>-1.332115E-2</v>
      </c>
      <c r="O1771">
        <v>-0.99282429999999999</v>
      </c>
      <c r="P1771">
        <v>0.1609025</v>
      </c>
      <c r="Q1771">
        <v>-0.15374460000000001</v>
      </c>
      <c r="R1771">
        <v>-0.97492210000000001</v>
      </c>
      <c r="S1771">
        <v>0.22644039999999999</v>
      </c>
      <c r="T1771">
        <v>-6.0670380000000003E-2</v>
      </c>
      <c r="U1771">
        <v>-3.0304869999999999</v>
      </c>
      <c r="V1771">
        <v>-4.4264230000000002E-2</v>
      </c>
      <c r="W1771">
        <v>-0.1404647</v>
      </c>
      <c r="X1771">
        <v>0.98909570000000002</v>
      </c>
      <c r="Y1771">
        <v>4.4526250000000003E-2</v>
      </c>
      <c r="Z1771">
        <v>6.5049410000000002E-3</v>
      </c>
      <c r="AA1771">
        <v>0.99898699999999996</v>
      </c>
      <c r="AB1771">
        <v>23</v>
      </c>
      <c r="AC1771">
        <v>4.1227999999999803</v>
      </c>
      <c r="AD1771">
        <v>-1.1084980615860001</v>
      </c>
      <c r="AE1771">
        <v>-55.239100000000001</v>
      </c>
      <c r="AF1771">
        <v>2.4705949668834699</v>
      </c>
      <c r="AG1771">
        <v>-1.1084980615860001</v>
      </c>
      <c r="AH1771">
        <v>55.315420532624003</v>
      </c>
      <c r="AI1771">
        <v>91.146886913591601</v>
      </c>
      <c r="AJ1771">
        <v>87.442654349148398</v>
      </c>
      <c r="AK1771">
        <v>55.381660828689299</v>
      </c>
      <c r="AL1771">
        <v>98.074737488771504</v>
      </c>
      <c r="AM1771">
        <v>92.562403709349596</v>
      </c>
      <c r="AN1771">
        <v>0.99999997888103598</v>
      </c>
    </row>
    <row r="1772" spans="1:40" x14ac:dyDescent="0.25">
      <c r="A1772" t="str">
        <f>"20190305134934817"</f>
        <v>20190305134934817</v>
      </c>
      <c r="B1772" t="str">
        <f>"1551764974811910"</f>
        <v>1551764974811910</v>
      </c>
      <c r="C1772" t="s">
        <v>40</v>
      </c>
      <c r="D1772">
        <v>4.4967389999999998</v>
      </c>
      <c r="E1772">
        <v>0.53824450000000001</v>
      </c>
      <c r="F1772" t="s">
        <v>62</v>
      </c>
      <c r="G1772">
        <v>-189.5009</v>
      </c>
      <c r="H1772" s="1">
        <v>3.4869640000000001E-6</v>
      </c>
      <c r="I1772">
        <v>289.23860000000002</v>
      </c>
      <c r="J1772">
        <v>-193.0574</v>
      </c>
      <c r="K1772">
        <v>1.1085309999999999</v>
      </c>
      <c r="L1772">
        <v>338.0181</v>
      </c>
      <c r="M1772">
        <v>0.11742660000000001</v>
      </c>
      <c r="N1772">
        <v>-1.3268149999999999E-2</v>
      </c>
      <c r="O1772">
        <v>-0.99299309999999996</v>
      </c>
      <c r="P1772">
        <v>0.15873370000000001</v>
      </c>
      <c r="Q1772">
        <v>-0.154444</v>
      </c>
      <c r="R1772">
        <v>-0.97516700000000001</v>
      </c>
      <c r="S1772">
        <v>0.22134400000000001</v>
      </c>
      <c r="T1772">
        <v>-6.858504E-2</v>
      </c>
      <c r="U1772">
        <v>-3.029785</v>
      </c>
      <c r="V1772">
        <v>-4.3473249999999998E-2</v>
      </c>
      <c r="W1772">
        <v>-0.14122419999999999</v>
      </c>
      <c r="X1772">
        <v>0.98902270000000003</v>
      </c>
      <c r="Y1772">
        <v>4.4759500000000001E-2</v>
      </c>
      <c r="Z1772">
        <v>9.1456520000000006E-3</v>
      </c>
      <c r="AA1772">
        <v>0.99895590000000001</v>
      </c>
      <c r="AB1772">
        <v>23</v>
      </c>
      <c r="AC1772">
        <v>3.5565000000000002</v>
      </c>
      <c r="AD1772">
        <v>-1.1085275130359999</v>
      </c>
      <c r="AE1772">
        <v>-48.779499999999899</v>
      </c>
      <c r="AF1772">
        <v>2.1954960107536499</v>
      </c>
      <c r="AG1772">
        <v>-1.1085275130359999</v>
      </c>
      <c r="AH1772">
        <v>48.834540396710999</v>
      </c>
      <c r="AI1772">
        <v>91.299059731807105</v>
      </c>
      <c r="AJ1772">
        <v>87.425838230338201</v>
      </c>
      <c r="AK1772">
        <v>48.896435163909402</v>
      </c>
      <c r="AL1772">
        <v>98.118691205126098</v>
      </c>
      <c r="AM1772">
        <v>92.516859740555404</v>
      </c>
      <c r="AN1772">
        <v>1.00000004962324</v>
      </c>
    </row>
    <row r="1773" spans="1:40" x14ac:dyDescent="0.25">
      <c r="A1773" t="str">
        <f>"20190305134934829"</f>
        <v>20190305134934829</v>
      </c>
      <c r="B1773" t="str">
        <f>"1551764974822646"</f>
        <v>1551764974822646</v>
      </c>
      <c r="C1773" t="s">
        <v>40</v>
      </c>
      <c r="D1773">
        <v>4.4694849999999997</v>
      </c>
      <c r="E1773">
        <v>0.53830409999999995</v>
      </c>
      <c r="F1773" t="s">
        <v>62</v>
      </c>
      <c r="G1773">
        <v>-190.2159</v>
      </c>
      <c r="H1773" s="1">
        <v>7.9867239999999896E-7</v>
      </c>
      <c r="I1773">
        <v>297.29219999999998</v>
      </c>
      <c r="J1773">
        <v>-193.04249999999999</v>
      </c>
      <c r="K1773">
        <v>1.108555</v>
      </c>
      <c r="L1773">
        <v>337.88240000000002</v>
      </c>
      <c r="M1773">
        <v>0.1164398</v>
      </c>
      <c r="N1773">
        <v>-1.3228220000000001E-2</v>
      </c>
      <c r="O1773">
        <v>-0.99310989999999999</v>
      </c>
      <c r="P1773">
        <v>0.15777369999999999</v>
      </c>
      <c r="Q1773">
        <v>-0.154810999999999</v>
      </c>
      <c r="R1773">
        <v>-0.97526500000000005</v>
      </c>
      <c r="S1773">
        <v>0.2113342</v>
      </c>
      <c r="T1773">
        <v>-8.2445379999999999E-2</v>
      </c>
      <c r="U1773">
        <v>-3.028931</v>
      </c>
      <c r="V1773">
        <v>-4.347964E-2</v>
      </c>
      <c r="W1773">
        <v>-0.1416346</v>
      </c>
      <c r="X1773">
        <v>0.9889637</v>
      </c>
      <c r="Y1773">
        <v>4.7032360000000002E-2</v>
      </c>
      <c r="Z1773">
        <v>1.371229E-2</v>
      </c>
      <c r="AA1773">
        <v>0.99879929999999995</v>
      </c>
      <c r="AB1773">
        <v>23</v>
      </c>
      <c r="AC1773">
        <v>2.82659999999998</v>
      </c>
      <c r="AD1773">
        <v>-1.1085542013276</v>
      </c>
      <c r="AE1773">
        <v>-40.590200000000003</v>
      </c>
      <c r="AF1773">
        <v>1.9179341442293401</v>
      </c>
      <c r="AG1773">
        <v>-1.1085542013276</v>
      </c>
      <c r="AH1773">
        <v>40.613058013920501</v>
      </c>
      <c r="AI1773">
        <v>91.561789711874894</v>
      </c>
      <c r="AJ1773">
        <v>87.296240274786697</v>
      </c>
      <c r="AK1773">
        <v>40.673429226473601</v>
      </c>
      <c r="AL1773">
        <v>98.142444395659894</v>
      </c>
      <c r="AM1773">
        <v>92.517379190944695</v>
      </c>
      <c r="AN1773">
        <v>1.0000000194646801</v>
      </c>
    </row>
    <row r="1774" spans="1:40" x14ac:dyDescent="0.25">
      <c r="A1774" t="str">
        <f>"20190305134934842"</f>
        <v>20190305134934842</v>
      </c>
      <c r="B1774" t="str">
        <f>"1551764974832406"</f>
        <v>1551764974832406</v>
      </c>
      <c r="C1774" t="s">
        <v>40</v>
      </c>
      <c r="D1774">
        <v>4.4719600000000002</v>
      </c>
      <c r="E1774">
        <v>0.53845509999999996</v>
      </c>
      <c r="F1774" t="s">
        <v>42</v>
      </c>
      <c r="G1774">
        <v>-190.4444</v>
      </c>
      <c r="H1774" s="1">
        <v>-2.9841679999999998E-7</v>
      </c>
      <c r="I1774">
        <v>300.00909999999999</v>
      </c>
      <c r="J1774">
        <v>-193.02879999999999</v>
      </c>
      <c r="K1774">
        <v>1.1085750000000001</v>
      </c>
      <c r="L1774">
        <v>337.75670000000002</v>
      </c>
      <c r="M1774">
        <v>0.1155598</v>
      </c>
      <c r="N1774">
        <v>-1.318773E-2</v>
      </c>
      <c r="O1774">
        <v>-0.99321320000000002</v>
      </c>
      <c r="P1774">
        <v>0.15668770000000001</v>
      </c>
      <c r="Q1774">
        <v>-0.15520149999999999</v>
      </c>
      <c r="R1774">
        <v>-0.97537819999999997</v>
      </c>
      <c r="S1774">
        <v>0.2077484</v>
      </c>
      <c r="T1774">
        <v>-8.8641170000000005E-2</v>
      </c>
      <c r="U1774">
        <v>-3.028381</v>
      </c>
      <c r="V1774">
        <v>-4.3254809999999998E-2</v>
      </c>
      <c r="W1774">
        <v>-0.142069</v>
      </c>
      <c r="X1774">
        <v>0.98891119999999999</v>
      </c>
      <c r="Y1774">
        <v>4.7313090000000002E-2</v>
      </c>
      <c r="Z1774">
        <v>1.5781299999999901E-2</v>
      </c>
      <c r="AA1774">
        <v>0.99875550000000002</v>
      </c>
      <c r="AB1774">
        <v>23</v>
      </c>
      <c r="AC1774">
        <v>2.58439999999998</v>
      </c>
      <c r="AD1774">
        <v>-1.1085752984168</v>
      </c>
      <c r="AE1774">
        <v>-37.747599999999998</v>
      </c>
      <c r="AF1774">
        <v>1.7938606850651</v>
      </c>
      <c r="AG1774">
        <v>-1.1085752984168</v>
      </c>
      <c r="AH1774">
        <v>37.760929225184199</v>
      </c>
      <c r="AI1774">
        <v>91.679698019166807</v>
      </c>
      <c r="AJ1774">
        <v>87.280166705494395</v>
      </c>
      <c r="AK1774">
        <v>37.819765352247302</v>
      </c>
      <c r="AL1774">
        <v>98.167588339169498</v>
      </c>
      <c r="AM1774">
        <v>92.5045114108718</v>
      </c>
      <c r="AN1774">
        <v>0.99999997041728705</v>
      </c>
    </row>
    <row r="1775" spans="1:40" x14ac:dyDescent="0.25">
      <c r="A1775" t="str">
        <f>"20190305134934862"</f>
        <v>20190305134934862</v>
      </c>
      <c r="B1775" t="str">
        <f>"1551764974851925"</f>
        <v>1551764974851925</v>
      </c>
      <c r="C1775" t="s">
        <v>40</v>
      </c>
      <c r="D1775">
        <v>4.4408609999999999</v>
      </c>
      <c r="E1775">
        <v>0.53847970000000001</v>
      </c>
      <c r="F1775" t="s">
        <v>42</v>
      </c>
      <c r="G1775">
        <v>-190.61600000000001</v>
      </c>
      <c r="H1775" s="1">
        <v>-1.10171E-6</v>
      </c>
      <c r="I1775">
        <v>301.77519999999998</v>
      </c>
      <c r="J1775">
        <v>-193.0067</v>
      </c>
      <c r="K1775">
        <v>1.1086</v>
      </c>
      <c r="L1775">
        <v>337.55270000000002</v>
      </c>
      <c r="M1775">
        <v>0.114163899999999</v>
      </c>
      <c r="N1775">
        <v>-1.3121580000000001E-2</v>
      </c>
      <c r="O1775">
        <v>-0.99337540000000002</v>
      </c>
      <c r="P1775">
        <v>0.154867</v>
      </c>
      <c r="Q1775">
        <v>-0.15587889999999999</v>
      </c>
      <c r="R1775">
        <v>-0.97556069999999995</v>
      </c>
      <c r="S1775">
        <v>0.20306399999999999</v>
      </c>
      <c r="T1775">
        <v>-9.3299389999999996E-2</v>
      </c>
      <c r="U1775">
        <v>-3.0282589999999998</v>
      </c>
      <c r="V1775">
        <v>-4.2800749999999999E-2</v>
      </c>
      <c r="W1775">
        <v>-0.1428179</v>
      </c>
      <c r="X1775">
        <v>0.98882309999999995</v>
      </c>
      <c r="Y1775">
        <v>4.7445729999999998E-2</v>
      </c>
      <c r="Z1775">
        <v>1.737408E-2</v>
      </c>
      <c r="AA1775">
        <v>0.99872269999999996</v>
      </c>
      <c r="AB1775">
        <v>23</v>
      </c>
      <c r="AC1775">
        <v>2.3906999999999998</v>
      </c>
      <c r="AD1775">
        <v>-1.1086011017099999</v>
      </c>
      <c r="AE1775">
        <v>-35.777500000000003</v>
      </c>
      <c r="AF1775">
        <v>1.7081505831374799</v>
      </c>
      <c r="AG1775">
        <v>-1.1086011017099999</v>
      </c>
      <c r="AH1775">
        <v>35.782295919788197</v>
      </c>
      <c r="AI1775">
        <v>91.772543367389602</v>
      </c>
      <c r="AJ1775">
        <v>87.266928390566406</v>
      </c>
      <c r="AK1775">
        <v>35.840193583582597</v>
      </c>
      <c r="AL1775">
        <v>98.210939040801705</v>
      </c>
      <c r="AM1775">
        <v>92.478474208071106</v>
      </c>
      <c r="AN1775">
        <v>0.999999989927291</v>
      </c>
    </row>
    <row r="1776" spans="1:40" x14ac:dyDescent="0.25">
      <c r="A1776" t="str">
        <f>"20190305134934875"</f>
        <v>20190305134934875</v>
      </c>
      <c r="B1776" t="str">
        <f>"1551764974872422"</f>
        <v>1551764974872422</v>
      </c>
      <c r="C1776" t="s">
        <v>40</v>
      </c>
      <c r="D1776">
        <v>4.4469900000000004</v>
      </c>
      <c r="E1776">
        <v>0.53842500000000004</v>
      </c>
      <c r="F1776" t="s">
        <v>42</v>
      </c>
      <c r="G1776">
        <v>-190.8629</v>
      </c>
      <c r="H1776" s="1">
        <v>-2.3697130000000001E-6</v>
      </c>
      <c r="I1776">
        <v>304.57780000000002</v>
      </c>
      <c r="J1776">
        <v>-192.9931</v>
      </c>
      <c r="K1776">
        <v>1.1086149999999999</v>
      </c>
      <c r="L1776">
        <v>337.42610000000002</v>
      </c>
      <c r="M1776">
        <v>0.1133209</v>
      </c>
      <c r="N1776">
        <v>-1.308046E-2</v>
      </c>
      <c r="O1776">
        <v>-0.99347260000000004</v>
      </c>
      <c r="P1776">
        <v>0.1539132</v>
      </c>
      <c r="Q1776">
        <v>-0.156163</v>
      </c>
      <c r="R1776">
        <v>-0.97566629999999999</v>
      </c>
      <c r="S1776">
        <v>0.1968384</v>
      </c>
      <c r="T1776">
        <v>-0.1017882</v>
      </c>
      <c r="U1776">
        <v>-3.0276489999999998</v>
      </c>
      <c r="V1776">
        <v>-4.267141E-2</v>
      </c>
      <c r="W1776">
        <v>-0.14314569999999999</v>
      </c>
      <c r="X1776">
        <v>0.98878129999999997</v>
      </c>
      <c r="Y1776">
        <v>4.8631550000000003E-2</v>
      </c>
      <c r="Z1776">
        <v>2.019365E-2</v>
      </c>
      <c r="AA1776">
        <v>0.99861259999999996</v>
      </c>
      <c r="AB1776">
        <v>23</v>
      </c>
      <c r="AC1776">
        <v>2.1301999999999999</v>
      </c>
      <c r="AD1776">
        <v>-1.108617369713</v>
      </c>
      <c r="AE1776">
        <v>-32.848299999999902</v>
      </c>
      <c r="AF1776">
        <v>1.60442073819361</v>
      </c>
      <c r="AG1776">
        <v>-1.108617369713</v>
      </c>
      <c r="AH1776">
        <v>32.840836011190298</v>
      </c>
      <c r="AI1776">
        <v>91.931114182462593</v>
      </c>
      <c r="AJ1776">
        <v>87.203070410132298</v>
      </c>
      <c r="AK1776">
        <v>32.8986885497198</v>
      </c>
      <c r="AL1776">
        <v>98.229915492456897</v>
      </c>
      <c r="AM1776">
        <v>92.471098110394493</v>
      </c>
      <c r="AN1776">
        <v>0.99999999994478395</v>
      </c>
    </row>
    <row r="1777" spans="1:40" x14ac:dyDescent="0.25">
      <c r="A1777" t="str">
        <f>"20190305134934896"</f>
        <v>20190305134934896</v>
      </c>
      <c r="B1777" t="str">
        <f>"1551764974892367"</f>
        <v>1551764974892367</v>
      </c>
      <c r="C1777" t="s">
        <v>40</v>
      </c>
      <c r="D1777">
        <v>4.4555669999999896</v>
      </c>
      <c r="E1777">
        <v>0.53845719999999997</v>
      </c>
      <c r="F1777" t="s">
        <v>42</v>
      </c>
      <c r="G1777">
        <v>-191.01840000000001</v>
      </c>
      <c r="H1777" s="1">
        <v>-3.2748169999999998E-6</v>
      </c>
      <c r="I1777">
        <v>306.59120000000001</v>
      </c>
      <c r="J1777">
        <v>-192.9708</v>
      </c>
      <c r="K1777">
        <v>1.108638</v>
      </c>
      <c r="L1777">
        <v>337.21600000000001</v>
      </c>
      <c r="M1777">
        <v>0.1119651</v>
      </c>
      <c r="N1777">
        <v>-1.301298E-2</v>
      </c>
      <c r="O1777">
        <v>-0.99362709999999999</v>
      </c>
      <c r="P1777">
        <v>0.15307209999999999</v>
      </c>
      <c r="Q1777">
        <v>-0.15667349999999999</v>
      </c>
      <c r="R1777">
        <v>-0.97571660000000004</v>
      </c>
      <c r="S1777">
        <v>0.19384770000000001</v>
      </c>
      <c r="T1777">
        <v>-0.10882459999999999</v>
      </c>
      <c r="U1777">
        <v>-3.0268250000000001</v>
      </c>
      <c r="V1777">
        <v>-4.3166089999999997E-2</v>
      </c>
      <c r="W1777">
        <v>-0.14372679999999999</v>
      </c>
      <c r="X1777">
        <v>0.98867550000000004</v>
      </c>
      <c r="Y1777">
        <v>4.823624E-2</v>
      </c>
      <c r="Z1777">
        <v>2.25735E-2</v>
      </c>
      <c r="AA1777">
        <v>0.99858089999999999</v>
      </c>
      <c r="AB1777">
        <v>23</v>
      </c>
      <c r="AC1777">
        <v>1.9523999999999799</v>
      </c>
      <c r="AD1777">
        <v>-1.108641274817</v>
      </c>
      <c r="AE1777">
        <v>-30.6248</v>
      </c>
      <c r="AF1777">
        <v>1.4871360822597299</v>
      </c>
      <c r="AG1777">
        <v>-1.108641274817</v>
      </c>
      <c r="AH1777">
        <v>30.610868990151801</v>
      </c>
      <c r="AI1777">
        <v>92.071747276644501</v>
      </c>
      <c r="AJ1777">
        <v>87.218645416982895</v>
      </c>
      <c r="AK1777">
        <v>30.6670174541905</v>
      </c>
      <c r="AL1777">
        <v>98.263558161411893</v>
      </c>
      <c r="AM1777">
        <v>92.499976021073493</v>
      </c>
      <c r="AN1777">
        <v>0.99999997433218801</v>
      </c>
    </row>
    <row r="1778" spans="1:40" x14ac:dyDescent="0.25">
      <c r="A1778" t="str">
        <f>"20190305134934911"</f>
        <v>20190305134934911</v>
      </c>
      <c r="B1778" t="str">
        <f>"1551764974902127"</f>
        <v>1551764974902127</v>
      </c>
      <c r="C1778" t="s">
        <v>40</v>
      </c>
      <c r="D1778">
        <v>4.4348700000000001</v>
      </c>
      <c r="E1778">
        <v>0.53847539999999905</v>
      </c>
      <c r="F1778" t="s">
        <v>42</v>
      </c>
      <c r="G1778">
        <v>-191.14949999999999</v>
      </c>
      <c r="H1778" s="1">
        <v>-4.068252E-6</v>
      </c>
      <c r="I1778">
        <v>308.35939999999999</v>
      </c>
      <c r="J1778">
        <v>-192.95410000000001</v>
      </c>
      <c r="K1778">
        <v>1.1086510000000001</v>
      </c>
      <c r="L1778">
        <v>337.0573</v>
      </c>
      <c r="M1778">
        <v>0.1109686</v>
      </c>
      <c r="N1778">
        <v>-1.296274E-2</v>
      </c>
      <c r="O1778">
        <v>-0.99373940000000005</v>
      </c>
      <c r="P1778">
        <v>0.1524277</v>
      </c>
      <c r="Q1778">
        <v>-0.15683259999999999</v>
      </c>
      <c r="R1778">
        <v>-0.97579190000000005</v>
      </c>
      <c r="S1778">
        <v>0.19099430000000001</v>
      </c>
      <c r="T1778">
        <v>-0.11625580000000001</v>
      </c>
      <c r="U1778">
        <v>-3.0260009999999999</v>
      </c>
      <c r="V1778">
        <v>-4.3498509999999997E-2</v>
      </c>
      <c r="W1778">
        <v>-0.14393800000000001</v>
      </c>
      <c r="X1778">
        <v>0.98863020000000001</v>
      </c>
      <c r="Y1778">
        <v>4.8158079999999999E-2</v>
      </c>
      <c r="Z1778">
        <v>2.5064409999999999E-2</v>
      </c>
      <c r="AA1778">
        <v>0.9985252</v>
      </c>
      <c r="AB1778">
        <v>23</v>
      </c>
      <c r="AC1778">
        <v>1.80460000000002</v>
      </c>
      <c r="AD1778">
        <v>-1.108655068252</v>
      </c>
      <c r="AE1778">
        <v>-28.697900000000001</v>
      </c>
      <c r="AF1778">
        <v>1.38931524508743</v>
      </c>
      <c r="AG1778">
        <v>-1.108655068252</v>
      </c>
      <c r="AH1778">
        <v>28.678268552552399</v>
      </c>
      <c r="AI1778">
        <v>92.211268218039706</v>
      </c>
      <c r="AJ1778">
        <v>87.226481277275496</v>
      </c>
      <c r="AK1778">
        <v>28.733297758574601</v>
      </c>
      <c r="AL1778">
        <v>98.275786210268095</v>
      </c>
      <c r="AM1778">
        <v>92.519318792483702</v>
      </c>
      <c r="AN1778">
        <v>0.99999997028412901</v>
      </c>
    </row>
    <row r="1779" spans="1:40" x14ac:dyDescent="0.25">
      <c r="A1779" t="str">
        <f>"20190305134934930"</f>
        <v>20190305134934930</v>
      </c>
      <c r="B1779" t="str">
        <f>"1551764974922622"</f>
        <v>1551764974922622</v>
      </c>
      <c r="C1779" t="s">
        <v>40</v>
      </c>
      <c r="D1779">
        <v>4.4633520000000004</v>
      </c>
      <c r="E1779">
        <v>0.53845739999999997</v>
      </c>
      <c r="F1779" t="s">
        <v>42</v>
      </c>
      <c r="G1779">
        <v>-191.1925</v>
      </c>
      <c r="H1779" s="1">
        <v>-4.2380279999999998E-6</v>
      </c>
      <c r="I1779">
        <v>308.81880000000001</v>
      </c>
      <c r="J1779">
        <v>-192.9341</v>
      </c>
      <c r="K1779">
        <v>1.10867</v>
      </c>
      <c r="L1779">
        <v>336.86579999999998</v>
      </c>
      <c r="M1779">
        <v>0.1098018</v>
      </c>
      <c r="N1779">
        <v>-1.2901559999999999E-2</v>
      </c>
      <c r="O1779">
        <v>-0.99387000000000003</v>
      </c>
      <c r="P1779">
        <v>0.1523494</v>
      </c>
      <c r="Q1779">
        <v>-0.1571901</v>
      </c>
      <c r="R1779">
        <v>-0.97574660000000002</v>
      </c>
      <c r="S1779">
        <v>0.1887665</v>
      </c>
      <c r="T1779">
        <v>-0.11879869999999999</v>
      </c>
      <c r="U1779">
        <v>-3.025909</v>
      </c>
      <c r="V1779">
        <v>-4.457527E-2</v>
      </c>
      <c r="W1779">
        <v>-0.14435799999999999</v>
      </c>
      <c r="X1779">
        <v>0.98852099999999998</v>
      </c>
      <c r="Y1779">
        <v>4.7717030000000001E-2</v>
      </c>
      <c r="Z1779">
        <v>2.5964210000000001E-2</v>
      </c>
      <c r="AA1779">
        <v>0.99852339999999995</v>
      </c>
      <c r="AB1779">
        <v>23</v>
      </c>
      <c r="AC1779">
        <v>1.7416</v>
      </c>
      <c r="AD1779">
        <v>-1.1086742380279999</v>
      </c>
      <c r="AE1779">
        <v>-28.046999999999901</v>
      </c>
      <c r="AF1779">
        <v>1.34670282598507</v>
      </c>
      <c r="AG1779">
        <v>-1.1086742380279999</v>
      </c>
      <c r="AH1779">
        <v>28.025009933734601</v>
      </c>
      <c r="AI1779">
        <v>92.262841227287296</v>
      </c>
      <c r="AJ1779">
        <v>87.248847407916898</v>
      </c>
      <c r="AK1779">
        <v>28.0792440933424</v>
      </c>
      <c r="AL1779">
        <v>98.300104357116098</v>
      </c>
      <c r="AM1779">
        <v>92.581883331659597</v>
      </c>
      <c r="AN1779">
        <v>0.99999997715028599</v>
      </c>
    </row>
    <row r="1780" spans="1:40" x14ac:dyDescent="0.25">
      <c r="A1780" t="str">
        <f>"20190305134934951"</f>
        <v>20190305134934951</v>
      </c>
      <c r="B1780" t="str">
        <f>"1551764974942142"</f>
        <v>1551764974942142</v>
      </c>
      <c r="C1780" t="s">
        <v>40</v>
      </c>
      <c r="D1780">
        <v>4.4077479999999998</v>
      </c>
      <c r="E1780">
        <v>0.53844910000000001</v>
      </c>
      <c r="F1780" t="s">
        <v>42</v>
      </c>
      <c r="G1780">
        <v>-191.2396</v>
      </c>
      <c r="H1780" s="1">
        <v>-3.6329979999999999E-7</v>
      </c>
      <c r="I1780">
        <v>309.66239999999999</v>
      </c>
      <c r="J1780">
        <v>-192.9111</v>
      </c>
      <c r="K1780">
        <v>1.108692</v>
      </c>
      <c r="L1780">
        <v>336.64389999999997</v>
      </c>
      <c r="M1780">
        <v>0.10849589999999899</v>
      </c>
      <c r="N1780">
        <v>-1.283172E-2</v>
      </c>
      <c r="O1780">
        <v>-0.99401419999999996</v>
      </c>
      <c r="P1780">
        <v>0.152204799999999</v>
      </c>
      <c r="Q1780">
        <v>-0.1576494</v>
      </c>
      <c r="R1780">
        <v>-0.97569539999999999</v>
      </c>
      <c r="S1780">
        <v>0.188446</v>
      </c>
      <c r="T1780">
        <v>-0.12329569999999999</v>
      </c>
      <c r="U1780">
        <v>-3.025299</v>
      </c>
      <c r="V1780">
        <v>-4.5723670000000001E-2</v>
      </c>
      <c r="W1780">
        <v>-0.14488889999999999</v>
      </c>
      <c r="X1780">
        <v>0.98839089999999996</v>
      </c>
      <c r="Y1780">
        <v>4.6500050000000001E-2</v>
      </c>
      <c r="Z1780">
        <v>2.7518870000000001E-2</v>
      </c>
      <c r="AA1780">
        <v>0.99853910000000001</v>
      </c>
      <c r="AB1780">
        <v>23</v>
      </c>
      <c r="AC1780">
        <v>1.6715</v>
      </c>
      <c r="AD1780">
        <v>-1.1086923632998</v>
      </c>
      <c r="AE1780">
        <v>-26.981499999999901</v>
      </c>
      <c r="AF1780">
        <v>1.26386564160343</v>
      </c>
      <c r="AG1780">
        <v>-1.1086923632998</v>
      </c>
      <c r="AH1780">
        <v>26.9582211818343</v>
      </c>
      <c r="AI1780">
        <v>92.352456294729507</v>
      </c>
      <c r="AJ1780">
        <v>87.315802772125707</v>
      </c>
      <c r="AK1780">
        <v>27.010595039820299</v>
      </c>
      <c r="AL1780">
        <v>98.330845610918601</v>
      </c>
      <c r="AM1780">
        <v>92.648655397593799</v>
      </c>
      <c r="AN1780">
        <v>1.0000000092721399</v>
      </c>
    </row>
    <row r="1781" spans="1:40" x14ac:dyDescent="0.25">
      <c r="A1781" t="str">
        <f>"20190305134934964"</f>
        <v>20190305134934964</v>
      </c>
      <c r="B1781" t="str">
        <f>"1551764974962639"</f>
        <v>1551764974962639</v>
      </c>
      <c r="C1781" t="s">
        <v>40</v>
      </c>
      <c r="D1781">
        <v>4.4613620000000003</v>
      </c>
      <c r="E1781">
        <v>0.53891339999999999</v>
      </c>
      <c r="F1781" t="s">
        <v>42</v>
      </c>
      <c r="G1781">
        <v>-191.27590000000001</v>
      </c>
      <c r="H1781" s="1">
        <v>-6.7829679999999996E-7</v>
      </c>
      <c r="I1781">
        <v>310.30829999999997</v>
      </c>
      <c r="J1781">
        <v>-192.8973</v>
      </c>
      <c r="K1781">
        <v>1.1087039999999999</v>
      </c>
      <c r="L1781">
        <v>336.50830000000002</v>
      </c>
      <c r="M1781">
        <v>0.1077219</v>
      </c>
      <c r="N1781">
        <v>-1.279167E-2</v>
      </c>
      <c r="O1781">
        <v>-0.99409879999999995</v>
      </c>
      <c r="P1781">
        <v>0.15165239999999999</v>
      </c>
      <c r="Q1781">
        <v>-0.15769259999999999</v>
      </c>
      <c r="R1781">
        <v>-0.97577420000000004</v>
      </c>
      <c r="S1781">
        <v>0.1878204</v>
      </c>
      <c r="T1781">
        <v>-0.1273446</v>
      </c>
      <c r="U1781">
        <v>-3.024902</v>
      </c>
      <c r="V1781">
        <v>-4.5928579999999997E-2</v>
      </c>
      <c r="W1781">
        <v>-0.14497349999999901</v>
      </c>
      <c r="X1781">
        <v>0.98836900000000005</v>
      </c>
      <c r="Y1781">
        <v>4.5922070000000002E-2</v>
      </c>
      <c r="Z1781">
        <v>2.889162E-2</v>
      </c>
      <c r="AA1781">
        <v>0.9985271</v>
      </c>
      <c r="AB1781">
        <v>23</v>
      </c>
      <c r="AC1781">
        <v>1.62139999999999</v>
      </c>
      <c r="AD1781">
        <v>-1.1087046782968</v>
      </c>
      <c r="AE1781">
        <v>-26.2</v>
      </c>
      <c r="AF1781">
        <v>1.2084252931052899</v>
      </c>
      <c r="AG1781">
        <v>-1.1087046782968</v>
      </c>
      <c r="AH1781">
        <v>26.175499173064999</v>
      </c>
      <c r="AI1781">
        <v>92.422826162362497</v>
      </c>
      <c r="AJ1781">
        <v>87.356744099589505</v>
      </c>
      <c r="AK1781">
        <v>26.226823572667399</v>
      </c>
      <c r="AL1781">
        <v>98.335744508757998</v>
      </c>
      <c r="AM1781">
        <v>92.660567159424801</v>
      </c>
      <c r="AN1781">
        <v>1.0000000151620301</v>
      </c>
    </row>
    <row r="1782" spans="1:40" x14ac:dyDescent="0.25">
      <c r="A1782" t="str">
        <f>"20190305134934978"</f>
        <v>20190305134934978</v>
      </c>
      <c r="B1782" t="str">
        <f>"1551764974972398"</f>
        <v>1551764974972398</v>
      </c>
      <c r="C1782" t="s">
        <v>40</v>
      </c>
      <c r="D1782">
        <v>4.1966960000000002</v>
      </c>
      <c r="E1782">
        <v>0.57364989999999905</v>
      </c>
      <c r="F1782" t="s">
        <v>42</v>
      </c>
      <c r="G1782">
        <v>-191.30609999999999</v>
      </c>
      <c r="H1782" s="1">
        <v>-6.0707710000000002E-7</v>
      </c>
      <c r="I1782">
        <v>310.14069999999998</v>
      </c>
      <c r="J1782">
        <v>-192.88399999999999</v>
      </c>
      <c r="K1782">
        <v>1.108716</v>
      </c>
      <c r="L1782">
        <v>336.37819999999999</v>
      </c>
      <c r="M1782">
        <v>0.1069958</v>
      </c>
      <c r="N1782">
        <v>-1.275562E-2</v>
      </c>
      <c r="O1782">
        <v>-0.9941778</v>
      </c>
      <c r="P1782">
        <v>0.15129419999999999</v>
      </c>
      <c r="Q1782">
        <v>-0.15787200000000001</v>
      </c>
      <c r="R1782">
        <v>-0.97580060000000002</v>
      </c>
      <c r="S1782">
        <v>0.18258669999999999</v>
      </c>
      <c r="T1782">
        <v>-0.127221</v>
      </c>
      <c r="U1782">
        <v>-3.025604</v>
      </c>
      <c r="V1782">
        <v>-4.628434E-2</v>
      </c>
      <c r="W1782">
        <v>-0.14519009999999999</v>
      </c>
      <c r="X1782">
        <v>0.98832059999999999</v>
      </c>
      <c r="Y1782">
        <v>4.692731E-2</v>
      </c>
      <c r="Z1782">
        <v>2.8882209999999998E-2</v>
      </c>
      <c r="AA1782">
        <v>0.9984807</v>
      </c>
      <c r="AB1782">
        <v>23</v>
      </c>
      <c r="AC1782">
        <v>1.5779000000000201</v>
      </c>
      <c r="AD1782">
        <v>-1.1087166070771</v>
      </c>
      <c r="AE1782">
        <v>-26.237500000000001</v>
      </c>
      <c r="AF1782">
        <v>1.2364897575007201</v>
      </c>
      <c r="AG1782">
        <v>-1.1087166070771</v>
      </c>
      <c r="AH1782">
        <v>26.209069203064601</v>
      </c>
      <c r="AI1782">
        <v>92.419638701353094</v>
      </c>
      <c r="AJ1782">
        <v>87.298906256166006</v>
      </c>
      <c r="AK1782">
        <v>26.261634905813501</v>
      </c>
      <c r="AL1782">
        <v>98.348287553411197</v>
      </c>
      <c r="AM1782">
        <v>92.681276904221306</v>
      </c>
      <c r="AN1782">
        <v>1.0000000068257999</v>
      </c>
    </row>
    <row r="1783" spans="1:40" x14ac:dyDescent="0.25">
      <c r="A1783" t="str">
        <f>"20190305134934996"</f>
        <v>20190305134934996</v>
      </c>
      <c r="B1783" t="str">
        <f>"1551764974992426"</f>
        <v>1551764974992426</v>
      </c>
      <c r="C1783" t="s">
        <v>40</v>
      </c>
      <c r="D1783">
        <v>4.3924580000000004</v>
      </c>
      <c r="E1783">
        <v>0.57124580000000003</v>
      </c>
      <c r="F1783" t="s">
        <v>65</v>
      </c>
      <c r="G1783">
        <v>-200.83629999999999</v>
      </c>
      <c r="H1783">
        <v>28.52243</v>
      </c>
      <c r="I1783">
        <v>-81.824619999999996</v>
      </c>
      <c r="J1783">
        <v>-192.86519999999999</v>
      </c>
      <c r="K1783">
        <v>1.108733</v>
      </c>
      <c r="L1783">
        <v>336.19240000000002</v>
      </c>
      <c r="M1783">
        <v>0.1059901</v>
      </c>
      <c r="N1783">
        <v>-1.270773E-2</v>
      </c>
      <c r="O1783">
        <v>-0.99428609999999995</v>
      </c>
      <c r="P1783">
        <v>0.15032719999999999</v>
      </c>
      <c r="Q1783">
        <v>-0.15749869999999999</v>
      </c>
      <c r="R1783">
        <v>-0.97601039999999994</v>
      </c>
      <c r="S1783">
        <v>-5.9265140000000001E-2</v>
      </c>
      <c r="T1783">
        <v>0.2043016</v>
      </c>
      <c r="U1783">
        <v>-3.1166689999999999</v>
      </c>
      <c r="V1783">
        <v>-4.6288450000000002E-2</v>
      </c>
      <c r="W1783">
        <v>-0.14486640000000001</v>
      </c>
      <c r="X1783">
        <v>0.98836789999999997</v>
      </c>
      <c r="Y1783">
        <v>0.12486849999999999</v>
      </c>
      <c r="Z1783">
        <v>-7.7284530000000004E-2</v>
      </c>
      <c r="AA1783">
        <v>0.98915869999999995</v>
      </c>
      <c r="AB1783">
        <v>23</v>
      </c>
      <c r="AC1783">
        <v>-7.9710999999999999</v>
      </c>
      <c r="AD1783">
        <v>27.4136969999999</v>
      </c>
      <c r="AE1783">
        <v>-418.01702</v>
      </c>
      <c r="AF1783">
        <v>52.011821214197901</v>
      </c>
      <c r="AG1783">
        <v>27.4136969999999</v>
      </c>
      <c r="AH1783">
        <v>413.04134634742701</v>
      </c>
      <c r="AI1783">
        <v>86.232494515968995</v>
      </c>
      <c r="AJ1783">
        <v>82.822862403120197</v>
      </c>
      <c r="AK1783">
        <v>417.204858698603</v>
      </c>
      <c r="AL1783">
        <v>98.329542786664803</v>
      </c>
      <c r="AM1783">
        <v>92.681386510164998</v>
      </c>
      <c r="AN1783">
        <v>1.00000000010138</v>
      </c>
    </row>
    <row r="1784" spans="1:40" x14ac:dyDescent="0.25">
      <c r="A1784" t="str">
        <f>"20190305134935009"</f>
        <v>20190305134935009</v>
      </c>
      <c r="B1784" t="str">
        <f>"1551764975002186"</f>
        <v>1551764975002186</v>
      </c>
      <c r="C1784" t="s">
        <v>40</v>
      </c>
      <c r="D1784">
        <v>4.4143089999999896</v>
      </c>
      <c r="E1784">
        <v>0.57072309999999904</v>
      </c>
      <c r="F1784" t="s">
        <v>65</v>
      </c>
      <c r="G1784">
        <v>-200.63310000000001</v>
      </c>
      <c r="H1784">
        <v>9.9896379999999994</v>
      </c>
      <c r="I1784">
        <v>-81.818479999999994</v>
      </c>
      <c r="J1784">
        <v>-192.8519</v>
      </c>
      <c r="K1784">
        <v>1.108754</v>
      </c>
      <c r="L1784">
        <v>336.05939999999998</v>
      </c>
      <c r="M1784">
        <v>0.1052942</v>
      </c>
      <c r="N1784">
        <v>-1.267565E-2</v>
      </c>
      <c r="O1784">
        <v>-0.99436040000000003</v>
      </c>
      <c r="P1784">
        <v>0.14980489999999999</v>
      </c>
      <c r="Q1784">
        <v>-0.15744739999999999</v>
      </c>
      <c r="R1784">
        <v>-0.9760991</v>
      </c>
      <c r="S1784">
        <v>-5.7479860000000001E-2</v>
      </c>
      <c r="T1784">
        <v>6.571639E-2</v>
      </c>
      <c r="U1784">
        <v>-3.0931700000000002</v>
      </c>
      <c r="V1784">
        <v>-4.6442669999999998E-2</v>
      </c>
      <c r="W1784">
        <v>-0.14484900000000001</v>
      </c>
      <c r="X1784">
        <v>0.9883632</v>
      </c>
      <c r="Y1784">
        <v>0.1237568</v>
      </c>
      <c r="Z1784">
        <v>-3.3663730000000003E-2</v>
      </c>
      <c r="AA1784">
        <v>0.9917414</v>
      </c>
      <c r="AB1784">
        <v>23</v>
      </c>
      <c r="AC1784">
        <v>-7.7812000000000099</v>
      </c>
      <c r="AD1784">
        <v>8.880884</v>
      </c>
      <c r="AE1784">
        <v>-417.87788</v>
      </c>
      <c r="AF1784">
        <v>51.718236258198203</v>
      </c>
      <c r="AG1784">
        <v>8.880884</v>
      </c>
      <c r="AH1784">
        <v>414.54801925761802</v>
      </c>
      <c r="AI1784">
        <v>88.782175233442999</v>
      </c>
      <c r="AJ1784">
        <v>82.888628906239703</v>
      </c>
      <c r="AK1784">
        <v>417.85608327831602</v>
      </c>
      <c r="AL1784">
        <v>98.328535341426104</v>
      </c>
      <c r="AM1784">
        <v>92.690319801416607</v>
      </c>
      <c r="AN1784">
        <v>0.99999998475598395</v>
      </c>
    </row>
    <row r="1785" spans="1:40" x14ac:dyDescent="0.25">
      <c r="A1785" t="str">
        <f>"20190305134935022"</f>
        <v>20190305134935022</v>
      </c>
      <c r="B1785" t="str">
        <f>"1551764975011946"</f>
        <v>1551764975011946</v>
      </c>
      <c r="C1785" t="s">
        <v>40</v>
      </c>
      <c r="D1785">
        <v>4.3585900000000004</v>
      </c>
      <c r="E1785">
        <v>0.56990640000000004</v>
      </c>
      <c r="F1785" t="s">
        <v>65</v>
      </c>
      <c r="G1785">
        <v>-200.6645</v>
      </c>
      <c r="H1785">
        <v>6.172021</v>
      </c>
      <c r="I1785">
        <v>-80.065770000000001</v>
      </c>
      <c r="J1785">
        <v>-192.83840000000001</v>
      </c>
      <c r="K1785">
        <v>1.1087769999999999</v>
      </c>
      <c r="L1785">
        <v>335.92469999999997</v>
      </c>
      <c r="M1785">
        <v>0.1046281</v>
      </c>
      <c r="N1785">
        <v>-1.264581E-2</v>
      </c>
      <c r="O1785">
        <v>-0.99443110000000001</v>
      </c>
      <c r="P1785">
        <v>0.14892549999999999</v>
      </c>
      <c r="Q1785">
        <v>-0.15756579999999901</v>
      </c>
      <c r="R1785">
        <v>-0.97621429999999998</v>
      </c>
      <c r="S1785">
        <v>-5.7983399999999997E-2</v>
      </c>
      <c r="T1785">
        <v>3.7578340000000002E-2</v>
      </c>
      <c r="U1785">
        <v>-3.0883790000000002</v>
      </c>
      <c r="V1785">
        <v>-4.6207409999999997E-2</v>
      </c>
      <c r="W1785">
        <v>-0.1450004</v>
      </c>
      <c r="X1785">
        <v>0.98835209999999996</v>
      </c>
      <c r="Y1785">
        <v>0.1232803</v>
      </c>
      <c r="Z1785">
        <v>-2.4675450000000002E-2</v>
      </c>
      <c r="AA1785">
        <v>0.99206510000000003</v>
      </c>
      <c r="AB1785">
        <v>23</v>
      </c>
      <c r="AC1785">
        <v>-7.8260999999999896</v>
      </c>
      <c r="AD1785">
        <v>5.0632440000000001</v>
      </c>
      <c r="AE1785">
        <v>-415.99047000000002</v>
      </c>
      <c r="AF1785">
        <v>51.303310589188698</v>
      </c>
      <c r="AG1785">
        <v>5.0632440000000001</v>
      </c>
      <c r="AH1785">
        <v>412.82687388609702</v>
      </c>
      <c r="AI1785">
        <v>89.302676770094806</v>
      </c>
      <c r="AJ1785">
        <v>82.915990059998194</v>
      </c>
      <c r="AK1785">
        <v>416.03328462970597</v>
      </c>
      <c r="AL1785">
        <v>98.337301872088801</v>
      </c>
      <c r="AM1785">
        <v>92.676741605448598</v>
      </c>
      <c r="AN1785">
        <v>1.00000005715673</v>
      </c>
    </row>
    <row r="1786" spans="1:40" x14ac:dyDescent="0.25">
      <c r="A1786" t="str">
        <f>"20190305134935042"</f>
        <v>20190305134935042</v>
      </c>
      <c r="B1786" t="str">
        <f>"1551764975032445"</f>
        <v>1551764975032445</v>
      </c>
      <c r="C1786" t="s">
        <v>40</v>
      </c>
      <c r="D1786">
        <v>4.3540850000000004</v>
      </c>
      <c r="E1786">
        <v>0.56897369999999903</v>
      </c>
      <c r="F1786" t="s">
        <v>65</v>
      </c>
      <c r="G1786">
        <v>-200.41380000000001</v>
      </c>
      <c r="H1786">
        <v>3.6834220000000002</v>
      </c>
      <c r="I1786">
        <v>-81.816389999999998</v>
      </c>
      <c r="J1786">
        <v>-192.81909999999999</v>
      </c>
      <c r="K1786">
        <v>1.1088199999999999</v>
      </c>
      <c r="L1786">
        <v>335.73070000000001</v>
      </c>
      <c r="M1786">
        <v>0.1037196</v>
      </c>
      <c r="N1786">
        <v>-1.260533E-2</v>
      </c>
      <c r="O1786">
        <v>-0.99452689999999999</v>
      </c>
      <c r="P1786">
        <v>0.14754059999999999</v>
      </c>
      <c r="Q1786">
        <v>-0.15801189999999901</v>
      </c>
      <c r="R1786">
        <v>-0.97635260000000001</v>
      </c>
      <c r="S1786">
        <v>-5.5938719999999997E-2</v>
      </c>
      <c r="T1786">
        <v>1.9011739999999999E-2</v>
      </c>
      <c r="U1786">
        <v>-3.084686</v>
      </c>
      <c r="V1786">
        <v>-4.5700730000000002E-2</v>
      </c>
      <c r="W1786">
        <v>-0.14549329999999999</v>
      </c>
      <c r="X1786">
        <v>0.98830320000000005</v>
      </c>
      <c r="Y1786">
        <v>0.1217362</v>
      </c>
      <c r="Z1786">
        <v>-1.870633E-2</v>
      </c>
      <c r="AA1786">
        <v>0.9923862</v>
      </c>
      <c r="AB1786">
        <v>23</v>
      </c>
      <c r="AC1786">
        <v>-7.5947000000000102</v>
      </c>
      <c r="AD1786">
        <v>2.5746020000000001</v>
      </c>
      <c r="AE1786">
        <v>-417.547089999999</v>
      </c>
      <c r="AF1786">
        <v>50.863048391337799</v>
      </c>
      <c r="AG1786">
        <v>2.5746020000000001</v>
      </c>
      <c r="AH1786">
        <v>414.49118898806898</v>
      </c>
      <c r="AI1786">
        <v>89.646762787383693</v>
      </c>
      <c r="AJ1786">
        <v>83.0040949589295</v>
      </c>
      <c r="AK1786">
        <v>417.60821832892799</v>
      </c>
      <c r="AL1786">
        <v>98.365845831926805</v>
      </c>
      <c r="AM1786">
        <v>92.647563017197399</v>
      </c>
      <c r="AN1786">
        <v>1.0000000360988299</v>
      </c>
    </row>
    <row r="1787" spans="1:40" x14ac:dyDescent="0.25">
      <c r="A1787" t="str">
        <f>"20190305134935054"</f>
        <v>20190305134935054</v>
      </c>
      <c r="B1787" t="str">
        <f>"1551764975051963"</f>
        <v>1551764975051963</v>
      </c>
      <c r="C1787" t="s">
        <v>40</v>
      </c>
      <c r="D1787">
        <v>4.361294</v>
      </c>
      <c r="E1787">
        <v>0.56825040000000004</v>
      </c>
      <c r="F1787" t="s">
        <v>65</v>
      </c>
      <c r="G1787">
        <v>-200.3441</v>
      </c>
      <c r="H1787">
        <v>0.41071410000000003</v>
      </c>
      <c r="I1787">
        <v>-81.815299999999993</v>
      </c>
      <c r="J1787">
        <v>-192.80600000000001</v>
      </c>
      <c r="K1787">
        <v>1.108857</v>
      </c>
      <c r="L1787">
        <v>335.59890000000001</v>
      </c>
      <c r="M1787">
        <v>0.1031411</v>
      </c>
      <c r="N1787">
        <v>-1.2580940000000001E-2</v>
      </c>
      <c r="O1787">
        <v>-0.9945872</v>
      </c>
      <c r="P1787">
        <v>0.14614869999999999</v>
      </c>
      <c r="Q1787">
        <v>-0.15823789999999999</v>
      </c>
      <c r="R1787">
        <v>-0.97652519999999998</v>
      </c>
      <c r="S1787">
        <v>-5.551147E-2</v>
      </c>
      <c r="T1787">
        <v>-5.1498409999999996E-3</v>
      </c>
      <c r="U1787">
        <v>-3.0802</v>
      </c>
      <c r="V1787">
        <v>-4.4858750000000003E-2</v>
      </c>
      <c r="W1787">
        <v>-0.14574889999999999</v>
      </c>
      <c r="X1787">
        <v>0.98830410000000002</v>
      </c>
      <c r="Y1787">
        <v>0.1210435</v>
      </c>
      <c r="Z1787">
        <v>-1.094053E-2</v>
      </c>
      <c r="AA1787">
        <v>0.99258690000000005</v>
      </c>
      <c r="AB1787">
        <v>23</v>
      </c>
      <c r="AC1787">
        <v>-7.5381000000000098</v>
      </c>
      <c r="AD1787">
        <v>-0.69814290000000001</v>
      </c>
      <c r="AE1787">
        <v>-417.41419999999999</v>
      </c>
      <c r="AF1787">
        <v>50.553715492823898</v>
      </c>
      <c r="AG1787">
        <v>-0.69814290000000001</v>
      </c>
      <c r="AH1787">
        <v>414.40895786673298</v>
      </c>
      <c r="AI1787">
        <v>90.095814170050105</v>
      </c>
      <c r="AJ1787">
        <v>83.044857678115207</v>
      </c>
      <c r="AK1787">
        <v>417.48167614139601</v>
      </c>
      <c r="AL1787">
        <v>98.380648543476994</v>
      </c>
      <c r="AM1787">
        <v>92.598850049176207</v>
      </c>
      <c r="AN1787">
        <v>1.00000002168979</v>
      </c>
    </row>
    <row r="1788" spans="1:40" x14ac:dyDescent="0.25">
      <c r="A1788" t="str">
        <f>"20190305134935066"</f>
        <v>20190305134935066</v>
      </c>
      <c r="B1788" t="str">
        <f>"1551764975062698"</f>
        <v>1551764975062698</v>
      </c>
      <c r="C1788" t="s">
        <v>40</v>
      </c>
      <c r="D1788">
        <v>4.1247610000000003</v>
      </c>
      <c r="E1788">
        <v>0.56825040000000004</v>
      </c>
      <c r="F1788" t="s">
        <v>42</v>
      </c>
      <c r="G1788">
        <v>-195.86539999999999</v>
      </c>
      <c r="H1788" s="1">
        <v>-4.69385E-6</v>
      </c>
      <c r="I1788">
        <v>166.7998</v>
      </c>
      <c r="J1788">
        <v>-192.7938</v>
      </c>
      <c r="K1788">
        <v>1.108892</v>
      </c>
      <c r="L1788">
        <v>335.47489999999999</v>
      </c>
      <c r="M1788">
        <v>0.10262590000000001</v>
      </c>
      <c r="N1788">
        <v>-1.2561370000000001E-2</v>
      </c>
      <c r="O1788">
        <v>-0.99464079999999999</v>
      </c>
      <c r="P1788">
        <v>0.14506340000000001</v>
      </c>
      <c r="Q1788">
        <v>-0.15840279999999901</v>
      </c>
      <c r="R1788">
        <v>-0.97666030000000004</v>
      </c>
      <c r="S1788">
        <v>-5.577087E-2</v>
      </c>
      <c r="T1788">
        <v>-2.021396E-2</v>
      </c>
      <c r="U1788">
        <v>-3.077118</v>
      </c>
      <c r="V1788">
        <v>-4.4263230000000001E-2</v>
      </c>
      <c r="W1788">
        <v>-0.14593800000000001</v>
      </c>
      <c r="X1788">
        <v>0.98830300000000004</v>
      </c>
      <c r="Y1788">
        <v>0.120628</v>
      </c>
      <c r="Z1788">
        <v>-6.0809180000000003E-3</v>
      </c>
      <c r="AA1788">
        <v>0.99267919999999998</v>
      </c>
      <c r="AB1788">
        <v>23</v>
      </c>
      <c r="AC1788">
        <v>-3.0715999999999801</v>
      </c>
      <c r="AD1788">
        <v>-1.10889669385</v>
      </c>
      <c r="AE1788">
        <v>-168.67509999999999</v>
      </c>
      <c r="AF1788">
        <v>20.366297729725801</v>
      </c>
      <c r="AG1788">
        <v>-1.10889669385</v>
      </c>
      <c r="AH1788">
        <v>167.46187285161901</v>
      </c>
      <c r="AI1788">
        <v>90.376619894077507</v>
      </c>
      <c r="AJ1788">
        <v>83.065882659083698</v>
      </c>
      <c r="AK1788">
        <v>168.699420846858</v>
      </c>
      <c r="AL1788">
        <v>98.391600655736596</v>
      </c>
      <c r="AM1788">
        <v>92.564398366614299</v>
      </c>
      <c r="AN1788">
        <v>0.99999997659151596</v>
      </c>
    </row>
    <row r="1789" spans="1:40" x14ac:dyDescent="0.25">
      <c r="A1789" t="str">
        <f>"20190305134935085"</f>
        <v>20190305134935085</v>
      </c>
      <c r="B1789" t="str">
        <f>"1551764975082218"</f>
        <v>1551764975082218</v>
      </c>
      <c r="C1789" t="s">
        <v>40</v>
      </c>
      <c r="D1789">
        <v>4.3382990000000001</v>
      </c>
      <c r="E1789">
        <v>0.56743250000000001</v>
      </c>
      <c r="F1789" t="s">
        <v>42</v>
      </c>
      <c r="G1789">
        <v>-195.9452</v>
      </c>
      <c r="H1789" s="1">
        <v>-2.4987479999999999E-6</v>
      </c>
      <c r="I1789">
        <v>171.72640000000001</v>
      </c>
      <c r="J1789">
        <v>-192.77610000000001</v>
      </c>
      <c r="K1789">
        <v>1.1089370000000001</v>
      </c>
      <c r="L1789">
        <v>335.29489999999998</v>
      </c>
      <c r="M1789">
        <v>0.101933</v>
      </c>
      <c r="N1789">
        <v>-1.2539410000000001E-2</v>
      </c>
      <c r="O1789">
        <v>-0.99471209999999999</v>
      </c>
      <c r="P1789">
        <v>0.1432214</v>
      </c>
      <c r="Q1789">
        <v>-0.158777</v>
      </c>
      <c r="R1789">
        <v>-0.97687139999999995</v>
      </c>
      <c r="S1789">
        <v>-5.9219359999999999E-2</v>
      </c>
      <c r="T1789">
        <v>-2.0838260000000001E-2</v>
      </c>
      <c r="U1789">
        <v>-3.0771480000000002</v>
      </c>
      <c r="V1789">
        <v>-4.3077270000000001E-2</v>
      </c>
      <c r="W1789">
        <v>-0.14634150000000001</v>
      </c>
      <c r="X1789">
        <v>0.9882957</v>
      </c>
      <c r="Y1789">
        <v>0.12104819999999999</v>
      </c>
      <c r="Z1789">
        <v>-5.8586619999999997E-3</v>
      </c>
      <c r="AA1789">
        <v>0.99262930000000005</v>
      </c>
      <c r="AB1789">
        <v>23</v>
      </c>
      <c r="AC1789">
        <v>-3.1690999999999798</v>
      </c>
      <c r="AD1789">
        <v>-1.1089394987479999</v>
      </c>
      <c r="AE1789">
        <v>-163.56849999999901</v>
      </c>
      <c r="AF1789">
        <v>19.826020536843298</v>
      </c>
      <c r="AG1789">
        <v>-1.1089394987479999</v>
      </c>
      <c r="AH1789">
        <v>162.38585829008099</v>
      </c>
      <c r="AI1789">
        <v>90.388385151898504</v>
      </c>
      <c r="AJ1789">
        <v>83.039092541444802</v>
      </c>
      <c r="AK1789">
        <v>163.59543945277201</v>
      </c>
      <c r="AL1789">
        <v>98.4149707273221</v>
      </c>
      <c r="AM1789">
        <v>92.495796041723693</v>
      </c>
      <c r="AN1789">
        <v>0.999999938225694</v>
      </c>
    </row>
    <row r="1790" spans="1:40" x14ac:dyDescent="0.25">
      <c r="A1790" t="str">
        <f>"20190305134935097"</f>
        <v>20190305134935097</v>
      </c>
      <c r="B1790" t="str">
        <f>"1551764975091978"</f>
        <v>1551764975091978</v>
      </c>
      <c r="C1790" t="s">
        <v>40</v>
      </c>
      <c r="D1790">
        <v>4.3513159999999997</v>
      </c>
      <c r="E1790">
        <v>0.5671602</v>
      </c>
      <c r="F1790" t="s">
        <v>42</v>
      </c>
      <c r="G1790">
        <v>-194.78399999999999</v>
      </c>
      <c r="H1790" s="1">
        <v>-2.2426430000000001E-6</v>
      </c>
      <c r="I1790">
        <v>231.6431</v>
      </c>
      <c r="J1790">
        <v>-192.76329999999999</v>
      </c>
      <c r="K1790">
        <v>1.1089709999999999</v>
      </c>
      <c r="L1790">
        <v>335.16430000000003</v>
      </c>
      <c r="M1790">
        <v>0.1014663</v>
      </c>
      <c r="N1790">
        <v>-1.2529759999999999E-2</v>
      </c>
      <c r="O1790">
        <v>-0.99476010000000004</v>
      </c>
      <c r="P1790">
        <v>0.1422244</v>
      </c>
      <c r="Q1790">
        <v>-0.15881319999999999</v>
      </c>
      <c r="R1790">
        <v>-0.97701139999999997</v>
      </c>
      <c r="S1790">
        <v>-5.9555049999999998E-2</v>
      </c>
      <c r="T1790">
        <v>-3.2891749999999997E-2</v>
      </c>
      <c r="U1790">
        <v>-3.0743710000000002</v>
      </c>
      <c r="V1790">
        <v>-4.2520849999999999E-2</v>
      </c>
      <c r="W1790">
        <v>-0.14639150000000001</v>
      </c>
      <c r="X1790">
        <v>0.98831250000000004</v>
      </c>
      <c r="Y1790">
        <v>0.1207054</v>
      </c>
      <c r="Z1790">
        <v>-1.9671049999999998E-3</v>
      </c>
      <c r="AA1790">
        <v>0.99268650000000003</v>
      </c>
      <c r="AB1790">
        <v>23</v>
      </c>
      <c r="AC1790">
        <v>-2.0207000000000299</v>
      </c>
      <c r="AD1790">
        <v>-1.1089732426429999</v>
      </c>
      <c r="AE1790">
        <v>-103.52119999999999</v>
      </c>
      <c r="AF1790">
        <v>12.5135714321646</v>
      </c>
      <c r="AG1790">
        <v>-1.1089732426429999</v>
      </c>
      <c r="AH1790">
        <v>102.770002373292</v>
      </c>
      <c r="AI1790">
        <v>90.613712386370196</v>
      </c>
      <c r="AJ1790">
        <v>83.057675716493804</v>
      </c>
      <c r="AK1790">
        <v>103.534982877514</v>
      </c>
      <c r="AL1790">
        <v>98.417865792731902</v>
      </c>
      <c r="AM1790">
        <v>92.463556524082904</v>
      </c>
      <c r="AN1790">
        <v>1.0000000458066101</v>
      </c>
    </row>
    <row r="1791" spans="1:40" x14ac:dyDescent="0.25">
      <c r="A1791" t="str">
        <f>"20190305134935113"</f>
        <v>20190305134935113</v>
      </c>
      <c r="B1791" t="str">
        <f>"1551764975102714"</f>
        <v>1551764975102714</v>
      </c>
      <c r="C1791" t="s">
        <v>40</v>
      </c>
      <c r="D1791">
        <v>4.3397430000000004</v>
      </c>
      <c r="E1791">
        <v>0.56689639999999997</v>
      </c>
      <c r="F1791" t="s">
        <v>42</v>
      </c>
      <c r="G1791">
        <v>-194.55350000000001</v>
      </c>
      <c r="H1791" s="1">
        <v>-3.778619E-6</v>
      </c>
      <c r="I1791">
        <v>245.02250000000001</v>
      </c>
      <c r="J1791">
        <v>-192.7482</v>
      </c>
      <c r="K1791">
        <v>1.1090169999999999</v>
      </c>
      <c r="L1791">
        <v>335.01029999999997</v>
      </c>
      <c r="M1791">
        <v>0.10094789999999999</v>
      </c>
      <c r="N1791">
        <v>-1.252553E-2</v>
      </c>
      <c r="O1791">
        <v>-0.99481299999999995</v>
      </c>
      <c r="P1791">
        <v>0.14140449999999999</v>
      </c>
      <c r="Q1791">
        <v>-0.15885879999999999</v>
      </c>
      <c r="R1791">
        <v>-0.97712299999999996</v>
      </c>
      <c r="S1791">
        <v>-6.1035159999999998E-2</v>
      </c>
      <c r="T1791">
        <v>-3.7809490000000001E-2</v>
      </c>
      <c r="U1791">
        <v>-3.0733030000000001</v>
      </c>
      <c r="V1791">
        <v>-4.2193929999999998E-2</v>
      </c>
      <c r="W1791">
        <v>-0.14644570000000001</v>
      </c>
      <c r="X1791">
        <v>0.98831840000000004</v>
      </c>
      <c r="Y1791">
        <v>0.1206716</v>
      </c>
      <c r="Z1791">
        <v>-3.7695399999999998E-4</v>
      </c>
      <c r="AA1791">
        <v>0.99269240000000003</v>
      </c>
      <c r="AB1791">
        <v>23</v>
      </c>
      <c r="AC1791">
        <v>-1.8053000000000099</v>
      </c>
      <c r="AD1791">
        <v>-1.1090207786189901</v>
      </c>
      <c r="AE1791">
        <v>-89.987799999999893</v>
      </c>
      <c r="AF1791">
        <v>10.8792157253519</v>
      </c>
      <c r="AG1791">
        <v>-1.1090207786189901</v>
      </c>
      <c r="AH1791">
        <v>89.332226145083894</v>
      </c>
      <c r="AI1791">
        <v>90.7060496643508</v>
      </c>
      <c r="AJ1791">
        <v>83.056495998140207</v>
      </c>
      <c r="AK1791">
        <v>89.999077161505198</v>
      </c>
      <c r="AL1791">
        <v>98.421005739613406</v>
      </c>
      <c r="AM1791">
        <v>92.444624051858398</v>
      </c>
      <c r="AN1791">
        <v>0.99999996527794699</v>
      </c>
    </row>
    <row r="1792" spans="1:40" x14ac:dyDescent="0.25">
      <c r="A1792" t="str">
        <f>"20190305134935132"</f>
        <v>20190305134935132</v>
      </c>
      <c r="B1792" t="str">
        <f>"1551764975122234"</f>
        <v>1551764975122234</v>
      </c>
      <c r="C1792" t="s">
        <v>40</v>
      </c>
      <c r="D1792">
        <v>4.3707209999999996</v>
      </c>
      <c r="E1792">
        <v>0.56640889999999999</v>
      </c>
      <c r="F1792" t="s">
        <v>42</v>
      </c>
      <c r="G1792">
        <v>-194.37559999999999</v>
      </c>
      <c r="H1792" s="1">
        <v>-3.0923169999999999E-6</v>
      </c>
      <c r="I1792">
        <v>254.08349999999999</v>
      </c>
      <c r="J1792">
        <v>-192.72890000000001</v>
      </c>
      <c r="K1792">
        <v>1.1090690000000001</v>
      </c>
      <c r="L1792">
        <v>334.81299999999999</v>
      </c>
      <c r="M1792">
        <v>0.10034220000000001</v>
      </c>
      <c r="N1792">
        <v>-1.2539659999999999E-2</v>
      </c>
      <c r="O1792">
        <v>-0.99487409999999998</v>
      </c>
      <c r="P1792">
        <v>0.13995539999999901</v>
      </c>
      <c r="Q1792">
        <v>-0.1591872</v>
      </c>
      <c r="R1792">
        <v>-0.97727779999999997</v>
      </c>
      <c r="S1792">
        <v>-6.1782839999999999E-2</v>
      </c>
      <c r="T1792">
        <v>-4.2102689999999998E-2</v>
      </c>
      <c r="U1792">
        <v>-3.0722960000000001</v>
      </c>
      <c r="V1792">
        <v>-4.1322449999999997E-2</v>
      </c>
      <c r="W1792">
        <v>-0.14676529999999999</v>
      </c>
      <c r="X1792">
        <v>0.98830779999999996</v>
      </c>
      <c r="Y1792">
        <v>0.12031409999999999</v>
      </c>
      <c r="Z1792">
        <v>9.9553269999999995E-4</v>
      </c>
      <c r="AA1792">
        <v>0.99273540000000005</v>
      </c>
      <c r="AB1792">
        <v>23</v>
      </c>
      <c r="AC1792">
        <v>-1.6466999999999801</v>
      </c>
      <c r="AD1792">
        <v>-1.1090720923170001</v>
      </c>
      <c r="AE1792">
        <v>-80.729500000000002</v>
      </c>
      <c r="AF1792">
        <v>9.7377621451998699</v>
      </c>
      <c r="AG1792">
        <v>-1.1090720923170001</v>
      </c>
      <c r="AH1792">
        <v>80.141627096823598</v>
      </c>
      <c r="AI1792">
        <v>90.787071929681801</v>
      </c>
      <c r="AJ1792">
        <v>83.072127402445005</v>
      </c>
      <c r="AK1792">
        <v>80.7386799881493</v>
      </c>
      <c r="AL1792">
        <v>98.439517595858803</v>
      </c>
      <c r="AM1792">
        <v>92.394217428828398</v>
      </c>
      <c r="AN1792">
        <v>0.99999995284946497</v>
      </c>
    </row>
    <row r="1793" spans="1:40" x14ac:dyDescent="0.25">
      <c r="A1793" t="str">
        <f>"20190305134935153"</f>
        <v>20190305134935153</v>
      </c>
      <c r="B1793" t="str">
        <f>"1551764975142730"</f>
        <v>1551764975142730</v>
      </c>
      <c r="C1793" t="s">
        <v>40</v>
      </c>
      <c r="D1793">
        <v>4.3548980000000004</v>
      </c>
      <c r="E1793">
        <v>0.56600689999999998</v>
      </c>
      <c r="F1793" t="s">
        <v>42</v>
      </c>
      <c r="G1793">
        <v>-194.2012</v>
      </c>
      <c r="H1793" s="1">
        <v>-2.4825660000000001E-6</v>
      </c>
      <c r="I1793">
        <v>262.7704</v>
      </c>
      <c r="J1793">
        <v>-192.7081</v>
      </c>
      <c r="K1793">
        <v>1.109113</v>
      </c>
      <c r="L1793">
        <v>334.59930000000003</v>
      </c>
      <c r="M1793">
        <v>9.9740759999999998E-2</v>
      </c>
      <c r="N1793">
        <v>-1.2588999999999999E-2</v>
      </c>
      <c r="O1793">
        <v>-0.99493419999999999</v>
      </c>
      <c r="P1793">
        <v>0.13880509999999999</v>
      </c>
      <c r="Q1793">
        <v>-0.15890070000000001</v>
      </c>
      <c r="R1793">
        <v>-0.9774891</v>
      </c>
      <c r="S1793">
        <v>-6.2759400000000007E-2</v>
      </c>
      <c r="T1793">
        <v>-4.7278170000000001E-2</v>
      </c>
      <c r="U1793">
        <v>-3.071075</v>
      </c>
      <c r="V1793">
        <v>-4.0742460000000001E-2</v>
      </c>
      <c r="W1793">
        <v>-0.1464327</v>
      </c>
      <c r="X1793">
        <v>0.98838130000000002</v>
      </c>
      <c r="Y1793">
        <v>0.120036</v>
      </c>
      <c r="Z1793">
        <v>2.618829E-3</v>
      </c>
      <c r="AA1793">
        <v>0.99276609999999998</v>
      </c>
      <c r="AB1793">
        <v>23</v>
      </c>
      <c r="AC1793">
        <v>-1.4930999999999901</v>
      </c>
      <c r="AD1793">
        <v>-1.1091154825659999</v>
      </c>
      <c r="AE1793">
        <v>-71.828900000000004</v>
      </c>
      <c r="AF1793">
        <v>8.6484264014984102</v>
      </c>
      <c r="AG1793">
        <v>-1.1091154825659999</v>
      </c>
      <c r="AH1793">
        <v>71.304737209558297</v>
      </c>
      <c r="AI1793">
        <v>90.884657885936093</v>
      </c>
      <c r="AJ1793">
        <v>83.084474529870405</v>
      </c>
      <c r="AK1793">
        <v>71.835861273461205</v>
      </c>
      <c r="AL1793">
        <v>98.4202521525756</v>
      </c>
      <c r="AM1793">
        <v>92.360475821123899</v>
      </c>
      <c r="AN1793">
        <v>1.00000003893291</v>
      </c>
    </row>
    <row r="1794" spans="1:40" x14ac:dyDescent="0.25">
      <c r="A1794" t="str">
        <f>"20190305134935166"</f>
        <v>20190305134935166</v>
      </c>
      <c r="B1794" t="str">
        <f>"1551764975162250"</f>
        <v>1551764975162250</v>
      </c>
      <c r="C1794" t="s">
        <v>40</v>
      </c>
      <c r="D1794">
        <v>4.3485269999999998</v>
      </c>
      <c r="E1794">
        <v>0.56560569999999999</v>
      </c>
      <c r="F1794" t="s">
        <v>42</v>
      </c>
      <c r="G1794">
        <v>-194.12469999999999</v>
      </c>
      <c r="H1794" s="1">
        <v>-3.9287229999999998E-6</v>
      </c>
      <c r="I1794">
        <v>266.38150000000002</v>
      </c>
      <c r="J1794">
        <v>-192.69540000000001</v>
      </c>
      <c r="K1794">
        <v>1.1091409999999999</v>
      </c>
      <c r="L1794">
        <v>334.46820000000002</v>
      </c>
      <c r="M1794">
        <v>9.9388669999999998E-2</v>
      </c>
      <c r="N1794">
        <v>-1.2634589999999999E-2</v>
      </c>
      <c r="O1794">
        <v>-0.99496850000000003</v>
      </c>
      <c r="P1794">
        <v>0.13814889999999999</v>
      </c>
      <c r="Q1794">
        <v>-0.1590087</v>
      </c>
      <c r="R1794">
        <v>-0.97756399999999999</v>
      </c>
      <c r="S1794">
        <v>-6.3751219999999997E-2</v>
      </c>
      <c r="T1794">
        <v>-4.9914600000000003E-2</v>
      </c>
      <c r="U1794">
        <v>-3.070068</v>
      </c>
      <c r="V1794">
        <v>-4.0426780000000002E-2</v>
      </c>
      <c r="W1794">
        <v>-0.14649719999999999</v>
      </c>
      <c r="X1794">
        <v>0.9883847</v>
      </c>
      <c r="Y1794">
        <v>0.1200112</v>
      </c>
      <c r="Z1794">
        <v>3.4277700000000001E-3</v>
      </c>
      <c r="AA1794">
        <v>0.99276660000000005</v>
      </c>
      <c r="AB1794">
        <v>23</v>
      </c>
      <c r="AC1794">
        <v>-1.42929999999998</v>
      </c>
      <c r="AD1794">
        <v>-1.109144928723</v>
      </c>
      <c r="AE1794">
        <v>-68.086699999999993</v>
      </c>
      <c r="AF1794">
        <v>8.1876367133199803</v>
      </c>
      <c r="AG1794">
        <v>-1.109144928723</v>
      </c>
      <c r="AH1794">
        <v>67.589531690079795</v>
      </c>
      <c r="AI1794">
        <v>90.933318213580407</v>
      </c>
      <c r="AJ1794">
        <v>83.092978289082694</v>
      </c>
      <c r="AK1794">
        <v>68.092675020933896</v>
      </c>
      <c r="AL1794">
        <v>98.423988054464104</v>
      </c>
      <c r="AM1794">
        <v>92.342198824775707</v>
      </c>
      <c r="AN1794">
        <v>1.0000000346715401</v>
      </c>
    </row>
    <row r="1795" spans="1:40" x14ac:dyDescent="0.25">
      <c r="A1795" t="str">
        <f>"20190305134935185"</f>
        <v>20190305134935185</v>
      </c>
      <c r="B1795" t="str">
        <f>"1551764975182746"</f>
        <v>1551764975182746</v>
      </c>
      <c r="C1795" t="s">
        <v>40</v>
      </c>
      <c r="D1795">
        <v>4.3339100000000004</v>
      </c>
      <c r="E1795">
        <v>0.56523590000000001</v>
      </c>
      <c r="F1795" t="s">
        <v>62</v>
      </c>
      <c r="G1795">
        <v>-193.98740000000001</v>
      </c>
      <c r="H1795" s="1">
        <v>6.1560589999999997E-6</v>
      </c>
      <c r="I1795">
        <v>271.64159999999998</v>
      </c>
      <c r="J1795">
        <v>-192.67670000000001</v>
      </c>
      <c r="K1795">
        <v>1.1091789999999999</v>
      </c>
      <c r="L1795">
        <v>334.27409999999998</v>
      </c>
      <c r="M1795">
        <v>9.8876510000000001E-2</v>
      </c>
      <c r="N1795">
        <v>-1.271446E-2</v>
      </c>
      <c r="O1795">
        <v>-0.99501859999999998</v>
      </c>
      <c r="P1795">
        <v>0.13730819999999999</v>
      </c>
      <c r="Q1795">
        <v>-0.15878680000000001</v>
      </c>
      <c r="R1795">
        <v>-0.97771850000000005</v>
      </c>
      <c r="S1795">
        <v>-6.3110349999999996E-2</v>
      </c>
      <c r="T1795">
        <v>-5.4179310000000001E-2</v>
      </c>
      <c r="U1795">
        <v>-3.0689700000000002</v>
      </c>
      <c r="V1795">
        <v>-4.0078389999999998E-2</v>
      </c>
      <c r="W1795">
        <v>-0.1461971</v>
      </c>
      <c r="X1795">
        <v>0.98844330000000002</v>
      </c>
      <c r="Y1795">
        <v>0.11929919999999999</v>
      </c>
      <c r="Z1795">
        <v>4.7296270000000001E-3</v>
      </c>
      <c r="AA1795">
        <v>0.99284709999999998</v>
      </c>
      <c r="AB1795">
        <v>23</v>
      </c>
      <c r="AC1795">
        <v>-1.31069999999999</v>
      </c>
      <c r="AD1795">
        <v>-1.109172843941</v>
      </c>
      <c r="AE1795">
        <v>-62.632499999999901</v>
      </c>
      <c r="AF1795">
        <v>7.4953094333691199</v>
      </c>
      <c r="AG1795">
        <v>-1.109172843941</v>
      </c>
      <c r="AH1795">
        <v>62.176434080335397</v>
      </c>
      <c r="AI1795">
        <v>91.014653496730006</v>
      </c>
      <c r="AJ1795">
        <v>83.126217494812906</v>
      </c>
      <c r="AK1795">
        <v>62.636402218246701</v>
      </c>
      <c r="AL1795">
        <v>98.406606629454103</v>
      </c>
      <c r="AM1795">
        <v>92.321898896743505</v>
      </c>
      <c r="AN1795">
        <v>1.00000001335414</v>
      </c>
    </row>
    <row r="1796" spans="1:40" x14ac:dyDescent="0.25">
      <c r="A1796" t="str">
        <f>"20190305134935200"</f>
        <v>20190305134935200</v>
      </c>
      <c r="B1796" t="str">
        <f>"1551764975192506"</f>
        <v>1551764975192506</v>
      </c>
      <c r="C1796" t="s">
        <v>40</v>
      </c>
      <c r="D1796">
        <v>4.3607639999999996</v>
      </c>
      <c r="E1796">
        <v>0.56509039999999999</v>
      </c>
      <c r="F1796" t="s">
        <v>62</v>
      </c>
      <c r="G1796">
        <v>-193.91200000000001</v>
      </c>
      <c r="H1796" s="1">
        <v>5.4090920000000002E-6</v>
      </c>
      <c r="I1796">
        <v>274.20400000000001</v>
      </c>
      <c r="J1796">
        <v>-192.66220000000001</v>
      </c>
      <c r="K1796">
        <v>1.109197</v>
      </c>
      <c r="L1796">
        <v>334.1232</v>
      </c>
      <c r="M1796">
        <v>9.8478910000000003E-2</v>
      </c>
      <c r="N1796">
        <v>-1.2779159999999999E-2</v>
      </c>
      <c r="O1796">
        <v>-0.99505719999999998</v>
      </c>
      <c r="P1796">
        <v>0.13680200000000001</v>
      </c>
      <c r="Q1796">
        <v>-0.15873329999999999</v>
      </c>
      <c r="R1796">
        <v>-0.97779819999999995</v>
      </c>
      <c r="S1796">
        <v>-6.3095090000000006E-2</v>
      </c>
      <c r="T1796">
        <v>-5.6650039999999999E-2</v>
      </c>
      <c r="U1796">
        <v>-3.0680239999999999</v>
      </c>
      <c r="V1796">
        <v>-3.9960309999999999E-2</v>
      </c>
      <c r="W1796">
        <v>-0.14607970000000001</v>
      </c>
      <c r="X1796">
        <v>0.98846540000000005</v>
      </c>
      <c r="Y1796">
        <v>0.1189031</v>
      </c>
      <c r="Z1796">
        <v>5.4679919999999996E-3</v>
      </c>
      <c r="AA1796">
        <v>0.99289079999999996</v>
      </c>
      <c r="AB1796">
        <v>23</v>
      </c>
      <c r="AC1796">
        <v>-1.24979999999999</v>
      </c>
      <c r="AD1796">
        <v>-1.1091915909079999</v>
      </c>
      <c r="AE1796">
        <v>-59.919199999999897</v>
      </c>
      <c r="AF1796">
        <v>7.1425360964324698</v>
      </c>
      <c r="AG1796">
        <v>-1.1091915909079999</v>
      </c>
      <c r="AH1796">
        <v>59.4844295465196</v>
      </c>
      <c r="AI1796">
        <v>91.060639658986602</v>
      </c>
      <c r="AJ1796">
        <v>83.1530443573577</v>
      </c>
      <c r="AK1796">
        <v>59.921978324726901</v>
      </c>
      <c r="AL1796">
        <v>98.399807421908406</v>
      </c>
      <c r="AM1796">
        <v>92.315013808014399</v>
      </c>
      <c r="AN1796">
        <v>0.99999997606227198</v>
      </c>
    </row>
    <row r="1797" spans="1:40" x14ac:dyDescent="0.25">
      <c r="A1797" t="str">
        <f>"20190305134935219"</f>
        <v>20190305134935219</v>
      </c>
      <c r="B1797" t="str">
        <f>"1551764975212026"</f>
        <v>1551764975212026</v>
      </c>
      <c r="C1797" t="s">
        <v>40</v>
      </c>
      <c r="D1797">
        <v>4.3497510000000004</v>
      </c>
      <c r="E1797">
        <v>0.56471130000000003</v>
      </c>
      <c r="F1797" t="s">
        <v>62</v>
      </c>
      <c r="G1797">
        <v>-193.8827</v>
      </c>
      <c r="H1797" s="1">
        <v>4.9730020000000001E-6</v>
      </c>
      <c r="I1797">
        <v>275.55950000000001</v>
      </c>
      <c r="J1797">
        <v>-192.64320000000001</v>
      </c>
      <c r="K1797">
        <v>1.1092089999999999</v>
      </c>
      <c r="L1797">
        <v>333.92570000000001</v>
      </c>
      <c r="M1797">
        <v>9.7949240000000007E-2</v>
      </c>
      <c r="N1797">
        <v>-1.2861249999999999E-2</v>
      </c>
      <c r="O1797">
        <v>-0.9951084</v>
      </c>
      <c r="P1797">
        <v>0.1362273</v>
      </c>
      <c r="Q1797">
        <v>-0.15849489999999999</v>
      </c>
      <c r="R1797">
        <v>-0.97791700000000004</v>
      </c>
      <c r="S1797">
        <v>-6.3934329999999998E-2</v>
      </c>
      <c r="T1797">
        <v>-5.8100579999999999E-2</v>
      </c>
      <c r="U1797">
        <v>-3.0676269999999999</v>
      </c>
      <c r="V1797">
        <v>-3.9903309999999997E-2</v>
      </c>
      <c r="W1797">
        <v>-0.14575929999999901</v>
      </c>
      <c r="X1797">
        <v>0.98851500000000003</v>
      </c>
      <c r="Y1797">
        <v>0.1186482</v>
      </c>
      <c r="Z1797">
        <v>5.8573000000000002E-3</v>
      </c>
      <c r="AA1797">
        <v>0.99291910000000005</v>
      </c>
      <c r="AB1797">
        <v>23</v>
      </c>
      <c r="AC1797">
        <v>-1.2394999999999901</v>
      </c>
      <c r="AD1797">
        <v>-1.1092040269979999</v>
      </c>
      <c r="AE1797">
        <v>-58.3661999999999</v>
      </c>
      <c r="AF1797">
        <v>6.9484276641319802</v>
      </c>
      <c r="AG1797">
        <v>-1.1092040269979999</v>
      </c>
      <c r="AH1797">
        <v>57.943159046951799</v>
      </c>
      <c r="AI1797">
        <v>91.088877948626703</v>
      </c>
      <c r="AJ1797">
        <v>83.161858272133898</v>
      </c>
      <c r="AK1797">
        <v>58.368832958330898</v>
      </c>
      <c r="AL1797">
        <v>98.381251233561002</v>
      </c>
      <c r="AM1797">
        <v>92.311599354421304</v>
      </c>
      <c r="AN1797">
        <v>0.99999997645522198</v>
      </c>
    </row>
    <row r="1798" spans="1:40" x14ac:dyDescent="0.25">
      <c r="A1798" t="str">
        <f>"20190305134935232"</f>
        <v>20190305134935232</v>
      </c>
      <c r="B1798" t="str">
        <f>"1551764975222762"</f>
        <v>1551764975222762</v>
      </c>
      <c r="C1798" t="s">
        <v>40</v>
      </c>
      <c r="D1798">
        <v>4.3630170000000001</v>
      </c>
      <c r="E1798">
        <v>0.56458739999999996</v>
      </c>
      <c r="F1798" t="s">
        <v>62</v>
      </c>
      <c r="G1798">
        <v>-193.81729999999999</v>
      </c>
      <c r="H1798" s="1">
        <v>4.4262449999999998E-6</v>
      </c>
      <c r="I1798">
        <v>277.1472</v>
      </c>
      <c r="J1798">
        <v>-192.63149999999999</v>
      </c>
      <c r="K1798">
        <v>1.1092089999999999</v>
      </c>
      <c r="L1798">
        <v>333.80239999999998</v>
      </c>
      <c r="M1798">
        <v>9.7610509999999998E-2</v>
      </c>
      <c r="N1798">
        <v>-1.291028E-2</v>
      </c>
      <c r="O1798">
        <v>-0.99514089999999999</v>
      </c>
      <c r="P1798">
        <v>0.1359515</v>
      </c>
      <c r="Q1798">
        <v>-0.15850120000000001</v>
      </c>
      <c r="R1798">
        <v>-0.97795410000000005</v>
      </c>
      <c r="S1798">
        <v>-6.3415529999999998E-2</v>
      </c>
      <c r="T1798">
        <v>-5.9912680000000003E-2</v>
      </c>
      <c r="U1798">
        <v>-3.0668329999999999</v>
      </c>
      <c r="V1798">
        <v>-3.9963419999999999E-2</v>
      </c>
      <c r="W1798">
        <v>-0.1457164</v>
      </c>
      <c r="X1798">
        <v>0.98851900000000004</v>
      </c>
      <c r="Y1798">
        <v>0.11814719999999999</v>
      </c>
      <c r="Z1798">
        <v>6.3990260000000004E-3</v>
      </c>
      <c r="AA1798">
        <v>0.99297550000000001</v>
      </c>
      <c r="AB1798">
        <v>23</v>
      </c>
      <c r="AC1798">
        <v>-1.1858</v>
      </c>
      <c r="AD1798">
        <v>-1.109204573755</v>
      </c>
      <c r="AE1798">
        <v>-56.655199999999901</v>
      </c>
      <c r="AF1798">
        <v>6.7081705238828802</v>
      </c>
      <c r="AG1798">
        <v>-1.109204573755</v>
      </c>
      <c r="AH1798">
        <v>56.2473021643357</v>
      </c>
      <c r="AI1798">
        <v>91.121786647932893</v>
      </c>
      <c r="AJ1798">
        <v>83.198909460691695</v>
      </c>
      <c r="AK1798">
        <v>56.656763826837199</v>
      </c>
      <c r="AL1798">
        <v>98.378765854606598</v>
      </c>
      <c r="AM1798">
        <v>92.315068383994898</v>
      </c>
      <c r="AN1798">
        <v>1.00000007876402</v>
      </c>
    </row>
    <row r="1799" spans="1:40" x14ac:dyDescent="0.25">
      <c r="A1799" t="str">
        <f>"20190305134935244"</f>
        <v>20190305134935244</v>
      </c>
      <c r="B1799" t="str">
        <f>"1551764975242285"</f>
        <v>1551764975242285</v>
      </c>
      <c r="C1799" t="s">
        <v>40</v>
      </c>
      <c r="D1799">
        <v>4.5517909999999997</v>
      </c>
      <c r="E1799">
        <v>0.56495189999999995</v>
      </c>
      <c r="F1799" t="s">
        <v>62</v>
      </c>
      <c r="G1799">
        <v>-193.79230000000001</v>
      </c>
      <c r="H1799" s="1">
        <v>4.1884880000000003E-6</v>
      </c>
      <c r="I1799">
        <v>277.88119999999998</v>
      </c>
      <c r="J1799">
        <v>-192.61969999999999</v>
      </c>
      <c r="K1799">
        <v>1.1091979999999999</v>
      </c>
      <c r="L1799">
        <v>333.67739999999998</v>
      </c>
      <c r="M1799">
        <v>9.7254019999999997E-2</v>
      </c>
      <c r="N1799">
        <v>-1.295787E-2</v>
      </c>
      <c r="O1799">
        <v>-0.99517540000000004</v>
      </c>
      <c r="P1799">
        <v>0.135681</v>
      </c>
      <c r="Q1799">
        <v>-0.15847639999999999</v>
      </c>
      <c r="R1799">
        <v>-0.97799630000000004</v>
      </c>
      <c r="S1799">
        <v>-6.3659670000000002E-2</v>
      </c>
      <c r="T1799">
        <v>-6.0826900000000003E-2</v>
      </c>
      <c r="U1799">
        <v>-3.0666199999999999</v>
      </c>
      <c r="V1799">
        <v>-4.0047770000000003E-2</v>
      </c>
      <c r="W1799">
        <v>-0.1456432</v>
      </c>
      <c r="X1799">
        <v>0.98852629999999997</v>
      </c>
      <c r="Y1799">
        <v>0.117871699999999</v>
      </c>
      <c r="Z1799">
        <v>6.6488669999999897E-3</v>
      </c>
      <c r="AA1799">
        <v>0.99300659999999996</v>
      </c>
      <c r="AB1799">
        <v>23</v>
      </c>
      <c r="AC1799">
        <v>-1.1726000000000101</v>
      </c>
      <c r="AD1799">
        <v>-1.1091938115119999</v>
      </c>
      <c r="AE1799">
        <v>-55.796199999999999</v>
      </c>
      <c r="AF1799">
        <v>6.5912962843810199</v>
      </c>
      <c r="AG1799">
        <v>-1.1091938115119999</v>
      </c>
      <c r="AH1799">
        <v>55.395727036258897</v>
      </c>
      <c r="AI1799">
        <v>91.1390528176766</v>
      </c>
      <c r="AJ1799">
        <v>83.214526709592107</v>
      </c>
      <c r="AK1799">
        <v>55.797509545639201</v>
      </c>
      <c r="AL1799">
        <v>98.374527194761299</v>
      </c>
      <c r="AM1799">
        <v>92.319932306110999</v>
      </c>
      <c r="AN1799">
        <v>1.0000000056899501</v>
      </c>
    </row>
    <row r="1800" spans="1:40" x14ac:dyDescent="0.25">
      <c r="A1800" t="str">
        <f>"20190305134935263"</f>
        <v>20190305134935263</v>
      </c>
      <c r="B1800" t="str">
        <f>"1551764975252042"</f>
        <v>1551764975252042</v>
      </c>
      <c r="C1800" t="s">
        <v>40</v>
      </c>
      <c r="D1800">
        <v>4.5048550000000001</v>
      </c>
      <c r="E1800">
        <v>0.56823889999999999</v>
      </c>
      <c r="F1800" t="s">
        <v>62</v>
      </c>
      <c r="G1800">
        <v>-193.84979999999999</v>
      </c>
      <c r="H1800" s="1">
        <v>4.1232090000000002E-6</v>
      </c>
      <c r="I1800">
        <v>278.08920000000001</v>
      </c>
      <c r="J1800">
        <v>-192.6019</v>
      </c>
      <c r="K1800">
        <v>1.1091759999999999</v>
      </c>
      <c r="L1800">
        <v>333.48930000000001</v>
      </c>
      <c r="M1800">
        <v>9.6689860000000002E-2</v>
      </c>
      <c r="N1800">
        <v>-1.3027270000000001E-2</v>
      </c>
      <c r="O1800">
        <v>-0.99522940000000004</v>
      </c>
      <c r="P1800">
        <v>0.1345797</v>
      </c>
      <c r="Q1800">
        <v>-0.15928779999999901</v>
      </c>
      <c r="R1800">
        <v>-0.97801629999999995</v>
      </c>
      <c r="S1800">
        <v>-6.7871089999999995E-2</v>
      </c>
      <c r="T1800">
        <v>-6.1198000000000002E-2</v>
      </c>
      <c r="U1800">
        <v>-3.066986</v>
      </c>
      <c r="V1800">
        <v>-3.9519220000000001E-2</v>
      </c>
      <c r="W1800">
        <v>-0.1463853</v>
      </c>
      <c r="X1800">
        <v>0.98843800000000004</v>
      </c>
      <c r="Y1800">
        <v>0.1186688</v>
      </c>
      <c r="Z1800">
        <v>6.6963190000000001E-3</v>
      </c>
      <c r="AA1800">
        <v>0.99291130000000005</v>
      </c>
      <c r="AB1800">
        <v>23</v>
      </c>
      <c r="AC1800">
        <v>-1.24789999999998</v>
      </c>
      <c r="AD1800">
        <v>-1.1091718767909999</v>
      </c>
      <c r="AE1800">
        <v>-55.400100000000002</v>
      </c>
      <c r="AF1800">
        <v>6.5964911919314897</v>
      </c>
      <c r="AG1800">
        <v>-1.1091718767909999</v>
      </c>
      <c r="AH1800">
        <v>54.997778062066601</v>
      </c>
      <c r="AI1800">
        <v>91.147140756870598</v>
      </c>
      <c r="AJ1800">
        <v>83.160556308005695</v>
      </c>
      <c r="AK1800">
        <v>55.403064446489203</v>
      </c>
      <c r="AL1800">
        <v>98.417506635109902</v>
      </c>
      <c r="AM1800">
        <v>92.289550958914006</v>
      </c>
      <c r="AN1800">
        <v>1.0000000523247401</v>
      </c>
    </row>
    <row r="1801" spans="1:40" x14ac:dyDescent="0.25">
      <c r="A1801" t="str">
        <f>"20190305134935276"</f>
        <v>20190305134935276</v>
      </c>
      <c r="B1801" t="str">
        <f>"1551764975272538"</f>
        <v>1551764975272538</v>
      </c>
      <c r="C1801" t="s">
        <v>40</v>
      </c>
      <c r="D1801">
        <v>4.4988530000000004</v>
      </c>
      <c r="E1801">
        <v>0.56986079999999995</v>
      </c>
      <c r="F1801" t="s">
        <v>42</v>
      </c>
      <c r="G1801">
        <v>-193.19159999999999</v>
      </c>
      <c r="H1801" s="1">
        <v>-4.4344229999999998E-6</v>
      </c>
      <c r="I1801">
        <v>317.35939999999999</v>
      </c>
      <c r="J1801">
        <v>-192.5899</v>
      </c>
      <c r="K1801">
        <v>1.1091549999999999</v>
      </c>
      <c r="L1801">
        <v>333.36110000000002</v>
      </c>
      <c r="M1801">
        <v>9.6279740000000003E-2</v>
      </c>
      <c r="N1801">
        <v>-1.307269E-2</v>
      </c>
      <c r="O1801">
        <v>-0.9952685</v>
      </c>
      <c r="P1801">
        <v>0.13376379999999999</v>
      </c>
      <c r="Q1801">
        <v>-0.15972990000000001</v>
      </c>
      <c r="R1801">
        <v>-0.97805620000000004</v>
      </c>
      <c r="S1801">
        <v>-0.1114502</v>
      </c>
      <c r="T1801">
        <v>-0.20963670000000001</v>
      </c>
      <c r="U1801">
        <v>-3.048584</v>
      </c>
      <c r="V1801">
        <v>-3.9119109999999999E-2</v>
      </c>
      <c r="W1801">
        <v>-0.1467812</v>
      </c>
      <c r="X1801">
        <v>0.98839520000000003</v>
      </c>
      <c r="Y1801">
        <v>0.13246060000000001</v>
      </c>
      <c r="Z1801">
        <v>5.4729609999999998E-2</v>
      </c>
      <c r="AA1801">
        <v>0.98967609999999995</v>
      </c>
      <c r="AB1801">
        <v>23</v>
      </c>
      <c r="AC1801">
        <v>-0.60169999999999302</v>
      </c>
      <c r="AD1801">
        <v>-1.10915943442299</v>
      </c>
      <c r="AE1801">
        <v>-16.0017</v>
      </c>
      <c r="AF1801">
        <v>2.1294586192463001</v>
      </c>
      <c r="AG1801">
        <v>-1.10915943442299</v>
      </c>
      <c r="AH1801">
        <v>15.793637235446401</v>
      </c>
      <c r="AI1801">
        <v>93.981278710518396</v>
      </c>
      <c r="AJ1801">
        <v>82.321109442866501</v>
      </c>
      <c r="AK1801">
        <v>15.9750995548363</v>
      </c>
      <c r="AL1801">
        <v>98.440437760352594</v>
      </c>
      <c r="AM1801">
        <v>92.266492870045596</v>
      </c>
      <c r="AN1801">
        <v>1.0000000484118301</v>
      </c>
    </row>
    <row r="1802" spans="1:40" x14ac:dyDescent="0.25">
      <c r="A1802" t="str">
        <f>"20190305134935290"</f>
        <v>20190305134935290</v>
      </c>
      <c r="B1802" t="str">
        <f>"1551764975282298"</f>
        <v>1551764975282298</v>
      </c>
      <c r="C1802" t="s">
        <v>40</v>
      </c>
      <c r="D1802">
        <v>4.5187379999999999</v>
      </c>
      <c r="E1802">
        <v>0.56907129999999995</v>
      </c>
      <c r="F1802" t="s">
        <v>42</v>
      </c>
      <c r="G1802">
        <v>-193.2842</v>
      </c>
      <c r="H1802" s="1">
        <v>-4.1407250000000001E-6</v>
      </c>
      <c r="I1802">
        <v>316.55180000000001</v>
      </c>
      <c r="J1802">
        <v>-192.5772</v>
      </c>
      <c r="K1802">
        <v>1.109129</v>
      </c>
      <c r="L1802">
        <v>333.22469999999998</v>
      </c>
      <c r="M1802">
        <v>9.5823530000000004E-2</v>
      </c>
      <c r="N1802">
        <v>-1.311963E-2</v>
      </c>
      <c r="O1802">
        <v>-0.99531190000000003</v>
      </c>
      <c r="P1802">
        <v>0.13274140000000001</v>
      </c>
      <c r="Q1802">
        <v>-0.16011929999999999</v>
      </c>
      <c r="R1802">
        <v>-0.97813170000000005</v>
      </c>
      <c r="S1802">
        <v>-0.1260376</v>
      </c>
      <c r="T1802">
        <v>-0.20136519999999999</v>
      </c>
      <c r="U1802">
        <v>-3.0516969999999999</v>
      </c>
      <c r="V1802">
        <v>-3.8557210000000001E-2</v>
      </c>
      <c r="W1802">
        <v>-0.14712249999999999</v>
      </c>
      <c r="X1802">
        <v>0.98836650000000004</v>
      </c>
      <c r="Y1802">
        <v>0.13669799999999999</v>
      </c>
      <c r="Z1802">
        <v>5.1927500000000001E-2</v>
      </c>
      <c r="AA1802">
        <v>0.98925079999999999</v>
      </c>
      <c r="AB1802">
        <v>23</v>
      </c>
      <c r="AC1802">
        <v>-0.70699999999999297</v>
      </c>
      <c r="AD1802">
        <v>-1.109133140725</v>
      </c>
      <c r="AE1802">
        <v>-16.672899999999899</v>
      </c>
      <c r="AF1802">
        <v>2.2914176066216698</v>
      </c>
      <c r="AG1802">
        <v>-1.109133140725</v>
      </c>
      <c r="AH1802">
        <v>16.455719464537399</v>
      </c>
      <c r="AI1802">
        <v>93.819226220130801</v>
      </c>
      <c r="AJ1802">
        <v>82.072680878303899</v>
      </c>
      <c r="AK1802">
        <v>16.6514706277658</v>
      </c>
      <c r="AL1802">
        <v>98.460207734116395</v>
      </c>
      <c r="AM1802">
        <v>92.234035394407897</v>
      </c>
      <c r="AN1802">
        <v>1.0000000133857401</v>
      </c>
    </row>
    <row r="1803" spans="1:40" x14ac:dyDescent="0.25">
      <c r="A1803" t="str">
        <f>"20190305134935308"</f>
        <v>20190305134935308</v>
      </c>
      <c r="B1803" t="str">
        <f>"1551764975302794"</f>
        <v>1551764975302794</v>
      </c>
      <c r="C1803" t="s">
        <v>40</v>
      </c>
      <c r="D1803">
        <v>4.5017990000000001</v>
      </c>
      <c r="E1803">
        <v>0.56791190000000003</v>
      </c>
      <c r="F1803" t="s">
        <v>41</v>
      </c>
      <c r="G1803">
        <v>-192.6156</v>
      </c>
      <c r="H1803">
        <v>1.0442260000000001</v>
      </c>
      <c r="I1803">
        <v>332.28230000000002</v>
      </c>
      <c r="J1803">
        <v>-192.55940000000001</v>
      </c>
      <c r="K1803">
        <v>1.109073</v>
      </c>
      <c r="L1803">
        <v>333.0308</v>
      </c>
      <c r="M1803">
        <v>9.5109050000000001E-2</v>
      </c>
      <c r="N1803">
        <v>-1.3181109999999999E-2</v>
      </c>
      <c r="O1803">
        <v>-0.99537949999999997</v>
      </c>
      <c r="P1803">
        <v>0.13105240000000001</v>
      </c>
      <c r="Q1803">
        <v>-0.16074479999999999</v>
      </c>
      <c r="R1803">
        <v>-0.97825700000000004</v>
      </c>
      <c r="S1803">
        <v>-0.1237335</v>
      </c>
      <c r="T1803">
        <v>-0.21014820000000001</v>
      </c>
      <c r="U1803">
        <v>-3.0494690000000002</v>
      </c>
      <c r="V1803">
        <v>-3.759117E-2</v>
      </c>
      <c r="W1803">
        <v>-0.14768419999999999</v>
      </c>
      <c r="X1803">
        <v>0.98831990000000003</v>
      </c>
      <c r="Y1803">
        <v>0.13526199999999999</v>
      </c>
      <c r="Z1803">
        <v>5.4757390000000003E-2</v>
      </c>
      <c r="AA1803">
        <v>0.98929560000000005</v>
      </c>
      <c r="AB1803">
        <v>23</v>
      </c>
      <c r="AC1803">
        <v>-5.61999999999898E-2</v>
      </c>
      <c r="AD1803">
        <v>-6.4846999999999794E-2</v>
      </c>
      <c r="AE1803">
        <v>-0.74849999999997796</v>
      </c>
      <c r="AF1803">
        <v>0.12619859880687401</v>
      </c>
      <c r="AG1803">
        <v>-6.4846999999999794E-2</v>
      </c>
      <c r="AH1803">
        <v>0.73428030489759899</v>
      </c>
      <c r="AI1803">
        <v>94.974349582727797</v>
      </c>
      <c r="AJ1803">
        <v>80.248016813610406</v>
      </c>
      <c r="AK1803">
        <v>0.74786281222583195</v>
      </c>
      <c r="AL1803">
        <v>98.4927465639161</v>
      </c>
      <c r="AM1803">
        <v>92.178219472757206</v>
      </c>
      <c r="AN1803">
        <v>0.99999997186380896</v>
      </c>
    </row>
    <row r="1804" spans="1:40" x14ac:dyDescent="0.25">
      <c r="A1804" t="str">
        <f>"20190305134935333"</f>
        <v>20190305134935333</v>
      </c>
      <c r="B1804" t="str">
        <f>"1551764975322314"</f>
        <v>1551764975322314</v>
      </c>
      <c r="C1804" t="s">
        <v>40</v>
      </c>
      <c r="D1804">
        <v>4.2408989999999998</v>
      </c>
      <c r="E1804">
        <v>0.58382880000000004</v>
      </c>
      <c r="F1804" t="s">
        <v>42</v>
      </c>
      <c r="G1804">
        <v>-193.16560000000001</v>
      </c>
      <c r="H1804" s="1">
        <v>-4.5649750000000003E-6</v>
      </c>
      <c r="I1804">
        <v>317.71129999999999</v>
      </c>
      <c r="J1804">
        <v>-192.53819999999999</v>
      </c>
      <c r="K1804">
        <v>1.109005</v>
      </c>
      <c r="L1804">
        <v>332.79750000000001</v>
      </c>
      <c r="M1804">
        <v>9.4156760000000006E-2</v>
      </c>
      <c r="N1804">
        <v>-1.324695E-2</v>
      </c>
      <c r="O1804">
        <v>-0.99546950000000001</v>
      </c>
      <c r="P1804">
        <v>0.12892709999999999</v>
      </c>
      <c r="Q1804">
        <v>-0.16057539999999901</v>
      </c>
      <c r="R1804">
        <v>-0.97856730000000003</v>
      </c>
      <c r="S1804">
        <v>-0.120575</v>
      </c>
      <c r="T1804">
        <v>-0.22056290000000001</v>
      </c>
      <c r="U1804">
        <v>-3.0466000000000002</v>
      </c>
      <c r="V1804">
        <v>-3.6414290000000002E-2</v>
      </c>
      <c r="W1804">
        <v>-0.1474442</v>
      </c>
      <c r="X1804">
        <v>0.98839980000000005</v>
      </c>
      <c r="Y1804">
        <v>0.13331760000000001</v>
      </c>
      <c r="Z1804">
        <v>5.813277E-2</v>
      </c>
      <c r="AA1804">
        <v>0.98936690000000005</v>
      </c>
      <c r="AB1804">
        <v>23</v>
      </c>
      <c r="AC1804">
        <v>-0.62740000000002205</v>
      </c>
      <c r="AD1804">
        <v>-1.109009564975</v>
      </c>
      <c r="AE1804">
        <v>-15.0862</v>
      </c>
      <c r="AF1804">
        <v>2.03423033122372</v>
      </c>
      <c r="AG1804">
        <v>-1.109009564975</v>
      </c>
      <c r="AH1804">
        <v>14.8798160627765</v>
      </c>
      <c r="AI1804">
        <v>94.2232990874123</v>
      </c>
      <c r="AJ1804">
        <v>82.215311636962198</v>
      </c>
      <c r="AK1804">
        <v>15.0591142275281</v>
      </c>
      <c r="AL1804">
        <v>98.478843313074506</v>
      </c>
      <c r="AM1804">
        <v>92.109917407156601</v>
      </c>
      <c r="AN1804">
        <v>0.99999997863494094</v>
      </c>
    </row>
    <row r="1805" spans="1:40" x14ac:dyDescent="0.25">
      <c r="A1805" t="str">
        <f>"20190305134935354"</f>
        <v>20190305134935354</v>
      </c>
      <c r="B1805" t="str">
        <f>"1551764975342810"</f>
        <v>1551764975342810</v>
      </c>
      <c r="C1805" t="s">
        <v>40</v>
      </c>
      <c r="D1805">
        <v>4.5577579999999998</v>
      </c>
      <c r="E1805">
        <v>0.58484599999999998</v>
      </c>
      <c r="F1805" t="s">
        <v>68</v>
      </c>
      <c r="G1805">
        <v>-214.38759999999999</v>
      </c>
      <c r="H1805">
        <v>46.779789999999998</v>
      </c>
      <c r="I1805">
        <v>-20.9605</v>
      </c>
      <c r="J1805">
        <v>-192.51910000000001</v>
      </c>
      <c r="K1805">
        <v>1.1089469999999999</v>
      </c>
      <c r="L1805">
        <v>332.5838</v>
      </c>
      <c r="M1805">
        <v>9.3186099999999994E-2</v>
      </c>
      <c r="N1805">
        <v>-1.330022E-2</v>
      </c>
      <c r="O1805">
        <v>-0.99556009999999995</v>
      </c>
      <c r="P1805">
        <v>0.1266553</v>
      </c>
      <c r="Q1805">
        <v>-0.16060769999999999</v>
      </c>
      <c r="R1805">
        <v>-0.97885860000000002</v>
      </c>
      <c r="S1805">
        <v>-0.1950684</v>
      </c>
      <c r="T1805">
        <v>0.40774139999999998</v>
      </c>
      <c r="U1805">
        <v>-3.1582949999999999</v>
      </c>
      <c r="V1805">
        <v>-3.511123E-2</v>
      </c>
      <c r="W1805">
        <v>-0.1474193</v>
      </c>
      <c r="X1805">
        <v>0.98845070000000002</v>
      </c>
      <c r="Y1805">
        <v>0.15390309999999999</v>
      </c>
      <c r="Z1805">
        <v>-0.13953940000000001</v>
      </c>
      <c r="AA1805">
        <v>0.97818329999999998</v>
      </c>
      <c r="AB1805">
        <v>22</v>
      </c>
      <c r="AC1805">
        <v>-21.868499999999901</v>
      </c>
      <c r="AD1805">
        <v>45.670842999999998</v>
      </c>
      <c r="AE1805">
        <v>-353.54430000000002</v>
      </c>
      <c r="AF1805">
        <v>53.826838330985701</v>
      </c>
      <c r="AG1805">
        <v>45.670842999999998</v>
      </c>
      <c r="AH1805">
        <v>344.24495312526</v>
      </c>
      <c r="AI1805">
        <v>82.532418231883</v>
      </c>
      <c r="AJ1805">
        <v>81.113075306210803</v>
      </c>
      <c r="AK1805">
        <v>351.40822724753201</v>
      </c>
      <c r="AL1805">
        <v>98.477400554509501</v>
      </c>
      <c r="AM1805">
        <v>92.034375429476995</v>
      </c>
      <c r="AN1805">
        <v>1.0000000174075401</v>
      </c>
    </row>
    <row r="1806" spans="1:40" x14ac:dyDescent="0.25">
      <c r="A1806" t="str">
        <f>"20190305134935371"</f>
        <v>20190305134935371</v>
      </c>
      <c r="B1806" t="str">
        <f>"1551764975362330"</f>
        <v>1551764975362330</v>
      </c>
      <c r="C1806" t="s">
        <v>40</v>
      </c>
      <c r="D1806">
        <v>4.2399849999999999</v>
      </c>
      <c r="E1806">
        <v>0.56374179999999996</v>
      </c>
      <c r="F1806" t="s">
        <v>63</v>
      </c>
      <c r="G1806">
        <v>-211.90889999999999</v>
      </c>
      <c r="H1806">
        <v>38.969729999999998</v>
      </c>
      <c r="I1806">
        <v>41.546010000000003</v>
      </c>
      <c r="J1806">
        <v>-192.5042</v>
      </c>
      <c r="K1806">
        <v>1.1088990000000001</v>
      </c>
      <c r="L1806">
        <v>332.41489999999999</v>
      </c>
      <c r="M1806">
        <v>9.2361289999999999E-2</v>
      </c>
      <c r="N1806">
        <v>-1.3338610000000001E-2</v>
      </c>
      <c r="O1806">
        <v>-0.99563630000000003</v>
      </c>
      <c r="P1806">
        <v>0.1251758</v>
      </c>
      <c r="Q1806">
        <v>-0.1606234</v>
      </c>
      <c r="R1806">
        <v>-0.97904619999999998</v>
      </c>
      <c r="S1806">
        <v>-0.21049499999999999</v>
      </c>
      <c r="T1806">
        <v>0.41101379999999998</v>
      </c>
      <c r="U1806">
        <v>-3.1594850000000001</v>
      </c>
      <c r="V1806">
        <v>-3.4456210000000001E-2</v>
      </c>
      <c r="W1806">
        <v>-0.14739340000000001</v>
      </c>
      <c r="X1806">
        <v>0.98847759999999996</v>
      </c>
      <c r="Y1806">
        <v>0.15781249999999999</v>
      </c>
      <c r="Z1806">
        <v>-0.14048369999999999</v>
      </c>
      <c r="AA1806">
        <v>0.97742490000000004</v>
      </c>
      <c r="AB1806">
        <v>22</v>
      </c>
      <c r="AC1806">
        <v>-19.404699999999899</v>
      </c>
      <c r="AD1806">
        <v>37.860830999999997</v>
      </c>
      <c r="AE1806">
        <v>-290.86889000000002</v>
      </c>
      <c r="AF1806">
        <v>45.422971540929403</v>
      </c>
      <c r="AG1806">
        <v>37.860830999999997</v>
      </c>
      <c r="AH1806">
        <v>283.05840624558601</v>
      </c>
      <c r="AI1806">
        <v>82.476678267227697</v>
      </c>
      <c r="AJ1806">
        <v>80.883351916513305</v>
      </c>
      <c r="AK1806">
        <v>289.16906856354802</v>
      </c>
      <c r="AL1806">
        <v>98.475900307964196</v>
      </c>
      <c r="AM1806">
        <v>91.996399714221099</v>
      </c>
      <c r="AN1806">
        <v>1.0000000052364399</v>
      </c>
    </row>
    <row r="1807" spans="1:40" x14ac:dyDescent="0.25">
      <c r="A1807" t="str">
        <f>"20190305134935386"</f>
        <v>20190305134935386</v>
      </c>
      <c r="B1807" t="str">
        <f>"1551764975382827"</f>
        <v>1551764975382827</v>
      </c>
      <c r="C1807" t="s">
        <v>40</v>
      </c>
      <c r="D1807">
        <v>4.5471079999999997</v>
      </c>
      <c r="E1807">
        <v>0.56236280000000005</v>
      </c>
      <c r="F1807" t="s">
        <v>41</v>
      </c>
      <c r="G1807">
        <v>-192.5369</v>
      </c>
      <c r="H1807">
        <v>1.0374620000000001</v>
      </c>
      <c r="I1807">
        <v>331.49059999999997</v>
      </c>
      <c r="J1807">
        <v>-192.49</v>
      </c>
      <c r="K1807">
        <v>1.10886</v>
      </c>
      <c r="L1807">
        <v>332.25199999999899</v>
      </c>
      <c r="M1807">
        <v>9.15078E-2</v>
      </c>
      <c r="N1807">
        <v>-1.337167E-2</v>
      </c>
      <c r="O1807">
        <v>-0.99571480000000001</v>
      </c>
      <c r="P1807">
        <v>0.12314020000000001</v>
      </c>
      <c r="Q1807">
        <v>-0.16023189999999901</v>
      </c>
      <c r="R1807">
        <v>-0.97936860000000003</v>
      </c>
      <c r="S1807">
        <v>-0.10743709999999999</v>
      </c>
      <c r="T1807">
        <v>-0.2349203</v>
      </c>
      <c r="U1807">
        <v>-3.0393979999999998</v>
      </c>
      <c r="V1807">
        <v>-3.3261110000000003E-2</v>
      </c>
      <c r="W1807">
        <v>-0.14696619999999999</v>
      </c>
      <c r="X1807">
        <v>0.98858210000000002</v>
      </c>
      <c r="Y1807">
        <v>0.12648869999999901</v>
      </c>
      <c r="Z1807">
        <v>6.2883380000000003E-2</v>
      </c>
      <c r="AA1807">
        <v>0.98997290000000004</v>
      </c>
      <c r="AB1807">
        <v>22</v>
      </c>
      <c r="AC1807">
        <v>-4.6899999999993697E-2</v>
      </c>
      <c r="AD1807">
        <v>-7.1397999999999795E-2</v>
      </c>
      <c r="AE1807">
        <v>-0.76139999999997998</v>
      </c>
      <c r="AF1807">
        <v>0.11537278265491099</v>
      </c>
      <c r="AG1807">
        <v>-7.1397999999999795E-2</v>
      </c>
      <c r="AH1807">
        <v>0.74736588133592996</v>
      </c>
      <c r="AI1807">
        <v>95.393563644088601</v>
      </c>
      <c r="AJ1807">
        <v>81.224376708155901</v>
      </c>
      <c r="AK1807">
        <v>0.75958167037295499</v>
      </c>
      <c r="AL1807">
        <v>98.451154384415801</v>
      </c>
      <c r="AM1807">
        <v>91.927004968229696</v>
      </c>
      <c r="AN1807">
        <v>0.99999996691063997</v>
      </c>
    </row>
    <row r="1808" spans="1:40" x14ac:dyDescent="0.25">
      <c r="A1808" t="str">
        <f>"20190305134935400"</f>
        <v>20190305134935400</v>
      </c>
      <c r="B1808" t="str">
        <f>"1551764975392587"</f>
        <v>1551764975392587</v>
      </c>
      <c r="C1808" t="s">
        <v>40</v>
      </c>
      <c r="D1808">
        <v>4.280367</v>
      </c>
      <c r="E1808">
        <v>0.56236280000000005</v>
      </c>
      <c r="F1808" t="s">
        <v>41</v>
      </c>
      <c r="G1808">
        <v>-192.5164</v>
      </c>
      <c r="H1808">
        <v>1.0466439999999999</v>
      </c>
      <c r="I1808">
        <v>331.48649999999998</v>
      </c>
      <c r="J1808">
        <v>-192.47880000000001</v>
      </c>
      <c r="K1808">
        <v>1.108827</v>
      </c>
      <c r="L1808">
        <v>332.12119999999999</v>
      </c>
      <c r="M1808">
        <v>9.0781780000000006E-2</v>
      </c>
      <c r="N1808">
        <v>-1.339592E-2</v>
      </c>
      <c r="O1808">
        <v>-0.99578080000000002</v>
      </c>
      <c r="P1808">
        <v>0.1217259</v>
      </c>
      <c r="Q1808">
        <v>-0.16011909999999999</v>
      </c>
      <c r="R1808">
        <v>-0.97956359999999998</v>
      </c>
      <c r="S1808">
        <v>-0.1042328</v>
      </c>
      <c r="T1808">
        <v>-0.24679889999999999</v>
      </c>
      <c r="U1808">
        <v>-3.0359500000000001</v>
      </c>
      <c r="V1808">
        <v>-3.2566949999999997E-2</v>
      </c>
      <c r="W1808">
        <v>-0.1468274</v>
      </c>
      <c r="X1808">
        <v>0.98862589999999995</v>
      </c>
      <c r="Y1808">
        <v>0.1247501</v>
      </c>
      <c r="Z1808">
        <v>6.6803189999999998E-2</v>
      </c>
      <c r="AA1808">
        <v>0.98993679999999995</v>
      </c>
      <c r="AB1808">
        <v>22</v>
      </c>
      <c r="AC1808">
        <v>-3.7599999999997601E-2</v>
      </c>
      <c r="AD1808">
        <v>-6.2182999999999801E-2</v>
      </c>
      <c r="AE1808">
        <v>-0.63470000000000903</v>
      </c>
      <c r="AF1808">
        <v>9.41683554681262E-2</v>
      </c>
      <c r="AG1808">
        <v>-6.2182999999999801E-2</v>
      </c>
      <c r="AH1808">
        <v>0.62270882215245604</v>
      </c>
      <c r="AI1808">
        <v>95.638894806002199</v>
      </c>
      <c r="AJ1808">
        <v>81.400674608753107</v>
      </c>
      <c r="AK1808">
        <v>0.63285123200249105</v>
      </c>
      <c r="AL1808">
        <v>98.443113967885907</v>
      </c>
      <c r="AM1808">
        <v>91.886734183554097</v>
      </c>
      <c r="AN1808">
        <v>1.0000000308869299</v>
      </c>
    </row>
    <row r="1809" spans="1:40" x14ac:dyDescent="0.25">
      <c r="A1809" t="str">
        <f>"20190305134935414"</f>
        <v>20190305134935414</v>
      </c>
      <c r="B1809" t="str">
        <f>"1551764975402347"</f>
        <v>1551764975402347</v>
      </c>
      <c r="C1809" t="s">
        <v>40</v>
      </c>
      <c r="D1809">
        <v>4.3295029999999999</v>
      </c>
      <c r="E1809">
        <v>0.5792583</v>
      </c>
      <c r="F1809" t="s">
        <v>41</v>
      </c>
      <c r="G1809">
        <v>-192.5086</v>
      </c>
      <c r="H1809">
        <v>1.0413680000000001</v>
      </c>
      <c r="I1809">
        <v>331.2903</v>
      </c>
      <c r="J1809">
        <v>-192.46709999999999</v>
      </c>
      <c r="K1809">
        <v>1.1087959999999999</v>
      </c>
      <c r="L1809">
        <v>331.98340000000002</v>
      </c>
      <c r="M1809">
        <v>8.9990089999999995E-2</v>
      </c>
      <c r="N1809">
        <v>-1.341998E-2</v>
      </c>
      <c r="O1809">
        <v>-0.99585219999999997</v>
      </c>
      <c r="P1809">
        <v>0.120197</v>
      </c>
      <c r="Q1809">
        <v>-0.1598627</v>
      </c>
      <c r="R1809">
        <v>-0.97979450000000001</v>
      </c>
      <c r="S1809">
        <v>-0.1086273</v>
      </c>
      <c r="T1809">
        <v>-0.24659110000000001</v>
      </c>
      <c r="U1809">
        <v>-3.035736</v>
      </c>
      <c r="V1809">
        <v>-3.1819689999999998E-2</v>
      </c>
      <c r="W1809">
        <v>-0.14654489999999901</v>
      </c>
      <c r="X1809">
        <v>0.98869209999999996</v>
      </c>
      <c r="Y1809">
        <v>0.12539459999999999</v>
      </c>
      <c r="Z1809">
        <v>6.6720310000000005E-2</v>
      </c>
      <c r="AA1809">
        <v>0.98986090000000004</v>
      </c>
      <c r="AB1809">
        <v>22</v>
      </c>
      <c r="AC1809">
        <v>-4.1500000000013401E-2</v>
      </c>
      <c r="AD1809">
        <v>-6.7427999999999794E-2</v>
      </c>
      <c r="AE1809">
        <v>-0.69310000000001504</v>
      </c>
      <c r="AF1809">
        <v>0.10274044784728401</v>
      </c>
      <c r="AG1809">
        <v>-6.7427999999999794E-2</v>
      </c>
      <c r="AH1809">
        <v>0.68013838278499095</v>
      </c>
      <c r="AI1809">
        <v>95.598620225764506</v>
      </c>
      <c r="AJ1809">
        <v>81.409950022197194</v>
      </c>
      <c r="AK1809">
        <v>0.69115147004491195</v>
      </c>
      <c r="AL1809">
        <v>98.426751306607599</v>
      </c>
      <c r="AM1809">
        <v>91.843349284215705</v>
      </c>
      <c r="AN1809">
        <v>0.999999984495057</v>
      </c>
    </row>
    <row r="1810" spans="1:40" x14ac:dyDescent="0.25">
      <c r="A1810" t="str">
        <f>"20190305134935433"</f>
        <v>20190305134935433</v>
      </c>
      <c r="B1810" t="str">
        <f>"1551764975422842"</f>
        <v>1551764975422842</v>
      </c>
      <c r="C1810" t="s">
        <v>40</v>
      </c>
      <c r="D1810">
        <v>4.5182849999999997</v>
      </c>
      <c r="E1810">
        <v>0.5761191</v>
      </c>
      <c r="F1810" t="s">
        <v>68</v>
      </c>
      <c r="G1810">
        <v>-213.6798</v>
      </c>
      <c r="H1810">
        <v>46.801879999999997</v>
      </c>
      <c r="I1810">
        <v>-20.960509999999999</v>
      </c>
      <c r="J1810">
        <v>-192.45140000000001</v>
      </c>
      <c r="K1810">
        <v>1.108749</v>
      </c>
      <c r="L1810">
        <v>331.79559999999998</v>
      </c>
      <c r="M1810">
        <v>8.8848780000000002E-2</v>
      </c>
      <c r="N1810">
        <v>-1.3449630000000001E-2</v>
      </c>
      <c r="O1810">
        <v>-0.99595420000000001</v>
      </c>
      <c r="P1810">
        <v>0.11771810000000001</v>
      </c>
      <c r="Q1810">
        <v>-0.1590569</v>
      </c>
      <c r="R1810">
        <v>-0.98022619999999905</v>
      </c>
      <c r="S1810">
        <v>-0.1894226</v>
      </c>
      <c r="T1810">
        <v>0.4080241</v>
      </c>
      <c r="U1810">
        <v>-3.151672</v>
      </c>
      <c r="V1810">
        <v>-3.045863E-2</v>
      </c>
      <c r="W1810">
        <v>-0.14570669999999999</v>
      </c>
      <c r="X1810">
        <v>0.98885880000000004</v>
      </c>
      <c r="Y1810">
        <v>0.14796999999999999</v>
      </c>
      <c r="Z1810">
        <v>-0.1401724</v>
      </c>
      <c r="AA1810">
        <v>0.97900799999999999</v>
      </c>
      <c r="AB1810">
        <v>22</v>
      </c>
      <c r="AC1810">
        <v>-21.228399999999901</v>
      </c>
      <c r="AD1810">
        <v>45.693131000000001</v>
      </c>
      <c r="AE1810">
        <v>-352.75610999999998</v>
      </c>
      <c r="AF1810">
        <v>51.626135233070599</v>
      </c>
      <c r="AG1810">
        <v>45.693131000000001</v>
      </c>
      <c r="AH1810">
        <v>343.72803752220801</v>
      </c>
      <c r="AI1810">
        <v>82.510871328170794</v>
      </c>
      <c r="AJ1810">
        <v>81.458323750541297</v>
      </c>
      <c r="AK1810">
        <v>350.57393491038999</v>
      </c>
      <c r="AL1810">
        <v>98.378205189571901</v>
      </c>
      <c r="AM1810">
        <v>91.764255279160196</v>
      </c>
      <c r="AN1810">
        <v>0.99999994845190199</v>
      </c>
    </row>
    <row r="1811" spans="1:40" x14ac:dyDescent="0.25">
      <c r="A1811" t="str">
        <f>"20190305134935454"</f>
        <v>20190305134935454</v>
      </c>
      <c r="B1811" t="str">
        <f>"1551764975442362"</f>
        <v>1551764975442362</v>
      </c>
      <c r="C1811" t="s">
        <v>40</v>
      </c>
      <c r="D1811">
        <v>4.2762969999999996</v>
      </c>
      <c r="E1811">
        <v>0.57709880000000002</v>
      </c>
      <c r="F1811" t="s">
        <v>68</v>
      </c>
      <c r="G1811">
        <v>-212.02109999999999</v>
      </c>
      <c r="H1811">
        <v>45.050919999999998</v>
      </c>
      <c r="I1811">
        <v>-20.64649</v>
      </c>
      <c r="J1811">
        <v>-192.43440000000001</v>
      </c>
      <c r="K1811">
        <v>1.108697</v>
      </c>
      <c r="L1811">
        <v>331.58769999999998</v>
      </c>
      <c r="M1811">
        <v>8.7517220000000007E-2</v>
      </c>
      <c r="N1811">
        <v>-1.347837E-2</v>
      </c>
      <c r="O1811">
        <v>-0.99607190000000001</v>
      </c>
      <c r="P1811">
        <v>0.1148203</v>
      </c>
      <c r="Q1811">
        <v>-0.15918869999999999</v>
      </c>
      <c r="R1811">
        <v>-0.98054859999999999</v>
      </c>
      <c r="S1811">
        <v>-0.17463679999999901</v>
      </c>
      <c r="T1811">
        <v>0.39213340000000002</v>
      </c>
      <c r="U1811">
        <v>-3.1451419999999999</v>
      </c>
      <c r="V1811">
        <v>-2.8880900000000001E-2</v>
      </c>
      <c r="W1811">
        <v>-0.14580960000000001</v>
      </c>
      <c r="X1811">
        <v>0.98889099999999996</v>
      </c>
      <c r="Y1811">
        <v>0.14220659999999999</v>
      </c>
      <c r="Z1811">
        <v>-0.13568359999999999</v>
      </c>
      <c r="AA1811">
        <v>0.98049339999999996</v>
      </c>
      <c r="AB1811">
        <v>22</v>
      </c>
      <c r="AC1811">
        <v>-19.586699999999901</v>
      </c>
      <c r="AD1811">
        <v>43.942222999999998</v>
      </c>
      <c r="AE1811">
        <v>-352.23419000000001</v>
      </c>
      <c r="AF1811">
        <v>49.5717665105132</v>
      </c>
      <c r="AG1811">
        <v>43.942222999999998</v>
      </c>
      <c r="AH1811">
        <v>343.83341598731101</v>
      </c>
      <c r="AI1811">
        <v>82.790771327765199</v>
      </c>
      <c r="AJ1811">
        <v>81.795981786728603</v>
      </c>
      <c r="AK1811">
        <v>350.15667485663897</v>
      </c>
      <c r="AL1811">
        <v>98.384164321950394</v>
      </c>
      <c r="AM1811">
        <v>91.672867327147003</v>
      </c>
      <c r="AN1811">
        <v>0.99999997785898398</v>
      </c>
    </row>
    <row r="1812" spans="1:40" x14ac:dyDescent="0.25">
      <c r="A1812" t="str">
        <f>"20190305134935477"</f>
        <v>20190305134935477</v>
      </c>
      <c r="B1812" t="str">
        <f>"1551764975472618"</f>
        <v>1551764975472618</v>
      </c>
      <c r="C1812" t="s">
        <v>40</v>
      </c>
      <c r="D1812">
        <v>4.4004719999999997</v>
      </c>
      <c r="E1812">
        <v>0.58564649999999996</v>
      </c>
      <c r="F1812" t="s">
        <v>68</v>
      </c>
      <c r="G1812">
        <v>-213.9477</v>
      </c>
      <c r="H1812">
        <v>45.375500000000002</v>
      </c>
      <c r="I1812">
        <v>-20.96003</v>
      </c>
      <c r="J1812">
        <v>-192.41560000000001</v>
      </c>
      <c r="K1812">
        <v>1.108649</v>
      </c>
      <c r="L1812">
        <v>331.35359999999997</v>
      </c>
      <c r="M1812">
        <v>8.595411E-2</v>
      </c>
      <c r="N1812">
        <v>-1.350645E-2</v>
      </c>
      <c r="O1812">
        <v>-0.99620779999999998</v>
      </c>
      <c r="P1812">
        <v>0.112023</v>
      </c>
      <c r="Q1812">
        <v>-0.1597721</v>
      </c>
      <c r="R1812">
        <v>-0.98077729999999996</v>
      </c>
      <c r="S1812">
        <v>-0.19198609999999999</v>
      </c>
      <c r="T1812">
        <v>0.39503840000000001</v>
      </c>
      <c r="U1812">
        <v>-3.1461489999999999</v>
      </c>
      <c r="V1812">
        <v>-2.7639380000000002E-2</v>
      </c>
      <c r="W1812">
        <v>-0.14636579999999999</v>
      </c>
      <c r="X1812">
        <v>0.98884430000000001</v>
      </c>
      <c r="Y1812">
        <v>0.14602029999999999</v>
      </c>
      <c r="Z1812">
        <v>-0.13653689999999999</v>
      </c>
      <c r="AA1812">
        <v>0.97981419999999997</v>
      </c>
      <c r="AB1812">
        <v>22</v>
      </c>
      <c r="AC1812">
        <v>-21.5320999999999</v>
      </c>
      <c r="AD1812">
        <v>44.266851000000003</v>
      </c>
      <c r="AE1812">
        <v>-352.31362999999999</v>
      </c>
      <c r="AF1812">
        <v>50.936811809626299</v>
      </c>
      <c r="AG1812">
        <v>44.266851000000003</v>
      </c>
      <c r="AH1812">
        <v>343.751970849082</v>
      </c>
      <c r="AI1812">
        <v>82.7404946456885</v>
      </c>
      <c r="AJ1812">
        <v>81.571303141127402</v>
      </c>
      <c r="AK1812">
        <v>350.31347441600502</v>
      </c>
      <c r="AL1812">
        <v>98.416377932661803</v>
      </c>
      <c r="AM1812">
        <v>91.601068645877007</v>
      </c>
      <c r="AN1812">
        <v>0.99999996618945597</v>
      </c>
    </row>
    <row r="1813" spans="1:40" x14ac:dyDescent="0.25">
      <c r="A1813" t="str">
        <f>"20190305134935499"</f>
        <v>20190305134935499</v>
      </c>
      <c r="B1813" t="str">
        <f>"1551764975492138"</f>
        <v>1551764975492138</v>
      </c>
      <c r="C1813" t="s">
        <v>40</v>
      </c>
      <c r="D1813">
        <v>4.3059949999999896</v>
      </c>
      <c r="E1813">
        <v>0.59283759999999996</v>
      </c>
      <c r="F1813" t="s">
        <v>63</v>
      </c>
      <c r="G1813">
        <v>-212.03559999999999</v>
      </c>
      <c r="H1813">
        <v>33.04927</v>
      </c>
      <c r="I1813">
        <v>98.375470000000007</v>
      </c>
      <c r="J1813">
        <v>-192.39859999999999</v>
      </c>
      <c r="K1813">
        <v>1.108619</v>
      </c>
      <c r="L1813">
        <v>331.13569999999999</v>
      </c>
      <c r="M1813">
        <v>8.4455219999999998E-2</v>
      </c>
      <c r="N1813">
        <v>-1.3528790000000001E-2</v>
      </c>
      <c r="O1813">
        <v>-0.99633539999999998</v>
      </c>
      <c r="P1813">
        <v>0.1095387</v>
      </c>
      <c r="Q1813">
        <v>-0.16046170000000001</v>
      </c>
      <c r="R1813">
        <v>-0.98094510000000001</v>
      </c>
      <c r="S1813">
        <v>-0.266098</v>
      </c>
      <c r="T1813">
        <v>0.43319829999999998</v>
      </c>
      <c r="U1813">
        <v>-3.1597900000000001</v>
      </c>
      <c r="V1813">
        <v>-2.6646030000000001E-2</v>
      </c>
      <c r="W1813">
        <v>-0.1470349</v>
      </c>
      <c r="X1813">
        <v>0.98877230000000005</v>
      </c>
      <c r="Y1813">
        <v>0.16699620000000001</v>
      </c>
      <c r="Z1813">
        <v>-0.14734990000000001</v>
      </c>
      <c r="AA1813">
        <v>0.97488470000000005</v>
      </c>
      <c r="AB1813">
        <v>22</v>
      </c>
      <c r="AC1813">
        <v>-19.637</v>
      </c>
      <c r="AD1813">
        <v>31.940650999999999</v>
      </c>
      <c r="AE1813">
        <v>-232.76023000000001</v>
      </c>
      <c r="AF1813">
        <v>38.506460849465398</v>
      </c>
      <c r="AG1813">
        <v>31.940650999999999</v>
      </c>
      <c r="AH1813">
        <v>226.04338334192201</v>
      </c>
      <c r="AI1813">
        <v>82.069925315090302</v>
      </c>
      <c r="AJ1813">
        <v>80.332472824476596</v>
      </c>
      <c r="AK1813">
        <v>231.513636458241</v>
      </c>
      <c r="AL1813">
        <v>98.455133835052195</v>
      </c>
      <c r="AM1813">
        <v>91.543667477886899</v>
      </c>
      <c r="AN1813">
        <v>0.99999996699002902</v>
      </c>
    </row>
    <row r="1814" spans="1:40" x14ac:dyDescent="0.25">
      <c r="A1814" t="str">
        <f>"20190305134935512"</f>
        <v>20190305134935512</v>
      </c>
      <c r="B1814" t="str">
        <f>"1551764975502874"</f>
        <v>1551764975502874</v>
      </c>
      <c r="C1814" t="s">
        <v>40</v>
      </c>
      <c r="D1814">
        <v>4.2913969999999999</v>
      </c>
      <c r="E1814">
        <v>0.59571450000000004</v>
      </c>
      <c r="F1814" t="s">
        <v>63</v>
      </c>
      <c r="G1814">
        <v>-216.87200000000001</v>
      </c>
      <c r="H1814">
        <v>33.468779999999903</v>
      </c>
      <c r="I1814">
        <v>97.150030000000001</v>
      </c>
      <c r="J1814">
        <v>-192.3886</v>
      </c>
      <c r="K1814">
        <v>1.108609</v>
      </c>
      <c r="L1814">
        <v>331.00549999999998</v>
      </c>
      <c r="M1814">
        <v>8.3545419999999995E-2</v>
      </c>
      <c r="N1814">
        <v>-1.3540679999999999E-2</v>
      </c>
      <c r="O1814">
        <v>-0.99641199999999996</v>
      </c>
      <c r="P1814">
        <v>0.10797519999999999</v>
      </c>
      <c r="Q1814">
        <v>-0.16044449999999999</v>
      </c>
      <c r="R1814">
        <v>-0.98112109999999997</v>
      </c>
      <c r="S1814">
        <v>-0.33123780000000003</v>
      </c>
      <c r="T1814">
        <v>0.43798179999999998</v>
      </c>
      <c r="U1814">
        <v>-3.1669010000000002</v>
      </c>
      <c r="V1814">
        <v>-2.5978040000000001E-2</v>
      </c>
      <c r="W1814">
        <v>-0.14700659999999999</v>
      </c>
      <c r="X1814">
        <v>0.98879430000000001</v>
      </c>
      <c r="Y1814">
        <v>0.1857588</v>
      </c>
      <c r="Z1814">
        <v>-0.1481817</v>
      </c>
      <c r="AA1814">
        <v>0.97135769999999999</v>
      </c>
      <c r="AB1814">
        <v>22</v>
      </c>
      <c r="AC1814">
        <v>-24.4834</v>
      </c>
      <c r="AD1814">
        <v>32.360170999999902</v>
      </c>
      <c r="AE1814">
        <v>-233.85547</v>
      </c>
      <c r="AF1814">
        <v>43.120410303060297</v>
      </c>
      <c r="AG1814">
        <v>32.360170999999902</v>
      </c>
      <c r="AH1814">
        <v>226.698304336924</v>
      </c>
      <c r="AI1814">
        <v>82.017392954867006</v>
      </c>
      <c r="AJ1814">
        <v>79.230389777412199</v>
      </c>
      <c r="AK1814">
        <v>233.02075367033299</v>
      </c>
      <c r="AL1814">
        <v>98.453494411617399</v>
      </c>
      <c r="AM1814">
        <v>91.504953795503397</v>
      </c>
      <c r="AN1814">
        <v>0.99999998335914497</v>
      </c>
    </row>
    <row r="1815" spans="1:40" x14ac:dyDescent="0.25">
      <c r="A1815" t="str">
        <f>"20190305134935526"</f>
        <v>20190305134935526</v>
      </c>
      <c r="B1815" t="str">
        <f>"1551764975522394"</f>
        <v>1551764975522394</v>
      </c>
      <c r="C1815" t="s">
        <v>40</v>
      </c>
      <c r="D1815">
        <v>4.2948709999999997</v>
      </c>
      <c r="E1815">
        <v>0.59974419999999995</v>
      </c>
      <c r="F1815" t="s">
        <v>63</v>
      </c>
      <c r="G1815">
        <v>-218.86199999999999</v>
      </c>
      <c r="H1815">
        <v>33.87556</v>
      </c>
      <c r="I1815">
        <v>97.150030000000001</v>
      </c>
      <c r="J1815">
        <v>-192.3783</v>
      </c>
      <c r="K1815">
        <v>1.1086</v>
      </c>
      <c r="L1815">
        <v>330.87079999999997</v>
      </c>
      <c r="M1815">
        <v>8.2593109999999997E-2</v>
      </c>
      <c r="N1815">
        <v>-1.3551540000000001E-2</v>
      </c>
      <c r="O1815">
        <v>-0.99649129999999997</v>
      </c>
      <c r="P1815">
        <v>0.10617740000000001</v>
      </c>
      <c r="Q1815">
        <v>-0.16048959999999901</v>
      </c>
      <c r="R1815">
        <v>-0.98131009999999996</v>
      </c>
      <c r="S1815">
        <v>-0.35884090000000002</v>
      </c>
      <c r="T1815">
        <v>0.44414930000000002</v>
      </c>
      <c r="U1815">
        <v>-3.169861</v>
      </c>
      <c r="V1815">
        <v>-2.511553E-2</v>
      </c>
      <c r="W1815">
        <v>-0.14704249999999999</v>
      </c>
      <c r="X1815">
        <v>0.98881129999999995</v>
      </c>
      <c r="Y1815">
        <v>0.19306110000000001</v>
      </c>
      <c r="Z1815">
        <v>-0.14978540000000001</v>
      </c>
      <c r="AA1815">
        <v>0.96968639999999995</v>
      </c>
      <c r="AB1815">
        <v>22</v>
      </c>
      <c r="AC1815">
        <v>-26.483699999999999</v>
      </c>
      <c r="AD1815">
        <v>32.766959999999997</v>
      </c>
      <c r="AE1815">
        <v>-233.72076999999999</v>
      </c>
      <c r="AF1815">
        <v>44.828745874950101</v>
      </c>
      <c r="AG1815">
        <v>32.766959999999997</v>
      </c>
      <c r="AH1815">
        <v>226.34210642341</v>
      </c>
      <c r="AI1815">
        <v>81.917530671149393</v>
      </c>
      <c r="AJ1815">
        <v>78.797125218345997</v>
      </c>
      <c r="AK1815">
        <v>233.053726133157</v>
      </c>
      <c r="AL1815">
        <v>98.455573473130897</v>
      </c>
      <c r="AM1815">
        <v>91.454983909532103</v>
      </c>
      <c r="AN1815">
        <v>1.0000000368305599</v>
      </c>
    </row>
    <row r="1816" spans="1:40" x14ac:dyDescent="0.25">
      <c r="A1816" t="str">
        <f>"20190305134935545"</f>
        <v>20190305134935545</v>
      </c>
      <c r="B1816" t="str">
        <f>"1551764975542890"</f>
        <v>1551764975542890</v>
      </c>
      <c r="C1816" t="s">
        <v>40</v>
      </c>
      <c r="D1816">
        <v>4.2351580000000002</v>
      </c>
      <c r="E1816">
        <v>0.60079989999999905</v>
      </c>
      <c r="F1816" t="s">
        <v>63</v>
      </c>
      <c r="G1816">
        <v>-221.5813</v>
      </c>
      <c r="H1816">
        <v>34.493310000000001</v>
      </c>
      <c r="I1816">
        <v>97.150030000000001</v>
      </c>
      <c r="J1816">
        <v>-192.36410000000001</v>
      </c>
      <c r="K1816">
        <v>1.1085940000000001</v>
      </c>
      <c r="L1816">
        <v>330.68020000000001</v>
      </c>
      <c r="M1816">
        <v>8.1238459999999998E-2</v>
      </c>
      <c r="N1816">
        <v>-1.35651E-2</v>
      </c>
      <c r="O1816">
        <v>-0.99660249999999995</v>
      </c>
      <c r="P1816">
        <v>0.103104399999999</v>
      </c>
      <c r="Q1816">
        <v>-0.16088939999999999</v>
      </c>
      <c r="R1816">
        <v>-0.98157229999999995</v>
      </c>
      <c r="S1816">
        <v>-0.39660640000000003</v>
      </c>
      <c r="T1816">
        <v>0.45339819999999997</v>
      </c>
      <c r="U1816">
        <v>-3.1741640000000002</v>
      </c>
      <c r="V1816">
        <v>-2.3374280000000001E-2</v>
      </c>
      <c r="W1816">
        <v>-0.14743339999999999</v>
      </c>
      <c r="X1816">
        <v>0.9887958</v>
      </c>
      <c r="Y1816">
        <v>0.20291219999999999</v>
      </c>
      <c r="Z1816">
        <v>-0.1521855</v>
      </c>
      <c r="AA1816">
        <v>0.9672984</v>
      </c>
      <c r="AB1816">
        <v>22</v>
      </c>
      <c r="AC1816">
        <v>-29.217199999999899</v>
      </c>
      <c r="AD1816">
        <v>33.384715999999997</v>
      </c>
      <c r="AE1816">
        <v>-233.53017</v>
      </c>
      <c r="AF1816">
        <v>47.145342010393698</v>
      </c>
      <c r="AG1816">
        <v>33.384715999999997</v>
      </c>
      <c r="AH1816">
        <v>225.840080078776</v>
      </c>
      <c r="AI1816">
        <v>81.7661583240792</v>
      </c>
      <c r="AJ1816">
        <v>78.208534917273099</v>
      </c>
      <c r="AK1816">
        <v>233.11148471421501</v>
      </c>
      <c r="AL1816">
        <v>98.478217078132204</v>
      </c>
      <c r="AM1816">
        <v>91.354170614032199</v>
      </c>
      <c r="AN1816">
        <v>1.0000000492493499</v>
      </c>
    </row>
    <row r="1817" spans="1:40" x14ac:dyDescent="0.25">
      <c r="A1817" t="str">
        <f>"20190305134935565"</f>
        <v>20190305134935565</v>
      </c>
      <c r="B1817" t="str">
        <f>"1551764975562411"</f>
        <v>1551764975562411</v>
      </c>
      <c r="C1817" t="s">
        <v>40</v>
      </c>
      <c r="D1817">
        <v>4.2649400000000002</v>
      </c>
      <c r="E1817">
        <v>0.60272809999999999</v>
      </c>
      <c r="F1817" t="s">
        <v>63</v>
      </c>
      <c r="G1817">
        <v>-222.9589</v>
      </c>
      <c r="H1817">
        <v>34.381630000000001</v>
      </c>
      <c r="I1817">
        <v>97.150030000000001</v>
      </c>
      <c r="J1817">
        <v>-192.34970000000001</v>
      </c>
      <c r="K1817">
        <v>1.1085969999999901</v>
      </c>
      <c r="L1817">
        <v>330.483</v>
      </c>
      <c r="M1817">
        <v>7.9835050000000005E-2</v>
      </c>
      <c r="N1817">
        <v>-1.3577240000000001E-2</v>
      </c>
      <c r="O1817">
        <v>-0.99671580000000004</v>
      </c>
      <c r="P1817">
        <v>9.9885509999999997E-2</v>
      </c>
      <c r="Q1817">
        <v>-0.1611281</v>
      </c>
      <c r="R1817">
        <v>-0.98186589999999996</v>
      </c>
      <c r="S1817">
        <v>-0.41584779999999999</v>
      </c>
      <c r="T1817">
        <v>0.4522504</v>
      </c>
      <c r="U1817">
        <v>-3.1741640000000002</v>
      </c>
      <c r="V1817">
        <v>-2.1529949999999999E-2</v>
      </c>
      <c r="W1817">
        <v>-0.14766479999999901</v>
      </c>
      <c r="X1817">
        <v>0.98880310000000005</v>
      </c>
      <c r="Y1817">
        <v>0.20731269999999999</v>
      </c>
      <c r="Z1817">
        <v>-0.15176310000000001</v>
      </c>
      <c r="AA1817">
        <v>0.96643129999999999</v>
      </c>
      <c r="AB1817">
        <v>22</v>
      </c>
      <c r="AC1817">
        <v>-30.609199999999898</v>
      </c>
      <c r="AD1817">
        <v>33.273032999999998</v>
      </c>
      <c r="AE1817">
        <v>-233.33296999999999</v>
      </c>
      <c r="AF1817">
        <v>48.1782389071221</v>
      </c>
      <c r="AG1817">
        <v>33.273032999999998</v>
      </c>
      <c r="AH1817">
        <v>225.63362632488</v>
      </c>
      <c r="AI1817">
        <v>81.793726723605303</v>
      </c>
      <c r="AJ1817">
        <v>77.946965605135205</v>
      </c>
      <c r="AK1817">
        <v>233.10677973350801</v>
      </c>
      <c r="AL1817">
        <v>98.491622452502099</v>
      </c>
      <c r="AM1817">
        <v>91.247346796490604</v>
      </c>
      <c r="AN1817">
        <v>1.0000000012378201</v>
      </c>
    </row>
    <row r="1818" spans="1:40" x14ac:dyDescent="0.25">
      <c r="A1818" t="str">
        <f>"20190305134935588"</f>
        <v>20190305134935588</v>
      </c>
      <c r="B1818" t="str">
        <f>"1551764975581931"</f>
        <v>1551764975581931</v>
      </c>
      <c r="C1818" t="s">
        <v>40</v>
      </c>
      <c r="D1818">
        <v>4.2448620000000004</v>
      </c>
      <c r="E1818">
        <v>0.60326089999999999</v>
      </c>
      <c r="F1818" t="s">
        <v>63</v>
      </c>
      <c r="G1818">
        <v>-224.8613</v>
      </c>
      <c r="H1818">
        <v>34.43591</v>
      </c>
      <c r="I1818">
        <v>97.150030000000001</v>
      </c>
      <c r="J1818">
        <v>-192.333</v>
      </c>
      <c r="K1818">
        <v>1.1086119999999999</v>
      </c>
      <c r="L1818">
        <v>330.25020000000001</v>
      </c>
      <c r="M1818">
        <v>7.8184580000000004E-2</v>
      </c>
      <c r="N1818">
        <v>-1.3589479999999999E-2</v>
      </c>
      <c r="O1818">
        <v>-0.99684640000000002</v>
      </c>
      <c r="P1818">
        <v>9.6623120000000007E-2</v>
      </c>
      <c r="Q1818">
        <v>-0.16125049999999999</v>
      </c>
      <c r="R1818">
        <v>-0.98217239999999995</v>
      </c>
      <c r="S1818">
        <v>-0.44236760000000003</v>
      </c>
      <c r="T1818">
        <v>0.4534668</v>
      </c>
      <c r="U1818">
        <v>-3.1748349999999999</v>
      </c>
      <c r="V1818">
        <v>-1.9883100000000001E-2</v>
      </c>
      <c r="W1818">
        <v>-0.14777939999999901</v>
      </c>
      <c r="X1818">
        <v>0.98882040000000004</v>
      </c>
      <c r="Y1818">
        <v>0.213592</v>
      </c>
      <c r="Z1818">
        <v>-0.1519701</v>
      </c>
      <c r="AA1818">
        <v>0.96503030000000001</v>
      </c>
      <c r="AB1818">
        <v>22</v>
      </c>
      <c r="AC1818">
        <v>-32.528300000000002</v>
      </c>
      <c r="AD1818">
        <v>33.327297999999999</v>
      </c>
      <c r="AE1818">
        <v>-233.10016999999999</v>
      </c>
      <c r="AF1818">
        <v>49.659499041987402</v>
      </c>
      <c r="AG1818">
        <v>33.327297999999999</v>
      </c>
      <c r="AH1818">
        <v>225.32502427053799</v>
      </c>
      <c r="AI1818">
        <v>81.780964144032794</v>
      </c>
      <c r="AJ1818">
        <v>77.571241091189705</v>
      </c>
      <c r="AK1818">
        <v>233.126877900426</v>
      </c>
      <c r="AL1818">
        <v>98.498261942883005</v>
      </c>
      <c r="AM1818">
        <v>91.151942467843099</v>
      </c>
      <c r="AN1818">
        <v>0.99999993609306204</v>
      </c>
    </row>
    <row r="1819" spans="1:40" x14ac:dyDescent="0.25">
      <c r="A1819" t="str">
        <f>"20190305134935603"</f>
        <v>20190305134935603</v>
      </c>
      <c r="B1819" t="str">
        <f>"1551764975592667"</f>
        <v>1551764975592667</v>
      </c>
      <c r="C1819" t="s">
        <v>40</v>
      </c>
      <c r="D1819">
        <v>4.4688210000000002</v>
      </c>
      <c r="E1819">
        <v>0.60326089999999999</v>
      </c>
      <c r="F1819" t="s">
        <v>63</v>
      </c>
      <c r="G1819">
        <v>-225.92259999999999</v>
      </c>
      <c r="H1819">
        <v>34.400579999999998</v>
      </c>
      <c r="I1819">
        <v>97.150030000000001</v>
      </c>
      <c r="J1819">
        <v>-192.32339999999999</v>
      </c>
      <c r="K1819">
        <v>1.1086240000000001</v>
      </c>
      <c r="L1819">
        <v>330.11239999999998</v>
      </c>
      <c r="M1819">
        <v>7.7214899999999906E-2</v>
      </c>
      <c r="N1819">
        <v>-1.359552E-2</v>
      </c>
      <c r="O1819">
        <v>-0.99692190000000003</v>
      </c>
      <c r="P1819">
        <v>9.5065709999999998E-2</v>
      </c>
      <c r="Q1819">
        <v>-0.16118339999999901</v>
      </c>
      <c r="R1819">
        <v>-0.98233550000000003</v>
      </c>
      <c r="S1819">
        <v>-0.45735170000000003</v>
      </c>
      <c r="T1819">
        <v>0.4532988</v>
      </c>
      <c r="U1819">
        <v>-3.1738590000000002</v>
      </c>
      <c r="V1819">
        <v>-1.9274590000000001E-2</v>
      </c>
      <c r="W1819">
        <v>-0.1477079</v>
      </c>
      <c r="X1819">
        <v>0.98884320000000003</v>
      </c>
      <c r="Y1819">
        <v>0.2171524</v>
      </c>
      <c r="Z1819">
        <v>-0.15188460000000001</v>
      </c>
      <c r="AA1819">
        <v>0.96424889999999996</v>
      </c>
      <c r="AB1819">
        <v>22</v>
      </c>
      <c r="AC1819">
        <v>-33.599200000000003</v>
      </c>
      <c r="AD1819">
        <v>33.291955999999999</v>
      </c>
      <c r="AE1819">
        <v>-232.96236999999999</v>
      </c>
      <c r="AF1819">
        <v>50.478804467798803</v>
      </c>
      <c r="AG1819">
        <v>33.291955999999999</v>
      </c>
      <c r="AH1819">
        <v>225.16737029365001</v>
      </c>
      <c r="AI1819">
        <v>81.790399348395795</v>
      </c>
      <c r="AJ1819">
        <v>77.364153207979896</v>
      </c>
      <c r="AK1819">
        <v>233.14546677935201</v>
      </c>
      <c r="AL1819">
        <v>98.494119257718296</v>
      </c>
      <c r="AM1819">
        <v>91.116671306434597</v>
      </c>
      <c r="AN1819">
        <v>1.0000000038641499</v>
      </c>
    </row>
    <row r="1820" spans="1:40" x14ac:dyDescent="0.25">
      <c r="A1820" t="str">
        <f>"20190305134935622"</f>
        <v>20190305134935622</v>
      </c>
      <c r="B1820" t="str">
        <f>"1551764975612186"</f>
        <v>1551764975612186</v>
      </c>
      <c r="C1820" t="s">
        <v>40</v>
      </c>
      <c r="D1820">
        <v>4.24207</v>
      </c>
      <c r="E1820">
        <v>0.58955519999999995</v>
      </c>
      <c r="F1820" t="s">
        <v>63</v>
      </c>
      <c r="G1820">
        <v>-226.31039999999999</v>
      </c>
      <c r="H1820">
        <v>34.379469999999998</v>
      </c>
      <c r="I1820">
        <v>97.150030000000001</v>
      </c>
      <c r="J1820">
        <v>-192.3098</v>
      </c>
      <c r="K1820">
        <v>1.108641</v>
      </c>
      <c r="L1820">
        <v>329.9162</v>
      </c>
      <c r="M1820">
        <v>7.5842039999999999E-2</v>
      </c>
      <c r="N1820">
        <v>-1.360314E-2</v>
      </c>
      <c r="O1820">
        <v>-0.99702729999999995</v>
      </c>
      <c r="P1820">
        <v>9.2195319999999997E-2</v>
      </c>
      <c r="Q1820">
        <v>-0.16014800000000001</v>
      </c>
      <c r="R1820">
        <v>-0.98277829999999999</v>
      </c>
      <c r="S1820">
        <v>-0.46292109999999898</v>
      </c>
      <c r="T1820">
        <v>0.45316600000000001</v>
      </c>
      <c r="U1820">
        <v>-3.1730649999999998</v>
      </c>
      <c r="V1820">
        <v>-1.773077E-2</v>
      </c>
      <c r="W1820">
        <v>-0.14666650000000001</v>
      </c>
      <c r="X1820">
        <v>0.98902710000000005</v>
      </c>
      <c r="Y1820">
        <v>0.2175011</v>
      </c>
      <c r="Z1820">
        <v>-0.1518854</v>
      </c>
      <c r="AA1820">
        <v>0.96417019999999998</v>
      </c>
      <c r="AB1820">
        <v>22</v>
      </c>
      <c r="AC1820">
        <v>-34.000599999999899</v>
      </c>
      <c r="AD1820">
        <v>33.270828999999999</v>
      </c>
      <c r="AE1820">
        <v>-232.76616999999999</v>
      </c>
      <c r="AF1820">
        <v>50.546607173094799</v>
      </c>
      <c r="AG1820">
        <v>33.270828999999999</v>
      </c>
      <c r="AH1820">
        <v>225.015503723601</v>
      </c>
      <c r="AI1820">
        <v>81.790859408965005</v>
      </c>
      <c r="AJ1820">
        <v>77.339462842345895</v>
      </c>
      <c r="AK1820">
        <v>233.01048147034999</v>
      </c>
      <c r="AL1820">
        <v>98.433794244770596</v>
      </c>
      <c r="AM1820">
        <v>91.027059293622798</v>
      </c>
      <c r="AN1820">
        <v>1.00000002348072</v>
      </c>
    </row>
    <row r="1821" spans="1:40" x14ac:dyDescent="0.25">
      <c r="A1821" t="str">
        <f>"20190305134935635"</f>
        <v>20190305134935635</v>
      </c>
      <c r="B1821" t="str">
        <f>"1551764975632682"</f>
        <v>1551764975632682</v>
      </c>
      <c r="C1821" t="s">
        <v>40</v>
      </c>
      <c r="D1821">
        <v>4.509099</v>
      </c>
      <c r="E1821">
        <v>0.58964380000000005</v>
      </c>
      <c r="F1821" t="s">
        <v>42</v>
      </c>
      <c r="G1821">
        <v>-195.27760000000001</v>
      </c>
      <c r="H1821" s="1">
        <v>-4.6019309999999997E-6</v>
      </c>
      <c r="I1821">
        <v>307.75889999999998</v>
      </c>
      <c r="J1821">
        <v>-192.3013</v>
      </c>
      <c r="K1821">
        <v>1.1086510000000001</v>
      </c>
      <c r="L1821">
        <v>329.7919</v>
      </c>
      <c r="M1821">
        <v>7.4976349999999997E-2</v>
      </c>
      <c r="N1821">
        <v>-1.3607350000000001E-2</v>
      </c>
      <c r="O1821">
        <v>-0.9970926</v>
      </c>
      <c r="P1821">
        <v>9.0366940000000007E-2</v>
      </c>
      <c r="Q1821">
        <v>-0.15963659999999999</v>
      </c>
      <c r="R1821">
        <v>-0.98303119999999999</v>
      </c>
      <c r="S1821">
        <v>-0.41067500000000001</v>
      </c>
      <c r="T1821">
        <v>-0.15341089999999999</v>
      </c>
      <c r="U1821">
        <v>-3.066071</v>
      </c>
      <c r="V1821">
        <v>-1.6741679999999998E-2</v>
      </c>
      <c r="W1821">
        <v>-0.14615220000000001</v>
      </c>
      <c r="X1821">
        <v>0.98912040000000001</v>
      </c>
      <c r="Y1821">
        <v>0.2065295</v>
      </c>
      <c r="Z1821">
        <v>3.5340999999999997E-2</v>
      </c>
      <c r="AA1821">
        <v>0.9778019</v>
      </c>
      <c r="AB1821">
        <v>22</v>
      </c>
      <c r="AC1821">
        <v>-2.9763000000000002</v>
      </c>
      <c r="AD1821">
        <v>-1.1086556019310001</v>
      </c>
      <c r="AE1821">
        <v>-22.033000000000001</v>
      </c>
      <c r="AF1821">
        <v>4.6085684366685502</v>
      </c>
      <c r="AG1821">
        <v>-1.1086556019310001</v>
      </c>
      <c r="AH1821">
        <v>21.693857461319901</v>
      </c>
      <c r="AI1821">
        <v>92.861779270825807</v>
      </c>
      <c r="AJ1821">
        <v>78.006578576066104</v>
      </c>
      <c r="AK1821">
        <v>22.205663057680098</v>
      </c>
      <c r="AL1821">
        <v>98.404006588682904</v>
      </c>
      <c r="AM1821">
        <v>90.969685814497595</v>
      </c>
      <c r="AN1821">
        <v>0.99999995755510995</v>
      </c>
    </row>
    <row r="1822" spans="1:40" x14ac:dyDescent="0.25">
      <c r="A1822" t="str">
        <f>"20190305134935648"</f>
        <v>20190305134935648</v>
      </c>
      <c r="B1822" t="str">
        <f>"1551764975642442"</f>
        <v>1551764975642442</v>
      </c>
      <c r="C1822" t="s">
        <v>40</v>
      </c>
      <c r="D1822">
        <v>4.5645350000000002</v>
      </c>
      <c r="E1822">
        <v>0.58998149999999905</v>
      </c>
      <c r="F1822" t="s">
        <v>42</v>
      </c>
      <c r="G1822">
        <v>-195.3981</v>
      </c>
      <c r="H1822" s="1">
        <v>-4.3773639999999997E-6</v>
      </c>
      <c r="I1822">
        <v>307.03609999999998</v>
      </c>
      <c r="J1822">
        <v>-192.29239999999999</v>
      </c>
      <c r="K1822">
        <v>1.1086640000000001</v>
      </c>
      <c r="L1822">
        <v>329.65879999999999</v>
      </c>
      <c r="M1822">
        <v>7.4053019999999997E-2</v>
      </c>
      <c r="N1822">
        <v>-1.3611409999999999E-2</v>
      </c>
      <c r="O1822">
        <v>-0.99716150000000003</v>
      </c>
      <c r="P1822">
        <v>8.8864890000000002E-2</v>
      </c>
      <c r="Q1822">
        <v>-0.15900729999999999</v>
      </c>
      <c r="R1822">
        <v>-0.98327010000000004</v>
      </c>
      <c r="S1822">
        <v>-0.4172363</v>
      </c>
      <c r="T1822">
        <v>-0.149370899999999</v>
      </c>
      <c r="U1822">
        <v>-3.0659179999999999</v>
      </c>
      <c r="V1822">
        <v>-1.6136660000000001E-2</v>
      </c>
      <c r="W1822">
        <v>-0.14551910000000001</v>
      </c>
      <c r="X1822">
        <v>0.98922379999999999</v>
      </c>
      <c r="Y1822">
        <v>0.2076923</v>
      </c>
      <c r="Z1822">
        <v>3.40431E-2</v>
      </c>
      <c r="AA1822">
        <v>0.97760159999999996</v>
      </c>
      <c r="AB1822">
        <v>22</v>
      </c>
      <c r="AC1822">
        <v>-3.1057000000000099</v>
      </c>
      <c r="AD1822">
        <v>-1.10866837736399</v>
      </c>
      <c r="AE1822">
        <v>-22.622699999999998</v>
      </c>
      <c r="AF1822">
        <v>4.7613816664360602</v>
      </c>
      <c r="AG1822">
        <v>-1.10866837736399</v>
      </c>
      <c r="AH1822">
        <v>22.278050772824699</v>
      </c>
      <c r="AI1822">
        <v>92.786156533422997</v>
      </c>
      <c r="AJ1822">
        <v>77.935949627393498</v>
      </c>
      <c r="AK1822">
        <v>22.808144316910099</v>
      </c>
      <c r="AL1822">
        <v>98.367340577409294</v>
      </c>
      <c r="AM1822">
        <v>90.934551432240795</v>
      </c>
      <c r="AN1822">
        <v>0.99999996337360197</v>
      </c>
    </row>
    <row r="1823" spans="1:40" x14ac:dyDescent="0.25">
      <c r="A1823" t="str">
        <f>"20190305134935665"</f>
        <v>20190305134935665</v>
      </c>
      <c r="B1823" t="str">
        <f>"1551764975661963"</f>
        <v>1551764975661963</v>
      </c>
      <c r="C1823" t="s">
        <v>40</v>
      </c>
      <c r="D1823">
        <v>4.4896520000000004</v>
      </c>
      <c r="E1823">
        <v>0.58960990000000002</v>
      </c>
      <c r="F1823" t="s">
        <v>42</v>
      </c>
      <c r="G1823">
        <v>-195.42930000000001</v>
      </c>
      <c r="H1823" s="1">
        <v>-4.3820100000000004E-6</v>
      </c>
      <c r="I1823">
        <v>307.0335</v>
      </c>
      <c r="J1823">
        <v>-192.28149999999999</v>
      </c>
      <c r="K1823">
        <v>1.1086769999999999</v>
      </c>
      <c r="L1823">
        <v>329.49369999999999</v>
      </c>
      <c r="M1823">
        <v>7.2912820000000003E-2</v>
      </c>
      <c r="N1823">
        <v>-1.3615789999999999E-2</v>
      </c>
      <c r="O1823">
        <v>-0.99724559999999995</v>
      </c>
      <c r="P1823">
        <v>8.5152179999999994E-2</v>
      </c>
      <c r="Q1823">
        <v>-0.15869739999999999</v>
      </c>
      <c r="R1823">
        <v>-0.98364870000000004</v>
      </c>
      <c r="S1823">
        <v>-0.42497249999999998</v>
      </c>
      <c r="T1823">
        <v>-0.1501951</v>
      </c>
      <c r="U1823">
        <v>-3.0651250000000001</v>
      </c>
      <c r="V1823">
        <v>-1.3531090000000001E-2</v>
      </c>
      <c r="W1823">
        <v>-0.14520999999999901</v>
      </c>
      <c r="X1823">
        <v>0.98930830000000003</v>
      </c>
      <c r="Y1823">
        <v>0.20902699999999999</v>
      </c>
      <c r="Z1823">
        <v>3.4304620000000001E-2</v>
      </c>
      <c r="AA1823">
        <v>0.97730799999999995</v>
      </c>
      <c r="AB1823">
        <v>22</v>
      </c>
      <c r="AC1823">
        <v>-3.1478000000000099</v>
      </c>
      <c r="AD1823">
        <v>-1.1086813820100001</v>
      </c>
      <c r="AE1823">
        <v>-22.460199999999901</v>
      </c>
      <c r="AF1823">
        <v>4.7658192229674796</v>
      </c>
      <c r="AG1823">
        <v>-1.1086813820100001</v>
      </c>
      <c r="AH1823">
        <v>22.118015986583</v>
      </c>
      <c r="AI1823">
        <v>92.805312494436507</v>
      </c>
      <c r="AJ1823">
        <v>77.840258531734406</v>
      </c>
      <c r="AK1823">
        <v>22.6527887566975</v>
      </c>
      <c r="AL1823">
        <v>98.349440232639594</v>
      </c>
      <c r="AM1823">
        <v>90.783604070968394</v>
      </c>
      <c r="AN1823">
        <v>0.99999997347273795</v>
      </c>
    </row>
    <row r="1824" spans="1:40" x14ac:dyDescent="0.25">
      <c r="A1824" t="str">
        <f>"20190305134935680"</f>
        <v>20190305134935680</v>
      </c>
      <c r="B1824" t="str">
        <f>"1551764975672699"</f>
        <v>1551764975672699</v>
      </c>
      <c r="C1824" t="s">
        <v>40</v>
      </c>
      <c r="D1824">
        <v>4.288926</v>
      </c>
      <c r="E1824">
        <v>0.58960990000000002</v>
      </c>
      <c r="F1824" t="s">
        <v>42</v>
      </c>
      <c r="G1824">
        <v>-195.70699999999999</v>
      </c>
      <c r="H1824" s="1">
        <v>-3.8285440000000002E-6</v>
      </c>
      <c r="I1824">
        <v>305.26240000000001</v>
      </c>
      <c r="J1824">
        <v>-192.2722</v>
      </c>
      <c r="K1824">
        <v>1.108692</v>
      </c>
      <c r="L1824">
        <v>329.35070000000002</v>
      </c>
      <c r="M1824">
        <v>7.1927099999999994E-2</v>
      </c>
      <c r="N1824">
        <v>-1.3619030000000001E-2</v>
      </c>
      <c r="O1824">
        <v>-0.9973168</v>
      </c>
      <c r="P1824">
        <v>8.3013710000000004E-2</v>
      </c>
      <c r="Q1824">
        <v>-0.15851319999999999</v>
      </c>
      <c r="R1824">
        <v>-0.98386099999999999</v>
      </c>
      <c r="S1824">
        <v>-0.43325809999999998</v>
      </c>
      <c r="T1824">
        <v>-0.14022490000000001</v>
      </c>
      <c r="U1824">
        <v>-3.0647579999999999</v>
      </c>
      <c r="V1824">
        <v>-1.235584E-2</v>
      </c>
      <c r="W1824">
        <v>-0.14502490000000001</v>
      </c>
      <c r="X1824">
        <v>0.98935090000000003</v>
      </c>
      <c r="Y1824">
        <v>0.21068600000000001</v>
      </c>
      <c r="Z1824">
        <v>3.1114940000000001E-2</v>
      </c>
      <c r="AA1824">
        <v>0.97705850000000005</v>
      </c>
      <c r="AB1824">
        <v>22</v>
      </c>
      <c r="AC1824">
        <v>-3.4347999999999899</v>
      </c>
      <c r="AD1824">
        <v>-1.1086958285439901</v>
      </c>
      <c r="AE1824">
        <v>-24.0883</v>
      </c>
      <c r="AF1824">
        <v>5.1479760253008902</v>
      </c>
      <c r="AG1824">
        <v>-1.1086958285439901</v>
      </c>
      <c r="AH1824">
        <v>23.7295514710347</v>
      </c>
      <c r="AI1824">
        <v>92.614310987522302</v>
      </c>
      <c r="AJ1824">
        <v>77.759718628337296</v>
      </c>
      <c r="AK1824">
        <v>24.306840119887799</v>
      </c>
      <c r="AL1824">
        <v>98.338720709816499</v>
      </c>
      <c r="AM1824">
        <v>90.715520329418098</v>
      </c>
      <c r="AN1824">
        <v>1.00000004586646</v>
      </c>
    </row>
    <row r="1825" spans="1:40" x14ac:dyDescent="0.25">
      <c r="A1825" t="str">
        <f>"20190305134935694"</f>
        <v>20190305134935694</v>
      </c>
      <c r="B1825" t="str">
        <f>"1551764975682459"</f>
        <v>1551764975682459</v>
      </c>
      <c r="C1825" t="s">
        <v>40</v>
      </c>
      <c r="D1825">
        <v>4.6247730000000002</v>
      </c>
      <c r="E1825">
        <v>0.58938250000000003</v>
      </c>
      <c r="F1825" t="s">
        <v>42</v>
      </c>
      <c r="G1825">
        <v>-195.75810000000001</v>
      </c>
      <c r="H1825" s="1">
        <v>-3.7758630000000002E-6</v>
      </c>
      <c r="I1825">
        <v>305.08089999999999</v>
      </c>
      <c r="J1825">
        <v>-192.26349999999999</v>
      </c>
      <c r="K1825">
        <v>1.1087</v>
      </c>
      <c r="L1825">
        <v>329.21519999999998</v>
      </c>
      <c r="M1825">
        <v>7.0994059999999998E-2</v>
      </c>
      <c r="N1825">
        <v>-1.362174E-2</v>
      </c>
      <c r="O1825">
        <v>-0.99738389999999999</v>
      </c>
      <c r="P1825">
        <v>8.0711610000000003E-2</v>
      </c>
      <c r="Q1825">
        <v>-0.1585056</v>
      </c>
      <c r="R1825">
        <v>-0.98405410000000004</v>
      </c>
      <c r="S1825">
        <v>-0.4400482</v>
      </c>
      <c r="T1825">
        <v>-0.1399589</v>
      </c>
      <c r="U1825">
        <v>-3.0637509999999999</v>
      </c>
      <c r="V1825">
        <v>-1.0967930000000001E-2</v>
      </c>
      <c r="W1825">
        <v>-0.1450177</v>
      </c>
      <c r="X1825">
        <v>0.98936829999999998</v>
      </c>
      <c r="Y1825">
        <v>0.21193819999999999</v>
      </c>
      <c r="Z1825">
        <v>3.1033169999999999E-2</v>
      </c>
      <c r="AA1825">
        <v>0.97679020000000005</v>
      </c>
      <c r="AB1825">
        <v>22</v>
      </c>
      <c r="AC1825">
        <v>-3.4946000000000201</v>
      </c>
      <c r="AD1825">
        <v>-1.1087037758630001</v>
      </c>
      <c r="AE1825">
        <v>-24.1343</v>
      </c>
      <c r="AF1825">
        <v>5.18860611031959</v>
      </c>
      <c r="AG1825">
        <v>-1.1087037758630001</v>
      </c>
      <c r="AH1825">
        <v>23.7761263832198</v>
      </c>
      <c r="AI1825">
        <v>92.608520693423301</v>
      </c>
      <c r="AJ1825">
        <v>77.689482337585503</v>
      </c>
      <c r="AK1825">
        <v>24.360932724784998</v>
      </c>
      <c r="AL1825">
        <v>98.338303898072795</v>
      </c>
      <c r="AM1825">
        <v>90.635143007794198</v>
      </c>
      <c r="AN1825">
        <v>1.0000000309233299</v>
      </c>
    </row>
    <row r="1826" spans="1:40" x14ac:dyDescent="0.25">
      <c r="A1826" t="str">
        <f>"20190305134935711"</f>
        <v>20190305134935711</v>
      </c>
      <c r="B1826" t="str">
        <f>"1551764975702954"</f>
        <v>1551764975702954</v>
      </c>
      <c r="C1826" t="s">
        <v>40</v>
      </c>
      <c r="D1826">
        <v>4.2659010000000004</v>
      </c>
      <c r="E1826">
        <v>0.58876450000000002</v>
      </c>
      <c r="F1826" t="s">
        <v>42</v>
      </c>
      <c r="G1826">
        <v>-195.6996</v>
      </c>
      <c r="H1826" s="1">
        <v>-3.949054E-6</v>
      </c>
      <c r="I1826">
        <v>305.62040000000002</v>
      </c>
      <c r="J1826">
        <v>-192.2527</v>
      </c>
      <c r="K1826">
        <v>1.1087070000000001</v>
      </c>
      <c r="L1826">
        <v>329.04430000000002</v>
      </c>
      <c r="M1826">
        <v>6.9817760000000006E-2</v>
      </c>
      <c r="N1826">
        <v>-1.362465E-2</v>
      </c>
      <c r="O1826">
        <v>-0.99746679999999999</v>
      </c>
      <c r="P1826">
        <v>7.6906080000000002E-2</v>
      </c>
      <c r="Q1826">
        <v>-0.15877669999999999</v>
      </c>
      <c r="R1826">
        <v>-0.98431480000000005</v>
      </c>
      <c r="S1826">
        <v>-0.44592290000000001</v>
      </c>
      <c r="T1826">
        <v>-0.14388299999999901</v>
      </c>
      <c r="U1826">
        <v>-3.0620419999999999</v>
      </c>
      <c r="V1826">
        <v>-8.3162210000000004E-3</v>
      </c>
      <c r="W1826">
        <v>-0.14529230000000001</v>
      </c>
      <c r="X1826">
        <v>0.98935379999999995</v>
      </c>
      <c r="Y1826">
        <v>0.21268989999999999</v>
      </c>
      <c r="Z1826">
        <v>3.2303230000000002E-2</v>
      </c>
      <c r="AA1826">
        <v>0.97658560000000005</v>
      </c>
      <c r="AB1826">
        <v>22</v>
      </c>
      <c r="AC1826">
        <v>-3.4468999999999901</v>
      </c>
      <c r="AD1826">
        <v>-1.1087109490539999</v>
      </c>
      <c r="AE1826">
        <v>-23.4239</v>
      </c>
      <c r="AF1826">
        <v>5.0629406780019997</v>
      </c>
      <c r="AG1826">
        <v>-1.1087109490539999</v>
      </c>
      <c r="AH1826">
        <v>23.075450715272101</v>
      </c>
      <c r="AI1826">
        <v>92.686968687749399</v>
      </c>
      <c r="AJ1826">
        <v>77.624933513136298</v>
      </c>
      <c r="AK1826">
        <v>23.650349553240702</v>
      </c>
      <c r="AL1826">
        <v>98.354206191821802</v>
      </c>
      <c r="AM1826">
        <v>90.481600356839607</v>
      </c>
      <c r="AN1826">
        <v>0.99999997677272501</v>
      </c>
    </row>
    <row r="1827" spans="1:40" x14ac:dyDescent="0.25">
      <c r="A1827" t="str">
        <f>"20190305134935725"</f>
        <v>20190305134935725</v>
      </c>
      <c r="B1827" t="str">
        <f>"1551764975722474"</f>
        <v>1551764975722474</v>
      </c>
      <c r="C1827" t="s">
        <v>40</v>
      </c>
      <c r="D1827">
        <v>4.4897479999999996</v>
      </c>
      <c r="E1827">
        <v>0.58772860000000005</v>
      </c>
      <c r="F1827" t="s">
        <v>42</v>
      </c>
      <c r="G1827">
        <v>-195.6309</v>
      </c>
      <c r="H1827" s="1">
        <v>-4.1462920000000002E-6</v>
      </c>
      <c r="I1827">
        <v>306.23570000000001</v>
      </c>
      <c r="J1827">
        <v>-192.24430000000001</v>
      </c>
      <c r="K1827">
        <v>1.1087129999999901</v>
      </c>
      <c r="L1827">
        <v>328.90820000000002</v>
      </c>
      <c r="M1827">
        <v>6.8880440000000001E-2</v>
      </c>
      <c r="N1827">
        <v>-1.3626569999999999E-2</v>
      </c>
      <c r="O1827">
        <v>-0.99753199999999997</v>
      </c>
      <c r="P1827">
        <v>7.4755310000000005E-2</v>
      </c>
      <c r="Q1827">
        <v>-0.158957399999999</v>
      </c>
      <c r="R1827">
        <v>-0.98445170000000004</v>
      </c>
      <c r="S1827">
        <v>-0.4531097</v>
      </c>
      <c r="T1827">
        <v>-0.1487089</v>
      </c>
      <c r="U1827">
        <v>-3.0592649999999999</v>
      </c>
      <c r="V1827">
        <v>-7.0875590000000002E-3</v>
      </c>
      <c r="W1827">
        <v>-0.1454741</v>
      </c>
      <c r="X1827">
        <v>0.98933669999999996</v>
      </c>
      <c r="Y1827">
        <v>0.21413299999999999</v>
      </c>
      <c r="Z1827">
        <v>3.3872510000000002E-2</v>
      </c>
      <c r="AA1827">
        <v>0.976217</v>
      </c>
      <c r="AB1827">
        <v>22</v>
      </c>
      <c r="AC1827">
        <v>-3.3865999999999801</v>
      </c>
      <c r="AD1827">
        <v>-1.10871714629199</v>
      </c>
      <c r="AE1827">
        <v>-22.672499999999999</v>
      </c>
      <c r="AF1827">
        <v>4.9288622428698199</v>
      </c>
      <c r="AG1827">
        <v>-1.10871714629199</v>
      </c>
      <c r="AH1827">
        <v>22.3331082657118</v>
      </c>
      <c r="AI1827">
        <v>92.775410259429606</v>
      </c>
      <c r="AJ1827">
        <v>77.5544655575316</v>
      </c>
      <c r="AK1827">
        <v>22.897394208242801</v>
      </c>
      <c r="AL1827">
        <v>98.364734002908094</v>
      </c>
      <c r="AM1827">
        <v>90.410457098042997</v>
      </c>
      <c r="AN1827">
        <v>1.0000000266151301</v>
      </c>
    </row>
    <row r="1828" spans="1:40" x14ac:dyDescent="0.25">
      <c r="A1828" t="str">
        <f>"20190305134935745"</f>
        <v>20190305134935745</v>
      </c>
      <c r="B1828" t="str">
        <f>"1551764975741996"</f>
        <v>1551764975741996</v>
      </c>
      <c r="C1828" t="s">
        <v>40</v>
      </c>
      <c r="D1828">
        <v>4.4771739999999998</v>
      </c>
      <c r="E1828">
        <v>0.58722299999999905</v>
      </c>
      <c r="F1828" t="s">
        <v>42</v>
      </c>
      <c r="G1828">
        <v>-195.48500000000001</v>
      </c>
      <c r="H1828" s="1">
        <v>-4.3773520000000002E-6</v>
      </c>
      <c r="I1828">
        <v>306.99079999999998</v>
      </c>
      <c r="J1828">
        <v>-192.23220000000001</v>
      </c>
      <c r="K1828">
        <v>1.108708</v>
      </c>
      <c r="L1828">
        <v>328.71010000000001</v>
      </c>
      <c r="M1828">
        <v>6.7514599999999994E-2</v>
      </c>
      <c r="N1828">
        <v>-1.3628909999999999E-2</v>
      </c>
      <c r="O1828">
        <v>-0.9976254</v>
      </c>
      <c r="P1828">
        <v>7.0336709999999997E-2</v>
      </c>
      <c r="Q1828">
        <v>-0.159528799999999</v>
      </c>
      <c r="R1828">
        <v>-0.98468460000000002</v>
      </c>
      <c r="S1828">
        <v>-0.45196530000000001</v>
      </c>
      <c r="T1828">
        <v>-0.1546286</v>
      </c>
      <c r="U1828">
        <v>-3.0567319999999998</v>
      </c>
      <c r="V1828">
        <v>-4.0151309999999999E-3</v>
      </c>
      <c r="W1828">
        <v>-0.14605109999999999</v>
      </c>
      <c r="X1828">
        <v>0.98926890000000001</v>
      </c>
      <c r="Y1828">
        <v>0.2125428</v>
      </c>
      <c r="Z1828">
        <v>3.5818790000000003E-2</v>
      </c>
      <c r="AA1828">
        <v>0.976495</v>
      </c>
      <c r="AB1828">
        <v>22</v>
      </c>
      <c r="AC1828">
        <v>-3.2528000000000001</v>
      </c>
      <c r="AD1828">
        <v>-1.108712377352</v>
      </c>
      <c r="AE1828">
        <v>-21.7193</v>
      </c>
      <c r="AF1828">
        <v>4.6999039443745998</v>
      </c>
      <c r="AG1828">
        <v>-1.108712377352</v>
      </c>
      <c r="AH1828">
        <v>21.395571596013799</v>
      </c>
      <c r="AI1828">
        <v>92.897437081869697</v>
      </c>
      <c r="AJ1828">
        <v>77.610773966298098</v>
      </c>
      <c r="AK1828">
        <v>21.933737122118401</v>
      </c>
      <c r="AL1828">
        <v>98.398150788082006</v>
      </c>
      <c r="AM1828">
        <v>90.232544252938098</v>
      </c>
      <c r="AN1828">
        <v>1.0000000007976799</v>
      </c>
    </row>
    <row r="1829" spans="1:40" x14ac:dyDescent="0.25">
      <c r="A1829" t="str">
        <f>"20190305134935767"</f>
        <v>20190305134935767</v>
      </c>
      <c r="B1829" t="str">
        <f>"1551764975762490"</f>
        <v>1551764975762490</v>
      </c>
      <c r="C1829" t="s">
        <v>40</v>
      </c>
      <c r="D1829">
        <v>4.466183</v>
      </c>
      <c r="E1829">
        <v>0.58608450000000001</v>
      </c>
      <c r="F1829" t="s">
        <v>42</v>
      </c>
      <c r="G1829">
        <v>-195.48060000000001</v>
      </c>
      <c r="H1829" s="1">
        <v>-4.4593209999999998E-6</v>
      </c>
      <c r="I1829">
        <v>307.23390000000001</v>
      </c>
      <c r="J1829">
        <v>-192.21979999999999</v>
      </c>
      <c r="K1829">
        <v>1.108708</v>
      </c>
      <c r="L1829">
        <v>328.50049999999999</v>
      </c>
      <c r="M1829">
        <v>6.6064540000000005E-2</v>
      </c>
      <c r="N1829">
        <v>-1.3630939999999999E-2</v>
      </c>
      <c r="O1829">
        <v>-0.99772229999999995</v>
      </c>
      <c r="P1829">
        <v>6.5596829999999995E-2</v>
      </c>
      <c r="Q1829">
        <v>-0.15985750000000001</v>
      </c>
      <c r="R1829">
        <v>-0.98495840000000001</v>
      </c>
      <c r="S1829">
        <v>-0.46194459999999998</v>
      </c>
      <c r="T1829">
        <v>-0.1576678</v>
      </c>
      <c r="U1829">
        <v>-3.0540769999999999</v>
      </c>
      <c r="V1829">
        <v>-7.0218880000000002E-4</v>
      </c>
      <c r="W1829">
        <v>-0.14638579999999901</v>
      </c>
      <c r="X1829">
        <v>0.98922730000000003</v>
      </c>
      <c r="Y1829">
        <v>0.2143582</v>
      </c>
      <c r="Z1829">
        <v>3.6816219999999997E-2</v>
      </c>
      <c r="AA1829">
        <v>0.97606099999999996</v>
      </c>
      <c r="AB1829">
        <v>22</v>
      </c>
      <c r="AC1829">
        <v>-3.2608000000000099</v>
      </c>
      <c r="AD1829">
        <v>-1.108712459321</v>
      </c>
      <c r="AE1829">
        <v>-21.266599999999901</v>
      </c>
      <c r="AF1829">
        <v>4.6464348800927997</v>
      </c>
      <c r="AG1829">
        <v>-1.108712459321</v>
      </c>
      <c r="AH1829">
        <v>20.9490574192188</v>
      </c>
      <c r="AI1829">
        <v>92.957761713555797</v>
      </c>
      <c r="AJ1829">
        <v>77.494419667648302</v>
      </c>
      <c r="AK1829">
        <v>21.4867774960817</v>
      </c>
      <c r="AL1829">
        <v>98.417536265087605</v>
      </c>
      <c r="AM1829">
        <v>90.040670579859693</v>
      </c>
      <c r="AN1829">
        <v>0.99999997328802004</v>
      </c>
    </row>
    <row r="1830" spans="1:40" x14ac:dyDescent="0.25">
      <c r="A1830" t="str">
        <f>"20190305134935790"</f>
        <v>20190305134935790</v>
      </c>
      <c r="B1830" t="str">
        <f>"1551764975782011"</f>
        <v>1551764975782011</v>
      </c>
      <c r="C1830" t="s">
        <v>40</v>
      </c>
      <c r="D1830">
        <v>4.2492919999999996</v>
      </c>
      <c r="E1830">
        <v>0.58571980000000001</v>
      </c>
      <c r="F1830" t="s">
        <v>42</v>
      </c>
      <c r="G1830">
        <v>-195.40450000000001</v>
      </c>
      <c r="H1830" s="1">
        <v>-4.6216699999999997E-6</v>
      </c>
      <c r="I1830">
        <v>307.75069999999999</v>
      </c>
      <c r="J1830">
        <v>-192.20660000000001</v>
      </c>
      <c r="K1830">
        <v>1.1087070000000001</v>
      </c>
      <c r="L1830">
        <v>328.2722</v>
      </c>
      <c r="M1830">
        <v>6.4475729999999995E-2</v>
      </c>
      <c r="N1830">
        <v>-1.3632439999999999E-2</v>
      </c>
      <c r="O1830">
        <v>-0.9978262</v>
      </c>
      <c r="P1830">
        <v>6.0409560000000001E-2</v>
      </c>
      <c r="Q1830">
        <v>-0.1598888</v>
      </c>
      <c r="R1830">
        <v>-0.98528519999999997</v>
      </c>
      <c r="S1830">
        <v>-0.46820070000000003</v>
      </c>
      <c r="T1830">
        <v>-0.16299710000000001</v>
      </c>
      <c r="U1830">
        <v>-3.0505369999999998</v>
      </c>
      <c r="V1830">
        <v>2.9228549999999998E-3</v>
      </c>
      <c r="W1830">
        <v>-0.14642379999999999</v>
      </c>
      <c r="X1830">
        <v>0.98921760000000003</v>
      </c>
      <c r="Y1830">
        <v>0.21491370000000001</v>
      </c>
      <c r="Z1830">
        <v>3.857559E-2</v>
      </c>
      <c r="AA1830">
        <v>0.97587089999999999</v>
      </c>
      <c r="AB1830">
        <v>22</v>
      </c>
      <c r="AC1830">
        <v>-3.1979000000000002</v>
      </c>
      <c r="AD1830">
        <v>-1.1087116216699999</v>
      </c>
      <c r="AE1830">
        <v>-20.5215</v>
      </c>
      <c r="AF1830">
        <v>4.5016779913133798</v>
      </c>
      <c r="AG1830">
        <v>-1.1087116216699999</v>
      </c>
      <c r="AH1830">
        <v>20.2149797950633</v>
      </c>
      <c r="AI1830">
        <v>93.064386288882304</v>
      </c>
      <c r="AJ1830">
        <v>77.445643204278198</v>
      </c>
      <c r="AK1830">
        <v>20.739810855268701</v>
      </c>
      <c r="AL1830">
        <v>98.419737280535998</v>
      </c>
      <c r="AM1830">
        <v>89.830707856104794</v>
      </c>
      <c r="AN1830">
        <v>0.99999996621877496</v>
      </c>
    </row>
    <row r="1831" spans="1:40" x14ac:dyDescent="0.25">
      <c r="A1831" t="str">
        <f>"20190305134935803"</f>
        <v>20190305134935803</v>
      </c>
      <c r="B1831" t="str">
        <f>"1551764975792747"</f>
        <v>1551764975792747</v>
      </c>
      <c r="C1831" t="s">
        <v>40</v>
      </c>
      <c r="D1831">
        <v>4.2630699999999999</v>
      </c>
      <c r="E1831">
        <v>0.59231389999999995</v>
      </c>
      <c r="F1831" t="s">
        <v>42</v>
      </c>
      <c r="G1831">
        <v>-195.50540000000001</v>
      </c>
      <c r="H1831" s="1">
        <v>-4.5125280000000003E-6</v>
      </c>
      <c r="I1831">
        <v>307.37740000000002</v>
      </c>
      <c r="J1831">
        <v>-192.19929999999999</v>
      </c>
      <c r="K1831">
        <v>1.108706</v>
      </c>
      <c r="L1831">
        <v>328.14339999999999</v>
      </c>
      <c r="M1831">
        <v>6.3572500000000004E-2</v>
      </c>
      <c r="N1831">
        <v>-1.3632979999999999E-2</v>
      </c>
      <c r="O1831">
        <v>-0.9978842</v>
      </c>
      <c r="P1831">
        <v>5.8012510000000003E-2</v>
      </c>
      <c r="Q1831">
        <v>-0.16036010000000001</v>
      </c>
      <c r="R1831">
        <v>-0.98535229999999996</v>
      </c>
      <c r="S1831">
        <v>-0.48121639999999999</v>
      </c>
      <c r="T1831">
        <v>-0.16173509999999999</v>
      </c>
      <c r="U1831">
        <v>-3.0480649999999998</v>
      </c>
      <c r="V1831">
        <v>4.4238059999999997E-3</v>
      </c>
      <c r="W1831">
        <v>-0.1468991</v>
      </c>
      <c r="X1831">
        <v>0.98914159999999995</v>
      </c>
      <c r="Y1831">
        <v>0.21821699999999999</v>
      </c>
      <c r="Z1831">
        <v>3.8180180000000001E-2</v>
      </c>
      <c r="AA1831">
        <v>0.97515309999999999</v>
      </c>
      <c r="AB1831">
        <v>22</v>
      </c>
      <c r="AC1831">
        <v>-3.30610000000001</v>
      </c>
      <c r="AD1831">
        <v>-1.1087105125279999</v>
      </c>
      <c r="AE1831">
        <v>-20.765999999999899</v>
      </c>
      <c r="AF1831">
        <v>4.60687280682302</v>
      </c>
      <c r="AG1831">
        <v>-1.1087105125279999</v>
      </c>
      <c r="AH1831">
        <v>20.4569184503973</v>
      </c>
      <c r="AI1831">
        <v>93.026592926761197</v>
      </c>
      <c r="AJ1831">
        <v>77.308777234610304</v>
      </c>
      <c r="AK1831">
        <v>20.9985244373275</v>
      </c>
      <c r="AL1831">
        <v>98.447267284098004</v>
      </c>
      <c r="AM1831">
        <v>89.743753853584096</v>
      </c>
      <c r="AN1831">
        <v>1.0000000102454401</v>
      </c>
    </row>
    <row r="1832" spans="1:40" x14ac:dyDescent="0.25">
      <c r="A1832" t="str">
        <f>"20190305134935823"</f>
        <v>20190305134935823</v>
      </c>
      <c r="B1832" t="str">
        <f>"1551764975812270"</f>
        <v>1551764975812270</v>
      </c>
      <c r="C1832" t="s">
        <v>40</v>
      </c>
      <c r="D1832">
        <v>4.2811839999999997</v>
      </c>
      <c r="E1832">
        <v>0.59286759999999905</v>
      </c>
      <c r="F1832" t="s">
        <v>63</v>
      </c>
      <c r="G1832">
        <v>-229.398</v>
      </c>
      <c r="H1832">
        <v>29.657550000000001</v>
      </c>
      <c r="I1832">
        <v>97.150030000000001</v>
      </c>
      <c r="J1832">
        <v>-192.18889999999999</v>
      </c>
      <c r="K1832">
        <v>1.1087</v>
      </c>
      <c r="L1832">
        <v>327.95620000000002</v>
      </c>
      <c r="M1832">
        <v>6.2254280000000002E-2</v>
      </c>
      <c r="N1832">
        <v>-1.3633559999999999E-2</v>
      </c>
      <c r="O1832">
        <v>-0.99796750000000001</v>
      </c>
      <c r="P1832">
        <v>5.3399960000000003E-2</v>
      </c>
      <c r="Q1832">
        <v>-0.16069029999999901</v>
      </c>
      <c r="R1832">
        <v>-0.98555950000000003</v>
      </c>
      <c r="S1832">
        <v>-0.50524899999999995</v>
      </c>
      <c r="T1832">
        <v>0.38776300000000002</v>
      </c>
      <c r="U1832">
        <v>-3.137451</v>
      </c>
      <c r="V1832">
        <v>7.733925E-3</v>
      </c>
      <c r="W1832">
        <v>-0.14723720000000001</v>
      </c>
      <c r="X1832">
        <v>0.98907100000000003</v>
      </c>
      <c r="Y1832">
        <v>0.21887609999999999</v>
      </c>
      <c r="Z1832">
        <v>-0.13363739999999999</v>
      </c>
      <c r="AA1832">
        <v>0.96655800000000003</v>
      </c>
      <c r="AB1832">
        <v>22</v>
      </c>
      <c r="AC1832">
        <v>-37.209099999999999</v>
      </c>
      <c r="AD1832">
        <v>28.548850000000002</v>
      </c>
      <c r="AE1832">
        <v>-230.80617000000001</v>
      </c>
      <c r="AF1832">
        <v>50.750124218077602</v>
      </c>
      <c r="AG1832">
        <v>28.548850000000002</v>
      </c>
      <c r="AH1832">
        <v>224.69113587936101</v>
      </c>
      <c r="AI1832">
        <v>82.935006028519197</v>
      </c>
      <c r="AJ1832">
        <v>77.2723892474542</v>
      </c>
      <c r="AK1832">
        <v>232.11358962204301</v>
      </c>
      <c r="AL1832">
        <v>98.466851818988005</v>
      </c>
      <c r="AM1832">
        <v>89.551991484246898</v>
      </c>
      <c r="AN1832">
        <v>1.00000002485037</v>
      </c>
    </row>
    <row r="1833" spans="1:40" x14ac:dyDescent="0.25">
      <c r="A1833" t="str">
        <f>"20190305134935837"</f>
        <v>20190305134935837</v>
      </c>
      <c r="B1833" t="str">
        <f>"1551764975832762"</f>
        <v>1551764975832762</v>
      </c>
      <c r="C1833" t="s">
        <v>40</v>
      </c>
      <c r="D1833">
        <v>4.3927480000000001</v>
      </c>
      <c r="E1833">
        <v>0.59995120000000002</v>
      </c>
      <c r="F1833" t="s">
        <v>63</v>
      </c>
      <c r="G1833">
        <v>-230.68440000000001</v>
      </c>
      <c r="H1833">
        <v>30.332059999999998</v>
      </c>
      <c r="I1833">
        <v>97.150030000000001</v>
      </c>
      <c r="J1833">
        <v>-192.1815</v>
      </c>
      <c r="K1833">
        <v>1.1086959999999999</v>
      </c>
      <c r="L1833">
        <v>327.81950000000001</v>
      </c>
      <c r="M1833">
        <v>6.1283020000000001E-2</v>
      </c>
      <c r="N1833">
        <v>-1.3633899999999999E-2</v>
      </c>
      <c r="O1833">
        <v>-0.99802729999999995</v>
      </c>
      <c r="P1833">
        <v>5.1391649999999997E-2</v>
      </c>
      <c r="Q1833">
        <v>-0.16086400000000001</v>
      </c>
      <c r="R1833">
        <v>-0.98563780000000001</v>
      </c>
      <c r="S1833">
        <v>-0.52322389999999996</v>
      </c>
      <c r="T1833">
        <v>0.39719989999999999</v>
      </c>
      <c r="U1833">
        <v>-3.1370849999999999</v>
      </c>
      <c r="V1833">
        <v>8.7805590000000003E-3</v>
      </c>
      <c r="W1833">
        <v>-0.1474134</v>
      </c>
      <c r="X1833">
        <v>0.98903600000000003</v>
      </c>
      <c r="Y1833">
        <v>0.22328029999999999</v>
      </c>
      <c r="Z1833">
        <v>-0.13641739999999999</v>
      </c>
      <c r="AA1833">
        <v>0.96516120000000005</v>
      </c>
      <c r="AB1833">
        <v>22</v>
      </c>
      <c r="AC1833">
        <v>-38.502899999999997</v>
      </c>
      <c r="AD1833">
        <v>29.223364</v>
      </c>
      <c r="AE1833">
        <v>-230.66946999999999</v>
      </c>
      <c r="AF1833">
        <v>51.759718902219603</v>
      </c>
      <c r="AG1833">
        <v>29.223364</v>
      </c>
      <c r="AH1833">
        <v>224.37243236131599</v>
      </c>
      <c r="AI1833">
        <v>82.7671576301248</v>
      </c>
      <c r="AJ1833">
        <v>77.009877007867701</v>
      </c>
      <c r="AK1833">
        <v>232.11217526887</v>
      </c>
      <c r="AL1833">
        <v>98.477058847062096</v>
      </c>
      <c r="AM1833">
        <v>89.491347376877599</v>
      </c>
      <c r="AN1833">
        <v>1.00000000900595</v>
      </c>
    </row>
    <row r="1834" spans="1:40" x14ac:dyDescent="0.25">
      <c r="A1834" t="str">
        <f>"20190305134935857"</f>
        <v>20190305134935857</v>
      </c>
      <c r="B1834" t="str">
        <f>"1551764975852283"</f>
        <v>1551764975852283</v>
      </c>
      <c r="C1834" t="s">
        <v>40</v>
      </c>
      <c r="D1834">
        <v>4.6099269999999999</v>
      </c>
      <c r="E1834">
        <v>0.62731429999999999</v>
      </c>
      <c r="F1834" t="s">
        <v>63</v>
      </c>
      <c r="G1834">
        <v>-235.00210000000001</v>
      </c>
      <c r="H1834">
        <v>32.66769</v>
      </c>
      <c r="I1834">
        <v>97.150030000000001</v>
      </c>
      <c r="J1834">
        <v>-192.17179999999999</v>
      </c>
      <c r="K1834">
        <v>1.1086929999999999</v>
      </c>
      <c r="L1834">
        <v>327.63490000000002</v>
      </c>
      <c r="M1834">
        <v>5.995727E-2</v>
      </c>
      <c r="N1834">
        <v>-1.3634169999999999E-2</v>
      </c>
      <c r="O1834">
        <v>-0.9981082</v>
      </c>
      <c r="P1834">
        <v>4.7041140000000002E-2</v>
      </c>
      <c r="Q1834">
        <v>-0.16103629999999999</v>
      </c>
      <c r="R1834">
        <v>-0.98582709999999996</v>
      </c>
      <c r="S1834">
        <v>-0.5837097</v>
      </c>
      <c r="T1834">
        <v>0.43019770000000002</v>
      </c>
      <c r="U1834">
        <v>-3.1443789999999998</v>
      </c>
      <c r="V1834">
        <v>1.18199E-2</v>
      </c>
      <c r="W1834">
        <v>-0.14759349999999999</v>
      </c>
      <c r="X1834">
        <v>0.98897749999999995</v>
      </c>
      <c r="Y1834">
        <v>0.23938280000000001</v>
      </c>
      <c r="Z1834">
        <v>-0.14567529999999901</v>
      </c>
      <c r="AA1834">
        <v>0.95993470000000003</v>
      </c>
      <c r="AB1834">
        <v>22</v>
      </c>
      <c r="AC1834">
        <v>-42.830300000000001</v>
      </c>
      <c r="AD1834">
        <v>31.558996999999898</v>
      </c>
      <c r="AE1834">
        <v>-230.48487</v>
      </c>
      <c r="AF1834">
        <v>55.566747129162202</v>
      </c>
      <c r="AG1834">
        <v>31.558996999999898</v>
      </c>
      <c r="AH1834">
        <v>223.452399634313</v>
      </c>
      <c r="AI1834">
        <v>82.195699617992105</v>
      </c>
      <c r="AJ1834">
        <v>76.035297200896395</v>
      </c>
      <c r="AK1834">
        <v>232.41043130740701</v>
      </c>
      <c r="AL1834">
        <v>98.487491815812504</v>
      </c>
      <c r="AM1834">
        <v>89.315254248486795</v>
      </c>
      <c r="AN1834">
        <v>1.0000000233922499</v>
      </c>
    </row>
    <row r="1835" spans="1:40" x14ac:dyDescent="0.25">
      <c r="A1835" t="str">
        <f>"20190305134935871"</f>
        <v>20190305134935871</v>
      </c>
      <c r="B1835" t="str">
        <f>"1551764975862043"</f>
        <v>1551764975862043</v>
      </c>
      <c r="C1835" t="s">
        <v>40</v>
      </c>
      <c r="D1835">
        <v>4.570792</v>
      </c>
      <c r="E1835">
        <v>0.63242399999999999</v>
      </c>
      <c r="F1835" t="s">
        <v>62</v>
      </c>
      <c r="G1835">
        <v>-202.33430000000001</v>
      </c>
      <c r="H1835">
        <v>8.0000169999999995E-2</v>
      </c>
      <c r="I1835">
        <v>290.8879</v>
      </c>
      <c r="J1835">
        <v>-192.16409999999999</v>
      </c>
      <c r="K1835">
        <v>1.108687</v>
      </c>
      <c r="L1835">
        <v>327.48750000000001</v>
      </c>
      <c r="M1835">
        <v>5.8885689999999997E-2</v>
      </c>
      <c r="N1835">
        <v>-1.3634139999999999E-2</v>
      </c>
      <c r="O1835">
        <v>-0.99817160000000005</v>
      </c>
      <c r="P1835">
        <v>4.4699299999999997E-2</v>
      </c>
      <c r="Q1835">
        <v>-0.1610306</v>
      </c>
      <c r="R1835">
        <v>-0.9859369</v>
      </c>
      <c r="S1835">
        <v>-0.84892269999999903</v>
      </c>
      <c r="T1835">
        <v>-8.5931300000000002E-2</v>
      </c>
      <c r="U1835">
        <v>-3.0696409999999998</v>
      </c>
      <c r="V1835">
        <v>1.310132E-2</v>
      </c>
      <c r="W1835">
        <v>-0.14759120000000001</v>
      </c>
      <c r="X1835">
        <v>0.98896170000000005</v>
      </c>
      <c r="Y1835">
        <v>0.32273649999999998</v>
      </c>
      <c r="Z1835">
        <v>1.2920299999999999E-2</v>
      </c>
      <c r="AA1835">
        <v>0.94640060000000004</v>
      </c>
      <c r="AB1835">
        <v>22</v>
      </c>
      <c r="AC1835">
        <v>-10.170199999999999</v>
      </c>
      <c r="AD1835">
        <v>-1.0286868300000001</v>
      </c>
      <c r="AE1835">
        <v>-36.599600000000002</v>
      </c>
      <c r="AF1835">
        <v>12.298922374545</v>
      </c>
      <c r="AG1835">
        <v>-1.0286868300000001</v>
      </c>
      <c r="AH1835">
        <v>35.910807972611401</v>
      </c>
      <c r="AI1835">
        <v>91.552351975565998</v>
      </c>
      <c r="AJ1835">
        <v>71.094423883616798</v>
      </c>
      <c r="AK1835">
        <v>37.972461303095301</v>
      </c>
      <c r="AL1835">
        <v>98.487358558427701</v>
      </c>
      <c r="AM1835">
        <v>89.2410156690283</v>
      </c>
      <c r="AN1835">
        <v>1.0000000254850301</v>
      </c>
    </row>
    <row r="1836" spans="1:40" x14ac:dyDescent="0.25">
      <c r="A1836" t="str">
        <f>"20190305134935890"</f>
        <v>20190305134935890</v>
      </c>
      <c r="B1836" t="str">
        <f>"1551764975882539"</f>
        <v>1551764975882539</v>
      </c>
      <c r="C1836" t="s">
        <v>40</v>
      </c>
      <c r="D1836">
        <v>4.4908910000000004</v>
      </c>
      <c r="E1836">
        <v>0.63697119999999996</v>
      </c>
      <c r="F1836" t="s">
        <v>62</v>
      </c>
      <c r="G1836">
        <v>-204.3134</v>
      </c>
      <c r="H1836" s="1">
        <v>4.0169560000000003E-6</v>
      </c>
      <c r="I1836">
        <v>285.90699999999998</v>
      </c>
      <c r="J1836">
        <v>-192.15469999999999</v>
      </c>
      <c r="K1836">
        <v>1.1086819999999999</v>
      </c>
      <c r="L1836">
        <v>327.30079999999998</v>
      </c>
      <c r="M1836">
        <v>5.7508700000000003E-2</v>
      </c>
      <c r="N1836">
        <v>-1.363408E-2</v>
      </c>
      <c r="O1836">
        <v>-0.99825220000000003</v>
      </c>
      <c r="P1836">
        <v>4.0885369999999997E-2</v>
      </c>
      <c r="Q1836">
        <v>-0.1606966</v>
      </c>
      <c r="R1836">
        <v>-0.98615739999999996</v>
      </c>
      <c r="S1836">
        <v>-0.89703369999999905</v>
      </c>
      <c r="T1836">
        <v>-8.1858990000000006E-2</v>
      </c>
      <c r="U1836">
        <v>-3.070068</v>
      </c>
      <c r="V1836">
        <v>1.5555930000000001E-2</v>
      </c>
      <c r="W1836">
        <v>-0.14726330000000001</v>
      </c>
      <c r="X1836">
        <v>0.98897500000000005</v>
      </c>
      <c r="Y1836">
        <v>0.33509480000000003</v>
      </c>
      <c r="Z1836">
        <v>1.154441E-2</v>
      </c>
      <c r="AA1836">
        <v>0.94211369999999905</v>
      </c>
      <c r="AB1836">
        <v>22</v>
      </c>
      <c r="AC1836">
        <v>-12.1587</v>
      </c>
      <c r="AD1836">
        <v>-1.1086779830439999</v>
      </c>
      <c r="AE1836">
        <v>-41.393799999999999</v>
      </c>
      <c r="AF1836">
        <v>14.509715848427501</v>
      </c>
      <c r="AG1836">
        <v>-1.1086779830439999</v>
      </c>
      <c r="AH1836">
        <v>40.599173752988399</v>
      </c>
      <c r="AI1836">
        <v>91.473035220107803</v>
      </c>
      <c r="AJ1836">
        <v>70.333647126185696</v>
      </c>
      <c r="AK1836">
        <v>43.128342540579197</v>
      </c>
      <c r="AL1836">
        <v>98.468363858626105</v>
      </c>
      <c r="AM1836">
        <v>89.098849171107005</v>
      </c>
      <c r="AN1836">
        <v>1.00000000855502</v>
      </c>
    </row>
    <row r="1837" spans="1:40" x14ac:dyDescent="0.25">
      <c r="A1837" t="str">
        <f>"20190305134935904"</f>
        <v>20190305134935904</v>
      </c>
      <c r="B1837" t="str">
        <f>"1551764975902058"</f>
        <v>1551764975902058</v>
      </c>
      <c r="C1837" t="s">
        <v>40</v>
      </c>
      <c r="D1837">
        <v>4.4868870000000003</v>
      </c>
      <c r="E1837">
        <v>0.63724729999999996</v>
      </c>
      <c r="F1837" t="s">
        <v>43</v>
      </c>
      <c r="G1837">
        <v>-213.9787</v>
      </c>
      <c r="H1837">
        <v>-0.05</v>
      </c>
      <c r="I1837">
        <v>256.19760000000002</v>
      </c>
      <c r="J1837">
        <v>-192.14779999999999</v>
      </c>
      <c r="K1837">
        <v>1.1086720000000001</v>
      </c>
      <c r="L1837">
        <v>327.15929999999997</v>
      </c>
      <c r="M1837">
        <v>5.6449399999999997E-2</v>
      </c>
      <c r="N1837">
        <v>-1.3633940000000001E-2</v>
      </c>
      <c r="O1837">
        <v>-0.99831250000000005</v>
      </c>
      <c r="P1837">
        <v>3.877978E-2</v>
      </c>
      <c r="Q1837">
        <v>-0.1603125</v>
      </c>
      <c r="R1837">
        <v>-0.98630459999999998</v>
      </c>
      <c r="S1837">
        <v>-0.94323729999999995</v>
      </c>
      <c r="T1837">
        <v>-5.007839E-2</v>
      </c>
      <c r="U1837">
        <v>-3.0730900000000001</v>
      </c>
      <c r="V1837">
        <v>1.6616039999999999E-2</v>
      </c>
      <c r="W1837">
        <v>-0.1468817</v>
      </c>
      <c r="X1837">
        <v>0.98901450000000002</v>
      </c>
      <c r="Y1837">
        <v>0.34685779999999999</v>
      </c>
      <c r="Z1837">
        <v>1.6447629999999901E-3</v>
      </c>
      <c r="AA1837">
        <v>0.93791630000000004</v>
      </c>
      <c r="AB1837">
        <v>22</v>
      </c>
      <c r="AC1837">
        <v>-21.8309</v>
      </c>
      <c r="AD1837">
        <v>-1.1586719999999999</v>
      </c>
      <c r="AE1837">
        <v>-70.961699999999894</v>
      </c>
      <c r="AF1837">
        <v>25.795917760242698</v>
      </c>
      <c r="AG1837">
        <v>-1.1586719999999999</v>
      </c>
      <c r="AH1837">
        <v>69.599120882526904</v>
      </c>
      <c r="AI1837">
        <v>90.894320280882198</v>
      </c>
      <c r="AJ1837">
        <v>69.663496681765196</v>
      </c>
      <c r="AK1837">
        <v>74.234826877398802</v>
      </c>
      <c r="AL1837">
        <v>98.4462594588787</v>
      </c>
      <c r="AM1837">
        <v>89.037486906337193</v>
      </c>
      <c r="AN1837">
        <v>1.0000000038952099</v>
      </c>
    </row>
    <row r="1838" spans="1:40" x14ac:dyDescent="0.25">
      <c r="A1838" t="str">
        <f>"20190305134935924"</f>
        <v>20190305134935924</v>
      </c>
      <c r="B1838" t="str">
        <f>"1551764975912798"</f>
        <v>1551764975912798</v>
      </c>
      <c r="C1838" t="s">
        <v>40</v>
      </c>
      <c r="D1838">
        <v>4.2566249999999997</v>
      </c>
      <c r="E1838">
        <v>0.63724729999999996</v>
      </c>
      <c r="F1838" t="s">
        <v>43</v>
      </c>
      <c r="G1838">
        <v>-213.5977</v>
      </c>
      <c r="H1838">
        <v>-0.05</v>
      </c>
      <c r="I1838">
        <v>257.9984</v>
      </c>
      <c r="J1838">
        <v>-192.13910000000001</v>
      </c>
      <c r="K1838">
        <v>1.1086689999999999</v>
      </c>
      <c r="L1838">
        <v>326.97669999999999</v>
      </c>
      <c r="M1838">
        <v>5.5066129999999998E-2</v>
      </c>
      <c r="N1838">
        <v>-1.363375E-2</v>
      </c>
      <c r="O1838">
        <v>-0.99838990000000005</v>
      </c>
      <c r="P1838">
        <v>3.5014839999999998E-2</v>
      </c>
      <c r="Q1838">
        <v>-0.160611</v>
      </c>
      <c r="R1838">
        <v>-0.98639710000000003</v>
      </c>
      <c r="S1838">
        <v>-0.95236209999999999</v>
      </c>
      <c r="T1838">
        <v>-5.1444410000000003E-2</v>
      </c>
      <c r="U1838">
        <v>-3.0707089999999999</v>
      </c>
      <c r="V1838">
        <v>1.9007059999999999E-2</v>
      </c>
      <c r="W1838">
        <v>-0.14718800000000001</v>
      </c>
      <c r="X1838">
        <v>0.98892590000000002</v>
      </c>
      <c r="Y1838">
        <v>0.34830480000000003</v>
      </c>
      <c r="Z1838">
        <v>2.069006E-3</v>
      </c>
      <c r="AA1838">
        <v>0.93737910000000002</v>
      </c>
      <c r="AB1838">
        <v>22</v>
      </c>
      <c r="AC1838">
        <v>-21.458599999999901</v>
      </c>
      <c r="AD1838">
        <v>-1.1586689999999999</v>
      </c>
      <c r="AE1838">
        <v>-68.978299999999905</v>
      </c>
      <c r="AF1838">
        <v>25.218267397677</v>
      </c>
      <c r="AG1838">
        <v>-1.1586689999999999</v>
      </c>
      <c r="AH1838">
        <v>67.674458862872498</v>
      </c>
      <c r="AI1838">
        <v>90.919146150538097</v>
      </c>
      <c r="AJ1838">
        <v>69.562551575242495</v>
      </c>
      <c r="AK1838">
        <v>72.229743920180994</v>
      </c>
      <c r="AL1838">
        <v>98.464001978987696</v>
      </c>
      <c r="AM1838">
        <v>88.898916236521103</v>
      </c>
      <c r="AN1838">
        <v>1.0000000056823199</v>
      </c>
    </row>
    <row r="1839" spans="1:40" x14ac:dyDescent="0.25">
      <c r="A1839" t="str">
        <f>"20190305134935946"</f>
        <v>20190305134935946</v>
      </c>
      <c r="B1839" t="str">
        <f>"1551764975942075"</f>
        <v>1551764975942075</v>
      </c>
      <c r="C1839" t="s">
        <v>40</v>
      </c>
      <c r="D1839">
        <v>4.4821519999999904</v>
      </c>
      <c r="E1839">
        <v>0.63685689999999995</v>
      </c>
      <c r="F1839" t="s">
        <v>43</v>
      </c>
      <c r="G1839">
        <v>-213.3058</v>
      </c>
      <c r="H1839">
        <v>-0.05</v>
      </c>
      <c r="I1839">
        <v>259.65960000000001</v>
      </c>
      <c r="J1839">
        <v>-192.12899999999999</v>
      </c>
      <c r="K1839">
        <v>1.10866</v>
      </c>
      <c r="L1839">
        <v>326.75869999999998</v>
      </c>
      <c r="M1839">
        <v>5.3387490000000003E-2</v>
      </c>
      <c r="N1839">
        <v>-1.3633279999999999E-2</v>
      </c>
      <c r="O1839">
        <v>-0.9984809</v>
      </c>
      <c r="P1839">
        <v>3.1446450000000001E-2</v>
      </c>
      <c r="Q1839">
        <v>-0.16086900000000001</v>
      </c>
      <c r="R1839">
        <v>-0.98647490000000004</v>
      </c>
      <c r="S1839">
        <v>-0.96437070000000003</v>
      </c>
      <c r="T1839">
        <v>-5.278981E-2</v>
      </c>
      <c r="U1839">
        <v>-3.0670169999999999</v>
      </c>
      <c r="V1839">
        <v>2.090875E-2</v>
      </c>
      <c r="W1839">
        <v>-0.1474529</v>
      </c>
      <c r="X1839">
        <v>0.98884799999999995</v>
      </c>
      <c r="Y1839">
        <v>0.35038930000000001</v>
      </c>
      <c r="Z1839">
        <v>2.490276E-3</v>
      </c>
      <c r="AA1839">
        <v>0.93660089999999996</v>
      </c>
      <c r="AB1839">
        <v>22</v>
      </c>
      <c r="AC1839">
        <v>-21.176799999999901</v>
      </c>
      <c r="AD1839">
        <v>-1.15866</v>
      </c>
      <c r="AE1839">
        <v>-67.099099999999893</v>
      </c>
      <c r="AF1839">
        <v>24.722474682200598</v>
      </c>
      <c r="AG1839">
        <v>-1.15866</v>
      </c>
      <c r="AH1839">
        <v>65.854851228917198</v>
      </c>
      <c r="AI1839">
        <v>90.943673587229398</v>
      </c>
      <c r="AJ1839">
        <v>69.4234349281855</v>
      </c>
      <c r="AK1839">
        <v>70.352005499420301</v>
      </c>
      <c r="AL1839">
        <v>98.479347536849701</v>
      </c>
      <c r="AM1839">
        <v>88.788686793641503</v>
      </c>
      <c r="AN1839">
        <v>0.99999995032448497</v>
      </c>
    </row>
    <row r="1840" spans="1:40" x14ac:dyDescent="0.25">
      <c r="A1840" t="str">
        <f>"20190305134935968"</f>
        <v>20190305134935968</v>
      </c>
      <c r="B1840" t="str">
        <f>"1551764975962571"</f>
        <v>1551764975962571</v>
      </c>
      <c r="C1840" t="s">
        <v>40</v>
      </c>
      <c r="D1840">
        <v>4.4557120000000001</v>
      </c>
      <c r="E1840">
        <v>0.63630259999999905</v>
      </c>
      <c r="F1840" t="s">
        <v>43</v>
      </c>
      <c r="G1840">
        <v>-214.08150000000001</v>
      </c>
      <c r="H1840">
        <v>-0.05</v>
      </c>
      <c r="I1840">
        <v>257.5829</v>
      </c>
      <c r="J1840">
        <v>-192.11969999999999</v>
      </c>
      <c r="K1840">
        <v>1.108654</v>
      </c>
      <c r="L1840">
        <v>326.54820000000001</v>
      </c>
      <c r="M1840">
        <v>5.1735139999999999E-2</v>
      </c>
      <c r="N1840">
        <v>-1.3632490000000001E-2</v>
      </c>
      <c r="O1840">
        <v>-0.99856780000000001</v>
      </c>
      <c r="P1840">
        <v>2.8480399999999999E-2</v>
      </c>
      <c r="Q1840">
        <v>-0.1609401</v>
      </c>
      <c r="R1840">
        <v>-0.98655309999999896</v>
      </c>
      <c r="S1840">
        <v>-0.97225950000000005</v>
      </c>
      <c r="T1840">
        <v>-5.1316260000000002E-2</v>
      </c>
      <c r="U1840">
        <v>-3.0637509999999999</v>
      </c>
      <c r="V1840">
        <v>2.2236249999999999E-2</v>
      </c>
      <c r="W1840">
        <v>-0.14752950000000001</v>
      </c>
      <c r="X1840">
        <v>0.98880769999999996</v>
      </c>
      <c r="Y1840">
        <v>0.35131869999999998</v>
      </c>
      <c r="Z1840">
        <v>2.0498270000000002E-3</v>
      </c>
      <c r="AA1840">
        <v>0.93625369999999997</v>
      </c>
      <c r="AB1840">
        <v>22</v>
      </c>
      <c r="AC1840">
        <v>-21.9618</v>
      </c>
      <c r="AD1840">
        <v>-1.1586540000000001</v>
      </c>
      <c r="AE1840">
        <v>-68.965299999999999</v>
      </c>
      <c r="AF1840">
        <v>25.494111811011901</v>
      </c>
      <c r="AG1840">
        <v>-1.1586540000000001</v>
      </c>
      <c r="AH1840">
        <v>67.719270520828204</v>
      </c>
      <c r="AI1840">
        <v>90.917372491912104</v>
      </c>
      <c r="AJ1840">
        <v>69.370269595353605</v>
      </c>
      <c r="AK1840">
        <v>72.368444891383504</v>
      </c>
      <c r="AL1840">
        <v>98.483784192651697</v>
      </c>
      <c r="AM1840">
        <v>88.711752974906503</v>
      </c>
      <c r="AN1840">
        <v>1.0000000358818</v>
      </c>
    </row>
    <row r="1841" spans="1:40" x14ac:dyDescent="0.25">
      <c r="A1841" t="str">
        <f>"20190305134935992"</f>
        <v>20190305134935992</v>
      </c>
      <c r="B1841" t="str">
        <f>"1551764975982090"</f>
        <v>1551764975982090</v>
      </c>
      <c r="C1841" t="s">
        <v>40</v>
      </c>
      <c r="D1841">
        <v>4.5094830000000004</v>
      </c>
      <c r="E1841">
        <v>0.63598900000000003</v>
      </c>
      <c r="F1841" t="s">
        <v>43</v>
      </c>
      <c r="G1841">
        <v>-213.80179999999999</v>
      </c>
      <c r="H1841">
        <v>-0.05</v>
      </c>
      <c r="I1841">
        <v>258.65690000000001</v>
      </c>
      <c r="J1841">
        <v>-192.1103</v>
      </c>
      <c r="K1841">
        <v>1.108649</v>
      </c>
      <c r="L1841">
        <v>326.32459999999998</v>
      </c>
      <c r="M1841">
        <v>4.9950189999999998E-2</v>
      </c>
      <c r="N1841">
        <v>-1.3631829999999999E-2</v>
      </c>
      <c r="O1841">
        <v>-0.99865870000000001</v>
      </c>
      <c r="P1841">
        <v>2.5281939999999999E-2</v>
      </c>
      <c r="Q1841">
        <v>-0.16001760000000001</v>
      </c>
      <c r="R1841">
        <v>-0.98679030000000001</v>
      </c>
      <c r="S1841">
        <v>-0.97743230000000003</v>
      </c>
      <c r="T1841">
        <v>-5.2232269999999997E-2</v>
      </c>
      <c r="U1841">
        <v>-3.0605470000000001</v>
      </c>
      <c r="V1841">
        <v>2.3675769999999999E-2</v>
      </c>
      <c r="W1841">
        <v>-0.14661070000000001</v>
      </c>
      <c r="X1841">
        <v>0.98891090000000004</v>
      </c>
      <c r="Y1841">
        <v>0.3513636</v>
      </c>
      <c r="Z1841">
        <v>2.349655E-3</v>
      </c>
      <c r="AA1841">
        <v>0.93623610000000002</v>
      </c>
      <c r="AB1841">
        <v>22</v>
      </c>
      <c r="AC1841">
        <v>-21.691499999999898</v>
      </c>
      <c r="AD1841">
        <v>-1.158649</v>
      </c>
      <c r="AE1841">
        <v>-67.667699999999897</v>
      </c>
      <c r="AF1841">
        <v>25.038089426338999</v>
      </c>
      <c r="AG1841">
        <v>-1.158649</v>
      </c>
      <c r="AH1841">
        <v>66.481944983378298</v>
      </c>
      <c r="AI1841">
        <v>90.934393721593395</v>
      </c>
      <c r="AJ1841">
        <v>69.362879592868893</v>
      </c>
      <c r="AK1841">
        <v>71.049964098509506</v>
      </c>
      <c r="AL1841">
        <v>98.430562369623999</v>
      </c>
      <c r="AM1841">
        <v>88.628529013005505</v>
      </c>
      <c r="AN1841">
        <v>1.0000000037891901</v>
      </c>
    </row>
    <row r="1842" spans="1:40" x14ac:dyDescent="0.25">
      <c r="A1842" t="str">
        <f>"20190305134936012"</f>
        <v>20190305134936012</v>
      </c>
      <c r="B1842" t="str">
        <f>"1551764976002113"</f>
        <v>1551764976002113</v>
      </c>
      <c r="C1842" t="s">
        <v>40</v>
      </c>
      <c r="D1842">
        <v>4.5098449999999897</v>
      </c>
      <c r="E1842">
        <v>0.63572249999999997</v>
      </c>
      <c r="F1842" t="s">
        <v>43</v>
      </c>
      <c r="G1842">
        <v>-215.13030000000001</v>
      </c>
      <c r="H1842">
        <v>-0.05</v>
      </c>
      <c r="I1842">
        <v>254.87700000000001</v>
      </c>
      <c r="J1842">
        <v>-192.102</v>
      </c>
      <c r="K1842">
        <v>1.108643</v>
      </c>
      <c r="L1842">
        <v>326.12020000000001</v>
      </c>
      <c r="M1842">
        <v>4.8297119999999999E-2</v>
      </c>
      <c r="N1842">
        <v>-1.363108E-2</v>
      </c>
      <c r="O1842">
        <v>-0.99874030000000003</v>
      </c>
      <c r="P1842">
        <v>2.2017660000000001E-2</v>
      </c>
      <c r="Q1842">
        <v>-0.158893799999999</v>
      </c>
      <c r="R1842">
        <v>-0.98705050000000005</v>
      </c>
      <c r="S1842">
        <v>-0.98506159999999998</v>
      </c>
      <c r="T1842">
        <v>-4.9580220000000001E-2</v>
      </c>
      <c r="U1842">
        <v>-3.0573429999999999</v>
      </c>
      <c r="V1842">
        <v>2.5314280000000002E-2</v>
      </c>
      <c r="W1842">
        <v>-0.14549049999999999</v>
      </c>
      <c r="X1842">
        <v>0.98903569999999996</v>
      </c>
      <c r="Y1842">
        <v>0.35221839999999999</v>
      </c>
      <c r="Z1842">
        <v>1.5453000000000001E-3</v>
      </c>
      <c r="AA1842">
        <v>0.93591650000000004</v>
      </c>
      <c r="AB1842">
        <v>22</v>
      </c>
      <c r="AC1842">
        <v>-23.028300000000002</v>
      </c>
      <c r="AD1842">
        <v>-1.1586430000000001</v>
      </c>
      <c r="AE1842">
        <v>-71.243200000000002</v>
      </c>
      <c r="AF1842">
        <v>26.436250609964802</v>
      </c>
      <c r="AG1842">
        <v>-1.1586430000000001</v>
      </c>
      <c r="AH1842">
        <v>70.030970704006407</v>
      </c>
      <c r="AI1842">
        <v>90.886786472064301</v>
      </c>
      <c r="AJ1842">
        <v>69.318794001555503</v>
      </c>
      <c r="AK1842">
        <v>74.863573636714193</v>
      </c>
      <c r="AL1842">
        <v>98.365684343807203</v>
      </c>
      <c r="AM1842">
        <v>88.533839768576499</v>
      </c>
      <c r="AN1842">
        <v>0.99999995711832801</v>
      </c>
    </row>
    <row r="1843" spans="1:40" x14ac:dyDescent="0.25">
      <c r="A1843" t="str">
        <f>"20190305134936026"</f>
        <v>20190305134936026</v>
      </c>
      <c r="B1843" t="str">
        <f>"1551764976022609"</f>
        <v>1551764976022609</v>
      </c>
      <c r="C1843" t="s">
        <v>40</v>
      </c>
      <c r="D1843">
        <v>4.2634030000000003</v>
      </c>
      <c r="E1843">
        <v>0.63549899999999904</v>
      </c>
      <c r="F1843" t="s">
        <v>43</v>
      </c>
      <c r="G1843">
        <v>-217.8519</v>
      </c>
      <c r="H1843">
        <v>-0.05</v>
      </c>
      <c r="I1843">
        <v>246.9547</v>
      </c>
      <c r="J1843">
        <v>-192.0968</v>
      </c>
      <c r="K1843">
        <v>1.108641</v>
      </c>
      <c r="L1843">
        <v>325.98649999999998</v>
      </c>
      <c r="M1843">
        <v>4.7208439999999997E-2</v>
      </c>
      <c r="N1843">
        <v>-1.3630400000000001E-2</v>
      </c>
      <c r="O1843">
        <v>-0.99879200000000001</v>
      </c>
      <c r="P1843">
        <v>1.997328E-2</v>
      </c>
      <c r="Q1843">
        <v>-0.1586861</v>
      </c>
      <c r="R1843">
        <v>-0.98712710000000004</v>
      </c>
      <c r="S1843">
        <v>-0.99346920000000005</v>
      </c>
      <c r="T1843">
        <v>-4.4702169999999999E-2</v>
      </c>
      <c r="U1843">
        <v>-3.0543209999999998</v>
      </c>
      <c r="V1843">
        <v>2.6282940000000001E-2</v>
      </c>
      <c r="W1843">
        <v>-0.1452862</v>
      </c>
      <c r="X1843">
        <v>0.98904049999999999</v>
      </c>
      <c r="Y1843">
        <v>0.35380329999999999</v>
      </c>
      <c r="Z1843" s="1">
        <v>4.8316319999999998E-5</v>
      </c>
      <c r="AA1843">
        <v>0.93531980000000003</v>
      </c>
      <c r="AB1843">
        <v>21</v>
      </c>
      <c r="AC1843">
        <v>-25.755099999999999</v>
      </c>
      <c r="AD1843">
        <v>-1.158641</v>
      </c>
      <c r="AE1843">
        <v>-79.031799999999905</v>
      </c>
      <c r="AF1843">
        <v>29.451971748634399</v>
      </c>
      <c r="AG1843">
        <v>-1.158641</v>
      </c>
      <c r="AH1843">
        <v>77.712597638495197</v>
      </c>
      <c r="AI1843">
        <v>90.798746829477807</v>
      </c>
      <c r="AJ1843">
        <v>69.244002746187704</v>
      </c>
      <c r="AK1843">
        <v>83.114432685135299</v>
      </c>
      <c r="AL1843">
        <v>98.353852813322206</v>
      </c>
      <c r="AM1843">
        <v>88.477769916794401</v>
      </c>
      <c r="AN1843">
        <v>0.99999999174286602</v>
      </c>
    </row>
    <row r="1844" spans="1:40" x14ac:dyDescent="0.25">
      <c r="A1844" t="str">
        <f>"20190305134936046"</f>
        <v>20190305134936046</v>
      </c>
      <c r="B1844" t="str">
        <f>"1551764976042129"</f>
        <v>1551764976042129</v>
      </c>
      <c r="C1844" t="s">
        <v>40</v>
      </c>
      <c r="D1844">
        <v>4.5297479999999997</v>
      </c>
      <c r="E1844">
        <v>0.63525909999999997</v>
      </c>
      <c r="F1844" t="s">
        <v>43</v>
      </c>
      <c r="G1844">
        <v>-217.73179999999999</v>
      </c>
      <c r="H1844">
        <v>-0.05</v>
      </c>
      <c r="I1844">
        <v>247.62639999999999</v>
      </c>
      <c r="J1844">
        <v>-192.09</v>
      </c>
      <c r="K1844">
        <v>1.108635</v>
      </c>
      <c r="L1844">
        <v>325.80489999999998</v>
      </c>
      <c r="M1844">
        <v>4.5723060000000003E-2</v>
      </c>
      <c r="N1844">
        <v>-1.3629199999999999E-2</v>
      </c>
      <c r="O1844">
        <v>-0.99886129999999995</v>
      </c>
      <c r="P1844">
        <v>1.650677E-2</v>
      </c>
      <c r="Q1844">
        <v>-0.15890779999999999</v>
      </c>
      <c r="R1844">
        <v>-0.98715540000000002</v>
      </c>
      <c r="S1844">
        <v>-0.99847410000000003</v>
      </c>
      <c r="T1844">
        <v>-4.5128580000000001E-2</v>
      </c>
      <c r="U1844">
        <v>-3.0520939999999999</v>
      </c>
      <c r="V1844">
        <v>2.8277589999999998E-2</v>
      </c>
      <c r="W1844">
        <v>-0.14551559999999999</v>
      </c>
      <c r="X1844">
        <v>0.98895169999999999</v>
      </c>
      <c r="Y1844">
        <v>0.35399899999999901</v>
      </c>
      <c r="Z1844">
        <v>1.9083890000000001E-4</v>
      </c>
      <c r="AA1844">
        <v>0.93524580000000002</v>
      </c>
      <c r="AB1844">
        <v>21</v>
      </c>
      <c r="AC1844">
        <v>-25.6417999999999</v>
      </c>
      <c r="AD1844">
        <v>-1.1586350000000001</v>
      </c>
      <c r="AE1844">
        <v>-78.1784999999999</v>
      </c>
      <c r="AF1844">
        <v>29.184081997084501</v>
      </c>
      <c r="AG1844">
        <v>-1.1586350000000001</v>
      </c>
      <c r="AH1844">
        <v>76.908940025164696</v>
      </c>
      <c r="AI1844">
        <v>90.806960423009201</v>
      </c>
      <c r="AJ1844">
        <v>69.220109179994495</v>
      </c>
      <c r="AK1844">
        <v>82.268086964935193</v>
      </c>
      <c r="AL1844">
        <v>98.367138094801504</v>
      </c>
      <c r="AM1844">
        <v>88.362159416079706</v>
      </c>
      <c r="AN1844">
        <v>0.99999993843622703</v>
      </c>
    </row>
    <row r="1845" spans="1:40" x14ac:dyDescent="0.25">
      <c r="A1845" t="str">
        <f>"20190305134936060"</f>
        <v>20190305134936060</v>
      </c>
      <c r="B1845" t="str">
        <f>"1551764976052865"</f>
        <v>1551764976052865</v>
      </c>
      <c r="C1845" t="s">
        <v>40</v>
      </c>
      <c r="D1845">
        <v>4.4820099999999998</v>
      </c>
      <c r="E1845">
        <v>0.63513839999999999</v>
      </c>
      <c r="F1845" t="s">
        <v>43</v>
      </c>
      <c r="G1845">
        <v>-217.52269999999999</v>
      </c>
      <c r="H1845">
        <v>-0.05</v>
      </c>
      <c r="I1845">
        <v>248.87100000000001</v>
      </c>
      <c r="J1845">
        <v>-192.0849</v>
      </c>
      <c r="K1845">
        <v>1.1086309999999999</v>
      </c>
      <c r="L1845">
        <v>325.66579999999999</v>
      </c>
      <c r="M1845">
        <v>4.4582610000000002E-2</v>
      </c>
      <c r="N1845">
        <v>-1.362821E-2</v>
      </c>
      <c r="O1845">
        <v>-0.99891280000000005</v>
      </c>
      <c r="P1845">
        <v>1.4174580000000001E-2</v>
      </c>
      <c r="Q1845">
        <v>-0.15934889999999999</v>
      </c>
      <c r="R1845">
        <v>-0.98712069999999996</v>
      </c>
      <c r="S1845">
        <v>-1.0077670000000001</v>
      </c>
      <c r="T1845">
        <v>-4.5910720000000002E-2</v>
      </c>
      <c r="U1845">
        <v>-3.048492</v>
      </c>
      <c r="V1845">
        <v>2.947808E-2</v>
      </c>
      <c r="W1845">
        <v>-0.14596219999999999</v>
      </c>
      <c r="X1845">
        <v>0.98885089999999998</v>
      </c>
      <c r="Y1845">
        <v>0.35582829999999999</v>
      </c>
      <c r="Z1845">
        <v>4.3994500000000002E-4</v>
      </c>
      <c r="AA1845">
        <v>0.93455120000000003</v>
      </c>
      <c r="AB1845">
        <v>21</v>
      </c>
      <c r="AC1845">
        <v>-25.4377999999999</v>
      </c>
      <c r="AD1845">
        <v>-1.158631</v>
      </c>
      <c r="AE1845">
        <v>-76.794799999999995</v>
      </c>
      <c r="AF1845">
        <v>28.8306191298459</v>
      </c>
      <c r="AG1845">
        <v>-1.158631</v>
      </c>
      <c r="AH1845">
        <v>75.568739242750695</v>
      </c>
      <c r="AI1845">
        <v>90.820707020444601</v>
      </c>
      <c r="AJ1845">
        <v>69.117389186937999</v>
      </c>
      <c r="AK1845">
        <v>80.889933712071098</v>
      </c>
      <c r="AL1845">
        <v>98.393001924622197</v>
      </c>
      <c r="AM1845">
        <v>88.292493306243699</v>
      </c>
      <c r="AN1845">
        <v>1.00000001173006</v>
      </c>
    </row>
    <row r="1846" spans="1:40" x14ac:dyDescent="0.25">
      <c r="A1846" t="str">
        <f>"20190305134936080"</f>
        <v>20190305134936080</v>
      </c>
      <c r="B1846" t="str">
        <f>"1551764976072385"</f>
        <v>1551764976072385</v>
      </c>
      <c r="C1846" t="s">
        <v>40</v>
      </c>
      <c r="D1846">
        <v>4.514653</v>
      </c>
      <c r="E1846">
        <v>0.63498429999999995</v>
      </c>
      <c r="F1846" t="s">
        <v>43</v>
      </c>
      <c r="G1846">
        <v>-217.30340000000001</v>
      </c>
      <c r="H1846">
        <v>-0.05</v>
      </c>
      <c r="I1846">
        <v>249.9188</v>
      </c>
      <c r="J1846">
        <v>-192.07820000000001</v>
      </c>
      <c r="K1846">
        <v>1.1086240000000001</v>
      </c>
      <c r="L1846">
        <v>325.47430000000003</v>
      </c>
      <c r="M1846">
        <v>4.3011479999999998E-2</v>
      </c>
      <c r="N1846">
        <v>-1.362677E-2</v>
      </c>
      <c r="O1846">
        <v>-0.99898180000000003</v>
      </c>
      <c r="P1846">
        <v>9.9861700000000008E-3</v>
      </c>
      <c r="Q1846">
        <v>-0.16016859999999999</v>
      </c>
      <c r="R1846">
        <v>-0.98703929999999995</v>
      </c>
      <c r="S1846">
        <v>-1.014175</v>
      </c>
      <c r="T1846">
        <v>-4.6594980000000001E-2</v>
      </c>
      <c r="U1846">
        <v>-3.0462039999999999</v>
      </c>
      <c r="V1846">
        <v>3.2106059999999999E-2</v>
      </c>
      <c r="W1846">
        <v>-0.1467927</v>
      </c>
      <c r="X1846">
        <v>0.98864609999999997</v>
      </c>
      <c r="Y1846">
        <v>0.35633809999999999</v>
      </c>
      <c r="Z1846">
        <v>6.6104969999999995E-4</v>
      </c>
      <c r="AA1846">
        <v>0.93435690000000005</v>
      </c>
      <c r="AB1846">
        <v>21</v>
      </c>
      <c r="AC1846">
        <v>-25.225200000000001</v>
      </c>
      <c r="AD1846">
        <v>-1.1586239999999901</v>
      </c>
      <c r="AE1846">
        <v>-75.555499999999995</v>
      </c>
      <c r="AF1846">
        <v>28.445888508875701</v>
      </c>
      <c r="AG1846">
        <v>-1.1586239999999901</v>
      </c>
      <c r="AH1846">
        <v>74.384754855349897</v>
      </c>
      <c r="AI1846">
        <v>90.833513200649705</v>
      </c>
      <c r="AJ1846">
        <v>69.072367584506196</v>
      </c>
      <c r="AK1846">
        <v>79.646737142982005</v>
      </c>
      <c r="AL1846">
        <v>98.441104259340193</v>
      </c>
      <c r="AM1846">
        <v>88.139986111641605</v>
      </c>
      <c r="AN1846">
        <v>1.0000000034536101</v>
      </c>
    </row>
    <row r="1847" spans="1:40" x14ac:dyDescent="0.25">
      <c r="A1847" t="str">
        <f>"20190305134936093"</f>
        <v>20190305134936093</v>
      </c>
      <c r="B1847" t="str">
        <f>"1551764976082145"</f>
        <v>1551764976082145</v>
      </c>
      <c r="C1847" t="s">
        <v>40</v>
      </c>
      <c r="D1847">
        <v>4.5384039999999999</v>
      </c>
      <c r="E1847">
        <v>0.63480499999999995</v>
      </c>
      <c r="F1847" t="s">
        <v>43</v>
      </c>
      <c r="G1847">
        <v>-216.64429999999999</v>
      </c>
      <c r="H1847">
        <v>-0.05</v>
      </c>
      <c r="I1847">
        <v>252.64</v>
      </c>
      <c r="J1847">
        <v>-192.07400000000001</v>
      </c>
      <c r="K1847">
        <v>1.1086240000000001</v>
      </c>
      <c r="L1847">
        <v>325.34660000000002</v>
      </c>
      <c r="M1847">
        <v>4.1963540000000001E-2</v>
      </c>
      <c r="N1847">
        <v>-1.362581E-2</v>
      </c>
      <c r="O1847">
        <v>-0.99902639999999998</v>
      </c>
      <c r="P1847">
        <v>7.2598649999999999E-3</v>
      </c>
      <c r="Q1847">
        <v>-0.16041349999999999</v>
      </c>
      <c r="R1847">
        <v>-0.98702369999999995</v>
      </c>
      <c r="S1847">
        <v>-1.0260009999999999</v>
      </c>
      <c r="T1847">
        <v>-4.8390030000000001E-2</v>
      </c>
      <c r="U1847">
        <v>-3.0419309999999999</v>
      </c>
      <c r="V1847">
        <v>3.3794949999999997E-2</v>
      </c>
      <c r="W1847">
        <v>-0.14704389999999901</v>
      </c>
      <c r="X1847">
        <v>0.98855249999999995</v>
      </c>
      <c r="Y1847">
        <v>0.35901290000000002</v>
      </c>
      <c r="Z1847">
        <v>1.2212530000000001E-3</v>
      </c>
      <c r="AA1847">
        <v>0.93333180000000004</v>
      </c>
      <c r="AB1847">
        <v>21</v>
      </c>
      <c r="AC1847">
        <v>-24.5702999999999</v>
      </c>
      <c r="AD1847">
        <v>-1.1586239999999901</v>
      </c>
      <c r="AE1847">
        <v>-72.706599999999995</v>
      </c>
      <c r="AF1847">
        <v>27.5936730930617</v>
      </c>
      <c r="AG1847">
        <v>-1.1586239999999901</v>
      </c>
      <c r="AH1847">
        <v>71.595074057679994</v>
      </c>
      <c r="AI1847">
        <v>90.865117981135697</v>
      </c>
      <c r="AJ1847">
        <v>68.922688228640396</v>
      </c>
      <c r="AK1847">
        <v>76.737264960805206</v>
      </c>
      <c r="AL1847">
        <v>98.455654659145907</v>
      </c>
      <c r="AM1847">
        <v>88.042031951357401</v>
      </c>
      <c r="AN1847">
        <v>1.0000000262144799</v>
      </c>
    </row>
    <row r="1848" spans="1:40" x14ac:dyDescent="0.25">
      <c r="A1848" t="str">
        <f>"20190305134936108"</f>
        <v>20190305134936108</v>
      </c>
      <c r="B1848" t="str">
        <f>"1551764976102702"</f>
        <v>1551764976102702</v>
      </c>
      <c r="C1848" t="s">
        <v>40</v>
      </c>
      <c r="D1848">
        <v>4.5514510000000001</v>
      </c>
      <c r="E1848">
        <v>0.63430600000000004</v>
      </c>
      <c r="F1848" t="s">
        <v>43</v>
      </c>
      <c r="G1848">
        <v>-215.88910000000001</v>
      </c>
      <c r="H1848">
        <v>-0.05</v>
      </c>
      <c r="I1848">
        <v>255.3014</v>
      </c>
      <c r="J1848">
        <v>-192.0694</v>
      </c>
      <c r="K1848">
        <v>1.1086259999999999</v>
      </c>
      <c r="L1848">
        <v>325.20589999999999</v>
      </c>
      <c r="M1848">
        <v>4.0809640000000001E-2</v>
      </c>
      <c r="N1848">
        <v>-1.3624809999999999E-2</v>
      </c>
      <c r="O1848">
        <v>-0.99907420000000002</v>
      </c>
      <c r="P1848">
        <v>3.9673269999999997E-3</v>
      </c>
      <c r="Q1848">
        <v>-0.16077350000000001</v>
      </c>
      <c r="R1848">
        <v>-0.98698359999999996</v>
      </c>
      <c r="S1848">
        <v>-1.033218</v>
      </c>
      <c r="T1848">
        <v>-5.0266859999999997E-2</v>
      </c>
      <c r="U1848">
        <v>-3.03891</v>
      </c>
      <c r="V1848">
        <v>3.5944440000000001E-2</v>
      </c>
      <c r="W1848">
        <v>-0.14741179999999901</v>
      </c>
      <c r="X1848">
        <v>0.98842189999999996</v>
      </c>
      <c r="Y1848">
        <v>0.36020210000000003</v>
      </c>
      <c r="Z1848">
        <v>1.809916E-3</v>
      </c>
      <c r="AA1848">
        <v>0.93287249999999999</v>
      </c>
      <c r="AB1848">
        <v>21</v>
      </c>
      <c r="AC1848">
        <v>-23.819700000000001</v>
      </c>
      <c r="AD1848">
        <v>-1.1586259999999999</v>
      </c>
      <c r="AE1848">
        <v>-69.904499999999899</v>
      </c>
      <c r="AF1848">
        <v>26.646336376275801</v>
      </c>
      <c r="AG1848">
        <v>-1.1586259999999999</v>
      </c>
      <c r="AH1848">
        <v>68.857143046739395</v>
      </c>
      <c r="AI1848">
        <v>90.8990397326791</v>
      </c>
      <c r="AJ1848">
        <v>68.8445597821284</v>
      </c>
      <c r="AK1848">
        <v>73.842235915799904</v>
      </c>
      <c r="AL1848">
        <v>98.476965837017502</v>
      </c>
      <c r="AM1848">
        <v>87.9173290440241</v>
      </c>
      <c r="AN1848">
        <v>1.00000004697288</v>
      </c>
    </row>
    <row r="1849" spans="1:40" x14ac:dyDescent="0.25">
      <c r="A1849" t="str">
        <f>"20190305134936125"</f>
        <v>20190305134936125</v>
      </c>
      <c r="B1849" t="str">
        <f>"1551764976112462"</f>
        <v>1551764976112462</v>
      </c>
      <c r="C1849" t="s">
        <v>40</v>
      </c>
      <c r="D1849">
        <v>4.520645</v>
      </c>
      <c r="E1849">
        <v>0.63400639999999997</v>
      </c>
      <c r="F1849" t="s">
        <v>43</v>
      </c>
      <c r="G1849">
        <v>-214.82210000000001</v>
      </c>
      <c r="H1849">
        <v>-0.05</v>
      </c>
      <c r="I1849">
        <v>258.78469999999999</v>
      </c>
      <c r="J1849">
        <v>-192.06450000000001</v>
      </c>
      <c r="K1849">
        <v>1.1086290000000001</v>
      </c>
      <c r="L1849">
        <v>325.0498</v>
      </c>
      <c r="M1849">
        <v>3.9533020000000002E-2</v>
      </c>
      <c r="N1849">
        <v>-1.362351E-2</v>
      </c>
      <c r="O1849">
        <v>-0.99912540000000005</v>
      </c>
      <c r="P1849">
        <v>-2.9540460000000001E-3</v>
      </c>
      <c r="Q1849">
        <v>-0.16042210000000001</v>
      </c>
      <c r="R1849">
        <v>-0.98704440000000004</v>
      </c>
      <c r="S1849">
        <v>-1.0396879999999999</v>
      </c>
      <c r="T1849">
        <v>-5.2943589999999999E-2</v>
      </c>
      <c r="U1849">
        <v>-3.035126</v>
      </c>
      <c r="V1849">
        <v>4.1605320000000001E-2</v>
      </c>
      <c r="W1849">
        <v>-0.14707770000000001</v>
      </c>
      <c r="X1849">
        <v>0.9882495</v>
      </c>
      <c r="Y1849">
        <v>0.36114239999999997</v>
      </c>
      <c r="Z1849">
        <v>2.6522149999999999E-3</v>
      </c>
      <c r="AA1849">
        <v>0.93250690000000003</v>
      </c>
      <c r="AB1849">
        <v>21</v>
      </c>
      <c r="AC1849">
        <v>-22.7576</v>
      </c>
      <c r="AD1849">
        <v>-1.1586289999999999</v>
      </c>
      <c r="AE1849">
        <v>-66.265100000000004</v>
      </c>
      <c r="AF1849">
        <v>25.3527758639861</v>
      </c>
      <c r="AG1849">
        <v>-1.1586289999999999</v>
      </c>
      <c r="AH1849">
        <v>65.2956725238856</v>
      </c>
      <c r="AI1849">
        <v>90.947656398113097</v>
      </c>
      <c r="AJ1849">
        <v>68.779978259618602</v>
      </c>
      <c r="AK1849">
        <v>70.0544824798218</v>
      </c>
      <c r="AL1849">
        <v>98.457613079039305</v>
      </c>
      <c r="AM1849">
        <v>87.589270347634795</v>
      </c>
      <c r="AN1849">
        <v>0.99999996336992003</v>
      </c>
    </row>
    <row r="1850" spans="1:40" x14ac:dyDescent="0.25">
      <c r="A1850" t="str">
        <f>"20190305134936140"</f>
        <v>20190305134936140</v>
      </c>
      <c r="B1850" t="str">
        <f>"1551764976131982"</f>
        <v>1551764976131982</v>
      </c>
      <c r="C1850" t="s">
        <v>40</v>
      </c>
      <c r="D1850">
        <v>4.635529</v>
      </c>
      <c r="E1850">
        <v>0.63501830000000004</v>
      </c>
      <c r="F1850" t="s">
        <v>43</v>
      </c>
      <c r="G1850">
        <v>-214.88030000000001</v>
      </c>
      <c r="H1850">
        <v>-0.05</v>
      </c>
      <c r="I1850">
        <v>259.83199999999999</v>
      </c>
      <c r="J1850">
        <v>-192.06</v>
      </c>
      <c r="K1850">
        <v>1.1086339999999999</v>
      </c>
      <c r="L1850">
        <v>324.8974</v>
      </c>
      <c r="M1850">
        <v>3.8290560000000001E-2</v>
      </c>
      <c r="N1850">
        <v>-1.3622169999999999E-2</v>
      </c>
      <c r="O1850">
        <v>-0.9991738</v>
      </c>
      <c r="P1850">
        <v>-8.5000639999999999E-3</v>
      </c>
      <c r="Q1850">
        <v>-0.15999079999999999</v>
      </c>
      <c r="R1850">
        <v>-0.98708200000000001</v>
      </c>
      <c r="S1850">
        <v>-1.0591280000000001</v>
      </c>
      <c r="T1850">
        <v>-5.3784489999999997E-2</v>
      </c>
      <c r="U1850">
        <v>-3.027466</v>
      </c>
      <c r="V1850">
        <v>4.5925569999999999E-2</v>
      </c>
      <c r="W1850">
        <v>-0.1466597</v>
      </c>
      <c r="X1850">
        <v>0.98812029999999995</v>
      </c>
      <c r="Y1850">
        <v>0.36604439999999999</v>
      </c>
      <c r="Z1850">
        <v>2.9220589999999999E-3</v>
      </c>
      <c r="AA1850">
        <v>0.9305928</v>
      </c>
      <c r="AB1850">
        <v>21</v>
      </c>
      <c r="AC1850">
        <v>-22.8203</v>
      </c>
      <c r="AD1850">
        <v>-1.1586339999999999</v>
      </c>
      <c r="AE1850">
        <v>-65.065399999999997</v>
      </c>
      <c r="AF1850">
        <v>25.288042926404302</v>
      </c>
      <c r="AG1850">
        <v>-1.1586339999999999</v>
      </c>
      <c r="AH1850">
        <v>64.125685379918295</v>
      </c>
      <c r="AI1850">
        <v>90.962960757184902</v>
      </c>
      <c r="AJ1850">
        <v>68.478142014639602</v>
      </c>
      <c r="AK1850">
        <v>68.941504721306202</v>
      </c>
      <c r="AL1850">
        <v>98.433400774067493</v>
      </c>
      <c r="AM1850">
        <v>87.338938322452407</v>
      </c>
      <c r="AN1850">
        <v>0.99999997642800198</v>
      </c>
    </row>
    <row r="1851" spans="1:40" x14ac:dyDescent="0.25">
      <c r="A1851" t="str">
        <f>"20190305134936161"</f>
        <v>20190305134936161</v>
      </c>
      <c r="B1851" t="str">
        <f>"1551764976152478"</f>
        <v>1551764976152478</v>
      </c>
      <c r="C1851" t="s">
        <v>40</v>
      </c>
      <c r="D1851">
        <v>4.4964219999999999</v>
      </c>
      <c r="E1851">
        <v>0.68922700000000003</v>
      </c>
      <c r="F1851" t="s">
        <v>43</v>
      </c>
      <c r="G1851">
        <v>-218.41220000000001</v>
      </c>
      <c r="H1851">
        <v>-0.05</v>
      </c>
      <c r="I1851">
        <v>251.43129999999999</v>
      </c>
      <c r="J1851">
        <v>-192.0547</v>
      </c>
      <c r="K1851">
        <v>1.1086389999999999</v>
      </c>
      <c r="L1851">
        <v>324.71140000000003</v>
      </c>
      <c r="M1851">
        <v>3.6783299999999998E-2</v>
      </c>
      <c r="N1851">
        <v>-1.3620449999999999E-2</v>
      </c>
      <c r="O1851">
        <v>-0.99923039999999996</v>
      </c>
      <c r="P1851">
        <v>-2.0814119999999998E-2</v>
      </c>
      <c r="Q1851">
        <v>-0.16000710000000001</v>
      </c>
      <c r="R1851">
        <v>-0.98689649999999995</v>
      </c>
      <c r="S1851">
        <v>-1.084076</v>
      </c>
      <c r="T1851">
        <v>-4.7663810000000001E-2</v>
      </c>
      <c r="U1851">
        <v>-3.0222470000000001</v>
      </c>
      <c r="V1851">
        <v>5.6739949999999997E-2</v>
      </c>
      <c r="W1851">
        <v>-0.14671129999999999</v>
      </c>
      <c r="X1851">
        <v>0.9875507</v>
      </c>
      <c r="Y1851">
        <v>0.37196269999999998</v>
      </c>
      <c r="Z1851">
        <v>1.020275E-3</v>
      </c>
      <c r="AA1851">
        <v>0.92824720000000005</v>
      </c>
      <c r="AB1851">
        <v>21</v>
      </c>
      <c r="AC1851">
        <v>-26.357500000000002</v>
      </c>
      <c r="AD1851">
        <v>-1.158639</v>
      </c>
      <c r="AE1851">
        <v>-73.280100000000004</v>
      </c>
      <c r="AF1851">
        <v>29.028968048125002</v>
      </c>
      <c r="AG1851">
        <v>-1.158639</v>
      </c>
      <c r="AH1851">
        <v>72.244902095995798</v>
      </c>
      <c r="AI1851">
        <v>90.852570905353403</v>
      </c>
      <c r="AJ1851">
        <v>68.109078608754103</v>
      </c>
      <c r="AK1851">
        <v>77.867511255538503</v>
      </c>
      <c r="AL1851">
        <v>98.436389311969194</v>
      </c>
      <c r="AM1851">
        <v>86.711673150168707</v>
      </c>
      <c r="AN1851">
        <v>1.00000000627209</v>
      </c>
    </row>
    <row r="1852" spans="1:40" x14ac:dyDescent="0.25">
      <c r="A1852" t="str">
        <f>"20190305134936181"</f>
        <v>20190305134936181</v>
      </c>
      <c r="B1852" t="str">
        <f>"1551764976171998"</f>
        <v>1551764976171998</v>
      </c>
      <c r="C1852" t="s">
        <v>40</v>
      </c>
      <c r="D1852">
        <v>4.4461130000000004</v>
      </c>
      <c r="E1852">
        <v>0.69300640000000002</v>
      </c>
      <c r="F1852" t="s">
        <v>69</v>
      </c>
      <c r="G1852">
        <v>-232.8389</v>
      </c>
      <c r="H1852">
        <v>7.3499629999999998</v>
      </c>
      <c r="I1852">
        <v>244.15430000000001</v>
      </c>
      <c r="J1852">
        <v>-192.04920000000001</v>
      </c>
      <c r="K1852">
        <v>1.1086400000000001</v>
      </c>
      <c r="L1852">
        <v>324.50779999999997</v>
      </c>
      <c r="M1852">
        <v>3.514395E-2</v>
      </c>
      <c r="N1852">
        <v>-1.3618450000000001E-2</v>
      </c>
      <c r="O1852">
        <v>-0.99928950000000005</v>
      </c>
      <c r="P1852">
        <v>-3.6204029999999998E-2</v>
      </c>
      <c r="Q1852">
        <v>-0.16155890000000001</v>
      </c>
      <c r="R1852">
        <v>-0.98619900000000005</v>
      </c>
      <c r="S1852">
        <v>-1.541885</v>
      </c>
      <c r="T1852">
        <v>0.23595830000000001</v>
      </c>
      <c r="U1852">
        <v>-3.0455320000000001</v>
      </c>
      <c r="V1852">
        <v>7.0479109999999998E-2</v>
      </c>
      <c r="W1852">
        <v>-0.1483129</v>
      </c>
      <c r="X1852">
        <v>0.98642589999999997</v>
      </c>
      <c r="Y1852">
        <v>0.48141260000000002</v>
      </c>
      <c r="Z1852">
        <v>-8.1985459999999996E-2</v>
      </c>
      <c r="AA1852">
        <v>0.87265130000000002</v>
      </c>
      <c r="AB1852">
        <v>21</v>
      </c>
      <c r="AC1852">
        <v>-40.789699999999897</v>
      </c>
      <c r="AD1852">
        <v>6.2413230000000004</v>
      </c>
      <c r="AE1852">
        <v>-80.353499999999897</v>
      </c>
      <c r="AF1852">
        <v>43.380601582299199</v>
      </c>
      <c r="AG1852">
        <v>6.2413230000000004</v>
      </c>
      <c r="AH1852">
        <v>78.493673603112896</v>
      </c>
      <c r="AI1852">
        <v>86.019047418226194</v>
      </c>
      <c r="AJ1852">
        <v>61.072165745723801</v>
      </c>
      <c r="AK1852">
        <v>89.900431045376706</v>
      </c>
      <c r="AL1852">
        <v>98.5291689527334</v>
      </c>
      <c r="AM1852">
        <v>85.913220664562004</v>
      </c>
      <c r="AN1852">
        <v>1.0000000387218</v>
      </c>
    </row>
    <row r="1853" spans="1:40" x14ac:dyDescent="0.25">
      <c r="A1853" t="str">
        <f>"20190305134936203"</f>
        <v>20190305134936203</v>
      </c>
      <c r="B1853" t="str">
        <f>"1551764976192497"</f>
        <v>1551764976192497</v>
      </c>
      <c r="C1853" t="s">
        <v>40</v>
      </c>
      <c r="D1853">
        <v>4.4926839999999997</v>
      </c>
      <c r="E1853">
        <v>0.69051870000000004</v>
      </c>
      <c r="F1853" t="s">
        <v>69</v>
      </c>
      <c r="G1853">
        <v>-232.8391</v>
      </c>
      <c r="H1853">
        <v>7.8154289999999902</v>
      </c>
      <c r="I1853">
        <v>248.16460000000001</v>
      </c>
      <c r="J1853">
        <v>-192.04390000000001</v>
      </c>
      <c r="K1853">
        <v>1.1086469999999999</v>
      </c>
      <c r="L1853">
        <v>324.29969999999997</v>
      </c>
      <c r="M1853">
        <v>3.3481990000000003E-2</v>
      </c>
      <c r="N1853">
        <v>-1.361629E-2</v>
      </c>
      <c r="O1853">
        <v>-0.99934670000000003</v>
      </c>
      <c r="P1853">
        <v>-5.2589610000000002E-2</v>
      </c>
      <c r="Q1853">
        <v>-0.16299629999999901</v>
      </c>
      <c r="R1853">
        <v>-0.9852244</v>
      </c>
      <c r="S1853">
        <v>-1.6168819999999999</v>
      </c>
      <c r="T1853">
        <v>0.26585170000000002</v>
      </c>
      <c r="U1853">
        <v>-3.0261840000000002</v>
      </c>
      <c r="V1853">
        <v>8.5186849999999995E-2</v>
      </c>
      <c r="W1853">
        <v>-0.14980489999999999</v>
      </c>
      <c r="X1853">
        <v>0.98503890000000005</v>
      </c>
      <c r="Y1853">
        <v>0.49879519999999999</v>
      </c>
      <c r="Z1853">
        <v>-9.0196979999999996E-2</v>
      </c>
      <c r="AA1853">
        <v>0.8620139</v>
      </c>
      <c r="AB1853">
        <v>21</v>
      </c>
      <c r="AC1853">
        <v>-40.795200000000001</v>
      </c>
      <c r="AD1853">
        <v>6.7067819999999898</v>
      </c>
      <c r="AE1853">
        <v>-76.135099999999895</v>
      </c>
      <c r="AF1853">
        <v>43.062093479734202</v>
      </c>
      <c r="AG1853">
        <v>6.7067819999999898</v>
      </c>
      <c r="AH1853">
        <v>74.278550908505593</v>
      </c>
      <c r="AI1853">
        <v>85.5334361594971</v>
      </c>
      <c r="AJ1853">
        <v>59.897503836783102</v>
      </c>
      <c r="AK1853">
        <v>86.119846404416805</v>
      </c>
      <c r="AL1853">
        <v>98.615620653246594</v>
      </c>
      <c r="AM1853">
        <v>85.057318569114699</v>
      </c>
      <c r="AN1853">
        <v>0.99999997099506999</v>
      </c>
    </row>
    <row r="1854" spans="1:40" x14ac:dyDescent="0.25">
      <c r="A1854" t="str">
        <f>"20190305134936225"</f>
        <v>20190305134936225</v>
      </c>
      <c r="B1854" t="str">
        <f>"1551764976222750"</f>
        <v>1551764976222750</v>
      </c>
      <c r="C1854" t="s">
        <v>40</v>
      </c>
      <c r="D1854">
        <v>4.5232250000000001</v>
      </c>
      <c r="E1854">
        <v>0.68676250000000005</v>
      </c>
      <c r="F1854" t="s">
        <v>69</v>
      </c>
      <c r="G1854">
        <v>-233.2928</v>
      </c>
      <c r="H1854">
        <v>7.4408070000000004</v>
      </c>
      <c r="I1854">
        <v>249.1627</v>
      </c>
      <c r="J1854">
        <v>-192.03899999999999</v>
      </c>
      <c r="K1854">
        <v>1.1086590000000001</v>
      </c>
      <c r="L1854">
        <v>324.09289999999999</v>
      </c>
      <c r="M1854">
        <v>3.1841229999999998E-2</v>
      </c>
      <c r="N1854">
        <v>-1.361396E-2</v>
      </c>
      <c r="O1854">
        <v>-0.99940019999999996</v>
      </c>
      <c r="P1854">
        <v>-7.1435730000000003E-2</v>
      </c>
      <c r="Q1854">
        <v>-0.16309079999999901</v>
      </c>
      <c r="R1854">
        <v>-0.98402160000000005</v>
      </c>
      <c r="S1854">
        <v>-1.6463779999999999</v>
      </c>
      <c r="T1854">
        <v>0.25273679999999998</v>
      </c>
      <c r="U1854">
        <v>-2.9989620000000001</v>
      </c>
      <c r="V1854">
        <v>0.1023758</v>
      </c>
      <c r="W1854">
        <v>-0.14996279999999901</v>
      </c>
      <c r="X1854">
        <v>0.98337699999999995</v>
      </c>
      <c r="Y1854">
        <v>0.50728109999999904</v>
      </c>
      <c r="Z1854">
        <v>-8.6675310000000005E-2</v>
      </c>
      <c r="AA1854">
        <v>0.85741080000000003</v>
      </c>
      <c r="AB1854">
        <v>21</v>
      </c>
      <c r="AC1854">
        <v>-41.253799999999899</v>
      </c>
      <c r="AD1854">
        <v>6.3321480000000001</v>
      </c>
      <c r="AE1854">
        <v>-74.9301999999999</v>
      </c>
      <c r="AF1854">
        <v>43.381226882122903</v>
      </c>
      <c r="AG1854">
        <v>6.3321480000000001</v>
      </c>
      <c r="AH1854">
        <v>73.1774710920335</v>
      </c>
      <c r="AI1854">
        <v>85.743054837006895</v>
      </c>
      <c r="AJ1854">
        <v>59.339598052256299</v>
      </c>
      <c r="AK1854">
        <v>85.305153534341201</v>
      </c>
      <c r="AL1854">
        <v>98.624770901801696</v>
      </c>
      <c r="AM1854">
        <v>84.056555193317095</v>
      </c>
      <c r="AN1854">
        <v>0.99999998496923903</v>
      </c>
    </row>
    <row r="1855" spans="1:40" x14ac:dyDescent="0.25">
      <c r="A1855" t="str">
        <f>"20190305134936248"</f>
        <v>20190305134936248</v>
      </c>
      <c r="B1855" t="str">
        <f>"1551764976242270"</f>
        <v>1551764976242270</v>
      </c>
      <c r="C1855" t="s">
        <v>40</v>
      </c>
      <c r="D1855">
        <v>4.285488</v>
      </c>
      <c r="E1855">
        <v>0.68497339999999995</v>
      </c>
      <c r="F1855" t="s">
        <v>70</v>
      </c>
      <c r="G1855">
        <v>-232.9888</v>
      </c>
      <c r="H1855">
        <v>6.9674490000000002</v>
      </c>
      <c r="I1855">
        <v>251.46010000000001</v>
      </c>
      <c r="J1855">
        <v>-192.0343</v>
      </c>
      <c r="K1855">
        <v>1.108668</v>
      </c>
      <c r="L1855">
        <v>323.88099999999997</v>
      </c>
      <c r="M1855">
        <v>3.017121E-2</v>
      </c>
      <c r="N1855">
        <v>-1.361163E-2</v>
      </c>
      <c r="O1855">
        <v>-0.99945209999999995</v>
      </c>
      <c r="P1855">
        <v>-9.0208369999999996E-2</v>
      </c>
      <c r="Q1855">
        <v>-0.16228000000000001</v>
      </c>
      <c r="R1855">
        <v>-0.98261259999999995</v>
      </c>
      <c r="S1855">
        <v>-1.6727289999999999</v>
      </c>
      <c r="T1855">
        <v>0.23932139999999999</v>
      </c>
      <c r="U1855">
        <v>-2.9669189999999999</v>
      </c>
      <c r="V1855">
        <v>0.11946379999999999</v>
      </c>
      <c r="W1855">
        <v>-0.149216299999999</v>
      </c>
      <c r="X1855">
        <v>0.98156140000000003</v>
      </c>
      <c r="Y1855">
        <v>0.51565660000000002</v>
      </c>
      <c r="Z1855">
        <v>-8.3149749999999994E-2</v>
      </c>
      <c r="AA1855">
        <v>0.85275109999999998</v>
      </c>
      <c r="AB1855">
        <v>21</v>
      </c>
      <c r="AC1855">
        <v>-40.954500000000003</v>
      </c>
      <c r="AD1855">
        <v>5.8587809999999996</v>
      </c>
      <c r="AE1855">
        <v>-72.420899999999904</v>
      </c>
      <c r="AF1855">
        <v>42.908305329420898</v>
      </c>
      <c r="AG1855">
        <v>5.8587809999999996</v>
      </c>
      <c r="AH1855">
        <v>70.801072139297901</v>
      </c>
      <c r="AI1855">
        <v>85.952031509442605</v>
      </c>
      <c r="AJ1855">
        <v>58.782446770198803</v>
      </c>
      <c r="AK1855">
        <v>82.995420338250199</v>
      </c>
      <c r="AL1855">
        <v>98.581513233442607</v>
      </c>
      <c r="AM1855">
        <v>83.060778478665</v>
      </c>
      <c r="AN1855">
        <v>0.99999994283304305</v>
      </c>
    </row>
    <row r="1856" spans="1:40" x14ac:dyDescent="0.25">
      <c r="A1856" t="str">
        <f>"20190305134936271"</f>
        <v>20190305134936271</v>
      </c>
      <c r="B1856" t="str">
        <f>"1551764976262766"</f>
        <v>1551764976262766</v>
      </c>
      <c r="C1856" t="s">
        <v>40</v>
      </c>
      <c r="D1856">
        <v>4.5722009999999997</v>
      </c>
      <c r="E1856">
        <v>0.68267199999999995</v>
      </c>
      <c r="F1856" t="s">
        <v>70</v>
      </c>
      <c r="G1856">
        <v>-233.3022</v>
      </c>
      <c r="H1856">
        <v>6.8886320000000003</v>
      </c>
      <c r="I1856">
        <v>253.1704</v>
      </c>
      <c r="J1856">
        <v>-192.02969999999999</v>
      </c>
      <c r="K1856">
        <v>1.1086739999999999</v>
      </c>
      <c r="L1856">
        <v>323.65609999999998</v>
      </c>
      <c r="M1856">
        <v>2.8408260000000001E-2</v>
      </c>
      <c r="N1856">
        <v>-1.360922E-2</v>
      </c>
      <c r="O1856">
        <v>-0.99950399999999995</v>
      </c>
      <c r="P1856">
        <v>-0.10838780000000001</v>
      </c>
      <c r="Q1856">
        <v>-0.1617219</v>
      </c>
      <c r="R1856">
        <v>-0.98086629999999997</v>
      </c>
      <c r="S1856">
        <v>-1.713165</v>
      </c>
      <c r="T1856">
        <v>0.23994509999999999</v>
      </c>
      <c r="U1856">
        <v>-2.935425</v>
      </c>
      <c r="V1856">
        <v>0.13586319999999999</v>
      </c>
      <c r="W1856">
        <v>-0.1487241</v>
      </c>
      <c r="X1856">
        <v>0.97950110000000001</v>
      </c>
      <c r="Y1856">
        <v>0.52681239999999996</v>
      </c>
      <c r="Z1856">
        <v>-8.3494600000000002E-2</v>
      </c>
      <c r="AA1856">
        <v>0.84587080000000003</v>
      </c>
      <c r="AB1856">
        <v>21</v>
      </c>
      <c r="AC1856">
        <v>-41.272500000000001</v>
      </c>
      <c r="AD1856">
        <v>5.7799579999999997</v>
      </c>
      <c r="AE1856">
        <v>-70.485699999999895</v>
      </c>
      <c r="AF1856">
        <v>43.042865921748898</v>
      </c>
      <c r="AG1856">
        <v>5.7799579999999997</v>
      </c>
      <c r="AH1856">
        <v>68.9394485014152</v>
      </c>
      <c r="AI1856">
        <v>85.932109231606802</v>
      </c>
      <c r="AJ1856">
        <v>58.021093860088499</v>
      </c>
      <c r="AK1856">
        <v>81.478486614066995</v>
      </c>
      <c r="AL1856">
        <v>98.552993219935104</v>
      </c>
      <c r="AM1856">
        <v>82.103088135968505</v>
      </c>
      <c r="AN1856">
        <v>1.00000003596812</v>
      </c>
    </row>
    <row r="1857" spans="1:40" x14ac:dyDescent="0.25">
      <c r="A1857" t="str">
        <f>"20190305134936293"</f>
        <v>20190305134936293</v>
      </c>
      <c r="B1857" t="str">
        <f>"1551764976282286"</f>
        <v>1551764976282286</v>
      </c>
      <c r="C1857" t="s">
        <v>40</v>
      </c>
      <c r="D1857">
        <v>4.5970630000000003</v>
      </c>
      <c r="E1857">
        <v>0.6795561</v>
      </c>
      <c r="F1857" t="s">
        <v>70</v>
      </c>
      <c r="G1857">
        <v>-232.98869999999999</v>
      </c>
      <c r="H1857">
        <v>6.5890079999999998</v>
      </c>
      <c r="I1857">
        <v>255.60380000000001</v>
      </c>
      <c r="J1857">
        <v>-192.0258</v>
      </c>
      <c r="K1857">
        <v>1.1086800000000001</v>
      </c>
      <c r="L1857">
        <v>323.44920000000002</v>
      </c>
      <c r="M1857">
        <v>2.6791829999999999E-2</v>
      </c>
      <c r="N1857">
        <v>-1.360715E-2</v>
      </c>
      <c r="O1857">
        <v>-0.99954869999999996</v>
      </c>
      <c r="P1857">
        <v>-0.1240535</v>
      </c>
      <c r="Q1857">
        <v>-0.1612574</v>
      </c>
      <c r="R1857">
        <v>-0.97908479999999998</v>
      </c>
      <c r="S1857">
        <v>-1.747787</v>
      </c>
      <c r="T1857">
        <v>0.2338548</v>
      </c>
      <c r="U1857">
        <v>-2.9039000000000001</v>
      </c>
      <c r="V1857">
        <v>0.149897799999999</v>
      </c>
      <c r="W1857">
        <v>-0.14831939999999999</v>
      </c>
      <c r="X1857">
        <v>0.97751319999999997</v>
      </c>
      <c r="Y1857">
        <v>0.5368965</v>
      </c>
      <c r="Z1857">
        <v>-8.1939239999999997E-2</v>
      </c>
      <c r="AA1857">
        <v>0.839659499999999</v>
      </c>
      <c r="AB1857">
        <v>21</v>
      </c>
      <c r="AC1857">
        <v>-40.962899999999898</v>
      </c>
      <c r="AD1857">
        <v>5.4803280000000001</v>
      </c>
      <c r="AE1857">
        <v>-67.845399999999998</v>
      </c>
      <c r="AF1857">
        <v>42.562539627625704</v>
      </c>
      <c r="AG1857">
        <v>5.4803280000000001</v>
      </c>
      <c r="AH1857">
        <v>66.405932137005394</v>
      </c>
      <c r="AI1857">
        <v>86.025425976570006</v>
      </c>
      <c r="AJ1857">
        <v>57.3423685980502</v>
      </c>
      <c r="AK1857">
        <v>79.065489295427497</v>
      </c>
      <c r="AL1857">
        <v>98.529545653809507</v>
      </c>
      <c r="AM1857">
        <v>81.281830477632795</v>
      </c>
      <c r="AN1857">
        <v>1.0000000255177099</v>
      </c>
    </row>
    <row r="1858" spans="1:40" x14ac:dyDescent="0.25">
      <c r="A1858" t="str">
        <f>"20190305134936314"</f>
        <v>20190305134936314</v>
      </c>
      <c r="B1858" t="str">
        <f>"1551764976312542"</f>
        <v>1551764976312542</v>
      </c>
      <c r="C1858" t="s">
        <v>40</v>
      </c>
      <c r="D1858">
        <v>4.6221569999999996</v>
      </c>
      <c r="E1858">
        <v>0.67332190000000003</v>
      </c>
      <c r="F1858" t="s">
        <v>70</v>
      </c>
      <c r="G1858">
        <v>-233.20179999999999</v>
      </c>
      <c r="H1858">
        <v>6.2881780000000003</v>
      </c>
      <c r="I1858">
        <v>256.46890000000002</v>
      </c>
      <c r="J1858">
        <v>-192.0223</v>
      </c>
      <c r="K1858">
        <v>1.1086750000000001</v>
      </c>
      <c r="L1858">
        <v>323.24610000000001</v>
      </c>
      <c r="M1858">
        <v>2.5206940000000001E-2</v>
      </c>
      <c r="N1858">
        <v>-1.3604979999999999E-2</v>
      </c>
      <c r="O1858">
        <v>-0.99958990000000003</v>
      </c>
      <c r="P1858">
        <v>-0.13747690000000001</v>
      </c>
      <c r="Q1858">
        <v>-0.1610327</v>
      </c>
      <c r="R1858">
        <v>-0.97732770000000002</v>
      </c>
      <c r="S1858">
        <v>-1.7684329999999999</v>
      </c>
      <c r="T1858">
        <v>0.22245010000000001</v>
      </c>
      <c r="U1858">
        <v>-2.8766780000000001</v>
      </c>
      <c r="V1858">
        <v>0.1617275</v>
      </c>
      <c r="W1858">
        <v>-0.14814849999999999</v>
      </c>
      <c r="X1858">
        <v>0.97565170000000001</v>
      </c>
      <c r="Y1858">
        <v>0.5435548</v>
      </c>
      <c r="Z1858">
        <v>-7.8887269999999995E-2</v>
      </c>
      <c r="AA1858">
        <v>0.83565840000000002</v>
      </c>
      <c r="AB1858">
        <v>21</v>
      </c>
      <c r="AC1858">
        <v>-41.179499999999898</v>
      </c>
      <c r="AD1858">
        <v>5.1795029999999898</v>
      </c>
      <c r="AE1858">
        <v>-66.777199999999993</v>
      </c>
      <c r="AF1858">
        <v>42.663860463726003</v>
      </c>
      <c r="AG1858">
        <v>5.1795029999999898</v>
      </c>
      <c r="AH1858">
        <v>65.4326748035148</v>
      </c>
      <c r="AI1858">
        <v>86.206394626790498</v>
      </c>
      <c r="AJ1858">
        <v>56.894570342563902</v>
      </c>
      <c r="AK1858">
        <v>78.284527034004697</v>
      </c>
      <c r="AL1858">
        <v>98.519644630034904</v>
      </c>
      <c r="AM1858">
        <v>80.588030811001801</v>
      </c>
      <c r="AN1858">
        <v>1.00000000101069</v>
      </c>
    </row>
    <row r="1859" spans="1:40" x14ac:dyDescent="0.25">
      <c r="A1859" t="str">
        <f>"20190305134936329"</f>
        <v>20190305134936329</v>
      </c>
      <c r="B1859" t="str">
        <f>"1551764976322301"</f>
        <v>1551764976322301</v>
      </c>
      <c r="C1859" t="s">
        <v>40</v>
      </c>
      <c r="D1859">
        <v>4.5949210000000003</v>
      </c>
      <c r="E1859">
        <v>0.67061669999999995</v>
      </c>
      <c r="F1859" t="s">
        <v>70</v>
      </c>
      <c r="G1859">
        <v>-232.3629</v>
      </c>
      <c r="H1859">
        <v>5.471686</v>
      </c>
      <c r="I1859">
        <v>257.78289999999998</v>
      </c>
      <c r="J1859">
        <v>-192.02</v>
      </c>
      <c r="K1859">
        <v>1.1086750000000001</v>
      </c>
      <c r="L1859">
        <v>323.10550000000001</v>
      </c>
      <c r="M1859">
        <v>2.411027E-2</v>
      </c>
      <c r="N1859">
        <v>-1.3603469999999999E-2</v>
      </c>
      <c r="O1859">
        <v>-0.99961690000000003</v>
      </c>
      <c r="P1859">
        <v>-0.1495301</v>
      </c>
      <c r="Q1859">
        <v>-0.1611785</v>
      </c>
      <c r="R1859">
        <v>-0.97553190000000001</v>
      </c>
      <c r="S1859">
        <v>-1.7584689999999901</v>
      </c>
      <c r="T1859">
        <v>0.19018640000000001</v>
      </c>
      <c r="U1859">
        <v>-2.853577</v>
      </c>
      <c r="V1859">
        <v>0.17266589999999901</v>
      </c>
      <c r="W1859">
        <v>-0.14834639999999999</v>
      </c>
      <c r="X1859">
        <v>0.97374530000000004</v>
      </c>
      <c r="Y1859">
        <v>0.54385719999999904</v>
      </c>
      <c r="Z1859">
        <v>-6.9896360000000005E-2</v>
      </c>
      <c r="AA1859">
        <v>0.8362619</v>
      </c>
      <c r="AB1859">
        <v>21</v>
      </c>
      <c r="AC1859">
        <v>-40.342899999999901</v>
      </c>
      <c r="AD1859">
        <v>4.3630110000000002</v>
      </c>
      <c r="AE1859">
        <v>-65.322599999999994</v>
      </c>
      <c r="AF1859">
        <v>41.7713658556385</v>
      </c>
      <c r="AG1859">
        <v>4.3630110000000002</v>
      </c>
      <c r="AH1859">
        <v>64.123759612710202</v>
      </c>
      <c r="AI1859">
        <v>86.737034694524795</v>
      </c>
      <c r="AJ1859">
        <v>56.919058295967197</v>
      </c>
      <c r="AK1859">
        <v>76.653371858649294</v>
      </c>
      <c r="AL1859">
        <v>98.531109834569804</v>
      </c>
      <c r="AM1859">
        <v>79.944750271370594</v>
      </c>
      <c r="AN1859">
        <v>1.00000003834392</v>
      </c>
    </row>
    <row r="1860" spans="1:40" x14ac:dyDescent="0.25">
      <c r="A1860" t="str">
        <f>"20190305134936363"</f>
        <v>20190305134936363</v>
      </c>
      <c r="B1860" t="str">
        <f>"1551764976352558"</f>
        <v>1551764976352558</v>
      </c>
      <c r="C1860" t="s">
        <v>40</v>
      </c>
      <c r="D1860">
        <v>4.5924500000000004</v>
      </c>
      <c r="E1860">
        <v>0.664031699999999</v>
      </c>
      <c r="F1860" t="s">
        <v>70</v>
      </c>
      <c r="G1860">
        <v>-232.36279999999999</v>
      </c>
      <c r="H1860">
        <v>5.1543010000000002</v>
      </c>
      <c r="I1860">
        <v>258.59960000000001</v>
      </c>
      <c r="J1860">
        <v>-192.01570000000001</v>
      </c>
      <c r="K1860">
        <v>1.1086910000000001</v>
      </c>
      <c r="L1860">
        <v>322.79910000000001</v>
      </c>
      <c r="M1860">
        <v>2.1714290000000001E-2</v>
      </c>
      <c r="N1860">
        <v>-1.3600360000000001E-2</v>
      </c>
      <c r="O1860">
        <v>-0.99967189999999995</v>
      </c>
      <c r="P1860">
        <v>-0.1659979</v>
      </c>
      <c r="Q1860">
        <v>-0.15956419999999999</v>
      </c>
      <c r="R1860">
        <v>-0.97313110000000003</v>
      </c>
      <c r="S1860">
        <v>-1.771774</v>
      </c>
      <c r="T1860">
        <v>0.17767620000000001</v>
      </c>
      <c r="U1860">
        <v>-2.8329770000000001</v>
      </c>
      <c r="V1860">
        <v>0.18675230000000001</v>
      </c>
      <c r="W1860">
        <v>-0.14679929999999999</v>
      </c>
      <c r="X1860">
        <v>0.97137709999999999</v>
      </c>
      <c r="Y1860">
        <v>0.54749869999999901</v>
      </c>
      <c r="Z1860">
        <v>-6.6402610000000001E-2</v>
      </c>
      <c r="AA1860">
        <v>0.83416780000000001</v>
      </c>
      <c r="AB1860">
        <v>21</v>
      </c>
      <c r="AC1860">
        <v>-40.347099999999898</v>
      </c>
      <c r="AD1860">
        <v>4.0456099999999999</v>
      </c>
      <c r="AE1860">
        <v>-64.1995</v>
      </c>
      <c r="AF1860">
        <v>41.613300026232203</v>
      </c>
      <c r="AG1860">
        <v>4.0456099999999999</v>
      </c>
      <c r="AH1860">
        <v>63.1284631963522</v>
      </c>
      <c r="AI1860">
        <v>86.937235773064103</v>
      </c>
      <c r="AJ1860">
        <v>56.6077509821314</v>
      </c>
      <c r="AK1860">
        <v>75.7181389422542</v>
      </c>
      <c r="AL1860">
        <v>98.441486895061104</v>
      </c>
      <c r="AM1860">
        <v>79.117373223052795</v>
      </c>
      <c r="AN1860">
        <v>0.99999996322009399</v>
      </c>
    </row>
    <row r="1861" spans="1:40" x14ac:dyDescent="0.25">
      <c r="A1861" t="str">
        <f>"20190305134936382"</f>
        <v>20190305134936382</v>
      </c>
      <c r="B1861" t="str">
        <f>"1551764976372078"</f>
        <v>1551764976372078</v>
      </c>
      <c r="C1861" t="s">
        <v>40</v>
      </c>
      <c r="D1861">
        <v>4.7293890000000003</v>
      </c>
      <c r="E1861">
        <v>0.60314330000000005</v>
      </c>
      <c r="F1861" t="s">
        <v>70</v>
      </c>
      <c r="G1861">
        <v>-233.12280000000001</v>
      </c>
      <c r="H1861">
        <v>4.824141</v>
      </c>
      <c r="I1861">
        <v>257.53390000000002</v>
      </c>
      <c r="J1861">
        <v>-192.01329999999999</v>
      </c>
      <c r="K1861">
        <v>1.1087049999999901</v>
      </c>
      <c r="L1861">
        <v>322.60210000000001</v>
      </c>
      <c r="M1861">
        <v>2.0167170000000002E-2</v>
      </c>
      <c r="N1861">
        <v>-1.35984E-2</v>
      </c>
      <c r="O1861">
        <v>-0.99970400000000004</v>
      </c>
      <c r="P1861">
        <v>-0.16942389999999999</v>
      </c>
      <c r="Q1861">
        <v>-0.15863569999999999</v>
      </c>
      <c r="R1861">
        <v>-0.97269229999999995</v>
      </c>
      <c r="S1861">
        <v>-1.7682340000000001</v>
      </c>
      <c r="T1861">
        <v>0.1598213</v>
      </c>
      <c r="U1861">
        <v>-2.807404</v>
      </c>
      <c r="V1861">
        <v>0.18867039999999999</v>
      </c>
      <c r="W1861">
        <v>-0.14588039999999999</v>
      </c>
      <c r="X1861">
        <v>0.97114489999999998</v>
      </c>
      <c r="Y1861">
        <v>0.54901109999999997</v>
      </c>
      <c r="Z1861">
        <v>-6.1470650000000002E-2</v>
      </c>
      <c r="AA1861">
        <v>0.833551499999999</v>
      </c>
      <c r="AB1861">
        <v>21</v>
      </c>
      <c r="AC1861">
        <v>-41.109499999999997</v>
      </c>
      <c r="AD1861">
        <v>3.715436</v>
      </c>
      <c r="AE1861">
        <v>-65.068199999999905</v>
      </c>
      <c r="AF1861">
        <v>42.314893622242202</v>
      </c>
      <c r="AG1861">
        <v>3.715436</v>
      </c>
      <c r="AH1861">
        <v>64.076506593027105</v>
      </c>
      <c r="AI1861">
        <v>87.2298566016743</v>
      </c>
      <c r="AJ1861">
        <v>56.559994150875497</v>
      </c>
      <c r="AK1861">
        <v>76.877521969025693</v>
      </c>
      <c r="AL1861">
        <v>98.388264402560196</v>
      </c>
      <c r="AM1861">
        <v>79.005744587149294</v>
      </c>
      <c r="AN1861">
        <v>1.00000001386816</v>
      </c>
    </row>
    <row r="1862" spans="1:40" x14ac:dyDescent="0.25">
      <c r="A1862" t="str">
        <f>"20190305134936405"</f>
        <v>20190305134936405</v>
      </c>
      <c r="B1862" t="str">
        <f>"1551764976402183"</f>
        <v>1551764976402183</v>
      </c>
      <c r="C1862" t="s">
        <v>40</v>
      </c>
      <c r="D1862">
        <v>4.5654170000000001</v>
      </c>
      <c r="E1862">
        <v>0.52370410000000001</v>
      </c>
      <c r="F1862" t="s">
        <v>69</v>
      </c>
      <c r="G1862">
        <v>-233.1506</v>
      </c>
      <c r="H1862">
        <v>1.869016</v>
      </c>
      <c r="I1862">
        <v>232.28559999999999</v>
      </c>
      <c r="J1862">
        <v>-192.011</v>
      </c>
      <c r="K1862">
        <v>1.108706</v>
      </c>
      <c r="L1862">
        <v>322.39659999999998</v>
      </c>
      <c r="M1862">
        <v>1.8546670000000001E-2</v>
      </c>
      <c r="N1862">
        <v>-1.359633E-2</v>
      </c>
      <c r="O1862">
        <v>-0.9997357</v>
      </c>
      <c r="P1862">
        <v>-0.1711965</v>
      </c>
      <c r="Q1862">
        <v>-0.15760950000000001</v>
      </c>
      <c r="R1862">
        <v>-0.972549</v>
      </c>
      <c r="S1862">
        <v>-1.303207</v>
      </c>
      <c r="T1862">
        <v>2.4086119999999999E-2</v>
      </c>
      <c r="U1862">
        <v>-2.8611759999999999</v>
      </c>
      <c r="V1862">
        <v>0.1888707</v>
      </c>
      <c r="W1862">
        <v>-0.14485580000000001</v>
      </c>
      <c r="X1862">
        <v>0.97125930000000005</v>
      </c>
      <c r="Y1862">
        <v>0.43120570000000003</v>
      </c>
      <c r="Z1862">
        <v>-2.1277299999999999E-2</v>
      </c>
      <c r="AA1862">
        <v>0.90200279999999999</v>
      </c>
      <c r="AB1862">
        <v>21</v>
      </c>
      <c r="AC1862">
        <v>-41.139600000000002</v>
      </c>
      <c r="AD1862">
        <v>0.76031000000000004</v>
      </c>
      <c r="AE1862">
        <v>-90.111000000000004</v>
      </c>
      <c r="AF1862">
        <v>42.801414209054997</v>
      </c>
      <c r="AG1862">
        <v>0.76031000000000004</v>
      </c>
      <c r="AH1862">
        <v>89.327162220853296</v>
      </c>
      <c r="AI1862">
        <v>89.560213936806093</v>
      </c>
      <c r="AJ1862">
        <v>64.398430264591994</v>
      </c>
      <c r="AK1862">
        <v>99.054939503398003</v>
      </c>
      <c r="AL1862">
        <v>98.328929095436706</v>
      </c>
      <c r="AM1862">
        <v>78.9956221506188</v>
      </c>
      <c r="AN1862">
        <v>0.99999998597430995</v>
      </c>
    </row>
    <row r="1863" spans="1:40" x14ac:dyDescent="0.25">
      <c r="A1863" t="str">
        <f>"20190305134936428"</f>
        <v>20190305134936428</v>
      </c>
      <c r="B1863" t="str">
        <f>"1551764976422680"</f>
        <v>1551764976422680</v>
      </c>
      <c r="C1863" t="s">
        <v>40</v>
      </c>
      <c r="D1863">
        <v>4.3654799999999998</v>
      </c>
      <c r="E1863">
        <v>0.52151119999999995</v>
      </c>
      <c r="F1863" t="s">
        <v>42</v>
      </c>
      <c r="G1863">
        <v>-196.8312</v>
      </c>
      <c r="H1863" s="1">
        <v>-2.793293E-6</v>
      </c>
      <c r="I1863">
        <v>301.86349999999999</v>
      </c>
      <c r="J1863">
        <v>-192.00899999999999</v>
      </c>
      <c r="K1863">
        <v>1.108703</v>
      </c>
      <c r="L1863">
        <v>322.17669999999998</v>
      </c>
      <c r="M1863">
        <v>1.6796160000000001E-2</v>
      </c>
      <c r="N1863">
        <v>-1.3594169999999999E-2</v>
      </c>
      <c r="O1863">
        <v>-0.9997665</v>
      </c>
      <c r="P1863">
        <v>-0.1716751</v>
      </c>
      <c r="Q1863">
        <v>-0.15669340000000001</v>
      </c>
      <c r="R1863">
        <v>-0.97261229999999999</v>
      </c>
      <c r="S1863">
        <v>-0.68960569999999999</v>
      </c>
      <c r="T1863">
        <v>-0.15861979999999901</v>
      </c>
      <c r="U1863">
        <v>-2.9376220000000002</v>
      </c>
      <c r="V1863">
        <v>0.18765309999999999</v>
      </c>
      <c r="W1863">
        <v>-0.1439365</v>
      </c>
      <c r="X1863">
        <v>0.97163189999999999</v>
      </c>
      <c r="Y1863">
        <v>0.24457719999999999</v>
      </c>
      <c r="Z1863">
        <v>3.8771319999999998E-2</v>
      </c>
      <c r="AA1863">
        <v>0.9688544</v>
      </c>
      <c r="AB1863">
        <v>21</v>
      </c>
      <c r="AC1863">
        <v>-4.8221999999999801</v>
      </c>
      <c r="AD1863">
        <v>-1.108705793293</v>
      </c>
      <c r="AE1863">
        <v>-20.313199999999899</v>
      </c>
      <c r="AF1863">
        <v>5.1482163870573396</v>
      </c>
      <c r="AG1863">
        <v>-1.108705793293</v>
      </c>
      <c r="AH1863">
        <v>20.172443549318601</v>
      </c>
      <c r="AI1863">
        <v>93.048376489467799</v>
      </c>
      <c r="AJ1863">
        <v>75.683132377522895</v>
      </c>
      <c r="AK1863">
        <v>20.848521272610501</v>
      </c>
      <c r="AL1863">
        <v>98.275699318474594</v>
      </c>
      <c r="AM1863">
        <v>79.068941294053005</v>
      </c>
      <c r="AN1863">
        <v>0.99999997553473396</v>
      </c>
    </row>
    <row r="1864" spans="1:40" x14ac:dyDescent="0.25">
      <c r="A1864" t="str">
        <f>"20190305134936450"</f>
        <v>20190305134936450</v>
      </c>
      <c r="B1864" t="str">
        <f>"1551764976442200"</f>
        <v>1551764976442200</v>
      </c>
      <c r="C1864" t="s">
        <v>40</v>
      </c>
      <c r="D1864">
        <v>4.4081519999999896</v>
      </c>
      <c r="E1864">
        <v>0.52102109999999902</v>
      </c>
      <c r="F1864" t="s">
        <v>42</v>
      </c>
      <c r="G1864">
        <v>-196.45359999999999</v>
      </c>
      <c r="H1864" s="1">
        <v>-3.0990209999999998E-6</v>
      </c>
      <c r="I1864">
        <v>302.81029999999998</v>
      </c>
      <c r="J1864">
        <v>-192.00749999999999</v>
      </c>
      <c r="K1864">
        <v>1.1086940000000001</v>
      </c>
      <c r="L1864">
        <v>321.97649999999999</v>
      </c>
      <c r="M1864">
        <v>1.518224E-2</v>
      </c>
      <c r="N1864">
        <v>-1.358563E-2</v>
      </c>
      <c r="O1864">
        <v>-0.99979249999999997</v>
      </c>
      <c r="P1864">
        <v>-0.17252619999999999</v>
      </c>
      <c r="Q1864">
        <v>-0.1559605</v>
      </c>
      <c r="R1864">
        <v>-0.97257950000000004</v>
      </c>
      <c r="S1864">
        <v>-0.67434689999999997</v>
      </c>
      <c r="T1864">
        <v>-0.16821459999999999</v>
      </c>
      <c r="U1864">
        <v>-2.9382929999999998</v>
      </c>
      <c r="V1864">
        <v>0.18693609999999999</v>
      </c>
      <c r="W1864">
        <v>-0.1432118</v>
      </c>
      <c r="X1864">
        <v>0.9718772</v>
      </c>
      <c r="Y1864">
        <v>0.238152</v>
      </c>
      <c r="Z1864">
        <v>4.2010569999999997E-2</v>
      </c>
      <c r="AA1864">
        <v>0.97031889999999998</v>
      </c>
      <c r="AB1864">
        <v>21</v>
      </c>
      <c r="AC1864">
        <v>-4.4461000000000004</v>
      </c>
      <c r="AD1864">
        <v>-1.1086970990209899</v>
      </c>
      <c r="AE1864">
        <v>-19.1662</v>
      </c>
      <c r="AF1864">
        <v>4.7216074405867401</v>
      </c>
      <c r="AG1864">
        <v>-1.1086970990209899</v>
      </c>
      <c r="AH1864">
        <v>19.036036677996499</v>
      </c>
      <c r="AI1864">
        <v>93.2354348397037</v>
      </c>
      <c r="AJ1864">
        <v>76.069757337517004</v>
      </c>
      <c r="AK1864">
        <v>19.6441716161921</v>
      </c>
      <c r="AL1864">
        <v>98.233742099315194</v>
      </c>
      <c r="AM1864">
        <v>79.112390018054398</v>
      </c>
      <c r="AN1864">
        <v>1.00000000851114</v>
      </c>
    </row>
    <row r="1865" spans="1:40" x14ac:dyDescent="0.25">
      <c r="A1865" t="str">
        <f>"20190305134936473"</f>
        <v>20190305134936473</v>
      </c>
      <c r="B1865" t="str">
        <f>"1551764976462694"</f>
        <v>1551764976462694</v>
      </c>
      <c r="C1865" t="s">
        <v>40</v>
      </c>
      <c r="D1865">
        <v>4.3882599999999998</v>
      </c>
      <c r="E1865">
        <v>0.52106430000000004</v>
      </c>
      <c r="F1865" t="s">
        <v>42</v>
      </c>
      <c r="G1865">
        <v>-196.26929999999999</v>
      </c>
      <c r="H1865" s="1">
        <v>-3.2910919999999999E-6</v>
      </c>
      <c r="I1865">
        <v>303.39</v>
      </c>
      <c r="J1865">
        <v>-192.00640000000001</v>
      </c>
      <c r="K1865">
        <v>1.1086800000000001</v>
      </c>
      <c r="L1865">
        <v>321.76339999999999</v>
      </c>
      <c r="M1865">
        <v>1.343397E-2</v>
      </c>
      <c r="N1865">
        <v>-1.3552989999999999E-2</v>
      </c>
      <c r="O1865">
        <v>-0.99981810000000004</v>
      </c>
      <c r="P1865">
        <v>-0.1726685</v>
      </c>
      <c r="Q1865">
        <v>-0.1555946</v>
      </c>
      <c r="R1865">
        <v>-0.97261330000000001</v>
      </c>
      <c r="S1865">
        <v>-0.67344669999999995</v>
      </c>
      <c r="T1865">
        <v>-0.1751964</v>
      </c>
      <c r="U1865">
        <v>-2.9370419999999999</v>
      </c>
      <c r="V1865">
        <v>0.18537719999999999</v>
      </c>
      <c r="W1865">
        <v>-0.14287720000000001</v>
      </c>
      <c r="X1865">
        <v>0.97222500000000001</v>
      </c>
      <c r="Y1865">
        <v>0.23623549999999999</v>
      </c>
      <c r="Z1865">
        <v>4.4389489999999997E-2</v>
      </c>
      <c r="AA1865">
        <v>0.97068140000000003</v>
      </c>
      <c r="AB1865">
        <v>21</v>
      </c>
      <c r="AC1865">
        <v>-4.2628999999999699</v>
      </c>
      <c r="AD1865">
        <v>-1.1086832910919999</v>
      </c>
      <c r="AE1865">
        <v>-18.3734</v>
      </c>
      <c r="AF1865">
        <v>4.4938387545832699</v>
      </c>
      <c r="AG1865">
        <v>-1.1086832910919999</v>
      </c>
      <c r="AH1865">
        <v>18.251407683511001</v>
      </c>
      <c r="AI1865">
        <v>93.375594137771202</v>
      </c>
      <c r="AJ1865">
        <v>76.167842906471293</v>
      </c>
      <c r="AK1865">
        <v>18.829170130992601</v>
      </c>
      <c r="AL1865">
        <v>98.214371590412796</v>
      </c>
      <c r="AM1865">
        <v>79.204812859354305</v>
      </c>
      <c r="AN1865">
        <v>1.00000002559233</v>
      </c>
    </row>
    <row r="1866" spans="1:40" x14ac:dyDescent="0.25">
      <c r="A1866" t="str">
        <f>"20190305134936493"</f>
        <v>20190305134936493</v>
      </c>
      <c r="B1866" t="str">
        <f>"1551764976482218"</f>
        <v>1551764976482218</v>
      </c>
      <c r="C1866" t="s">
        <v>40</v>
      </c>
      <c r="D1866">
        <v>4.4023629999999896</v>
      </c>
      <c r="E1866">
        <v>0.52088809999999997</v>
      </c>
      <c r="F1866" t="s">
        <v>42</v>
      </c>
      <c r="G1866">
        <v>-196.19399999999999</v>
      </c>
      <c r="H1866" s="1">
        <v>-3.321812E-6</v>
      </c>
      <c r="I1866">
        <v>303.51949999999999</v>
      </c>
      <c r="J1866">
        <v>-192.00559999999999</v>
      </c>
      <c r="K1866">
        <v>1.108652</v>
      </c>
      <c r="L1866">
        <v>321.565</v>
      </c>
      <c r="M1866">
        <v>1.177946E-2</v>
      </c>
      <c r="N1866">
        <v>-1.3481170000000001E-2</v>
      </c>
      <c r="O1866">
        <v>-0.9998399</v>
      </c>
      <c r="P1866">
        <v>-0.16996259999999999</v>
      </c>
      <c r="Q1866">
        <v>-0.15488969999999999</v>
      </c>
      <c r="R1866">
        <v>-0.97320220000000002</v>
      </c>
      <c r="S1866">
        <v>-0.67398069999999999</v>
      </c>
      <c r="T1866">
        <v>-0.17843779999999901</v>
      </c>
      <c r="U1866">
        <v>-2.9362789999999999</v>
      </c>
      <c r="V1866">
        <v>0.18106700000000001</v>
      </c>
      <c r="W1866">
        <v>-0.14222860000000001</v>
      </c>
      <c r="X1866">
        <v>0.973132</v>
      </c>
      <c r="Y1866">
        <v>0.23483799999999999</v>
      </c>
      <c r="Z1866">
        <v>4.5558639999999997E-2</v>
      </c>
      <c r="AA1866">
        <v>0.97096629999999995</v>
      </c>
      <c r="AB1866">
        <v>21</v>
      </c>
      <c r="AC1866">
        <v>-4.1884000000000299</v>
      </c>
      <c r="AD1866">
        <v>-1.1086553218120001</v>
      </c>
      <c r="AE1866">
        <v>-18.045500000000001</v>
      </c>
      <c r="AF1866">
        <v>4.3849899468777398</v>
      </c>
      <c r="AG1866">
        <v>-1.1086553218120001</v>
      </c>
      <c r="AH1866">
        <v>17.930687055197598</v>
      </c>
      <c r="AI1866">
        <v>93.4370647680975</v>
      </c>
      <c r="AJ1866">
        <v>76.257903056974598</v>
      </c>
      <c r="AK1866">
        <v>18.4923441382706</v>
      </c>
      <c r="AL1866">
        <v>98.176825809096499</v>
      </c>
      <c r="AM1866">
        <v>79.459724436973005</v>
      </c>
      <c r="AN1866">
        <v>1.00000006128547</v>
      </c>
    </row>
    <row r="1867" spans="1:40" x14ac:dyDescent="0.25">
      <c r="A1867" t="str">
        <f>"20190305134936517"</f>
        <v>20190305134936517</v>
      </c>
      <c r="B1867" t="str">
        <f>"1551764976512475"</f>
        <v>1551764976512475</v>
      </c>
      <c r="C1867" t="s">
        <v>40</v>
      </c>
      <c r="D1867">
        <v>4.3731289999999996</v>
      </c>
      <c r="E1867">
        <v>0.52071339999999999</v>
      </c>
      <c r="F1867" t="s">
        <v>42</v>
      </c>
      <c r="G1867">
        <v>-196.04599999999999</v>
      </c>
      <c r="H1867" s="1">
        <v>-3.3593249999999998E-6</v>
      </c>
      <c r="I1867">
        <v>303.70679999999999</v>
      </c>
      <c r="J1867">
        <v>-192.0052</v>
      </c>
      <c r="K1867">
        <v>1.1086210000000001</v>
      </c>
      <c r="L1867">
        <v>321.35500000000002</v>
      </c>
      <c r="M1867">
        <v>1.0005709999999999E-2</v>
      </c>
      <c r="N1867">
        <v>-1.336772E-2</v>
      </c>
      <c r="O1867">
        <v>-0.99986070000000005</v>
      </c>
      <c r="P1867">
        <v>-0.1667602</v>
      </c>
      <c r="Q1867">
        <v>-0.1522365</v>
      </c>
      <c r="R1867">
        <v>-0.97417430000000005</v>
      </c>
      <c r="S1867">
        <v>-0.66461179999999997</v>
      </c>
      <c r="T1867">
        <v>-0.18236569999999999</v>
      </c>
      <c r="U1867">
        <v>-2.9375309999999999</v>
      </c>
      <c r="V1867">
        <v>0.1761509</v>
      </c>
      <c r="W1867">
        <v>-0.13966500000000001</v>
      </c>
      <c r="X1867">
        <v>0.97440479999999996</v>
      </c>
      <c r="Y1867">
        <v>0.2300635</v>
      </c>
      <c r="Z1867">
        <v>4.7003499999999997E-2</v>
      </c>
      <c r="AA1867">
        <v>0.97203989999999996</v>
      </c>
      <c r="AB1867">
        <v>21</v>
      </c>
      <c r="AC1867">
        <v>-4.0407999999999902</v>
      </c>
      <c r="AD1867">
        <v>-1.10862435932499</v>
      </c>
      <c r="AE1867">
        <v>-17.648199999999999</v>
      </c>
      <c r="AF1867">
        <v>4.2014427740266704</v>
      </c>
      <c r="AG1867">
        <v>-1.10862435932499</v>
      </c>
      <c r="AH1867">
        <v>17.541110763760098</v>
      </c>
      <c r="AI1867">
        <v>93.517147149732295</v>
      </c>
      <c r="AJ1867">
        <v>76.530286277888607</v>
      </c>
      <c r="AK1867">
        <v>18.0712959186665</v>
      </c>
      <c r="AL1867">
        <v>98.028461040357001</v>
      </c>
      <c r="AM1867">
        <v>79.7528578666589</v>
      </c>
      <c r="AN1867">
        <v>1.00000008302942</v>
      </c>
    </row>
    <row r="1868" spans="1:40" x14ac:dyDescent="0.25">
      <c r="A1868" t="str">
        <f>"20190305134936538"</f>
        <v>20190305134936538</v>
      </c>
      <c r="B1868" t="str">
        <f>"1551764976531995"</f>
        <v>1551764976531995</v>
      </c>
      <c r="C1868" t="s">
        <v>40</v>
      </c>
      <c r="D1868">
        <v>4.3494299999999999</v>
      </c>
      <c r="E1868">
        <v>0.52102170000000003</v>
      </c>
      <c r="F1868" t="s">
        <v>42</v>
      </c>
      <c r="G1868">
        <v>-195.9933</v>
      </c>
      <c r="H1868" s="1">
        <v>-3.2451850000000001E-6</v>
      </c>
      <c r="I1868">
        <v>303.43650000000002</v>
      </c>
      <c r="J1868">
        <v>-192.0052</v>
      </c>
      <c r="K1868">
        <v>1.108587</v>
      </c>
      <c r="L1868">
        <v>321.14069999999998</v>
      </c>
      <c r="M1868">
        <v>8.1692239999999992E-3</v>
      </c>
      <c r="N1868">
        <v>-1.318769E-2</v>
      </c>
      <c r="O1868">
        <v>-0.99987979999999999</v>
      </c>
      <c r="P1868">
        <v>-0.16332449999999901</v>
      </c>
      <c r="Q1868">
        <v>-0.14817559999999999</v>
      </c>
      <c r="R1868">
        <v>-0.97538179999999997</v>
      </c>
      <c r="S1868">
        <v>-0.6541595</v>
      </c>
      <c r="T1868">
        <v>-0.18184649999999999</v>
      </c>
      <c r="U1868">
        <v>-2.9391479999999999</v>
      </c>
      <c r="V1868">
        <v>0.17094419999999999</v>
      </c>
      <c r="W1868">
        <v>-0.1357516</v>
      </c>
      <c r="X1868">
        <v>0.97588399999999997</v>
      </c>
      <c r="Y1868">
        <v>0.22487080000000001</v>
      </c>
      <c r="Z1868">
        <v>4.7044469999999998E-2</v>
      </c>
      <c r="AA1868">
        <v>0.97325220000000001</v>
      </c>
      <c r="AB1868">
        <v>21</v>
      </c>
      <c r="AC1868">
        <v>-3.9881000000000002</v>
      </c>
      <c r="AD1868">
        <v>-1.108590245185</v>
      </c>
      <c r="AE1868">
        <v>-17.704199999999901</v>
      </c>
      <c r="AF1868">
        <v>4.1172452016171501</v>
      </c>
      <c r="AG1868">
        <v>-1.108590245185</v>
      </c>
      <c r="AH1868">
        <v>17.6053309094101</v>
      </c>
      <c r="AI1868">
        <v>93.508676092028296</v>
      </c>
      <c r="AJ1868">
        <v>76.837170425808395</v>
      </c>
      <c r="AK1868">
        <v>18.1143135893081</v>
      </c>
      <c r="AL1868">
        <v>97.802083517917396</v>
      </c>
      <c r="AM1868">
        <v>80.064383681243896</v>
      </c>
      <c r="AN1868">
        <v>0.99999999893609903</v>
      </c>
    </row>
    <row r="1869" spans="1:40" x14ac:dyDescent="0.25">
      <c r="A1869" t="str">
        <f>"20190305134936565"</f>
        <v>20190305134936565</v>
      </c>
      <c r="B1869" t="str">
        <f>"1551764976562251"</f>
        <v>1551764976562251</v>
      </c>
      <c r="C1869" t="s">
        <v>40</v>
      </c>
      <c r="D1869">
        <v>4.3440810000000001</v>
      </c>
      <c r="E1869">
        <v>0.52145019999999997</v>
      </c>
      <c r="F1869" t="s">
        <v>42</v>
      </c>
      <c r="G1869">
        <v>-196.23099999999999</v>
      </c>
      <c r="H1869" s="1">
        <v>-2.6560519999999998E-6</v>
      </c>
      <c r="I1869">
        <v>301.91579999999999</v>
      </c>
      <c r="J1869">
        <v>-192.00569999999999</v>
      </c>
      <c r="K1869">
        <v>1.1085370000000001</v>
      </c>
      <c r="L1869">
        <v>320.90249999999997</v>
      </c>
      <c r="M1869">
        <v>6.0948219999999997E-3</v>
      </c>
      <c r="N1869">
        <v>-1.288911E-2</v>
      </c>
      <c r="O1869">
        <v>-0.99989839999999997</v>
      </c>
      <c r="P1869">
        <v>-0.16019079999999999</v>
      </c>
      <c r="Q1869">
        <v>-0.14471020000000001</v>
      </c>
      <c r="R1869">
        <v>-0.97642119999999999</v>
      </c>
      <c r="S1869">
        <v>-0.64657589999999998</v>
      </c>
      <c r="T1869">
        <v>-0.16962430000000001</v>
      </c>
      <c r="U1869">
        <v>-2.941589</v>
      </c>
      <c r="V1869">
        <v>0.16580239999999999</v>
      </c>
      <c r="W1869">
        <v>-0.13254839999999901</v>
      </c>
      <c r="X1869">
        <v>0.97721060000000004</v>
      </c>
      <c r="Y1869">
        <v>0.22033059999999999</v>
      </c>
      <c r="Z1869">
        <v>4.3309790000000001E-2</v>
      </c>
      <c r="AA1869">
        <v>0.97446330000000003</v>
      </c>
      <c r="AB1869">
        <v>21</v>
      </c>
      <c r="AC1869">
        <v>-4.2252999999999998</v>
      </c>
      <c r="AD1869">
        <v>-1.108539656052</v>
      </c>
      <c r="AE1869">
        <v>-18.9866999999999</v>
      </c>
      <c r="AF1869">
        <v>4.3268980676691404</v>
      </c>
      <c r="AG1869">
        <v>-1.108539656052</v>
      </c>
      <c r="AH1869">
        <v>18.899208766165199</v>
      </c>
      <c r="AI1869">
        <v>93.272381183702095</v>
      </c>
      <c r="AJ1869">
        <v>77.104604840157904</v>
      </c>
      <c r="AK1869">
        <v>19.419860942965901</v>
      </c>
      <c r="AL1869">
        <v>97.616879260723294</v>
      </c>
      <c r="AM1869">
        <v>80.370384785542797</v>
      </c>
      <c r="AN1869">
        <v>1.00000003547033</v>
      </c>
    </row>
    <row r="1870" spans="1:40" x14ac:dyDescent="0.25">
      <c r="A1870" t="str">
        <f>"20190305134936586"</f>
        <v>20190305134936586</v>
      </c>
      <c r="B1870" t="str">
        <f>"1551764976582747"</f>
        <v>1551764976582747</v>
      </c>
      <c r="C1870" t="s">
        <v>40</v>
      </c>
      <c r="D1870">
        <v>4.3059349999999998</v>
      </c>
      <c r="E1870">
        <v>0.52179379999999997</v>
      </c>
      <c r="F1870" t="s">
        <v>42</v>
      </c>
      <c r="G1870">
        <v>-196.42519999999999</v>
      </c>
      <c r="H1870" s="1">
        <v>-2.146949E-6</v>
      </c>
      <c r="I1870">
        <v>300.60860000000002</v>
      </c>
      <c r="J1870">
        <v>-192.00649999999999</v>
      </c>
      <c r="K1870">
        <v>1.1084860000000001</v>
      </c>
      <c r="L1870">
        <v>320.7056</v>
      </c>
      <c r="M1870">
        <v>4.362884E-3</v>
      </c>
      <c r="N1870">
        <v>-1.2575670000000001E-2</v>
      </c>
      <c r="O1870">
        <v>-0.99991149999999995</v>
      </c>
      <c r="P1870">
        <v>-0.15788269999999999</v>
      </c>
      <c r="Q1870">
        <v>-0.14262949999999999</v>
      </c>
      <c r="R1870">
        <v>-0.9771031</v>
      </c>
      <c r="S1870">
        <v>-0.64100649999999904</v>
      </c>
      <c r="T1870">
        <v>-0.16078219999999999</v>
      </c>
      <c r="U1870">
        <v>-2.9434200000000001</v>
      </c>
      <c r="V1870">
        <v>0.1618124</v>
      </c>
      <c r="W1870">
        <v>-0.13075139999999999</v>
      </c>
      <c r="X1870">
        <v>0.97812100000000002</v>
      </c>
      <c r="Y1870">
        <v>0.21678459999999999</v>
      </c>
      <c r="Z1870">
        <v>4.0703830000000003E-2</v>
      </c>
      <c r="AA1870">
        <v>0.97537050000000003</v>
      </c>
      <c r="AB1870">
        <v>21</v>
      </c>
      <c r="AC1870">
        <v>-4.4187000000000003</v>
      </c>
      <c r="AD1870">
        <v>-1.108488146949</v>
      </c>
      <c r="AE1870">
        <v>-20.096999999999898</v>
      </c>
      <c r="AF1870">
        <v>4.4933061948957196</v>
      </c>
      <c r="AG1870">
        <v>-1.108488146949</v>
      </c>
      <c r="AH1870">
        <v>20.019432618945501</v>
      </c>
      <c r="AI1870">
        <v>93.092483531945604</v>
      </c>
      <c r="AJ1870">
        <v>77.349765364590993</v>
      </c>
      <c r="AK1870">
        <v>20.547414166203801</v>
      </c>
      <c r="AL1870">
        <v>97.513015476902495</v>
      </c>
      <c r="AM1870">
        <v>80.606527265841393</v>
      </c>
      <c r="AN1870">
        <v>0.99999993601835802</v>
      </c>
    </row>
    <row r="1871" spans="1:40" x14ac:dyDescent="0.25">
      <c r="A1871" t="str">
        <f>"20190305134936606"</f>
        <v>20190305134936606</v>
      </c>
      <c r="B1871" t="str">
        <f>"1551764976602776"</f>
        <v>1551764976602776</v>
      </c>
      <c r="C1871" t="s">
        <v>40</v>
      </c>
      <c r="D1871">
        <v>4.3005190000000004</v>
      </c>
      <c r="E1871">
        <v>0.52228909999999995</v>
      </c>
      <c r="F1871" t="s">
        <v>42</v>
      </c>
      <c r="G1871">
        <v>-196.5325</v>
      </c>
      <c r="H1871" s="1">
        <v>-1.81984E-6</v>
      </c>
      <c r="I1871">
        <v>299.77960000000002</v>
      </c>
      <c r="J1871">
        <v>-192.0076</v>
      </c>
      <c r="K1871">
        <v>1.108441</v>
      </c>
      <c r="L1871">
        <v>320.51209999999998</v>
      </c>
      <c r="M1871">
        <v>2.6566229999999999E-3</v>
      </c>
      <c r="N1871">
        <v>-1.223927E-2</v>
      </c>
      <c r="O1871">
        <v>-0.99992170000000002</v>
      </c>
      <c r="P1871">
        <v>-0.15625739999999999</v>
      </c>
      <c r="Q1871">
        <v>-0.14018159999999999</v>
      </c>
      <c r="R1871">
        <v>-0.97771830000000004</v>
      </c>
      <c r="S1871">
        <v>-0.63688659999999997</v>
      </c>
      <c r="T1871">
        <v>-0.15598310000000001</v>
      </c>
      <c r="U1871">
        <v>-2.9446409999999998</v>
      </c>
      <c r="V1871">
        <v>0.15852820000000001</v>
      </c>
      <c r="W1871">
        <v>-0.1286129</v>
      </c>
      <c r="X1871">
        <v>0.97894199999999998</v>
      </c>
      <c r="Y1871">
        <v>0.2137471</v>
      </c>
      <c r="Z1871">
        <v>3.9460439999999999E-2</v>
      </c>
      <c r="AA1871">
        <v>0.97609170000000001</v>
      </c>
      <c r="AB1871">
        <v>21</v>
      </c>
      <c r="AC1871">
        <v>-4.5248999999999997</v>
      </c>
      <c r="AD1871">
        <v>-1.10844281984</v>
      </c>
      <c r="AE1871">
        <v>-20.732499999999899</v>
      </c>
      <c r="AF1871">
        <v>4.5675044415115602</v>
      </c>
      <c r="AG1871">
        <v>-1.10844281984</v>
      </c>
      <c r="AH1871">
        <v>20.6640245075134</v>
      </c>
      <c r="AI1871">
        <v>92.998238512015803</v>
      </c>
      <c r="AJ1871">
        <v>77.535946288219094</v>
      </c>
      <c r="AK1871">
        <v>21.1918062268226</v>
      </c>
      <c r="AL1871">
        <v>97.389444810301796</v>
      </c>
      <c r="AM1871">
        <v>80.801471798267301</v>
      </c>
      <c r="AN1871">
        <v>0.99999995380282303</v>
      </c>
    </row>
    <row r="1872" spans="1:40" x14ac:dyDescent="0.25">
      <c r="A1872" t="str">
        <f>"20190305134936628"</f>
        <v>20190305134936628</v>
      </c>
      <c r="B1872" t="str">
        <f>"1551764976622295"</f>
        <v>1551764976622295</v>
      </c>
      <c r="C1872" t="s">
        <v>40</v>
      </c>
      <c r="D1872">
        <v>4.2661850000000001</v>
      </c>
      <c r="E1872">
        <v>0.52296969999999998</v>
      </c>
      <c r="F1872" t="s">
        <v>62</v>
      </c>
      <c r="G1872">
        <v>-196.75659999999999</v>
      </c>
      <c r="H1872" s="1">
        <v>1.956538E-7</v>
      </c>
      <c r="I1872">
        <v>298.50540000000001</v>
      </c>
      <c r="J1872">
        <v>-192.00909999999999</v>
      </c>
      <c r="K1872">
        <v>1.1083970000000001</v>
      </c>
      <c r="L1872">
        <v>320.30579999999998</v>
      </c>
      <c r="M1872">
        <v>8.4128130000000003E-4</v>
      </c>
      <c r="N1872">
        <v>-1.187567E-2</v>
      </c>
      <c r="O1872">
        <v>-0.99992930000000002</v>
      </c>
      <c r="P1872">
        <v>-0.15548149999999999</v>
      </c>
      <c r="Q1872">
        <v>-0.13799259999999999</v>
      </c>
      <c r="R1872">
        <v>-0.97815339999999995</v>
      </c>
      <c r="S1872">
        <v>-0.63563539999999996</v>
      </c>
      <c r="T1872">
        <v>-0.1483611</v>
      </c>
      <c r="U1872">
        <v>-2.9455260000000001</v>
      </c>
      <c r="V1872">
        <v>0.1559826</v>
      </c>
      <c r="W1872">
        <v>-0.12676519999999999</v>
      </c>
      <c r="X1872">
        <v>0.97959169999999995</v>
      </c>
      <c r="Y1872">
        <v>0.2115408</v>
      </c>
      <c r="Z1872">
        <v>3.7305339999999999E-2</v>
      </c>
      <c r="AA1872">
        <v>0.976657</v>
      </c>
      <c r="AB1872">
        <v>21</v>
      </c>
      <c r="AC1872">
        <v>-4.7474999999999996</v>
      </c>
      <c r="AD1872">
        <v>-1.10839680434619</v>
      </c>
      <c r="AE1872">
        <v>-21.8003999999999</v>
      </c>
      <c r="AF1872">
        <v>4.7541069104686704</v>
      </c>
      <c r="AG1872">
        <v>-1.10839680434619</v>
      </c>
      <c r="AH1872">
        <v>21.742737709605102</v>
      </c>
      <c r="AI1872">
        <v>92.851044254825396</v>
      </c>
      <c r="AJ1872">
        <v>77.666236633303399</v>
      </c>
      <c r="AK1872">
        <v>22.284001415830499</v>
      </c>
      <c r="AL1872">
        <v>97.282705715846106</v>
      </c>
      <c r="AM1872">
        <v>80.952618494973606</v>
      </c>
      <c r="AN1872">
        <v>0.99999994307134299</v>
      </c>
    </row>
    <row r="1873" spans="1:40" x14ac:dyDescent="0.25">
      <c r="A1873" t="str">
        <f>"20190305134936650"</f>
        <v>20190305134936650</v>
      </c>
      <c r="B1873" t="str">
        <f>"1551764976642792"</f>
        <v>1551764976642792</v>
      </c>
      <c r="C1873" t="s">
        <v>40</v>
      </c>
      <c r="D1873">
        <v>4.2620079999999998</v>
      </c>
      <c r="E1873">
        <v>0.52361389999999997</v>
      </c>
      <c r="F1873" t="s">
        <v>62</v>
      </c>
      <c r="G1873">
        <v>-197.04060000000001</v>
      </c>
      <c r="H1873" s="1">
        <v>4.4194860000000001E-7</v>
      </c>
      <c r="I1873">
        <v>297.1069</v>
      </c>
      <c r="J1873">
        <v>-192.011</v>
      </c>
      <c r="K1873">
        <v>1.108355</v>
      </c>
      <c r="L1873">
        <v>320.09350000000001</v>
      </c>
      <c r="M1873">
        <v>-1.019198E-3</v>
      </c>
      <c r="N1873">
        <v>-1.15056E-2</v>
      </c>
      <c r="O1873">
        <v>-0.99993339999999997</v>
      </c>
      <c r="P1873">
        <v>-0.15507839999999901</v>
      </c>
      <c r="Q1873">
        <v>-0.13593849999999999</v>
      </c>
      <c r="R1873">
        <v>-0.97850479999999995</v>
      </c>
      <c r="S1873">
        <v>-0.63885499999999995</v>
      </c>
      <c r="T1873">
        <v>-0.1407342</v>
      </c>
      <c r="U1873">
        <v>-2.9455870000000002</v>
      </c>
      <c r="V1873">
        <v>0.15376229999999999</v>
      </c>
      <c r="W1873">
        <v>-0.12506220000000001</v>
      </c>
      <c r="X1873">
        <v>0.98016150000000002</v>
      </c>
      <c r="Y1873">
        <v>0.21076059999999999</v>
      </c>
      <c r="Z1873">
        <v>3.5151950000000001E-2</v>
      </c>
      <c r="AA1873">
        <v>0.97690549999999998</v>
      </c>
      <c r="AB1873">
        <v>21</v>
      </c>
      <c r="AC1873">
        <v>-5.0296000000000101</v>
      </c>
      <c r="AD1873">
        <v>-1.10835455805139</v>
      </c>
      <c r="AE1873">
        <v>-22.986599999999999</v>
      </c>
      <c r="AF1873">
        <v>4.9950853595351798</v>
      </c>
      <c r="AG1873">
        <v>-1.10835455805139</v>
      </c>
      <c r="AH1873">
        <v>22.940815828380501</v>
      </c>
      <c r="AI1873">
        <v>92.702787267789802</v>
      </c>
      <c r="AJ1873">
        <v>77.716264601503994</v>
      </c>
      <c r="AK1873">
        <v>23.504475285508299</v>
      </c>
      <c r="AL1873">
        <v>97.184347892804695</v>
      </c>
      <c r="AM1873">
        <v>81.084418292559803</v>
      </c>
      <c r="AN1873">
        <v>0.99999998242618904</v>
      </c>
    </row>
    <row r="1874" spans="1:40" x14ac:dyDescent="0.25">
      <c r="A1874" t="str">
        <f>"20190305134936673"</f>
        <v>20190305134936673</v>
      </c>
      <c r="B1874" t="str">
        <f>"1551764976662311"</f>
        <v>1551764976662311</v>
      </c>
      <c r="C1874" t="s">
        <v>40</v>
      </c>
      <c r="D1874">
        <v>4.2517880000000003</v>
      </c>
      <c r="E1874">
        <v>0.52428940000000002</v>
      </c>
      <c r="F1874" t="s">
        <v>62</v>
      </c>
      <c r="G1874">
        <v>-197.36689999999999</v>
      </c>
      <c r="H1874" s="1">
        <v>7.7929090000000002E-7</v>
      </c>
      <c r="I1874">
        <v>295.55290000000002</v>
      </c>
      <c r="J1874">
        <v>-192.01329999999999</v>
      </c>
      <c r="K1874">
        <v>1.1083149999999999</v>
      </c>
      <c r="L1874">
        <v>319.87959999999998</v>
      </c>
      <c r="M1874">
        <v>-2.8848530000000002E-3</v>
      </c>
      <c r="N1874">
        <v>-1.1132970000000001E-2</v>
      </c>
      <c r="O1874">
        <v>-0.99993390000000004</v>
      </c>
      <c r="P1874">
        <v>-0.15392069999999999</v>
      </c>
      <c r="Q1874">
        <v>-0.13483429999999999</v>
      </c>
      <c r="R1874">
        <v>-0.97884020000000005</v>
      </c>
      <c r="S1874">
        <v>-0.64286799999999999</v>
      </c>
      <c r="T1874">
        <v>-0.13303470000000001</v>
      </c>
      <c r="U1874">
        <v>-2.9455870000000002</v>
      </c>
      <c r="V1874">
        <v>0.1507772</v>
      </c>
      <c r="W1874">
        <v>-0.12431150000000001</v>
      </c>
      <c r="X1874">
        <v>0.98072060000000005</v>
      </c>
      <c r="Y1874">
        <v>0.2102292</v>
      </c>
      <c r="Z1874">
        <v>3.2974620000000003E-2</v>
      </c>
      <c r="AA1874">
        <v>0.97709590000000002</v>
      </c>
      <c r="AB1874">
        <v>21</v>
      </c>
      <c r="AC1874">
        <v>-5.3536000000000001</v>
      </c>
      <c r="AD1874">
        <v>-1.1083142207090999</v>
      </c>
      <c r="AE1874">
        <v>-24.326699999999899</v>
      </c>
      <c r="AF1874">
        <v>5.2729550674417798</v>
      </c>
      <c r="AG1874">
        <v>-1.1083142207090999</v>
      </c>
      <c r="AH1874">
        <v>24.293947113730201</v>
      </c>
      <c r="AI1874">
        <v>92.552723847188801</v>
      </c>
      <c r="AJ1874">
        <v>77.754004386961796</v>
      </c>
      <c r="AK1874">
        <v>24.884297898871999</v>
      </c>
      <c r="AL1874">
        <v>97.140997494190401</v>
      </c>
      <c r="AM1874">
        <v>81.259710030086893</v>
      </c>
      <c r="AN1874">
        <v>1.00000000416822</v>
      </c>
    </row>
    <row r="1875" spans="1:40" x14ac:dyDescent="0.25">
      <c r="A1875" t="str">
        <f>"20190305134936695"</f>
        <v>20190305134936695</v>
      </c>
      <c r="B1875" t="str">
        <f>"1551764976682811"</f>
        <v>1551764976682811</v>
      </c>
      <c r="C1875" t="s">
        <v>40</v>
      </c>
      <c r="D1875">
        <v>4.2473510000000001</v>
      </c>
      <c r="E1875">
        <v>0.52487980000000001</v>
      </c>
      <c r="F1875" t="s">
        <v>62</v>
      </c>
      <c r="G1875">
        <v>-197.58240000000001</v>
      </c>
      <c r="H1875" s="1">
        <v>1.124264E-6</v>
      </c>
      <c r="I1875">
        <v>294.4289</v>
      </c>
      <c r="J1875">
        <v>-192.01599999999999</v>
      </c>
      <c r="K1875">
        <v>1.1082809999999901</v>
      </c>
      <c r="L1875">
        <v>319.66890000000001</v>
      </c>
      <c r="M1875">
        <v>-4.7168289999999996E-3</v>
      </c>
      <c r="N1875">
        <v>-1.0777210000000001E-2</v>
      </c>
      <c r="O1875">
        <v>-0.99993100000000001</v>
      </c>
      <c r="P1875">
        <v>-0.1516815</v>
      </c>
      <c r="Q1875">
        <v>-0.13201570000000001</v>
      </c>
      <c r="R1875">
        <v>-0.97957399999999994</v>
      </c>
      <c r="S1875">
        <v>-0.6446075</v>
      </c>
      <c r="T1875">
        <v>-0.1282846</v>
      </c>
      <c r="U1875">
        <v>-2.945862</v>
      </c>
      <c r="V1875">
        <v>0.14674400000000001</v>
      </c>
      <c r="W1875">
        <v>-0.1218239</v>
      </c>
      <c r="X1875">
        <v>0.98164410000000002</v>
      </c>
      <c r="Y1875">
        <v>0.20898269999999999</v>
      </c>
      <c r="Z1875">
        <v>3.1758840000000003E-2</v>
      </c>
      <c r="AA1875">
        <v>0.97740349999999998</v>
      </c>
      <c r="AB1875">
        <v>21</v>
      </c>
      <c r="AC1875">
        <v>-5.5664000000000096</v>
      </c>
      <c r="AD1875">
        <v>-1.108279875736</v>
      </c>
      <c r="AE1875">
        <v>-25.24</v>
      </c>
      <c r="AF1875">
        <v>5.4372812555974104</v>
      </c>
      <c r="AG1875">
        <v>-1.108279875736</v>
      </c>
      <c r="AH1875">
        <v>25.2196068855086</v>
      </c>
      <c r="AI1875">
        <v>92.459806258298997</v>
      </c>
      <c r="AJ1875">
        <v>77.833408563526902</v>
      </c>
      <c r="AK1875">
        <v>25.822875192259701</v>
      </c>
      <c r="AL1875">
        <v>96.997376727309202</v>
      </c>
      <c r="AM1875">
        <v>81.497927213509698</v>
      </c>
      <c r="AN1875">
        <v>1.00000000160601</v>
      </c>
    </row>
    <row r="1876" spans="1:40" x14ac:dyDescent="0.25">
      <c r="A1876" t="str">
        <f>"20190305134936718"</f>
        <v>20190305134936718</v>
      </c>
      <c r="B1876" t="str">
        <f>"1551764976712088"</f>
        <v>1551764976712088</v>
      </c>
      <c r="C1876" t="s">
        <v>40</v>
      </c>
      <c r="D1876">
        <v>4.2422490000000002</v>
      </c>
      <c r="E1876">
        <v>0.52563340000000003</v>
      </c>
      <c r="F1876" t="s">
        <v>62</v>
      </c>
      <c r="G1876">
        <v>-197.96260000000001</v>
      </c>
      <c r="H1876" s="1">
        <v>1.449552E-6</v>
      </c>
      <c r="I1876">
        <v>292.3904</v>
      </c>
      <c r="J1876">
        <v>-192.01920000000001</v>
      </c>
      <c r="K1876">
        <v>1.1082609999999999</v>
      </c>
      <c r="L1876">
        <v>319.44940000000003</v>
      </c>
      <c r="M1876">
        <v>-6.6209219999999996E-3</v>
      </c>
      <c r="N1876">
        <v>-1.042652E-2</v>
      </c>
      <c r="O1876">
        <v>-0.99992369999999997</v>
      </c>
      <c r="P1876">
        <v>-0.14921209999999999</v>
      </c>
      <c r="Q1876">
        <v>-0.12817429999999999</v>
      </c>
      <c r="R1876">
        <v>-0.98046279999999997</v>
      </c>
      <c r="S1876">
        <v>-0.64242549999999998</v>
      </c>
      <c r="T1876">
        <v>-0.11973010000000001</v>
      </c>
      <c r="U1876">
        <v>-2.9469599999999998</v>
      </c>
      <c r="V1876">
        <v>0.1424086</v>
      </c>
      <c r="W1876">
        <v>-0.11830649999999999</v>
      </c>
      <c r="X1876">
        <v>0.98271229999999998</v>
      </c>
      <c r="Y1876">
        <v>0.20637520000000001</v>
      </c>
      <c r="Z1876">
        <v>2.9278459999999999E-2</v>
      </c>
      <c r="AA1876">
        <v>0.97803479999999998</v>
      </c>
      <c r="AB1876">
        <v>21</v>
      </c>
      <c r="AC1876">
        <v>-5.9433999999999898</v>
      </c>
      <c r="AD1876">
        <v>-1.108259550448</v>
      </c>
      <c r="AE1876">
        <v>-27.059000000000001</v>
      </c>
      <c r="AF1876">
        <v>5.7548949797280198</v>
      </c>
      <c r="AG1876">
        <v>-1.108259550448</v>
      </c>
      <c r="AH1876">
        <v>27.0544649532515</v>
      </c>
      <c r="AI1876">
        <v>92.294474847639506</v>
      </c>
      <c r="AJ1876">
        <v>77.991305791811101</v>
      </c>
      <c r="AK1876">
        <v>27.681963972333602</v>
      </c>
      <c r="AL1876">
        <v>96.794375600029994</v>
      </c>
      <c r="AM1876">
        <v>81.754448522621303</v>
      </c>
      <c r="AN1876">
        <v>1.0000000509337399</v>
      </c>
    </row>
    <row r="1877" spans="1:40" x14ac:dyDescent="0.25">
      <c r="A1877" t="str">
        <f>"20190305134936740"</f>
        <v>20190305134936740</v>
      </c>
      <c r="B1877" t="str">
        <f>"1551764976732584"</f>
        <v>1551764976732584</v>
      </c>
      <c r="C1877" t="s">
        <v>40</v>
      </c>
      <c r="D1877">
        <v>4.0277419999999999</v>
      </c>
      <c r="E1877">
        <v>0.52587830000000002</v>
      </c>
      <c r="F1877" t="s">
        <v>62</v>
      </c>
      <c r="G1877">
        <v>-198.6294</v>
      </c>
      <c r="H1877" s="1">
        <v>2.0450369999999999E-6</v>
      </c>
      <c r="I1877">
        <v>289.0643</v>
      </c>
      <c r="J1877">
        <v>-192.02269999999999</v>
      </c>
      <c r="K1877">
        <v>1.1082339999999999</v>
      </c>
      <c r="L1877">
        <v>319.23680000000002</v>
      </c>
      <c r="M1877">
        <v>-8.4636299999999998E-3</v>
      </c>
      <c r="N1877">
        <v>-1.01099E-2</v>
      </c>
      <c r="O1877">
        <v>-0.99991300000000005</v>
      </c>
      <c r="P1877">
        <v>-0.14704049999999999</v>
      </c>
      <c r="Q1877">
        <v>-0.1242953</v>
      </c>
      <c r="R1877">
        <v>-0.98128990000000005</v>
      </c>
      <c r="S1877">
        <v>-0.64134219999999997</v>
      </c>
      <c r="T1877">
        <v>-0.10752680000000001</v>
      </c>
      <c r="U1877">
        <v>-2.9480590000000002</v>
      </c>
      <c r="V1877">
        <v>0.13842850000000001</v>
      </c>
      <c r="W1877">
        <v>-0.11472019999999999</v>
      </c>
      <c r="X1877">
        <v>0.98370559999999996</v>
      </c>
      <c r="Y1877">
        <v>0.2041809</v>
      </c>
      <c r="Z1877">
        <v>2.555135E-2</v>
      </c>
      <c r="AA1877">
        <v>0.97859969999999996</v>
      </c>
      <c r="AB1877">
        <v>21</v>
      </c>
      <c r="AC1877">
        <v>-6.6067000000000098</v>
      </c>
      <c r="AD1877">
        <v>-1.108231954963</v>
      </c>
      <c r="AE1877">
        <v>-30.172499999999999</v>
      </c>
      <c r="AF1877">
        <v>6.3429157778307399</v>
      </c>
      <c r="AG1877">
        <v>-1.108231954963</v>
      </c>
      <c r="AH1877">
        <v>30.188475278449999</v>
      </c>
      <c r="AI1877">
        <v>92.057522907689801</v>
      </c>
      <c r="AJ1877">
        <v>78.134156982882004</v>
      </c>
      <c r="AK1877">
        <v>30.8675363167883</v>
      </c>
      <c r="AL1877">
        <v>96.587487274443006</v>
      </c>
      <c r="AM1877">
        <v>81.989850966630399</v>
      </c>
      <c r="AN1877">
        <v>0.99999994068582299</v>
      </c>
    </row>
    <row r="1878" spans="1:40" x14ac:dyDescent="0.25">
      <c r="A1878" t="str">
        <f>"20190305134936763"</f>
        <v>20190305134936763</v>
      </c>
      <c r="B1878" t="str">
        <f>"1551764976752104"</f>
        <v>1551764976752104</v>
      </c>
      <c r="C1878" t="s">
        <v>40</v>
      </c>
      <c r="D1878">
        <v>4.0273110000000001</v>
      </c>
      <c r="E1878">
        <v>0.52616929999999995</v>
      </c>
      <c r="F1878" t="s">
        <v>62</v>
      </c>
      <c r="G1878">
        <v>-199.3502</v>
      </c>
      <c r="H1878" s="1">
        <v>2.2452460000000001E-6</v>
      </c>
      <c r="I1878">
        <v>285.3116</v>
      </c>
      <c r="J1878">
        <v>-192.02680000000001</v>
      </c>
      <c r="K1878">
        <v>1.1081989999999999</v>
      </c>
      <c r="L1878">
        <v>319.01069999999999</v>
      </c>
      <c r="M1878">
        <v>-1.042122E-2</v>
      </c>
      <c r="N1878">
        <v>-9.8069209999999997E-3</v>
      </c>
      <c r="O1878">
        <v>-0.9998977</v>
      </c>
      <c r="P1878">
        <v>-0.14483019999999999</v>
      </c>
      <c r="Q1878">
        <v>-0.1231347</v>
      </c>
      <c r="R1878">
        <v>-0.98176490000000005</v>
      </c>
      <c r="S1878">
        <v>-0.63706969999999996</v>
      </c>
      <c r="T1878">
        <v>-9.6351740000000005E-2</v>
      </c>
      <c r="U1878">
        <v>-2.9495239999999998</v>
      </c>
      <c r="V1878">
        <v>0.13428979999999999</v>
      </c>
      <c r="W1878">
        <v>-0.1138421</v>
      </c>
      <c r="X1878">
        <v>0.98438110000000001</v>
      </c>
      <c r="Y1878">
        <v>0.2008315</v>
      </c>
      <c r="Z1878">
        <v>2.2153840000000001E-2</v>
      </c>
      <c r="AA1878">
        <v>0.9793752</v>
      </c>
      <c r="AB1878">
        <v>21</v>
      </c>
      <c r="AC1878">
        <v>-7.3233999999999897</v>
      </c>
      <c r="AD1878">
        <v>-1.1081967547539999</v>
      </c>
      <c r="AE1878">
        <v>-33.699099999999902</v>
      </c>
      <c r="AF1878">
        <v>6.96460763730183</v>
      </c>
      <c r="AG1878">
        <v>-1.1081967547539999</v>
      </c>
      <c r="AH1878">
        <v>33.738751727398302</v>
      </c>
      <c r="AI1878">
        <v>91.842465367558802</v>
      </c>
      <c r="AJ1878">
        <v>78.336402339448796</v>
      </c>
      <c r="AK1878">
        <v>34.467915917731901</v>
      </c>
      <c r="AL1878">
        <v>96.536843913592605</v>
      </c>
      <c r="AM1878">
        <v>82.231633257275405</v>
      </c>
      <c r="AN1878">
        <v>0.99999996207682895</v>
      </c>
    </row>
    <row r="1879" spans="1:40" x14ac:dyDescent="0.25">
      <c r="A1879" t="str">
        <f>"20190305134936786"</f>
        <v>20190305134936786</v>
      </c>
      <c r="B1879" t="str">
        <f>"1551764976782360"</f>
        <v>1551764976782360</v>
      </c>
      <c r="C1879" t="s">
        <v>40</v>
      </c>
      <c r="D1879">
        <v>4.2300879999999896</v>
      </c>
      <c r="E1879">
        <v>0.52681990000000001</v>
      </c>
      <c r="F1879" t="s">
        <v>62</v>
      </c>
      <c r="G1879">
        <v>-199.52719999999999</v>
      </c>
      <c r="H1879" s="1">
        <v>2.3229600000000002E-6</v>
      </c>
      <c r="I1879">
        <v>284.06360000000001</v>
      </c>
      <c r="J1879">
        <v>-192.03120000000001</v>
      </c>
      <c r="K1879">
        <v>1.108169</v>
      </c>
      <c r="L1879">
        <v>318.79169999999999</v>
      </c>
      <c r="M1879">
        <v>-1.231254E-2</v>
      </c>
      <c r="N1879">
        <v>-9.55868E-3</v>
      </c>
      <c r="O1879">
        <v>-0.99987870000000001</v>
      </c>
      <c r="P1879">
        <v>-0.1423944</v>
      </c>
      <c r="Q1879">
        <v>-0.1243401</v>
      </c>
      <c r="R1879">
        <v>-0.98196950000000005</v>
      </c>
      <c r="S1879">
        <v>-0.63325500000000001</v>
      </c>
      <c r="T1879">
        <v>-9.3565110000000007E-2</v>
      </c>
      <c r="U1879">
        <v>-2.9505919999999999</v>
      </c>
      <c r="V1879">
        <v>0.12998669999999901</v>
      </c>
      <c r="W1879">
        <v>-0.1152779</v>
      </c>
      <c r="X1879">
        <v>0.98479159999999999</v>
      </c>
      <c r="Y1879">
        <v>0.19770009999999999</v>
      </c>
      <c r="Z1879">
        <v>2.148251E-2</v>
      </c>
      <c r="AA1879">
        <v>0.98002710000000004</v>
      </c>
      <c r="AB1879">
        <v>21</v>
      </c>
      <c r="AC1879">
        <v>-7.49599999999998</v>
      </c>
      <c r="AD1879">
        <v>-1.10816667704</v>
      </c>
      <c r="AE1879">
        <v>-34.728099999999898</v>
      </c>
      <c r="AF1879">
        <v>7.0609515113118304</v>
      </c>
      <c r="AG1879">
        <v>-1.10816667704</v>
      </c>
      <c r="AH1879">
        <v>34.783924767624796</v>
      </c>
      <c r="AI1879">
        <v>91.788296690261106</v>
      </c>
      <c r="AJ1879">
        <v>78.525180005875697</v>
      </c>
      <c r="AK1879">
        <v>35.510653216590903</v>
      </c>
      <c r="AL1879">
        <v>96.619654043273897</v>
      </c>
      <c r="AM1879">
        <v>82.480760840407399</v>
      </c>
      <c r="AN1879">
        <v>1.0000000159179201</v>
      </c>
    </row>
    <row r="1880" spans="1:40" x14ac:dyDescent="0.25">
      <c r="A1880" t="str">
        <f>"20190305134936806"</f>
        <v>20190305134936806</v>
      </c>
      <c r="B1880" t="str">
        <f>"1551764976802387"</f>
        <v>1551764976802387</v>
      </c>
      <c r="C1880" t="s">
        <v>40</v>
      </c>
      <c r="D1880">
        <v>4.2002300000000004</v>
      </c>
      <c r="E1880">
        <v>0.52746899999999997</v>
      </c>
      <c r="F1880" t="s">
        <v>62</v>
      </c>
      <c r="G1880">
        <v>-199.22640000000001</v>
      </c>
      <c r="H1880" s="1">
        <v>2.2850679999999999E-6</v>
      </c>
      <c r="I1880">
        <v>285.10739999999998</v>
      </c>
      <c r="J1880">
        <v>-192.03559999999999</v>
      </c>
      <c r="K1880">
        <v>1.1081639999999999</v>
      </c>
      <c r="L1880">
        <v>318.59120000000001</v>
      </c>
      <c r="M1880">
        <v>-1.4034690000000001E-2</v>
      </c>
      <c r="N1880">
        <v>-9.3927139999999999E-3</v>
      </c>
      <c r="O1880">
        <v>-0.99985749999999995</v>
      </c>
      <c r="P1880">
        <v>-0.1396877</v>
      </c>
      <c r="Q1880">
        <v>-0.126753</v>
      </c>
      <c r="R1880">
        <v>-0.98204950000000002</v>
      </c>
      <c r="S1880">
        <v>-0.63043209999999905</v>
      </c>
      <c r="T1880">
        <v>-9.7096440000000006E-2</v>
      </c>
      <c r="U1880">
        <v>-2.9513850000000001</v>
      </c>
      <c r="V1880">
        <v>0.1255771</v>
      </c>
      <c r="W1880">
        <v>-0.11784070000000001</v>
      </c>
      <c r="X1880">
        <v>0.98506039999999995</v>
      </c>
      <c r="Y1880">
        <v>0.1950548</v>
      </c>
      <c r="Z1880">
        <v>2.2822160000000001E-2</v>
      </c>
      <c r="AA1880">
        <v>0.98052680000000003</v>
      </c>
      <c r="AB1880">
        <v>22</v>
      </c>
      <c r="AC1880">
        <v>-7.1908000000000198</v>
      </c>
      <c r="AD1880">
        <v>-1.108161714932</v>
      </c>
      <c r="AE1880">
        <v>-33.483800000000002</v>
      </c>
      <c r="AF1880">
        <v>6.7131075084165603</v>
      </c>
      <c r="AG1880">
        <v>-1.108161714932</v>
      </c>
      <c r="AH1880">
        <v>33.546303250973502</v>
      </c>
      <c r="AI1880">
        <v>91.855252544565502</v>
      </c>
      <c r="AJ1880">
        <v>78.683750084523297</v>
      </c>
      <c r="AK1880">
        <v>34.229348469000598</v>
      </c>
      <c r="AL1880">
        <v>96.767499466072707</v>
      </c>
      <c r="AM1880">
        <v>82.735027553854394</v>
      </c>
      <c r="AN1880">
        <v>1.0000000151345201</v>
      </c>
    </row>
    <row r="1881" spans="1:40" x14ac:dyDescent="0.25">
      <c r="A1881" t="str">
        <f>"20190305134936829"</f>
        <v>20190305134936829</v>
      </c>
      <c r="B1881" t="str">
        <f>"1551764976822882"</f>
        <v>1551764976822882</v>
      </c>
      <c r="C1881" t="s">
        <v>40</v>
      </c>
      <c r="D1881">
        <v>4.2041589999999998</v>
      </c>
      <c r="E1881">
        <v>0.52782240000000002</v>
      </c>
      <c r="F1881" t="s">
        <v>62</v>
      </c>
      <c r="G1881">
        <v>-198.7586</v>
      </c>
      <c r="H1881" s="1">
        <v>2.210205E-6</v>
      </c>
      <c r="I1881">
        <v>286.9128</v>
      </c>
      <c r="J1881">
        <v>-192.04089999999999</v>
      </c>
      <c r="K1881">
        <v>1.1081829999999999</v>
      </c>
      <c r="L1881">
        <v>318.36829999999998</v>
      </c>
      <c r="M1881">
        <v>-1.5940470000000002E-2</v>
      </c>
      <c r="N1881">
        <v>-9.3036309999999997E-3</v>
      </c>
      <c r="O1881">
        <v>-0.99982979999999999</v>
      </c>
      <c r="P1881">
        <v>-0.1377302</v>
      </c>
      <c r="Q1881">
        <v>-0.12832769999999999</v>
      </c>
      <c r="R1881">
        <v>-0.98212160000000004</v>
      </c>
      <c r="S1881">
        <v>-0.62657169999999995</v>
      </c>
      <c r="T1881">
        <v>-0.10327799999999999</v>
      </c>
      <c r="U1881">
        <v>-2.9523619999999999</v>
      </c>
      <c r="V1881">
        <v>0.1217382</v>
      </c>
      <c r="W1881">
        <v>-0.119490899999999</v>
      </c>
      <c r="X1881">
        <v>0.98534350000000004</v>
      </c>
      <c r="Y1881">
        <v>0.1918802</v>
      </c>
      <c r="Z1881">
        <v>2.4963760000000002E-2</v>
      </c>
      <c r="AA1881">
        <v>0.9811008</v>
      </c>
      <c r="AB1881">
        <v>22</v>
      </c>
      <c r="AC1881">
        <v>-6.7176999999999998</v>
      </c>
      <c r="AD1881">
        <v>-1.108180789795</v>
      </c>
      <c r="AE1881">
        <v>-31.455499999999901</v>
      </c>
      <c r="AF1881">
        <v>6.2080402267906196</v>
      </c>
      <c r="AG1881">
        <v>-1.108180789795</v>
      </c>
      <c r="AH1881">
        <v>31.5211745825831</v>
      </c>
      <c r="AI1881">
        <v>91.975582218706805</v>
      </c>
      <c r="AJ1881">
        <v>78.858292977334301</v>
      </c>
      <c r="AK1881">
        <v>32.145797162086502</v>
      </c>
      <c r="AL1881">
        <v>96.862721625401406</v>
      </c>
      <c r="AM1881">
        <v>82.956855608158193</v>
      </c>
      <c r="AN1881">
        <v>1.0000000387571399</v>
      </c>
    </row>
    <row r="1882" spans="1:40" x14ac:dyDescent="0.25">
      <c r="A1882" t="str">
        <f>"20190305134936851"</f>
        <v>20190305134936851</v>
      </c>
      <c r="B1882" t="str">
        <f>"1551764976842405"</f>
        <v>1551764976842405</v>
      </c>
      <c r="C1882" t="s">
        <v>40</v>
      </c>
      <c r="D1882">
        <v>3.9613269999999998</v>
      </c>
      <c r="E1882">
        <v>0.52822150000000001</v>
      </c>
      <c r="F1882" t="s">
        <v>62</v>
      </c>
      <c r="G1882">
        <v>-198.4496</v>
      </c>
      <c r="H1882" s="1">
        <v>2.1704840000000002E-6</v>
      </c>
      <c r="I1882">
        <v>287.99419999999998</v>
      </c>
      <c r="J1882">
        <v>-192.0463</v>
      </c>
      <c r="K1882">
        <v>1.1082209999999999</v>
      </c>
      <c r="L1882">
        <v>318.15550000000002</v>
      </c>
      <c r="M1882">
        <v>-1.775386E-2</v>
      </c>
      <c r="N1882">
        <v>-9.337527E-3</v>
      </c>
      <c r="O1882">
        <v>-0.99979879999999999</v>
      </c>
      <c r="P1882">
        <v>-0.13609649999999901</v>
      </c>
      <c r="Q1882">
        <v>-0.12777259999999999</v>
      </c>
      <c r="R1882">
        <v>-0.98242149999999995</v>
      </c>
      <c r="S1882">
        <v>-0.62309269999999894</v>
      </c>
      <c r="T1882">
        <v>-0.1077439</v>
      </c>
      <c r="U1882">
        <v>-2.9531559999999999</v>
      </c>
      <c r="V1882">
        <v>0.11831469999999999</v>
      </c>
      <c r="W1882">
        <v>-0.1188896</v>
      </c>
      <c r="X1882">
        <v>0.98583310000000002</v>
      </c>
      <c r="Y1882">
        <v>0.18893099999999999</v>
      </c>
      <c r="Z1882">
        <v>2.6414630000000001E-2</v>
      </c>
      <c r="AA1882">
        <v>0.98163500000000004</v>
      </c>
      <c r="AB1882">
        <v>22</v>
      </c>
      <c r="AC1882">
        <v>-6.4032999999999998</v>
      </c>
      <c r="AD1882">
        <v>-1.10821882951599</v>
      </c>
      <c r="AE1882">
        <v>-30.161300000000001</v>
      </c>
      <c r="AF1882">
        <v>5.85921873573034</v>
      </c>
      <c r="AG1882">
        <v>-1.10821882951599</v>
      </c>
      <c r="AH1882">
        <v>30.231180557916499</v>
      </c>
      <c r="AI1882">
        <v>92.0610961908462</v>
      </c>
      <c r="AJ1882">
        <v>79.031282421452403</v>
      </c>
      <c r="AK1882">
        <v>30.813679934285201</v>
      </c>
      <c r="AL1882">
        <v>96.828022562030597</v>
      </c>
      <c r="AM1882">
        <v>83.156382761172296</v>
      </c>
      <c r="AN1882">
        <v>1.0000000031399201</v>
      </c>
    </row>
    <row r="1883" spans="1:40" x14ac:dyDescent="0.25">
      <c r="A1883" t="str">
        <f>"20190305134936873"</f>
        <v>20190305134936873</v>
      </c>
      <c r="B1883" t="str">
        <f>"1551764976862898"</f>
        <v>1551764976862898</v>
      </c>
      <c r="C1883" t="s">
        <v>40</v>
      </c>
      <c r="D1883">
        <v>4.1812990000000001</v>
      </c>
      <c r="E1883">
        <v>0.52906809999999904</v>
      </c>
      <c r="F1883" t="s">
        <v>62</v>
      </c>
      <c r="G1883">
        <v>-198.56110000000001</v>
      </c>
      <c r="H1883" s="1">
        <v>2.222364E-6</v>
      </c>
      <c r="I1883">
        <v>287.1746</v>
      </c>
      <c r="J1883">
        <v>-192.0522</v>
      </c>
      <c r="K1883">
        <v>1.108276</v>
      </c>
      <c r="L1883">
        <v>317.94310000000002</v>
      </c>
      <c r="M1883">
        <v>-1.9557959999999999E-2</v>
      </c>
      <c r="N1883">
        <v>-9.4528189999999995E-3</v>
      </c>
      <c r="O1883">
        <v>-0.99976430000000005</v>
      </c>
      <c r="P1883">
        <v>-0.13629059999999901</v>
      </c>
      <c r="Q1883">
        <v>-0.12599920000000001</v>
      </c>
      <c r="R1883">
        <v>-0.98262380000000005</v>
      </c>
      <c r="S1883">
        <v>-0.62115480000000001</v>
      </c>
      <c r="T1883">
        <v>-0.1056647</v>
      </c>
      <c r="U1883">
        <v>-2.9539179999999998</v>
      </c>
      <c r="V1883">
        <v>0.1167309</v>
      </c>
      <c r="W1883">
        <v>-0.1169965</v>
      </c>
      <c r="X1883">
        <v>0.98624829999999997</v>
      </c>
      <c r="Y1883">
        <v>0.18649540000000001</v>
      </c>
      <c r="Z1883">
        <v>2.5612409999999999E-2</v>
      </c>
      <c r="AA1883">
        <v>0.98212189999999999</v>
      </c>
      <c r="AB1883">
        <v>22</v>
      </c>
      <c r="AC1883">
        <v>-6.5089000000000103</v>
      </c>
      <c r="AD1883">
        <v>-1.1082737776360001</v>
      </c>
      <c r="AE1883">
        <v>-30.7685</v>
      </c>
      <c r="AF1883">
        <v>5.8985339898350198</v>
      </c>
      <c r="AG1883">
        <v>-1.1082737776360001</v>
      </c>
      <c r="AH1883">
        <v>30.851607658475402</v>
      </c>
      <c r="AI1883">
        <v>92.020765133493398</v>
      </c>
      <c r="AJ1883">
        <v>79.176213837432798</v>
      </c>
      <c r="AK1883">
        <v>31.4299645101284</v>
      </c>
      <c r="AL1883">
        <v>96.718793569668904</v>
      </c>
      <c r="AM1883">
        <v>83.249958674492802</v>
      </c>
      <c r="AN1883">
        <v>0.99999999663997396</v>
      </c>
    </row>
    <row r="1884" spans="1:40" x14ac:dyDescent="0.25">
      <c r="A1884" t="str">
        <f>"20190305134936895"</f>
        <v>20190305134936895</v>
      </c>
      <c r="B1884" t="str">
        <f>"1551764976892465"</f>
        <v>1551764976892465</v>
      </c>
      <c r="C1884" t="s">
        <v>40</v>
      </c>
      <c r="D1884">
        <v>3.9354309999999999</v>
      </c>
      <c r="E1884">
        <v>0.52898579999999995</v>
      </c>
      <c r="F1884" t="s">
        <v>62</v>
      </c>
      <c r="G1884">
        <v>-199.05590000000001</v>
      </c>
      <c r="H1884" s="1">
        <v>2.3228710000000001E-6</v>
      </c>
      <c r="I1884">
        <v>285.02089999999998</v>
      </c>
      <c r="J1884">
        <v>-192.05850000000001</v>
      </c>
      <c r="K1884">
        <v>1.10832</v>
      </c>
      <c r="L1884">
        <v>317.72739999999999</v>
      </c>
      <c r="M1884">
        <v>-2.13863E-2</v>
      </c>
      <c r="N1884">
        <v>-9.5961750000000002E-3</v>
      </c>
      <c r="O1884">
        <v>-0.99972519999999998</v>
      </c>
      <c r="P1884">
        <v>-0.1346716</v>
      </c>
      <c r="Q1884">
        <v>-0.12512219999999999</v>
      </c>
      <c r="R1884">
        <v>-0.98295869999999996</v>
      </c>
      <c r="S1884">
        <v>-0.62823490000000004</v>
      </c>
      <c r="T1884">
        <v>-9.9413390000000004E-2</v>
      </c>
      <c r="U1884">
        <v>-2.9531559999999999</v>
      </c>
      <c r="V1884">
        <v>0.1133035</v>
      </c>
      <c r="W1884">
        <v>-0.1159665</v>
      </c>
      <c r="X1884">
        <v>0.98676949999999997</v>
      </c>
      <c r="Y1884">
        <v>0.18701580000000001</v>
      </c>
      <c r="Z1884">
        <v>2.3396819999999999E-2</v>
      </c>
      <c r="AA1884">
        <v>0.98207829999999996</v>
      </c>
      <c r="AB1884">
        <v>22</v>
      </c>
      <c r="AC1884">
        <v>-6.9973999999999901</v>
      </c>
      <c r="AD1884">
        <v>-1.108317677129</v>
      </c>
      <c r="AE1884">
        <v>-32.706499999999998</v>
      </c>
      <c r="AF1884">
        <v>6.2893901231527298</v>
      </c>
      <c r="AG1884">
        <v>-1.108317677129</v>
      </c>
      <c r="AH1884">
        <v>32.8126442894186</v>
      </c>
      <c r="AI1884">
        <v>91.899991168302506</v>
      </c>
      <c r="AJ1884">
        <v>79.149390142788903</v>
      </c>
      <c r="AK1884">
        <v>33.428347572959197</v>
      </c>
      <c r="AL1884">
        <v>96.659374556351295</v>
      </c>
      <c r="AM1884">
        <v>83.449831942683304</v>
      </c>
      <c r="AN1884">
        <v>0.99999997918237404</v>
      </c>
    </row>
    <row r="1885" spans="1:40" x14ac:dyDescent="0.25">
      <c r="A1885" t="str">
        <f>"20190305134936917"</f>
        <v>20190305134936917</v>
      </c>
      <c r="B1885" t="str">
        <f>"1551764976911985"</f>
        <v>1551764976911985</v>
      </c>
      <c r="C1885" t="s">
        <v>40</v>
      </c>
      <c r="D1885">
        <v>4.1539769999999896</v>
      </c>
      <c r="E1885">
        <v>0.52840419999999999</v>
      </c>
      <c r="F1885" t="s">
        <v>62</v>
      </c>
      <c r="G1885">
        <v>-199.12190000000001</v>
      </c>
      <c r="H1885" s="1">
        <v>2.382576E-6</v>
      </c>
      <c r="I1885">
        <v>284.20400000000001</v>
      </c>
      <c r="J1885">
        <v>-192.06540000000001</v>
      </c>
      <c r="K1885">
        <v>1.10836</v>
      </c>
      <c r="L1885">
        <v>317.50880000000001</v>
      </c>
      <c r="M1885">
        <v>-2.3237250000000001E-2</v>
      </c>
      <c r="N1885">
        <v>-9.7382670000000001E-3</v>
      </c>
      <c r="O1885">
        <v>-0.99968279999999998</v>
      </c>
      <c r="P1885">
        <v>-0.1334341</v>
      </c>
      <c r="Q1885">
        <v>-0.124974</v>
      </c>
      <c r="R1885">
        <v>-0.98314669999999904</v>
      </c>
      <c r="S1885">
        <v>-0.62246699999999999</v>
      </c>
      <c r="T1885">
        <v>-9.7671629999999995E-2</v>
      </c>
      <c r="U1885">
        <v>-2.954285</v>
      </c>
      <c r="V1885">
        <v>0.11023579999999999</v>
      </c>
      <c r="W1885">
        <v>-0.1156679</v>
      </c>
      <c r="X1885">
        <v>0.98715200000000003</v>
      </c>
      <c r="Y1885">
        <v>0.18328810000000001</v>
      </c>
      <c r="Z1885">
        <v>2.2683439999999999E-2</v>
      </c>
      <c r="AA1885">
        <v>0.98279749999999999</v>
      </c>
      <c r="AB1885">
        <v>22</v>
      </c>
      <c r="AC1885">
        <v>-7.0564999999999998</v>
      </c>
      <c r="AD1885">
        <v>-1.108357617424</v>
      </c>
      <c r="AE1885">
        <v>-33.3048</v>
      </c>
      <c r="AF1885">
        <v>6.2739959848152997</v>
      </c>
      <c r="AG1885">
        <v>-1.108357617424</v>
      </c>
      <c r="AH1885">
        <v>33.424360235566901</v>
      </c>
      <c r="AI1885">
        <v>91.866665393613005</v>
      </c>
      <c r="AJ1885">
        <v>79.368871834373493</v>
      </c>
      <c r="AK1885">
        <v>34.026156694262902</v>
      </c>
      <c r="AL1885">
        <v>96.642149766736907</v>
      </c>
      <c r="AM1885">
        <v>83.628147998598607</v>
      </c>
      <c r="AN1885">
        <v>1.0000000328980201</v>
      </c>
    </row>
    <row r="1886" spans="1:40" x14ac:dyDescent="0.25">
      <c r="A1886" t="str">
        <f>"20190305134936941"</f>
        <v>20190305134936941</v>
      </c>
      <c r="B1886" t="str">
        <f>"1551764976932482"</f>
        <v>1551764976932482</v>
      </c>
      <c r="C1886" t="s">
        <v>40</v>
      </c>
      <c r="D1886">
        <v>3.896798</v>
      </c>
      <c r="E1886">
        <v>0.52822650000000004</v>
      </c>
      <c r="F1886" t="s">
        <v>62</v>
      </c>
      <c r="G1886">
        <v>-198.94630000000001</v>
      </c>
      <c r="H1886" s="1">
        <v>2.3977259999999998E-6</v>
      </c>
      <c r="I1886">
        <v>284.38690000000003</v>
      </c>
      <c r="J1886">
        <v>-192.07300000000001</v>
      </c>
      <c r="K1886">
        <v>1.1083769999999999</v>
      </c>
      <c r="L1886">
        <v>317.28100000000001</v>
      </c>
      <c r="M1886">
        <v>-2.5169710000000001E-2</v>
      </c>
      <c r="N1886">
        <v>-9.8712829999999998E-3</v>
      </c>
      <c r="O1886">
        <v>-0.99963460000000004</v>
      </c>
      <c r="P1886">
        <v>-0.13285150000000001</v>
      </c>
      <c r="Q1886">
        <v>-0.12514910000000001</v>
      </c>
      <c r="R1886">
        <v>-0.9832031</v>
      </c>
      <c r="S1886">
        <v>-0.61399840000000006</v>
      </c>
      <c r="T1886">
        <v>-9.8901030000000001E-2</v>
      </c>
      <c r="U1886">
        <v>-2.9555359999999999</v>
      </c>
      <c r="V1886">
        <v>0.1077453</v>
      </c>
      <c r="W1886">
        <v>-0.1157026</v>
      </c>
      <c r="X1886">
        <v>0.98742280000000004</v>
      </c>
      <c r="Y1886">
        <v>0.17860239999999999</v>
      </c>
      <c r="Z1886">
        <v>2.2967700000000001E-2</v>
      </c>
      <c r="AA1886">
        <v>0.98365320000000001</v>
      </c>
      <c r="AB1886">
        <v>22</v>
      </c>
      <c r="AC1886">
        <v>-6.8733000000000199</v>
      </c>
      <c r="AD1886">
        <v>-1.108374602274</v>
      </c>
      <c r="AE1886">
        <v>-32.894099999999902</v>
      </c>
      <c r="AF1886">
        <v>6.0365800742995699</v>
      </c>
      <c r="AG1886">
        <v>-1.108374602274</v>
      </c>
      <c r="AH1886">
        <v>33.020762918395697</v>
      </c>
      <c r="AI1886">
        <v>91.891149617692307</v>
      </c>
      <c r="AJ1886">
        <v>79.640063268740505</v>
      </c>
      <c r="AK1886">
        <v>33.586300435821997</v>
      </c>
      <c r="AL1886">
        <v>96.644151831373307</v>
      </c>
      <c r="AM1886">
        <v>83.772654265820606</v>
      </c>
      <c r="AN1886">
        <v>0.99999996363934396</v>
      </c>
    </row>
    <row r="1887" spans="1:40" x14ac:dyDescent="0.25">
      <c r="A1887" t="str">
        <f>"20190305134936963"</f>
        <v>20190305134936963</v>
      </c>
      <c r="B1887" t="str">
        <f>"1551764976952001"</f>
        <v>1551764976952001</v>
      </c>
      <c r="C1887" t="s">
        <v>40</v>
      </c>
      <c r="D1887">
        <v>4.1322400000000004</v>
      </c>
      <c r="E1887">
        <v>0.52806909999999996</v>
      </c>
      <c r="F1887" t="s">
        <v>62</v>
      </c>
      <c r="G1887">
        <v>-198.83430000000001</v>
      </c>
      <c r="H1887" s="1">
        <v>2.400818E-6</v>
      </c>
      <c r="I1887">
        <v>284.57889999999998</v>
      </c>
      <c r="J1887">
        <v>-192.08070000000001</v>
      </c>
      <c r="K1887">
        <v>1.108392</v>
      </c>
      <c r="L1887">
        <v>317.06119999999999</v>
      </c>
      <c r="M1887">
        <v>-2.704138E-2</v>
      </c>
      <c r="N1887">
        <v>-9.9848049999999994E-3</v>
      </c>
      <c r="O1887">
        <v>-0.99958440000000004</v>
      </c>
      <c r="P1887">
        <v>-0.1333551</v>
      </c>
      <c r="Q1887">
        <v>-0.12465279999999999</v>
      </c>
      <c r="R1887">
        <v>-0.98319809999999996</v>
      </c>
      <c r="S1887">
        <v>-0.61116029999999999</v>
      </c>
      <c r="T1887">
        <v>-0.10018630000000001</v>
      </c>
      <c r="U1887">
        <v>-2.9559630000000001</v>
      </c>
      <c r="V1887">
        <v>0.1064049</v>
      </c>
      <c r="W1887">
        <v>-0.11508740000000001</v>
      </c>
      <c r="X1887">
        <v>0.98764010000000002</v>
      </c>
      <c r="Y1887">
        <v>0.1758237</v>
      </c>
      <c r="Z1887">
        <v>2.3286749999999998E-2</v>
      </c>
      <c r="AA1887">
        <v>0.98414619999999997</v>
      </c>
      <c r="AB1887">
        <v>22</v>
      </c>
      <c r="AC1887">
        <v>-6.7535999999999996</v>
      </c>
      <c r="AD1887">
        <v>-1.1083895991820001</v>
      </c>
      <c r="AE1887">
        <v>-32.482300000000002</v>
      </c>
      <c r="AF1887">
        <v>5.8661726525975304</v>
      </c>
      <c r="AG1887">
        <v>-1.1083895991820001</v>
      </c>
      <c r="AH1887">
        <v>32.616652144246501</v>
      </c>
      <c r="AI1887">
        <v>91.915583259782494</v>
      </c>
      <c r="AJ1887">
        <v>79.804235836165105</v>
      </c>
      <c r="AK1887">
        <v>33.158505789502001</v>
      </c>
      <c r="AL1887">
        <v>96.608665906837899</v>
      </c>
      <c r="AM1887">
        <v>83.850870639157307</v>
      </c>
      <c r="AN1887">
        <v>1.0000000397553801</v>
      </c>
    </row>
    <row r="1888" spans="1:40" x14ac:dyDescent="0.25">
      <c r="A1888" t="str">
        <f>"20190305134936986"</f>
        <v>20190305134936986</v>
      </c>
      <c r="B1888" t="str">
        <f>"1551764976982257"</f>
        <v>1551764976982257</v>
      </c>
      <c r="C1888" t="s">
        <v>40</v>
      </c>
      <c r="D1888">
        <v>4.091818</v>
      </c>
      <c r="E1888">
        <v>0.5279568</v>
      </c>
      <c r="F1888" t="s">
        <v>62</v>
      </c>
      <c r="G1888">
        <v>-198.87430000000001</v>
      </c>
      <c r="H1888" s="1">
        <v>2.4233280000000001E-6</v>
      </c>
      <c r="I1888">
        <v>284.24009999999998</v>
      </c>
      <c r="J1888">
        <v>-192.0889</v>
      </c>
      <c r="K1888">
        <v>1.108406</v>
      </c>
      <c r="L1888">
        <v>316.84030000000001</v>
      </c>
      <c r="M1888">
        <v>-2.892782E-2</v>
      </c>
      <c r="N1888">
        <v>-1.0078999999999999E-2</v>
      </c>
      <c r="O1888">
        <v>-0.99953099999999995</v>
      </c>
      <c r="P1888">
        <v>-0.13441439999999999</v>
      </c>
      <c r="Q1888">
        <v>-0.1234753</v>
      </c>
      <c r="R1888">
        <v>-0.98320260000000004</v>
      </c>
      <c r="S1888">
        <v>-0.61178589999999999</v>
      </c>
      <c r="T1888">
        <v>-9.9813460000000007E-2</v>
      </c>
      <c r="U1888">
        <v>-2.9556269999999998</v>
      </c>
      <c r="V1888">
        <v>0.1056069</v>
      </c>
      <c r="W1888">
        <v>-0.1138108</v>
      </c>
      <c r="X1888">
        <v>0.98787360000000002</v>
      </c>
      <c r="Y1888">
        <v>0.1741885</v>
      </c>
      <c r="Z1888">
        <v>2.3076389999999999E-2</v>
      </c>
      <c r="AA1888">
        <v>0.98444189999999998</v>
      </c>
      <c r="AB1888">
        <v>22</v>
      </c>
      <c r="AC1888">
        <v>-6.7854000000000099</v>
      </c>
      <c r="AD1888">
        <v>-1.108403576672</v>
      </c>
      <c r="AE1888">
        <v>-32.600200000000001</v>
      </c>
      <c r="AF1888">
        <v>5.8329967995454304</v>
      </c>
      <c r="AG1888">
        <v>-1.108403576672</v>
      </c>
      <c r="AH1888">
        <v>32.746569320090899</v>
      </c>
      <c r="AI1888">
        <v>91.908584167279997</v>
      </c>
      <c r="AJ1888">
        <v>79.900094317807699</v>
      </c>
      <c r="AK1888">
        <v>33.280477947106</v>
      </c>
      <c r="AL1888">
        <v>96.535038689331699</v>
      </c>
      <c r="AM1888">
        <v>83.898069357202402</v>
      </c>
      <c r="AN1888">
        <v>0.99999998255060396</v>
      </c>
    </row>
    <row r="1889" spans="1:40" x14ac:dyDescent="0.25">
      <c r="A1889" t="str">
        <f>"20190305134937008"</f>
        <v>20190305134937008</v>
      </c>
      <c r="B1889" t="str">
        <f>"1551764977002284"</f>
        <v>1551764977002284</v>
      </c>
      <c r="C1889" t="s">
        <v>40</v>
      </c>
      <c r="D1889">
        <v>4.0731510000000002</v>
      </c>
      <c r="E1889">
        <v>0.52806350000000002</v>
      </c>
      <c r="F1889" t="s">
        <v>62</v>
      </c>
      <c r="G1889">
        <v>-199.1292</v>
      </c>
      <c r="H1889" s="1">
        <v>2.4875739999999998E-6</v>
      </c>
      <c r="I1889">
        <v>282.98809999999997</v>
      </c>
      <c r="J1889">
        <v>-192.09700000000001</v>
      </c>
      <c r="K1889">
        <v>1.1084039999999999</v>
      </c>
      <c r="L1889">
        <v>316.62909999999999</v>
      </c>
      <c r="M1889">
        <v>-3.07271E-2</v>
      </c>
      <c r="N1889">
        <v>-1.014877E-2</v>
      </c>
      <c r="O1889">
        <v>-0.99947660000000005</v>
      </c>
      <c r="P1889">
        <v>-0.13575019999999999</v>
      </c>
      <c r="Q1889">
        <v>-0.1225499</v>
      </c>
      <c r="R1889">
        <v>-0.98313459999999997</v>
      </c>
      <c r="S1889">
        <v>-0.61457819999999996</v>
      </c>
      <c r="T1889">
        <v>-9.6756460000000002E-2</v>
      </c>
      <c r="U1889">
        <v>-2.9550779999999999</v>
      </c>
      <c r="V1889">
        <v>0.1051719</v>
      </c>
      <c r="W1889">
        <v>-0.1128123</v>
      </c>
      <c r="X1889">
        <v>0.98803450000000004</v>
      </c>
      <c r="Y1889">
        <v>0.1733497</v>
      </c>
      <c r="Z1889">
        <v>2.199781E-2</v>
      </c>
      <c r="AA1889">
        <v>0.98461460000000001</v>
      </c>
      <c r="AB1889">
        <v>22</v>
      </c>
      <c r="AC1889">
        <v>-7.03219999999998</v>
      </c>
      <c r="AD1889">
        <v>-1.108401512426</v>
      </c>
      <c r="AE1889">
        <v>-33.640999999999998</v>
      </c>
      <c r="AF1889">
        <v>5.9889066835153297</v>
      </c>
      <c r="AG1889">
        <v>-1.108401512426</v>
      </c>
      <c r="AH1889">
        <v>33.806041397379602</v>
      </c>
      <c r="AI1889">
        <v>91.849117201139507</v>
      </c>
      <c r="AJ1889">
        <v>79.953999305094001</v>
      </c>
      <c r="AK1889">
        <v>34.350312839011401</v>
      </c>
      <c r="AL1889">
        <v>96.477458159121198</v>
      </c>
      <c r="AM1889">
        <v>83.923997276204801</v>
      </c>
      <c r="AN1889">
        <v>0.99999995838557398</v>
      </c>
    </row>
    <row r="1890" spans="1:40" x14ac:dyDescent="0.25">
      <c r="A1890" t="str">
        <f>"20190305134937074"</f>
        <v>20190305134937074</v>
      </c>
      <c r="B1890" t="str">
        <f>"1551764977072556"</f>
        <v>1551764977072556</v>
      </c>
      <c r="C1890" t="s">
        <v>40</v>
      </c>
      <c r="D1890">
        <v>4.0467060000000004</v>
      </c>
      <c r="E1890">
        <v>0.52840609999999999</v>
      </c>
      <c r="F1890" t="s">
        <v>62</v>
      </c>
      <c r="G1890">
        <v>-199.41679999999999</v>
      </c>
      <c r="H1890" s="1">
        <v>2.5466619999999999E-6</v>
      </c>
      <c r="I1890">
        <v>281.7287</v>
      </c>
      <c r="J1890">
        <v>-192.12479999999999</v>
      </c>
      <c r="K1890">
        <v>1.1084229999999999</v>
      </c>
      <c r="L1890">
        <v>315.97340000000003</v>
      </c>
      <c r="M1890">
        <v>-3.6174970000000001E-2</v>
      </c>
      <c r="N1890">
        <v>-1.028595E-2</v>
      </c>
      <c r="O1890">
        <v>-0.99929259999999998</v>
      </c>
      <c r="P1890">
        <v>-0.14212559999999999</v>
      </c>
      <c r="Q1890">
        <v>-0.1209228</v>
      </c>
      <c r="R1890">
        <v>-0.98243469999999999</v>
      </c>
      <c r="S1890">
        <v>-0.61959839999999999</v>
      </c>
      <c r="T1890">
        <v>-9.3823190000000001E-2</v>
      </c>
      <c r="U1890">
        <v>-2.954224</v>
      </c>
      <c r="V1890">
        <v>0.1062023</v>
      </c>
      <c r="W1890">
        <v>-0.1110418</v>
      </c>
      <c r="X1890">
        <v>0.98812489999999997</v>
      </c>
      <c r="Y1890">
        <v>0.16964560000000001</v>
      </c>
      <c r="Z1890">
        <v>2.0899399999999999E-2</v>
      </c>
      <c r="AA1890">
        <v>0.98528349999999998</v>
      </c>
      <c r="AB1890">
        <v>22</v>
      </c>
      <c r="AC1890">
        <v>-7.2919999999999998</v>
      </c>
      <c r="AD1890">
        <v>-1.108420453338</v>
      </c>
      <c r="AE1890">
        <v>-34.244700000000002</v>
      </c>
      <c r="AF1890">
        <v>6.04230449411875</v>
      </c>
      <c r="AG1890">
        <v>-1.108420453338</v>
      </c>
      <c r="AH1890">
        <v>34.451557232335098</v>
      </c>
      <c r="AI1890">
        <v>91.815073417508103</v>
      </c>
      <c r="AJ1890">
        <v>80.052323247185598</v>
      </c>
      <c r="AK1890">
        <v>34.9949687131434</v>
      </c>
      <c r="AL1890">
        <v>96.375374157530004</v>
      </c>
      <c r="AM1890">
        <v>83.865477688501102</v>
      </c>
      <c r="AN1890">
        <v>1.0000000139362699</v>
      </c>
    </row>
    <row r="1891" spans="1:40" x14ac:dyDescent="0.25">
      <c r="A1891" t="str">
        <f>"20190305134937096"</f>
        <v>20190305134937096</v>
      </c>
      <c r="B1891" t="str">
        <f>"1551764977092076"</f>
        <v>1551764977092076</v>
      </c>
      <c r="C1891" t="s">
        <v>40</v>
      </c>
      <c r="D1891">
        <v>4.1019579999999998</v>
      </c>
      <c r="E1891">
        <v>0.52871389999999996</v>
      </c>
      <c r="F1891" t="s">
        <v>62</v>
      </c>
      <c r="G1891">
        <v>-200.2525</v>
      </c>
      <c r="H1891" s="1">
        <v>3.0167190000000002E-6</v>
      </c>
      <c r="I1891">
        <v>278.5711</v>
      </c>
      <c r="J1891">
        <v>-192.13460000000001</v>
      </c>
      <c r="K1891">
        <v>1.1084449999999999</v>
      </c>
      <c r="L1891">
        <v>315.75740000000002</v>
      </c>
      <c r="M1891">
        <v>-3.7896880000000001E-2</v>
      </c>
      <c r="N1891">
        <v>-1.0309209999999999E-2</v>
      </c>
      <c r="O1891">
        <v>-0.99922849999999996</v>
      </c>
      <c r="P1891">
        <v>-0.1442639</v>
      </c>
      <c r="Q1891">
        <v>-0.11936430000000001</v>
      </c>
      <c r="R1891">
        <v>-0.98231349999999995</v>
      </c>
      <c r="S1891">
        <v>-0.64108279999999995</v>
      </c>
      <c r="T1891">
        <v>-8.7427499999999894E-2</v>
      </c>
      <c r="U1891">
        <v>-2.9501339999999998</v>
      </c>
      <c r="V1891">
        <v>0.10665380000000001</v>
      </c>
      <c r="W1891">
        <v>-0.1094536</v>
      </c>
      <c r="X1891">
        <v>0.98825350000000001</v>
      </c>
      <c r="Y1891">
        <v>0.17509089999999999</v>
      </c>
      <c r="Z1891">
        <v>1.87586E-2</v>
      </c>
      <c r="AA1891">
        <v>0.98437359999999896</v>
      </c>
      <c r="AB1891">
        <v>22</v>
      </c>
      <c r="AC1891">
        <v>-8.1178999999999899</v>
      </c>
      <c r="AD1891">
        <v>-1.108441983281</v>
      </c>
      <c r="AE1891">
        <v>-37.186300000000003</v>
      </c>
      <c r="AF1891">
        <v>6.69706861549927</v>
      </c>
      <c r="AG1891">
        <v>-1.108441983281</v>
      </c>
      <c r="AH1891">
        <v>37.435495392244903</v>
      </c>
      <c r="AI1891">
        <v>91.669507666695097</v>
      </c>
      <c r="AJ1891">
        <v>79.857295253931099</v>
      </c>
      <c r="AK1891">
        <v>38.045968077232502</v>
      </c>
      <c r="AL1891">
        <v>96.283818644120302</v>
      </c>
      <c r="AM1891">
        <v>83.840393462320804</v>
      </c>
      <c r="AN1891">
        <v>1.00000005193482</v>
      </c>
    </row>
    <row r="1892" spans="1:40" x14ac:dyDescent="0.25">
      <c r="A1892" t="str">
        <f>"20190305134937110"</f>
        <v>20190305134937110</v>
      </c>
      <c r="B1892" t="str">
        <f>"1551764977102813"</f>
        <v>1551764977102813</v>
      </c>
      <c r="C1892" t="s">
        <v>40</v>
      </c>
      <c r="D1892">
        <v>4.0737480000000001</v>
      </c>
      <c r="E1892">
        <v>0.52878549999999902</v>
      </c>
      <c r="F1892" t="s">
        <v>62</v>
      </c>
      <c r="G1892">
        <v>-200.45429999999999</v>
      </c>
      <c r="H1892">
        <v>6.3121070000000001E-2</v>
      </c>
      <c r="I1892">
        <v>278.00020000000001</v>
      </c>
      <c r="J1892">
        <v>-192.14150000000001</v>
      </c>
      <c r="K1892">
        <v>1.108468</v>
      </c>
      <c r="L1892">
        <v>315.60919999999999</v>
      </c>
      <c r="M1892">
        <v>-3.9048579999999999E-2</v>
      </c>
      <c r="N1892">
        <v>-1.031963E-2</v>
      </c>
      <c r="O1892">
        <v>-0.99918399999999996</v>
      </c>
      <c r="P1892">
        <v>-0.14538770000000001</v>
      </c>
      <c r="Q1892">
        <v>-0.11862590000000001</v>
      </c>
      <c r="R1892">
        <v>-0.98223740000000004</v>
      </c>
      <c r="S1892">
        <v>-0.64973449999999999</v>
      </c>
      <c r="T1892">
        <v>-8.1636070000000005E-2</v>
      </c>
      <c r="U1892">
        <v>-2.9487000000000001</v>
      </c>
      <c r="V1892">
        <v>0.10664990000000001</v>
      </c>
      <c r="W1892">
        <v>-0.1086978</v>
      </c>
      <c r="X1892">
        <v>0.98833729999999997</v>
      </c>
      <c r="Y1892">
        <v>0.17682010000000001</v>
      </c>
      <c r="Z1892">
        <v>1.6826979999999998E-2</v>
      </c>
      <c r="AA1892">
        <v>0.98409930000000001</v>
      </c>
      <c r="AB1892">
        <v>22</v>
      </c>
      <c r="AC1892">
        <v>-8.3127999999999798</v>
      </c>
      <c r="AD1892">
        <v>-1.04534693</v>
      </c>
      <c r="AE1892">
        <v>-37.608999999999902</v>
      </c>
      <c r="AF1892">
        <v>6.8327700748966604</v>
      </c>
      <c r="AG1892">
        <v>-1.04534693</v>
      </c>
      <c r="AH1892">
        <v>37.877033805068201</v>
      </c>
      <c r="AI1892">
        <v>91.555774116124795</v>
      </c>
      <c r="AJ1892">
        <v>79.774190362489193</v>
      </c>
      <c r="AK1892">
        <v>38.502586756875701</v>
      </c>
      <c r="AL1892">
        <v>96.240254794549003</v>
      </c>
      <c r="AM1892">
        <v>83.841135202073801</v>
      </c>
      <c r="AN1892">
        <v>1.00000001573306</v>
      </c>
    </row>
    <row r="1893" spans="1:40" x14ac:dyDescent="0.25">
      <c r="A1893" t="str">
        <f>"20190305134937131"</f>
        <v>20190305134937131</v>
      </c>
      <c r="B1893" t="str">
        <f>"1551764977122333"</f>
        <v>1551764977122333</v>
      </c>
      <c r="C1893" t="s">
        <v>40</v>
      </c>
      <c r="D1893">
        <v>4.0630810000000004</v>
      </c>
      <c r="E1893">
        <v>0.52902510000000003</v>
      </c>
      <c r="F1893" t="s">
        <v>62</v>
      </c>
      <c r="G1893">
        <v>-200.6122</v>
      </c>
      <c r="H1893">
        <v>8.0001470000000005E-2</v>
      </c>
      <c r="I1893">
        <v>277.3963</v>
      </c>
      <c r="J1893">
        <v>-192.1507</v>
      </c>
      <c r="K1893">
        <v>1.108503</v>
      </c>
      <c r="L1893">
        <v>315.41680000000002</v>
      </c>
      <c r="M1893">
        <v>-4.0488650000000001E-2</v>
      </c>
      <c r="N1893">
        <v>-1.03216E-2</v>
      </c>
      <c r="O1893">
        <v>-0.99912679999999998</v>
      </c>
      <c r="P1893">
        <v>-0.1471085</v>
      </c>
      <c r="Q1893">
        <v>-0.11746470000000001</v>
      </c>
      <c r="R1893">
        <v>-0.98212100000000002</v>
      </c>
      <c r="S1893">
        <v>-0.65345759999999997</v>
      </c>
      <c r="T1893">
        <v>-7.9339389999999996E-2</v>
      </c>
      <c r="U1893">
        <v>-2.9478759999999999</v>
      </c>
      <c r="V1893">
        <v>0.1069642</v>
      </c>
      <c r="W1893">
        <v>-0.1075243</v>
      </c>
      <c r="X1893">
        <v>0.98843170000000002</v>
      </c>
      <c r="Y1893">
        <v>0.17664779999999999</v>
      </c>
      <c r="Z1893">
        <v>1.606662E-2</v>
      </c>
      <c r="AA1893">
        <v>0.98414299999999999</v>
      </c>
      <c r="AB1893">
        <v>22</v>
      </c>
      <c r="AC1893">
        <v>-8.4614999999999991</v>
      </c>
      <c r="AD1893">
        <v>-1.02850153</v>
      </c>
      <c r="AE1893">
        <v>-38.020499999999998</v>
      </c>
      <c r="AF1893">
        <v>6.91026218675806</v>
      </c>
      <c r="AG1893">
        <v>-1.02850153</v>
      </c>
      <c r="AH1893">
        <v>38.305224954327699</v>
      </c>
      <c r="AI1893">
        <v>91.513610721306407</v>
      </c>
      <c r="AJ1893">
        <v>79.773829337463098</v>
      </c>
      <c r="AK1893">
        <v>38.937126212505703</v>
      </c>
      <c r="AL1893">
        <v>96.172621756606603</v>
      </c>
      <c r="AM1893">
        <v>83.823710333201703</v>
      </c>
      <c r="AN1893">
        <v>1.0000000203685</v>
      </c>
    </row>
    <row r="1894" spans="1:40" x14ac:dyDescent="0.25">
      <c r="A1894" t="str">
        <f>"20190305134937153"</f>
        <v>20190305134937153</v>
      </c>
      <c r="B1894" t="str">
        <f>"1551764977142832"</f>
        <v>1551764977142832</v>
      </c>
      <c r="C1894" t="s">
        <v>40</v>
      </c>
      <c r="D1894">
        <v>4.051304</v>
      </c>
      <c r="E1894">
        <v>0.52930549999999998</v>
      </c>
      <c r="F1894" t="s">
        <v>62</v>
      </c>
      <c r="G1894">
        <v>-201.17400000000001</v>
      </c>
      <c r="H1894">
        <v>8.0001420000000004E-2</v>
      </c>
      <c r="I1894">
        <v>275.16899999999998</v>
      </c>
      <c r="J1894">
        <v>-192.16149999999999</v>
      </c>
      <c r="K1894">
        <v>1.1085400000000001</v>
      </c>
      <c r="L1894">
        <v>315.19749999999999</v>
      </c>
      <c r="M1894">
        <v>-4.2042929999999999E-2</v>
      </c>
      <c r="N1894">
        <v>-1.0303150000000001E-2</v>
      </c>
      <c r="O1894">
        <v>-0.99906280000000003</v>
      </c>
      <c r="P1894">
        <v>-0.14851500000000001</v>
      </c>
      <c r="Q1894">
        <v>-0.1169924</v>
      </c>
      <c r="R1894">
        <v>-0.98196550000000005</v>
      </c>
      <c r="S1894">
        <v>-0.66062929999999997</v>
      </c>
      <c r="T1894">
        <v>-7.5300220000000001E-2</v>
      </c>
      <c r="U1894">
        <v>-2.9466860000000001</v>
      </c>
      <c r="V1894">
        <v>0.1068556</v>
      </c>
      <c r="W1894">
        <v>-0.1070547</v>
      </c>
      <c r="X1894">
        <v>0.9884944</v>
      </c>
      <c r="Y1894">
        <v>0.1774878</v>
      </c>
      <c r="Z1894">
        <v>1.474584E-2</v>
      </c>
      <c r="AA1894">
        <v>0.98401249999999996</v>
      </c>
      <c r="AB1894">
        <v>22</v>
      </c>
      <c r="AC1894">
        <v>-9.0125000000000099</v>
      </c>
      <c r="AD1894">
        <v>-1.02853857999999</v>
      </c>
      <c r="AE1894">
        <v>-40.028499999999902</v>
      </c>
      <c r="AF1894">
        <v>7.31692794147272</v>
      </c>
      <c r="AG1894">
        <v>-1.02853857999999</v>
      </c>
      <c r="AH1894">
        <v>40.346681937942201</v>
      </c>
      <c r="AI1894">
        <v>91.4368705706909</v>
      </c>
      <c r="AJ1894">
        <v>79.721043512454898</v>
      </c>
      <c r="AK1894">
        <v>41.017679962581099</v>
      </c>
      <c r="AL1894">
        <v>96.145559554862004</v>
      </c>
      <c r="AM1894">
        <v>83.830321032451394</v>
      </c>
      <c r="AN1894">
        <v>1.0000000034373999</v>
      </c>
    </row>
    <row r="1895" spans="1:40" x14ac:dyDescent="0.25">
      <c r="A1895" t="str">
        <f>"20190305134937242"</f>
        <v>20190305134937242</v>
      </c>
      <c r="B1895" t="str">
        <f>"1551764977232624"</f>
        <v>1551764977232624</v>
      </c>
      <c r="C1895" t="s">
        <v>40</v>
      </c>
      <c r="D1895">
        <v>4.0818580000000004</v>
      </c>
      <c r="E1895">
        <v>0.52949380000000001</v>
      </c>
      <c r="F1895" t="s">
        <v>62</v>
      </c>
      <c r="G1895">
        <v>-201.51820000000001</v>
      </c>
      <c r="H1895">
        <v>8.0001589999999997E-2</v>
      </c>
      <c r="I1895">
        <v>273.8578</v>
      </c>
      <c r="J1895">
        <v>-192.20699999999999</v>
      </c>
      <c r="K1895">
        <v>1.1087480000000001</v>
      </c>
      <c r="L1895">
        <v>314.3098</v>
      </c>
      <c r="M1895">
        <v>-4.7298340000000001E-2</v>
      </c>
      <c r="N1895">
        <v>-1.006874E-2</v>
      </c>
      <c r="O1895">
        <v>-0.99883010000000005</v>
      </c>
      <c r="P1895">
        <v>-0.14981610000000001</v>
      </c>
      <c r="Q1895">
        <v>-0.11505749999999999</v>
      </c>
      <c r="R1895">
        <v>-0.9819966</v>
      </c>
      <c r="S1895">
        <v>-0.66668700000000003</v>
      </c>
      <c r="T1895">
        <v>-7.3285100000000006E-2</v>
      </c>
      <c r="U1895">
        <v>-2.9455260000000001</v>
      </c>
      <c r="V1895">
        <v>0.1030319</v>
      </c>
      <c r="W1895">
        <v>-0.105268</v>
      </c>
      <c r="X1895">
        <v>0.98909210000000003</v>
      </c>
      <c r="Y1895">
        <v>0.1743217</v>
      </c>
      <c r="Z1895">
        <v>1.431897E-2</v>
      </c>
      <c r="AA1895">
        <v>0.98458460000000003</v>
      </c>
      <c r="AB1895">
        <v>22</v>
      </c>
      <c r="AC1895">
        <v>-9.3112000000000101</v>
      </c>
      <c r="AD1895">
        <v>-1.0287464100000001</v>
      </c>
      <c r="AE1895">
        <v>-40.451999999999998</v>
      </c>
      <c r="AF1895">
        <v>7.3828339543498496</v>
      </c>
      <c r="AG1895">
        <v>-1.0287464100000001</v>
      </c>
      <c r="AH1895">
        <v>40.822075184626598</v>
      </c>
      <c r="AI1895">
        <v>91.420555095653995</v>
      </c>
      <c r="AJ1895">
        <v>79.748640563969502</v>
      </c>
      <c r="AK1895">
        <v>41.497064700444803</v>
      </c>
      <c r="AL1895">
        <v>96.042607078194095</v>
      </c>
      <c r="AM1895">
        <v>84.053052539312105</v>
      </c>
      <c r="AN1895">
        <v>1.0000000532619999</v>
      </c>
    </row>
    <row r="1896" spans="1:40" x14ac:dyDescent="0.25">
      <c r="A1896" t="str">
        <f>"20190305134937265"</f>
        <v>20190305134937265</v>
      </c>
      <c r="B1896" t="str">
        <f>"1551764977262878"</f>
        <v>1551764977262878</v>
      </c>
      <c r="C1896" t="s">
        <v>40</v>
      </c>
      <c r="D1896">
        <v>4.0432499999999996</v>
      </c>
      <c r="E1896">
        <v>0.52971630000000003</v>
      </c>
      <c r="F1896" t="s">
        <v>42</v>
      </c>
      <c r="G1896">
        <v>-202.5883</v>
      </c>
      <c r="H1896">
        <v>7.9985699999999896E-2</v>
      </c>
      <c r="I1896">
        <v>268.80399999999997</v>
      </c>
      <c r="J1896">
        <v>-192.21850000000001</v>
      </c>
      <c r="K1896">
        <v>1.108808</v>
      </c>
      <c r="L1896">
        <v>314.09309999999999</v>
      </c>
      <c r="M1896">
        <v>-4.829348E-2</v>
      </c>
      <c r="N1896">
        <v>-9.9915290000000007E-3</v>
      </c>
      <c r="O1896">
        <v>-0.99878359999999999</v>
      </c>
      <c r="P1896">
        <v>-0.1497704</v>
      </c>
      <c r="Q1896">
        <v>-0.1135499</v>
      </c>
      <c r="R1896">
        <v>-0.98217909999999997</v>
      </c>
      <c r="S1896">
        <v>-0.67178340000000003</v>
      </c>
      <c r="T1896">
        <v>-6.6572430000000002E-2</v>
      </c>
      <c r="U1896">
        <v>-2.9447329999999998</v>
      </c>
      <c r="V1896">
        <v>0.1020137</v>
      </c>
      <c r="W1896">
        <v>-0.1038144</v>
      </c>
      <c r="X1896">
        <v>0.98935119999999999</v>
      </c>
      <c r="Y1896">
        <v>0.1750265</v>
      </c>
      <c r="Z1896">
        <v>1.2167880000000001E-2</v>
      </c>
      <c r="AA1896">
        <v>0.98448849999999999</v>
      </c>
      <c r="AB1896">
        <v>22</v>
      </c>
      <c r="AC1896">
        <v>-10.3697999999999</v>
      </c>
      <c r="AD1896">
        <v>-1.0288223000000001</v>
      </c>
      <c r="AE1896">
        <v>-45.289099999999898</v>
      </c>
      <c r="AF1896">
        <v>8.16641826226987</v>
      </c>
      <c r="AG1896">
        <v>-1.0288223000000001</v>
      </c>
      <c r="AH1896">
        <v>45.7146535478673</v>
      </c>
      <c r="AI1896">
        <v>91.269156632393504</v>
      </c>
      <c r="AJ1896">
        <v>79.871578575730595</v>
      </c>
      <c r="AK1896">
        <v>46.449740704990397</v>
      </c>
      <c r="AL1896">
        <v>95.958863313320094</v>
      </c>
      <c r="AM1896">
        <v>84.112938822260901</v>
      </c>
      <c r="AN1896">
        <v>1.0000000107882401</v>
      </c>
    </row>
    <row r="1897" spans="1:40" x14ac:dyDescent="0.25">
      <c r="A1897" t="str">
        <f>"20190305134937280"</f>
        <v>20190305134937280</v>
      </c>
      <c r="B1897" t="str">
        <f>"1551764977272637"</f>
        <v>1551764977272637</v>
      </c>
      <c r="C1897" t="s">
        <v>40</v>
      </c>
      <c r="D1897">
        <v>4.0838229999999998</v>
      </c>
      <c r="E1897">
        <v>0.52981279999999997</v>
      </c>
      <c r="F1897" t="s">
        <v>42</v>
      </c>
      <c r="G1897">
        <v>-203.64080000000001</v>
      </c>
      <c r="H1897">
        <v>7.9985650000000005E-2</v>
      </c>
      <c r="I1897">
        <v>264.1413</v>
      </c>
      <c r="J1897">
        <v>-192.22710000000001</v>
      </c>
      <c r="K1897">
        <v>1.108862</v>
      </c>
      <c r="L1897">
        <v>313.93180000000001</v>
      </c>
      <c r="M1897">
        <v>-4.8951670000000003E-2</v>
      </c>
      <c r="N1897">
        <v>-9.9357309999999997E-3</v>
      </c>
      <c r="O1897">
        <v>-0.99875190000000003</v>
      </c>
      <c r="P1897">
        <v>-0.15001220000000001</v>
      </c>
      <c r="Q1897">
        <v>-0.11361640000000001</v>
      </c>
      <c r="R1897">
        <v>-0.98213439999999996</v>
      </c>
      <c r="S1897">
        <v>-0.67337040000000004</v>
      </c>
      <c r="T1897">
        <v>-6.0651179999999999E-2</v>
      </c>
      <c r="U1897">
        <v>-2.944763</v>
      </c>
      <c r="V1897">
        <v>0.1016201</v>
      </c>
      <c r="W1897">
        <v>-0.10392120000000001</v>
      </c>
      <c r="X1897">
        <v>0.9893805</v>
      </c>
      <c r="Y1897">
        <v>0.1748864</v>
      </c>
      <c r="Z1897">
        <v>1.0256629999999999E-2</v>
      </c>
      <c r="AA1897">
        <v>0.98453520000000005</v>
      </c>
      <c r="AB1897">
        <v>22</v>
      </c>
      <c r="AC1897">
        <v>-11.4137</v>
      </c>
      <c r="AD1897">
        <v>-1.02887635</v>
      </c>
      <c r="AE1897">
        <v>-49.790500000000002</v>
      </c>
      <c r="AF1897">
        <v>8.9589327743389795</v>
      </c>
      <c r="AG1897">
        <v>-1.02887635</v>
      </c>
      <c r="AH1897">
        <v>50.269156309472301</v>
      </c>
      <c r="AI1897">
        <v>91.154345106727405</v>
      </c>
      <c r="AJ1897">
        <v>79.894882733840006</v>
      </c>
      <c r="AK1897">
        <v>51.071607954565799</v>
      </c>
      <c r="AL1897">
        <v>95.965015742387493</v>
      </c>
      <c r="AM1897">
        <v>84.135666751299397</v>
      </c>
      <c r="AN1897">
        <v>1.0000000171568399</v>
      </c>
    </row>
    <row r="1898" spans="1:40" x14ac:dyDescent="0.25">
      <c r="A1898" t="str">
        <f>"20190305134937298"</f>
        <v>20190305134937298</v>
      </c>
      <c r="B1898" t="str">
        <f>"1551764977292157"</f>
        <v>1551764977292157</v>
      </c>
      <c r="C1898" t="s">
        <v>40</v>
      </c>
      <c r="D1898">
        <v>4.0601469999999997</v>
      </c>
      <c r="E1898">
        <v>0.53001619999999905</v>
      </c>
      <c r="F1898" t="s">
        <v>42</v>
      </c>
      <c r="G1898">
        <v>-203.66040000000001</v>
      </c>
      <c r="H1898">
        <v>7.9985680000000003E-2</v>
      </c>
      <c r="I1898">
        <v>264.04140000000001</v>
      </c>
      <c r="J1898">
        <v>-192.23650000000001</v>
      </c>
      <c r="K1898">
        <v>1.108914</v>
      </c>
      <c r="L1898">
        <v>313.75630000000001</v>
      </c>
      <c r="M1898">
        <v>-4.9593499999999999E-2</v>
      </c>
      <c r="N1898">
        <v>-9.8783580000000003E-3</v>
      </c>
      <c r="O1898">
        <v>-0.99872079999999996</v>
      </c>
      <c r="P1898">
        <v>-0.1499692</v>
      </c>
      <c r="Q1898">
        <v>-0.114193</v>
      </c>
      <c r="R1898">
        <v>-0.98207440000000001</v>
      </c>
      <c r="S1898">
        <v>-0.67478939999999998</v>
      </c>
      <c r="T1898">
        <v>-6.072342E-2</v>
      </c>
      <c r="U1898">
        <v>-2.9444889999999999</v>
      </c>
      <c r="V1898">
        <v>0.1009603</v>
      </c>
      <c r="W1898">
        <v>-0.1045382</v>
      </c>
      <c r="X1898">
        <v>0.98938300000000001</v>
      </c>
      <c r="Y1898">
        <v>0.17472449999999901</v>
      </c>
      <c r="Z1898">
        <v>1.033858E-2</v>
      </c>
      <c r="AA1898">
        <v>0.98456310000000002</v>
      </c>
      <c r="AB1898">
        <v>22</v>
      </c>
      <c r="AC1898">
        <v>-11.4239</v>
      </c>
      <c r="AD1898">
        <v>-1.0289283199999999</v>
      </c>
      <c r="AE1898">
        <v>-49.7149</v>
      </c>
      <c r="AF1898">
        <v>8.9405479740278295</v>
      </c>
      <c r="AG1898">
        <v>-1.0289283199999999</v>
      </c>
      <c r="AH1898">
        <v>50.199873303659203</v>
      </c>
      <c r="AI1898">
        <v>91.156020208590803</v>
      </c>
      <c r="AJ1898">
        <v>79.901561363973798</v>
      </c>
      <c r="AK1898">
        <v>51.000189914029001</v>
      </c>
      <c r="AL1898">
        <v>96.000561133208507</v>
      </c>
      <c r="AM1898">
        <v>84.173494567547294</v>
      </c>
      <c r="AN1898">
        <v>0.99999996906216404</v>
      </c>
    </row>
    <row r="1899" spans="1:40" x14ac:dyDescent="0.25">
      <c r="A1899" t="str">
        <f>"20190305134937320"</f>
        <v>20190305134937320</v>
      </c>
      <c r="B1899" t="str">
        <f>"1551764977312653"</f>
        <v>1551764977312653</v>
      </c>
      <c r="C1899" t="s">
        <v>40</v>
      </c>
      <c r="D1899">
        <v>4.074719</v>
      </c>
      <c r="E1899">
        <v>0.53017780000000003</v>
      </c>
      <c r="F1899" t="s">
        <v>42</v>
      </c>
      <c r="G1899">
        <v>-203.4092</v>
      </c>
      <c r="H1899">
        <v>7.9986829999999995E-2</v>
      </c>
      <c r="I1899">
        <v>265.11500000000001</v>
      </c>
      <c r="J1899">
        <v>-192.24860000000001</v>
      </c>
      <c r="K1899">
        <v>1.108984</v>
      </c>
      <c r="L1899">
        <v>313.53019999999998</v>
      </c>
      <c r="M1899">
        <v>-5.0303500000000001E-2</v>
      </c>
      <c r="N1899">
        <v>-9.8103879999999997E-3</v>
      </c>
      <c r="O1899">
        <v>-0.99868610000000002</v>
      </c>
      <c r="P1899">
        <v>-0.1500013</v>
      </c>
      <c r="Q1899">
        <v>-0.11482779999999999</v>
      </c>
      <c r="R1899">
        <v>-0.98199530000000002</v>
      </c>
      <c r="S1899">
        <v>-0.67628480000000002</v>
      </c>
      <c r="T1899">
        <v>-6.2280769999999999E-2</v>
      </c>
      <c r="U1899">
        <v>-2.9442439999999999</v>
      </c>
      <c r="V1899">
        <v>0.1003136</v>
      </c>
      <c r="W1899">
        <v>-0.1052198</v>
      </c>
      <c r="X1899">
        <v>0.98937649999999999</v>
      </c>
      <c r="Y1899">
        <v>0.1745158</v>
      </c>
      <c r="Z1899">
        <v>1.0923779999999999E-2</v>
      </c>
      <c r="AA1899">
        <v>0.98459370000000002</v>
      </c>
      <c r="AB1899">
        <v>22</v>
      </c>
      <c r="AC1899">
        <v>-11.160599999999899</v>
      </c>
      <c r="AD1899">
        <v>-1.02899717</v>
      </c>
      <c r="AE1899">
        <v>-48.415199999999899</v>
      </c>
      <c r="AF1899">
        <v>8.7071639003074104</v>
      </c>
      <c r="AG1899">
        <v>-1.02899717</v>
      </c>
      <c r="AH1899">
        <v>48.894371573411298</v>
      </c>
      <c r="AI1899">
        <v>91.186960818081502</v>
      </c>
      <c r="AJ1899">
        <v>79.902555762887403</v>
      </c>
      <c r="AK1899">
        <v>49.674270099534397</v>
      </c>
      <c r="AL1899">
        <v>96.0398306753886</v>
      </c>
      <c r="AM1899">
        <v>84.210524074836201</v>
      </c>
      <c r="AN1899">
        <v>0.99999994170462303</v>
      </c>
    </row>
    <row r="1900" spans="1:40" x14ac:dyDescent="0.25">
      <c r="A1900" t="str">
        <f>"20190305134937342"</f>
        <v>20190305134937342</v>
      </c>
      <c r="B1900" t="str">
        <f>"1551764977332176"</f>
        <v>1551764977332176</v>
      </c>
      <c r="C1900" t="s">
        <v>40</v>
      </c>
      <c r="D1900">
        <v>4.2110379999999896</v>
      </c>
      <c r="E1900">
        <v>0.53027919999999995</v>
      </c>
      <c r="F1900" t="s">
        <v>42</v>
      </c>
      <c r="G1900">
        <v>-203.08150000000001</v>
      </c>
      <c r="H1900">
        <v>7.9986409999999994E-2</v>
      </c>
      <c r="I1900">
        <v>266.48910000000001</v>
      </c>
      <c r="J1900">
        <v>-192.26050000000001</v>
      </c>
      <c r="K1900">
        <v>1.109043</v>
      </c>
      <c r="L1900">
        <v>313.30990000000003</v>
      </c>
      <c r="M1900">
        <v>-5.0881740000000002E-2</v>
      </c>
      <c r="N1900">
        <v>-9.7499830000000003E-3</v>
      </c>
      <c r="O1900">
        <v>-0.99865709999999996</v>
      </c>
      <c r="P1900">
        <v>-0.15040609999999999</v>
      </c>
      <c r="Q1900">
        <v>-0.11575589999999999</v>
      </c>
      <c r="R1900">
        <v>-0.98182420000000004</v>
      </c>
      <c r="S1900">
        <v>-0.67793269999999906</v>
      </c>
      <c r="T1900">
        <v>-6.4395670000000002E-2</v>
      </c>
      <c r="U1900">
        <v>-2.9438780000000002</v>
      </c>
      <c r="V1900">
        <v>0.1001725</v>
      </c>
      <c r="W1900">
        <v>-0.10619049999999999</v>
      </c>
      <c r="X1900">
        <v>0.98928709999999997</v>
      </c>
      <c r="Y1900">
        <v>0.1744936</v>
      </c>
      <c r="Z1900">
        <v>1.168691E-2</v>
      </c>
      <c r="AA1900">
        <v>0.98458900000000005</v>
      </c>
      <c r="AB1900">
        <v>22</v>
      </c>
      <c r="AC1900">
        <v>-10.8209999999999</v>
      </c>
      <c r="AD1900">
        <v>-1.0290565899999999</v>
      </c>
      <c r="AE1900">
        <v>-46.820799999999998</v>
      </c>
      <c r="AF1900">
        <v>8.42068363493512</v>
      </c>
      <c r="AG1900">
        <v>-1.0290565899999999</v>
      </c>
      <c r="AH1900">
        <v>47.289078884498601</v>
      </c>
      <c r="AI1900">
        <v>91.227315280142804</v>
      </c>
      <c r="AJ1900">
        <v>79.903269735239505</v>
      </c>
      <c r="AK1900">
        <v>48.043978312473399</v>
      </c>
      <c r="AL1900">
        <v>96.0957609364105</v>
      </c>
      <c r="AM1900">
        <v>84.218093372470307</v>
      </c>
      <c r="AN1900">
        <v>0.99999995913645401</v>
      </c>
    </row>
    <row r="1901" spans="1:40" x14ac:dyDescent="0.25">
      <c r="A1901" t="str">
        <f>"20190305134937365"</f>
        <v>20190305134937365</v>
      </c>
      <c r="B1901" t="str">
        <f>"1551764977362428"</f>
        <v>1551764977362428</v>
      </c>
      <c r="C1901" t="s">
        <v>40</v>
      </c>
      <c r="D1901">
        <v>4.0528219999999999</v>
      </c>
      <c r="E1901">
        <v>0.58215269999999997</v>
      </c>
      <c r="F1901" t="s">
        <v>42</v>
      </c>
      <c r="G1901">
        <v>-202.7072</v>
      </c>
      <c r="H1901">
        <v>7.9985920000000002E-2</v>
      </c>
      <c r="I1901">
        <v>268.09019999999998</v>
      </c>
      <c r="J1901">
        <v>-192.27269999999999</v>
      </c>
      <c r="K1901">
        <v>1.1091009999999999</v>
      </c>
      <c r="L1901">
        <v>313.08229999999998</v>
      </c>
      <c r="M1901">
        <v>-5.1373179999999997E-2</v>
      </c>
      <c r="N1901">
        <v>-9.6936590000000003E-3</v>
      </c>
      <c r="O1901">
        <v>-0.99863270000000004</v>
      </c>
      <c r="P1901">
        <v>-0.15113960000000001</v>
      </c>
      <c r="Q1901">
        <v>-0.1158993</v>
      </c>
      <c r="R1901">
        <v>-0.98169490000000004</v>
      </c>
      <c r="S1901">
        <v>-0.6800079</v>
      </c>
      <c r="T1901">
        <v>-6.6984299999999997E-2</v>
      </c>
      <c r="U1901">
        <v>-2.9434809999999998</v>
      </c>
      <c r="V1901">
        <v>0.1004423</v>
      </c>
      <c r="W1901">
        <v>-0.106374</v>
      </c>
      <c r="X1901">
        <v>0.98924009999999996</v>
      </c>
      <c r="Y1901">
        <v>0.17469419999999999</v>
      </c>
      <c r="Z1901">
        <v>1.260272E-2</v>
      </c>
      <c r="AA1901">
        <v>0.98454209999999998</v>
      </c>
      <c r="AB1901">
        <v>22</v>
      </c>
      <c r="AC1901">
        <v>-10.4345</v>
      </c>
      <c r="AD1901">
        <v>-1.02911508</v>
      </c>
      <c r="AE1901">
        <v>-44.992099999999901</v>
      </c>
      <c r="AF1901">
        <v>8.1052008000918896</v>
      </c>
      <c r="AG1901">
        <v>-1.02911508</v>
      </c>
      <c r="AH1901">
        <v>45.446198887780803</v>
      </c>
      <c r="AI1901">
        <v>91.277078801774195</v>
      </c>
      <c r="AJ1901">
        <v>79.887781024937894</v>
      </c>
      <c r="AK1901">
        <v>46.174780467322499</v>
      </c>
      <c r="AL1901">
        <v>96.106334170473502</v>
      </c>
      <c r="AM1901">
        <v>84.2023530185391</v>
      </c>
      <c r="AN1901">
        <v>1.00000002947664</v>
      </c>
    </row>
    <row r="1902" spans="1:40" x14ac:dyDescent="0.25">
      <c r="A1902" t="str">
        <f>"20190305134937400"</f>
        <v>20190305134937400</v>
      </c>
      <c r="B1902" t="str">
        <f>"1551764977392685"</f>
        <v>1551764977392685</v>
      </c>
      <c r="C1902" t="s">
        <v>40</v>
      </c>
      <c r="D1902">
        <v>4.023968</v>
      </c>
      <c r="E1902">
        <v>0.58901020000000004</v>
      </c>
      <c r="F1902" t="s">
        <v>71</v>
      </c>
      <c r="G1902">
        <v>-235.74019999999999</v>
      </c>
      <c r="H1902">
        <v>2.6824219999999999</v>
      </c>
      <c r="I1902">
        <v>197.46860000000001</v>
      </c>
      <c r="J1902">
        <v>-192.29150000000001</v>
      </c>
      <c r="K1902">
        <v>1.10917</v>
      </c>
      <c r="L1902">
        <v>312.7312</v>
      </c>
      <c r="M1902">
        <v>-5.1951299999999999E-2</v>
      </c>
      <c r="N1902">
        <v>-9.6340899999999997E-3</v>
      </c>
      <c r="O1902">
        <v>-0.99860309999999997</v>
      </c>
      <c r="P1902">
        <v>-0.1527396</v>
      </c>
      <c r="Q1902">
        <v>-0.1161686</v>
      </c>
      <c r="R1902">
        <v>-0.98141520000000004</v>
      </c>
      <c r="S1902">
        <v>-1.0877380000000001</v>
      </c>
      <c r="T1902">
        <v>3.9373159999999997E-2</v>
      </c>
      <c r="U1902">
        <v>-2.8931269999999998</v>
      </c>
      <c r="V1902">
        <v>0.10150190000000001</v>
      </c>
      <c r="W1902">
        <v>-0.10668569999999999</v>
      </c>
      <c r="X1902">
        <v>0.98909840000000004</v>
      </c>
      <c r="Y1902">
        <v>0.30273260000000002</v>
      </c>
      <c r="Z1902">
        <v>-2.2365090000000001E-2</v>
      </c>
      <c r="AA1902">
        <v>0.95281309999999997</v>
      </c>
      <c r="AB1902">
        <v>22</v>
      </c>
      <c r="AC1902">
        <v>-43.448699999999903</v>
      </c>
      <c r="AD1902">
        <v>1.5732520000000001</v>
      </c>
      <c r="AE1902">
        <v>-115.26260000000001</v>
      </c>
      <c r="AF1902">
        <v>37.395602037459199</v>
      </c>
      <c r="AG1902">
        <v>1.5732520000000001</v>
      </c>
      <c r="AH1902">
        <v>117.345116668682</v>
      </c>
      <c r="AI1902">
        <v>89.268138767483194</v>
      </c>
      <c r="AJ1902">
        <v>72.323933181244897</v>
      </c>
      <c r="AK1902">
        <v>123.16973077662399</v>
      </c>
      <c r="AL1902">
        <v>96.124295288100498</v>
      </c>
      <c r="AM1902">
        <v>84.140781418720906</v>
      </c>
      <c r="AN1902">
        <v>1.00000005958532</v>
      </c>
    </row>
    <row r="1903" spans="1:40" x14ac:dyDescent="0.25">
      <c r="A1903" t="str">
        <f>"20190305134937421"</f>
        <v>20190305134937421</v>
      </c>
      <c r="B1903" t="str">
        <f>"1551764977412204"</f>
        <v>1551764977412204</v>
      </c>
      <c r="C1903" t="s">
        <v>40</v>
      </c>
      <c r="D1903">
        <v>4.0572379999999999</v>
      </c>
      <c r="E1903">
        <v>0.58875359999999999</v>
      </c>
      <c r="F1903" t="s">
        <v>54</v>
      </c>
      <c r="G1903">
        <v>-234.34280000000001</v>
      </c>
      <c r="H1903">
        <v>2.8936489999999999</v>
      </c>
      <c r="I1903">
        <v>206.898</v>
      </c>
      <c r="J1903">
        <v>-192.30330000000001</v>
      </c>
      <c r="K1903">
        <v>1.1091979999999999</v>
      </c>
      <c r="L1903">
        <v>312.512</v>
      </c>
      <c r="M1903">
        <v>-5.224401E-2</v>
      </c>
      <c r="N1903">
        <v>-9.6207129999999995E-3</v>
      </c>
      <c r="O1903">
        <v>-0.99858809999999998</v>
      </c>
      <c r="P1903">
        <v>-0.15353049999999999</v>
      </c>
      <c r="Q1903">
        <v>-0.1165286</v>
      </c>
      <c r="R1903">
        <v>-0.98124900000000004</v>
      </c>
      <c r="S1903">
        <v>-1.1460269999999999</v>
      </c>
      <c r="T1903">
        <v>4.863381E-2</v>
      </c>
      <c r="U1903">
        <v>-2.884277</v>
      </c>
      <c r="V1903">
        <v>0.10201739999999999</v>
      </c>
      <c r="W1903">
        <v>-0.1070535</v>
      </c>
      <c r="X1903">
        <v>0.98900560000000004</v>
      </c>
      <c r="Y1903">
        <v>0.32008760000000003</v>
      </c>
      <c r="Z1903">
        <v>-2.530435E-2</v>
      </c>
      <c r="AA1903">
        <v>0.94704999999999995</v>
      </c>
      <c r="AB1903">
        <v>23</v>
      </c>
      <c r="AC1903">
        <v>-42.039499999999997</v>
      </c>
      <c r="AD1903">
        <v>1.784451</v>
      </c>
      <c r="AE1903">
        <v>-105.613999999999</v>
      </c>
      <c r="AF1903">
        <v>36.455146088264101</v>
      </c>
      <c r="AG1903">
        <v>1.784451</v>
      </c>
      <c r="AH1903">
        <v>107.639642801817</v>
      </c>
      <c r="AI1903">
        <v>89.100419940439593</v>
      </c>
      <c r="AJ1903">
        <v>71.289906019842704</v>
      </c>
      <c r="AK1903">
        <v>113.659379921724</v>
      </c>
      <c r="AL1903">
        <v>96.145490181290896</v>
      </c>
      <c r="AM1903">
        <v>84.110683997820303</v>
      </c>
      <c r="AN1903">
        <v>1.00000003929818</v>
      </c>
    </row>
    <row r="1904" spans="1:40" x14ac:dyDescent="0.25">
      <c r="A1904" t="str">
        <f>"20190305134937444"</f>
        <v>20190305134937444</v>
      </c>
      <c r="B1904" t="str">
        <f>"1551764977432700"</f>
        <v>1551764977432700</v>
      </c>
      <c r="C1904" t="s">
        <v>40</v>
      </c>
      <c r="D1904">
        <v>4.0646909999999998</v>
      </c>
      <c r="E1904">
        <v>0.58886590000000005</v>
      </c>
      <c r="F1904" t="s">
        <v>72</v>
      </c>
      <c r="G1904">
        <v>-239.05260000000001</v>
      </c>
      <c r="H1904">
        <v>2.9250600000000002</v>
      </c>
      <c r="I1904">
        <v>194.96</v>
      </c>
      <c r="J1904">
        <v>-192.31540000000001</v>
      </c>
      <c r="K1904">
        <v>1.1092340000000001</v>
      </c>
      <c r="L1904">
        <v>312.2876</v>
      </c>
      <c r="M1904">
        <v>-5.2517250000000001E-2</v>
      </c>
      <c r="N1904">
        <v>-9.6768770000000004E-3</v>
      </c>
      <c r="O1904">
        <v>-0.9985733</v>
      </c>
      <c r="P1904">
        <v>-0.1534769</v>
      </c>
      <c r="Q1904">
        <v>-0.1168969</v>
      </c>
      <c r="R1904">
        <v>-0.98121369999999997</v>
      </c>
      <c r="S1904">
        <v>-1.1466369999999999</v>
      </c>
      <c r="T1904">
        <v>4.4538260000000003E-2</v>
      </c>
      <c r="U1904">
        <v>-2.8832399999999998</v>
      </c>
      <c r="V1904">
        <v>0.10169789999999999</v>
      </c>
      <c r="W1904">
        <v>-0.1073638</v>
      </c>
      <c r="X1904">
        <v>0.98900489999999996</v>
      </c>
      <c r="Y1904">
        <v>0.32012810000000003</v>
      </c>
      <c r="Z1904">
        <v>-2.403481E-2</v>
      </c>
      <c r="AA1904">
        <v>0.9470693</v>
      </c>
      <c r="AB1904">
        <v>23</v>
      </c>
      <c r="AC1904">
        <v>-46.737200000000001</v>
      </c>
      <c r="AD1904">
        <v>1.8158259999999999</v>
      </c>
      <c r="AE1904">
        <v>-117.3276</v>
      </c>
      <c r="AF1904">
        <v>40.5023143925592</v>
      </c>
      <c r="AG1904">
        <v>1.8158259999999999</v>
      </c>
      <c r="AH1904">
        <v>119.595575631261</v>
      </c>
      <c r="AI1904">
        <v>89.176099890854502</v>
      </c>
      <c r="AJ1904">
        <v>71.290782550321794</v>
      </c>
      <c r="AK1904">
        <v>126.28078399261101</v>
      </c>
      <c r="AL1904">
        <v>96.163371930889099</v>
      </c>
      <c r="AM1904">
        <v>84.128995105284204</v>
      </c>
      <c r="AN1904">
        <v>1.0000000703194201</v>
      </c>
    </row>
    <row r="1905" spans="1:40" x14ac:dyDescent="0.25">
      <c r="A1905" t="str">
        <f>"20190305134937466"</f>
        <v>20190305134937466</v>
      </c>
      <c r="B1905" t="str">
        <f>"1551764977462957"</f>
        <v>1551764977462957</v>
      </c>
      <c r="C1905" t="s">
        <v>40</v>
      </c>
      <c r="D1905">
        <v>4.1083590000000001</v>
      </c>
      <c r="E1905">
        <v>0.58909049999999996</v>
      </c>
      <c r="F1905" t="s">
        <v>72</v>
      </c>
      <c r="G1905">
        <v>-238.97669999999999</v>
      </c>
      <c r="H1905">
        <v>2.866473</v>
      </c>
      <c r="I1905">
        <v>194.96</v>
      </c>
      <c r="J1905">
        <v>-192.32740000000001</v>
      </c>
      <c r="K1905">
        <v>1.109299</v>
      </c>
      <c r="L1905">
        <v>312.06509999999997</v>
      </c>
      <c r="M1905">
        <v>-5.2783900000000002E-2</v>
      </c>
      <c r="N1905">
        <v>-9.8990109999999992E-3</v>
      </c>
      <c r="O1905">
        <v>-0.99855709999999998</v>
      </c>
      <c r="P1905">
        <v>-0.1531111</v>
      </c>
      <c r="Q1905">
        <v>-0.1157768</v>
      </c>
      <c r="R1905">
        <v>-0.98140360000000004</v>
      </c>
      <c r="S1905">
        <v>-1.1466670000000001</v>
      </c>
      <c r="T1905">
        <v>4.3182850000000002E-2</v>
      </c>
      <c r="U1905">
        <v>-2.8832399999999998</v>
      </c>
      <c r="V1905">
        <v>0.1010576</v>
      </c>
      <c r="W1905">
        <v>-0.1060232</v>
      </c>
      <c r="X1905">
        <v>0.98921510000000001</v>
      </c>
      <c r="Y1905">
        <v>0.31988470000000002</v>
      </c>
      <c r="Z1905">
        <v>-2.381465E-2</v>
      </c>
      <c r="AA1905">
        <v>0.94715709999999997</v>
      </c>
      <c r="AB1905">
        <v>23</v>
      </c>
      <c r="AC1905">
        <v>-46.649299999999897</v>
      </c>
      <c r="AD1905">
        <v>1.757174</v>
      </c>
      <c r="AE1905">
        <v>-117.105099999999</v>
      </c>
      <c r="AF1905">
        <v>40.394847661056602</v>
      </c>
      <c r="AG1905">
        <v>1.757174</v>
      </c>
      <c r="AH1905">
        <v>119.381088944194</v>
      </c>
      <c r="AI1905">
        <v>89.201205706273598</v>
      </c>
      <c r="AJ1905">
        <v>71.305779614521896</v>
      </c>
      <c r="AK1905">
        <v>126.04235706907301</v>
      </c>
      <c r="AL1905">
        <v>96.086120463581807</v>
      </c>
      <c r="AM1905">
        <v>84.166934931654396</v>
      </c>
      <c r="AN1905">
        <v>1.000000035762</v>
      </c>
    </row>
    <row r="1906" spans="1:40" x14ac:dyDescent="0.25">
      <c r="A1906" t="str">
        <f>"20190305134937488"</f>
        <v>20190305134937488</v>
      </c>
      <c r="B1906" t="str">
        <f>"1551764977482477"</f>
        <v>1551764977482477</v>
      </c>
      <c r="C1906" t="s">
        <v>40</v>
      </c>
      <c r="D1906">
        <v>3.9177580000000001</v>
      </c>
      <c r="E1906">
        <v>0.60498790000000002</v>
      </c>
      <c r="F1906" t="s">
        <v>72</v>
      </c>
      <c r="G1906">
        <v>-238.92349999999999</v>
      </c>
      <c r="H1906">
        <v>2.993074</v>
      </c>
      <c r="I1906">
        <v>194.96</v>
      </c>
      <c r="J1906">
        <v>-192.33940000000001</v>
      </c>
      <c r="K1906">
        <v>1.1093770000000001</v>
      </c>
      <c r="L1906">
        <v>311.84539999999998</v>
      </c>
      <c r="M1906">
        <v>-5.3074200000000002E-2</v>
      </c>
      <c r="N1906">
        <v>-1.024866E-2</v>
      </c>
      <c r="O1906">
        <v>-0.99853829999999999</v>
      </c>
      <c r="P1906">
        <v>-0.15231720000000001</v>
      </c>
      <c r="Q1906">
        <v>-0.1146013</v>
      </c>
      <c r="R1906">
        <v>-0.98166529999999996</v>
      </c>
      <c r="S1906">
        <v>-1.147278</v>
      </c>
      <c r="T1906">
        <v>4.6381829999999999E-2</v>
      </c>
      <c r="U1906">
        <v>-2.8833310000000001</v>
      </c>
      <c r="V1906">
        <v>9.9958089999999999E-2</v>
      </c>
      <c r="W1906">
        <v>-0.10450470000000001</v>
      </c>
      <c r="X1906">
        <v>0.98948829999999999</v>
      </c>
      <c r="Y1906">
        <v>0.31976059999999901</v>
      </c>
      <c r="Z1906">
        <v>-2.5196949999999999E-2</v>
      </c>
      <c r="AA1906">
        <v>0.94716330000000004</v>
      </c>
      <c r="AB1906">
        <v>23</v>
      </c>
      <c r="AC1906">
        <v>-46.5840999999999</v>
      </c>
      <c r="AD1906">
        <v>1.883697</v>
      </c>
      <c r="AE1906">
        <v>-116.885399999999</v>
      </c>
      <c r="AF1906">
        <v>40.3054800245488</v>
      </c>
      <c r="AG1906">
        <v>1.883697</v>
      </c>
      <c r="AH1906">
        <v>119.166476587196</v>
      </c>
      <c r="AI1906">
        <v>89.142119331579593</v>
      </c>
      <c r="AJ1906">
        <v>71.313005833118595</v>
      </c>
      <c r="AK1906">
        <v>125.81227752728999</v>
      </c>
      <c r="AL1906">
        <v>95.998631123851197</v>
      </c>
      <c r="AM1906">
        <v>84.231550696247794</v>
      </c>
      <c r="AN1906">
        <v>0.99999997395771301</v>
      </c>
    </row>
    <row r="1907" spans="1:40" x14ac:dyDescent="0.25">
      <c r="A1907" t="str">
        <f>"20190305134937510"</f>
        <v>20190305134937510</v>
      </c>
      <c r="B1907" t="str">
        <f>"1551764977502973"</f>
        <v>1551764977502973</v>
      </c>
      <c r="C1907" t="s">
        <v>40</v>
      </c>
      <c r="D1907">
        <v>3.9131</v>
      </c>
      <c r="E1907">
        <v>0.6018133</v>
      </c>
      <c r="F1907" t="s">
        <v>47</v>
      </c>
      <c r="G1907">
        <v>0</v>
      </c>
      <c r="H1907">
        <v>0</v>
      </c>
      <c r="I1907">
        <v>0</v>
      </c>
      <c r="J1907">
        <v>-192.3518</v>
      </c>
      <c r="K1907">
        <v>1.1094120000000001</v>
      </c>
      <c r="L1907">
        <v>311.61919999999998</v>
      </c>
      <c r="M1907">
        <v>-5.3439029999999998E-2</v>
      </c>
      <c r="N1907">
        <v>-1.061639E-2</v>
      </c>
      <c r="O1907">
        <v>-0.99851469999999998</v>
      </c>
      <c r="P1907">
        <v>-0.15178829999999999</v>
      </c>
      <c r="Q1907">
        <v>-0.11525539999999899</v>
      </c>
      <c r="R1907">
        <v>-0.9816703</v>
      </c>
      <c r="S1907">
        <v>-1.248108</v>
      </c>
      <c r="T1907">
        <v>0.64886619999999995</v>
      </c>
      <c r="U1907">
        <v>-2.9380799999999998</v>
      </c>
      <c r="V1907">
        <v>9.9056980000000003E-2</v>
      </c>
      <c r="W1907">
        <v>-0.10480490000000001</v>
      </c>
      <c r="X1907">
        <v>0.98954719999999996</v>
      </c>
      <c r="Y1907">
        <v>0.33278570000000002</v>
      </c>
      <c r="Z1907">
        <v>-0.21103649999999999</v>
      </c>
      <c r="AA1907">
        <v>0.91908500000000004</v>
      </c>
      <c r="AB1907">
        <v>23</v>
      </c>
      <c r="AC1907">
        <v>-1.248108</v>
      </c>
      <c r="AD1907">
        <v>0.64886619999999995</v>
      </c>
      <c r="AE1907">
        <v>-2.9380799999999998</v>
      </c>
      <c r="AF1907">
        <v>1.04608591415644</v>
      </c>
      <c r="AG1907">
        <v>0.64886619999999995</v>
      </c>
      <c r="AH1907">
        <v>2.8815257950280602</v>
      </c>
      <c r="AI1907">
        <v>78.048876926871003</v>
      </c>
      <c r="AJ1907">
        <v>70.047485592846201</v>
      </c>
      <c r="AK1907">
        <v>3.1334508122373701</v>
      </c>
      <c r="AL1907">
        <v>96.015926094278797</v>
      </c>
      <c r="AM1907">
        <v>84.283544588846098</v>
      </c>
      <c r="AN1907">
        <v>1.00000000668928</v>
      </c>
    </row>
    <row r="1908" spans="1:40" x14ac:dyDescent="0.25">
      <c r="A1908" t="str">
        <f>"20190305134937532"</f>
        <v>20190305134937532</v>
      </c>
      <c r="B1908" t="str">
        <f>"1551764977522496"</f>
        <v>1551764977522496</v>
      </c>
      <c r="C1908" t="s">
        <v>40</v>
      </c>
      <c r="D1908">
        <v>4.1570549999999997</v>
      </c>
      <c r="E1908">
        <v>0.60282440000000004</v>
      </c>
      <c r="F1908" t="s">
        <v>47</v>
      </c>
      <c r="G1908">
        <v>0</v>
      </c>
      <c r="H1908">
        <v>0</v>
      </c>
      <c r="I1908">
        <v>0</v>
      </c>
      <c r="J1908">
        <v>-192.36420000000001</v>
      </c>
      <c r="K1908">
        <v>1.109397</v>
      </c>
      <c r="L1908">
        <v>311.39690000000002</v>
      </c>
      <c r="M1908">
        <v>-5.3889399999999997E-2</v>
      </c>
      <c r="N1908">
        <v>-1.092808E-2</v>
      </c>
      <c r="O1908">
        <v>-0.99848729999999997</v>
      </c>
      <c r="P1908">
        <v>-0.15123320000000001</v>
      </c>
      <c r="Q1908">
        <v>-0.1171003</v>
      </c>
      <c r="R1908">
        <v>-0.98153769999999996</v>
      </c>
      <c r="S1908">
        <v>-1.2230989999999999</v>
      </c>
      <c r="T1908">
        <v>0.61984519999999999</v>
      </c>
      <c r="U1908">
        <v>-2.939667</v>
      </c>
      <c r="V1908">
        <v>9.8046930000000004E-2</v>
      </c>
      <c r="W1908">
        <v>-0.10635699999999999</v>
      </c>
      <c r="X1908">
        <v>0.98948219999999998</v>
      </c>
      <c r="Y1908">
        <v>0.32615189999999999</v>
      </c>
      <c r="Z1908">
        <v>-0.20316110000000001</v>
      </c>
      <c r="AA1908">
        <v>0.9232283</v>
      </c>
      <c r="AB1908">
        <v>22</v>
      </c>
      <c r="AC1908">
        <v>-1.2230989999999999</v>
      </c>
      <c r="AD1908">
        <v>0.61984519999999999</v>
      </c>
      <c r="AE1908">
        <v>-2.939667</v>
      </c>
      <c r="AF1908">
        <v>1.0240831964303301</v>
      </c>
      <c r="AG1908">
        <v>0.61984519999999999</v>
      </c>
      <c r="AH1908">
        <v>2.89171694524329</v>
      </c>
      <c r="AI1908">
        <v>78.576872910188598</v>
      </c>
      <c r="AJ1908">
        <v>70.4987232318624</v>
      </c>
      <c r="AK1908">
        <v>3.12969349243359</v>
      </c>
      <c r="AL1908">
        <v>96.105354655348194</v>
      </c>
      <c r="AM1908">
        <v>84.341083812809899</v>
      </c>
      <c r="AN1908">
        <v>1.00000001802413</v>
      </c>
    </row>
    <row r="1909" spans="1:40" x14ac:dyDescent="0.25">
      <c r="A1909" t="str">
        <f>"20190305134937554"</f>
        <v>20190305134937554</v>
      </c>
      <c r="B1909" t="str">
        <f>"1551764977552749"</f>
        <v>1551764977552749</v>
      </c>
      <c r="C1909" t="s">
        <v>40</v>
      </c>
      <c r="D1909">
        <v>3.9505279999999998</v>
      </c>
      <c r="E1909">
        <v>0.60313139999999998</v>
      </c>
      <c r="F1909" t="s">
        <v>47</v>
      </c>
      <c r="G1909">
        <v>0</v>
      </c>
      <c r="H1909">
        <v>0</v>
      </c>
      <c r="I1909">
        <v>0</v>
      </c>
      <c r="J1909">
        <v>-192.3767</v>
      </c>
      <c r="K1909">
        <v>1.1093649999999999</v>
      </c>
      <c r="L1909">
        <v>311.17399999999998</v>
      </c>
      <c r="M1909">
        <v>-5.4418210000000002E-2</v>
      </c>
      <c r="N1909">
        <v>-1.1218499999999999E-2</v>
      </c>
      <c r="O1909">
        <v>-0.99845530000000005</v>
      </c>
      <c r="P1909">
        <v>-0.15111479999999999</v>
      </c>
      <c r="Q1909">
        <v>-0.1188743</v>
      </c>
      <c r="R1909">
        <v>-0.98134259999999995</v>
      </c>
      <c r="S1909">
        <v>-1.230545</v>
      </c>
      <c r="T1909">
        <v>0.61774980000000002</v>
      </c>
      <c r="U1909">
        <v>-2.940582</v>
      </c>
      <c r="V1909">
        <v>9.7397070000000002E-2</v>
      </c>
      <c r="W1909">
        <v>-0.10786080000000001</v>
      </c>
      <c r="X1909">
        <v>0.98938360000000003</v>
      </c>
      <c r="Y1909">
        <v>0.32759280000000002</v>
      </c>
      <c r="Z1909">
        <v>-0.20261960000000001</v>
      </c>
      <c r="AA1909">
        <v>0.92283709999999997</v>
      </c>
      <c r="AB1909">
        <v>22</v>
      </c>
      <c r="AC1909">
        <v>-1.230545</v>
      </c>
      <c r="AD1909">
        <v>0.61774980000000002</v>
      </c>
      <c r="AE1909">
        <v>-2.940582</v>
      </c>
      <c r="AF1909">
        <v>1.03000732939762</v>
      </c>
      <c r="AG1909">
        <v>0.61774980000000002</v>
      </c>
      <c r="AH1909">
        <v>2.8944875351105499</v>
      </c>
      <c r="AI1909">
        <v>78.631055681362994</v>
      </c>
      <c r="AJ1909">
        <v>70.411829304450293</v>
      </c>
      <c r="AK1909">
        <v>3.1337817417496101</v>
      </c>
      <c r="AL1909">
        <v>96.192014543112705</v>
      </c>
      <c r="AM1909">
        <v>84.377793692569995</v>
      </c>
      <c r="AN1909">
        <v>1.00000002468509</v>
      </c>
    </row>
    <row r="1910" spans="1:40" x14ac:dyDescent="0.25">
      <c r="A1910" t="str">
        <f>"20190305134937578"</f>
        <v>20190305134937578</v>
      </c>
      <c r="B1910" t="str">
        <f>"1551764977572270"</f>
        <v>1551764977572270</v>
      </c>
      <c r="C1910" t="s">
        <v>40</v>
      </c>
      <c r="D1910">
        <v>4.3530249999999997</v>
      </c>
      <c r="E1910">
        <v>0.60248539999999995</v>
      </c>
      <c r="F1910" t="s">
        <v>47</v>
      </c>
      <c r="G1910">
        <v>0</v>
      </c>
      <c r="H1910">
        <v>0</v>
      </c>
      <c r="I1910">
        <v>0</v>
      </c>
      <c r="J1910">
        <v>-192.38990000000001</v>
      </c>
      <c r="K1910">
        <v>1.109326</v>
      </c>
      <c r="L1910">
        <v>310.94499999999999</v>
      </c>
      <c r="M1910">
        <v>-5.5047199999999998E-2</v>
      </c>
      <c r="N1910">
        <v>-1.1512049999999999E-2</v>
      </c>
      <c r="O1910">
        <v>-0.99841769999999996</v>
      </c>
      <c r="P1910">
        <v>-0.1517105</v>
      </c>
      <c r="Q1910">
        <v>-0.1185624</v>
      </c>
      <c r="R1910">
        <v>-0.98128879999999996</v>
      </c>
      <c r="S1910">
        <v>-1.2334290000000001</v>
      </c>
      <c r="T1910">
        <v>0.60329829999999995</v>
      </c>
      <c r="U1910">
        <v>-2.9402159999999999</v>
      </c>
      <c r="V1910">
        <v>9.735423E-2</v>
      </c>
      <c r="W1910">
        <v>-0.1072747</v>
      </c>
      <c r="X1910">
        <v>0.98945150000000004</v>
      </c>
      <c r="Y1910">
        <v>0.32813130000000001</v>
      </c>
      <c r="Z1910">
        <v>-0.19855500000000001</v>
      </c>
      <c r="AA1910">
        <v>0.92352900000000004</v>
      </c>
      <c r="AB1910">
        <v>22</v>
      </c>
      <c r="AC1910">
        <v>-1.2334290000000001</v>
      </c>
      <c r="AD1910">
        <v>0.60329829999999995</v>
      </c>
      <c r="AE1910">
        <v>-2.9402159999999999</v>
      </c>
      <c r="AF1910">
        <v>1.0327238674849499</v>
      </c>
      <c r="AG1910">
        <v>0.60329829999999995</v>
      </c>
      <c r="AH1910">
        <v>2.8998391590080801</v>
      </c>
      <c r="AI1910">
        <v>78.911276844584805</v>
      </c>
      <c r="AJ1910">
        <v>70.397587399975095</v>
      </c>
      <c r="AK1910">
        <v>3.1368064290569002</v>
      </c>
      <c r="AL1910">
        <v>96.158237724429199</v>
      </c>
      <c r="AM1910">
        <v>84.380633961670796</v>
      </c>
      <c r="AN1910">
        <v>0.99999998910561605</v>
      </c>
    </row>
    <row r="1911" spans="1:40" x14ac:dyDescent="0.25">
      <c r="A1911" t="str">
        <f>"20190305134937600"</f>
        <v>20190305134937600</v>
      </c>
      <c r="B1911" t="str">
        <f>"1551764977592765"</f>
        <v>1551764977592765</v>
      </c>
      <c r="C1911" t="s">
        <v>40</v>
      </c>
      <c r="D1911">
        <v>3.942847</v>
      </c>
      <c r="E1911">
        <v>0.60327699999999995</v>
      </c>
      <c r="F1911" t="s">
        <v>64</v>
      </c>
      <c r="G1911">
        <v>-246.0095</v>
      </c>
      <c r="H1911">
        <v>27.16742</v>
      </c>
      <c r="I1911">
        <v>182.8168</v>
      </c>
      <c r="J1911">
        <v>-192.4034</v>
      </c>
      <c r="K1911">
        <v>1.1092879999999901</v>
      </c>
      <c r="L1911">
        <v>310.7167</v>
      </c>
      <c r="M1911">
        <v>-5.5786299999999997E-2</v>
      </c>
      <c r="N1911">
        <v>-1.178826E-2</v>
      </c>
      <c r="O1911">
        <v>-0.99837330000000002</v>
      </c>
      <c r="P1911">
        <v>-0.1527047</v>
      </c>
      <c r="Q1911">
        <v>-0.1175865</v>
      </c>
      <c r="R1911">
        <v>-0.98125189999999995</v>
      </c>
      <c r="S1911">
        <v>-1.2300260000000001</v>
      </c>
      <c r="T1911">
        <v>0.59776929999999995</v>
      </c>
      <c r="U1911">
        <v>-2.9392399999999999</v>
      </c>
      <c r="V1911">
        <v>9.7600359999999997E-2</v>
      </c>
      <c r="W1911">
        <v>-0.10604139999999999</v>
      </c>
      <c r="X1911">
        <v>0.9895602</v>
      </c>
      <c r="Y1911">
        <v>0.32673350000000001</v>
      </c>
      <c r="Z1911">
        <v>-0.19729859999999999</v>
      </c>
      <c r="AA1911">
        <v>0.92429349999999999</v>
      </c>
      <c r="AB1911">
        <v>22</v>
      </c>
      <c r="AC1911">
        <v>-53.606099999999998</v>
      </c>
      <c r="AD1911">
        <v>26.058132000000001</v>
      </c>
      <c r="AE1911">
        <v>-127.8999</v>
      </c>
      <c r="AF1911">
        <v>44.805113506987503</v>
      </c>
      <c r="AG1911">
        <v>26.058132000000001</v>
      </c>
      <c r="AH1911">
        <v>126.234418958281</v>
      </c>
      <c r="AI1911">
        <v>78.991397504817797</v>
      </c>
      <c r="AJ1911">
        <v>70.4584048347308</v>
      </c>
      <c r="AK1911">
        <v>136.46117751740999</v>
      </c>
      <c r="AL1911">
        <v>96.087169382534398</v>
      </c>
      <c r="AM1911">
        <v>84.367133246905098</v>
      </c>
      <c r="AN1911">
        <v>0.99999999910506399</v>
      </c>
    </row>
    <row r="1912" spans="1:40" x14ac:dyDescent="0.25">
      <c r="A1912" t="str">
        <f>"20190305134937622"</f>
        <v>20190305134937622</v>
      </c>
      <c r="B1912" t="str">
        <f>"1551764977612284"</f>
        <v>1551764977612284</v>
      </c>
      <c r="C1912" t="s">
        <v>40</v>
      </c>
      <c r="D1912">
        <v>3.9249740000000002</v>
      </c>
      <c r="E1912">
        <v>0.60445990000000005</v>
      </c>
      <c r="F1912" t="s">
        <v>64</v>
      </c>
      <c r="G1912">
        <v>-246.45240000000001</v>
      </c>
      <c r="H1912">
        <v>27.270859999999999</v>
      </c>
      <c r="I1912">
        <v>182.59010000000001</v>
      </c>
      <c r="J1912">
        <v>-192.41640000000001</v>
      </c>
      <c r="K1912">
        <v>1.1092420000000001</v>
      </c>
      <c r="L1912">
        <v>310.49880000000002</v>
      </c>
      <c r="M1912">
        <v>-5.6612830000000003E-2</v>
      </c>
      <c r="N1912">
        <v>-1.202367E-2</v>
      </c>
      <c r="O1912">
        <v>-0.99832379999999998</v>
      </c>
      <c r="P1912">
        <v>-0.15355079999999999</v>
      </c>
      <c r="Q1912">
        <v>-0.1177666</v>
      </c>
      <c r="R1912">
        <v>-0.98109789999999997</v>
      </c>
      <c r="S1912">
        <v>-1.2387079999999999</v>
      </c>
      <c r="T1912">
        <v>0.59957709999999997</v>
      </c>
      <c r="U1912">
        <v>-2.9364319999999999</v>
      </c>
      <c r="V1912">
        <v>9.7617889999999999E-2</v>
      </c>
      <c r="W1912">
        <v>-0.1060051</v>
      </c>
      <c r="X1912">
        <v>0.98956230000000001</v>
      </c>
      <c r="Y1912">
        <v>0.3285402</v>
      </c>
      <c r="Z1912">
        <v>-0.1980499</v>
      </c>
      <c r="AA1912">
        <v>0.92349210000000004</v>
      </c>
      <c r="AB1912">
        <v>22</v>
      </c>
      <c r="AC1912">
        <v>-54.036000000000001</v>
      </c>
      <c r="AD1912">
        <v>26.161618000000001</v>
      </c>
      <c r="AE1912">
        <v>-127.9087</v>
      </c>
      <c r="AF1912">
        <v>45.106319951502002</v>
      </c>
      <c r="AG1912">
        <v>26.161618000000001</v>
      </c>
      <c r="AH1912">
        <v>126.280124784386</v>
      </c>
      <c r="AI1912">
        <v>78.9603361046278</v>
      </c>
      <c r="AJ1912">
        <v>70.343650804561094</v>
      </c>
      <c r="AK1912">
        <v>136.62240032844301</v>
      </c>
      <c r="AL1912">
        <v>96.085078119893893</v>
      </c>
      <c r="AM1912">
        <v>84.366139914923494</v>
      </c>
      <c r="AN1912">
        <v>0.99999993962767397</v>
      </c>
    </row>
    <row r="1913" spans="1:40" x14ac:dyDescent="0.25">
      <c r="A1913" t="str">
        <f>"20190305134937644"</f>
        <v>20190305134937644</v>
      </c>
      <c r="B1913" t="str">
        <f>"1551764977632785"</f>
        <v>1551764977632785</v>
      </c>
      <c r="C1913" t="s">
        <v>40</v>
      </c>
      <c r="D1913">
        <v>3.9295650000000002</v>
      </c>
      <c r="E1913">
        <v>0.60585509999999998</v>
      </c>
      <c r="F1913" t="s">
        <v>64</v>
      </c>
      <c r="G1913">
        <v>-246.99780000000001</v>
      </c>
      <c r="H1913">
        <v>27.452470000000002</v>
      </c>
      <c r="I1913">
        <v>182.44579999999999</v>
      </c>
      <c r="J1913">
        <v>-192.42959999999999</v>
      </c>
      <c r="K1913">
        <v>1.109178</v>
      </c>
      <c r="L1913">
        <v>310.28399999999999</v>
      </c>
      <c r="M1913">
        <v>-5.7538579999999999E-2</v>
      </c>
      <c r="N1913">
        <v>-1.2228060000000001E-2</v>
      </c>
      <c r="O1913">
        <v>-0.99826870000000001</v>
      </c>
      <c r="P1913">
        <v>-0.15517359999999999</v>
      </c>
      <c r="Q1913">
        <v>-0.11849419999999999</v>
      </c>
      <c r="R1913">
        <v>-0.98075540000000005</v>
      </c>
      <c r="S1913">
        <v>-1.2508090000000001</v>
      </c>
      <c r="T1913">
        <v>0.60369209999999995</v>
      </c>
      <c r="U1913">
        <v>-2.9345089999999998</v>
      </c>
      <c r="V1913">
        <v>9.8321770000000003E-2</v>
      </c>
      <c r="W1913">
        <v>-0.1065504</v>
      </c>
      <c r="X1913">
        <v>0.98943409999999998</v>
      </c>
      <c r="Y1913">
        <v>0.33101760000000002</v>
      </c>
      <c r="Z1913">
        <v>-0.19934389999999999</v>
      </c>
      <c r="AA1913">
        <v>0.92232820000000004</v>
      </c>
      <c r="AB1913">
        <v>22</v>
      </c>
      <c r="AC1913">
        <v>-54.568199999999997</v>
      </c>
      <c r="AD1913">
        <v>26.343291999999899</v>
      </c>
      <c r="AE1913">
        <v>-127.8382</v>
      </c>
      <c r="AF1913">
        <v>45.4877246657665</v>
      </c>
      <c r="AG1913">
        <v>26.343291999999899</v>
      </c>
      <c r="AH1913">
        <v>126.232229660774</v>
      </c>
      <c r="AI1913">
        <v>78.892337915675398</v>
      </c>
      <c r="AJ1913">
        <v>70.183396680875703</v>
      </c>
      <c r="AK1913">
        <v>136.73945273327701</v>
      </c>
      <c r="AL1913">
        <v>96.116499106384296</v>
      </c>
      <c r="AM1913">
        <v>84.325050358735098</v>
      </c>
      <c r="AN1913">
        <v>0.99999999821945096</v>
      </c>
    </row>
    <row r="1914" spans="1:40" x14ac:dyDescent="0.25">
      <c r="A1914" t="str">
        <f>"20190305134937665"</f>
        <v>20190305134937665</v>
      </c>
      <c r="B1914" t="str">
        <f>"1551764977663036"</f>
        <v>1551764977663036</v>
      </c>
      <c r="C1914" t="s">
        <v>40</v>
      </c>
      <c r="D1914">
        <v>4.294314</v>
      </c>
      <c r="E1914">
        <v>0.57020839999999995</v>
      </c>
      <c r="F1914" t="s">
        <v>47</v>
      </c>
      <c r="G1914">
        <v>0</v>
      </c>
      <c r="H1914">
        <v>0</v>
      </c>
      <c r="I1914">
        <v>0</v>
      </c>
      <c r="J1914">
        <v>-192.4435</v>
      </c>
      <c r="K1914">
        <v>1.1091089999999999</v>
      </c>
      <c r="L1914">
        <v>310.06330000000003</v>
      </c>
      <c r="M1914">
        <v>-5.8592199999999997E-2</v>
      </c>
      <c r="N1914">
        <v>-1.2414639999999999E-2</v>
      </c>
      <c r="O1914">
        <v>-0.99820500000000001</v>
      </c>
      <c r="P1914">
        <v>-0.15744520000000001</v>
      </c>
      <c r="Q1914">
        <v>-0.1190343</v>
      </c>
      <c r="R1914">
        <v>-0.98032770000000002</v>
      </c>
      <c r="S1914">
        <v>-1.2665409999999999</v>
      </c>
      <c r="T1914">
        <v>0.60488450000000005</v>
      </c>
      <c r="U1914">
        <v>-2.931549</v>
      </c>
      <c r="V1914">
        <v>9.9550890000000003E-2</v>
      </c>
      <c r="W1914">
        <v>-0.1069287</v>
      </c>
      <c r="X1914">
        <v>0.98927039999999999</v>
      </c>
      <c r="Y1914">
        <v>0.33451629999999999</v>
      </c>
      <c r="Z1914">
        <v>-0.19972319999999999</v>
      </c>
      <c r="AA1914">
        <v>0.92098290000000005</v>
      </c>
      <c r="AB1914">
        <v>22</v>
      </c>
      <c r="AC1914">
        <v>-1.2665409999999999</v>
      </c>
      <c r="AD1914">
        <v>0.60488450000000005</v>
      </c>
      <c r="AE1914">
        <v>-2.931549</v>
      </c>
      <c r="AF1914">
        <v>1.0547437876641901</v>
      </c>
      <c r="AG1914">
        <v>0.60488450000000005</v>
      </c>
      <c r="AH1914">
        <v>2.8967963706890898</v>
      </c>
      <c r="AI1914">
        <v>78.899016020473994</v>
      </c>
      <c r="AJ1914">
        <v>69.993081700945893</v>
      </c>
      <c r="AK1914">
        <v>3.1416236135466602</v>
      </c>
      <c r="AL1914">
        <v>96.138298472565396</v>
      </c>
      <c r="AM1914">
        <v>84.2536351895411</v>
      </c>
      <c r="AN1914">
        <v>1.00000002544982</v>
      </c>
    </row>
    <row r="1915" spans="1:40" x14ac:dyDescent="0.25">
      <c r="A1915" t="str">
        <f>"20190305134937689"</f>
        <v>20190305134937689</v>
      </c>
      <c r="B1915" t="str">
        <f>"1551764977682557"</f>
        <v>1551764977682557</v>
      </c>
      <c r="C1915" t="s">
        <v>40</v>
      </c>
      <c r="D1915">
        <v>3.9481549999999999</v>
      </c>
      <c r="E1915">
        <v>0.60686619999999902</v>
      </c>
      <c r="F1915" t="s">
        <v>62</v>
      </c>
      <c r="G1915">
        <v>-196.7852</v>
      </c>
      <c r="H1915" s="1">
        <v>3.0178279999999999E-7</v>
      </c>
      <c r="I1915">
        <v>297.90280000000001</v>
      </c>
      <c r="J1915">
        <v>-192.45820000000001</v>
      </c>
      <c r="K1915">
        <v>1.109046</v>
      </c>
      <c r="L1915">
        <v>309.83499999999998</v>
      </c>
      <c r="M1915">
        <v>-5.9780899999999998E-2</v>
      </c>
      <c r="N1915">
        <v>-1.2585870000000001E-2</v>
      </c>
      <c r="O1915">
        <v>-0.99813220000000002</v>
      </c>
      <c r="P1915">
        <v>-0.15996769999999999</v>
      </c>
      <c r="Q1915">
        <v>-0.11964329999999999</v>
      </c>
      <c r="R1915">
        <v>-0.97984470000000001</v>
      </c>
      <c r="S1915">
        <v>-1.022629</v>
      </c>
      <c r="T1915">
        <v>-0.26123730000000001</v>
      </c>
      <c r="U1915">
        <v>-2.864258</v>
      </c>
      <c r="V1915">
        <v>0.1009003</v>
      </c>
      <c r="W1915">
        <v>-0.1073921</v>
      </c>
      <c r="X1915">
        <v>0.9890835</v>
      </c>
      <c r="Y1915">
        <v>0.27825620000000001</v>
      </c>
      <c r="Z1915">
        <v>7.3738819999999997E-2</v>
      </c>
      <c r="AA1915">
        <v>0.95767219999999997</v>
      </c>
      <c r="AB1915">
        <v>22</v>
      </c>
      <c r="AC1915">
        <v>-4.3269999999999902</v>
      </c>
      <c r="AD1915">
        <v>-1.1090456982171999</v>
      </c>
      <c r="AE1915">
        <v>-11.9321999999999</v>
      </c>
      <c r="AF1915">
        <v>3.57856396919074</v>
      </c>
      <c r="AG1915">
        <v>-1.1090456982171999</v>
      </c>
      <c r="AH1915">
        <v>12.0773394950441</v>
      </c>
      <c r="AI1915">
        <v>95.031628942887394</v>
      </c>
      <c r="AJ1915">
        <v>73.495232994215698</v>
      </c>
      <c r="AK1915">
        <v>12.645087256356801</v>
      </c>
      <c r="AL1915">
        <v>96.165002945196093</v>
      </c>
      <c r="AM1915">
        <v>84.175182282511301</v>
      </c>
      <c r="AN1915">
        <v>1.00000005182737</v>
      </c>
    </row>
    <row r="1916" spans="1:40" x14ac:dyDescent="0.25">
      <c r="A1916" t="str">
        <f>"20190305134937711"</f>
        <v>20190305134937711</v>
      </c>
      <c r="B1916" t="str">
        <f>"1551764977703054"</f>
        <v>1551764977703054</v>
      </c>
      <c r="C1916" t="s">
        <v>40</v>
      </c>
      <c r="D1916">
        <v>3.9433560000000001</v>
      </c>
      <c r="E1916">
        <v>0.60785819999999902</v>
      </c>
      <c r="F1916" t="s">
        <v>47</v>
      </c>
      <c r="G1916">
        <v>0</v>
      </c>
      <c r="H1916">
        <v>0</v>
      </c>
      <c r="I1916">
        <v>0</v>
      </c>
      <c r="J1916">
        <v>-192.47319999999999</v>
      </c>
      <c r="K1916">
        <v>1.108986</v>
      </c>
      <c r="L1916">
        <v>309.60950000000003</v>
      </c>
      <c r="M1916">
        <v>-6.1058950000000001E-2</v>
      </c>
      <c r="N1916">
        <v>-1.273284E-2</v>
      </c>
      <c r="O1916">
        <v>-0.99805299999999997</v>
      </c>
      <c r="P1916">
        <v>-0.16234599999999999</v>
      </c>
      <c r="Q1916">
        <v>-0.12018089999999999</v>
      </c>
      <c r="R1916">
        <v>-0.97938800000000004</v>
      </c>
      <c r="S1916">
        <v>-1.2916259999999999</v>
      </c>
      <c r="T1916">
        <v>0.56664219999999998</v>
      </c>
      <c r="U1916">
        <v>-2.920013</v>
      </c>
      <c r="V1916">
        <v>0.1020195</v>
      </c>
      <c r="W1916">
        <v>-0.10780480000000001</v>
      </c>
      <c r="X1916">
        <v>0.98892369999999996</v>
      </c>
      <c r="Y1916">
        <v>0.3410242</v>
      </c>
      <c r="Z1916">
        <v>-0.1886699</v>
      </c>
      <c r="AA1916">
        <v>0.92092680000000005</v>
      </c>
      <c r="AB1916">
        <v>22</v>
      </c>
      <c r="AC1916">
        <v>-1.2916259999999999</v>
      </c>
      <c r="AD1916">
        <v>0.56664219999999998</v>
      </c>
      <c r="AE1916">
        <v>-2.920013</v>
      </c>
      <c r="AF1916">
        <v>1.0769886216859501</v>
      </c>
      <c r="AG1916">
        <v>0.56664219999999998</v>
      </c>
      <c r="AH1916">
        <v>2.9020362185089001</v>
      </c>
      <c r="AI1916">
        <v>79.626440586761206</v>
      </c>
      <c r="AJ1916">
        <v>69.639364131464603</v>
      </c>
      <c r="AK1916">
        <v>3.14687179395654</v>
      </c>
      <c r="AL1916">
        <v>96.188787507700397</v>
      </c>
      <c r="AM1916">
        <v>84.110079301513196</v>
      </c>
      <c r="AN1916">
        <v>0.99999996885248899</v>
      </c>
    </row>
    <row r="1917" spans="1:40" x14ac:dyDescent="0.25">
      <c r="A1917" t="str">
        <f>"20190305134937733"</f>
        <v>20190305134937733</v>
      </c>
      <c r="B1917" t="str">
        <f>"1551764977722576"</f>
        <v>1551764977722576</v>
      </c>
      <c r="C1917" t="s">
        <v>40</v>
      </c>
      <c r="D1917">
        <v>4.3064839999999904</v>
      </c>
      <c r="E1917">
        <v>0.60807690000000003</v>
      </c>
      <c r="F1917" t="s">
        <v>47</v>
      </c>
      <c r="G1917">
        <v>0</v>
      </c>
      <c r="H1917">
        <v>0</v>
      </c>
      <c r="I1917">
        <v>0</v>
      </c>
      <c r="J1917">
        <v>-192.48779999999999</v>
      </c>
      <c r="K1917">
        <v>1.1089439999999999</v>
      </c>
      <c r="L1917">
        <v>309.39510000000001</v>
      </c>
      <c r="M1917">
        <v>-6.235661E-2</v>
      </c>
      <c r="N1917">
        <v>-1.2854529999999999E-2</v>
      </c>
      <c r="O1917">
        <v>-0.99797139999999995</v>
      </c>
      <c r="P1917">
        <v>-0.16472249999999999</v>
      </c>
      <c r="Q1917">
        <v>-0.1210111</v>
      </c>
      <c r="R1917">
        <v>-0.97888889999999995</v>
      </c>
      <c r="S1917">
        <v>-1.3069459999999999</v>
      </c>
      <c r="T1917">
        <v>0.56433730000000004</v>
      </c>
      <c r="U1917">
        <v>-2.9158019999999998</v>
      </c>
      <c r="V1917">
        <v>0.1031244</v>
      </c>
      <c r="W1917">
        <v>-0.10853160000000001</v>
      </c>
      <c r="X1917">
        <v>0.98872959999999999</v>
      </c>
      <c r="Y1917">
        <v>0.34438920000000001</v>
      </c>
      <c r="Z1917">
        <v>-0.18800829999999999</v>
      </c>
      <c r="AA1917">
        <v>0.91980919999999999</v>
      </c>
      <c r="AB1917">
        <v>22</v>
      </c>
      <c r="AC1917">
        <v>-1.3069459999999999</v>
      </c>
      <c r="AD1917">
        <v>0.56433730000000004</v>
      </c>
      <c r="AE1917">
        <v>-2.9158019999999998</v>
      </c>
      <c r="AF1917">
        <v>1.08861107521034</v>
      </c>
      <c r="AG1917">
        <v>0.56433730000000004</v>
      </c>
      <c r="AH1917">
        <v>2.9011362130304401</v>
      </c>
      <c r="AI1917">
        <v>79.678232779936394</v>
      </c>
      <c r="AJ1917">
        <v>69.432095304008399</v>
      </c>
      <c r="AK1917">
        <v>3.14962569010962</v>
      </c>
      <c r="AL1917">
        <v>96.230675750699106</v>
      </c>
      <c r="AM1917">
        <v>84.045585192646499</v>
      </c>
      <c r="AN1917">
        <v>0.99999998599503903</v>
      </c>
    </row>
    <row r="1918" spans="1:40" x14ac:dyDescent="0.25">
      <c r="A1918" t="str">
        <f>"20190305134937755"</f>
        <v>20190305134937755</v>
      </c>
      <c r="B1918" t="str">
        <f>"1551764977752829"</f>
        <v>1551764977752829</v>
      </c>
      <c r="C1918" t="s">
        <v>40</v>
      </c>
      <c r="D1918">
        <v>3.9412500000000001</v>
      </c>
      <c r="E1918">
        <v>0.61330709999999999</v>
      </c>
      <c r="F1918" t="s">
        <v>47</v>
      </c>
      <c r="G1918">
        <v>0</v>
      </c>
      <c r="H1918">
        <v>0</v>
      </c>
      <c r="I1918">
        <v>0</v>
      </c>
      <c r="J1918">
        <v>-192.50280000000001</v>
      </c>
      <c r="K1918">
        <v>1.108916</v>
      </c>
      <c r="L1918">
        <v>309.18020000000001</v>
      </c>
      <c r="M1918">
        <v>-6.3717640000000006E-2</v>
      </c>
      <c r="N1918">
        <v>-1.296108E-2</v>
      </c>
      <c r="O1918">
        <v>-0.99788390000000005</v>
      </c>
      <c r="P1918">
        <v>-0.16697379999999901</v>
      </c>
      <c r="Q1918">
        <v>-0.12155829999999999</v>
      </c>
      <c r="R1918">
        <v>-0.97843939999999996</v>
      </c>
      <c r="S1918">
        <v>-1.316376</v>
      </c>
      <c r="T1918">
        <v>0.55859789999999998</v>
      </c>
      <c r="U1918">
        <v>-2.9122309999999998</v>
      </c>
      <c r="V1918">
        <v>0.10404339999999999</v>
      </c>
      <c r="W1918">
        <v>-0.108986</v>
      </c>
      <c r="X1918">
        <v>0.98858330000000005</v>
      </c>
      <c r="Y1918">
        <v>0.34613660000000002</v>
      </c>
      <c r="Z1918">
        <v>-0.18638399999999999</v>
      </c>
      <c r="AA1918">
        <v>0.91948379999999996</v>
      </c>
      <c r="AB1918">
        <v>22</v>
      </c>
      <c r="AC1918">
        <v>-1.316376</v>
      </c>
      <c r="AD1918">
        <v>0.55859789999999998</v>
      </c>
      <c r="AE1918">
        <v>-2.9122309999999998</v>
      </c>
      <c r="AF1918">
        <v>1.0946824658415599</v>
      </c>
      <c r="AG1918">
        <v>0.55859789999999998</v>
      </c>
      <c r="AH1918">
        <v>2.9015543458202302</v>
      </c>
      <c r="AI1918">
        <v>79.789143206278595</v>
      </c>
      <c r="AJ1918">
        <v>69.329787796087501</v>
      </c>
      <c r="AK1918">
        <v>3.15109170552899</v>
      </c>
      <c r="AL1918">
        <v>96.256866480088703</v>
      </c>
      <c r="AM1918">
        <v>83.992025846080793</v>
      </c>
      <c r="AN1918">
        <v>0.99999995915922402</v>
      </c>
    </row>
    <row r="1919" spans="1:40" x14ac:dyDescent="0.25">
      <c r="A1919" t="str">
        <f>"20190305134937779"</f>
        <v>20190305134937779</v>
      </c>
      <c r="B1919" t="str">
        <f>"1551764977772348"</f>
        <v>1551764977772348</v>
      </c>
      <c r="C1919" t="s">
        <v>40</v>
      </c>
      <c r="D1919">
        <v>3.9535269999999998</v>
      </c>
      <c r="E1919">
        <v>0.613770699999999</v>
      </c>
      <c r="F1919" t="s">
        <v>64</v>
      </c>
      <c r="G1919">
        <v>-253.37569999999999</v>
      </c>
      <c r="H1919">
        <v>26.483640000000001</v>
      </c>
      <c r="I1919">
        <v>179.63480000000001</v>
      </c>
      <c r="J1919">
        <v>-192.51929999999999</v>
      </c>
      <c r="K1919">
        <v>1.108887</v>
      </c>
      <c r="L1919">
        <v>308.94959999999998</v>
      </c>
      <c r="M1919">
        <v>-6.5235379999999996E-2</v>
      </c>
      <c r="N1919">
        <v>-1.3060489999999999E-2</v>
      </c>
      <c r="O1919">
        <v>-0.99778429999999996</v>
      </c>
      <c r="P1919">
        <v>-0.16911860000000001</v>
      </c>
      <c r="Q1919">
        <v>-0.121619699999999</v>
      </c>
      <c r="R1919">
        <v>-0.97806320000000002</v>
      </c>
      <c r="S1919">
        <v>-1.3645320000000001</v>
      </c>
      <c r="T1919">
        <v>0.56880259999999905</v>
      </c>
      <c r="U1919">
        <v>-2.9039000000000001</v>
      </c>
      <c r="V1919">
        <v>0.1046998</v>
      </c>
      <c r="W1919">
        <v>-0.1089581</v>
      </c>
      <c r="X1919">
        <v>0.98851710000000004</v>
      </c>
      <c r="Y1919">
        <v>0.35805559999999997</v>
      </c>
      <c r="Z1919">
        <v>-0.1889769</v>
      </c>
      <c r="AA1919">
        <v>0.91437630000000003</v>
      </c>
      <c r="AB1919">
        <v>22</v>
      </c>
      <c r="AC1919">
        <v>-60.856400000000001</v>
      </c>
      <c r="AD1919">
        <v>25.374752999999998</v>
      </c>
      <c r="AE1919">
        <v>-129.314799999999</v>
      </c>
      <c r="AF1919">
        <v>50.692170190289197</v>
      </c>
      <c r="AG1919">
        <v>25.374752999999998</v>
      </c>
      <c r="AH1919">
        <v>128.944930005868</v>
      </c>
      <c r="AI1919">
        <v>79.621679805666901</v>
      </c>
      <c r="AJ1919">
        <v>68.538702413137898</v>
      </c>
      <c r="AK1919">
        <v>140.85584539745</v>
      </c>
      <c r="AL1919">
        <v>96.255258180402706</v>
      </c>
      <c r="AM1919">
        <v>83.9540000745409</v>
      </c>
      <c r="AN1919">
        <v>0.99999998633402898</v>
      </c>
    </row>
    <row r="1920" spans="1:40" x14ac:dyDescent="0.25">
      <c r="A1920" t="str">
        <f>"20190305134937802"</f>
        <v>20190305134937802</v>
      </c>
      <c r="B1920" t="str">
        <f>"1551764977792845"</f>
        <v>1551764977792845</v>
      </c>
      <c r="C1920" t="s">
        <v>40</v>
      </c>
      <c r="D1920">
        <v>4.1356710000000003</v>
      </c>
      <c r="E1920">
        <v>0.61328139999999998</v>
      </c>
      <c r="F1920" t="s">
        <v>64</v>
      </c>
      <c r="G1920">
        <v>-253.91540000000001</v>
      </c>
      <c r="H1920">
        <v>26.429169999999999</v>
      </c>
      <c r="I1920">
        <v>179.4914</v>
      </c>
      <c r="J1920">
        <v>-192.5367</v>
      </c>
      <c r="K1920">
        <v>1.10887</v>
      </c>
      <c r="L1920">
        <v>308.71260000000001</v>
      </c>
      <c r="M1920">
        <v>-6.6855529999999996E-2</v>
      </c>
      <c r="N1920">
        <v>-1.3148760000000001E-2</v>
      </c>
      <c r="O1920">
        <v>-0.99767629999999996</v>
      </c>
      <c r="P1920">
        <v>-0.17137910000000001</v>
      </c>
      <c r="Q1920">
        <v>-0.120864899999999</v>
      </c>
      <c r="R1920">
        <v>-0.97776350000000001</v>
      </c>
      <c r="S1920">
        <v>-1.3753359999999999</v>
      </c>
      <c r="T1920">
        <v>0.56720079999999995</v>
      </c>
      <c r="U1920">
        <v>-2.899994</v>
      </c>
      <c r="V1920">
        <v>0.1053675</v>
      </c>
      <c r="W1920">
        <v>-0.1081239</v>
      </c>
      <c r="X1920">
        <v>0.98853780000000002</v>
      </c>
      <c r="Y1920">
        <v>0.35983939999999998</v>
      </c>
      <c r="Z1920">
        <v>-0.1885645</v>
      </c>
      <c r="AA1920">
        <v>0.91376089999999999</v>
      </c>
      <c r="AB1920">
        <v>22</v>
      </c>
      <c r="AC1920">
        <v>-61.378700000000002</v>
      </c>
      <c r="AD1920">
        <v>25.3203</v>
      </c>
      <c r="AE1920">
        <v>-129.22120000000001</v>
      </c>
      <c r="AF1920">
        <v>51.003673170185102</v>
      </c>
      <c r="AG1920">
        <v>25.3203</v>
      </c>
      <c r="AH1920">
        <v>128.99490015291099</v>
      </c>
      <c r="AI1920">
        <v>79.655210778438999</v>
      </c>
      <c r="AJ1920">
        <v>68.426507371369297</v>
      </c>
      <c r="AK1920">
        <v>141.00417204607999</v>
      </c>
      <c r="AL1920">
        <v>96.207177677153993</v>
      </c>
      <c r="AM1920">
        <v>83.915857784458197</v>
      </c>
      <c r="AN1920">
        <v>1.0000000349181399</v>
      </c>
    </row>
    <row r="1921" spans="1:40" x14ac:dyDescent="0.25">
      <c r="A1921" t="str">
        <f>"20190305134937824"</f>
        <v>20190305134937824</v>
      </c>
      <c r="B1921" t="str">
        <f>"1551764977812364"</f>
        <v>1551764977812364</v>
      </c>
      <c r="C1921" t="s">
        <v>40</v>
      </c>
      <c r="D1921">
        <v>4.0924430000000003</v>
      </c>
      <c r="E1921">
        <v>0.60096229999999995</v>
      </c>
      <c r="F1921" t="s">
        <v>64</v>
      </c>
      <c r="G1921">
        <v>-254.29810000000001</v>
      </c>
      <c r="H1921">
        <v>26.227699999999999</v>
      </c>
      <c r="I1921">
        <v>179.05009999999999</v>
      </c>
      <c r="J1921">
        <v>-192.55240000000001</v>
      </c>
      <c r="K1921">
        <v>1.1088530000000001</v>
      </c>
      <c r="L1921">
        <v>308.50389999999999</v>
      </c>
      <c r="M1921">
        <v>-6.8338419999999997E-2</v>
      </c>
      <c r="N1921">
        <v>-1.321604E-2</v>
      </c>
      <c r="O1921">
        <v>-0.99757459999999998</v>
      </c>
      <c r="P1921">
        <v>-0.17292669999999999</v>
      </c>
      <c r="Q1921">
        <v>-0.1193626</v>
      </c>
      <c r="R1921">
        <v>-0.97767519999999997</v>
      </c>
      <c r="S1921">
        <v>-1.3793329999999999</v>
      </c>
      <c r="T1921">
        <v>0.56098579999999998</v>
      </c>
      <c r="U1921">
        <v>-2.8957820000000001</v>
      </c>
      <c r="V1921">
        <v>0.105446</v>
      </c>
      <c r="W1921">
        <v>-0.1065608</v>
      </c>
      <c r="X1921">
        <v>0.98869910000000005</v>
      </c>
      <c r="Y1921">
        <v>0.36013410000000001</v>
      </c>
      <c r="Z1921">
        <v>-0.18690190000000001</v>
      </c>
      <c r="AA1921">
        <v>0.91398639999999998</v>
      </c>
      <c r="AB1921">
        <v>22</v>
      </c>
      <c r="AC1921">
        <v>-61.745699999999999</v>
      </c>
      <c r="AD1921">
        <v>25.118846999999999</v>
      </c>
      <c r="AE1921">
        <v>-129.4538</v>
      </c>
      <c r="AF1921">
        <v>51.183949258857403</v>
      </c>
      <c r="AG1921">
        <v>25.118846999999999</v>
      </c>
      <c r="AH1921">
        <v>129.40201098082201</v>
      </c>
      <c r="AI1921">
        <v>79.767879409351494</v>
      </c>
      <c r="AJ1921">
        <v>68.419114757666094</v>
      </c>
      <c r="AK1921">
        <v>141.40591777653199</v>
      </c>
      <c r="AL1921">
        <v>96.117098465268896</v>
      </c>
      <c r="AM1921">
        <v>83.912344927254296</v>
      </c>
      <c r="AN1921">
        <v>0.99999998667672496</v>
      </c>
    </row>
    <row r="1922" spans="1:40" x14ac:dyDescent="0.25">
      <c r="A1922" t="str">
        <f>"20190305134937844"</f>
        <v>20190305134937844</v>
      </c>
      <c r="B1922" t="str">
        <f>"1551764977832864"</f>
        <v>1551764977832864</v>
      </c>
      <c r="C1922" t="s">
        <v>40</v>
      </c>
      <c r="D1922">
        <v>4.0555120000000002</v>
      </c>
      <c r="E1922">
        <v>0.60152810000000001</v>
      </c>
      <c r="F1922" t="s">
        <v>47</v>
      </c>
      <c r="G1922">
        <v>0</v>
      </c>
      <c r="H1922">
        <v>0</v>
      </c>
      <c r="I1922">
        <v>0</v>
      </c>
      <c r="J1922">
        <v>-192.56829999999999</v>
      </c>
      <c r="K1922">
        <v>1.108827</v>
      </c>
      <c r="L1922">
        <v>308.2971</v>
      </c>
      <c r="M1922">
        <v>-6.9871730000000007E-2</v>
      </c>
      <c r="N1922">
        <v>-1.327445E-2</v>
      </c>
      <c r="O1922">
        <v>-0.99746780000000002</v>
      </c>
      <c r="P1922">
        <v>-0.17478479999999999</v>
      </c>
      <c r="Q1922">
        <v>-0.1195739</v>
      </c>
      <c r="R1922">
        <v>-0.97731920000000005</v>
      </c>
      <c r="S1922">
        <v>-1.294098</v>
      </c>
      <c r="T1922">
        <v>0.3593363</v>
      </c>
      <c r="U1922">
        <v>-2.8834840000000002</v>
      </c>
      <c r="V1922">
        <v>0.1057958</v>
      </c>
      <c r="W1922">
        <v>-0.1067266</v>
      </c>
      <c r="X1922">
        <v>0.98864379999999996</v>
      </c>
      <c r="Y1922">
        <v>0.34160370000000001</v>
      </c>
      <c r="Z1922">
        <v>-0.1270705</v>
      </c>
      <c r="AA1922">
        <v>0.93121430000000005</v>
      </c>
      <c r="AB1922">
        <v>22</v>
      </c>
      <c r="AC1922">
        <v>-1.294098</v>
      </c>
      <c r="AD1922">
        <v>0.3593363</v>
      </c>
      <c r="AE1922">
        <v>-2.8834840000000002</v>
      </c>
      <c r="AF1922">
        <v>1.0755401969127301</v>
      </c>
      <c r="AG1922">
        <v>0.3593363</v>
      </c>
      <c r="AH1922">
        <v>2.92900324894498</v>
      </c>
      <c r="AI1922">
        <v>83.430567602730704</v>
      </c>
      <c r="AJ1922">
        <v>69.836589016904398</v>
      </c>
      <c r="AK1922">
        <v>3.1408548715282998</v>
      </c>
      <c r="AL1922">
        <v>96.126652871722996</v>
      </c>
      <c r="AM1922">
        <v>83.891963457836994</v>
      </c>
      <c r="AN1922">
        <v>0.99999994086181798</v>
      </c>
    </row>
    <row r="1923" spans="1:40" x14ac:dyDescent="0.25">
      <c r="A1923" t="str">
        <f>"20190305134937867"</f>
        <v>20190305134937867</v>
      </c>
      <c r="B1923" t="str">
        <f>"1551764977862142"</f>
        <v>1551764977862142</v>
      </c>
      <c r="C1923" t="s">
        <v>40</v>
      </c>
      <c r="D1923">
        <v>4.0995350000000004</v>
      </c>
      <c r="E1923">
        <v>0.60257299999999903</v>
      </c>
      <c r="F1923" t="s">
        <v>47</v>
      </c>
      <c r="G1923">
        <v>0</v>
      </c>
      <c r="H1923">
        <v>0</v>
      </c>
      <c r="I1923">
        <v>0</v>
      </c>
      <c r="J1923">
        <v>-192.58600000000001</v>
      </c>
      <c r="K1923">
        <v>1.108781</v>
      </c>
      <c r="L1923">
        <v>308.07310000000001</v>
      </c>
      <c r="M1923">
        <v>-7.1620799999999998E-2</v>
      </c>
      <c r="N1923">
        <v>-1.33296E-2</v>
      </c>
      <c r="O1923">
        <v>-0.99734319999999999</v>
      </c>
      <c r="P1923">
        <v>-0.1755929</v>
      </c>
      <c r="Q1923">
        <v>-0.1213646</v>
      </c>
      <c r="R1923">
        <v>-0.97695379999999998</v>
      </c>
      <c r="S1923">
        <v>-1.304276</v>
      </c>
      <c r="T1923">
        <v>0.3474102</v>
      </c>
      <c r="U1923">
        <v>-2.8789060000000002</v>
      </c>
      <c r="V1923">
        <v>0.1048771</v>
      </c>
      <c r="W1923">
        <v>-0.1084767</v>
      </c>
      <c r="X1923">
        <v>0.98855130000000002</v>
      </c>
      <c r="Y1923">
        <v>0.34342899999999998</v>
      </c>
      <c r="Z1923">
        <v>-0.12341050000000001</v>
      </c>
      <c r="AA1923">
        <v>0.9310351</v>
      </c>
      <c r="AB1923">
        <v>22</v>
      </c>
      <c r="AC1923">
        <v>-1.304276</v>
      </c>
      <c r="AD1923">
        <v>0.3474102</v>
      </c>
      <c r="AE1923">
        <v>-2.8789060000000002</v>
      </c>
      <c r="AF1923">
        <v>1.0816492283496799</v>
      </c>
      <c r="AG1923">
        <v>0.3474102</v>
      </c>
      <c r="AH1923">
        <v>2.9295372119083498</v>
      </c>
      <c r="AI1923">
        <v>83.652059518717493</v>
      </c>
      <c r="AJ1923">
        <v>69.734750887984603</v>
      </c>
      <c r="AK1923">
        <v>3.1421087148934301</v>
      </c>
      <c r="AL1923">
        <v>96.2275112141553</v>
      </c>
      <c r="AM1923">
        <v>83.944045687225398</v>
      </c>
      <c r="AN1923">
        <v>1.0000000366394901</v>
      </c>
    </row>
    <row r="1924" spans="1:40" x14ac:dyDescent="0.25">
      <c r="A1924" t="str">
        <f>"20190305134937890"</f>
        <v>20190305134937890</v>
      </c>
      <c r="B1924" t="str">
        <f>"1551764977882637"</f>
        <v>1551764977882637</v>
      </c>
      <c r="C1924" t="s">
        <v>40</v>
      </c>
      <c r="D1924">
        <v>4.0782850000000002</v>
      </c>
      <c r="E1924">
        <v>0.60311550000000003</v>
      </c>
      <c r="F1924" t="s">
        <v>47</v>
      </c>
      <c r="G1924">
        <v>0</v>
      </c>
      <c r="H1924">
        <v>0</v>
      </c>
      <c r="I1924">
        <v>0</v>
      </c>
      <c r="J1924">
        <v>-192.60419999999999</v>
      </c>
      <c r="K1924">
        <v>1.1087209999999901</v>
      </c>
      <c r="L1924">
        <v>307.84969999999998</v>
      </c>
      <c r="M1924">
        <v>-7.348644E-2</v>
      </c>
      <c r="N1924">
        <v>-1.3377689999999999E-2</v>
      </c>
      <c r="O1924">
        <v>-0.99720679999999995</v>
      </c>
      <c r="P1924">
        <v>-0.17645949999999999</v>
      </c>
      <c r="Q1924">
        <v>-0.1217839</v>
      </c>
      <c r="R1924">
        <v>-0.97674510000000003</v>
      </c>
      <c r="S1924">
        <v>-1.3149869999999999</v>
      </c>
      <c r="T1924">
        <v>0.34266350000000001</v>
      </c>
      <c r="U1924">
        <v>-2.877014</v>
      </c>
      <c r="V1924">
        <v>0.1038895</v>
      </c>
      <c r="W1924">
        <v>-0.1088639</v>
      </c>
      <c r="X1924">
        <v>0.98861299999999996</v>
      </c>
      <c r="Y1924">
        <v>0.34485100000000002</v>
      </c>
      <c r="Z1924">
        <v>-0.12189750000000001</v>
      </c>
      <c r="AA1924">
        <v>0.9307088</v>
      </c>
      <c r="AB1924">
        <v>22</v>
      </c>
      <c r="AC1924">
        <v>-1.3149869999999999</v>
      </c>
      <c r="AD1924">
        <v>0.34266350000000001</v>
      </c>
      <c r="AE1924">
        <v>-2.877014</v>
      </c>
      <c r="AF1924">
        <v>1.08723262054084</v>
      </c>
      <c r="AG1924">
        <v>0.34266350000000001</v>
      </c>
      <c r="AH1924">
        <v>2.9314772352266898</v>
      </c>
      <c r="AI1924">
        <v>83.745563468927003</v>
      </c>
      <c r="AJ1924">
        <v>69.6510810850952</v>
      </c>
      <c r="AK1924">
        <v>3.1453222133912901</v>
      </c>
      <c r="AL1924">
        <v>96.249828406733798</v>
      </c>
      <c r="AM1924">
        <v>84.001026839032804</v>
      </c>
      <c r="AN1924">
        <v>1.00000002035122</v>
      </c>
    </row>
    <row r="1925" spans="1:40" x14ac:dyDescent="0.25">
      <c r="A1925" t="str">
        <f>"20190305134937912"</f>
        <v>20190305134937912</v>
      </c>
      <c r="B1925" t="str">
        <f>"1551764977902157"</f>
        <v>1551764977902157</v>
      </c>
      <c r="C1925" t="s">
        <v>40</v>
      </c>
      <c r="D1925">
        <v>4.0943860000000001</v>
      </c>
      <c r="E1925">
        <v>0.60396669999999997</v>
      </c>
      <c r="F1925" t="s">
        <v>47</v>
      </c>
      <c r="G1925">
        <v>0</v>
      </c>
      <c r="H1925">
        <v>0</v>
      </c>
      <c r="I1925">
        <v>0</v>
      </c>
      <c r="J1925">
        <v>-192.62270000000001</v>
      </c>
      <c r="K1925">
        <v>1.108644</v>
      </c>
      <c r="L1925">
        <v>307.63040000000001</v>
      </c>
      <c r="M1925">
        <v>-7.5477760000000005E-2</v>
      </c>
      <c r="N1925">
        <v>-1.3418950000000001E-2</v>
      </c>
      <c r="O1925">
        <v>-0.99705730000000004</v>
      </c>
      <c r="P1925">
        <v>-0.17668239999999999</v>
      </c>
      <c r="Q1925">
        <v>-0.120433</v>
      </c>
      <c r="R1925">
        <v>-0.97687210000000002</v>
      </c>
      <c r="S1925">
        <v>-1.321747</v>
      </c>
      <c r="T1925">
        <v>0.34204639999999997</v>
      </c>
      <c r="U1925">
        <v>-2.875305</v>
      </c>
      <c r="V1925">
        <v>0.1021113</v>
      </c>
      <c r="W1925">
        <v>-0.10748480000000001</v>
      </c>
      <c r="X1925">
        <v>0.98894910000000003</v>
      </c>
      <c r="Y1925">
        <v>0.3450049</v>
      </c>
      <c r="Z1925">
        <v>-0.121717699999999</v>
      </c>
      <c r="AA1925">
        <v>0.93067529999999998</v>
      </c>
      <c r="AB1925">
        <v>22</v>
      </c>
      <c r="AC1925">
        <v>-1.321747</v>
      </c>
      <c r="AD1925">
        <v>0.34204639999999997</v>
      </c>
      <c r="AE1925">
        <v>-2.875305</v>
      </c>
      <c r="AF1925">
        <v>1.08822149129182</v>
      </c>
      <c r="AG1925">
        <v>0.34204639999999997</v>
      </c>
      <c r="AH1925">
        <v>2.9326121507060399</v>
      </c>
      <c r="AI1925">
        <v>83.759526088432395</v>
      </c>
      <c r="AJ1925">
        <v>69.641327158935297</v>
      </c>
      <c r="AK1925">
        <v>3.1466546967106299</v>
      </c>
      <c r="AL1925">
        <v>96.170345438219599</v>
      </c>
      <c r="AM1925">
        <v>84.104967039755195</v>
      </c>
      <c r="AN1925">
        <v>1.00000001110477</v>
      </c>
    </row>
    <row r="1926" spans="1:40" x14ac:dyDescent="0.25">
      <c r="A1926" t="str">
        <f>"20190305134937934"</f>
        <v>20190305134937934</v>
      </c>
      <c r="B1926" t="str">
        <f>"1551764977922656"</f>
        <v>1551764977922656</v>
      </c>
      <c r="C1926" t="s">
        <v>40</v>
      </c>
      <c r="D1926">
        <v>4.0768779999999998</v>
      </c>
      <c r="E1926">
        <v>0.60519060000000002</v>
      </c>
      <c r="F1926" t="s">
        <v>47</v>
      </c>
      <c r="G1926">
        <v>0</v>
      </c>
      <c r="H1926">
        <v>0</v>
      </c>
      <c r="I1926">
        <v>0</v>
      </c>
      <c r="J1926">
        <v>-192.64089999999999</v>
      </c>
      <c r="K1926">
        <v>1.108576</v>
      </c>
      <c r="L1926">
        <v>307.4212</v>
      </c>
      <c r="M1926">
        <v>-7.7502829999999995E-2</v>
      </c>
      <c r="N1926">
        <v>-1.345375E-2</v>
      </c>
      <c r="O1926">
        <v>-0.9969015</v>
      </c>
      <c r="P1926">
        <v>-0.17669389999999999</v>
      </c>
      <c r="Q1926">
        <v>-0.11954579999999999</v>
      </c>
      <c r="R1926">
        <v>-0.97697929999999999</v>
      </c>
      <c r="S1926">
        <v>-1.3291930000000001</v>
      </c>
      <c r="T1926">
        <v>0.3447886</v>
      </c>
      <c r="U1926">
        <v>-2.8731689999999999</v>
      </c>
      <c r="V1926">
        <v>0.1000894</v>
      </c>
      <c r="W1926">
        <v>-0.1065736</v>
      </c>
      <c r="X1926">
        <v>0.98925439999999998</v>
      </c>
      <c r="Y1926">
        <v>0.34530939999999999</v>
      </c>
      <c r="Z1926">
        <v>-0.1225876</v>
      </c>
      <c r="AA1926">
        <v>0.9304481</v>
      </c>
      <c r="AB1926">
        <v>22</v>
      </c>
      <c r="AC1926">
        <v>-1.3291930000000001</v>
      </c>
      <c r="AD1926">
        <v>0.3447886</v>
      </c>
      <c r="AE1926">
        <v>-2.8731689999999999</v>
      </c>
      <c r="AF1926">
        <v>1.08957090367064</v>
      </c>
      <c r="AG1926">
        <v>0.3447886</v>
      </c>
      <c r="AH1926">
        <v>2.9327624391459501</v>
      </c>
      <c r="AI1926">
        <v>83.711113155281893</v>
      </c>
      <c r="AJ1926">
        <v>69.619115995941897</v>
      </c>
      <c r="AK1926">
        <v>3.1475608742772399</v>
      </c>
      <c r="AL1926">
        <v>96.117835699010996</v>
      </c>
      <c r="AM1926">
        <v>84.222667733092905</v>
      </c>
      <c r="AN1926">
        <v>1.00000004406433</v>
      </c>
    </row>
    <row r="1927" spans="1:40" x14ac:dyDescent="0.25">
      <c r="A1927" t="str">
        <f>"20190305134937957"</f>
        <v>20190305134937957</v>
      </c>
      <c r="B1927" t="str">
        <f>"1551764977952909"</f>
        <v>1551764977952909</v>
      </c>
      <c r="C1927" t="s">
        <v>40</v>
      </c>
      <c r="D1927">
        <v>4.0987179999999999</v>
      </c>
      <c r="E1927">
        <v>0.60633049999999999</v>
      </c>
      <c r="F1927" t="s">
        <v>47</v>
      </c>
      <c r="G1927">
        <v>0</v>
      </c>
      <c r="H1927">
        <v>0</v>
      </c>
      <c r="I1927">
        <v>0</v>
      </c>
      <c r="J1927">
        <v>-192.6609</v>
      </c>
      <c r="K1927">
        <v>1.1085</v>
      </c>
      <c r="L1927">
        <v>307.19740000000002</v>
      </c>
      <c r="M1927">
        <v>-7.9817280000000004E-2</v>
      </c>
      <c r="N1927">
        <v>-1.348617E-2</v>
      </c>
      <c r="O1927">
        <v>-0.99671829999999995</v>
      </c>
      <c r="P1927">
        <v>-0.17675399999999999</v>
      </c>
      <c r="Q1927">
        <v>-0.1194239</v>
      </c>
      <c r="R1927">
        <v>-0.97698300000000005</v>
      </c>
      <c r="S1927">
        <v>-1.3393250000000001</v>
      </c>
      <c r="T1927">
        <v>0.34994219999999998</v>
      </c>
      <c r="U1927">
        <v>-2.8712770000000001</v>
      </c>
      <c r="V1927">
        <v>9.7833340000000005E-2</v>
      </c>
      <c r="W1927">
        <v>-0.10642989999999999</v>
      </c>
      <c r="X1927">
        <v>0.98949549999999997</v>
      </c>
      <c r="Y1927">
        <v>0.34598810000000002</v>
      </c>
      <c r="Z1927">
        <v>-0.1241654</v>
      </c>
      <c r="AA1927">
        <v>0.92998670000000005</v>
      </c>
      <c r="AB1927">
        <v>22</v>
      </c>
      <c r="AC1927">
        <v>-1.3393250000000001</v>
      </c>
      <c r="AD1927">
        <v>0.34994219999999998</v>
      </c>
      <c r="AE1927">
        <v>-2.8712770000000001</v>
      </c>
      <c r="AF1927">
        <v>1.0925244353424499</v>
      </c>
      <c r="AG1927">
        <v>0.34994219999999998</v>
      </c>
      <c r="AH1927">
        <v>2.9332412774432401</v>
      </c>
      <c r="AI1927">
        <v>83.620872136673498</v>
      </c>
      <c r="AJ1927">
        <v>69.571489213468297</v>
      </c>
      <c r="AK1927">
        <v>3.1495989549239498</v>
      </c>
      <c r="AL1927">
        <v>96.109555377203506</v>
      </c>
      <c r="AM1927">
        <v>84.353407112756102</v>
      </c>
      <c r="AN1927">
        <v>1.0000000152749</v>
      </c>
    </row>
    <row r="1928" spans="1:40" x14ac:dyDescent="0.25">
      <c r="A1928" t="str">
        <f>"20190305134937980"</f>
        <v>20190305134937980</v>
      </c>
      <c r="B1928" t="str">
        <f>"1551764977972429"</f>
        <v>1551764977972429</v>
      </c>
      <c r="C1928" t="s">
        <v>40</v>
      </c>
      <c r="D1928">
        <v>4.0723529999999997</v>
      </c>
      <c r="E1928">
        <v>0.60722929999999997</v>
      </c>
      <c r="F1928" t="s">
        <v>73</v>
      </c>
      <c r="G1928">
        <v>-341.15910000000002</v>
      </c>
      <c r="H1928">
        <v>39.699829999999999</v>
      </c>
      <c r="I1928">
        <v>-8.6434479999999994</v>
      </c>
      <c r="J1928">
        <v>-192.68209999999999</v>
      </c>
      <c r="K1928">
        <v>1.108422</v>
      </c>
      <c r="L1928">
        <v>306.96929999999998</v>
      </c>
      <c r="M1928">
        <v>-8.2343760000000002E-2</v>
      </c>
      <c r="N1928">
        <v>-1.351516E-2</v>
      </c>
      <c r="O1928">
        <v>-0.99651270000000003</v>
      </c>
      <c r="P1928">
        <v>-0.1774723</v>
      </c>
      <c r="Q1928">
        <v>-0.11985759999999999</v>
      </c>
      <c r="R1928">
        <v>-0.97680009999999995</v>
      </c>
      <c r="S1928">
        <v>-1.3491059999999999</v>
      </c>
      <c r="T1928">
        <v>0.35060229999999998</v>
      </c>
      <c r="U1928">
        <v>-2.869415</v>
      </c>
      <c r="V1928">
        <v>9.6035049999999997E-2</v>
      </c>
      <c r="W1928">
        <v>-0.106847499999999</v>
      </c>
      <c r="X1928">
        <v>0.98962660000000002</v>
      </c>
      <c r="Y1928">
        <v>0.34643499999999999</v>
      </c>
      <c r="Z1928">
        <v>-0.1243356</v>
      </c>
      <c r="AA1928">
        <v>0.92979750000000005</v>
      </c>
      <c r="AB1928">
        <v>22</v>
      </c>
      <c r="AC1928">
        <v>-148.477</v>
      </c>
      <c r="AD1928">
        <v>38.591408000000001</v>
      </c>
      <c r="AE1928">
        <v>-315.61274799999899</v>
      </c>
      <c r="AF1928">
        <v>120.506360178908</v>
      </c>
      <c r="AG1928">
        <v>38.591408000000001</v>
      </c>
      <c r="AH1928">
        <v>322.81614815391703</v>
      </c>
      <c r="AI1928">
        <v>83.609670733163895</v>
      </c>
      <c r="AJ1928">
        <v>69.529538164808997</v>
      </c>
      <c r="AK1928">
        <v>346.72949849114798</v>
      </c>
      <c r="AL1928">
        <v>96.133619631313294</v>
      </c>
      <c r="AM1928">
        <v>84.457275320684204</v>
      </c>
      <c r="AN1928">
        <v>0.99999996325615503</v>
      </c>
    </row>
    <row r="1929" spans="1:40" x14ac:dyDescent="0.25">
      <c r="A1929" t="str">
        <f>"20190305134938003"</f>
        <v>20190305134938003</v>
      </c>
      <c r="B1929" t="str">
        <f>"1551764977992925"</f>
        <v>1551764977992925</v>
      </c>
      <c r="C1929" t="s">
        <v>40</v>
      </c>
      <c r="D1929">
        <v>4.3374199999999998</v>
      </c>
      <c r="E1929">
        <v>0.60790769999999905</v>
      </c>
      <c r="F1929" t="s">
        <v>73</v>
      </c>
      <c r="G1929">
        <v>-341.16950000000003</v>
      </c>
      <c r="H1929">
        <v>39.568150000000003</v>
      </c>
      <c r="I1929">
        <v>-6.4525870000000003</v>
      </c>
      <c r="J1929">
        <v>-192.7039</v>
      </c>
      <c r="K1929">
        <v>1.108336</v>
      </c>
      <c r="L1929">
        <v>306.74250000000001</v>
      </c>
      <c r="M1929">
        <v>-8.502171E-2</v>
      </c>
      <c r="N1929">
        <v>-1.354088E-2</v>
      </c>
      <c r="O1929">
        <v>-0.99628700000000003</v>
      </c>
      <c r="P1929">
        <v>-0.17969570000000001</v>
      </c>
      <c r="Q1929">
        <v>-0.11940779999999999</v>
      </c>
      <c r="R1929">
        <v>-0.97644819999999999</v>
      </c>
      <c r="S1929">
        <v>-1.3585659999999999</v>
      </c>
      <c r="T1929">
        <v>0.35188249999999999</v>
      </c>
      <c r="U1929">
        <v>-2.8676149999999998</v>
      </c>
      <c r="V1929">
        <v>9.5603030000000006E-2</v>
      </c>
      <c r="W1929">
        <v>-0.10639029999999999</v>
      </c>
      <c r="X1929">
        <v>0.98971770000000003</v>
      </c>
      <c r="Y1929">
        <v>0.34663159999999998</v>
      </c>
      <c r="Z1929">
        <v>-0.12469719999999999</v>
      </c>
      <c r="AA1929">
        <v>0.92967580000000005</v>
      </c>
      <c r="AB1929">
        <v>22</v>
      </c>
      <c r="AC1929">
        <v>-148.46559999999999</v>
      </c>
      <c r="AD1929">
        <v>38.459814000000001</v>
      </c>
      <c r="AE1929">
        <v>-313.195087</v>
      </c>
      <c r="AF1929">
        <v>119.82177340212201</v>
      </c>
      <c r="AG1929">
        <v>38.459814000000001</v>
      </c>
      <c r="AH1929">
        <v>320.73568336695701</v>
      </c>
      <c r="AI1929">
        <v>83.590911541576205</v>
      </c>
      <c r="AJ1929">
        <v>69.5151078211764</v>
      </c>
      <c r="AK1929">
        <v>344.53997338337001</v>
      </c>
      <c r="AL1929">
        <v>96.107273721939094</v>
      </c>
      <c r="AM1929">
        <v>84.482560171700399</v>
      </c>
      <c r="AN1929">
        <v>0.99999998048628003</v>
      </c>
    </row>
    <row r="1930" spans="1:40" x14ac:dyDescent="0.25">
      <c r="A1930" t="str">
        <f>"20190305134938028"</f>
        <v>20190305134938028</v>
      </c>
      <c r="B1930" t="str">
        <f>"1551764978022205"</f>
        <v>1551764978022205</v>
      </c>
      <c r="C1930" t="s">
        <v>40</v>
      </c>
      <c r="D1930">
        <v>4.1157199999999996</v>
      </c>
      <c r="E1930">
        <v>0.62275829999999999</v>
      </c>
      <c r="F1930" t="s">
        <v>73</v>
      </c>
      <c r="G1930">
        <v>-341.39</v>
      </c>
      <c r="H1930">
        <v>39.285089999999997</v>
      </c>
      <c r="I1930">
        <v>-3.4249990000000001</v>
      </c>
      <c r="J1930">
        <v>-192.7269</v>
      </c>
      <c r="K1930">
        <v>1.108244</v>
      </c>
      <c r="L1930">
        <v>306.51260000000002</v>
      </c>
      <c r="M1930">
        <v>-8.7892369999999997E-2</v>
      </c>
      <c r="N1930">
        <v>-1.35643E-2</v>
      </c>
      <c r="O1930">
        <v>-0.99603759999999997</v>
      </c>
      <c r="P1930">
        <v>-0.18339910000000001</v>
      </c>
      <c r="Q1930">
        <v>-0.1192189</v>
      </c>
      <c r="R1930">
        <v>-0.9757827</v>
      </c>
      <c r="S1930">
        <v>-1.3723909999999999</v>
      </c>
      <c r="T1930">
        <v>0.35237610000000003</v>
      </c>
      <c r="U1930">
        <v>-2.8628849999999999</v>
      </c>
      <c r="V1930">
        <v>9.6479990000000002E-2</v>
      </c>
      <c r="W1930">
        <v>-0.1062038</v>
      </c>
      <c r="X1930">
        <v>0.98965259999999999</v>
      </c>
      <c r="Y1930">
        <v>0.3481765</v>
      </c>
      <c r="Z1930">
        <v>-0.1248427</v>
      </c>
      <c r="AA1930">
        <v>0.92907879999999998</v>
      </c>
      <c r="AB1930">
        <v>22</v>
      </c>
      <c r="AC1930">
        <v>-148.66309999999999</v>
      </c>
      <c r="AD1930">
        <v>38.176845999999998</v>
      </c>
      <c r="AE1930">
        <v>-309.93759899999998</v>
      </c>
      <c r="AF1930">
        <v>119.37161602072401</v>
      </c>
      <c r="AG1930">
        <v>38.176845999999998</v>
      </c>
      <c r="AH1930">
        <v>317.884514974659</v>
      </c>
      <c r="AI1930">
        <v>83.585131344776599</v>
      </c>
      <c r="AJ1930">
        <v>69.417898210220798</v>
      </c>
      <c r="AK1930">
        <v>341.69814038502</v>
      </c>
      <c r="AL1930">
        <v>96.096527346827003</v>
      </c>
      <c r="AM1930">
        <v>84.431901711909802</v>
      </c>
      <c r="AN1930">
        <v>0.99999995214579895</v>
      </c>
    </row>
    <row r="1931" spans="1:40" x14ac:dyDescent="0.25">
      <c r="A1931" t="str">
        <f>"20190305134938046"</f>
        <v>20190305134938046</v>
      </c>
      <c r="B1931" t="str">
        <f>"1551764978042701"</f>
        <v>1551764978042701</v>
      </c>
      <c r="C1931" t="s">
        <v>40</v>
      </c>
      <c r="D1931">
        <v>4.3042309999999997</v>
      </c>
      <c r="E1931">
        <v>0.61437319999999995</v>
      </c>
      <c r="F1931" t="s">
        <v>69</v>
      </c>
      <c r="G1931">
        <v>-232.84039999999999</v>
      </c>
      <c r="H1931">
        <v>11.642670000000001</v>
      </c>
      <c r="I1931">
        <v>230.57900000000001</v>
      </c>
      <c r="J1931">
        <v>-192.7458</v>
      </c>
      <c r="K1931">
        <v>1.108174</v>
      </c>
      <c r="L1931">
        <v>306.32870000000003</v>
      </c>
      <c r="M1931">
        <v>-9.0294700000000006E-2</v>
      </c>
      <c r="N1931">
        <v>-1.3580760000000001E-2</v>
      </c>
      <c r="O1931">
        <v>-0.99582250000000005</v>
      </c>
      <c r="P1931">
        <v>-0.18648200000000001</v>
      </c>
      <c r="Q1931">
        <v>-0.1192598</v>
      </c>
      <c r="R1931">
        <v>-0.97519330000000004</v>
      </c>
      <c r="S1931">
        <v>-1.5005949999999999</v>
      </c>
      <c r="T1931">
        <v>0.39407920000000002</v>
      </c>
      <c r="U1931">
        <v>-2.840576</v>
      </c>
      <c r="V1931">
        <v>9.7202230000000001E-2</v>
      </c>
      <c r="W1931">
        <v>-0.10624840000000001</v>
      </c>
      <c r="X1931">
        <v>0.98957720000000005</v>
      </c>
      <c r="Y1931">
        <v>0.38124019999999997</v>
      </c>
      <c r="Z1931">
        <v>-0.13661970000000001</v>
      </c>
      <c r="AA1931">
        <v>0.91432539999999995</v>
      </c>
      <c r="AB1931">
        <v>22</v>
      </c>
      <c r="AC1931">
        <v>-40.0945999999999</v>
      </c>
      <c r="AD1931">
        <v>10.534496000000001</v>
      </c>
      <c r="AE1931">
        <v>-75.749700000000004</v>
      </c>
      <c r="AF1931">
        <v>32.5978781843992</v>
      </c>
      <c r="AG1931">
        <v>10.534496000000001</v>
      </c>
      <c r="AH1931">
        <v>77.884218366360301</v>
      </c>
      <c r="AI1931">
        <v>82.887922308462294</v>
      </c>
      <c r="AJ1931">
        <v>67.288603537079894</v>
      </c>
      <c r="AK1931">
        <v>85.085537776039502</v>
      </c>
      <c r="AL1931">
        <v>96.099096892197906</v>
      </c>
      <c r="AM1931">
        <v>84.390059643338503</v>
      </c>
      <c r="AN1931">
        <v>1.00000001538968</v>
      </c>
    </row>
    <row r="1932" spans="1:40" x14ac:dyDescent="0.25">
      <c r="A1932" t="str">
        <f>"20190305134938069"</f>
        <v>20190305134938069</v>
      </c>
      <c r="B1932" t="str">
        <f>"1551764978062221"</f>
        <v>1551764978062221</v>
      </c>
      <c r="C1932" t="s">
        <v>40</v>
      </c>
      <c r="D1932">
        <v>4.4373870000000002</v>
      </c>
      <c r="E1932">
        <v>0.61059059999999998</v>
      </c>
      <c r="F1932" t="s">
        <v>73</v>
      </c>
      <c r="G1932">
        <v>-348.65179999999998</v>
      </c>
      <c r="H1932">
        <v>35.269109999999998</v>
      </c>
      <c r="I1932">
        <v>0.1553078</v>
      </c>
      <c r="J1932">
        <v>-192.7697</v>
      </c>
      <c r="K1932">
        <v>1.108101</v>
      </c>
      <c r="L1932">
        <v>306.1037</v>
      </c>
      <c r="M1932">
        <v>-9.3334379999999995E-2</v>
      </c>
      <c r="N1932">
        <v>-1.359865E-2</v>
      </c>
      <c r="O1932">
        <v>-0.99554209999999999</v>
      </c>
      <c r="P1932">
        <v>-0.19040180000000001</v>
      </c>
      <c r="Q1932">
        <v>-0.1206392</v>
      </c>
      <c r="R1932">
        <v>-0.97426570000000001</v>
      </c>
      <c r="S1932">
        <v>-1.445465</v>
      </c>
      <c r="T1932">
        <v>0.31671939999999998</v>
      </c>
      <c r="U1932">
        <v>-2.838654</v>
      </c>
      <c r="V1932">
        <v>9.8150370000000001E-2</v>
      </c>
      <c r="W1932">
        <v>-0.10763449999999999</v>
      </c>
      <c r="X1932">
        <v>0.98933369999999998</v>
      </c>
      <c r="Y1932">
        <v>0.3658788</v>
      </c>
      <c r="Z1932">
        <v>-0.1134869</v>
      </c>
      <c r="AA1932">
        <v>0.92371720000000002</v>
      </c>
      <c r="AB1932">
        <v>22</v>
      </c>
      <c r="AC1932">
        <v>-155.88209999999901</v>
      </c>
      <c r="AD1932">
        <v>34.161009</v>
      </c>
      <c r="AE1932">
        <v>-305.9483922</v>
      </c>
      <c r="AF1932">
        <v>125.402187907845</v>
      </c>
      <c r="AG1932">
        <v>34.161009</v>
      </c>
      <c r="AH1932">
        <v>316.03510781147497</v>
      </c>
      <c r="AI1932">
        <v>84.262640099118101</v>
      </c>
      <c r="AJ1932">
        <v>68.356907066934397</v>
      </c>
      <c r="AK1932">
        <v>341.71753340644301</v>
      </c>
      <c r="AL1932">
        <v>96.178973198051494</v>
      </c>
      <c r="AM1932">
        <v>84.334307671072196</v>
      </c>
      <c r="AN1932">
        <v>0.99999992533853499</v>
      </c>
    </row>
    <row r="1933" spans="1:40" x14ac:dyDescent="0.25">
      <c r="A1933" t="str">
        <f>"20190305134938092"</f>
        <v>20190305134938092</v>
      </c>
      <c r="B1933" t="str">
        <f>"1551764978082717"</f>
        <v>1551764978082717</v>
      </c>
      <c r="C1933" t="s">
        <v>40</v>
      </c>
      <c r="D1933">
        <v>4.3254320000000002</v>
      </c>
      <c r="E1933">
        <v>0.60618470000000002</v>
      </c>
      <c r="F1933" t="s">
        <v>64</v>
      </c>
      <c r="G1933">
        <v>-256.49630000000002</v>
      </c>
      <c r="H1933">
        <v>13.163589999999999</v>
      </c>
      <c r="I1933">
        <v>179.58099999999999</v>
      </c>
      <c r="J1933">
        <v>-192.79349999999999</v>
      </c>
      <c r="K1933">
        <v>1.1080490000000001</v>
      </c>
      <c r="L1933">
        <v>305.88749999999999</v>
      </c>
      <c r="M1933">
        <v>-9.6351240000000005E-2</v>
      </c>
      <c r="N1933">
        <v>-1.3612930000000001E-2</v>
      </c>
      <c r="O1933">
        <v>-0.99525430000000004</v>
      </c>
      <c r="P1933">
        <v>-0.19434470000000001</v>
      </c>
      <c r="Q1933">
        <v>-0.1204123</v>
      </c>
      <c r="R1933">
        <v>-0.97351500000000002</v>
      </c>
      <c r="S1933">
        <v>-1.4273070000000001</v>
      </c>
      <c r="T1933">
        <v>0.27001180000000002</v>
      </c>
      <c r="U1933">
        <v>-2.833771</v>
      </c>
      <c r="V1933">
        <v>9.9141450000000006E-2</v>
      </c>
      <c r="W1933">
        <v>-0.1074107</v>
      </c>
      <c r="X1933">
        <v>0.98925929999999995</v>
      </c>
      <c r="Y1933">
        <v>0.35963539999999999</v>
      </c>
      <c r="Z1933">
        <v>-9.9171640000000005E-2</v>
      </c>
      <c r="AA1933">
        <v>0.92780779999999996</v>
      </c>
      <c r="AB1933">
        <v>22</v>
      </c>
      <c r="AC1933">
        <v>-63.702800000000003</v>
      </c>
      <c r="AD1933">
        <v>12.055541</v>
      </c>
      <c r="AE1933">
        <v>-126.3065</v>
      </c>
      <c r="AF1933">
        <v>50.866022136028299</v>
      </c>
      <c r="AG1933">
        <v>12.055541</v>
      </c>
      <c r="AH1933">
        <v>130.90641894519501</v>
      </c>
      <c r="AI1933">
        <v>85.0937434310284</v>
      </c>
      <c r="AJ1933">
        <v>68.765475384398201</v>
      </c>
      <c r="AK1933">
        <v>140.95807461014999</v>
      </c>
      <c r="AL1933">
        <v>96.166075018369</v>
      </c>
      <c r="AM1933">
        <v>84.277048261227506</v>
      </c>
      <c r="AN1933">
        <v>1.0000000241095399</v>
      </c>
    </row>
    <row r="1934" spans="1:40" x14ac:dyDescent="0.25">
      <c r="A1934" t="str">
        <f>"20190305134938113"</f>
        <v>20190305134938113</v>
      </c>
      <c r="B1934" t="str">
        <f>"1551764978102241"</f>
        <v>1551764978102241</v>
      </c>
      <c r="C1934" t="s">
        <v>40</v>
      </c>
      <c r="D1934">
        <v>4.4468370000000004</v>
      </c>
      <c r="E1934">
        <v>0.60540490000000002</v>
      </c>
      <c r="F1934" t="s">
        <v>73</v>
      </c>
      <c r="G1934">
        <v>-344.61939999999998</v>
      </c>
      <c r="H1934">
        <v>25.98921</v>
      </c>
      <c r="I1934">
        <v>0.1583881</v>
      </c>
      <c r="J1934">
        <v>-192.8177</v>
      </c>
      <c r="K1934">
        <v>1.1080190000000001</v>
      </c>
      <c r="L1934">
        <v>305.67439999999999</v>
      </c>
      <c r="M1934">
        <v>-9.9398260000000002E-2</v>
      </c>
      <c r="N1934">
        <v>-1.3624870000000001E-2</v>
      </c>
      <c r="O1934">
        <v>-0.99495449999999996</v>
      </c>
      <c r="P1934">
        <v>-0.1981221</v>
      </c>
      <c r="Q1934">
        <v>-0.12027640000000001</v>
      </c>
      <c r="R1934">
        <v>-0.97276989999999997</v>
      </c>
      <c r="S1934">
        <v>-1.4051819999999999</v>
      </c>
      <c r="T1934">
        <v>0.2302806</v>
      </c>
      <c r="U1934">
        <v>-2.82959</v>
      </c>
      <c r="V1934">
        <v>9.994169E-2</v>
      </c>
      <c r="W1934">
        <v>-0.1072752</v>
      </c>
      <c r="X1934">
        <v>0.9891934</v>
      </c>
      <c r="Y1934">
        <v>0.35199259999999999</v>
      </c>
      <c r="Z1934">
        <v>-8.6922860000000005E-2</v>
      </c>
      <c r="AA1934">
        <v>0.93195799999999995</v>
      </c>
      <c r="AB1934">
        <v>22</v>
      </c>
      <c r="AC1934">
        <v>-151.80169999999899</v>
      </c>
      <c r="AD1934">
        <v>24.881191000000001</v>
      </c>
      <c r="AE1934">
        <v>-305.51601190000002</v>
      </c>
      <c r="AF1934">
        <v>120.040694165142</v>
      </c>
      <c r="AG1934">
        <v>24.881191000000001</v>
      </c>
      <c r="AH1934">
        <v>317.40460530848799</v>
      </c>
      <c r="AI1934">
        <v>85.806514943187096</v>
      </c>
      <c r="AJ1934">
        <v>69.283654825611094</v>
      </c>
      <c r="AK1934">
        <v>340.25655819141002</v>
      </c>
      <c r="AL1934">
        <v>96.158266803412403</v>
      </c>
      <c r="AM1934">
        <v>84.2307829148439</v>
      </c>
      <c r="AN1934">
        <v>0.99999994626932598</v>
      </c>
    </row>
    <row r="1935" spans="1:40" x14ac:dyDescent="0.25">
      <c r="A1935" t="str">
        <f>"20190305134938135"</f>
        <v>20190305134938135</v>
      </c>
      <c r="B1935" t="str">
        <f>"1551764978132494"</f>
        <v>1551764978132494</v>
      </c>
      <c r="C1935" t="s">
        <v>40</v>
      </c>
      <c r="D1935">
        <v>4.1446069999999997</v>
      </c>
      <c r="E1935">
        <v>0.61007489999999998</v>
      </c>
      <c r="F1935" t="s">
        <v>73</v>
      </c>
      <c r="G1935">
        <v>-345.39400000000001</v>
      </c>
      <c r="H1935">
        <v>25.02947</v>
      </c>
      <c r="I1935">
        <v>0.15870090000000001</v>
      </c>
      <c r="J1935">
        <v>-192.8425</v>
      </c>
      <c r="K1935">
        <v>1.108006</v>
      </c>
      <c r="L1935">
        <v>305.46300000000002</v>
      </c>
      <c r="M1935">
        <v>-0.102470699999999</v>
      </c>
      <c r="N1935">
        <v>-1.363488E-2</v>
      </c>
      <c r="O1935">
        <v>-0.99464260000000004</v>
      </c>
      <c r="P1935">
        <v>-0.2015294</v>
      </c>
      <c r="Q1935">
        <v>-0.1200261</v>
      </c>
      <c r="R1935">
        <v>-0.97210070000000004</v>
      </c>
      <c r="S1935">
        <v>-1.410339</v>
      </c>
      <c r="T1935">
        <v>0.22111810000000001</v>
      </c>
      <c r="U1935">
        <v>-2.824036</v>
      </c>
      <c r="V1935">
        <v>0.10034559999999999</v>
      </c>
      <c r="W1935">
        <v>-0.1070213</v>
      </c>
      <c r="X1935">
        <v>0.98918010000000001</v>
      </c>
      <c r="Y1935">
        <v>0.35129850000000001</v>
      </c>
      <c r="Z1935">
        <v>-8.4082279999999995E-2</v>
      </c>
      <c r="AA1935">
        <v>0.93248030000000004</v>
      </c>
      <c r="AB1935">
        <v>22</v>
      </c>
      <c r="AC1935">
        <v>-152.5515</v>
      </c>
      <c r="AD1935">
        <v>23.921464</v>
      </c>
      <c r="AE1935">
        <v>-305.30429909999998</v>
      </c>
      <c r="AF1935">
        <v>119.87178403319101</v>
      </c>
      <c r="AG1935">
        <v>23.921464</v>
      </c>
      <c r="AH1935">
        <v>317.76931313457601</v>
      </c>
      <c r="AI1935">
        <v>85.9710545912138</v>
      </c>
      <c r="AJ1935">
        <v>69.3320725286776</v>
      </c>
      <c r="AK1935">
        <v>340.46852632398202</v>
      </c>
      <c r="AL1935">
        <v>96.143634628583001</v>
      </c>
      <c r="AM1935">
        <v>84.207547749042703</v>
      </c>
      <c r="AN1935">
        <v>1.0000000341645201</v>
      </c>
    </row>
    <row r="1936" spans="1:40" x14ac:dyDescent="0.25">
      <c r="A1936" t="str">
        <f>"20190305134938158"</f>
        <v>20190305134938158</v>
      </c>
      <c r="B1936" t="str">
        <f>"1551764978152989"</f>
        <v>1551764978152989</v>
      </c>
      <c r="C1936" t="s">
        <v>40</v>
      </c>
      <c r="D1936">
        <v>4.1317320000000004</v>
      </c>
      <c r="E1936">
        <v>0.61101419999999995</v>
      </c>
      <c r="F1936" t="s">
        <v>62</v>
      </c>
      <c r="G1936">
        <v>-197.6567</v>
      </c>
      <c r="H1936" s="1">
        <v>5.5709729999999998E-7</v>
      </c>
      <c r="I1936">
        <v>296.45310000000001</v>
      </c>
      <c r="J1936">
        <v>-192.86879999999999</v>
      </c>
      <c r="K1936">
        <v>1.108012</v>
      </c>
      <c r="L1936">
        <v>305.2441</v>
      </c>
      <c r="M1936">
        <v>-0.10569290000000001</v>
      </c>
      <c r="N1936">
        <v>-1.364364E-2</v>
      </c>
      <c r="O1936">
        <v>-0.99430529999999995</v>
      </c>
      <c r="P1936">
        <v>-0.2040479</v>
      </c>
      <c r="Q1936">
        <v>-0.1195558</v>
      </c>
      <c r="R1936">
        <v>-0.97163319999999997</v>
      </c>
      <c r="S1936">
        <v>-1.464539</v>
      </c>
      <c r="T1936">
        <v>-0.33706360000000002</v>
      </c>
      <c r="U1936">
        <v>-2.740875</v>
      </c>
      <c r="V1936">
        <v>9.9698209999999995E-2</v>
      </c>
      <c r="W1936">
        <v>-0.1065402</v>
      </c>
      <c r="X1936">
        <v>0.98929739999999999</v>
      </c>
      <c r="Y1936">
        <v>0.37293399999999999</v>
      </c>
      <c r="Z1936">
        <v>9.6225190000000002E-2</v>
      </c>
      <c r="AA1936">
        <v>0.92285479999999998</v>
      </c>
      <c r="AB1936">
        <v>22</v>
      </c>
      <c r="AC1936">
        <v>-4.7878999999999996</v>
      </c>
      <c r="AD1936">
        <v>-1.1080114429026999</v>
      </c>
      <c r="AE1936">
        <v>-8.7909999999999897</v>
      </c>
      <c r="AF1936">
        <v>3.7854660258795101</v>
      </c>
      <c r="AG1936">
        <v>-1.1080114429026999</v>
      </c>
      <c r="AH1936">
        <v>9.1359144858097405</v>
      </c>
      <c r="AI1936">
        <v>96.392956052140406</v>
      </c>
      <c r="AJ1936">
        <v>67.493328595197895</v>
      </c>
      <c r="AK1936">
        <v>9.9509987379518599</v>
      </c>
      <c r="AL1936">
        <v>96.115911661501599</v>
      </c>
      <c r="AM1936">
        <v>84.245344495520698</v>
      </c>
      <c r="AN1936">
        <v>0.99999994647000001</v>
      </c>
    </row>
    <row r="1937" spans="1:40" x14ac:dyDescent="0.25">
      <c r="A1937" t="str">
        <f>"20190305134938181"</f>
        <v>20190305134938181</v>
      </c>
      <c r="B1937" t="str">
        <f>"1551764978172510"</f>
        <v>1551764978172510</v>
      </c>
      <c r="C1937" t="s">
        <v>40</v>
      </c>
      <c r="D1937">
        <v>4.3529470000000003</v>
      </c>
      <c r="E1937">
        <v>0.61242479999999999</v>
      </c>
      <c r="F1937" t="s">
        <v>62</v>
      </c>
      <c r="G1937">
        <v>-197.9256</v>
      </c>
      <c r="H1937" s="1">
        <v>6.5737619999999895E-7</v>
      </c>
      <c r="I1937">
        <v>295.88369999999998</v>
      </c>
      <c r="J1937">
        <v>-192.8964</v>
      </c>
      <c r="K1937">
        <v>1.108009</v>
      </c>
      <c r="L1937">
        <v>305.0215</v>
      </c>
      <c r="M1937">
        <v>-0.10900799999999999</v>
      </c>
      <c r="N1937">
        <v>-1.365125E-2</v>
      </c>
      <c r="O1937">
        <v>-0.99394729999999998</v>
      </c>
      <c r="P1937">
        <v>-0.2073672</v>
      </c>
      <c r="Q1937">
        <v>-0.1184987</v>
      </c>
      <c r="R1937">
        <v>-0.97105989999999998</v>
      </c>
      <c r="S1937">
        <v>-1.478699</v>
      </c>
      <c r="T1937">
        <v>-0.32400610000000002</v>
      </c>
      <c r="U1937">
        <v>-2.7371829999999999</v>
      </c>
      <c r="V1937">
        <v>9.9768170000000003E-2</v>
      </c>
      <c r="W1937">
        <v>-0.1054771</v>
      </c>
      <c r="X1937">
        <v>0.98940430000000001</v>
      </c>
      <c r="Y1937">
        <v>0.37426419999999999</v>
      </c>
      <c r="Z1937">
        <v>9.1955419999999996E-2</v>
      </c>
      <c r="AA1937">
        <v>0.92275160000000001</v>
      </c>
      <c r="AB1937">
        <v>22</v>
      </c>
      <c r="AC1937">
        <v>-5.0292000000000003</v>
      </c>
      <c r="AD1937">
        <v>-1.1080083426238001</v>
      </c>
      <c r="AE1937">
        <v>-9.1378000000000199</v>
      </c>
      <c r="AF1937">
        <v>3.9583699761346001</v>
      </c>
      <c r="AG1937">
        <v>-1.1080083426238001</v>
      </c>
      <c r="AH1937">
        <v>9.5241340234861696</v>
      </c>
      <c r="AI1937">
        <v>96.131655046440997</v>
      </c>
      <c r="AJ1937">
        <v>67.431511975777894</v>
      </c>
      <c r="AK1937">
        <v>10.3733072957767</v>
      </c>
      <c r="AL1937">
        <v>96.054655095336102</v>
      </c>
      <c r="AM1937">
        <v>84.241951495490994</v>
      </c>
      <c r="AN1937">
        <v>0.99999998761402398</v>
      </c>
    </row>
    <row r="1938" spans="1:40" x14ac:dyDescent="0.25">
      <c r="A1938" t="str">
        <f>"20190305134938204"</f>
        <v>20190305134938204</v>
      </c>
      <c r="B1938" t="str">
        <f>"1551764978193005"</f>
        <v>1551764978193005</v>
      </c>
      <c r="C1938" t="s">
        <v>40</v>
      </c>
      <c r="D1938">
        <v>4.1235869999999997</v>
      </c>
      <c r="E1938">
        <v>0.62457099999999999</v>
      </c>
      <c r="F1938" t="s">
        <v>62</v>
      </c>
      <c r="G1938">
        <v>-198.2474</v>
      </c>
      <c r="H1938" s="1">
        <v>8.0100479999999998E-7</v>
      </c>
      <c r="I1938">
        <v>295.27050000000003</v>
      </c>
      <c r="J1938">
        <v>-192.92400000000001</v>
      </c>
      <c r="K1938">
        <v>1.1080019999999999</v>
      </c>
      <c r="L1938">
        <v>304.80470000000003</v>
      </c>
      <c r="M1938">
        <v>-0.11227719999999999</v>
      </c>
      <c r="N1938">
        <v>-1.365778E-2</v>
      </c>
      <c r="O1938">
        <v>-0.99358299999999999</v>
      </c>
      <c r="P1938">
        <v>-0.21113100000000001</v>
      </c>
      <c r="Q1938">
        <v>-0.11794589999999899</v>
      </c>
      <c r="R1938">
        <v>-0.97031579999999995</v>
      </c>
      <c r="S1938">
        <v>-1.498947</v>
      </c>
      <c r="T1938">
        <v>-0.31037999999999999</v>
      </c>
      <c r="U1938">
        <v>-2.7314759999999998</v>
      </c>
      <c r="V1938">
        <v>0.10033980000000001</v>
      </c>
      <c r="W1938">
        <v>-0.1049244</v>
      </c>
      <c r="X1938">
        <v>0.98940530000000004</v>
      </c>
      <c r="Y1938">
        <v>0.3774959</v>
      </c>
      <c r="Z1938">
        <v>8.7478159999999999E-2</v>
      </c>
      <c r="AA1938">
        <v>0.92187010000000003</v>
      </c>
      <c r="AB1938">
        <v>22</v>
      </c>
      <c r="AC1938">
        <v>-5.3233999999999897</v>
      </c>
      <c r="AD1938">
        <v>-1.1080011989951899</v>
      </c>
      <c r="AE1938">
        <v>-9.5341999999999896</v>
      </c>
      <c r="AF1938">
        <v>4.1761632957784203</v>
      </c>
      <c r="AG1938">
        <v>-1.1080011989951899</v>
      </c>
      <c r="AH1938">
        <v>9.9690164767924294</v>
      </c>
      <c r="AI1938">
        <v>95.853111505460305</v>
      </c>
      <c r="AJ1938">
        <v>67.270494342663</v>
      </c>
      <c r="AK1938">
        <v>10.8650492886383</v>
      </c>
      <c r="AL1938">
        <v>96.022810779941494</v>
      </c>
      <c r="AM1938">
        <v>84.209189670100201</v>
      </c>
      <c r="AN1938">
        <v>1.0000000264237401</v>
      </c>
    </row>
    <row r="1939" spans="1:40" x14ac:dyDescent="0.25">
      <c r="A1939" t="str">
        <f>"20190305134938225"</f>
        <v>20190305134938225</v>
      </c>
      <c r="B1939" t="str">
        <f>"1551764978222285"</f>
        <v>1551764978222285</v>
      </c>
      <c r="C1939" t="s">
        <v>40</v>
      </c>
      <c r="D1939">
        <v>4.1301059999999996</v>
      </c>
      <c r="E1939">
        <v>0.615915199999999</v>
      </c>
      <c r="F1939" t="s">
        <v>69</v>
      </c>
      <c r="G1939">
        <v>-232.8398</v>
      </c>
      <c r="H1939">
        <v>9.9224399999999999</v>
      </c>
      <c r="I1939">
        <v>235.09960000000001</v>
      </c>
      <c r="J1939">
        <v>-192.95060000000001</v>
      </c>
      <c r="K1939">
        <v>1.1079829999999999</v>
      </c>
      <c r="L1939">
        <v>304.60210000000001</v>
      </c>
      <c r="M1939">
        <v>-0.1153772</v>
      </c>
      <c r="N1939">
        <v>-1.366331E-2</v>
      </c>
      <c r="O1939">
        <v>-0.99322779999999999</v>
      </c>
      <c r="P1939">
        <v>-0.21452779999999999</v>
      </c>
      <c r="Q1939">
        <v>-0.117787</v>
      </c>
      <c r="R1939">
        <v>-0.96958979999999995</v>
      </c>
      <c r="S1939">
        <v>-1.5961609999999999</v>
      </c>
      <c r="T1939">
        <v>0.3524735</v>
      </c>
      <c r="U1939">
        <v>-2.7873839999999999</v>
      </c>
      <c r="V1939">
        <v>0.1007097</v>
      </c>
      <c r="W1939">
        <v>-0.1047674</v>
      </c>
      <c r="X1939">
        <v>0.98938440000000005</v>
      </c>
      <c r="Y1939">
        <v>0.38987880000000003</v>
      </c>
      <c r="Z1939">
        <v>-0.12408180000000001</v>
      </c>
      <c r="AA1939">
        <v>0.91246819999999895</v>
      </c>
      <c r="AB1939">
        <v>22</v>
      </c>
      <c r="AC1939">
        <v>-39.889199999999903</v>
      </c>
      <c r="AD1939">
        <v>8.8144570000000009</v>
      </c>
      <c r="AE1939">
        <v>-69.502499999999998</v>
      </c>
      <c r="AF1939">
        <v>31.225223816811301</v>
      </c>
      <c r="AG1939">
        <v>8.8144570000000009</v>
      </c>
      <c r="AH1939">
        <v>72.760683555121204</v>
      </c>
      <c r="AI1939">
        <v>83.647715188455095</v>
      </c>
      <c r="AJ1939">
        <v>66.7734252198767</v>
      </c>
      <c r="AK1939">
        <v>79.666971362185606</v>
      </c>
      <c r="AL1939">
        <v>96.013765218197506</v>
      </c>
      <c r="AM1939">
        <v>84.187865944097595</v>
      </c>
      <c r="AN1939">
        <v>1.0000000713701001</v>
      </c>
    </row>
    <row r="1940" spans="1:40" x14ac:dyDescent="0.25">
      <c r="A1940" t="str">
        <f>"20190305134938247"</f>
        <v>20190305134938247</v>
      </c>
      <c r="B1940" t="str">
        <f>"1551764978242782"</f>
        <v>1551764978242782</v>
      </c>
      <c r="C1940" t="s">
        <v>40</v>
      </c>
      <c r="D1940">
        <v>4.3643700000000001</v>
      </c>
      <c r="E1940">
        <v>0.61757240000000002</v>
      </c>
      <c r="F1940" t="s">
        <v>62</v>
      </c>
      <c r="G1940">
        <v>-199.21799999999999</v>
      </c>
      <c r="H1940" s="1">
        <v>1.1289140000000001E-6</v>
      </c>
      <c r="I1940">
        <v>293.5788</v>
      </c>
      <c r="J1940">
        <v>-192.9796</v>
      </c>
      <c r="K1940">
        <v>1.1079669999999999</v>
      </c>
      <c r="L1940">
        <v>304.38659999999999</v>
      </c>
      <c r="M1940">
        <v>-0.1187304</v>
      </c>
      <c r="N1940">
        <v>-1.366889E-2</v>
      </c>
      <c r="O1940">
        <v>-0.99283250000000001</v>
      </c>
      <c r="P1940">
        <v>-0.21849170000000001</v>
      </c>
      <c r="Q1940">
        <v>-0.118169</v>
      </c>
      <c r="R1940">
        <v>-0.96865769999999995</v>
      </c>
      <c r="S1940">
        <v>-1.5458529999999999</v>
      </c>
      <c r="T1940">
        <v>-0.27328249999999998</v>
      </c>
      <c r="U1940">
        <v>-2.7189030000000001</v>
      </c>
      <c r="V1940">
        <v>0.1014104</v>
      </c>
      <c r="W1940">
        <v>-0.10515629999999999</v>
      </c>
      <c r="X1940">
        <v>0.98927149999999997</v>
      </c>
      <c r="Y1940">
        <v>0.38588860000000003</v>
      </c>
      <c r="Z1940">
        <v>7.5308680000000003E-2</v>
      </c>
      <c r="AA1940">
        <v>0.91946649999999996</v>
      </c>
      <c r="AB1940">
        <v>21</v>
      </c>
      <c r="AC1940">
        <v>-6.23839999999998</v>
      </c>
      <c r="AD1940">
        <v>-1.1079658710860001</v>
      </c>
      <c r="AE1940">
        <v>-10.807799999999901</v>
      </c>
      <c r="AF1940">
        <v>4.8725203102804402</v>
      </c>
      <c r="AG1940">
        <v>-1.1079658710860001</v>
      </c>
      <c r="AH1940">
        <v>11.3823667809671</v>
      </c>
      <c r="AI1940">
        <v>95.113556792498301</v>
      </c>
      <c r="AJ1940">
        <v>66.825385385684399</v>
      </c>
      <c r="AK1940">
        <v>12.4309016600587</v>
      </c>
      <c r="AL1940">
        <v>96.036171690847993</v>
      </c>
      <c r="AM1940">
        <v>84.147043778207305</v>
      </c>
      <c r="AN1940">
        <v>1.00000000868504</v>
      </c>
    </row>
    <row r="1941" spans="1:40" x14ac:dyDescent="0.25">
      <c r="A1941" t="str">
        <f>"20190305134938271"</f>
        <v>20190305134938271</v>
      </c>
      <c r="B1941" t="str">
        <f>"1551764978262301"</f>
        <v>1551764978262301</v>
      </c>
      <c r="C1941" t="s">
        <v>40</v>
      </c>
      <c r="D1941">
        <v>4.6319439999999998</v>
      </c>
      <c r="E1941">
        <v>0.61089609999999905</v>
      </c>
      <c r="F1941" t="s">
        <v>62</v>
      </c>
      <c r="G1941">
        <v>-199.1645</v>
      </c>
      <c r="H1941" s="1">
        <v>1.1092849999999999E-6</v>
      </c>
      <c r="I1941">
        <v>293.71719999999999</v>
      </c>
      <c r="J1941">
        <v>-193.0095</v>
      </c>
      <c r="K1941">
        <v>1.107928</v>
      </c>
      <c r="L1941">
        <v>304.1703</v>
      </c>
      <c r="M1941">
        <v>-0.1221645</v>
      </c>
      <c r="N1941">
        <v>-1.367399E-2</v>
      </c>
      <c r="O1941">
        <v>-0.99241579999999996</v>
      </c>
      <c r="P1941">
        <v>-0.22212960000000001</v>
      </c>
      <c r="Q1941">
        <v>-0.1180139</v>
      </c>
      <c r="R1941">
        <v>-0.96784910000000002</v>
      </c>
      <c r="S1941">
        <v>-1.5701290000000001</v>
      </c>
      <c r="T1941">
        <v>-0.28127350000000001</v>
      </c>
      <c r="U1941">
        <v>-2.7085880000000002</v>
      </c>
      <c r="V1941">
        <v>0.1016939</v>
      </c>
      <c r="W1941">
        <v>-0.1050063</v>
      </c>
      <c r="X1941">
        <v>0.98925830000000003</v>
      </c>
      <c r="Y1941">
        <v>0.39028309999999999</v>
      </c>
      <c r="Z1941">
        <v>7.7854999999999994E-2</v>
      </c>
      <c r="AA1941">
        <v>0.91739729999999997</v>
      </c>
      <c r="AB1941">
        <v>21</v>
      </c>
      <c r="AC1941">
        <v>-6.1550000000000002</v>
      </c>
      <c r="AD1941">
        <v>-1.1079268907149999</v>
      </c>
      <c r="AE1941">
        <v>-10.453099999999999</v>
      </c>
      <c r="AF1941">
        <v>4.7918005356089202</v>
      </c>
      <c r="AG1941">
        <v>-1.1079268907149999</v>
      </c>
      <c r="AH1941">
        <v>11.0347337401418</v>
      </c>
      <c r="AI1941">
        <v>95.261820980565105</v>
      </c>
      <c r="AJ1941">
        <v>66.527246380004996</v>
      </c>
      <c r="AK1941">
        <v>12.081150735093701</v>
      </c>
      <c r="AL1941">
        <v>96.027529661798397</v>
      </c>
      <c r="AM1941">
        <v>84.130717720255106</v>
      </c>
      <c r="AN1941">
        <v>0.99999997822789399</v>
      </c>
    </row>
    <row r="1942" spans="1:40" x14ac:dyDescent="0.25">
      <c r="A1942" t="str">
        <f>"20190305134938292"</f>
        <v>20190305134938292</v>
      </c>
      <c r="B1942" t="str">
        <f>"1551764978282801"</f>
        <v>1551764978282801</v>
      </c>
      <c r="C1942" t="s">
        <v>40</v>
      </c>
      <c r="D1942">
        <v>4.1047820000000002</v>
      </c>
      <c r="E1942">
        <v>0.60508960000000001</v>
      </c>
      <c r="F1942" t="s">
        <v>62</v>
      </c>
      <c r="G1942">
        <v>-198.64250000000001</v>
      </c>
      <c r="H1942" s="1">
        <v>1.0749070000000001E-6</v>
      </c>
      <c r="I1942">
        <v>294.17529999999999</v>
      </c>
      <c r="J1942">
        <v>-193.0401</v>
      </c>
      <c r="K1942">
        <v>1.107896</v>
      </c>
      <c r="L1942">
        <v>303.95589999999999</v>
      </c>
      <c r="M1942">
        <v>-0.12565080000000001</v>
      </c>
      <c r="N1942">
        <v>-1.3678839999999999E-2</v>
      </c>
      <c r="O1942">
        <v>-0.99198010000000003</v>
      </c>
      <c r="P1942">
        <v>-0.2259186</v>
      </c>
      <c r="Q1942">
        <v>-0.117248</v>
      </c>
      <c r="R1942">
        <v>-0.96706429999999999</v>
      </c>
      <c r="S1942">
        <v>-1.5285029999999999</v>
      </c>
      <c r="T1942">
        <v>-0.30063509999999999</v>
      </c>
      <c r="U1942">
        <v>-2.7121580000000001</v>
      </c>
      <c r="V1942">
        <v>0.10207479999999999</v>
      </c>
      <c r="W1942">
        <v>-0.10424609999999999</v>
      </c>
      <c r="X1942">
        <v>0.9892995</v>
      </c>
      <c r="Y1942">
        <v>0.37558839999999999</v>
      </c>
      <c r="Z1942">
        <v>8.4541809999999995E-2</v>
      </c>
      <c r="AA1942">
        <v>0.92292260000000004</v>
      </c>
      <c r="AB1942">
        <v>21</v>
      </c>
      <c r="AC1942">
        <v>-5.60240000000001</v>
      </c>
      <c r="AD1942">
        <v>-1.1078949250929999</v>
      </c>
      <c r="AE1942">
        <v>-9.7805999999999909</v>
      </c>
      <c r="AF1942">
        <v>4.28751198449421</v>
      </c>
      <c r="AG1942">
        <v>-1.1078949250929999</v>
      </c>
      <c r="AH1942">
        <v>10.3074984101937</v>
      </c>
      <c r="AI1942">
        <v>95.667544373132799</v>
      </c>
      <c r="AJ1942">
        <v>67.414619786536704</v>
      </c>
      <c r="AK1942">
        <v>11.2184987256929</v>
      </c>
      <c r="AL1942">
        <v>95.983732860164295</v>
      </c>
      <c r="AM1942">
        <v>84.109131945761902</v>
      </c>
      <c r="AN1942">
        <v>1.00000000743025</v>
      </c>
    </row>
    <row r="1943" spans="1:40" x14ac:dyDescent="0.25">
      <c r="A1943" t="str">
        <f>"20190305134938314"</f>
        <v>20190305134938314</v>
      </c>
      <c r="B1943" t="str">
        <f>"1551764978302322"</f>
        <v>1551764978302322</v>
      </c>
      <c r="C1943" t="s">
        <v>40</v>
      </c>
      <c r="D1943">
        <v>4.0356399999999999</v>
      </c>
      <c r="E1943">
        <v>0.51387910000000003</v>
      </c>
      <c r="F1943" t="s">
        <v>62</v>
      </c>
      <c r="G1943">
        <v>-199.01169999999999</v>
      </c>
      <c r="H1943" s="1">
        <v>1.2341369999999999E-6</v>
      </c>
      <c r="I1943">
        <v>293.08519999999999</v>
      </c>
      <c r="J1943">
        <v>-193.0693</v>
      </c>
      <c r="K1943">
        <v>1.1078809999999999</v>
      </c>
      <c r="L1943">
        <v>303.75630000000001</v>
      </c>
      <c r="M1943">
        <v>-0.1289603</v>
      </c>
      <c r="N1943">
        <v>-1.368305E-2</v>
      </c>
      <c r="O1943">
        <v>-0.99155539999999998</v>
      </c>
      <c r="P1943">
        <v>-0.22964909999999999</v>
      </c>
      <c r="Q1943">
        <v>-0.1156455</v>
      </c>
      <c r="R1943">
        <v>-0.96637850000000003</v>
      </c>
      <c r="S1943">
        <v>-1.4939420000000001</v>
      </c>
      <c r="T1943">
        <v>-0.27716639999999998</v>
      </c>
      <c r="U1943">
        <v>-2.7195740000000002</v>
      </c>
      <c r="V1943">
        <v>0.1025662</v>
      </c>
      <c r="W1943">
        <v>-0.102648</v>
      </c>
      <c r="X1943">
        <v>0.98941579999999996</v>
      </c>
      <c r="Y1943">
        <v>0.36273339999999998</v>
      </c>
      <c r="Z1943">
        <v>7.7198729999999993E-2</v>
      </c>
      <c r="AA1943">
        <v>0.92868989999999996</v>
      </c>
      <c r="AB1943">
        <v>21</v>
      </c>
      <c r="AC1943">
        <v>-5.9423999999999904</v>
      </c>
      <c r="AD1943">
        <v>-1.107879765863</v>
      </c>
      <c r="AE1943">
        <v>-10.671099999999999</v>
      </c>
      <c r="AF1943">
        <v>4.4796374749046599</v>
      </c>
      <c r="AG1943">
        <v>-1.107879765863</v>
      </c>
      <c r="AH1943">
        <v>11.2557768176049</v>
      </c>
      <c r="AI1943">
        <v>95.225231788993199</v>
      </c>
      <c r="AJ1943">
        <v>68.298154968474293</v>
      </c>
      <c r="AK1943">
        <v>12.1649932696204</v>
      </c>
      <c r="AL1943">
        <v>95.891674428164393</v>
      </c>
      <c r="AM1943">
        <v>84.081664291910201</v>
      </c>
      <c r="AN1943">
        <v>1.0000000312880299</v>
      </c>
    </row>
    <row r="1944" spans="1:40" x14ac:dyDescent="0.25">
      <c r="A1944" t="str">
        <f>"20190305134938337"</f>
        <v>20190305134938337</v>
      </c>
      <c r="B1944" t="str">
        <f>"1551764978332574"</f>
        <v>1551764978332574</v>
      </c>
      <c r="C1944" t="s">
        <v>40</v>
      </c>
      <c r="D1944">
        <v>4.1387039999999997</v>
      </c>
      <c r="E1944">
        <v>0.51341649999999905</v>
      </c>
      <c r="F1944" t="s">
        <v>62</v>
      </c>
      <c r="G1944">
        <v>-198.21549999999999</v>
      </c>
      <c r="H1944" s="1">
        <v>2.4703010000000001E-6</v>
      </c>
      <c r="I1944">
        <v>285.03960000000001</v>
      </c>
      <c r="J1944">
        <v>-193.10210000000001</v>
      </c>
      <c r="K1944">
        <v>1.1078619999999999</v>
      </c>
      <c r="L1944">
        <v>303.53809999999999</v>
      </c>
      <c r="M1944">
        <v>-0.1326502</v>
      </c>
      <c r="N1944">
        <v>-1.368697E-2</v>
      </c>
      <c r="O1944">
        <v>-0.99106839999999996</v>
      </c>
      <c r="P1944">
        <v>-0.23466980000000001</v>
      </c>
      <c r="Q1944">
        <v>-0.1136834</v>
      </c>
      <c r="R1944">
        <v>-0.96540490000000001</v>
      </c>
      <c r="S1944">
        <v>-0.795929</v>
      </c>
      <c r="T1944">
        <v>-0.171348</v>
      </c>
      <c r="U1944">
        <v>-2.8947750000000001</v>
      </c>
      <c r="V1944">
        <v>0.10399600000000001</v>
      </c>
      <c r="W1944">
        <v>-0.10069649999999999</v>
      </c>
      <c r="X1944">
        <v>0.98946699999999999</v>
      </c>
      <c r="Y1944">
        <v>0.13453870000000001</v>
      </c>
      <c r="Z1944">
        <v>4.3562910000000003E-2</v>
      </c>
      <c r="AA1944">
        <v>0.98995029999999995</v>
      </c>
      <c r="AB1944">
        <v>21</v>
      </c>
      <c r="AC1944">
        <v>-5.11339999999998</v>
      </c>
      <c r="AD1944">
        <v>-1.1078595296989999</v>
      </c>
      <c r="AE1944">
        <v>-18.4984999999999</v>
      </c>
      <c r="AF1944">
        <v>2.6054626448941902</v>
      </c>
      <c r="AG1944">
        <v>-1.1078595296989999</v>
      </c>
      <c r="AH1944">
        <v>18.9502093779791</v>
      </c>
      <c r="AI1944">
        <v>93.314682290653394</v>
      </c>
      <c r="AJ1944">
        <v>82.171490690914098</v>
      </c>
      <c r="AK1944">
        <v>19.1605381918341</v>
      </c>
      <c r="AL1944">
        <v>95.779279741570704</v>
      </c>
      <c r="AM1944">
        <v>84.000067144344698</v>
      </c>
      <c r="AN1944">
        <v>0.99999994860862296</v>
      </c>
    </row>
    <row r="1945" spans="1:40" x14ac:dyDescent="0.25">
      <c r="A1945" t="str">
        <f>"20190305134938359"</f>
        <v>20190305134938359</v>
      </c>
      <c r="B1945" t="str">
        <f>"1551764978352094"</f>
        <v>1551764978352094</v>
      </c>
      <c r="C1945" t="s">
        <v>40</v>
      </c>
      <c r="D1945">
        <v>3.9477370000000001</v>
      </c>
      <c r="E1945">
        <v>0.51505699999999999</v>
      </c>
      <c r="F1945" t="s">
        <v>41</v>
      </c>
      <c r="G1945">
        <v>-193.33090000000001</v>
      </c>
      <c r="H1945">
        <v>0.99748099999999995</v>
      </c>
      <c r="I1945">
        <v>302.72739999999999</v>
      </c>
      <c r="J1945">
        <v>-193.13509999999999</v>
      </c>
      <c r="K1945">
        <v>1.1078319999999999</v>
      </c>
      <c r="L1945">
        <v>303.32440000000003</v>
      </c>
      <c r="M1945">
        <v>-0.13634640000000001</v>
      </c>
      <c r="N1945">
        <v>-1.369064E-2</v>
      </c>
      <c r="O1945">
        <v>-0.99056679999999997</v>
      </c>
      <c r="P1945">
        <v>-0.23941299999999999</v>
      </c>
      <c r="Q1945">
        <v>-0.1129024</v>
      </c>
      <c r="R1945">
        <v>-0.96433139999999995</v>
      </c>
      <c r="S1945">
        <v>-0.80813599999999997</v>
      </c>
      <c r="T1945">
        <v>-0.39003490000000002</v>
      </c>
      <c r="U1945">
        <v>-2.8651430000000002</v>
      </c>
      <c r="V1945">
        <v>0.10515049999999999</v>
      </c>
      <c r="W1945">
        <v>-9.9927509999999997E-2</v>
      </c>
      <c r="X1945">
        <v>0.98942300000000005</v>
      </c>
      <c r="Y1945">
        <v>0.1356946</v>
      </c>
      <c r="Z1945">
        <v>0.1165838</v>
      </c>
      <c r="AA1945">
        <v>0.98386750000000001</v>
      </c>
      <c r="AB1945">
        <v>21</v>
      </c>
      <c r="AC1945">
        <v>-0.19580000000001899</v>
      </c>
      <c r="AD1945">
        <v>-0.11035099999999901</v>
      </c>
      <c r="AE1945">
        <v>-0.59700000000003595</v>
      </c>
      <c r="AF1945">
        <v>0.109196169646574</v>
      </c>
      <c r="AG1945">
        <v>-0.11035099999999901</v>
      </c>
      <c r="AH1945">
        <v>0.59962528200642595</v>
      </c>
      <c r="AI1945">
        <v>100.26254474255001</v>
      </c>
      <c r="AJ1945">
        <v>79.679116545522504</v>
      </c>
      <c r="AK1945">
        <v>0.619396178134617</v>
      </c>
      <c r="AL1945">
        <v>95.734996175033103</v>
      </c>
      <c r="AM1945">
        <v>83.933685737477504</v>
      </c>
      <c r="AN1945">
        <v>1.00000000391702</v>
      </c>
    </row>
    <row r="1946" spans="1:40" x14ac:dyDescent="0.25">
      <c r="A1946" t="str">
        <f>"20190305134938382"</f>
        <v>20190305134938382</v>
      </c>
      <c r="B1946" t="str">
        <f>"1551764978372593"</f>
        <v>1551764978372593</v>
      </c>
      <c r="C1946" t="s">
        <v>40</v>
      </c>
      <c r="D1946">
        <v>4.0797829999999999</v>
      </c>
      <c r="E1946">
        <v>0.51508959999999904</v>
      </c>
      <c r="F1946" t="s">
        <v>41</v>
      </c>
      <c r="G1946">
        <v>-193.36689999999999</v>
      </c>
      <c r="H1946">
        <v>1.019242</v>
      </c>
      <c r="I1946">
        <v>302.52870000000001</v>
      </c>
      <c r="J1946">
        <v>-193.16990000000001</v>
      </c>
      <c r="K1946">
        <v>1.1077939999999999</v>
      </c>
      <c r="L1946">
        <v>303.10500000000002</v>
      </c>
      <c r="M1946">
        <v>-0.14023369999999999</v>
      </c>
      <c r="N1946">
        <v>-1.3694619999999999E-2</v>
      </c>
      <c r="O1946">
        <v>-0.99002389999999996</v>
      </c>
      <c r="P1946">
        <v>-0.24393020000000001</v>
      </c>
      <c r="Q1946">
        <v>-0.1130776</v>
      </c>
      <c r="R1946">
        <v>-0.96317830000000004</v>
      </c>
      <c r="S1946">
        <v>-0.83474729999999997</v>
      </c>
      <c r="T1946">
        <v>-0.31909890000000002</v>
      </c>
      <c r="U1946">
        <v>-2.866333</v>
      </c>
      <c r="V1946">
        <v>0.10589419999999999</v>
      </c>
      <c r="W1946">
        <v>-0.1001155</v>
      </c>
      <c r="X1946">
        <v>0.98932469999999995</v>
      </c>
      <c r="Y1946">
        <v>0.14085909999999999</v>
      </c>
      <c r="Z1946">
        <v>9.2936679999999994E-2</v>
      </c>
      <c r="AA1946">
        <v>0.98565789999999998</v>
      </c>
      <c r="AB1946">
        <v>21</v>
      </c>
      <c r="AC1946">
        <v>-0.196999999999974</v>
      </c>
      <c r="AD1946">
        <v>-8.8551999999999895E-2</v>
      </c>
      <c r="AE1946">
        <v>-0.57630000000000303</v>
      </c>
      <c r="AF1946">
        <v>0.111863920714599</v>
      </c>
      <c r="AG1946">
        <v>-8.8551999999999895E-2</v>
      </c>
      <c r="AH1946">
        <v>0.58584800741943599</v>
      </c>
      <c r="AI1946">
        <v>98.444985102334499</v>
      </c>
      <c r="AJ1946">
        <v>79.189862023708201</v>
      </c>
      <c r="AK1946">
        <v>0.60297005005138204</v>
      </c>
      <c r="AL1946">
        <v>95.745821352971404</v>
      </c>
      <c r="AM1946">
        <v>83.890501302261697</v>
      </c>
      <c r="AN1946">
        <v>1.0000000284819801</v>
      </c>
    </row>
    <row r="1947" spans="1:40" x14ac:dyDescent="0.25">
      <c r="A1947" t="str">
        <f>"20190305134938405"</f>
        <v>20190305134938405</v>
      </c>
      <c r="B1947" t="str">
        <f>"1551764978402846"</f>
        <v>1551764978402846</v>
      </c>
      <c r="C1947" t="s">
        <v>40</v>
      </c>
      <c r="D1947">
        <v>4.0888280000000004</v>
      </c>
      <c r="E1947">
        <v>0.51471049999999996</v>
      </c>
      <c r="F1947" t="s">
        <v>41</v>
      </c>
      <c r="G1947">
        <v>-193.3955</v>
      </c>
      <c r="H1947">
        <v>1.0059880000000001</v>
      </c>
      <c r="I1947">
        <v>302.34660000000002</v>
      </c>
      <c r="J1947">
        <v>-193.20480000000001</v>
      </c>
      <c r="K1947">
        <v>1.1077539999999999</v>
      </c>
      <c r="L1947">
        <v>302.89120000000003</v>
      </c>
      <c r="M1947">
        <v>-0.14411160000000001</v>
      </c>
      <c r="N1947">
        <v>-1.369893E-2</v>
      </c>
      <c r="O1947">
        <v>-0.98946670000000003</v>
      </c>
      <c r="P1947">
        <v>-0.24863399999999999</v>
      </c>
      <c r="Q1947">
        <v>-0.1125482</v>
      </c>
      <c r="R1947">
        <v>-0.96203660000000002</v>
      </c>
      <c r="S1947">
        <v>-0.84867859999999995</v>
      </c>
      <c r="T1947">
        <v>-0.3831753</v>
      </c>
      <c r="U1947">
        <v>-2.8547669999999998</v>
      </c>
      <c r="V1947">
        <v>0.1068326</v>
      </c>
      <c r="W1947">
        <v>-9.9600830000000001E-2</v>
      </c>
      <c r="X1947">
        <v>0.98927580000000004</v>
      </c>
      <c r="Y1947">
        <v>0.14181629999999901</v>
      </c>
      <c r="Z1947">
        <v>0.1142827</v>
      </c>
      <c r="AA1947">
        <v>0.98327390000000003</v>
      </c>
      <c r="AB1947">
        <v>21</v>
      </c>
      <c r="AC1947">
        <v>-0.19069999999999199</v>
      </c>
      <c r="AD1947">
        <v>-0.101766</v>
      </c>
      <c r="AE1947">
        <v>-0.54460000000000197</v>
      </c>
      <c r="AF1947">
        <v>0.10689361532264301</v>
      </c>
      <c r="AG1947">
        <v>-0.101766</v>
      </c>
      <c r="AH1947">
        <v>0.54931281328239301</v>
      </c>
      <c r="AI1947">
        <v>100.306582374025</v>
      </c>
      <c r="AJ1947">
        <v>78.988138561518497</v>
      </c>
      <c r="AK1947">
        <v>0.56879445372556303</v>
      </c>
      <c r="AL1947">
        <v>95.716184568701706</v>
      </c>
      <c r="AM1947">
        <v>83.836473471172894</v>
      </c>
      <c r="AN1947">
        <v>1.0000000691125399</v>
      </c>
    </row>
    <row r="1948" spans="1:40" x14ac:dyDescent="0.25">
      <c r="A1948" t="str">
        <f>"20190305134938439"</f>
        <v>20190305134938439</v>
      </c>
      <c r="B1948" t="str">
        <f>"1551764978432126"</f>
        <v>1551764978432126</v>
      </c>
      <c r="C1948" t="s">
        <v>40</v>
      </c>
      <c r="D1948">
        <v>4.0947370000000003</v>
      </c>
      <c r="E1948">
        <v>0.51439990000000002</v>
      </c>
      <c r="F1948" t="s">
        <v>41</v>
      </c>
      <c r="G1948">
        <v>-193.4248</v>
      </c>
      <c r="H1948">
        <v>0.99521760000000004</v>
      </c>
      <c r="I1948">
        <v>302.16359999999997</v>
      </c>
      <c r="J1948">
        <v>-193.25829999999999</v>
      </c>
      <c r="K1948">
        <v>1.1076839999999999</v>
      </c>
      <c r="L1948">
        <v>302.57429999999999</v>
      </c>
      <c r="M1948">
        <v>-0.150029</v>
      </c>
      <c r="N1948">
        <v>-1.370534E-2</v>
      </c>
      <c r="O1948">
        <v>-0.98858659999999998</v>
      </c>
      <c r="P1948">
        <v>-0.25586560000000003</v>
      </c>
      <c r="Q1948">
        <v>-0.11038679999999999</v>
      </c>
      <c r="R1948">
        <v>-0.96038939999999995</v>
      </c>
      <c r="S1948">
        <v>-0.85983279999999995</v>
      </c>
      <c r="T1948">
        <v>-0.43996380000000002</v>
      </c>
      <c r="U1948">
        <v>-2.844757</v>
      </c>
      <c r="V1948">
        <v>0.1083108</v>
      </c>
      <c r="W1948">
        <v>-9.7461069999999997E-2</v>
      </c>
      <c r="X1948">
        <v>0.98932810000000004</v>
      </c>
      <c r="Y1948">
        <v>0.13967389999999999</v>
      </c>
      <c r="Z1948">
        <v>0.13308139999999999</v>
      </c>
      <c r="AA1948">
        <v>0.98121380000000002</v>
      </c>
      <c r="AB1948">
        <v>21</v>
      </c>
      <c r="AC1948">
        <v>-0.166500000000013</v>
      </c>
      <c r="AD1948">
        <v>-0.11246639999999999</v>
      </c>
      <c r="AE1948">
        <v>-0.41070000000001899</v>
      </c>
      <c r="AF1948">
        <v>9.6760678931860605E-2</v>
      </c>
      <c r="AG1948">
        <v>-0.11246639999999999</v>
      </c>
      <c r="AH1948">
        <v>0.40495236770870402</v>
      </c>
      <c r="AI1948">
        <v>105.116159979717</v>
      </c>
      <c r="AJ1948">
        <v>76.561524260729698</v>
      </c>
      <c r="AK1948">
        <v>0.43127455318996</v>
      </c>
      <c r="AL1948">
        <v>95.592986295850395</v>
      </c>
      <c r="AM1948">
        <v>83.752188875517007</v>
      </c>
      <c r="AN1948">
        <v>0.99999998950589697</v>
      </c>
    </row>
    <row r="1949" spans="1:40" x14ac:dyDescent="0.25">
      <c r="A1949" t="str">
        <f>"20190305134938461"</f>
        <v>20190305134938461</v>
      </c>
      <c r="B1949" t="str">
        <f>"1551764978452622"</f>
        <v>1551764978452622</v>
      </c>
      <c r="C1949" t="s">
        <v>40</v>
      </c>
      <c r="D1949">
        <v>4.0485819999999997</v>
      </c>
      <c r="E1949">
        <v>0.51434349999999995</v>
      </c>
      <c r="F1949" t="s">
        <v>41</v>
      </c>
      <c r="G1949">
        <v>-193.49889999999999</v>
      </c>
      <c r="H1949">
        <v>0.97789369999999998</v>
      </c>
      <c r="I1949">
        <v>301.79829999999998</v>
      </c>
      <c r="J1949">
        <v>-193.29470000000001</v>
      </c>
      <c r="K1949">
        <v>1.1076469999999901</v>
      </c>
      <c r="L1949">
        <v>302.3657</v>
      </c>
      <c r="M1949">
        <v>-0.15401709999999999</v>
      </c>
      <c r="N1949">
        <v>-1.3708980000000001E-2</v>
      </c>
      <c r="O1949">
        <v>-0.9879732</v>
      </c>
      <c r="P1949">
        <v>-0.26050509999999999</v>
      </c>
      <c r="Q1949">
        <v>-0.1094798</v>
      </c>
      <c r="R1949">
        <v>-0.95924549999999997</v>
      </c>
      <c r="S1949">
        <v>-0.87887569999999904</v>
      </c>
      <c r="T1949">
        <v>-0.47418900000000003</v>
      </c>
      <c r="U1949">
        <v>-2.8350520000000001</v>
      </c>
      <c r="V1949">
        <v>0.109079</v>
      </c>
      <c r="W1949">
        <v>-9.656592E-2</v>
      </c>
      <c r="X1949">
        <v>0.98933150000000003</v>
      </c>
      <c r="Y1949">
        <v>0.14214360000000001</v>
      </c>
      <c r="Z1949">
        <v>0.144403</v>
      </c>
      <c r="AA1949">
        <v>0.97925629999999997</v>
      </c>
      <c r="AB1949">
        <v>21</v>
      </c>
      <c r="AC1949">
        <v>-0.204199999999985</v>
      </c>
      <c r="AD1949">
        <v>-0.12975329999999899</v>
      </c>
      <c r="AE1949">
        <v>-0.56740000000002</v>
      </c>
      <c r="AF1949">
        <v>0.10930492960815801</v>
      </c>
      <c r="AG1949">
        <v>-0.12975329999999899</v>
      </c>
      <c r="AH1949">
        <v>0.56588247605080999</v>
      </c>
      <c r="AI1949">
        <v>102.687599524798</v>
      </c>
      <c r="AJ1949">
        <v>79.067479058662997</v>
      </c>
      <c r="AK1949">
        <v>0.59076768970461702</v>
      </c>
      <c r="AL1949">
        <v>95.541454786754102</v>
      </c>
      <c r="AM1949">
        <v>83.708251542233</v>
      </c>
      <c r="AN1949">
        <v>1.0000000110193401</v>
      </c>
    </row>
    <row r="1950" spans="1:40" x14ac:dyDescent="0.25">
      <c r="A1950" t="str">
        <f>"20190305134938481"</f>
        <v>20190305134938481</v>
      </c>
      <c r="B1950" t="str">
        <f>"1551764978472145"</f>
        <v>1551764978472145</v>
      </c>
      <c r="C1950" t="s">
        <v>40</v>
      </c>
      <c r="D1950">
        <v>4.0799849999999998</v>
      </c>
      <c r="E1950">
        <v>0.51421430000000001</v>
      </c>
      <c r="F1950" t="s">
        <v>41</v>
      </c>
      <c r="G1950">
        <v>-193.5326</v>
      </c>
      <c r="H1950">
        <v>0.97592950000000001</v>
      </c>
      <c r="I1950">
        <v>301.61239999999998</v>
      </c>
      <c r="J1950">
        <v>-193.33009999999999</v>
      </c>
      <c r="K1950">
        <v>1.107607</v>
      </c>
      <c r="L1950">
        <v>302.16829999999999</v>
      </c>
      <c r="M1950">
        <v>-0.1578483</v>
      </c>
      <c r="N1950">
        <v>-1.371181E-2</v>
      </c>
      <c r="O1950">
        <v>-0.98736820000000003</v>
      </c>
      <c r="P1950">
        <v>-0.26471220000000001</v>
      </c>
      <c r="Q1950">
        <v>-0.10956299999999999</v>
      </c>
      <c r="R1950">
        <v>-0.95808329999999997</v>
      </c>
      <c r="S1950">
        <v>-0.89251709999999995</v>
      </c>
      <c r="T1950">
        <v>-0.49451899999999999</v>
      </c>
      <c r="U1950">
        <v>-2.8286440000000002</v>
      </c>
      <c r="V1950">
        <v>0.10957699999999999</v>
      </c>
      <c r="W1950">
        <v>-9.6657380000000001E-2</v>
      </c>
      <c r="X1950">
        <v>0.98926749999999997</v>
      </c>
      <c r="Y1950">
        <v>0.1429213</v>
      </c>
      <c r="Z1950">
        <v>0.1510774</v>
      </c>
      <c r="AA1950">
        <v>0.97813550000000005</v>
      </c>
      <c r="AB1950">
        <v>21</v>
      </c>
      <c r="AC1950">
        <v>-0.202500000000014</v>
      </c>
      <c r="AD1950">
        <v>-0.1316775</v>
      </c>
      <c r="AE1950">
        <v>-0.55590000000000805</v>
      </c>
      <c r="AF1950">
        <v>0.10690894727714</v>
      </c>
      <c r="AG1950">
        <v>-0.1316775</v>
      </c>
      <c r="AH1950">
        <v>0.55347994929103905</v>
      </c>
      <c r="AI1950">
        <v>103.148002240263</v>
      </c>
      <c r="AJ1950">
        <v>79.067512054473397</v>
      </c>
      <c r="AK1950">
        <v>0.57888560293150104</v>
      </c>
      <c r="AL1950">
        <v>95.546719874723806</v>
      </c>
      <c r="AM1950">
        <v>83.679352930693</v>
      </c>
      <c r="AN1950">
        <v>0.99999997729685697</v>
      </c>
    </row>
    <row r="1951" spans="1:40" x14ac:dyDescent="0.25">
      <c r="A1951" t="str">
        <f>"20190305134938504"</f>
        <v>20190305134938504</v>
      </c>
      <c r="B1951" t="str">
        <f>"1551764978492641"</f>
        <v>1551764978492641</v>
      </c>
      <c r="C1951" t="s">
        <v>40</v>
      </c>
      <c r="D1951">
        <v>4.0658669999999999</v>
      </c>
      <c r="E1951">
        <v>0.51402320000000001</v>
      </c>
      <c r="F1951" t="s">
        <v>41</v>
      </c>
      <c r="G1951">
        <v>-193.5677</v>
      </c>
      <c r="H1951">
        <v>0.97565849999999998</v>
      </c>
      <c r="I1951">
        <v>301.42610000000002</v>
      </c>
      <c r="J1951">
        <v>-193.36760000000001</v>
      </c>
      <c r="K1951">
        <v>1.107594</v>
      </c>
      <c r="L1951">
        <v>301.96319999999997</v>
      </c>
      <c r="M1951">
        <v>-0.16187570000000001</v>
      </c>
      <c r="N1951">
        <v>-1.371405E-2</v>
      </c>
      <c r="O1951">
        <v>-0.98671600000000004</v>
      </c>
      <c r="P1951">
        <v>-0.26941809999999899</v>
      </c>
      <c r="Q1951">
        <v>-0.1101751</v>
      </c>
      <c r="R1951">
        <v>-0.95670040000000001</v>
      </c>
      <c r="S1951">
        <v>-0.90411379999999997</v>
      </c>
      <c r="T1951">
        <v>-0.50207360000000001</v>
      </c>
      <c r="U1951">
        <v>-2.824036</v>
      </c>
      <c r="V1951">
        <v>0.1104059</v>
      </c>
      <c r="W1951">
        <v>-9.7278320000000001E-2</v>
      </c>
      <c r="X1951">
        <v>0.98911450000000001</v>
      </c>
      <c r="Y1951">
        <v>0.14286979999999999</v>
      </c>
      <c r="Z1951">
        <v>0.15352349999999901</v>
      </c>
      <c r="AA1951">
        <v>0.97776209999999997</v>
      </c>
      <c r="AB1951">
        <v>21</v>
      </c>
      <c r="AC1951">
        <v>-0.20009999999999101</v>
      </c>
      <c r="AD1951">
        <v>-0.13193550000000001</v>
      </c>
      <c r="AE1951">
        <v>-0.53709999999995195</v>
      </c>
      <c r="AF1951">
        <v>0.104947971275877</v>
      </c>
      <c r="AG1951">
        <v>-0.13193550000000001</v>
      </c>
      <c r="AH1951">
        <v>0.53410868561976199</v>
      </c>
      <c r="AI1951">
        <v>103.62487850203701</v>
      </c>
      <c r="AJ1951">
        <v>78.883471957271894</v>
      </c>
      <c r="AK1951">
        <v>0.56008315533467201</v>
      </c>
      <c r="AL1951">
        <v>95.582465361850595</v>
      </c>
      <c r="AM1951">
        <v>83.630954502299303</v>
      </c>
      <c r="AN1951">
        <v>1.0000000142035399</v>
      </c>
    </row>
    <row r="1952" spans="1:40" x14ac:dyDescent="0.25">
      <c r="A1952" t="str">
        <f>"20190305134938526"</f>
        <v>20190305134938526</v>
      </c>
      <c r="B1952" t="str">
        <f>"1551764978522894"</f>
        <v>1551764978522894</v>
      </c>
      <c r="C1952" t="s">
        <v>40</v>
      </c>
      <c r="D1952">
        <v>4.0663669999999996</v>
      </c>
      <c r="E1952">
        <v>0.51360299999999903</v>
      </c>
      <c r="F1952" t="s">
        <v>41</v>
      </c>
      <c r="G1952">
        <v>-193.60300000000001</v>
      </c>
      <c r="H1952">
        <v>0.97499429999999998</v>
      </c>
      <c r="I1952">
        <v>301.24029999999999</v>
      </c>
      <c r="J1952">
        <v>-193.40600000000001</v>
      </c>
      <c r="K1952">
        <v>1.1075950000000001</v>
      </c>
      <c r="L1952">
        <v>301.7586</v>
      </c>
      <c r="M1952">
        <v>-0.16592419999999999</v>
      </c>
      <c r="N1952">
        <v>-1.371555E-2</v>
      </c>
      <c r="O1952">
        <v>-0.98604340000000001</v>
      </c>
      <c r="P1952">
        <v>-0.27444859999999999</v>
      </c>
      <c r="Q1952">
        <v>-0.10977779999999999</v>
      </c>
      <c r="R1952">
        <v>-0.95531540000000004</v>
      </c>
      <c r="S1952">
        <v>-0.91665649999999999</v>
      </c>
      <c r="T1952">
        <v>-0.5167062</v>
      </c>
      <c r="U1952">
        <v>-2.8181150000000001</v>
      </c>
      <c r="V1952">
        <v>0.1115434</v>
      </c>
      <c r="W1952">
        <v>-9.6888249999999995E-2</v>
      </c>
      <c r="X1952">
        <v>0.98902509999999999</v>
      </c>
      <c r="Y1952">
        <v>0.14310290000000001</v>
      </c>
      <c r="Z1952">
        <v>0.15830640000000001</v>
      </c>
      <c r="AA1952">
        <v>0.97696499999999997</v>
      </c>
      <c r="AB1952">
        <v>21</v>
      </c>
      <c r="AC1952">
        <v>-0.19700000000000201</v>
      </c>
      <c r="AD1952">
        <v>-0.13260069999999999</v>
      </c>
      <c r="AE1952">
        <v>-0.51830000000000997</v>
      </c>
      <c r="AF1952">
        <v>0.102405541567898</v>
      </c>
      <c r="AG1952">
        <v>-0.13260069999999999</v>
      </c>
      <c r="AH1952">
        <v>0.51438623281449602</v>
      </c>
      <c r="AI1952">
        <v>104.188362801434</v>
      </c>
      <c r="AJ1952">
        <v>78.740597248592707</v>
      </c>
      <c r="AK1952">
        <v>0.54098339816799701</v>
      </c>
      <c r="AL1952">
        <v>95.5600102497027</v>
      </c>
      <c r="AM1952">
        <v>83.565305708908298</v>
      </c>
      <c r="AN1952">
        <v>0.99999995575081502</v>
      </c>
    </row>
    <row r="1953" spans="1:40" x14ac:dyDescent="0.25">
      <c r="A1953" t="str">
        <f>"20190305134938549"</f>
        <v>20190305134938549</v>
      </c>
      <c r="B1953" t="str">
        <f>"1551764978542414"</f>
        <v>1551764978542414</v>
      </c>
      <c r="C1953" t="s">
        <v>40</v>
      </c>
      <c r="D1953">
        <v>3.878485</v>
      </c>
      <c r="E1953">
        <v>0.51350680000000004</v>
      </c>
      <c r="F1953" t="s">
        <v>41</v>
      </c>
      <c r="G1953">
        <v>-193.63849999999999</v>
      </c>
      <c r="H1953">
        <v>0.97435510000000003</v>
      </c>
      <c r="I1953">
        <v>301.05470000000003</v>
      </c>
      <c r="J1953">
        <v>-193.44749999999999</v>
      </c>
      <c r="K1953">
        <v>1.107607</v>
      </c>
      <c r="L1953">
        <v>301.54259999999999</v>
      </c>
      <c r="M1953">
        <v>-0.1702129</v>
      </c>
      <c r="N1953">
        <v>-1.3716330000000001E-2</v>
      </c>
      <c r="O1953">
        <v>-0.98531190000000002</v>
      </c>
      <c r="P1953">
        <v>-0.27835539999999998</v>
      </c>
      <c r="Q1953">
        <v>-0.1094839</v>
      </c>
      <c r="R1953">
        <v>-0.95421820000000002</v>
      </c>
      <c r="S1953">
        <v>-0.92831419999999998</v>
      </c>
      <c r="T1953">
        <v>-0.53226879999999999</v>
      </c>
      <c r="U1953">
        <v>-2.8124690000000001</v>
      </c>
      <c r="V1953">
        <v>0.1112852</v>
      </c>
      <c r="W1953">
        <v>-9.6589170000000002E-2</v>
      </c>
      <c r="X1953">
        <v>0.9890835</v>
      </c>
      <c r="Y1953">
        <v>0.142763</v>
      </c>
      <c r="Z1953">
        <v>0.16336220000000001</v>
      </c>
      <c r="AA1953">
        <v>0.97618210000000005</v>
      </c>
      <c r="AB1953">
        <v>21</v>
      </c>
      <c r="AC1953">
        <v>-0.191000000000002</v>
      </c>
      <c r="AD1953">
        <v>-0.13325190000000001</v>
      </c>
      <c r="AE1953">
        <v>-0.48789999999996703</v>
      </c>
      <c r="AF1953">
        <v>9.8769317287291297E-2</v>
      </c>
      <c r="AG1953">
        <v>-0.13325190000000001</v>
      </c>
      <c r="AH1953">
        <v>0.48211034137124897</v>
      </c>
      <c r="AI1953">
        <v>105.150639447819</v>
      </c>
      <c r="AJ1953">
        <v>78.422093679669203</v>
      </c>
      <c r="AK1953">
        <v>0.50984490597446397</v>
      </c>
      <c r="AL1953">
        <v>95.542793138147303</v>
      </c>
      <c r="AM1953">
        <v>83.5804520980181</v>
      </c>
      <c r="AN1953">
        <v>1.0000000167362799</v>
      </c>
    </row>
    <row r="1954" spans="1:40" x14ac:dyDescent="0.25">
      <c r="A1954" t="str">
        <f>"20190305134938571"</f>
        <v>20190305134938571</v>
      </c>
      <c r="B1954" t="str">
        <f>"1551764978562910"</f>
        <v>1551764978562910</v>
      </c>
      <c r="C1954" t="s">
        <v>40</v>
      </c>
      <c r="D1954">
        <v>4.0579130000000001</v>
      </c>
      <c r="E1954">
        <v>0.51328949999999995</v>
      </c>
      <c r="F1954" t="s">
        <v>41</v>
      </c>
      <c r="G1954">
        <v>-193.6738</v>
      </c>
      <c r="H1954">
        <v>0.97874740000000005</v>
      </c>
      <c r="I1954">
        <v>300.86700000000002</v>
      </c>
      <c r="J1954">
        <v>-193.48779999999999</v>
      </c>
      <c r="K1954">
        <v>1.1076269999999999</v>
      </c>
      <c r="L1954">
        <v>301.33780000000002</v>
      </c>
      <c r="M1954">
        <v>-0.17427570000000001</v>
      </c>
      <c r="N1954">
        <v>-1.371619E-2</v>
      </c>
      <c r="O1954">
        <v>-0.98460150000000002</v>
      </c>
      <c r="P1954">
        <v>-0.28150589999999998</v>
      </c>
      <c r="Q1954">
        <v>-0.10952969999999999</v>
      </c>
      <c r="R1954">
        <v>-0.95328800000000002</v>
      </c>
      <c r="S1954">
        <v>-0.9394226</v>
      </c>
      <c r="T1954">
        <v>-0.53547429999999996</v>
      </c>
      <c r="U1954">
        <v>-2.808411</v>
      </c>
      <c r="V1954">
        <v>0.1104777</v>
      </c>
      <c r="W1954">
        <v>-9.6625409999999995E-2</v>
      </c>
      <c r="X1954">
        <v>0.98917049999999995</v>
      </c>
      <c r="Y1954">
        <v>0.14252319999999999</v>
      </c>
      <c r="Z1954">
        <v>0.16435229999999901</v>
      </c>
      <c r="AA1954">
        <v>0.976051</v>
      </c>
      <c r="AB1954">
        <v>21</v>
      </c>
      <c r="AC1954">
        <v>-0.18600000000000699</v>
      </c>
      <c r="AD1954">
        <v>-0.12887960000000001</v>
      </c>
      <c r="AE1954">
        <v>-0.470799999999997</v>
      </c>
      <c r="AF1954">
        <v>9.4942251176848999E-2</v>
      </c>
      <c r="AG1954">
        <v>-0.12887960000000001</v>
      </c>
      <c r="AH1954">
        <v>0.46581808772114203</v>
      </c>
      <c r="AI1954">
        <v>105.168299868902</v>
      </c>
      <c r="AJ1954">
        <v>78.479864619757095</v>
      </c>
      <c r="AK1954">
        <v>0.49255504586073401</v>
      </c>
      <c r="AL1954">
        <v>95.544879193065199</v>
      </c>
      <c r="AM1954">
        <v>83.627204441321595</v>
      </c>
      <c r="AN1954">
        <v>1.0000000350625999</v>
      </c>
    </row>
    <row r="1955" spans="1:40" x14ac:dyDescent="0.25">
      <c r="A1955" t="str">
        <f>"20190305134938594"</f>
        <v>20190305134938594</v>
      </c>
      <c r="B1955" t="str">
        <f>"1551764978582433"</f>
        <v>1551764978582433</v>
      </c>
      <c r="C1955" t="s">
        <v>40</v>
      </c>
      <c r="D1955">
        <v>3.8508849999999999</v>
      </c>
      <c r="E1955">
        <v>0.51325509999999996</v>
      </c>
      <c r="F1955" t="s">
        <v>41</v>
      </c>
      <c r="G1955">
        <v>-193.76589999999999</v>
      </c>
      <c r="H1955">
        <v>0.94803910000000002</v>
      </c>
      <c r="I1955">
        <v>300.51499999999999</v>
      </c>
      <c r="J1955">
        <v>-193.52889999999999</v>
      </c>
      <c r="K1955">
        <v>1.107645</v>
      </c>
      <c r="L1955">
        <v>301.1336</v>
      </c>
      <c r="M1955">
        <v>-0.17831649999999999</v>
      </c>
      <c r="N1955">
        <v>-1.371548E-2</v>
      </c>
      <c r="O1955">
        <v>-0.98387760000000002</v>
      </c>
      <c r="P1955">
        <v>-0.28443879999999999</v>
      </c>
      <c r="Q1955">
        <v>-0.1092847</v>
      </c>
      <c r="R1955">
        <v>-0.95244499999999999</v>
      </c>
      <c r="S1955">
        <v>-0.94709779999999999</v>
      </c>
      <c r="T1955">
        <v>-0.54387430000000003</v>
      </c>
      <c r="U1955">
        <v>-2.8048709999999999</v>
      </c>
      <c r="V1955">
        <v>0.1094632</v>
      </c>
      <c r="W1955">
        <v>-9.6368720000000005E-2</v>
      </c>
      <c r="X1955">
        <v>0.98930830000000003</v>
      </c>
      <c r="Y1955">
        <v>0.1410825</v>
      </c>
      <c r="Z1955">
        <v>0.16702110000000001</v>
      </c>
      <c r="AA1955">
        <v>0.97580719999999999</v>
      </c>
      <c r="AB1955">
        <v>21</v>
      </c>
      <c r="AC1955">
        <v>-0.23699999999999399</v>
      </c>
      <c r="AD1955">
        <v>-0.15960589999999999</v>
      </c>
      <c r="AE1955">
        <v>-0.61860000000001403</v>
      </c>
      <c r="AF1955">
        <v>0.116142004653217</v>
      </c>
      <c r="AG1955">
        <v>-0.15960589999999999</v>
      </c>
      <c r="AH1955">
        <v>0.61523498298646395</v>
      </c>
      <c r="AI1955">
        <v>104.301257710766</v>
      </c>
      <c r="AJ1955">
        <v>79.309698161404498</v>
      </c>
      <c r="AK1955">
        <v>0.646124672838015</v>
      </c>
      <c r="AL1955">
        <v>95.530103081292097</v>
      </c>
      <c r="AM1955">
        <v>83.686122422788401</v>
      </c>
      <c r="AN1955">
        <v>1.00000001739878</v>
      </c>
    </row>
    <row r="1956" spans="1:40" x14ac:dyDescent="0.25">
      <c r="A1956" t="str">
        <f>"20190305134938617"</f>
        <v>20190305134938617</v>
      </c>
      <c r="B1956" t="str">
        <f>"1551764978612217"</f>
        <v>1551764978612217</v>
      </c>
      <c r="C1956" t="s">
        <v>40</v>
      </c>
      <c r="D1956">
        <v>3.8571409999999999</v>
      </c>
      <c r="E1956">
        <v>0.51324069999999999</v>
      </c>
      <c r="F1956" t="s">
        <v>41</v>
      </c>
      <c r="G1956">
        <v>-193.8032</v>
      </c>
      <c r="H1956">
        <v>0.95071669999999997</v>
      </c>
      <c r="I1956">
        <v>300.32929999999999</v>
      </c>
      <c r="J1956">
        <v>-193.5729</v>
      </c>
      <c r="K1956">
        <v>1.107661</v>
      </c>
      <c r="L1956">
        <v>300.91950000000003</v>
      </c>
      <c r="M1956">
        <v>-0.18254049999999999</v>
      </c>
      <c r="N1956">
        <v>-1.371416E-2</v>
      </c>
      <c r="O1956">
        <v>-0.9831027</v>
      </c>
      <c r="P1956">
        <v>-0.287995099999999</v>
      </c>
      <c r="Q1956">
        <v>-0.10927389999999999</v>
      </c>
      <c r="R1956">
        <v>-0.95137709999999998</v>
      </c>
      <c r="S1956">
        <v>-0.95559689999999997</v>
      </c>
      <c r="T1956">
        <v>-0.54665710000000001</v>
      </c>
      <c r="U1956">
        <v>-2.8016359999999998</v>
      </c>
      <c r="V1956">
        <v>0.1089152</v>
      </c>
      <c r="W1956">
        <v>-9.6350119999999997E-2</v>
      </c>
      <c r="X1956">
        <v>0.98937059999999999</v>
      </c>
      <c r="Y1956">
        <v>0.1397805</v>
      </c>
      <c r="Z1956">
        <v>0.1678432</v>
      </c>
      <c r="AA1956">
        <v>0.97585350000000004</v>
      </c>
      <c r="AB1956">
        <v>21</v>
      </c>
      <c r="AC1956">
        <v>-0.23029999999999901</v>
      </c>
      <c r="AD1956">
        <v>-0.15694430000000001</v>
      </c>
      <c r="AE1956">
        <v>-0.59020000000003803</v>
      </c>
      <c r="AF1956">
        <v>0.111822018697936</v>
      </c>
      <c r="AG1956">
        <v>-0.15694430000000001</v>
      </c>
      <c r="AH1956">
        <v>0.58634218059453902</v>
      </c>
      <c r="AI1956">
        <v>104.731243115799</v>
      </c>
      <c r="AJ1956">
        <v>79.202709269229899</v>
      </c>
      <c r="AK1956">
        <v>0.617197561492697</v>
      </c>
      <c r="AL1956">
        <v>95.529032353786604</v>
      </c>
      <c r="AM1956">
        <v>83.717870326809603</v>
      </c>
      <c r="AN1956">
        <v>1.0000000252797001</v>
      </c>
    </row>
    <row r="1957" spans="1:40" x14ac:dyDescent="0.25">
      <c r="A1957" t="str">
        <f>"20190305134938638"</f>
        <v>20190305134938638</v>
      </c>
      <c r="B1957" t="str">
        <f>"1551764978632715"</f>
        <v>1551764978632715</v>
      </c>
      <c r="C1957" t="s">
        <v>40</v>
      </c>
      <c r="D1957">
        <v>3.9812430000000001</v>
      </c>
      <c r="E1957">
        <v>0.51323249999999998</v>
      </c>
      <c r="F1957" t="s">
        <v>41</v>
      </c>
      <c r="G1957">
        <v>-193.84100000000001</v>
      </c>
      <c r="H1957">
        <v>0.95427019999999996</v>
      </c>
      <c r="I1957">
        <v>300.14359999999999</v>
      </c>
      <c r="J1957">
        <v>-193.61500000000001</v>
      </c>
      <c r="K1957">
        <v>1.1076790000000001</v>
      </c>
      <c r="L1957">
        <v>300.71879999999999</v>
      </c>
      <c r="M1957">
        <v>-0.18648790000000001</v>
      </c>
      <c r="N1957">
        <v>-1.371266E-2</v>
      </c>
      <c r="O1957">
        <v>-0.98236159999999995</v>
      </c>
      <c r="P1957">
        <v>-0.29202909999999999</v>
      </c>
      <c r="Q1957">
        <v>-0.1083949</v>
      </c>
      <c r="R1957">
        <v>-0.95024699999999995</v>
      </c>
      <c r="S1957">
        <v>-0.96585080000000001</v>
      </c>
      <c r="T1957">
        <v>-0.55284549999999999</v>
      </c>
      <c r="U1957">
        <v>-2.7975159999999999</v>
      </c>
      <c r="V1957">
        <v>0.1091289</v>
      </c>
      <c r="W1957">
        <v>-9.5468349999999993E-2</v>
      </c>
      <c r="X1957">
        <v>0.98943250000000005</v>
      </c>
      <c r="Y1957">
        <v>0.13932929999999999</v>
      </c>
      <c r="Z1957">
        <v>0.169787299999999</v>
      </c>
      <c r="AA1957">
        <v>0.9755817</v>
      </c>
      <c r="AB1957">
        <v>21</v>
      </c>
      <c r="AC1957">
        <v>-0.22599999999997</v>
      </c>
      <c r="AD1957">
        <v>-0.15340880000000001</v>
      </c>
      <c r="AE1957">
        <v>-0.57519999999999505</v>
      </c>
      <c r="AF1957">
        <v>0.108095891090703</v>
      </c>
      <c r="AG1957">
        <v>-0.15340880000000001</v>
      </c>
      <c r="AH1957">
        <v>0.57201091052387099</v>
      </c>
      <c r="AI1957">
        <v>104.763385493957</v>
      </c>
      <c r="AJ1957">
        <v>79.298713002350496</v>
      </c>
      <c r="AK1957">
        <v>0.60200952097660498</v>
      </c>
      <c r="AL1957">
        <v>95.478276827851602</v>
      </c>
      <c r="AM1957">
        <v>83.706033764107701</v>
      </c>
      <c r="AN1957">
        <v>0.99999999736159095</v>
      </c>
    </row>
    <row r="1958" spans="1:40" x14ac:dyDescent="0.25">
      <c r="A1958" t="str">
        <f>"20190305134938661"</f>
        <v>20190305134938661</v>
      </c>
      <c r="B1958" t="str">
        <f>"1551764978652233"</f>
        <v>1551764978652233</v>
      </c>
      <c r="C1958" t="s">
        <v>40</v>
      </c>
      <c r="D1958">
        <v>4.0171349999999997</v>
      </c>
      <c r="E1958">
        <v>0.51331680000000002</v>
      </c>
      <c r="F1958" t="s">
        <v>41</v>
      </c>
      <c r="G1958">
        <v>-193.88079999999999</v>
      </c>
      <c r="H1958">
        <v>0.95632680000000003</v>
      </c>
      <c r="I1958">
        <v>299.95920000000001</v>
      </c>
      <c r="J1958">
        <v>-193.65960000000001</v>
      </c>
      <c r="K1958">
        <v>1.1076999999999999</v>
      </c>
      <c r="L1958">
        <v>300.5102</v>
      </c>
      <c r="M1958">
        <v>-0.190581</v>
      </c>
      <c r="N1958">
        <v>-1.3710699999999999E-2</v>
      </c>
      <c r="O1958">
        <v>-0.9815758</v>
      </c>
      <c r="P1958">
        <v>-0.29688740000000002</v>
      </c>
      <c r="Q1958">
        <v>-0.10795539999999899</v>
      </c>
      <c r="R1958">
        <v>-0.94879080000000005</v>
      </c>
      <c r="S1958">
        <v>-0.97738650000000005</v>
      </c>
      <c r="T1958">
        <v>-0.55655219999999905</v>
      </c>
      <c r="U1958">
        <v>-2.7932130000000002</v>
      </c>
      <c r="V1958">
        <v>0.1100627</v>
      </c>
      <c r="W1958">
        <v>-9.5032610000000003E-2</v>
      </c>
      <c r="X1958">
        <v>0.989371</v>
      </c>
      <c r="Y1958">
        <v>0.13919219999999999</v>
      </c>
      <c r="Z1958">
        <v>0.17091619999999999</v>
      </c>
      <c r="AA1958">
        <v>0.9754041</v>
      </c>
      <c r="AB1958">
        <v>21</v>
      </c>
      <c r="AC1958">
        <v>-0.221199999999981</v>
      </c>
      <c r="AD1958">
        <v>-0.15137319999999899</v>
      </c>
      <c r="AE1958">
        <v>-0.55099999999998694</v>
      </c>
      <c r="AF1958">
        <v>0.10528183639706799</v>
      </c>
      <c r="AG1958">
        <v>-0.15137319999999899</v>
      </c>
      <c r="AH1958">
        <v>0.54747467314931697</v>
      </c>
      <c r="AI1958">
        <v>105.190640471649</v>
      </c>
      <c r="AJ1958">
        <v>79.114650023082504</v>
      </c>
      <c r="AK1958">
        <v>0.57769077238028499</v>
      </c>
      <c r="AL1958">
        <v>95.453196800028394</v>
      </c>
      <c r="AM1958">
        <v>83.652223607258406</v>
      </c>
      <c r="AN1958">
        <v>0.99999998526784994</v>
      </c>
    </row>
    <row r="1959" spans="1:40" x14ac:dyDescent="0.25">
      <c r="A1959" t="str">
        <f>"20190305134938683"</f>
        <v>20190305134938683</v>
      </c>
      <c r="B1959" t="str">
        <f>"1551764978672729"</f>
        <v>1551764978672729</v>
      </c>
      <c r="C1959" t="s">
        <v>40</v>
      </c>
      <c r="D1959">
        <v>3.971587</v>
      </c>
      <c r="E1959">
        <v>0.5138334</v>
      </c>
      <c r="F1959" t="s">
        <v>41</v>
      </c>
      <c r="G1959">
        <v>-193.92160000000001</v>
      </c>
      <c r="H1959">
        <v>0.95981159999999999</v>
      </c>
      <c r="I1959">
        <v>299.77460000000002</v>
      </c>
      <c r="J1959">
        <v>-193.7038</v>
      </c>
      <c r="K1959">
        <v>1.1077159999999999</v>
      </c>
      <c r="L1959">
        <v>300.30759999999998</v>
      </c>
      <c r="M1959">
        <v>-0.19455040000000001</v>
      </c>
      <c r="N1959">
        <v>-1.3708649999999999E-2</v>
      </c>
      <c r="O1959">
        <v>-0.98079680000000002</v>
      </c>
      <c r="P1959">
        <v>-0.30214159999999901</v>
      </c>
      <c r="Q1959">
        <v>-0.10766829999999999</v>
      </c>
      <c r="R1959">
        <v>-0.94716330000000004</v>
      </c>
      <c r="S1959">
        <v>-0.99232480000000001</v>
      </c>
      <c r="T1959">
        <v>-0.5602722</v>
      </c>
      <c r="U1959">
        <v>-2.7876889999999999</v>
      </c>
      <c r="V1959">
        <v>0.11154020000000001</v>
      </c>
      <c r="W1959">
        <v>-9.4754089999999999E-2</v>
      </c>
      <c r="X1959">
        <v>0.98923220000000001</v>
      </c>
      <c r="Y1959">
        <v>0.140363299999999</v>
      </c>
      <c r="Z1959">
        <v>0.1720708</v>
      </c>
      <c r="AA1959">
        <v>0.97503320000000004</v>
      </c>
      <c r="AB1959">
        <v>21</v>
      </c>
      <c r="AC1959">
        <v>-0.21780000000001101</v>
      </c>
      <c r="AD1959">
        <v>-0.14790439999999899</v>
      </c>
      <c r="AE1959">
        <v>-0.53299999999995795</v>
      </c>
      <c r="AF1959">
        <v>0.103127631596207</v>
      </c>
      <c r="AG1959">
        <v>-0.14790439999999899</v>
      </c>
      <c r="AH1959">
        <v>0.53020527783596505</v>
      </c>
      <c r="AI1959">
        <v>105.31365578145299</v>
      </c>
      <c r="AJ1959">
        <v>78.9931103834966</v>
      </c>
      <c r="AK1959">
        <v>0.56002558565043703</v>
      </c>
      <c r="AL1959">
        <v>95.437166635575196</v>
      </c>
      <c r="AM1959">
        <v>83.566824559796103</v>
      </c>
      <c r="AN1959">
        <v>0.99999994965230199</v>
      </c>
    </row>
    <row r="1960" spans="1:40" x14ac:dyDescent="0.25">
      <c r="A1960" t="str">
        <f>"20190305134938704"</f>
        <v>20190305134938704</v>
      </c>
      <c r="B1960" t="str">
        <f>"1551764978702986"</f>
        <v>1551764978702986</v>
      </c>
      <c r="C1960" t="s">
        <v>40</v>
      </c>
      <c r="D1960">
        <v>4.1432989999999998</v>
      </c>
      <c r="E1960">
        <v>0.61092019999999903</v>
      </c>
      <c r="F1960" t="s">
        <v>41</v>
      </c>
      <c r="G1960">
        <v>-193.96469999999999</v>
      </c>
      <c r="H1960">
        <v>0.96333340000000001</v>
      </c>
      <c r="I1960">
        <v>299.59050000000002</v>
      </c>
      <c r="J1960">
        <v>-193.74799999999999</v>
      </c>
      <c r="K1960">
        <v>1.107721</v>
      </c>
      <c r="L1960">
        <v>300.10890000000001</v>
      </c>
      <c r="M1960">
        <v>-0.19844149999999999</v>
      </c>
      <c r="N1960">
        <v>-1.37067E-2</v>
      </c>
      <c r="O1960">
        <v>-0.98001689999999997</v>
      </c>
      <c r="P1960">
        <v>-0.30734149999999999</v>
      </c>
      <c r="Q1960">
        <v>-0.1077593</v>
      </c>
      <c r="R1960">
        <v>-0.94547840000000005</v>
      </c>
      <c r="S1960">
        <v>-1.0115050000000001</v>
      </c>
      <c r="T1960">
        <v>-0.55986420000000003</v>
      </c>
      <c r="U1960">
        <v>-2.7810359999999998</v>
      </c>
      <c r="V1960">
        <v>0.1130519</v>
      </c>
      <c r="W1960">
        <v>-9.4854740000000007E-2</v>
      </c>
      <c r="X1960">
        <v>0.98905100000000001</v>
      </c>
      <c r="Y1960">
        <v>0.14312830000000001</v>
      </c>
      <c r="Z1960">
        <v>0.1719069</v>
      </c>
      <c r="AA1960">
        <v>0.97466010000000003</v>
      </c>
      <c r="AB1960">
        <v>21</v>
      </c>
      <c r="AC1960">
        <v>-0.216700000000003</v>
      </c>
      <c r="AD1960">
        <v>-0.14438759999999901</v>
      </c>
      <c r="AE1960">
        <v>-0.51839999999998498</v>
      </c>
      <c r="AF1960">
        <v>0.10272425142567</v>
      </c>
      <c r="AG1960">
        <v>-0.14438759999999901</v>
      </c>
      <c r="AH1960">
        <v>0.51695643602962604</v>
      </c>
      <c r="AI1960">
        <v>105.320151479592</v>
      </c>
      <c r="AJ1960">
        <v>78.761171198373404</v>
      </c>
      <c r="AK1960">
        <v>0.54648330955041702</v>
      </c>
      <c r="AL1960">
        <v>95.442959179074194</v>
      </c>
      <c r="AM1960">
        <v>83.479197544805601</v>
      </c>
      <c r="AN1960">
        <v>1.0000000171975301</v>
      </c>
    </row>
    <row r="1961" spans="1:40" x14ac:dyDescent="0.25">
      <c r="A1961" t="str">
        <f>"20190305134938727"</f>
        <v>20190305134938727</v>
      </c>
      <c r="B1961" t="str">
        <f>"1551764978722506"</f>
        <v>1551764978722506</v>
      </c>
      <c r="C1961" t="s">
        <v>40</v>
      </c>
      <c r="D1961">
        <v>4.1607229999999999</v>
      </c>
      <c r="E1961">
        <v>0.62192740000000002</v>
      </c>
      <c r="F1961" t="s">
        <v>62</v>
      </c>
      <c r="G1961">
        <v>-199.68459999999999</v>
      </c>
      <c r="H1961" s="1">
        <v>1.456217E-6</v>
      </c>
      <c r="I1961">
        <v>291.4853</v>
      </c>
      <c r="J1961">
        <v>-193.7946</v>
      </c>
      <c r="K1961">
        <v>1.107729</v>
      </c>
      <c r="L1961">
        <v>299.90289999999999</v>
      </c>
      <c r="M1961">
        <v>-0.2024753</v>
      </c>
      <c r="N1961">
        <v>-1.370452E-2</v>
      </c>
      <c r="O1961">
        <v>-0.97919149999999999</v>
      </c>
      <c r="P1961">
        <v>-0.31241859999999999</v>
      </c>
      <c r="Q1961">
        <v>-0.10909870000000001</v>
      </c>
      <c r="R1961">
        <v>-0.94365869999999996</v>
      </c>
      <c r="S1961">
        <v>-1.7638240000000001</v>
      </c>
      <c r="T1961">
        <v>-0.32911299999999999</v>
      </c>
      <c r="U1961">
        <v>-2.5621339999999999</v>
      </c>
      <c r="V1961">
        <v>0.114319</v>
      </c>
      <c r="W1961">
        <v>-9.6204460000000006E-2</v>
      </c>
      <c r="X1961">
        <v>0.98877499999999996</v>
      </c>
      <c r="Y1961">
        <v>0.38566129999999998</v>
      </c>
      <c r="Z1961">
        <v>9.4537490000000002E-2</v>
      </c>
      <c r="AA1961">
        <v>0.9177843</v>
      </c>
      <c r="AB1961">
        <v>21</v>
      </c>
      <c r="AC1961">
        <v>-5.8899999999999801</v>
      </c>
      <c r="AD1961">
        <v>-1.1077275437829901</v>
      </c>
      <c r="AE1961">
        <v>-8.4175999999999895</v>
      </c>
      <c r="AF1961">
        <v>4.0167660123200104</v>
      </c>
      <c r="AG1961">
        <v>-1.1077275437829901</v>
      </c>
      <c r="AH1961">
        <v>9.3274702909111902</v>
      </c>
      <c r="AI1961">
        <v>96.224961776438406</v>
      </c>
      <c r="AJ1961">
        <v>66.701437050466893</v>
      </c>
      <c r="AK1961">
        <v>10.2158294590706</v>
      </c>
      <c r="AL1961">
        <v>95.520647473360398</v>
      </c>
      <c r="AM1961">
        <v>83.404927361357394</v>
      </c>
      <c r="AN1961">
        <v>1.00000006625494</v>
      </c>
    </row>
    <row r="1962" spans="1:40" x14ac:dyDescent="0.25">
      <c r="A1962" t="str">
        <f>"20190305134938750"</f>
        <v>20190305134938750</v>
      </c>
      <c r="B1962" t="str">
        <f>"1551764978743001"</f>
        <v>1551764978743001</v>
      </c>
      <c r="C1962" t="s">
        <v>40</v>
      </c>
      <c r="D1962">
        <v>3.8904480000000001</v>
      </c>
      <c r="E1962">
        <v>0.62409300000000001</v>
      </c>
      <c r="F1962" t="s">
        <v>62</v>
      </c>
      <c r="G1962">
        <v>-203.1559</v>
      </c>
      <c r="H1962" s="1">
        <v>3.3961419999999999E-6</v>
      </c>
      <c r="I1962">
        <v>287.13709999999998</v>
      </c>
      <c r="J1962">
        <v>-193.84209999999999</v>
      </c>
      <c r="K1962">
        <v>1.1077349999999999</v>
      </c>
      <c r="L1962">
        <v>299.69740000000002</v>
      </c>
      <c r="M1962">
        <v>-0.20650089999999999</v>
      </c>
      <c r="N1962">
        <v>-1.3702260000000001E-2</v>
      </c>
      <c r="O1962">
        <v>-0.97835059999999996</v>
      </c>
      <c r="P1962">
        <v>-0.31690119999999999</v>
      </c>
      <c r="Q1962">
        <v>-0.1094117</v>
      </c>
      <c r="R1962">
        <v>-0.94212700000000005</v>
      </c>
      <c r="S1962">
        <v>-1.86084</v>
      </c>
      <c r="T1962">
        <v>-0.220194</v>
      </c>
      <c r="U1962">
        <v>-2.537598</v>
      </c>
      <c r="V1962">
        <v>0.1149599</v>
      </c>
      <c r="W1962">
        <v>-9.6522140000000006E-2</v>
      </c>
      <c r="X1962">
        <v>0.98866960000000004</v>
      </c>
      <c r="Y1962">
        <v>0.41082750000000001</v>
      </c>
      <c r="Z1962">
        <v>5.8632709999999998E-2</v>
      </c>
      <c r="AA1962">
        <v>0.90982580000000002</v>
      </c>
      <c r="AB1962">
        <v>21</v>
      </c>
      <c r="AC1962">
        <v>-9.3138000000000094</v>
      </c>
      <c r="AD1962">
        <v>-1.1077316038580001</v>
      </c>
      <c r="AE1962">
        <v>-12.5603</v>
      </c>
      <c r="AF1962">
        <v>6.4865070038427302</v>
      </c>
      <c r="AG1962">
        <v>-1.1077316038580001</v>
      </c>
      <c r="AH1962">
        <v>14.1420453326289</v>
      </c>
      <c r="AI1962">
        <v>94.072419363815996</v>
      </c>
      <c r="AJ1962">
        <v>65.360579804162398</v>
      </c>
      <c r="AK1962">
        <v>15.5980540006507</v>
      </c>
      <c r="AL1962">
        <v>95.538934999439803</v>
      </c>
      <c r="AM1962">
        <v>83.367581525876503</v>
      </c>
      <c r="AN1962">
        <v>0.99999994004117299</v>
      </c>
    </row>
    <row r="1963" spans="1:40" x14ac:dyDescent="0.25">
      <c r="A1963" t="str">
        <f>"20190305134938774"</f>
        <v>20190305134938774</v>
      </c>
      <c r="B1963" t="str">
        <f>"1551764978762521"</f>
        <v>1551764978762521</v>
      </c>
      <c r="C1963" t="s">
        <v>40</v>
      </c>
      <c r="D1963">
        <v>4.0124680000000001</v>
      </c>
      <c r="E1963">
        <v>0.62628589999999995</v>
      </c>
      <c r="F1963" t="s">
        <v>62</v>
      </c>
      <c r="G1963">
        <v>-204.89859999999999</v>
      </c>
      <c r="H1963" s="1">
        <v>4.3635499999999999E-6</v>
      </c>
      <c r="I1963">
        <v>284.91090000000003</v>
      </c>
      <c r="J1963">
        <v>-193.8931</v>
      </c>
      <c r="K1963">
        <v>1.107742</v>
      </c>
      <c r="L1963">
        <v>299.48079999999999</v>
      </c>
      <c r="M1963">
        <v>-0.21075279999999999</v>
      </c>
      <c r="N1963">
        <v>-1.3699930000000001E-2</v>
      </c>
      <c r="O1963">
        <v>-0.97744350000000002</v>
      </c>
      <c r="P1963">
        <v>-0.32107479999999999</v>
      </c>
      <c r="Q1963">
        <v>-0.1090024</v>
      </c>
      <c r="R1963">
        <v>-0.9407605</v>
      </c>
      <c r="S1963">
        <v>-1.8894040000000001</v>
      </c>
      <c r="T1963">
        <v>-0.18929550000000001</v>
      </c>
      <c r="U1963">
        <v>-2.5267940000000002</v>
      </c>
      <c r="V1963">
        <v>0.115038</v>
      </c>
      <c r="W1963">
        <v>-9.6113279999999995E-2</v>
      </c>
      <c r="X1963">
        <v>0.98870040000000003</v>
      </c>
      <c r="Y1963">
        <v>0.41569430000000002</v>
      </c>
      <c r="Z1963">
        <v>4.8552190000000002E-2</v>
      </c>
      <c r="AA1963">
        <v>0.90820749999999995</v>
      </c>
      <c r="AB1963">
        <v>21</v>
      </c>
      <c r="AC1963">
        <v>-11.0054999999999</v>
      </c>
      <c r="AD1963">
        <v>-1.10773763645</v>
      </c>
      <c r="AE1963">
        <v>-14.569899999999899</v>
      </c>
      <c r="AF1963">
        <v>7.6591384962473903</v>
      </c>
      <c r="AG1963">
        <v>-1.10773763645</v>
      </c>
      <c r="AH1963">
        <v>16.501512990757501</v>
      </c>
      <c r="AI1963">
        <v>93.484451198121207</v>
      </c>
      <c r="AJ1963">
        <v>65.101739171845907</v>
      </c>
      <c r="AK1963">
        <v>18.2260641982861</v>
      </c>
      <c r="AL1963">
        <v>95.515399330801202</v>
      </c>
      <c r="AM1963">
        <v>83.363320769721895</v>
      </c>
      <c r="AN1963">
        <v>0.99999999249825899</v>
      </c>
    </row>
    <row r="1964" spans="1:40" x14ac:dyDescent="0.25">
      <c r="A1964" t="str">
        <f>"20190305134938794"</f>
        <v>20190305134938794</v>
      </c>
      <c r="B1964" t="str">
        <f>"1551764978782041"</f>
        <v>1551764978782041</v>
      </c>
      <c r="C1964" t="s">
        <v>40</v>
      </c>
      <c r="D1964">
        <v>4.1963379999999999</v>
      </c>
      <c r="E1964">
        <v>0.62685500000000005</v>
      </c>
      <c r="F1964" t="s">
        <v>62</v>
      </c>
      <c r="G1964">
        <v>-208.08840000000001</v>
      </c>
      <c r="H1964" s="1">
        <v>6.1341350000000002E-6</v>
      </c>
      <c r="I1964">
        <v>280.83850000000001</v>
      </c>
      <c r="J1964">
        <v>-193.93729999999999</v>
      </c>
      <c r="K1964">
        <v>1.1077459999999999</v>
      </c>
      <c r="L1964">
        <v>299.29649999999998</v>
      </c>
      <c r="M1964">
        <v>-0.21437639999999999</v>
      </c>
      <c r="N1964">
        <v>-1.369804E-2</v>
      </c>
      <c r="O1964">
        <v>-0.97665519999999995</v>
      </c>
      <c r="P1964">
        <v>-0.32452370000000003</v>
      </c>
      <c r="Q1964">
        <v>-0.1084594</v>
      </c>
      <c r="R1964">
        <v>-0.939639</v>
      </c>
      <c r="S1964">
        <v>-1.9168400000000001</v>
      </c>
      <c r="T1964">
        <v>-0.1495813</v>
      </c>
      <c r="U1964">
        <v>-2.517334</v>
      </c>
      <c r="V1964">
        <v>0.11498849999999999</v>
      </c>
      <c r="W1964">
        <v>-9.5569950000000001E-2</v>
      </c>
      <c r="X1964">
        <v>0.9887589</v>
      </c>
      <c r="Y1964">
        <v>0.42061229999999999</v>
      </c>
      <c r="Z1964">
        <v>3.5638660000000003E-2</v>
      </c>
      <c r="AA1964">
        <v>0.90654020000000002</v>
      </c>
      <c r="AB1964">
        <v>21</v>
      </c>
      <c r="AC1964">
        <v>-14.1511</v>
      </c>
      <c r="AD1964">
        <v>-1.107739865865</v>
      </c>
      <c r="AE1964">
        <v>-18.457999999999899</v>
      </c>
      <c r="AF1964">
        <v>9.8423837303621209</v>
      </c>
      <c r="AG1964">
        <v>-1.107739865865</v>
      </c>
      <c r="AH1964">
        <v>21.015066686562701</v>
      </c>
      <c r="AI1964">
        <v>92.732975755652404</v>
      </c>
      <c r="AJ1964">
        <v>64.904008587931102</v>
      </c>
      <c r="AK1964">
        <v>23.232146541953501</v>
      </c>
      <c r="AL1964">
        <v>95.484124438676204</v>
      </c>
      <c r="AM1964">
        <v>83.366540019113302</v>
      </c>
      <c r="AN1964">
        <v>1.0000000664022199</v>
      </c>
    </row>
    <row r="1965" spans="1:40" x14ac:dyDescent="0.25">
      <c r="A1965" t="str">
        <f>"20190305134938820"</f>
        <v>20190305134938820</v>
      </c>
      <c r="B1965" t="str">
        <f>"1551764978812297"</f>
        <v>1551764978812297</v>
      </c>
      <c r="C1965" t="s">
        <v>40</v>
      </c>
      <c r="D1965">
        <v>4.2382109999999997</v>
      </c>
      <c r="E1965">
        <v>0.62639919999999905</v>
      </c>
      <c r="F1965" t="s">
        <v>62</v>
      </c>
      <c r="G1965">
        <v>-209.0881</v>
      </c>
      <c r="H1965">
        <v>7.4596640000000006E-2</v>
      </c>
      <c r="I1965">
        <v>279.5917</v>
      </c>
      <c r="J1965">
        <v>-193.99189999999999</v>
      </c>
      <c r="K1965">
        <v>1.107758</v>
      </c>
      <c r="L1965">
        <v>299.07299999999998</v>
      </c>
      <c r="M1965">
        <v>-0.21878719999999999</v>
      </c>
      <c r="N1965">
        <v>-1.369589E-2</v>
      </c>
      <c r="O1965">
        <v>-0.97567649999999995</v>
      </c>
      <c r="P1965">
        <v>-0.32863769999999998</v>
      </c>
      <c r="Q1965">
        <v>-0.1076067</v>
      </c>
      <c r="R1965">
        <v>-0.93830610000000003</v>
      </c>
      <c r="S1965">
        <v>-1.9305110000000001</v>
      </c>
      <c r="T1965">
        <v>-0.1316437</v>
      </c>
      <c r="U1965">
        <v>-2.5107729999999999</v>
      </c>
      <c r="V1965">
        <v>0.1148366</v>
      </c>
      <c r="W1965">
        <v>-9.4717200000000001E-2</v>
      </c>
      <c r="X1965">
        <v>0.98885849999999997</v>
      </c>
      <c r="Y1965">
        <v>0.4208962</v>
      </c>
      <c r="Z1965">
        <v>2.98357E-2</v>
      </c>
      <c r="AA1965">
        <v>0.90661800000000003</v>
      </c>
      <c r="AB1965">
        <v>21</v>
      </c>
      <c r="AC1965">
        <v>-15.0962</v>
      </c>
      <c r="AD1965">
        <v>-1.03316136</v>
      </c>
      <c r="AE1965">
        <v>-19.481299999999901</v>
      </c>
      <c r="AF1965">
        <v>10.449367204347601</v>
      </c>
      <c r="AG1965">
        <v>-1.03316136</v>
      </c>
      <c r="AH1965">
        <v>22.2732529866188</v>
      </c>
      <c r="AI1965">
        <v>92.404667260377494</v>
      </c>
      <c r="AJ1965">
        <v>64.866651183309301</v>
      </c>
      <c r="AK1965">
        <v>24.624266404768601</v>
      </c>
      <c r="AL1965">
        <v>95.435043373097898</v>
      </c>
      <c r="AM1965">
        <v>83.375886220502096</v>
      </c>
      <c r="AN1965">
        <v>0.99999996284882398</v>
      </c>
    </row>
    <row r="1966" spans="1:40" x14ac:dyDescent="0.25">
      <c r="A1966" t="str">
        <f>"20190305134938841"</f>
        <v>20190305134938841</v>
      </c>
      <c r="B1966" t="str">
        <f>"1551764978832794"</f>
        <v>1551764978832794</v>
      </c>
      <c r="C1966" t="s">
        <v>40</v>
      </c>
      <c r="D1966">
        <v>4.1312470000000001</v>
      </c>
      <c r="E1966">
        <v>0.62659010000000004</v>
      </c>
      <c r="F1966" t="s">
        <v>62</v>
      </c>
      <c r="G1966">
        <v>-208.97110000000001</v>
      </c>
      <c r="H1966" s="1">
        <v>6.6222050000000002E-6</v>
      </c>
      <c r="I1966">
        <v>279.73309999999998</v>
      </c>
      <c r="J1966">
        <v>-194.04169999999999</v>
      </c>
      <c r="K1966">
        <v>1.107747</v>
      </c>
      <c r="L1966">
        <v>298.8725</v>
      </c>
      <c r="M1966">
        <v>-0.22276560000000001</v>
      </c>
      <c r="N1966">
        <v>-1.369427E-2</v>
      </c>
      <c r="O1966">
        <v>-0.97477590000000003</v>
      </c>
      <c r="P1966">
        <v>-0.33278829999999998</v>
      </c>
      <c r="Q1966">
        <v>-0.1065878</v>
      </c>
      <c r="R1966">
        <v>-0.93695850000000003</v>
      </c>
      <c r="S1966">
        <v>-1.937927</v>
      </c>
      <c r="T1966">
        <v>-0.14331450000000001</v>
      </c>
      <c r="U1966">
        <v>-2.502075</v>
      </c>
      <c r="V1966">
        <v>0.115158</v>
      </c>
      <c r="W1966">
        <v>-9.3702640000000004E-2</v>
      </c>
      <c r="X1966">
        <v>0.98891779999999996</v>
      </c>
      <c r="Y1966">
        <v>0.42031489999999999</v>
      </c>
      <c r="Z1966">
        <v>3.3655820000000003E-2</v>
      </c>
      <c r="AA1966">
        <v>0.90675399999999995</v>
      </c>
      <c r="AB1966">
        <v>21</v>
      </c>
      <c r="AC1966">
        <v>-14.929399999999999</v>
      </c>
      <c r="AD1966">
        <v>-1.1077403777949999</v>
      </c>
      <c r="AE1966">
        <v>-19.139399999999998</v>
      </c>
      <c r="AF1966">
        <v>10.2687977681944</v>
      </c>
      <c r="AG1966">
        <v>-1.1077403777949999</v>
      </c>
      <c r="AH1966">
        <v>21.938752860657999</v>
      </c>
      <c r="AI1966">
        <v>92.618357686821</v>
      </c>
      <c r="AJ1966">
        <v>64.917275107399007</v>
      </c>
      <c r="AK1966">
        <v>24.248384965389</v>
      </c>
      <c r="AL1966">
        <v>95.376653559963998</v>
      </c>
      <c r="AM1966">
        <v>83.357907119907395</v>
      </c>
      <c r="AN1966">
        <v>0.99999998243190402</v>
      </c>
    </row>
    <row r="1967" spans="1:40" x14ac:dyDescent="0.25">
      <c r="A1967" t="str">
        <f>"20190305134938862"</f>
        <v>20190305134938862</v>
      </c>
      <c r="B1967" t="str">
        <f>"1551764978852313"</f>
        <v>1551764978852313</v>
      </c>
      <c r="C1967" t="s">
        <v>40</v>
      </c>
      <c r="D1967">
        <v>4.1637620000000002</v>
      </c>
      <c r="E1967">
        <v>0.62726949999999904</v>
      </c>
      <c r="F1967" t="s">
        <v>62</v>
      </c>
      <c r="G1967">
        <v>-209.1052</v>
      </c>
      <c r="H1967">
        <v>9.1769199999999999E-3</v>
      </c>
      <c r="I1967">
        <v>279.61630000000002</v>
      </c>
      <c r="J1967">
        <v>-194.089</v>
      </c>
      <c r="K1967">
        <v>1.1077349999999999</v>
      </c>
      <c r="L1967">
        <v>298.6857</v>
      </c>
      <c r="M1967">
        <v>-0.22650219999999999</v>
      </c>
      <c r="N1967">
        <v>-1.3693189999999999E-2</v>
      </c>
      <c r="O1967">
        <v>-0.97391439999999996</v>
      </c>
      <c r="P1967">
        <v>-0.33685949999999998</v>
      </c>
      <c r="Q1967">
        <v>-0.1060803</v>
      </c>
      <c r="R1967">
        <v>-0.93556030000000001</v>
      </c>
      <c r="S1967">
        <v>-1.9501949999999999</v>
      </c>
      <c r="T1967">
        <v>-0.14222679999999999</v>
      </c>
      <c r="U1967">
        <v>-2.4930110000000001</v>
      </c>
      <c r="V1967">
        <v>0.1156517</v>
      </c>
      <c r="W1967">
        <v>-9.3202960000000001E-2</v>
      </c>
      <c r="X1967">
        <v>0.98890739999999999</v>
      </c>
      <c r="Y1967">
        <v>0.42121150000000002</v>
      </c>
      <c r="Z1967">
        <v>3.3328469999999999E-2</v>
      </c>
      <c r="AA1967">
        <v>0.90634990000000004</v>
      </c>
      <c r="AB1967">
        <v>21</v>
      </c>
      <c r="AC1967">
        <v>-15.0161999999999</v>
      </c>
      <c r="AD1967">
        <v>-1.0985580800000001</v>
      </c>
      <c r="AE1967">
        <v>-19.069399999999899</v>
      </c>
      <c r="AF1967">
        <v>10.285129487751499</v>
      </c>
      <c r="AG1967">
        <v>-1.0985580800000001</v>
      </c>
      <c r="AH1967">
        <v>21.9303015683989</v>
      </c>
      <c r="AI1967">
        <v>92.596760885575506</v>
      </c>
      <c r="AJ1967">
        <v>64.873812326774797</v>
      </c>
      <c r="AK1967">
        <v>24.247244076716601</v>
      </c>
      <c r="AL1967">
        <v>95.347898193284607</v>
      </c>
      <c r="AM1967">
        <v>83.329617989923094</v>
      </c>
      <c r="AN1967">
        <v>0.99999997662020501</v>
      </c>
    </row>
    <row r="1968" spans="1:40" x14ac:dyDescent="0.25">
      <c r="A1968" t="str">
        <f>"20190305134938884"</f>
        <v>20190305134938884</v>
      </c>
      <c r="B1968" t="str">
        <f>"1551764978872813"</f>
        <v>1551764978872813</v>
      </c>
      <c r="C1968" t="s">
        <v>40</v>
      </c>
      <c r="D1968">
        <v>4.1352219999999997</v>
      </c>
      <c r="E1968">
        <v>0.62783909999999998</v>
      </c>
      <c r="F1968" t="s">
        <v>62</v>
      </c>
      <c r="G1968">
        <v>-209.1944</v>
      </c>
      <c r="H1968">
        <v>5.6548050000000002E-2</v>
      </c>
      <c r="I1968">
        <v>279.60980000000001</v>
      </c>
      <c r="J1968">
        <v>-194.1397</v>
      </c>
      <c r="K1968">
        <v>1.1077140000000001</v>
      </c>
      <c r="L1968">
        <v>298.4889</v>
      </c>
      <c r="M1968">
        <v>-0.23048550000000001</v>
      </c>
      <c r="N1968">
        <v>-1.369272E-2</v>
      </c>
      <c r="O1968">
        <v>-0.97297940000000005</v>
      </c>
      <c r="P1968">
        <v>-0.34165669999999998</v>
      </c>
      <c r="Q1968">
        <v>-0.1057128</v>
      </c>
      <c r="R1968">
        <v>-0.93386069999999999</v>
      </c>
      <c r="S1968">
        <v>-1.9663090000000001</v>
      </c>
      <c r="T1968">
        <v>-0.13683509999999999</v>
      </c>
      <c r="U1968">
        <v>-2.4831539999999999</v>
      </c>
      <c r="V1968">
        <v>0.1166662</v>
      </c>
      <c r="W1968">
        <v>-9.2849570000000006E-2</v>
      </c>
      <c r="X1968">
        <v>0.98882150000000002</v>
      </c>
      <c r="Y1968">
        <v>0.42290889999999998</v>
      </c>
      <c r="Z1968">
        <v>3.1592910000000002E-2</v>
      </c>
      <c r="AA1968">
        <v>0.90562129999999996</v>
      </c>
      <c r="AB1968">
        <v>21</v>
      </c>
      <c r="AC1968">
        <v>-15.054699999999899</v>
      </c>
      <c r="AD1968">
        <v>-1.0511659499999999</v>
      </c>
      <c r="AE1968">
        <v>-18.879099999999902</v>
      </c>
      <c r="AF1968">
        <v>10.2780420742055</v>
      </c>
      <c r="AG1968">
        <v>-1.0511659499999999</v>
      </c>
      <c r="AH1968">
        <v>21.7996015183742</v>
      </c>
      <c r="AI1968">
        <v>92.497369122802695</v>
      </c>
      <c r="AJ1968">
        <v>64.757133157409697</v>
      </c>
      <c r="AK1968">
        <v>24.123965782878201</v>
      </c>
      <c r="AL1968">
        <v>95.327562118634006</v>
      </c>
      <c r="AM1968">
        <v>83.271060227115498</v>
      </c>
      <c r="AN1968">
        <v>1.0000000018669299</v>
      </c>
    </row>
    <row r="1969" spans="1:40" x14ac:dyDescent="0.25">
      <c r="A1969" t="str">
        <f>"20190305134938907"</f>
        <v>20190305134938907</v>
      </c>
      <c r="B1969" t="str">
        <f>"1551764978902090"</f>
        <v>1551764978902090</v>
      </c>
      <c r="C1969" t="s">
        <v>40</v>
      </c>
      <c r="D1969">
        <v>4.1149180000000003</v>
      </c>
      <c r="E1969">
        <v>0.62872830000000002</v>
      </c>
      <c r="F1969" t="s">
        <v>62</v>
      </c>
      <c r="G1969">
        <v>-209.47640000000001</v>
      </c>
      <c r="H1969">
        <v>8.0000450000000001E-2</v>
      </c>
      <c r="I1969">
        <v>279.37060000000002</v>
      </c>
      <c r="J1969">
        <v>-194.1944</v>
      </c>
      <c r="K1969">
        <v>1.1076790000000001</v>
      </c>
      <c r="L1969">
        <v>298.28019999999998</v>
      </c>
      <c r="M1969">
        <v>-0.23477590000000001</v>
      </c>
      <c r="N1969">
        <v>-1.3693230000000001E-2</v>
      </c>
      <c r="O1969">
        <v>-0.97195299999999996</v>
      </c>
      <c r="P1969">
        <v>-0.3464256</v>
      </c>
      <c r="Q1969">
        <v>-0.1051706</v>
      </c>
      <c r="R1969">
        <v>-0.93216310000000002</v>
      </c>
      <c r="S1969">
        <v>-1.9829859999999999</v>
      </c>
      <c r="T1969">
        <v>-0.13287950000000001</v>
      </c>
      <c r="U1969">
        <v>-2.471924</v>
      </c>
      <c r="V1969">
        <v>0.1173371</v>
      </c>
      <c r="W1969">
        <v>-9.2322119999999994E-2</v>
      </c>
      <c r="X1969">
        <v>0.98879150000000005</v>
      </c>
      <c r="Y1969">
        <v>0.42466700000000002</v>
      </c>
      <c r="Z1969">
        <v>3.0331540000000001E-2</v>
      </c>
      <c r="AA1969">
        <v>0.90484140000000002</v>
      </c>
      <c r="AB1969">
        <v>21</v>
      </c>
      <c r="AC1969">
        <v>-15.282</v>
      </c>
      <c r="AD1969">
        <v>-1.0276785500000001</v>
      </c>
      <c r="AE1969">
        <v>-18.909599999999902</v>
      </c>
      <c r="AF1969">
        <v>10.396269859636799</v>
      </c>
      <c r="AG1969">
        <v>-1.0276785500000001</v>
      </c>
      <c r="AH1969">
        <v>21.929967399387799</v>
      </c>
      <c r="AI1969">
        <v>92.424715184559304</v>
      </c>
      <c r="AJ1969">
        <v>64.635922266322694</v>
      </c>
      <c r="AK1969">
        <v>24.291192237820201</v>
      </c>
      <c r="AL1969">
        <v>95.297211104485996</v>
      </c>
      <c r="AM1969">
        <v>83.232519268841799</v>
      </c>
      <c r="AN1969">
        <v>0.99999999967497699</v>
      </c>
    </row>
    <row r="1970" spans="1:40" x14ac:dyDescent="0.25">
      <c r="A1970" t="str">
        <f>"20190305134938929"</f>
        <v>20190305134938929</v>
      </c>
      <c r="B1970" t="str">
        <f>"1551764978922586"</f>
        <v>1551764978922586</v>
      </c>
      <c r="C1970" t="s">
        <v>40</v>
      </c>
      <c r="D1970">
        <v>3.9170129999999999</v>
      </c>
      <c r="E1970">
        <v>0.62904649999999995</v>
      </c>
      <c r="F1970" t="s">
        <v>74</v>
      </c>
      <c r="G1970">
        <v>-210.69040000000001</v>
      </c>
      <c r="H1970">
        <v>8.0001260000000005E-2</v>
      </c>
      <c r="I1970">
        <v>278.00900000000001</v>
      </c>
      <c r="J1970">
        <v>-194.24590000000001</v>
      </c>
      <c r="K1970">
        <v>1.1076299999999999</v>
      </c>
      <c r="L1970">
        <v>298.08760000000001</v>
      </c>
      <c r="M1970">
        <v>-0.2388236</v>
      </c>
      <c r="N1970">
        <v>-1.369477E-2</v>
      </c>
      <c r="O1970">
        <v>-0.97096640000000001</v>
      </c>
      <c r="P1970">
        <v>-0.35150369999999997</v>
      </c>
      <c r="Q1970">
        <v>-0.1045273</v>
      </c>
      <c r="R1970">
        <v>-0.93033310000000002</v>
      </c>
      <c r="S1970">
        <v>-2.0020600000000002</v>
      </c>
      <c r="T1970">
        <v>-0.12472560000000001</v>
      </c>
      <c r="U1970">
        <v>-2.4602360000000001</v>
      </c>
      <c r="V1970">
        <v>0.1185824</v>
      </c>
      <c r="W1970">
        <v>-9.1700519999999994E-2</v>
      </c>
      <c r="X1970">
        <v>0.98870080000000005</v>
      </c>
      <c r="Y1970">
        <v>0.42727870000000001</v>
      </c>
      <c r="Z1970">
        <v>2.770444E-2</v>
      </c>
      <c r="AA1970">
        <v>0.90369540000000004</v>
      </c>
      <c r="AB1970">
        <v>21</v>
      </c>
      <c r="AC1970">
        <v>-16.444500000000001</v>
      </c>
      <c r="AD1970">
        <v>-1.0276287399999999</v>
      </c>
      <c r="AE1970">
        <v>-20.078599999999899</v>
      </c>
      <c r="AF1970">
        <v>11.1553718382714</v>
      </c>
      <c r="AG1970">
        <v>-1.0276287399999999</v>
      </c>
      <c r="AH1970">
        <v>23.3885089778706</v>
      </c>
      <c r="AI1970">
        <v>92.271013790750303</v>
      </c>
      <c r="AJ1970">
        <v>64.500747776714206</v>
      </c>
      <c r="AK1970">
        <v>25.9330039502813</v>
      </c>
      <c r="AL1970">
        <v>95.261444208421807</v>
      </c>
      <c r="AM1970">
        <v>83.160751178300998</v>
      </c>
      <c r="AN1970">
        <v>1.0000000214393301</v>
      </c>
    </row>
    <row r="1971" spans="1:40" x14ac:dyDescent="0.25">
      <c r="A1971" t="str">
        <f>"20190305134938951"</f>
        <v>20190305134938951</v>
      </c>
      <c r="B1971" t="str">
        <f>"1551764978942109"</f>
        <v>1551764978942109</v>
      </c>
      <c r="C1971" t="s">
        <v>40</v>
      </c>
      <c r="D1971">
        <v>4.2616860000000001</v>
      </c>
      <c r="E1971">
        <v>0.62933439999999996</v>
      </c>
      <c r="F1971" t="s">
        <v>74</v>
      </c>
      <c r="G1971">
        <v>-211.50200000000001</v>
      </c>
      <c r="H1971">
        <v>8.0001020000000006E-2</v>
      </c>
      <c r="I1971">
        <v>277.14330000000001</v>
      </c>
      <c r="J1971">
        <v>-194.30070000000001</v>
      </c>
      <c r="K1971">
        <v>1.107561</v>
      </c>
      <c r="L1971">
        <v>297.88650000000001</v>
      </c>
      <c r="M1971">
        <v>-0.24317820000000001</v>
      </c>
      <c r="N1971">
        <v>-1.3698449999999999E-2</v>
      </c>
      <c r="O1971">
        <v>-0.96988509999999994</v>
      </c>
      <c r="P1971">
        <v>-0.35727049999999999</v>
      </c>
      <c r="Q1971">
        <v>-0.1033009</v>
      </c>
      <c r="R1971">
        <v>-0.92827130000000002</v>
      </c>
      <c r="S1971">
        <v>-2.0176240000000001</v>
      </c>
      <c r="T1971">
        <v>-0.1201527</v>
      </c>
      <c r="U1971">
        <v>-2.4488530000000002</v>
      </c>
      <c r="V1971">
        <v>0.1202368</v>
      </c>
      <c r="W1971">
        <v>-9.0502879999999994E-2</v>
      </c>
      <c r="X1971">
        <v>0.98861129999999997</v>
      </c>
      <c r="Y1971">
        <v>0.42873480000000003</v>
      </c>
      <c r="Z1971">
        <v>2.6248400000000002E-2</v>
      </c>
      <c r="AA1971">
        <v>0.90304910000000005</v>
      </c>
      <c r="AB1971">
        <v>21</v>
      </c>
      <c r="AC1971">
        <v>-17.2013</v>
      </c>
      <c r="AD1971">
        <v>-1.0275599799999999</v>
      </c>
      <c r="AE1971">
        <v>-20.743200000000002</v>
      </c>
      <c r="AF1971">
        <v>11.623179748313101</v>
      </c>
      <c r="AG1971">
        <v>-1.0275599799999999</v>
      </c>
      <c r="AH1971">
        <v>24.2684898259308</v>
      </c>
      <c r="AI1971">
        <v>92.186916441312107</v>
      </c>
      <c r="AJ1971">
        <v>64.408319246688905</v>
      </c>
      <c r="AK1971">
        <v>26.927936894708399</v>
      </c>
      <c r="AL1971">
        <v>95.192538159030306</v>
      </c>
      <c r="AM1971">
        <v>83.065634505657201</v>
      </c>
      <c r="AN1971">
        <v>0.999999980925112</v>
      </c>
    </row>
    <row r="1972" spans="1:40" x14ac:dyDescent="0.25">
      <c r="A1972" t="str">
        <f>"20190305134938974"</f>
        <v>20190305134938974</v>
      </c>
      <c r="B1972" t="str">
        <f>"1551764978962605"</f>
        <v>1551764978962605</v>
      </c>
      <c r="C1972" t="s">
        <v>40</v>
      </c>
      <c r="D1972">
        <v>4.2279140000000002</v>
      </c>
      <c r="E1972">
        <v>0.62915379999999999</v>
      </c>
      <c r="F1972" t="s">
        <v>74</v>
      </c>
      <c r="G1972">
        <v>-211.63730000000001</v>
      </c>
      <c r="H1972">
        <v>8.0000979999999999E-2</v>
      </c>
      <c r="I1972">
        <v>277.1395</v>
      </c>
      <c r="J1972">
        <v>-194.35589999999999</v>
      </c>
      <c r="K1972">
        <v>1.1074790000000001</v>
      </c>
      <c r="L1972">
        <v>297.68830000000003</v>
      </c>
      <c r="M1972">
        <v>-0.24762020000000001</v>
      </c>
      <c r="N1972">
        <v>-1.370407E-2</v>
      </c>
      <c r="O1972">
        <v>-0.96876039999999997</v>
      </c>
      <c r="P1972">
        <v>-0.36368850000000003</v>
      </c>
      <c r="Q1972">
        <v>-0.102576399999999</v>
      </c>
      <c r="R1972">
        <v>-0.92585609999999996</v>
      </c>
      <c r="S1972">
        <v>-2.0348820000000001</v>
      </c>
      <c r="T1972">
        <v>-0.12060999999999999</v>
      </c>
      <c r="U1972">
        <v>-2.435181</v>
      </c>
      <c r="V1972">
        <v>0.1225118</v>
      </c>
      <c r="W1972">
        <v>-8.9816930000000003E-2</v>
      </c>
      <c r="X1972">
        <v>0.98839460000000001</v>
      </c>
      <c r="Y1972">
        <v>0.43085410000000002</v>
      </c>
      <c r="Z1972">
        <v>2.642483E-2</v>
      </c>
      <c r="AA1972">
        <v>0.90203460000000002</v>
      </c>
      <c r="AB1972">
        <v>20</v>
      </c>
      <c r="AC1972">
        <v>-17.281400000000001</v>
      </c>
      <c r="AD1972">
        <v>-1.02747802</v>
      </c>
      <c r="AE1972">
        <v>-20.5488</v>
      </c>
      <c r="AF1972">
        <v>11.6372887431328</v>
      </c>
      <c r="AG1972">
        <v>-1.02747802</v>
      </c>
      <c r="AH1972">
        <v>24.152985011518801</v>
      </c>
      <c r="AI1972">
        <v>92.1947280565754</v>
      </c>
      <c r="AJ1972">
        <v>64.274500139440306</v>
      </c>
      <c r="AK1972">
        <v>26.829999726785001</v>
      </c>
      <c r="AL1972">
        <v>95.153075021691805</v>
      </c>
      <c r="AM1972">
        <v>82.934209788990202</v>
      </c>
      <c r="AN1972">
        <v>1.0000000536815099</v>
      </c>
    </row>
    <row r="1973" spans="1:40" x14ac:dyDescent="0.25">
      <c r="A1973" t="str">
        <f>"20190305134938995"</f>
        <v>20190305134938995</v>
      </c>
      <c r="B1973" t="str">
        <f>"1551764978992857"</f>
        <v>1551764978992857</v>
      </c>
      <c r="C1973" t="s">
        <v>40</v>
      </c>
      <c r="D1973">
        <v>4.2362209999999996</v>
      </c>
      <c r="E1973">
        <v>0.62880400000000003</v>
      </c>
      <c r="F1973" t="s">
        <v>74</v>
      </c>
      <c r="G1973">
        <v>-211.33670000000001</v>
      </c>
      <c r="H1973">
        <v>8.0001069999999994E-2</v>
      </c>
      <c r="I1973">
        <v>277.63499999999999</v>
      </c>
      <c r="J1973">
        <v>-194.41040000000001</v>
      </c>
      <c r="K1973">
        <v>1.1073869999999999</v>
      </c>
      <c r="L1973">
        <v>297.49650000000003</v>
      </c>
      <c r="M1973">
        <v>-0.2520521</v>
      </c>
      <c r="N1973">
        <v>-1.371079E-2</v>
      </c>
      <c r="O1973">
        <v>-0.96761660000000005</v>
      </c>
      <c r="P1973">
        <v>-0.3709501</v>
      </c>
      <c r="Q1973">
        <v>-0.1021778</v>
      </c>
      <c r="R1973">
        <v>-0.92301449999999996</v>
      </c>
      <c r="S1973">
        <v>-2.050217</v>
      </c>
      <c r="T1973">
        <v>-0.1240549</v>
      </c>
      <c r="U1973">
        <v>-2.421173</v>
      </c>
      <c r="V1973">
        <v>0.12571830000000001</v>
      </c>
      <c r="W1973">
        <v>-8.9464890000000005E-2</v>
      </c>
      <c r="X1973">
        <v>0.98802380000000001</v>
      </c>
      <c r="Y1973">
        <v>0.4325986</v>
      </c>
      <c r="Z1973">
        <v>2.7577649999999999E-2</v>
      </c>
      <c r="AA1973">
        <v>0.90116479999999999</v>
      </c>
      <c r="AB1973">
        <v>20</v>
      </c>
      <c r="AC1973">
        <v>-16.926299999999902</v>
      </c>
      <c r="AD1973">
        <v>-1.0273859299999999</v>
      </c>
      <c r="AE1973">
        <v>-19.861499999999999</v>
      </c>
      <c r="AF1973">
        <v>11.3555032576107</v>
      </c>
      <c r="AG1973">
        <v>-1.0273859299999999</v>
      </c>
      <c r="AH1973">
        <v>23.450484303792599</v>
      </c>
      <c r="AI1973">
        <v>92.258068711124807</v>
      </c>
      <c r="AJ1973">
        <v>64.162193017972399</v>
      </c>
      <c r="AK1973">
        <v>26.075432693729098</v>
      </c>
      <c r="AL1973">
        <v>95.132823137945294</v>
      </c>
      <c r="AM1973">
        <v>82.748527850520503</v>
      </c>
      <c r="AN1973">
        <v>1.00000004343202</v>
      </c>
    </row>
    <row r="1974" spans="1:40" x14ac:dyDescent="0.25">
      <c r="A1974" t="str">
        <f>"20190305134939020"</f>
        <v>20190305134939020</v>
      </c>
      <c r="B1974" t="str">
        <f>"1551764979012378"</f>
        <v>1551764979012378</v>
      </c>
      <c r="C1974" t="s">
        <v>40</v>
      </c>
      <c r="D1974">
        <v>4.247115</v>
      </c>
      <c r="E1974">
        <v>0.62853919999999996</v>
      </c>
      <c r="F1974" t="s">
        <v>74</v>
      </c>
      <c r="G1974">
        <v>-210.17420000000001</v>
      </c>
      <c r="H1974">
        <v>8.0001409999999995E-2</v>
      </c>
      <c r="I1974">
        <v>279.15379999999999</v>
      </c>
      <c r="J1974">
        <v>-194.47229999999999</v>
      </c>
      <c r="K1974">
        <v>1.1072740000000001</v>
      </c>
      <c r="L1974">
        <v>297.28359999999998</v>
      </c>
      <c r="M1974">
        <v>-0.25715070000000001</v>
      </c>
      <c r="N1974">
        <v>-1.371901E-2</v>
      </c>
      <c r="O1974">
        <v>-0.96627419999999997</v>
      </c>
      <c r="P1974">
        <v>-0.37884499999999999</v>
      </c>
      <c r="Q1974">
        <v>-0.1025402</v>
      </c>
      <c r="R1974">
        <v>-0.91976230000000003</v>
      </c>
      <c r="S1974">
        <v>-2.0666500000000001</v>
      </c>
      <c r="T1974">
        <v>-0.1346918</v>
      </c>
      <c r="U1974">
        <v>-2.4047550000000002</v>
      </c>
      <c r="V1974">
        <v>0.1289545</v>
      </c>
      <c r="W1974">
        <v>-8.9879360000000005E-2</v>
      </c>
      <c r="X1974">
        <v>0.98756900000000003</v>
      </c>
      <c r="Y1974">
        <v>0.4343475</v>
      </c>
      <c r="Z1974">
        <v>3.1066730000000001E-2</v>
      </c>
      <c r="AA1974">
        <v>0.900209499999999</v>
      </c>
      <c r="AB1974">
        <v>20</v>
      </c>
      <c r="AC1974">
        <v>-15.7019</v>
      </c>
      <c r="AD1974">
        <v>-1.0272725899999999</v>
      </c>
      <c r="AE1974">
        <v>-18.1297999999999</v>
      </c>
      <c r="AF1974">
        <v>10.491988781761</v>
      </c>
      <c r="AG1974">
        <v>-1.0272725899999999</v>
      </c>
      <c r="AH1974">
        <v>21.518659316575199</v>
      </c>
      <c r="AI1974">
        <v>92.457048388146205</v>
      </c>
      <c r="AJ1974">
        <v>64.007233250596101</v>
      </c>
      <c r="AK1974">
        <v>23.962258164738799</v>
      </c>
      <c r="AL1974">
        <v>95.156666562164901</v>
      </c>
      <c r="AM1974">
        <v>82.560539946859393</v>
      </c>
      <c r="AN1974">
        <v>1.0000000460926199</v>
      </c>
    </row>
    <row r="1975" spans="1:40" x14ac:dyDescent="0.25">
      <c r="A1975" t="str">
        <f>"20190305134939042"</f>
        <v>20190305134939042</v>
      </c>
      <c r="B1975" t="str">
        <f>"1551764979032874"</f>
        <v>1551764979032874</v>
      </c>
      <c r="C1975" t="s">
        <v>40</v>
      </c>
      <c r="D1975">
        <v>4.253393</v>
      </c>
      <c r="E1975">
        <v>0.62832060000000001</v>
      </c>
      <c r="F1975" t="s">
        <v>62</v>
      </c>
      <c r="G1975">
        <v>-209.90899999999999</v>
      </c>
      <c r="H1975">
        <v>5.4471680000000001E-2</v>
      </c>
      <c r="I1975">
        <v>279.61189999999999</v>
      </c>
      <c r="J1975">
        <v>-194.53299999999999</v>
      </c>
      <c r="K1975">
        <v>1.1071519999999999</v>
      </c>
      <c r="L1975">
        <v>297.07909999999998</v>
      </c>
      <c r="M1975">
        <v>-0.26225399999999999</v>
      </c>
      <c r="N1975">
        <v>-1.372838E-2</v>
      </c>
      <c r="O1975">
        <v>-0.96490129999999996</v>
      </c>
      <c r="P1975">
        <v>-0.38748569999999999</v>
      </c>
      <c r="Q1975">
        <v>-0.1032299</v>
      </c>
      <c r="R1975">
        <v>-0.9160779</v>
      </c>
      <c r="S1975">
        <v>-2.0850979999999999</v>
      </c>
      <c r="T1975">
        <v>-0.14220650000000001</v>
      </c>
      <c r="U1975">
        <v>-2.3869929999999999</v>
      </c>
      <c r="V1975">
        <v>0.13301550000000001</v>
      </c>
      <c r="W1975">
        <v>-9.0631489999999995E-2</v>
      </c>
      <c r="X1975">
        <v>0.98696139999999999</v>
      </c>
      <c r="Y1975">
        <v>0.43678709999999998</v>
      </c>
      <c r="Z1975">
        <v>3.3549429999999998E-2</v>
      </c>
      <c r="AA1975">
        <v>0.89893909999999999</v>
      </c>
      <c r="AB1975">
        <v>20</v>
      </c>
      <c r="AC1975">
        <v>-15.375999999999999</v>
      </c>
      <c r="AD1975">
        <v>-1.0526803199999999</v>
      </c>
      <c r="AE1975">
        <v>-17.467199999999899</v>
      </c>
      <c r="AF1975">
        <v>10.235499941004401</v>
      </c>
      <c r="AG1975">
        <v>-1.0526803199999999</v>
      </c>
      <c r="AH1975">
        <v>20.845851035522401</v>
      </c>
      <c r="AI1975">
        <v>92.595378577209203</v>
      </c>
      <c r="AJ1975">
        <v>63.848547383085901</v>
      </c>
      <c r="AK1975">
        <v>23.247001963556599</v>
      </c>
      <c r="AL1975">
        <v>95.199937290361106</v>
      </c>
      <c r="AM1975">
        <v>82.324340145707893</v>
      </c>
      <c r="AN1975">
        <v>0.99999999765491498</v>
      </c>
    </row>
    <row r="1976" spans="1:40" x14ac:dyDescent="0.25">
      <c r="A1976" t="str">
        <f>"20190305134939064"</f>
        <v>20190305134939064</v>
      </c>
      <c r="B1976" t="str">
        <f>"1551764979052397"</f>
        <v>1551764979052397</v>
      </c>
      <c r="C1976" t="s">
        <v>40</v>
      </c>
      <c r="D1976">
        <v>4.2626660000000003</v>
      </c>
      <c r="E1976">
        <v>0.62822909999999998</v>
      </c>
      <c r="F1976" t="s">
        <v>74</v>
      </c>
      <c r="G1976">
        <v>-210.06559999999999</v>
      </c>
      <c r="H1976">
        <v>7.3080509999999899E-3</v>
      </c>
      <c r="I1976">
        <v>279.61630000000002</v>
      </c>
      <c r="J1976">
        <v>-194.58840000000001</v>
      </c>
      <c r="K1976">
        <v>1.107029</v>
      </c>
      <c r="L1976">
        <v>296.89679999999998</v>
      </c>
      <c r="M1976">
        <v>-0.26701130000000001</v>
      </c>
      <c r="N1976">
        <v>-1.373942E-2</v>
      </c>
      <c r="O1976">
        <v>-0.9635956</v>
      </c>
      <c r="P1976">
        <v>-0.39661259999999998</v>
      </c>
      <c r="Q1976">
        <v>-0.1033374</v>
      </c>
      <c r="R1976">
        <v>-0.9121513</v>
      </c>
      <c r="S1976">
        <v>-2.105667</v>
      </c>
      <c r="T1976">
        <v>-0.14909990000000001</v>
      </c>
      <c r="U1976">
        <v>-2.36734</v>
      </c>
      <c r="V1976">
        <v>0.1379686</v>
      </c>
      <c r="W1976">
        <v>-9.0811929999999999E-2</v>
      </c>
      <c r="X1976">
        <v>0.98626460000000005</v>
      </c>
      <c r="Y1976">
        <v>0.4403495</v>
      </c>
      <c r="Z1976">
        <v>3.5838269999999998E-2</v>
      </c>
      <c r="AA1976">
        <v>0.89711090000000004</v>
      </c>
      <c r="AB1976">
        <v>20</v>
      </c>
      <c r="AC1976">
        <v>-15.4771999999999</v>
      </c>
      <c r="AD1976">
        <v>-1.0997209489999999</v>
      </c>
      <c r="AE1976">
        <v>-17.2804999999999</v>
      </c>
      <c r="AF1976">
        <v>10.2775474956018</v>
      </c>
      <c r="AG1976">
        <v>-1.0997209489999999</v>
      </c>
      <c r="AH1976">
        <v>20.7393532758772</v>
      </c>
      <c r="AI1976">
        <v>92.720182706292903</v>
      </c>
      <c r="AJ1976">
        <v>63.638927600840198</v>
      </c>
      <c r="AK1976">
        <v>23.172357303297002</v>
      </c>
      <c r="AL1976">
        <v>95.210318531632694</v>
      </c>
      <c r="AM1976">
        <v>82.036568509623507</v>
      </c>
      <c r="AN1976">
        <v>1.0000000012147201</v>
      </c>
    </row>
    <row r="1977" spans="1:40" x14ac:dyDescent="0.25">
      <c r="A1977" t="str">
        <f>"20190305134939084"</f>
        <v>20190305134939084</v>
      </c>
      <c r="B1977" t="str">
        <f>"1551764979072903"</f>
        <v>1551764979072903</v>
      </c>
      <c r="C1977" t="s">
        <v>40</v>
      </c>
      <c r="D1977">
        <v>4.2449620000000001</v>
      </c>
      <c r="E1977">
        <v>0.62811340000000004</v>
      </c>
      <c r="F1977" t="s">
        <v>62</v>
      </c>
      <c r="G1977">
        <v>-209.84110000000001</v>
      </c>
      <c r="H1977" s="1">
        <v>6.9773640000000002E-6</v>
      </c>
      <c r="I1977">
        <v>280.08390000000003</v>
      </c>
      <c r="J1977">
        <v>-194.64429999999999</v>
      </c>
      <c r="K1977">
        <v>1.106884</v>
      </c>
      <c r="L1977">
        <v>296.7167</v>
      </c>
      <c r="M1977">
        <v>-0.27192830000000001</v>
      </c>
      <c r="N1977">
        <v>-1.375359E-2</v>
      </c>
      <c r="O1977">
        <v>-0.96221939999999995</v>
      </c>
      <c r="P1977">
        <v>-0.40689609999999998</v>
      </c>
      <c r="Q1977">
        <v>-0.1031676</v>
      </c>
      <c r="R1977">
        <v>-0.90762980000000004</v>
      </c>
      <c r="S1977">
        <v>-2.1283110000000001</v>
      </c>
      <c r="T1977">
        <v>-0.15446969999999999</v>
      </c>
      <c r="U1977">
        <v>-2.3460079999999999</v>
      </c>
      <c r="V1977">
        <v>0.14403369999999999</v>
      </c>
      <c r="W1977">
        <v>-9.0732869999999993E-2</v>
      </c>
      <c r="X1977">
        <v>0.98540439999999996</v>
      </c>
      <c r="Y1977">
        <v>0.444517</v>
      </c>
      <c r="Z1977">
        <v>3.7635660000000001E-2</v>
      </c>
      <c r="AA1977">
        <v>0.89497939999999998</v>
      </c>
      <c r="AB1977">
        <v>20</v>
      </c>
      <c r="AC1977">
        <v>-15.1968</v>
      </c>
      <c r="AD1977">
        <v>-1.1068770226360001</v>
      </c>
      <c r="AE1977">
        <v>-16.6327999999999</v>
      </c>
      <c r="AF1977">
        <v>10.0763591201823</v>
      </c>
      <c r="AG1977">
        <v>-1.1068770226360001</v>
      </c>
      <c r="AH1977">
        <v>20.0902524284088</v>
      </c>
      <c r="AI1977">
        <v>92.819425003209801</v>
      </c>
      <c r="AJ1977">
        <v>63.363734161626901</v>
      </c>
      <c r="AK1977">
        <v>22.502809435697301</v>
      </c>
      <c r="AL1977">
        <v>95.205769976523598</v>
      </c>
      <c r="AM1977">
        <v>81.684130935032897</v>
      </c>
      <c r="AN1977">
        <v>0.99999999598674305</v>
      </c>
    </row>
    <row r="1978" spans="1:40" x14ac:dyDescent="0.25">
      <c r="A1978" t="str">
        <f>"20190305134939108"</f>
        <v>20190305134939108</v>
      </c>
      <c r="B1978" t="str">
        <f>"1551764979102169"</f>
        <v>1551764979102169</v>
      </c>
      <c r="C1978" t="s">
        <v>40</v>
      </c>
      <c r="D1978">
        <v>4.2743390000000003</v>
      </c>
      <c r="E1978">
        <v>0.6276699</v>
      </c>
      <c r="F1978" t="s">
        <v>62</v>
      </c>
      <c r="G1978">
        <v>-209.6516</v>
      </c>
      <c r="H1978" s="1">
        <v>6.8536729999999996E-6</v>
      </c>
      <c r="I1978">
        <v>280.53739999999999</v>
      </c>
      <c r="J1978">
        <v>-194.7097</v>
      </c>
      <c r="K1978">
        <v>1.1066959999999999</v>
      </c>
      <c r="L1978">
        <v>296.51119999999997</v>
      </c>
      <c r="M1978">
        <v>-0.27780860000000002</v>
      </c>
      <c r="N1978">
        <v>-1.3773580000000001E-2</v>
      </c>
      <c r="O1978">
        <v>-0.96053770000000005</v>
      </c>
      <c r="P1978">
        <v>-0.41738700000000001</v>
      </c>
      <c r="Q1978">
        <v>-0.1041469</v>
      </c>
      <c r="R1978">
        <v>-0.90274100000000002</v>
      </c>
      <c r="S1978">
        <v>-2.15361</v>
      </c>
      <c r="T1978">
        <v>-0.15884179999999901</v>
      </c>
      <c r="U1978">
        <v>-2.3218079999999999</v>
      </c>
      <c r="V1978">
        <v>0.14939959999999999</v>
      </c>
      <c r="W1978">
        <v>-9.1812740000000004E-2</v>
      </c>
      <c r="X1978">
        <v>0.98450510000000002</v>
      </c>
      <c r="Y1978">
        <v>0.44888</v>
      </c>
      <c r="Z1978">
        <v>3.9114610000000001E-2</v>
      </c>
      <c r="AA1978">
        <v>0.89273549999999902</v>
      </c>
      <c r="AB1978">
        <v>20</v>
      </c>
      <c r="AC1978">
        <v>-14.9419</v>
      </c>
      <c r="AD1978">
        <v>-1.1066891463270001</v>
      </c>
      <c r="AE1978">
        <v>-15.973799999999899</v>
      </c>
      <c r="AF1978">
        <v>9.8902208796570701</v>
      </c>
      <c r="AG1978">
        <v>-1.1066891463270001</v>
      </c>
      <c r="AH1978">
        <v>19.446491853780401</v>
      </c>
      <c r="AI1978">
        <v>92.903893608467499</v>
      </c>
      <c r="AJ1978">
        <v>63.0427314308753</v>
      </c>
      <c r="AK1978">
        <v>21.845074395253299</v>
      </c>
      <c r="AL1978">
        <v>95.267900998032999</v>
      </c>
      <c r="AM1978">
        <v>81.371144313273803</v>
      </c>
      <c r="AN1978">
        <v>1.0000000558162301</v>
      </c>
    </row>
    <row r="1979" spans="1:40" x14ac:dyDescent="0.25">
      <c r="A1979" t="str">
        <f>"20190305134939131"</f>
        <v>20190305134939131</v>
      </c>
      <c r="B1979" t="str">
        <f>"1551764979122666"</f>
        <v>1551764979122666</v>
      </c>
      <c r="C1979" t="s">
        <v>40</v>
      </c>
      <c r="D1979">
        <v>4.280627</v>
      </c>
      <c r="E1979">
        <v>0.62739129999999999</v>
      </c>
      <c r="F1979" t="s">
        <v>62</v>
      </c>
      <c r="G1979">
        <v>-209.02</v>
      </c>
      <c r="H1979" s="1">
        <v>6.4971479999999996E-6</v>
      </c>
      <c r="I1979">
        <v>281.41160000000002</v>
      </c>
      <c r="J1979">
        <v>-194.77500000000001</v>
      </c>
      <c r="K1979">
        <v>1.106501</v>
      </c>
      <c r="L1979">
        <v>296.31130000000002</v>
      </c>
      <c r="M1979">
        <v>-0.28384959999999998</v>
      </c>
      <c r="N1979">
        <v>-1.3796630000000001E-2</v>
      </c>
      <c r="O1979">
        <v>-0.9587696</v>
      </c>
      <c r="P1979">
        <v>-0.42779420000000001</v>
      </c>
      <c r="Q1979">
        <v>-0.1054017</v>
      </c>
      <c r="R1979">
        <v>-0.8977098</v>
      </c>
      <c r="S1979">
        <v>-2.1770939999999999</v>
      </c>
      <c r="T1979">
        <v>-0.16836570000000001</v>
      </c>
      <c r="U1979">
        <v>-2.29718</v>
      </c>
      <c r="V1979">
        <v>0.1545608</v>
      </c>
      <c r="W1979">
        <v>-9.3173000000000006E-2</v>
      </c>
      <c r="X1979">
        <v>0.98358009999999996</v>
      </c>
      <c r="Y1979">
        <v>0.45273279999999999</v>
      </c>
      <c r="Z1979">
        <v>4.2273930000000001E-2</v>
      </c>
      <c r="AA1979">
        <v>0.89064349999999903</v>
      </c>
      <c r="AB1979">
        <v>20</v>
      </c>
      <c r="AC1979">
        <v>-14.244999999999999</v>
      </c>
      <c r="AD1979">
        <v>-1.1064945028519999</v>
      </c>
      <c r="AE1979">
        <v>-14.8996999999999</v>
      </c>
      <c r="AF1979">
        <v>9.4022054280375293</v>
      </c>
      <c r="AG1979">
        <v>-1.1064945028519999</v>
      </c>
      <c r="AH1979">
        <v>18.2778965017202</v>
      </c>
      <c r="AI1979">
        <v>93.081401550778395</v>
      </c>
      <c r="AJ1979">
        <v>62.778572747246002</v>
      </c>
      <c r="AK1979">
        <v>20.584151610485598</v>
      </c>
      <c r="AL1979">
        <v>95.346173817980798</v>
      </c>
      <c r="AM1979">
        <v>81.069511495941001</v>
      </c>
      <c r="AN1979">
        <v>1.0000000309708199</v>
      </c>
    </row>
    <row r="1980" spans="1:40" x14ac:dyDescent="0.25">
      <c r="A1980" t="str">
        <f>"20190305134939151"</f>
        <v>20190305134939151</v>
      </c>
      <c r="B1980" t="str">
        <f>"1551764979142189"</f>
        <v>1551764979142189</v>
      </c>
      <c r="C1980" t="s">
        <v>40</v>
      </c>
      <c r="D1980">
        <v>4.2644489999999999</v>
      </c>
      <c r="E1980">
        <v>0.62718249999999998</v>
      </c>
      <c r="F1980" t="s">
        <v>62</v>
      </c>
      <c r="G1980">
        <v>-208.77539999999999</v>
      </c>
      <c r="H1980" s="1">
        <v>6.3495830000000003E-6</v>
      </c>
      <c r="I1980">
        <v>281.85860000000002</v>
      </c>
      <c r="J1980">
        <v>-194.83760000000001</v>
      </c>
      <c r="K1980">
        <v>1.1063190000000001</v>
      </c>
      <c r="L1980">
        <v>296.12520000000001</v>
      </c>
      <c r="M1980">
        <v>-0.2897882</v>
      </c>
      <c r="N1980">
        <v>-1.382099E-2</v>
      </c>
      <c r="O1980">
        <v>-0.95699100000000004</v>
      </c>
      <c r="P1980">
        <v>-0.4381582</v>
      </c>
      <c r="Q1980">
        <v>-0.10592600000000001</v>
      </c>
      <c r="R1980">
        <v>-0.89263490000000001</v>
      </c>
      <c r="S1980">
        <v>-2.2012480000000001</v>
      </c>
      <c r="T1980">
        <v>-0.17397219999999999</v>
      </c>
      <c r="U1980">
        <v>-2.2723689999999999</v>
      </c>
      <c r="V1980">
        <v>0.15981090000000001</v>
      </c>
      <c r="W1980">
        <v>-9.380426E-2</v>
      </c>
      <c r="X1980">
        <v>0.98268060000000002</v>
      </c>
      <c r="Y1980">
        <v>0.45687729999999999</v>
      </c>
      <c r="Z1980">
        <v>4.416018E-2</v>
      </c>
      <c r="AA1980">
        <v>0.88843289999999997</v>
      </c>
      <c r="AB1980">
        <v>20</v>
      </c>
      <c r="AC1980">
        <v>-13.9377999999999</v>
      </c>
      <c r="AD1980">
        <v>-1.106312650417</v>
      </c>
      <c r="AE1980">
        <v>-14.266599999999899</v>
      </c>
      <c r="AF1980">
        <v>9.1767015861286598</v>
      </c>
      <c r="AG1980">
        <v>-1.106312650417</v>
      </c>
      <c r="AH1980">
        <v>17.639435593296199</v>
      </c>
      <c r="AI1980">
        <v>93.184606300732199</v>
      </c>
      <c r="AJ1980">
        <v>62.514843426028698</v>
      </c>
      <c r="AK1980">
        <v>19.914453739216</v>
      </c>
      <c r="AL1980">
        <v>95.382501824468704</v>
      </c>
      <c r="AM1980">
        <v>80.762996019404198</v>
      </c>
      <c r="AN1980">
        <v>0.99999996228465804</v>
      </c>
    </row>
    <row r="1981" spans="1:40" x14ac:dyDescent="0.25">
      <c r="A1981" t="str">
        <f>"20190305134939174"</f>
        <v>20190305134939174</v>
      </c>
      <c r="B1981" t="str">
        <f>"1551764979162685"</f>
        <v>1551764979162685</v>
      </c>
      <c r="C1981" t="s">
        <v>40</v>
      </c>
      <c r="D1981">
        <v>4.2281870000000001</v>
      </c>
      <c r="E1981">
        <v>0.62705869999999997</v>
      </c>
      <c r="F1981" t="s">
        <v>62</v>
      </c>
      <c r="G1981">
        <v>-208.85740000000001</v>
      </c>
      <c r="H1981" s="1">
        <v>6.3763000000000003E-6</v>
      </c>
      <c r="I1981">
        <v>281.96890000000002</v>
      </c>
      <c r="J1981">
        <v>-194.90309999999999</v>
      </c>
      <c r="K1981">
        <v>1.1061460000000001</v>
      </c>
      <c r="L1981">
        <v>295.93529999999998</v>
      </c>
      <c r="M1981">
        <v>-0.2961182</v>
      </c>
      <c r="N1981">
        <v>-1.384696E-2</v>
      </c>
      <c r="O1981">
        <v>-0.95505090000000004</v>
      </c>
      <c r="P1981">
        <v>-0.44901960000000002</v>
      </c>
      <c r="Q1981">
        <v>-0.1058693</v>
      </c>
      <c r="R1981">
        <v>-0.88722780000000001</v>
      </c>
      <c r="S1981">
        <v>-2.2257690000000001</v>
      </c>
      <c r="T1981">
        <v>-0.17563719999999999</v>
      </c>
      <c r="U1981">
        <v>-2.2474370000000001</v>
      </c>
      <c r="V1981">
        <v>0.165246799999999</v>
      </c>
      <c r="W1981">
        <v>-9.3852969999999994E-2</v>
      </c>
      <c r="X1981">
        <v>0.98177650000000005</v>
      </c>
      <c r="Y1981">
        <v>0.46078209999999997</v>
      </c>
      <c r="Z1981">
        <v>4.4760889999999998E-2</v>
      </c>
      <c r="AA1981">
        <v>0.8863839</v>
      </c>
      <c r="AB1981">
        <v>20</v>
      </c>
      <c r="AC1981">
        <v>-13.9543</v>
      </c>
      <c r="AD1981">
        <v>-1.1061396237000001</v>
      </c>
      <c r="AE1981">
        <v>-13.966399999999901</v>
      </c>
      <c r="AF1981">
        <v>9.16347852855613</v>
      </c>
      <c r="AG1981">
        <v>-1.1061396237000001</v>
      </c>
      <c r="AH1981">
        <v>17.417745640986499</v>
      </c>
      <c r="AI1981">
        <v>93.216812257419093</v>
      </c>
      <c r="AJ1981">
        <v>62.251135566492302</v>
      </c>
      <c r="AK1981">
        <v>19.712197919677301</v>
      </c>
      <c r="AL1981">
        <v>95.385304916922607</v>
      </c>
      <c r="AM1981">
        <v>80.445864118583401</v>
      </c>
      <c r="AN1981">
        <v>0.99999999042015497</v>
      </c>
    </row>
    <row r="1982" spans="1:40" x14ac:dyDescent="0.25">
      <c r="A1982" t="str">
        <f>"20190305134939196"</f>
        <v>20190305134939196</v>
      </c>
      <c r="B1982" t="str">
        <f>"1551764979192937"</f>
        <v>1551764979192937</v>
      </c>
      <c r="C1982" t="s">
        <v>40</v>
      </c>
      <c r="D1982">
        <v>4.2130299999999998</v>
      </c>
      <c r="E1982">
        <v>0.62666269999999902</v>
      </c>
      <c r="F1982" t="s">
        <v>62</v>
      </c>
      <c r="G1982">
        <v>-209.23349999999999</v>
      </c>
      <c r="H1982" s="1">
        <v>6.5577860000000002E-6</v>
      </c>
      <c r="I1982">
        <v>281.80079999999998</v>
      </c>
      <c r="J1982">
        <v>-194.97030000000001</v>
      </c>
      <c r="K1982">
        <v>1.1059969999999999</v>
      </c>
      <c r="L1982">
        <v>295.74549999999999</v>
      </c>
      <c r="M1982">
        <v>-0.3027185</v>
      </c>
      <c r="N1982">
        <v>-1.3873129999999999E-2</v>
      </c>
      <c r="O1982">
        <v>-0.95297929999999997</v>
      </c>
      <c r="P1982">
        <v>-0.46061029999999997</v>
      </c>
      <c r="Q1982">
        <v>-0.10521850000000001</v>
      </c>
      <c r="R1982">
        <v>-0.88134419999999902</v>
      </c>
      <c r="S1982">
        <v>-2.2517399999999999</v>
      </c>
      <c r="T1982">
        <v>-0.17380809999999999</v>
      </c>
      <c r="U1982">
        <v>-2.2209469999999998</v>
      </c>
      <c r="V1982">
        <v>0.1712592</v>
      </c>
      <c r="W1982">
        <v>-9.3310799999999999E-2</v>
      </c>
      <c r="X1982">
        <v>0.98079729999999998</v>
      </c>
      <c r="Y1982">
        <v>0.4650512</v>
      </c>
      <c r="Z1982">
        <v>4.4230859999999997E-2</v>
      </c>
      <c r="AA1982">
        <v>0.88417819999999903</v>
      </c>
      <c r="AB1982">
        <v>20</v>
      </c>
      <c r="AC1982">
        <v>-14.2631999999999</v>
      </c>
      <c r="AD1982">
        <v>-1.1059904422139999</v>
      </c>
      <c r="AE1982">
        <v>-13.944699999999999</v>
      </c>
      <c r="AF1982">
        <v>9.3433915777598706</v>
      </c>
      <c r="AG1982">
        <v>-1.1059904422139999</v>
      </c>
      <c r="AH1982">
        <v>17.554468710050202</v>
      </c>
      <c r="AI1982">
        <v>93.183291844666897</v>
      </c>
      <c r="AJ1982">
        <v>61.975794400049402</v>
      </c>
      <c r="AK1982">
        <v>19.916866036747699</v>
      </c>
      <c r="AL1982">
        <v>95.354103989447296</v>
      </c>
      <c r="AM1982">
        <v>80.095313512712195</v>
      </c>
      <c r="AN1982">
        <v>0.99999998133428403</v>
      </c>
    </row>
    <row r="1983" spans="1:40" x14ac:dyDescent="0.25">
      <c r="A1983" t="str">
        <f>"20190305134939221"</f>
        <v>20190305134939221</v>
      </c>
      <c r="B1983" t="str">
        <f>"1551764979212458"</f>
        <v>1551764979212458</v>
      </c>
      <c r="C1983" t="s">
        <v>40</v>
      </c>
      <c r="D1983">
        <v>4.3121580000000002</v>
      </c>
      <c r="E1983">
        <v>0.60969169999999995</v>
      </c>
      <c r="F1983" t="s">
        <v>62</v>
      </c>
      <c r="G1983">
        <v>-209.5</v>
      </c>
      <c r="H1983" s="1">
        <v>6.6795669999999899E-6</v>
      </c>
      <c r="I1983">
        <v>281.75979999999998</v>
      </c>
      <c r="J1983">
        <v>-195.04769999999999</v>
      </c>
      <c r="K1983">
        <v>1.1058250000000001</v>
      </c>
      <c r="L1983">
        <v>295.53320000000002</v>
      </c>
      <c r="M1983">
        <v>-0.31044919999999998</v>
      </c>
      <c r="N1983">
        <v>-1.390364E-2</v>
      </c>
      <c r="O1983">
        <v>-0.95048829999999995</v>
      </c>
      <c r="P1983">
        <v>-0.47260219999999997</v>
      </c>
      <c r="Q1983">
        <v>-0.1049152</v>
      </c>
      <c r="R1983">
        <v>-0.87500879999999903</v>
      </c>
      <c r="S1983">
        <v>-2.2779389999999999</v>
      </c>
      <c r="T1983">
        <v>-0.17339540000000001</v>
      </c>
      <c r="U1983">
        <v>-2.1926570000000001</v>
      </c>
      <c r="V1983">
        <v>0.17662949999999999</v>
      </c>
      <c r="W1983">
        <v>-9.3115080000000003E-2</v>
      </c>
      <c r="X1983">
        <v>0.97986300000000004</v>
      </c>
      <c r="Y1983">
        <v>0.46863700000000003</v>
      </c>
      <c r="Z1983">
        <v>4.4163149999999998E-2</v>
      </c>
      <c r="AA1983">
        <v>0.88228629999999997</v>
      </c>
      <c r="AB1983">
        <v>20</v>
      </c>
      <c r="AC1983">
        <v>-14.452299999999999</v>
      </c>
      <c r="AD1983">
        <v>-1.1058183204330001</v>
      </c>
      <c r="AE1983">
        <v>-13.773400000000001</v>
      </c>
      <c r="AF1983">
        <v>9.4327756374835001</v>
      </c>
      <c r="AG1983">
        <v>-1.1058183204330001</v>
      </c>
      <c r="AH1983">
        <v>17.526089337018099</v>
      </c>
      <c r="AI1983">
        <v>93.180059226878797</v>
      </c>
      <c r="AJ1983">
        <v>61.710268284002296</v>
      </c>
      <c r="AK1983">
        <v>19.933988507923999</v>
      </c>
      <c r="AL1983">
        <v>95.342841198004805</v>
      </c>
      <c r="AM1983">
        <v>79.781631770103104</v>
      </c>
      <c r="AN1983">
        <v>0.99999994858132601</v>
      </c>
    </row>
    <row r="1984" spans="1:40" x14ac:dyDescent="0.25">
      <c r="A1984" t="str">
        <f>"20190305134939243"</f>
        <v>20190305134939243</v>
      </c>
      <c r="B1984" t="str">
        <f>"1551764979232954"</f>
        <v>1551764979232954</v>
      </c>
      <c r="C1984" t="s">
        <v>40</v>
      </c>
      <c r="D1984">
        <v>4.3676740000000001</v>
      </c>
      <c r="E1984">
        <v>0.61456940000000004</v>
      </c>
      <c r="F1984" t="s">
        <v>70</v>
      </c>
      <c r="G1984">
        <v>-232.36279999999999</v>
      </c>
      <c r="H1984">
        <v>5.3536599999999996</v>
      </c>
      <c r="I1984">
        <v>256.62909999999999</v>
      </c>
      <c r="J1984">
        <v>-195.11879999999999</v>
      </c>
      <c r="K1984">
        <v>1.1056490000000001</v>
      </c>
      <c r="L1984">
        <v>295.34339999999997</v>
      </c>
      <c r="M1984">
        <v>-0.31768190000000002</v>
      </c>
      <c r="N1984">
        <v>-1.393487E-2</v>
      </c>
      <c r="O1984">
        <v>-0.94809509999999997</v>
      </c>
      <c r="P1984">
        <v>-0.48353200000000002</v>
      </c>
      <c r="Q1984">
        <v>-0.1058345</v>
      </c>
      <c r="R1984">
        <v>-0.86890499999999904</v>
      </c>
      <c r="S1984">
        <v>-2.1850890000000001</v>
      </c>
      <c r="T1984">
        <v>0.24874370000000001</v>
      </c>
      <c r="U1984">
        <v>-2.2781370000000001</v>
      </c>
      <c r="V1984">
        <v>0.18142520000000001</v>
      </c>
      <c r="W1984">
        <v>-9.4138559999999996E-2</v>
      </c>
      <c r="X1984">
        <v>0.9788886</v>
      </c>
      <c r="Y1984">
        <v>0.42415999999999998</v>
      </c>
      <c r="Z1984">
        <v>-9.2249059999999994E-2</v>
      </c>
      <c r="AA1984">
        <v>0.90087649999999997</v>
      </c>
      <c r="AB1984">
        <v>20</v>
      </c>
      <c r="AC1984">
        <v>-37.244</v>
      </c>
      <c r="AD1984">
        <v>4.248011</v>
      </c>
      <c r="AE1984">
        <v>-38.714299999999902</v>
      </c>
      <c r="AF1984">
        <v>22.871239020125898</v>
      </c>
      <c r="AG1984">
        <v>4.248011</v>
      </c>
      <c r="AH1984">
        <v>48.239646639812797</v>
      </c>
      <c r="AI1984">
        <v>85.450540510498996</v>
      </c>
      <c r="AJ1984">
        <v>64.633572288266706</v>
      </c>
      <c r="AK1984">
        <v>53.5556036256325</v>
      </c>
      <c r="AL1984">
        <v>95.401740564780098</v>
      </c>
      <c r="AM1984">
        <v>79.500061013848295</v>
      </c>
      <c r="AN1984">
        <v>1.0000000314419299</v>
      </c>
    </row>
    <row r="1985" spans="1:40" x14ac:dyDescent="0.25">
      <c r="A1985" t="str">
        <f>"20190305134939264"</f>
        <v>20190305134939264</v>
      </c>
      <c r="B1985" t="str">
        <f>"1551764979252474"</f>
        <v>1551764979252474</v>
      </c>
      <c r="C1985" t="s">
        <v>40</v>
      </c>
      <c r="D1985">
        <v>4.1453620000000004</v>
      </c>
      <c r="E1985">
        <v>0.61456940000000004</v>
      </c>
      <c r="F1985" t="s">
        <v>62</v>
      </c>
      <c r="G1985">
        <v>-204.25489999999999</v>
      </c>
      <c r="H1985" s="1">
        <v>3.9351790000000001E-6</v>
      </c>
      <c r="I1985">
        <v>286.54610000000002</v>
      </c>
      <c r="J1985">
        <v>-195.18530000000001</v>
      </c>
      <c r="K1985">
        <v>1.1054649999999999</v>
      </c>
      <c r="L1985">
        <v>295.17110000000002</v>
      </c>
      <c r="M1985">
        <v>-0.32455469999999997</v>
      </c>
      <c r="N1985">
        <v>-1.3968609999999999E-2</v>
      </c>
      <c r="O1985">
        <v>-0.94576380000000004</v>
      </c>
      <c r="P1985">
        <v>-0.49376920000000002</v>
      </c>
      <c r="Q1985">
        <v>-0.1076092</v>
      </c>
      <c r="R1985">
        <v>-0.86290940000000005</v>
      </c>
      <c r="S1985">
        <v>-2.2504879999999998</v>
      </c>
      <c r="T1985">
        <v>-0.27235229999999999</v>
      </c>
      <c r="U1985">
        <v>-2.1670530000000001</v>
      </c>
      <c r="V1985">
        <v>0.18589520000000001</v>
      </c>
      <c r="W1985">
        <v>-9.6021110000000007E-2</v>
      </c>
      <c r="X1985">
        <v>0.97786649999999997</v>
      </c>
      <c r="Y1985">
        <v>0.45372459999999998</v>
      </c>
      <c r="Z1985">
        <v>7.6854510000000001E-2</v>
      </c>
      <c r="AA1985">
        <v>0.88782169999999905</v>
      </c>
      <c r="AB1985">
        <v>20</v>
      </c>
      <c r="AC1985">
        <v>-9.0695999999999799</v>
      </c>
      <c r="AD1985">
        <v>-1.1054610648209999</v>
      </c>
      <c r="AE1985">
        <v>-8.625</v>
      </c>
      <c r="AF1985">
        <v>5.7342448066894596</v>
      </c>
      <c r="AG1985">
        <v>-1.1054610648209999</v>
      </c>
      <c r="AH1985">
        <v>11.015939494062399</v>
      </c>
      <c r="AI1985">
        <v>95.086687345515301</v>
      </c>
      <c r="AJ1985">
        <v>62.501188085644998</v>
      </c>
      <c r="AK1985">
        <v>12.4681406234339</v>
      </c>
      <c r="AL1985">
        <v>95.510093879389999</v>
      </c>
      <c r="AM1985">
        <v>79.2363459531404</v>
      </c>
      <c r="AN1985">
        <v>0.99999998538545998</v>
      </c>
    </row>
    <row r="1986" spans="1:40" x14ac:dyDescent="0.25">
      <c r="A1986" t="str">
        <f>"20190305134939286"</f>
        <v>20190305134939286</v>
      </c>
      <c r="B1986" t="str">
        <f>"1551764979282730"</f>
        <v>1551764979282730</v>
      </c>
      <c r="C1986" t="s">
        <v>40</v>
      </c>
      <c r="D1986">
        <v>4.3366179999999996</v>
      </c>
      <c r="E1986">
        <v>0.6413084</v>
      </c>
      <c r="F1986" t="s">
        <v>62</v>
      </c>
      <c r="G1986">
        <v>-204.25989999999999</v>
      </c>
      <c r="H1986" s="1">
        <v>3.9292730000000001E-6</v>
      </c>
      <c r="I1986">
        <v>286.63889999999998</v>
      </c>
      <c r="J1986">
        <v>-195.2604</v>
      </c>
      <c r="K1986">
        <v>1.105229</v>
      </c>
      <c r="L1986">
        <v>294.9819</v>
      </c>
      <c r="M1986">
        <v>-0.33244390000000001</v>
      </c>
      <c r="N1986">
        <v>-1.401172E-2</v>
      </c>
      <c r="O1986">
        <v>-0.94301919999999995</v>
      </c>
      <c r="P1986">
        <v>-0.50456509999999999</v>
      </c>
      <c r="Q1986">
        <v>-0.108015</v>
      </c>
      <c r="R1986">
        <v>-0.85659039999999997</v>
      </c>
      <c r="S1986">
        <v>-2.275833</v>
      </c>
      <c r="T1986">
        <v>-0.2772405</v>
      </c>
      <c r="U1986">
        <v>-2.1398009999999998</v>
      </c>
      <c r="V1986">
        <v>0.1899575</v>
      </c>
      <c r="W1986">
        <v>-9.6544980000000002E-2</v>
      </c>
      <c r="X1986">
        <v>0.97703390000000001</v>
      </c>
      <c r="Y1986">
        <v>0.45675779999999999</v>
      </c>
      <c r="Z1986">
        <v>7.8468499999999997E-2</v>
      </c>
      <c r="AA1986">
        <v>0.88612359999999901</v>
      </c>
      <c r="AB1986">
        <v>20</v>
      </c>
      <c r="AC1986">
        <v>-8.9994999999999798</v>
      </c>
      <c r="AD1986">
        <v>-1.1052250707269999</v>
      </c>
      <c r="AE1986">
        <v>-8.3430000000000106</v>
      </c>
      <c r="AF1986">
        <v>5.66770931534412</v>
      </c>
      <c r="AG1986">
        <v>-1.1052250707269999</v>
      </c>
      <c r="AH1986">
        <v>10.773118458715601</v>
      </c>
      <c r="AI1986">
        <v>95.187821801562606</v>
      </c>
      <c r="AJ1986">
        <v>62.251260035388498</v>
      </c>
      <c r="AK1986">
        <v>12.2231146875795</v>
      </c>
      <c r="AL1986">
        <v>95.540249368010393</v>
      </c>
      <c r="AM1986">
        <v>78.997663518972601</v>
      </c>
      <c r="AN1986">
        <v>1.0000000133593301</v>
      </c>
    </row>
    <row r="1987" spans="1:40" x14ac:dyDescent="0.25">
      <c r="A1987" t="str">
        <f>"20190305134939309"</f>
        <v>20190305134939309</v>
      </c>
      <c r="B1987" t="str">
        <f>"1551764979302251"</f>
        <v>1551764979302251</v>
      </c>
      <c r="C1987" t="s">
        <v>40</v>
      </c>
      <c r="D1987">
        <v>4.3298560000000004</v>
      </c>
      <c r="E1987">
        <v>0.64815230000000001</v>
      </c>
      <c r="F1987" t="s">
        <v>62</v>
      </c>
      <c r="G1987">
        <v>-204.08519999999999</v>
      </c>
      <c r="H1987" s="1">
        <v>3.7422419999999998E-6</v>
      </c>
      <c r="I1987">
        <v>287.89210000000003</v>
      </c>
      <c r="J1987">
        <v>-195.33799999999999</v>
      </c>
      <c r="K1987">
        <v>1.10497</v>
      </c>
      <c r="L1987">
        <v>294.79219999999998</v>
      </c>
      <c r="M1987">
        <v>-0.34074840000000001</v>
      </c>
      <c r="N1987">
        <v>-1.406146E-2</v>
      </c>
      <c r="O1987">
        <v>-0.94004940000000003</v>
      </c>
      <c r="P1987">
        <v>-0.51531740000000004</v>
      </c>
      <c r="Q1987">
        <v>-0.1067741</v>
      </c>
      <c r="R1987">
        <v>-0.85032229999999998</v>
      </c>
      <c r="S1987">
        <v>-2.4870299999999999</v>
      </c>
      <c r="T1987">
        <v>-0.31147580000000002</v>
      </c>
      <c r="U1987">
        <v>-1.9980469999999999</v>
      </c>
      <c r="V1987">
        <v>0.1935462</v>
      </c>
      <c r="W1987">
        <v>-9.54237E-2</v>
      </c>
      <c r="X1987">
        <v>0.97643950000000002</v>
      </c>
      <c r="Y1987">
        <v>0.51598279999999996</v>
      </c>
      <c r="Z1987">
        <v>8.8780129999999999E-2</v>
      </c>
      <c r="AA1987">
        <v>0.85198580000000002</v>
      </c>
      <c r="AB1987">
        <v>20</v>
      </c>
      <c r="AC1987">
        <v>-8.7471999999999905</v>
      </c>
      <c r="AD1987">
        <v>-1.1049662577579999</v>
      </c>
      <c r="AE1987">
        <v>-6.9000999999999504</v>
      </c>
      <c r="AF1987">
        <v>5.8149835372629104</v>
      </c>
      <c r="AG1987">
        <v>-1.1049662577579999</v>
      </c>
      <c r="AH1987">
        <v>9.3757408332566001</v>
      </c>
      <c r="AI1987">
        <v>95.719359708003196</v>
      </c>
      <c r="AJ1987">
        <v>58.1921526540876</v>
      </c>
      <c r="AK1987">
        <v>11.0878086266772</v>
      </c>
      <c r="AL1987">
        <v>95.475707067604304</v>
      </c>
      <c r="AM1987">
        <v>78.788370323715796</v>
      </c>
      <c r="AN1987">
        <v>0.999999955608189</v>
      </c>
    </row>
    <row r="1988" spans="1:40" x14ac:dyDescent="0.25">
      <c r="A1988" t="str">
        <f>"20190305134939332"</f>
        <v>20190305134939332</v>
      </c>
      <c r="B1988" t="str">
        <f>"1551764979322746"</f>
        <v>1551764979322746</v>
      </c>
      <c r="C1988" t="s">
        <v>40</v>
      </c>
      <c r="D1988">
        <v>4.3199680000000003</v>
      </c>
      <c r="E1988">
        <v>0.65148869999999903</v>
      </c>
      <c r="F1988" t="s">
        <v>62</v>
      </c>
      <c r="G1988">
        <v>-204.33760000000001</v>
      </c>
      <c r="H1988" s="1">
        <v>3.8467699999999998E-6</v>
      </c>
      <c r="I1988">
        <v>287.97660000000002</v>
      </c>
      <c r="J1988">
        <v>-195.4187</v>
      </c>
      <c r="K1988">
        <v>1.1046929999999999</v>
      </c>
      <c r="L1988">
        <v>294.60160000000002</v>
      </c>
      <c r="M1988">
        <v>-0.34956530000000002</v>
      </c>
      <c r="N1988">
        <v>-1.411839E-2</v>
      </c>
      <c r="O1988">
        <v>-0.93680569999999996</v>
      </c>
      <c r="P1988">
        <v>-0.52665280000000003</v>
      </c>
      <c r="Q1988">
        <v>-0.1067116</v>
      </c>
      <c r="R1988">
        <v>-0.84335640000000001</v>
      </c>
      <c r="S1988">
        <v>-2.5588679999999999</v>
      </c>
      <c r="T1988">
        <v>-0.31417489999999998</v>
      </c>
      <c r="U1988">
        <v>-1.937897</v>
      </c>
      <c r="V1988">
        <v>0.19737150000000001</v>
      </c>
      <c r="W1988">
        <v>-9.5491759999999995E-2</v>
      </c>
      <c r="X1988">
        <v>0.97566679999999995</v>
      </c>
      <c r="Y1988">
        <v>0.53219189999999905</v>
      </c>
      <c r="Z1988">
        <v>8.9389380000000004E-2</v>
      </c>
      <c r="AA1988">
        <v>0.84189150000000001</v>
      </c>
      <c r="AB1988">
        <v>20</v>
      </c>
      <c r="AC1988">
        <v>-8.9189000000000007</v>
      </c>
      <c r="AD1988">
        <v>-1.1046891532299901</v>
      </c>
      <c r="AE1988">
        <v>-6.625</v>
      </c>
      <c r="AF1988">
        <v>5.9808790906531799</v>
      </c>
      <c r="AG1988">
        <v>-1.1046891532299901</v>
      </c>
      <c r="AH1988">
        <v>9.2337172280045596</v>
      </c>
      <c r="AI1988">
        <v>95.734011047020104</v>
      </c>
      <c r="AJ1988">
        <v>57.067993577384797</v>
      </c>
      <c r="AK1988">
        <v>11.0567982105591</v>
      </c>
      <c r="AL1988">
        <v>95.479624566269294</v>
      </c>
      <c r="AM1988">
        <v>78.563744428454797</v>
      </c>
      <c r="AN1988">
        <v>0.99999994493119204</v>
      </c>
    </row>
    <row r="1989" spans="1:40" x14ac:dyDescent="0.25">
      <c r="A1989" t="str">
        <f>"20190305134939353"</f>
        <v>20190305134939353</v>
      </c>
      <c r="B1989" t="str">
        <f>"1551764979342269"</f>
        <v>1551764979342269</v>
      </c>
      <c r="C1989" t="s">
        <v>40</v>
      </c>
      <c r="D1989">
        <v>4.3542319999999997</v>
      </c>
      <c r="E1989">
        <v>0.65266230000000003</v>
      </c>
      <c r="F1989" t="s">
        <v>62</v>
      </c>
      <c r="G1989">
        <v>-204.4615</v>
      </c>
      <c r="H1989" s="1">
        <v>3.8953699999999996E-6</v>
      </c>
      <c r="I1989">
        <v>288.04919999999998</v>
      </c>
      <c r="J1989">
        <v>-195.49850000000001</v>
      </c>
      <c r="K1989">
        <v>1.1044339999999999</v>
      </c>
      <c r="L1989">
        <v>294.41930000000002</v>
      </c>
      <c r="M1989">
        <v>-0.35843930000000002</v>
      </c>
      <c r="N1989">
        <v>-1.4178049999999999E-2</v>
      </c>
      <c r="O1989">
        <v>-0.93344559999999999</v>
      </c>
      <c r="P1989">
        <v>-0.53817859999999995</v>
      </c>
      <c r="Q1989">
        <v>-0.10691929999999999</v>
      </c>
      <c r="R1989">
        <v>-0.83602160000000003</v>
      </c>
      <c r="S1989">
        <v>-2.6069339999999999</v>
      </c>
      <c r="T1989">
        <v>-0.31846859999999999</v>
      </c>
      <c r="U1989">
        <v>-1.8889769999999999</v>
      </c>
      <c r="V1989">
        <v>0.2014447</v>
      </c>
      <c r="W1989">
        <v>-9.5831159999999999E-2</v>
      </c>
      <c r="X1989">
        <v>0.97480069999999996</v>
      </c>
      <c r="Y1989">
        <v>0.54181919999999995</v>
      </c>
      <c r="Z1989">
        <v>9.0670070000000005E-2</v>
      </c>
      <c r="AA1989">
        <v>0.83559019999999995</v>
      </c>
      <c r="AB1989">
        <v>20</v>
      </c>
      <c r="AC1989">
        <v>-8.9629999999999903</v>
      </c>
      <c r="AD1989">
        <v>-1.10443010463</v>
      </c>
      <c r="AE1989">
        <v>-6.3701000000000301</v>
      </c>
      <c r="AF1989">
        <v>6.0230290808873699</v>
      </c>
      <c r="AG1989">
        <v>-1.10443010463</v>
      </c>
      <c r="AH1989">
        <v>9.0682719601945596</v>
      </c>
      <c r="AI1989">
        <v>95.792942083287997</v>
      </c>
      <c r="AJ1989">
        <v>56.408401087085103</v>
      </c>
      <c r="AK1989">
        <v>10.942129660595199</v>
      </c>
      <c r="AL1989">
        <v>95.499160090372797</v>
      </c>
      <c r="AM1989">
        <v>78.324057617597603</v>
      </c>
      <c r="AN1989">
        <v>0.99999999155276198</v>
      </c>
    </row>
    <row r="1990" spans="1:40" x14ac:dyDescent="0.25">
      <c r="A1990" t="str">
        <f>"20190305134939375"</f>
        <v>20190305134939375</v>
      </c>
      <c r="B1990" t="str">
        <f>"1551764979372522"</f>
        <v>1551764979372522</v>
      </c>
      <c r="C1990" t="s">
        <v>40</v>
      </c>
      <c r="D1990">
        <v>4.1024789999999998</v>
      </c>
      <c r="E1990">
        <v>0.653559</v>
      </c>
      <c r="F1990" t="s">
        <v>62</v>
      </c>
      <c r="G1990">
        <v>-204.5624</v>
      </c>
      <c r="H1990" s="1">
        <v>3.9377359999999997E-6</v>
      </c>
      <c r="I1990">
        <v>288.07650000000001</v>
      </c>
      <c r="J1990">
        <v>-195.5789</v>
      </c>
      <c r="K1990">
        <v>1.1042149999999999</v>
      </c>
      <c r="L1990">
        <v>294.24130000000002</v>
      </c>
      <c r="M1990">
        <v>-0.36747659999999999</v>
      </c>
      <c r="N1990">
        <v>-1.423809E-2</v>
      </c>
      <c r="O1990">
        <v>-0.92992370000000002</v>
      </c>
      <c r="P1990">
        <v>-0.55003930000000001</v>
      </c>
      <c r="Q1990">
        <v>-0.1068312</v>
      </c>
      <c r="R1990">
        <v>-0.82827770000000001</v>
      </c>
      <c r="S1990">
        <v>-2.6402739999999998</v>
      </c>
      <c r="T1990">
        <v>-0.32171339999999998</v>
      </c>
      <c r="U1990">
        <v>-1.847626</v>
      </c>
      <c r="V1990">
        <v>0.20582030000000001</v>
      </c>
      <c r="W1990">
        <v>-9.5866610000000005E-2</v>
      </c>
      <c r="X1990">
        <v>0.97388269999999999</v>
      </c>
      <c r="Y1990">
        <v>0.54733769999999904</v>
      </c>
      <c r="Z1990">
        <v>9.1709990000000005E-2</v>
      </c>
      <c r="AA1990">
        <v>0.8318719</v>
      </c>
      <c r="AB1990">
        <v>20</v>
      </c>
      <c r="AC1990">
        <v>-8.9834999999999905</v>
      </c>
      <c r="AD1990">
        <v>-1.104211062264</v>
      </c>
      <c r="AE1990">
        <v>-6.1648000000000103</v>
      </c>
      <c r="AF1990">
        <v>6.0272598679672997</v>
      </c>
      <c r="AG1990">
        <v>-1.104211062264</v>
      </c>
      <c r="AH1990">
        <v>8.9430793549221903</v>
      </c>
      <c r="AI1990">
        <v>95.846041672977705</v>
      </c>
      <c r="AJ1990">
        <v>56.021684689115602</v>
      </c>
      <c r="AK1990">
        <v>10.8409322447135</v>
      </c>
      <c r="AL1990">
        <v>95.501200805282295</v>
      </c>
      <c r="AM1990">
        <v>78.066711147860403</v>
      </c>
      <c r="AN1990">
        <v>0.99999995808213504</v>
      </c>
    </row>
    <row r="1991" spans="1:40" x14ac:dyDescent="0.25">
      <c r="A1991" t="str">
        <f>"20190305134939397"</f>
        <v>20190305134939397</v>
      </c>
      <c r="B1991" t="str">
        <f>"1551764979393018"</f>
        <v>1551764979393018</v>
      </c>
      <c r="C1991" t="s">
        <v>40</v>
      </c>
      <c r="D1991">
        <v>4.3851370000000003</v>
      </c>
      <c r="E1991">
        <v>0.6536478</v>
      </c>
      <c r="F1991" t="s">
        <v>62</v>
      </c>
      <c r="G1991">
        <v>-204.64529999999999</v>
      </c>
      <c r="H1991" s="1">
        <v>3.9709460000000004E-6</v>
      </c>
      <c r="I1991">
        <v>288.11709999999999</v>
      </c>
      <c r="J1991">
        <v>-195.6643</v>
      </c>
      <c r="K1991">
        <v>1.1040140000000001</v>
      </c>
      <c r="L1991">
        <v>294.0582</v>
      </c>
      <c r="M1991">
        <v>-0.37714819999999999</v>
      </c>
      <c r="N1991">
        <v>-1.429917E-2</v>
      </c>
      <c r="O1991">
        <v>-0.9260427</v>
      </c>
      <c r="P1991">
        <v>-0.56220539999999997</v>
      </c>
      <c r="Q1991">
        <v>-0.1071294</v>
      </c>
      <c r="R1991">
        <v>-0.82002969999999897</v>
      </c>
      <c r="S1991">
        <v>-2.6725159999999999</v>
      </c>
      <c r="T1991">
        <v>-0.32548899999999997</v>
      </c>
      <c r="U1991">
        <v>-1.805237</v>
      </c>
      <c r="V1991">
        <v>0.21000260000000001</v>
      </c>
      <c r="W1991">
        <v>-9.6278230000000006E-2</v>
      </c>
      <c r="X1991">
        <v>0.97294879999999995</v>
      </c>
      <c r="Y1991">
        <v>0.5522454</v>
      </c>
      <c r="Z1991">
        <v>9.292019E-2</v>
      </c>
      <c r="AA1991">
        <v>0.82848709999999903</v>
      </c>
      <c r="AB1991">
        <v>20</v>
      </c>
      <c r="AC1991">
        <v>-8.9809999999999892</v>
      </c>
      <c r="AD1991">
        <v>-1.104010029054</v>
      </c>
      <c r="AE1991">
        <v>-5.9410999999999996</v>
      </c>
      <c r="AF1991">
        <v>6.01352467741882</v>
      </c>
      <c r="AG1991">
        <v>-1.104010029054</v>
      </c>
      <c r="AH1991">
        <v>8.7973165181798194</v>
      </c>
      <c r="AI1991">
        <v>95.914872461265404</v>
      </c>
      <c r="AJ1991">
        <v>55.6449128138417</v>
      </c>
      <c r="AK1991">
        <v>10.7132672472601</v>
      </c>
      <c r="AL1991">
        <v>95.524894380847002</v>
      </c>
      <c r="AM1991">
        <v>77.820050874550503</v>
      </c>
      <c r="AN1991">
        <v>0.99999997850006594</v>
      </c>
    </row>
    <row r="1992" spans="1:40" x14ac:dyDescent="0.25">
      <c r="A1992" t="str">
        <f>"20190305134939423"</f>
        <v>20190305134939423</v>
      </c>
      <c r="B1992" t="str">
        <f>"1551764979412538"</f>
        <v>1551764979412538</v>
      </c>
      <c r="C1992" t="s">
        <v>40</v>
      </c>
      <c r="D1992">
        <v>4.3798649999999997</v>
      </c>
      <c r="E1992">
        <v>0.65333999999999903</v>
      </c>
      <c r="F1992" t="s">
        <v>62</v>
      </c>
      <c r="G1992">
        <v>-204.68260000000001</v>
      </c>
      <c r="H1992" s="1">
        <v>3.9834529999999998E-6</v>
      </c>
      <c r="I1992">
        <v>288.16300000000001</v>
      </c>
      <c r="J1992">
        <v>-195.76150000000001</v>
      </c>
      <c r="K1992">
        <v>1.103815</v>
      </c>
      <c r="L1992">
        <v>293.85680000000002</v>
      </c>
      <c r="M1992">
        <v>-0.38822699999999999</v>
      </c>
      <c r="N1992">
        <v>-1.43663E-2</v>
      </c>
      <c r="O1992">
        <v>-0.92145189999999999</v>
      </c>
      <c r="P1992">
        <v>-0.57641739999999997</v>
      </c>
      <c r="Q1992">
        <v>-0.1077008</v>
      </c>
      <c r="R1992">
        <v>-0.81002680000000005</v>
      </c>
      <c r="S1992">
        <v>-2.6993870000000002</v>
      </c>
      <c r="T1992">
        <v>-0.3304571</v>
      </c>
      <c r="U1992">
        <v>-1.7645569999999999</v>
      </c>
      <c r="V1992">
        <v>0.21526139999999999</v>
      </c>
      <c r="W1992">
        <v>-9.6982940000000004E-2</v>
      </c>
      <c r="X1992">
        <v>0.97172879999999995</v>
      </c>
      <c r="Y1992">
        <v>0.55464910000000001</v>
      </c>
      <c r="Z1992">
        <v>9.4513860000000005E-2</v>
      </c>
      <c r="AA1992">
        <v>0.82669910000000002</v>
      </c>
      <c r="AB1992">
        <v>20</v>
      </c>
      <c r="AC1992">
        <v>-8.9210999999999903</v>
      </c>
      <c r="AD1992">
        <v>-1.1038110165469901</v>
      </c>
      <c r="AE1992">
        <v>-5.6938000000000004</v>
      </c>
      <c r="AF1992">
        <v>5.9458185075262202</v>
      </c>
      <c r="AG1992">
        <v>-1.1038110165469901</v>
      </c>
      <c r="AH1992">
        <v>8.6171353016542191</v>
      </c>
      <c r="AI1992">
        <v>96.018595604782206</v>
      </c>
      <c r="AJ1992">
        <v>55.394346297829898</v>
      </c>
      <c r="AK1992">
        <v>10.527401260126201</v>
      </c>
      <c r="AL1992">
        <v>95.565460950275593</v>
      </c>
      <c r="AM1992">
        <v>77.509312120457196</v>
      </c>
      <c r="AN1992">
        <v>1.0000000108652201</v>
      </c>
    </row>
    <row r="1993" spans="1:40" x14ac:dyDescent="0.25">
      <c r="A1993" t="str">
        <f>"20190305134939445"</f>
        <v>20190305134939445</v>
      </c>
      <c r="B1993" t="str">
        <f>"1551764979442794"</f>
        <v>1551764979442794</v>
      </c>
      <c r="C1993" t="s">
        <v>40</v>
      </c>
      <c r="D1993">
        <v>4.3886289999999999</v>
      </c>
      <c r="E1993">
        <v>0.65299499999999999</v>
      </c>
      <c r="F1993" t="s">
        <v>62</v>
      </c>
      <c r="G1993">
        <v>-204.74469999999999</v>
      </c>
      <c r="H1993" s="1">
        <v>4.0079189999999997E-6</v>
      </c>
      <c r="I1993">
        <v>288.19850000000002</v>
      </c>
      <c r="J1993">
        <v>-195.85319999999999</v>
      </c>
      <c r="K1993">
        <v>1.103634</v>
      </c>
      <c r="L1993">
        <v>293.67309999999998</v>
      </c>
      <c r="M1993">
        <v>-0.39874080000000001</v>
      </c>
      <c r="N1993">
        <v>-1.4431599999999999E-2</v>
      </c>
      <c r="O1993">
        <v>-0.91695000000000004</v>
      </c>
      <c r="P1993">
        <v>-0.59270149999999999</v>
      </c>
      <c r="Q1993">
        <v>-0.10812479999999999</v>
      </c>
      <c r="R1993">
        <v>-0.79813149999999999</v>
      </c>
      <c r="S1993">
        <v>-2.727554</v>
      </c>
      <c r="T1993">
        <v>-0.33514559999999999</v>
      </c>
      <c r="U1993">
        <v>-1.718018</v>
      </c>
      <c r="V1993">
        <v>0.22377630000000001</v>
      </c>
      <c r="W1993">
        <v>-9.7599130000000006E-2</v>
      </c>
      <c r="X1993">
        <v>0.96974150000000003</v>
      </c>
      <c r="Y1993">
        <v>0.55894270000000001</v>
      </c>
      <c r="Z1993">
        <v>9.611277E-2</v>
      </c>
      <c r="AA1993">
        <v>0.82361719999999905</v>
      </c>
      <c r="AB1993">
        <v>20</v>
      </c>
      <c r="AC1993">
        <v>-8.8915000000000006</v>
      </c>
      <c r="AD1993">
        <v>-1.103629992081</v>
      </c>
      <c r="AE1993">
        <v>-5.47459999999995</v>
      </c>
      <c r="AF1993">
        <v>5.9047733709227597</v>
      </c>
      <c r="AG1993">
        <v>-1.103629992081</v>
      </c>
      <c r="AH1993">
        <v>8.4715931522897492</v>
      </c>
      <c r="AI1993">
        <v>96.100316700087703</v>
      </c>
      <c r="AJ1993">
        <v>55.123171060223001</v>
      </c>
      <c r="AK1993">
        <v>10.3851932220494</v>
      </c>
      <c r="AL1993">
        <v>95.600934386059393</v>
      </c>
      <c r="AM1993">
        <v>77.005955390523894</v>
      </c>
      <c r="AN1993">
        <v>0.99999999972034803</v>
      </c>
    </row>
    <row r="1994" spans="1:40" x14ac:dyDescent="0.25">
      <c r="A1994" t="str">
        <f>"20190305134939477"</f>
        <v>20190305134939477</v>
      </c>
      <c r="B1994" t="str">
        <f>"1551764979473051"</f>
        <v>1551764979473051</v>
      </c>
      <c r="C1994" t="s">
        <v>40</v>
      </c>
      <c r="D1994">
        <v>4.4061009999999996</v>
      </c>
      <c r="E1994">
        <v>0.65172759999999996</v>
      </c>
      <c r="F1994" t="s">
        <v>62</v>
      </c>
      <c r="G1994">
        <v>-204.8381</v>
      </c>
      <c r="H1994" s="1">
        <v>4.0443520000000001E-6</v>
      </c>
      <c r="I1994">
        <v>288.25540000000001</v>
      </c>
      <c r="J1994">
        <v>-195.98570000000001</v>
      </c>
      <c r="K1994">
        <v>1.10337</v>
      </c>
      <c r="L1994">
        <v>293.41879999999998</v>
      </c>
      <c r="M1994">
        <v>-0.4139699</v>
      </c>
      <c r="N1994">
        <v>-1.4532299999999901E-2</v>
      </c>
      <c r="O1994">
        <v>-0.9101747</v>
      </c>
      <c r="P1994">
        <v>-0.61263690000000004</v>
      </c>
      <c r="Q1994">
        <v>-0.1085851</v>
      </c>
      <c r="R1994">
        <v>-0.78287019999999996</v>
      </c>
      <c r="S1994">
        <v>-2.759277</v>
      </c>
      <c r="T1994">
        <v>-0.3389277</v>
      </c>
      <c r="U1994">
        <v>-1.663788</v>
      </c>
      <c r="V1994">
        <v>0.23199719999999999</v>
      </c>
      <c r="W1994">
        <v>-9.8272540000000005E-2</v>
      </c>
      <c r="X1994">
        <v>0.96773949999999997</v>
      </c>
      <c r="Y1994">
        <v>0.56108610000000003</v>
      </c>
      <c r="Z1994">
        <v>9.7304970000000005E-2</v>
      </c>
      <c r="AA1994">
        <v>0.82201840000000004</v>
      </c>
      <c r="AB1994">
        <v>20</v>
      </c>
      <c r="AC1994">
        <v>-8.8523999999999798</v>
      </c>
      <c r="AD1994">
        <v>-1.103365955648</v>
      </c>
      <c r="AE1994">
        <v>-5.1633999999999602</v>
      </c>
      <c r="AF1994">
        <v>5.8525226381249498</v>
      </c>
      <c r="AG1994">
        <v>-1.103365955648</v>
      </c>
      <c r="AH1994">
        <v>8.2692515803760003</v>
      </c>
      <c r="AI1994">
        <v>96.2157171741908</v>
      </c>
      <c r="AJ1994">
        <v>54.711234048120403</v>
      </c>
      <c r="AK1994">
        <v>10.1906800244831</v>
      </c>
      <c r="AL1994">
        <v>95.639704503746003</v>
      </c>
      <c r="AM1994">
        <v>76.518838412397699</v>
      </c>
      <c r="AN1994">
        <v>0.99999996639306998</v>
      </c>
    </row>
    <row r="1995" spans="1:40" x14ac:dyDescent="0.25">
      <c r="A1995" t="str">
        <f>"20190305134939498"</f>
        <v>20190305134939498</v>
      </c>
      <c r="B1995" t="str">
        <f>"1551764979492570"</f>
        <v>1551764979492570</v>
      </c>
      <c r="C1995" t="s">
        <v>40</v>
      </c>
      <c r="D1995">
        <v>4.4603070000000002</v>
      </c>
      <c r="E1995">
        <v>0.65099229999999997</v>
      </c>
      <c r="F1995" t="s">
        <v>62</v>
      </c>
      <c r="G1995">
        <v>-205.00210000000001</v>
      </c>
      <c r="H1995" s="1">
        <v>4.1170489999999996E-6</v>
      </c>
      <c r="I1995">
        <v>288.25569999999999</v>
      </c>
      <c r="J1995">
        <v>-196.07839999999999</v>
      </c>
      <c r="K1995">
        <v>1.1031820000000001</v>
      </c>
      <c r="L1995">
        <v>293.24779999999998</v>
      </c>
      <c r="M1995">
        <v>-0.42461729999999998</v>
      </c>
      <c r="N1995">
        <v>-1.460406E-2</v>
      </c>
      <c r="O1995">
        <v>-0.90525509999999998</v>
      </c>
      <c r="P1995">
        <v>-0.62579200000000001</v>
      </c>
      <c r="Q1995">
        <v>-0.1084656</v>
      </c>
      <c r="R1995">
        <v>-0.77241179999999998</v>
      </c>
      <c r="S1995">
        <v>-2.7927249999999999</v>
      </c>
      <c r="T1995">
        <v>-0.34175650000000002</v>
      </c>
      <c r="U1995">
        <v>-1.599213</v>
      </c>
      <c r="V1995">
        <v>0.23695479999999999</v>
      </c>
      <c r="W1995">
        <v>-9.8291429999999999E-2</v>
      </c>
      <c r="X1995">
        <v>0.9665357</v>
      </c>
      <c r="Y1995">
        <v>0.56978640000000003</v>
      </c>
      <c r="Z1995">
        <v>9.8526139999999998E-2</v>
      </c>
      <c r="AA1995">
        <v>0.81586530000000002</v>
      </c>
      <c r="AB1995">
        <v>20</v>
      </c>
      <c r="AC1995">
        <v>-8.9237000000000197</v>
      </c>
      <c r="AD1995">
        <v>-1.1031778829509999</v>
      </c>
      <c r="AE1995">
        <v>-4.99209999999999</v>
      </c>
      <c r="AF1995">
        <v>5.8905625583969501</v>
      </c>
      <c r="AG1995">
        <v>-1.1031778829509999</v>
      </c>
      <c r="AH1995">
        <v>8.2135620479567404</v>
      </c>
      <c r="AI1995">
        <v>96.228869503233099</v>
      </c>
      <c r="AJ1995">
        <v>54.352849530176002</v>
      </c>
      <c r="AK1995">
        <v>10.1675134724009</v>
      </c>
      <c r="AL1995">
        <v>95.640791777932506</v>
      </c>
      <c r="AM1995">
        <v>76.225112493829698</v>
      </c>
      <c r="AN1995">
        <v>1.0000000209144799</v>
      </c>
    </row>
    <row r="1996" spans="1:40" x14ac:dyDescent="0.25">
      <c r="A1996" t="str">
        <f>"20190305134939521"</f>
        <v>20190305134939521</v>
      </c>
      <c r="B1996" t="str">
        <f>"1551764979512369"</f>
        <v>1551764979512369</v>
      </c>
      <c r="C1996" t="s">
        <v>40</v>
      </c>
      <c r="D1996">
        <v>3.9920270000000002</v>
      </c>
      <c r="E1996">
        <v>0.65099229999999997</v>
      </c>
      <c r="F1996" t="s">
        <v>62</v>
      </c>
      <c r="G1996">
        <v>-205.20760000000001</v>
      </c>
      <c r="H1996" s="1">
        <v>4.2127700000000002E-6</v>
      </c>
      <c r="I1996">
        <v>288.2029</v>
      </c>
      <c r="J1996">
        <v>-196.1764</v>
      </c>
      <c r="K1996">
        <v>1.1030139999999999</v>
      </c>
      <c r="L1996">
        <v>293.07319999999999</v>
      </c>
      <c r="M1996">
        <v>-0.4358205</v>
      </c>
      <c r="N1996">
        <v>-1.4677259999999999E-2</v>
      </c>
      <c r="O1996">
        <v>-0.89991399999999999</v>
      </c>
      <c r="P1996">
        <v>-0.63942589999999999</v>
      </c>
      <c r="Q1996">
        <v>-0.10710980000000001</v>
      </c>
      <c r="R1996">
        <v>-0.76135559999999902</v>
      </c>
      <c r="S1996">
        <v>-2.8149259999999998</v>
      </c>
      <c r="T1996">
        <v>-0.34016079999999999</v>
      </c>
      <c r="U1996">
        <v>-1.5555730000000001</v>
      </c>
      <c r="V1996">
        <v>0.24202699999999999</v>
      </c>
      <c r="W1996">
        <v>-9.7073320000000005E-2</v>
      </c>
      <c r="X1996">
        <v>0.96540130000000002</v>
      </c>
      <c r="Y1996">
        <v>0.57205519999999999</v>
      </c>
      <c r="Z1996">
        <v>9.805092E-2</v>
      </c>
      <c r="AA1996">
        <v>0.81433339999999999</v>
      </c>
      <c r="AB1996">
        <v>20</v>
      </c>
      <c r="AC1996">
        <v>-9.0312000000000108</v>
      </c>
      <c r="AD1996">
        <v>-1.10300978723</v>
      </c>
      <c r="AE1996">
        <v>-4.8702999999999799</v>
      </c>
      <c r="AF1996">
        <v>5.9367686239627497</v>
      </c>
      <c r="AG1996">
        <v>-1.10300978723</v>
      </c>
      <c r="AH1996">
        <v>8.2246853892497001</v>
      </c>
      <c r="AI1996">
        <v>96.205988039751801</v>
      </c>
      <c r="AJ1996">
        <v>54.177375476996701</v>
      </c>
      <c r="AK1996">
        <v>10.203298586110799</v>
      </c>
      <c r="AL1996">
        <v>95.570664041625704</v>
      </c>
      <c r="AM1996">
        <v>75.925965020466194</v>
      </c>
      <c r="AN1996">
        <v>0.99999998411325597</v>
      </c>
    </row>
    <row r="1997" spans="1:40" x14ac:dyDescent="0.25">
      <c r="A1997" t="str">
        <f>"20190305134939543"</f>
        <v>20190305134939543</v>
      </c>
      <c r="B1997" t="str">
        <f>"1551764979532865"</f>
        <v>1551764979532865</v>
      </c>
      <c r="C1997" t="s">
        <v>40</v>
      </c>
      <c r="D1997">
        <v>4.5564669999999996</v>
      </c>
      <c r="E1997">
        <v>0.70547459999999995</v>
      </c>
      <c r="F1997" t="s">
        <v>62</v>
      </c>
      <c r="G1997">
        <v>-205.46889999999999</v>
      </c>
      <c r="H1997" s="1">
        <v>4.3332710000000003E-6</v>
      </c>
      <c r="I1997">
        <v>288.15010000000001</v>
      </c>
      <c r="J1997">
        <v>-196.27539999999999</v>
      </c>
      <c r="K1997">
        <v>1.1028629999999999</v>
      </c>
      <c r="L1997">
        <v>292.9024</v>
      </c>
      <c r="M1997">
        <v>-0.44711580000000001</v>
      </c>
      <c r="N1997">
        <v>-1.474835E-2</v>
      </c>
      <c r="O1997">
        <v>-0.89435469999999895</v>
      </c>
      <c r="P1997">
        <v>-0.65285219999999999</v>
      </c>
      <c r="Q1997">
        <v>-0.104348</v>
      </c>
      <c r="R1997">
        <v>-0.75026380000000004</v>
      </c>
      <c r="S1997">
        <v>-2.8422239999999999</v>
      </c>
      <c r="T1997">
        <v>-0.3373699</v>
      </c>
      <c r="U1997">
        <v>-1.505798</v>
      </c>
      <c r="V1997">
        <v>0.2468484</v>
      </c>
      <c r="W1997">
        <v>-9.4441440000000001E-2</v>
      </c>
      <c r="X1997">
        <v>0.96444110000000005</v>
      </c>
      <c r="Y1997">
        <v>0.57619869999999995</v>
      </c>
      <c r="Z1997">
        <v>9.7175200000000003E-2</v>
      </c>
      <c r="AA1997">
        <v>0.81151219999999902</v>
      </c>
      <c r="AB1997">
        <v>20</v>
      </c>
      <c r="AC1997">
        <v>-9.1935000000000002</v>
      </c>
      <c r="AD1997">
        <v>-1.1028586667289999</v>
      </c>
      <c r="AE1997">
        <v>-4.7522999999999902</v>
      </c>
      <c r="AF1997">
        <v>6.0296104884866297</v>
      </c>
      <c r="AG1997">
        <v>-1.1028586667289999</v>
      </c>
      <c r="AH1997">
        <v>8.2678182800947493</v>
      </c>
      <c r="AI1997">
        <v>96.151330059380399</v>
      </c>
      <c r="AJ1997">
        <v>53.897223578259997</v>
      </c>
      <c r="AK1997">
        <v>10.2921969955066</v>
      </c>
      <c r="AL1997">
        <v>95.4191722680212</v>
      </c>
      <c r="AM1997">
        <v>75.643368778961403</v>
      </c>
      <c r="AN1997">
        <v>0.99999997677052099</v>
      </c>
    </row>
    <row r="1998" spans="1:40" x14ac:dyDescent="0.25">
      <c r="A1998" t="str">
        <f>"20190305134939566"</f>
        <v>20190305134939566</v>
      </c>
      <c r="B1998" t="str">
        <f>"1551764979562148"</f>
        <v>1551764979562148</v>
      </c>
      <c r="C1998" t="s">
        <v>40</v>
      </c>
      <c r="D1998">
        <v>4.4546469999999996</v>
      </c>
      <c r="E1998">
        <v>0.70055419999999902</v>
      </c>
      <c r="F1998" t="s">
        <v>62</v>
      </c>
      <c r="G1998">
        <v>-204.47659999999999</v>
      </c>
      <c r="H1998">
        <v>8.0000310000000005E-2</v>
      </c>
      <c r="I1998">
        <v>289.92020000000002</v>
      </c>
      <c r="J1998">
        <v>-196.3785</v>
      </c>
      <c r="K1998">
        <v>1.1027180000000001</v>
      </c>
      <c r="L1998">
        <v>292.73050000000001</v>
      </c>
      <c r="M1998">
        <v>-0.45884449999999999</v>
      </c>
      <c r="N1998">
        <v>-1.482253E-2</v>
      </c>
      <c r="O1998">
        <v>-0.88839299999999999</v>
      </c>
      <c r="P1998">
        <v>-0.66525239999999997</v>
      </c>
      <c r="Q1998">
        <v>-0.10138</v>
      </c>
      <c r="R1998">
        <v>-0.73970360000000002</v>
      </c>
      <c r="S1998">
        <v>-3.195999</v>
      </c>
      <c r="T1998">
        <v>-0.39861010000000002</v>
      </c>
      <c r="U1998">
        <v>-1.1621699999999999</v>
      </c>
      <c r="V1998">
        <v>0.25003360000000002</v>
      </c>
      <c r="W1998">
        <v>-9.1568090000000005E-2</v>
      </c>
      <c r="X1998">
        <v>0.96389749999999996</v>
      </c>
      <c r="Y1998">
        <v>0.67124130000000004</v>
      </c>
      <c r="Z1998">
        <v>0.1137871</v>
      </c>
      <c r="AA1998">
        <v>0.73245309999999997</v>
      </c>
      <c r="AB1998">
        <v>19</v>
      </c>
      <c r="AC1998">
        <v>-8.0980999999999792</v>
      </c>
      <c r="AD1998">
        <v>-1.0227176899999999</v>
      </c>
      <c r="AE1998">
        <v>-2.8102999999999798</v>
      </c>
      <c r="AF1998">
        <v>5.82256836117653</v>
      </c>
      <c r="AG1998">
        <v>-1.0227176899999999</v>
      </c>
      <c r="AH1998">
        <v>6.1258990435886398</v>
      </c>
      <c r="AI1998">
        <v>96.899772928935704</v>
      </c>
      <c r="AJ1998">
        <v>46.454231339373301</v>
      </c>
      <c r="AK1998">
        <v>8.5132187148136396</v>
      </c>
      <c r="AL1998">
        <v>95.253824828802706</v>
      </c>
      <c r="AM1998">
        <v>75.458067817253493</v>
      </c>
      <c r="AN1998">
        <v>0.999999953370728</v>
      </c>
    </row>
    <row r="1999" spans="1:40" x14ac:dyDescent="0.25">
      <c r="A1999" t="str">
        <f>"20190305134939589"</f>
        <v>20190305134939589</v>
      </c>
      <c r="B1999" t="str">
        <f>"1551764979582641"</f>
        <v>1551764979582641</v>
      </c>
      <c r="C1999" t="s">
        <v>40</v>
      </c>
      <c r="D1999">
        <v>4.2937010000000004</v>
      </c>
      <c r="E1999">
        <v>0.69951359999999996</v>
      </c>
      <c r="F1999" t="s">
        <v>62</v>
      </c>
      <c r="G1999">
        <v>-206.30799999999999</v>
      </c>
      <c r="H1999" s="1">
        <v>4.6157319999999997E-6</v>
      </c>
      <c r="I1999">
        <v>289.1755</v>
      </c>
      <c r="J1999">
        <v>-196.48679999999999</v>
      </c>
      <c r="K1999">
        <v>1.102552</v>
      </c>
      <c r="L1999">
        <v>292.55610000000001</v>
      </c>
      <c r="M1999">
        <v>-0.47112409999999999</v>
      </c>
      <c r="N1999">
        <v>-1.490388E-2</v>
      </c>
      <c r="O1999">
        <v>-0.88194119999999998</v>
      </c>
      <c r="P1999">
        <v>-0.67773490000000003</v>
      </c>
      <c r="Q1999">
        <v>-9.8060820000000007E-2</v>
      </c>
      <c r="R1999">
        <v>-0.72873869999999996</v>
      </c>
      <c r="S1999">
        <v>-3.1869809999999998</v>
      </c>
      <c r="T1999">
        <v>-0.353929299999999</v>
      </c>
      <c r="U1999">
        <v>-1.141022</v>
      </c>
      <c r="V1999">
        <v>0.25285629999999998</v>
      </c>
      <c r="W1999">
        <v>-8.8333410000000001E-2</v>
      </c>
      <c r="X1999">
        <v>0.96346290000000001</v>
      </c>
      <c r="Y1999">
        <v>0.66613659999999997</v>
      </c>
      <c r="Z1999">
        <v>0.100176399999999</v>
      </c>
      <c r="AA1999">
        <v>0.73907159999999905</v>
      </c>
      <c r="AB1999">
        <v>19</v>
      </c>
      <c r="AC1999">
        <v>-9.8211999999999993</v>
      </c>
      <c r="AD1999">
        <v>-1.102547384268</v>
      </c>
      <c r="AE1999">
        <v>-3.38060000000001</v>
      </c>
      <c r="AF1999">
        <v>6.9910497342264701</v>
      </c>
      <c r="AG1999">
        <v>-1.102547384268</v>
      </c>
      <c r="AH1999">
        <v>7.5245538498526301</v>
      </c>
      <c r="AI1999">
        <v>96.126984709789298</v>
      </c>
      <c r="AJ1999">
        <v>47.104892238994402</v>
      </c>
      <c r="AK1999">
        <v>10.3300192526595</v>
      </c>
      <c r="AL1999">
        <v>95.067736984054704</v>
      </c>
      <c r="AM1999">
        <v>75.294628729621394</v>
      </c>
      <c r="AN1999">
        <v>0.99999992972416096</v>
      </c>
    </row>
    <row r="2000" spans="1:40" x14ac:dyDescent="0.25">
      <c r="A2000" t="str">
        <f>"20190305134939611"</f>
        <v>20190305134939611</v>
      </c>
      <c r="B2000" t="str">
        <f>"1551764979603137"</f>
        <v>1551764979603137</v>
      </c>
      <c r="C2000" t="s">
        <v>40</v>
      </c>
      <c r="D2000">
        <v>4.0512300000000003</v>
      </c>
      <c r="E2000">
        <v>0.74302539999999995</v>
      </c>
      <c r="F2000" t="s">
        <v>74</v>
      </c>
      <c r="G2000">
        <v>-213.52070000000001</v>
      </c>
      <c r="H2000" s="1">
        <v>3.3673830000000001E-7</v>
      </c>
      <c r="I2000">
        <v>286.6499</v>
      </c>
      <c r="J2000">
        <v>-196.59540000000001</v>
      </c>
      <c r="K2000">
        <v>1.1023769999999999</v>
      </c>
      <c r="L2000">
        <v>292.38740000000001</v>
      </c>
      <c r="M2000">
        <v>-0.48338429999999999</v>
      </c>
      <c r="N2000">
        <v>-1.498829E-2</v>
      </c>
      <c r="O2000">
        <v>-0.8752799</v>
      </c>
      <c r="P2000">
        <v>-0.69055149999999998</v>
      </c>
      <c r="Q2000">
        <v>-9.7353460000000003E-2</v>
      </c>
      <c r="R2000">
        <v>-0.7167017</v>
      </c>
      <c r="S2000">
        <v>-3.2025299999999999</v>
      </c>
      <c r="T2000">
        <v>-0.2072901</v>
      </c>
      <c r="U2000">
        <v>-1.1104130000000001</v>
      </c>
      <c r="V2000">
        <v>0.25642219999999999</v>
      </c>
      <c r="W2000">
        <v>-8.7729269999999998E-2</v>
      </c>
      <c r="X2000">
        <v>0.96257530000000002</v>
      </c>
      <c r="Y2000">
        <v>0.6669503</v>
      </c>
      <c r="Z2000">
        <v>5.4412830000000002E-2</v>
      </c>
      <c r="AA2000">
        <v>0.74311269999999996</v>
      </c>
      <c r="AB2000">
        <v>19</v>
      </c>
      <c r="AC2000">
        <v>-16.925299999999901</v>
      </c>
      <c r="AD2000">
        <v>-1.1023766632617</v>
      </c>
      <c r="AE2000">
        <v>-5.7375000000000096</v>
      </c>
      <c r="AF2000">
        <v>11.9966642012905</v>
      </c>
      <c r="AG2000">
        <v>-1.1023766632617</v>
      </c>
      <c r="AH2000">
        <v>13.1547735573875</v>
      </c>
      <c r="AI2000">
        <v>93.543160465785803</v>
      </c>
      <c r="AJ2000">
        <v>47.6363480189626</v>
      </c>
      <c r="AK2000">
        <v>17.837691936244699</v>
      </c>
      <c r="AL2000">
        <v>95.032987102518206</v>
      </c>
      <c r="AM2000">
        <v>75.083285125763695</v>
      </c>
      <c r="AN2000">
        <v>0.99999998881883101</v>
      </c>
    </row>
    <row r="2001" spans="1:40" x14ac:dyDescent="0.25">
      <c r="A2001" t="str">
        <f>"20190305134939634"</f>
        <v>20190305134939634</v>
      </c>
      <c r="B2001" t="str">
        <f>"1551764979622658"</f>
        <v>1551764979622658</v>
      </c>
      <c r="C2001" t="s">
        <v>40</v>
      </c>
      <c r="D2001">
        <v>4.0599550000000004</v>
      </c>
      <c r="E2001">
        <v>0.73863140000000005</v>
      </c>
      <c r="F2001" t="s">
        <v>75</v>
      </c>
      <c r="G2001">
        <v>-351.65480000000002</v>
      </c>
      <c r="H2001">
        <v>46.276780000000002</v>
      </c>
      <c r="I2001">
        <v>250.19909999999999</v>
      </c>
      <c r="J2001">
        <v>-196.70689999999999</v>
      </c>
      <c r="K2001">
        <v>1.102214</v>
      </c>
      <c r="L2001">
        <v>292.22039999999998</v>
      </c>
      <c r="M2001">
        <v>-0.49587369999999997</v>
      </c>
      <c r="N2001">
        <v>-1.5073659999999999E-2</v>
      </c>
      <c r="O2001">
        <v>-0.86826399999999904</v>
      </c>
      <c r="P2001">
        <v>-0.70313190000000003</v>
      </c>
      <c r="Q2001">
        <v>-9.8543809999999996E-2</v>
      </c>
      <c r="R2001">
        <v>-0.70419809999999905</v>
      </c>
      <c r="S2001">
        <v>-3.499771</v>
      </c>
      <c r="T2001">
        <v>1.019611</v>
      </c>
      <c r="U2001">
        <v>-0.95220950000000004</v>
      </c>
      <c r="V2001">
        <v>0.25969320000000001</v>
      </c>
      <c r="W2001">
        <v>-8.9017689999999997E-2</v>
      </c>
      <c r="X2001">
        <v>0.96157959999999998</v>
      </c>
      <c r="Y2001">
        <v>0.66010389999999997</v>
      </c>
      <c r="Z2001">
        <v>-0.29902210000000001</v>
      </c>
      <c r="AA2001">
        <v>0.68909259999999894</v>
      </c>
      <c r="AB2001">
        <v>19</v>
      </c>
      <c r="AC2001">
        <v>-154.9479</v>
      </c>
      <c r="AD2001">
        <v>45.174565999999999</v>
      </c>
      <c r="AE2001">
        <v>-42.021299999999997</v>
      </c>
      <c r="AF2001">
        <v>105.368626471638</v>
      </c>
      <c r="AG2001">
        <v>45.174565999999999</v>
      </c>
      <c r="AH2001">
        <v>105.018082873209</v>
      </c>
      <c r="AI2001">
        <v>73.108470901180695</v>
      </c>
      <c r="AJ2001">
        <v>44.9045346058139</v>
      </c>
      <c r="AK2001">
        <v>155.47374887154501</v>
      </c>
      <c r="AL2001">
        <v>95.107097957510405</v>
      </c>
      <c r="AM2001">
        <v>74.886720216573195</v>
      </c>
      <c r="AN2001">
        <v>1.00000001719766</v>
      </c>
    </row>
    <row r="2002" spans="1:40" x14ac:dyDescent="0.25">
      <c r="A2002" t="str">
        <f>"20190305134939655"</f>
        <v>20190305134939655</v>
      </c>
      <c r="B2002" t="str">
        <f>"1551764979652914"</f>
        <v>1551764979652914</v>
      </c>
      <c r="C2002" t="s">
        <v>40</v>
      </c>
      <c r="D2002">
        <v>4.0540949999999896</v>
      </c>
      <c r="E2002">
        <v>0.73089850000000001</v>
      </c>
      <c r="F2002" t="s">
        <v>75</v>
      </c>
      <c r="G2002">
        <v>-352.41390000000001</v>
      </c>
      <c r="H2002">
        <v>44.944969999999998</v>
      </c>
      <c r="I2002">
        <v>251.72149999999999</v>
      </c>
      <c r="J2002">
        <v>-196.81790000000001</v>
      </c>
      <c r="K2002">
        <v>1.102079</v>
      </c>
      <c r="L2002">
        <v>292.0598</v>
      </c>
      <c r="M2002">
        <v>-0.5081677</v>
      </c>
      <c r="N2002">
        <v>-1.5152280000000001E-2</v>
      </c>
      <c r="O2002">
        <v>-0.86112500000000003</v>
      </c>
      <c r="P2002">
        <v>-0.71460559999999995</v>
      </c>
      <c r="Q2002">
        <v>-0.1007333</v>
      </c>
      <c r="R2002">
        <v>-0.692237199999999</v>
      </c>
      <c r="S2002">
        <v>-3.4942470000000001</v>
      </c>
      <c r="T2002">
        <v>0.98388450000000005</v>
      </c>
      <c r="U2002">
        <v>-0.90884399999999999</v>
      </c>
      <c r="V2002">
        <v>0.26190469999999999</v>
      </c>
      <c r="W2002">
        <v>-9.1272320000000004E-2</v>
      </c>
      <c r="X2002">
        <v>0.96076810000000001</v>
      </c>
      <c r="Y2002">
        <v>0.66041909999999904</v>
      </c>
      <c r="Z2002">
        <v>-0.28996159999999999</v>
      </c>
      <c r="AA2002">
        <v>0.69265350000000003</v>
      </c>
      <c r="AB2002">
        <v>19</v>
      </c>
      <c r="AC2002">
        <v>-155.596</v>
      </c>
      <c r="AD2002">
        <v>43.842891000000002</v>
      </c>
      <c r="AE2002">
        <v>-40.338299999999997</v>
      </c>
      <c r="AF2002">
        <v>105.64258203355899</v>
      </c>
      <c r="AG2002">
        <v>43.842891000000002</v>
      </c>
      <c r="AH2002">
        <v>105.936916564366</v>
      </c>
      <c r="AI2002">
        <v>73.666832351124199</v>
      </c>
      <c r="AJ2002">
        <v>45.079705810880697</v>
      </c>
      <c r="AK2002">
        <v>155.90120115355299</v>
      </c>
      <c r="AL2002">
        <v>95.236806815433297</v>
      </c>
      <c r="AM2002">
        <v>74.751706834820894</v>
      </c>
      <c r="AN2002">
        <v>1.00000002512894</v>
      </c>
    </row>
    <row r="2003" spans="1:40" x14ac:dyDescent="0.25">
      <c r="A2003" t="str">
        <f>"20190305134939678"</f>
        <v>20190305134939678</v>
      </c>
      <c r="B2003" t="str">
        <f>"1551764979672433"</f>
        <v>1551764979672433</v>
      </c>
      <c r="C2003" t="s">
        <v>40</v>
      </c>
      <c r="D2003">
        <v>4.066764</v>
      </c>
      <c r="E2003">
        <v>0.72424469999999996</v>
      </c>
      <c r="F2003" t="s">
        <v>75</v>
      </c>
      <c r="G2003">
        <v>-352.55</v>
      </c>
      <c r="H2003">
        <v>43.053600000000003</v>
      </c>
      <c r="I2003">
        <v>252.0085</v>
      </c>
      <c r="J2003">
        <v>-196.93129999999999</v>
      </c>
      <c r="K2003">
        <v>1.101972</v>
      </c>
      <c r="L2003">
        <v>291.90120000000002</v>
      </c>
      <c r="M2003">
        <v>-0.52056959999999997</v>
      </c>
      <c r="N2003">
        <v>-1.522487E-2</v>
      </c>
      <c r="O2003">
        <v>-0.85368349999999904</v>
      </c>
      <c r="P2003">
        <v>-0.72563259999999996</v>
      </c>
      <c r="Q2003">
        <v>-0.1022309</v>
      </c>
      <c r="R2003">
        <v>-0.68044579999999999</v>
      </c>
      <c r="S2003">
        <v>-3.4662320000000002</v>
      </c>
      <c r="T2003">
        <v>0.93374469999999998</v>
      </c>
      <c r="U2003">
        <v>-0.89144899999999905</v>
      </c>
      <c r="V2003">
        <v>0.26350170000000001</v>
      </c>
      <c r="W2003">
        <v>-9.2810669999999998E-2</v>
      </c>
      <c r="X2003">
        <v>0.96018389999999998</v>
      </c>
      <c r="Y2003">
        <v>0.65564270000000002</v>
      </c>
      <c r="Z2003">
        <v>-0.27733200000000002</v>
      </c>
      <c r="AA2003">
        <v>0.70229589999999997</v>
      </c>
      <c r="AB2003">
        <v>19</v>
      </c>
      <c r="AC2003">
        <v>-155.61869999999999</v>
      </c>
      <c r="AD2003">
        <v>41.951627999999999</v>
      </c>
      <c r="AE2003">
        <v>-39.892699999999998</v>
      </c>
      <c r="AF2003">
        <v>104.93917443461299</v>
      </c>
      <c r="AG2003">
        <v>41.951627999999999</v>
      </c>
      <c r="AH2003">
        <v>107.732923672864</v>
      </c>
      <c r="AI2003">
        <v>74.413915270334599</v>
      </c>
      <c r="AJ2003">
        <v>45.752617927920497</v>
      </c>
      <c r="AK2003">
        <v>156.13632590134699</v>
      </c>
      <c r="AL2003">
        <v>95.325323421486402</v>
      </c>
      <c r="AM2003">
        <v>74.654202603084897</v>
      </c>
      <c r="AN2003">
        <v>1.00000004409397</v>
      </c>
    </row>
    <row r="2004" spans="1:40" x14ac:dyDescent="0.25">
      <c r="A2004" t="str">
        <f>"20190305134939699"</f>
        <v>20190305134939699</v>
      </c>
      <c r="B2004" t="str">
        <f>"1551764979692930"</f>
        <v>1551764979692930</v>
      </c>
      <c r="C2004" t="s">
        <v>40</v>
      </c>
      <c r="D2004">
        <v>4.3271920000000001</v>
      </c>
      <c r="E2004">
        <v>0.67623350000000004</v>
      </c>
      <c r="F2004" t="s">
        <v>75</v>
      </c>
      <c r="G2004">
        <v>-352.55</v>
      </c>
      <c r="H2004">
        <v>41.189190000000004</v>
      </c>
      <c r="I2004">
        <v>252.64429999999999</v>
      </c>
      <c r="J2004">
        <v>-197.0488</v>
      </c>
      <c r="K2004">
        <v>1.10188</v>
      </c>
      <c r="L2004">
        <v>291.7423</v>
      </c>
      <c r="M2004">
        <v>-0.53326189999999996</v>
      </c>
      <c r="N2004">
        <v>-1.52943E-2</v>
      </c>
      <c r="O2004">
        <v>-0.84581200000000001</v>
      </c>
      <c r="P2004">
        <v>-0.73701969999999895</v>
      </c>
      <c r="Q2004">
        <v>-0.1027962</v>
      </c>
      <c r="R2004">
        <v>-0.66800839999999995</v>
      </c>
      <c r="S2004">
        <v>-3.4445190000000001</v>
      </c>
      <c r="T2004">
        <v>0.88730620000000004</v>
      </c>
      <c r="U2004">
        <v>-0.868927</v>
      </c>
      <c r="V2004">
        <v>0.26538630000000002</v>
      </c>
      <c r="W2004">
        <v>-9.3415090000000006E-2</v>
      </c>
      <c r="X2004">
        <v>0.95960610000000002</v>
      </c>
      <c r="Y2004">
        <v>0.65149089999999998</v>
      </c>
      <c r="Z2004">
        <v>-0.26516590000000001</v>
      </c>
      <c r="AA2004">
        <v>0.71080699999999997</v>
      </c>
      <c r="AB2004">
        <v>19</v>
      </c>
      <c r="AC2004">
        <v>-155.50120000000001</v>
      </c>
      <c r="AD2004">
        <v>40.087309999999903</v>
      </c>
      <c r="AE2004">
        <v>-39.097999999999999</v>
      </c>
      <c r="AF2004">
        <v>104.176554189418</v>
      </c>
      <c r="AG2004">
        <v>40.087309999999903</v>
      </c>
      <c r="AH2004">
        <v>109.181453738985</v>
      </c>
      <c r="AI2004">
        <v>75.123513993348396</v>
      </c>
      <c r="AJ2004">
        <v>46.343783826900498</v>
      </c>
      <c r="AK2004">
        <v>156.142040163356</v>
      </c>
      <c r="AL2004">
        <v>95.360105118847898</v>
      </c>
      <c r="AM2004">
        <v>74.540815812995703</v>
      </c>
      <c r="AN2004">
        <v>1.0000000672122999</v>
      </c>
    </row>
    <row r="2005" spans="1:40" x14ac:dyDescent="0.25">
      <c r="A2005" t="str">
        <f>"20190305134939723"</f>
        <v>20190305134939723</v>
      </c>
      <c r="B2005" t="str">
        <f>"1551764979712453"</f>
        <v>1551764979712453</v>
      </c>
      <c r="C2005" t="s">
        <v>40</v>
      </c>
      <c r="D2005">
        <v>4.3074890000000003</v>
      </c>
      <c r="E2005">
        <v>0.67342860000000004</v>
      </c>
      <c r="F2005" t="s">
        <v>74</v>
      </c>
      <c r="G2005">
        <v>-235.98570000000001</v>
      </c>
      <c r="H2005">
        <v>1.010409E-2</v>
      </c>
      <c r="I2005">
        <v>279.61630000000002</v>
      </c>
      <c r="J2005">
        <v>-197.1728</v>
      </c>
      <c r="K2005">
        <v>1.101818</v>
      </c>
      <c r="L2005">
        <v>291.58030000000002</v>
      </c>
      <c r="M2005">
        <v>-0.54647109999999999</v>
      </c>
      <c r="N2005">
        <v>-1.536526E-2</v>
      </c>
      <c r="O2005">
        <v>-0.837337199999999</v>
      </c>
      <c r="P2005">
        <v>-0.74791649999999998</v>
      </c>
      <c r="Q2005">
        <v>-0.1011605</v>
      </c>
      <c r="R2005">
        <v>-0.65603929999999999</v>
      </c>
      <c r="S2005">
        <v>-3.1647799999999999</v>
      </c>
      <c r="T2005">
        <v>-8.8739159999999997E-2</v>
      </c>
      <c r="U2005">
        <v>-0.98559569999999996</v>
      </c>
      <c r="V2005">
        <v>0.26599650000000002</v>
      </c>
      <c r="W2005">
        <v>-9.1778460000000006E-2</v>
      </c>
      <c r="X2005">
        <v>0.95959499999999998</v>
      </c>
      <c r="Y2005">
        <v>0.63674960000000003</v>
      </c>
      <c r="Z2005">
        <v>1.7827019999999999E-2</v>
      </c>
      <c r="AA2005">
        <v>0.77086449999999995</v>
      </c>
      <c r="AB2005">
        <v>19</v>
      </c>
      <c r="AC2005">
        <v>-38.812899999999999</v>
      </c>
      <c r="AD2005">
        <v>-1.09171391</v>
      </c>
      <c r="AE2005">
        <v>-11.964</v>
      </c>
      <c r="AF2005">
        <v>25.945819377636301</v>
      </c>
      <c r="AG2005">
        <v>-1.09171391</v>
      </c>
      <c r="AH2005">
        <v>31.209163102787699</v>
      </c>
      <c r="AI2005">
        <v>91.540827209278007</v>
      </c>
      <c r="AJ2005">
        <v>50.261469978519699</v>
      </c>
      <c r="AK2005">
        <v>40.600360146366</v>
      </c>
      <c r="AL2005">
        <v>95.265928898060395</v>
      </c>
      <c r="AM2005">
        <v>74.506805763221806</v>
      </c>
      <c r="AN2005">
        <v>0.99999999387861005</v>
      </c>
    </row>
    <row r="2006" spans="1:40" x14ac:dyDescent="0.25">
      <c r="A2006" t="str">
        <f>"20190305134939744"</f>
        <v>20190305134939744</v>
      </c>
      <c r="B2006" t="str">
        <f>"1551764979732945"</f>
        <v>1551764979732945</v>
      </c>
      <c r="C2006" t="s">
        <v>40</v>
      </c>
      <c r="D2006">
        <v>4.0790449999999998</v>
      </c>
      <c r="E2006">
        <v>0.69086389999999998</v>
      </c>
      <c r="F2006" t="s">
        <v>74</v>
      </c>
      <c r="G2006">
        <v>-230.71530000000001</v>
      </c>
      <c r="H2006" s="1">
        <v>-1.0209630000000001E-6</v>
      </c>
      <c r="I2006">
        <v>281.52339999999998</v>
      </c>
      <c r="J2006">
        <v>-197.28960000000001</v>
      </c>
      <c r="K2006">
        <v>1.101756</v>
      </c>
      <c r="L2006">
        <v>291.43279999999999</v>
      </c>
      <c r="M2006">
        <v>-0.55873719999999905</v>
      </c>
      <c r="N2006">
        <v>-1.543141E-2</v>
      </c>
      <c r="O2006">
        <v>-0.82920149999999904</v>
      </c>
      <c r="P2006">
        <v>-0.75768049999999998</v>
      </c>
      <c r="Q2006">
        <v>-9.8510120000000007E-2</v>
      </c>
      <c r="R2006">
        <v>-0.64514859999999996</v>
      </c>
      <c r="S2006">
        <v>-3.1647799999999999</v>
      </c>
      <c r="T2006">
        <v>-0.1039581</v>
      </c>
      <c r="U2006">
        <v>-0.94888309999999998</v>
      </c>
      <c r="V2006">
        <v>0.26608419999999999</v>
      </c>
      <c r="W2006">
        <v>-8.9112209999999997E-2</v>
      </c>
      <c r="X2006">
        <v>0.95982199999999995</v>
      </c>
      <c r="Y2006">
        <v>0.63345469999999904</v>
      </c>
      <c r="Z2006">
        <v>2.264735E-2</v>
      </c>
      <c r="AA2006">
        <v>0.77344829999999998</v>
      </c>
      <c r="AB2006">
        <v>19</v>
      </c>
      <c r="AC2006">
        <v>-33.425699999999999</v>
      </c>
      <c r="AD2006">
        <v>-1.1017570209630001</v>
      </c>
      <c r="AE2006">
        <v>-9.9093999999999998</v>
      </c>
      <c r="AF2006">
        <v>22.1603946311422</v>
      </c>
      <c r="AG2006">
        <v>-1.1017570209630001</v>
      </c>
      <c r="AH2006">
        <v>26.869433070602899</v>
      </c>
      <c r="AI2006">
        <v>91.811858983068404</v>
      </c>
      <c r="AJ2006">
        <v>50.486108884366402</v>
      </c>
      <c r="AK2006">
        <v>34.846282330785399</v>
      </c>
      <c r="AL2006">
        <v>95.112535099495204</v>
      </c>
      <c r="AM2006">
        <v>74.505432302399001</v>
      </c>
      <c r="AN2006">
        <v>1.0000000295723599</v>
      </c>
    </row>
    <row r="2007" spans="1:40" x14ac:dyDescent="0.25">
      <c r="A2007" t="str">
        <f>"20190305134939766"</f>
        <v>20190305134939766</v>
      </c>
      <c r="B2007" t="str">
        <f>"1551764979763201"</f>
        <v>1551764979763201</v>
      </c>
      <c r="C2007" t="s">
        <v>40</v>
      </c>
      <c r="D2007">
        <v>4.0677589999999997</v>
      </c>
      <c r="E2007">
        <v>0.68793539999999997</v>
      </c>
      <c r="F2007" t="s">
        <v>41</v>
      </c>
      <c r="G2007">
        <v>-197.93770000000001</v>
      </c>
      <c r="H2007">
        <v>1.2403280000000001</v>
      </c>
      <c r="I2007">
        <v>291.2593</v>
      </c>
      <c r="J2007">
        <v>-197.4118</v>
      </c>
      <c r="K2007">
        <v>1.1016859999999999</v>
      </c>
      <c r="L2007">
        <v>291.28359999999998</v>
      </c>
      <c r="M2007">
        <v>-0.57136640000000005</v>
      </c>
      <c r="N2007">
        <v>-1.549916E-2</v>
      </c>
      <c r="O2007">
        <v>-0.82054869999999902</v>
      </c>
      <c r="P2007">
        <v>-0.76779280000000005</v>
      </c>
      <c r="Q2007">
        <v>-9.7254779999999999E-2</v>
      </c>
      <c r="R2007">
        <v>-0.63327369999999905</v>
      </c>
      <c r="S2007">
        <v>-3.2987060000000001</v>
      </c>
      <c r="T2007">
        <v>0.70531790000000005</v>
      </c>
      <c r="U2007">
        <v>-0.88369750000000002</v>
      </c>
      <c r="V2007">
        <v>0.2664723</v>
      </c>
      <c r="W2007">
        <v>-8.7853360000000005E-2</v>
      </c>
      <c r="X2007">
        <v>0.95983030000000003</v>
      </c>
      <c r="Y2007">
        <v>0.61874569999999995</v>
      </c>
      <c r="Z2007">
        <v>-0.2170108</v>
      </c>
      <c r="AA2007">
        <v>0.75502309999999995</v>
      </c>
      <c r="AB2007">
        <v>19</v>
      </c>
      <c r="AC2007">
        <v>-0.52590000000000703</v>
      </c>
      <c r="AD2007">
        <v>0.13864199999999899</v>
      </c>
      <c r="AE2007">
        <v>-2.4299999999982402E-2</v>
      </c>
      <c r="AF2007">
        <v>0.39060352579567698</v>
      </c>
      <c r="AG2007">
        <v>0.13864199999999899</v>
      </c>
      <c r="AH2007">
        <v>0.29967636181634</v>
      </c>
      <c r="AI2007">
        <v>74.272214812393202</v>
      </c>
      <c r="AJ2007">
        <v>37.495912994134699</v>
      </c>
      <c r="AK2007">
        <v>0.51146714494627399</v>
      </c>
      <c r="AL2007">
        <v>95.040124679369598</v>
      </c>
      <c r="AM2007">
        <v>74.484048336910107</v>
      </c>
      <c r="AN2007">
        <v>0.99999995216433302</v>
      </c>
    </row>
    <row r="2008" spans="1:40" x14ac:dyDescent="0.25">
      <c r="A2008" t="str">
        <f>"20190305134939790"</f>
        <v>20190305134939790</v>
      </c>
      <c r="B2008" t="str">
        <f>"1551764979782721"</f>
        <v>1551764979782721</v>
      </c>
      <c r="C2008" t="s">
        <v>40</v>
      </c>
      <c r="D2008">
        <v>3.3269980000000001</v>
      </c>
      <c r="E2008">
        <v>0.68793539999999997</v>
      </c>
      <c r="F2008" t="s">
        <v>41</v>
      </c>
      <c r="G2008">
        <v>-198.03829999999999</v>
      </c>
      <c r="H2008">
        <v>1.2329829999999999</v>
      </c>
      <c r="I2008">
        <v>291.12259999999998</v>
      </c>
      <c r="J2008">
        <v>-197.54820000000001</v>
      </c>
      <c r="K2008">
        <v>1.1015950000000001</v>
      </c>
      <c r="L2008">
        <v>291.12270000000001</v>
      </c>
      <c r="M2008">
        <v>-0.5852366</v>
      </c>
      <c r="N2008">
        <v>-1.557212E-2</v>
      </c>
      <c r="O2008">
        <v>-0.81071319999999902</v>
      </c>
      <c r="P2008">
        <v>-0.77809399999999995</v>
      </c>
      <c r="Q2008">
        <v>-9.6561510000000003E-2</v>
      </c>
      <c r="R2008">
        <v>-0.62068179999999995</v>
      </c>
      <c r="S2008">
        <v>-3.2961580000000001</v>
      </c>
      <c r="T2008">
        <v>0.69076119999999996</v>
      </c>
      <c r="U2008">
        <v>-0.84707639999999995</v>
      </c>
      <c r="V2008">
        <v>0.26585330000000001</v>
      </c>
      <c r="W2008">
        <v>-8.7135790000000005E-2</v>
      </c>
      <c r="X2008">
        <v>0.96006740000000002</v>
      </c>
      <c r="Y2008">
        <v>0.61438000000000004</v>
      </c>
      <c r="Z2008">
        <v>-0.21204290000000001</v>
      </c>
      <c r="AA2008">
        <v>0.75998359999999998</v>
      </c>
      <c r="AB2008">
        <v>19</v>
      </c>
      <c r="AC2008">
        <v>-0.49009999999998399</v>
      </c>
      <c r="AD2008">
        <v>0.13138799999999901</v>
      </c>
      <c r="AE2008">
        <v>-1.00000000031741E-4</v>
      </c>
      <c r="AF2008">
        <v>0.37067973479968602</v>
      </c>
      <c r="AG2008">
        <v>0.13138799999999901</v>
      </c>
      <c r="AH2008">
        <v>0.26770087296031198</v>
      </c>
      <c r="AI2008">
        <v>73.967941835694504</v>
      </c>
      <c r="AJ2008">
        <v>35.836406626754197</v>
      </c>
      <c r="AK2008">
        <v>0.47574155769585502</v>
      </c>
      <c r="AL2008">
        <v>94.998852336792893</v>
      </c>
      <c r="AM2008">
        <v>74.522000285480004</v>
      </c>
      <c r="AN2008">
        <v>1.00000001778128</v>
      </c>
    </row>
    <row r="2009" spans="1:40" x14ac:dyDescent="0.25">
      <c r="A2009" t="str">
        <f>"20190305134939812"</f>
        <v>20190305134939812</v>
      </c>
      <c r="B2009" t="str">
        <f>"1551764979802245"</f>
        <v>1551764979802245</v>
      </c>
      <c r="C2009" t="s">
        <v>40</v>
      </c>
      <c r="D2009">
        <v>3.9142549999999998</v>
      </c>
      <c r="E2009">
        <v>0.78804010000000002</v>
      </c>
      <c r="F2009" t="s">
        <v>54</v>
      </c>
      <c r="G2009">
        <v>-234.19739999999999</v>
      </c>
      <c r="H2009">
        <v>8.7758719999999997</v>
      </c>
      <c r="I2009">
        <v>282.3449</v>
      </c>
      <c r="J2009">
        <v>-197.6764</v>
      </c>
      <c r="K2009">
        <v>1.101523</v>
      </c>
      <c r="L2009">
        <v>290.97719999999998</v>
      </c>
      <c r="M2009">
        <v>-0.59804990000000002</v>
      </c>
      <c r="N2009">
        <v>-1.563811E-2</v>
      </c>
      <c r="O2009">
        <v>-0.80130639999999997</v>
      </c>
      <c r="P2009">
        <v>-0.78754199999999996</v>
      </c>
      <c r="Q2009">
        <v>-9.5219200000000004E-2</v>
      </c>
      <c r="R2009">
        <v>-0.60886059999999997</v>
      </c>
      <c r="S2009">
        <v>-3.3092959999999998</v>
      </c>
      <c r="T2009">
        <v>0.6929651</v>
      </c>
      <c r="U2009">
        <v>-0.79260249999999999</v>
      </c>
      <c r="V2009">
        <v>0.26523249999999998</v>
      </c>
      <c r="W2009">
        <v>-8.5769890000000001E-2</v>
      </c>
      <c r="X2009">
        <v>0.9603621</v>
      </c>
      <c r="Y2009">
        <v>0.61455680000000001</v>
      </c>
      <c r="Z2009">
        <v>-0.2115785</v>
      </c>
      <c r="AA2009">
        <v>0.75997000000000003</v>
      </c>
      <c r="AB2009">
        <v>19</v>
      </c>
      <c r="AC2009">
        <v>-36.521000000000001</v>
      </c>
      <c r="AD2009">
        <v>7.6743489999999897</v>
      </c>
      <c r="AE2009">
        <v>-8.6322999999999794</v>
      </c>
      <c r="AF2009">
        <v>23.137299826695301</v>
      </c>
      <c r="AG2009">
        <v>7.6743489999999897</v>
      </c>
      <c r="AH2009">
        <v>27.6074579636058</v>
      </c>
      <c r="AI2009">
        <v>77.972811580389205</v>
      </c>
      <c r="AJ2009">
        <v>50.034249270792202</v>
      </c>
      <c r="AK2009">
        <v>36.829363435395699</v>
      </c>
      <c r="AL2009">
        <v>94.920297715676597</v>
      </c>
      <c r="AM2009">
        <v>74.560929060300296</v>
      </c>
      <c r="AN2009">
        <v>1.00000005810163</v>
      </c>
    </row>
    <row r="2010" spans="1:40" x14ac:dyDescent="0.25">
      <c r="A2010" t="str">
        <f>"20190305134939835"</f>
        <v>20190305134939835</v>
      </c>
      <c r="B2010" t="str">
        <f>"1551764979832498"</f>
        <v>1551764979832498</v>
      </c>
      <c r="C2010" t="s">
        <v>40</v>
      </c>
      <c r="D2010">
        <v>4.3733649999999997</v>
      </c>
      <c r="E2010">
        <v>0.71547450000000001</v>
      </c>
      <c r="F2010" t="s">
        <v>76</v>
      </c>
      <c r="G2010">
        <v>-511.99419999999998</v>
      </c>
      <c r="H2010">
        <v>107.3424</v>
      </c>
      <c r="I2010">
        <v>276.80549999999999</v>
      </c>
      <c r="J2010">
        <v>-197.8152</v>
      </c>
      <c r="K2010">
        <v>1.1014520000000001</v>
      </c>
      <c r="L2010">
        <v>290.82549999999998</v>
      </c>
      <c r="M2010">
        <v>-0.61163639999999997</v>
      </c>
      <c r="N2010">
        <v>-1.5704639999999999E-2</v>
      </c>
      <c r="O2010">
        <v>-0.79098329999999994</v>
      </c>
      <c r="P2010">
        <v>-0.79741530000000005</v>
      </c>
      <c r="Q2010">
        <v>-9.4306600000000004E-2</v>
      </c>
      <c r="R2010">
        <v>-0.59601599999999999</v>
      </c>
      <c r="S2010">
        <v>-3.8323670000000001</v>
      </c>
      <c r="T2010">
        <v>1.2953570000000001</v>
      </c>
      <c r="U2010">
        <v>-0.17279050000000001</v>
      </c>
      <c r="V2010">
        <v>0.26450089999999998</v>
      </c>
      <c r="W2010">
        <v>-8.4823380000000004E-2</v>
      </c>
      <c r="X2010">
        <v>0.96064780000000005</v>
      </c>
      <c r="Y2010">
        <v>0.68932499999999997</v>
      </c>
      <c r="Z2010">
        <v>-0.34834399999999999</v>
      </c>
      <c r="AA2010">
        <v>0.63520669999999901</v>
      </c>
      <c r="AB2010">
        <v>19</v>
      </c>
      <c r="AC2010">
        <v>-314.17899999999997</v>
      </c>
      <c r="AD2010">
        <v>106.240948</v>
      </c>
      <c r="AE2010">
        <v>-14.0199999999999</v>
      </c>
      <c r="AF2010">
        <v>215.38482367602299</v>
      </c>
      <c r="AG2010">
        <v>106.240948</v>
      </c>
      <c r="AH2010">
        <v>182.45588684346299</v>
      </c>
      <c r="AI2010">
        <v>69.375160712246995</v>
      </c>
      <c r="AJ2010">
        <v>40.268462283096397</v>
      </c>
      <c r="AK2010">
        <v>301.608872458561</v>
      </c>
      <c r="AL2010">
        <v>94.865868786209305</v>
      </c>
      <c r="AM2010">
        <v>74.605853688909605</v>
      </c>
      <c r="AN2010">
        <v>0.999999963770136</v>
      </c>
    </row>
    <row r="2011" spans="1:40" x14ac:dyDescent="0.25">
      <c r="A2011" t="str">
        <f>"20190305134939857"</f>
        <v>20190305134939857</v>
      </c>
      <c r="B2011" t="str">
        <f>"1551764979852995"</f>
        <v>1551764979852995</v>
      </c>
      <c r="C2011" t="s">
        <v>40</v>
      </c>
      <c r="D2011">
        <v>3.840916</v>
      </c>
      <c r="E2011">
        <v>0.80279590000000001</v>
      </c>
      <c r="F2011" t="s">
        <v>62</v>
      </c>
      <c r="G2011">
        <v>-209.1069</v>
      </c>
      <c r="H2011" s="1">
        <v>5.8292589999999997E-6</v>
      </c>
      <c r="I2011">
        <v>289.49239999999998</v>
      </c>
      <c r="J2011">
        <v>-197.9478</v>
      </c>
      <c r="K2011">
        <v>1.101405</v>
      </c>
      <c r="L2011">
        <v>290.68529999999998</v>
      </c>
      <c r="M2011">
        <v>-0.62438149999999903</v>
      </c>
      <c r="N2011">
        <v>-1.576313E-2</v>
      </c>
      <c r="O2011">
        <v>-0.7809604</v>
      </c>
      <c r="P2011">
        <v>-0.80639559999999999</v>
      </c>
      <c r="Q2011">
        <v>-9.3950560000000002E-2</v>
      </c>
      <c r="R2011">
        <v>-0.583866</v>
      </c>
      <c r="S2011">
        <v>-3.4208219999999998</v>
      </c>
      <c r="T2011">
        <v>-0.33368130000000001</v>
      </c>
      <c r="U2011">
        <v>-0.4038696</v>
      </c>
      <c r="V2011">
        <v>0.26350889999999999</v>
      </c>
      <c r="W2011">
        <v>-8.4423189999999995E-2</v>
      </c>
      <c r="X2011">
        <v>0.96095569999999997</v>
      </c>
      <c r="Y2011">
        <v>0.69717700000000005</v>
      </c>
      <c r="Z2011">
        <v>9.1704770000000005E-2</v>
      </c>
      <c r="AA2011">
        <v>0.71100949999999996</v>
      </c>
      <c r="AB2011">
        <v>19</v>
      </c>
      <c r="AC2011">
        <v>-11.159099999999899</v>
      </c>
      <c r="AD2011">
        <v>-1.101399170741</v>
      </c>
      <c r="AE2011">
        <v>-1.1929000000000001</v>
      </c>
      <c r="AF2011">
        <v>7.8949407905267996</v>
      </c>
      <c r="AG2011">
        <v>-1.101399170741</v>
      </c>
      <c r="AH2011">
        <v>7.82476067586677</v>
      </c>
      <c r="AI2011">
        <v>95.658723393504999</v>
      </c>
      <c r="AJ2011">
        <v>44.744206487019397</v>
      </c>
      <c r="AK2011">
        <v>11.170051470509099</v>
      </c>
      <c r="AL2011">
        <v>94.842856692017804</v>
      </c>
      <c r="AM2011">
        <v>74.665548073929898</v>
      </c>
      <c r="AN2011">
        <v>1.00000003637573</v>
      </c>
    </row>
    <row r="2012" spans="1:40" x14ac:dyDescent="0.25">
      <c r="A2012" t="str">
        <f>"20190305134939879"</f>
        <v>20190305134939879</v>
      </c>
      <c r="B2012" t="str">
        <f>"1551764979872514"</f>
        <v>1551764979872514</v>
      </c>
      <c r="C2012" t="s">
        <v>40</v>
      </c>
      <c r="D2012">
        <v>3.8971490000000002</v>
      </c>
      <c r="E2012">
        <v>0.79643540000000002</v>
      </c>
      <c r="F2012" t="s">
        <v>77</v>
      </c>
      <c r="G2012">
        <v>-550.09820000000002</v>
      </c>
      <c r="H2012">
        <v>124.67140000000001</v>
      </c>
      <c r="I2012">
        <v>293.9128</v>
      </c>
      <c r="J2012">
        <v>-198.08260000000001</v>
      </c>
      <c r="K2012">
        <v>1.1013679999999999</v>
      </c>
      <c r="L2012">
        <v>290.54790000000003</v>
      </c>
      <c r="M2012">
        <v>-0.6370884</v>
      </c>
      <c r="N2012">
        <v>-1.581869E-2</v>
      </c>
      <c r="O2012">
        <v>-0.77062839999999999</v>
      </c>
      <c r="P2012">
        <v>-0.81458660000000005</v>
      </c>
      <c r="Q2012">
        <v>-9.3228309999999995E-2</v>
      </c>
      <c r="R2012">
        <v>-0.57250080000000003</v>
      </c>
      <c r="S2012">
        <v>-3.905853</v>
      </c>
      <c r="T2012">
        <v>1.3705689999999999</v>
      </c>
      <c r="U2012">
        <v>3.5797120000000002E-2</v>
      </c>
      <c r="V2012">
        <v>0.26131759999999998</v>
      </c>
      <c r="W2012">
        <v>-8.3622790000000002E-2</v>
      </c>
      <c r="X2012">
        <v>0.96162380000000003</v>
      </c>
      <c r="Y2012">
        <v>0.69639859999999998</v>
      </c>
      <c r="Z2012">
        <v>-0.35913879999999998</v>
      </c>
      <c r="AA2012">
        <v>0.62132779999999999</v>
      </c>
      <c r="AB2012">
        <v>19</v>
      </c>
      <c r="AC2012">
        <v>-352.01560000000001</v>
      </c>
      <c r="AD2012">
        <v>123.570032</v>
      </c>
      <c r="AE2012">
        <v>3.3648999999999698</v>
      </c>
      <c r="AF2012">
        <v>243.454037284609</v>
      </c>
      <c r="AG2012">
        <v>123.570032</v>
      </c>
      <c r="AH2012">
        <v>197.37962141503499</v>
      </c>
      <c r="AI2012">
        <v>68.482148022207497</v>
      </c>
      <c r="AJ2012">
        <v>39.033305658617699</v>
      </c>
      <c r="AK2012">
        <v>336.894844170402</v>
      </c>
      <c r="AL2012">
        <v>94.796834601863907</v>
      </c>
      <c r="AM2012">
        <v>74.7972148366282</v>
      </c>
      <c r="AN2012">
        <v>0.999999995901792</v>
      </c>
    </row>
    <row r="2013" spans="1:40" x14ac:dyDescent="0.25">
      <c r="A2013" t="str">
        <f>"20190305134939900"</f>
        <v>20190305134939900</v>
      </c>
      <c r="B2013" t="str">
        <f>"1551764979893010"</f>
        <v>1551764979893010</v>
      </c>
      <c r="C2013" t="s">
        <v>40</v>
      </c>
      <c r="D2013">
        <v>3.9079630000000001</v>
      </c>
      <c r="E2013">
        <v>0.78876099999999905</v>
      </c>
      <c r="F2013" t="s">
        <v>77</v>
      </c>
      <c r="G2013">
        <v>-510.99</v>
      </c>
      <c r="H2013">
        <v>109.71429999999999</v>
      </c>
      <c r="I2013">
        <v>294.68049999999999</v>
      </c>
      <c r="J2013">
        <v>-198.21719999999999</v>
      </c>
      <c r="K2013">
        <v>1.1013409999999999</v>
      </c>
      <c r="L2013">
        <v>290.41520000000003</v>
      </c>
      <c r="M2013">
        <v>-0.64953819999999995</v>
      </c>
      <c r="N2013">
        <v>-1.5872799999999999E-2</v>
      </c>
      <c r="O2013">
        <v>-0.76016340000000004</v>
      </c>
      <c r="P2013">
        <v>-0.82261430000000002</v>
      </c>
      <c r="Q2013">
        <v>-9.1517399999999999E-2</v>
      </c>
      <c r="R2013">
        <v>-0.56118650000000003</v>
      </c>
      <c r="S2013">
        <v>-3.8726349999999998</v>
      </c>
      <c r="T2013">
        <v>1.344225</v>
      </c>
      <c r="U2013">
        <v>5.1147459999999999E-2</v>
      </c>
      <c r="V2013">
        <v>0.25914569999999998</v>
      </c>
      <c r="W2013">
        <v>-8.1831429999999997E-2</v>
      </c>
      <c r="X2013">
        <v>0.96236540000000004</v>
      </c>
      <c r="Y2013">
        <v>0.69066939999999999</v>
      </c>
      <c r="Z2013">
        <v>-0.35259200000000002</v>
      </c>
      <c r="AA2013">
        <v>0.63139119999999904</v>
      </c>
      <c r="AB2013">
        <v>19</v>
      </c>
      <c r="AC2013">
        <v>-312.77280000000002</v>
      </c>
      <c r="AD2013">
        <v>108.612959</v>
      </c>
      <c r="AE2013">
        <v>4.2652999999999599</v>
      </c>
      <c r="AF2013">
        <v>214.67651785655301</v>
      </c>
      <c r="AG2013">
        <v>108.612959</v>
      </c>
      <c r="AH2013">
        <v>178.42834562287501</v>
      </c>
      <c r="AI2013">
        <v>68.7395025331856</v>
      </c>
      <c r="AJ2013">
        <v>39.7316580937118</v>
      </c>
      <c r="AK2013">
        <v>299.53206289722499</v>
      </c>
      <c r="AL2013">
        <v>94.693844080036101</v>
      </c>
      <c r="AM2013">
        <v>74.928884847392794</v>
      </c>
      <c r="AN2013">
        <v>1.0000000199407399</v>
      </c>
    </row>
    <row r="2014" spans="1:40" x14ac:dyDescent="0.25">
      <c r="A2014" t="str">
        <f>"20190305134939923"</f>
        <v>20190305134939923</v>
      </c>
      <c r="B2014" t="str">
        <f>"1551764979913066"</f>
        <v>1551764979913066</v>
      </c>
      <c r="C2014" t="s">
        <v>40</v>
      </c>
      <c r="D2014">
        <v>3.9161069999999998</v>
      </c>
      <c r="E2014">
        <v>0.78476380000000001</v>
      </c>
      <c r="F2014" t="s">
        <v>77</v>
      </c>
      <c r="G2014">
        <v>-510.98930000000001</v>
      </c>
      <c r="H2014">
        <v>107.43259999999999</v>
      </c>
      <c r="I2014">
        <v>295.35309999999998</v>
      </c>
      <c r="J2014">
        <v>-198.3579</v>
      </c>
      <c r="K2014">
        <v>1.1012919999999999</v>
      </c>
      <c r="L2014">
        <v>290.28129999999999</v>
      </c>
      <c r="M2014">
        <v>-0.66230129999999998</v>
      </c>
      <c r="N2014">
        <v>-1.592886E-2</v>
      </c>
      <c r="O2014">
        <v>-0.74906819999999996</v>
      </c>
      <c r="P2014">
        <v>-0.8316462</v>
      </c>
      <c r="Q2014">
        <v>-8.98978E-2</v>
      </c>
      <c r="R2014">
        <v>-0.54798089999999999</v>
      </c>
      <c r="S2014">
        <v>-3.8331759999999999</v>
      </c>
      <c r="T2014">
        <v>1.303142</v>
      </c>
      <c r="U2014">
        <v>6.0516359999999998E-2</v>
      </c>
      <c r="V2014">
        <v>0.25839469999999998</v>
      </c>
      <c r="W2014">
        <v>-8.0166890000000005E-2</v>
      </c>
      <c r="X2014">
        <v>0.96270730000000004</v>
      </c>
      <c r="Y2014">
        <v>0.68489750000000005</v>
      </c>
      <c r="Z2014">
        <v>-0.34272550000000002</v>
      </c>
      <c r="AA2014">
        <v>0.64300449999999998</v>
      </c>
      <c r="AB2014">
        <v>19</v>
      </c>
      <c r="AC2014">
        <v>-312.63139999999999</v>
      </c>
      <c r="AD2014">
        <v>106.33130800000001</v>
      </c>
      <c r="AE2014">
        <v>5.0717999999999899</v>
      </c>
      <c r="AF2014">
        <v>212.94457099728501</v>
      </c>
      <c r="AG2014">
        <v>106.33130800000001</v>
      </c>
      <c r="AH2014">
        <v>182.21036582363101</v>
      </c>
      <c r="AI2014">
        <v>69.223177180000704</v>
      </c>
      <c r="AJ2014">
        <v>40.552624905682599</v>
      </c>
      <c r="AK2014">
        <v>299.75382364832302</v>
      </c>
      <c r="AL2014">
        <v>94.598158877257404</v>
      </c>
      <c r="AM2014">
        <v>74.975678153477105</v>
      </c>
      <c r="AN2014">
        <v>0.99999994835682404</v>
      </c>
    </row>
    <row r="2015" spans="1:40" x14ac:dyDescent="0.25">
      <c r="A2015" t="str">
        <f>"20190305134939945"</f>
        <v>20190305134939945</v>
      </c>
      <c r="B2015" t="str">
        <f>"1551764979942345"</f>
        <v>1551764979942345</v>
      </c>
      <c r="C2015" t="s">
        <v>40</v>
      </c>
      <c r="D2015">
        <v>4.3741050000000001</v>
      </c>
      <c r="E2015">
        <v>0.78273939999999997</v>
      </c>
      <c r="F2015" t="s">
        <v>77</v>
      </c>
      <c r="G2015">
        <v>-511.8553</v>
      </c>
      <c r="H2015">
        <v>106.0886</v>
      </c>
      <c r="I2015">
        <v>298.82530000000003</v>
      </c>
      <c r="J2015">
        <v>-198.4973</v>
      </c>
      <c r="K2015">
        <v>1.10124</v>
      </c>
      <c r="L2015">
        <v>290.15320000000003</v>
      </c>
      <c r="M2015">
        <v>-0.674682</v>
      </c>
      <c r="N2015">
        <v>-1.5981990000000001E-2</v>
      </c>
      <c r="O2015">
        <v>-0.73793569999999997</v>
      </c>
      <c r="P2015">
        <v>-0.84099629999999903</v>
      </c>
      <c r="Q2015">
        <v>-9.0108999999999995E-2</v>
      </c>
      <c r="R2015">
        <v>-0.53348459999999998</v>
      </c>
      <c r="S2015">
        <v>-3.8138730000000001</v>
      </c>
      <c r="T2015">
        <v>1.2772300000000001</v>
      </c>
      <c r="U2015">
        <v>0.1039429</v>
      </c>
      <c r="V2015">
        <v>0.25901970000000002</v>
      </c>
      <c r="W2015">
        <v>-8.0372440000000003E-2</v>
      </c>
      <c r="X2015">
        <v>0.96252230000000005</v>
      </c>
      <c r="Y2015">
        <v>0.68373890000000004</v>
      </c>
      <c r="Z2015">
        <v>-0.33562330000000001</v>
      </c>
      <c r="AA2015">
        <v>0.6479646</v>
      </c>
      <c r="AB2015">
        <v>19</v>
      </c>
      <c r="AC2015">
        <v>-313.358</v>
      </c>
      <c r="AD2015">
        <v>104.98736</v>
      </c>
      <c r="AE2015">
        <v>8.6721000000000004</v>
      </c>
      <c r="AF2015">
        <v>213.204936569675</v>
      </c>
      <c r="AG2015">
        <v>104.98736</v>
      </c>
      <c r="AH2015">
        <v>184.364353543806</v>
      </c>
      <c r="AI2015">
        <v>69.570794640465905</v>
      </c>
      <c r="AJ2015">
        <v>40.850901344620198</v>
      </c>
      <c r="AK2015">
        <v>300.78049404021198</v>
      </c>
      <c r="AL2015">
        <v>94.609973653551506</v>
      </c>
      <c r="AM2015">
        <v>74.938223495006298</v>
      </c>
      <c r="AN2015">
        <v>1.0000000560484601</v>
      </c>
    </row>
    <row r="2016" spans="1:40" x14ac:dyDescent="0.25">
      <c r="A2016" t="str">
        <f>"20190305134939967"</f>
        <v>20190305134939967</v>
      </c>
      <c r="B2016" t="str">
        <f>"1551764979962843"</f>
        <v>1551764979962843</v>
      </c>
      <c r="C2016" t="s">
        <v>40</v>
      </c>
      <c r="D2016">
        <v>3.9181159999999999</v>
      </c>
      <c r="E2016">
        <v>0.78042069999999997</v>
      </c>
      <c r="F2016" t="s">
        <v>77</v>
      </c>
      <c r="G2016">
        <v>-511.85500000000002</v>
      </c>
      <c r="H2016">
        <v>105.0907</v>
      </c>
      <c r="I2016">
        <v>303.29969999999997</v>
      </c>
      <c r="J2016">
        <v>-198.64400000000001</v>
      </c>
      <c r="K2016">
        <v>1.1011789999999999</v>
      </c>
      <c r="L2016">
        <v>290.02330000000001</v>
      </c>
      <c r="M2016">
        <v>-0.6874074</v>
      </c>
      <c r="N2016">
        <v>-1.603301E-2</v>
      </c>
      <c r="O2016">
        <v>-0.72609509999999999</v>
      </c>
      <c r="P2016">
        <v>-0.8502094</v>
      </c>
      <c r="Q2016">
        <v>-9.2744690000000005E-2</v>
      </c>
      <c r="R2016">
        <v>-0.51821139999999999</v>
      </c>
      <c r="S2016">
        <v>-3.8036500000000002</v>
      </c>
      <c r="T2016">
        <v>1.262262</v>
      </c>
      <c r="U2016">
        <v>0.15957639999999901</v>
      </c>
      <c r="V2016">
        <v>0.2593974</v>
      </c>
      <c r="W2016">
        <v>-8.2998799999999998E-2</v>
      </c>
      <c r="X2016">
        <v>0.96219759999999999</v>
      </c>
      <c r="Y2016">
        <v>0.68333259999999996</v>
      </c>
      <c r="Z2016">
        <v>-0.33033210000000002</v>
      </c>
      <c r="AA2016">
        <v>0.65110469999999998</v>
      </c>
      <c r="AB2016">
        <v>19</v>
      </c>
      <c r="AC2016">
        <v>-313.21100000000001</v>
      </c>
      <c r="AD2016">
        <v>103.989521</v>
      </c>
      <c r="AE2016">
        <v>13.276399999999899</v>
      </c>
      <c r="AF2016">
        <v>213.12657186279</v>
      </c>
      <c r="AG2016">
        <v>103.989521</v>
      </c>
      <c r="AH2016">
        <v>185.30074277376499</v>
      </c>
      <c r="AI2016">
        <v>69.785646109858703</v>
      </c>
      <c r="AJ2016">
        <v>41.004997663320701</v>
      </c>
      <c r="AK2016">
        <v>300.95368644411599</v>
      </c>
      <c r="AL2016">
        <v>94.760957787131403</v>
      </c>
      <c r="AM2016">
        <v>74.912402798984402</v>
      </c>
      <c r="AN2016">
        <v>1.00000001668697</v>
      </c>
    </row>
    <row r="2017" spans="1:40" x14ac:dyDescent="0.25">
      <c r="A2017" t="str">
        <f>"20190305134939991"</f>
        <v>20190305134939991</v>
      </c>
      <c r="B2017" t="str">
        <f>"1551764979982362"</f>
        <v>1551764979982362</v>
      </c>
      <c r="C2017" t="s">
        <v>40</v>
      </c>
      <c r="D2017">
        <v>4.1700269999999904</v>
      </c>
      <c r="E2017">
        <v>0.77867339999999996</v>
      </c>
      <c r="F2017" t="s">
        <v>77</v>
      </c>
      <c r="G2017">
        <v>-511.85469999999998</v>
      </c>
      <c r="H2017">
        <v>104.0823</v>
      </c>
      <c r="I2017">
        <v>307.27789999999999</v>
      </c>
      <c r="J2017">
        <v>-198.7996</v>
      </c>
      <c r="K2017">
        <v>1.1011280000000001</v>
      </c>
      <c r="L2017">
        <v>289.89060000000001</v>
      </c>
      <c r="M2017">
        <v>-0.70058129999999996</v>
      </c>
      <c r="N2017">
        <v>-1.6042440000000002E-2</v>
      </c>
      <c r="O2017">
        <v>-0.71339229999999998</v>
      </c>
      <c r="P2017">
        <v>-0.85939500000000002</v>
      </c>
      <c r="Q2017">
        <v>-9.4557059999999998E-2</v>
      </c>
      <c r="R2017">
        <v>-0.50249339999999998</v>
      </c>
      <c r="S2017">
        <v>-3.7918699999999999</v>
      </c>
      <c r="T2017">
        <v>1.2467360000000001</v>
      </c>
      <c r="U2017">
        <v>0.20889279999999999</v>
      </c>
      <c r="V2017">
        <v>0.25928790000000002</v>
      </c>
      <c r="W2017">
        <v>-8.4827330000000006E-2</v>
      </c>
      <c r="X2017">
        <v>0.96206760000000002</v>
      </c>
      <c r="Y2017">
        <v>0.68144969999999905</v>
      </c>
      <c r="Z2017">
        <v>-0.32446269999999999</v>
      </c>
      <c r="AA2017">
        <v>0.65601089999999995</v>
      </c>
      <c r="AB2017">
        <v>19</v>
      </c>
      <c r="AC2017">
        <v>-313.05509999999998</v>
      </c>
      <c r="AD2017">
        <v>102.981172</v>
      </c>
      <c r="AE2017">
        <v>17.3872999999999</v>
      </c>
      <c r="AF2017">
        <v>212.606827869119</v>
      </c>
      <c r="AG2017">
        <v>102.981172</v>
      </c>
      <c r="AH2017">
        <v>186.79226321337501</v>
      </c>
      <c r="AI2017">
        <v>70.0044666756678</v>
      </c>
      <c r="AJ2017">
        <v>41.3019165777363</v>
      </c>
      <c r="AK2017">
        <v>301.16130999754603</v>
      </c>
      <c r="AL2017">
        <v>94.866095848967703</v>
      </c>
      <c r="AM2017">
        <v>74.916536520635702</v>
      </c>
      <c r="AN2017">
        <v>0.99999997898554904</v>
      </c>
    </row>
    <row r="2018" spans="1:40" x14ac:dyDescent="0.25">
      <c r="A2018" t="str">
        <f>"20190305134940013"</f>
        <v>20190305134940013</v>
      </c>
      <c r="B2018" t="str">
        <f>"1551764980002861"</f>
        <v>1551764980002861</v>
      </c>
      <c r="C2018" t="s">
        <v>40</v>
      </c>
      <c r="D2018">
        <v>4.1679399999999998</v>
      </c>
      <c r="E2018">
        <v>0.77649760000000001</v>
      </c>
      <c r="F2018" t="s">
        <v>77</v>
      </c>
      <c r="G2018">
        <v>-511.85449999999997</v>
      </c>
      <c r="H2018">
        <v>103.5313</v>
      </c>
      <c r="I2018">
        <v>311.64359999999999</v>
      </c>
      <c r="J2018">
        <v>-198.94749999999999</v>
      </c>
      <c r="K2018">
        <v>1.1010340000000001</v>
      </c>
      <c r="L2018">
        <v>289.76929999999999</v>
      </c>
      <c r="M2018">
        <v>-0.71280940000000004</v>
      </c>
      <c r="N2018">
        <v>-1.5943329999999999E-2</v>
      </c>
      <c r="O2018">
        <v>-0.70117649999999998</v>
      </c>
      <c r="P2018">
        <v>-0.86837609999999998</v>
      </c>
      <c r="Q2018">
        <v>-9.501155E-2</v>
      </c>
      <c r="R2018">
        <v>-0.48671959999999997</v>
      </c>
      <c r="S2018">
        <v>-3.7805330000000001</v>
      </c>
      <c r="T2018">
        <v>1.236974</v>
      </c>
      <c r="U2018">
        <v>0.26269530000000002</v>
      </c>
      <c r="V2018">
        <v>0.26016319999999998</v>
      </c>
      <c r="W2018">
        <v>-8.5432540000000001E-2</v>
      </c>
      <c r="X2018">
        <v>0.96177769999999996</v>
      </c>
      <c r="Y2018">
        <v>0.68044609999999905</v>
      </c>
      <c r="Z2018">
        <v>-0.3200597</v>
      </c>
      <c r="AA2018">
        <v>0.65920769999999995</v>
      </c>
      <c r="AB2018">
        <v>19</v>
      </c>
      <c r="AC2018">
        <v>-312.90699999999998</v>
      </c>
      <c r="AD2018">
        <v>102.430266</v>
      </c>
      <c r="AE2018">
        <v>21.874300000000002</v>
      </c>
      <c r="AF2018">
        <v>212.37775009603001</v>
      </c>
      <c r="AG2018">
        <v>102.430266</v>
      </c>
      <c r="AH2018">
        <v>187.714377550667</v>
      </c>
      <c r="AI2018">
        <v>70.131344202320705</v>
      </c>
      <c r="AJ2018">
        <v>41.472509237850701</v>
      </c>
      <c r="AK2018">
        <v>301.38506211807601</v>
      </c>
      <c r="AL2018">
        <v>94.900898176702995</v>
      </c>
      <c r="AM2018">
        <v>74.863597418380493</v>
      </c>
      <c r="AN2018">
        <v>0.99999997687119002</v>
      </c>
    </row>
    <row r="2019" spans="1:40" x14ac:dyDescent="0.25">
      <c r="A2019" t="str">
        <f>"20190305134940036"</f>
        <v>20190305134940036</v>
      </c>
      <c r="B2019" t="str">
        <f>"1551764980033115"</f>
        <v>1551764980033115</v>
      </c>
      <c r="C2019" t="s">
        <v>40</v>
      </c>
      <c r="D2019">
        <v>4.1886799999999997</v>
      </c>
      <c r="E2019">
        <v>0.68670390000000003</v>
      </c>
      <c r="F2019" t="s">
        <v>77</v>
      </c>
      <c r="G2019">
        <v>-511.85430000000002</v>
      </c>
      <c r="H2019">
        <v>103.01949999999999</v>
      </c>
      <c r="I2019">
        <v>315.9794</v>
      </c>
      <c r="J2019">
        <v>-199.09880000000001</v>
      </c>
      <c r="K2019">
        <v>1.1009310000000001</v>
      </c>
      <c r="L2019">
        <v>289.6497</v>
      </c>
      <c r="M2019">
        <v>-0.72497529999999999</v>
      </c>
      <c r="N2019">
        <v>-1.575822E-2</v>
      </c>
      <c r="O2019">
        <v>-0.6885945</v>
      </c>
      <c r="P2019">
        <v>-0.87723379999999995</v>
      </c>
      <c r="Q2019">
        <v>-9.5537810000000001E-2</v>
      </c>
      <c r="R2019">
        <v>-0.47046120000000002</v>
      </c>
      <c r="S2019">
        <v>-3.7657319999999999</v>
      </c>
      <c r="T2019">
        <v>1.2265569999999999</v>
      </c>
      <c r="U2019">
        <v>0.31542969999999998</v>
      </c>
      <c r="V2019">
        <v>0.26117649999999998</v>
      </c>
      <c r="W2019">
        <v>-8.6192980000000002E-2</v>
      </c>
      <c r="X2019">
        <v>0.96143520000000005</v>
      </c>
      <c r="Y2019">
        <v>0.67923020000000001</v>
      </c>
      <c r="Z2019">
        <v>-0.31551679999999999</v>
      </c>
      <c r="AA2019">
        <v>0.66264269999999903</v>
      </c>
      <c r="AB2019">
        <v>19</v>
      </c>
      <c r="AC2019">
        <v>-312.75549999999998</v>
      </c>
      <c r="AD2019">
        <v>101.91856900000001</v>
      </c>
      <c r="AE2019">
        <v>26.329699999999999</v>
      </c>
      <c r="AF2019">
        <v>212.11280631164999</v>
      </c>
      <c r="AG2019">
        <v>101.91856900000001</v>
      </c>
      <c r="AH2019">
        <v>188.73420006888099</v>
      </c>
      <c r="AI2019">
        <v>70.253631041443796</v>
      </c>
      <c r="AJ2019">
        <v>41.6621186092014</v>
      </c>
      <c r="AK2019">
        <v>301.66179006306402</v>
      </c>
      <c r="AL2019">
        <v>94.944629285661506</v>
      </c>
      <c r="AM2019">
        <v>74.802201184039205</v>
      </c>
      <c r="AN2019">
        <v>1.0000000188762801</v>
      </c>
    </row>
    <row r="2020" spans="1:40" x14ac:dyDescent="0.25">
      <c r="A2020" t="str">
        <f>"20190305134940058"</f>
        <v>20190305134940058</v>
      </c>
      <c r="B2020" t="str">
        <f>"1551764980052633"</f>
        <v>1551764980052633</v>
      </c>
      <c r="C2020" t="s">
        <v>40</v>
      </c>
      <c r="D2020">
        <v>3.8594550000000001</v>
      </c>
      <c r="E2020">
        <v>0.6859691</v>
      </c>
      <c r="F2020" t="s">
        <v>54</v>
      </c>
      <c r="G2020">
        <v>-455.38260000000002</v>
      </c>
      <c r="H2020">
        <v>8.9543160000000004</v>
      </c>
      <c r="I2020">
        <v>279.28579999999999</v>
      </c>
      <c r="J2020">
        <v>-199.2576</v>
      </c>
      <c r="K2020">
        <v>1.100832</v>
      </c>
      <c r="L2020">
        <v>289.52870000000001</v>
      </c>
      <c r="M2020">
        <v>-0.73738110000000001</v>
      </c>
      <c r="N2020">
        <v>-1.5484889999999999E-2</v>
      </c>
      <c r="O2020">
        <v>-0.6752996</v>
      </c>
      <c r="P2020">
        <v>-0.88574589999999997</v>
      </c>
      <c r="Q2020">
        <v>-9.6056970000000005E-2</v>
      </c>
      <c r="R2020">
        <v>-0.45412279999999999</v>
      </c>
      <c r="S2020">
        <v>-3.358231</v>
      </c>
      <c r="T2020">
        <v>0.1029081</v>
      </c>
      <c r="U2020">
        <v>-0.13580320000000001</v>
      </c>
      <c r="V2020">
        <v>0.26144919999999999</v>
      </c>
      <c r="W2020">
        <v>-8.6999480000000004E-2</v>
      </c>
      <c r="X2020">
        <v>0.96128840000000004</v>
      </c>
      <c r="Y2020">
        <v>0.64419219999999999</v>
      </c>
      <c r="Z2020">
        <v>-3.5197150000000003E-2</v>
      </c>
      <c r="AA2020">
        <v>0.76405339999999999</v>
      </c>
      <c r="AB2020">
        <v>19</v>
      </c>
      <c r="AC2020">
        <v>-256.125</v>
      </c>
      <c r="AD2020">
        <v>7.8534839999999999</v>
      </c>
      <c r="AE2020">
        <v>-10.242900000000001</v>
      </c>
      <c r="AF2020">
        <v>165.272864018191</v>
      </c>
      <c r="AG2020">
        <v>7.8534839999999999</v>
      </c>
      <c r="AH2020">
        <v>195.61858831611801</v>
      </c>
      <c r="AI2020">
        <v>88.243462608905901</v>
      </c>
      <c r="AJ2020">
        <v>49.806435586622598</v>
      </c>
      <c r="AK2020">
        <v>256.20973612746297</v>
      </c>
      <c r="AL2020">
        <v>94.991012711786396</v>
      </c>
      <c r="AM2020">
        <v>74.7848523216187</v>
      </c>
      <c r="AN2020">
        <v>0.99999999083773505</v>
      </c>
    </row>
    <row r="2021" spans="1:40" x14ac:dyDescent="0.25">
      <c r="A2021" t="str">
        <f>"20190305134940081"</f>
        <v>20190305134940081</v>
      </c>
      <c r="B2021" t="str">
        <f>"1551764980073130"</f>
        <v>1551764980073130</v>
      </c>
      <c r="C2021" t="s">
        <v>40</v>
      </c>
      <c r="D2021">
        <v>3.9741740000000001</v>
      </c>
      <c r="E2021">
        <v>0.71220430000000001</v>
      </c>
      <c r="F2021" t="s">
        <v>47</v>
      </c>
      <c r="G2021">
        <v>0</v>
      </c>
      <c r="H2021">
        <v>0</v>
      </c>
      <c r="I2021">
        <v>0</v>
      </c>
      <c r="J2021">
        <v>-199.42179999999999</v>
      </c>
      <c r="K2021">
        <v>1.1007370000000001</v>
      </c>
      <c r="L2021">
        <v>289.4083</v>
      </c>
      <c r="M2021">
        <v>-0.74983140000000004</v>
      </c>
      <c r="N2021">
        <v>-1.51244E-2</v>
      </c>
      <c r="O2021">
        <v>-0.66145619999999905</v>
      </c>
      <c r="P2021">
        <v>-0.89364030000000005</v>
      </c>
      <c r="Q2021">
        <v>-9.601904E-2</v>
      </c>
      <c r="R2021">
        <v>-0.4383919</v>
      </c>
      <c r="S2021">
        <v>-3.3565369999999999</v>
      </c>
      <c r="T2021">
        <v>9.1935039999999996E-2</v>
      </c>
      <c r="U2021">
        <v>-7.8765870000000002E-2</v>
      </c>
      <c r="V2021">
        <v>0.26054159999999998</v>
      </c>
      <c r="W2021">
        <v>-8.7287879999999998E-2</v>
      </c>
      <c r="X2021">
        <v>0.96150869999999999</v>
      </c>
      <c r="Y2021">
        <v>0.643069</v>
      </c>
      <c r="Z2021">
        <v>-3.1456629999999999E-2</v>
      </c>
      <c r="AA2021">
        <v>0.76516189999999995</v>
      </c>
      <c r="AB2021">
        <v>19</v>
      </c>
      <c r="AC2021">
        <v>-3.3565369999999999</v>
      </c>
      <c r="AD2021">
        <v>9.1935039999999996E-2</v>
      </c>
      <c r="AE2021">
        <v>-7.8765870000000002E-2</v>
      </c>
      <c r="AF2021">
        <v>2.1597687368064</v>
      </c>
      <c r="AG2021">
        <v>9.1935039999999996E-2</v>
      </c>
      <c r="AH2021">
        <v>2.5673057059543201</v>
      </c>
      <c r="AI2021">
        <v>88.430325669919</v>
      </c>
      <c r="AJ2021">
        <v>49.927477525473101</v>
      </c>
      <c r="AK2021">
        <v>3.35620494545427</v>
      </c>
      <c r="AL2021">
        <v>95.007599671066103</v>
      </c>
      <c r="AM2021">
        <v>74.838548763082898</v>
      </c>
      <c r="AN2021">
        <v>1.0000000397505699</v>
      </c>
    </row>
    <row r="2022" spans="1:40" x14ac:dyDescent="0.25">
      <c r="A2022" t="str">
        <f>"20190305134940102"</f>
        <v>20190305134940102</v>
      </c>
      <c r="B2022" t="str">
        <f>"1551764980092653"</f>
        <v>1551764980092653</v>
      </c>
      <c r="C2022" t="s">
        <v>40</v>
      </c>
      <c r="D2022">
        <v>4.2677709999999998</v>
      </c>
      <c r="E2022">
        <v>0.7115283</v>
      </c>
      <c r="F2022" t="s">
        <v>77</v>
      </c>
      <c r="G2022">
        <v>-510.9796</v>
      </c>
      <c r="H2022">
        <v>78.158190000000005</v>
      </c>
      <c r="I2022">
        <v>297.27719999999999</v>
      </c>
      <c r="J2022">
        <v>-199.56909999999999</v>
      </c>
      <c r="K2022">
        <v>1.1006830000000001</v>
      </c>
      <c r="L2022">
        <v>289.30410000000001</v>
      </c>
      <c r="M2022">
        <v>-0.76067039999999997</v>
      </c>
      <c r="N2022">
        <v>-1.4755570000000001E-2</v>
      </c>
      <c r="O2022">
        <v>-0.64897069999999901</v>
      </c>
      <c r="P2022">
        <v>-0.89985659999999901</v>
      </c>
      <c r="Q2022">
        <v>-9.4416550000000002E-2</v>
      </c>
      <c r="R2022">
        <v>-0.42584509999999998</v>
      </c>
      <c r="S2022">
        <v>-3.493179</v>
      </c>
      <c r="T2022">
        <v>0.86396709999999999</v>
      </c>
      <c r="U2022">
        <v>8.8226319999999997E-2</v>
      </c>
      <c r="V2022">
        <v>0.25823869999999999</v>
      </c>
      <c r="W2022">
        <v>-8.5972610000000005E-2</v>
      </c>
      <c r="X2022">
        <v>0.96224810000000005</v>
      </c>
      <c r="Y2022">
        <v>0.63063990000000003</v>
      </c>
      <c r="Z2022">
        <v>-0.22969110000000001</v>
      </c>
      <c r="AA2022">
        <v>0.74130649999999998</v>
      </c>
      <c r="AB2022">
        <v>19</v>
      </c>
      <c r="AC2022">
        <v>-311.41050000000001</v>
      </c>
      <c r="AD2022">
        <v>77.057507000000001</v>
      </c>
      <c r="AE2022">
        <v>7.9730999999999801</v>
      </c>
      <c r="AF2022">
        <v>196.179652687638</v>
      </c>
      <c r="AG2022">
        <v>77.057507000000001</v>
      </c>
      <c r="AH2022">
        <v>218.36966290199999</v>
      </c>
      <c r="AI2022">
        <v>75.291594029864399</v>
      </c>
      <c r="AJ2022">
        <v>48.064006333563498</v>
      </c>
      <c r="AK2022">
        <v>303.49567573464799</v>
      </c>
      <c r="AL2022">
        <v>94.931956258073896</v>
      </c>
      <c r="AM2022">
        <v>74.977497113329505</v>
      </c>
      <c r="AN2022">
        <v>0.99999996090075505</v>
      </c>
    </row>
    <row r="2023" spans="1:40" x14ac:dyDescent="0.25">
      <c r="A2023" t="str">
        <f>"20190305134940124"</f>
        <v>20190305134940124</v>
      </c>
      <c r="B2023" t="str">
        <f>"1551764980122909"</f>
        <v>1551764980122909</v>
      </c>
      <c r="C2023" t="s">
        <v>40</v>
      </c>
      <c r="D2023">
        <v>4.2097480000000003</v>
      </c>
      <c r="E2023">
        <v>0.68152979999999996</v>
      </c>
      <c r="F2023" t="s">
        <v>77</v>
      </c>
      <c r="G2023">
        <v>-511.84640000000002</v>
      </c>
      <c r="H2023">
        <v>79.288529999999994</v>
      </c>
      <c r="I2023">
        <v>300.95740000000001</v>
      </c>
      <c r="J2023">
        <v>-199.73230000000001</v>
      </c>
      <c r="K2023">
        <v>1.100646</v>
      </c>
      <c r="L2023">
        <v>289.19260000000003</v>
      </c>
      <c r="M2023">
        <v>-0.77230200000000004</v>
      </c>
      <c r="N2023">
        <v>-1.4337920000000001E-2</v>
      </c>
      <c r="O2023">
        <v>-0.63509359999999904</v>
      </c>
      <c r="P2023">
        <v>-0.90613480000000002</v>
      </c>
      <c r="Q2023">
        <v>-9.0630749999999996E-2</v>
      </c>
      <c r="R2023">
        <v>-0.41316599999999998</v>
      </c>
      <c r="S2023">
        <v>-3.4870450000000002</v>
      </c>
      <c r="T2023">
        <v>0.873085</v>
      </c>
      <c r="U2023">
        <v>0.13012699999999999</v>
      </c>
      <c r="V2023">
        <v>0.25465460000000001</v>
      </c>
      <c r="W2023">
        <v>-8.2480769999999995E-2</v>
      </c>
      <c r="X2023">
        <v>0.96350809999999998</v>
      </c>
      <c r="Y2023">
        <v>0.62564980000000003</v>
      </c>
      <c r="Z2023">
        <v>-0.22888140000000001</v>
      </c>
      <c r="AA2023">
        <v>0.74577190000000004</v>
      </c>
      <c r="AB2023">
        <v>19</v>
      </c>
      <c r="AC2023">
        <v>-312.11410000000001</v>
      </c>
      <c r="AD2023">
        <v>78.187883999999997</v>
      </c>
      <c r="AE2023">
        <v>11.7647999999999</v>
      </c>
      <c r="AF2023">
        <v>195.10257702803301</v>
      </c>
      <c r="AG2023">
        <v>78.187883999999997</v>
      </c>
      <c r="AH2023">
        <v>219.82308033672999</v>
      </c>
      <c r="AI2023">
        <v>75.103164536443302</v>
      </c>
      <c r="AJ2023">
        <v>48.409546267699199</v>
      </c>
      <c r="AK2023">
        <v>304.139026460114</v>
      </c>
      <c r="AL2023">
        <v>94.731175046768996</v>
      </c>
      <c r="AM2023">
        <v>75.195287613460593</v>
      </c>
      <c r="AN2023">
        <v>0.99999995074327996</v>
      </c>
    </row>
    <row r="2024" spans="1:40" x14ac:dyDescent="0.25">
      <c r="A2024" t="str">
        <f>"20190305134940146"</f>
        <v>20190305134940146</v>
      </c>
      <c r="B2024" t="str">
        <f>"1551764980142429"</f>
        <v>1551764980142429</v>
      </c>
      <c r="C2024" t="s">
        <v>40</v>
      </c>
      <c r="D2024">
        <v>4.0248269999999904</v>
      </c>
      <c r="E2024">
        <v>0.68256799999999995</v>
      </c>
      <c r="F2024" t="s">
        <v>77</v>
      </c>
      <c r="G2024">
        <v>-550.06050000000005</v>
      </c>
      <c r="H2024">
        <v>11.167590000000001</v>
      </c>
      <c r="I2024">
        <v>293.72179999999997</v>
      </c>
      <c r="J2024">
        <v>-199.8895</v>
      </c>
      <c r="K2024">
        <v>1.1006229999999999</v>
      </c>
      <c r="L2024">
        <v>289.08909999999997</v>
      </c>
      <c r="M2024">
        <v>-0.78312320000000002</v>
      </c>
      <c r="N2024">
        <v>-1.3954909999999999E-2</v>
      </c>
      <c r="O2024">
        <v>-0.6217104</v>
      </c>
      <c r="P2024">
        <v>-0.91172779999999998</v>
      </c>
      <c r="Q2024">
        <v>-8.728909E-2</v>
      </c>
      <c r="R2024">
        <v>-0.4014144</v>
      </c>
      <c r="S2024">
        <v>-3.340042</v>
      </c>
      <c r="T2024">
        <v>9.5979330000000002E-2</v>
      </c>
      <c r="U2024">
        <v>4.3182369999999998E-2</v>
      </c>
      <c r="V2024">
        <v>0.25080419999999998</v>
      </c>
      <c r="W2024">
        <v>-7.9397140000000005E-2</v>
      </c>
      <c r="X2024">
        <v>0.96477630000000003</v>
      </c>
      <c r="Y2024">
        <v>0.63115849999999996</v>
      </c>
      <c r="Z2024">
        <v>-3.064646E-2</v>
      </c>
      <c r="AA2024">
        <v>0.77504819999999996</v>
      </c>
      <c r="AB2024">
        <v>19</v>
      </c>
      <c r="AC2024">
        <v>-350.17099999999999</v>
      </c>
      <c r="AD2024">
        <v>10.066966999999901</v>
      </c>
      <c r="AE2024">
        <v>4.6326999999999998</v>
      </c>
      <c r="AF2024">
        <v>221.17166154703301</v>
      </c>
      <c r="AG2024">
        <v>10.066966999999901</v>
      </c>
      <c r="AH2024">
        <v>271.14912979345399</v>
      </c>
      <c r="AI2024">
        <v>88.352057533074699</v>
      </c>
      <c r="AJ2024">
        <v>50.796468919269898</v>
      </c>
      <c r="AK2024">
        <v>350.057278575667</v>
      </c>
      <c r="AL2024">
        <v>94.553914262906801</v>
      </c>
      <c r="AM2024">
        <v>75.427877519566493</v>
      </c>
      <c r="AN2024">
        <v>0.99999998080975405</v>
      </c>
    </row>
    <row r="2025" spans="1:40" x14ac:dyDescent="0.25">
      <c r="A2025" t="str">
        <f>"20190305134940168"</f>
        <v>20190305134940168</v>
      </c>
      <c r="B2025" t="str">
        <f>"1551764980162926"</f>
        <v>1551764980162926</v>
      </c>
      <c r="C2025" t="s">
        <v>40</v>
      </c>
      <c r="D2025">
        <v>4.0387510000000004</v>
      </c>
      <c r="E2025">
        <v>0.72336940000000005</v>
      </c>
      <c r="F2025" t="s">
        <v>77</v>
      </c>
      <c r="G2025">
        <v>-511.82389999999998</v>
      </c>
      <c r="H2025">
        <v>11.454750000000001</v>
      </c>
      <c r="I2025">
        <v>297.86950000000002</v>
      </c>
      <c r="J2025">
        <v>-200.06219999999999</v>
      </c>
      <c r="K2025">
        <v>1.1005860000000001</v>
      </c>
      <c r="L2025">
        <v>288.97949999999997</v>
      </c>
      <c r="M2025">
        <v>-0.79458790000000001</v>
      </c>
      <c r="N2025">
        <v>-1.356511E-2</v>
      </c>
      <c r="O2025">
        <v>-0.60699749999999997</v>
      </c>
      <c r="P2025">
        <v>-0.9176031</v>
      </c>
      <c r="Q2025">
        <v>-8.53801E-2</v>
      </c>
      <c r="R2025">
        <v>-0.38821990000000001</v>
      </c>
      <c r="S2025">
        <v>-3.3424990000000001</v>
      </c>
      <c r="T2025">
        <v>0.1109493</v>
      </c>
      <c r="U2025">
        <v>9.408569E-2</v>
      </c>
      <c r="V2025">
        <v>0.24687149999999999</v>
      </c>
      <c r="W2025">
        <v>-7.7762319999999996E-2</v>
      </c>
      <c r="X2025">
        <v>0.96592310000000003</v>
      </c>
      <c r="Y2025">
        <v>0.62832500000000002</v>
      </c>
      <c r="Z2025">
        <v>-3.3872279999999998E-2</v>
      </c>
      <c r="AA2025">
        <v>0.77721319999999905</v>
      </c>
      <c r="AB2025">
        <v>19</v>
      </c>
      <c r="AC2025">
        <v>-311.76170000000002</v>
      </c>
      <c r="AD2025">
        <v>10.354164000000001</v>
      </c>
      <c r="AE2025">
        <v>8.8900000000000396</v>
      </c>
      <c r="AF2025">
        <v>196.104399557607</v>
      </c>
      <c r="AG2025">
        <v>10.354164000000001</v>
      </c>
      <c r="AH2025">
        <v>242.08137204123301</v>
      </c>
      <c r="AI2025">
        <v>88.096482061030102</v>
      </c>
      <c r="AJ2025">
        <v>50.989885323793402</v>
      </c>
      <c r="AK2025">
        <v>311.71707512960302</v>
      </c>
      <c r="AL2025">
        <v>94.459955451309597</v>
      </c>
      <c r="AM2025">
        <v>75.663201216074796</v>
      </c>
      <c r="AN2025">
        <v>0.99999997551882003</v>
      </c>
    </row>
    <row r="2026" spans="1:40" x14ac:dyDescent="0.25">
      <c r="A2026" t="str">
        <f>"20190305134940192"</f>
        <v>20190305134940192</v>
      </c>
      <c r="B2026" t="str">
        <f>"1551764980182445"</f>
        <v>1551764980182445</v>
      </c>
      <c r="C2026" t="s">
        <v>40</v>
      </c>
      <c r="D2026">
        <v>4.2787879999999996</v>
      </c>
      <c r="E2026">
        <v>0.72025890000000004</v>
      </c>
      <c r="F2026" t="s">
        <v>77</v>
      </c>
      <c r="G2026">
        <v>-511.84930000000003</v>
      </c>
      <c r="H2026">
        <v>87.772900000000007</v>
      </c>
      <c r="I2026">
        <v>320.6977</v>
      </c>
      <c r="J2026">
        <v>-200.2354</v>
      </c>
      <c r="K2026">
        <v>1.100535</v>
      </c>
      <c r="L2026">
        <v>288.8741</v>
      </c>
      <c r="M2026">
        <v>-0.8056449</v>
      </c>
      <c r="N2026">
        <v>-1.321188E-2</v>
      </c>
      <c r="O2026">
        <v>-0.59225169999999905</v>
      </c>
      <c r="P2026">
        <v>-0.9229714</v>
      </c>
      <c r="Q2026">
        <v>-8.4480369999999999E-2</v>
      </c>
      <c r="R2026">
        <v>-0.3754827</v>
      </c>
      <c r="S2026">
        <v>-3.5113219999999998</v>
      </c>
      <c r="T2026">
        <v>0.97609710000000005</v>
      </c>
      <c r="U2026">
        <v>0.35720829999999998</v>
      </c>
      <c r="V2026">
        <v>0.2424962</v>
      </c>
      <c r="W2026">
        <v>-7.7107439999999999E-2</v>
      </c>
      <c r="X2026">
        <v>0.96708329999999998</v>
      </c>
      <c r="Y2026">
        <v>0.62567229999999996</v>
      </c>
      <c r="Z2026">
        <v>-0.2424926</v>
      </c>
      <c r="AA2026">
        <v>0.74143890000000001</v>
      </c>
      <c r="AB2026">
        <v>19</v>
      </c>
      <c r="AC2026">
        <v>-311.6139</v>
      </c>
      <c r="AD2026">
        <v>86.672364999999999</v>
      </c>
      <c r="AE2026">
        <v>31.823599999999999</v>
      </c>
      <c r="AF2026">
        <v>195.26084686230701</v>
      </c>
      <c r="AG2026">
        <v>86.672364999999999</v>
      </c>
      <c r="AH2026">
        <v>215.70748393398401</v>
      </c>
      <c r="AI2026">
        <v>73.411929730647699</v>
      </c>
      <c r="AJ2026">
        <v>47.848250696955098</v>
      </c>
      <c r="AK2026">
        <v>303.59284543152302</v>
      </c>
      <c r="AL2026">
        <v>94.422320316390895</v>
      </c>
      <c r="AM2026">
        <v>75.923316109843697</v>
      </c>
      <c r="AN2026">
        <v>1.0000000367283399</v>
      </c>
    </row>
    <row r="2027" spans="1:40" x14ac:dyDescent="0.25">
      <c r="A2027" t="str">
        <f>"20190305134940213"</f>
        <v>20190305134940213</v>
      </c>
      <c r="B2027" t="str">
        <f>"1551764980202941"</f>
        <v>1551764980202941</v>
      </c>
      <c r="C2027" t="s">
        <v>40</v>
      </c>
      <c r="D2027">
        <v>4.0632080000000004</v>
      </c>
      <c r="E2027">
        <v>0.71300319999999995</v>
      </c>
      <c r="F2027" t="s">
        <v>77</v>
      </c>
      <c r="G2027">
        <v>-510.98239999999998</v>
      </c>
      <c r="H2027">
        <v>86.769490000000005</v>
      </c>
      <c r="I2027">
        <v>322.88150000000002</v>
      </c>
      <c r="J2027">
        <v>-200.3999</v>
      </c>
      <c r="K2027">
        <v>1.1004879999999999</v>
      </c>
      <c r="L2027">
        <v>288.77800000000002</v>
      </c>
      <c r="M2027">
        <v>-0.81575600000000004</v>
      </c>
      <c r="N2027">
        <v>-1.290729E-2</v>
      </c>
      <c r="O2027">
        <v>-0.5782524</v>
      </c>
      <c r="P2027">
        <v>-0.92743439999999999</v>
      </c>
      <c r="Q2027">
        <v>-8.0920649999999997E-2</v>
      </c>
      <c r="R2027">
        <v>-0.36512709999999998</v>
      </c>
      <c r="S2027">
        <v>-3.4940950000000002</v>
      </c>
      <c r="T2027">
        <v>0.96327759999999996</v>
      </c>
      <c r="U2027">
        <v>0.38238529999999998</v>
      </c>
      <c r="V2027">
        <v>0.2368719</v>
      </c>
      <c r="W2027">
        <v>-7.3721540000000002E-2</v>
      </c>
      <c r="X2027">
        <v>0.96873980000000004</v>
      </c>
      <c r="Y2027">
        <v>0.61986580000000002</v>
      </c>
      <c r="Z2027">
        <v>-0.2364068</v>
      </c>
      <c r="AA2027">
        <v>0.74825010000000003</v>
      </c>
      <c r="AB2027">
        <v>19</v>
      </c>
      <c r="AC2027">
        <v>-310.58249999999998</v>
      </c>
      <c r="AD2027">
        <v>85.669002000000006</v>
      </c>
      <c r="AE2027">
        <v>34.103499999999997</v>
      </c>
      <c r="AF2027">
        <v>192.92855588465599</v>
      </c>
      <c r="AG2027">
        <v>85.669002000000006</v>
      </c>
      <c r="AH2027">
        <v>217.320877156763</v>
      </c>
      <c r="AI2027">
        <v>73.574592671215498</v>
      </c>
      <c r="AJ2027">
        <v>48.402646152941003</v>
      </c>
      <c r="AK2027">
        <v>302.96694411700997</v>
      </c>
      <c r="AL2027">
        <v>94.227768652948896</v>
      </c>
      <c r="AM2027">
        <v>76.259889931792799</v>
      </c>
      <c r="AN2027">
        <v>0.99999998128681</v>
      </c>
    </row>
    <row r="2028" spans="1:40" x14ac:dyDescent="0.25">
      <c r="A2028" t="str">
        <f>"20190305134940235"</f>
        <v>20190305134940235</v>
      </c>
      <c r="B2028" t="str">
        <f>"1551764980232729"</f>
        <v>1551764980232729</v>
      </c>
      <c r="C2028" t="s">
        <v>40</v>
      </c>
      <c r="D2028">
        <v>4.2825709999999999</v>
      </c>
      <c r="E2028">
        <v>0.70587500000000003</v>
      </c>
      <c r="F2028" t="s">
        <v>77</v>
      </c>
      <c r="G2028">
        <v>-511.8485</v>
      </c>
      <c r="H2028">
        <v>85.452629999999999</v>
      </c>
      <c r="I2028">
        <v>322.0299</v>
      </c>
      <c r="J2028">
        <v>-200.5718</v>
      </c>
      <c r="K2028">
        <v>1.100433</v>
      </c>
      <c r="L2028">
        <v>288.6814</v>
      </c>
      <c r="M2028">
        <v>-0.82593919999999998</v>
      </c>
      <c r="N2028">
        <v>-1.262189E-2</v>
      </c>
      <c r="O2028">
        <v>-0.56361810000000001</v>
      </c>
      <c r="P2028">
        <v>-0.93216739999999998</v>
      </c>
      <c r="Q2028">
        <v>-7.4996750000000001E-2</v>
      </c>
      <c r="R2028">
        <v>-0.35417480000000001</v>
      </c>
      <c r="S2028">
        <v>-3.4620669999999998</v>
      </c>
      <c r="T2028">
        <v>0.93766000000000005</v>
      </c>
      <c r="U2028">
        <v>0.36962889999999998</v>
      </c>
      <c r="V2028">
        <v>0.2314107</v>
      </c>
      <c r="W2028">
        <v>-6.7964269999999993E-2</v>
      </c>
      <c r="X2028">
        <v>0.97047919999999999</v>
      </c>
      <c r="Y2028">
        <v>0.60678789999999905</v>
      </c>
      <c r="Z2028">
        <v>-0.2272574</v>
      </c>
      <c r="AA2028">
        <v>0.76168409999999998</v>
      </c>
      <c r="AB2028">
        <v>19</v>
      </c>
      <c r="AC2028">
        <v>-311.27670000000001</v>
      </c>
      <c r="AD2028">
        <v>84.352197000000004</v>
      </c>
      <c r="AE2028">
        <v>33.348500000000001</v>
      </c>
      <c r="AF2028">
        <v>189.26063225579401</v>
      </c>
      <c r="AG2028">
        <v>84.352197000000004</v>
      </c>
      <c r="AH2028">
        <v>222.18769515942199</v>
      </c>
      <c r="AI2028">
        <v>73.880283900611602</v>
      </c>
      <c r="AJ2028">
        <v>49.575470526683397</v>
      </c>
      <c r="AK2028">
        <v>303.81285677345198</v>
      </c>
      <c r="AL2028">
        <v>93.897070084414693</v>
      </c>
      <c r="AM2028">
        <v>76.5882715390199</v>
      </c>
      <c r="AN2028">
        <v>0.99999996585188</v>
      </c>
    </row>
    <row r="2029" spans="1:40" x14ac:dyDescent="0.25">
      <c r="A2029" t="str">
        <f>"20190305134940260"</f>
        <v>20190305134940260</v>
      </c>
      <c r="B2029" t="str">
        <f>"1551764980253225"</f>
        <v>1551764980253225</v>
      </c>
      <c r="C2029" t="s">
        <v>40</v>
      </c>
      <c r="D2029">
        <v>4.3224830000000001</v>
      </c>
      <c r="E2029">
        <v>0.66004259999999904</v>
      </c>
      <c r="F2029" t="s">
        <v>77</v>
      </c>
      <c r="G2029">
        <v>-511.84780000000001</v>
      </c>
      <c r="H2029">
        <v>83.416529999999995</v>
      </c>
      <c r="I2029">
        <v>321.79149999999998</v>
      </c>
      <c r="J2029">
        <v>-200.76429999999999</v>
      </c>
      <c r="K2029">
        <v>1.1003689999999999</v>
      </c>
      <c r="L2029">
        <v>288.57799999999997</v>
      </c>
      <c r="M2029">
        <v>-0.83689409999999897</v>
      </c>
      <c r="N2029">
        <v>-1.234185E-2</v>
      </c>
      <c r="O2029">
        <v>-0.54722569999999904</v>
      </c>
      <c r="P2029">
        <v>-0.93752659999999999</v>
      </c>
      <c r="Q2029">
        <v>-7.0503990000000002E-2</v>
      </c>
      <c r="R2029">
        <v>-0.34069529999999998</v>
      </c>
      <c r="S2029">
        <v>-3.429932</v>
      </c>
      <c r="T2029">
        <v>0.90703679999999998</v>
      </c>
      <c r="U2029">
        <v>0.36483759999999998</v>
      </c>
      <c r="V2029">
        <v>0.22654759999999999</v>
      </c>
      <c r="W2029">
        <v>-6.3656149999999995E-2</v>
      </c>
      <c r="X2029">
        <v>0.9719177</v>
      </c>
      <c r="Y2029">
        <v>0.59412299999999996</v>
      </c>
      <c r="Z2029">
        <v>-0.21666630000000001</v>
      </c>
      <c r="AA2029">
        <v>0.77464419999999901</v>
      </c>
      <c r="AB2029">
        <v>19</v>
      </c>
      <c r="AC2029">
        <v>-311.08350000000002</v>
      </c>
      <c r="AD2029">
        <v>82.316160999999994</v>
      </c>
      <c r="AE2029">
        <v>33.213500000000003</v>
      </c>
      <c r="AF2029">
        <v>185.22129941887701</v>
      </c>
      <c r="AG2029">
        <v>82.316160999999994</v>
      </c>
      <c r="AH2029">
        <v>226.50611450046699</v>
      </c>
      <c r="AI2029">
        <v>74.287050347995304</v>
      </c>
      <c r="AJ2029">
        <v>50.726034422153397</v>
      </c>
      <c r="AK2029">
        <v>303.95377942426302</v>
      </c>
      <c r="AL2029">
        <v>93.649696513402105</v>
      </c>
      <c r="AM2029">
        <v>76.879015809223304</v>
      </c>
      <c r="AN2029">
        <v>0.99999996803593505</v>
      </c>
    </row>
    <row r="2030" spans="1:40" x14ac:dyDescent="0.25">
      <c r="A2030" t="str">
        <f>"20190305134940281"</f>
        <v>20190305134940281</v>
      </c>
      <c r="B2030" t="str">
        <f>"1551764980272745"</f>
        <v>1551764980272745</v>
      </c>
      <c r="C2030" t="s">
        <v>40</v>
      </c>
      <c r="D2030">
        <v>4.3239650000000003</v>
      </c>
      <c r="E2030">
        <v>0.659439</v>
      </c>
      <c r="F2030" t="s">
        <v>78</v>
      </c>
      <c r="G2030">
        <v>-311.9246</v>
      </c>
      <c r="H2030">
        <v>7.9999940000000005E-2</v>
      </c>
      <c r="I2030">
        <v>294.1585</v>
      </c>
      <c r="J2030">
        <v>-200.93639999999999</v>
      </c>
      <c r="K2030">
        <v>1.1003099999999999</v>
      </c>
      <c r="L2030">
        <v>288.48950000000002</v>
      </c>
      <c r="M2030">
        <v>-0.84628959999999998</v>
      </c>
      <c r="N2030">
        <v>-1.2122020000000001E-2</v>
      </c>
      <c r="O2030">
        <v>-0.53258530000000004</v>
      </c>
      <c r="P2030">
        <v>-0.94170310000000002</v>
      </c>
      <c r="Q2030">
        <v>-6.9423330000000005E-2</v>
      </c>
      <c r="R2030">
        <v>-0.32920490000000002</v>
      </c>
      <c r="S2030">
        <v>-3.2570649999999999</v>
      </c>
      <c r="T2030">
        <v>-2.9897449999999999E-2</v>
      </c>
      <c r="U2030">
        <v>0.1635132</v>
      </c>
      <c r="V2030">
        <v>0.22158130000000001</v>
      </c>
      <c r="W2030">
        <v>-6.2691549999999999E-2</v>
      </c>
      <c r="X2030">
        <v>0.97312460000000001</v>
      </c>
      <c r="Y2030">
        <v>0.57433690000000004</v>
      </c>
      <c r="Z2030">
        <v>4.1170139999999996E-3</v>
      </c>
      <c r="AA2030">
        <v>0.81860859999999902</v>
      </c>
      <c r="AB2030">
        <v>19</v>
      </c>
      <c r="AC2030">
        <v>-110.98820000000001</v>
      </c>
      <c r="AD2030">
        <v>-1.0203100599999999</v>
      </c>
      <c r="AE2030">
        <v>5.6689999999999801</v>
      </c>
      <c r="AF2030">
        <v>63.907604467605303</v>
      </c>
      <c r="AG2030">
        <v>-1.0203100599999999</v>
      </c>
      <c r="AH2030">
        <v>90.907944589200994</v>
      </c>
      <c r="AI2030">
        <v>90.526061615538794</v>
      </c>
      <c r="AJ2030">
        <v>54.893068757718297</v>
      </c>
      <c r="AK2030">
        <v>111.12820222985501</v>
      </c>
      <c r="AL2030">
        <v>93.594318287610804</v>
      </c>
      <c r="AM2030">
        <v>77.172411183711503</v>
      </c>
      <c r="AN2030">
        <v>0.99999999503812598</v>
      </c>
    </row>
    <row r="2031" spans="1:40" x14ac:dyDescent="0.25">
      <c r="A2031" t="str">
        <f>"20190305134940303"</f>
        <v>20190305134940303</v>
      </c>
      <c r="B2031" t="str">
        <f>"1551764980292270"</f>
        <v>1551764980292270</v>
      </c>
      <c r="C2031" t="s">
        <v>40</v>
      </c>
      <c r="D2031">
        <v>4.055701</v>
      </c>
      <c r="E2031">
        <v>0.65815849999999998</v>
      </c>
      <c r="F2031" t="s">
        <v>74</v>
      </c>
      <c r="G2031">
        <v>-274.93619999999999</v>
      </c>
      <c r="H2031">
        <v>8.0001100000000006E-2</v>
      </c>
      <c r="I2031">
        <v>293.04989999999998</v>
      </c>
      <c r="J2031">
        <v>-201.11789999999999</v>
      </c>
      <c r="K2031">
        <v>1.1002559999999999</v>
      </c>
      <c r="L2031">
        <v>288.40010000000001</v>
      </c>
      <c r="M2031">
        <v>-0.85580239999999996</v>
      </c>
      <c r="N2031">
        <v>-1.190913E-2</v>
      </c>
      <c r="O2031">
        <v>-0.51716600000000001</v>
      </c>
      <c r="P2031">
        <v>-0.94572809999999896</v>
      </c>
      <c r="Q2031">
        <v>-7.1544949999999996E-2</v>
      </c>
      <c r="R2031">
        <v>-0.31698579999999998</v>
      </c>
      <c r="S2031">
        <v>-3.2524869999999999</v>
      </c>
      <c r="T2031">
        <v>-4.4845219999999998E-2</v>
      </c>
      <c r="U2031">
        <v>0.20043949999999999</v>
      </c>
      <c r="V2031">
        <v>0.2164102</v>
      </c>
      <c r="W2031">
        <v>-6.4908750000000001E-2</v>
      </c>
      <c r="X2031">
        <v>0.97414239999999996</v>
      </c>
      <c r="Y2031">
        <v>0.56877339999999998</v>
      </c>
      <c r="Z2031">
        <v>7.8148990000000002E-3</v>
      </c>
      <c r="AA2031">
        <v>0.82245709999999905</v>
      </c>
      <c r="AB2031">
        <v>19</v>
      </c>
      <c r="AC2031">
        <v>-73.818299999999994</v>
      </c>
      <c r="AD2031">
        <v>-1.0202549000000001</v>
      </c>
      <c r="AE2031">
        <v>4.6497999999999697</v>
      </c>
      <c r="AF2031">
        <v>42.150589485014301</v>
      </c>
      <c r="AG2031">
        <v>-1.0202549000000001</v>
      </c>
      <c r="AH2031">
        <v>60.761901014448803</v>
      </c>
      <c r="AI2031">
        <v>90.790428300412799</v>
      </c>
      <c r="AJ2031">
        <v>55.250917411294203</v>
      </c>
      <c r="AK2031">
        <v>73.957567083327206</v>
      </c>
      <c r="AL2031">
        <v>93.7216139577381</v>
      </c>
      <c r="AM2031">
        <v>77.474885336556397</v>
      </c>
      <c r="AN2031">
        <v>0.99999996798418</v>
      </c>
    </row>
    <row r="2032" spans="1:40" x14ac:dyDescent="0.25">
      <c r="A2032" t="str">
        <f>"20190305134940324"</f>
        <v>20190305134940324</v>
      </c>
      <c r="B2032" t="str">
        <f>"1551764980323027"</f>
        <v>1551764980323027</v>
      </c>
      <c r="C2032" t="s">
        <v>40</v>
      </c>
      <c r="D2032">
        <v>4.0792529999999996</v>
      </c>
      <c r="E2032">
        <v>0.65524649999999995</v>
      </c>
      <c r="F2032" t="s">
        <v>74</v>
      </c>
      <c r="G2032">
        <v>-264.29790000000003</v>
      </c>
      <c r="H2032">
        <v>8.0001279999999994E-2</v>
      </c>
      <c r="I2032">
        <v>292.9325</v>
      </c>
      <c r="J2032">
        <v>-201.2895</v>
      </c>
      <c r="K2032">
        <v>1.1002289999999999</v>
      </c>
      <c r="L2032">
        <v>288.31909999999999</v>
      </c>
      <c r="M2032">
        <v>-0.86442149999999995</v>
      </c>
      <c r="N2032">
        <v>-1.170267E-2</v>
      </c>
      <c r="O2032">
        <v>-0.50263170000000001</v>
      </c>
      <c r="P2032">
        <v>-0.94914560000000003</v>
      </c>
      <c r="Q2032">
        <v>-7.3376940000000002E-2</v>
      </c>
      <c r="R2032">
        <v>-0.30616719999999997</v>
      </c>
      <c r="S2032">
        <v>-3.2462460000000002</v>
      </c>
      <c r="T2032">
        <v>-5.2421570000000001E-2</v>
      </c>
      <c r="U2032">
        <v>0.23287959999999999</v>
      </c>
      <c r="V2032">
        <v>0.21095610000000001</v>
      </c>
      <c r="W2032">
        <v>-6.6806500000000005E-2</v>
      </c>
      <c r="X2032">
        <v>0.97521000000000002</v>
      </c>
      <c r="Y2032">
        <v>0.56311219999999995</v>
      </c>
      <c r="Z2032">
        <v>9.6259280000000006E-3</v>
      </c>
      <c r="AA2032">
        <v>0.82632439999999996</v>
      </c>
      <c r="AB2032">
        <v>19</v>
      </c>
      <c r="AC2032">
        <v>-63.008400000000002</v>
      </c>
      <c r="AD2032">
        <v>-1.0202277200000001</v>
      </c>
      <c r="AE2032">
        <v>4.6134000000000102</v>
      </c>
      <c r="AF2032">
        <v>35.6510842896</v>
      </c>
      <c r="AG2032">
        <v>-1.0202277200000001</v>
      </c>
      <c r="AH2032">
        <v>52.136946630229502</v>
      </c>
      <c r="AI2032">
        <v>90.925413345035295</v>
      </c>
      <c r="AJ2032">
        <v>55.635799211627301</v>
      </c>
      <c r="AK2032">
        <v>63.168836300411797</v>
      </c>
      <c r="AL2032">
        <v>93.830583243624105</v>
      </c>
      <c r="AM2032">
        <v>77.793925086127302</v>
      </c>
      <c r="AN2032">
        <v>1.00000006433472</v>
      </c>
    </row>
    <row r="2033" spans="1:40" x14ac:dyDescent="0.25">
      <c r="A2033" t="str">
        <f>"20190305134940338"</f>
        <v>20190305134940338</v>
      </c>
      <c r="B2033" t="str">
        <f>"1551764980332787"</f>
        <v>1551764980332787</v>
      </c>
      <c r="C2033" t="s">
        <v>40</v>
      </c>
      <c r="D2033">
        <v>4.062894</v>
      </c>
      <c r="E2033">
        <v>0.65566309999999906</v>
      </c>
      <c r="F2033" t="s">
        <v>74</v>
      </c>
      <c r="G2033">
        <v>-245.92310000000001</v>
      </c>
      <c r="H2033">
        <v>8.0000290000000002E-2</v>
      </c>
      <c r="I2033">
        <v>291.75569999999999</v>
      </c>
      <c r="J2033">
        <v>-201.4109</v>
      </c>
      <c r="K2033">
        <v>1.100223</v>
      </c>
      <c r="L2033">
        <v>288.26389999999998</v>
      </c>
      <c r="M2033">
        <v>-0.87029109999999998</v>
      </c>
      <c r="N2033">
        <v>-1.153856E-2</v>
      </c>
      <c r="O2033">
        <v>-0.49240250000000002</v>
      </c>
      <c r="P2033">
        <v>-0.95185600000000004</v>
      </c>
      <c r="Q2033">
        <v>-7.4197299999999994E-2</v>
      </c>
      <c r="R2033">
        <v>-0.29743130000000001</v>
      </c>
      <c r="S2033">
        <v>-3.235382</v>
      </c>
      <c r="T2033">
        <v>-7.3953989999999997E-2</v>
      </c>
      <c r="U2033">
        <v>0.249115</v>
      </c>
      <c r="V2033">
        <v>0.208368</v>
      </c>
      <c r="W2033">
        <v>-6.7714330000000003E-2</v>
      </c>
      <c r="X2033">
        <v>0.9757036</v>
      </c>
      <c r="Y2033">
        <v>0.55756159999999999</v>
      </c>
      <c r="Z2033">
        <v>1.4642280000000001E-2</v>
      </c>
      <c r="AA2033">
        <v>0.83000640000000003</v>
      </c>
      <c r="AB2033">
        <v>19</v>
      </c>
      <c r="AC2033">
        <v>-44.5122</v>
      </c>
      <c r="AD2033">
        <v>-1.0202227100000001</v>
      </c>
      <c r="AE2033">
        <v>3.4918000000000098</v>
      </c>
      <c r="AF2033">
        <v>24.9454386260328</v>
      </c>
      <c r="AG2033">
        <v>-1.0202227100000001</v>
      </c>
      <c r="AH2033">
        <v>37.002346253807097</v>
      </c>
      <c r="AI2033">
        <v>91.309656579868602</v>
      </c>
      <c r="AJ2033">
        <v>56.013793865434401</v>
      </c>
      <c r="AK2033">
        <v>44.637309404911498</v>
      </c>
      <c r="AL2033">
        <v>93.882716437418694</v>
      </c>
      <c r="AM2033">
        <v>77.9451868458452</v>
      </c>
      <c r="AN2033">
        <v>0.99999998448215399</v>
      </c>
    </row>
    <row r="2034" spans="1:40" x14ac:dyDescent="0.25">
      <c r="A2034" t="str">
        <f>"20190305134940358"</f>
        <v>20190305134940358</v>
      </c>
      <c r="B2034" t="str">
        <f>"1551764980352308"</f>
        <v>1551764980352308</v>
      </c>
      <c r="C2034" t="s">
        <v>40</v>
      </c>
      <c r="D2034">
        <v>4.0394139999999998</v>
      </c>
      <c r="E2034">
        <v>0.65297989999999995</v>
      </c>
      <c r="F2034" t="s">
        <v>41</v>
      </c>
      <c r="G2034">
        <v>-202.0702</v>
      </c>
      <c r="H2034">
        <v>1.2227980000000001</v>
      </c>
      <c r="I2034">
        <v>288.3075</v>
      </c>
      <c r="J2034">
        <v>-201.57159999999999</v>
      </c>
      <c r="K2034">
        <v>1.100223</v>
      </c>
      <c r="L2034">
        <v>288.19319999999999</v>
      </c>
      <c r="M2034">
        <v>-0.87778650000000003</v>
      </c>
      <c r="N2034">
        <v>-1.1292490000000001E-2</v>
      </c>
      <c r="O2034">
        <v>-0.47891889999999998</v>
      </c>
      <c r="P2034">
        <v>-0.95458500000000002</v>
      </c>
      <c r="Q2034">
        <v>-7.4861579999999997E-2</v>
      </c>
      <c r="R2034">
        <v>-0.28838029999999998</v>
      </c>
      <c r="S2034">
        <v>-3.2662659999999999</v>
      </c>
      <c r="T2034">
        <v>0.60721899999999995</v>
      </c>
      <c r="U2034">
        <v>0.21505740000000001</v>
      </c>
      <c r="V2034">
        <v>0.20254259999999999</v>
      </c>
      <c r="W2034">
        <v>-6.8453470000000002E-2</v>
      </c>
      <c r="X2034">
        <v>0.97687800000000002</v>
      </c>
      <c r="Y2034">
        <v>0.51846029999999999</v>
      </c>
      <c r="Z2034">
        <v>-0.13592660000000001</v>
      </c>
      <c r="AA2034">
        <v>0.84422919999999901</v>
      </c>
      <c r="AB2034">
        <v>20</v>
      </c>
      <c r="AC2034">
        <v>-0.49860000000000998</v>
      </c>
      <c r="AD2034">
        <v>0.122575</v>
      </c>
      <c r="AE2034">
        <v>0.114300000000014</v>
      </c>
      <c r="AF2034">
        <v>0.32072582744769401</v>
      </c>
      <c r="AG2034">
        <v>0.122575</v>
      </c>
      <c r="AH2034">
        <v>0.362153824489303</v>
      </c>
      <c r="AI2034">
        <v>75.781550258580907</v>
      </c>
      <c r="AJ2034">
        <v>48.471686069150799</v>
      </c>
      <c r="AK2034">
        <v>0.49904416599058399</v>
      </c>
      <c r="AL2034">
        <v>93.925164458943897</v>
      </c>
      <c r="AM2034">
        <v>78.286452920111898</v>
      </c>
      <c r="AN2034">
        <v>1.0000000046269</v>
      </c>
    </row>
    <row r="2035" spans="1:40" x14ac:dyDescent="0.25">
      <c r="A2035" t="str">
        <f>"20190305134940380"</f>
        <v>20190305134940380</v>
      </c>
      <c r="B2035" t="str">
        <f>"1551764980372803"</f>
        <v>1551764980372803</v>
      </c>
      <c r="C2035" t="s">
        <v>40</v>
      </c>
      <c r="D2035">
        <v>4.2318059999999997</v>
      </c>
      <c r="E2035">
        <v>0.65262600000000004</v>
      </c>
      <c r="F2035" t="s">
        <v>41</v>
      </c>
      <c r="G2035">
        <v>-202.2347</v>
      </c>
      <c r="H2035">
        <v>1.222013</v>
      </c>
      <c r="I2035">
        <v>288.23899999999998</v>
      </c>
      <c r="J2035">
        <v>-201.76669999999999</v>
      </c>
      <c r="K2035">
        <v>1.100222</v>
      </c>
      <c r="L2035">
        <v>288.11099999999999</v>
      </c>
      <c r="M2035">
        <v>-0.88645059999999998</v>
      </c>
      <c r="N2035">
        <v>-1.0950299999999901E-2</v>
      </c>
      <c r="O2035">
        <v>-0.46269389999999999</v>
      </c>
      <c r="P2035">
        <v>-0.95801530000000001</v>
      </c>
      <c r="Q2035">
        <v>-7.5433249999999993E-2</v>
      </c>
      <c r="R2035">
        <v>-0.276616799999999</v>
      </c>
      <c r="S2035">
        <v>-3.2574010000000002</v>
      </c>
      <c r="T2035">
        <v>0.59823660000000001</v>
      </c>
      <c r="U2035">
        <v>0.22427369999999999</v>
      </c>
      <c r="V2035">
        <v>0.19656270000000001</v>
      </c>
      <c r="W2035">
        <v>-6.9177219999999998E-2</v>
      </c>
      <c r="X2035">
        <v>0.97804780000000002</v>
      </c>
      <c r="Y2035">
        <v>0.50626190000000004</v>
      </c>
      <c r="Z2035">
        <v>-0.13035769999999999</v>
      </c>
      <c r="AA2035">
        <v>0.85247039999999996</v>
      </c>
      <c r="AB2035">
        <v>20</v>
      </c>
      <c r="AC2035">
        <v>-0.46800000000001701</v>
      </c>
      <c r="AD2035">
        <v>0.121790999999999</v>
      </c>
      <c r="AE2035">
        <v>0.128000000000042</v>
      </c>
      <c r="AF2035">
        <v>0.310463858760681</v>
      </c>
      <c r="AG2035">
        <v>0.121790999999999</v>
      </c>
      <c r="AH2035">
        <v>0.33457386193245903</v>
      </c>
      <c r="AI2035">
        <v>75.059607469491198</v>
      </c>
      <c r="AJ2035">
        <v>47.140585901082602</v>
      </c>
      <c r="AK2035">
        <v>0.47239869217216601</v>
      </c>
      <c r="AL2035">
        <v>93.966731069736198</v>
      </c>
      <c r="AM2035">
        <v>78.636388528322797</v>
      </c>
      <c r="AN2035">
        <v>0.999999940941527</v>
      </c>
    </row>
    <row r="2036" spans="1:40" x14ac:dyDescent="0.25">
      <c r="A2036" t="str">
        <f>"20190305134940404"</f>
        <v>20190305134940404</v>
      </c>
      <c r="B2036" t="str">
        <f>"1551764980392327"</f>
        <v>1551764980392327</v>
      </c>
      <c r="C2036" t="s">
        <v>40</v>
      </c>
      <c r="D2036">
        <v>4.0263269999999904</v>
      </c>
      <c r="E2036">
        <v>0.65000579999999997</v>
      </c>
      <c r="F2036" t="s">
        <v>41</v>
      </c>
      <c r="G2036">
        <v>-202.39510000000001</v>
      </c>
      <c r="H2036">
        <v>1.216874</v>
      </c>
      <c r="I2036">
        <v>288.16090000000003</v>
      </c>
      <c r="J2036">
        <v>-201.9572</v>
      </c>
      <c r="K2036">
        <v>1.100233</v>
      </c>
      <c r="L2036">
        <v>288.0342</v>
      </c>
      <c r="M2036">
        <v>-0.89446789999999998</v>
      </c>
      <c r="N2036">
        <v>-1.0581699999999999E-2</v>
      </c>
      <c r="O2036">
        <v>-0.44700689999999998</v>
      </c>
      <c r="P2036">
        <v>-0.96100450000000004</v>
      </c>
      <c r="Q2036">
        <v>-7.5382850000000001E-2</v>
      </c>
      <c r="R2036">
        <v>-0.26605990000000002</v>
      </c>
      <c r="S2036">
        <v>-3.2535400000000001</v>
      </c>
      <c r="T2036">
        <v>0.60381589999999996</v>
      </c>
      <c r="U2036">
        <v>0.25811770000000001</v>
      </c>
      <c r="V2036">
        <v>0.19010299999999999</v>
      </c>
      <c r="W2036">
        <v>-6.9289970000000006E-2</v>
      </c>
      <c r="X2036">
        <v>0.97931590000000002</v>
      </c>
      <c r="Y2036">
        <v>0.50015849999999995</v>
      </c>
      <c r="Z2036">
        <v>-0.12825690000000001</v>
      </c>
      <c r="AA2036">
        <v>0.8563828</v>
      </c>
      <c r="AB2036">
        <v>20</v>
      </c>
      <c r="AC2036">
        <v>-0.437900000000013</v>
      </c>
      <c r="AD2036">
        <v>0.11664099999999999</v>
      </c>
      <c r="AE2036">
        <v>0.12670000000002801</v>
      </c>
      <c r="AF2036">
        <v>0.29009819825651101</v>
      </c>
      <c r="AG2036">
        <v>0.11664099999999999</v>
      </c>
      <c r="AH2036">
        <v>0.31448160424208699</v>
      </c>
      <c r="AI2036">
        <v>74.750536632166202</v>
      </c>
      <c r="AJ2036">
        <v>47.309553668899397</v>
      </c>
      <c r="AK2036">
        <v>0.44346450468932702</v>
      </c>
      <c r="AL2036">
        <v>93.973206706397207</v>
      </c>
      <c r="AM2036">
        <v>79.014473930849604</v>
      </c>
      <c r="AN2036">
        <v>0.99999994127220304</v>
      </c>
    </row>
    <row r="2037" spans="1:40" x14ac:dyDescent="0.25">
      <c r="A2037" t="str">
        <f>"20190305134940418"</f>
        <v>20190305134940418</v>
      </c>
      <c r="B2037" t="str">
        <f>"1551764980412351"</f>
        <v>1551764980412351</v>
      </c>
      <c r="C2037" t="s">
        <v>40</v>
      </c>
      <c r="D2037">
        <v>4.039034</v>
      </c>
      <c r="E2037">
        <v>0.60861239999999905</v>
      </c>
      <c r="F2037" t="s">
        <v>41</v>
      </c>
      <c r="G2037">
        <v>-202.55799999999999</v>
      </c>
      <c r="H2037">
        <v>1.210283</v>
      </c>
      <c r="I2037">
        <v>288.0847</v>
      </c>
      <c r="J2037">
        <v>-202.08539999999999</v>
      </c>
      <c r="K2037">
        <v>1.1002430000000001</v>
      </c>
      <c r="L2037">
        <v>287.9846</v>
      </c>
      <c r="M2037">
        <v>-0.89961530000000001</v>
      </c>
      <c r="N2037">
        <v>-1.03161E-2</v>
      </c>
      <c r="O2037">
        <v>-0.43656159999999999</v>
      </c>
      <c r="P2037">
        <v>-0.96310320000000005</v>
      </c>
      <c r="Q2037">
        <v>-7.5199669999999996E-2</v>
      </c>
      <c r="R2037">
        <v>-0.25841320000000001</v>
      </c>
      <c r="S2037">
        <v>-3.2437589999999998</v>
      </c>
      <c r="T2037">
        <v>0.59421889999999999</v>
      </c>
      <c r="U2037">
        <v>0.27236939999999998</v>
      </c>
      <c r="V2037">
        <v>0.18649930000000001</v>
      </c>
      <c r="W2037">
        <v>-6.9252699999999903E-2</v>
      </c>
      <c r="X2037">
        <v>0.98001130000000003</v>
      </c>
      <c r="Y2037">
        <v>0.4947896</v>
      </c>
      <c r="Z2037">
        <v>-0.1242791</v>
      </c>
      <c r="AA2037">
        <v>0.86008019999999996</v>
      </c>
      <c r="AB2037">
        <v>20</v>
      </c>
      <c r="AC2037">
        <v>-0.47259999999999902</v>
      </c>
      <c r="AD2037">
        <v>0.110039999999999</v>
      </c>
      <c r="AE2037">
        <v>0.100099999999997</v>
      </c>
      <c r="AF2037">
        <v>0.28176637236517399</v>
      </c>
      <c r="AG2037">
        <v>0.110039999999999</v>
      </c>
      <c r="AH2037">
        <v>0.362661402152959</v>
      </c>
      <c r="AI2037">
        <v>76.525656717984006</v>
      </c>
      <c r="AJ2037">
        <v>52.154914963049499</v>
      </c>
      <c r="AK2037">
        <v>0.47225457415188699</v>
      </c>
      <c r="AL2037">
        <v>93.971065770917306</v>
      </c>
      <c r="AM2037">
        <v>79.225266279525499</v>
      </c>
      <c r="AN2037">
        <v>1.00000003674273</v>
      </c>
    </row>
    <row r="2038" spans="1:40" x14ac:dyDescent="0.25">
      <c r="A2038" t="str">
        <f>"20190305134940437"</f>
        <v>20190305134940437</v>
      </c>
      <c r="B2038" t="str">
        <f>"1551764980432847"</f>
        <v>1551764980432847</v>
      </c>
      <c r="C2038" t="s">
        <v>40</v>
      </c>
      <c r="D2038">
        <v>4.1780629999999999</v>
      </c>
      <c r="E2038">
        <v>0.59413850000000001</v>
      </c>
      <c r="F2038" t="s">
        <v>41</v>
      </c>
      <c r="G2038">
        <v>-202.75470000000001</v>
      </c>
      <c r="H2038">
        <v>1.2020759999999999</v>
      </c>
      <c r="I2038">
        <v>287.98250000000002</v>
      </c>
      <c r="J2038">
        <v>-202.25239999999999</v>
      </c>
      <c r="K2038">
        <v>1.1002479999999999</v>
      </c>
      <c r="L2038">
        <v>287.9221</v>
      </c>
      <c r="M2038">
        <v>-0.90603149999999999</v>
      </c>
      <c r="N2038">
        <v>-9.9540970000000003E-3</v>
      </c>
      <c r="O2038">
        <v>-0.42309350000000001</v>
      </c>
      <c r="P2038">
        <v>-0.96500030000000003</v>
      </c>
      <c r="Q2038">
        <v>-7.4627849999999996E-2</v>
      </c>
      <c r="R2038">
        <v>-0.25140669999999998</v>
      </c>
      <c r="S2038">
        <v>-3.1494900000000001</v>
      </c>
      <c r="T2038">
        <v>0.4791436</v>
      </c>
      <c r="U2038">
        <v>-1.055908E-2</v>
      </c>
      <c r="V2038">
        <v>0.179039</v>
      </c>
      <c r="W2038">
        <v>-6.8823159999999994E-2</v>
      </c>
      <c r="X2038">
        <v>0.98143179999999997</v>
      </c>
      <c r="Y2038">
        <v>0.41036810000000001</v>
      </c>
      <c r="Z2038">
        <v>-9.5675620000000003E-2</v>
      </c>
      <c r="AA2038">
        <v>0.90688709999999995</v>
      </c>
      <c r="AB2038">
        <v>20</v>
      </c>
      <c r="AC2038">
        <v>-0.50230000000001895</v>
      </c>
      <c r="AD2038">
        <v>0.101828</v>
      </c>
      <c r="AE2038">
        <v>6.0400000000015497E-2</v>
      </c>
      <c r="AF2038">
        <v>0.25685202807545099</v>
      </c>
      <c r="AG2038">
        <v>0.101828</v>
      </c>
      <c r="AH2038">
        <v>0.412841363727324</v>
      </c>
      <c r="AI2038">
        <v>78.171648649909301</v>
      </c>
      <c r="AJ2038">
        <v>58.111913871344001</v>
      </c>
      <c r="AK2038">
        <v>0.49676946113333997</v>
      </c>
      <c r="AL2038">
        <v>93.946396288148804</v>
      </c>
      <c r="AM2038">
        <v>79.661427919352903</v>
      </c>
      <c r="AN2038">
        <v>0.99999998446231197</v>
      </c>
    </row>
    <row r="2039" spans="1:40" x14ac:dyDescent="0.25">
      <c r="A2039" t="str">
        <f>"20190305134940462"</f>
        <v>20190305134940462</v>
      </c>
      <c r="B2039" t="str">
        <f>"1551764980452367"</f>
        <v>1551764980452367</v>
      </c>
      <c r="C2039" t="s">
        <v>40</v>
      </c>
      <c r="D2039">
        <v>3.9320659999999998</v>
      </c>
      <c r="E2039">
        <v>0.59355519999999995</v>
      </c>
      <c r="F2039" t="s">
        <v>74</v>
      </c>
      <c r="G2039">
        <v>-229.97929999999999</v>
      </c>
      <c r="H2039" s="1">
        <v>-1.678318E-6</v>
      </c>
      <c r="I2039">
        <v>287.60250000000002</v>
      </c>
      <c r="J2039">
        <v>-202.46860000000001</v>
      </c>
      <c r="K2039">
        <v>1.1002529999999999</v>
      </c>
      <c r="L2039">
        <v>287.84480000000002</v>
      </c>
      <c r="M2039">
        <v>-0.91386440000000002</v>
      </c>
      <c r="N2039">
        <v>-9.4737410000000008E-3</v>
      </c>
      <c r="O2039">
        <v>-0.40590939999999998</v>
      </c>
      <c r="P2039">
        <v>-0.96640009999999998</v>
      </c>
      <c r="Q2039">
        <v>-7.3173719999999998E-2</v>
      </c>
      <c r="R2039">
        <v>-0.24640790000000001</v>
      </c>
      <c r="S2039">
        <v>-3.0900569999999998</v>
      </c>
      <c r="T2039">
        <v>-0.12261859999999999</v>
      </c>
      <c r="U2039">
        <v>-3.5614010000000001E-2</v>
      </c>
      <c r="V2039">
        <v>0.1656609</v>
      </c>
      <c r="W2039">
        <v>-6.7488489999999998E-2</v>
      </c>
      <c r="X2039">
        <v>0.98387080000000005</v>
      </c>
      <c r="Y2039">
        <v>0.39481660000000002</v>
      </c>
      <c r="Z2039">
        <v>2.1496990000000001E-2</v>
      </c>
      <c r="AA2039">
        <v>0.9185084</v>
      </c>
      <c r="AB2039">
        <v>20</v>
      </c>
      <c r="AC2039">
        <v>-27.5106999999999</v>
      </c>
      <c r="AD2039">
        <v>-1.1002546783180001</v>
      </c>
      <c r="AE2039">
        <v>-0.24229999999999999</v>
      </c>
      <c r="AF2039">
        <v>10.9284331453568</v>
      </c>
      <c r="AG2039">
        <v>-1.1002546783180001</v>
      </c>
      <c r="AH2039">
        <v>25.200225159714901</v>
      </c>
      <c r="AI2039">
        <v>92.293819827032294</v>
      </c>
      <c r="AJ2039">
        <v>66.5553533148925</v>
      </c>
      <c r="AK2039">
        <v>27.489862849239898</v>
      </c>
      <c r="AL2039">
        <v>93.869747066128994</v>
      </c>
      <c r="AM2039">
        <v>80.442375709999695</v>
      </c>
      <c r="AN2039">
        <v>0.99999999058196498</v>
      </c>
    </row>
    <row r="2040" spans="1:40" x14ac:dyDescent="0.25">
      <c r="A2040" t="str">
        <f>"20190305134940493"</f>
        <v>20190305134940493</v>
      </c>
      <c r="B2040" t="str">
        <f>"1551764980482626"</f>
        <v>1551764980482626</v>
      </c>
      <c r="C2040" t="s">
        <v>40</v>
      </c>
      <c r="D2040">
        <v>3.9379189999999999</v>
      </c>
      <c r="E2040">
        <v>0.59838769999999997</v>
      </c>
      <c r="F2040" t="s">
        <v>74</v>
      </c>
      <c r="G2040">
        <v>-229.66249999999999</v>
      </c>
      <c r="H2040" s="1">
        <v>3.6051040000000001E-6</v>
      </c>
      <c r="I2040">
        <v>287.63959999999997</v>
      </c>
      <c r="J2040">
        <v>-202.7516</v>
      </c>
      <c r="K2040">
        <v>1.10022</v>
      </c>
      <c r="L2040">
        <v>287.74959999999999</v>
      </c>
      <c r="M2040">
        <v>-0.92335179999999994</v>
      </c>
      <c r="N2040">
        <v>-8.8675530000000002E-3</v>
      </c>
      <c r="O2040">
        <v>-0.38385279999999999</v>
      </c>
      <c r="P2040">
        <v>-0.96757700000000002</v>
      </c>
      <c r="Q2040">
        <v>-7.4735979999999994E-2</v>
      </c>
      <c r="R2040">
        <v>-0.24126600000000001</v>
      </c>
      <c r="S2040">
        <v>-3.0888979999999999</v>
      </c>
      <c r="T2040">
        <v>-0.12497510000000001</v>
      </c>
      <c r="U2040">
        <v>-2.3315430000000002E-2</v>
      </c>
      <c r="V2040">
        <v>0.14717569999999999</v>
      </c>
      <c r="W2040">
        <v>-6.9192470000000006E-2</v>
      </c>
      <c r="X2040">
        <v>0.98668719999999999</v>
      </c>
      <c r="Y2040">
        <v>0.37633610000000001</v>
      </c>
      <c r="Z2040">
        <v>2.101666E-2</v>
      </c>
      <c r="AA2040">
        <v>0.92624479999999998</v>
      </c>
      <c r="AB2040">
        <v>20</v>
      </c>
      <c r="AC2040">
        <v>-26.910900000000002</v>
      </c>
      <c r="AD2040">
        <v>-1.100216394896</v>
      </c>
      <c r="AE2040">
        <v>-0.110000000000013</v>
      </c>
      <c r="AF2040">
        <v>10.211588878700701</v>
      </c>
      <c r="AG2040">
        <v>-1.100216394896</v>
      </c>
      <c r="AH2040">
        <v>24.8498932671997</v>
      </c>
      <c r="AI2040">
        <v>92.345047199386201</v>
      </c>
      <c r="AJ2040">
        <v>67.660724990891197</v>
      </c>
      <c r="AK2040">
        <v>26.888737771312702</v>
      </c>
      <c r="AL2040">
        <v>93.967606862871193</v>
      </c>
      <c r="AM2040">
        <v>81.516227930994603</v>
      </c>
      <c r="AN2040">
        <v>0.99999995760951399</v>
      </c>
    </row>
    <row r="2041" spans="1:40" x14ac:dyDescent="0.25">
      <c r="A2041" t="str">
        <f>"20190305134940513"</f>
        <v>20190305134940513</v>
      </c>
      <c r="B2041" t="str">
        <f>"1551764980502146"</f>
        <v>1551764980502146</v>
      </c>
      <c r="C2041" t="s">
        <v>40</v>
      </c>
      <c r="D2041">
        <v>4.163157</v>
      </c>
      <c r="E2041">
        <v>0.59743769999999996</v>
      </c>
      <c r="F2041" t="s">
        <v>47</v>
      </c>
      <c r="G2041">
        <v>0</v>
      </c>
      <c r="H2041">
        <v>0</v>
      </c>
      <c r="I2041">
        <v>0</v>
      </c>
      <c r="J2041">
        <v>-202.9419</v>
      </c>
      <c r="K2041">
        <v>1.1001920000000001</v>
      </c>
      <c r="L2041">
        <v>287.68950000000001</v>
      </c>
      <c r="M2041">
        <v>-0.92926509999999996</v>
      </c>
      <c r="N2041">
        <v>-8.4923240000000007E-3</v>
      </c>
      <c r="O2041">
        <v>-0.36931629999999999</v>
      </c>
      <c r="P2041">
        <v>-0.96843290000000004</v>
      </c>
      <c r="Q2041">
        <v>-7.7182440000000005E-2</v>
      </c>
      <c r="R2041">
        <v>-0.23702509999999999</v>
      </c>
      <c r="S2041">
        <v>-3.128342</v>
      </c>
      <c r="T2041">
        <v>0.46788950000000001</v>
      </c>
      <c r="U2041">
        <v>-3.3386230000000003E-2</v>
      </c>
      <c r="V2041">
        <v>0.13588649999999999</v>
      </c>
      <c r="W2041">
        <v>-7.1744119999999995E-2</v>
      </c>
      <c r="X2041">
        <v>0.98812330000000004</v>
      </c>
      <c r="Y2041">
        <v>0.3512728</v>
      </c>
      <c r="Z2041">
        <v>-8.1691529999999998E-2</v>
      </c>
      <c r="AA2041">
        <v>0.93270249999999999</v>
      </c>
      <c r="AB2041">
        <v>21</v>
      </c>
      <c r="AC2041">
        <v>-3.128342</v>
      </c>
      <c r="AD2041">
        <v>0.46788950000000001</v>
      </c>
      <c r="AE2041">
        <v>-3.3386230000000003E-2</v>
      </c>
      <c r="AF2041">
        <v>1.0997649287051301</v>
      </c>
      <c r="AG2041">
        <v>0.46788950000000001</v>
      </c>
      <c r="AH2041">
        <v>2.85562215675805</v>
      </c>
      <c r="AI2041">
        <v>81.3067294932886</v>
      </c>
      <c r="AJ2041">
        <v>68.937171764309795</v>
      </c>
      <c r="AK2041">
        <v>3.09563909149428</v>
      </c>
      <c r="AL2041">
        <v>94.114169831595802</v>
      </c>
      <c r="AM2041">
        <v>82.1698111448151</v>
      </c>
      <c r="AN2041">
        <v>1.0000000078198501</v>
      </c>
    </row>
    <row r="2042" spans="1:40" x14ac:dyDescent="0.25">
      <c r="A2042" t="str">
        <f>"20190305134940537"</f>
        <v>20190305134940537</v>
      </c>
      <c r="B2042" t="str">
        <f>"1551764980532399"</f>
        <v>1551764980532399</v>
      </c>
      <c r="C2042" t="s">
        <v>40</v>
      </c>
      <c r="D2042">
        <v>3.8879549999999998</v>
      </c>
      <c r="E2042">
        <v>0.58597929999999998</v>
      </c>
      <c r="F2042" t="s">
        <v>47</v>
      </c>
      <c r="G2042">
        <v>0</v>
      </c>
      <c r="H2042">
        <v>0</v>
      </c>
      <c r="I2042">
        <v>0</v>
      </c>
      <c r="J2042">
        <v>-203.15620000000001</v>
      </c>
      <c r="K2042">
        <v>1.1001510000000001</v>
      </c>
      <c r="L2042">
        <v>287.62529999999998</v>
      </c>
      <c r="M2042">
        <v>-0.93551660000000003</v>
      </c>
      <c r="N2042">
        <v>-8.1084780000000006E-3</v>
      </c>
      <c r="O2042">
        <v>-0.35319020000000001</v>
      </c>
      <c r="P2042">
        <v>-0.97019650000000002</v>
      </c>
      <c r="Q2042">
        <v>-7.8369060000000004E-2</v>
      </c>
      <c r="R2042">
        <v>-0.2292979</v>
      </c>
      <c r="S2042">
        <v>-3.1277159999999999</v>
      </c>
      <c r="T2042">
        <v>0.45555659999999998</v>
      </c>
      <c r="U2042">
        <v>-2.6123049999999998E-2</v>
      </c>
      <c r="V2042">
        <v>0.126608</v>
      </c>
      <c r="W2042">
        <v>-7.3099559999999994E-2</v>
      </c>
      <c r="X2042">
        <v>0.98925569999999896</v>
      </c>
      <c r="Y2042">
        <v>0.33798109999999998</v>
      </c>
      <c r="Z2042">
        <v>-7.630054E-2</v>
      </c>
      <c r="AA2042">
        <v>0.93805490000000002</v>
      </c>
      <c r="AB2042">
        <v>21</v>
      </c>
      <c r="AC2042">
        <v>-3.1277159999999999</v>
      </c>
      <c r="AD2042">
        <v>0.45555659999999998</v>
      </c>
      <c r="AE2042">
        <v>-2.6123049999999998E-2</v>
      </c>
      <c r="AF2042">
        <v>1.0578356563673701</v>
      </c>
      <c r="AG2042">
        <v>0.45555659999999998</v>
      </c>
      <c r="AH2042">
        <v>2.8743787228375202</v>
      </c>
      <c r="AI2042">
        <v>81.540074323314897</v>
      </c>
      <c r="AJ2042">
        <v>69.795256241455206</v>
      </c>
      <c r="AK2042">
        <v>3.09654664650588</v>
      </c>
      <c r="AL2042">
        <v>94.192035389139207</v>
      </c>
      <c r="AM2042">
        <v>82.706757020303598</v>
      </c>
      <c r="AN2042">
        <v>0.99999998565934101</v>
      </c>
    </row>
    <row r="2043" spans="1:40" x14ac:dyDescent="0.25">
      <c r="A2043" t="str">
        <f>"20190305134940559"</f>
        <v>20190305134940559</v>
      </c>
      <c r="B2043" t="str">
        <f>"1551764980552895"</f>
        <v>1551764980552895</v>
      </c>
      <c r="C2043" t="s">
        <v>40</v>
      </c>
      <c r="D2043">
        <v>4.1928470000000004</v>
      </c>
      <c r="E2043">
        <v>0.59333130000000001</v>
      </c>
      <c r="F2043" t="s">
        <v>74</v>
      </c>
      <c r="G2043">
        <v>-224.75389999999999</v>
      </c>
      <c r="H2043" s="1">
        <v>9.9300030000000009E-7</v>
      </c>
      <c r="I2043">
        <v>287.4402</v>
      </c>
      <c r="J2043">
        <v>-203.36590000000001</v>
      </c>
      <c r="K2043">
        <v>1.10012</v>
      </c>
      <c r="L2043">
        <v>287.56599999999997</v>
      </c>
      <c r="M2043">
        <v>-0.94123860000000004</v>
      </c>
      <c r="N2043">
        <v>-7.7699939999999997E-3</v>
      </c>
      <c r="O2043">
        <v>-0.33765329999999999</v>
      </c>
      <c r="P2043">
        <v>-0.9722423</v>
      </c>
      <c r="Q2043">
        <v>-7.8089270000000002E-2</v>
      </c>
      <c r="R2043">
        <v>-0.2205607</v>
      </c>
      <c r="S2043">
        <v>-3.0733030000000001</v>
      </c>
      <c r="T2043">
        <v>-0.1565491</v>
      </c>
      <c r="U2043">
        <v>-2.633667E-2</v>
      </c>
      <c r="V2043">
        <v>0.11913609999999999</v>
      </c>
      <c r="W2043">
        <v>-7.2986999999999996E-2</v>
      </c>
      <c r="X2043">
        <v>0.99019159999999995</v>
      </c>
      <c r="Y2043">
        <v>0.32879530000000001</v>
      </c>
      <c r="Z2043">
        <v>2.3905880000000001E-2</v>
      </c>
      <c r="AA2043">
        <v>0.94409860000000001</v>
      </c>
      <c r="AB2043">
        <v>21</v>
      </c>
      <c r="AC2043">
        <v>-21.387999999999899</v>
      </c>
      <c r="AD2043">
        <v>-1.1001190069997</v>
      </c>
      <c r="AE2043">
        <v>-0.12579999999996899</v>
      </c>
      <c r="AF2043">
        <v>7.0847910816628703</v>
      </c>
      <c r="AG2043">
        <v>-1.1001190069997</v>
      </c>
      <c r="AH2043">
        <v>20.1210624257156</v>
      </c>
      <c r="AI2043">
        <v>92.952211644199807</v>
      </c>
      <c r="AJ2043">
        <v>70.602415699198801</v>
      </c>
      <c r="AK2043">
        <v>21.360282761235101</v>
      </c>
      <c r="AL2043">
        <v>94.185569016095101</v>
      </c>
      <c r="AM2043">
        <v>83.139366973749702</v>
      </c>
      <c r="AN2043">
        <v>0.99999995860138402</v>
      </c>
    </row>
    <row r="2044" spans="1:40" x14ac:dyDescent="0.25">
      <c r="A2044" t="str">
        <f>"20190305134940581"</f>
        <v>20190305134940581</v>
      </c>
      <c r="B2044" t="str">
        <f>"1551764980572418"</f>
        <v>1551764980572418</v>
      </c>
      <c r="C2044" t="s">
        <v>40</v>
      </c>
      <c r="D2044">
        <v>4.1026959999999999</v>
      </c>
      <c r="E2044">
        <v>0.58401169999999902</v>
      </c>
      <c r="F2044" t="s">
        <v>47</v>
      </c>
      <c r="G2044">
        <v>0</v>
      </c>
      <c r="H2044">
        <v>0</v>
      </c>
      <c r="I2044">
        <v>0</v>
      </c>
      <c r="J2044">
        <v>-203.57679999999999</v>
      </c>
      <c r="K2044">
        <v>1.100106</v>
      </c>
      <c r="L2044">
        <v>287.50970000000001</v>
      </c>
      <c r="M2044">
        <v>-0.94662060000000003</v>
      </c>
      <c r="N2044">
        <v>-7.4632839999999997E-3</v>
      </c>
      <c r="O2044">
        <v>-0.32226369999999999</v>
      </c>
      <c r="P2044">
        <v>-0.9742265</v>
      </c>
      <c r="Q2044">
        <v>-7.6891150000000005E-2</v>
      </c>
      <c r="R2044">
        <v>-0.21206330000000001</v>
      </c>
      <c r="S2044">
        <v>-3.1215060000000001</v>
      </c>
      <c r="T2044">
        <v>0.46553640000000002</v>
      </c>
      <c r="U2044">
        <v>-6.7443850000000003E-3</v>
      </c>
      <c r="V2044">
        <v>0.1116907</v>
      </c>
      <c r="W2044">
        <v>-7.1924009999999997E-2</v>
      </c>
      <c r="X2044">
        <v>0.99113680000000004</v>
      </c>
      <c r="Y2044">
        <v>0.31310359999999998</v>
      </c>
      <c r="Z2044">
        <v>-7.1604269999999998E-2</v>
      </c>
      <c r="AA2044">
        <v>0.94701579999999996</v>
      </c>
      <c r="AB2044">
        <v>21</v>
      </c>
      <c r="AC2044">
        <v>-3.1215060000000001</v>
      </c>
      <c r="AD2044">
        <v>0.46553640000000002</v>
      </c>
      <c r="AE2044">
        <v>-6.7443850000000003E-3</v>
      </c>
      <c r="AF2044">
        <v>0.97784214307358597</v>
      </c>
      <c r="AG2044">
        <v>0.46553640000000002</v>
      </c>
      <c r="AH2044">
        <v>2.8927954721756701</v>
      </c>
      <c r="AI2044">
        <v>81.331707046417705</v>
      </c>
      <c r="AJ2044">
        <v>71.323373167988905</v>
      </c>
      <c r="AK2044">
        <v>3.0888776344063502</v>
      </c>
      <c r="AL2044">
        <v>94.124503431462799</v>
      </c>
      <c r="AM2044">
        <v>83.570492238833097</v>
      </c>
      <c r="AN2044">
        <v>1.0000000159975999</v>
      </c>
    </row>
    <row r="2045" spans="1:40" x14ac:dyDescent="0.25">
      <c r="A2045" t="str">
        <f>"20190305134940603"</f>
        <v>20190305134940603</v>
      </c>
      <c r="B2045" t="str">
        <f>"1551764980592914"</f>
        <v>1551764980592914</v>
      </c>
      <c r="C2045" t="s">
        <v>40</v>
      </c>
      <c r="D2045">
        <v>4.1423259999999997</v>
      </c>
      <c r="E2045">
        <v>0.58346889999999996</v>
      </c>
      <c r="F2045" t="s">
        <v>74</v>
      </c>
      <c r="G2045">
        <v>-226.80699999999999</v>
      </c>
      <c r="H2045" s="1">
        <v>2.0855519999999999E-6</v>
      </c>
      <c r="I2045">
        <v>287.60250000000002</v>
      </c>
      <c r="J2045">
        <v>-203.78049999999999</v>
      </c>
      <c r="K2045">
        <v>1.1001050000000001</v>
      </c>
      <c r="L2045">
        <v>287.45839999999998</v>
      </c>
      <c r="M2045">
        <v>-0.95148279999999996</v>
      </c>
      <c r="N2045">
        <v>-7.1910969999999996E-3</v>
      </c>
      <c r="O2045">
        <v>-0.30761820000000001</v>
      </c>
      <c r="P2045">
        <v>-0.97637830000000003</v>
      </c>
      <c r="Q2045">
        <v>-7.5388899999999995E-2</v>
      </c>
      <c r="R2045">
        <v>-0.20249059999999999</v>
      </c>
      <c r="S2045">
        <v>-3.0705870000000002</v>
      </c>
      <c r="T2045">
        <v>-0.1454124</v>
      </c>
      <c r="U2045">
        <v>1.2268070000000001E-2</v>
      </c>
      <c r="V2045">
        <v>0.1061921</v>
      </c>
      <c r="W2045">
        <v>-7.0563260000000003E-2</v>
      </c>
      <c r="X2045">
        <v>0.99183880000000002</v>
      </c>
      <c r="Y2045">
        <v>0.3107857</v>
      </c>
      <c r="Z2045">
        <v>2.061545E-2</v>
      </c>
      <c r="AA2045">
        <v>0.9502564</v>
      </c>
      <c r="AB2045">
        <v>21</v>
      </c>
      <c r="AC2045">
        <v>-23.026499999999999</v>
      </c>
      <c r="AD2045">
        <v>-1.1001029144479999</v>
      </c>
      <c r="AE2045">
        <v>0.144100000000037</v>
      </c>
      <c r="AF2045">
        <v>7.20422218362385</v>
      </c>
      <c r="AG2045">
        <v>-1.1001029144479999</v>
      </c>
      <c r="AH2045">
        <v>21.815761698788901</v>
      </c>
      <c r="AI2045">
        <v>92.741435474975404</v>
      </c>
      <c r="AJ2045">
        <v>71.725219423261905</v>
      </c>
      <c r="AK2045">
        <v>23.0008369889389</v>
      </c>
      <c r="AL2045">
        <v>94.046339355051401</v>
      </c>
      <c r="AM2045">
        <v>83.888856532848493</v>
      </c>
      <c r="AN2045">
        <v>1.00000007047483</v>
      </c>
    </row>
    <row r="2046" spans="1:40" x14ac:dyDescent="0.25">
      <c r="A2046" t="str">
        <f>"20190305134940625"</f>
        <v>20190305134940625</v>
      </c>
      <c r="B2046" t="str">
        <f>"1551764980622192"</f>
        <v>1551764980622192</v>
      </c>
      <c r="C2046" t="s">
        <v>40</v>
      </c>
      <c r="D2046">
        <v>4.1280330000000003</v>
      </c>
      <c r="E2046">
        <v>0.58235649999999906</v>
      </c>
      <c r="F2046" t="s">
        <v>74</v>
      </c>
      <c r="G2046">
        <v>-228.6019</v>
      </c>
      <c r="H2046" s="1">
        <v>3.0407150000000002E-6</v>
      </c>
      <c r="I2046">
        <v>287.7627</v>
      </c>
      <c r="J2046">
        <v>-203.9939</v>
      </c>
      <c r="K2046">
        <v>1.1001069999999999</v>
      </c>
      <c r="L2046">
        <v>287.40789999999998</v>
      </c>
      <c r="M2046">
        <v>-0.95623610000000003</v>
      </c>
      <c r="N2046">
        <v>-6.912896E-3</v>
      </c>
      <c r="O2046">
        <v>-0.29251440000000001</v>
      </c>
      <c r="P2046">
        <v>-0.9785933</v>
      </c>
      <c r="Q2046">
        <v>-7.4819079999999996E-2</v>
      </c>
      <c r="R2046">
        <v>-0.1917218</v>
      </c>
      <c r="S2046">
        <v>-3.0698850000000002</v>
      </c>
      <c r="T2046">
        <v>-0.1360596</v>
      </c>
      <c r="U2046">
        <v>3.7628170000000002E-2</v>
      </c>
      <c r="V2046">
        <v>0.1014413</v>
      </c>
      <c r="W2046">
        <v>-7.0154149999999998E-2</v>
      </c>
      <c r="X2046">
        <v>0.99236489999999999</v>
      </c>
      <c r="Y2046">
        <v>0.30367749999999999</v>
      </c>
      <c r="Z2046">
        <v>1.8551910000000001E-2</v>
      </c>
      <c r="AA2046">
        <v>0.9525943</v>
      </c>
      <c r="AB2046">
        <v>21</v>
      </c>
      <c r="AC2046">
        <v>-24.608000000000001</v>
      </c>
      <c r="AD2046">
        <v>-1.1001039592849999</v>
      </c>
      <c r="AE2046">
        <v>0.354800000000011</v>
      </c>
      <c r="AF2046">
        <v>7.5226160592279099</v>
      </c>
      <c r="AG2046">
        <v>-1.1001039592849999</v>
      </c>
      <c r="AH2046">
        <v>23.3811157248754</v>
      </c>
      <c r="AI2046">
        <v>92.564552854344697</v>
      </c>
      <c r="AJ2046">
        <v>72.164993457332997</v>
      </c>
      <c r="AK2046">
        <v>24.586104889465599</v>
      </c>
      <c r="AL2046">
        <v>94.022841054847504</v>
      </c>
      <c r="AM2046">
        <v>84.163396921269594</v>
      </c>
      <c r="AN2046">
        <v>1.00000001842996</v>
      </c>
    </row>
    <row r="2047" spans="1:40" x14ac:dyDescent="0.25">
      <c r="A2047" t="str">
        <f>"20190305134940649"</f>
        <v>20190305134940649</v>
      </c>
      <c r="B2047" t="str">
        <f>"1551764980642688"</f>
        <v>1551764980642688</v>
      </c>
      <c r="C2047" t="s">
        <v>40</v>
      </c>
      <c r="D2047">
        <v>4.116295</v>
      </c>
      <c r="E2047">
        <v>0.58169119999999996</v>
      </c>
      <c r="F2047" t="s">
        <v>74</v>
      </c>
      <c r="G2047">
        <v>-227.98230000000001</v>
      </c>
      <c r="H2047" s="1">
        <v>2.7109889999999999E-6</v>
      </c>
      <c r="I2047">
        <v>287.90289999999999</v>
      </c>
      <c r="J2047">
        <v>-204.22730000000001</v>
      </c>
      <c r="K2047">
        <v>1.1001190000000001</v>
      </c>
      <c r="L2047">
        <v>287.35610000000003</v>
      </c>
      <c r="M2047">
        <v>-0.96106179999999997</v>
      </c>
      <c r="N2047">
        <v>-6.5915369999999997E-3</v>
      </c>
      <c r="O2047">
        <v>-0.27625480000000002</v>
      </c>
      <c r="P2047">
        <v>-0.98100500000000002</v>
      </c>
      <c r="Q2047">
        <v>-7.5104790000000005E-2</v>
      </c>
      <c r="R2047">
        <v>-0.17885379999999901</v>
      </c>
      <c r="S2047">
        <v>-3.0672609999999998</v>
      </c>
      <c r="T2047">
        <v>-0.14066400000000001</v>
      </c>
      <c r="U2047">
        <v>6.3293459999999996E-2</v>
      </c>
      <c r="V2047">
        <v>9.7636399999999998E-2</v>
      </c>
      <c r="W2047">
        <v>-7.06595E-2</v>
      </c>
      <c r="X2047">
        <v>0.9927106</v>
      </c>
      <c r="Y2047">
        <v>0.29546790000000001</v>
      </c>
      <c r="Z2047">
        <v>1.8452880000000001E-2</v>
      </c>
      <c r="AA2047">
        <v>0.95517439999999998</v>
      </c>
      <c r="AB2047">
        <v>21</v>
      </c>
      <c r="AC2047">
        <v>-23.7549999999999</v>
      </c>
      <c r="AD2047">
        <v>-1.1001162890109999</v>
      </c>
      <c r="AE2047">
        <v>0.54679999999996198</v>
      </c>
      <c r="AF2047">
        <v>7.0729342324720399</v>
      </c>
      <c r="AG2047">
        <v>-1.1001162890109999</v>
      </c>
      <c r="AH2047">
        <v>22.630949283970899</v>
      </c>
      <c r="AI2047">
        <v>92.656499618385894</v>
      </c>
      <c r="AJ2047">
        <v>72.644216486810606</v>
      </c>
      <c r="AK2047">
        <v>23.735975227487199</v>
      </c>
      <c r="AL2047">
        <v>94.051867651983798</v>
      </c>
      <c r="AM2047">
        <v>84.382834735447602</v>
      </c>
      <c r="AN2047">
        <v>0.99999998344878405</v>
      </c>
    </row>
    <row r="2048" spans="1:40" x14ac:dyDescent="0.25">
      <c r="A2048" t="str">
        <f>"20190305134940672"</f>
        <v>20190305134940672</v>
      </c>
      <c r="B2048" t="str">
        <f>"1551764980662206"</f>
        <v>1551764980662206</v>
      </c>
      <c r="C2048" t="s">
        <v>40</v>
      </c>
      <c r="D2048">
        <v>6.5475890000000003</v>
      </c>
      <c r="E2048">
        <v>0.58079890000000001</v>
      </c>
      <c r="F2048" t="s">
        <v>74</v>
      </c>
      <c r="G2048">
        <v>-229.17410000000001</v>
      </c>
      <c r="H2048" s="1">
        <v>3.345185E-6</v>
      </c>
      <c r="I2048">
        <v>288.15109999999999</v>
      </c>
      <c r="J2048">
        <v>-204.45650000000001</v>
      </c>
      <c r="K2048">
        <v>1.1001379999999901</v>
      </c>
      <c r="L2048">
        <v>287.30900000000003</v>
      </c>
      <c r="M2048">
        <v>-0.96542090000000003</v>
      </c>
      <c r="N2048">
        <v>-6.2391749999999996E-3</v>
      </c>
      <c r="O2048">
        <v>-0.2606212</v>
      </c>
      <c r="P2048">
        <v>-0.98319400000000001</v>
      </c>
      <c r="Q2048">
        <v>-7.6482549999999996E-2</v>
      </c>
      <c r="R2048">
        <v>-0.16577069999999999</v>
      </c>
      <c r="S2048">
        <v>-3.0655519999999998</v>
      </c>
      <c r="T2048">
        <v>-0.13518640000000001</v>
      </c>
      <c r="U2048">
        <v>9.7686770000000006E-2</v>
      </c>
      <c r="V2048">
        <v>9.4700450000000005E-2</v>
      </c>
      <c r="W2048">
        <v>-7.2303049999999994E-2</v>
      </c>
      <c r="X2048">
        <v>0.9928766</v>
      </c>
      <c r="Y2048">
        <v>0.29073850000000001</v>
      </c>
      <c r="Z2048">
        <v>1.7071409999999999E-2</v>
      </c>
      <c r="AA2048">
        <v>0.95665029999999995</v>
      </c>
      <c r="AB2048">
        <v>22</v>
      </c>
      <c r="AC2048">
        <v>-24.717600000000001</v>
      </c>
      <c r="AD2048">
        <v>-1.1001346548149999</v>
      </c>
      <c r="AE2048">
        <v>0.84209999999995899</v>
      </c>
      <c r="AF2048">
        <v>7.24072619193901</v>
      </c>
      <c r="AG2048">
        <v>-1.1001346548149999</v>
      </c>
      <c r="AH2048">
        <v>23.597189225018401</v>
      </c>
      <c r="AI2048">
        <v>92.552004489538902</v>
      </c>
      <c r="AJ2048">
        <v>72.941526514475697</v>
      </c>
      <c r="AK2048">
        <v>24.7076051321588</v>
      </c>
      <c r="AL2048">
        <v>94.146277893694801</v>
      </c>
      <c r="AM2048">
        <v>84.551617485121398</v>
      </c>
      <c r="AN2048">
        <v>0.99999992454852904</v>
      </c>
    </row>
    <row r="2049" spans="1:40" x14ac:dyDescent="0.25">
      <c r="A2049" t="str">
        <f>"20190305134940693"</f>
        <v>20190305134940693</v>
      </c>
      <c r="B2049" t="str">
        <f>"1551764980682707"</f>
        <v>1551764980682707</v>
      </c>
      <c r="C2049" t="s">
        <v>40</v>
      </c>
      <c r="D2049">
        <v>4.1277759999999999</v>
      </c>
      <c r="E2049">
        <v>0.57983430000000002</v>
      </c>
      <c r="F2049" t="s">
        <v>74</v>
      </c>
      <c r="G2049">
        <v>-228.67429999999999</v>
      </c>
      <c r="H2049" s="1">
        <v>3.0792390000000001E-6</v>
      </c>
      <c r="I2049">
        <v>288.34660000000002</v>
      </c>
      <c r="J2049">
        <v>-204.6661</v>
      </c>
      <c r="K2049">
        <v>1.1001639999999999</v>
      </c>
      <c r="L2049">
        <v>287.26859999999999</v>
      </c>
      <c r="M2049">
        <v>-0.96909400000000001</v>
      </c>
      <c r="N2049">
        <v>-5.8913389999999998E-3</v>
      </c>
      <c r="O2049">
        <v>-0.2466216</v>
      </c>
      <c r="P2049">
        <v>-0.98494760000000003</v>
      </c>
      <c r="Q2049">
        <v>-7.8402139999999995E-2</v>
      </c>
      <c r="R2049">
        <v>-0.15405060000000001</v>
      </c>
      <c r="S2049">
        <v>-3.062592</v>
      </c>
      <c r="T2049">
        <v>-0.13912359999999999</v>
      </c>
      <c r="U2049">
        <v>0.1312256</v>
      </c>
      <c r="V2049">
        <v>9.2087890000000006E-2</v>
      </c>
      <c r="W2049">
        <v>-7.4490349999999997E-2</v>
      </c>
      <c r="X2049">
        <v>0.99296079999999998</v>
      </c>
      <c r="Y2049">
        <v>0.28736270000000003</v>
      </c>
      <c r="Z2049">
        <v>1.702617E-2</v>
      </c>
      <c r="AA2049">
        <v>0.95767049999999998</v>
      </c>
      <c r="AB2049">
        <v>22</v>
      </c>
      <c r="AC2049">
        <v>-24.008199999999899</v>
      </c>
      <c r="AD2049">
        <v>-1.1001609207609999</v>
      </c>
      <c r="AE2049">
        <v>1.07800000000003</v>
      </c>
      <c r="AF2049">
        <v>6.9511773301228201</v>
      </c>
      <c r="AG2049">
        <v>-1.1001609207609999</v>
      </c>
      <c r="AH2049">
        <v>22.952641788835699</v>
      </c>
      <c r="AI2049">
        <v>92.626556182490603</v>
      </c>
      <c r="AJ2049">
        <v>73.151132595453106</v>
      </c>
      <c r="AK2049">
        <v>24.007352736463702</v>
      </c>
      <c r="AL2049">
        <v>94.271939292820704</v>
      </c>
      <c r="AM2049">
        <v>84.701504523169703</v>
      </c>
      <c r="AN2049">
        <v>1.0000000710321999</v>
      </c>
    </row>
    <row r="2050" spans="1:40" x14ac:dyDescent="0.25">
      <c r="A2050" t="str">
        <f>"20190305134940714"</f>
        <v>20190305134940714</v>
      </c>
      <c r="B2050" t="str">
        <f>"1551764980702223"</f>
        <v>1551764980702223</v>
      </c>
      <c r="C2050" t="s">
        <v>40</v>
      </c>
      <c r="D2050">
        <v>4.1088879999999897</v>
      </c>
      <c r="E2050">
        <v>0.57926429999999995</v>
      </c>
      <c r="F2050" t="s">
        <v>74</v>
      </c>
      <c r="G2050">
        <v>-228.60400000000001</v>
      </c>
      <c r="H2050" s="1">
        <v>3.0418369999999998E-6</v>
      </c>
      <c r="I2050">
        <v>288.51740000000001</v>
      </c>
      <c r="J2050">
        <v>-204.88380000000001</v>
      </c>
      <c r="K2050">
        <v>1.100182</v>
      </c>
      <c r="L2050">
        <v>287.2296</v>
      </c>
      <c r="M2050">
        <v>-0.97260820000000003</v>
      </c>
      <c r="N2050">
        <v>-5.526029E-3</v>
      </c>
      <c r="O2050">
        <v>-0.2323846</v>
      </c>
      <c r="P2050">
        <v>-0.98633749999999998</v>
      </c>
      <c r="Q2050">
        <v>-8.0681959999999997E-2</v>
      </c>
      <c r="R2050">
        <v>-0.14362739999999999</v>
      </c>
      <c r="S2050">
        <v>-3.0596160000000001</v>
      </c>
      <c r="T2050">
        <v>-0.14061679999999999</v>
      </c>
      <c r="U2050">
        <v>0.1596069</v>
      </c>
      <c r="V2050">
        <v>8.7947120000000004E-2</v>
      </c>
      <c r="W2050">
        <v>-7.7026269999999994E-2</v>
      </c>
      <c r="X2050">
        <v>0.99314259999999999</v>
      </c>
      <c r="Y2050">
        <v>0.28222140000000001</v>
      </c>
      <c r="Z2050">
        <v>1.6577999999999999E-2</v>
      </c>
      <c r="AA2050">
        <v>0.959206</v>
      </c>
      <c r="AB2050">
        <v>22</v>
      </c>
      <c r="AC2050">
        <v>-23.720199999999998</v>
      </c>
      <c r="AD2050">
        <v>-1.1001789581629999</v>
      </c>
      <c r="AE2050">
        <v>1.2878000000000001</v>
      </c>
      <c r="AF2050">
        <v>6.7503588242854997</v>
      </c>
      <c r="AG2050">
        <v>-1.1001789581629999</v>
      </c>
      <c r="AH2050">
        <v>22.722806858603601</v>
      </c>
      <c r="AI2050">
        <v>92.657342231033496</v>
      </c>
      <c r="AJ2050">
        <v>73.4546757866962</v>
      </c>
      <c r="AK2050">
        <v>23.729805931149102</v>
      </c>
      <c r="AL2050">
        <v>94.417655982922</v>
      </c>
      <c r="AM2050">
        <v>84.939408812159101</v>
      </c>
      <c r="AN2050">
        <v>0.99999998306058302</v>
      </c>
    </row>
    <row r="2051" spans="1:40" x14ac:dyDescent="0.25">
      <c r="A2051" t="str">
        <f>"20190305134940737"</f>
        <v>20190305134940737</v>
      </c>
      <c r="B2051" t="str">
        <f>"1551764980732479"</f>
        <v>1551764980732479</v>
      </c>
      <c r="C2051" t="s">
        <v>40</v>
      </c>
      <c r="D2051">
        <v>4.0867649999999998</v>
      </c>
      <c r="E2051">
        <v>0.57784309999999905</v>
      </c>
      <c r="F2051" t="s">
        <v>74</v>
      </c>
      <c r="G2051">
        <v>-227.89940000000001</v>
      </c>
      <c r="H2051" s="1">
        <v>2.6669010000000001E-6</v>
      </c>
      <c r="I2051">
        <v>288.6388</v>
      </c>
      <c r="J2051">
        <v>-205.1164</v>
      </c>
      <c r="K2051">
        <v>1.100187</v>
      </c>
      <c r="L2051">
        <v>287.1909</v>
      </c>
      <c r="M2051">
        <v>-0.9760373</v>
      </c>
      <c r="N2051">
        <v>-5.1389929999999997E-3</v>
      </c>
      <c r="O2051">
        <v>-0.2175424</v>
      </c>
      <c r="P2051">
        <v>-0.98769720000000005</v>
      </c>
      <c r="Q2051">
        <v>-8.1307000000000004E-2</v>
      </c>
      <c r="R2051">
        <v>-0.1335808</v>
      </c>
      <c r="S2051">
        <v>-3.056854</v>
      </c>
      <c r="T2051">
        <v>-0.1461219</v>
      </c>
      <c r="U2051">
        <v>0.18716430000000001</v>
      </c>
      <c r="V2051">
        <v>8.2913570000000006E-2</v>
      </c>
      <c r="W2051">
        <v>-7.7911980000000006E-2</v>
      </c>
      <c r="X2051">
        <v>0.99350640000000001</v>
      </c>
      <c r="Y2051">
        <v>0.27624460000000001</v>
      </c>
      <c r="Z2051">
        <v>1.6519720000000002E-2</v>
      </c>
      <c r="AA2051">
        <v>0.96094539999999995</v>
      </c>
      <c r="AB2051">
        <v>22</v>
      </c>
      <c r="AC2051">
        <v>-22.783000000000001</v>
      </c>
      <c r="AD2051">
        <v>-1.100184333099</v>
      </c>
      <c r="AE2051">
        <v>1.4479</v>
      </c>
      <c r="AF2051">
        <v>6.3547981654569901</v>
      </c>
      <c r="AG2051">
        <v>-1.100184333099</v>
      </c>
      <c r="AH2051">
        <v>21.871571504320102</v>
      </c>
      <c r="AI2051">
        <v>92.765489217575507</v>
      </c>
      <c r="AJ2051">
        <v>73.798745646491199</v>
      </c>
      <c r="AK2051">
        <v>22.802620580956901</v>
      </c>
      <c r="AL2051">
        <v>94.468556538819001</v>
      </c>
      <c r="AM2051">
        <v>85.229407211261005</v>
      </c>
      <c r="AN2051">
        <v>0.999999951779311</v>
      </c>
    </row>
    <row r="2052" spans="1:40" x14ac:dyDescent="0.25">
      <c r="A2052" t="str">
        <f>"20190305134940759"</f>
        <v>20190305134940759</v>
      </c>
      <c r="B2052" t="str">
        <f>"1551764980752976"</f>
        <v>1551764980752976</v>
      </c>
      <c r="C2052" t="s">
        <v>40</v>
      </c>
      <c r="D2052">
        <v>4.0643029999999998</v>
      </c>
      <c r="E2052">
        <v>0.57646560000000002</v>
      </c>
      <c r="F2052" t="s">
        <v>74</v>
      </c>
      <c r="G2052">
        <v>-227.82339999999999</v>
      </c>
      <c r="H2052" s="1">
        <v>2.6264270000000001E-6</v>
      </c>
      <c r="I2052">
        <v>288.72899999999998</v>
      </c>
      <c r="J2052">
        <v>-205.34780000000001</v>
      </c>
      <c r="K2052">
        <v>1.1002149999999999</v>
      </c>
      <c r="L2052">
        <v>287.15530000000001</v>
      </c>
      <c r="M2052">
        <v>-0.97912929999999998</v>
      </c>
      <c r="N2052">
        <v>-4.7557609999999998E-3</v>
      </c>
      <c r="O2052">
        <v>-0.2031828</v>
      </c>
      <c r="P2052">
        <v>-0.98880310000000005</v>
      </c>
      <c r="Q2052">
        <v>-8.1558530000000004E-2</v>
      </c>
      <c r="R2052">
        <v>-0.1249672</v>
      </c>
      <c r="S2052">
        <v>-3.0531619999999999</v>
      </c>
      <c r="T2052">
        <v>-0.1479299</v>
      </c>
      <c r="U2052">
        <v>0.20681759999999999</v>
      </c>
      <c r="V2052">
        <v>7.6980939999999998E-2</v>
      </c>
      <c r="W2052">
        <v>-7.8404050000000003E-2</v>
      </c>
      <c r="X2052">
        <v>0.99394510000000003</v>
      </c>
      <c r="Y2052">
        <v>0.2683584</v>
      </c>
      <c r="Z2052">
        <v>1.5953680000000001E-2</v>
      </c>
      <c r="AA2052">
        <v>0.96318700000000002</v>
      </c>
      <c r="AB2052">
        <v>22</v>
      </c>
      <c r="AC2052">
        <v>-22.475599999999901</v>
      </c>
      <c r="AD2052">
        <v>-1.1002123735729901</v>
      </c>
      <c r="AE2052">
        <v>1.5737000000000301</v>
      </c>
      <c r="AF2052">
        <v>6.0930508370167997</v>
      </c>
      <c r="AG2052">
        <v>-1.1002123735729901</v>
      </c>
      <c r="AH2052">
        <v>21.635423634054199</v>
      </c>
      <c r="AI2052">
        <v>92.8022944542261</v>
      </c>
      <c r="AJ2052">
        <v>74.271515370876401</v>
      </c>
      <c r="AK2052">
        <v>22.503939468333702</v>
      </c>
      <c r="AL2052">
        <v>94.4968360916818</v>
      </c>
      <c r="AM2052">
        <v>85.571289167829406</v>
      </c>
      <c r="AN2052">
        <v>1.00000006099684</v>
      </c>
    </row>
    <row r="2053" spans="1:40" x14ac:dyDescent="0.25">
      <c r="A2053" t="str">
        <f>"20190305134940783"</f>
        <v>20190305134940783</v>
      </c>
      <c r="B2053" t="str">
        <f>"1551764980772499"</f>
        <v>1551764980772499</v>
      </c>
      <c r="C2053" t="s">
        <v>40</v>
      </c>
      <c r="D2053">
        <v>3.7785829999999998</v>
      </c>
      <c r="E2053">
        <v>0.57647939999999998</v>
      </c>
      <c r="F2053" t="s">
        <v>74</v>
      </c>
      <c r="G2053">
        <v>-228.20079999999999</v>
      </c>
      <c r="H2053" s="1">
        <v>2.8272519999999898E-6</v>
      </c>
      <c r="I2053">
        <v>288.82089999999999</v>
      </c>
      <c r="J2053">
        <v>-205.58840000000001</v>
      </c>
      <c r="K2053">
        <v>1.1002620000000001</v>
      </c>
      <c r="L2053">
        <v>287.12139999999999</v>
      </c>
      <c r="M2053">
        <v>-0.9820198</v>
      </c>
      <c r="N2053">
        <v>-4.3602720000000001E-3</v>
      </c>
      <c r="O2053">
        <v>-0.18872810000000001</v>
      </c>
      <c r="P2053">
        <v>-0.98976359999999997</v>
      </c>
      <c r="Q2053">
        <v>-8.1267019999999995E-2</v>
      </c>
      <c r="R2053">
        <v>-0.11731949999999999</v>
      </c>
      <c r="S2053">
        <v>-3.049973</v>
      </c>
      <c r="T2053">
        <v>-0.146835299999999</v>
      </c>
      <c r="U2053">
        <v>0.22228999999999999</v>
      </c>
      <c r="V2053">
        <v>7.0038089999999997E-2</v>
      </c>
      <c r="W2053">
        <v>-7.8344120000000003E-2</v>
      </c>
      <c r="X2053">
        <v>0.99446310000000004</v>
      </c>
      <c r="Y2053">
        <v>0.25910909999999998</v>
      </c>
      <c r="Z2053">
        <v>1.501079E-2</v>
      </c>
      <c r="AA2053">
        <v>0.96573140000000002</v>
      </c>
      <c r="AB2053">
        <v>23</v>
      </c>
      <c r="AC2053">
        <v>-22.612399999999901</v>
      </c>
      <c r="AD2053">
        <v>-1.100259172748</v>
      </c>
      <c r="AE2053">
        <v>1.6995</v>
      </c>
      <c r="AF2053">
        <v>5.9226504631085399</v>
      </c>
      <c r="AG2053">
        <v>-1.100259172748</v>
      </c>
      <c r="AH2053">
        <v>21.8338848618335</v>
      </c>
      <c r="AI2053">
        <v>92.784370253215599</v>
      </c>
      <c r="AJ2053">
        <v>74.823181160996796</v>
      </c>
      <c r="AK2053">
        <v>22.649655337668602</v>
      </c>
      <c r="AL2053">
        <v>94.493392052776997</v>
      </c>
      <c r="AM2053">
        <v>85.971422316102306</v>
      </c>
      <c r="AN2053">
        <v>0.99999999622551605</v>
      </c>
    </row>
    <row r="2054" spans="1:40" x14ac:dyDescent="0.25">
      <c r="A2054" t="str">
        <f>"20190305134940803"</f>
        <v>20190305134940803</v>
      </c>
      <c r="B2054" t="str">
        <f>"1551764980792991"</f>
        <v>1551764980792991</v>
      </c>
      <c r="C2054" t="s">
        <v>40</v>
      </c>
      <c r="D2054">
        <v>3.781256</v>
      </c>
      <c r="E2054">
        <v>0.57637850000000002</v>
      </c>
      <c r="F2054" t="s">
        <v>74</v>
      </c>
      <c r="G2054">
        <v>-230.1157</v>
      </c>
      <c r="H2054" s="1">
        <v>-1.67088E-6</v>
      </c>
      <c r="I2054">
        <v>289.09210000000002</v>
      </c>
      <c r="J2054">
        <v>-205.8049</v>
      </c>
      <c r="K2054">
        <v>1.1003369999999999</v>
      </c>
      <c r="L2054">
        <v>287.09339999999997</v>
      </c>
      <c r="M2054">
        <v>-0.98434940000000004</v>
      </c>
      <c r="N2054">
        <v>-4.0095859999999999E-3</v>
      </c>
      <c r="O2054">
        <v>-0.17618210000000001</v>
      </c>
      <c r="P2054">
        <v>-0.99027270000000001</v>
      </c>
      <c r="Q2054">
        <v>-8.1390920000000005E-2</v>
      </c>
      <c r="R2054">
        <v>-0.1128532</v>
      </c>
      <c r="S2054">
        <v>-3.0488430000000002</v>
      </c>
      <c r="T2054">
        <v>-0.13676759999999999</v>
      </c>
      <c r="U2054">
        <v>0.2449646</v>
      </c>
      <c r="V2054">
        <v>6.1849319999999999E-2</v>
      </c>
      <c r="W2054">
        <v>-7.8632190000000005E-2</v>
      </c>
      <c r="X2054">
        <v>0.99498330000000001</v>
      </c>
      <c r="Y2054">
        <v>0.2540308</v>
      </c>
      <c r="Z2054">
        <v>1.335917E-2</v>
      </c>
      <c r="AA2054">
        <v>0.96710379999999996</v>
      </c>
      <c r="AB2054">
        <v>23</v>
      </c>
      <c r="AC2054">
        <v>-24.3108</v>
      </c>
      <c r="AD2054">
        <v>-1.10033867088</v>
      </c>
      <c r="AE2054">
        <v>1.9987000000000399</v>
      </c>
      <c r="AF2054">
        <v>6.2379042529358397</v>
      </c>
      <c r="AG2054">
        <v>-1.10033867088</v>
      </c>
      <c r="AH2054">
        <v>23.530495733594702</v>
      </c>
      <c r="AI2054">
        <v>92.588059507389701</v>
      </c>
      <c r="AJ2054">
        <v>75.1524880845799</v>
      </c>
      <c r="AK2054">
        <v>24.368143633197601</v>
      </c>
      <c r="AL2054">
        <v>94.509948019471807</v>
      </c>
      <c r="AM2054">
        <v>86.443004369682399</v>
      </c>
      <c r="AN2054">
        <v>1.00000006348377</v>
      </c>
    </row>
    <row r="2055" spans="1:40" x14ac:dyDescent="0.25">
      <c r="A2055" t="str">
        <f>"20190305134940826"</f>
        <v>20190305134940826</v>
      </c>
      <c r="B2055" t="str">
        <f>"1551764980822271"</f>
        <v>1551764980822271</v>
      </c>
      <c r="C2055" t="s">
        <v>40</v>
      </c>
      <c r="D2055">
        <v>4.020778</v>
      </c>
      <c r="E2055">
        <v>0.575816199999999</v>
      </c>
      <c r="F2055" t="s">
        <v>74</v>
      </c>
      <c r="G2055">
        <v>-231.7884</v>
      </c>
      <c r="H2055" s="1">
        <v>-7.8913609999999902E-7</v>
      </c>
      <c r="I2055">
        <v>289.28440000000001</v>
      </c>
      <c r="J2055">
        <v>-206.0461</v>
      </c>
      <c r="K2055">
        <v>1.10046</v>
      </c>
      <c r="L2055">
        <v>287.06490000000002</v>
      </c>
      <c r="M2055">
        <v>-0.98666220000000004</v>
      </c>
      <c r="N2055">
        <v>-3.629616E-3</v>
      </c>
      <c r="O2055">
        <v>-0.16274089999999999</v>
      </c>
      <c r="P2055">
        <v>-0.9908652</v>
      </c>
      <c r="Q2055">
        <v>-8.1079940000000003E-2</v>
      </c>
      <c r="R2055">
        <v>-0.1077612</v>
      </c>
      <c r="S2055">
        <v>-3.0481410000000002</v>
      </c>
      <c r="T2055">
        <v>-0.12908119999999901</v>
      </c>
      <c r="U2055">
        <v>0.257019</v>
      </c>
      <c r="V2055">
        <v>5.343233E-2</v>
      </c>
      <c r="W2055">
        <v>-7.8508300000000003E-2</v>
      </c>
      <c r="X2055">
        <v>0.99548049999999999</v>
      </c>
      <c r="Y2055">
        <v>0.24471039999999999</v>
      </c>
      <c r="Z2055">
        <v>1.1889820000000001E-2</v>
      </c>
      <c r="AA2055">
        <v>0.96952329999999998</v>
      </c>
      <c r="AB2055">
        <v>23</v>
      </c>
      <c r="AC2055">
        <v>-25.7423</v>
      </c>
      <c r="AD2055">
        <v>-1.1004607891361</v>
      </c>
      <c r="AE2055">
        <v>2.21949999999998</v>
      </c>
      <c r="AF2055">
        <v>6.3677125684710498</v>
      </c>
      <c r="AG2055">
        <v>-1.1004607891361</v>
      </c>
      <c r="AH2055">
        <v>24.9925783530215</v>
      </c>
      <c r="AI2055">
        <v>92.443235497264496</v>
      </c>
      <c r="AJ2055">
        <v>75.706061530711494</v>
      </c>
      <c r="AK2055">
        <v>25.814487212319602</v>
      </c>
      <c r="AL2055">
        <v>94.502827936070602</v>
      </c>
      <c r="AM2055">
        <v>86.927602233988296</v>
      </c>
      <c r="AN2055">
        <v>0.99999999646918403</v>
      </c>
    </row>
    <row r="2056" spans="1:40" x14ac:dyDescent="0.25">
      <c r="A2056" t="str">
        <f>"20190305134940850"</f>
        <v>20190305134940850</v>
      </c>
      <c r="B2056" t="str">
        <f>"1551764980842767"</f>
        <v>1551764980842767</v>
      </c>
      <c r="C2056" t="s">
        <v>40</v>
      </c>
      <c r="D2056">
        <v>4.0287739999999896</v>
      </c>
      <c r="E2056">
        <v>0.57517949999999995</v>
      </c>
      <c r="F2056" t="s">
        <v>74</v>
      </c>
      <c r="G2056">
        <v>-235.25210000000001</v>
      </c>
      <c r="H2056">
        <v>3.8142139999999998E-2</v>
      </c>
      <c r="I2056">
        <v>289.61630000000002</v>
      </c>
      <c r="J2056">
        <v>-206.3006</v>
      </c>
      <c r="K2056">
        <v>1.1006499999999999</v>
      </c>
      <c r="L2056">
        <v>287.03750000000002</v>
      </c>
      <c r="M2056">
        <v>-0.9887994</v>
      </c>
      <c r="N2056">
        <v>-3.245562E-3</v>
      </c>
      <c r="O2056">
        <v>-0.1492165</v>
      </c>
      <c r="P2056">
        <v>-0.99146259999999997</v>
      </c>
      <c r="Q2056">
        <v>-8.0037529999999996E-2</v>
      </c>
      <c r="R2056">
        <v>-0.10293720000000001</v>
      </c>
      <c r="S2056">
        <v>-3.0475460000000001</v>
      </c>
      <c r="T2056">
        <v>-0.1108493</v>
      </c>
      <c r="U2056">
        <v>0.26623540000000001</v>
      </c>
      <c r="V2056">
        <v>4.4718199999999902E-2</v>
      </c>
      <c r="W2056">
        <v>-7.765292E-2</v>
      </c>
      <c r="X2056">
        <v>0.995977</v>
      </c>
      <c r="Y2056">
        <v>0.23445679999999999</v>
      </c>
      <c r="Z2056">
        <v>9.5609920000000008E-3</v>
      </c>
      <c r="AA2056">
        <v>0.97207949999999999</v>
      </c>
      <c r="AB2056">
        <v>23</v>
      </c>
      <c r="AC2056">
        <v>-28.951499999999999</v>
      </c>
      <c r="AD2056">
        <v>-1.06250786</v>
      </c>
      <c r="AE2056">
        <v>2.5788000000000002</v>
      </c>
      <c r="AF2056">
        <v>6.8608245438128499</v>
      </c>
      <c r="AG2056">
        <v>-1.06250786</v>
      </c>
      <c r="AH2056">
        <v>28.2048811362233</v>
      </c>
      <c r="AI2056">
        <v>92.096301554989594</v>
      </c>
      <c r="AJ2056">
        <v>76.328351896058606</v>
      </c>
      <c r="AK2056">
        <v>29.0467753164104</v>
      </c>
      <c r="AL2056">
        <v>94.453668444813303</v>
      </c>
      <c r="AM2056">
        <v>87.429213210806296</v>
      </c>
      <c r="AN2056">
        <v>0.99999993896238104</v>
      </c>
    </row>
    <row r="2057" spans="1:40" x14ac:dyDescent="0.25">
      <c r="A2057" t="str">
        <f>"20190305134940873"</f>
        <v>20190305134940873</v>
      </c>
      <c r="B2057" t="str">
        <f>"1551764980862287"</f>
        <v>1551764980862287</v>
      </c>
      <c r="C2057" t="s">
        <v>40</v>
      </c>
      <c r="D2057">
        <v>3.8169520000000001</v>
      </c>
      <c r="E2057">
        <v>0.57484880000000005</v>
      </c>
      <c r="F2057" t="s">
        <v>74</v>
      </c>
      <c r="G2057">
        <v>-237.3442</v>
      </c>
      <c r="H2057">
        <v>8.0000479999999999E-2</v>
      </c>
      <c r="I2057">
        <v>289.84300000000002</v>
      </c>
      <c r="J2057">
        <v>-206.55709999999999</v>
      </c>
      <c r="K2057">
        <v>1.1008910000000001</v>
      </c>
      <c r="L2057">
        <v>287.01299999999998</v>
      </c>
      <c r="M2057">
        <v>-0.99064870000000005</v>
      </c>
      <c r="N2057">
        <v>-2.8834680000000001E-3</v>
      </c>
      <c r="O2057">
        <v>-0.136407</v>
      </c>
      <c r="P2057">
        <v>-0.99203169999999996</v>
      </c>
      <c r="Q2057">
        <v>-7.8282699999999997E-2</v>
      </c>
      <c r="R2057">
        <v>-9.8717760000000002E-2</v>
      </c>
      <c r="S2057">
        <v>-3.0463260000000001</v>
      </c>
      <c r="T2057">
        <v>-0.1001571</v>
      </c>
      <c r="U2057">
        <v>0.27529910000000002</v>
      </c>
      <c r="V2057">
        <v>3.616312E-2</v>
      </c>
      <c r="W2057">
        <v>-7.6072570000000006E-2</v>
      </c>
      <c r="X2057">
        <v>0.99644630000000001</v>
      </c>
      <c r="Y2057">
        <v>0.22482450000000001</v>
      </c>
      <c r="Z2057">
        <v>8.0903929999999995E-3</v>
      </c>
      <c r="AA2057">
        <v>0.9743657</v>
      </c>
      <c r="AB2057">
        <v>24</v>
      </c>
      <c r="AC2057">
        <v>-30.787099999999999</v>
      </c>
      <c r="AD2057">
        <v>-1.02089052</v>
      </c>
      <c r="AE2057">
        <v>2.83000000000004</v>
      </c>
      <c r="AF2057">
        <v>6.9955132067677503</v>
      </c>
      <c r="AG2057">
        <v>-1.02089052</v>
      </c>
      <c r="AH2057">
        <v>30.080495186704798</v>
      </c>
      <c r="AI2057">
        <v>91.893307203124905</v>
      </c>
      <c r="AJ2057">
        <v>76.908018012533006</v>
      </c>
      <c r="AK2057">
        <v>30.900090827653901</v>
      </c>
      <c r="AL2057">
        <v>94.362852036423007</v>
      </c>
      <c r="AM2057">
        <v>87.921528553242297</v>
      </c>
      <c r="AN2057">
        <v>1.00000001796911</v>
      </c>
    </row>
    <row r="2058" spans="1:40" x14ac:dyDescent="0.25">
      <c r="A2058" t="str">
        <f>"20190305134940894"</f>
        <v>20190305134940894</v>
      </c>
      <c r="B2058" t="str">
        <f>"1551764980882787"</f>
        <v>1551764980882787</v>
      </c>
      <c r="C2058" t="s">
        <v>40</v>
      </c>
      <c r="D2058">
        <v>4.070487</v>
      </c>
      <c r="E2058">
        <v>0.5741058</v>
      </c>
      <c r="F2058" t="s">
        <v>74</v>
      </c>
      <c r="G2058">
        <v>-240.62870000000001</v>
      </c>
      <c r="H2058">
        <v>8.0000210000000002E-2</v>
      </c>
      <c r="I2058">
        <v>290.20299999999997</v>
      </c>
      <c r="J2058">
        <v>-206.77889999999999</v>
      </c>
      <c r="K2058">
        <v>1.101094</v>
      </c>
      <c r="L2058">
        <v>286.99369999999999</v>
      </c>
      <c r="M2058">
        <v>-0.99204619999999999</v>
      </c>
      <c r="N2058">
        <v>-2.5945439999999998E-3</v>
      </c>
      <c r="O2058">
        <v>-0.12584769999999901</v>
      </c>
      <c r="P2058">
        <v>-0.99253740000000001</v>
      </c>
      <c r="Q2058">
        <v>-7.4790499999999996E-2</v>
      </c>
      <c r="R2058">
        <v>-9.6310010000000001E-2</v>
      </c>
      <c r="S2058">
        <v>-3.0452880000000002</v>
      </c>
      <c r="T2058">
        <v>-9.1246369999999993E-2</v>
      </c>
      <c r="U2058">
        <v>0.28512569999999998</v>
      </c>
      <c r="V2058">
        <v>2.8099900000000001E-2</v>
      </c>
      <c r="W2058">
        <v>-7.2705629999999993E-2</v>
      </c>
      <c r="X2058">
        <v>0.99695750000000005</v>
      </c>
      <c r="Y2058">
        <v>0.2176276</v>
      </c>
      <c r="Z2058">
        <v>6.9694219999999899E-3</v>
      </c>
      <c r="AA2058">
        <v>0.97600699999999996</v>
      </c>
      <c r="AB2058">
        <v>24</v>
      </c>
      <c r="AC2058">
        <v>-33.849800000000002</v>
      </c>
      <c r="AD2058">
        <v>-1.0210937899999999</v>
      </c>
      <c r="AE2058">
        <v>3.2092999999999798</v>
      </c>
      <c r="AF2058">
        <v>7.4370112143716298</v>
      </c>
      <c r="AG2058">
        <v>-1.0210937899999999</v>
      </c>
      <c r="AH2058">
        <v>33.146900053652502</v>
      </c>
      <c r="AI2058">
        <v>91.721669191945594</v>
      </c>
      <c r="AJ2058">
        <v>77.354239412476105</v>
      </c>
      <c r="AK2058">
        <v>33.986302409904702</v>
      </c>
      <c r="AL2058">
        <v>94.169404646439503</v>
      </c>
      <c r="AM2058">
        <v>88.385508377607096</v>
      </c>
      <c r="AN2058">
        <v>0.99999998490997799</v>
      </c>
    </row>
    <row r="2059" spans="1:40" x14ac:dyDescent="0.25">
      <c r="A2059" t="str">
        <f>"20190305134940915"</f>
        <v>20190305134940915</v>
      </c>
      <c r="B2059" t="str">
        <f>"1551764980913039"</f>
        <v>1551764980913039</v>
      </c>
      <c r="C2059" t="s">
        <v>40</v>
      </c>
      <c r="D2059">
        <v>4.0756589999999999</v>
      </c>
      <c r="E2059">
        <v>0.57296380000000002</v>
      </c>
      <c r="F2059" t="s">
        <v>74</v>
      </c>
      <c r="G2059">
        <v>-247.5059</v>
      </c>
      <c r="H2059">
        <v>8.0000749999999995E-2</v>
      </c>
      <c r="I2059">
        <v>290.82659999999998</v>
      </c>
      <c r="J2059">
        <v>-207.02209999999999</v>
      </c>
      <c r="K2059">
        <v>1.1013189999999999</v>
      </c>
      <c r="L2059">
        <v>286.97469999999998</v>
      </c>
      <c r="M2059">
        <v>-0.99337710000000001</v>
      </c>
      <c r="N2059">
        <v>-2.3057059999999998E-3</v>
      </c>
      <c r="O2059">
        <v>-0.1148759</v>
      </c>
      <c r="P2059">
        <v>-0.99315739999999997</v>
      </c>
      <c r="Q2059">
        <v>-7.0582259999999994E-2</v>
      </c>
      <c r="R2059">
        <v>-9.304076E-2</v>
      </c>
      <c r="S2059">
        <v>-3.0445859999999998</v>
      </c>
      <c r="T2059">
        <v>-7.6332689999999995E-2</v>
      </c>
      <c r="U2059">
        <v>0.28652949999999999</v>
      </c>
      <c r="V2059">
        <v>2.0510219999999999E-2</v>
      </c>
      <c r="W2059">
        <v>-6.863851E-2</v>
      </c>
      <c r="X2059">
        <v>0.9974307</v>
      </c>
      <c r="Y2059">
        <v>0.20734749999999999</v>
      </c>
      <c r="Z2059">
        <v>5.4408499999999997E-3</v>
      </c>
      <c r="AA2059">
        <v>0.97825220000000002</v>
      </c>
      <c r="AB2059">
        <v>24</v>
      </c>
      <c r="AC2059">
        <v>-40.483800000000002</v>
      </c>
      <c r="AD2059">
        <v>-1.02131825</v>
      </c>
      <c r="AE2059">
        <v>3.8519000000000001</v>
      </c>
      <c r="AF2059">
        <v>8.4716820032072206</v>
      </c>
      <c r="AG2059">
        <v>-1.02131825</v>
      </c>
      <c r="AH2059">
        <v>39.748227510529397</v>
      </c>
      <c r="AI2059">
        <v>91.439553889499706</v>
      </c>
      <c r="AJ2059">
        <v>77.968372158289498</v>
      </c>
      <c r="AK2059">
        <v>40.653832256751102</v>
      </c>
      <c r="AL2059">
        <v>93.935791649944505</v>
      </c>
      <c r="AM2059">
        <v>88.8219898867235</v>
      </c>
      <c r="AN2059">
        <v>0.99999995774097805</v>
      </c>
    </row>
    <row r="2060" spans="1:40" x14ac:dyDescent="0.25">
      <c r="A2060" t="str">
        <f>"20190305134940939"</f>
        <v>20190305134940939</v>
      </c>
      <c r="B2060" t="str">
        <f>"1551764980932560"</f>
        <v>1551764980932560</v>
      </c>
      <c r="C2060" t="s">
        <v>40</v>
      </c>
      <c r="D2060">
        <v>3.9174850000000001</v>
      </c>
      <c r="E2060">
        <v>0.56910689999999997</v>
      </c>
      <c r="F2060" t="s">
        <v>74</v>
      </c>
      <c r="G2060">
        <v>-258.5018</v>
      </c>
      <c r="H2060">
        <v>8.0001039999999995E-2</v>
      </c>
      <c r="I2060">
        <v>291.8381</v>
      </c>
      <c r="J2060">
        <v>-207.28270000000001</v>
      </c>
      <c r="K2060">
        <v>1.1015809999999999</v>
      </c>
      <c r="L2060">
        <v>286.95659999999998</v>
      </c>
      <c r="M2060">
        <v>-0.99458999999999997</v>
      </c>
      <c r="N2060">
        <v>-2.0236690000000001E-3</v>
      </c>
      <c r="O2060">
        <v>-0.10385750000000001</v>
      </c>
      <c r="P2060">
        <v>-0.99363290000000004</v>
      </c>
      <c r="Q2060">
        <v>-6.8908269999999994E-2</v>
      </c>
      <c r="R2060">
        <v>-8.9136409999999999E-2</v>
      </c>
      <c r="S2060">
        <v>-3.043304</v>
      </c>
      <c r="T2060">
        <v>-6.0376880000000001E-2</v>
      </c>
      <c r="U2060">
        <v>0.28750609999999999</v>
      </c>
      <c r="V2060">
        <v>1.345725E-2</v>
      </c>
      <c r="W2060">
        <v>-6.7116170000000003E-2</v>
      </c>
      <c r="X2060">
        <v>0.99765440000000005</v>
      </c>
      <c r="Y2060">
        <v>0.1968829</v>
      </c>
      <c r="Z2060">
        <v>3.9938489999999998E-3</v>
      </c>
      <c r="AA2060">
        <v>0.98041889999999998</v>
      </c>
      <c r="AB2060">
        <v>24</v>
      </c>
      <c r="AC2060">
        <v>-51.219099999999997</v>
      </c>
      <c r="AD2060">
        <v>-1.02157996</v>
      </c>
      <c r="AE2060">
        <v>4.8815000000000097</v>
      </c>
      <c r="AF2060">
        <v>10.1705913104855</v>
      </c>
      <c r="AG2060">
        <v>-1.02157996</v>
      </c>
      <c r="AH2060">
        <v>50.415258621519101</v>
      </c>
      <c r="AI2060">
        <v>91.137924957465103</v>
      </c>
      <c r="AJ2060">
        <v>78.594439236965499</v>
      </c>
      <c r="AK2060">
        <v>51.441061955350897</v>
      </c>
      <c r="AL2060">
        <v>93.848366225677296</v>
      </c>
      <c r="AM2060">
        <v>89.227190427742599</v>
      </c>
      <c r="AN2060">
        <v>0.99999998984619498</v>
      </c>
    </row>
    <row r="2061" spans="1:40" x14ac:dyDescent="0.25">
      <c r="A2061" t="str">
        <f>"20190305134940960"</f>
        <v>20190305134940960</v>
      </c>
      <c r="B2061" t="str">
        <f>"1551764980953056"</f>
        <v>1551764980953056</v>
      </c>
      <c r="C2061" t="s">
        <v>40</v>
      </c>
      <c r="D2061">
        <v>4.1051919999999997</v>
      </c>
      <c r="E2061">
        <v>0.55700590000000005</v>
      </c>
      <c r="F2061" t="s">
        <v>77</v>
      </c>
      <c r="G2061">
        <v>-511.83969999999999</v>
      </c>
      <c r="H2061">
        <v>59.022469999999998</v>
      </c>
      <c r="I2061">
        <v>307.29199999999997</v>
      </c>
      <c r="J2061">
        <v>-207.53059999999999</v>
      </c>
      <c r="K2061">
        <v>1.10186299999999</v>
      </c>
      <c r="L2061">
        <v>286.94130000000001</v>
      </c>
      <c r="M2061">
        <v>-0.99556210000000001</v>
      </c>
      <c r="N2061">
        <v>-1.7770489999999999E-3</v>
      </c>
      <c r="O2061">
        <v>-9.4089790000000006E-2</v>
      </c>
      <c r="P2061">
        <v>-0.99393390000000004</v>
      </c>
      <c r="Q2061">
        <v>-6.8232619999999994E-2</v>
      </c>
      <c r="R2061">
        <v>-8.6254730000000002E-2</v>
      </c>
      <c r="S2061">
        <v>-3.0782470000000002</v>
      </c>
      <c r="T2061">
        <v>0.58542380000000005</v>
      </c>
      <c r="U2061">
        <v>0.20553589999999999</v>
      </c>
      <c r="V2061">
        <v>6.6202309999999999E-3</v>
      </c>
      <c r="W2061">
        <v>-6.6569829999999997E-2</v>
      </c>
      <c r="X2061">
        <v>0.99775979999999997</v>
      </c>
      <c r="Y2061">
        <v>0.15574079999999901</v>
      </c>
      <c r="Z2061">
        <v>-3.239773E-2</v>
      </c>
      <c r="AA2061">
        <v>0.98726650000000005</v>
      </c>
      <c r="AB2061">
        <v>25</v>
      </c>
      <c r="AC2061">
        <v>-304.3091</v>
      </c>
      <c r="AD2061">
        <v>57.920606999999997</v>
      </c>
      <c r="AE2061">
        <v>20.3507</v>
      </c>
      <c r="AF2061">
        <v>47.190856587768003</v>
      </c>
      <c r="AG2061">
        <v>57.920606999999997</v>
      </c>
      <c r="AH2061">
        <v>290.56477883455398</v>
      </c>
      <c r="AI2061">
        <v>78.868681397223199</v>
      </c>
      <c r="AJ2061">
        <v>80.775093431849001</v>
      </c>
      <c r="AK2061">
        <v>300.01610683413099</v>
      </c>
      <c r="AL2061">
        <v>93.816993066627901</v>
      </c>
      <c r="AM2061">
        <v>89.619842641965903</v>
      </c>
      <c r="AN2061">
        <v>0.99999999411038099</v>
      </c>
    </row>
    <row r="2062" spans="1:40" x14ac:dyDescent="0.25">
      <c r="A2062" t="str">
        <f>"20190305134940982"</f>
        <v>20190305134940982</v>
      </c>
      <c r="B2062" t="str">
        <f>"1551764980972579"</f>
        <v>1551764980972579</v>
      </c>
      <c r="C2062" t="s">
        <v>40</v>
      </c>
      <c r="D2062">
        <v>4.1359320000000004</v>
      </c>
      <c r="E2062">
        <v>0.55561289999999997</v>
      </c>
      <c r="F2062" t="s">
        <v>78</v>
      </c>
      <c r="G2062">
        <v>-309.98869999999999</v>
      </c>
      <c r="H2062">
        <v>4.5355279999999998E-2</v>
      </c>
      <c r="I2062">
        <v>292.99430000000001</v>
      </c>
      <c r="J2062">
        <v>-207.7764</v>
      </c>
      <c r="K2062">
        <v>1.102201</v>
      </c>
      <c r="L2062">
        <v>286.92779999999999</v>
      </c>
      <c r="M2062">
        <v>-0.99636729999999996</v>
      </c>
      <c r="N2062">
        <v>-1.5520149999999999E-3</v>
      </c>
      <c r="O2062">
        <v>-8.514497E-2</v>
      </c>
      <c r="P2062">
        <v>-0.99445399999999995</v>
      </c>
      <c r="Q2062">
        <v>-6.7554379999999997E-2</v>
      </c>
      <c r="R2062">
        <v>-8.0606709999999998E-2</v>
      </c>
      <c r="S2062">
        <v>-3.0317229999999999</v>
      </c>
      <c r="T2062">
        <v>-3.1261919999999999E-2</v>
      </c>
      <c r="U2062">
        <v>0.17910770000000001</v>
      </c>
      <c r="V2062">
        <v>3.3971280000000001E-3</v>
      </c>
      <c r="W2062">
        <v>-6.6062319999999994E-2</v>
      </c>
      <c r="X2062">
        <v>0.99780970000000002</v>
      </c>
      <c r="Y2062">
        <v>0.1437457</v>
      </c>
      <c r="Z2062">
        <v>1.59699E-3</v>
      </c>
      <c r="AA2062">
        <v>0.98961339999999998</v>
      </c>
      <c r="AB2062">
        <v>25</v>
      </c>
      <c r="AC2062">
        <v>-102.2123</v>
      </c>
      <c r="AD2062">
        <v>-1.0568457200000001</v>
      </c>
      <c r="AE2062">
        <v>6.0665000000000102</v>
      </c>
      <c r="AF2062">
        <v>14.745773222388401</v>
      </c>
      <c r="AG2062">
        <v>-1.0568457200000001</v>
      </c>
      <c r="AH2062">
        <v>101.313796576692</v>
      </c>
      <c r="AI2062">
        <v>90.591423141181593</v>
      </c>
      <c r="AJ2062">
        <v>81.719000552519105</v>
      </c>
      <c r="AK2062">
        <v>102.38671851165699</v>
      </c>
      <c r="AL2062">
        <v>93.787850771393806</v>
      </c>
      <c r="AM2062">
        <v>89.804932398602901</v>
      </c>
      <c r="AN2062">
        <v>0.99999998400825996</v>
      </c>
    </row>
    <row r="2063" spans="1:40" x14ac:dyDescent="0.25">
      <c r="A2063" t="str">
        <f>"20190305134941004"</f>
        <v>20190305134941004</v>
      </c>
      <c r="B2063" t="str">
        <f>"1551764980993071"</f>
        <v>1551764980993071</v>
      </c>
      <c r="C2063" t="s">
        <v>40</v>
      </c>
      <c r="D2063">
        <v>4.1162700000000001</v>
      </c>
      <c r="E2063">
        <v>0.55496749999999995</v>
      </c>
      <c r="F2063" t="s">
        <v>78</v>
      </c>
      <c r="G2063">
        <v>-285.41079999999999</v>
      </c>
      <c r="H2063">
        <v>8.0000139999999997E-2</v>
      </c>
      <c r="I2063">
        <v>291.69659999999999</v>
      </c>
      <c r="J2063">
        <v>-208.03389999999999</v>
      </c>
      <c r="K2063">
        <v>1.1026229999999999</v>
      </c>
      <c r="L2063">
        <v>286.9151</v>
      </c>
      <c r="M2063">
        <v>-0.99706130000000004</v>
      </c>
      <c r="N2063">
        <v>-1.3369429999999999E-3</v>
      </c>
      <c r="O2063">
        <v>-7.6596769999999995E-2</v>
      </c>
      <c r="P2063">
        <v>-0.99464870000000005</v>
      </c>
      <c r="Q2063">
        <v>-6.5993430000000006E-2</v>
      </c>
      <c r="R2063">
        <v>-7.9492350000000003E-2</v>
      </c>
      <c r="S2063">
        <v>-3.029083</v>
      </c>
      <c r="T2063">
        <v>-3.9883490000000001E-2</v>
      </c>
      <c r="U2063">
        <v>0.1860657</v>
      </c>
      <c r="V2063">
        <v>-3.9445359999999898E-3</v>
      </c>
      <c r="W2063">
        <v>-6.4612009999999998E-2</v>
      </c>
      <c r="X2063">
        <v>0.99790270000000003</v>
      </c>
      <c r="Y2063">
        <v>0.13756499999999999</v>
      </c>
      <c r="Z2063">
        <v>1.901883E-3</v>
      </c>
      <c r="AA2063">
        <v>0.99049089999999995</v>
      </c>
      <c r="AB2063">
        <v>25</v>
      </c>
      <c r="AC2063">
        <v>-77.376900000000006</v>
      </c>
      <c r="AD2063">
        <v>-1.02262285999999</v>
      </c>
      <c r="AE2063">
        <v>4.7814999999999896</v>
      </c>
      <c r="AF2063">
        <v>10.692417805464901</v>
      </c>
      <c r="AG2063">
        <v>-1.02262285999999</v>
      </c>
      <c r="AH2063">
        <v>76.7699721770786</v>
      </c>
      <c r="AI2063">
        <v>90.755874241762697</v>
      </c>
      <c r="AJ2063">
        <v>82.070929627909507</v>
      </c>
      <c r="AK2063">
        <v>77.517753992939205</v>
      </c>
      <c r="AL2063">
        <v>93.704575994316201</v>
      </c>
      <c r="AM2063">
        <v>90.226479082429606</v>
      </c>
      <c r="AN2063">
        <v>1.00000003493389</v>
      </c>
    </row>
    <row r="2064" spans="1:40" x14ac:dyDescent="0.25">
      <c r="A2064" t="str">
        <f>"20190305134941017"</f>
        <v>20190305134941017</v>
      </c>
      <c r="B2064" t="str">
        <f>"1551764981012591"</f>
        <v>1551764981012591</v>
      </c>
      <c r="C2064" t="s">
        <v>40</v>
      </c>
      <c r="D2064">
        <v>4.1632110000000004</v>
      </c>
      <c r="E2064">
        <v>0.55450219999999995</v>
      </c>
      <c r="F2064" t="s">
        <v>78</v>
      </c>
      <c r="G2064">
        <v>-287.58710000000002</v>
      </c>
      <c r="H2064">
        <v>8.0000100000000005E-2</v>
      </c>
      <c r="I2064">
        <v>291.77170000000001</v>
      </c>
      <c r="J2064">
        <v>-208.17670000000001</v>
      </c>
      <c r="K2064">
        <v>1.102881</v>
      </c>
      <c r="L2064">
        <v>286.90870000000001</v>
      </c>
      <c r="M2064">
        <v>-0.99738459999999995</v>
      </c>
      <c r="N2064">
        <v>-1.2277329999999999E-3</v>
      </c>
      <c r="O2064">
        <v>-7.2266479999999994E-2</v>
      </c>
      <c r="P2064">
        <v>-0.99477760000000004</v>
      </c>
      <c r="Q2064">
        <v>-6.5277089999999996E-2</v>
      </c>
      <c r="R2064">
        <v>-7.8462729999999994E-2</v>
      </c>
      <c r="S2064">
        <v>-3.0283660000000001</v>
      </c>
      <c r="T2064">
        <v>-3.892839E-2</v>
      </c>
      <c r="U2064">
        <v>0.1848755</v>
      </c>
      <c r="V2064">
        <v>-7.1914469999999897E-3</v>
      </c>
      <c r="W2064">
        <v>-6.3964839999999995E-2</v>
      </c>
      <c r="X2064">
        <v>0.99792619999999999</v>
      </c>
      <c r="Y2064">
        <v>0.1328906</v>
      </c>
      <c r="Z2064">
        <v>1.774264E-3</v>
      </c>
      <c r="AA2064">
        <v>0.99112909999999999</v>
      </c>
      <c r="AB2064">
        <v>25</v>
      </c>
      <c r="AC2064">
        <v>-79.410399999999996</v>
      </c>
      <c r="AD2064">
        <v>-1.0228809000000001</v>
      </c>
      <c r="AE2064">
        <v>4.8630000000000004</v>
      </c>
      <c r="AF2064">
        <v>10.587249357553601</v>
      </c>
      <c r="AG2064">
        <v>-1.0228809000000001</v>
      </c>
      <c r="AH2064">
        <v>78.838306021024096</v>
      </c>
      <c r="AI2064">
        <v>90.7367248916986</v>
      </c>
      <c r="AJ2064">
        <v>82.351469857046098</v>
      </c>
      <c r="AK2064">
        <v>79.552590344747699</v>
      </c>
      <c r="AL2064">
        <v>93.667419299202393</v>
      </c>
      <c r="AM2064">
        <v>90.412888677763704</v>
      </c>
      <c r="AN2064">
        <v>0.99999995915630802</v>
      </c>
    </row>
    <row r="2065" spans="1:40" x14ac:dyDescent="0.25">
      <c r="A2065" t="str">
        <f>"20190305134941039"</f>
        <v>20190305134941039</v>
      </c>
      <c r="B2065" t="str">
        <f>"1551764981033087"</f>
        <v>1551764981033087</v>
      </c>
      <c r="C2065" t="s">
        <v>40</v>
      </c>
      <c r="D2065">
        <v>4.1678300000000004</v>
      </c>
      <c r="E2065">
        <v>0.55415979999999998</v>
      </c>
      <c r="F2065" t="s">
        <v>74</v>
      </c>
      <c r="G2065">
        <v>-277.81810000000002</v>
      </c>
      <c r="H2065">
        <v>8.0000559999999998E-2</v>
      </c>
      <c r="I2065">
        <v>291.16570000000002</v>
      </c>
      <c r="J2065">
        <v>-208.43260000000001</v>
      </c>
      <c r="K2065">
        <v>1.1033770000000001</v>
      </c>
      <c r="L2065">
        <v>286.89800000000002</v>
      </c>
      <c r="M2065">
        <v>-0.99787309999999996</v>
      </c>
      <c r="N2065">
        <v>-1.0493010000000001E-3</v>
      </c>
      <c r="O2065">
        <v>-6.5178890000000003E-2</v>
      </c>
      <c r="P2065">
        <v>-0.99486640000000004</v>
      </c>
      <c r="Q2065">
        <v>-6.4275760000000001E-2</v>
      </c>
      <c r="R2065">
        <v>-7.8163499999999997E-2</v>
      </c>
      <c r="S2065">
        <v>-3.0274350000000001</v>
      </c>
      <c r="T2065">
        <v>-4.446638E-2</v>
      </c>
      <c r="U2065">
        <v>0.18505859999999999</v>
      </c>
      <c r="V2065">
        <v>-1.3886259999999999E-2</v>
      </c>
      <c r="W2065">
        <v>-6.3071769999999999E-2</v>
      </c>
      <c r="X2065">
        <v>0.99791240000000003</v>
      </c>
      <c r="Y2065">
        <v>0.12592049999999999</v>
      </c>
      <c r="Z2065">
        <v>1.877996E-3</v>
      </c>
      <c r="AA2065">
        <v>0.99203850000000005</v>
      </c>
      <c r="AB2065">
        <v>25</v>
      </c>
      <c r="AC2065">
        <v>-69.385499999999993</v>
      </c>
      <c r="AD2065">
        <v>-1.0233764400000001</v>
      </c>
      <c r="AE2065">
        <v>4.2677000000000396</v>
      </c>
      <c r="AF2065">
        <v>8.7791946384566693</v>
      </c>
      <c r="AG2065">
        <v>-1.0233764400000001</v>
      </c>
      <c r="AH2065">
        <v>68.944852578499393</v>
      </c>
      <c r="AI2065">
        <v>90.843591325775506</v>
      </c>
      <c r="AJ2065">
        <v>82.743211045343202</v>
      </c>
      <c r="AK2065">
        <v>69.509094763986596</v>
      </c>
      <c r="AL2065">
        <v>93.616146407002304</v>
      </c>
      <c r="AM2065">
        <v>90.797237055483805</v>
      </c>
      <c r="AN2065">
        <v>1.0000000172307399</v>
      </c>
    </row>
    <row r="2066" spans="1:40" x14ac:dyDescent="0.25">
      <c r="A2066" t="str">
        <f>"20190305134941052"</f>
        <v>20190305134941052</v>
      </c>
      <c r="B2066" t="str">
        <f>"1551764981042848"</f>
        <v>1551764981042848</v>
      </c>
      <c r="C2066" t="s">
        <v>40</v>
      </c>
      <c r="D2066">
        <v>4.2229599999999996</v>
      </c>
      <c r="E2066">
        <v>0.55415170000000002</v>
      </c>
      <c r="F2066" t="s">
        <v>74</v>
      </c>
      <c r="G2066">
        <v>-275.887</v>
      </c>
      <c r="H2066">
        <v>8.0000009999999996E-2</v>
      </c>
      <c r="I2066">
        <v>290.99880000000002</v>
      </c>
      <c r="J2066">
        <v>-208.5857</v>
      </c>
      <c r="K2066">
        <v>1.1036900000000001</v>
      </c>
      <c r="L2066">
        <v>286.89210000000003</v>
      </c>
      <c r="M2066">
        <v>-0.9981177</v>
      </c>
      <c r="N2066">
        <v>-9.5272620000000005E-4</v>
      </c>
      <c r="O2066">
        <v>-6.1319079999999998E-2</v>
      </c>
      <c r="P2066">
        <v>-0.99493399999999999</v>
      </c>
      <c r="Q2066">
        <v>-6.4072089999999998E-2</v>
      </c>
      <c r="R2066">
        <v>-7.7468519999999999E-2</v>
      </c>
      <c r="S2066">
        <v>-3.0269620000000002</v>
      </c>
      <c r="T2066">
        <v>-4.5923230000000002E-2</v>
      </c>
      <c r="U2066">
        <v>0.18402099999999999</v>
      </c>
      <c r="V2066">
        <v>-1.699691E-2</v>
      </c>
      <c r="W2066">
        <v>-6.2941010000000006E-2</v>
      </c>
      <c r="X2066">
        <v>0.99787250000000005</v>
      </c>
      <c r="Y2066">
        <v>0.12175279999999999</v>
      </c>
      <c r="Z2066">
        <v>1.8517469999999999E-3</v>
      </c>
      <c r="AA2066">
        <v>0.99255870000000002</v>
      </c>
      <c r="AB2066">
        <v>26</v>
      </c>
      <c r="AC2066">
        <v>-67.301299999999998</v>
      </c>
      <c r="AD2066">
        <v>-1.02368999</v>
      </c>
      <c r="AE2066">
        <v>4.1066999999999796</v>
      </c>
      <c r="AF2066">
        <v>8.2239323445360597</v>
      </c>
      <c r="AG2066">
        <v>-1.02368999</v>
      </c>
      <c r="AH2066">
        <v>66.907411737551996</v>
      </c>
      <c r="AI2066">
        <v>90.870016173708905</v>
      </c>
      <c r="AJ2066">
        <v>82.992630899465595</v>
      </c>
      <c r="AK2066">
        <v>67.418712163771303</v>
      </c>
      <c r="AL2066">
        <v>93.608639572505993</v>
      </c>
      <c r="AM2066">
        <v>90.9758331285922</v>
      </c>
      <c r="AN2066">
        <v>0.99999999597280897</v>
      </c>
    </row>
    <row r="2067" spans="1:40" x14ac:dyDescent="0.25">
      <c r="A2067" t="str">
        <f>"20190305134941068"</f>
        <v>20190305134941068</v>
      </c>
      <c r="B2067" t="str">
        <f>"1551764981062367"</f>
        <v>1551764981062367</v>
      </c>
      <c r="C2067" t="s">
        <v>40</v>
      </c>
      <c r="D2067">
        <v>3.9725980000000001</v>
      </c>
      <c r="E2067">
        <v>0.55394160000000003</v>
      </c>
      <c r="F2067" t="s">
        <v>74</v>
      </c>
      <c r="G2067">
        <v>-275.12459999999999</v>
      </c>
      <c r="H2067">
        <v>7.9999780000000006E-2</v>
      </c>
      <c r="I2067">
        <v>290.98649999999998</v>
      </c>
      <c r="J2067">
        <v>-208.7561</v>
      </c>
      <c r="K2067">
        <v>1.1040410000000001</v>
      </c>
      <c r="L2067">
        <v>286.88580000000002</v>
      </c>
      <c r="M2067">
        <v>-0.99834820000000002</v>
      </c>
      <c r="N2067">
        <v>-8.5551759999999996E-4</v>
      </c>
      <c r="O2067">
        <v>-5.7446610000000002E-2</v>
      </c>
      <c r="P2067">
        <v>-0.99499059999999995</v>
      </c>
      <c r="Q2067">
        <v>-6.3863359999999994E-2</v>
      </c>
      <c r="R2067">
        <v>-7.6911530000000006E-2</v>
      </c>
      <c r="S2067">
        <v>-3.026764</v>
      </c>
      <c r="T2067">
        <v>-4.6566249999999997E-2</v>
      </c>
      <c r="U2067">
        <v>0.18624879999999999</v>
      </c>
      <c r="V2067">
        <v>-2.0253030000000002E-2</v>
      </c>
      <c r="W2067">
        <v>-6.2810980000000002E-2</v>
      </c>
      <c r="X2067">
        <v>0.99781989999999998</v>
      </c>
      <c r="Y2067">
        <v>0.11863369999999999</v>
      </c>
      <c r="Z2067">
        <v>1.79631E-3</v>
      </c>
      <c r="AA2067">
        <v>0.99293640000000005</v>
      </c>
      <c r="AB2067">
        <v>26</v>
      </c>
      <c r="AC2067">
        <v>-66.368499999999898</v>
      </c>
      <c r="AD2067">
        <v>-1.02404122</v>
      </c>
      <c r="AE2067">
        <v>4.1006999999999598</v>
      </c>
      <c r="AF2067">
        <v>7.9047000565470196</v>
      </c>
      <c r="AG2067">
        <v>-1.02404122</v>
      </c>
      <c r="AH2067">
        <v>66.007671333002307</v>
      </c>
      <c r="AI2067">
        <v>90.882509328508803</v>
      </c>
      <c r="AJ2067">
        <v>83.171106793809301</v>
      </c>
      <c r="AK2067">
        <v>66.487183864334995</v>
      </c>
      <c r="AL2067">
        <v>93.601174694254794</v>
      </c>
      <c r="AM2067">
        <v>91.162788821133901</v>
      </c>
      <c r="AN2067">
        <v>0.99999997863437495</v>
      </c>
    </row>
    <row r="2068" spans="1:40" x14ac:dyDescent="0.25">
      <c r="A2068" t="str">
        <f>"20190305134941085"</f>
        <v>20190305134941085</v>
      </c>
      <c r="B2068" t="str">
        <f>"1551764981073104"</f>
        <v>1551764981073104</v>
      </c>
      <c r="C2068" t="s">
        <v>40</v>
      </c>
      <c r="D2068">
        <v>4.197946</v>
      </c>
      <c r="E2068">
        <v>0.55385509999999905</v>
      </c>
      <c r="F2068" t="s">
        <v>74</v>
      </c>
      <c r="G2068">
        <v>-270.79480000000001</v>
      </c>
      <c r="H2068">
        <v>7.9999979999999998E-2</v>
      </c>
      <c r="I2068">
        <v>290.71379999999999</v>
      </c>
      <c r="J2068">
        <v>-208.97210000000001</v>
      </c>
      <c r="K2068">
        <v>1.1044830000000001</v>
      </c>
      <c r="L2068">
        <v>286.87819999999999</v>
      </c>
      <c r="M2068">
        <v>-0.99858880000000005</v>
      </c>
      <c r="N2068">
        <v>-7.4697289999999905E-4</v>
      </c>
      <c r="O2068">
        <v>-5.3104680000000001E-2</v>
      </c>
      <c r="P2068">
        <v>-0.99485060000000003</v>
      </c>
      <c r="Q2068">
        <v>-6.3862749999999996E-2</v>
      </c>
      <c r="R2068">
        <v>-7.8702079999999994E-2</v>
      </c>
      <c r="S2068">
        <v>-3.0263520000000002</v>
      </c>
      <c r="T2068">
        <v>-4.9954409999999998E-2</v>
      </c>
      <c r="U2068">
        <v>0.18673709999999999</v>
      </c>
      <c r="V2068">
        <v>-2.6318910000000001E-2</v>
      </c>
      <c r="W2068">
        <v>-6.288639E-2</v>
      </c>
      <c r="X2068">
        <v>0.99767360000000005</v>
      </c>
      <c r="Y2068">
        <v>0.1144807</v>
      </c>
      <c r="Z2068">
        <v>1.8227790000000001E-3</v>
      </c>
      <c r="AA2068">
        <v>0.99342379999999997</v>
      </c>
      <c r="AB2068">
        <v>26</v>
      </c>
      <c r="AC2068">
        <v>-61.822699999999998</v>
      </c>
      <c r="AD2068">
        <v>-1.0244830199999999</v>
      </c>
      <c r="AE2068">
        <v>3.8355999999999999</v>
      </c>
      <c r="AF2068">
        <v>7.1113176352109901</v>
      </c>
      <c r="AG2068">
        <v>-1.0244830199999999</v>
      </c>
      <c r="AH2068">
        <v>61.514949030728097</v>
      </c>
      <c r="AI2068">
        <v>90.947816705669297</v>
      </c>
      <c r="AJ2068">
        <v>83.405702953847396</v>
      </c>
      <c r="AK2068">
        <v>61.933103896221901</v>
      </c>
      <c r="AL2068">
        <v>93.6055038591998</v>
      </c>
      <c r="AM2068">
        <v>91.511128292541699</v>
      </c>
      <c r="AN2068">
        <v>0.99999999760389002</v>
      </c>
    </row>
    <row r="2069" spans="1:40" x14ac:dyDescent="0.25">
      <c r="A2069" t="str">
        <f>"20190305134941106"</f>
        <v>20190305134941106</v>
      </c>
      <c r="B2069" t="str">
        <f>"1551764981102385"</f>
        <v>1551764981102385</v>
      </c>
      <c r="C2069" t="s">
        <v>40</v>
      </c>
      <c r="D2069">
        <v>4.2207470000000002</v>
      </c>
      <c r="E2069">
        <v>0.55347029999999997</v>
      </c>
      <c r="F2069" t="s">
        <v>74</v>
      </c>
      <c r="G2069">
        <v>-266.91079999999999</v>
      </c>
      <c r="H2069">
        <v>8.0000580000000002E-2</v>
      </c>
      <c r="I2069">
        <v>290.34449999999998</v>
      </c>
      <c r="J2069">
        <v>-209.2131</v>
      </c>
      <c r="K2069">
        <v>1.1049869999999999</v>
      </c>
      <c r="L2069">
        <v>286.87009999999998</v>
      </c>
      <c r="M2069">
        <v>-0.99879969999999996</v>
      </c>
      <c r="N2069">
        <v>-6.4390529999999995E-4</v>
      </c>
      <c r="O2069">
        <v>-4.8975989999999997E-2</v>
      </c>
      <c r="P2069">
        <v>-0.99462099999999998</v>
      </c>
      <c r="Q2069">
        <v>-6.4801579999999998E-2</v>
      </c>
      <c r="R2069">
        <v>-8.0807219999999999E-2</v>
      </c>
      <c r="S2069">
        <v>-3.0264129999999998</v>
      </c>
      <c r="T2069">
        <v>-5.3513650000000003E-2</v>
      </c>
      <c r="U2069">
        <v>0.18106079999999999</v>
      </c>
      <c r="V2069">
        <v>-3.2486439999999998E-2</v>
      </c>
      <c r="W2069">
        <v>-6.3913319999999996E-2</v>
      </c>
      <c r="X2069">
        <v>0.99742660000000005</v>
      </c>
      <c r="Y2069">
        <v>0.10851239999999999</v>
      </c>
      <c r="Z2069">
        <v>1.8271229999999999E-3</v>
      </c>
      <c r="AA2069">
        <v>0.99409340000000002</v>
      </c>
      <c r="AB2069">
        <v>26</v>
      </c>
      <c r="AC2069">
        <v>-57.697699999999998</v>
      </c>
      <c r="AD2069">
        <v>-1.0249864200000001</v>
      </c>
      <c r="AE2069">
        <v>3.4744000000000002</v>
      </c>
      <c r="AF2069">
        <v>6.2940541211318699</v>
      </c>
      <c r="AG2069">
        <v>-1.0249864200000001</v>
      </c>
      <c r="AH2069">
        <v>57.440236069357098</v>
      </c>
      <c r="AI2069">
        <v>91.016218886004197</v>
      </c>
      <c r="AJ2069">
        <v>83.746722529473701</v>
      </c>
      <c r="AK2069">
        <v>57.793134835760497</v>
      </c>
      <c r="AL2069">
        <v>93.664461027977097</v>
      </c>
      <c r="AM2069">
        <v>91.865478763291094</v>
      </c>
      <c r="AN2069">
        <v>1.0000000518224199</v>
      </c>
    </row>
    <row r="2070" spans="1:40" x14ac:dyDescent="0.25">
      <c r="A2070" t="str">
        <f>"20190305134941118"</f>
        <v>20190305134941118</v>
      </c>
      <c r="B2070" t="str">
        <f>"1551764981113119"</f>
        <v>1551764981113119</v>
      </c>
      <c r="C2070" t="s">
        <v>40</v>
      </c>
      <c r="D2070">
        <v>4.2072240000000001</v>
      </c>
      <c r="E2070">
        <v>0.55347979999999997</v>
      </c>
      <c r="F2070" t="s">
        <v>74</v>
      </c>
      <c r="G2070">
        <v>-259.46460000000002</v>
      </c>
      <c r="H2070">
        <v>8.0001320000000001E-2</v>
      </c>
      <c r="I2070">
        <v>289.72980000000001</v>
      </c>
      <c r="J2070">
        <v>-209.36439999999999</v>
      </c>
      <c r="K2070">
        <v>1.1053010000000001</v>
      </c>
      <c r="L2070">
        <v>286.86520000000002</v>
      </c>
      <c r="M2070">
        <v>-0.99890380000000001</v>
      </c>
      <c r="N2070">
        <v>-5.8884309999999995E-4</v>
      </c>
      <c r="O2070">
        <v>-4.680807E-2</v>
      </c>
      <c r="P2070">
        <v>-0.99453159999999896</v>
      </c>
      <c r="Q2070">
        <v>-6.5553929999999996E-2</v>
      </c>
      <c r="R2070">
        <v>-8.1299280000000002E-2</v>
      </c>
      <c r="S2070">
        <v>-3.0261990000000001</v>
      </c>
      <c r="T2070">
        <v>-6.1725740000000001E-2</v>
      </c>
      <c r="U2070">
        <v>0.17221069999999999</v>
      </c>
      <c r="V2070">
        <v>-3.5101279999999999E-2</v>
      </c>
      <c r="W2070">
        <v>-6.4728069999999999E-2</v>
      </c>
      <c r="X2070">
        <v>0.99728539999999999</v>
      </c>
      <c r="Y2070">
        <v>0.10345360000000001</v>
      </c>
      <c r="Z2070">
        <v>2.0110010000000001E-3</v>
      </c>
      <c r="AA2070">
        <v>0.99463219999999997</v>
      </c>
      <c r="AB2070">
        <v>26</v>
      </c>
      <c r="AC2070">
        <v>-50.100200000000001</v>
      </c>
      <c r="AD2070">
        <v>-1.02529968</v>
      </c>
      <c r="AE2070">
        <v>2.86459999999999</v>
      </c>
      <c r="AF2070">
        <v>5.2043814495614296</v>
      </c>
      <c r="AG2070">
        <v>-1.02529968</v>
      </c>
      <c r="AH2070">
        <v>49.890372055632596</v>
      </c>
      <c r="AI2070">
        <v>91.170970703143794</v>
      </c>
      <c r="AJ2070">
        <v>84.044652984815798</v>
      </c>
      <c r="AK2070">
        <v>50.171566146132903</v>
      </c>
      <c r="AL2070">
        <v>93.7112398361364</v>
      </c>
      <c r="AM2070">
        <v>92.015797415827393</v>
      </c>
      <c r="AN2070">
        <v>0.99999999597836098</v>
      </c>
    </row>
    <row r="2071" spans="1:40" x14ac:dyDescent="0.25">
      <c r="A2071" t="str">
        <f>"20190305134941130"</f>
        <v>20190305134941130</v>
      </c>
      <c r="B2071" t="str">
        <f>"1551764981122881"</f>
        <v>1551764981122881</v>
      </c>
      <c r="C2071" t="s">
        <v>40</v>
      </c>
      <c r="D2071">
        <v>4.214448</v>
      </c>
      <c r="E2071">
        <v>0.55327649999999995</v>
      </c>
      <c r="F2071" t="s">
        <v>74</v>
      </c>
      <c r="G2071">
        <v>-258.99919999999997</v>
      </c>
      <c r="H2071">
        <v>8.000119E-2</v>
      </c>
      <c r="I2071">
        <v>289.6671</v>
      </c>
      <c r="J2071">
        <v>-209.5205</v>
      </c>
      <c r="K2071">
        <v>1.105626</v>
      </c>
      <c r="L2071">
        <v>286.86009999999999</v>
      </c>
      <c r="M2071">
        <v>-0.99899669999999896</v>
      </c>
      <c r="N2071">
        <v>-5.3721759999999998E-4</v>
      </c>
      <c r="O2071">
        <v>-4.4783900000000001E-2</v>
      </c>
      <c r="P2071">
        <v>-0.99442569999999997</v>
      </c>
      <c r="Q2071">
        <v>-6.626754E-2</v>
      </c>
      <c r="R2071">
        <v>-8.2015039999999997E-2</v>
      </c>
      <c r="S2071">
        <v>-3.0263520000000002</v>
      </c>
      <c r="T2071">
        <v>-6.2514899999999998E-2</v>
      </c>
      <c r="U2071">
        <v>0.1708374</v>
      </c>
      <c r="V2071">
        <v>-3.7794130000000002E-2</v>
      </c>
      <c r="W2071">
        <v>-6.5505300000000002E-2</v>
      </c>
      <c r="X2071">
        <v>0.99713620000000003</v>
      </c>
      <c r="Y2071">
        <v>0.1009853</v>
      </c>
      <c r="Z2071">
        <v>1.969513E-3</v>
      </c>
      <c r="AA2071">
        <v>0.99488600000000005</v>
      </c>
      <c r="AB2071">
        <v>26</v>
      </c>
      <c r="AC2071">
        <v>-49.478699999999897</v>
      </c>
      <c r="AD2071">
        <v>-1.0256248100000001</v>
      </c>
      <c r="AE2071">
        <v>2.8070000000000102</v>
      </c>
      <c r="AF2071">
        <v>5.01788373482223</v>
      </c>
      <c r="AG2071">
        <v>-1.0256248100000001</v>
      </c>
      <c r="AH2071">
        <v>49.282242073846902</v>
      </c>
      <c r="AI2071">
        <v>91.186093799084205</v>
      </c>
      <c r="AJ2071">
        <v>84.186219014608199</v>
      </c>
      <c r="AK2071">
        <v>49.547658342774703</v>
      </c>
      <c r="AL2071">
        <v>93.755866643443198</v>
      </c>
      <c r="AM2071">
        <v>92.1706242978766</v>
      </c>
      <c r="AN2071">
        <v>0.99999997097049298</v>
      </c>
    </row>
    <row r="2072" spans="1:40" x14ac:dyDescent="0.25">
      <c r="A2072" t="str">
        <f>"20190305134941143"</f>
        <v>20190305134941143</v>
      </c>
      <c r="B2072" t="str">
        <f>"1551764981132640"</f>
        <v>1551764981132640</v>
      </c>
      <c r="C2072" t="s">
        <v>40</v>
      </c>
      <c r="D2072">
        <v>4.210464</v>
      </c>
      <c r="E2072">
        <v>0.55322090000000002</v>
      </c>
      <c r="F2072" t="s">
        <v>74</v>
      </c>
      <c r="G2072">
        <v>-259.3134</v>
      </c>
      <c r="H2072">
        <v>2.8796770000000002E-3</v>
      </c>
      <c r="I2072">
        <v>289.61630000000002</v>
      </c>
      <c r="J2072">
        <v>-209.6729</v>
      </c>
      <c r="K2072">
        <v>1.1059349999999999</v>
      </c>
      <c r="L2072">
        <v>286.85520000000002</v>
      </c>
      <c r="M2072">
        <v>-0.99906609999999996</v>
      </c>
      <c r="N2072">
        <v>-4.947714E-4</v>
      </c>
      <c r="O2072">
        <v>-4.3207019999999999E-2</v>
      </c>
      <c r="P2072">
        <v>-0.99427909999999997</v>
      </c>
      <c r="Q2072">
        <v>-6.6914979999999999E-2</v>
      </c>
      <c r="R2072">
        <v>-8.3254759999999997E-2</v>
      </c>
      <c r="S2072">
        <v>-3.0261840000000002</v>
      </c>
      <c r="T2072">
        <v>-6.7019819999999994E-2</v>
      </c>
      <c r="U2072">
        <v>0.16751099999999999</v>
      </c>
      <c r="V2072">
        <v>-4.0565039999999997E-2</v>
      </c>
      <c r="W2072">
        <v>-6.6210030000000003E-2</v>
      </c>
      <c r="X2072">
        <v>0.9969808</v>
      </c>
      <c r="Y2072">
        <v>9.8323949999999993E-2</v>
      </c>
      <c r="Z2072">
        <v>2.046899E-3</v>
      </c>
      <c r="AA2072">
        <v>0.99515240000000005</v>
      </c>
      <c r="AB2072">
        <v>27</v>
      </c>
      <c r="AC2072">
        <v>-49.640500000000003</v>
      </c>
      <c r="AD2072">
        <v>-1.103055323</v>
      </c>
      <c r="AE2072">
        <v>2.7610999999999901</v>
      </c>
      <c r="AF2072">
        <v>4.9009272304340303</v>
      </c>
      <c r="AG2072">
        <v>-1.103055323</v>
      </c>
      <c r="AH2072">
        <v>49.450502113317597</v>
      </c>
      <c r="AI2072">
        <v>91.271614346531805</v>
      </c>
      <c r="AJ2072">
        <v>84.340028204426005</v>
      </c>
      <c r="AK2072">
        <v>49.705009586789501</v>
      </c>
      <c r="AL2072">
        <v>93.796332428556894</v>
      </c>
      <c r="AM2072">
        <v>92.329958894961393</v>
      </c>
      <c r="AN2072">
        <v>1.0000000030557199</v>
      </c>
    </row>
    <row r="2073" spans="1:40" x14ac:dyDescent="0.25">
      <c r="A2073" t="str">
        <f>"20190305134941161"</f>
        <v>20190305134941161</v>
      </c>
      <c r="B2073" t="str">
        <f>"1551764981152159"</f>
        <v>1551764981152159</v>
      </c>
      <c r="C2073" t="s">
        <v>40</v>
      </c>
      <c r="D2073">
        <v>4.232513</v>
      </c>
      <c r="E2073">
        <v>0.55305159999999998</v>
      </c>
      <c r="F2073" t="s">
        <v>74</v>
      </c>
      <c r="G2073">
        <v>-256.95240000000001</v>
      </c>
      <c r="H2073" s="1">
        <v>2.162921E-6</v>
      </c>
      <c r="I2073">
        <v>289.40789999999998</v>
      </c>
      <c r="J2073">
        <v>-209.89410000000001</v>
      </c>
      <c r="K2073">
        <v>1.1063750000000001</v>
      </c>
      <c r="L2073">
        <v>286.84789999999998</v>
      </c>
      <c r="M2073">
        <v>-0.99914610000000004</v>
      </c>
      <c r="N2073">
        <v>-4.4096469999999998E-4</v>
      </c>
      <c r="O2073">
        <v>-4.1315709999999999E-2</v>
      </c>
      <c r="P2073">
        <v>-0.99407009999999996</v>
      </c>
      <c r="Q2073">
        <v>-6.6703440000000003E-2</v>
      </c>
      <c r="R2073">
        <v>-8.5879590000000006E-2</v>
      </c>
      <c r="S2073">
        <v>-3.0261840000000002</v>
      </c>
      <c r="T2073">
        <v>-7.0786600000000005E-2</v>
      </c>
      <c r="U2073">
        <v>0.16339110000000001</v>
      </c>
      <c r="V2073">
        <v>-4.5009979999999998E-2</v>
      </c>
      <c r="W2073">
        <v>-6.6077750000000005E-2</v>
      </c>
      <c r="X2073">
        <v>0.99679879999999998</v>
      </c>
      <c r="Y2073">
        <v>9.5086229999999994E-2</v>
      </c>
      <c r="Z2073">
        <v>2.0795779999999999E-3</v>
      </c>
      <c r="AA2073">
        <v>0.99546690000000004</v>
      </c>
      <c r="AB2073">
        <v>27</v>
      </c>
      <c r="AC2073">
        <v>-47.058300000000003</v>
      </c>
      <c r="AD2073">
        <v>-1.106372837079</v>
      </c>
      <c r="AE2073">
        <v>2.56</v>
      </c>
      <c r="AF2073">
        <v>4.4995814635662601</v>
      </c>
      <c r="AG2073">
        <v>-1.106372837079</v>
      </c>
      <c r="AH2073">
        <v>46.886510492520998</v>
      </c>
      <c r="AI2073">
        <v>91.345568005639393</v>
      </c>
      <c r="AJ2073">
        <v>84.518254345196098</v>
      </c>
      <c r="AK2073">
        <v>47.114914415365099</v>
      </c>
      <c r="AL2073">
        <v>93.788736692044395</v>
      </c>
      <c r="AM2073">
        <v>92.5854077171022</v>
      </c>
      <c r="AN2073">
        <v>1.00000000751305</v>
      </c>
    </row>
    <row r="2074" spans="1:40" x14ac:dyDescent="0.25">
      <c r="A2074" t="str">
        <f>"20190305134941183"</f>
        <v>20190305134941183</v>
      </c>
      <c r="B2074" t="str">
        <f>"1551764981172659"</f>
        <v>1551764981172659</v>
      </c>
      <c r="C2074" t="s">
        <v>40</v>
      </c>
      <c r="D2074">
        <v>4.2192959999999999</v>
      </c>
      <c r="E2074">
        <v>0.55293169999999903</v>
      </c>
      <c r="F2074" t="s">
        <v>74</v>
      </c>
      <c r="G2074">
        <v>-255.2955</v>
      </c>
      <c r="H2074" s="1">
        <v>1.2811999999999999E-6</v>
      </c>
      <c r="I2074">
        <v>289.1696</v>
      </c>
      <c r="J2074">
        <v>-210.15090000000001</v>
      </c>
      <c r="K2074">
        <v>1.106873</v>
      </c>
      <c r="L2074">
        <v>286.83940000000001</v>
      </c>
      <c r="M2074">
        <v>-0.99920940000000003</v>
      </c>
      <c r="N2074">
        <v>-3.901833E-4</v>
      </c>
      <c r="O2074">
        <v>-3.975563E-2</v>
      </c>
      <c r="P2074">
        <v>-0.99387740000000002</v>
      </c>
      <c r="Q2074">
        <v>-6.58445E-2</v>
      </c>
      <c r="R2074">
        <v>-8.872621E-2</v>
      </c>
      <c r="S2074">
        <v>-3.0263059999999999</v>
      </c>
      <c r="T2074">
        <v>-7.3747279999999998E-2</v>
      </c>
      <c r="U2074">
        <v>0.15475459999999999</v>
      </c>
      <c r="V2074">
        <v>-4.9336900000000003E-2</v>
      </c>
      <c r="W2074">
        <v>-6.5310430000000003E-2</v>
      </c>
      <c r="X2074">
        <v>0.99664459999999999</v>
      </c>
      <c r="Y2074">
        <v>9.0694460000000005E-2</v>
      </c>
      <c r="Z2074">
        <v>2.074453E-3</v>
      </c>
      <c r="AA2074">
        <v>0.9958766</v>
      </c>
      <c r="AB2074">
        <v>27</v>
      </c>
      <c r="AC2074">
        <v>-45.144599999999997</v>
      </c>
      <c r="AD2074">
        <v>-1.1068717187999999</v>
      </c>
      <c r="AE2074">
        <v>2.3301999999999898</v>
      </c>
      <c r="AF2074">
        <v>4.1206393507891397</v>
      </c>
      <c r="AG2074">
        <v>-1.1068717187999999</v>
      </c>
      <c r="AH2074">
        <v>44.989298109994898</v>
      </c>
      <c r="AI2074">
        <v>91.403491471717402</v>
      </c>
      <c r="AJ2074">
        <v>84.766792215388705</v>
      </c>
      <c r="AK2074">
        <v>45.191169248993099</v>
      </c>
      <c r="AL2074">
        <v>93.744677269027605</v>
      </c>
      <c r="AM2074">
        <v>92.833999670071805</v>
      </c>
      <c r="AN2074">
        <v>1.00000002033877</v>
      </c>
    </row>
    <row r="2075" spans="1:40" x14ac:dyDescent="0.25">
      <c r="A2075" t="str">
        <f>"20190305134941198"</f>
        <v>20190305134941198</v>
      </c>
      <c r="B2075" t="str">
        <f>"1551764981193152"</f>
        <v>1551764981193152</v>
      </c>
      <c r="C2075" t="s">
        <v>40</v>
      </c>
      <c r="D2075">
        <v>4.2204459999999999</v>
      </c>
      <c r="E2075">
        <v>0.55275220000000003</v>
      </c>
      <c r="F2075" t="s">
        <v>74</v>
      </c>
      <c r="G2075">
        <v>-256.0471</v>
      </c>
      <c r="H2075" s="1">
        <v>1.681197E-6</v>
      </c>
      <c r="I2075">
        <v>289.04270000000002</v>
      </c>
      <c r="J2075">
        <v>-210.31800000000001</v>
      </c>
      <c r="K2075">
        <v>1.107178</v>
      </c>
      <c r="L2075">
        <v>286.83370000000002</v>
      </c>
      <c r="M2075">
        <v>-0.99923530000000005</v>
      </c>
      <c r="N2075">
        <v>-3.6339279999999998E-4</v>
      </c>
      <c r="O2075">
        <v>-3.9101780000000003E-2</v>
      </c>
      <c r="P2075">
        <v>-0.99373319999999998</v>
      </c>
      <c r="Q2075">
        <v>-6.5739539999999999E-2</v>
      </c>
      <c r="R2075">
        <v>-9.0404380000000006E-2</v>
      </c>
      <c r="S2075">
        <v>-3.0266109999999999</v>
      </c>
      <c r="T2075">
        <v>-7.2992210000000002E-2</v>
      </c>
      <c r="U2075">
        <v>0.14529420000000001</v>
      </c>
      <c r="V2075">
        <v>-5.1622340000000003E-2</v>
      </c>
      <c r="W2075">
        <v>-6.5263760000000004E-2</v>
      </c>
      <c r="X2075">
        <v>0.99653190000000003</v>
      </c>
      <c r="Y2075">
        <v>8.6933849999999993E-2</v>
      </c>
      <c r="Z2075">
        <v>1.9915079999999999E-3</v>
      </c>
      <c r="AA2075">
        <v>0.99621210000000004</v>
      </c>
      <c r="AB2075">
        <v>27</v>
      </c>
      <c r="AC2075">
        <v>-45.729100000000003</v>
      </c>
      <c r="AD2075">
        <v>-1.1071763188029999</v>
      </c>
      <c r="AE2075">
        <v>2.2090000000000001</v>
      </c>
      <c r="AF2075">
        <v>3.9930644196830301</v>
      </c>
      <c r="AG2075">
        <v>-1.1071763188029999</v>
      </c>
      <c r="AH2075">
        <v>45.581094486937303</v>
      </c>
      <c r="AI2075">
        <v>91.386148699965105</v>
      </c>
      <c r="AJ2075">
        <v>84.993469141224097</v>
      </c>
      <c r="AK2075">
        <v>45.769056987093002</v>
      </c>
      <c r="AL2075">
        <v>93.741997536593701</v>
      </c>
      <c r="AM2075">
        <v>92.965385066269803</v>
      </c>
      <c r="AN2075">
        <v>1.0000000260370101</v>
      </c>
    </row>
    <row r="2076" spans="1:40" x14ac:dyDescent="0.25">
      <c r="A2076" t="str">
        <f>"20190305134941212"</f>
        <v>20190305134941212</v>
      </c>
      <c r="B2076" t="str">
        <f>"1551764981202912"</f>
        <v>1551764981202912</v>
      </c>
      <c r="C2076" t="s">
        <v>40</v>
      </c>
      <c r="D2076">
        <v>4.2326709999999999</v>
      </c>
      <c r="E2076">
        <v>0.55264290000000005</v>
      </c>
      <c r="F2076" t="s">
        <v>74</v>
      </c>
      <c r="G2076">
        <v>-255.9546</v>
      </c>
      <c r="H2076" s="1">
        <v>1.6319349999999999E-6</v>
      </c>
      <c r="I2076">
        <v>288.92320000000001</v>
      </c>
      <c r="J2076">
        <v>-210.50630000000001</v>
      </c>
      <c r="K2076">
        <v>1.107499</v>
      </c>
      <c r="L2076">
        <v>286.82709999999997</v>
      </c>
      <c r="M2076">
        <v>-0.99925299999999995</v>
      </c>
      <c r="N2076">
        <v>-3.3783339999999998E-4</v>
      </c>
      <c r="O2076">
        <v>-3.8645680000000002E-2</v>
      </c>
      <c r="P2076">
        <v>-0.99353999999999998</v>
      </c>
      <c r="Q2076">
        <v>-6.6036629999999999E-2</v>
      </c>
      <c r="R2076">
        <v>-9.229039E-2</v>
      </c>
      <c r="S2076">
        <v>-3.026688</v>
      </c>
      <c r="T2076">
        <v>-7.3429579999999994E-2</v>
      </c>
      <c r="U2076">
        <v>0.13858029999999999</v>
      </c>
      <c r="V2076">
        <v>-5.3917479999999997E-2</v>
      </c>
      <c r="W2076">
        <v>-6.5624920000000003E-2</v>
      </c>
      <c r="X2076">
        <v>0.99638660000000001</v>
      </c>
      <c r="Y2076">
        <v>8.4273150000000005E-2</v>
      </c>
      <c r="Z2076">
        <v>1.959751E-3</v>
      </c>
      <c r="AA2076">
        <v>0.99644080000000002</v>
      </c>
      <c r="AB2076">
        <v>27</v>
      </c>
      <c r="AC2076">
        <v>-45.448299999999897</v>
      </c>
      <c r="AD2076">
        <v>-1.107497368065</v>
      </c>
      <c r="AE2076">
        <v>2.0961000000000301</v>
      </c>
      <c r="AF2076">
        <v>3.8486340616971799</v>
      </c>
      <c r="AG2076">
        <v>-1.107497368065</v>
      </c>
      <c r="AH2076">
        <v>45.306497346254403</v>
      </c>
      <c r="AI2076">
        <v>91.395268192545998</v>
      </c>
      <c r="AJ2076">
        <v>85.144573293069499</v>
      </c>
      <c r="AK2076">
        <v>45.4831533245803</v>
      </c>
      <c r="AL2076">
        <v>93.762735069382998</v>
      </c>
      <c r="AM2076">
        <v>93.097426245904103</v>
      </c>
      <c r="AN2076">
        <v>0.99999999071705803</v>
      </c>
    </row>
    <row r="2077" spans="1:40" x14ac:dyDescent="0.25">
      <c r="A2077" t="str">
        <f>"20190305134941228"</f>
        <v>20190305134941228</v>
      </c>
      <c r="B2077" t="str">
        <f>"1551764981222432"</f>
        <v>1551764981222432</v>
      </c>
      <c r="C2077" t="s">
        <v>40</v>
      </c>
      <c r="D2077">
        <v>4.2642150000000001</v>
      </c>
      <c r="E2077">
        <v>0.55238849999999995</v>
      </c>
      <c r="F2077" t="s">
        <v>74</v>
      </c>
      <c r="G2077">
        <v>-255.25630000000001</v>
      </c>
      <c r="H2077" s="1">
        <v>1.2603400000000001E-6</v>
      </c>
      <c r="I2077">
        <v>288.77859999999998</v>
      </c>
      <c r="J2077">
        <v>-210.70859999999999</v>
      </c>
      <c r="K2077">
        <v>1.1078250000000001</v>
      </c>
      <c r="L2077">
        <v>286.81979999999999</v>
      </c>
      <c r="M2077">
        <v>-0.99925739999999996</v>
      </c>
      <c r="N2077">
        <v>-3.163374E-4</v>
      </c>
      <c r="O2077">
        <v>-3.8533699999999997E-2</v>
      </c>
      <c r="P2077">
        <v>-0.99297210000000002</v>
      </c>
      <c r="Q2077">
        <v>-6.8462599999999998E-2</v>
      </c>
      <c r="R2077">
        <v>-9.6538680000000002E-2</v>
      </c>
      <c r="S2077">
        <v>-3.0267789999999999</v>
      </c>
      <c r="T2077">
        <v>-7.4908489999999994E-2</v>
      </c>
      <c r="U2077">
        <v>0.13198850000000001</v>
      </c>
      <c r="V2077">
        <v>-5.8241679999999997E-2</v>
      </c>
      <c r="W2077">
        <v>-6.8115090000000003E-2</v>
      </c>
      <c r="X2077">
        <v>0.99597599999999997</v>
      </c>
      <c r="Y2077">
        <v>8.1993419999999997E-2</v>
      </c>
      <c r="Z2077">
        <v>1.9678479999999999E-3</v>
      </c>
      <c r="AA2077">
        <v>0.99663089999999999</v>
      </c>
      <c r="AB2077">
        <v>27</v>
      </c>
      <c r="AC2077">
        <v>-44.547699999999999</v>
      </c>
      <c r="AD2077">
        <v>-1.1078237396599999</v>
      </c>
      <c r="AE2077">
        <v>1.9587999999999901</v>
      </c>
      <c r="AF2077">
        <v>3.6716664517490099</v>
      </c>
      <c r="AG2077">
        <v>-1.1078237396599999</v>
      </c>
      <c r="AH2077">
        <v>44.411722123864699</v>
      </c>
      <c r="AI2077">
        <v>91.424056164357793</v>
      </c>
      <c r="AJ2077">
        <v>85.273913052129899</v>
      </c>
      <c r="AK2077">
        <v>44.577006067909402</v>
      </c>
      <c r="AL2077">
        <v>93.905731467599196</v>
      </c>
      <c r="AM2077">
        <v>93.346673563596198</v>
      </c>
      <c r="AN2077">
        <v>0.99999997567546495</v>
      </c>
    </row>
    <row r="2078" spans="1:40" x14ac:dyDescent="0.25">
      <c r="A2078" t="str">
        <f>"20190305134941240"</f>
        <v>20190305134941240</v>
      </c>
      <c r="B2078" t="str">
        <f>"1551764981233169"</f>
        <v>1551764981233169</v>
      </c>
      <c r="C2078" t="s">
        <v>40</v>
      </c>
      <c r="D2078">
        <v>4.2491640000000004</v>
      </c>
      <c r="E2078">
        <v>0.55228849999999996</v>
      </c>
      <c r="F2078" t="s">
        <v>74</v>
      </c>
      <c r="G2078">
        <v>-250.4992</v>
      </c>
      <c r="H2078" s="1">
        <v>-1.2711199999999999E-6</v>
      </c>
      <c r="I2078">
        <v>288.36149999999998</v>
      </c>
      <c r="J2078">
        <v>-210.85830000000001</v>
      </c>
      <c r="K2078">
        <v>1.1080620000000001</v>
      </c>
      <c r="L2078">
        <v>286.8141</v>
      </c>
      <c r="M2078">
        <v>-0.99925010000000003</v>
      </c>
      <c r="N2078">
        <v>-3.0419909999999999E-4</v>
      </c>
      <c r="O2078">
        <v>-3.8723970000000003E-2</v>
      </c>
      <c r="P2078">
        <v>-0.99266310000000002</v>
      </c>
      <c r="Q2078">
        <v>-6.9581539999999997E-2</v>
      </c>
      <c r="R2078">
        <v>-9.8886829999999995E-2</v>
      </c>
      <c r="S2078">
        <v>-3.0268250000000001</v>
      </c>
      <c r="T2078">
        <v>-8.4271070000000003E-2</v>
      </c>
      <c r="U2078">
        <v>0.1172791</v>
      </c>
      <c r="V2078">
        <v>-6.0370970000000003E-2</v>
      </c>
      <c r="W2078">
        <v>-6.9280030000000006E-2</v>
      </c>
      <c r="X2078">
        <v>0.99576880000000001</v>
      </c>
      <c r="Y2078">
        <v>7.7338480000000001E-2</v>
      </c>
      <c r="Z2078">
        <v>2.1535069999999998E-3</v>
      </c>
      <c r="AA2078">
        <v>0.99700250000000001</v>
      </c>
      <c r="AB2078">
        <v>27</v>
      </c>
      <c r="AC2078">
        <v>-39.640899999999903</v>
      </c>
      <c r="AD2078">
        <v>-1.10806327112</v>
      </c>
      <c r="AE2078">
        <v>1.5473999999999799</v>
      </c>
      <c r="AF2078">
        <v>3.07889014101228</v>
      </c>
      <c r="AG2078">
        <v>-1.10806327112</v>
      </c>
      <c r="AH2078">
        <v>39.5204136781255</v>
      </c>
      <c r="AI2078">
        <v>91.601174496862598</v>
      </c>
      <c r="AJ2078">
        <v>85.545294370167198</v>
      </c>
      <c r="AK2078">
        <v>39.655648601471597</v>
      </c>
      <c r="AL2078">
        <v>93.972635820208893</v>
      </c>
      <c r="AM2078">
        <v>93.469452981138005</v>
      </c>
      <c r="AN2078">
        <v>0.99999993981448898</v>
      </c>
    </row>
    <row r="2079" spans="1:40" x14ac:dyDescent="0.25">
      <c r="A2079" t="str">
        <f>"20190305134941264"</f>
        <v>20190305134941264</v>
      </c>
      <c r="B2079" t="str">
        <f>"1551764981252691"</f>
        <v>1551764981252691</v>
      </c>
      <c r="C2079" t="s">
        <v>40</v>
      </c>
      <c r="D2079">
        <v>4.2693279999999998</v>
      </c>
      <c r="E2079">
        <v>0.55208769999999996</v>
      </c>
      <c r="F2079" t="s">
        <v>74</v>
      </c>
      <c r="G2079">
        <v>-248.58789999999999</v>
      </c>
      <c r="H2079" s="1">
        <v>3.033283E-6</v>
      </c>
      <c r="I2079">
        <v>288.17860000000002</v>
      </c>
      <c r="J2079">
        <v>-211.15379999999999</v>
      </c>
      <c r="K2079">
        <v>1.1085119999999999</v>
      </c>
      <c r="L2079">
        <v>286.8023</v>
      </c>
      <c r="M2079">
        <v>-0.99921939999999998</v>
      </c>
      <c r="N2079">
        <v>-2.8640639999999998E-4</v>
      </c>
      <c r="O2079">
        <v>-3.9505520000000002E-2</v>
      </c>
      <c r="P2079">
        <v>-0.99206689999999997</v>
      </c>
      <c r="Q2079">
        <v>-7.0876590000000003E-2</v>
      </c>
      <c r="R2079">
        <v>-0.1038266</v>
      </c>
      <c r="S2079">
        <v>-3.0268549999999999</v>
      </c>
      <c r="T2079">
        <v>-8.8894009999999996E-2</v>
      </c>
      <c r="U2079">
        <v>0.1094666</v>
      </c>
      <c r="V2079">
        <v>-6.4473730000000007E-2</v>
      </c>
      <c r="W2079">
        <v>-7.0664749999999998E-2</v>
      </c>
      <c r="X2079">
        <v>0.99541429999999997</v>
      </c>
      <c r="Y2079">
        <v>7.5543460000000007E-2</v>
      </c>
      <c r="Z2079">
        <v>2.2677779999999998E-3</v>
      </c>
      <c r="AA2079">
        <v>0.99713989999999997</v>
      </c>
      <c r="AB2079">
        <v>28</v>
      </c>
      <c r="AC2079">
        <v>-37.434100000000001</v>
      </c>
      <c r="AD2079">
        <v>-1.1085089667170001</v>
      </c>
      <c r="AE2079">
        <v>1.3763000000000101</v>
      </c>
      <c r="AF2079">
        <v>2.8515819705737799</v>
      </c>
      <c r="AG2079">
        <v>-1.1085089667170001</v>
      </c>
      <c r="AH2079">
        <v>37.317826369086397</v>
      </c>
      <c r="AI2079">
        <v>91.696501786208799</v>
      </c>
      <c r="AJ2079">
        <v>85.630326367147305</v>
      </c>
      <c r="AK2079">
        <v>37.443029748906199</v>
      </c>
      <c r="AL2079">
        <v>94.052169146731998</v>
      </c>
      <c r="AM2079">
        <v>93.705913939744207</v>
      </c>
      <c r="AN2079">
        <v>0.99999999869858203</v>
      </c>
    </row>
    <row r="2080" spans="1:40" x14ac:dyDescent="0.25">
      <c r="A2080" t="str">
        <f>"20190305134941285"</f>
        <v>20190305134941285</v>
      </c>
      <c r="B2080" t="str">
        <f>"1551764981282945"</f>
        <v>1551764981282945</v>
      </c>
      <c r="C2080" t="s">
        <v>40</v>
      </c>
      <c r="D2080">
        <v>4.241841</v>
      </c>
      <c r="E2080">
        <v>0.55205539999999997</v>
      </c>
      <c r="F2080" t="s">
        <v>74</v>
      </c>
      <c r="G2080">
        <v>-246.49510000000001</v>
      </c>
      <c r="H2080" s="1">
        <v>1.919608E-6</v>
      </c>
      <c r="I2080">
        <v>287.8877</v>
      </c>
      <c r="J2080">
        <v>-211.41659999999999</v>
      </c>
      <c r="K2080">
        <v>1.1088849999999999</v>
      </c>
      <c r="L2080">
        <v>286.7912</v>
      </c>
      <c r="M2080">
        <v>-0.99917040000000001</v>
      </c>
      <c r="N2080">
        <v>-2.776004E-4</v>
      </c>
      <c r="O2080">
        <v>-4.0728550000000002E-2</v>
      </c>
      <c r="P2080">
        <v>-0.9913419</v>
      </c>
      <c r="Q2080">
        <v>-7.1983599999999995E-2</v>
      </c>
      <c r="R2080">
        <v>-0.1098162</v>
      </c>
      <c r="S2080">
        <v>-3.0269469999999998</v>
      </c>
      <c r="T2080">
        <v>-9.4942689999999996E-2</v>
      </c>
      <c r="U2080">
        <v>9.2956540000000004E-2</v>
      </c>
      <c r="V2080">
        <v>-6.9201750000000006E-2</v>
      </c>
      <c r="W2080">
        <v>-7.1850020000000001E-2</v>
      </c>
      <c r="X2080">
        <v>0.99501189999999995</v>
      </c>
      <c r="Y2080">
        <v>7.1324070000000003E-2</v>
      </c>
      <c r="Z2080">
        <v>2.3934379999999999E-3</v>
      </c>
      <c r="AA2080">
        <v>0.99745039999999996</v>
      </c>
      <c r="AB2080">
        <v>28</v>
      </c>
      <c r="AC2080">
        <v>-35.078499999999998</v>
      </c>
      <c r="AD2080">
        <v>-1.108883080392</v>
      </c>
      <c r="AE2080">
        <v>1.09649999999999</v>
      </c>
      <c r="AF2080">
        <v>2.5217688956418098</v>
      </c>
      <c r="AG2080">
        <v>-1.108883080392</v>
      </c>
      <c r="AH2080">
        <v>34.969823998692</v>
      </c>
      <c r="AI2080">
        <v>91.811523215827094</v>
      </c>
      <c r="AJ2080">
        <v>85.875385651459197</v>
      </c>
      <c r="AK2080">
        <v>35.078163158131602</v>
      </c>
      <c r="AL2080">
        <v>94.120253209630107</v>
      </c>
      <c r="AM2080">
        <v>93.978438676733504</v>
      </c>
      <c r="AN2080">
        <v>0.99999999435933595</v>
      </c>
    </row>
    <row r="2081" spans="1:40" x14ac:dyDescent="0.25">
      <c r="A2081" t="str">
        <f>"20190305134941307"</f>
        <v>20190305134941307</v>
      </c>
      <c r="B2081" t="str">
        <f>"1551764981302925"</f>
        <v>1551764981302925</v>
      </c>
      <c r="C2081" t="s">
        <v>40</v>
      </c>
      <c r="D2081">
        <v>4.2483120000000003</v>
      </c>
      <c r="E2081">
        <v>0.55206309999999903</v>
      </c>
      <c r="F2081" t="s">
        <v>74</v>
      </c>
      <c r="G2081">
        <v>-245.19030000000001</v>
      </c>
      <c r="H2081" s="1">
        <v>1.2252139999999999E-6</v>
      </c>
      <c r="I2081">
        <v>287.62329999999997</v>
      </c>
      <c r="J2081">
        <v>-211.7003</v>
      </c>
      <c r="K2081">
        <v>1.1092409999999999</v>
      </c>
      <c r="L2081">
        <v>286.7783</v>
      </c>
      <c r="M2081">
        <v>-0.99909559999999997</v>
      </c>
      <c r="N2081">
        <v>-2.7342959999999999E-4</v>
      </c>
      <c r="O2081">
        <v>-4.2520269999999999E-2</v>
      </c>
      <c r="P2081">
        <v>-0.99064050000000003</v>
      </c>
      <c r="Q2081">
        <v>-7.1919839999999999E-2</v>
      </c>
      <c r="R2081">
        <v>-0.11601359999999999</v>
      </c>
      <c r="S2081">
        <v>-3.0272220000000001</v>
      </c>
      <c r="T2081">
        <v>-9.9392060000000004E-2</v>
      </c>
      <c r="U2081">
        <v>7.4584960000000006E-2</v>
      </c>
      <c r="V2081">
        <v>-7.3572650000000003E-2</v>
      </c>
      <c r="W2081">
        <v>-7.186708E-2</v>
      </c>
      <c r="X2081">
        <v>0.99469700000000005</v>
      </c>
      <c r="Y2081">
        <v>6.70568E-2</v>
      </c>
      <c r="Z2081">
        <v>2.493253E-3</v>
      </c>
      <c r="AA2081">
        <v>0.99774609999999997</v>
      </c>
      <c r="AB2081">
        <v>28</v>
      </c>
      <c r="AC2081">
        <v>-33.49</v>
      </c>
      <c r="AD2081">
        <v>-1.1092397747860001</v>
      </c>
      <c r="AE2081">
        <v>0.84499999999997</v>
      </c>
      <c r="AF2081">
        <v>2.2657556018538498</v>
      </c>
      <c r="AG2081">
        <v>-1.1092397747860001</v>
      </c>
      <c r="AH2081">
        <v>33.387178553027098</v>
      </c>
      <c r="AI2081">
        <v>91.898504410855296</v>
      </c>
      <c r="AJ2081">
        <v>86.117686492322093</v>
      </c>
      <c r="AK2081">
        <v>33.482349873582798</v>
      </c>
      <c r="AL2081">
        <v>94.121233322407406</v>
      </c>
      <c r="AM2081">
        <v>94.230172860453607</v>
      </c>
      <c r="AN2081">
        <v>0.99999996691237303</v>
      </c>
    </row>
    <row r="2082" spans="1:40" x14ac:dyDescent="0.25">
      <c r="A2082" t="str">
        <f>"20190305134941320"</f>
        <v>20190305134941320</v>
      </c>
      <c r="B2082" t="str">
        <f>"1551764981312686"</f>
        <v>1551764981312686</v>
      </c>
      <c r="C2082" t="s">
        <v>40</v>
      </c>
      <c r="D2082">
        <v>4.231446</v>
      </c>
      <c r="E2082">
        <v>0.55208259999999998</v>
      </c>
      <c r="F2082" t="s">
        <v>74</v>
      </c>
      <c r="G2082">
        <v>-245.64269999999999</v>
      </c>
      <c r="H2082" s="1">
        <v>1.4659630000000001E-6</v>
      </c>
      <c r="I2082">
        <v>287.40129999999999</v>
      </c>
      <c r="J2082">
        <v>-211.8664</v>
      </c>
      <c r="K2082">
        <v>1.1094349999999999</v>
      </c>
      <c r="L2082">
        <v>286.77019999999999</v>
      </c>
      <c r="M2082">
        <v>-0.99903969999999997</v>
      </c>
      <c r="N2082">
        <v>-2.7395780000000002E-4</v>
      </c>
      <c r="O2082">
        <v>-4.3816380000000002E-2</v>
      </c>
      <c r="P2082">
        <v>-0.9902822</v>
      </c>
      <c r="Q2082">
        <v>-7.1673100000000003E-2</v>
      </c>
      <c r="R2082">
        <v>-0.1191832</v>
      </c>
      <c r="S2082">
        <v>-3.027695</v>
      </c>
      <c r="T2082">
        <v>-9.8945379999999999E-2</v>
      </c>
      <c r="U2082">
        <v>5.5572509999999999E-2</v>
      </c>
      <c r="V2082">
        <v>-7.5430049999999998E-2</v>
      </c>
      <c r="W2082">
        <v>-7.1662500000000004E-2</v>
      </c>
      <c r="X2082">
        <v>0.99457260000000003</v>
      </c>
      <c r="Y2082">
        <v>6.208661E-2</v>
      </c>
      <c r="Z2082">
        <v>2.4418700000000001E-3</v>
      </c>
      <c r="AA2082">
        <v>0.99806779999999995</v>
      </c>
      <c r="AB2082">
        <v>28</v>
      </c>
      <c r="AC2082">
        <v>-33.7762999999999</v>
      </c>
      <c r="AD2082">
        <v>-1.1094335340369901</v>
      </c>
      <c r="AE2082">
        <v>0.63110000000000299</v>
      </c>
      <c r="AF2082">
        <v>2.10817524022365</v>
      </c>
      <c r="AG2082">
        <v>-1.1094335340369901</v>
      </c>
      <c r="AH2082">
        <v>33.679884460276398</v>
      </c>
      <c r="AI2082">
        <v>91.882989063063803</v>
      </c>
      <c r="AJ2082">
        <v>86.4182727608829</v>
      </c>
      <c r="AK2082">
        <v>33.764032088414801</v>
      </c>
      <c r="AL2082">
        <v>94.109481595936202</v>
      </c>
      <c r="AM2082">
        <v>94.337104879286599</v>
      </c>
      <c r="AN2082">
        <v>0.99999993151000399</v>
      </c>
    </row>
    <row r="2083" spans="1:40" x14ac:dyDescent="0.25">
      <c r="A2083" t="str">
        <f>"20190305134941334"</f>
        <v>20190305134941334</v>
      </c>
      <c r="B2083" t="str">
        <f>"1551764981322464"</f>
        <v>1551764981322464</v>
      </c>
      <c r="C2083" t="s">
        <v>40</v>
      </c>
      <c r="D2083">
        <v>4.2174129999999996</v>
      </c>
      <c r="E2083">
        <v>0.55207220000000001</v>
      </c>
      <c r="F2083" t="s">
        <v>74</v>
      </c>
      <c r="G2083">
        <v>-246.0411</v>
      </c>
      <c r="H2083" s="1">
        <v>1.6779719999999999E-6</v>
      </c>
      <c r="I2083">
        <v>287.28859999999997</v>
      </c>
      <c r="J2083">
        <v>-212.02189999999999</v>
      </c>
      <c r="K2083">
        <v>1.10961</v>
      </c>
      <c r="L2083">
        <v>286.76240000000001</v>
      </c>
      <c r="M2083">
        <v>-0.99898200000000004</v>
      </c>
      <c r="N2083">
        <v>-2.751815E-4</v>
      </c>
      <c r="O2083">
        <v>-4.5114179999999997E-2</v>
      </c>
      <c r="P2083">
        <v>-0.98999610000000005</v>
      </c>
      <c r="Q2083">
        <v>-7.1264850000000005E-2</v>
      </c>
      <c r="R2083">
        <v>-0.1217758</v>
      </c>
      <c r="S2083">
        <v>-3.0278320000000001</v>
      </c>
      <c r="T2083">
        <v>-9.8294500000000007E-2</v>
      </c>
      <c r="U2083">
        <v>4.5928959999999998E-2</v>
      </c>
      <c r="V2083">
        <v>-7.6710630000000002E-2</v>
      </c>
      <c r="W2083">
        <v>-7.1291649999999998E-2</v>
      </c>
      <c r="X2083">
        <v>0.99450139999999998</v>
      </c>
      <c r="Y2083">
        <v>6.0205389999999998E-2</v>
      </c>
      <c r="Z2083">
        <v>2.4366570000000001E-3</v>
      </c>
      <c r="AA2083">
        <v>0.99818300000000004</v>
      </c>
      <c r="AB2083">
        <v>28</v>
      </c>
      <c r="AC2083">
        <v>-34.019199999999998</v>
      </c>
      <c r="AD2083">
        <v>-1.109608322028</v>
      </c>
      <c r="AE2083">
        <v>0.52619999999996003</v>
      </c>
      <c r="AF2083">
        <v>2.0582231337894701</v>
      </c>
      <c r="AG2083">
        <v>-1.109608322028</v>
      </c>
      <c r="AH2083">
        <v>33.924740743045398</v>
      </c>
      <c r="AI2083">
        <v>91.869923083752795</v>
      </c>
      <c r="AJ2083">
        <v>86.528105370318997</v>
      </c>
      <c r="AK2083">
        <v>34.0052282388992</v>
      </c>
      <c r="AL2083">
        <v>94.088178575054499</v>
      </c>
      <c r="AM2083">
        <v>94.410762544926499</v>
      </c>
      <c r="AN2083">
        <v>1.00000002735833</v>
      </c>
    </row>
    <row r="2084" spans="1:40" x14ac:dyDescent="0.25">
      <c r="A2084" t="str">
        <f>"20190305134941352"</f>
        <v>20190305134941352</v>
      </c>
      <c r="B2084" t="str">
        <f>"1551764981342959"</f>
        <v>1551764981342959</v>
      </c>
      <c r="C2084" t="s">
        <v>40</v>
      </c>
      <c r="D2084">
        <v>4.2492330000000003</v>
      </c>
      <c r="E2084">
        <v>0.55215509999999901</v>
      </c>
      <c r="F2084" t="s">
        <v>74</v>
      </c>
      <c r="G2084">
        <v>-246.708</v>
      </c>
      <c r="H2084" s="1">
        <v>2.0328639999999999E-6</v>
      </c>
      <c r="I2084">
        <v>287.19720000000001</v>
      </c>
      <c r="J2084">
        <v>-212.27010000000001</v>
      </c>
      <c r="K2084">
        <v>1.1098779999999999</v>
      </c>
      <c r="L2084">
        <v>286.74919999999997</v>
      </c>
      <c r="M2084">
        <v>-0.99887400000000004</v>
      </c>
      <c r="N2084">
        <v>-2.7989570000000002E-4</v>
      </c>
      <c r="O2084">
        <v>-4.744342E-2</v>
      </c>
      <c r="P2084">
        <v>-0.98957039999999996</v>
      </c>
      <c r="Q2084">
        <v>-6.9157120000000002E-2</v>
      </c>
      <c r="R2084">
        <v>-0.1263648</v>
      </c>
      <c r="S2084">
        <v>-3.0280149999999999</v>
      </c>
      <c r="T2084">
        <v>-9.6866369999999993E-2</v>
      </c>
      <c r="U2084">
        <v>3.7963869999999997E-2</v>
      </c>
      <c r="V2084">
        <v>-7.8958730000000005E-2</v>
      </c>
      <c r="W2084">
        <v>-6.9239919999999996E-2</v>
      </c>
      <c r="X2084">
        <v>0.99447039999999998</v>
      </c>
      <c r="Y2084">
        <v>5.9907380000000003E-2</v>
      </c>
      <c r="Z2084">
        <v>2.4700009999999999E-3</v>
      </c>
      <c r="AA2084">
        <v>0.99820089999999995</v>
      </c>
      <c r="AB2084">
        <v>29</v>
      </c>
      <c r="AC2084">
        <v>-34.4378999999999</v>
      </c>
      <c r="AD2084">
        <v>-1.1098759671359999</v>
      </c>
      <c r="AE2084">
        <v>0.44800000000003498</v>
      </c>
      <c r="AF2084">
        <v>2.07918793899184</v>
      </c>
      <c r="AG2084">
        <v>-1.1098759671359999</v>
      </c>
      <c r="AH2084">
        <v>34.342201749497498</v>
      </c>
      <c r="AI2084">
        <v>91.847667709622499</v>
      </c>
      <c r="AJ2084">
        <v>86.535357309666296</v>
      </c>
      <c r="AK2084">
        <v>34.422981685950198</v>
      </c>
      <c r="AL2084">
        <v>93.970331867291904</v>
      </c>
      <c r="AM2084">
        <v>94.539633694742804</v>
      </c>
      <c r="AN2084">
        <v>1.0000000120204799</v>
      </c>
    </row>
    <row r="2085" spans="1:40" x14ac:dyDescent="0.25">
      <c r="A2085" t="str">
        <f>"20190305134941366"</f>
        <v>20190305134941366</v>
      </c>
      <c r="B2085" t="str">
        <f>"1551764981362480"</f>
        <v>1551764981362480</v>
      </c>
      <c r="C2085" t="s">
        <v>40</v>
      </c>
      <c r="D2085">
        <v>4.2038960000000003</v>
      </c>
      <c r="E2085">
        <v>0.55226019999999998</v>
      </c>
      <c r="F2085" t="s">
        <v>74</v>
      </c>
      <c r="G2085">
        <v>-249.30369999999999</v>
      </c>
      <c r="H2085" s="1">
        <v>3.4141710000000001E-6</v>
      </c>
      <c r="I2085">
        <v>287.05149999999998</v>
      </c>
      <c r="J2085">
        <v>-212.44329999999999</v>
      </c>
      <c r="K2085">
        <v>1.1100460000000001</v>
      </c>
      <c r="L2085">
        <v>286.7396</v>
      </c>
      <c r="M2085">
        <v>-0.99878769999999994</v>
      </c>
      <c r="N2085">
        <v>-2.8460989999999999E-4</v>
      </c>
      <c r="O2085">
        <v>-4.9223620000000003E-2</v>
      </c>
      <c r="P2085">
        <v>-0.98933780000000004</v>
      </c>
      <c r="Q2085">
        <v>-6.8045309999999998E-2</v>
      </c>
      <c r="R2085">
        <v>-0.1287662</v>
      </c>
      <c r="S2085">
        <v>-3.0284270000000002</v>
      </c>
      <c r="T2085">
        <v>-9.0760110000000005E-2</v>
      </c>
      <c r="U2085">
        <v>2.471924E-2</v>
      </c>
      <c r="V2085">
        <v>-7.9573060000000001E-2</v>
      </c>
      <c r="W2085">
        <v>-6.8159220000000006E-2</v>
      </c>
      <c r="X2085">
        <v>0.99449609999999999</v>
      </c>
      <c r="Y2085">
        <v>5.732657E-2</v>
      </c>
      <c r="Z2085">
        <v>2.3274369999999999E-3</v>
      </c>
      <c r="AA2085">
        <v>0.99835280000000004</v>
      </c>
      <c r="AB2085">
        <v>29</v>
      </c>
      <c r="AC2085">
        <v>-36.860399999999998</v>
      </c>
      <c r="AD2085">
        <v>-1.110042585829</v>
      </c>
      <c r="AE2085">
        <v>0.31189999999998003</v>
      </c>
      <c r="AF2085">
        <v>2.1239982670706601</v>
      </c>
      <c r="AG2085">
        <v>-1.110042585829</v>
      </c>
      <c r="AH2085">
        <v>36.767022726735</v>
      </c>
      <c r="AI2085">
        <v>91.726429596456498</v>
      </c>
      <c r="AJ2085">
        <v>86.693748359918203</v>
      </c>
      <c r="AK2085">
        <v>36.845047474106003</v>
      </c>
      <c r="AL2085">
        <v>93.908265638884203</v>
      </c>
      <c r="AM2085">
        <v>94.574686759246205</v>
      </c>
      <c r="AN2085">
        <v>1.00000002203199</v>
      </c>
    </row>
    <row r="2086" spans="1:40" x14ac:dyDescent="0.25">
      <c r="A2086" t="str">
        <f>"20190305134941384"</f>
        <v>20190305134941384</v>
      </c>
      <c r="B2086" t="str">
        <f>"1551764981382975"</f>
        <v>1551764981382975</v>
      </c>
      <c r="C2086" t="s">
        <v>40</v>
      </c>
      <c r="D2086">
        <v>4.1828750000000001</v>
      </c>
      <c r="E2086">
        <v>0.55238330000000002</v>
      </c>
      <c r="F2086" t="s">
        <v>74</v>
      </c>
      <c r="G2086">
        <v>-251.2586</v>
      </c>
      <c r="H2086" s="1">
        <v>-8.6704769999999899E-7</v>
      </c>
      <c r="I2086">
        <v>286.97309999999999</v>
      </c>
      <c r="J2086">
        <v>-212.6858</v>
      </c>
      <c r="K2086">
        <v>1.110255</v>
      </c>
      <c r="L2086">
        <v>286.7253</v>
      </c>
      <c r="M2086">
        <v>-0.99865349999999997</v>
      </c>
      <c r="N2086">
        <v>-2.9175750000000003E-4</v>
      </c>
      <c r="O2086">
        <v>-5.1875879999999999E-2</v>
      </c>
      <c r="P2086">
        <v>-0.98889870000000002</v>
      </c>
      <c r="Q2086">
        <v>-6.6905829999999999E-2</v>
      </c>
      <c r="R2086">
        <v>-0.13267770000000001</v>
      </c>
      <c r="S2086">
        <v>-3.0287630000000001</v>
      </c>
      <c r="T2086">
        <v>-8.6617230000000003E-2</v>
      </c>
      <c r="U2086">
        <v>1.8218990000000001E-2</v>
      </c>
      <c r="V2086">
        <v>-8.0832379999999995E-2</v>
      </c>
      <c r="W2086">
        <v>-6.7060590000000003E-2</v>
      </c>
      <c r="X2086">
        <v>0.99446920000000005</v>
      </c>
      <c r="Y2086">
        <v>5.7837409999999999E-2</v>
      </c>
      <c r="Z2086">
        <v>2.3029489999999999E-3</v>
      </c>
      <c r="AA2086">
        <v>0.99832339999999997</v>
      </c>
      <c r="AB2086">
        <v>29</v>
      </c>
      <c r="AC2086">
        <v>-38.572800000000001</v>
      </c>
      <c r="AD2086">
        <v>-1.1102558670477001</v>
      </c>
      <c r="AE2086">
        <v>0.24779999999998301</v>
      </c>
      <c r="AF2086">
        <v>2.2466031746417898</v>
      </c>
      <c r="AG2086">
        <v>-1.1102558670477001</v>
      </c>
      <c r="AH2086">
        <v>38.476132899543003</v>
      </c>
      <c r="AI2086">
        <v>91.6500425296488</v>
      </c>
      <c r="AJ2086">
        <v>86.658320764230396</v>
      </c>
      <c r="AK2086">
        <v>38.557654192363998</v>
      </c>
      <c r="AL2086">
        <v>93.845174523050702</v>
      </c>
      <c r="AM2086">
        <v>94.646896111975806</v>
      </c>
      <c r="AN2086">
        <v>0.99999999306812604</v>
      </c>
    </row>
    <row r="2087" spans="1:40" x14ac:dyDescent="0.25">
      <c r="A2087" t="str">
        <f>"20190305134941397"</f>
        <v>20190305134941397</v>
      </c>
      <c r="B2087" t="str">
        <f>"1551764981392734"</f>
        <v>1551764981392734</v>
      </c>
      <c r="C2087" t="s">
        <v>40</v>
      </c>
      <c r="D2087">
        <v>4.1656069999999996</v>
      </c>
      <c r="E2087">
        <v>0.55245100000000003</v>
      </c>
      <c r="F2087" t="s">
        <v>74</v>
      </c>
      <c r="G2087">
        <v>-253.33840000000001</v>
      </c>
      <c r="H2087" s="1">
        <v>2.3974860000000002E-7</v>
      </c>
      <c r="I2087">
        <v>286.82029999999997</v>
      </c>
      <c r="J2087">
        <v>-212.8492</v>
      </c>
      <c r="K2087">
        <v>1.1103730000000001</v>
      </c>
      <c r="L2087">
        <v>286.71519999999998</v>
      </c>
      <c r="M2087">
        <v>-0.9985541</v>
      </c>
      <c r="N2087">
        <v>-2.9696639999999999E-4</v>
      </c>
      <c r="O2087">
        <v>-5.3754999999999997E-2</v>
      </c>
      <c r="P2087">
        <v>-0.98853250000000004</v>
      </c>
      <c r="Q2087">
        <v>-6.7160810000000001E-2</v>
      </c>
      <c r="R2087">
        <v>-0.13525100000000001</v>
      </c>
      <c r="S2087">
        <v>-3.0290370000000002</v>
      </c>
      <c r="T2087">
        <v>-8.2725409999999999E-2</v>
      </c>
      <c r="U2087">
        <v>7.0800780000000001E-3</v>
      </c>
      <c r="V2087">
        <v>-8.1528370000000003E-2</v>
      </c>
      <c r="W2087">
        <v>-6.7339179999999998E-2</v>
      </c>
      <c r="X2087">
        <v>0.99439359999999999</v>
      </c>
      <c r="Y2087">
        <v>5.6048149999999998E-2</v>
      </c>
      <c r="Z2087">
        <v>2.2248810000000002E-3</v>
      </c>
      <c r="AA2087">
        <v>0.99842560000000002</v>
      </c>
      <c r="AB2087">
        <v>29</v>
      </c>
      <c r="AC2087">
        <v>-40.489199999999997</v>
      </c>
      <c r="AD2087">
        <v>-1.1103727602514</v>
      </c>
      <c r="AE2087">
        <v>0.105099999999993</v>
      </c>
      <c r="AF2087">
        <v>2.27973059749158</v>
      </c>
      <c r="AG2087">
        <v>-1.1103727602514</v>
      </c>
      <c r="AH2087">
        <v>40.394629775054</v>
      </c>
      <c r="AI2087">
        <v>91.572056921470207</v>
      </c>
      <c r="AJ2087">
        <v>86.769854564246103</v>
      </c>
      <c r="AK2087">
        <v>40.474142534802802</v>
      </c>
      <c r="AL2087">
        <v>93.861172551805694</v>
      </c>
      <c r="AM2087">
        <v>94.6870844650755</v>
      </c>
      <c r="AN2087">
        <v>1.0000000359994401</v>
      </c>
    </row>
    <row r="2088" spans="1:40" x14ac:dyDescent="0.25">
      <c r="A2088" t="str">
        <f>"20190305134941411"</f>
        <v>20190305134941411</v>
      </c>
      <c r="B2088" t="str">
        <f>"1551764981402496"</f>
        <v>1551764981402496</v>
      </c>
      <c r="C2088" t="s">
        <v>40</v>
      </c>
      <c r="D2088">
        <v>4.1608710000000002</v>
      </c>
      <c r="E2088">
        <v>0.5525523</v>
      </c>
      <c r="F2088" t="s">
        <v>74</v>
      </c>
      <c r="G2088">
        <v>-253.35230000000001</v>
      </c>
      <c r="H2088" s="1">
        <v>2.4715599999999999E-7</v>
      </c>
      <c r="I2088">
        <v>286.7115</v>
      </c>
      <c r="J2088">
        <v>-213.02529999999999</v>
      </c>
      <c r="K2088">
        <v>1.110498</v>
      </c>
      <c r="L2088">
        <v>286.70400000000001</v>
      </c>
      <c r="M2088">
        <v>-0.99843999999999999</v>
      </c>
      <c r="N2088">
        <v>-3.0265979999999999E-4</v>
      </c>
      <c r="O2088">
        <v>-5.5834080000000001E-2</v>
      </c>
      <c r="P2088">
        <v>-0.9881778</v>
      </c>
      <c r="Q2088">
        <v>-6.7030160000000005E-2</v>
      </c>
      <c r="R2088">
        <v>-0.13788300000000001</v>
      </c>
      <c r="S2088">
        <v>-3.029083</v>
      </c>
      <c r="T2088">
        <v>-8.3040710000000004E-2</v>
      </c>
      <c r="U2088">
        <v>-2.7465820000000001E-4</v>
      </c>
      <c r="V2088">
        <v>-8.2085640000000001E-2</v>
      </c>
      <c r="W2088">
        <v>-6.7231040000000006E-2</v>
      </c>
      <c r="X2088">
        <v>0.99435499999999999</v>
      </c>
      <c r="Y2088">
        <v>5.5701889999999997E-2</v>
      </c>
      <c r="Z2088">
        <v>2.2846799999999999E-3</v>
      </c>
      <c r="AA2088">
        <v>0.99844489999999997</v>
      </c>
      <c r="AB2088">
        <v>29</v>
      </c>
      <c r="AC2088">
        <v>-40.326999999999998</v>
      </c>
      <c r="AD2088">
        <v>-1.1104977528440001</v>
      </c>
      <c r="AE2088">
        <v>7.4999999999931797E-3</v>
      </c>
      <c r="AF2088">
        <v>2.2573975875516199</v>
      </c>
      <c r="AG2088">
        <v>-1.1104977528440001</v>
      </c>
      <c r="AH2088">
        <v>40.233164596689797</v>
      </c>
      <c r="AI2088">
        <v>91.578569437116002</v>
      </c>
      <c r="AJ2088">
        <v>86.788622337461305</v>
      </c>
      <c r="AK2088">
        <v>40.311742490144098</v>
      </c>
      <c r="AL2088">
        <v>93.854962785243401</v>
      </c>
      <c r="AM2088">
        <v>94.719160203442996</v>
      </c>
      <c r="AN2088">
        <v>0.999999965529345</v>
      </c>
    </row>
    <row r="2089" spans="1:40" x14ac:dyDescent="0.25">
      <c r="A2089" t="str">
        <f>"20190305134941431"</f>
        <v>20190305134941431</v>
      </c>
      <c r="B2089" t="str">
        <f>"1551764981422992"</f>
        <v>1551764981422992</v>
      </c>
      <c r="C2089" t="s">
        <v>40</v>
      </c>
      <c r="D2089">
        <v>4.1634919999999997</v>
      </c>
      <c r="E2089">
        <v>0.55271599999999999</v>
      </c>
      <c r="F2089" t="s">
        <v>74</v>
      </c>
      <c r="G2089">
        <v>-253.93299999999999</v>
      </c>
      <c r="H2089" s="1">
        <v>5.5617729999999999E-7</v>
      </c>
      <c r="I2089">
        <v>286.6035</v>
      </c>
      <c r="J2089">
        <v>-213.29329999999999</v>
      </c>
      <c r="K2089">
        <v>1.110649</v>
      </c>
      <c r="L2089">
        <v>286.68610000000001</v>
      </c>
      <c r="M2089">
        <v>-0.99825059999999999</v>
      </c>
      <c r="N2089">
        <v>-3.1198169999999999E-4</v>
      </c>
      <c r="O2089">
        <v>-5.9125400000000002E-2</v>
      </c>
      <c r="P2089">
        <v>-0.98786779999999996</v>
      </c>
      <c r="Q2089">
        <v>-6.5094050000000001E-2</v>
      </c>
      <c r="R2089">
        <v>-0.14099690000000001</v>
      </c>
      <c r="S2089">
        <v>-3.0292509999999999</v>
      </c>
      <c r="T2089">
        <v>-8.2233189999999998E-2</v>
      </c>
      <c r="U2089">
        <v>-7.446289E-3</v>
      </c>
      <c r="V2089">
        <v>-8.1921099999999997E-2</v>
      </c>
      <c r="W2089">
        <v>-6.5315579999999998E-2</v>
      </c>
      <c r="X2089">
        <v>0.9944963</v>
      </c>
      <c r="Y2089">
        <v>5.6629029999999997E-2</v>
      </c>
      <c r="Z2089">
        <v>2.362889E-3</v>
      </c>
      <c r="AA2089">
        <v>0.99839250000000002</v>
      </c>
      <c r="AB2089">
        <v>29</v>
      </c>
      <c r="AC2089">
        <v>-40.639699999999998</v>
      </c>
      <c r="AD2089">
        <v>-1.1106484438227</v>
      </c>
      <c r="AE2089">
        <v>-8.2600000000013496E-2</v>
      </c>
      <c r="AF2089">
        <v>2.31865118109316</v>
      </c>
      <c r="AG2089">
        <v>-1.1106484438227</v>
      </c>
      <c r="AH2089">
        <v>40.543206296315098</v>
      </c>
      <c r="AI2089">
        <v>91.566620663806702</v>
      </c>
      <c r="AJ2089">
        <v>86.726840617366193</v>
      </c>
      <c r="AK2089">
        <v>40.6246385836344</v>
      </c>
      <c r="AL2089">
        <v>93.744972895562697</v>
      </c>
      <c r="AM2089">
        <v>94.709077121472703</v>
      </c>
      <c r="AN2089">
        <v>1.00000004116481</v>
      </c>
    </row>
    <row r="2090" spans="1:40" x14ac:dyDescent="0.25">
      <c r="A2090" t="str">
        <f>"20190305134941445"</f>
        <v>20190305134941445</v>
      </c>
      <c r="B2090" t="str">
        <f>"1551764981432751"</f>
        <v>1551764981432751</v>
      </c>
      <c r="C2090" t="s">
        <v>40</v>
      </c>
      <c r="D2090">
        <v>4.1613759999999997</v>
      </c>
      <c r="E2090">
        <v>0.55283609999999905</v>
      </c>
      <c r="F2090" t="s">
        <v>74</v>
      </c>
      <c r="G2090">
        <v>-257.3725</v>
      </c>
      <c r="H2090" s="1">
        <v>2.3865060000000001E-6</v>
      </c>
      <c r="I2090">
        <v>286.45699999999999</v>
      </c>
      <c r="J2090">
        <v>-213.48240000000001</v>
      </c>
      <c r="K2090">
        <v>1.1107359999999999</v>
      </c>
      <c r="L2090">
        <v>286.6728</v>
      </c>
      <c r="M2090">
        <v>-0.99810679999999996</v>
      </c>
      <c r="N2090">
        <v>-3.1883740000000001E-4</v>
      </c>
      <c r="O2090">
        <v>-6.1503849999999999E-2</v>
      </c>
      <c r="P2090">
        <v>-0.9876528</v>
      </c>
      <c r="Q2090">
        <v>-6.375952E-2</v>
      </c>
      <c r="R2090">
        <v>-0.143097</v>
      </c>
      <c r="S2090">
        <v>-3.0295719999999999</v>
      </c>
      <c r="T2090">
        <v>-7.6334949999999999E-2</v>
      </c>
      <c r="U2090">
        <v>-1.5747069999999998E-2</v>
      </c>
      <c r="V2090">
        <v>-8.1655459999999999E-2</v>
      </c>
      <c r="W2090">
        <v>-6.3989989999999997E-2</v>
      </c>
      <c r="X2090">
        <v>0.9946043</v>
      </c>
      <c r="Y2090">
        <v>5.6278050000000003E-2</v>
      </c>
      <c r="Z2090">
        <v>2.2468840000000002E-3</v>
      </c>
      <c r="AA2090">
        <v>0.99841259999999998</v>
      </c>
      <c r="AB2090">
        <v>30</v>
      </c>
      <c r="AC2090">
        <v>-43.890099999999897</v>
      </c>
      <c r="AD2090">
        <v>-1.110733613494</v>
      </c>
      <c r="AE2090">
        <v>-0.21580000000000099</v>
      </c>
      <c r="AF2090">
        <v>2.4824289554629799</v>
      </c>
      <c r="AG2090">
        <v>-1.110733613494</v>
      </c>
      <c r="AH2090">
        <v>43.792235660725098</v>
      </c>
      <c r="AI2090">
        <v>91.450594314003396</v>
      </c>
      <c r="AJ2090">
        <v>86.755574482613696</v>
      </c>
      <c r="AK2090">
        <v>43.876600675571403</v>
      </c>
      <c r="AL2090">
        <v>93.668863010704897</v>
      </c>
      <c r="AM2090">
        <v>94.693368245029404</v>
      </c>
      <c r="AN2090">
        <v>1.00000002327325</v>
      </c>
    </row>
    <row r="2091" spans="1:40" x14ac:dyDescent="0.25">
      <c r="A2091" t="str">
        <f>"20190305134941464"</f>
        <v>20190305134941464</v>
      </c>
      <c r="B2091" t="str">
        <f>"1551764981452272"</f>
        <v>1551764981452272</v>
      </c>
      <c r="C2091" t="s">
        <v>40</v>
      </c>
      <c r="D2091">
        <v>4.0615569999999996</v>
      </c>
      <c r="E2091">
        <v>0.55302779999999996</v>
      </c>
      <c r="F2091" t="s">
        <v>74</v>
      </c>
      <c r="G2091">
        <v>-259.87189999999998</v>
      </c>
      <c r="H2091" s="1">
        <v>3.7165610000000001E-6</v>
      </c>
      <c r="I2091">
        <v>286.34809999999999</v>
      </c>
      <c r="J2091">
        <v>-213.73079999999999</v>
      </c>
      <c r="K2091">
        <v>1.1108279999999999</v>
      </c>
      <c r="L2091">
        <v>286.65469999999999</v>
      </c>
      <c r="M2091">
        <v>-0.99790690000000004</v>
      </c>
      <c r="N2091">
        <v>-3.2824090000000002E-4</v>
      </c>
      <c r="O2091">
        <v>-6.4668130000000004E-2</v>
      </c>
      <c r="P2091">
        <v>-0.98744880000000002</v>
      </c>
      <c r="Q2091">
        <v>-6.1928650000000002E-2</v>
      </c>
      <c r="R2091">
        <v>-0.145292</v>
      </c>
      <c r="S2091">
        <v>-3.0297390000000002</v>
      </c>
      <c r="T2091">
        <v>-7.2542789999999996E-2</v>
      </c>
      <c r="U2091">
        <v>-2.1209720000000001E-2</v>
      </c>
      <c r="V2091">
        <v>-8.0702949999999996E-2</v>
      </c>
      <c r="W2091">
        <v>-6.2162090000000003E-2</v>
      </c>
      <c r="X2091">
        <v>0.99479790000000001</v>
      </c>
      <c r="Y2091">
        <v>5.764611E-2</v>
      </c>
      <c r="Z2091">
        <v>2.2254929999999998E-3</v>
      </c>
      <c r="AA2091">
        <v>0.99833459999999996</v>
      </c>
      <c r="AB2091">
        <v>30</v>
      </c>
      <c r="AC2091">
        <v>-46.141100000000002</v>
      </c>
      <c r="AD2091">
        <v>-1.1108242834389901</v>
      </c>
      <c r="AE2091">
        <v>-0.30660000000000298</v>
      </c>
      <c r="AF2091">
        <v>2.6763491041838701</v>
      </c>
      <c r="AG2091">
        <v>-1.1108242834389901</v>
      </c>
      <c r="AH2091">
        <v>46.0376644803519</v>
      </c>
      <c r="AI2091">
        <v>91.379869819104101</v>
      </c>
      <c r="AJ2091">
        <v>86.672917375650002</v>
      </c>
      <c r="AK2091">
        <v>46.1287689616968</v>
      </c>
      <c r="AL2091">
        <v>93.563923244766499</v>
      </c>
      <c r="AM2091">
        <v>94.637961656009907</v>
      </c>
      <c r="AN2091">
        <v>0.99999997670814</v>
      </c>
    </row>
    <row r="2092" spans="1:40" x14ac:dyDescent="0.25">
      <c r="A2092" t="str">
        <f>"20190305134941488"</f>
        <v>20190305134941488</v>
      </c>
      <c r="B2092" t="str">
        <f>"1551764981482527"</f>
        <v>1551764981482527</v>
      </c>
      <c r="C2092" t="s">
        <v>40</v>
      </c>
      <c r="D2092">
        <v>4.1327619999999996</v>
      </c>
      <c r="E2092">
        <v>0.55322399999999905</v>
      </c>
      <c r="F2092" t="s">
        <v>74</v>
      </c>
      <c r="G2092">
        <v>-263.4692</v>
      </c>
      <c r="H2092" s="1">
        <v>3.0935689999999999E-7</v>
      </c>
      <c r="I2092">
        <v>286.22840000000002</v>
      </c>
      <c r="J2092">
        <v>-214.0445</v>
      </c>
      <c r="K2092">
        <v>1.1109180000000001</v>
      </c>
      <c r="L2092">
        <v>286.63060000000002</v>
      </c>
      <c r="M2092">
        <v>-0.99763760000000001</v>
      </c>
      <c r="N2092">
        <v>-3.4104099999999999E-4</v>
      </c>
      <c r="O2092">
        <v>-6.8697889999999998E-2</v>
      </c>
      <c r="P2092">
        <v>-0.9869618</v>
      </c>
      <c r="Q2092">
        <v>-6.1108700000000002E-2</v>
      </c>
      <c r="R2092">
        <v>-0.14890410000000001</v>
      </c>
      <c r="S2092">
        <v>-3.0300449999999999</v>
      </c>
      <c r="T2092">
        <v>-6.7671179999999997E-2</v>
      </c>
      <c r="U2092">
        <v>-2.5970460000000001E-2</v>
      </c>
      <c r="V2092">
        <v>-8.0314259999999998E-2</v>
      </c>
      <c r="W2092">
        <v>-6.1344500000000003E-2</v>
      </c>
      <c r="X2092">
        <v>0.99488010000000004</v>
      </c>
      <c r="Y2092">
        <v>6.0113140000000002E-2</v>
      </c>
      <c r="Z2092">
        <v>2.1909970000000001E-3</v>
      </c>
      <c r="AA2092">
        <v>0.9981892</v>
      </c>
      <c r="AB2092">
        <v>30</v>
      </c>
      <c r="AC2092">
        <v>-49.424700000000001</v>
      </c>
      <c r="AD2092">
        <v>-1.1109176906431</v>
      </c>
      <c r="AE2092">
        <v>-0.40219999999999301</v>
      </c>
      <c r="AF2092">
        <v>2.99261068039901</v>
      </c>
      <c r="AG2092">
        <v>-1.1109176906431</v>
      </c>
      <c r="AH2092">
        <v>49.310654113941297</v>
      </c>
      <c r="AI2092">
        <v>91.288226549794103</v>
      </c>
      <c r="AJ2092">
        <v>86.527040254389604</v>
      </c>
      <c r="AK2092">
        <v>49.413869165898902</v>
      </c>
      <c r="AL2092">
        <v>93.5169892308692</v>
      </c>
      <c r="AM2092">
        <v>94.6153408547232</v>
      </c>
      <c r="AN2092">
        <v>0.999999970707803</v>
      </c>
    </row>
    <row r="2093" spans="1:40" x14ac:dyDescent="0.25">
      <c r="A2093" t="str">
        <f>"20190305134941509"</f>
        <v>20190305134941509</v>
      </c>
      <c r="B2093" t="str">
        <f>"1551764981503023"</f>
        <v>1551764981503023</v>
      </c>
      <c r="C2093" t="s">
        <v>40</v>
      </c>
      <c r="D2093">
        <v>4.1611710000000004</v>
      </c>
      <c r="E2093">
        <v>0.5534443</v>
      </c>
      <c r="F2093" t="s">
        <v>74</v>
      </c>
      <c r="G2093">
        <v>-265.37670000000003</v>
      </c>
      <c r="H2093" s="1">
        <v>1.324418E-6</v>
      </c>
      <c r="I2093">
        <v>286.03300000000002</v>
      </c>
      <c r="J2093">
        <v>-214.34</v>
      </c>
      <c r="K2093">
        <v>1.1109869999999999</v>
      </c>
      <c r="L2093">
        <v>286.60680000000002</v>
      </c>
      <c r="M2093">
        <v>-0.99736880000000006</v>
      </c>
      <c r="N2093">
        <v>-3.543226E-4</v>
      </c>
      <c r="O2093">
        <v>-7.2494180000000005E-2</v>
      </c>
      <c r="P2093">
        <v>-0.9866028</v>
      </c>
      <c r="Q2093">
        <v>-5.7557759999999999E-2</v>
      </c>
      <c r="R2093">
        <v>-0.15264939999999999</v>
      </c>
      <c r="S2093">
        <v>-3.030243</v>
      </c>
      <c r="T2093">
        <v>-6.5579650000000003E-2</v>
      </c>
      <c r="U2093">
        <v>-3.5278320000000002E-2</v>
      </c>
      <c r="V2093">
        <v>-8.0306160000000001E-2</v>
      </c>
      <c r="W2093">
        <v>-5.7791299999999997E-2</v>
      </c>
      <c r="X2093">
        <v>0.99509349999999996</v>
      </c>
      <c r="Y2093">
        <v>6.0847749999999999E-2</v>
      </c>
      <c r="Z2093">
        <v>2.2108679999999999E-3</v>
      </c>
      <c r="AA2093">
        <v>0.99814460000000005</v>
      </c>
      <c r="AB2093">
        <v>30</v>
      </c>
      <c r="AC2093">
        <v>-51.036700000000003</v>
      </c>
      <c r="AD2093">
        <v>-1.110985675582</v>
      </c>
      <c r="AE2093">
        <v>-0.57380000000000497</v>
      </c>
      <c r="AF2093">
        <v>3.1260924607078699</v>
      </c>
      <c r="AG2093">
        <v>-1.110985675582</v>
      </c>
      <c r="AH2093">
        <v>50.9198852535296</v>
      </c>
      <c r="AI2093">
        <v>91.247550516277002</v>
      </c>
      <c r="AJ2093">
        <v>86.486885519332304</v>
      </c>
      <c r="AK2093">
        <v>51.027849822198696</v>
      </c>
      <c r="AL2093">
        <v>93.313043520948796</v>
      </c>
      <c r="AM2093">
        <v>94.613891993351302</v>
      </c>
      <c r="AN2093">
        <v>0.99999999371594195</v>
      </c>
    </row>
    <row r="2094" spans="1:40" x14ac:dyDescent="0.25">
      <c r="A2094" t="str">
        <f>"20190305134941523"</f>
        <v>20190305134941523</v>
      </c>
      <c r="B2094" t="str">
        <f>"1551764981512783"</f>
        <v>1551764981512783</v>
      </c>
      <c r="C2094" t="s">
        <v>40</v>
      </c>
      <c r="D2094">
        <v>4.0961480000000003</v>
      </c>
      <c r="E2094">
        <v>0.55354859999999995</v>
      </c>
      <c r="F2094" t="s">
        <v>74</v>
      </c>
      <c r="G2094">
        <v>-275.19420000000002</v>
      </c>
      <c r="H2094" s="1">
        <v>1.1796920000000001E-6</v>
      </c>
      <c r="I2094">
        <v>285.70600000000002</v>
      </c>
      <c r="J2094">
        <v>-214.5275</v>
      </c>
      <c r="K2094">
        <v>1.1110120000000001</v>
      </c>
      <c r="L2094">
        <v>286.59100000000001</v>
      </c>
      <c r="M2094">
        <v>-0.99719270000000004</v>
      </c>
      <c r="N2094">
        <v>-3.6335529999999999E-4</v>
      </c>
      <c r="O2094">
        <v>-7.4877170000000007E-2</v>
      </c>
      <c r="P2094">
        <v>-0.98633680000000001</v>
      </c>
      <c r="Q2094">
        <v>-5.623678E-2</v>
      </c>
      <c r="R2094">
        <v>-0.1548465</v>
      </c>
      <c r="S2094">
        <v>-3.0305789999999999</v>
      </c>
      <c r="T2094">
        <v>-5.5327769999999998E-2</v>
      </c>
      <c r="U2094">
        <v>-4.4860839999999999E-2</v>
      </c>
      <c r="V2094">
        <v>-8.0146190000000006E-2</v>
      </c>
      <c r="W2094">
        <v>-5.6463439999999997E-2</v>
      </c>
      <c r="X2094">
        <v>0.99518260000000003</v>
      </c>
      <c r="Y2094">
        <v>6.008724E-2</v>
      </c>
      <c r="Z2094">
        <v>1.897765E-3</v>
      </c>
      <c r="AA2094">
        <v>0.9981913</v>
      </c>
      <c r="AB2094">
        <v>30</v>
      </c>
      <c r="AC2094">
        <v>-60.666699999999999</v>
      </c>
      <c r="AD2094">
        <v>-1.111010820308</v>
      </c>
      <c r="AE2094">
        <v>-0.88500000000004697</v>
      </c>
      <c r="AF2094">
        <v>3.65880867843053</v>
      </c>
      <c r="AG2094">
        <v>-1.111010820308</v>
      </c>
      <c r="AH2094">
        <v>60.542360244377399</v>
      </c>
      <c r="AI2094">
        <v>91.049400761992402</v>
      </c>
      <c r="AJ2094">
        <v>86.541600957198398</v>
      </c>
      <c r="AK2094">
        <v>60.662992095248399</v>
      </c>
      <c r="AL2094">
        <v>93.2368383683188</v>
      </c>
      <c r="AM2094">
        <v>94.604330181308796</v>
      </c>
      <c r="AN2094">
        <v>0.99999996958545401</v>
      </c>
    </row>
    <row r="2095" spans="1:40" x14ac:dyDescent="0.25">
      <c r="A2095" t="str">
        <f>"20190305134941543"</f>
        <v>20190305134941543</v>
      </c>
      <c r="B2095" t="str">
        <f>"1551764981532303"</f>
        <v>1551764981532303</v>
      </c>
      <c r="C2095" t="s">
        <v>40</v>
      </c>
      <c r="D2095">
        <v>4.0397509999999999</v>
      </c>
      <c r="E2095">
        <v>0.5536394</v>
      </c>
      <c r="F2095" t="s">
        <v>74</v>
      </c>
      <c r="G2095">
        <v>-279.40320000000003</v>
      </c>
      <c r="H2095" s="1">
        <v>3.428067E-6</v>
      </c>
      <c r="I2095">
        <v>285.50990000000002</v>
      </c>
      <c r="J2095">
        <v>-214.78530000000001</v>
      </c>
      <c r="K2095">
        <v>1.1110230000000001</v>
      </c>
      <c r="L2095">
        <v>286.56869999999998</v>
      </c>
      <c r="M2095">
        <v>-0.99694479999999996</v>
      </c>
      <c r="N2095">
        <v>-3.7591179999999999E-4</v>
      </c>
      <c r="O2095">
        <v>-7.810802E-2</v>
      </c>
      <c r="P2095">
        <v>-0.9860527</v>
      </c>
      <c r="Q2095">
        <v>-5.4304430000000001E-2</v>
      </c>
      <c r="R2095">
        <v>-0.15732460000000001</v>
      </c>
      <c r="S2095">
        <v>-3.0307010000000001</v>
      </c>
      <c r="T2095">
        <v>-5.1901339999999997E-2</v>
      </c>
      <c r="U2095">
        <v>-5.0506589999999997E-2</v>
      </c>
      <c r="V2095">
        <v>-7.9427319999999996E-2</v>
      </c>
      <c r="W2095">
        <v>-5.4514630000000001E-2</v>
      </c>
      <c r="X2095">
        <v>0.99534889999999998</v>
      </c>
      <c r="Y2095">
        <v>6.1465289999999999E-2</v>
      </c>
      <c r="Z2095">
        <v>1.8445810000000001E-3</v>
      </c>
      <c r="AA2095">
        <v>0.99810750000000004</v>
      </c>
      <c r="AB2095">
        <v>30</v>
      </c>
      <c r="AC2095">
        <v>-64.617900000000006</v>
      </c>
      <c r="AD2095">
        <v>-1.1110195719329901</v>
      </c>
      <c r="AE2095">
        <v>-1.05879999999996</v>
      </c>
      <c r="AF2095">
        <v>3.9904321308214699</v>
      </c>
      <c r="AG2095">
        <v>-1.1110195719329901</v>
      </c>
      <c r="AH2095">
        <v>64.484128855667393</v>
      </c>
      <c r="AI2095">
        <v>90.985187150169097</v>
      </c>
      <c r="AJ2095">
        <v>86.458915625507004</v>
      </c>
      <c r="AK2095">
        <v>64.617031712654693</v>
      </c>
      <c r="AL2095">
        <v>93.125007401874299</v>
      </c>
      <c r="AM2095">
        <v>94.562447725461595</v>
      </c>
      <c r="AN2095">
        <v>0.99999998838881399</v>
      </c>
    </row>
    <row r="2096" spans="1:40" x14ac:dyDescent="0.25">
      <c r="A2096" t="str">
        <f>"20190305134941563"</f>
        <v>20190305134941563</v>
      </c>
      <c r="B2096" t="str">
        <f>"1551764981552802"</f>
        <v>1551764981552802</v>
      </c>
      <c r="C2096" t="s">
        <v>40</v>
      </c>
      <c r="D2096">
        <v>4.1023430000000003</v>
      </c>
      <c r="E2096">
        <v>0.55381380000000002</v>
      </c>
      <c r="F2096" t="s">
        <v>78</v>
      </c>
      <c r="G2096">
        <v>-286.0181</v>
      </c>
      <c r="H2096" s="1">
        <v>5.6073450000000003E-6</v>
      </c>
      <c r="I2096">
        <v>285.22669999999999</v>
      </c>
      <c r="J2096">
        <v>-215.0754</v>
      </c>
      <c r="K2096">
        <v>1.111002</v>
      </c>
      <c r="L2096">
        <v>286.5428</v>
      </c>
      <c r="M2096">
        <v>-0.9966602</v>
      </c>
      <c r="N2096">
        <v>-3.906693E-4</v>
      </c>
      <c r="O2096">
        <v>-8.1660300000000005E-2</v>
      </c>
      <c r="P2096">
        <v>-0.98571039999999999</v>
      </c>
      <c r="Q2096">
        <v>-5.3881619999999998E-2</v>
      </c>
      <c r="R2096">
        <v>-0.1596003</v>
      </c>
      <c r="S2096">
        <v>-3.0307010000000001</v>
      </c>
      <c r="T2096">
        <v>-4.7269819999999997E-2</v>
      </c>
      <c r="U2096">
        <v>-5.7098389999999999E-2</v>
      </c>
      <c r="V2096">
        <v>-7.8180920000000001E-2</v>
      </c>
      <c r="W2096">
        <v>-5.4065290000000002E-2</v>
      </c>
      <c r="X2096">
        <v>0.99547209999999997</v>
      </c>
      <c r="Y2096">
        <v>6.285483E-2</v>
      </c>
      <c r="Z2096">
        <v>1.742604E-3</v>
      </c>
      <c r="AA2096">
        <v>0.99802120000000005</v>
      </c>
      <c r="AB2096">
        <v>31</v>
      </c>
      <c r="AC2096">
        <v>-70.942700000000002</v>
      </c>
      <c r="AD2096">
        <v>-1.1109963926549999</v>
      </c>
      <c r="AE2096">
        <v>-1.3161</v>
      </c>
      <c r="AF2096">
        <v>4.4803993257173804</v>
      </c>
      <c r="AG2096">
        <v>-1.1109963926549999</v>
      </c>
      <c r="AH2096">
        <v>70.795883396929099</v>
      </c>
      <c r="AI2096">
        <v>90.897271355004307</v>
      </c>
      <c r="AJ2096">
        <v>86.378799671511899</v>
      </c>
      <c r="AK2096">
        <v>70.946214818367594</v>
      </c>
      <c r="AL2096">
        <v>93.099224033595505</v>
      </c>
      <c r="AM2096">
        <v>94.490593947695999</v>
      </c>
      <c r="AN2096">
        <v>1.0000000068566199</v>
      </c>
    </row>
    <row r="2097" spans="1:40" x14ac:dyDescent="0.25">
      <c r="A2097" t="str">
        <f>"20190305134941577"</f>
        <v>20190305134941577</v>
      </c>
      <c r="B2097" t="str">
        <f>"1551764981572319"</f>
        <v>1551764981572319</v>
      </c>
      <c r="C2097" t="s">
        <v>40</v>
      </c>
      <c r="D2097">
        <v>4.0869929999999997</v>
      </c>
      <c r="E2097">
        <v>0.55390869999999903</v>
      </c>
      <c r="F2097" t="s">
        <v>78</v>
      </c>
      <c r="G2097">
        <v>-286.62279999999998</v>
      </c>
      <c r="H2097" s="1">
        <v>5.3724140000000004E-6</v>
      </c>
      <c r="I2097">
        <v>285.0659</v>
      </c>
      <c r="J2097">
        <v>-215.25309999999999</v>
      </c>
      <c r="K2097">
        <v>1.1109789999999999</v>
      </c>
      <c r="L2097">
        <v>286.52640000000002</v>
      </c>
      <c r="M2097">
        <v>-0.99648400000000004</v>
      </c>
      <c r="N2097">
        <v>-4.0025610000000002E-4</v>
      </c>
      <c r="O2097">
        <v>-8.3782949999999995E-2</v>
      </c>
      <c r="P2097">
        <v>-0.98541840000000003</v>
      </c>
      <c r="Q2097">
        <v>-5.4119359999999998E-2</v>
      </c>
      <c r="R2097">
        <v>-0.1613125</v>
      </c>
      <c r="S2097">
        <v>-3.0307919999999999</v>
      </c>
      <c r="T2097">
        <v>-4.7062519999999997E-2</v>
      </c>
      <c r="U2097">
        <v>-6.2561039999999998E-2</v>
      </c>
      <c r="V2097">
        <v>-7.7792169999999994E-2</v>
      </c>
      <c r="W2097">
        <v>-5.4287179999999997E-2</v>
      </c>
      <c r="X2097">
        <v>0.99549049999999994</v>
      </c>
      <c r="Y2097">
        <v>6.31829E-2</v>
      </c>
      <c r="Z2097">
        <v>1.768904E-3</v>
      </c>
      <c r="AA2097">
        <v>0.99800040000000001</v>
      </c>
      <c r="AB2097">
        <v>31</v>
      </c>
      <c r="AC2097">
        <v>-71.369699999999995</v>
      </c>
      <c r="AD2097">
        <v>-1.110973627586</v>
      </c>
      <c r="AE2097">
        <v>-1.4605000000000199</v>
      </c>
      <c r="AF2097">
        <v>4.5231036933878803</v>
      </c>
      <c r="AG2097">
        <v>-1.110973627586</v>
      </c>
      <c r="AH2097">
        <v>71.223879725068997</v>
      </c>
      <c r="AI2097">
        <v>90.891849754549298</v>
      </c>
      <c r="AJ2097">
        <v>86.366286022719606</v>
      </c>
      <c r="AK2097">
        <v>71.376002777638305</v>
      </c>
      <c r="AL2097">
        <v>93.111956027846901</v>
      </c>
      <c r="AM2097">
        <v>94.468273131912795</v>
      </c>
      <c r="AN2097">
        <v>1.0000000276079499</v>
      </c>
    </row>
    <row r="2098" spans="1:40" x14ac:dyDescent="0.25">
      <c r="A2098" t="str">
        <f>"20190305134941589"</f>
        <v>20190305134941589</v>
      </c>
      <c r="B2098" t="str">
        <f>"1551764981583055"</f>
        <v>1551764981583055</v>
      </c>
      <c r="C2098" t="s">
        <v>40</v>
      </c>
      <c r="D2098">
        <v>4.0958290000000002</v>
      </c>
      <c r="E2098">
        <v>0.55969769999999996</v>
      </c>
      <c r="F2098" t="s">
        <v>78</v>
      </c>
      <c r="G2098">
        <v>-284.81920000000002</v>
      </c>
      <c r="H2098" s="1">
        <v>6.1884779999999999E-6</v>
      </c>
      <c r="I2098">
        <v>284.98739999999998</v>
      </c>
      <c r="J2098">
        <v>-215.44110000000001</v>
      </c>
      <c r="K2098">
        <v>1.1109450000000001</v>
      </c>
      <c r="L2098">
        <v>286.50869999999998</v>
      </c>
      <c r="M2098">
        <v>-0.99629559999999995</v>
      </c>
      <c r="N2098">
        <v>-4.1083109999999999E-4</v>
      </c>
      <c r="O2098">
        <v>-8.599648E-2</v>
      </c>
      <c r="P2098">
        <v>-0.9851782</v>
      </c>
      <c r="Q2098">
        <v>-5.4594610000000002E-2</v>
      </c>
      <c r="R2098">
        <v>-0.16261619999999999</v>
      </c>
      <c r="S2098">
        <v>-3.0307770000000001</v>
      </c>
      <c r="T2098">
        <v>-4.8401590000000001E-2</v>
      </c>
      <c r="U2098">
        <v>-6.7047120000000002E-2</v>
      </c>
      <c r="V2098">
        <v>-7.6899250000000002E-2</v>
      </c>
      <c r="W2098">
        <v>-5.4740749999999998E-2</v>
      </c>
      <c r="X2098">
        <v>0.99553499999999995</v>
      </c>
      <c r="Y2098">
        <v>6.392196E-2</v>
      </c>
      <c r="Z2098">
        <v>1.859601E-3</v>
      </c>
      <c r="AA2098">
        <v>0.99795319999999998</v>
      </c>
      <c r="AB2098">
        <v>31</v>
      </c>
      <c r="AC2098">
        <v>-69.378100000000003</v>
      </c>
      <c r="AD2098">
        <v>-1.110938811522</v>
      </c>
      <c r="AE2098">
        <v>-1.5212999999999901</v>
      </c>
      <c r="AF2098">
        <v>4.4494668462007301</v>
      </c>
      <c r="AG2098">
        <v>-1.110938811522</v>
      </c>
      <c r="AH2098">
        <v>69.234167407368602</v>
      </c>
      <c r="AI2098">
        <v>90.917403006760907</v>
      </c>
      <c r="AJ2098">
        <v>86.322833558572697</v>
      </c>
      <c r="AK2098">
        <v>69.385891050341996</v>
      </c>
      <c r="AL2098">
        <v>93.137982492240994</v>
      </c>
      <c r="AM2098">
        <v>94.416992546415401</v>
      </c>
      <c r="AN2098">
        <v>0.99999999029306197</v>
      </c>
    </row>
    <row r="2099" spans="1:40" x14ac:dyDescent="0.25">
      <c r="A2099" t="str">
        <f>"20190305134941608"</f>
        <v>20190305134941608</v>
      </c>
      <c r="B2099" t="str">
        <f>"1551764981602576"</f>
        <v>1551764981602576</v>
      </c>
      <c r="C2099" t="s">
        <v>40</v>
      </c>
      <c r="D2099">
        <v>4.1268630000000002</v>
      </c>
      <c r="E2099">
        <v>0.55987589999999998</v>
      </c>
      <c r="F2099" t="s">
        <v>74</v>
      </c>
      <c r="G2099">
        <v>-256.67849999999999</v>
      </c>
      <c r="H2099" s="1">
        <v>2.0171640000000002E-6</v>
      </c>
      <c r="I2099">
        <v>286.19499999999999</v>
      </c>
      <c r="J2099">
        <v>-215.69739999999999</v>
      </c>
      <c r="K2099">
        <v>1.110881</v>
      </c>
      <c r="L2099">
        <v>286.48399999999998</v>
      </c>
      <c r="M2099">
        <v>-0.99603989999999998</v>
      </c>
      <c r="N2099">
        <v>-4.2614219999999997E-4</v>
      </c>
      <c r="O2099">
        <v>-8.8905990000000004E-2</v>
      </c>
      <c r="P2099">
        <v>-0.98487100000000005</v>
      </c>
      <c r="Q2099">
        <v>-5.5202460000000002E-2</v>
      </c>
      <c r="R2099">
        <v>-0.1642614</v>
      </c>
      <c r="S2099">
        <v>-3.0367890000000002</v>
      </c>
      <c r="T2099">
        <v>-8.1811789999999995E-2</v>
      </c>
      <c r="U2099">
        <v>-2.310181E-2</v>
      </c>
      <c r="V2099">
        <v>-7.5660160000000004E-2</v>
      </c>
      <c r="W2099">
        <v>-5.5315490000000002E-2</v>
      </c>
      <c r="X2099">
        <v>0.99559819999999999</v>
      </c>
      <c r="Y2099">
        <v>8.1265340000000005E-2</v>
      </c>
      <c r="Z2099">
        <v>3.465938E-3</v>
      </c>
      <c r="AA2099">
        <v>0.99668650000000003</v>
      </c>
      <c r="AB2099">
        <v>31</v>
      </c>
      <c r="AC2099">
        <v>-40.981099999999998</v>
      </c>
      <c r="AD2099">
        <v>-1.110878982836</v>
      </c>
      <c r="AE2099">
        <v>-0.289000000000044</v>
      </c>
      <c r="AF2099">
        <v>3.3531463894809801</v>
      </c>
      <c r="AG2099">
        <v>-1.110878982836</v>
      </c>
      <c r="AH2099">
        <v>40.814520710164601</v>
      </c>
      <c r="AI2099">
        <v>91.553844186846703</v>
      </c>
      <c r="AJ2099">
        <v>85.303371682151607</v>
      </c>
      <c r="AK2099">
        <v>40.967093424164901</v>
      </c>
      <c r="AL2099">
        <v>93.170962547841498</v>
      </c>
      <c r="AM2099">
        <v>94.345820912777</v>
      </c>
      <c r="AN2099">
        <v>1.0000000195442</v>
      </c>
    </row>
    <row r="2100" spans="1:40" x14ac:dyDescent="0.25">
      <c r="A2100" t="str">
        <f>"20190305134941621"</f>
        <v>20190305134941621</v>
      </c>
      <c r="B2100" t="str">
        <f>"1551764981612336"</f>
        <v>1551764981612336</v>
      </c>
      <c r="C2100" t="s">
        <v>40</v>
      </c>
      <c r="D2100">
        <v>4.1193780000000002</v>
      </c>
      <c r="E2100">
        <v>0.55973589999999995</v>
      </c>
      <c r="F2100" t="s">
        <v>74</v>
      </c>
      <c r="G2100">
        <v>-254.20949999999999</v>
      </c>
      <c r="H2100" s="1">
        <v>7.0332230000000001E-7</v>
      </c>
      <c r="I2100">
        <v>286.14879999999999</v>
      </c>
      <c r="J2100">
        <v>-215.86680000000001</v>
      </c>
      <c r="K2100">
        <v>1.1108389999999999</v>
      </c>
      <c r="L2100">
        <v>286.46719999999999</v>
      </c>
      <c r="M2100">
        <v>-0.9958726</v>
      </c>
      <c r="N2100">
        <v>-4.369167E-4</v>
      </c>
      <c r="O2100">
        <v>-9.0761300000000003E-2</v>
      </c>
      <c r="P2100">
        <v>-0.98468789999999995</v>
      </c>
      <c r="Q2100">
        <v>-5.5069300000000002E-2</v>
      </c>
      <c r="R2100">
        <v>-0.1653993</v>
      </c>
      <c r="S2100">
        <v>-3.0367579999999998</v>
      </c>
      <c r="T2100">
        <v>-8.7594989999999998E-2</v>
      </c>
      <c r="U2100">
        <v>-2.6428219999999999E-2</v>
      </c>
      <c r="V2100">
        <v>-7.4961509999999995E-2</v>
      </c>
      <c r="W2100">
        <v>-5.5159840000000002E-2</v>
      </c>
      <c r="X2100">
        <v>0.99565959999999998</v>
      </c>
      <c r="Y2100">
        <v>8.2020200000000001E-2</v>
      </c>
      <c r="Z2100">
        <v>3.7753359999999998E-3</v>
      </c>
      <c r="AA2100">
        <v>0.9966235</v>
      </c>
      <c r="AB2100">
        <v>31</v>
      </c>
      <c r="AC2100">
        <v>-38.342699999999901</v>
      </c>
      <c r="AD2100">
        <v>-1.1108382966777</v>
      </c>
      <c r="AE2100">
        <v>-0.31839999999999602</v>
      </c>
      <c r="AF2100">
        <v>3.1602953309468802</v>
      </c>
      <c r="AG2100">
        <v>-1.1108382966777</v>
      </c>
      <c r="AH2100">
        <v>38.181300858795197</v>
      </c>
      <c r="AI2100">
        <v>91.660804430986602</v>
      </c>
      <c r="AJ2100">
        <v>85.268370515722793</v>
      </c>
      <c r="AK2100">
        <v>38.327968424767903</v>
      </c>
      <c r="AL2100">
        <v>93.162031082964702</v>
      </c>
      <c r="AM2100">
        <v>94.305578456616004</v>
      </c>
      <c r="AN2100">
        <v>0.99999993750122995</v>
      </c>
    </row>
    <row r="2101" spans="1:40" x14ac:dyDescent="0.25">
      <c r="A2101" t="str">
        <f>"20190305134941634"</f>
        <v>20190305134941634</v>
      </c>
      <c r="B2101" t="str">
        <f>"1551764981623071"</f>
        <v>1551764981623071</v>
      </c>
      <c r="C2101" t="s">
        <v>40</v>
      </c>
      <c r="D2101">
        <v>4.0920129999999997</v>
      </c>
      <c r="E2101">
        <v>0.55947690000000005</v>
      </c>
      <c r="F2101" t="s">
        <v>74</v>
      </c>
      <c r="G2101">
        <v>-253.9974</v>
      </c>
      <c r="H2101" s="1">
        <v>5.904277E-7</v>
      </c>
      <c r="I2101">
        <v>286.0763</v>
      </c>
      <c r="J2101">
        <v>-216.05189999999999</v>
      </c>
      <c r="K2101">
        <v>1.1107899999999999</v>
      </c>
      <c r="L2101">
        <v>286.4486</v>
      </c>
      <c r="M2101">
        <v>-0.99568990000000002</v>
      </c>
      <c r="N2101">
        <v>-4.4894709999999998E-4</v>
      </c>
      <c r="O2101">
        <v>-9.2745040000000001E-2</v>
      </c>
      <c r="P2101">
        <v>-0.98452390000000001</v>
      </c>
      <c r="Q2101">
        <v>-5.4712230000000001E-2</v>
      </c>
      <c r="R2101">
        <v>-0.16649050000000001</v>
      </c>
      <c r="S2101">
        <v>-3.0364840000000002</v>
      </c>
      <c r="T2101">
        <v>-8.8460330000000004E-2</v>
      </c>
      <c r="U2101">
        <v>-3.1127930000000002E-2</v>
      </c>
      <c r="V2101">
        <v>-7.4088039999999994E-2</v>
      </c>
      <c r="W2101">
        <v>-5.4776360000000003E-2</v>
      </c>
      <c r="X2101">
        <v>0.99574620000000003</v>
      </c>
      <c r="Y2101">
        <v>8.2460049999999993E-2</v>
      </c>
      <c r="Z2101">
        <v>3.8756960000000001E-3</v>
      </c>
      <c r="AA2101">
        <v>0.99658690000000005</v>
      </c>
      <c r="AB2101">
        <v>31</v>
      </c>
      <c r="AC2101">
        <v>-37.945500000000003</v>
      </c>
      <c r="AD2101">
        <v>-1.1107894095723001</v>
      </c>
      <c r="AE2101">
        <v>-0.37229999999999502</v>
      </c>
      <c r="AF2101">
        <v>3.14586602269154</v>
      </c>
      <c r="AG2101">
        <v>-1.1107894095723001</v>
      </c>
      <c r="AH2101">
        <v>37.784104677984601</v>
      </c>
      <c r="AI2101">
        <v>91.678111973357701</v>
      </c>
      <c r="AJ2101">
        <v>85.240589076744797</v>
      </c>
      <c r="AK2101">
        <v>37.931107187400201</v>
      </c>
      <c r="AL2101">
        <v>93.140025858409302</v>
      </c>
      <c r="AM2101">
        <v>94.255225434084906</v>
      </c>
      <c r="AN2101">
        <v>0.99999999105016502</v>
      </c>
    </row>
    <row r="2102" spans="1:40" x14ac:dyDescent="0.25">
      <c r="A2102" t="str">
        <f>"20190305134941654"</f>
        <v>20190305134941654</v>
      </c>
      <c r="B2102" t="str">
        <f>"1551764981642594"</f>
        <v>1551764981642594</v>
      </c>
      <c r="C2102" t="s">
        <v>40</v>
      </c>
      <c r="D2102">
        <v>4.1237019999999998</v>
      </c>
      <c r="E2102">
        <v>0.55949289999999996</v>
      </c>
      <c r="F2102" t="s">
        <v>74</v>
      </c>
      <c r="G2102">
        <v>-254.03919999999999</v>
      </c>
      <c r="H2102" s="1">
        <v>6.1266680000000003E-7</v>
      </c>
      <c r="I2102">
        <v>285.9923</v>
      </c>
      <c r="J2102">
        <v>-216.32589999999999</v>
      </c>
      <c r="K2102">
        <v>1.1107049999999901</v>
      </c>
      <c r="L2102">
        <v>286.42059999999998</v>
      </c>
      <c r="M2102">
        <v>-0.99542489999999995</v>
      </c>
      <c r="N2102">
        <v>-4.6727390000000002E-4</v>
      </c>
      <c r="O2102">
        <v>-9.5546099999999995E-2</v>
      </c>
      <c r="P2102">
        <v>-0.98441489999999998</v>
      </c>
      <c r="Q2102">
        <v>-5.3637079999999997E-2</v>
      </c>
      <c r="R2102">
        <v>-0.1674832</v>
      </c>
      <c r="S2102">
        <v>-3.036057</v>
      </c>
      <c r="T2102">
        <v>-8.8777540000000002E-2</v>
      </c>
      <c r="U2102">
        <v>-3.6468510000000003E-2</v>
      </c>
      <c r="V2102">
        <v>-7.2303240000000005E-2</v>
      </c>
      <c r="W2102">
        <v>-5.3655590000000003E-2</v>
      </c>
      <c r="X2102">
        <v>0.9959384</v>
      </c>
      <c r="Y2102">
        <v>8.3507570000000003E-2</v>
      </c>
      <c r="Z2102">
        <v>3.9850129999999999E-3</v>
      </c>
      <c r="AA2102">
        <v>0.99649920000000003</v>
      </c>
      <c r="AB2102">
        <v>32</v>
      </c>
      <c r="AC2102">
        <v>-37.713299999999997</v>
      </c>
      <c r="AD2102">
        <v>-1.1107043873332001</v>
      </c>
      <c r="AE2102">
        <v>-0.42829999999997798</v>
      </c>
      <c r="AF2102">
        <v>3.1742656540413301</v>
      </c>
      <c r="AG2102">
        <v>-1.1107043873332001</v>
      </c>
      <c r="AH2102">
        <v>37.549119202717598</v>
      </c>
      <c r="AI2102">
        <v>91.688298926323</v>
      </c>
      <c r="AJ2102">
        <v>85.1679124836092</v>
      </c>
      <c r="AK2102">
        <v>37.699416170258701</v>
      </c>
      <c r="AL2102">
        <v>93.075715885758399</v>
      </c>
      <c r="AM2102">
        <v>94.152280367210494</v>
      </c>
      <c r="AN2102">
        <v>0.99999998872365203</v>
      </c>
    </row>
    <row r="2103" spans="1:40" x14ac:dyDescent="0.25">
      <c r="A2103" t="str">
        <f>"20190305134941666"</f>
        <v>20190305134941666</v>
      </c>
      <c r="B2103" t="str">
        <f>"1551764981663087"</f>
        <v>1551764981663087</v>
      </c>
      <c r="C2103" t="s">
        <v>40</v>
      </c>
      <c r="D2103">
        <v>4.1223640000000001</v>
      </c>
      <c r="E2103">
        <v>0.55936239999999904</v>
      </c>
      <c r="F2103" t="s">
        <v>74</v>
      </c>
      <c r="G2103">
        <v>-255.93700000000001</v>
      </c>
      <c r="H2103" s="1">
        <v>1.622611E-6</v>
      </c>
      <c r="I2103">
        <v>285.90780000000001</v>
      </c>
      <c r="J2103">
        <v>-216.50980000000001</v>
      </c>
      <c r="K2103">
        <v>1.110636</v>
      </c>
      <c r="L2103">
        <v>286.40140000000002</v>
      </c>
      <c r="M2103">
        <v>-0.99525129999999995</v>
      </c>
      <c r="N2103">
        <v>-4.7983020000000001E-4</v>
      </c>
      <c r="O2103">
        <v>-9.733907E-2</v>
      </c>
      <c r="P2103">
        <v>-0.98429359999999999</v>
      </c>
      <c r="Q2103">
        <v>-5.3213450000000002E-2</v>
      </c>
      <c r="R2103">
        <v>-0.16832900000000001</v>
      </c>
      <c r="S2103">
        <v>-3.0361790000000002</v>
      </c>
      <c r="T2103">
        <v>-8.5134979999999999E-2</v>
      </c>
      <c r="U2103">
        <v>-3.9306639999999997E-2</v>
      </c>
      <c r="V2103">
        <v>-7.1374140000000003E-2</v>
      </c>
      <c r="W2103">
        <v>-5.3201930000000001E-2</v>
      </c>
      <c r="X2103">
        <v>0.99602970000000002</v>
      </c>
      <c r="Y2103">
        <v>8.4376809999999997E-2</v>
      </c>
      <c r="Z2103">
        <v>3.8812550000000001E-3</v>
      </c>
      <c r="AA2103">
        <v>0.99642629999999999</v>
      </c>
      <c r="AB2103">
        <v>32</v>
      </c>
      <c r="AC2103">
        <v>-39.427199999999999</v>
      </c>
      <c r="AD2103">
        <v>-1.1106343773889999</v>
      </c>
      <c r="AE2103">
        <v>-0.49360000000001403</v>
      </c>
      <c r="AF2103">
        <v>3.3438978761701201</v>
      </c>
      <c r="AG2103">
        <v>-1.1106343773889999</v>
      </c>
      <c r="AH2103">
        <v>39.256872050394897</v>
      </c>
      <c r="AI2103">
        <v>91.614705057242901</v>
      </c>
      <c r="AJ2103">
        <v>85.131301575837298</v>
      </c>
      <c r="AK2103">
        <v>39.4146820982685</v>
      </c>
      <c r="AL2103">
        <v>93.049686056412199</v>
      </c>
      <c r="AM2103">
        <v>94.098731970424794</v>
      </c>
      <c r="AN2103">
        <v>0.99999993824927502</v>
      </c>
    </row>
    <row r="2104" spans="1:40" x14ac:dyDescent="0.25">
      <c r="A2104" t="str">
        <f>"20190305134941689"</f>
        <v>20190305134941689</v>
      </c>
      <c r="B2104" t="str">
        <f>"1551764981682607"</f>
        <v>1551764981682607</v>
      </c>
      <c r="C2104" t="s">
        <v>40</v>
      </c>
      <c r="D2104">
        <v>4.1040140000000003</v>
      </c>
      <c r="E2104">
        <v>0.55922519999999998</v>
      </c>
      <c r="F2104" t="s">
        <v>74</v>
      </c>
      <c r="G2104">
        <v>-256.47840000000002</v>
      </c>
      <c r="H2104" s="1">
        <v>1.9106800000000001E-6</v>
      </c>
      <c r="I2104">
        <v>285.83850000000001</v>
      </c>
      <c r="J2104">
        <v>-216.82300000000001</v>
      </c>
      <c r="K2104">
        <v>1.110509</v>
      </c>
      <c r="L2104">
        <v>286.36810000000003</v>
      </c>
      <c r="M2104">
        <v>-0.99496359999999995</v>
      </c>
      <c r="N2104">
        <v>-5.0217049999999998E-4</v>
      </c>
      <c r="O2104">
        <v>-0.1002367</v>
      </c>
      <c r="P2104">
        <v>-0.98419509999999999</v>
      </c>
      <c r="Q2104">
        <v>-5.2342640000000003E-2</v>
      </c>
      <c r="R2104">
        <v>-0.1691762</v>
      </c>
      <c r="S2104">
        <v>-3.0360109999999998</v>
      </c>
      <c r="T2104">
        <v>-8.43637E-2</v>
      </c>
      <c r="U2104">
        <v>-4.2755130000000002E-2</v>
      </c>
      <c r="V2104">
        <v>-6.9347010000000001E-2</v>
      </c>
      <c r="W2104">
        <v>-5.2275629999999997E-2</v>
      </c>
      <c r="X2104">
        <v>0.99622200000000005</v>
      </c>
      <c r="Y2104">
        <v>8.6145360000000004E-2</v>
      </c>
      <c r="Z2104">
        <v>3.9484999999999998E-3</v>
      </c>
      <c r="AA2104">
        <v>0.99627480000000002</v>
      </c>
      <c r="AB2104">
        <v>32</v>
      </c>
      <c r="AC2104">
        <v>-39.6554</v>
      </c>
      <c r="AD2104">
        <v>-1.11050708932</v>
      </c>
      <c r="AE2104">
        <v>-0.52960000000001595</v>
      </c>
      <c r="AF2104">
        <v>3.4452923913214999</v>
      </c>
      <c r="AG2104">
        <v>-1.11050708932</v>
      </c>
      <c r="AH2104">
        <v>39.477811888229297</v>
      </c>
      <c r="AI2104">
        <v>91.605201837307604</v>
      </c>
      <c r="AJ2104">
        <v>85.012341744471698</v>
      </c>
      <c r="AK2104">
        <v>39.643421864661804</v>
      </c>
      <c r="AL2104">
        <v>92.996538789082194</v>
      </c>
      <c r="AM2104">
        <v>93.981935746298404</v>
      </c>
      <c r="AN2104">
        <v>1.00000001128591</v>
      </c>
    </row>
    <row r="2105" spans="1:40" x14ac:dyDescent="0.25">
      <c r="A2105" t="str">
        <f>"20190305134941711"</f>
        <v>20190305134941711</v>
      </c>
      <c r="B2105" t="str">
        <f>"1551764981703105"</f>
        <v>1551764981703105</v>
      </c>
      <c r="C2105" t="s">
        <v>40</v>
      </c>
      <c r="D2105">
        <v>4.147157</v>
      </c>
      <c r="E2105">
        <v>0.559195</v>
      </c>
      <c r="F2105" t="s">
        <v>74</v>
      </c>
      <c r="G2105">
        <v>-258.28250000000003</v>
      </c>
      <c r="H2105" s="1">
        <v>2.8707420000000002E-6</v>
      </c>
      <c r="I2105">
        <v>285.7346</v>
      </c>
      <c r="J2105">
        <v>-217.1412</v>
      </c>
      <c r="K2105">
        <v>1.1103559999999999</v>
      </c>
      <c r="L2105">
        <v>286.33359999999999</v>
      </c>
      <c r="M2105">
        <v>-0.99469039999999997</v>
      </c>
      <c r="N2105">
        <v>-5.2565499999999998E-4</v>
      </c>
      <c r="O2105">
        <v>-0.1029133</v>
      </c>
      <c r="P2105">
        <v>-0.98411720000000003</v>
      </c>
      <c r="Q2105">
        <v>-5.0799869999999997E-2</v>
      </c>
      <c r="R2105">
        <v>-0.17009779999999999</v>
      </c>
      <c r="S2105">
        <v>-3.035873</v>
      </c>
      <c r="T2105">
        <v>-8.1316949999999999E-2</v>
      </c>
      <c r="U2105">
        <v>-4.6386719999999999E-2</v>
      </c>
      <c r="V2105">
        <v>-6.7619559999999995E-2</v>
      </c>
      <c r="W2105">
        <v>-5.0673799999999998E-2</v>
      </c>
      <c r="X2105">
        <v>0.99642350000000002</v>
      </c>
      <c r="Y2105">
        <v>8.763725E-2</v>
      </c>
      <c r="Z2105">
        <v>3.893994E-3</v>
      </c>
      <c r="AA2105">
        <v>0.99614480000000005</v>
      </c>
      <c r="AB2105">
        <v>32</v>
      </c>
      <c r="AC2105">
        <v>-41.141300000000001</v>
      </c>
      <c r="AD2105">
        <v>-1.110353129258</v>
      </c>
      <c r="AE2105">
        <v>-0.59899999999998899</v>
      </c>
      <c r="AF2105">
        <v>3.6355196179287002</v>
      </c>
      <c r="AG2105">
        <v>-1.110353129258</v>
      </c>
      <c r="AH2105">
        <v>40.954673561702599</v>
      </c>
      <c r="AI2105">
        <v>91.546928810352497</v>
      </c>
      <c r="AJ2105">
        <v>84.927187778962093</v>
      </c>
      <c r="AK2105">
        <v>41.130708400289201</v>
      </c>
      <c r="AL2105">
        <v>92.904638838618496</v>
      </c>
      <c r="AM2105">
        <v>93.882269270962496</v>
      </c>
      <c r="AN2105">
        <v>1.0000000151266399</v>
      </c>
    </row>
    <row r="2106" spans="1:40" x14ac:dyDescent="0.25">
      <c r="A2106" t="str">
        <f>"20190305134941731"</f>
        <v>20190305134941731</v>
      </c>
      <c r="B2106" t="str">
        <f>"1551764981722627"</f>
        <v>1551764981722627</v>
      </c>
      <c r="C2106" t="s">
        <v>40</v>
      </c>
      <c r="D2106">
        <v>4.1181939999999999</v>
      </c>
      <c r="E2106">
        <v>0.55917450000000002</v>
      </c>
      <c r="F2106" t="s">
        <v>74</v>
      </c>
      <c r="G2106">
        <v>-261.14089999999999</v>
      </c>
      <c r="H2106" s="1">
        <v>-9.2968149999999999E-7</v>
      </c>
      <c r="I2106">
        <v>285.61660000000001</v>
      </c>
      <c r="J2106">
        <v>-217.4402</v>
      </c>
      <c r="K2106">
        <v>1.1101829999999999</v>
      </c>
      <c r="L2106">
        <v>286.3005</v>
      </c>
      <c r="M2106">
        <v>-0.99445589999999995</v>
      </c>
      <c r="N2106">
        <v>-5.4809149999999996E-4</v>
      </c>
      <c r="O2106">
        <v>-0.10515330000000001</v>
      </c>
      <c r="P2106">
        <v>-0.98415799999999998</v>
      </c>
      <c r="Q2106">
        <v>-4.9377190000000001E-2</v>
      </c>
      <c r="R2106">
        <v>-0.1702794</v>
      </c>
      <c r="S2106">
        <v>-3.0358890000000001</v>
      </c>
      <c r="T2106">
        <v>-7.6612470000000002E-2</v>
      </c>
      <c r="U2106">
        <v>-4.9468989999999997E-2</v>
      </c>
      <c r="V2106">
        <v>-6.5580760000000002E-2</v>
      </c>
      <c r="W2106">
        <v>-4.9189200000000002E-2</v>
      </c>
      <c r="X2106">
        <v>0.99663409999999997</v>
      </c>
      <c r="Y2106">
        <v>8.8876319999999995E-2</v>
      </c>
      <c r="Z2106">
        <v>3.736573E-3</v>
      </c>
      <c r="AA2106">
        <v>0.99603560000000002</v>
      </c>
      <c r="AB2106">
        <v>32</v>
      </c>
      <c r="AC2106">
        <v>-43.700699999999898</v>
      </c>
      <c r="AD2106">
        <v>-1.1101839296814999</v>
      </c>
      <c r="AE2106">
        <v>-0.68389999999999396</v>
      </c>
      <c r="AF2106">
        <v>3.9126404022245</v>
      </c>
      <c r="AG2106">
        <v>-1.1101839296814999</v>
      </c>
      <c r="AH2106">
        <v>43.5022701905066</v>
      </c>
      <c r="AI2106">
        <v>91.456004191277898</v>
      </c>
      <c r="AJ2106">
        <v>84.860585196704207</v>
      </c>
      <c r="AK2106">
        <v>43.691976094045998</v>
      </c>
      <c r="AL2106">
        <v>92.819471406992605</v>
      </c>
      <c r="AM2106">
        <v>93.764763383232903</v>
      </c>
      <c r="AN2106">
        <v>0.99999997138081298</v>
      </c>
    </row>
    <row r="2107" spans="1:40" x14ac:dyDescent="0.25">
      <c r="A2107" t="str">
        <f>"20190305134941744"</f>
        <v>20190305134941744</v>
      </c>
      <c r="B2107" t="str">
        <f>"1551764981732383"</f>
        <v>1551764981732383</v>
      </c>
      <c r="C2107" t="s">
        <v>40</v>
      </c>
      <c r="D2107">
        <v>4.1135519999999897</v>
      </c>
      <c r="E2107">
        <v>0.55915439999999905</v>
      </c>
      <c r="F2107" t="s">
        <v>74</v>
      </c>
      <c r="G2107">
        <v>-262.28109999999998</v>
      </c>
      <c r="H2107" s="1">
        <v>-3.2288110000000001E-7</v>
      </c>
      <c r="I2107">
        <v>285.56220000000002</v>
      </c>
      <c r="J2107">
        <v>-217.6216</v>
      </c>
      <c r="K2107">
        <v>1.1100669999999999</v>
      </c>
      <c r="L2107">
        <v>286.28030000000001</v>
      </c>
      <c r="M2107">
        <v>-0.99432430000000005</v>
      </c>
      <c r="N2107">
        <v>-5.6224249999999997E-4</v>
      </c>
      <c r="O2107">
        <v>-0.1063923</v>
      </c>
      <c r="P2107">
        <v>-0.98412140000000004</v>
      </c>
      <c r="Q2107">
        <v>-4.922692E-2</v>
      </c>
      <c r="R2107">
        <v>-0.17053550000000001</v>
      </c>
      <c r="S2107">
        <v>-3.0359039999999999</v>
      </c>
      <c r="T2107">
        <v>-7.5163599999999997E-2</v>
      </c>
      <c r="U2107">
        <v>-4.9987789999999997E-2</v>
      </c>
      <c r="V2107">
        <v>-6.4610409999999993E-2</v>
      </c>
      <c r="W2107">
        <v>-4.9002839999999999E-2</v>
      </c>
      <c r="X2107">
        <v>0.99670669999999995</v>
      </c>
      <c r="Y2107">
        <v>8.9948829999999994E-2</v>
      </c>
      <c r="Z2107">
        <v>3.7078079999999999E-3</v>
      </c>
      <c r="AA2107">
        <v>0.99593949999999998</v>
      </c>
      <c r="AB2107">
        <v>32</v>
      </c>
      <c r="AC2107">
        <v>-44.659499999999902</v>
      </c>
      <c r="AD2107">
        <v>-1.1100673228811</v>
      </c>
      <c r="AE2107">
        <v>-0.71809999999999197</v>
      </c>
      <c r="AF2107">
        <v>4.0349101141207697</v>
      </c>
      <c r="AG2107">
        <v>-1.1100673228811</v>
      </c>
      <c r="AH2107">
        <v>44.454964748732998</v>
      </c>
      <c r="AI2107">
        <v>91.424559600531197</v>
      </c>
      <c r="AJ2107">
        <v>84.813816548260903</v>
      </c>
      <c r="AK2107">
        <v>44.651502101289402</v>
      </c>
      <c r="AL2107">
        <v>92.808780751555702</v>
      </c>
      <c r="AM2107">
        <v>93.708946209972098</v>
      </c>
      <c r="AN2107">
        <v>1.0000000146166601</v>
      </c>
    </row>
    <row r="2108" spans="1:40" x14ac:dyDescent="0.25">
      <c r="A2108" t="str">
        <f>"20190305134941757"</f>
        <v>20190305134941757</v>
      </c>
      <c r="B2108" t="str">
        <f>"1551764981752879"</f>
        <v>1551764981752879</v>
      </c>
      <c r="C2108" t="s">
        <v>40</v>
      </c>
      <c r="D2108">
        <v>3.896109</v>
      </c>
      <c r="E2108">
        <v>0.56484269999999903</v>
      </c>
      <c r="F2108" t="s">
        <v>74</v>
      </c>
      <c r="G2108">
        <v>-261.666</v>
      </c>
      <c r="H2108" s="1">
        <v>-6.5024010000000002E-7</v>
      </c>
      <c r="I2108">
        <v>285.54399999999998</v>
      </c>
      <c r="J2108">
        <v>-217.81209999999999</v>
      </c>
      <c r="K2108">
        <v>1.1099490000000001</v>
      </c>
      <c r="L2108">
        <v>286.25880000000001</v>
      </c>
      <c r="M2108">
        <v>-0.99419369999999996</v>
      </c>
      <c r="N2108">
        <v>-5.7763469999999996E-4</v>
      </c>
      <c r="O2108">
        <v>-0.1076047</v>
      </c>
      <c r="P2108">
        <v>-0.98412409999999995</v>
      </c>
      <c r="Q2108">
        <v>-4.9123409999999999E-2</v>
      </c>
      <c r="R2108">
        <v>-0.17054859999999999</v>
      </c>
      <c r="S2108">
        <v>-3.0357820000000002</v>
      </c>
      <c r="T2108">
        <v>-7.65121E-2</v>
      </c>
      <c r="U2108">
        <v>-5.0750730000000001E-2</v>
      </c>
      <c r="V2108">
        <v>-6.342217E-2</v>
      </c>
      <c r="W2108">
        <v>-4.8860189999999998E-2</v>
      </c>
      <c r="X2108">
        <v>0.99678999999999995</v>
      </c>
      <c r="Y2108">
        <v>9.0909550000000006E-2</v>
      </c>
      <c r="Z2108">
        <v>3.8161990000000002E-3</v>
      </c>
      <c r="AA2108">
        <v>0.99585179999999995</v>
      </c>
      <c r="AB2108">
        <v>32</v>
      </c>
      <c r="AC2108">
        <v>-43.853900000000003</v>
      </c>
      <c r="AD2108">
        <v>-1.1099496502401001</v>
      </c>
      <c r="AE2108">
        <v>-0.71479999999996802</v>
      </c>
      <c r="AF2108">
        <v>4.0056709578399197</v>
      </c>
      <c r="AG2108">
        <v>-1.1099496502401001</v>
      </c>
      <c r="AH2108">
        <v>43.648235622751201</v>
      </c>
      <c r="AI2108">
        <v>91.450591902161705</v>
      </c>
      <c r="AJ2108">
        <v>84.756558548308803</v>
      </c>
      <c r="AK2108">
        <v>43.845705160571399</v>
      </c>
      <c r="AL2108">
        <v>92.800597756042293</v>
      </c>
      <c r="AM2108">
        <v>93.640617300789202</v>
      </c>
      <c r="AN2108">
        <v>0.99999999695717201</v>
      </c>
    </row>
    <row r="2109" spans="1:40" x14ac:dyDescent="0.25">
      <c r="A2109" t="str">
        <f>"20190305134941776"</f>
        <v>20190305134941776</v>
      </c>
      <c r="B2109" t="str">
        <f>"1551764981772400"</f>
        <v>1551764981772400</v>
      </c>
      <c r="C2109" t="s">
        <v>40</v>
      </c>
      <c r="D2109">
        <v>3.8902649999999999</v>
      </c>
      <c r="E2109">
        <v>0.56467469999999997</v>
      </c>
      <c r="F2109" t="s">
        <v>47</v>
      </c>
      <c r="G2109">
        <v>0</v>
      </c>
      <c r="H2109">
        <v>0</v>
      </c>
      <c r="I2109">
        <v>0</v>
      </c>
      <c r="J2109">
        <v>-218.0797</v>
      </c>
      <c r="K2109">
        <v>1.1097790000000001</v>
      </c>
      <c r="L2109">
        <v>286.2285</v>
      </c>
      <c r="M2109">
        <v>-0.99402729999999995</v>
      </c>
      <c r="N2109">
        <v>-6.0016069999999999E-4</v>
      </c>
      <c r="O2109">
        <v>-0.1091318</v>
      </c>
      <c r="P2109">
        <v>-0.98418879999999997</v>
      </c>
      <c r="Q2109">
        <v>-4.9241559999999997E-2</v>
      </c>
      <c r="R2109">
        <v>-0.17014290000000001</v>
      </c>
      <c r="S2109">
        <v>-3.0653079999999999</v>
      </c>
      <c r="T2109">
        <v>0.49239519999999998</v>
      </c>
      <c r="U2109">
        <v>-4.4158940000000001E-2</v>
      </c>
      <c r="V2109">
        <v>-6.1500689999999997E-2</v>
      </c>
      <c r="W2109">
        <v>-4.8920600000000002E-2</v>
      </c>
      <c r="X2109">
        <v>0.9969074</v>
      </c>
      <c r="Y2109">
        <v>9.2220510000000006E-2</v>
      </c>
      <c r="Z2109">
        <v>-2.4784879999999999E-2</v>
      </c>
      <c r="AA2109">
        <v>0.99543009999999998</v>
      </c>
      <c r="AB2109">
        <v>33</v>
      </c>
      <c r="AC2109">
        <v>-3.0653079999999999</v>
      </c>
      <c r="AD2109">
        <v>0.49239519999999998</v>
      </c>
      <c r="AE2109">
        <v>-4.4158940000000001E-2</v>
      </c>
      <c r="AF2109">
        <v>0.28331828498790601</v>
      </c>
      <c r="AG2109">
        <v>0.49239519999999998</v>
      </c>
      <c r="AH2109">
        <v>2.9750675812996699</v>
      </c>
      <c r="AI2109">
        <v>80.643900865004099</v>
      </c>
      <c r="AJ2109">
        <v>84.560078015533094</v>
      </c>
      <c r="AK2109">
        <v>3.0288198026445499</v>
      </c>
      <c r="AL2109">
        <v>92.804063236062902</v>
      </c>
      <c r="AM2109">
        <v>93.530187362858996</v>
      </c>
      <c r="AN2109">
        <v>0.99999996207479702</v>
      </c>
    </row>
    <row r="2110" spans="1:40" x14ac:dyDescent="0.25">
      <c r="A2110" t="str">
        <f>"20190305134941788"</f>
        <v>20190305134941788</v>
      </c>
      <c r="B2110" t="str">
        <f>"1551764981783135"</f>
        <v>1551764981783135</v>
      </c>
      <c r="C2110" t="s">
        <v>40</v>
      </c>
      <c r="D2110">
        <v>3.8671389999999999</v>
      </c>
      <c r="E2110">
        <v>0.5651853</v>
      </c>
      <c r="F2110" t="s">
        <v>47</v>
      </c>
      <c r="G2110">
        <v>0</v>
      </c>
      <c r="H2110">
        <v>0</v>
      </c>
      <c r="I2110">
        <v>0</v>
      </c>
      <c r="J2110">
        <v>-218.2655</v>
      </c>
      <c r="K2110">
        <v>1.109645</v>
      </c>
      <c r="L2110">
        <v>286.20729999999998</v>
      </c>
      <c r="M2110">
        <v>-0.99392380000000002</v>
      </c>
      <c r="N2110">
        <v>-6.1643750000000001E-4</v>
      </c>
      <c r="O2110">
        <v>-0.1100691</v>
      </c>
      <c r="P2110">
        <v>-0.98419279999999998</v>
      </c>
      <c r="Q2110">
        <v>-4.9445639999999999E-2</v>
      </c>
      <c r="R2110">
        <v>-0.17005880000000001</v>
      </c>
      <c r="S2110">
        <v>-3.0652620000000002</v>
      </c>
      <c r="T2110">
        <v>0.4916971</v>
      </c>
      <c r="U2110">
        <v>-4.348755E-2</v>
      </c>
      <c r="V2110">
        <v>-6.0491929999999999E-2</v>
      </c>
      <c r="W2110">
        <v>-4.9084339999999997E-2</v>
      </c>
      <c r="X2110">
        <v>0.99696110000000004</v>
      </c>
      <c r="Y2110">
        <v>9.3357469999999998E-2</v>
      </c>
      <c r="Z2110">
        <v>-2.4991180000000002E-2</v>
      </c>
      <c r="AA2110">
        <v>0.99531890000000001</v>
      </c>
      <c r="AB2110">
        <v>33</v>
      </c>
      <c r="AC2110">
        <v>-3.0652620000000002</v>
      </c>
      <c r="AD2110">
        <v>0.4916971</v>
      </c>
      <c r="AE2110">
        <v>-4.348755E-2</v>
      </c>
      <c r="AF2110">
        <v>0.28678940736595399</v>
      </c>
      <c r="AG2110">
        <v>0.4916971</v>
      </c>
      <c r="AH2110">
        <v>2.9748917672772599</v>
      </c>
      <c r="AI2110">
        <v>80.657410816951398</v>
      </c>
      <c r="AJ2110">
        <v>84.4935136049519</v>
      </c>
      <c r="AK2110">
        <v>3.02886038459018</v>
      </c>
      <c r="AL2110">
        <v>92.813456051498207</v>
      </c>
      <c r="AM2110">
        <v>93.472240034598101</v>
      </c>
      <c r="AN2110">
        <v>0.99999999047078503</v>
      </c>
    </row>
    <row r="2111" spans="1:40" x14ac:dyDescent="0.25">
      <c r="A2111" t="str">
        <f>"20190305134941811"</f>
        <v>20190305134941811</v>
      </c>
      <c r="B2111" t="str">
        <f>"1551764981802656"</f>
        <v>1551764981802656</v>
      </c>
      <c r="C2111" t="s">
        <v>40</v>
      </c>
      <c r="D2111">
        <v>3.8840599999999998</v>
      </c>
      <c r="E2111">
        <v>0.56520669999999995</v>
      </c>
      <c r="F2111" t="s">
        <v>47</v>
      </c>
      <c r="G2111">
        <v>0</v>
      </c>
      <c r="H2111">
        <v>0</v>
      </c>
      <c r="I2111">
        <v>0</v>
      </c>
      <c r="J2111">
        <v>-218.60050000000001</v>
      </c>
      <c r="K2111">
        <v>1.109383</v>
      </c>
      <c r="L2111">
        <v>286.16890000000001</v>
      </c>
      <c r="M2111">
        <v>-0.99377519999999997</v>
      </c>
      <c r="N2111">
        <v>-6.4706729999999997E-4</v>
      </c>
      <c r="O2111">
        <v>-0.1114018</v>
      </c>
      <c r="P2111">
        <v>-0.98438599999999998</v>
      </c>
      <c r="Q2111">
        <v>-4.8474940000000001E-2</v>
      </c>
      <c r="R2111">
        <v>-0.1692168</v>
      </c>
      <c r="S2111">
        <v>-3.0662989999999999</v>
      </c>
      <c r="T2111">
        <v>0.49520029999999998</v>
      </c>
      <c r="U2111">
        <v>-3.9184570000000002E-2</v>
      </c>
      <c r="V2111">
        <v>-5.8332219999999997E-2</v>
      </c>
      <c r="W2111">
        <v>-4.8035700000000001E-2</v>
      </c>
      <c r="X2111">
        <v>0.9971409</v>
      </c>
      <c r="Y2111">
        <v>9.6006250000000001E-2</v>
      </c>
      <c r="Z2111">
        <v>-2.5586049999999999E-2</v>
      </c>
      <c r="AA2111">
        <v>0.99505189999999999</v>
      </c>
      <c r="AB2111">
        <v>33</v>
      </c>
      <c r="AC2111">
        <v>-3.0662989999999999</v>
      </c>
      <c r="AD2111">
        <v>0.49520029999999998</v>
      </c>
      <c r="AE2111">
        <v>-3.9184570000000002E-2</v>
      </c>
      <c r="AF2111">
        <v>0.29495892903294602</v>
      </c>
      <c r="AG2111">
        <v>0.49520029999999998</v>
      </c>
      <c r="AH2111">
        <v>2.9740235121615699</v>
      </c>
      <c r="AI2111">
        <v>80.591820079917994</v>
      </c>
      <c r="AJ2111">
        <v>84.336018097156</v>
      </c>
      <c r="AK2111">
        <v>3.02936296237776</v>
      </c>
      <c r="AL2111">
        <v>92.753302340404005</v>
      </c>
      <c r="AM2111">
        <v>93.347957435034203</v>
      </c>
      <c r="AN2111">
        <v>1.00000002540871</v>
      </c>
    </row>
    <row r="2112" spans="1:40" x14ac:dyDescent="0.25">
      <c r="A2112" t="str">
        <f>"20190305134941824"</f>
        <v>20190305134941824</v>
      </c>
      <c r="B2112" t="str">
        <f>"1551764981812416"</f>
        <v>1551764981812416</v>
      </c>
      <c r="C2112" t="s">
        <v>40</v>
      </c>
      <c r="D2112">
        <v>3.9163649999999999</v>
      </c>
      <c r="E2112">
        <v>0.56520669999999995</v>
      </c>
      <c r="F2112" t="s">
        <v>47</v>
      </c>
      <c r="G2112">
        <v>0</v>
      </c>
      <c r="H2112">
        <v>0</v>
      </c>
      <c r="I2112">
        <v>0</v>
      </c>
      <c r="J2112">
        <v>-218.79429999999999</v>
      </c>
      <c r="K2112">
        <v>1.1092139999999999</v>
      </c>
      <c r="L2112">
        <v>286.14659999999998</v>
      </c>
      <c r="M2112">
        <v>-0.99371290000000001</v>
      </c>
      <c r="N2112">
        <v>-6.6582149999999999E-4</v>
      </c>
      <c r="O2112">
        <v>-0.1119573</v>
      </c>
      <c r="P2112">
        <v>-0.98448089999999999</v>
      </c>
      <c r="Q2112">
        <v>-4.7304880000000001E-2</v>
      </c>
      <c r="R2112">
        <v>-0.16899649999999999</v>
      </c>
      <c r="S2112">
        <v>-3.0658720000000002</v>
      </c>
      <c r="T2112">
        <v>0.49670579999999998</v>
      </c>
      <c r="U2112">
        <v>-3.598022E-2</v>
      </c>
      <c r="V2112">
        <v>-5.756907E-2</v>
      </c>
      <c r="W2112">
        <v>-4.6819609999999998E-2</v>
      </c>
      <c r="X2112">
        <v>0.99724299999999999</v>
      </c>
      <c r="Y2112">
        <v>9.7555829999999996E-2</v>
      </c>
      <c r="Z2112">
        <v>-2.5881330000000001E-2</v>
      </c>
      <c r="AA2112">
        <v>0.99489349999999999</v>
      </c>
      <c r="AB2112">
        <v>33</v>
      </c>
      <c r="AC2112">
        <v>-3.0658720000000002</v>
      </c>
      <c r="AD2112">
        <v>0.49670579999999998</v>
      </c>
      <c r="AE2112">
        <v>-3.598022E-2</v>
      </c>
      <c r="AF2112">
        <v>0.299629296830212</v>
      </c>
      <c r="AG2112">
        <v>0.49670579999999998</v>
      </c>
      <c r="AH2112">
        <v>2.9726118333510998</v>
      </c>
      <c r="AI2112">
        <v>80.560815621872493</v>
      </c>
      <c r="AJ2112">
        <v>84.244218019173402</v>
      </c>
      <c r="AK2112">
        <v>3.0286821356906399</v>
      </c>
      <c r="AL2112">
        <v>92.683547252384201</v>
      </c>
      <c r="AM2112">
        <v>93.303916851792195</v>
      </c>
      <c r="AN2112">
        <v>0.99999993737510595</v>
      </c>
    </row>
    <row r="2113" spans="1:40" x14ac:dyDescent="0.25">
      <c r="A2113" t="str">
        <f>"20190305134941842"</f>
        <v>20190305134941842</v>
      </c>
      <c r="B2113" t="str">
        <f>"1551764981832911"</f>
        <v>1551764981832911</v>
      </c>
      <c r="C2113" t="s">
        <v>40</v>
      </c>
      <c r="D2113">
        <v>3.8741560000000002</v>
      </c>
      <c r="E2113">
        <v>0.55674089999999998</v>
      </c>
      <c r="F2113" t="s">
        <v>47</v>
      </c>
      <c r="G2113">
        <v>0</v>
      </c>
      <c r="H2113">
        <v>0</v>
      </c>
      <c r="I2113">
        <v>0</v>
      </c>
      <c r="J2113">
        <v>-219.07040000000001</v>
      </c>
      <c r="K2113">
        <v>1.108984</v>
      </c>
      <c r="L2113">
        <v>286.11489999999998</v>
      </c>
      <c r="M2113">
        <v>-0.993645</v>
      </c>
      <c r="N2113">
        <v>-6.9349479999999996E-4</v>
      </c>
      <c r="O2113">
        <v>-0.1125579</v>
      </c>
      <c r="P2113">
        <v>-0.98471830000000005</v>
      </c>
      <c r="Q2113">
        <v>-4.5355489999999998E-2</v>
      </c>
      <c r="R2113">
        <v>-0.1681465</v>
      </c>
      <c r="S2113">
        <v>-3.0653079999999999</v>
      </c>
      <c r="T2113">
        <v>0.50016110000000003</v>
      </c>
      <c r="U2113">
        <v>-3.5095210000000002E-2</v>
      </c>
      <c r="V2113">
        <v>-5.6128129999999998E-2</v>
      </c>
      <c r="W2113">
        <v>-4.4804330000000003E-2</v>
      </c>
      <c r="X2113">
        <v>0.99741769999999996</v>
      </c>
      <c r="Y2113">
        <v>9.8384189999999996E-2</v>
      </c>
      <c r="Z2113">
        <v>-2.6229410000000002E-2</v>
      </c>
      <c r="AA2113">
        <v>0.99480279999999999</v>
      </c>
      <c r="AB2113">
        <v>33</v>
      </c>
      <c r="AC2113">
        <v>-3.0653079999999999</v>
      </c>
      <c r="AD2113">
        <v>0.50016110000000003</v>
      </c>
      <c r="AE2113">
        <v>-3.5095210000000002E-2</v>
      </c>
      <c r="AF2113">
        <v>0.30211020694922103</v>
      </c>
      <c r="AG2113">
        <v>0.50016110000000003</v>
      </c>
      <c r="AH2113">
        <v>2.9706975465641698</v>
      </c>
      <c r="AI2113">
        <v>80.491176217362906</v>
      </c>
      <c r="AJ2113">
        <v>84.193170551010596</v>
      </c>
      <c r="AK2113">
        <v>3.02761880299659</v>
      </c>
      <c r="AL2113">
        <v>92.567958843152496</v>
      </c>
      <c r="AM2113">
        <v>93.220833953013397</v>
      </c>
      <c r="AN2113">
        <v>0.99999993161866496</v>
      </c>
    </row>
    <row r="2114" spans="1:40" x14ac:dyDescent="0.25">
      <c r="A2114" t="str">
        <f>"20190305134941865"</f>
        <v>20190305134941865</v>
      </c>
      <c r="B2114" t="str">
        <f>"1551764981852432"</f>
        <v>1551764981852432</v>
      </c>
      <c r="C2114" t="s">
        <v>40</v>
      </c>
      <c r="D2114">
        <v>3.8726060000000002</v>
      </c>
      <c r="E2114">
        <v>0.55897180000000002</v>
      </c>
      <c r="F2114" t="s">
        <v>76</v>
      </c>
      <c r="G2114">
        <v>-511.97230000000002</v>
      </c>
      <c r="H2114">
        <v>41.183799999999998</v>
      </c>
      <c r="I2114">
        <v>277.18759999999997</v>
      </c>
      <c r="J2114">
        <v>-219.39930000000001</v>
      </c>
      <c r="K2114">
        <v>1.108692</v>
      </c>
      <c r="L2114">
        <v>286.07709999999997</v>
      </c>
      <c r="M2114">
        <v>-0.99360409999999999</v>
      </c>
      <c r="N2114">
        <v>-7.2881889999999998E-4</v>
      </c>
      <c r="O2114">
        <v>-0.11291760000000001</v>
      </c>
      <c r="P2114">
        <v>-0.98495180000000004</v>
      </c>
      <c r="Q2114">
        <v>-4.3066170000000001E-2</v>
      </c>
      <c r="R2114">
        <v>-0.16737859999999999</v>
      </c>
      <c r="S2114">
        <v>-3.0498959999999999</v>
      </c>
      <c r="T2114">
        <v>0.41728710000000002</v>
      </c>
      <c r="U2114">
        <v>-9.2956540000000004E-2</v>
      </c>
      <c r="V2114">
        <v>-5.5015179999999997E-2</v>
      </c>
      <c r="W2114">
        <v>-4.2435489999999999E-2</v>
      </c>
      <c r="X2114">
        <v>0.99758340000000001</v>
      </c>
      <c r="Y2114">
        <v>8.0790360000000006E-2</v>
      </c>
      <c r="Z2114">
        <v>-2.0895360000000002E-2</v>
      </c>
      <c r="AA2114">
        <v>0.99651210000000001</v>
      </c>
      <c r="AB2114">
        <v>33</v>
      </c>
      <c r="AC2114">
        <v>-292.57299999999998</v>
      </c>
      <c r="AD2114">
        <v>40.075108</v>
      </c>
      <c r="AE2114">
        <v>-8.8894999999999893</v>
      </c>
      <c r="AF2114">
        <v>23.7586529500024</v>
      </c>
      <c r="AG2114">
        <v>40.075108</v>
      </c>
      <c r="AH2114">
        <v>286.33824234288602</v>
      </c>
      <c r="AI2114">
        <v>82.059729410793196</v>
      </c>
      <c r="AJ2114">
        <v>85.256800515771104</v>
      </c>
      <c r="AK2114">
        <v>290.10356236906802</v>
      </c>
      <c r="AL2114">
        <v>92.432104696920007</v>
      </c>
      <c r="AM2114">
        <v>93.156576037102298</v>
      </c>
      <c r="AN2114">
        <v>1.0000000403987599</v>
      </c>
    </row>
    <row r="2115" spans="1:40" x14ac:dyDescent="0.25">
      <c r="A2115" t="str">
        <f>"20190305134941878"</f>
        <v>20190305134941878</v>
      </c>
      <c r="B2115" t="str">
        <f>"1551764981872927"</f>
        <v>1551764981872927</v>
      </c>
      <c r="C2115" t="s">
        <v>40</v>
      </c>
      <c r="D2115">
        <v>3.9316770000000001</v>
      </c>
      <c r="E2115">
        <v>0.5595099</v>
      </c>
      <c r="F2115" t="s">
        <v>76</v>
      </c>
      <c r="G2115">
        <v>-511.97340000000003</v>
      </c>
      <c r="H2115">
        <v>44.386710000000001</v>
      </c>
      <c r="I2115">
        <v>278.92939999999999</v>
      </c>
      <c r="J2115">
        <v>-219.60239999999999</v>
      </c>
      <c r="K2115">
        <v>1.108492</v>
      </c>
      <c r="L2115">
        <v>286.05399999999997</v>
      </c>
      <c r="M2115">
        <v>-0.99360539999999997</v>
      </c>
      <c r="N2115">
        <v>-7.5244519999999998E-4</v>
      </c>
      <c r="O2115">
        <v>-0.112906199999999</v>
      </c>
      <c r="P2115">
        <v>-0.98508969999999996</v>
      </c>
      <c r="Q2115">
        <v>-4.2185559999999997E-2</v>
      </c>
      <c r="R2115">
        <v>-0.1667901</v>
      </c>
      <c r="S2115">
        <v>-3.0529169999999999</v>
      </c>
      <c r="T2115">
        <v>0.45159290000000002</v>
      </c>
      <c r="U2115">
        <v>-7.4584960000000006E-2</v>
      </c>
      <c r="V2115">
        <v>-5.444885E-2</v>
      </c>
      <c r="W2115">
        <v>-4.1502959999999998E-2</v>
      </c>
      <c r="X2115">
        <v>0.99765369999999998</v>
      </c>
      <c r="Y2115">
        <v>8.6435239999999997E-2</v>
      </c>
      <c r="Z2115">
        <v>-2.2985249999999999E-2</v>
      </c>
      <c r="AA2115">
        <v>0.99599230000000005</v>
      </c>
      <c r="AB2115">
        <v>34</v>
      </c>
      <c r="AC2115">
        <v>-292.37099999999998</v>
      </c>
      <c r="AD2115">
        <v>43.278218000000003</v>
      </c>
      <c r="AE2115">
        <v>-7.12460000000004</v>
      </c>
      <c r="AF2115">
        <v>25.375775220097399</v>
      </c>
      <c r="AG2115">
        <v>43.278218000000003</v>
      </c>
      <c r="AH2115">
        <v>285.063455680716</v>
      </c>
      <c r="AI2115">
        <v>81.400793189418593</v>
      </c>
      <c r="AJ2115">
        <v>84.913053386689</v>
      </c>
      <c r="AK2115">
        <v>289.44448152609101</v>
      </c>
      <c r="AL2115">
        <v>92.378627548589606</v>
      </c>
      <c r="AM2115">
        <v>93.1239270228386</v>
      </c>
      <c r="AN2115">
        <v>1.00000003903938</v>
      </c>
    </row>
    <row r="2116" spans="1:40" x14ac:dyDescent="0.25">
      <c r="A2116" t="str">
        <f>"20190305134941901"</f>
        <v>20190305134941901</v>
      </c>
      <c r="B2116" t="str">
        <f>"1551764981892448"</f>
        <v>1551764981892448</v>
      </c>
      <c r="C2116" t="s">
        <v>40</v>
      </c>
      <c r="D2116">
        <v>3.8873679999999999</v>
      </c>
      <c r="E2116">
        <v>0.55981819999999904</v>
      </c>
      <c r="F2116" t="s">
        <v>76</v>
      </c>
      <c r="G2116">
        <v>-551.07889999999998</v>
      </c>
      <c r="H2116">
        <v>51.17906</v>
      </c>
      <c r="I2116">
        <v>278.59010000000001</v>
      </c>
      <c r="J2116">
        <v>-219.93809999999999</v>
      </c>
      <c r="K2116">
        <v>1.1081399999999999</v>
      </c>
      <c r="L2116">
        <v>286.01600000000002</v>
      </c>
      <c r="M2116">
        <v>-0.99364790000000003</v>
      </c>
      <c r="N2116">
        <v>-7.9428530000000004E-4</v>
      </c>
      <c r="O2116">
        <v>-0.1125327</v>
      </c>
      <c r="P2116">
        <v>-0.98533289999999996</v>
      </c>
      <c r="Q2116">
        <v>-4.1359670000000001E-2</v>
      </c>
      <c r="R2116">
        <v>-0.1655565</v>
      </c>
      <c r="S2116">
        <v>-3.0535130000000001</v>
      </c>
      <c r="T2116">
        <v>0.46124330000000002</v>
      </c>
      <c r="U2116">
        <v>-6.8756100000000001E-2</v>
      </c>
      <c r="V2116">
        <v>-5.3606929999999997E-2</v>
      </c>
      <c r="W2116">
        <v>-4.0587159999999997E-2</v>
      </c>
      <c r="X2116">
        <v>0.99773690000000004</v>
      </c>
      <c r="Y2116">
        <v>8.7861049999999996E-2</v>
      </c>
      <c r="Z2116">
        <v>-2.351961E-2</v>
      </c>
      <c r="AA2116">
        <v>0.99585500000000005</v>
      </c>
      <c r="AB2116">
        <v>34</v>
      </c>
      <c r="AC2116">
        <v>-331.14080000000001</v>
      </c>
      <c r="AD2116">
        <v>50.070920000000001</v>
      </c>
      <c r="AE2116">
        <v>-7.4258999999999498</v>
      </c>
      <c r="AF2116">
        <v>29.217752984485099</v>
      </c>
      <c r="AG2116">
        <v>50.070920000000001</v>
      </c>
      <c r="AH2116">
        <v>322.50316065854901</v>
      </c>
      <c r="AI2116">
        <v>81.210312567290501</v>
      </c>
      <c r="AJ2116">
        <v>84.8233181187762</v>
      </c>
      <c r="AK2116">
        <v>327.67218794682998</v>
      </c>
      <c r="AL2116">
        <v>92.326111976937099</v>
      </c>
      <c r="AM2116">
        <v>93.075460517054395</v>
      </c>
      <c r="AN2116">
        <v>0.99999997106124905</v>
      </c>
    </row>
    <row r="2117" spans="1:40" x14ac:dyDescent="0.25">
      <c r="A2117" t="str">
        <f>"20190305134941922"</f>
        <v>20190305134941922</v>
      </c>
      <c r="B2117" t="str">
        <f>"1551764981912943"</f>
        <v>1551764981912943</v>
      </c>
      <c r="C2117" t="s">
        <v>40</v>
      </c>
      <c r="D2117">
        <v>3.8627769999999999</v>
      </c>
      <c r="E2117">
        <v>0.56000839999999996</v>
      </c>
      <c r="F2117" t="s">
        <v>76</v>
      </c>
      <c r="G2117">
        <v>-551.07899999999995</v>
      </c>
      <c r="H2117">
        <v>51.815440000000002</v>
      </c>
      <c r="I2117">
        <v>279.26859999999999</v>
      </c>
      <c r="J2117">
        <v>-220.27070000000001</v>
      </c>
      <c r="K2117">
        <v>1.107777</v>
      </c>
      <c r="L2117">
        <v>285.97879999999998</v>
      </c>
      <c r="M2117">
        <v>-0.99373880000000003</v>
      </c>
      <c r="N2117">
        <v>-8.3866539999999997E-4</v>
      </c>
      <c r="O2117">
        <v>-0.11172650000000001</v>
      </c>
      <c r="P2117">
        <v>-0.98546769999999995</v>
      </c>
      <c r="Q2117">
        <v>-4.1639120000000002E-2</v>
      </c>
      <c r="R2117">
        <v>-0.16468060000000001</v>
      </c>
      <c r="S2117">
        <v>-3.0538639999999999</v>
      </c>
      <c r="T2117">
        <v>0.46763559999999998</v>
      </c>
      <c r="U2117">
        <v>-6.2225339999999997E-2</v>
      </c>
      <c r="V2117">
        <v>-5.3567990000000003E-2</v>
      </c>
      <c r="W2117">
        <v>-4.0774230000000002E-2</v>
      </c>
      <c r="X2117">
        <v>0.99773140000000005</v>
      </c>
      <c r="Y2117">
        <v>8.9115979999999997E-2</v>
      </c>
      <c r="Z2117">
        <v>-2.3814689999999999E-2</v>
      </c>
      <c r="AA2117">
        <v>0.99573650000000002</v>
      </c>
      <c r="AB2117">
        <v>34</v>
      </c>
      <c r="AC2117">
        <v>-330.80829999999997</v>
      </c>
      <c r="AD2117">
        <v>50.707662999999997</v>
      </c>
      <c r="AE2117">
        <v>-6.71019999999998</v>
      </c>
      <c r="AF2117">
        <v>29.596753242685601</v>
      </c>
      <c r="AG2117">
        <v>50.707662999999997</v>
      </c>
      <c r="AH2117">
        <v>321.92594479514599</v>
      </c>
      <c r="AI2117">
        <v>81.085676534503904</v>
      </c>
      <c r="AJ2117">
        <v>84.747191304345193</v>
      </c>
      <c r="AK2117">
        <v>327.23622785638702</v>
      </c>
      <c r="AL2117">
        <v>92.336839094788601</v>
      </c>
      <c r="AM2117">
        <v>93.073247699474507</v>
      </c>
      <c r="AN2117">
        <v>1.0000000069653401</v>
      </c>
    </row>
    <row r="2118" spans="1:40" x14ac:dyDescent="0.25">
      <c r="A2118" t="str">
        <f>"20190305134941943"</f>
        <v>20190305134941943</v>
      </c>
      <c r="B2118" t="str">
        <f>"1551764981932971"</f>
        <v>1551764981932971</v>
      </c>
      <c r="C2118" t="s">
        <v>40</v>
      </c>
      <c r="D2118">
        <v>3.8737699999999999</v>
      </c>
      <c r="E2118">
        <v>0.56001469999999998</v>
      </c>
      <c r="F2118" t="s">
        <v>47</v>
      </c>
      <c r="G2118">
        <v>0</v>
      </c>
      <c r="H2118">
        <v>0</v>
      </c>
      <c r="I2118">
        <v>0</v>
      </c>
      <c r="J2118">
        <v>-220.60040000000001</v>
      </c>
      <c r="K2118">
        <v>1.107415</v>
      </c>
      <c r="L2118">
        <v>285.9425</v>
      </c>
      <c r="M2118">
        <v>-0.99387289999999995</v>
      </c>
      <c r="N2118">
        <v>-8.8438429999999901E-4</v>
      </c>
      <c r="O2118">
        <v>-0.1105254</v>
      </c>
      <c r="P2118">
        <v>-0.98554799999999998</v>
      </c>
      <c r="Q2118">
        <v>-4.1939669999999998E-2</v>
      </c>
      <c r="R2118">
        <v>-0.16412270000000001</v>
      </c>
      <c r="S2118">
        <v>-3.0543520000000002</v>
      </c>
      <c r="T2118">
        <v>0.46909329999999999</v>
      </c>
      <c r="U2118">
        <v>-5.8105469999999999E-2</v>
      </c>
      <c r="V2118">
        <v>-5.4247379999999998E-2</v>
      </c>
      <c r="W2118">
        <v>-4.098106E-2</v>
      </c>
      <c r="X2118">
        <v>0.99768619999999997</v>
      </c>
      <c r="Y2118">
        <v>8.9256310000000005E-2</v>
      </c>
      <c r="Z2118">
        <v>-2.3714949999999999E-2</v>
      </c>
      <c r="AA2118">
        <v>0.99572629999999995</v>
      </c>
      <c r="AB2118">
        <v>34</v>
      </c>
      <c r="AC2118">
        <v>-3.0543520000000002</v>
      </c>
      <c r="AD2118">
        <v>0.46909329999999999</v>
      </c>
      <c r="AE2118">
        <v>-5.8105469999999999E-2</v>
      </c>
      <c r="AF2118">
        <v>0.27338795441339597</v>
      </c>
      <c r="AG2118">
        <v>0.46909329999999999</v>
      </c>
      <c r="AH2118">
        <v>2.9719849471364501</v>
      </c>
      <c r="AI2118">
        <v>81.067624419607796</v>
      </c>
      <c r="AJ2118">
        <v>84.744247662029693</v>
      </c>
      <c r="AK2118">
        <v>3.0211726239539698</v>
      </c>
      <c r="AL2118">
        <v>92.348699535028302</v>
      </c>
      <c r="AM2118">
        <v>93.1122895416989</v>
      </c>
      <c r="AN2118">
        <v>0.99999998959301395</v>
      </c>
    </row>
    <row r="2119" spans="1:40" x14ac:dyDescent="0.25">
      <c r="A2119" t="str">
        <f>"20190305134941957"</f>
        <v>20190305134941957</v>
      </c>
      <c r="B2119" t="str">
        <f>"1551764981952492"</f>
        <v>1551764981952492</v>
      </c>
      <c r="C2119" t="s">
        <v>40</v>
      </c>
      <c r="D2119">
        <v>3.8833989999999998</v>
      </c>
      <c r="E2119">
        <v>0.55993159999999997</v>
      </c>
      <c r="F2119" t="s">
        <v>47</v>
      </c>
      <c r="G2119">
        <v>0</v>
      </c>
      <c r="H2119">
        <v>0</v>
      </c>
      <c r="I2119">
        <v>0</v>
      </c>
      <c r="J2119">
        <v>-220.7955</v>
      </c>
      <c r="K2119">
        <v>1.107205</v>
      </c>
      <c r="L2119">
        <v>285.92140000000001</v>
      </c>
      <c r="M2119">
        <v>-0.99397219999999997</v>
      </c>
      <c r="N2119">
        <v>-9.1195320000000003E-4</v>
      </c>
      <c r="O2119">
        <v>-0.1096293</v>
      </c>
      <c r="P2119">
        <v>-0.98564949999999996</v>
      </c>
      <c r="Q2119">
        <v>-4.1709740000000002E-2</v>
      </c>
      <c r="R2119">
        <v>-0.16357060000000001</v>
      </c>
      <c r="S2119">
        <v>-3.0545200000000001</v>
      </c>
      <c r="T2119">
        <v>0.47033079999999999</v>
      </c>
      <c r="U2119">
        <v>-5.706787E-2</v>
      </c>
      <c r="V2119">
        <v>-5.460719E-2</v>
      </c>
      <c r="W2119">
        <v>-4.0695179999999997E-2</v>
      </c>
      <c r="X2119">
        <v>0.99767830000000002</v>
      </c>
      <c r="Y2119">
        <v>8.8702370000000003E-2</v>
      </c>
      <c r="Z2119">
        <v>-2.3597880000000002E-2</v>
      </c>
      <c r="AA2119">
        <v>0.99577859999999996</v>
      </c>
      <c r="AB2119">
        <v>34</v>
      </c>
      <c r="AC2119">
        <v>-3.0545200000000001</v>
      </c>
      <c r="AD2119">
        <v>0.47033079999999999</v>
      </c>
      <c r="AE2119">
        <v>-5.706787E-2</v>
      </c>
      <c r="AF2119">
        <v>0.271701472050695</v>
      </c>
      <c r="AG2119">
        <v>0.47033079999999999</v>
      </c>
      <c r="AH2119">
        <v>2.9719272346340802</v>
      </c>
      <c r="AI2119">
        <v>81.043817291604597</v>
      </c>
      <c r="AJ2119">
        <v>84.776388698800602</v>
      </c>
      <c r="AK2119">
        <v>3.0211561097207298</v>
      </c>
      <c r="AL2119">
        <v>92.332306078608596</v>
      </c>
      <c r="AM2119">
        <v>93.132916391326901</v>
      </c>
      <c r="AN2119">
        <v>1.0000000165828999</v>
      </c>
    </row>
    <row r="2120" spans="1:40" x14ac:dyDescent="0.25">
      <c r="A2120" t="str">
        <f>"20190305134941969"</f>
        <v>20190305134941969</v>
      </c>
      <c r="B2120" t="str">
        <f>"1551764981963228"</f>
        <v>1551764981963228</v>
      </c>
      <c r="C2120" t="s">
        <v>40</v>
      </c>
      <c r="D2120">
        <v>3.8916230000000001</v>
      </c>
      <c r="E2120">
        <v>0.55990980000000001</v>
      </c>
      <c r="F2120" t="s">
        <v>47</v>
      </c>
      <c r="G2120">
        <v>0</v>
      </c>
      <c r="H2120">
        <v>0</v>
      </c>
      <c r="I2120">
        <v>0</v>
      </c>
      <c r="J2120">
        <v>-220.99610000000001</v>
      </c>
      <c r="K2120">
        <v>1.1069899999999999</v>
      </c>
      <c r="L2120">
        <v>285.8999</v>
      </c>
      <c r="M2120">
        <v>-0.99408399999999997</v>
      </c>
      <c r="N2120">
        <v>-9.4033799999999998E-4</v>
      </c>
      <c r="O2120">
        <v>-0.10861030000000001</v>
      </c>
      <c r="P2120">
        <v>-0.9857494</v>
      </c>
      <c r="Q2120">
        <v>-4.1533639999999997E-2</v>
      </c>
      <c r="R2120">
        <v>-0.163014299999999</v>
      </c>
      <c r="S2120">
        <v>-3.0543369999999999</v>
      </c>
      <c r="T2120">
        <v>0.47205560000000002</v>
      </c>
      <c r="U2120">
        <v>-5.6091309999999998E-2</v>
      </c>
      <c r="V2120">
        <v>-5.5086280000000001E-2</v>
      </c>
      <c r="W2120">
        <v>-4.0461160000000003E-2</v>
      </c>
      <c r="X2120">
        <v>0.99766149999999998</v>
      </c>
      <c r="Y2120">
        <v>8.8001389999999999E-2</v>
      </c>
      <c r="Z2120">
        <v>-2.3476319999999998E-2</v>
      </c>
      <c r="AA2120">
        <v>0.99584360000000005</v>
      </c>
      <c r="AB2120">
        <v>34</v>
      </c>
      <c r="AC2120">
        <v>-3.0543369999999999</v>
      </c>
      <c r="AD2120">
        <v>0.47205560000000002</v>
      </c>
      <c r="AE2120">
        <v>-5.6091309999999998E-2</v>
      </c>
      <c r="AF2120">
        <v>0.269536972412461</v>
      </c>
      <c r="AG2120">
        <v>0.47205560000000002</v>
      </c>
      <c r="AH2120">
        <v>2.9714082635735499</v>
      </c>
      <c r="AI2120">
        <v>81.009395092392396</v>
      </c>
      <c r="AJ2120">
        <v>84.816874749723098</v>
      </c>
      <c r="AK2120">
        <v>3.0207207315178599</v>
      </c>
      <c r="AL2120">
        <v>92.318886622414695</v>
      </c>
      <c r="AM2120">
        <v>93.160400313919794</v>
      </c>
      <c r="AN2120">
        <v>1.0000000361475101</v>
      </c>
    </row>
    <row r="2121" spans="1:40" x14ac:dyDescent="0.25">
      <c r="A2121" t="str">
        <f>"20190305134941989"</f>
        <v>20190305134941989</v>
      </c>
      <c r="B2121" t="str">
        <f>"1551764981982747"</f>
        <v>1551764981982747</v>
      </c>
      <c r="C2121" t="s">
        <v>40</v>
      </c>
      <c r="D2121">
        <v>3.8685100000000001</v>
      </c>
      <c r="E2121">
        <v>0.55991669999999905</v>
      </c>
      <c r="F2121" t="s">
        <v>47</v>
      </c>
      <c r="G2121">
        <v>0</v>
      </c>
      <c r="H2121">
        <v>0</v>
      </c>
      <c r="I2121">
        <v>0</v>
      </c>
      <c r="J2121">
        <v>-221.29900000000001</v>
      </c>
      <c r="K2121">
        <v>1.1066670000000001</v>
      </c>
      <c r="L2121">
        <v>285.8682</v>
      </c>
      <c r="M2121">
        <v>-0.99428280000000002</v>
      </c>
      <c r="N2121">
        <v>-9.8374349999999998E-4</v>
      </c>
      <c r="O2121">
        <v>-0.10677499999999999</v>
      </c>
      <c r="P2121">
        <v>-0.98601430000000001</v>
      </c>
      <c r="Q2121">
        <v>-4.1474879999999999E-2</v>
      </c>
      <c r="R2121">
        <v>-0.1614187</v>
      </c>
      <c r="S2121">
        <v>-3.0542600000000002</v>
      </c>
      <c r="T2121">
        <v>0.4724778</v>
      </c>
      <c r="U2121">
        <v>-5.4534909999999999E-2</v>
      </c>
      <c r="V2121">
        <v>-5.5343499999999997E-2</v>
      </c>
      <c r="W2121">
        <v>-4.031651E-2</v>
      </c>
      <c r="X2121">
        <v>0.99765309999999996</v>
      </c>
      <c r="Y2121">
        <v>8.6702150000000006E-2</v>
      </c>
      <c r="Z2121">
        <v>-2.3118719999999999E-2</v>
      </c>
      <c r="AA2121">
        <v>0.99596600000000002</v>
      </c>
      <c r="AB2121">
        <v>34</v>
      </c>
      <c r="AC2121">
        <v>-3.0542600000000002</v>
      </c>
      <c r="AD2121">
        <v>0.4724778</v>
      </c>
      <c r="AE2121">
        <v>-5.4534909999999999E-2</v>
      </c>
      <c r="AF2121">
        <v>0.26554306023517699</v>
      </c>
      <c r="AG2121">
        <v>0.4724778</v>
      </c>
      <c r="AH2121">
        <v>2.97153489281372</v>
      </c>
      <c r="AI2121">
        <v>81.000797141656705</v>
      </c>
      <c r="AJ2121">
        <v>84.893483974554897</v>
      </c>
      <c r="AK2121">
        <v>3.0205575656724899</v>
      </c>
      <c r="AL2121">
        <v>92.310592066803096</v>
      </c>
      <c r="AM2121">
        <v>93.175154049196294</v>
      </c>
      <c r="AN2121">
        <v>1.00000001595521</v>
      </c>
    </row>
    <row r="2122" spans="1:40" x14ac:dyDescent="0.25">
      <c r="A2122" t="str">
        <f>"20190305134942002"</f>
        <v>20190305134942002</v>
      </c>
      <c r="B2122" t="str">
        <f>"1551764981992507"</f>
        <v>1551764981992507</v>
      </c>
      <c r="C2122" t="s">
        <v>40</v>
      </c>
      <c r="D2122">
        <v>3.917548</v>
      </c>
      <c r="E2122">
        <v>0.55993040000000005</v>
      </c>
      <c r="F2122" t="s">
        <v>47</v>
      </c>
      <c r="G2122">
        <v>0</v>
      </c>
      <c r="H2122">
        <v>0</v>
      </c>
      <c r="I2122">
        <v>0</v>
      </c>
      <c r="J2122">
        <v>-221.5033</v>
      </c>
      <c r="K2122">
        <v>1.1064620000000001</v>
      </c>
      <c r="L2122">
        <v>285.84730000000002</v>
      </c>
      <c r="M2122">
        <v>-0.99443369999999998</v>
      </c>
      <c r="N2122">
        <v>-1.013143E-3</v>
      </c>
      <c r="O2122">
        <v>-0.1053591</v>
      </c>
      <c r="P2122">
        <v>-0.98622509999999997</v>
      </c>
      <c r="Q2122">
        <v>-4.1696039999999997E-2</v>
      </c>
      <c r="R2122">
        <v>-0.16006619999999999</v>
      </c>
      <c r="S2122">
        <v>-3.0543520000000002</v>
      </c>
      <c r="T2122">
        <v>0.4728117</v>
      </c>
      <c r="U2122">
        <v>-4.9530030000000003E-2</v>
      </c>
      <c r="V2122">
        <v>-5.5417340000000002E-2</v>
      </c>
      <c r="W2122">
        <v>-4.0480960000000003E-2</v>
      </c>
      <c r="X2122">
        <v>0.99764229999999998</v>
      </c>
      <c r="Y2122">
        <v>8.6926699999999996E-2</v>
      </c>
      <c r="Z2122">
        <v>-2.2935540000000001E-2</v>
      </c>
      <c r="AA2122">
        <v>0.99595060000000002</v>
      </c>
      <c r="AB2122">
        <v>35</v>
      </c>
      <c r="AC2122">
        <v>-3.0543520000000002</v>
      </c>
      <c r="AD2122">
        <v>0.4728117</v>
      </c>
      <c r="AE2122">
        <v>-4.9530030000000003E-2</v>
      </c>
      <c r="AF2122">
        <v>0.26617300951711398</v>
      </c>
      <c r="AG2122">
        <v>0.4728117</v>
      </c>
      <c r="AH2122">
        <v>2.9713865019124599</v>
      </c>
      <c r="AI2122">
        <v>80.994269432027593</v>
      </c>
      <c r="AJ2122">
        <v>84.8811797716819</v>
      </c>
      <c r="AK2122">
        <v>3.0205192795941298</v>
      </c>
      <c r="AL2122">
        <v>92.320022152764295</v>
      </c>
      <c r="AM2122">
        <v>93.179416042621099</v>
      </c>
      <c r="AN2122">
        <v>0.99999997422224296</v>
      </c>
    </row>
    <row r="2123" spans="1:40" x14ac:dyDescent="0.25">
      <c r="A2123" t="str">
        <f>"20190305134942023"</f>
        <v>20190305134942023</v>
      </c>
      <c r="B2123" t="str">
        <f>"1551764982013003"</f>
        <v>1551764982013003</v>
      </c>
      <c r="C2123" t="s">
        <v>40</v>
      </c>
      <c r="D2123">
        <v>3.8772220000000002</v>
      </c>
      <c r="E2123">
        <v>0.55998059999999905</v>
      </c>
      <c r="F2123" t="s">
        <v>47</v>
      </c>
      <c r="G2123">
        <v>0</v>
      </c>
      <c r="H2123">
        <v>0</v>
      </c>
      <c r="I2123">
        <v>0</v>
      </c>
      <c r="J2123">
        <v>-221.83009999999999</v>
      </c>
      <c r="K2123">
        <v>1.1061430000000001</v>
      </c>
      <c r="L2123">
        <v>285.81439999999998</v>
      </c>
      <c r="M2123">
        <v>-0.9946893</v>
      </c>
      <c r="N2123">
        <v>-1.0593950000000001E-3</v>
      </c>
      <c r="O2123">
        <v>-0.1029186</v>
      </c>
      <c r="P2123">
        <v>-0.98662720000000004</v>
      </c>
      <c r="Q2123">
        <v>-4.2136600000000003E-2</v>
      </c>
      <c r="R2123">
        <v>-0.15745379999999901</v>
      </c>
      <c r="S2123">
        <v>-3.0545040000000001</v>
      </c>
      <c r="T2123">
        <v>0.47248889999999999</v>
      </c>
      <c r="U2123">
        <v>-4.5501710000000001E-2</v>
      </c>
      <c r="V2123">
        <v>-5.5257180000000003E-2</v>
      </c>
      <c r="W2123">
        <v>-4.083469E-2</v>
      </c>
      <c r="X2123">
        <v>0.99763679999999999</v>
      </c>
      <c r="Y2123">
        <v>8.5841360000000005E-2</v>
      </c>
      <c r="Z2123">
        <v>-2.2463319999999998E-2</v>
      </c>
      <c r="AA2123">
        <v>0.99605549999999998</v>
      </c>
      <c r="AB2123">
        <v>35</v>
      </c>
      <c r="AC2123">
        <v>-3.0545040000000001</v>
      </c>
      <c r="AD2123">
        <v>0.47248889999999999</v>
      </c>
      <c r="AE2123">
        <v>-4.5501710000000001E-2</v>
      </c>
      <c r="AF2123">
        <v>0.26281809042636101</v>
      </c>
      <c r="AG2123">
        <v>0.47248889999999999</v>
      </c>
      <c r="AH2123">
        <v>2.97187243786564</v>
      </c>
      <c r="AI2123">
        <v>81.000870828266102</v>
      </c>
      <c r="AJ2123">
        <v>84.946184672947894</v>
      </c>
      <c r="AK2123">
        <v>3.02065305790387</v>
      </c>
      <c r="AL2123">
        <v>92.340306086674104</v>
      </c>
      <c r="AM2123">
        <v>93.170263519314702</v>
      </c>
      <c r="AN2123">
        <v>1.0000000062815899</v>
      </c>
    </row>
    <row r="2124" spans="1:40" x14ac:dyDescent="0.25">
      <c r="A2124" t="str">
        <f>"20190305134942037"</f>
        <v>20190305134942037</v>
      </c>
      <c r="B2124" t="str">
        <f>"1551764982033030"</f>
        <v>1551764982033030</v>
      </c>
      <c r="C2124" t="s">
        <v>40</v>
      </c>
      <c r="D2124">
        <v>3.8859210000000002</v>
      </c>
      <c r="E2124">
        <v>0.56004229999999999</v>
      </c>
      <c r="F2124" t="s">
        <v>47</v>
      </c>
      <c r="G2124">
        <v>0</v>
      </c>
      <c r="H2124">
        <v>0</v>
      </c>
      <c r="I2124">
        <v>0</v>
      </c>
      <c r="J2124">
        <v>-222.05799999999999</v>
      </c>
      <c r="K2124">
        <v>1.105942</v>
      </c>
      <c r="L2124">
        <v>285.79219999999998</v>
      </c>
      <c r="M2124">
        <v>-0.99487789999999998</v>
      </c>
      <c r="N2124">
        <v>-1.0906729999999999E-3</v>
      </c>
      <c r="O2124">
        <v>-0.1010775</v>
      </c>
      <c r="P2124">
        <v>-0.98692250000000004</v>
      </c>
      <c r="Q2124">
        <v>-4.2641890000000002E-2</v>
      </c>
      <c r="R2124">
        <v>-0.1554537</v>
      </c>
      <c r="S2124">
        <v>-3.0548250000000001</v>
      </c>
      <c r="T2124">
        <v>0.47086850000000002</v>
      </c>
      <c r="U2124">
        <v>-3.7292480000000003E-2</v>
      </c>
      <c r="V2124">
        <v>-5.5105840000000003E-2</v>
      </c>
      <c r="W2124">
        <v>-4.1283050000000002E-2</v>
      </c>
      <c r="X2124">
        <v>0.99762669999999998</v>
      </c>
      <c r="Y2124">
        <v>8.6702589999999996E-2</v>
      </c>
      <c r="Z2124">
        <v>-2.2170479999999999E-2</v>
      </c>
      <c r="AA2124">
        <v>0.99598750000000003</v>
      </c>
      <c r="AB2124">
        <v>35</v>
      </c>
      <c r="AC2124">
        <v>-3.0548250000000001</v>
      </c>
      <c r="AD2124">
        <v>0.47086850000000002</v>
      </c>
      <c r="AE2124">
        <v>-3.7292480000000003E-2</v>
      </c>
      <c r="AF2124">
        <v>0.26536885026276402</v>
      </c>
      <c r="AG2124">
        <v>0.47086850000000002</v>
      </c>
      <c r="AH2124">
        <v>2.9723402378030199</v>
      </c>
      <c r="AI2124">
        <v>81.033275977711995</v>
      </c>
      <c r="AJ2124">
        <v>84.898191808943906</v>
      </c>
      <c r="AK2124">
        <v>3.0210832925036901</v>
      </c>
      <c r="AL2124">
        <v>92.366016946455204</v>
      </c>
      <c r="AM2124">
        <v>93.161630289641096</v>
      </c>
      <c r="AN2124">
        <v>0.99999998818614799</v>
      </c>
    </row>
    <row r="2125" spans="1:40" x14ac:dyDescent="0.25">
      <c r="A2125" t="str">
        <f>"20190305134942054"</f>
        <v>20190305134942054</v>
      </c>
      <c r="B2125" t="str">
        <f>"1551764982042790"</f>
        <v>1551764982042790</v>
      </c>
      <c r="C2125" t="s">
        <v>40</v>
      </c>
      <c r="D2125">
        <v>4.061229</v>
      </c>
      <c r="E2125">
        <v>0.56004229999999999</v>
      </c>
      <c r="F2125" t="s">
        <v>47</v>
      </c>
      <c r="G2125">
        <v>0</v>
      </c>
      <c r="H2125">
        <v>0</v>
      </c>
      <c r="I2125">
        <v>0</v>
      </c>
      <c r="J2125">
        <v>-222.3297</v>
      </c>
      <c r="K2125">
        <v>1.1057220000000001</v>
      </c>
      <c r="L2125">
        <v>285.76620000000003</v>
      </c>
      <c r="M2125">
        <v>-0.9951101</v>
      </c>
      <c r="N2125">
        <v>-1.1265069999999999E-3</v>
      </c>
      <c r="O2125">
        <v>-9.8765989999999998E-2</v>
      </c>
      <c r="P2125">
        <v>-0.98725940000000001</v>
      </c>
      <c r="Q2125">
        <v>-4.4161880000000001E-2</v>
      </c>
      <c r="R2125">
        <v>-0.15286810000000001</v>
      </c>
      <c r="S2125">
        <v>-3.0552220000000001</v>
      </c>
      <c r="T2125">
        <v>0.46857090000000001</v>
      </c>
      <c r="U2125">
        <v>-3.0456540000000001E-2</v>
      </c>
      <c r="V2125">
        <v>-5.4846550000000001E-2</v>
      </c>
      <c r="W2125">
        <v>-4.2739979999999997E-2</v>
      </c>
      <c r="X2125">
        <v>0.99757960000000001</v>
      </c>
      <c r="Y2125">
        <v>8.6667610000000006E-2</v>
      </c>
      <c r="Z2125">
        <v>-2.1707520000000001E-2</v>
      </c>
      <c r="AA2125">
        <v>0.99600080000000002</v>
      </c>
      <c r="AB2125">
        <v>35</v>
      </c>
      <c r="AC2125">
        <v>-3.0552220000000001</v>
      </c>
      <c r="AD2125">
        <v>0.46857090000000001</v>
      </c>
      <c r="AE2125">
        <v>-3.0456540000000001E-2</v>
      </c>
      <c r="AF2125">
        <v>0.26520712298965898</v>
      </c>
      <c r="AG2125">
        <v>0.46857090000000001</v>
      </c>
      <c r="AH2125">
        <v>2.97336114194351</v>
      </c>
      <c r="AI2125">
        <v>81.079271817912598</v>
      </c>
      <c r="AJ2125">
        <v>84.903026099736906</v>
      </c>
      <c r="AK2125">
        <v>3.0217163974851902</v>
      </c>
      <c r="AL2125">
        <v>92.449566742202506</v>
      </c>
      <c r="AM2125">
        <v>93.146932084896207</v>
      </c>
      <c r="AN2125">
        <v>0.99999995413673004</v>
      </c>
    </row>
    <row r="2126" spans="1:40" x14ac:dyDescent="0.25">
      <c r="A2126" t="str">
        <f>"20190305134942066"</f>
        <v>20190305134942066</v>
      </c>
      <c r="B2126" t="str">
        <f>"1551764982063286"</f>
        <v>1551764982063286</v>
      </c>
      <c r="C2126" t="s">
        <v>40</v>
      </c>
      <c r="D2126">
        <v>3.8819840000000001</v>
      </c>
      <c r="E2126">
        <v>0.56025899999999995</v>
      </c>
      <c r="F2126" t="s">
        <v>47</v>
      </c>
      <c r="G2126">
        <v>0</v>
      </c>
      <c r="H2126">
        <v>0</v>
      </c>
      <c r="I2126">
        <v>0</v>
      </c>
      <c r="J2126">
        <v>-222.51859999999999</v>
      </c>
      <c r="K2126">
        <v>1.1055820000000001</v>
      </c>
      <c r="L2126">
        <v>285.74869999999999</v>
      </c>
      <c r="M2126">
        <v>-0.99527449999999995</v>
      </c>
      <c r="N2126">
        <v>-1.150341E-3</v>
      </c>
      <c r="O2126">
        <v>-9.7094840000000002E-2</v>
      </c>
      <c r="P2126">
        <v>-0.9875292</v>
      </c>
      <c r="Q2126">
        <v>-4.4613720000000003E-2</v>
      </c>
      <c r="R2126">
        <v>-0.15098329999999999</v>
      </c>
      <c r="S2126">
        <v>-3.055939</v>
      </c>
      <c r="T2126">
        <v>0.46399309999999999</v>
      </c>
      <c r="U2126">
        <v>-2.2827150000000001E-2</v>
      </c>
      <c r="V2126">
        <v>-5.4636280000000002E-2</v>
      </c>
      <c r="W2126">
        <v>-4.315128E-2</v>
      </c>
      <c r="X2126">
        <v>0.9975735</v>
      </c>
      <c r="Y2126">
        <v>8.7535779999999994E-2</v>
      </c>
      <c r="Z2126">
        <v>-2.130727E-2</v>
      </c>
      <c r="AA2126">
        <v>0.99593350000000003</v>
      </c>
      <c r="AB2126">
        <v>35</v>
      </c>
      <c r="AC2126">
        <v>-3.055939</v>
      </c>
      <c r="AD2126">
        <v>0.46399309999999999</v>
      </c>
      <c r="AE2126">
        <v>-2.2827150000000001E-2</v>
      </c>
      <c r="AF2126">
        <v>0.26782293457611001</v>
      </c>
      <c r="AG2126">
        <v>0.46399309999999999</v>
      </c>
      <c r="AH2126">
        <v>2.9751335672433701</v>
      </c>
      <c r="AI2126">
        <v>81.170861740097905</v>
      </c>
      <c r="AJ2126">
        <v>84.856071783786206</v>
      </c>
      <c r="AK2126">
        <v>3.02298502544601</v>
      </c>
      <c r="AL2126">
        <v>92.473154091262302</v>
      </c>
      <c r="AM2126">
        <v>93.134910658082703</v>
      </c>
      <c r="AN2126">
        <v>1.00000002198006</v>
      </c>
    </row>
    <row r="2127" spans="1:40" x14ac:dyDescent="0.25">
      <c r="A2127" t="str">
        <f>"20190305134942078"</f>
        <v>20190305134942078</v>
      </c>
      <c r="B2127" t="str">
        <f>"1551764982073045"</f>
        <v>1551764982073045</v>
      </c>
      <c r="C2127" t="s">
        <v>40</v>
      </c>
      <c r="D2127">
        <v>3.8921960000000002</v>
      </c>
      <c r="E2127">
        <v>0.56032539999999997</v>
      </c>
      <c r="F2127" t="s">
        <v>47</v>
      </c>
      <c r="G2127">
        <v>0</v>
      </c>
      <c r="H2127">
        <v>0</v>
      </c>
      <c r="I2127">
        <v>0</v>
      </c>
      <c r="J2127">
        <v>-222.7201</v>
      </c>
      <c r="K2127">
        <v>1.10545</v>
      </c>
      <c r="L2127">
        <v>285.7303</v>
      </c>
      <c r="M2127">
        <v>-0.995452</v>
      </c>
      <c r="N2127">
        <v>-1.174565E-3</v>
      </c>
      <c r="O2127">
        <v>-9.5257869999999994E-2</v>
      </c>
      <c r="P2127">
        <v>-0.98779170000000005</v>
      </c>
      <c r="Q2127">
        <v>-4.4930560000000001E-2</v>
      </c>
      <c r="R2127">
        <v>-0.14916270000000001</v>
      </c>
      <c r="S2127">
        <v>-3.0564879999999999</v>
      </c>
      <c r="T2127">
        <v>0.46324419999999999</v>
      </c>
      <c r="U2127">
        <v>-1.5197749999999999E-2</v>
      </c>
      <c r="V2127">
        <v>-5.4654170000000002E-2</v>
      </c>
      <c r="W2127">
        <v>-4.3426930000000002E-2</v>
      </c>
      <c r="X2127">
        <v>0.99756060000000002</v>
      </c>
      <c r="Y2127">
        <v>8.8205699999999998E-2</v>
      </c>
      <c r="Z2127">
        <v>-2.1043579999999999E-2</v>
      </c>
      <c r="AA2127">
        <v>0.99587990000000004</v>
      </c>
      <c r="AB2127">
        <v>35</v>
      </c>
      <c r="AC2127">
        <v>-3.0564879999999999</v>
      </c>
      <c r="AD2127">
        <v>0.46324419999999999</v>
      </c>
      <c r="AE2127">
        <v>-1.5197749999999999E-2</v>
      </c>
      <c r="AF2127">
        <v>0.26982808702918198</v>
      </c>
      <c r="AG2127">
        <v>0.46324419999999999</v>
      </c>
      <c r="AH2127">
        <v>2.9756847771202599</v>
      </c>
      <c r="AI2127">
        <v>81.187006416859603</v>
      </c>
      <c r="AJ2127">
        <v>84.818723560296803</v>
      </c>
      <c r="AK2127">
        <v>3.0235909574823001</v>
      </c>
      <c r="AL2127">
        <v>92.488962387902006</v>
      </c>
      <c r="AM2127">
        <v>93.135975570406103</v>
      </c>
      <c r="AN2127">
        <v>1.00000006360998</v>
      </c>
    </row>
    <row r="2128" spans="1:40" x14ac:dyDescent="0.25">
      <c r="A2128" t="str">
        <f>"20190305134942092"</f>
        <v>20190305134942092</v>
      </c>
      <c r="B2128" t="str">
        <f>"1551764982082806"</f>
        <v>1551764982082806</v>
      </c>
      <c r="C2128" t="s">
        <v>40</v>
      </c>
      <c r="D2128">
        <v>3.8697590000000002</v>
      </c>
      <c r="E2128">
        <v>0.56042259999999999</v>
      </c>
      <c r="F2128" t="s">
        <v>47</v>
      </c>
      <c r="G2128">
        <v>0</v>
      </c>
      <c r="H2128">
        <v>0</v>
      </c>
      <c r="I2128">
        <v>0</v>
      </c>
      <c r="J2128">
        <v>-222.9359</v>
      </c>
      <c r="K2128">
        <v>1.1053189999999999</v>
      </c>
      <c r="L2128">
        <v>285.71100000000001</v>
      </c>
      <c r="M2128">
        <v>-0.99564090000000005</v>
      </c>
      <c r="N2128">
        <v>-1.199489E-3</v>
      </c>
      <c r="O2128">
        <v>-9.326226E-2</v>
      </c>
      <c r="P2128">
        <v>-0.98808490000000004</v>
      </c>
      <c r="Q2128">
        <v>-4.492583E-2</v>
      </c>
      <c r="R2128">
        <v>-0.14720820000000001</v>
      </c>
      <c r="S2128">
        <v>-3.0567630000000001</v>
      </c>
      <c r="T2128">
        <v>0.46234249999999999</v>
      </c>
      <c r="U2128">
        <v>-8.8806149999999997E-3</v>
      </c>
      <c r="V2128">
        <v>-5.4694239999999998E-2</v>
      </c>
      <c r="W2128">
        <v>-4.3380370000000001E-2</v>
      </c>
      <c r="X2128">
        <v>0.99756040000000001</v>
      </c>
      <c r="Y2128">
        <v>8.8297940000000005E-2</v>
      </c>
      <c r="Z2128">
        <v>-2.0708420000000002E-2</v>
      </c>
      <c r="AA2128">
        <v>0.99587879999999995</v>
      </c>
      <c r="AB2128">
        <v>36</v>
      </c>
      <c r="AC2128">
        <v>-3.0567630000000001</v>
      </c>
      <c r="AD2128">
        <v>0.46234249999999999</v>
      </c>
      <c r="AE2128">
        <v>-8.8806149999999997E-3</v>
      </c>
      <c r="AF2128">
        <v>0.27006071026842599</v>
      </c>
      <c r="AG2128">
        <v>0.46234249999999999</v>
      </c>
      <c r="AH2128">
        <v>2.9761822104373898</v>
      </c>
      <c r="AI2128">
        <v>81.205388543856401</v>
      </c>
      <c r="AJ2128">
        <v>84.815143046854203</v>
      </c>
      <c r="AK2128">
        <v>3.0239632809048702</v>
      </c>
      <c r="AL2128">
        <v>92.486292253838002</v>
      </c>
      <c r="AM2128">
        <v>93.138270761740699</v>
      </c>
      <c r="AN2128">
        <v>1.00000003401933</v>
      </c>
    </row>
    <row r="2129" spans="1:40" x14ac:dyDescent="0.25">
      <c r="A2129" t="str">
        <f>"20190305134942113"</f>
        <v>20190305134942113</v>
      </c>
      <c r="B2129" t="str">
        <f>"1551764982102325"</f>
        <v>1551764982102325</v>
      </c>
      <c r="C2129" t="s">
        <v>40</v>
      </c>
      <c r="D2129">
        <v>3.853405</v>
      </c>
      <c r="E2129">
        <v>0.56042019999999904</v>
      </c>
      <c r="F2129" t="s">
        <v>47</v>
      </c>
      <c r="G2129">
        <v>0</v>
      </c>
      <c r="H2129">
        <v>0</v>
      </c>
      <c r="I2129">
        <v>0</v>
      </c>
      <c r="J2129">
        <v>-223.25989999999999</v>
      </c>
      <c r="K2129">
        <v>1.105151</v>
      </c>
      <c r="L2129">
        <v>285.68299999999999</v>
      </c>
      <c r="M2129">
        <v>-0.99592329999999996</v>
      </c>
      <c r="N2129">
        <v>-1.234998E-3</v>
      </c>
      <c r="O2129">
        <v>-9.0197230000000003E-2</v>
      </c>
      <c r="P2129">
        <v>-0.98855479999999996</v>
      </c>
      <c r="Q2129">
        <v>-4.428783E-2</v>
      </c>
      <c r="R2129">
        <v>-0.14421500000000001</v>
      </c>
      <c r="S2129">
        <v>-3.0569459999999999</v>
      </c>
      <c r="T2129">
        <v>0.46264529999999898</v>
      </c>
      <c r="U2129">
        <v>-1.8615719999999999E-3</v>
      </c>
      <c r="V2129">
        <v>-5.4753429999999999E-2</v>
      </c>
      <c r="W2129">
        <v>-4.2685309999999997E-2</v>
      </c>
      <c r="X2129">
        <v>0.99758709999999995</v>
      </c>
      <c r="Y2129">
        <v>8.7560120000000005E-2</v>
      </c>
      <c r="Z2129">
        <v>-2.0204110000000001E-2</v>
      </c>
      <c r="AA2129">
        <v>0.99595429999999996</v>
      </c>
      <c r="AB2129">
        <v>36</v>
      </c>
      <c r="AC2129">
        <v>-3.0569459999999999</v>
      </c>
      <c r="AD2129">
        <v>0.46264529999999898</v>
      </c>
      <c r="AE2129">
        <v>-1.8615719999999999E-3</v>
      </c>
      <c r="AF2129">
        <v>0.26774176006904798</v>
      </c>
      <c r="AG2129">
        <v>0.46264529999999898</v>
      </c>
      <c r="AH2129">
        <v>2.97647881751011</v>
      </c>
      <c r="AI2129">
        <v>81.199970298236593</v>
      </c>
      <c r="AJ2129">
        <v>84.859934195483604</v>
      </c>
      <c r="AK2129">
        <v>3.02409531509563</v>
      </c>
      <c r="AL2129">
        <v>92.446431413366099</v>
      </c>
      <c r="AM2129">
        <v>93.141576275854106</v>
      </c>
      <c r="AN2129">
        <v>0.99999999793648497</v>
      </c>
    </row>
    <row r="2130" spans="1:40" x14ac:dyDescent="0.25">
      <c r="A2130" t="str">
        <f>"20190305134942134"</f>
        <v>20190305134942134</v>
      </c>
      <c r="B2130" t="str">
        <f>"1551764982122352"</f>
        <v>1551764982122352</v>
      </c>
      <c r="C2130" t="s">
        <v>40</v>
      </c>
      <c r="D2130">
        <v>3.8832429999999998</v>
      </c>
      <c r="E2130">
        <v>0.56038559999999904</v>
      </c>
      <c r="F2130" t="s">
        <v>47</v>
      </c>
      <c r="G2130">
        <v>0</v>
      </c>
      <c r="H2130">
        <v>0</v>
      </c>
      <c r="I2130">
        <v>0</v>
      </c>
      <c r="J2130">
        <v>-223.5942</v>
      </c>
      <c r="K2130">
        <v>1.10501</v>
      </c>
      <c r="L2130">
        <v>285.6551</v>
      </c>
      <c r="M2130">
        <v>-0.99620869999999995</v>
      </c>
      <c r="N2130">
        <v>-1.2703079999999999E-3</v>
      </c>
      <c r="O2130">
        <v>-8.6986640000000004E-2</v>
      </c>
      <c r="P2130">
        <v>-0.98901450000000002</v>
      </c>
      <c r="Q2130">
        <v>-4.3810189999999999E-2</v>
      </c>
      <c r="R2130">
        <v>-0.14117839999999901</v>
      </c>
      <c r="S2130">
        <v>-3.0566409999999999</v>
      </c>
      <c r="T2130">
        <v>0.46462310000000001</v>
      </c>
      <c r="U2130">
        <v>7.385254E-3</v>
      </c>
      <c r="V2130">
        <v>-5.4913549999999998E-2</v>
      </c>
      <c r="W2130">
        <v>-4.2153200000000002E-2</v>
      </c>
      <c r="X2130">
        <v>0.99760090000000001</v>
      </c>
      <c r="Y2130">
        <v>8.7383989999999995E-2</v>
      </c>
      <c r="Z2130">
        <v>-1.9792219999999999E-2</v>
      </c>
      <c r="AA2130">
        <v>0.99597809999999998</v>
      </c>
      <c r="AB2130">
        <v>36</v>
      </c>
      <c r="AC2130">
        <v>-3.0566409999999999</v>
      </c>
      <c r="AD2130">
        <v>0.46462310000000001</v>
      </c>
      <c r="AE2130">
        <v>7.385254E-3</v>
      </c>
      <c r="AF2130">
        <v>0.26707360089044102</v>
      </c>
      <c r="AG2130">
        <v>0.46462310000000001</v>
      </c>
      <c r="AH2130">
        <v>2.9756590288468598</v>
      </c>
      <c r="AI2130">
        <v>81.160391836343905</v>
      </c>
      <c r="AJ2130">
        <v>84.871287926004598</v>
      </c>
      <c r="AK2130">
        <v>3.0235326340729398</v>
      </c>
      <c r="AL2130">
        <v>92.415916349360401</v>
      </c>
      <c r="AM2130">
        <v>93.150701467864494</v>
      </c>
      <c r="AN2130">
        <v>0.99999997296232501</v>
      </c>
    </row>
    <row r="2131" spans="1:40" x14ac:dyDescent="0.25">
      <c r="A2131" t="str">
        <f>"20190305134942146"</f>
        <v>20190305134942146</v>
      </c>
      <c r="B2131" t="str">
        <f>"1551764982142849"</f>
        <v>1551764982142849</v>
      </c>
      <c r="C2131" t="s">
        <v>40</v>
      </c>
      <c r="D2131">
        <v>4.0374420000000004</v>
      </c>
      <c r="E2131">
        <v>0.56044019999999894</v>
      </c>
      <c r="F2131" t="s">
        <v>47</v>
      </c>
      <c r="G2131">
        <v>0</v>
      </c>
      <c r="H2131">
        <v>0</v>
      </c>
      <c r="I2131">
        <v>0</v>
      </c>
      <c r="J2131">
        <v>-223.8099</v>
      </c>
      <c r="K2131">
        <v>1.104943</v>
      </c>
      <c r="L2131">
        <v>285.6377</v>
      </c>
      <c r="M2131">
        <v>-0.99638870000000002</v>
      </c>
      <c r="N2131">
        <v>-1.2926490000000001E-3</v>
      </c>
      <c r="O2131">
        <v>-8.4900030000000001E-2</v>
      </c>
      <c r="P2131">
        <v>-0.98931040000000003</v>
      </c>
      <c r="Q2131">
        <v>-4.3767050000000002E-2</v>
      </c>
      <c r="R2131">
        <v>-0.13910339999999999</v>
      </c>
      <c r="S2131">
        <v>-3.0563349999999998</v>
      </c>
      <c r="T2131">
        <v>0.46633049999999998</v>
      </c>
      <c r="U2131">
        <v>1.6357420000000001E-2</v>
      </c>
      <c r="V2131">
        <v>-5.4917540000000001E-2</v>
      </c>
      <c r="W2131">
        <v>-4.2077639999999999E-2</v>
      </c>
      <c r="X2131">
        <v>0.99760389999999999</v>
      </c>
      <c r="Y2131">
        <v>8.8221530000000006E-2</v>
      </c>
      <c r="Z2131">
        <v>-1.9611730000000001E-2</v>
      </c>
      <c r="AA2131">
        <v>0.99590780000000001</v>
      </c>
      <c r="AB2131">
        <v>36</v>
      </c>
      <c r="AC2131">
        <v>-3.0563349999999998</v>
      </c>
      <c r="AD2131">
        <v>0.46633049999999998</v>
      </c>
      <c r="AE2131">
        <v>1.6357420000000001E-2</v>
      </c>
      <c r="AF2131">
        <v>0.26950749975496102</v>
      </c>
      <c r="AG2131">
        <v>0.46633049999999998</v>
      </c>
      <c r="AH2131">
        <v>2.9746626582836302</v>
      </c>
      <c r="AI2131">
        <v>81.1261621464717</v>
      </c>
      <c r="AJ2131">
        <v>84.823077509811696</v>
      </c>
      <c r="AK2131">
        <v>3.0230309886339999</v>
      </c>
      <c r="AL2131">
        <v>92.411583163980097</v>
      </c>
      <c r="AM2131">
        <v>93.150920479089905</v>
      </c>
      <c r="AN2131">
        <v>1.00000000264141</v>
      </c>
    </row>
    <row r="2132" spans="1:40" x14ac:dyDescent="0.25">
      <c r="A2132" t="str">
        <f>"20190305134942159"</f>
        <v>20190305134942159</v>
      </c>
      <c r="B2132" t="str">
        <f>"1551764982152609"</f>
        <v>1551764982152609</v>
      </c>
      <c r="C2132" t="s">
        <v>40</v>
      </c>
      <c r="D2132">
        <v>3.8233619999999999</v>
      </c>
      <c r="E2132">
        <v>0.56035819999999903</v>
      </c>
      <c r="F2132" t="s">
        <v>47</v>
      </c>
      <c r="G2132">
        <v>0</v>
      </c>
      <c r="H2132">
        <v>0</v>
      </c>
      <c r="I2132">
        <v>0</v>
      </c>
      <c r="J2132">
        <v>-224.02549999999999</v>
      </c>
      <c r="K2132">
        <v>1.104878</v>
      </c>
      <c r="L2132">
        <v>285.62079999999997</v>
      </c>
      <c r="M2132">
        <v>-0.99656449999999996</v>
      </c>
      <c r="N2132">
        <v>-1.314801E-3</v>
      </c>
      <c r="O2132">
        <v>-8.2811079999999995E-2</v>
      </c>
      <c r="P2132">
        <v>-0.98957899999999999</v>
      </c>
      <c r="Q2132">
        <v>-4.3702789999999998E-2</v>
      </c>
      <c r="R2132">
        <v>-0.13720070000000001</v>
      </c>
      <c r="S2132">
        <v>-3.0563199999999999</v>
      </c>
      <c r="T2132">
        <v>0.46709719999999999</v>
      </c>
      <c r="U2132">
        <v>2.310181E-2</v>
      </c>
      <c r="V2132">
        <v>-5.5095680000000001E-2</v>
      </c>
      <c r="W2132">
        <v>-4.1981320000000003E-2</v>
      </c>
      <c r="X2132">
        <v>0.99759810000000004</v>
      </c>
      <c r="Y2132">
        <v>8.8347739999999994E-2</v>
      </c>
      <c r="Z2132">
        <v>-1.9334819999999999E-2</v>
      </c>
      <c r="AA2132">
        <v>0.99590199999999995</v>
      </c>
      <c r="AB2132">
        <v>36</v>
      </c>
      <c r="AC2132">
        <v>-3.0563199999999999</v>
      </c>
      <c r="AD2132">
        <v>0.46709719999999999</v>
      </c>
      <c r="AE2132">
        <v>2.310181E-2</v>
      </c>
      <c r="AF2132">
        <v>0.26981803670465698</v>
      </c>
      <c r="AG2132">
        <v>0.46709719999999999</v>
      </c>
      <c r="AH2132">
        <v>2.9744392637319201</v>
      </c>
      <c r="AI2132">
        <v>81.111235885403005</v>
      </c>
      <c r="AJ2132">
        <v>84.816757791003496</v>
      </c>
      <c r="AK2132">
        <v>3.0229572442906099</v>
      </c>
      <c r="AL2132">
        <v>92.406059639123697</v>
      </c>
      <c r="AM2132">
        <v>93.161138994161206</v>
      </c>
      <c r="AN2132">
        <v>0.99999996715360595</v>
      </c>
    </row>
    <row r="2133" spans="1:40" x14ac:dyDescent="0.25">
      <c r="A2133" t="str">
        <f>"20190305134942177"</f>
        <v>20190305134942177</v>
      </c>
      <c r="B2133" t="str">
        <f>"1551764982173104"</f>
        <v>1551764982173104</v>
      </c>
      <c r="C2133" t="s">
        <v>40</v>
      </c>
      <c r="D2133">
        <v>3.8291580000000001</v>
      </c>
      <c r="E2133">
        <v>0.56022240000000001</v>
      </c>
      <c r="F2133" t="s">
        <v>47</v>
      </c>
      <c r="G2133">
        <v>0</v>
      </c>
      <c r="H2133">
        <v>0</v>
      </c>
      <c r="I2133">
        <v>0</v>
      </c>
      <c r="J2133">
        <v>-224.3177</v>
      </c>
      <c r="K2133">
        <v>1.104811</v>
      </c>
      <c r="L2133">
        <v>285.59859999999998</v>
      </c>
      <c r="M2133">
        <v>-0.99679470000000003</v>
      </c>
      <c r="N2133">
        <v>-1.34436E-3</v>
      </c>
      <c r="O2133">
        <v>-7.999059E-2</v>
      </c>
      <c r="P2133">
        <v>-0.98981620000000003</v>
      </c>
      <c r="Q2133">
        <v>-4.3616099999999998E-2</v>
      </c>
      <c r="R2133">
        <v>-0.1355053</v>
      </c>
      <c r="S2133">
        <v>-3.0561219999999998</v>
      </c>
      <c r="T2133">
        <v>0.46673510000000001</v>
      </c>
      <c r="U2133">
        <v>2.8320310000000001E-2</v>
      </c>
      <c r="V2133">
        <v>-5.6216210000000003E-2</v>
      </c>
      <c r="W2133">
        <v>-4.1846939999999999E-2</v>
      </c>
      <c r="X2133">
        <v>0.99754120000000002</v>
      </c>
      <c r="Y2133">
        <v>8.7278350000000005E-2</v>
      </c>
      <c r="Z2133">
        <v>-1.8810980000000001E-2</v>
      </c>
      <c r="AA2133">
        <v>0.99600639999999996</v>
      </c>
      <c r="AB2133">
        <v>36</v>
      </c>
      <c r="AC2133">
        <v>-3.0561219999999998</v>
      </c>
      <c r="AD2133">
        <v>0.46673510000000001</v>
      </c>
      <c r="AE2133">
        <v>2.8320310000000001E-2</v>
      </c>
      <c r="AF2133">
        <v>0.26647608190153599</v>
      </c>
      <c r="AG2133">
        <v>0.46673510000000001</v>
      </c>
      <c r="AH2133">
        <v>2.9746885202368301</v>
      </c>
      <c r="AI2133">
        <v>81.117865075151499</v>
      </c>
      <c r="AJ2133">
        <v>84.881040632749801</v>
      </c>
      <c r="AK2133">
        <v>3.0228501365807698</v>
      </c>
      <c r="AL2133">
        <v>92.398353531891601</v>
      </c>
      <c r="AM2133">
        <v>93.225479099406698</v>
      </c>
      <c r="AN2133">
        <v>0.99999993717578195</v>
      </c>
    </row>
    <row r="2134" spans="1:40" x14ac:dyDescent="0.25">
      <c r="A2134" t="str">
        <f>"20190305134942191"</f>
        <v>20190305134942191</v>
      </c>
      <c r="B2134" t="str">
        <f>"1551764982182865"</f>
        <v>1551764982182865</v>
      </c>
      <c r="C2134" t="s">
        <v>40</v>
      </c>
      <c r="D2134">
        <v>3.8814340000000001</v>
      </c>
      <c r="E2134">
        <v>0.56011499999999903</v>
      </c>
      <c r="F2134" t="s">
        <v>47</v>
      </c>
      <c r="G2134">
        <v>0</v>
      </c>
      <c r="H2134">
        <v>0</v>
      </c>
      <c r="I2134">
        <v>0</v>
      </c>
      <c r="J2134">
        <v>-224.53620000000001</v>
      </c>
      <c r="K2134">
        <v>1.1047659999999999</v>
      </c>
      <c r="L2134">
        <v>285.58240000000001</v>
      </c>
      <c r="M2134">
        <v>-0.99696090000000004</v>
      </c>
      <c r="N2134">
        <v>-1.3661389999999999E-3</v>
      </c>
      <c r="O2134">
        <v>-7.7893840000000006E-2</v>
      </c>
      <c r="P2134">
        <v>-0.9900407</v>
      </c>
      <c r="Q2134">
        <v>-4.3416440000000001E-2</v>
      </c>
      <c r="R2134">
        <v>-0.13392109999999999</v>
      </c>
      <c r="S2134">
        <v>-3.0558320000000001</v>
      </c>
      <c r="T2134">
        <v>0.46696650000000001</v>
      </c>
      <c r="U2134">
        <v>3.2043460000000003E-2</v>
      </c>
      <c r="V2134">
        <v>-5.6719529999999997E-2</v>
      </c>
      <c r="W2134">
        <v>-4.1615810000000003E-2</v>
      </c>
      <c r="X2134">
        <v>0.99752240000000003</v>
      </c>
      <c r="Y2134">
        <v>8.6429690000000003E-2</v>
      </c>
      <c r="Z2134">
        <v>-1.843815E-2</v>
      </c>
      <c r="AA2134">
        <v>0.99608730000000001</v>
      </c>
      <c r="AB2134">
        <v>36</v>
      </c>
      <c r="AC2134">
        <v>-3.0558320000000001</v>
      </c>
      <c r="AD2134">
        <v>0.46696650000000001</v>
      </c>
      <c r="AE2134">
        <v>3.2043460000000003E-2</v>
      </c>
      <c r="AF2134">
        <v>0.26381695787897302</v>
      </c>
      <c r="AG2134">
        <v>0.46696650000000001</v>
      </c>
      <c r="AH2134">
        <v>2.9745980126164402</v>
      </c>
      <c r="AI2134">
        <v>81.112576406423599</v>
      </c>
      <c r="AJ2134">
        <v>84.931701172364299</v>
      </c>
      <c r="AK2134">
        <v>3.0225635536822799</v>
      </c>
      <c r="AL2134">
        <v>92.385099157682703</v>
      </c>
      <c r="AM2134">
        <v>93.2543571538327</v>
      </c>
      <c r="AN2134">
        <v>0.99999995961356702</v>
      </c>
    </row>
    <row r="2135" spans="1:40" x14ac:dyDescent="0.25">
      <c r="A2135" t="str">
        <f>"20190305134942212"</f>
        <v>20190305134942212</v>
      </c>
      <c r="B2135" t="str">
        <f>"1551764982202384"</f>
        <v>1551764982202384</v>
      </c>
      <c r="C2135" t="s">
        <v>40</v>
      </c>
      <c r="D2135">
        <v>4.0246389999999996</v>
      </c>
      <c r="E2135">
        <v>0.55999540000000003</v>
      </c>
      <c r="F2135" t="s">
        <v>47</v>
      </c>
      <c r="G2135">
        <v>0</v>
      </c>
      <c r="H2135">
        <v>0</v>
      </c>
      <c r="I2135">
        <v>0</v>
      </c>
      <c r="J2135">
        <v>-224.887</v>
      </c>
      <c r="K2135">
        <v>1.104722</v>
      </c>
      <c r="L2135">
        <v>285.55759999999998</v>
      </c>
      <c r="M2135">
        <v>-0.9972143</v>
      </c>
      <c r="N2135">
        <v>-1.4004709999999999E-3</v>
      </c>
      <c r="O2135">
        <v>-7.4577530000000003E-2</v>
      </c>
      <c r="P2135">
        <v>-0.9904155</v>
      </c>
      <c r="Q2135">
        <v>-4.2427970000000002E-2</v>
      </c>
      <c r="R2135">
        <v>-0.13144220000000001</v>
      </c>
      <c r="S2135">
        <v>-3.0555729999999999</v>
      </c>
      <c r="T2135">
        <v>0.46695170000000003</v>
      </c>
      <c r="U2135">
        <v>3.6346440000000001E-2</v>
      </c>
      <c r="V2135">
        <v>-5.7533899999999999E-2</v>
      </c>
      <c r="W2135">
        <v>-4.0580629999999999E-2</v>
      </c>
      <c r="X2135">
        <v>0.99751849999999997</v>
      </c>
      <c r="Y2135">
        <v>8.4579959999999996E-2</v>
      </c>
      <c r="Z2135">
        <v>-1.7793599999999899E-2</v>
      </c>
      <c r="AA2135">
        <v>0.99625779999999997</v>
      </c>
      <c r="AB2135">
        <v>37</v>
      </c>
      <c r="AC2135">
        <v>-3.0555729999999999</v>
      </c>
      <c r="AD2135">
        <v>0.46695170000000003</v>
      </c>
      <c r="AE2135">
        <v>3.6346440000000001E-2</v>
      </c>
      <c r="AF2135">
        <v>0.25809583846804202</v>
      </c>
      <c r="AG2135">
        <v>0.46695170000000003</v>
      </c>
      <c r="AH2135">
        <v>2.9748879752133299</v>
      </c>
      <c r="AI2135">
        <v>81.112235321647006</v>
      </c>
      <c r="AJ2135">
        <v>85.041538859565193</v>
      </c>
      <c r="AK2135">
        <v>3.0223526956720801</v>
      </c>
      <c r="AL2135">
        <v>92.325737349089096</v>
      </c>
      <c r="AM2135">
        <v>93.300992975465306</v>
      </c>
      <c r="AN2135">
        <v>1.00000004751132</v>
      </c>
    </row>
    <row r="2136" spans="1:40" x14ac:dyDescent="0.25">
      <c r="A2136" t="str">
        <f>"20190305134942224"</f>
        <v>20190305134942224</v>
      </c>
      <c r="B2136" t="str">
        <f>"1551764982213121"</f>
        <v>1551764982213121</v>
      </c>
      <c r="C2136" t="s">
        <v>40</v>
      </c>
      <c r="D2136">
        <v>3.823356</v>
      </c>
      <c r="E2136">
        <v>0.55984040000000002</v>
      </c>
      <c r="F2136" t="s">
        <v>47</v>
      </c>
      <c r="G2136">
        <v>0</v>
      </c>
      <c r="H2136">
        <v>0</v>
      </c>
      <c r="I2136">
        <v>0</v>
      </c>
      <c r="J2136">
        <v>-225.09129999999999</v>
      </c>
      <c r="K2136">
        <v>1.1047089999999999</v>
      </c>
      <c r="L2136">
        <v>285.54360000000003</v>
      </c>
      <c r="M2136">
        <v>-0.99735459999999998</v>
      </c>
      <c r="N2136">
        <v>-1.4202939999999999E-3</v>
      </c>
      <c r="O2136">
        <v>-7.2676889999999994E-2</v>
      </c>
      <c r="P2136">
        <v>-0.99064640000000004</v>
      </c>
      <c r="Q2136">
        <v>-4.1957130000000002E-2</v>
      </c>
      <c r="R2136">
        <v>-0.1298445</v>
      </c>
      <c r="S2136">
        <v>-3.0549469999999999</v>
      </c>
      <c r="T2136">
        <v>0.46909390000000001</v>
      </c>
      <c r="U2136">
        <v>4.3731689999999997E-2</v>
      </c>
      <c r="V2136">
        <v>-5.7821879999999999E-2</v>
      </c>
      <c r="W2136">
        <v>-4.0085750000000003E-2</v>
      </c>
      <c r="X2136">
        <v>0.99752180000000001</v>
      </c>
      <c r="Y2136">
        <v>8.5090659999999999E-2</v>
      </c>
      <c r="Z2136">
        <v>-1.76245999999999E-2</v>
      </c>
      <c r="AA2136">
        <v>0.99621729999999997</v>
      </c>
      <c r="AB2136">
        <v>37</v>
      </c>
      <c r="AC2136">
        <v>-3.0549469999999999</v>
      </c>
      <c r="AD2136">
        <v>0.46909390000000001</v>
      </c>
      <c r="AE2136">
        <v>4.3731689999999997E-2</v>
      </c>
      <c r="AF2136">
        <v>0.25952245708030097</v>
      </c>
      <c r="AG2136">
        <v>0.46909390000000001</v>
      </c>
      <c r="AH2136">
        <v>2.9735921693157201</v>
      </c>
      <c r="AI2136">
        <v>81.068681901247203</v>
      </c>
      <c r="AJ2136">
        <v>85.012107172360999</v>
      </c>
      <c r="AK2136">
        <v>3.0215312975645299</v>
      </c>
      <c r="AL2136">
        <v>92.297359857269399</v>
      </c>
      <c r="AM2136">
        <v>93.317467992553006</v>
      </c>
      <c r="AN2136">
        <v>0.99999998931751799</v>
      </c>
    </row>
    <row r="2137" spans="1:40" x14ac:dyDescent="0.25">
      <c r="A2137" t="str">
        <f>"20190305134942237"</f>
        <v>20190305134942237</v>
      </c>
      <c r="B2137" t="str">
        <f>"1551764982233147"</f>
        <v>1551764982233147</v>
      </c>
      <c r="C2137" t="s">
        <v>40</v>
      </c>
      <c r="D2137">
        <v>4.0142639999999998</v>
      </c>
      <c r="E2137">
        <v>0.55114169999999996</v>
      </c>
      <c r="F2137" t="s">
        <v>47</v>
      </c>
      <c r="G2137">
        <v>0</v>
      </c>
      <c r="H2137">
        <v>0</v>
      </c>
      <c r="I2137">
        <v>0</v>
      </c>
      <c r="J2137">
        <v>-225.29060000000001</v>
      </c>
      <c r="K2137">
        <v>1.1047020000000001</v>
      </c>
      <c r="L2137">
        <v>285.53030000000001</v>
      </c>
      <c r="M2137">
        <v>-0.99748610000000004</v>
      </c>
      <c r="N2137">
        <v>-1.4396299999999999E-3</v>
      </c>
      <c r="O2137">
        <v>-7.0847469999999996E-2</v>
      </c>
      <c r="P2137">
        <v>-0.99086879999999999</v>
      </c>
      <c r="Q2137">
        <v>-4.1350579999999998E-2</v>
      </c>
      <c r="R2137">
        <v>-0.12833310000000001</v>
      </c>
      <c r="S2137">
        <v>-3.0544739999999999</v>
      </c>
      <c r="T2137">
        <v>0.4697615</v>
      </c>
      <c r="U2137">
        <v>4.769897E-2</v>
      </c>
      <c r="V2137">
        <v>-5.8123470000000003E-2</v>
      </c>
      <c r="W2137">
        <v>-3.9456419999999999E-2</v>
      </c>
      <c r="X2137">
        <v>0.99752940000000001</v>
      </c>
      <c r="Y2137">
        <v>8.4581180000000006E-2</v>
      </c>
      <c r="Z2137">
        <v>-1.7332130000000001E-2</v>
      </c>
      <c r="AA2137">
        <v>0.99626579999999998</v>
      </c>
      <c r="AB2137">
        <v>37</v>
      </c>
      <c r="AC2137">
        <v>-3.0544739999999999</v>
      </c>
      <c r="AD2137">
        <v>0.4697615</v>
      </c>
      <c r="AE2137">
        <v>4.769897E-2</v>
      </c>
      <c r="AF2137">
        <v>0.25788293577920202</v>
      </c>
      <c r="AG2137">
        <v>0.4697615</v>
      </c>
      <c r="AH2137">
        <v>2.9731139954799999</v>
      </c>
      <c r="AI2137">
        <v>81.054352839252701</v>
      </c>
      <c r="AJ2137">
        <v>85.042667287074195</v>
      </c>
      <c r="AK2137">
        <v>3.0210240491541001</v>
      </c>
      <c r="AL2137">
        <v>92.261273270818407</v>
      </c>
      <c r="AM2137">
        <v>93.334707094876805</v>
      </c>
      <c r="AN2137">
        <v>1.0000000253542001</v>
      </c>
    </row>
    <row r="2138" spans="1:40" x14ac:dyDescent="0.25">
      <c r="A2138" t="str">
        <f>"20190305134942249"</f>
        <v>20190305134942249</v>
      </c>
      <c r="B2138" t="str">
        <f>"1551764982242908"</f>
        <v>1551764982242908</v>
      </c>
      <c r="C2138" t="s">
        <v>40</v>
      </c>
      <c r="D2138">
        <v>3.8136489999999998</v>
      </c>
      <c r="E2138">
        <v>0.55184029999999995</v>
      </c>
      <c r="F2138" t="s">
        <v>47</v>
      </c>
      <c r="G2138">
        <v>0</v>
      </c>
      <c r="H2138">
        <v>0</v>
      </c>
      <c r="I2138">
        <v>0</v>
      </c>
      <c r="J2138">
        <v>-225.51070000000001</v>
      </c>
      <c r="K2138">
        <v>1.1046959999999999</v>
      </c>
      <c r="L2138">
        <v>285.51600000000002</v>
      </c>
      <c r="M2138">
        <v>-0.99762629999999997</v>
      </c>
      <c r="N2138">
        <v>-1.4609969999999999E-3</v>
      </c>
      <c r="O2138">
        <v>-6.884672E-2</v>
      </c>
      <c r="P2138">
        <v>-0.99111740000000004</v>
      </c>
      <c r="Q2138">
        <v>-4.0755819999999998E-2</v>
      </c>
      <c r="R2138">
        <v>-0.12659200000000001</v>
      </c>
      <c r="S2138">
        <v>-3.0347749999999998</v>
      </c>
      <c r="T2138">
        <v>0.16258599999999901</v>
      </c>
      <c r="U2138">
        <v>2.5939940000000001E-3</v>
      </c>
      <c r="V2138">
        <v>-5.8365090000000001E-2</v>
      </c>
      <c r="W2138">
        <v>-3.8837919999999998E-2</v>
      </c>
      <c r="X2138">
        <v>0.99753950000000002</v>
      </c>
      <c r="Y2138">
        <v>6.9498459999999998E-2</v>
      </c>
      <c r="Z2138">
        <v>-5.5937060000000004E-3</v>
      </c>
      <c r="AA2138">
        <v>0.99756639999999996</v>
      </c>
      <c r="AB2138">
        <v>37</v>
      </c>
      <c r="AC2138">
        <v>-3.0347749999999998</v>
      </c>
      <c r="AD2138">
        <v>0.16258599999999901</v>
      </c>
      <c r="AE2138">
        <v>2.5939940000000001E-3</v>
      </c>
      <c r="AF2138">
        <v>0.21091696668856599</v>
      </c>
      <c r="AG2138">
        <v>0.16258599999999901</v>
      </c>
      <c r="AH2138">
        <v>3.01873125578659</v>
      </c>
      <c r="AI2138">
        <v>86.924565514612496</v>
      </c>
      <c r="AJ2138">
        <v>86.003272994909594</v>
      </c>
      <c r="AK2138">
        <v>3.0304551751999198</v>
      </c>
      <c r="AL2138">
        <v>92.225808789828704</v>
      </c>
      <c r="AM2138">
        <v>93.348504209033194</v>
      </c>
      <c r="AN2138">
        <v>0.99999996091044097</v>
      </c>
    </row>
    <row r="2139" spans="1:40" x14ac:dyDescent="0.25">
      <c r="A2139" t="str">
        <f>"20190305134942267"</f>
        <v>20190305134942267</v>
      </c>
      <c r="B2139" t="str">
        <f>"1551764982262419"</f>
        <v>1551764982262419</v>
      </c>
      <c r="C2139" t="s">
        <v>40</v>
      </c>
      <c r="D2139">
        <v>3.7978160000000001</v>
      </c>
      <c r="E2139">
        <v>0.55105019999999905</v>
      </c>
      <c r="F2139" t="s">
        <v>47</v>
      </c>
      <c r="G2139">
        <v>0</v>
      </c>
      <c r="H2139">
        <v>0</v>
      </c>
      <c r="I2139">
        <v>0</v>
      </c>
      <c r="J2139">
        <v>-225.80520000000001</v>
      </c>
      <c r="K2139">
        <v>1.104708</v>
      </c>
      <c r="L2139">
        <v>285.49759999999998</v>
      </c>
      <c r="M2139">
        <v>-0.99780159999999996</v>
      </c>
      <c r="N2139">
        <v>-1.4894039999999999E-3</v>
      </c>
      <c r="O2139">
        <v>-6.6255069999999999E-2</v>
      </c>
      <c r="P2139">
        <v>-0.99140079999999997</v>
      </c>
      <c r="Q2139">
        <v>-4.0029309999999999E-2</v>
      </c>
      <c r="R2139">
        <v>-0.1245872</v>
      </c>
      <c r="S2139">
        <v>-3.0385589999999998</v>
      </c>
      <c r="T2139">
        <v>0.25970270000000001</v>
      </c>
      <c r="U2139">
        <v>7.7209469999999997E-3</v>
      </c>
      <c r="V2139">
        <v>-5.8929500000000003E-2</v>
      </c>
      <c r="W2139">
        <v>-3.8080999999999997E-2</v>
      </c>
      <c r="X2139">
        <v>0.99753550000000002</v>
      </c>
      <c r="Y2139">
        <v>6.8295880000000003E-2</v>
      </c>
      <c r="Z2139">
        <v>-8.6103229999999996E-3</v>
      </c>
      <c r="AA2139">
        <v>0.99762799999999996</v>
      </c>
      <c r="AB2139">
        <v>37</v>
      </c>
      <c r="AC2139">
        <v>-3.0385589999999998</v>
      </c>
      <c r="AD2139">
        <v>0.25970270000000001</v>
      </c>
      <c r="AE2139">
        <v>7.7209469999999997E-3</v>
      </c>
      <c r="AF2139">
        <v>0.207508316603146</v>
      </c>
      <c r="AG2139">
        <v>0.25970270000000001</v>
      </c>
      <c r="AH2139">
        <v>3.0093875634426301</v>
      </c>
      <c r="AI2139">
        <v>85.079362153477504</v>
      </c>
      <c r="AJ2139">
        <v>86.055489361807005</v>
      </c>
      <c r="AK2139">
        <v>3.0276919758869099</v>
      </c>
      <c r="AL2139">
        <v>92.1824083558258</v>
      </c>
      <c r="AM2139">
        <v>93.3808241420857</v>
      </c>
      <c r="AN2139">
        <v>0.99999996114574896</v>
      </c>
    </row>
    <row r="2140" spans="1:40" x14ac:dyDescent="0.25">
      <c r="A2140" t="str">
        <f>"20190305134942279"</f>
        <v>20190305134942279</v>
      </c>
      <c r="B2140" t="str">
        <f>"1551764982273155"</f>
        <v>1551764982273155</v>
      </c>
      <c r="C2140" t="s">
        <v>40</v>
      </c>
      <c r="D2140">
        <v>3.8008709999999999</v>
      </c>
      <c r="E2140">
        <v>0.55121450000000005</v>
      </c>
      <c r="F2140" t="s">
        <v>47</v>
      </c>
      <c r="G2140">
        <v>0</v>
      </c>
      <c r="H2140">
        <v>0</v>
      </c>
      <c r="I2140">
        <v>0</v>
      </c>
      <c r="J2140">
        <v>-226.0077</v>
      </c>
      <c r="K2140">
        <v>1.1047229999999999</v>
      </c>
      <c r="L2140">
        <v>285.4853</v>
      </c>
      <c r="M2140">
        <v>-0.99791479999999999</v>
      </c>
      <c r="N2140">
        <v>-1.508812E-3</v>
      </c>
      <c r="O2140">
        <v>-6.452782E-2</v>
      </c>
      <c r="P2140">
        <v>-0.99158440000000003</v>
      </c>
      <c r="Q2140">
        <v>-4.0249239999999999E-2</v>
      </c>
      <c r="R2140">
        <v>-0.1230472</v>
      </c>
      <c r="S2140">
        <v>-3.036133</v>
      </c>
      <c r="T2140">
        <v>0.2166448</v>
      </c>
      <c r="U2140">
        <v>1.077271E-2</v>
      </c>
      <c r="V2140">
        <v>-5.9106949999999998E-2</v>
      </c>
      <c r="W2140">
        <v>-3.8283320000000003E-2</v>
      </c>
      <c r="X2140">
        <v>0.99751730000000005</v>
      </c>
      <c r="Y2140">
        <v>6.7728769999999994E-2</v>
      </c>
      <c r="Z2140">
        <v>-7.0557409999999999E-3</v>
      </c>
      <c r="AA2140">
        <v>0.99767879999999998</v>
      </c>
      <c r="AB2140">
        <v>37</v>
      </c>
      <c r="AC2140">
        <v>-3.036133</v>
      </c>
      <c r="AD2140">
        <v>0.2166448</v>
      </c>
      <c r="AE2140">
        <v>1.077271E-2</v>
      </c>
      <c r="AF2140">
        <v>0.20561860294795001</v>
      </c>
      <c r="AG2140">
        <v>0.2166448</v>
      </c>
      <c r="AH2140">
        <v>3.0137655473794198</v>
      </c>
      <c r="AI2140">
        <v>85.897864062135795</v>
      </c>
      <c r="AJ2140">
        <v>86.096959397569805</v>
      </c>
      <c r="AK2140">
        <v>3.02853046110098</v>
      </c>
      <c r="AL2140">
        <v>92.1940088035862</v>
      </c>
      <c r="AM2140">
        <v>93.391042569674795</v>
      </c>
      <c r="AN2140">
        <v>1.0000000039639001</v>
      </c>
    </row>
    <row r="2141" spans="1:40" x14ac:dyDescent="0.25">
      <c r="A2141" t="str">
        <f>"20190305134942292"</f>
        <v>20190305134942292</v>
      </c>
      <c r="B2141" t="str">
        <f>"1551764982282915"</f>
        <v>1551764982282915</v>
      </c>
      <c r="C2141" t="s">
        <v>40</v>
      </c>
      <c r="D2141">
        <v>4.0205279999999997</v>
      </c>
      <c r="E2141">
        <v>0.55066440000000005</v>
      </c>
      <c r="F2141" t="s">
        <v>47</v>
      </c>
      <c r="G2141">
        <v>0</v>
      </c>
      <c r="H2141">
        <v>0</v>
      </c>
      <c r="I2141">
        <v>0</v>
      </c>
      <c r="J2141">
        <v>-226.2319</v>
      </c>
      <c r="K2141">
        <v>1.1047469999999999</v>
      </c>
      <c r="L2141">
        <v>285.47210000000001</v>
      </c>
      <c r="M2141">
        <v>-0.99803450000000005</v>
      </c>
      <c r="N2141">
        <v>-1.530277E-3</v>
      </c>
      <c r="O2141">
        <v>-6.2648969999999998E-2</v>
      </c>
      <c r="P2141">
        <v>-0.99178750000000004</v>
      </c>
      <c r="Q2141">
        <v>-4.028238E-2</v>
      </c>
      <c r="R2141">
        <v>-0.1213882</v>
      </c>
      <c r="S2141">
        <v>-3.037582</v>
      </c>
      <c r="T2141">
        <v>0.2527992</v>
      </c>
      <c r="U2141">
        <v>1.4892580000000001E-2</v>
      </c>
      <c r="V2141">
        <v>-5.9313820000000003E-2</v>
      </c>
      <c r="W2141">
        <v>-3.8297739999999997E-2</v>
      </c>
      <c r="X2141">
        <v>0.99750450000000002</v>
      </c>
      <c r="Y2141">
        <v>6.7089270000000006E-2</v>
      </c>
      <c r="Z2141">
        <v>-8.0336969999999994E-3</v>
      </c>
      <c r="AA2141">
        <v>0.99771460000000001</v>
      </c>
      <c r="AB2141">
        <v>37</v>
      </c>
      <c r="AC2141">
        <v>-3.037582</v>
      </c>
      <c r="AD2141">
        <v>0.2527992</v>
      </c>
      <c r="AE2141">
        <v>1.4892580000000001E-2</v>
      </c>
      <c r="AF2141">
        <v>0.20375371617834701</v>
      </c>
      <c r="AG2141">
        <v>0.2527992</v>
      </c>
      <c r="AH2141">
        <v>3.0098357873239099</v>
      </c>
      <c r="AI2141">
        <v>85.2098494197636</v>
      </c>
      <c r="AJ2141">
        <v>86.127216111279793</v>
      </c>
      <c r="AK2141">
        <v>3.0272982144203899</v>
      </c>
      <c r="AL2141">
        <v>92.194835542904201</v>
      </c>
      <c r="AM2141">
        <v>93.402926692581602</v>
      </c>
      <c r="AN2141">
        <v>1.0000000368261699</v>
      </c>
    </row>
    <row r="2142" spans="1:40" x14ac:dyDescent="0.25">
      <c r="A2142" t="str">
        <f>"20190305134942307"</f>
        <v>20190305134942307</v>
      </c>
      <c r="B2142" t="str">
        <f>"1551764982302436"</f>
        <v>1551764982302436</v>
      </c>
      <c r="C2142" t="s">
        <v>40</v>
      </c>
      <c r="D2142">
        <v>3.811385</v>
      </c>
      <c r="E2142">
        <v>0.55383369999999998</v>
      </c>
      <c r="F2142" t="s">
        <v>47</v>
      </c>
      <c r="G2142">
        <v>0</v>
      </c>
      <c r="H2142">
        <v>0</v>
      </c>
      <c r="I2142">
        <v>0</v>
      </c>
      <c r="J2142">
        <v>-226.46969999999999</v>
      </c>
      <c r="K2142">
        <v>1.1047880000000001</v>
      </c>
      <c r="L2142">
        <v>285.45839999999998</v>
      </c>
      <c r="M2142">
        <v>-0.99815330000000002</v>
      </c>
      <c r="N2142">
        <v>-1.5529210000000001E-3</v>
      </c>
      <c r="O2142">
        <v>-6.072545E-2</v>
      </c>
      <c r="P2142">
        <v>-0.99197610000000003</v>
      </c>
      <c r="Q2142">
        <v>-4.0368229999999998E-2</v>
      </c>
      <c r="R2142">
        <v>-0.119808</v>
      </c>
      <c r="S2142">
        <v>-3.035202</v>
      </c>
      <c r="T2142">
        <v>0.1980027</v>
      </c>
      <c r="U2142">
        <v>1.8890379999999998E-2</v>
      </c>
      <c r="V2142">
        <v>-5.9643769999999999E-2</v>
      </c>
      <c r="W2142">
        <v>-3.8364620000000002E-2</v>
      </c>
      <c r="X2142">
        <v>0.99748219999999999</v>
      </c>
      <c r="Y2142">
        <v>6.6663E-2</v>
      </c>
      <c r="Z2142">
        <v>-6.1700510000000002E-3</v>
      </c>
      <c r="AA2142">
        <v>0.99775650000000005</v>
      </c>
      <c r="AB2142">
        <v>38</v>
      </c>
      <c r="AC2142">
        <v>-3.035202</v>
      </c>
      <c r="AD2142">
        <v>0.1980027</v>
      </c>
      <c r="AE2142">
        <v>1.8890379999999998E-2</v>
      </c>
      <c r="AF2142">
        <v>0.20230882276810899</v>
      </c>
      <c r="AG2142">
        <v>0.1980027</v>
      </c>
      <c r="AH2142">
        <v>3.0156204527880002</v>
      </c>
      <c r="AI2142">
        <v>86.251808225714001</v>
      </c>
      <c r="AJ2142">
        <v>86.161951088707994</v>
      </c>
      <c r="AK2142">
        <v>3.0288777862849501</v>
      </c>
      <c r="AL2142">
        <v>92.198670424750603</v>
      </c>
      <c r="AM2142">
        <v>93.421887902607594</v>
      </c>
      <c r="AN2142">
        <v>0.99999998134219803</v>
      </c>
    </row>
    <row r="2143" spans="1:40" x14ac:dyDescent="0.25">
      <c r="A2143" t="str">
        <f>"20190305134942324"</f>
        <v>20190305134942324</v>
      </c>
      <c r="B2143" t="str">
        <f>"1551764982313171"</f>
        <v>1551764982313171</v>
      </c>
      <c r="C2143" t="s">
        <v>40</v>
      </c>
      <c r="D2143">
        <v>3.7785419999999998</v>
      </c>
      <c r="E2143">
        <v>0.55574880000000004</v>
      </c>
      <c r="F2143" t="s">
        <v>47</v>
      </c>
      <c r="G2143">
        <v>0</v>
      </c>
      <c r="H2143">
        <v>0</v>
      </c>
      <c r="I2143">
        <v>0</v>
      </c>
      <c r="J2143">
        <v>-226.76310000000001</v>
      </c>
      <c r="K2143">
        <v>1.1048469999999999</v>
      </c>
      <c r="L2143">
        <v>285.44220000000001</v>
      </c>
      <c r="M2143">
        <v>-0.99828930000000005</v>
      </c>
      <c r="N2143">
        <v>-1.5811379999999999E-3</v>
      </c>
      <c r="O2143">
        <v>-5.844651E-2</v>
      </c>
      <c r="P2143">
        <v>-0.99218669999999998</v>
      </c>
      <c r="Q2143">
        <v>-4.0217679999999999E-2</v>
      </c>
      <c r="R2143">
        <v>-0.1181022</v>
      </c>
      <c r="S2143">
        <v>-3.040543</v>
      </c>
      <c r="T2143">
        <v>0.26737549999999999</v>
      </c>
      <c r="U2143">
        <v>4.4677729999999999E-2</v>
      </c>
      <c r="V2143">
        <v>-6.0198269999999998E-2</v>
      </c>
      <c r="W2143">
        <v>-3.8190790000000002E-2</v>
      </c>
      <c r="X2143">
        <v>0.9974556</v>
      </c>
      <c r="Y2143">
        <v>7.2598949999999995E-2</v>
      </c>
      <c r="Z2143">
        <v>-8.348266E-3</v>
      </c>
      <c r="AA2143">
        <v>0.9973263</v>
      </c>
      <c r="AB2143">
        <v>38</v>
      </c>
      <c r="AC2143">
        <v>-3.040543</v>
      </c>
      <c r="AD2143">
        <v>0.26737549999999999</v>
      </c>
      <c r="AE2143">
        <v>4.4677729999999999E-2</v>
      </c>
      <c r="AF2143">
        <v>0.22060515862212299</v>
      </c>
      <c r="AG2143">
        <v>0.26737549999999999</v>
      </c>
      <c r="AH2143">
        <v>3.00946723812813</v>
      </c>
      <c r="AI2143">
        <v>84.936414021838004</v>
      </c>
      <c r="AJ2143">
        <v>85.807504577305195</v>
      </c>
      <c r="AK2143">
        <v>3.0293645127943098</v>
      </c>
      <c r="AL2143">
        <v>92.188703307786298</v>
      </c>
      <c r="AM2143">
        <v>93.453715957418197</v>
      </c>
      <c r="AN2143">
        <v>1.00000002106158</v>
      </c>
    </row>
    <row r="2144" spans="1:40" x14ac:dyDescent="0.25">
      <c r="A2144" t="str">
        <f>"20190305134942344"</f>
        <v>20190305134942344</v>
      </c>
      <c r="B2144" t="str">
        <f>"1551764982342958"</f>
        <v>1551764982342958</v>
      </c>
      <c r="C2144" t="s">
        <v>40</v>
      </c>
      <c r="D2144">
        <v>3.766721</v>
      </c>
      <c r="E2144">
        <v>0.56023900000000004</v>
      </c>
      <c r="F2144" t="s">
        <v>47</v>
      </c>
      <c r="G2144">
        <v>0</v>
      </c>
      <c r="H2144">
        <v>0</v>
      </c>
      <c r="I2144">
        <v>0</v>
      </c>
      <c r="J2144">
        <v>-227.11660000000001</v>
      </c>
      <c r="K2144">
        <v>1.104932</v>
      </c>
      <c r="L2144">
        <v>285.42340000000002</v>
      </c>
      <c r="M2144">
        <v>-0.99843930000000003</v>
      </c>
      <c r="N2144">
        <v>-1.61570299999999E-3</v>
      </c>
      <c r="O2144">
        <v>-5.5825039999999999E-2</v>
      </c>
      <c r="P2144">
        <v>-0.9924269</v>
      </c>
      <c r="Q2144">
        <v>-3.9699190000000002E-2</v>
      </c>
      <c r="R2144">
        <v>-0.1162454</v>
      </c>
      <c r="S2144">
        <v>-3.043228</v>
      </c>
      <c r="T2144">
        <v>0.29733900000000002</v>
      </c>
      <c r="U2144">
        <v>6.3354489999999999E-2</v>
      </c>
      <c r="V2144">
        <v>-6.093722E-2</v>
      </c>
      <c r="W2144">
        <v>-3.764489E-2</v>
      </c>
      <c r="X2144">
        <v>0.99743150000000003</v>
      </c>
      <c r="Y2144">
        <v>7.5964119999999996E-2</v>
      </c>
      <c r="Z2144">
        <v>-9.1698130000000006E-3</v>
      </c>
      <c r="AA2144">
        <v>0.99706839999999997</v>
      </c>
      <c r="AB2144">
        <v>38</v>
      </c>
      <c r="AC2144">
        <v>-3.043228</v>
      </c>
      <c r="AD2144">
        <v>0.29733900000000002</v>
      </c>
      <c r="AE2144">
        <v>6.3354489999999999E-2</v>
      </c>
      <c r="AF2144">
        <v>0.23094056104969801</v>
      </c>
      <c r="AG2144">
        <v>0.29733900000000002</v>
      </c>
      <c r="AH2144">
        <v>3.0062593046352299</v>
      </c>
      <c r="AI2144">
        <v>84.367925025542604</v>
      </c>
      <c r="AJ2144">
        <v>85.607171104639505</v>
      </c>
      <c r="AK2144">
        <v>3.0297424033017801</v>
      </c>
      <c r="AL2144">
        <v>92.157402992171896</v>
      </c>
      <c r="AM2144">
        <v>93.496091000227196</v>
      </c>
      <c r="AN2144">
        <v>1.00000003985834</v>
      </c>
    </row>
    <row r="2145" spans="1:40" x14ac:dyDescent="0.25">
      <c r="A2145" t="str">
        <f>"20190305134942358"</f>
        <v>20190305134942358</v>
      </c>
      <c r="B2145" t="str">
        <f>"1551764982352719"</f>
        <v>1551764982352719</v>
      </c>
      <c r="C2145" t="s">
        <v>40</v>
      </c>
      <c r="D2145">
        <v>3.746893</v>
      </c>
      <c r="E2145">
        <v>0.56111560000000005</v>
      </c>
      <c r="F2145" t="s">
        <v>77</v>
      </c>
      <c r="G2145">
        <v>-510.96510000000001</v>
      </c>
      <c r="H2145">
        <v>34.825069999999997</v>
      </c>
      <c r="I2145">
        <v>294.73899999999998</v>
      </c>
      <c r="J2145">
        <v>-227.33799999999999</v>
      </c>
      <c r="K2145">
        <v>1.1049910000000001</v>
      </c>
      <c r="L2145">
        <v>285.41210000000001</v>
      </c>
      <c r="M2145">
        <v>-0.99852560000000001</v>
      </c>
      <c r="N2145">
        <v>-1.637796E-3</v>
      </c>
      <c r="O2145">
        <v>-5.4260870000000003E-2</v>
      </c>
      <c r="P2145">
        <v>-0.99252379999999996</v>
      </c>
      <c r="Q2145">
        <v>-3.9773889999999999E-2</v>
      </c>
      <c r="R2145">
        <v>-0.1153899</v>
      </c>
      <c r="S2145">
        <v>-3.0490879999999998</v>
      </c>
      <c r="T2145">
        <v>0.36222080000000001</v>
      </c>
      <c r="U2145">
        <v>0.10006710000000001</v>
      </c>
      <c r="V2145">
        <v>-6.1635740000000001E-2</v>
      </c>
      <c r="W2145">
        <v>-3.7701039999999998E-2</v>
      </c>
      <c r="X2145">
        <v>0.99738640000000001</v>
      </c>
      <c r="Y2145">
        <v>8.5996950000000003E-2</v>
      </c>
      <c r="Z2145">
        <v>-1.152742E-2</v>
      </c>
      <c r="AA2145">
        <v>0.99622869999999997</v>
      </c>
      <c r="AB2145">
        <v>38</v>
      </c>
      <c r="AC2145">
        <v>-283.62709999999998</v>
      </c>
      <c r="AD2145">
        <v>33.720078999999998</v>
      </c>
      <c r="AE2145">
        <v>9.3269000000000197</v>
      </c>
      <c r="AF2145">
        <v>24.3590983104753</v>
      </c>
      <c r="AG2145">
        <v>33.720078999999998</v>
      </c>
      <c r="AH2145">
        <v>278.76718157547998</v>
      </c>
      <c r="AI2145">
        <v>83.1288592366774</v>
      </c>
      <c r="AJ2145">
        <v>85.006092652125403</v>
      </c>
      <c r="AK2145">
        <v>281.85377578063799</v>
      </c>
      <c r="AL2145">
        <v>92.160622560796696</v>
      </c>
      <c r="AM2145">
        <v>93.536224877715995</v>
      </c>
      <c r="AN2145">
        <v>0.99999998188369399</v>
      </c>
    </row>
    <row r="2146" spans="1:40" x14ac:dyDescent="0.25">
      <c r="A2146" t="str">
        <f>"20190305134942372"</f>
        <v>20190305134942372</v>
      </c>
      <c r="B2146" t="str">
        <f>"1551764982362479"</f>
        <v>1551764982362479</v>
      </c>
      <c r="C2146" t="s">
        <v>40</v>
      </c>
      <c r="D2146">
        <v>3.763395</v>
      </c>
      <c r="E2146">
        <v>0.56171249999999995</v>
      </c>
      <c r="F2146" t="s">
        <v>77</v>
      </c>
      <c r="G2146">
        <v>-510.96559999999999</v>
      </c>
      <c r="H2146">
        <v>36.104050000000001</v>
      </c>
      <c r="I2146">
        <v>295.50839999999999</v>
      </c>
      <c r="J2146">
        <v>-227.58109999999999</v>
      </c>
      <c r="K2146">
        <v>1.105056</v>
      </c>
      <c r="L2146">
        <v>285.39999999999998</v>
      </c>
      <c r="M2146">
        <v>-0.99861480000000002</v>
      </c>
      <c r="N2146">
        <v>-1.662459E-3</v>
      </c>
      <c r="O2146">
        <v>-5.2591400000000003E-2</v>
      </c>
      <c r="P2146">
        <v>-0.99266160000000003</v>
      </c>
      <c r="Q2146">
        <v>-3.9910540000000001E-2</v>
      </c>
      <c r="R2146">
        <v>-0.1141508</v>
      </c>
      <c r="S2146">
        <v>-3.0503079999999998</v>
      </c>
      <c r="T2146">
        <v>0.37640230000000002</v>
      </c>
      <c r="U2146">
        <v>0.1085815</v>
      </c>
      <c r="V2146">
        <v>-6.2053039999999997E-2</v>
      </c>
      <c r="W2146">
        <v>-3.7819760000000001E-2</v>
      </c>
      <c r="X2146">
        <v>0.99735609999999997</v>
      </c>
      <c r="Y2146">
        <v>8.7023630000000005E-2</v>
      </c>
      <c r="Z2146">
        <v>-1.182417E-2</v>
      </c>
      <c r="AA2146">
        <v>0.99613609999999997</v>
      </c>
      <c r="AB2146">
        <v>38</v>
      </c>
      <c r="AC2146">
        <v>-283.3845</v>
      </c>
      <c r="AD2146">
        <v>34.998994000000003</v>
      </c>
      <c r="AE2146">
        <v>10.1084</v>
      </c>
      <c r="AF2146">
        <v>24.622918967904599</v>
      </c>
      <c r="AG2146">
        <v>34.998994000000003</v>
      </c>
      <c r="AH2146">
        <v>278.222343258835</v>
      </c>
      <c r="AI2146">
        <v>82.857761697033695</v>
      </c>
      <c r="AJ2146">
        <v>84.942450551262198</v>
      </c>
      <c r="AK2146">
        <v>281.49403192243602</v>
      </c>
      <c r="AL2146">
        <v>92.167429418188206</v>
      </c>
      <c r="AM2146">
        <v>93.560213123592604</v>
      </c>
      <c r="AN2146">
        <v>1.00000005211345</v>
      </c>
    </row>
    <row r="2147" spans="1:40" x14ac:dyDescent="0.25">
      <c r="A2147" t="str">
        <f>"20190305134942390"</f>
        <v>20190305134942390</v>
      </c>
      <c r="B2147" t="str">
        <f>"1551764982382974"</f>
        <v>1551764982382974</v>
      </c>
      <c r="C2147" t="s">
        <v>40</v>
      </c>
      <c r="D2147">
        <v>3.7607279999999998</v>
      </c>
      <c r="E2147">
        <v>0.56263379999999996</v>
      </c>
      <c r="F2147" t="s">
        <v>77</v>
      </c>
      <c r="G2147">
        <v>-510.96589999999998</v>
      </c>
      <c r="H2147">
        <v>37.034610000000001</v>
      </c>
      <c r="I2147">
        <v>296.21350000000001</v>
      </c>
      <c r="J2147">
        <v>-227.89400000000001</v>
      </c>
      <c r="K2147">
        <v>1.1051359999999999</v>
      </c>
      <c r="L2147">
        <v>285.38490000000002</v>
      </c>
      <c r="M2147">
        <v>-0.99872079999999996</v>
      </c>
      <c r="N2147">
        <v>-1.6949269999999999E-3</v>
      </c>
      <c r="O2147">
        <v>-5.0539380000000002E-2</v>
      </c>
      <c r="P2147">
        <v>-0.99273900000000004</v>
      </c>
      <c r="Q2147">
        <v>-3.9929649999999997E-2</v>
      </c>
      <c r="R2147">
        <v>-0.1134695</v>
      </c>
      <c r="S2147">
        <v>-3.0511020000000002</v>
      </c>
      <c r="T2147">
        <v>0.38684109999999999</v>
      </c>
      <c r="U2147">
        <v>0.1164246</v>
      </c>
      <c r="V2147">
        <v>-6.3410279999999999E-2</v>
      </c>
      <c r="W2147">
        <v>-3.7809870000000002E-2</v>
      </c>
      <c r="X2147">
        <v>0.99727109999999997</v>
      </c>
      <c r="Y2147">
        <v>8.7479399999999999E-2</v>
      </c>
      <c r="Z2147">
        <v>-1.191178E-2</v>
      </c>
      <c r="AA2147">
        <v>0.99609510000000001</v>
      </c>
      <c r="AB2147">
        <v>38</v>
      </c>
      <c r="AC2147">
        <v>-283.07190000000003</v>
      </c>
      <c r="AD2147">
        <v>35.929473999999999</v>
      </c>
      <c r="AE2147">
        <v>10.8285999999999</v>
      </c>
      <c r="AF2147">
        <v>24.7233356779773</v>
      </c>
      <c r="AG2147">
        <v>35.929473999999999</v>
      </c>
      <c r="AH2147">
        <v>277.69561181798599</v>
      </c>
      <c r="AI2147">
        <v>82.656504334481994</v>
      </c>
      <c r="AJ2147">
        <v>84.912351029950401</v>
      </c>
      <c r="AK2147">
        <v>281.09966782607199</v>
      </c>
      <c r="AL2147">
        <v>92.166862365454406</v>
      </c>
      <c r="AM2147">
        <v>93.6381853672885</v>
      </c>
      <c r="AN2147">
        <v>1.0000000483871501</v>
      </c>
    </row>
    <row r="2148" spans="1:40" x14ac:dyDescent="0.25">
      <c r="A2148" t="str">
        <f>"20190305134942402"</f>
        <v>20190305134942402</v>
      </c>
      <c r="B2148" t="str">
        <f>"1551764982392735"</f>
        <v>1551764982392735</v>
      </c>
      <c r="C2148" t="s">
        <v>40</v>
      </c>
      <c r="D2148">
        <v>3.7813270000000001</v>
      </c>
      <c r="E2148">
        <v>0.56296709999999905</v>
      </c>
      <c r="F2148" t="s">
        <v>77</v>
      </c>
      <c r="G2148">
        <v>-510.9665</v>
      </c>
      <c r="H2148">
        <v>38.852629999999998</v>
      </c>
      <c r="I2148">
        <v>296.90030000000002</v>
      </c>
      <c r="J2148">
        <v>-228.10650000000001</v>
      </c>
      <c r="K2148">
        <v>1.105191</v>
      </c>
      <c r="L2148">
        <v>285.37509999999997</v>
      </c>
      <c r="M2148">
        <v>-0.99878690000000003</v>
      </c>
      <c r="N2148">
        <v>-1.7174410000000001E-3</v>
      </c>
      <c r="O2148">
        <v>-4.9211440000000002E-2</v>
      </c>
      <c r="P2148">
        <v>-0.99280789999999997</v>
      </c>
      <c r="Q2148">
        <v>-3.9791760000000002E-2</v>
      </c>
      <c r="R2148">
        <v>-0.11291279999999999</v>
      </c>
      <c r="S2148">
        <v>-3.052505</v>
      </c>
      <c r="T2148">
        <v>0.40704980000000002</v>
      </c>
      <c r="U2148">
        <v>0.12417599999999999</v>
      </c>
      <c r="V2148">
        <v>-6.4170080000000004E-2</v>
      </c>
      <c r="W2148">
        <v>-3.7652909999999998E-2</v>
      </c>
      <c r="X2148">
        <v>0.99722840000000001</v>
      </c>
      <c r="Y2148">
        <v>8.8549130000000004E-2</v>
      </c>
      <c r="Z2148">
        <v>-1.241366E-2</v>
      </c>
      <c r="AA2148">
        <v>0.99599439999999995</v>
      </c>
      <c r="AB2148">
        <v>38</v>
      </c>
      <c r="AC2148">
        <v>-282.86</v>
      </c>
      <c r="AD2148">
        <v>37.747439</v>
      </c>
      <c r="AE2148">
        <v>11.5252</v>
      </c>
      <c r="AF2148">
        <v>24.986956992163702</v>
      </c>
      <c r="AG2148">
        <v>37.747439</v>
      </c>
      <c r="AH2148">
        <v>277.02483659910598</v>
      </c>
      <c r="AI2148">
        <v>82.271648777497802</v>
      </c>
      <c r="AJ2148">
        <v>84.8460087396533</v>
      </c>
      <c r="AK2148">
        <v>280.69908668100197</v>
      </c>
      <c r="AL2148">
        <v>92.157862892008893</v>
      </c>
      <c r="AM2148">
        <v>93.681817156201404</v>
      </c>
      <c r="AN2148">
        <v>1.00000001128261</v>
      </c>
    </row>
    <row r="2149" spans="1:40" x14ac:dyDescent="0.25">
      <c r="A2149" t="str">
        <f>"20190305134942416"</f>
        <v>20190305134942416</v>
      </c>
      <c r="B2149" t="str">
        <f>"1551764982413231"</f>
        <v>1551764982413231</v>
      </c>
      <c r="C2149" t="s">
        <v>40</v>
      </c>
      <c r="D2149">
        <v>3.7290890000000001</v>
      </c>
      <c r="E2149">
        <v>0.56386190000000003</v>
      </c>
      <c r="F2149" t="s">
        <v>77</v>
      </c>
      <c r="G2149">
        <v>-510.9667</v>
      </c>
      <c r="H2149">
        <v>39.548549999999999</v>
      </c>
      <c r="I2149">
        <v>297.23660000000001</v>
      </c>
      <c r="J2149">
        <v>-228.328</v>
      </c>
      <c r="K2149">
        <v>1.105251</v>
      </c>
      <c r="L2149">
        <v>285.36509999999998</v>
      </c>
      <c r="M2149">
        <v>-0.99885279999999999</v>
      </c>
      <c r="N2149">
        <v>-1.7412489999999901E-3</v>
      </c>
      <c r="O2149">
        <v>-4.7856089999999997E-2</v>
      </c>
      <c r="P2149">
        <v>-0.99287400000000003</v>
      </c>
      <c r="Q2149">
        <v>-3.9790619999999999E-2</v>
      </c>
      <c r="R2149">
        <v>-0.1123319</v>
      </c>
      <c r="S2149">
        <v>-3.052902</v>
      </c>
      <c r="T2149">
        <v>0.41491850000000002</v>
      </c>
      <c r="U2149">
        <v>0.1280212</v>
      </c>
      <c r="V2149">
        <v>-6.4934749999999999E-2</v>
      </c>
      <c r="W2149">
        <v>-3.7631709999999999E-2</v>
      </c>
      <c r="X2149">
        <v>0.9971797</v>
      </c>
      <c r="Y2149">
        <v>8.8411790000000004E-2</v>
      </c>
      <c r="Z2149">
        <v>-1.245476E-2</v>
      </c>
      <c r="AA2149">
        <v>0.99600610000000001</v>
      </c>
      <c r="AB2149">
        <v>38</v>
      </c>
      <c r="AC2149">
        <v>-282.63869999999997</v>
      </c>
      <c r="AD2149">
        <v>38.443299000000003</v>
      </c>
      <c r="AE2149">
        <v>11.871499999999999</v>
      </c>
      <c r="AF2149">
        <v>24.9236189861174</v>
      </c>
      <c r="AG2149">
        <v>38.443299000000003</v>
      </c>
      <c r="AH2149">
        <v>276.63787672666598</v>
      </c>
      <c r="AI2149">
        <v>82.120007933160494</v>
      </c>
      <c r="AJ2149">
        <v>84.851850611351793</v>
      </c>
      <c r="AK2149">
        <v>280.40611416516299</v>
      </c>
      <c r="AL2149">
        <v>92.156647361227797</v>
      </c>
      <c r="AM2149">
        <v>93.7257493964742</v>
      </c>
      <c r="AN2149">
        <v>1.00000001072358</v>
      </c>
    </row>
    <row r="2150" spans="1:40" x14ac:dyDescent="0.25">
      <c r="A2150" t="str">
        <f>"20190305134942435"</f>
        <v>20190305134942435</v>
      </c>
      <c r="B2150" t="str">
        <f>"1551764982422522"</f>
        <v>1551764982422522</v>
      </c>
      <c r="C2150" t="s">
        <v>40</v>
      </c>
      <c r="D2150">
        <v>3.9912909999999999</v>
      </c>
      <c r="E2150">
        <v>0.56386190000000003</v>
      </c>
      <c r="F2150" t="s">
        <v>77</v>
      </c>
      <c r="G2150">
        <v>-511.8338</v>
      </c>
      <c r="H2150">
        <v>41.092199999999998</v>
      </c>
      <c r="I2150">
        <v>297.99360000000001</v>
      </c>
      <c r="J2150">
        <v>-228.6628</v>
      </c>
      <c r="K2150">
        <v>1.10534</v>
      </c>
      <c r="L2150">
        <v>285.35039999999998</v>
      </c>
      <c r="M2150">
        <v>-0.99894530000000004</v>
      </c>
      <c r="N2150">
        <v>-1.77778299999999E-3</v>
      </c>
      <c r="O2150">
        <v>-4.5885080000000002E-2</v>
      </c>
      <c r="P2150">
        <v>-0.9929557</v>
      </c>
      <c r="Q2150">
        <v>-3.9634129999999997E-2</v>
      </c>
      <c r="R2150">
        <v>-0.11166189999999999</v>
      </c>
      <c r="S2150">
        <v>-3.0541990000000001</v>
      </c>
      <c r="T2150">
        <v>0.43077900000000002</v>
      </c>
      <c r="U2150">
        <v>0.13604740000000001</v>
      </c>
      <c r="V2150">
        <v>-6.6220420000000002E-2</v>
      </c>
      <c r="W2150">
        <v>-3.7443459999999998E-2</v>
      </c>
      <c r="X2150">
        <v>0.99710220000000005</v>
      </c>
      <c r="Y2150">
        <v>8.8960300000000006E-2</v>
      </c>
      <c r="Z2150">
        <v>-1.2678149999999999E-2</v>
      </c>
      <c r="AA2150">
        <v>0.99595449999999996</v>
      </c>
      <c r="AB2150">
        <v>39</v>
      </c>
      <c r="AC2150">
        <v>-283.17099999999999</v>
      </c>
      <c r="AD2150">
        <v>39.98686</v>
      </c>
      <c r="AE2150">
        <v>12.6432</v>
      </c>
      <c r="AF2150">
        <v>25.123251027016899</v>
      </c>
      <c r="AG2150">
        <v>39.98686</v>
      </c>
      <c r="AH2150">
        <v>276.78435654030397</v>
      </c>
      <c r="AI2150">
        <v>81.8125914297988</v>
      </c>
      <c r="AJ2150">
        <v>84.813570665196906</v>
      </c>
      <c r="AK2150">
        <v>280.78409274789101</v>
      </c>
      <c r="AL2150">
        <v>92.145853896162706</v>
      </c>
      <c r="AM2150">
        <v>93.799597525188304</v>
      </c>
      <c r="AN2150">
        <v>0.99999997698329302</v>
      </c>
    </row>
    <row r="2151" spans="1:40" x14ac:dyDescent="0.25">
      <c r="A2151" t="str">
        <f>"20190305134942450"</f>
        <v>20190305134942450</v>
      </c>
      <c r="B2151" t="str">
        <f>"1551764982443019"</f>
        <v>1551764982443019</v>
      </c>
      <c r="C2151" t="s">
        <v>40</v>
      </c>
      <c r="D2151">
        <v>3.7321029999999999</v>
      </c>
      <c r="E2151">
        <v>0.56411719999999999</v>
      </c>
      <c r="F2151" t="s">
        <v>77</v>
      </c>
      <c r="G2151">
        <v>-511.8338</v>
      </c>
      <c r="H2151">
        <v>41.085129999999999</v>
      </c>
      <c r="I2151">
        <v>298.15440000000001</v>
      </c>
      <c r="J2151">
        <v>-228.93170000000001</v>
      </c>
      <c r="K2151">
        <v>1.1054040000000001</v>
      </c>
      <c r="L2151">
        <v>285.33909999999997</v>
      </c>
      <c r="M2151">
        <v>-0.99901399999999996</v>
      </c>
      <c r="N2151">
        <v>-1.807368E-3</v>
      </c>
      <c r="O2151">
        <v>-4.4361379999999999E-2</v>
      </c>
      <c r="P2151">
        <v>-0.99305310000000002</v>
      </c>
      <c r="Q2151">
        <v>-3.9480809999999998E-2</v>
      </c>
      <c r="R2151">
        <v>-0.1108479</v>
      </c>
      <c r="S2151">
        <v>-3.0540159999999998</v>
      </c>
      <c r="T2151">
        <v>0.43118509999999999</v>
      </c>
      <c r="U2151">
        <v>0.13809199999999999</v>
      </c>
      <c r="V2151">
        <v>-6.6916439999999994E-2</v>
      </c>
      <c r="W2151">
        <v>-3.7266720000000003E-2</v>
      </c>
      <c r="X2151">
        <v>0.99706240000000002</v>
      </c>
      <c r="Y2151">
        <v>8.8130280000000005E-2</v>
      </c>
      <c r="Z2151">
        <v>-1.2416440000000001E-2</v>
      </c>
      <c r="AA2151">
        <v>0.99603160000000002</v>
      </c>
      <c r="AB2151">
        <v>39</v>
      </c>
      <c r="AC2151">
        <v>-282.90210000000002</v>
      </c>
      <c r="AD2151">
        <v>39.979725999999999</v>
      </c>
      <c r="AE2151">
        <v>12.815300000000001</v>
      </c>
      <c r="AF2151">
        <v>24.857215535747901</v>
      </c>
      <c r="AG2151">
        <v>39.979725999999999</v>
      </c>
      <c r="AH2151">
        <v>276.54345640777098</v>
      </c>
      <c r="AI2151">
        <v>81.806358864455206</v>
      </c>
      <c r="AJ2151">
        <v>84.863749599414604</v>
      </c>
      <c r="AK2151">
        <v>280.52191168816501</v>
      </c>
      <c r="AL2151">
        <v>92.135720266892903</v>
      </c>
      <c r="AM2151">
        <v>93.8395677575337</v>
      </c>
      <c r="AN2151">
        <v>1.00000002392779</v>
      </c>
    </row>
    <row r="2152" spans="1:40" x14ac:dyDescent="0.25">
      <c r="A2152" t="str">
        <f>"20190305134942470"</f>
        <v>20190305134942470</v>
      </c>
      <c r="B2152" t="str">
        <f>"1551764982462538"</f>
        <v>1551764982462538</v>
      </c>
      <c r="C2152" t="s">
        <v>40</v>
      </c>
      <c r="D2152">
        <v>3.9948489999999999</v>
      </c>
      <c r="E2152">
        <v>0.56429589999999996</v>
      </c>
      <c r="F2152" t="s">
        <v>77</v>
      </c>
      <c r="G2152">
        <v>-511.83409999999998</v>
      </c>
      <c r="H2152">
        <v>41.967959999999998</v>
      </c>
      <c r="I2152">
        <v>298.51080000000002</v>
      </c>
      <c r="J2152">
        <v>-229.27289999999999</v>
      </c>
      <c r="K2152">
        <v>1.1054870000000001</v>
      </c>
      <c r="L2152">
        <v>285.3252</v>
      </c>
      <c r="M2152">
        <v>-0.99909429999999999</v>
      </c>
      <c r="N2152">
        <v>-1.8453E-3</v>
      </c>
      <c r="O2152">
        <v>-4.2514040000000003E-2</v>
      </c>
      <c r="P2152">
        <v>-0.99319290000000005</v>
      </c>
      <c r="Q2152">
        <v>-3.8997869999999997E-2</v>
      </c>
      <c r="R2152">
        <v>-0.1097612</v>
      </c>
      <c r="S2152">
        <v>-3.0544129999999998</v>
      </c>
      <c r="T2152">
        <v>0.4411815</v>
      </c>
      <c r="U2152">
        <v>0.1422119</v>
      </c>
      <c r="V2152">
        <v>-6.765794E-2</v>
      </c>
      <c r="W2152">
        <v>-3.6754580000000002E-2</v>
      </c>
      <c r="X2152">
        <v>0.99703129999999995</v>
      </c>
      <c r="Y2152">
        <v>8.7587860000000003E-2</v>
      </c>
      <c r="Z2152">
        <v>-1.239227E-2</v>
      </c>
      <c r="AA2152">
        <v>0.99607970000000001</v>
      </c>
      <c r="AB2152">
        <v>39</v>
      </c>
      <c r="AC2152">
        <v>-282.56119999999999</v>
      </c>
      <c r="AD2152">
        <v>40.862473000000001</v>
      </c>
      <c r="AE2152">
        <v>13.185600000000001</v>
      </c>
      <c r="AF2152">
        <v>24.671668582588399</v>
      </c>
      <c r="AG2152">
        <v>40.862473000000001</v>
      </c>
      <c r="AH2152">
        <v>275.98589616829901</v>
      </c>
      <c r="AI2152">
        <v>81.610947440923496</v>
      </c>
      <c r="AJ2152">
        <v>84.891641380907799</v>
      </c>
      <c r="AK2152">
        <v>280.08328728102202</v>
      </c>
      <c r="AL2152">
        <v>92.106356835040998</v>
      </c>
      <c r="AM2152">
        <v>93.882105287975094</v>
      </c>
      <c r="AN2152">
        <v>0.99999995458785396</v>
      </c>
    </row>
    <row r="2153" spans="1:40" x14ac:dyDescent="0.25">
      <c r="A2153" t="str">
        <f>"20190305134942490"</f>
        <v>20190305134942490</v>
      </c>
      <c r="B2153" t="str">
        <f>"1551764982483034"</f>
        <v>1551764982483034</v>
      </c>
      <c r="C2153" t="s">
        <v>40</v>
      </c>
      <c r="D2153">
        <v>3.7677489999999998</v>
      </c>
      <c r="E2153">
        <v>0.56631769999999904</v>
      </c>
      <c r="F2153" t="s">
        <v>77</v>
      </c>
      <c r="G2153">
        <v>-511.83420000000001</v>
      </c>
      <c r="H2153">
        <v>42.48489</v>
      </c>
      <c r="I2153">
        <v>298.91609999999997</v>
      </c>
      <c r="J2153">
        <v>-229.64179999999999</v>
      </c>
      <c r="K2153">
        <v>1.1055729999999999</v>
      </c>
      <c r="L2153">
        <v>285.3109</v>
      </c>
      <c r="M2153">
        <v>-0.99917330000000004</v>
      </c>
      <c r="N2153">
        <v>-1.8867039999999999E-3</v>
      </c>
      <c r="O2153">
        <v>-4.0612000000000002E-2</v>
      </c>
      <c r="P2153">
        <v>-0.99335890000000004</v>
      </c>
      <c r="Q2153">
        <v>-3.8658499999999998E-2</v>
      </c>
      <c r="R2153">
        <v>-0.1083693</v>
      </c>
      <c r="S2153">
        <v>-3.0543520000000002</v>
      </c>
      <c r="T2153">
        <v>0.44729200000000002</v>
      </c>
      <c r="U2153">
        <v>0.1469116</v>
      </c>
      <c r="V2153">
        <v>-6.814808E-2</v>
      </c>
      <c r="W2153">
        <v>-3.6385220000000003E-2</v>
      </c>
      <c r="X2153">
        <v>0.99701150000000005</v>
      </c>
      <c r="Y2153">
        <v>8.7209300000000003E-2</v>
      </c>
      <c r="Z2153">
        <v>-1.2254269999999999E-2</v>
      </c>
      <c r="AA2153">
        <v>0.99611459999999996</v>
      </c>
      <c r="AB2153">
        <v>39</v>
      </c>
      <c r="AC2153">
        <v>-282.19240000000002</v>
      </c>
      <c r="AD2153">
        <v>41.379317</v>
      </c>
      <c r="AE2153">
        <v>13.6051999999999</v>
      </c>
      <c r="AF2153">
        <v>24.5282135815531</v>
      </c>
      <c r="AG2153">
        <v>41.379317</v>
      </c>
      <c r="AH2153">
        <v>275.49709080235698</v>
      </c>
      <c r="AI2153">
        <v>81.491259525315002</v>
      </c>
      <c r="AJ2153">
        <v>84.912224548675496</v>
      </c>
      <c r="AK2153">
        <v>279.66502852064099</v>
      </c>
      <c r="AL2153">
        <v>92.085179829648496</v>
      </c>
      <c r="AM2153">
        <v>93.910219228558802</v>
      </c>
      <c r="AN2153">
        <v>0.99999998808719204</v>
      </c>
    </row>
    <row r="2154" spans="1:40" x14ac:dyDescent="0.25">
      <c r="A2154" t="str">
        <f>"20190305134942513"</f>
        <v>20190305134942513</v>
      </c>
      <c r="B2154" t="str">
        <f>"1551764982502558"</f>
        <v>1551764982502558</v>
      </c>
      <c r="C2154" t="s">
        <v>40</v>
      </c>
      <c r="D2154">
        <v>3.7686980000000001</v>
      </c>
      <c r="E2154">
        <v>0.56744709999999998</v>
      </c>
      <c r="F2154" t="s">
        <v>77</v>
      </c>
      <c r="G2154">
        <v>-511.83420000000001</v>
      </c>
      <c r="H2154">
        <v>42.287410000000001</v>
      </c>
      <c r="I2154">
        <v>300.7552</v>
      </c>
      <c r="J2154">
        <v>-230.03569999999999</v>
      </c>
      <c r="K2154">
        <v>1.1056549999999901</v>
      </c>
      <c r="L2154">
        <v>285.29629999999997</v>
      </c>
      <c r="M2154">
        <v>-0.99924999999999997</v>
      </c>
      <c r="N2154">
        <v>-1.9316400000000001E-3</v>
      </c>
      <c r="O2154">
        <v>-3.8676469999999998E-2</v>
      </c>
      <c r="P2154">
        <v>-0.99355070000000001</v>
      </c>
      <c r="Q2154">
        <v>-3.8908659999999998E-2</v>
      </c>
      <c r="R2154">
        <v>-0.1065055</v>
      </c>
      <c r="S2154">
        <v>-3.0556489999999998</v>
      </c>
      <c r="T2154">
        <v>0.44592769999999998</v>
      </c>
      <c r="U2154">
        <v>0.16723629999999901</v>
      </c>
      <c r="V2154">
        <v>-6.8203150000000004E-2</v>
      </c>
      <c r="W2154">
        <v>-3.6604829999999998E-2</v>
      </c>
      <c r="X2154">
        <v>0.99699970000000004</v>
      </c>
      <c r="Y2154">
        <v>9.1849360000000005E-2</v>
      </c>
      <c r="Z2154">
        <v>-1.225767E-2</v>
      </c>
      <c r="AA2154">
        <v>0.99569739999999995</v>
      </c>
      <c r="AB2154">
        <v>39</v>
      </c>
      <c r="AC2154">
        <v>-281.79849999999999</v>
      </c>
      <c r="AD2154">
        <v>41.181755000000003</v>
      </c>
      <c r="AE2154">
        <v>15.4589</v>
      </c>
      <c r="AF2154">
        <v>25.7970397216904</v>
      </c>
      <c r="AG2154">
        <v>41.181755000000003</v>
      </c>
      <c r="AH2154">
        <v>275.131509797023</v>
      </c>
      <c r="AI2154">
        <v>81.523785936817703</v>
      </c>
      <c r="AJ2154">
        <v>84.643460555167195</v>
      </c>
      <c r="AK2154">
        <v>279.389999617868</v>
      </c>
      <c r="AL2154">
        <v>92.097770934413404</v>
      </c>
      <c r="AM2154">
        <v>93.913415408888298</v>
      </c>
      <c r="AN2154">
        <v>0.99999999252466998</v>
      </c>
    </row>
    <row r="2155" spans="1:40" x14ac:dyDescent="0.25">
      <c r="A2155" t="str">
        <f>"20190305134942528"</f>
        <v>20190305134942528</v>
      </c>
      <c r="B2155" t="str">
        <f>"1551764982523050"</f>
        <v>1551764982523050</v>
      </c>
      <c r="C2155" t="s">
        <v>40</v>
      </c>
      <c r="D2155">
        <v>4.0462590000000001</v>
      </c>
      <c r="E2155">
        <v>0.56849209999999994</v>
      </c>
      <c r="F2155" t="s">
        <v>77</v>
      </c>
      <c r="G2155">
        <v>-511.83440000000002</v>
      </c>
      <c r="H2155">
        <v>42.991660000000003</v>
      </c>
      <c r="I2155">
        <v>302.02760000000001</v>
      </c>
      <c r="J2155">
        <v>-230.3064</v>
      </c>
      <c r="K2155">
        <v>1.105712</v>
      </c>
      <c r="L2155">
        <v>285.28660000000002</v>
      </c>
      <c r="M2155">
        <v>-0.99929889999999999</v>
      </c>
      <c r="N2155">
        <v>-1.9640619999999999E-3</v>
      </c>
      <c r="O2155">
        <v>-3.7393200000000001E-2</v>
      </c>
      <c r="P2155">
        <v>-0.99366790000000005</v>
      </c>
      <c r="Q2155">
        <v>-3.9351259999999999E-2</v>
      </c>
      <c r="R2155">
        <v>-0.105242</v>
      </c>
      <c r="S2155">
        <v>-3.0567169999999999</v>
      </c>
      <c r="T2155">
        <v>0.4543449</v>
      </c>
      <c r="U2155">
        <v>0.18148800000000001</v>
      </c>
      <c r="V2155">
        <v>-6.8213040000000003E-2</v>
      </c>
      <c r="W2155">
        <v>-3.702478E-2</v>
      </c>
      <c r="X2155">
        <v>0.99698350000000002</v>
      </c>
      <c r="Y2155">
        <v>9.5106999999999997E-2</v>
      </c>
      <c r="Z2155">
        <v>-1.2526010000000001E-2</v>
      </c>
      <c r="AA2155">
        <v>0.9953883</v>
      </c>
      <c r="AB2155">
        <v>39</v>
      </c>
      <c r="AC2155">
        <v>-281.52800000000002</v>
      </c>
      <c r="AD2155">
        <v>41.885947999999999</v>
      </c>
      <c r="AE2155">
        <v>16.7409999999999</v>
      </c>
      <c r="AF2155">
        <v>26.668301018344199</v>
      </c>
      <c r="AG2155">
        <v>41.885947999999999</v>
      </c>
      <c r="AH2155">
        <v>274.64702059232002</v>
      </c>
      <c r="AI2155">
        <v>81.368713056523006</v>
      </c>
      <c r="AJ2155">
        <v>84.453950728174505</v>
      </c>
      <c r="AK2155">
        <v>279.09965395768899</v>
      </c>
      <c r="AL2155">
        <v>92.121848654133004</v>
      </c>
      <c r="AM2155">
        <v>93.914044522308401</v>
      </c>
      <c r="AN2155">
        <v>0.99999997621616898</v>
      </c>
    </row>
    <row r="2156" spans="1:40" x14ac:dyDescent="0.25">
      <c r="A2156" t="str">
        <f>"20190305134942547"</f>
        <v>20190305134942547</v>
      </c>
      <c r="B2156" t="str">
        <f>"1551764982542571"</f>
        <v>1551764982542571</v>
      </c>
      <c r="C2156" t="s">
        <v>40</v>
      </c>
      <c r="D2156">
        <v>3.7174909999999999</v>
      </c>
      <c r="E2156">
        <v>0.57026999999999906</v>
      </c>
      <c r="F2156" t="s">
        <v>77</v>
      </c>
      <c r="G2156">
        <v>-511.83460000000002</v>
      </c>
      <c r="H2156">
        <v>43.615450000000003</v>
      </c>
      <c r="I2156">
        <v>303.06049999999999</v>
      </c>
      <c r="J2156">
        <v>-230.63220000000001</v>
      </c>
      <c r="K2156">
        <v>1.1057779999999999</v>
      </c>
      <c r="L2156">
        <v>285.27550000000002</v>
      </c>
      <c r="M2156">
        <v>-0.99935309999999999</v>
      </c>
      <c r="N2156">
        <v>-2.0070090000000001E-3</v>
      </c>
      <c r="O2156">
        <v>-3.5908549999999997E-2</v>
      </c>
      <c r="P2156">
        <v>-0.99383589999999999</v>
      </c>
      <c r="Q2156">
        <v>-3.9649480000000001E-2</v>
      </c>
      <c r="R2156">
        <v>-0.10352840000000001</v>
      </c>
      <c r="S2156">
        <v>-3.0578609999999999</v>
      </c>
      <c r="T2156">
        <v>0.46172649999999998</v>
      </c>
      <c r="U2156">
        <v>0.19305420000000001</v>
      </c>
      <c r="V2156">
        <v>-6.7971309999999993E-2</v>
      </c>
      <c r="W2156">
        <v>-3.7292680000000002E-2</v>
      </c>
      <c r="X2156">
        <v>0.99699000000000004</v>
      </c>
      <c r="Y2156">
        <v>9.7304059999999998E-2</v>
      </c>
      <c r="Z2156">
        <v>-1.265792E-2</v>
      </c>
      <c r="AA2156">
        <v>0.99517420000000001</v>
      </c>
      <c r="AB2156">
        <v>39</v>
      </c>
      <c r="AC2156">
        <v>-281.20240000000001</v>
      </c>
      <c r="AD2156">
        <v>42.509671999999902</v>
      </c>
      <c r="AE2156">
        <v>17.784999999999901</v>
      </c>
      <c r="AF2156">
        <v>27.250846292757402</v>
      </c>
      <c r="AG2156">
        <v>42.509671999999902</v>
      </c>
      <c r="AH2156">
        <v>274.14247675185601</v>
      </c>
      <c r="AI2156">
        <v>81.228231173265399</v>
      </c>
      <c r="AJ2156">
        <v>84.323221616551194</v>
      </c>
      <c r="AK2156">
        <v>278.75397467455298</v>
      </c>
      <c r="AL2156">
        <v>92.137208854743307</v>
      </c>
      <c r="AM2156">
        <v>93.900191659284999</v>
      </c>
      <c r="AN2156">
        <v>0.999999951532348</v>
      </c>
    </row>
    <row r="2157" spans="1:40" x14ac:dyDescent="0.25">
      <c r="A2157" t="str">
        <f>"20190305134942561"</f>
        <v>20190305134942561</v>
      </c>
      <c r="B2157" t="str">
        <f>"1551764982553308"</f>
        <v>1551764982553308</v>
      </c>
      <c r="C2157" t="s">
        <v>40</v>
      </c>
      <c r="D2157">
        <v>4.0476320000000001</v>
      </c>
      <c r="E2157">
        <v>0.57026999999999906</v>
      </c>
      <c r="F2157" t="s">
        <v>77</v>
      </c>
      <c r="G2157">
        <v>-511.83510000000001</v>
      </c>
      <c r="H2157">
        <v>44.992690000000003</v>
      </c>
      <c r="I2157">
        <v>304.68169999999998</v>
      </c>
      <c r="J2157">
        <v>-230.88220000000001</v>
      </c>
      <c r="K2157">
        <v>1.105828</v>
      </c>
      <c r="L2157">
        <v>285.2672</v>
      </c>
      <c r="M2157">
        <v>-0.9993919</v>
      </c>
      <c r="N2157">
        <v>-2.0424010000000001E-3</v>
      </c>
      <c r="O2157">
        <v>-3.480954E-2</v>
      </c>
      <c r="P2157">
        <v>-0.9939635</v>
      </c>
      <c r="Q2157">
        <v>-3.9787830000000003E-2</v>
      </c>
      <c r="R2157">
        <v>-0.1022426</v>
      </c>
      <c r="S2157">
        <v>-3.0596619999999999</v>
      </c>
      <c r="T2157">
        <v>0.47751759999999899</v>
      </c>
      <c r="U2157">
        <v>0.21115110000000001</v>
      </c>
      <c r="V2157">
        <v>-6.7773280000000005E-2</v>
      </c>
      <c r="W2157">
        <v>-3.7404880000000001E-2</v>
      </c>
      <c r="X2157">
        <v>0.99699930000000003</v>
      </c>
      <c r="Y2157">
        <v>0.1018902</v>
      </c>
      <c r="Z2157">
        <v>-1.3254149999999999E-2</v>
      </c>
      <c r="AA2157">
        <v>0.99470729999999996</v>
      </c>
      <c r="AB2157">
        <v>40</v>
      </c>
      <c r="AC2157">
        <v>-280.9529</v>
      </c>
      <c r="AD2157">
        <v>43.886862000000001</v>
      </c>
      <c r="AE2157">
        <v>19.414499999999901</v>
      </c>
      <c r="AF2157">
        <v>28.490706561846999</v>
      </c>
      <c r="AG2157">
        <v>43.886862000000001</v>
      </c>
      <c r="AH2157">
        <v>273.46578007824502</v>
      </c>
      <c r="AI2157">
        <v>80.930954105133594</v>
      </c>
      <c r="AJ2157">
        <v>84.052165315212093</v>
      </c>
      <c r="AK2157">
        <v>278.42648920388899</v>
      </c>
      <c r="AL2157">
        <v>92.143641883111599</v>
      </c>
      <c r="AM2157">
        <v>93.888827456570397</v>
      </c>
      <c r="AN2157">
        <v>0.99999997336513102</v>
      </c>
    </row>
    <row r="2158" spans="1:40" x14ac:dyDescent="0.25">
      <c r="A2158" t="str">
        <f>"20190305134942580"</f>
        <v>20190305134942580</v>
      </c>
      <c r="B2158" t="str">
        <f>"1551764982572826"</f>
        <v>1551764982572826</v>
      </c>
      <c r="C2158" t="s">
        <v>40</v>
      </c>
      <c r="D2158">
        <v>3.7094580000000001</v>
      </c>
      <c r="E2158">
        <v>0.57170279999999996</v>
      </c>
      <c r="F2158" t="s">
        <v>77</v>
      </c>
      <c r="G2158">
        <v>-511.83510000000001</v>
      </c>
      <c r="H2158">
        <v>44.93206</v>
      </c>
      <c r="I2158">
        <v>305.01350000000002</v>
      </c>
      <c r="J2158">
        <v>-231.22649999999999</v>
      </c>
      <c r="K2158">
        <v>1.1058939999999999</v>
      </c>
      <c r="L2158">
        <v>285.25619999999998</v>
      </c>
      <c r="M2158">
        <v>-0.9994421</v>
      </c>
      <c r="N2158">
        <v>-2.0931560000000001E-3</v>
      </c>
      <c r="O2158">
        <v>-3.3336499999999998E-2</v>
      </c>
      <c r="P2158">
        <v>-0.99410739999999997</v>
      </c>
      <c r="Q2158">
        <v>-4.0148120000000002E-2</v>
      </c>
      <c r="R2158">
        <v>-0.1006913</v>
      </c>
      <c r="S2158">
        <v>-3.0594329999999998</v>
      </c>
      <c r="T2158">
        <v>0.4772459</v>
      </c>
      <c r="U2158">
        <v>0.21502689999999999</v>
      </c>
      <c r="V2158">
        <v>-6.7683560000000004E-2</v>
      </c>
      <c r="W2158">
        <v>-3.7725429999999997E-2</v>
      </c>
      <c r="X2158">
        <v>0.99699340000000003</v>
      </c>
      <c r="Y2158">
        <v>0.1017057</v>
      </c>
      <c r="Z2158">
        <v>-1.3000940000000001E-2</v>
      </c>
      <c r="AA2158">
        <v>0.99472959999999999</v>
      </c>
      <c r="AB2158">
        <v>40</v>
      </c>
      <c r="AC2158">
        <v>-280.60860000000002</v>
      </c>
      <c r="AD2158">
        <v>43.826166000000001</v>
      </c>
      <c r="AE2158">
        <v>19.757300000000001</v>
      </c>
      <c r="AF2158">
        <v>28.411230509036798</v>
      </c>
      <c r="AG2158">
        <v>43.826166000000001</v>
      </c>
      <c r="AH2158">
        <v>273.16358553304798</v>
      </c>
      <c r="AI2158">
        <v>80.933274455381294</v>
      </c>
      <c r="AJ2158">
        <v>84.062123735888903</v>
      </c>
      <c r="AK2158">
        <v>278.11198339260397</v>
      </c>
      <c r="AL2158">
        <v>92.162020839405599</v>
      </c>
      <c r="AM2158">
        <v>93.883718004843601</v>
      </c>
      <c r="AN2158">
        <v>1.00000005600325</v>
      </c>
    </row>
    <row r="2159" spans="1:40" x14ac:dyDescent="0.25">
      <c r="A2159" t="str">
        <f>"20190305134942602"</f>
        <v>20190305134942602</v>
      </c>
      <c r="B2159" t="str">
        <f>"1551764982592350"</f>
        <v>1551764982592350</v>
      </c>
      <c r="C2159" t="s">
        <v>40</v>
      </c>
      <c r="D2159">
        <v>3.7879109999999998</v>
      </c>
      <c r="E2159">
        <v>0.57266740000000005</v>
      </c>
      <c r="F2159" t="s">
        <v>77</v>
      </c>
      <c r="G2159">
        <v>-511.83539999999999</v>
      </c>
      <c r="H2159">
        <v>46.078069999999997</v>
      </c>
      <c r="I2159">
        <v>306.33150000000001</v>
      </c>
      <c r="J2159">
        <v>-231.62209999999999</v>
      </c>
      <c r="K2159">
        <v>1.105955</v>
      </c>
      <c r="L2159">
        <v>285.24419999999998</v>
      </c>
      <c r="M2159">
        <v>-0.99949520000000003</v>
      </c>
      <c r="N2159">
        <v>-2.152995E-3</v>
      </c>
      <c r="O2159">
        <v>-3.169574E-2</v>
      </c>
      <c r="P2159">
        <v>-0.99424800000000002</v>
      </c>
      <c r="Q2159">
        <v>-4.0316440000000002E-2</v>
      </c>
      <c r="R2159">
        <v>-9.9224809999999997E-2</v>
      </c>
      <c r="S2159">
        <v>-3.060883</v>
      </c>
      <c r="T2159">
        <v>0.49055700000000002</v>
      </c>
      <c r="U2159">
        <v>0.22988890000000001</v>
      </c>
      <c r="V2159">
        <v>-6.7844399999999999E-2</v>
      </c>
      <c r="W2159">
        <v>-3.784361E-2</v>
      </c>
      <c r="X2159">
        <v>0.99697789999999997</v>
      </c>
      <c r="Y2159">
        <v>0.1047386</v>
      </c>
      <c r="Z2159">
        <v>-1.332386E-2</v>
      </c>
      <c r="AA2159">
        <v>0.99441049999999997</v>
      </c>
      <c r="AB2159">
        <v>40</v>
      </c>
      <c r="AC2159">
        <v>-280.2133</v>
      </c>
      <c r="AD2159">
        <v>44.972115000000002</v>
      </c>
      <c r="AE2159">
        <v>21.087299999999999</v>
      </c>
      <c r="AF2159">
        <v>29.210141162456001</v>
      </c>
      <c r="AG2159">
        <v>44.972115000000002</v>
      </c>
      <c r="AH2159">
        <v>272.42653254270101</v>
      </c>
      <c r="AI2159">
        <v>80.678647467156196</v>
      </c>
      <c r="AJ2159">
        <v>83.880008499414799</v>
      </c>
      <c r="AK2159">
        <v>277.65435186134403</v>
      </c>
      <c r="AL2159">
        <v>92.1687970855251</v>
      </c>
      <c r="AM2159">
        <v>93.892979081182801</v>
      </c>
      <c r="AN2159">
        <v>0.99999996725880003</v>
      </c>
    </row>
    <row r="2160" spans="1:40" x14ac:dyDescent="0.25">
      <c r="A2160" t="str">
        <f>"20190305134942614"</f>
        <v>20190305134942614</v>
      </c>
      <c r="B2160" t="str">
        <f>"1551764982603083"</f>
        <v>1551764982603083</v>
      </c>
      <c r="C2160" t="s">
        <v>40</v>
      </c>
      <c r="D2160">
        <v>3.7235559999999999</v>
      </c>
      <c r="E2160">
        <v>0.57321869999999997</v>
      </c>
      <c r="F2160" t="s">
        <v>77</v>
      </c>
      <c r="G2160">
        <v>-511.83550000000002</v>
      </c>
      <c r="H2160">
        <v>46.333779999999997</v>
      </c>
      <c r="I2160">
        <v>307.32490000000001</v>
      </c>
      <c r="J2160">
        <v>-231.846</v>
      </c>
      <c r="K2160">
        <v>1.1059890000000001</v>
      </c>
      <c r="L2160">
        <v>285.23759999999999</v>
      </c>
      <c r="M2160">
        <v>-0.99952370000000001</v>
      </c>
      <c r="N2160">
        <v>-2.1870840000000002E-3</v>
      </c>
      <c r="O2160">
        <v>-3.0785659999999999E-2</v>
      </c>
      <c r="P2160">
        <v>-0.99430839999999998</v>
      </c>
      <c r="Q2160">
        <v>-4.0378850000000001E-2</v>
      </c>
      <c r="R2160">
        <v>-9.8594399999999999E-2</v>
      </c>
      <c r="S2160">
        <v>-3.0614620000000001</v>
      </c>
      <c r="T2160">
        <v>0.49413570000000001</v>
      </c>
      <c r="U2160">
        <v>0.2412415</v>
      </c>
      <c r="V2160">
        <v>-6.8117670000000005E-2</v>
      </c>
      <c r="W2160">
        <v>-3.7875789999999999E-2</v>
      </c>
      <c r="X2160">
        <v>0.99695809999999996</v>
      </c>
      <c r="Y2160">
        <v>0.1074386</v>
      </c>
      <c r="Z2160">
        <v>-1.3480529999999999E-2</v>
      </c>
      <c r="AA2160">
        <v>0.99412029999999996</v>
      </c>
      <c r="AB2160">
        <v>40</v>
      </c>
      <c r="AC2160">
        <v>-279.98950000000002</v>
      </c>
      <c r="AD2160">
        <v>45.227791000000003</v>
      </c>
      <c r="AE2160">
        <v>22.087299999999999</v>
      </c>
      <c r="AF2160">
        <v>29.920616166304299</v>
      </c>
      <c r="AG2160">
        <v>45.227791000000003</v>
      </c>
      <c r="AH2160">
        <v>272.120239986699</v>
      </c>
      <c r="AI2160">
        <v>80.618930199004595</v>
      </c>
      <c r="AJ2160">
        <v>83.725324905085401</v>
      </c>
      <c r="AK2160">
        <v>277.47111806624099</v>
      </c>
      <c r="AL2160">
        <v>92.170642065981795</v>
      </c>
      <c r="AM2160">
        <v>93.908688465199504</v>
      </c>
      <c r="AN2160">
        <v>1.0000000227949799</v>
      </c>
    </row>
    <row r="2161" spans="1:40" x14ac:dyDescent="0.25">
      <c r="A2161" t="str">
        <f>"20190305134942626"</f>
        <v>20190305134942626</v>
      </c>
      <c r="B2161" t="str">
        <f>"1551764982622602"</f>
        <v>1551764982622602</v>
      </c>
      <c r="C2161" t="s">
        <v>40</v>
      </c>
      <c r="D2161">
        <v>3.6848879999999999</v>
      </c>
      <c r="E2161">
        <v>0.5737025</v>
      </c>
      <c r="F2161" t="s">
        <v>77</v>
      </c>
      <c r="G2161">
        <v>-511.83569999999997</v>
      </c>
      <c r="H2161">
        <v>46.807850000000002</v>
      </c>
      <c r="I2161">
        <v>307.83280000000002</v>
      </c>
      <c r="J2161">
        <v>-232.06559999999999</v>
      </c>
      <c r="K2161">
        <v>1.1060179999999999</v>
      </c>
      <c r="L2161">
        <v>285.23140000000001</v>
      </c>
      <c r="M2161">
        <v>-0.99955039999999995</v>
      </c>
      <c r="N2161">
        <v>-2.2206019999999999E-3</v>
      </c>
      <c r="O2161">
        <v>-2.9904699999999999E-2</v>
      </c>
      <c r="P2161">
        <v>-0.99435450000000003</v>
      </c>
      <c r="Q2161">
        <v>-4.0320990000000001E-2</v>
      </c>
      <c r="R2161">
        <v>-9.8150890000000005E-2</v>
      </c>
      <c r="S2161">
        <v>-3.0619809999999998</v>
      </c>
      <c r="T2161">
        <v>0.49979849999999998</v>
      </c>
      <c r="U2161">
        <v>0.24710080000000001</v>
      </c>
      <c r="V2161">
        <v>-6.8548600000000001E-2</v>
      </c>
      <c r="W2161">
        <v>-3.7786880000000002E-2</v>
      </c>
      <c r="X2161">
        <v>0.99693189999999998</v>
      </c>
      <c r="Y2161">
        <v>0.10839940000000001</v>
      </c>
      <c r="Z2161">
        <v>-1.356161E-2</v>
      </c>
      <c r="AA2161">
        <v>0.99401490000000003</v>
      </c>
      <c r="AB2161">
        <v>40</v>
      </c>
      <c r="AC2161">
        <v>-279.77010000000001</v>
      </c>
      <c r="AD2161">
        <v>45.701832000000003</v>
      </c>
      <c r="AE2161">
        <v>22.601400000000002</v>
      </c>
      <c r="AF2161">
        <v>30.1582034141645</v>
      </c>
      <c r="AG2161">
        <v>45.701832000000003</v>
      </c>
      <c r="AH2161">
        <v>271.76412317475001</v>
      </c>
      <c r="AI2161">
        <v>80.511222007104706</v>
      </c>
      <c r="AJ2161">
        <v>83.667682665578297</v>
      </c>
      <c r="AK2161">
        <v>277.22538362543003</v>
      </c>
      <c r="AL2161">
        <v>92.165544328621706</v>
      </c>
      <c r="AM2161">
        <v>93.9334415117291</v>
      </c>
      <c r="AN2161">
        <v>0.99999998604985196</v>
      </c>
    </row>
    <row r="2162" spans="1:40" x14ac:dyDescent="0.25">
      <c r="A2162" t="str">
        <f>"20190305134942639"</f>
        <v>20190305134942639</v>
      </c>
      <c r="B2162" t="str">
        <f>"1551764982632363"</f>
        <v>1551764982632363</v>
      </c>
      <c r="C2162" t="s">
        <v>40</v>
      </c>
      <c r="D2162">
        <v>3.8845160000000001</v>
      </c>
      <c r="E2162">
        <v>0.57375319999999996</v>
      </c>
      <c r="F2162" t="s">
        <v>77</v>
      </c>
      <c r="G2162">
        <v>-511.83580000000001</v>
      </c>
      <c r="H2162">
        <v>47.267670000000003</v>
      </c>
      <c r="I2162">
        <v>308.26280000000003</v>
      </c>
      <c r="J2162">
        <v>-232.29179999999999</v>
      </c>
      <c r="K2162">
        <v>1.1060449999999999</v>
      </c>
      <c r="L2162">
        <v>285.22519999999997</v>
      </c>
      <c r="M2162">
        <v>-0.99957669999999998</v>
      </c>
      <c r="N2162">
        <v>-2.256007E-3</v>
      </c>
      <c r="O2162">
        <v>-2.9008240000000001E-2</v>
      </c>
      <c r="P2162">
        <v>-0.99441239999999997</v>
      </c>
      <c r="Q2162">
        <v>-3.9906879999999999E-2</v>
      </c>
      <c r="R2162">
        <v>-9.7733890000000004E-2</v>
      </c>
      <c r="S2162">
        <v>-3.062424</v>
      </c>
      <c r="T2162">
        <v>0.50529579999999996</v>
      </c>
      <c r="U2162">
        <v>0.25210569999999999</v>
      </c>
      <c r="V2162">
        <v>-6.9019899999999995E-2</v>
      </c>
      <c r="W2162">
        <v>-3.7339099999999903E-2</v>
      </c>
      <c r="X2162">
        <v>0.99691629999999998</v>
      </c>
      <c r="Y2162">
        <v>0.1090749</v>
      </c>
      <c r="Z2162">
        <v>-1.3611420000000001E-2</v>
      </c>
      <c r="AA2162">
        <v>0.99394039999999995</v>
      </c>
      <c r="AB2162">
        <v>40</v>
      </c>
      <c r="AC2162">
        <v>-279.54399999999998</v>
      </c>
      <c r="AD2162">
        <v>46.161625000000001</v>
      </c>
      <c r="AE2162">
        <v>23.037600000000001</v>
      </c>
      <c r="AF2162">
        <v>30.315910636852099</v>
      </c>
      <c r="AG2162">
        <v>46.161625000000001</v>
      </c>
      <c r="AH2162">
        <v>271.40712755756499</v>
      </c>
      <c r="AI2162">
        <v>80.405902517239795</v>
      </c>
      <c r="AJ2162">
        <v>83.626536398163694</v>
      </c>
      <c r="AK2162">
        <v>276.968913326804</v>
      </c>
      <c r="AL2162">
        <v>92.139870206182493</v>
      </c>
      <c r="AM2162">
        <v>93.960461559448802</v>
      </c>
      <c r="AN2162">
        <v>1.00000003209525</v>
      </c>
    </row>
    <row r="2163" spans="1:40" x14ac:dyDescent="0.25">
      <c r="A2163" t="str">
        <f>"20190305134942658"</f>
        <v>20190305134942658</v>
      </c>
      <c r="B2163" t="str">
        <f>"1551764982652858"</f>
        <v>1551764982652858</v>
      </c>
      <c r="C2163" t="s">
        <v>40</v>
      </c>
      <c r="D2163">
        <v>3.6826439999999998</v>
      </c>
      <c r="E2163">
        <v>0.574658</v>
      </c>
      <c r="F2163" t="s">
        <v>77</v>
      </c>
      <c r="G2163">
        <v>-511.83550000000002</v>
      </c>
      <c r="H2163">
        <v>46.19802</v>
      </c>
      <c r="I2163">
        <v>308.49939999999998</v>
      </c>
      <c r="J2163">
        <v>-232.63650000000001</v>
      </c>
      <c r="K2163">
        <v>1.1060840000000001</v>
      </c>
      <c r="L2163">
        <v>285.21609999999998</v>
      </c>
      <c r="M2163">
        <v>-0.99961489999999997</v>
      </c>
      <c r="N2163">
        <v>-2.3111400000000002E-3</v>
      </c>
      <c r="O2163">
        <v>-2.7654109999999999E-2</v>
      </c>
      <c r="P2163">
        <v>-0.99445110000000003</v>
      </c>
      <c r="Q2163">
        <v>-3.950422E-2</v>
      </c>
      <c r="R2163">
        <v>-9.7502859999999997E-2</v>
      </c>
      <c r="S2163">
        <v>-3.0617369999999999</v>
      </c>
      <c r="T2163">
        <v>0.49387619999999999</v>
      </c>
      <c r="U2163">
        <v>0.25491329999999901</v>
      </c>
      <c r="V2163">
        <v>-7.0133399999999999E-2</v>
      </c>
      <c r="W2163">
        <v>-3.6881410000000003E-2</v>
      </c>
      <c r="X2163">
        <v>0.99685559999999995</v>
      </c>
      <c r="Y2163">
        <v>0.1087557</v>
      </c>
      <c r="Z2163">
        <v>-1.3062529999999999E-2</v>
      </c>
      <c r="AA2163">
        <v>0.9939827</v>
      </c>
      <c r="AB2163">
        <v>40</v>
      </c>
      <c r="AC2163">
        <v>-279.19900000000001</v>
      </c>
      <c r="AD2163">
        <v>45.091935999999997</v>
      </c>
      <c r="AE2163">
        <v>23.283300000000001</v>
      </c>
      <c r="AF2163">
        <v>30.212795271415299</v>
      </c>
      <c r="AG2163">
        <v>45.091935999999997</v>
      </c>
      <c r="AH2163">
        <v>271.41764387937798</v>
      </c>
      <c r="AI2163">
        <v>80.624197600326397</v>
      </c>
      <c r="AJ2163">
        <v>83.648281462937405</v>
      </c>
      <c r="AK2163">
        <v>276.79167816134498</v>
      </c>
      <c r="AL2163">
        <v>92.113628472837505</v>
      </c>
      <c r="AM2163">
        <v>94.024391771310306</v>
      </c>
      <c r="AN2163">
        <v>1.0000000097252499</v>
      </c>
    </row>
    <row r="2164" spans="1:40" x14ac:dyDescent="0.25">
      <c r="A2164" t="str">
        <f>"20190305134942671"</f>
        <v>20190305134942671</v>
      </c>
      <c r="B2164" t="str">
        <f>"1551764982662619"</f>
        <v>1551764982662619</v>
      </c>
      <c r="C2164" t="s">
        <v>40</v>
      </c>
      <c r="D2164">
        <v>3.9815450000000001</v>
      </c>
      <c r="E2164">
        <v>0.574658</v>
      </c>
      <c r="F2164" t="s">
        <v>77</v>
      </c>
      <c r="G2164">
        <v>-511.83580000000001</v>
      </c>
      <c r="H2164">
        <v>47.072969999999998</v>
      </c>
      <c r="I2164">
        <v>309.20370000000003</v>
      </c>
      <c r="J2164">
        <v>-232.86660000000001</v>
      </c>
      <c r="K2164">
        <v>1.106106</v>
      </c>
      <c r="L2164">
        <v>285.21019999999999</v>
      </c>
      <c r="M2164">
        <v>-0.99963930000000001</v>
      </c>
      <c r="N2164">
        <v>-2.3485759999999998E-3</v>
      </c>
      <c r="O2164">
        <v>-2.675661E-2</v>
      </c>
      <c r="P2164">
        <v>-0.9945079</v>
      </c>
      <c r="Q2164">
        <v>-3.899536E-2</v>
      </c>
      <c r="R2164">
        <v>-9.7127660000000005E-2</v>
      </c>
      <c r="S2164">
        <v>-3.0625610000000001</v>
      </c>
      <c r="T2164">
        <v>0.50421539999999998</v>
      </c>
      <c r="U2164">
        <v>0.26312259999999998</v>
      </c>
      <c r="V2164">
        <v>-7.0647699999999994E-2</v>
      </c>
      <c r="W2164">
        <v>-3.6335739999999998E-2</v>
      </c>
      <c r="X2164">
        <v>0.99683929999999998</v>
      </c>
      <c r="Y2164">
        <v>0.1104054</v>
      </c>
      <c r="Z2164">
        <v>-1.3311689999999999E-2</v>
      </c>
      <c r="AA2164">
        <v>0.9937975</v>
      </c>
      <c r="AB2164">
        <v>41</v>
      </c>
      <c r="AC2164">
        <v>-278.9692</v>
      </c>
      <c r="AD2164">
        <v>45.966864000000001</v>
      </c>
      <c r="AE2164">
        <v>23.993500000000001</v>
      </c>
      <c r="AF2164">
        <v>30.6238533783275</v>
      </c>
      <c r="AG2164">
        <v>45.966864000000001</v>
      </c>
      <c r="AH2164">
        <v>270.92559394668098</v>
      </c>
      <c r="AI2164">
        <v>80.430357272681107</v>
      </c>
      <c r="AJ2164">
        <v>83.5509911116241</v>
      </c>
      <c r="AK2164">
        <v>276.498554132013</v>
      </c>
      <c r="AL2164">
        <v>92.082342961275103</v>
      </c>
      <c r="AM2164">
        <v>94.053871344824898</v>
      </c>
      <c r="AN2164">
        <v>0.99999998677056301</v>
      </c>
    </row>
    <row r="2165" spans="1:40" x14ac:dyDescent="0.25">
      <c r="A2165" t="str">
        <f>"20190305134942682"</f>
        <v>20190305134942682</v>
      </c>
      <c r="B2165" t="str">
        <f>"1551764982672379"</f>
        <v>1551764982672379</v>
      </c>
      <c r="C2165" t="s">
        <v>40</v>
      </c>
      <c r="D2165">
        <v>3.9881880000000001</v>
      </c>
      <c r="E2165">
        <v>0.56713040000000003</v>
      </c>
      <c r="F2165" t="s">
        <v>77</v>
      </c>
      <c r="G2165">
        <v>-511.83580000000001</v>
      </c>
      <c r="H2165">
        <v>47.14602</v>
      </c>
      <c r="I2165">
        <v>309.32240000000002</v>
      </c>
      <c r="J2165">
        <v>-233.07820000000001</v>
      </c>
      <c r="K2165">
        <v>1.1061209999999999</v>
      </c>
      <c r="L2165">
        <v>285.20510000000002</v>
      </c>
      <c r="M2165">
        <v>-0.99966080000000002</v>
      </c>
      <c r="N2165">
        <v>-2.3832430000000002E-3</v>
      </c>
      <c r="O2165">
        <v>-2.5937089999999999E-2</v>
      </c>
      <c r="P2165">
        <v>-0.9945541</v>
      </c>
      <c r="Q2165">
        <v>-3.872432E-2</v>
      </c>
      <c r="R2165">
        <v>-9.6762539999999994E-2</v>
      </c>
      <c r="S2165">
        <v>-3.0622410000000002</v>
      </c>
      <c r="T2165">
        <v>0.50538019999999995</v>
      </c>
      <c r="U2165">
        <v>0.264679</v>
      </c>
      <c r="V2165">
        <v>-7.1096729999999997E-2</v>
      </c>
      <c r="W2165">
        <v>-3.603021E-2</v>
      </c>
      <c r="X2165">
        <v>0.99681850000000005</v>
      </c>
      <c r="Y2165">
        <v>0.11010780000000001</v>
      </c>
      <c r="Z2165">
        <v>-1.31822E-2</v>
      </c>
      <c r="AA2165">
        <v>0.99383220000000005</v>
      </c>
      <c r="AB2165">
        <v>41</v>
      </c>
      <c r="AC2165">
        <v>-278.75760000000002</v>
      </c>
      <c r="AD2165">
        <v>46.039898999999998</v>
      </c>
      <c r="AE2165">
        <v>24.1173</v>
      </c>
      <c r="AF2165">
        <v>30.513206802728401</v>
      </c>
      <c r="AG2165">
        <v>46.039898999999998</v>
      </c>
      <c r="AH2165">
        <v>270.70870893501802</v>
      </c>
      <c r="AI2165">
        <v>80.407564158971994</v>
      </c>
      <c r="AJ2165">
        <v>83.568991520601003</v>
      </c>
      <c r="AK2165">
        <v>276.28596269550297</v>
      </c>
      <c r="AL2165">
        <v>92.064825839243596</v>
      </c>
      <c r="AM2165">
        <v>94.079635478125994</v>
      </c>
      <c r="AN2165">
        <v>1.00000002149579</v>
      </c>
    </row>
    <row r="2166" spans="1:40" x14ac:dyDescent="0.25">
      <c r="A2166" t="str">
        <f>"20190305134942694"</f>
        <v>20190305134942694</v>
      </c>
      <c r="B2166" t="str">
        <f>"1551764982683115"</f>
        <v>1551764982683115</v>
      </c>
      <c r="C2166" t="s">
        <v>40</v>
      </c>
      <c r="D2166">
        <v>3.9284669999999999</v>
      </c>
      <c r="E2166">
        <v>0.56722299999999903</v>
      </c>
      <c r="F2166" t="s">
        <v>74</v>
      </c>
      <c r="G2166">
        <v>-271.70830000000001</v>
      </c>
      <c r="H2166" s="1">
        <v>-7.8776130000000001E-7</v>
      </c>
      <c r="I2166">
        <v>288.27760000000001</v>
      </c>
      <c r="J2166">
        <v>-233.29150000000001</v>
      </c>
      <c r="K2166">
        <v>1.1061379999999901</v>
      </c>
      <c r="L2166">
        <v>285.2</v>
      </c>
      <c r="M2166">
        <v>-0.99968170000000001</v>
      </c>
      <c r="N2166">
        <v>-2.4181070000000001E-3</v>
      </c>
      <c r="O2166">
        <v>-2.5112329999999999E-2</v>
      </c>
      <c r="P2166">
        <v>-0.99458139999999995</v>
      </c>
      <c r="Q2166">
        <v>-3.8755779999999997E-2</v>
      </c>
      <c r="R2166">
        <v>-9.6467739999999996E-2</v>
      </c>
      <c r="S2166">
        <v>-3.0365600000000001</v>
      </c>
      <c r="T2166">
        <v>-8.6947800000000006E-2</v>
      </c>
      <c r="U2166">
        <v>0.24151610000000001</v>
      </c>
      <c r="V2166">
        <v>-7.1621950000000004E-2</v>
      </c>
      <c r="W2166">
        <v>-3.6026530000000001E-2</v>
      </c>
      <c r="X2166">
        <v>0.99678100000000003</v>
      </c>
      <c r="Y2166">
        <v>0.1042394</v>
      </c>
      <c r="Z2166">
        <v>2.2732719999999998E-3</v>
      </c>
      <c r="AA2166">
        <v>0.99454960000000003</v>
      </c>
      <c r="AB2166">
        <v>41</v>
      </c>
      <c r="AC2166">
        <v>-38.416800000000002</v>
      </c>
      <c r="AD2166">
        <v>-1.10613878776129</v>
      </c>
      <c r="AE2166">
        <v>3.0776000000000101</v>
      </c>
      <c r="AF2166">
        <v>4.0380412589332</v>
      </c>
      <c r="AG2166">
        <v>-1.10613878776129</v>
      </c>
      <c r="AH2166">
        <v>38.295852270717397</v>
      </c>
      <c r="AI2166">
        <v>91.645356937436205</v>
      </c>
      <c r="AJ2166">
        <v>83.980785638415099</v>
      </c>
      <c r="AK2166">
        <v>38.524039525564397</v>
      </c>
      <c r="AL2166">
        <v>92.064614922422194</v>
      </c>
      <c r="AM2166">
        <v>94.1098245726172</v>
      </c>
      <c r="AN2166">
        <v>0.99999998827332104</v>
      </c>
    </row>
    <row r="2167" spans="1:40" x14ac:dyDescent="0.25">
      <c r="A2167" t="str">
        <f>"20190305134942706"</f>
        <v>20190305134942706</v>
      </c>
      <c r="B2167" t="str">
        <f>"1551764982702635"</f>
        <v>1551764982702635</v>
      </c>
      <c r="C2167" t="s">
        <v>40</v>
      </c>
      <c r="D2167">
        <v>3.9474559999999999</v>
      </c>
      <c r="E2167">
        <v>0.56711719999999999</v>
      </c>
      <c r="F2167" t="s">
        <v>74</v>
      </c>
      <c r="G2167">
        <v>-271.71179999999998</v>
      </c>
      <c r="H2167" s="1">
        <v>-7.8592640000000001E-7</v>
      </c>
      <c r="I2167">
        <v>288.2783</v>
      </c>
      <c r="J2167">
        <v>-233.51349999999999</v>
      </c>
      <c r="K2167">
        <v>1.106147</v>
      </c>
      <c r="L2167">
        <v>285.19490000000002</v>
      </c>
      <c r="M2167">
        <v>-0.9997028</v>
      </c>
      <c r="N2167">
        <v>-2.4542069999999999E-3</v>
      </c>
      <c r="O2167">
        <v>-2.425658E-2</v>
      </c>
      <c r="P2167">
        <v>-0.99462459999999997</v>
      </c>
      <c r="Q2167">
        <v>-3.8679819999999997E-2</v>
      </c>
      <c r="R2167">
        <v>-9.60535E-2</v>
      </c>
      <c r="S2167">
        <v>-3.03653</v>
      </c>
      <c r="T2167">
        <v>-8.7423089999999995E-2</v>
      </c>
      <c r="U2167">
        <v>0.24328610000000001</v>
      </c>
      <c r="V2167">
        <v>-7.2059029999999996E-2</v>
      </c>
      <c r="W2167">
        <v>-3.5914340000000003E-2</v>
      </c>
      <c r="X2167">
        <v>0.99675360000000002</v>
      </c>
      <c r="Y2167">
        <v>0.10396469999999999</v>
      </c>
      <c r="Z2167">
        <v>2.2595029999999999E-3</v>
      </c>
      <c r="AA2167">
        <v>0.99457839999999997</v>
      </c>
      <c r="AB2167">
        <v>41</v>
      </c>
      <c r="AC2167">
        <v>-38.198299999999897</v>
      </c>
      <c r="AD2167">
        <v>-1.1061477859264</v>
      </c>
      <c r="AE2167">
        <v>3.0833999999999802</v>
      </c>
      <c r="AF2167">
        <v>4.00571829889694</v>
      </c>
      <c r="AG2167">
        <v>-1.1061477859264</v>
      </c>
      <c r="AH2167">
        <v>38.0805413342908</v>
      </c>
      <c r="AI2167">
        <v>91.654711750782397</v>
      </c>
      <c r="AJ2167">
        <v>83.995100853510394</v>
      </c>
      <c r="AK2167">
        <v>38.306617839833599</v>
      </c>
      <c r="AL2167">
        <v>92.058182636961305</v>
      </c>
      <c r="AM2167">
        <v>94.134931724221303</v>
      </c>
      <c r="AN2167">
        <v>1.00000004136756</v>
      </c>
    </row>
    <row r="2168" spans="1:40" x14ac:dyDescent="0.25">
      <c r="A2168" t="str">
        <f>"20190305134942726"</f>
        <v>20190305134942726</v>
      </c>
      <c r="B2168" t="str">
        <f>"1551764982723130"</f>
        <v>1551764982723130</v>
      </c>
      <c r="C2168" t="s">
        <v>40</v>
      </c>
      <c r="D2168">
        <v>3.6315599999999999</v>
      </c>
      <c r="E2168">
        <v>0.592199699999999</v>
      </c>
      <c r="F2168" t="s">
        <v>74</v>
      </c>
      <c r="G2168">
        <v>-271.9239</v>
      </c>
      <c r="H2168" s="1">
        <v>-6.7308869999999899E-7</v>
      </c>
      <c r="I2168">
        <v>288.27910000000003</v>
      </c>
      <c r="J2168">
        <v>-233.86539999999999</v>
      </c>
      <c r="K2168">
        <v>1.10616</v>
      </c>
      <c r="L2168">
        <v>285.18729999999999</v>
      </c>
      <c r="M2168">
        <v>-0.99973460000000003</v>
      </c>
      <c r="N2168">
        <v>-2.5106460000000001E-3</v>
      </c>
      <c r="O2168">
        <v>-2.290406E-2</v>
      </c>
      <c r="P2168">
        <v>-0.99469450000000004</v>
      </c>
      <c r="Q2168">
        <v>-3.8623970000000001E-2</v>
      </c>
      <c r="R2168">
        <v>-9.5349450000000002E-2</v>
      </c>
      <c r="S2168">
        <v>-3.036362</v>
      </c>
      <c r="T2168">
        <v>-8.7441439999999995E-2</v>
      </c>
      <c r="U2168">
        <v>0.24380489999999999</v>
      </c>
      <c r="V2168">
        <v>-7.2700479999999998E-2</v>
      </c>
      <c r="W2168">
        <v>-3.5801510000000002E-2</v>
      </c>
      <c r="X2168">
        <v>0.99671100000000001</v>
      </c>
      <c r="Y2168">
        <v>0.1027932</v>
      </c>
      <c r="Z2168">
        <v>2.2078309999999999E-3</v>
      </c>
      <c r="AA2168">
        <v>0.99470029999999998</v>
      </c>
      <c r="AB2168">
        <v>41</v>
      </c>
      <c r="AC2168">
        <v>-38.058500000000002</v>
      </c>
      <c r="AD2168">
        <v>-1.1061606730886999</v>
      </c>
      <c r="AE2168">
        <v>3.0918000000000299</v>
      </c>
      <c r="AF2168">
        <v>3.9593629761283502</v>
      </c>
      <c r="AG2168">
        <v>-1.1061606730886999</v>
      </c>
      <c r="AH2168">
        <v>37.945856013420098</v>
      </c>
      <c r="AI2168">
        <v>91.660746948487301</v>
      </c>
      <c r="AJ2168">
        <v>84.043174502380296</v>
      </c>
      <c r="AK2168">
        <v>38.167894036777</v>
      </c>
      <c r="AL2168">
        <v>92.051713955736304</v>
      </c>
      <c r="AM2168">
        <v>94.171788062812297</v>
      </c>
      <c r="AN2168">
        <v>0.99999996271575398</v>
      </c>
    </row>
    <row r="2169" spans="1:40" x14ac:dyDescent="0.25">
      <c r="A2169" t="str">
        <f>"20190305134942749"</f>
        <v>20190305134942749</v>
      </c>
      <c r="B2169" t="str">
        <f>"1551764982742652"</f>
        <v>1551764982742652</v>
      </c>
      <c r="C2169" t="s">
        <v>40</v>
      </c>
      <c r="D2169">
        <v>3.9386389999999998</v>
      </c>
      <c r="E2169">
        <v>0.56893680000000002</v>
      </c>
      <c r="F2169" t="s">
        <v>77</v>
      </c>
      <c r="G2169">
        <v>-511.84129999999999</v>
      </c>
      <c r="H2169">
        <v>63.904719999999998</v>
      </c>
      <c r="I2169">
        <v>321.18459999999999</v>
      </c>
      <c r="J2169">
        <v>-234.29769999999999</v>
      </c>
      <c r="K2169">
        <v>1.106176</v>
      </c>
      <c r="L2169">
        <v>285.17849999999999</v>
      </c>
      <c r="M2169">
        <v>-0.99977110000000002</v>
      </c>
      <c r="N2169">
        <v>-2.5785230000000001E-3</v>
      </c>
      <c r="O2169">
        <v>-2.1246000000000001E-2</v>
      </c>
      <c r="P2169">
        <v>-0.99480199999999996</v>
      </c>
      <c r="Q2169">
        <v>-3.8847710000000001E-2</v>
      </c>
      <c r="R2169">
        <v>-9.4126840000000003E-2</v>
      </c>
      <c r="S2169">
        <v>-3.0812680000000001</v>
      </c>
      <c r="T2169">
        <v>0.69610109999999903</v>
      </c>
      <c r="U2169">
        <v>0.39901730000000002</v>
      </c>
      <c r="V2169">
        <v>-7.3128280000000004E-2</v>
      </c>
      <c r="W2169">
        <v>-3.595769E-2</v>
      </c>
      <c r="X2169">
        <v>0.99667410000000001</v>
      </c>
      <c r="Y2169">
        <v>0.14536399999999999</v>
      </c>
      <c r="Z2169">
        <v>-2.0736359999999999E-2</v>
      </c>
      <c r="AA2169">
        <v>0.98916090000000001</v>
      </c>
      <c r="AB2169">
        <v>41</v>
      </c>
      <c r="AC2169">
        <v>-277.54360000000003</v>
      </c>
      <c r="AD2169">
        <v>62.7985439999999</v>
      </c>
      <c r="AE2169">
        <v>36.006100000000004</v>
      </c>
      <c r="AF2169">
        <v>39.886451621507199</v>
      </c>
      <c r="AG2169">
        <v>62.7985439999999</v>
      </c>
      <c r="AH2169">
        <v>263.45152201443102</v>
      </c>
      <c r="AI2169">
        <v>76.738387701827506</v>
      </c>
      <c r="AJ2169">
        <v>81.390824692626495</v>
      </c>
      <c r="AK2169">
        <v>273.75406956462803</v>
      </c>
      <c r="AL2169">
        <v>92.060668138245205</v>
      </c>
      <c r="AM2169">
        <v>94.196403976035697</v>
      </c>
      <c r="AN2169">
        <v>0.99999998120835198</v>
      </c>
    </row>
    <row r="2170" spans="1:40" x14ac:dyDescent="0.25">
      <c r="A2170" t="str">
        <f>"20190305134942770"</f>
        <v>20190305134942770</v>
      </c>
      <c r="B2170" t="str">
        <f>"1551764982763147"</f>
        <v>1551764982763147</v>
      </c>
      <c r="C2170" t="s">
        <v>40</v>
      </c>
      <c r="D2170">
        <v>3.9324319999999999</v>
      </c>
      <c r="E2170">
        <v>0.56864820000000005</v>
      </c>
      <c r="F2170" t="s">
        <v>74</v>
      </c>
      <c r="G2170">
        <v>-277.91520000000003</v>
      </c>
      <c r="H2170" s="1">
        <v>2.4854430000000001E-6</v>
      </c>
      <c r="I2170">
        <v>288.95979999999997</v>
      </c>
      <c r="J2170">
        <v>-234.70179999999999</v>
      </c>
      <c r="K2170">
        <v>1.106182</v>
      </c>
      <c r="L2170">
        <v>285.17099999999999</v>
      </c>
      <c r="M2170">
        <v>-0.99980259999999999</v>
      </c>
      <c r="N2170">
        <v>-2.6400759999999999E-3</v>
      </c>
      <c r="O2170">
        <v>-1.9699310000000001E-2</v>
      </c>
      <c r="P2170">
        <v>-0.99497190000000002</v>
      </c>
      <c r="Q2170">
        <v>-3.8692030000000002E-2</v>
      </c>
      <c r="R2170">
        <v>-9.2382229999999996E-2</v>
      </c>
      <c r="S2170">
        <v>-3.037582</v>
      </c>
      <c r="T2170">
        <v>-7.7035430000000002E-2</v>
      </c>
      <c r="U2170">
        <v>0.26333620000000002</v>
      </c>
      <c r="V2170">
        <v>-7.2921159999999999E-2</v>
      </c>
      <c r="W2170">
        <v>-3.574256E-2</v>
      </c>
      <c r="X2170">
        <v>0.99669700000000006</v>
      </c>
      <c r="Y2170">
        <v>0.1059353</v>
      </c>
      <c r="Z2170">
        <v>1.92746E-3</v>
      </c>
      <c r="AA2170">
        <v>0.99437120000000001</v>
      </c>
      <c r="AB2170">
        <v>41</v>
      </c>
      <c r="AC2170">
        <v>-43.2134</v>
      </c>
      <c r="AD2170">
        <v>-1.1061795145569999</v>
      </c>
      <c r="AE2170">
        <v>3.7887999999999802</v>
      </c>
      <c r="AF2170">
        <v>4.6363269623924097</v>
      </c>
      <c r="AG2170">
        <v>-1.1061795145569999</v>
      </c>
      <c r="AH2170">
        <v>43.102349541999502</v>
      </c>
      <c r="AI2170">
        <v>91.461689153421801</v>
      </c>
      <c r="AJ2170">
        <v>83.860555131552005</v>
      </c>
      <c r="AK2170">
        <v>43.365097680753998</v>
      </c>
      <c r="AL2170">
        <v>92.048334195478404</v>
      </c>
      <c r="AM2170">
        <v>94.184465048192607</v>
      </c>
      <c r="AN2170">
        <v>0.99999996799004898</v>
      </c>
    </row>
    <row r="2171" spans="1:40" x14ac:dyDescent="0.25">
      <c r="A2171" t="str">
        <f>"20190305134942782"</f>
        <v>20190305134942782</v>
      </c>
      <c r="B2171" t="str">
        <f>"1551764982772907"</f>
        <v>1551764982772907</v>
      </c>
      <c r="C2171" t="s">
        <v>40</v>
      </c>
      <c r="D2171">
        <v>3.5913210000000002</v>
      </c>
      <c r="E2171">
        <v>0.56864820000000005</v>
      </c>
      <c r="F2171" t="s">
        <v>74</v>
      </c>
      <c r="G2171">
        <v>-275.68970000000002</v>
      </c>
      <c r="H2171" s="1">
        <v>1.309364E-6</v>
      </c>
      <c r="I2171">
        <v>288.77140000000003</v>
      </c>
      <c r="J2171">
        <v>-234.93510000000001</v>
      </c>
      <c r="K2171">
        <v>1.106185</v>
      </c>
      <c r="L2171">
        <v>285.1669</v>
      </c>
      <c r="M2171">
        <v>-0.99981980000000004</v>
      </c>
      <c r="N2171">
        <v>-2.6746140000000001E-3</v>
      </c>
      <c r="O2171">
        <v>-1.8807939999999999E-2</v>
      </c>
      <c r="P2171">
        <v>-0.99504459999999995</v>
      </c>
      <c r="Q2171">
        <v>-3.8820729999999998E-2</v>
      </c>
      <c r="R2171">
        <v>-9.1541220000000006E-2</v>
      </c>
      <c r="S2171">
        <v>-3.036743</v>
      </c>
      <c r="T2171">
        <v>-8.1955550000000002E-2</v>
      </c>
      <c r="U2171">
        <v>0.2667542</v>
      </c>
      <c r="V2171">
        <v>-7.2967480000000001E-2</v>
      </c>
      <c r="W2171">
        <v>-3.583691E-2</v>
      </c>
      <c r="X2171">
        <v>0.99669030000000003</v>
      </c>
      <c r="Y2171">
        <v>0.10617790000000001</v>
      </c>
      <c r="Z2171">
        <v>2.028457E-3</v>
      </c>
      <c r="AA2171">
        <v>0.99434509999999998</v>
      </c>
      <c r="AB2171">
        <v>41</v>
      </c>
      <c r="AC2171">
        <v>-40.754600000000003</v>
      </c>
      <c r="AD2171">
        <v>-1.1061836906360001</v>
      </c>
      <c r="AE2171">
        <v>3.60450000000003</v>
      </c>
      <c r="AF2171">
        <v>4.3671826165210197</v>
      </c>
      <c r="AG2171">
        <v>-1.1061836906360001</v>
      </c>
      <c r="AH2171">
        <v>40.649882576988198</v>
      </c>
      <c r="AI2171">
        <v>91.549860702210594</v>
      </c>
      <c r="AJ2171">
        <v>83.868000642700906</v>
      </c>
      <c r="AK2171">
        <v>40.898763794109897</v>
      </c>
      <c r="AL2171">
        <v>92.053743358341407</v>
      </c>
      <c r="AM2171">
        <v>94.187141644270596</v>
      </c>
      <c r="AN2171">
        <v>1.00000004568499</v>
      </c>
    </row>
    <row r="2172" spans="1:40" x14ac:dyDescent="0.25">
      <c r="A2172" t="str">
        <f>"20190305134942794"</f>
        <v>20190305134942794</v>
      </c>
      <c r="B2172" t="str">
        <f>"1551764982782667"</f>
        <v>1551764982782667</v>
      </c>
      <c r="C2172" t="s">
        <v>40</v>
      </c>
      <c r="D2172">
        <v>3.6035430000000002</v>
      </c>
      <c r="E2172">
        <v>0.58331690000000003</v>
      </c>
      <c r="F2172" t="s">
        <v>74</v>
      </c>
      <c r="G2172">
        <v>-275.75630000000001</v>
      </c>
      <c r="H2172" s="1">
        <v>1.344026E-6</v>
      </c>
      <c r="I2172">
        <v>288.78870000000001</v>
      </c>
      <c r="J2172">
        <v>-235.1463</v>
      </c>
      <c r="K2172">
        <v>1.1061890000000001</v>
      </c>
      <c r="L2172">
        <v>285.16340000000002</v>
      </c>
      <c r="M2172">
        <v>-0.99983440000000001</v>
      </c>
      <c r="N2172">
        <v>-2.7056070000000001E-3</v>
      </c>
      <c r="O2172">
        <v>-1.8001340000000001E-2</v>
      </c>
      <c r="P2172">
        <v>-0.99510739999999998</v>
      </c>
      <c r="Q2172">
        <v>-3.8898879999999997E-2</v>
      </c>
      <c r="R2172">
        <v>-9.0819979999999995E-2</v>
      </c>
      <c r="S2172">
        <v>-3.0365139999999999</v>
      </c>
      <c r="T2172">
        <v>-8.2284330000000003E-2</v>
      </c>
      <c r="U2172">
        <v>0.26940920000000002</v>
      </c>
      <c r="V2172">
        <v>-7.304911E-2</v>
      </c>
      <c r="W2172">
        <v>-3.5883989999999998E-2</v>
      </c>
      <c r="X2172">
        <v>0.99668259999999997</v>
      </c>
      <c r="Y2172">
        <v>0.1062448</v>
      </c>
      <c r="Z2172">
        <v>2.0187249999999999E-3</v>
      </c>
      <c r="AA2172">
        <v>0.99433800000000006</v>
      </c>
      <c r="AB2172">
        <v>41</v>
      </c>
      <c r="AC2172">
        <v>-40.61</v>
      </c>
      <c r="AD2172">
        <v>-1.10618765597399</v>
      </c>
      <c r="AE2172">
        <v>3.6252999999999802</v>
      </c>
      <c r="AF2172">
        <v>4.3525456194943803</v>
      </c>
      <c r="AG2172">
        <v>-1.10618765597399</v>
      </c>
      <c r="AH2172">
        <v>40.508340425713001</v>
      </c>
      <c r="AI2172">
        <v>91.555276741631403</v>
      </c>
      <c r="AJ2172">
        <v>83.867204388499701</v>
      </c>
      <c r="AK2172">
        <v>40.756520319397502</v>
      </c>
      <c r="AL2172">
        <v>92.056442634174203</v>
      </c>
      <c r="AM2172">
        <v>94.191841454242095</v>
      </c>
      <c r="AN2172">
        <v>1.00000001917643</v>
      </c>
    </row>
    <row r="2173" spans="1:40" x14ac:dyDescent="0.25">
      <c r="A2173" t="str">
        <f>"20190305134942807"</f>
        <v>20190305134942807</v>
      </c>
      <c r="B2173" t="str">
        <f>"1551764982803163"</f>
        <v>1551764982803163</v>
      </c>
      <c r="C2173" t="s">
        <v>40</v>
      </c>
      <c r="D2173">
        <v>3.5775579999999998</v>
      </c>
      <c r="E2173">
        <v>0.57860230000000001</v>
      </c>
      <c r="F2173" t="s">
        <v>79</v>
      </c>
      <c r="G2173">
        <v>-459.875</v>
      </c>
      <c r="H2173">
        <v>45.27563</v>
      </c>
      <c r="I2173">
        <v>310.64260000000002</v>
      </c>
      <c r="J2173">
        <v>-235.38890000000001</v>
      </c>
      <c r="K2173">
        <v>1.106193</v>
      </c>
      <c r="L2173">
        <v>285.15949999999998</v>
      </c>
      <c r="M2173">
        <v>-0.99985049999999998</v>
      </c>
      <c r="N2173">
        <v>-2.7407500000000001E-3</v>
      </c>
      <c r="O2173">
        <v>-1.7075650000000001E-2</v>
      </c>
      <c r="P2173">
        <v>-0.99517739999999999</v>
      </c>
      <c r="Q2173">
        <v>-3.8858950000000003E-2</v>
      </c>
      <c r="R2173">
        <v>-9.0068110000000007E-2</v>
      </c>
      <c r="S2173">
        <v>-3.0701290000000001</v>
      </c>
      <c r="T2173">
        <v>0.60342050000000003</v>
      </c>
      <c r="U2173">
        <v>0.34808349999999999</v>
      </c>
      <c r="V2173">
        <v>-7.3218489999999997E-2</v>
      </c>
      <c r="W2173">
        <v>-3.5808350000000003E-2</v>
      </c>
      <c r="X2173">
        <v>0.99667289999999997</v>
      </c>
      <c r="Y2173">
        <v>0.126910199999999</v>
      </c>
      <c r="Z2173">
        <v>-1.5500119999999999E-2</v>
      </c>
      <c r="AA2173">
        <v>0.99179309999999998</v>
      </c>
      <c r="AB2173">
        <v>42</v>
      </c>
      <c r="AC2173">
        <v>-224.48609999999999</v>
      </c>
      <c r="AD2173">
        <v>44.169437000000002</v>
      </c>
      <c r="AE2173">
        <v>25.4831</v>
      </c>
      <c r="AF2173">
        <v>28.233525970309199</v>
      </c>
      <c r="AG2173">
        <v>44.169437000000002</v>
      </c>
      <c r="AH2173">
        <v>215.771196739446</v>
      </c>
      <c r="AI2173">
        <v>78.526277789026096</v>
      </c>
      <c r="AJ2173">
        <v>82.545236325568794</v>
      </c>
      <c r="AK2173">
        <v>222.04792387226999</v>
      </c>
      <c r="AL2173">
        <v>92.052105977535405</v>
      </c>
      <c r="AM2173">
        <v>94.201567113816907</v>
      </c>
      <c r="AN2173">
        <v>1.0000000274009999</v>
      </c>
    </row>
    <row r="2174" spans="1:40" x14ac:dyDescent="0.25">
      <c r="A2174" t="str">
        <f>"20190305134942824"</f>
        <v>20190305134942824</v>
      </c>
      <c r="B2174" t="str">
        <f>"1551764982812922"</f>
        <v>1551764982812922</v>
      </c>
      <c r="C2174" t="s">
        <v>40</v>
      </c>
      <c r="D2174">
        <v>3.6703229999999998</v>
      </c>
      <c r="E2174">
        <v>0.57160509999999998</v>
      </c>
      <c r="F2174" t="s">
        <v>79</v>
      </c>
      <c r="G2174">
        <v>-459.58620000000002</v>
      </c>
      <c r="H2174">
        <v>42.181330000000003</v>
      </c>
      <c r="I2174">
        <v>308.19470000000001</v>
      </c>
      <c r="J2174">
        <v>-235.71719999999999</v>
      </c>
      <c r="K2174">
        <v>1.106196</v>
      </c>
      <c r="L2174">
        <v>285.15469999999999</v>
      </c>
      <c r="M2174">
        <v>-0.99987099999999995</v>
      </c>
      <c r="N2174">
        <v>-2.7889130000000001E-3</v>
      </c>
      <c r="O2174">
        <v>-1.5823790000000001E-2</v>
      </c>
      <c r="P2174">
        <v>-0.99528649999999996</v>
      </c>
      <c r="Q2174">
        <v>-3.818204E-2</v>
      </c>
      <c r="R2174">
        <v>-8.9147519999999994E-2</v>
      </c>
      <c r="S2174">
        <v>-3.064972</v>
      </c>
      <c r="T2174">
        <v>0.561532699999999</v>
      </c>
      <c r="U2174">
        <v>0.31491089999999999</v>
      </c>
      <c r="V2174">
        <v>-7.3541179999999998E-2</v>
      </c>
      <c r="W2174">
        <v>-3.5081809999999998E-2</v>
      </c>
      <c r="X2174">
        <v>0.99667499999999998</v>
      </c>
      <c r="Y2174">
        <v>0.11578819999999999</v>
      </c>
      <c r="Z2174">
        <v>-1.3240999999999999E-2</v>
      </c>
      <c r="AA2174">
        <v>0.9931856</v>
      </c>
      <c r="AB2174">
        <v>42</v>
      </c>
      <c r="AC2174">
        <v>-223.869</v>
      </c>
      <c r="AD2174">
        <v>41.075133999999998</v>
      </c>
      <c r="AE2174">
        <v>23.04</v>
      </c>
      <c r="AF2174">
        <v>25.722722257290599</v>
      </c>
      <c r="AG2174">
        <v>41.075133999999998</v>
      </c>
      <c r="AH2174">
        <v>216.272042448544</v>
      </c>
      <c r="AI2174">
        <v>79.319791996556305</v>
      </c>
      <c r="AJ2174">
        <v>83.217281644094896</v>
      </c>
      <c r="AK2174">
        <v>221.635785509264</v>
      </c>
      <c r="AL2174">
        <v>92.010452088308597</v>
      </c>
      <c r="AM2174">
        <v>94.220008735756394</v>
      </c>
      <c r="AN2174">
        <v>1.00000004708683</v>
      </c>
    </row>
    <row r="2175" spans="1:40" x14ac:dyDescent="0.25">
      <c r="A2175" t="str">
        <f>"20190305134942838"</f>
        <v>20190305134942838</v>
      </c>
      <c r="B2175" t="str">
        <f>"1551764982832443"</f>
        <v>1551764982832443</v>
      </c>
      <c r="C2175" t="s">
        <v>40</v>
      </c>
      <c r="D2175">
        <v>3.5400010000000002</v>
      </c>
      <c r="E2175">
        <v>0.56483479999999997</v>
      </c>
      <c r="F2175" t="s">
        <v>77</v>
      </c>
      <c r="G2175">
        <v>-511.8372</v>
      </c>
      <c r="H2175">
        <v>51.243340000000003</v>
      </c>
      <c r="I2175">
        <v>308.85289999999998</v>
      </c>
      <c r="J2175">
        <v>-235.96299999999999</v>
      </c>
      <c r="K2175">
        <v>1.106195</v>
      </c>
      <c r="L2175">
        <v>285.15140000000002</v>
      </c>
      <c r="M2175">
        <v>-0.99988509999999997</v>
      </c>
      <c r="N2175">
        <v>-2.82541E-3</v>
      </c>
      <c r="O2175">
        <v>-1.4888210000000001E-2</v>
      </c>
      <c r="P2175">
        <v>-0.99536559999999996</v>
      </c>
      <c r="Q2175">
        <v>-3.7799640000000002E-2</v>
      </c>
      <c r="R2175">
        <v>-8.8421189999999997E-2</v>
      </c>
      <c r="S2175">
        <v>-3.059021</v>
      </c>
      <c r="T2175">
        <v>0.55544969999999905</v>
      </c>
      <c r="U2175">
        <v>0.26254270000000002</v>
      </c>
      <c r="V2175">
        <v>-7.3744240000000003E-2</v>
      </c>
      <c r="W2175">
        <v>-3.466176E-2</v>
      </c>
      <c r="X2175">
        <v>0.99667470000000002</v>
      </c>
      <c r="Y2175">
        <v>9.8512069999999993E-2</v>
      </c>
      <c r="Z2175">
        <v>-1.1433479999999999E-2</v>
      </c>
      <c r="AA2175">
        <v>0.99507020000000002</v>
      </c>
      <c r="AB2175">
        <v>42</v>
      </c>
      <c r="AC2175">
        <v>-275.87419999999997</v>
      </c>
      <c r="AD2175">
        <v>50.137144999999997</v>
      </c>
      <c r="AE2175">
        <v>23.7014999999999</v>
      </c>
      <c r="AF2175">
        <v>26.923421485609602</v>
      </c>
      <c r="AG2175">
        <v>50.137144999999997</v>
      </c>
      <c r="AH2175">
        <v>266.74495208253597</v>
      </c>
      <c r="AI2175">
        <v>79.407526672652907</v>
      </c>
      <c r="AJ2175">
        <v>84.236472761134607</v>
      </c>
      <c r="AK2175">
        <v>272.748003466125</v>
      </c>
      <c r="AL2175">
        <v>91.9863703365357</v>
      </c>
      <c r="AM2175">
        <v>94.2316199152678</v>
      </c>
      <c r="AN2175">
        <v>1.00000005407978</v>
      </c>
    </row>
    <row r="2176" spans="1:40" x14ac:dyDescent="0.25">
      <c r="A2176" t="str">
        <f>"20190305134942850"</f>
        <v>20190305134942850</v>
      </c>
      <c r="B2176" t="str">
        <f>"1551764982843179"</f>
        <v>1551764982843179</v>
      </c>
      <c r="C2176" t="s">
        <v>40</v>
      </c>
      <c r="D2176">
        <v>3.8497539999999999</v>
      </c>
      <c r="E2176">
        <v>0.56483479999999997</v>
      </c>
      <c r="F2176" t="s">
        <v>77</v>
      </c>
      <c r="G2176">
        <v>-511.83699999999999</v>
      </c>
      <c r="H2176">
        <v>50.693109999999997</v>
      </c>
      <c r="I2176">
        <v>304.24430000000001</v>
      </c>
      <c r="J2176">
        <v>-236.20269999999999</v>
      </c>
      <c r="K2176">
        <v>1.1061970000000001</v>
      </c>
      <c r="L2176">
        <v>285.14830000000001</v>
      </c>
      <c r="M2176">
        <v>-0.99989830000000002</v>
      </c>
      <c r="N2176">
        <v>-2.861256E-3</v>
      </c>
      <c r="O2176">
        <v>-1.397647E-2</v>
      </c>
      <c r="P2176">
        <v>-0.99543979999999999</v>
      </c>
      <c r="Q2176">
        <v>-3.7325990000000003E-2</v>
      </c>
      <c r="R2176">
        <v>-8.7784899999999999E-2</v>
      </c>
      <c r="S2176">
        <v>-3.0535739999999998</v>
      </c>
      <c r="T2176">
        <v>0.54886459999999904</v>
      </c>
      <c r="U2176">
        <v>0.2113342</v>
      </c>
      <c r="V2176">
        <v>-7.4013579999999995E-2</v>
      </c>
      <c r="W2176">
        <v>-3.4150720000000002E-2</v>
      </c>
      <c r="X2176">
        <v>0.99667229999999996</v>
      </c>
      <c r="Y2176">
        <v>8.1471279999999993E-2</v>
      </c>
      <c r="Z2176">
        <v>-9.6669259999999993E-3</v>
      </c>
      <c r="AA2176">
        <v>0.99662879999999998</v>
      </c>
      <c r="AB2176">
        <v>42</v>
      </c>
      <c r="AC2176">
        <v>-275.6343</v>
      </c>
      <c r="AD2176">
        <v>49.586913000000003</v>
      </c>
      <c r="AE2176">
        <v>19.096</v>
      </c>
      <c r="AF2176">
        <v>22.230504561625501</v>
      </c>
      <c r="AG2176">
        <v>49.586913000000003</v>
      </c>
      <c r="AH2176">
        <v>266.74856188811401</v>
      </c>
      <c r="AI2176">
        <v>79.504842339271605</v>
      </c>
      <c r="AJ2176">
        <v>85.236047356668493</v>
      </c>
      <c r="AK2176">
        <v>272.22757491354702</v>
      </c>
      <c r="AL2176">
        <v>91.957072705951703</v>
      </c>
      <c r="AM2176">
        <v>94.2470290267499</v>
      </c>
      <c r="AN2176">
        <v>0.99999997764411197</v>
      </c>
    </row>
    <row r="2177" spans="1:40" x14ac:dyDescent="0.25">
      <c r="A2177" t="str">
        <f>"20190305134942862"</f>
        <v>20190305134942862</v>
      </c>
      <c r="B2177" t="str">
        <f>"1551764982852939"</f>
        <v>1551764982852939</v>
      </c>
      <c r="C2177" t="s">
        <v>40</v>
      </c>
      <c r="D2177">
        <v>3.8397670000000002</v>
      </c>
      <c r="E2177">
        <v>0.53050569999999997</v>
      </c>
      <c r="F2177" t="s">
        <v>77</v>
      </c>
      <c r="G2177">
        <v>-511.83699999999999</v>
      </c>
      <c r="H2177">
        <v>50.782739999999997</v>
      </c>
      <c r="I2177">
        <v>304.39780000000002</v>
      </c>
      <c r="J2177">
        <v>-236.43799999999999</v>
      </c>
      <c r="K2177">
        <v>1.1061989999999999</v>
      </c>
      <c r="L2177">
        <v>285.14550000000003</v>
      </c>
      <c r="M2177">
        <v>-0.99991030000000003</v>
      </c>
      <c r="N2177">
        <v>-2.8966909999999998E-3</v>
      </c>
      <c r="O2177">
        <v>-1.3082740000000001E-2</v>
      </c>
      <c r="P2177">
        <v>-0.99549960000000004</v>
      </c>
      <c r="Q2177">
        <v>-3.7005549999999998E-2</v>
      </c>
      <c r="R2177">
        <v>-8.7244119999999994E-2</v>
      </c>
      <c r="S2177">
        <v>-3.0531920000000001</v>
      </c>
      <c r="T2177">
        <v>0.55026609999999998</v>
      </c>
      <c r="U2177">
        <v>0.21322630000000001</v>
      </c>
      <c r="V2177">
        <v>-7.4361410000000003E-2</v>
      </c>
      <c r="W2177">
        <v>-3.3792870000000003E-2</v>
      </c>
      <c r="X2177">
        <v>0.99665859999999995</v>
      </c>
      <c r="Y2177">
        <v>8.1214830000000002E-2</v>
      </c>
      <c r="Z2177">
        <v>-9.5067290000000002E-3</v>
      </c>
      <c r="AA2177">
        <v>0.99665130000000002</v>
      </c>
      <c r="AB2177">
        <v>42</v>
      </c>
      <c r="AC2177">
        <v>-275.399</v>
      </c>
      <c r="AD2177">
        <v>49.676541</v>
      </c>
      <c r="AE2177">
        <v>19.252299999999899</v>
      </c>
      <c r="AF2177">
        <v>22.136875197879</v>
      </c>
      <c r="AG2177">
        <v>49.676541</v>
      </c>
      <c r="AH2177">
        <v>266.49477531228098</v>
      </c>
      <c r="AI2177">
        <v>79.476275020138104</v>
      </c>
      <c r="AJ2177">
        <v>85.251523065882296</v>
      </c>
      <c r="AK2177">
        <v>271.98761964103198</v>
      </c>
      <c r="AL2177">
        <v>91.936557581750293</v>
      </c>
      <c r="AM2177">
        <v>94.266973015568894</v>
      </c>
      <c r="AN2177">
        <v>0.99999997115699202</v>
      </c>
    </row>
    <row r="2178" spans="1:40" x14ac:dyDescent="0.25">
      <c r="A2178" t="str">
        <f>"20190305134942882"</f>
        <v>20190305134942882</v>
      </c>
      <c r="B2178" t="str">
        <f>"1551764982872461"</f>
        <v>1551764982872461</v>
      </c>
      <c r="C2178" t="s">
        <v>40</v>
      </c>
      <c r="D2178">
        <v>3.6262829999999999</v>
      </c>
      <c r="E2178">
        <v>0.53629369999999998</v>
      </c>
      <c r="F2178" t="s">
        <v>78</v>
      </c>
      <c r="G2178">
        <v>-287.20030000000003</v>
      </c>
      <c r="H2178" s="1">
        <v>5.1759379999999996E-6</v>
      </c>
      <c r="I2178">
        <v>284.7774</v>
      </c>
      <c r="J2178">
        <v>-236.80680000000001</v>
      </c>
      <c r="K2178">
        <v>1.1062019999999999</v>
      </c>
      <c r="L2178">
        <v>285.14150000000001</v>
      </c>
      <c r="M2178">
        <v>-0.99992740000000002</v>
      </c>
      <c r="N2178">
        <v>-2.9519160000000002E-3</v>
      </c>
      <c r="O2178">
        <v>-1.1684969999999999E-2</v>
      </c>
      <c r="P2178">
        <v>-0.99557390000000001</v>
      </c>
      <c r="Q2178">
        <v>-3.6787819999999999E-2</v>
      </c>
      <c r="R2178">
        <v>-8.648372E-2</v>
      </c>
      <c r="S2178">
        <v>-3.0092159999999999</v>
      </c>
      <c r="T2178">
        <v>-6.5575839999999996E-2</v>
      </c>
      <c r="U2178">
        <v>-2.182007E-2</v>
      </c>
      <c r="V2178">
        <v>-7.4992749999999997E-2</v>
      </c>
      <c r="W2178">
        <v>-3.3516480000000001E-2</v>
      </c>
      <c r="X2178">
        <v>0.99662070000000003</v>
      </c>
      <c r="Y2178">
        <v>4.4310540000000002E-3</v>
      </c>
      <c r="Z2178">
        <v>2.7491910000000002E-4</v>
      </c>
      <c r="AA2178">
        <v>0.99999020000000005</v>
      </c>
      <c r="AB2178">
        <v>42</v>
      </c>
      <c r="AC2178">
        <v>-50.393500000000003</v>
      </c>
      <c r="AD2178">
        <v>-1.1061968240619999</v>
      </c>
      <c r="AE2178">
        <v>-0.36410000000000697</v>
      </c>
      <c r="AF2178">
        <v>0.22466569171558001</v>
      </c>
      <c r="AG2178">
        <v>-1.1061968240619999</v>
      </c>
      <c r="AH2178">
        <v>50.370044284534401</v>
      </c>
      <c r="AI2178">
        <v>91.258080938999001</v>
      </c>
      <c r="AJ2178">
        <v>89.7444451209428</v>
      </c>
      <c r="AK2178">
        <v>50.3826905525355</v>
      </c>
      <c r="AL2178">
        <v>91.9207124862386</v>
      </c>
      <c r="AM2178">
        <v>94.303227806809701</v>
      </c>
      <c r="AN2178">
        <v>1.0000000433263201</v>
      </c>
    </row>
    <row r="2179" spans="1:40" x14ac:dyDescent="0.25">
      <c r="A2179" t="str">
        <f>"20190305134942894"</f>
        <v>20190305134942894</v>
      </c>
      <c r="B2179" t="str">
        <f>"1551764982883194"</f>
        <v>1551764982883194</v>
      </c>
      <c r="C2179" t="s">
        <v>40</v>
      </c>
      <c r="D2179">
        <v>3.8321369999999999</v>
      </c>
      <c r="E2179">
        <v>0.53629369999999998</v>
      </c>
      <c r="F2179" t="s">
        <v>47</v>
      </c>
      <c r="G2179">
        <v>0</v>
      </c>
      <c r="H2179">
        <v>0</v>
      </c>
      <c r="I2179">
        <v>0</v>
      </c>
      <c r="J2179">
        <v>-237.036</v>
      </c>
      <c r="K2179">
        <v>1.106203</v>
      </c>
      <c r="L2179">
        <v>285.13929999999999</v>
      </c>
      <c r="M2179">
        <v>-0.99993719999999997</v>
      </c>
      <c r="N2179">
        <v>-2.9858599999999999E-3</v>
      </c>
      <c r="O2179">
        <v>-1.081901E-2</v>
      </c>
      <c r="P2179">
        <v>-0.99560190000000004</v>
      </c>
      <c r="Q2179">
        <v>-3.6570659999999998E-2</v>
      </c>
      <c r="R2179">
        <v>-8.6254830000000005E-2</v>
      </c>
      <c r="S2179">
        <v>-3.0312960000000002</v>
      </c>
      <c r="T2179">
        <v>0.50311649999999997</v>
      </c>
      <c r="U2179">
        <v>-7.2326659999999996E-3</v>
      </c>
      <c r="V2179">
        <v>-7.5625429999999993E-2</v>
      </c>
      <c r="W2179">
        <v>-3.3262279999999998E-2</v>
      </c>
      <c r="X2179">
        <v>0.99658139999999995</v>
      </c>
      <c r="Y2179">
        <v>8.1700790000000002E-3</v>
      </c>
      <c r="Z2179">
        <v>-2.4766480000000001E-3</v>
      </c>
      <c r="AA2179">
        <v>0.99996359999999995</v>
      </c>
      <c r="AB2179">
        <v>42</v>
      </c>
      <c r="AC2179">
        <v>-3.0312960000000002</v>
      </c>
      <c r="AD2179">
        <v>0.50311649999999997</v>
      </c>
      <c r="AE2179">
        <v>-7.2326659999999996E-3</v>
      </c>
      <c r="AF2179">
        <v>2.48781938103191E-2</v>
      </c>
      <c r="AG2179">
        <v>0.50311649999999997</v>
      </c>
      <c r="AH2179">
        <v>2.9499343129670299</v>
      </c>
      <c r="AI2179">
        <v>80.321569393909598</v>
      </c>
      <c r="AJ2179">
        <v>89.516808998453897</v>
      </c>
      <c r="AK2179">
        <v>2.9926338880524201</v>
      </c>
      <c r="AL2179">
        <v>91.906139788413896</v>
      </c>
      <c r="AM2179">
        <v>94.339564574525198</v>
      </c>
      <c r="AN2179">
        <v>1.0000000358797201</v>
      </c>
    </row>
    <row r="2180" spans="1:40" x14ac:dyDescent="0.25">
      <c r="A2180" t="str">
        <f>"20190305134942909"</f>
        <v>20190305134942909</v>
      </c>
      <c r="B2180" t="str">
        <f>"1551764982902715"</f>
        <v>1551764982902715</v>
      </c>
      <c r="C2180" t="s">
        <v>40</v>
      </c>
      <c r="D2180">
        <v>3.617435</v>
      </c>
      <c r="E2180">
        <v>0.53718060000000001</v>
      </c>
      <c r="F2180" t="s">
        <v>47</v>
      </c>
      <c r="G2180">
        <v>0</v>
      </c>
      <c r="H2180">
        <v>0</v>
      </c>
      <c r="I2180">
        <v>0</v>
      </c>
      <c r="J2180">
        <v>-237.31270000000001</v>
      </c>
      <c r="K2180">
        <v>1.106193</v>
      </c>
      <c r="L2180">
        <v>285.13679999999999</v>
      </c>
      <c r="M2180">
        <v>-0.99994769999999999</v>
      </c>
      <c r="N2180">
        <v>-3.0263249999999998E-3</v>
      </c>
      <c r="O2180">
        <v>-9.7761440000000005E-3</v>
      </c>
      <c r="P2180">
        <v>-0.99566589999999999</v>
      </c>
      <c r="Q2180">
        <v>-3.63097E-2</v>
      </c>
      <c r="R2180">
        <v>-8.5622390000000007E-2</v>
      </c>
      <c r="S2180">
        <v>-3.0312039999999998</v>
      </c>
      <c r="T2180">
        <v>0.50375959999999997</v>
      </c>
      <c r="U2180">
        <v>-6.4086909999999898E-3</v>
      </c>
      <c r="V2180">
        <v>-7.6030589999999995E-2</v>
      </c>
      <c r="W2180">
        <v>-3.2958790000000002E-2</v>
      </c>
      <c r="X2180">
        <v>0.99656060000000002</v>
      </c>
      <c r="Y2180">
        <v>7.4230909999999997E-3</v>
      </c>
      <c r="Z2180">
        <v>-2.244317E-3</v>
      </c>
      <c r="AA2180">
        <v>0.99997000000000003</v>
      </c>
      <c r="AB2180">
        <v>42</v>
      </c>
      <c r="AC2180">
        <v>-3.0312039999999998</v>
      </c>
      <c r="AD2180">
        <v>0.50375959999999997</v>
      </c>
      <c r="AE2180">
        <v>-6.4086909999999898E-3</v>
      </c>
      <c r="AF2180">
        <v>2.2601009224749301E-2</v>
      </c>
      <c r="AG2180">
        <v>0.50375959999999997</v>
      </c>
      <c r="AH2180">
        <v>2.94965409113663</v>
      </c>
      <c r="AI2180">
        <v>80.308470374436396</v>
      </c>
      <c r="AJ2180">
        <v>89.560993574130407</v>
      </c>
      <c r="AK2180">
        <v>2.9924477936246801</v>
      </c>
      <c r="AL2180">
        <v>91.888741657084395</v>
      </c>
      <c r="AM2180">
        <v>94.362814790258298</v>
      </c>
      <c r="AN2180">
        <v>0.99999998096318499</v>
      </c>
    </row>
    <row r="2181" spans="1:40" x14ac:dyDescent="0.25">
      <c r="A2181" t="str">
        <f>"20190305134942926"</f>
        <v>20190305134942926</v>
      </c>
      <c r="B2181" t="str">
        <f>"1551764982923210"</f>
        <v>1551764982923210</v>
      </c>
      <c r="C2181" t="s">
        <v>40</v>
      </c>
      <c r="D2181">
        <v>3.5897420000000002</v>
      </c>
      <c r="E2181">
        <v>0.53739499999999996</v>
      </c>
      <c r="F2181" t="s">
        <v>47</v>
      </c>
      <c r="G2181">
        <v>0</v>
      </c>
      <c r="H2181">
        <v>0</v>
      </c>
      <c r="I2181">
        <v>0</v>
      </c>
      <c r="J2181">
        <v>-237.626</v>
      </c>
      <c r="K2181">
        <v>1.106198</v>
      </c>
      <c r="L2181">
        <v>285.1345</v>
      </c>
      <c r="M2181">
        <v>-0.99995829999999997</v>
      </c>
      <c r="N2181">
        <v>-3.0711480000000001E-3</v>
      </c>
      <c r="O2181">
        <v>-8.6070250000000008E-3</v>
      </c>
      <c r="P2181">
        <v>-0.99572550000000004</v>
      </c>
      <c r="Q2181">
        <v>-3.5300310000000001E-2</v>
      </c>
      <c r="R2181">
        <v>-8.5353219999999994E-2</v>
      </c>
      <c r="S2181">
        <v>-3.0316010000000002</v>
      </c>
      <c r="T2181">
        <v>0.50137109999999996</v>
      </c>
      <c r="U2181">
        <v>3.0212400000000001E-3</v>
      </c>
      <c r="V2181">
        <v>-7.6921340000000005E-2</v>
      </c>
      <c r="W2181">
        <v>-3.19008E-2</v>
      </c>
      <c r="X2181">
        <v>0.99652669999999999</v>
      </c>
      <c r="Y2181">
        <v>9.3576000000000006E-3</v>
      </c>
      <c r="Z2181">
        <v>-2.194185E-3</v>
      </c>
      <c r="AA2181">
        <v>0.9999538</v>
      </c>
      <c r="AB2181">
        <v>42</v>
      </c>
      <c r="AC2181">
        <v>-3.0316010000000002</v>
      </c>
      <c r="AD2181">
        <v>0.50137109999999996</v>
      </c>
      <c r="AE2181">
        <v>3.0212400000000001E-3</v>
      </c>
      <c r="AF2181">
        <v>2.8339208016136E-2</v>
      </c>
      <c r="AG2181">
        <v>0.50137109999999996</v>
      </c>
      <c r="AH2181">
        <v>2.9507564011417</v>
      </c>
      <c r="AI2181">
        <v>80.357250402959906</v>
      </c>
      <c r="AJ2181">
        <v>89.449745464066694</v>
      </c>
      <c r="AK2181">
        <v>2.9931821577553399</v>
      </c>
      <c r="AL2181">
        <v>91.828091339521606</v>
      </c>
      <c r="AM2181">
        <v>94.413876871322699</v>
      </c>
      <c r="AN2181">
        <v>1.0000000087004599</v>
      </c>
    </row>
    <row r="2182" spans="1:40" x14ac:dyDescent="0.25">
      <c r="A2182" t="str">
        <f>"20190305134942940"</f>
        <v>20190305134942940</v>
      </c>
      <c r="B2182" t="str">
        <f>"1551764982932971"</f>
        <v>1551764982932971</v>
      </c>
      <c r="C2182" t="s">
        <v>40</v>
      </c>
      <c r="D2182">
        <v>3.8334570000000001</v>
      </c>
      <c r="E2182">
        <v>0.53739499999999996</v>
      </c>
      <c r="F2182" t="s">
        <v>47</v>
      </c>
      <c r="G2182">
        <v>0</v>
      </c>
      <c r="H2182">
        <v>0</v>
      </c>
      <c r="I2182">
        <v>0</v>
      </c>
      <c r="J2182">
        <v>-237.89529999999999</v>
      </c>
      <c r="K2182">
        <v>1.1062110000000001</v>
      </c>
      <c r="L2182">
        <v>285.13279999999997</v>
      </c>
      <c r="M2182">
        <v>-0.99996620000000003</v>
      </c>
      <c r="N2182">
        <v>-3.1089450000000001E-3</v>
      </c>
      <c r="O2182">
        <v>-7.61421699999999E-3</v>
      </c>
      <c r="P2182">
        <v>-0.99581120000000001</v>
      </c>
      <c r="Q2182">
        <v>-3.4699670000000002E-2</v>
      </c>
      <c r="R2182">
        <v>-8.4594409999999995E-2</v>
      </c>
      <c r="S2182">
        <v>-3.0311279999999998</v>
      </c>
      <c r="T2182">
        <v>0.50168230000000003</v>
      </c>
      <c r="U2182">
        <v>5.5847170000000003E-3</v>
      </c>
      <c r="V2182">
        <v>-7.7148120000000001E-2</v>
      </c>
      <c r="W2182">
        <v>-3.1262110000000003E-2</v>
      </c>
      <c r="X2182">
        <v>0.99652940000000001</v>
      </c>
      <c r="Y2182">
        <v>9.2260039999999995E-3</v>
      </c>
      <c r="Z2182">
        <v>-2.0191200000000001E-3</v>
      </c>
      <c r="AA2182">
        <v>0.99995540000000005</v>
      </c>
      <c r="AB2182">
        <v>42</v>
      </c>
      <c r="AC2182">
        <v>-3.0311279999999998</v>
      </c>
      <c r="AD2182">
        <v>0.50168230000000003</v>
      </c>
      <c r="AE2182">
        <v>5.5847170000000003E-3</v>
      </c>
      <c r="AF2182">
        <v>2.7900052399570899E-2</v>
      </c>
      <c r="AG2182">
        <v>0.50168230000000003</v>
      </c>
      <c r="AH2182">
        <v>2.9501818013206802</v>
      </c>
      <c r="AI2182">
        <v>80.349520484824595</v>
      </c>
      <c r="AJ2182">
        <v>89.458166409816002</v>
      </c>
      <c r="AK2182">
        <v>2.9926637305084798</v>
      </c>
      <c r="AL2182">
        <v>91.791478853076697</v>
      </c>
      <c r="AM2182">
        <v>94.426826295068906</v>
      </c>
      <c r="AN2182">
        <v>0.99999999850277299</v>
      </c>
    </row>
    <row r="2183" spans="1:40" x14ac:dyDescent="0.25">
      <c r="A2183" t="str">
        <f>"20190305134942961"</f>
        <v>20190305134942961</v>
      </c>
      <c r="B2183" t="str">
        <f>"1551764982952490"</f>
        <v>1551764982952490</v>
      </c>
      <c r="C2183" t="s">
        <v>40</v>
      </c>
      <c r="D2183">
        <v>3.832929</v>
      </c>
      <c r="E2183">
        <v>0.53500550000000002</v>
      </c>
      <c r="F2183" t="s">
        <v>47</v>
      </c>
      <c r="G2183">
        <v>0</v>
      </c>
      <c r="H2183">
        <v>0</v>
      </c>
      <c r="I2183">
        <v>0</v>
      </c>
      <c r="J2183">
        <v>-238.30520000000001</v>
      </c>
      <c r="K2183">
        <v>1.1062259999999999</v>
      </c>
      <c r="L2183">
        <v>285.13060000000002</v>
      </c>
      <c r="M2183">
        <v>-0.99997630000000004</v>
      </c>
      <c r="N2183">
        <v>-3.1652210000000002E-3</v>
      </c>
      <c r="O2183">
        <v>-6.1297649999999997E-3</v>
      </c>
      <c r="P2183">
        <v>-0.99591819999999998</v>
      </c>
      <c r="Q2183">
        <v>-3.365431E-2</v>
      </c>
      <c r="R2183">
        <v>-8.3752430000000003E-2</v>
      </c>
      <c r="S2183">
        <v>-3.0308380000000001</v>
      </c>
      <c r="T2183">
        <v>0.50343119999999997</v>
      </c>
      <c r="U2183">
        <v>8.0566409999999998E-3</v>
      </c>
      <c r="V2183">
        <v>-7.7778949999999999E-2</v>
      </c>
      <c r="W2183">
        <v>-3.0160119999999999E-2</v>
      </c>
      <c r="X2183">
        <v>0.99651429999999996</v>
      </c>
      <c r="Y2183">
        <v>8.5853639999999998E-3</v>
      </c>
      <c r="Z2183">
        <v>-1.7250049999999999E-3</v>
      </c>
      <c r="AA2183">
        <v>0.99996169999999995</v>
      </c>
      <c r="AB2183">
        <v>43</v>
      </c>
      <c r="AC2183">
        <v>-3.0308380000000001</v>
      </c>
      <c r="AD2183">
        <v>0.50343119999999997</v>
      </c>
      <c r="AE2183">
        <v>8.0566409999999998E-3</v>
      </c>
      <c r="AF2183">
        <v>2.5919778839836E-2</v>
      </c>
      <c r="AG2183">
        <v>0.50343119999999997</v>
      </c>
      <c r="AH2183">
        <v>2.94935885503895</v>
      </c>
      <c r="AI2183">
        <v>80.313805412683493</v>
      </c>
      <c r="AJ2183">
        <v>89.496481854174803</v>
      </c>
      <c r="AK2183">
        <v>2.99212841700774</v>
      </c>
      <c r="AL2183">
        <v>91.728309719320507</v>
      </c>
      <c r="AM2183">
        <v>94.462945577689595</v>
      </c>
      <c r="AN2183">
        <v>0.999999974003003</v>
      </c>
    </row>
    <row r="2184" spans="1:40" x14ac:dyDescent="0.25">
      <c r="A2184" t="str">
        <f>"20190305134942981"</f>
        <v>20190305134942981</v>
      </c>
      <c r="B2184" t="str">
        <f>"1551764982972986"</f>
        <v>1551764982972986</v>
      </c>
      <c r="C2184" t="s">
        <v>40</v>
      </c>
      <c r="D2184">
        <v>3.8660209999999999</v>
      </c>
      <c r="E2184">
        <v>0.534609</v>
      </c>
      <c r="F2184" t="s">
        <v>78</v>
      </c>
      <c r="G2184">
        <v>-292.72590000000002</v>
      </c>
      <c r="H2184" s="1">
        <v>2.604699E-6</v>
      </c>
      <c r="I2184">
        <v>285.58370000000002</v>
      </c>
      <c r="J2184">
        <v>-238.7097</v>
      </c>
      <c r="K2184">
        <v>1.1062529999999999</v>
      </c>
      <c r="L2184">
        <v>285.12889999999999</v>
      </c>
      <c r="M2184">
        <v>-0.99998379999999998</v>
      </c>
      <c r="N2184">
        <v>-3.2192369999999998E-3</v>
      </c>
      <c r="O2184">
        <v>-4.7051519999999998E-3</v>
      </c>
      <c r="P2184">
        <v>-0.99605290000000002</v>
      </c>
      <c r="Q2184">
        <v>-3.2905549999999999E-2</v>
      </c>
      <c r="R2184">
        <v>-8.2435880000000003E-2</v>
      </c>
      <c r="S2184">
        <v>-3.0123289999999998</v>
      </c>
      <c r="T2184">
        <v>-6.1232450000000001E-2</v>
      </c>
      <c r="U2184">
        <v>2.5085449999999999E-2</v>
      </c>
      <c r="V2184">
        <v>-7.7876310000000004E-2</v>
      </c>
      <c r="W2184">
        <v>-2.936068E-2</v>
      </c>
      <c r="X2184">
        <v>0.99653060000000004</v>
      </c>
      <c r="Y2184">
        <v>1.3028420000000001E-2</v>
      </c>
      <c r="Z2184">
        <v>2.3386009999999999E-4</v>
      </c>
      <c r="AA2184">
        <v>0.99991509999999995</v>
      </c>
      <c r="AB2184">
        <v>43</v>
      </c>
      <c r="AC2184">
        <v>-54.016199999999998</v>
      </c>
      <c r="AD2184">
        <v>-1.1062503953009999</v>
      </c>
      <c r="AE2184">
        <v>0.45480000000003401</v>
      </c>
      <c r="AF2184">
        <v>0.70865349207720096</v>
      </c>
      <c r="AG2184">
        <v>-1.1062503953009999</v>
      </c>
      <c r="AH2184">
        <v>53.990818430030103</v>
      </c>
      <c r="AI2184">
        <v>91.173702419713905</v>
      </c>
      <c r="AJ2184">
        <v>89.248010606157393</v>
      </c>
      <c r="AK2184">
        <v>54.006800076040598</v>
      </c>
      <c r="AL2184">
        <v>91.682484832593403</v>
      </c>
      <c r="AM2184">
        <v>94.468436675409194</v>
      </c>
      <c r="AN2184">
        <v>1.00000000296281</v>
      </c>
    </row>
    <row r="2185" spans="1:40" x14ac:dyDescent="0.25">
      <c r="A2185" t="str">
        <f>"20190305134942995"</f>
        <v>20190305134942995</v>
      </c>
      <c r="B2185" t="str">
        <f>"1551764982982746"</f>
        <v>1551764982982746</v>
      </c>
      <c r="C2185" t="s">
        <v>40</v>
      </c>
      <c r="D2185">
        <v>3.8734000000000002</v>
      </c>
      <c r="E2185">
        <v>0.53419890000000003</v>
      </c>
      <c r="F2185" t="s">
        <v>78</v>
      </c>
      <c r="G2185">
        <v>-289.02910000000003</v>
      </c>
      <c r="H2185" s="1">
        <v>4.2019959999999996E-6</v>
      </c>
      <c r="I2185">
        <v>285.5659</v>
      </c>
      <c r="J2185">
        <v>-238.958</v>
      </c>
      <c r="K2185">
        <v>1.1062719999999999</v>
      </c>
      <c r="L2185">
        <v>285.12819999999999</v>
      </c>
      <c r="M2185">
        <v>-0.99998730000000002</v>
      </c>
      <c r="N2185">
        <v>-3.251618E-3</v>
      </c>
      <c r="O2185">
        <v>-3.8543140000000002E-3</v>
      </c>
      <c r="P2185">
        <v>-0.99614329999999995</v>
      </c>
      <c r="Q2185">
        <v>-3.2406770000000001E-2</v>
      </c>
      <c r="R2185">
        <v>-8.1538799999999995E-2</v>
      </c>
      <c r="S2185">
        <v>-3.0118710000000002</v>
      </c>
      <c r="T2185">
        <v>-6.6214560000000006E-2</v>
      </c>
      <c r="U2185">
        <v>2.6153559999999999E-2</v>
      </c>
      <c r="V2185">
        <v>-7.7822859999999994E-2</v>
      </c>
      <c r="W2185">
        <v>-2.8832799999999999E-2</v>
      </c>
      <c r="X2185">
        <v>0.99655020000000005</v>
      </c>
      <c r="Y2185">
        <v>1.253314E-2</v>
      </c>
      <c r="Z2185">
        <v>2.3032050000000001E-4</v>
      </c>
      <c r="AA2185">
        <v>0.99992139999999996</v>
      </c>
      <c r="AB2185">
        <v>43</v>
      </c>
      <c r="AC2185">
        <v>-50.071100000000001</v>
      </c>
      <c r="AD2185">
        <v>-1.1062677980040001</v>
      </c>
      <c r="AE2185">
        <v>0.43770000000000597</v>
      </c>
      <c r="AF2185">
        <v>0.63037981653750796</v>
      </c>
      <c r="AG2185">
        <v>-1.1062677980040001</v>
      </c>
      <c r="AH2185">
        <v>50.044614013989403</v>
      </c>
      <c r="AI2185">
        <v>91.266252725714097</v>
      </c>
      <c r="AJ2185">
        <v>89.278320082862294</v>
      </c>
      <c r="AK2185">
        <v>50.060809012272102</v>
      </c>
      <c r="AL2185">
        <v>91.652226705886093</v>
      </c>
      <c r="AM2185">
        <v>94.465294725802593</v>
      </c>
      <c r="AN2185">
        <v>1.0000000145072201</v>
      </c>
    </row>
    <row r="2186" spans="1:40" x14ac:dyDescent="0.25">
      <c r="A2186" t="str">
        <f>"20190305134943007"</f>
        <v>20190305134943007</v>
      </c>
      <c r="B2186" t="str">
        <f>"1551764983003243"</f>
        <v>1551764983003243</v>
      </c>
      <c r="C2186" t="s">
        <v>40</v>
      </c>
      <c r="D2186">
        <v>3.6254149999999998</v>
      </c>
      <c r="E2186">
        <v>0.53382059999999998</v>
      </c>
      <c r="F2186" t="s">
        <v>78</v>
      </c>
      <c r="G2186">
        <v>-289.39330000000001</v>
      </c>
      <c r="H2186" s="1">
        <v>4.0416990000000004E-6</v>
      </c>
      <c r="I2186">
        <v>285.56009999999998</v>
      </c>
      <c r="J2186">
        <v>-239.2029</v>
      </c>
      <c r="K2186">
        <v>1.1062920000000001</v>
      </c>
      <c r="L2186">
        <v>285.12759999999997</v>
      </c>
      <c r="M2186">
        <v>-0.99999000000000005</v>
      </c>
      <c r="N2186">
        <v>-3.2829489999999998E-3</v>
      </c>
      <c r="O2186">
        <v>-3.0338750000000001E-3</v>
      </c>
      <c r="P2186">
        <v>-0.99620140000000001</v>
      </c>
      <c r="Q2186">
        <v>-3.2150909999999998E-2</v>
      </c>
      <c r="R2186">
        <v>-8.0927109999999997E-2</v>
      </c>
      <c r="S2186">
        <v>-3.0115660000000002</v>
      </c>
      <c r="T2186">
        <v>-6.605685E-2</v>
      </c>
      <c r="U2186">
        <v>2.5787350000000001E-2</v>
      </c>
      <c r="V2186">
        <v>-7.8026410000000004E-2</v>
      </c>
      <c r="W2186">
        <v>-2.8548469999999999E-2</v>
      </c>
      <c r="X2186">
        <v>0.9965425</v>
      </c>
      <c r="Y2186">
        <v>1.1592470000000001E-2</v>
      </c>
      <c r="Z2186">
        <v>2.027292E-4</v>
      </c>
      <c r="AA2186">
        <v>0.99993279999999995</v>
      </c>
      <c r="AB2186">
        <v>43</v>
      </c>
      <c r="AC2186">
        <v>-50.190399999999997</v>
      </c>
      <c r="AD2186">
        <v>-1.1062879583009999</v>
      </c>
      <c r="AE2186">
        <v>0.43250000000000399</v>
      </c>
      <c r="AF2186">
        <v>0.58448628435162697</v>
      </c>
      <c r="AG2186">
        <v>-1.1062879583009999</v>
      </c>
      <c r="AH2186">
        <v>50.1644866478239</v>
      </c>
      <c r="AI2186">
        <v>91.263265359565906</v>
      </c>
      <c r="AJ2186">
        <v>89.332454407037702</v>
      </c>
      <c r="AK2186">
        <v>50.180087862647099</v>
      </c>
      <c r="AL2186">
        <v>91.635929038003098</v>
      </c>
      <c r="AM2186">
        <v>94.476960984664501</v>
      </c>
      <c r="AN2186">
        <v>1.0000000450515301</v>
      </c>
    </row>
    <row r="2187" spans="1:40" x14ac:dyDescent="0.25">
      <c r="A2187" t="str">
        <f>"20190305134943026"</f>
        <v>20190305134943026</v>
      </c>
      <c r="B2187" t="str">
        <f>"1551764983022762"</f>
        <v>1551764983022762</v>
      </c>
      <c r="C2187" t="s">
        <v>40</v>
      </c>
      <c r="D2187">
        <v>3.643599</v>
      </c>
      <c r="E2187">
        <v>0.53591259999999996</v>
      </c>
      <c r="F2187" t="s">
        <v>78</v>
      </c>
      <c r="G2187">
        <v>-286.57139999999998</v>
      </c>
      <c r="H2187" s="1">
        <v>5.3015290000000001E-6</v>
      </c>
      <c r="I2187">
        <v>285.51929999999999</v>
      </c>
      <c r="J2187">
        <v>-239.56880000000001</v>
      </c>
      <c r="K2187">
        <v>1.1063320000000001</v>
      </c>
      <c r="L2187">
        <v>285.12720000000002</v>
      </c>
      <c r="M2187">
        <v>-0.99999289999999996</v>
      </c>
      <c r="N2187">
        <v>-3.3289370000000001E-3</v>
      </c>
      <c r="O2187">
        <v>-1.861031E-3</v>
      </c>
      <c r="P2187">
        <v>-0.99634219999999896</v>
      </c>
      <c r="Q2187">
        <v>-3.108963E-2</v>
      </c>
      <c r="R2187">
        <v>-7.9600420000000005E-2</v>
      </c>
      <c r="S2187">
        <v>-3.011215</v>
      </c>
      <c r="T2187">
        <v>-7.0326689999999997E-2</v>
      </c>
      <c r="U2187">
        <v>2.4902339999999999E-2</v>
      </c>
      <c r="V2187">
        <v>-7.7861059999999996E-2</v>
      </c>
      <c r="W2187">
        <v>-2.744885E-2</v>
      </c>
      <c r="X2187">
        <v>0.99658630000000004</v>
      </c>
      <c r="Y2187">
        <v>1.012702E-2</v>
      </c>
      <c r="Z2187">
        <v>1.7236199999999999E-4</v>
      </c>
      <c r="AA2187">
        <v>0.99994870000000002</v>
      </c>
      <c r="AB2187">
        <v>43</v>
      </c>
      <c r="AC2187">
        <v>-47.002599999999902</v>
      </c>
      <c r="AD2187">
        <v>-1.1063266984709901</v>
      </c>
      <c r="AE2187">
        <v>0.39209999999996997</v>
      </c>
      <c r="AF2187">
        <v>0.47930756023260901</v>
      </c>
      <c r="AG2187">
        <v>-1.1063266984709901</v>
      </c>
      <c r="AH2187">
        <v>46.975765332176898</v>
      </c>
      <c r="AI2187">
        <v>91.349053862079899</v>
      </c>
      <c r="AJ2187">
        <v>89.415414583508905</v>
      </c>
      <c r="AK2187">
        <v>46.991235598192098</v>
      </c>
      <c r="AL2187">
        <v>91.572900784496696</v>
      </c>
      <c r="AM2187">
        <v>94.467316508908496</v>
      </c>
      <c r="AN2187">
        <v>1.00000001868916</v>
      </c>
    </row>
    <row r="2188" spans="1:40" x14ac:dyDescent="0.25">
      <c r="A2188" t="str">
        <f>"20190305134943039"</f>
        <v>20190305134943039</v>
      </c>
      <c r="B2188" t="str">
        <f>"1551764983032523"</f>
        <v>1551764983032523</v>
      </c>
      <c r="C2188" t="s">
        <v>40</v>
      </c>
      <c r="D2188">
        <v>3.8622860000000001</v>
      </c>
      <c r="E2188">
        <v>0.53591259999999996</v>
      </c>
      <c r="F2188" t="s">
        <v>47</v>
      </c>
      <c r="G2188">
        <v>0</v>
      </c>
      <c r="H2188">
        <v>0</v>
      </c>
      <c r="I2188">
        <v>0</v>
      </c>
      <c r="J2188">
        <v>-239.81559999999999</v>
      </c>
      <c r="K2188">
        <v>1.106366</v>
      </c>
      <c r="L2188">
        <v>285.12709999999998</v>
      </c>
      <c r="M2188">
        <v>-0.99999389999999999</v>
      </c>
      <c r="N2188">
        <v>-3.3593579999999998E-3</v>
      </c>
      <c r="O2188">
        <v>-1.110923E-3</v>
      </c>
      <c r="P2188">
        <v>-0.99643090000000001</v>
      </c>
      <c r="Q2188">
        <v>-3.0525610000000002E-2</v>
      </c>
      <c r="R2188">
        <v>-7.8701859999999998E-2</v>
      </c>
      <c r="S2188">
        <v>-3.0272670000000002</v>
      </c>
      <c r="T2188">
        <v>0.48530640000000003</v>
      </c>
      <c r="U2188">
        <v>1.376343E-2</v>
      </c>
      <c r="V2188">
        <v>-7.7704999999999996E-2</v>
      </c>
      <c r="W2188">
        <v>-2.6861059999999999E-2</v>
      </c>
      <c r="X2188">
        <v>0.99661449999999996</v>
      </c>
      <c r="Y2188">
        <v>5.5729229999999996E-3</v>
      </c>
      <c r="Z2188">
        <v>-6.1511870000000002E-4</v>
      </c>
      <c r="AA2188">
        <v>0.99998430000000005</v>
      </c>
      <c r="AB2188">
        <v>43</v>
      </c>
      <c r="AC2188">
        <v>-3.0272670000000002</v>
      </c>
      <c r="AD2188">
        <v>0.48530640000000003</v>
      </c>
      <c r="AE2188">
        <v>1.376343E-2</v>
      </c>
      <c r="AF2188">
        <v>1.66973889665432E-2</v>
      </c>
      <c r="AG2188">
        <v>0.48530640000000003</v>
      </c>
      <c r="AH2188">
        <v>2.9514008512256602</v>
      </c>
      <c r="AI2188">
        <v>80.662414777906207</v>
      </c>
      <c r="AJ2188">
        <v>89.6758557179229</v>
      </c>
      <c r="AK2188">
        <v>2.9910814247182902</v>
      </c>
      <c r="AL2188">
        <v>91.539210468628895</v>
      </c>
      <c r="AM2188">
        <v>94.458272981053796</v>
      </c>
      <c r="AN2188">
        <v>1.00000002258978</v>
      </c>
    </row>
    <row r="2189" spans="1:40" x14ac:dyDescent="0.25">
      <c r="A2189" t="str">
        <f>"20190305134943052"</f>
        <v>20190305134943052</v>
      </c>
      <c r="B2189" t="str">
        <f>"1551764983043259"</f>
        <v>1551764983043259</v>
      </c>
      <c r="C2189" t="s">
        <v>40</v>
      </c>
      <c r="D2189">
        <v>3.866663</v>
      </c>
      <c r="E2189">
        <v>0.53106309999999901</v>
      </c>
      <c r="F2189" t="s">
        <v>47</v>
      </c>
      <c r="G2189">
        <v>0</v>
      </c>
      <c r="H2189">
        <v>0</v>
      </c>
      <c r="I2189">
        <v>0</v>
      </c>
      <c r="J2189">
        <v>-240.06989999999999</v>
      </c>
      <c r="K2189">
        <v>1.1064039999999999</v>
      </c>
      <c r="L2189">
        <v>285.12720000000002</v>
      </c>
      <c r="M2189">
        <v>-0.99999420000000006</v>
      </c>
      <c r="N2189">
        <v>-3.390452E-3</v>
      </c>
      <c r="O2189">
        <v>-3.615329E-4</v>
      </c>
      <c r="P2189">
        <v>-0.99648829999999999</v>
      </c>
      <c r="Q2189">
        <v>-2.9963690000000001E-2</v>
      </c>
      <c r="R2189">
        <v>-7.8186000000000005E-2</v>
      </c>
      <c r="S2189">
        <v>-3.026993</v>
      </c>
      <c r="T2189">
        <v>0.48688949999999998</v>
      </c>
      <c r="U2189">
        <v>1.6815190000000001E-2</v>
      </c>
      <c r="V2189">
        <v>-7.7931459999999994E-2</v>
      </c>
      <c r="W2189">
        <v>-2.627411E-2</v>
      </c>
      <c r="X2189">
        <v>0.99661239999999995</v>
      </c>
      <c r="Y2189">
        <v>5.8382399999999997E-3</v>
      </c>
      <c r="Z2189">
        <v>-5.1557549999999995E-4</v>
      </c>
      <c r="AA2189">
        <v>0.99998279999999995</v>
      </c>
      <c r="AB2189">
        <v>43</v>
      </c>
      <c r="AC2189">
        <v>-3.026993</v>
      </c>
      <c r="AD2189">
        <v>0.48688949999999998</v>
      </c>
      <c r="AE2189">
        <v>1.6815190000000001E-2</v>
      </c>
      <c r="AF2189">
        <v>1.7457887895331099E-2</v>
      </c>
      <c r="AG2189">
        <v>0.48688949999999998</v>
      </c>
      <c r="AH2189">
        <v>2.9506484976249898</v>
      </c>
      <c r="AI2189">
        <v>80.630161677083393</v>
      </c>
      <c r="AJ2189">
        <v>89.661006173806797</v>
      </c>
      <c r="AK2189">
        <v>2.99060072888319</v>
      </c>
      <c r="AL2189">
        <v>91.505568932679296</v>
      </c>
      <c r="AM2189">
        <v>94.4712227471787</v>
      </c>
      <c r="AN2189">
        <v>0.99999995857389001</v>
      </c>
    </row>
    <row r="2190" spans="1:40" x14ac:dyDescent="0.25">
      <c r="A2190" t="str">
        <f>"20190305134943063"</f>
        <v>20190305134943063</v>
      </c>
      <c r="B2190" t="str">
        <f>"1551764983053019"</f>
        <v>1551764983053019</v>
      </c>
      <c r="C2190" t="s">
        <v>40</v>
      </c>
      <c r="D2190">
        <v>3.846006</v>
      </c>
      <c r="E2190">
        <v>0.53161899999999995</v>
      </c>
      <c r="F2190" t="s">
        <v>74</v>
      </c>
      <c r="G2190">
        <v>-276.29919999999998</v>
      </c>
      <c r="H2190" s="1">
        <v>1.7861429999999899E-6</v>
      </c>
      <c r="I2190">
        <v>285.28410000000002</v>
      </c>
      <c r="J2190">
        <v>-240.29679999999999</v>
      </c>
      <c r="K2190">
        <v>1.1064449999999999</v>
      </c>
      <c r="L2190">
        <v>285.12740000000002</v>
      </c>
      <c r="M2190">
        <v>-0.9999943</v>
      </c>
      <c r="N2190">
        <v>-3.417841E-3</v>
      </c>
      <c r="O2190">
        <v>2.6703090000000001E-4</v>
      </c>
      <c r="P2190">
        <v>-0.99655320000000003</v>
      </c>
      <c r="Q2190">
        <v>-2.8778870000000002E-2</v>
      </c>
      <c r="R2190">
        <v>-7.7806120000000006E-2</v>
      </c>
      <c r="S2190">
        <v>-3.0088349999999999</v>
      </c>
      <c r="T2190">
        <v>-9.1886399999999993E-2</v>
      </c>
      <c r="U2190">
        <v>1.3031010000000001E-2</v>
      </c>
      <c r="V2190">
        <v>-7.8170550000000005E-2</v>
      </c>
      <c r="W2190">
        <v>-2.5068170000000001E-2</v>
      </c>
      <c r="X2190">
        <v>0.99662479999999998</v>
      </c>
      <c r="Y2190">
        <v>4.0618360000000001E-3</v>
      </c>
      <c r="Z2190" s="1">
        <v>6.1709990000000003E-5</v>
      </c>
      <c r="AA2190">
        <v>0.99999179999999999</v>
      </c>
      <c r="AB2190">
        <v>44</v>
      </c>
      <c r="AC2190">
        <v>-36.002399999999902</v>
      </c>
      <c r="AD2190">
        <v>-1.106443213857</v>
      </c>
      <c r="AE2190">
        <v>0.15670000000000001</v>
      </c>
      <c r="AF2190">
        <v>0.14694739960535899</v>
      </c>
      <c r="AG2190">
        <v>-1.106443213857</v>
      </c>
      <c r="AH2190">
        <v>35.968469501453797</v>
      </c>
      <c r="AI2190">
        <v>91.761932437496895</v>
      </c>
      <c r="AJ2190">
        <v>89.765922234608695</v>
      </c>
      <c r="AK2190">
        <v>35.985783420689302</v>
      </c>
      <c r="AL2190">
        <v>91.436450786600105</v>
      </c>
      <c r="AM2190">
        <v>94.484828792960599</v>
      </c>
      <c r="AN2190">
        <v>1.0000000200047401</v>
      </c>
    </row>
    <row r="2191" spans="1:40" x14ac:dyDescent="0.25">
      <c r="A2191" t="str">
        <f>"20190305134943083"</f>
        <v>20190305134943083</v>
      </c>
      <c r="B2191" t="str">
        <f>"1551764983072542"</f>
        <v>1551764983072542</v>
      </c>
      <c r="C2191" t="s">
        <v>40</v>
      </c>
      <c r="D2191">
        <v>3.8687619999999998</v>
      </c>
      <c r="E2191">
        <v>0.53170379999999995</v>
      </c>
      <c r="F2191" t="s">
        <v>74</v>
      </c>
      <c r="G2191">
        <v>-279.31369999999998</v>
      </c>
      <c r="H2191" s="1">
        <v>3.3867640000000002E-6</v>
      </c>
      <c r="I2191">
        <v>285.36559999999997</v>
      </c>
      <c r="J2191">
        <v>-240.66630000000001</v>
      </c>
      <c r="K2191">
        <v>1.106519</v>
      </c>
      <c r="L2191">
        <v>285.12799999999999</v>
      </c>
      <c r="M2191">
        <v>-0.99999329999999997</v>
      </c>
      <c r="N2191">
        <v>-3.4618380000000001E-3</v>
      </c>
      <c r="O2191">
        <v>1.235049E-3</v>
      </c>
      <c r="P2191">
        <v>-0.99666399999999999</v>
      </c>
      <c r="Q2191">
        <v>-2.5263730000000002E-2</v>
      </c>
      <c r="R2191">
        <v>-7.7608620000000003E-2</v>
      </c>
      <c r="S2191">
        <v>-3.0093540000000001</v>
      </c>
      <c r="T2191">
        <v>-8.5339310000000002E-2</v>
      </c>
      <c r="U2191">
        <v>1.8371579999999998E-2</v>
      </c>
      <c r="V2191">
        <v>-7.8920320000000002E-2</v>
      </c>
      <c r="W2191">
        <v>-2.1518659999999998E-2</v>
      </c>
      <c r="X2191">
        <v>0.99664870000000005</v>
      </c>
      <c r="Y2191">
        <v>4.8678619999999997E-3</v>
      </c>
      <c r="Z2191" s="1">
        <v>4.6693459999999898E-5</v>
      </c>
      <c r="AA2191">
        <v>0.99998810000000005</v>
      </c>
      <c r="AB2191">
        <v>44</v>
      </c>
      <c r="AC2191">
        <v>-38.647399999999898</v>
      </c>
      <c r="AD2191">
        <v>-1.1065156132359999</v>
      </c>
      <c r="AE2191">
        <v>0.23759999999998599</v>
      </c>
      <c r="AF2191">
        <v>0.18971259411385599</v>
      </c>
      <c r="AG2191">
        <v>-1.1065156132359999</v>
      </c>
      <c r="AH2191">
        <v>38.616010198448002</v>
      </c>
      <c r="AI2191">
        <v>91.641302837698603</v>
      </c>
      <c r="AJ2191">
        <v>89.718519767848406</v>
      </c>
      <c r="AK2191">
        <v>38.632325988960801</v>
      </c>
      <c r="AL2191">
        <v>91.233023508235306</v>
      </c>
      <c r="AM2191">
        <v>94.527558731400703</v>
      </c>
      <c r="AN2191">
        <v>1.00000005042439</v>
      </c>
    </row>
    <row r="2192" spans="1:40" x14ac:dyDescent="0.25">
      <c r="A2192" t="str">
        <f>"20190305134943095"</f>
        <v>20190305134943095</v>
      </c>
      <c r="B2192" t="str">
        <f>"1551764983093034"</f>
        <v>1551764983093034</v>
      </c>
      <c r="C2192" t="s">
        <v>40</v>
      </c>
      <c r="D2192">
        <v>3.1691560000000001</v>
      </c>
      <c r="E2192">
        <v>0.53170379999999995</v>
      </c>
      <c r="F2192" t="s">
        <v>78</v>
      </c>
      <c r="G2192">
        <v>-283.9504</v>
      </c>
      <c r="H2192" s="1">
        <v>6.4861880000000003E-6</v>
      </c>
      <c r="I2192">
        <v>285.41109999999998</v>
      </c>
      <c r="J2192">
        <v>-240.9144</v>
      </c>
      <c r="K2192">
        <v>1.1065769999999999</v>
      </c>
      <c r="L2192">
        <v>285.12860000000001</v>
      </c>
      <c r="M2192">
        <v>-0.9999924</v>
      </c>
      <c r="N2192">
        <v>-3.4910779999999999E-3</v>
      </c>
      <c r="O2192">
        <v>1.843508E-3</v>
      </c>
      <c r="P2192">
        <v>-0.99672110000000003</v>
      </c>
      <c r="Q2192">
        <v>-2.3324060000000001E-2</v>
      </c>
      <c r="R2192">
        <v>-7.7481930000000004E-2</v>
      </c>
      <c r="S2192">
        <v>-3.0096280000000002</v>
      </c>
      <c r="T2192">
        <v>-7.6937909999999998E-2</v>
      </c>
      <c r="U2192">
        <v>1.9683840000000001E-2</v>
      </c>
      <c r="V2192">
        <v>-7.9390669999999997E-2</v>
      </c>
      <c r="W2192">
        <v>-1.9557089999999999E-2</v>
      </c>
      <c r="X2192">
        <v>0.99665170000000003</v>
      </c>
      <c r="Y2192">
        <v>4.6953639999999996E-3</v>
      </c>
      <c r="Z2192" s="1">
        <v>2.7518980000000001E-5</v>
      </c>
      <c r="AA2192">
        <v>0.99998900000000002</v>
      </c>
      <c r="AB2192">
        <v>44</v>
      </c>
      <c r="AC2192">
        <v>-43.036000000000001</v>
      </c>
      <c r="AD2192">
        <v>-1.1065705138119999</v>
      </c>
      <c r="AE2192">
        <v>0.28249999999997</v>
      </c>
      <c r="AF2192">
        <v>0.203027617323914</v>
      </c>
      <c r="AG2192">
        <v>-1.1065705138119999</v>
      </c>
      <c r="AH2192">
        <v>43.008014507631501</v>
      </c>
      <c r="AI2192">
        <v>91.473844579150494</v>
      </c>
      <c r="AJ2192">
        <v>89.729526244798706</v>
      </c>
      <c r="AK2192">
        <v>43.022726905718997</v>
      </c>
      <c r="AL2192">
        <v>91.120610176586595</v>
      </c>
      <c r="AM2192">
        <v>94.554415275575295</v>
      </c>
      <c r="AN2192">
        <v>0.99999998468260298</v>
      </c>
    </row>
    <row r="2193" spans="1:40" x14ac:dyDescent="0.25">
      <c r="A2193" t="str">
        <f>"20190305134943208"</f>
        <v>20190305134943208</v>
      </c>
      <c r="B2193" t="str">
        <f>"1551764983202348"</f>
        <v>1551764983202348</v>
      </c>
      <c r="C2193" t="s">
        <v>40</v>
      </c>
      <c r="D2193">
        <v>3.8544580000000002</v>
      </c>
      <c r="E2193">
        <v>0.5216944</v>
      </c>
      <c r="F2193" t="s">
        <v>78</v>
      </c>
      <c r="G2193">
        <v>-287.96120000000002</v>
      </c>
      <c r="H2193" s="1">
        <v>4.7010079999999998E-6</v>
      </c>
      <c r="I2193">
        <v>285.44299999999998</v>
      </c>
      <c r="J2193">
        <v>-243.14940000000001</v>
      </c>
      <c r="K2193">
        <v>1.107138</v>
      </c>
      <c r="L2193">
        <v>285.1388</v>
      </c>
      <c r="M2193">
        <v>-0.99997599999999998</v>
      </c>
      <c r="N2193">
        <v>-3.74647E-3</v>
      </c>
      <c r="O2193">
        <v>5.8424210000000004E-3</v>
      </c>
      <c r="P2193">
        <v>-0.99653570000000002</v>
      </c>
      <c r="Q2193">
        <v>-6.4492059999999999E-3</v>
      </c>
      <c r="R2193">
        <v>-8.2918220000000001E-2</v>
      </c>
      <c r="S2193">
        <v>-3.0097659999999999</v>
      </c>
      <c r="T2193">
        <v>-7.0791839999999995E-2</v>
      </c>
      <c r="U2193">
        <v>2.011108E-2</v>
      </c>
      <c r="V2193">
        <v>-8.8745560000000001E-2</v>
      </c>
      <c r="W2193">
        <v>-2.4934860000000001E-3</v>
      </c>
      <c r="X2193">
        <v>0.99605120000000003</v>
      </c>
      <c r="Y2193">
        <v>8.4022199999999995E-4</v>
      </c>
      <c r="Z2193">
        <v>-1.040561E-4</v>
      </c>
      <c r="AA2193">
        <v>0.99999959999999999</v>
      </c>
      <c r="AB2193">
        <v>45</v>
      </c>
      <c r="AC2193">
        <v>-44.811799999999998</v>
      </c>
      <c r="AD2193">
        <v>-1.107133298992</v>
      </c>
      <c r="AE2193">
        <v>0.30419999999997999</v>
      </c>
      <c r="AF2193">
        <v>4.2357737666093097E-2</v>
      </c>
      <c r="AG2193">
        <v>-1.107133298992</v>
      </c>
      <c r="AH2193">
        <v>44.785476631105503</v>
      </c>
      <c r="AI2193">
        <v>91.416109074481696</v>
      </c>
      <c r="AJ2193">
        <v>89.945810136300693</v>
      </c>
      <c r="AK2193">
        <v>44.7991791821566</v>
      </c>
      <c r="AL2193">
        <v>90.142866373197506</v>
      </c>
      <c r="AM2193">
        <v>95.0914600984907</v>
      </c>
      <c r="AN2193">
        <v>0.99999999245679205</v>
      </c>
    </row>
    <row r="2194" spans="1:40" x14ac:dyDescent="0.25">
      <c r="A2194" t="str">
        <f>"20190305134943227"</f>
        <v>20190305134943227</v>
      </c>
      <c r="B2194" t="str">
        <f>"1551764983222843"</f>
        <v>1551764983222843</v>
      </c>
      <c r="C2194" t="s">
        <v>40</v>
      </c>
      <c r="D2194">
        <v>3.8227699999999998</v>
      </c>
      <c r="E2194">
        <v>0.50948870000000002</v>
      </c>
      <c r="F2194" t="s">
        <v>78</v>
      </c>
      <c r="G2194">
        <v>-407.04719999999998</v>
      </c>
      <c r="H2194" s="1">
        <v>6.0237749999999998E-6</v>
      </c>
      <c r="I2194">
        <v>281.00290000000001</v>
      </c>
      <c r="J2194">
        <v>-243.53700000000001</v>
      </c>
      <c r="K2194">
        <v>1.1072169999999999</v>
      </c>
      <c r="L2194">
        <v>285.14139999999998</v>
      </c>
      <c r="M2194">
        <v>-0.99997290000000005</v>
      </c>
      <c r="N2194">
        <v>-3.7897819999999998E-3</v>
      </c>
      <c r="O2194">
        <v>6.3298490000000002E-3</v>
      </c>
      <c r="P2194">
        <v>-0.99629570000000001</v>
      </c>
      <c r="Q2194">
        <v>-4.1298120000000001E-3</v>
      </c>
      <c r="R2194">
        <v>-8.5896310000000003E-2</v>
      </c>
      <c r="S2194">
        <v>-3.004013</v>
      </c>
      <c r="T2194">
        <v>-2.029216E-2</v>
      </c>
      <c r="U2194">
        <v>-7.5805659999999997E-2</v>
      </c>
      <c r="V2194">
        <v>-9.2202010000000001E-2</v>
      </c>
      <c r="W2194">
        <v>-1.3819869999999999E-4</v>
      </c>
      <c r="X2194">
        <v>0.99574030000000002</v>
      </c>
      <c r="Y2194">
        <v>-3.1552990000000003E-2</v>
      </c>
      <c r="Z2194">
        <v>-1.851197E-4</v>
      </c>
      <c r="AA2194">
        <v>0.99950209999999995</v>
      </c>
      <c r="AB2194">
        <v>45</v>
      </c>
      <c r="AC2194">
        <v>-163.510199999999</v>
      </c>
      <c r="AD2194">
        <v>-1.107210976225</v>
      </c>
      <c r="AE2194">
        <v>-4.1384999999999597</v>
      </c>
      <c r="AF2194">
        <v>-5.1731822229654503</v>
      </c>
      <c r="AG2194">
        <v>-1.107210976225</v>
      </c>
      <c r="AH2194">
        <v>163.473236978427</v>
      </c>
      <c r="AI2194">
        <v>90.387866586989205</v>
      </c>
      <c r="AJ2194">
        <v>91.812545164907206</v>
      </c>
      <c r="AK2194">
        <v>163.558817978924</v>
      </c>
      <c r="AL2194">
        <v>90.007918202369197</v>
      </c>
      <c r="AM2194">
        <v>95.290299945966098</v>
      </c>
      <c r="AN2194">
        <v>0.999999987395505</v>
      </c>
    </row>
    <row r="2195" spans="1:40" x14ac:dyDescent="0.25">
      <c r="A2195" t="str">
        <f>"20190305134943240"</f>
        <v>20190305134943240</v>
      </c>
      <c r="B2195" t="str">
        <f>"1551764983232604"</f>
        <v>1551764983232604</v>
      </c>
      <c r="C2195" t="s">
        <v>40</v>
      </c>
      <c r="D2195">
        <v>3.8443839999999998</v>
      </c>
      <c r="E2195">
        <v>0.50587280000000001</v>
      </c>
      <c r="F2195" t="s">
        <v>74</v>
      </c>
      <c r="G2195">
        <v>-352.89030000000002</v>
      </c>
      <c r="H2195">
        <v>8.000061E-2</v>
      </c>
      <c r="I2195">
        <v>278.5292</v>
      </c>
      <c r="J2195">
        <v>-243.80629999999999</v>
      </c>
      <c r="K2195">
        <v>1.107264</v>
      </c>
      <c r="L2195">
        <v>285.14319999999998</v>
      </c>
      <c r="M2195">
        <v>-0.99997080000000005</v>
      </c>
      <c r="N2195">
        <v>-3.8196269999999999E-3</v>
      </c>
      <c r="O2195">
        <v>6.6445200000000001E-3</v>
      </c>
      <c r="P2195">
        <v>-0.99618479999999998</v>
      </c>
      <c r="Q2195">
        <v>-3.2364450000000001E-3</v>
      </c>
      <c r="R2195">
        <v>-8.7210060000000006E-2</v>
      </c>
      <c r="S2195">
        <v>-2.995438</v>
      </c>
      <c r="T2195">
        <v>-2.8137800000000001E-2</v>
      </c>
      <c r="U2195">
        <v>-0.1811218</v>
      </c>
      <c r="V2195">
        <v>-9.3826160000000006E-2</v>
      </c>
      <c r="W2195">
        <v>7.7897709999999996E-4</v>
      </c>
      <c r="X2195">
        <v>0.99558829999999998</v>
      </c>
      <c r="Y2195">
        <v>-6.6982559999999997E-2</v>
      </c>
      <c r="Z2195">
        <v>-4.7935849999999999E-4</v>
      </c>
      <c r="AA2195">
        <v>0.99775400000000003</v>
      </c>
      <c r="AB2195">
        <v>45</v>
      </c>
      <c r="AC2195">
        <v>-109.084</v>
      </c>
      <c r="AD2195">
        <v>-1.0272633900000001</v>
      </c>
      <c r="AE2195">
        <v>-6.6139999999999697</v>
      </c>
      <c r="AF2195">
        <v>-7.3380216013865498</v>
      </c>
      <c r="AG2195">
        <v>-1.0272633900000001</v>
      </c>
      <c r="AH2195">
        <v>109.028011219712</v>
      </c>
      <c r="AI2195">
        <v>90.538607183554106</v>
      </c>
      <c r="AJ2195">
        <v>93.850428399159398</v>
      </c>
      <c r="AK2195">
        <v>109.27949973174501</v>
      </c>
      <c r="AL2195">
        <v>89.955367895725004</v>
      </c>
      <c r="AM2195">
        <v>95.383763546118701</v>
      </c>
      <c r="AN2195">
        <v>1.00000000910127</v>
      </c>
    </row>
    <row r="2196" spans="1:40" x14ac:dyDescent="0.25">
      <c r="A2196" t="str">
        <f>"20190305134943253"</f>
        <v>20190305134943253</v>
      </c>
      <c r="B2196" t="str">
        <f>"1551764983242363"</f>
        <v>1551764983242363</v>
      </c>
      <c r="C2196" t="s">
        <v>40</v>
      </c>
      <c r="D2196">
        <v>3.850422</v>
      </c>
      <c r="E2196">
        <v>0.50262589999999996</v>
      </c>
      <c r="F2196" t="s">
        <v>74</v>
      </c>
      <c r="G2196">
        <v>-344.67099999999999</v>
      </c>
      <c r="H2196">
        <v>8.0000089999999996E-2</v>
      </c>
      <c r="I2196">
        <v>277.94130000000001</v>
      </c>
      <c r="J2196">
        <v>-244.0566</v>
      </c>
      <c r="K2196">
        <v>1.1073040000000001</v>
      </c>
      <c r="L2196">
        <v>285.14499999999998</v>
      </c>
      <c r="M2196">
        <v>-0.99996859999999999</v>
      </c>
      <c r="N2196">
        <v>-3.8473100000000001E-3</v>
      </c>
      <c r="O2196">
        <v>6.9270080000000001E-3</v>
      </c>
      <c r="P2196">
        <v>-0.99606870000000003</v>
      </c>
      <c r="Q2196">
        <v>-2.692191E-3</v>
      </c>
      <c r="R2196">
        <v>-8.8545620000000005E-2</v>
      </c>
      <c r="S2196">
        <v>-2.9927060000000001</v>
      </c>
      <c r="T2196">
        <v>-3.0479429999999998E-2</v>
      </c>
      <c r="U2196">
        <v>-0.21368409999999999</v>
      </c>
      <c r="V2196">
        <v>-9.5440540000000004E-2</v>
      </c>
      <c r="W2196">
        <v>1.344982E-3</v>
      </c>
      <c r="X2196">
        <v>0.99543419999999905</v>
      </c>
      <c r="Y2196">
        <v>-7.8122360000000002E-2</v>
      </c>
      <c r="Z2196">
        <v>-5.9162919999999897E-4</v>
      </c>
      <c r="AA2196">
        <v>0.99694360000000004</v>
      </c>
      <c r="AB2196">
        <v>45</v>
      </c>
      <c r="AC2196">
        <v>-100.6144</v>
      </c>
      <c r="AD2196">
        <v>-1.0273039100000001</v>
      </c>
      <c r="AE2196">
        <v>-7.2036999999999596</v>
      </c>
      <c r="AF2196">
        <v>-7.89966973948545</v>
      </c>
      <c r="AG2196">
        <v>-1.0273039100000001</v>
      </c>
      <c r="AH2196">
        <v>100.55165647936499</v>
      </c>
      <c r="AI2196">
        <v>90.583554162944097</v>
      </c>
      <c r="AJ2196">
        <v>94.492118483139393</v>
      </c>
      <c r="AK2196">
        <v>100.86672273877301</v>
      </c>
      <c r="AL2196">
        <v>89.922938182802596</v>
      </c>
      <c r="AM2196">
        <v>95.476681208667301</v>
      </c>
      <c r="AN2196">
        <v>0.999999976090855</v>
      </c>
    </row>
    <row r="2197" spans="1:40" x14ac:dyDescent="0.25">
      <c r="A2197" t="str">
        <f>"20190305134943265"</f>
        <v>20190305134943265</v>
      </c>
      <c r="B2197" t="str">
        <f>"1551764983253100"</f>
        <v>1551764983253100</v>
      </c>
      <c r="C2197" t="s">
        <v>40</v>
      </c>
      <c r="D2197">
        <v>3.8251249999999999</v>
      </c>
      <c r="E2197">
        <v>0.50004740000000003</v>
      </c>
      <c r="F2197" t="s">
        <v>74</v>
      </c>
      <c r="G2197">
        <v>-336.00060000000002</v>
      </c>
      <c r="H2197">
        <v>8.0001470000000005E-2</v>
      </c>
      <c r="I2197">
        <v>277.66219999999998</v>
      </c>
      <c r="J2197">
        <v>-244.30959999999999</v>
      </c>
      <c r="K2197">
        <v>1.107342</v>
      </c>
      <c r="L2197">
        <v>285.14690000000002</v>
      </c>
      <c r="M2197">
        <v>-0.99996660000000004</v>
      </c>
      <c r="N2197">
        <v>-3.8752080000000002E-3</v>
      </c>
      <c r="O2197">
        <v>7.1972140000000004E-3</v>
      </c>
      <c r="P2197">
        <v>-0.99597659999999999</v>
      </c>
      <c r="Q2197">
        <v>-1.9077569999999999E-3</v>
      </c>
      <c r="R2197">
        <v>-8.9595279999999999E-2</v>
      </c>
      <c r="S2197">
        <v>-2.990097</v>
      </c>
      <c r="T2197">
        <v>-3.3408760000000003E-2</v>
      </c>
      <c r="U2197">
        <v>-0.24334720000000001</v>
      </c>
      <c r="V2197">
        <v>-9.6757029999999994E-2</v>
      </c>
      <c r="W2197">
        <v>2.1508360000000002E-3</v>
      </c>
      <c r="X2197">
        <v>0.99530569999999896</v>
      </c>
      <c r="Y2197">
        <v>-8.8280070000000002E-2</v>
      </c>
      <c r="Z2197">
        <v>-7.1613850000000001E-4</v>
      </c>
      <c r="AA2197">
        <v>0.99609539999999996</v>
      </c>
      <c r="AB2197">
        <v>45</v>
      </c>
      <c r="AC2197">
        <v>-91.691000000000003</v>
      </c>
      <c r="AD2197">
        <v>-1.02734053</v>
      </c>
      <c r="AE2197">
        <v>-7.4847000000000303</v>
      </c>
      <c r="AF2197">
        <v>-8.1434152976268503</v>
      </c>
      <c r="AG2197">
        <v>-1.02734053</v>
      </c>
      <c r="AH2197">
        <v>91.623329671235197</v>
      </c>
      <c r="AI2197">
        <v>90.6398885024755</v>
      </c>
      <c r="AJ2197">
        <v>95.079061456217602</v>
      </c>
      <c r="AK2197">
        <v>91.990245033471098</v>
      </c>
      <c r="AL2197">
        <v>89.8767660788603</v>
      </c>
      <c r="AM2197">
        <v>95.552469084269205</v>
      </c>
      <c r="AN2197">
        <v>0.99999999270120399</v>
      </c>
    </row>
    <row r="2198" spans="1:40" x14ac:dyDescent="0.25">
      <c r="A2198" t="str">
        <f>"20190305134943283"</f>
        <v>20190305134943283</v>
      </c>
      <c r="B2198" t="str">
        <f>"1551764983272632"</f>
        <v>1551764983272632</v>
      </c>
      <c r="C2198" t="s">
        <v>40</v>
      </c>
      <c r="D2198">
        <v>3.8352080000000002</v>
      </c>
      <c r="E2198">
        <v>0.49789460000000002</v>
      </c>
      <c r="F2198" t="s">
        <v>74</v>
      </c>
      <c r="G2198">
        <v>-330.18630000000002</v>
      </c>
      <c r="H2198">
        <v>8.0001710000000004E-2</v>
      </c>
      <c r="I2198">
        <v>277.48559999999998</v>
      </c>
      <c r="J2198">
        <v>-244.66220000000001</v>
      </c>
      <c r="K2198">
        <v>1.107399</v>
      </c>
      <c r="L2198">
        <v>285.14960000000002</v>
      </c>
      <c r="M2198">
        <v>-0.99996379999999996</v>
      </c>
      <c r="N2198">
        <v>-3.9138530000000001E-3</v>
      </c>
      <c r="O2198">
        <v>7.55535199999999E-3</v>
      </c>
      <c r="P2198">
        <v>-0.99582950000000003</v>
      </c>
      <c r="Q2198">
        <v>-1.9015929999999999E-4</v>
      </c>
      <c r="R2198">
        <v>-9.1232530000000006E-2</v>
      </c>
      <c r="S2198">
        <v>-2.9880520000000002</v>
      </c>
      <c r="T2198">
        <v>-3.5745979999999997E-2</v>
      </c>
      <c r="U2198">
        <v>-0.266571</v>
      </c>
      <c r="V2198">
        <v>-9.8746319999999999E-2</v>
      </c>
      <c r="W2198">
        <v>3.8989129999999999E-3</v>
      </c>
      <c r="X2198">
        <v>0.99510500000000002</v>
      </c>
      <c r="Y2198">
        <v>-9.6373070000000005E-2</v>
      </c>
      <c r="Z2198">
        <v>-8.2496960000000004E-4</v>
      </c>
      <c r="AA2198">
        <v>0.99534489999999998</v>
      </c>
      <c r="AB2198">
        <v>45</v>
      </c>
      <c r="AC2198">
        <v>-85.524100000000004</v>
      </c>
      <c r="AD2198">
        <v>-1.0273972899999999</v>
      </c>
      <c r="AE2198">
        <v>-7.6640000000000397</v>
      </c>
      <c r="AF2198">
        <v>-8.3087613836730494</v>
      </c>
      <c r="AG2198">
        <v>-1.0273972899999999</v>
      </c>
      <c r="AH2198">
        <v>85.451520898986502</v>
      </c>
      <c r="AI2198">
        <v>90.685610048244996</v>
      </c>
      <c r="AJ2198">
        <v>95.553618408471607</v>
      </c>
      <c r="AK2198">
        <v>85.860663198418393</v>
      </c>
      <c r="AL2198">
        <v>89.776608174231995</v>
      </c>
      <c r="AM2198">
        <v>95.667025806425897</v>
      </c>
      <c r="AN2198">
        <v>0.99999999913056103</v>
      </c>
    </row>
    <row r="2199" spans="1:40" x14ac:dyDescent="0.25">
      <c r="A2199" t="str">
        <f>"20190305134943297"</f>
        <v>20190305134943297</v>
      </c>
      <c r="B2199" t="str">
        <f>"1551764983293115"</f>
        <v>1551764983293115</v>
      </c>
      <c r="C2199" t="s">
        <v>40</v>
      </c>
      <c r="D2199">
        <v>3.8611629999999999</v>
      </c>
      <c r="E2199">
        <v>0.49440040000000002</v>
      </c>
      <c r="F2199" t="s">
        <v>74</v>
      </c>
      <c r="G2199">
        <v>-336.96510000000001</v>
      </c>
      <c r="H2199">
        <v>8.0001249999999996E-2</v>
      </c>
      <c r="I2199">
        <v>276.22770000000003</v>
      </c>
      <c r="J2199">
        <v>-244.9297</v>
      </c>
      <c r="K2199">
        <v>1.1074329999999999</v>
      </c>
      <c r="L2199">
        <v>285.15179999999998</v>
      </c>
      <c r="M2199">
        <v>-0.99996180000000001</v>
      </c>
      <c r="N2199">
        <v>-3.9429620000000004E-3</v>
      </c>
      <c r="O2199">
        <v>7.812968E-3</v>
      </c>
      <c r="P2199">
        <v>-0.99576350000000002</v>
      </c>
      <c r="Q2199">
        <v>3.0490379999999998E-4</v>
      </c>
      <c r="R2199">
        <v>-9.1951179999999993E-2</v>
      </c>
      <c r="S2199">
        <v>-2.9861149999999999</v>
      </c>
      <c r="T2199">
        <v>-3.3237580000000003E-2</v>
      </c>
      <c r="U2199">
        <v>-0.28863529999999998</v>
      </c>
      <c r="V2199">
        <v>-9.9720219999999998E-2</v>
      </c>
      <c r="W2199">
        <v>4.4162769999999997E-3</v>
      </c>
      <c r="X2199">
        <v>0.99500569999999999</v>
      </c>
      <c r="Y2199">
        <v>-0.1039757</v>
      </c>
      <c r="Z2199">
        <v>-8.3880599999999999E-4</v>
      </c>
      <c r="AA2199">
        <v>0.99457949999999995</v>
      </c>
      <c r="AB2199">
        <v>45</v>
      </c>
      <c r="AC2199">
        <v>-92.035399999999996</v>
      </c>
      <c r="AD2199">
        <v>-1.0274317500000001</v>
      </c>
      <c r="AE2199">
        <v>-8.9240999999999495</v>
      </c>
      <c r="AF2199">
        <v>-9.6417123917569096</v>
      </c>
      <c r="AG2199">
        <v>-1.0274317500000001</v>
      </c>
      <c r="AH2199">
        <v>91.951514153072495</v>
      </c>
      <c r="AI2199">
        <v>90.636684643017205</v>
      </c>
      <c r="AJ2199">
        <v>95.985959585487393</v>
      </c>
      <c r="AK2199">
        <v>92.461338887607198</v>
      </c>
      <c r="AL2199">
        <v>89.746965140277894</v>
      </c>
      <c r="AM2199">
        <v>95.723115820832902</v>
      </c>
      <c r="AN2199">
        <v>0.99999998440593896</v>
      </c>
    </row>
    <row r="2200" spans="1:40" x14ac:dyDescent="0.25">
      <c r="A2200" t="str">
        <f>"20190305134943309"</f>
        <v>20190305134943309</v>
      </c>
      <c r="B2200" t="str">
        <f>"1551764983302876"</f>
        <v>1551764983302876</v>
      </c>
      <c r="C2200" t="s">
        <v>40</v>
      </c>
      <c r="D2200">
        <v>3.8436840000000001</v>
      </c>
      <c r="E2200">
        <v>0.4930889</v>
      </c>
      <c r="F2200" t="s">
        <v>74</v>
      </c>
      <c r="G2200">
        <v>-329.50009999999997</v>
      </c>
      <c r="H2200">
        <v>8.0000520000000006E-2</v>
      </c>
      <c r="I2200">
        <v>276.12630000000001</v>
      </c>
      <c r="J2200">
        <v>-245.2004</v>
      </c>
      <c r="K2200">
        <v>1.1074649999999999</v>
      </c>
      <c r="L2200">
        <v>285.154</v>
      </c>
      <c r="M2200">
        <v>-0.99995959999999995</v>
      </c>
      <c r="N2200">
        <v>-3.9722809999999898E-3</v>
      </c>
      <c r="O2200">
        <v>8.0642600000000002E-3</v>
      </c>
      <c r="P2200">
        <v>-0.99568009999999996</v>
      </c>
      <c r="Q2200">
        <v>1.9867530000000001E-4</v>
      </c>
      <c r="R2200">
        <v>-9.2851230000000007E-2</v>
      </c>
      <c r="S2200">
        <v>-2.9833829999999999</v>
      </c>
      <c r="T2200">
        <v>-3.624463E-2</v>
      </c>
      <c r="U2200">
        <v>-0.3183899</v>
      </c>
      <c r="V2200">
        <v>-0.1008703</v>
      </c>
      <c r="W2200">
        <v>4.3323540000000001E-3</v>
      </c>
      <c r="X2200">
        <v>0.99489019999999995</v>
      </c>
      <c r="Y2200">
        <v>-0.1141225</v>
      </c>
      <c r="Z2200">
        <v>-9.8431769999999998E-4</v>
      </c>
      <c r="AA2200">
        <v>0.99346619999999997</v>
      </c>
      <c r="AB2200">
        <v>45</v>
      </c>
      <c r="AC2200">
        <v>-84.299699999999902</v>
      </c>
      <c r="AD2200">
        <v>-1.0274644799999999</v>
      </c>
      <c r="AE2200">
        <v>-9.0276999999999799</v>
      </c>
      <c r="AF2200">
        <v>-9.7058010239686503</v>
      </c>
      <c r="AG2200">
        <v>-1.0274644799999999</v>
      </c>
      <c r="AH2200">
        <v>84.211788440795004</v>
      </c>
      <c r="AI2200">
        <v>90.694432083816395</v>
      </c>
      <c r="AJ2200">
        <v>96.5745964667517</v>
      </c>
      <c r="AK2200">
        <v>84.775489200427202</v>
      </c>
      <c r="AL2200">
        <v>89.751773635944105</v>
      </c>
      <c r="AM2200">
        <v>95.7893426475665</v>
      </c>
      <c r="AN2200">
        <v>1.0000000483846501</v>
      </c>
    </row>
    <row r="2201" spans="1:40" x14ac:dyDescent="0.25">
      <c r="A2201" t="str">
        <f>"20190305134943328"</f>
        <v>20190305134943328</v>
      </c>
      <c r="B2201" t="str">
        <f>"1551764983322395"</f>
        <v>1551764983322395</v>
      </c>
      <c r="C2201" t="s">
        <v>40</v>
      </c>
      <c r="D2201">
        <v>3.8690039999999999</v>
      </c>
      <c r="E2201">
        <v>0.4909444</v>
      </c>
      <c r="F2201" t="s">
        <v>74</v>
      </c>
      <c r="G2201">
        <v>-325.2627</v>
      </c>
      <c r="H2201">
        <v>8.0001749999999996E-2</v>
      </c>
      <c r="I2201">
        <v>276.25700000000001</v>
      </c>
      <c r="J2201">
        <v>-245.583</v>
      </c>
      <c r="K2201">
        <v>1.1074999999999999</v>
      </c>
      <c r="L2201">
        <v>285.15730000000002</v>
      </c>
      <c r="M2201">
        <v>-0.99995679999999998</v>
      </c>
      <c r="N2201">
        <v>-4.0136030000000001E-3</v>
      </c>
      <c r="O2201">
        <v>8.3924410000000005E-3</v>
      </c>
      <c r="P2201">
        <v>-0.99551860000000003</v>
      </c>
      <c r="Q2201">
        <v>-1.536384E-3</v>
      </c>
      <c r="R2201">
        <v>-9.4554920000000001E-2</v>
      </c>
      <c r="S2201">
        <v>-2.9821170000000001</v>
      </c>
      <c r="T2201">
        <v>-3.8270350000000002E-2</v>
      </c>
      <c r="U2201">
        <v>-0.33139039999999997</v>
      </c>
      <c r="V2201">
        <v>-0.10290249999999999</v>
      </c>
      <c r="W2201">
        <v>2.6295789999999999E-3</v>
      </c>
      <c r="X2201">
        <v>0.99468800000000002</v>
      </c>
      <c r="Y2201">
        <v>-0.1187703</v>
      </c>
      <c r="Z2201">
        <v>-1.072634E-3</v>
      </c>
      <c r="AA2201">
        <v>0.99292119999999995</v>
      </c>
      <c r="AB2201">
        <v>45</v>
      </c>
      <c r="AC2201">
        <v>-79.679699999999997</v>
      </c>
      <c r="AD2201">
        <v>-1.0274982499999901</v>
      </c>
      <c r="AE2201">
        <v>-8.9003000000000103</v>
      </c>
      <c r="AF2201">
        <v>-9.5671277562977703</v>
      </c>
      <c r="AG2201">
        <v>-1.0274982499999901</v>
      </c>
      <c r="AH2201">
        <v>79.589126226180497</v>
      </c>
      <c r="AI2201">
        <v>90.734363304650998</v>
      </c>
      <c r="AJ2201">
        <v>96.854434943537399</v>
      </c>
      <c r="AK2201">
        <v>80.168664075223106</v>
      </c>
      <c r="AL2201">
        <v>89.849336052030097</v>
      </c>
      <c r="AM2201">
        <v>95.9063543418508</v>
      </c>
      <c r="AN2201">
        <v>1.00000002826798</v>
      </c>
    </row>
    <row r="2202" spans="1:40" x14ac:dyDescent="0.25">
      <c r="A2202" t="str">
        <f>"20190305134943342"</f>
        <v>20190305134943342</v>
      </c>
      <c r="B2202" t="str">
        <f>"1551764983333132"</f>
        <v>1551764983333132</v>
      </c>
      <c r="C2202" t="s">
        <v>40</v>
      </c>
      <c r="D2202">
        <v>3.852948</v>
      </c>
      <c r="E2202">
        <v>0.49014600000000003</v>
      </c>
      <c r="F2202" t="s">
        <v>78</v>
      </c>
      <c r="G2202">
        <v>-311.92</v>
      </c>
      <c r="H2202">
        <v>8.0001340000000004E-2</v>
      </c>
      <c r="I2202">
        <v>277.28739999999999</v>
      </c>
      <c r="J2202">
        <v>-245.86619999999999</v>
      </c>
      <c r="K2202">
        <v>1.1075200000000001</v>
      </c>
      <c r="L2202">
        <v>285.15969999999999</v>
      </c>
      <c r="M2202">
        <v>-0.99995480000000003</v>
      </c>
      <c r="N2202">
        <v>-4.0440349999999996E-3</v>
      </c>
      <c r="O2202">
        <v>8.6165949999999995E-3</v>
      </c>
      <c r="P2202">
        <v>-0.9954596</v>
      </c>
      <c r="Q2202">
        <v>-2.8854480000000001E-3</v>
      </c>
      <c r="R2202">
        <v>-9.5144240000000005E-2</v>
      </c>
      <c r="S2202">
        <v>-2.9798740000000001</v>
      </c>
      <c r="T2202">
        <v>-4.6155450000000001E-2</v>
      </c>
      <c r="U2202">
        <v>-0.35351559999999999</v>
      </c>
      <c r="V2202">
        <v>-0.10371619999999999</v>
      </c>
      <c r="W2202">
        <v>1.3030209999999999E-3</v>
      </c>
      <c r="X2202">
        <v>0.99460610000000005</v>
      </c>
      <c r="Y2202">
        <v>-0.12634110000000001</v>
      </c>
      <c r="Z2202">
        <v>-1.3296390000000001E-3</v>
      </c>
      <c r="AA2202">
        <v>0.99198600000000003</v>
      </c>
      <c r="AB2202">
        <v>45</v>
      </c>
      <c r="AC2202">
        <v>-66.053799999999995</v>
      </c>
      <c r="AD2202">
        <v>-1.0275186599999999</v>
      </c>
      <c r="AE2202">
        <v>-7.8722999999999903</v>
      </c>
      <c r="AF2202">
        <v>-8.4391576592044402</v>
      </c>
      <c r="AG2202">
        <v>-1.0275186599999999</v>
      </c>
      <c r="AH2202">
        <v>65.967775360523703</v>
      </c>
      <c r="AI2202">
        <v>90.885158326275501</v>
      </c>
      <c r="AJ2202">
        <v>97.290164900130804</v>
      </c>
      <c r="AK2202">
        <v>66.513326203175893</v>
      </c>
      <c r="AL2202">
        <v>89.925342376530494</v>
      </c>
      <c r="AM2202">
        <v>95.953211341005996</v>
      </c>
      <c r="AN2202">
        <v>1.00000002108168</v>
      </c>
    </row>
    <row r="2203" spans="1:40" x14ac:dyDescent="0.25">
      <c r="A2203" t="str">
        <f>"20190305134943358"</f>
        <v>20190305134943358</v>
      </c>
      <c r="B2203" t="str">
        <f>"1551764983352651"</f>
        <v>1551764983352651</v>
      </c>
      <c r="C2203" t="s">
        <v>40</v>
      </c>
      <c r="D2203">
        <v>3.876827</v>
      </c>
      <c r="E2203">
        <v>0.4886723</v>
      </c>
      <c r="F2203" t="s">
        <v>78</v>
      </c>
      <c r="G2203">
        <v>-310.17500000000001</v>
      </c>
      <c r="H2203">
        <v>2.6483420000000001E-2</v>
      </c>
      <c r="I2203">
        <v>277.35489999999999</v>
      </c>
      <c r="J2203">
        <v>-246.17529999999999</v>
      </c>
      <c r="K2203">
        <v>1.107551</v>
      </c>
      <c r="L2203">
        <v>285.16250000000002</v>
      </c>
      <c r="M2203">
        <v>-0.99995259999999997</v>
      </c>
      <c r="N2203">
        <v>-4.077064E-3</v>
      </c>
      <c r="O2203">
        <v>8.8463900000000009E-3</v>
      </c>
      <c r="P2203">
        <v>-0.99541440000000003</v>
      </c>
      <c r="Q2203">
        <v>-4.6244579999999997E-3</v>
      </c>
      <c r="R2203">
        <v>-9.5545749999999999E-2</v>
      </c>
      <c r="S2203">
        <v>-2.9789729999999999</v>
      </c>
      <c r="T2203">
        <v>-5.0076839999999997E-2</v>
      </c>
      <c r="U2203">
        <v>-0.36154170000000002</v>
      </c>
      <c r="V2203">
        <v>-0.10434889999999999</v>
      </c>
      <c r="W2203">
        <v>-4.1226510000000002E-4</v>
      </c>
      <c r="X2203">
        <v>0.99454070000000006</v>
      </c>
      <c r="Y2203">
        <v>-0.12923470000000001</v>
      </c>
      <c r="Z2203">
        <v>-1.4588579999999999E-3</v>
      </c>
      <c r="AA2203">
        <v>0.99161299999999997</v>
      </c>
      <c r="AB2203">
        <v>45</v>
      </c>
      <c r="AC2203">
        <v>-63.999699999999997</v>
      </c>
      <c r="AD2203">
        <v>-1.08106758</v>
      </c>
      <c r="AE2203">
        <v>-7.8076000000000301</v>
      </c>
      <c r="AF2203">
        <v>-8.3711119551154205</v>
      </c>
      <c r="AG2203">
        <v>-1.08106758</v>
      </c>
      <c r="AH2203">
        <v>63.910157828213897</v>
      </c>
      <c r="AI2203">
        <v>90.960884077054999</v>
      </c>
      <c r="AJ2203">
        <v>97.462262461799895</v>
      </c>
      <c r="AK2203">
        <v>64.465126200953193</v>
      </c>
      <c r="AL2203">
        <v>90.023621050150098</v>
      </c>
      <c r="AM2203">
        <v>95.989655520262104</v>
      </c>
      <c r="AN2203">
        <v>1.0000000334251</v>
      </c>
    </row>
    <row r="2204" spans="1:40" x14ac:dyDescent="0.25">
      <c r="A2204" t="str">
        <f>"20190305134943376"</f>
        <v>20190305134943376</v>
      </c>
      <c r="B2204" t="str">
        <f>"1551764983362410"</f>
        <v>1551764983362410</v>
      </c>
      <c r="C2204" t="s">
        <v>40</v>
      </c>
      <c r="D2204">
        <v>3.84843</v>
      </c>
      <c r="E2204">
        <v>0.48808849999999998</v>
      </c>
      <c r="F2204" t="s">
        <v>78</v>
      </c>
      <c r="G2204">
        <v>-302.53530000000001</v>
      </c>
      <c r="H2204" s="1">
        <v>4.3825349999999999E-6</v>
      </c>
      <c r="I2204">
        <v>278.07499999999999</v>
      </c>
      <c r="J2204">
        <v>-246.53630000000001</v>
      </c>
      <c r="K2204">
        <v>1.1075889999999999</v>
      </c>
      <c r="L2204">
        <v>285.16579999999999</v>
      </c>
      <c r="M2204">
        <v>-0.99995029999999996</v>
      </c>
      <c r="N2204">
        <v>-4.1154520000000003E-3</v>
      </c>
      <c r="O2204">
        <v>9.0910479999999991E-3</v>
      </c>
      <c r="P2204">
        <v>-0.99532109999999996</v>
      </c>
      <c r="Q2204">
        <v>-6.8492539999999999E-3</v>
      </c>
      <c r="R2204">
        <v>-9.6383129999999997E-2</v>
      </c>
      <c r="S2204">
        <v>-2.977646</v>
      </c>
      <c r="T2204">
        <v>-5.8514599999999903E-2</v>
      </c>
      <c r="U2204">
        <v>-0.37445070000000003</v>
      </c>
      <c r="V2204">
        <v>-0.1054312</v>
      </c>
      <c r="W2204">
        <v>-2.6092950000000002E-3</v>
      </c>
      <c r="X2204">
        <v>0.99442319999999995</v>
      </c>
      <c r="Y2204">
        <v>-0.13375429999999999</v>
      </c>
      <c r="Z2204">
        <v>-1.725982E-3</v>
      </c>
      <c r="AA2204">
        <v>0.99101309999999998</v>
      </c>
      <c r="AB2204">
        <v>46</v>
      </c>
      <c r="AC2204">
        <v>-55.999000000000002</v>
      </c>
      <c r="AD2204">
        <v>-1.1075846174649999</v>
      </c>
      <c r="AE2204">
        <v>-7.0907999999999998</v>
      </c>
      <c r="AF2204">
        <v>-7.5966759472702901</v>
      </c>
      <c r="AG2204">
        <v>-1.1075846174649999</v>
      </c>
      <c r="AH2204">
        <v>55.910695658919401</v>
      </c>
      <c r="AI2204">
        <v>91.124544534929697</v>
      </c>
      <c r="AJ2204">
        <v>97.737487517089093</v>
      </c>
      <c r="AK2204">
        <v>56.435291424754702</v>
      </c>
      <c r="AL2204">
        <v>90.149501757132796</v>
      </c>
      <c r="AM2204">
        <v>96.052030934281703</v>
      </c>
      <c r="AN2204">
        <v>1.00000002352603</v>
      </c>
    </row>
    <row r="2205" spans="1:40" x14ac:dyDescent="0.25">
      <c r="A2205" t="str">
        <f>"20190305134943395"</f>
        <v>20190305134943395</v>
      </c>
      <c r="B2205" t="str">
        <f>"1551764983382906"</f>
        <v>1551764983382906</v>
      </c>
      <c r="C2205" t="s">
        <v>40</v>
      </c>
      <c r="D2205">
        <v>3.841043</v>
      </c>
      <c r="E2205">
        <v>0.48714239999999998</v>
      </c>
      <c r="F2205" t="s">
        <v>78</v>
      </c>
      <c r="G2205">
        <v>-296.40809999999999</v>
      </c>
      <c r="H2205" s="1">
        <v>4.0763430000000004E-6</v>
      </c>
      <c r="I2205">
        <v>278.77670000000001</v>
      </c>
      <c r="J2205">
        <v>-246.935</v>
      </c>
      <c r="K2205">
        <v>1.1076360000000001</v>
      </c>
      <c r="L2205">
        <v>285.1696</v>
      </c>
      <c r="M2205">
        <v>-0.99994799999999995</v>
      </c>
      <c r="N2205">
        <v>-4.1577899999999997E-3</v>
      </c>
      <c r="O2205">
        <v>9.3291169999999996E-3</v>
      </c>
      <c r="P2205">
        <v>-0.99520280000000005</v>
      </c>
      <c r="Q2205">
        <v>-8.0764200000000008E-3</v>
      </c>
      <c r="R2205">
        <v>-9.7501270000000001E-2</v>
      </c>
      <c r="S2205">
        <v>-2.976715</v>
      </c>
      <c r="T2205">
        <v>-6.6108819999999999E-2</v>
      </c>
      <c r="U2205">
        <v>-0.38134770000000001</v>
      </c>
      <c r="V2205">
        <v>-0.1067863</v>
      </c>
      <c r="W2205">
        <v>-3.8059280000000001E-3</v>
      </c>
      <c r="X2205">
        <v>0.99427469999999996</v>
      </c>
      <c r="Y2205">
        <v>-0.13627890000000001</v>
      </c>
      <c r="Z2205">
        <v>-1.9591729999999998E-3</v>
      </c>
      <c r="AA2205">
        <v>0.99066860000000001</v>
      </c>
      <c r="AB2205">
        <v>46</v>
      </c>
      <c r="AC2205">
        <v>-49.473099999999903</v>
      </c>
      <c r="AD2205">
        <v>-1.107631923657</v>
      </c>
      <c r="AE2205">
        <v>-6.3928999999999903</v>
      </c>
      <c r="AF2205">
        <v>-6.8507885008574503</v>
      </c>
      <c r="AG2205">
        <v>-1.107631923657</v>
      </c>
      <c r="AH2205">
        <v>49.3869578669796</v>
      </c>
      <c r="AI2205">
        <v>91.272611018639793</v>
      </c>
      <c r="AJ2205">
        <v>97.897475159166902</v>
      </c>
      <c r="AK2205">
        <v>49.872154143535901</v>
      </c>
      <c r="AL2205">
        <v>90.2180641403762</v>
      </c>
      <c r="AM2205">
        <v>96.130137361989398</v>
      </c>
      <c r="AN2205">
        <v>0.99999998900786002</v>
      </c>
    </row>
    <row r="2206" spans="1:40" x14ac:dyDescent="0.25">
      <c r="A2206" t="str">
        <f>"20190305134943407"</f>
        <v>20190305134943407</v>
      </c>
      <c r="B2206" t="str">
        <f>"1551764983402427"</f>
        <v>1551764983402427</v>
      </c>
      <c r="C2206" t="s">
        <v>40</v>
      </c>
      <c r="D2206">
        <v>3.8539910000000002</v>
      </c>
      <c r="E2206">
        <v>0.48627619999999999</v>
      </c>
      <c r="F2206" t="s">
        <v>78</v>
      </c>
      <c r="G2206">
        <v>-294.27280000000002</v>
      </c>
      <c r="H2206" s="1">
        <v>3.6431750000000001E-6</v>
      </c>
      <c r="I2206">
        <v>278.9307</v>
      </c>
      <c r="J2206">
        <v>-247.1986</v>
      </c>
      <c r="K2206">
        <v>1.1076619999999999</v>
      </c>
      <c r="L2206">
        <v>285.1721</v>
      </c>
      <c r="M2206">
        <v>-0.99994649999999996</v>
      </c>
      <c r="N2206">
        <v>-4.1856949999999997E-3</v>
      </c>
      <c r="O2206">
        <v>9.4693880000000005E-3</v>
      </c>
      <c r="P2206">
        <v>-0.99516340000000003</v>
      </c>
      <c r="Q2206">
        <v>-8.3128309999999997E-3</v>
      </c>
      <c r="R2206">
        <v>-9.7881040000000002E-2</v>
      </c>
      <c r="S2206">
        <v>-2.9754640000000001</v>
      </c>
      <c r="T2206">
        <v>-6.9621210000000003E-2</v>
      </c>
      <c r="U2206">
        <v>-0.39215090000000002</v>
      </c>
      <c r="V2206">
        <v>-0.10730489999999999</v>
      </c>
      <c r="W2206">
        <v>-4.0225829999999997E-3</v>
      </c>
      <c r="X2206">
        <v>0.99421800000000005</v>
      </c>
      <c r="Y2206">
        <v>-0.14000119999999999</v>
      </c>
      <c r="Z2206">
        <v>-2.106105E-3</v>
      </c>
      <c r="AA2206">
        <v>0.9901491</v>
      </c>
      <c r="AB2206">
        <v>46</v>
      </c>
      <c r="AC2206">
        <v>-47.074199999999998</v>
      </c>
      <c r="AD2206">
        <v>-1.107658356825</v>
      </c>
      <c r="AE2206">
        <v>-6.2413999999999898</v>
      </c>
      <c r="AF2206">
        <v>-6.6832515371971999</v>
      </c>
      <c r="AG2206">
        <v>-1.107658356825</v>
      </c>
      <c r="AH2206">
        <v>46.987420823479297</v>
      </c>
      <c r="AI2206">
        <v>91.336961224596294</v>
      </c>
      <c r="AJ2206">
        <v>98.095160982851894</v>
      </c>
      <c r="AK2206">
        <v>47.473260618875003</v>
      </c>
      <c r="AL2206">
        <v>90.230477655481195</v>
      </c>
      <c r="AM2206">
        <v>96.160028208232902</v>
      </c>
      <c r="AN2206">
        <v>0.99999997713099997</v>
      </c>
    </row>
    <row r="2207" spans="1:40" x14ac:dyDescent="0.25">
      <c r="A2207" t="str">
        <f>"20190305134943419"</f>
        <v>20190305134943419</v>
      </c>
      <c r="B2207" t="str">
        <f>"1551764983413163"</f>
        <v>1551764983413163</v>
      </c>
      <c r="C2207" t="s">
        <v>40</v>
      </c>
      <c r="D2207">
        <v>3.8557739999999998</v>
      </c>
      <c r="E2207">
        <v>0.48592370000000001</v>
      </c>
      <c r="F2207" t="s">
        <v>78</v>
      </c>
      <c r="G2207">
        <v>-294.4622</v>
      </c>
      <c r="H2207" s="1">
        <v>3.7196849999999999E-6</v>
      </c>
      <c r="I2207">
        <v>278.80930000000001</v>
      </c>
      <c r="J2207">
        <v>-247.45160000000001</v>
      </c>
      <c r="K2207">
        <v>1.107694</v>
      </c>
      <c r="L2207">
        <v>285.17450000000002</v>
      </c>
      <c r="M2207">
        <v>-0.99994519999999998</v>
      </c>
      <c r="N2207">
        <v>-4.212309E-3</v>
      </c>
      <c r="O2207">
        <v>9.5853420000000002E-3</v>
      </c>
      <c r="P2207">
        <v>-0.99511959999999999</v>
      </c>
      <c r="Q2207">
        <v>-8.2635190000000004E-3</v>
      </c>
      <c r="R2207">
        <v>-9.8328109999999996E-2</v>
      </c>
      <c r="S2207">
        <v>-2.9745940000000002</v>
      </c>
      <c r="T2207">
        <v>-6.9711800000000004E-2</v>
      </c>
      <c r="U2207">
        <v>-0.40045170000000002</v>
      </c>
      <c r="V2207">
        <v>-0.1078667</v>
      </c>
      <c r="W2207">
        <v>-3.9544990000000002E-3</v>
      </c>
      <c r="X2207">
        <v>0.99415750000000003</v>
      </c>
      <c r="Y2207">
        <v>-0.14286670000000001</v>
      </c>
      <c r="Z2207">
        <v>-2.1520990000000002E-3</v>
      </c>
      <c r="AA2207">
        <v>0.98973960000000005</v>
      </c>
      <c r="AB2207">
        <v>46</v>
      </c>
      <c r="AC2207">
        <v>-47.010599999999897</v>
      </c>
      <c r="AD2207">
        <v>-1.1076902803149999</v>
      </c>
      <c r="AE2207">
        <v>-6.3652000000000104</v>
      </c>
      <c r="AF2207">
        <v>-6.8118104509997996</v>
      </c>
      <c r="AG2207">
        <v>-1.1076902803149999</v>
      </c>
      <c r="AH2207">
        <v>46.9218453563997</v>
      </c>
      <c r="AI2207">
        <v>91.338313943971897</v>
      </c>
      <c r="AJ2207">
        <v>98.260125417859399</v>
      </c>
      <c r="AK2207">
        <v>47.426651906152401</v>
      </c>
      <c r="AL2207">
        <v>90.226576693572994</v>
      </c>
      <c r="AM2207">
        <v>96.192403340408006</v>
      </c>
      <c r="AN2207">
        <v>0.99999999891874003</v>
      </c>
    </row>
    <row r="2208" spans="1:40" x14ac:dyDescent="0.25">
      <c r="A2208" t="str">
        <f>"20190305134943433"</f>
        <v>20190305134943433</v>
      </c>
      <c r="B2208" t="str">
        <f>"1551764983422923"</f>
        <v>1551764983422923</v>
      </c>
      <c r="C2208" t="s">
        <v>40</v>
      </c>
      <c r="D2208">
        <v>3.6674660000000001</v>
      </c>
      <c r="E2208">
        <v>0.48592370000000001</v>
      </c>
      <c r="F2208" t="s">
        <v>78</v>
      </c>
      <c r="G2208">
        <v>-294.81029999999998</v>
      </c>
      <c r="H2208" s="1">
        <v>3.8089469999999999E-6</v>
      </c>
      <c r="I2208">
        <v>278.73140000000001</v>
      </c>
      <c r="J2208">
        <v>-247.72409999999999</v>
      </c>
      <c r="K2208">
        <v>1.107731</v>
      </c>
      <c r="L2208">
        <v>285.17720000000003</v>
      </c>
      <c r="M2208">
        <v>-0.99994400000000006</v>
      </c>
      <c r="N2208">
        <v>-4.240916E-3</v>
      </c>
      <c r="O2208">
        <v>9.6989529999999997E-3</v>
      </c>
      <c r="P2208">
        <v>-0.99507760000000001</v>
      </c>
      <c r="Q2208">
        <v>-8.2853719999999992E-3</v>
      </c>
      <c r="R2208">
        <v>-9.8752569999999998E-2</v>
      </c>
      <c r="S2208">
        <v>-2.9741520000000001</v>
      </c>
      <c r="T2208">
        <v>-6.9563630000000001E-2</v>
      </c>
      <c r="U2208">
        <v>-0.40463260000000001</v>
      </c>
      <c r="V2208">
        <v>-0.10840329999999999</v>
      </c>
      <c r="W2208">
        <v>-3.9563439999999997E-3</v>
      </c>
      <c r="X2208">
        <v>0.99409910000000001</v>
      </c>
      <c r="Y2208">
        <v>-0.1443644</v>
      </c>
      <c r="Z2208">
        <v>-2.1727859999999999E-3</v>
      </c>
      <c r="AA2208">
        <v>0.98952220000000002</v>
      </c>
      <c r="AB2208">
        <v>46</v>
      </c>
      <c r="AC2208">
        <v>-47.086199999999899</v>
      </c>
      <c r="AD2208">
        <v>-1.107727191053</v>
      </c>
      <c r="AE2208">
        <v>-6.44580000000001</v>
      </c>
      <c r="AF2208">
        <v>-6.8984400349059403</v>
      </c>
      <c r="AG2208">
        <v>-1.107727191053</v>
      </c>
      <c r="AH2208">
        <v>46.995935702232202</v>
      </c>
      <c r="AI2208">
        <v>91.335941120090098</v>
      </c>
      <c r="AJ2208">
        <v>98.350697705580501</v>
      </c>
      <c r="AK2208">
        <v>47.512456334874301</v>
      </c>
      <c r="AL2208">
        <v>90.226682410679302</v>
      </c>
      <c r="AM2208">
        <v>96.223330044623495</v>
      </c>
      <c r="AN2208">
        <v>0.99999997436477195</v>
      </c>
    </row>
    <row r="2209" spans="1:40" x14ac:dyDescent="0.25">
      <c r="A2209" t="str">
        <f>"20190305134943453"</f>
        <v>20190305134943453</v>
      </c>
      <c r="B2209" t="str">
        <f>"1551764983442443"</f>
        <v>1551764983442443</v>
      </c>
      <c r="C2209" t="s">
        <v>40</v>
      </c>
      <c r="D2209">
        <v>3.8822589999999999</v>
      </c>
      <c r="E2209">
        <v>0.48517660000000001</v>
      </c>
      <c r="F2209" t="s">
        <v>78</v>
      </c>
      <c r="G2209">
        <v>-295.05579999999998</v>
      </c>
      <c r="H2209" s="1">
        <v>3.8567249999999999E-6</v>
      </c>
      <c r="I2209">
        <v>278.71949999999998</v>
      </c>
      <c r="J2209">
        <v>-248.1294</v>
      </c>
      <c r="K2209">
        <v>1.1077889999999999</v>
      </c>
      <c r="L2209">
        <v>285.18119999999999</v>
      </c>
      <c r="M2209">
        <v>-0.99994249999999996</v>
      </c>
      <c r="N2209">
        <v>-4.2833669999999997E-3</v>
      </c>
      <c r="O2209">
        <v>9.8328540000000002E-3</v>
      </c>
      <c r="P2209">
        <v>-0.99493359999999997</v>
      </c>
      <c r="Q2209">
        <v>-8.5445139999999996E-3</v>
      </c>
      <c r="R2209">
        <v>-0.1001729</v>
      </c>
      <c r="S2209">
        <v>-2.9740139999999999</v>
      </c>
      <c r="T2209">
        <v>-6.9602250000000004E-2</v>
      </c>
      <c r="U2209">
        <v>-0.4057617</v>
      </c>
      <c r="V2209">
        <v>-0.109955</v>
      </c>
      <c r="W2209">
        <v>-4.185673E-3</v>
      </c>
      <c r="X2209">
        <v>0.99392780000000003</v>
      </c>
      <c r="Y2209">
        <v>-0.14487149999999999</v>
      </c>
      <c r="Z2209">
        <v>-2.186108E-3</v>
      </c>
      <c r="AA2209">
        <v>0.98944810000000005</v>
      </c>
      <c r="AB2209">
        <v>46</v>
      </c>
      <c r="AC2209">
        <v>-46.926399999999902</v>
      </c>
      <c r="AD2209">
        <v>-1.1077851432750001</v>
      </c>
      <c r="AE2209">
        <v>-6.4617000000000004</v>
      </c>
      <c r="AF2209">
        <v>-6.9190281629729702</v>
      </c>
      <c r="AG2209">
        <v>-1.1077851432750001</v>
      </c>
      <c r="AH2209">
        <v>46.834979121531603</v>
      </c>
      <c r="AI2209">
        <v>91.340418411622096</v>
      </c>
      <c r="AJ2209">
        <v>98.403639782951203</v>
      </c>
      <c r="AK2209">
        <v>47.356260493814098</v>
      </c>
      <c r="AL2209">
        <v>90.239822086388898</v>
      </c>
      <c r="AM2209">
        <v>96.312776752262906</v>
      </c>
      <c r="AN2209">
        <v>1.00000004674815</v>
      </c>
    </row>
    <row r="2210" spans="1:40" x14ac:dyDescent="0.25">
      <c r="A2210" t="str">
        <f>"20190305134943466"</f>
        <v>20190305134943466</v>
      </c>
      <c r="B2210" t="str">
        <f>"1551764983462940"</f>
        <v>1551764983462940</v>
      </c>
      <c r="C2210" t="s">
        <v>40</v>
      </c>
      <c r="D2210">
        <v>3.886358</v>
      </c>
      <c r="E2210">
        <v>0.48459340000000001</v>
      </c>
      <c r="F2210" t="s">
        <v>78</v>
      </c>
      <c r="G2210">
        <v>-295.37119999999999</v>
      </c>
      <c r="H2210" s="1">
        <v>3.9654859999999996E-6</v>
      </c>
      <c r="I2210">
        <v>278.57010000000002</v>
      </c>
      <c r="J2210">
        <v>-248.42449999999999</v>
      </c>
      <c r="K2210">
        <v>1.107826</v>
      </c>
      <c r="L2210">
        <v>285.1841</v>
      </c>
      <c r="M2210">
        <v>-0.99994159999999999</v>
      </c>
      <c r="N2210">
        <v>-4.3141769999999998E-3</v>
      </c>
      <c r="O2210">
        <v>9.9096630000000008E-3</v>
      </c>
      <c r="P2210">
        <v>-0.99484740000000005</v>
      </c>
      <c r="Q2210">
        <v>-8.5080339999999994E-3</v>
      </c>
      <c r="R2210">
        <v>-0.1010264</v>
      </c>
      <c r="S2210">
        <v>-2.972763</v>
      </c>
      <c r="T2210">
        <v>-6.9709060000000003E-2</v>
      </c>
      <c r="U2210">
        <v>-0.41601559999999999</v>
      </c>
      <c r="V2210">
        <v>-0.1108835</v>
      </c>
      <c r="W2210">
        <v>-4.1276680000000001E-3</v>
      </c>
      <c r="X2210">
        <v>0.99382479999999995</v>
      </c>
      <c r="Y2210">
        <v>-0.14835000000000001</v>
      </c>
      <c r="Z2210">
        <v>-2.2410080000000001E-3</v>
      </c>
      <c r="AA2210">
        <v>0.98893240000000004</v>
      </c>
      <c r="AB2210">
        <v>46</v>
      </c>
      <c r="AC2210">
        <v>-46.9466999999999</v>
      </c>
      <c r="AD2210">
        <v>-1.107822034514</v>
      </c>
      <c r="AE2210">
        <v>-6.6139999999999697</v>
      </c>
      <c r="AF2210">
        <v>-7.0750425467025897</v>
      </c>
      <c r="AG2210">
        <v>-1.107822034514</v>
      </c>
      <c r="AH2210">
        <v>46.853269676141998</v>
      </c>
      <c r="AI2210">
        <v>91.339299707845797</v>
      </c>
      <c r="AJ2210">
        <v>98.587030084045693</v>
      </c>
      <c r="AK2210">
        <v>47.3973878609686</v>
      </c>
      <c r="AL2210">
        <v>90.236498636502702</v>
      </c>
      <c r="AM2210">
        <v>96.366302675642203</v>
      </c>
      <c r="AN2210">
        <v>0.99999996065520302</v>
      </c>
    </row>
    <row r="2211" spans="1:40" x14ac:dyDescent="0.25">
      <c r="A2211" t="str">
        <f>"20190305134943485"</f>
        <v>20190305134943485</v>
      </c>
      <c r="B2211" t="str">
        <f>"1551764983472699"</f>
        <v>1551764983472699</v>
      </c>
      <c r="C2211" t="s">
        <v>40</v>
      </c>
      <c r="D2211">
        <v>3.738159</v>
      </c>
      <c r="E2211">
        <v>0.48459340000000001</v>
      </c>
      <c r="F2211" t="s">
        <v>78</v>
      </c>
      <c r="G2211">
        <v>-296.15019999999998</v>
      </c>
      <c r="H2211" s="1">
        <v>4.1684380000000004E-6</v>
      </c>
      <c r="I2211">
        <v>278.38679999999999</v>
      </c>
      <c r="J2211">
        <v>-248.79759999999999</v>
      </c>
      <c r="K2211">
        <v>1.1078699999999999</v>
      </c>
      <c r="L2211">
        <v>285.18779999999998</v>
      </c>
      <c r="M2211">
        <v>-0.99994070000000002</v>
      </c>
      <c r="N2211">
        <v>-4.3530119999999999E-3</v>
      </c>
      <c r="O2211">
        <v>9.9843989999999997E-3</v>
      </c>
      <c r="P2211">
        <v>-0.99468140000000005</v>
      </c>
      <c r="Q2211">
        <v>-8.2697069999999994E-3</v>
      </c>
      <c r="R2211">
        <v>-0.10266749999999999</v>
      </c>
      <c r="S2211">
        <v>-2.9719699999999998</v>
      </c>
      <c r="T2211">
        <v>-6.8986179999999994E-2</v>
      </c>
      <c r="U2211">
        <v>-0.42327880000000001</v>
      </c>
      <c r="V2211">
        <v>-0.1125965</v>
      </c>
      <c r="W2211">
        <v>-3.8613079999999999E-3</v>
      </c>
      <c r="X2211">
        <v>0.99363330000000005</v>
      </c>
      <c r="Y2211">
        <v>-0.1508293</v>
      </c>
      <c r="Z2211">
        <v>-2.2588809999999999E-3</v>
      </c>
      <c r="AA2211">
        <v>0.98855720000000002</v>
      </c>
      <c r="AB2211">
        <v>46</v>
      </c>
      <c r="AC2211">
        <v>-47.352600000000002</v>
      </c>
      <c r="AD2211">
        <v>-1.107865831562</v>
      </c>
      <c r="AE2211">
        <v>-6.8009999999999797</v>
      </c>
      <c r="AF2211">
        <v>-7.2695539532861497</v>
      </c>
      <c r="AG2211">
        <v>-1.107865831562</v>
      </c>
      <c r="AH2211">
        <v>47.256990520235703</v>
      </c>
      <c r="AI2211">
        <v>91.327355870176902</v>
      </c>
      <c r="AJ2211">
        <v>98.745271261799999</v>
      </c>
      <c r="AK2211">
        <v>47.825693245473502</v>
      </c>
      <c r="AL2211">
        <v>90.221237199753702</v>
      </c>
      <c r="AM2211">
        <v>96.4650625234746</v>
      </c>
      <c r="AN2211">
        <v>1.0000000081903</v>
      </c>
    </row>
    <row r="2212" spans="1:40" x14ac:dyDescent="0.25">
      <c r="A2212" t="str">
        <f>"20190305134943507"</f>
        <v>20190305134943507</v>
      </c>
      <c r="B2212" t="str">
        <f>"1551764983502956"</f>
        <v>1551764983502956</v>
      </c>
      <c r="C2212" t="s">
        <v>40</v>
      </c>
      <c r="D2212">
        <v>3.913205</v>
      </c>
      <c r="E2212">
        <v>0.48385430000000001</v>
      </c>
      <c r="F2212" t="s">
        <v>78</v>
      </c>
      <c r="G2212">
        <v>-297.02960000000002</v>
      </c>
      <c r="H2212" s="1">
        <v>4.3763199999999996E-6</v>
      </c>
      <c r="I2212">
        <v>278.24009999999998</v>
      </c>
      <c r="J2212">
        <v>-249.26650000000001</v>
      </c>
      <c r="K2212">
        <v>1.1079190000000001</v>
      </c>
      <c r="L2212">
        <v>285.1925</v>
      </c>
      <c r="M2212">
        <v>-0.99993989999999999</v>
      </c>
      <c r="N2212">
        <v>-4.4015540000000002E-3</v>
      </c>
      <c r="O2212">
        <v>1.005169E-2</v>
      </c>
      <c r="P2212">
        <v>-0.99455709999999997</v>
      </c>
      <c r="Q2212">
        <v>-8.07239999999999E-3</v>
      </c>
      <c r="R2212">
        <v>-0.10388120000000001</v>
      </c>
      <c r="S2212">
        <v>-2.9712830000000001</v>
      </c>
      <c r="T2212">
        <v>-6.8248870000000003E-2</v>
      </c>
      <c r="U2212">
        <v>-0.42800899999999997</v>
      </c>
      <c r="V2212">
        <v>-0.1138753</v>
      </c>
      <c r="W2212">
        <v>-3.6282749999999998E-3</v>
      </c>
      <c r="X2212">
        <v>0.99348840000000005</v>
      </c>
      <c r="Y2212">
        <v>-0.1524701</v>
      </c>
      <c r="Z2212">
        <v>-2.264893E-3</v>
      </c>
      <c r="AA2212">
        <v>0.98830549999999995</v>
      </c>
      <c r="AB2212">
        <v>46</v>
      </c>
      <c r="AC2212">
        <v>-47.763100000000001</v>
      </c>
      <c r="AD2212">
        <v>-1.1079146236799999</v>
      </c>
      <c r="AE2212">
        <v>-6.9524000000000097</v>
      </c>
      <c r="AF2212">
        <v>-7.4282393521145398</v>
      </c>
      <c r="AG2212">
        <v>-1.1079146236799999</v>
      </c>
      <c r="AH2212">
        <v>47.665688254240997</v>
      </c>
      <c r="AI2212">
        <v>91.315636925163702</v>
      </c>
      <c r="AJ2212">
        <v>98.857748001153794</v>
      </c>
      <c r="AK2212">
        <v>48.253746501553202</v>
      </c>
      <c r="AL2212">
        <v>90.207885305801597</v>
      </c>
      <c r="AM2212">
        <v>96.538801729894402</v>
      </c>
      <c r="AN2212">
        <v>0.99999997463206203</v>
      </c>
    </row>
    <row r="2213" spans="1:40" x14ac:dyDescent="0.25">
      <c r="A2213" t="str">
        <f>"20190305134943521"</f>
        <v>20190305134943521</v>
      </c>
      <c r="B2213" t="str">
        <f>"1551764983512715"</f>
        <v>1551764983512715</v>
      </c>
      <c r="C2213" t="s">
        <v>40</v>
      </c>
      <c r="D2213">
        <v>3.8982019999999999</v>
      </c>
      <c r="E2213">
        <v>0.48360009999999998</v>
      </c>
      <c r="F2213" t="s">
        <v>78</v>
      </c>
      <c r="G2213">
        <v>-298.84629999999999</v>
      </c>
      <c r="H2213" s="1">
        <v>4.8239450000000003E-6</v>
      </c>
      <c r="I2213">
        <v>277.88529999999997</v>
      </c>
      <c r="J2213">
        <v>-249.5574</v>
      </c>
      <c r="K2213">
        <v>1.1079460000000001</v>
      </c>
      <c r="L2213">
        <v>285.19540000000001</v>
      </c>
      <c r="M2213">
        <v>-0.99993949999999998</v>
      </c>
      <c r="N2213">
        <v>-4.4315459999999997E-3</v>
      </c>
      <c r="O2213">
        <v>1.007332E-2</v>
      </c>
      <c r="P2213">
        <v>-0.99449880000000002</v>
      </c>
      <c r="Q2213">
        <v>-7.9326999999999905E-3</v>
      </c>
      <c r="R2213">
        <v>-0.1044485</v>
      </c>
      <c r="S2213">
        <v>-2.9701390000000001</v>
      </c>
      <c r="T2213">
        <v>-6.6370960000000007E-2</v>
      </c>
      <c r="U2213">
        <v>-0.43774410000000002</v>
      </c>
      <c r="V2213">
        <v>-0.1144633</v>
      </c>
      <c r="W2213">
        <v>-3.4664309999999999E-3</v>
      </c>
      <c r="X2213">
        <v>0.99342140000000001</v>
      </c>
      <c r="Y2213">
        <v>-0.15571769999999999</v>
      </c>
      <c r="Z2213">
        <v>-2.2567350000000002E-3</v>
      </c>
      <c r="AA2213">
        <v>0.98779899999999998</v>
      </c>
      <c r="AB2213">
        <v>47</v>
      </c>
      <c r="AC2213">
        <v>-49.288899999999899</v>
      </c>
      <c r="AD2213">
        <v>-1.107941176055</v>
      </c>
      <c r="AE2213">
        <v>-7.3101000000000296</v>
      </c>
      <c r="AF2213">
        <v>-7.80237924616703</v>
      </c>
      <c r="AG2213">
        <v>-1.107941176055</v>
      </c>
      <c r="AH2213">
        <v>49.188442296226498</v>
      </c>
      <c r="AI2213">
        <v>91.274408321395697</v>
      </c>
      <c r="AJ2213">
        <v>99.013289125564896</v>
      </c>
      <c r="AK2213">
        <v>49.815735577022402</v>
      </c>
      <c r="AL2213">
        <v>90.198612269875895</v>
      </c>
      <c r="AM2213">
        <v>96.572709850188204</v>
      </c>
      <c r="AN2213">
        <v>0.99999997058436296</v>
      </c>
    </row>
    <row r="2214" spans="1:40" x14ac:dyDescent="0.25">
      <c r="A2214" t="str">
        <f>"20190305134943534"</f>
        <v>20190305134943534</v>
      </c>
      <c r="B2214" t="str">
        <f>"1551764983522475"</f>
        <v>1551764983522475</v>
      </c>
      <c r="C2214" t="s">
        <v>40</v>
      </c>
      <c r="D2214">
        <v>3.7263820000000001</v>
      </c>
      <c r="E2214">
        <v>0.48360009999999998</v>
      </c>
      <c r="F2214" t="s">
        <v>78</v>
      </c>
      <c r="G2214">
        <v>-299.80070000000001</v>
      </c>
      <c r="H2214" s="1">
        <v>5.0501689999999997E-6</v>
      </c>
      <c r="I2214">
        <v>277.72430000000003</v>
      </c>
      <c r="J2214">
        <v>-249.81800000000001</v>
      </c>
      <c r="K2214">
        <v>1.10797099999999</v>
      </c>
      <c r="L2214">
        <v>285.19810000000001</v>
      </c>
      <c r="M2214">
        <v>-0.99993929999999998</v>
      </c>
      <c r="N2214">
        <v>-4.4583909999999999E-3</v>
      </c>
      <c r="O2214">
        <v>1.008185E-2</v>
      </c>
      <c r="P2214">
        <v>-0.99443760000000003</v>
      </c>
      <c r="Q2214">
        <v>-7.809898E-3</v>
      </c>
      <c r="R2214">
        <v>-0.1050378</v>
      </c>
      <c r="S2214">
        <v>-2.9696959999999999</v>
      </c>
      <c r="T2214">
        <v>-6.5486310000000006E-2</v>
      </c>
      <c r="U2214">
        <v>-0.44158940000000002</v>
      </c>
      <c r="V2214">
        <v>-0.1150602</v>
      </c>
      <c r="W2214">
        <v>-3.3240980000000002E-3</v>
      </c>
      <c r="X2214">
        <v>0.99335289999999998</v>
      </c>
      <c r="Y2214">
        <v>-0.15699959999999999</v>
      </c>
      <c r="Z2214">
        <v>-2.2497429999999998E-3</v>
      </c>
      <c r="AA2214">
        <v>0.98759609999999998</v>
      </c>
      <c r="AB2214">
        <v>47</v>
      </c>
      <c r="AC2214">
        <v>-49.982700000000001</v>
      </c>
      <c r="AD2214">
        <v>-1.1079659498309899</v>
      </c>
      <c r="AE2214">
        <v>-7.4737999999999802</v>
      </c>
      <c r="AF2214">
        <v>-7.9735109090802698</v>
      </c>
      <c r="AG2214">
        <v>-1.1079659498309899</v>
      </c>
      <c r="AH2214">
        <v>49.880835010372003</v>
      </c>
      <c r="AI2214">
        <v>91.256512380963699</v>
      </c>
      <c r="AJ2214">
        <v>99.081963448437506</v>
      </c>
      <c r="AK2214">
        <v>50.526252246680301</v>
      </c>
      <c r="AL2214">
        <v>90.190457147959407</v>
      </c>
      <c r="AM2214">
        <v>96.607134357033303</v>
      </c>
      <c r="AN2214">
        <v>0.99999994159497996</v>
      </c>
    </row>
    <row r="2215" spans="1:40" x14ac:dyDescent="0.25">
      <c r="A2215" t="str">
        <f>"20190305134943553"</f>
        <v>20190305134943553</v>
      </c>
      <c r="B2215" t="str">
        <f>"1551764983542971"</f>
        <v>1551764983542971</v>
      </c>
      <c r="C2215" t="s">
        <v>40</v>
      </c>
      <c r="D2215">
        <v>3.9101149999999998</v>
      </c>
      <c r="E2215">
        <v>0.48316049999999999</v>
      </c>
      <c r="F2215" t="s">
        <v>78</v>
      </c>
      <c r="G2215">
        <v>-300.36900000000003</v>
      </c>
      <c r="H2215" s="1">
        <v>5.0120429999999997E-6</v>
      </c>
      <c r="I2215">
        <v>277.65300000000002</v>
      </c>
      <c r="J2215">
        <v>-250.22229999999999</v>
      </c>
      <c r="K2215">
        <v>1.108007</v>
      </c>
      <c r="L2215">
        <v>285.20209999999997</v>
      </c>
      <c r="M2215">
        <v>-0.99993940000000003</v>
      </c>
      <c r="N2215">
        <v>-4.5000739999999997E-3</v>
      </c>
      <c r="O2215">
        <v>1.0063310000000001E-2</v>
      </c>
      <c r="P2215">
        <v>-0.99430580000000002</v>
      </c>
      <c r="Q2215">
        <v>-8.1117489999999997E-3</v>
      </c>
      <c r="R2215">
        <v>-0.1062562</v>
      </c>
      <c r="S2215">
        <v>-2.9694370000000001</v>
      </c>
      <c r="T2215">
        <v>-6.5083379999999996E-2</v>
      </c>
      <c r="U2215">
        <v>-0.44320680000000001</v>
      </c>
      <c r="V2215">
        <v>-0.116258399999999</v>
      </c>
      <c r="W2215">
        <v>-3.5968179999999999E-3</v>
      </c>
      <c r="X2215">
        <v>0.99321250000000005</v>
      </c>
      <c r="Y2215">
        <v>-0.1575204</v>
      </c>
      <c r="Z2215">
        <v>-2.2473049999999998E-3</v>
      </c>
      <c r="AA2215">
        <v>0.98751319999999998</v>
      </c>
      <c r="AB2215">
        <v>47</v>
      </c>
      <c r="AC2215">
        <v>-50.146700000000003</v>
      </c>
      <c r="AD2215">
        <v>-1.108001987957</v>
      </c>
      <c r="AE2215">
        <v>-7.5490999999999504</v>
      </c>
      <c r="AF2215">
        <v>-8.0495218691682897</v>
      </c>
      <c r="AG2215">
        <v>-1.108001987957</v>
      </c>
      <c r="AH2215">
        <v>50.044300870740202</v>
      </c>
      <c r="AI2215">
        <v>91.252255034402197</v>
      </c>
      <c r="AJ2215">
        <v>99.137640406535994</v>
      </c>
      <c r="AK2215">
        <v>50.6996501010481</v>
      </c>
      <c r="AL2215">
        <v>90.206082933078804</v>
      </c>
      <c r="AM2215">
        <v>96.676256255589493</v>
      </c>
      <c r="AN2215">
        <v>1.0000000114132599</v>
      </c>
    </row>
    <row r="2216" spans="1:40" x14ac:dyDescent="0.25">
      <c r="A2216" t="str">
        <f>"20190305134943577"</f>
        <v>20190305134943577</v>
      </c>
      <c r="B2216" t="str">
        <f>"1551764983573228"</f>
        <v>1551764983573228</v>
      </c>
      <c r="C2216" t="s">
        <v>40</v>
      </c>
      <c r="D2216">
        <v>3.8984709999999998</v>
      </c>
      <c r="E2216">
        <v>0.48257610000000001</v>
      </c>
      <c r="F2216" t="s">
        <v>78</v>
      </c>
      <c r="G2216">
        <v>-300.4153</v>
      </c>
      <c r="H2216" s="1">
        <v>5.0249830000000003E-6</v>
      </c>
      <c r="I2216">
        <v>277.5874</v>
      </c>
      <c r="J2216">
        <v>-250.69759999999999</v>
      </c>
      <c r="K2216">
        <v>1.10806</v>
      </c>
      <c r="L2216">
        <v>285.20679999999999</v>
      </c>
      <c r="M2216">
        <v>-0.99993980000000005</v>
      </c>
      <c r="N2216">
        <v>-4.5635040000000003E-3</v>
      </c>
      <c r="O2216">
        <v>9.9902289999999998E-3</v>
      </c>
      <c r="P2216">
        <v>-0.99421669999999995</v>
      </c>
      <c r="Q2216">
        <v>-8.9674479999999994E-3</v>
      </c>
      <c r="R2216">
        <v>-0.1070185</v>
      </c>
      <c r="S2216">
        <v>-2.968521</v>
      </c>
      <c r="T2216">
        <v>-6.5529699999999996E-2</v>
      </c>
      <c r="U2216">
        <v>-0.45034790000000002</v>
      </c>
      <c r="V2216">
        <v>-0.116947</v>
      </c>
      <c r="W2216">
        <v>-4.4056649999999996E-3</v>
      </c>
      <c r="X2216">
        <v>0.99312840000000002</v>
      </c>
      <c r="Y2216">
        <v>-0.15981389999999901</v>
      </c>
      <c r="Z2216">
        <v>-2.2944469999999998E-3</v>
      </c>
      <c r="AA2216">
        <v>0.98714449999999998</v>
      </c>
      <c r="AB2216">
        <v>47</v>
      </c>
      <c r="AC2216">
        <v>-49.717700000000001</v>
      </c>
      <c r="AD2216">
        <v>-1.1080549750169999</v>
      </c>
      <c r="AE2216">
        <v>-7.6193999999999802</v>
      </c>
      <c r="AF2216">
        <v>-8.1117793589740597</v>
      </c>
      <c r="AG2216">
        <v>-1.1080549750169999</v>
      </c>
      <c r="AH2216">
        <v>49.615019903621999</v>
      </c>
      <c r="AI2216">
        <v>91.262618780621295</v>
      </c>
      <c r="AJ2216">
        <v>99.285388253412094</v>
      </c>
      <c r="AK2216">
        <v>50.285971704175601</v>
      </c>
      <c r="AL2216">
        <v>90.252426823315503</v>
      </c>
      <c r="AM2216">
        <v>96.716003181013505</v>
      </c>
      <c r="AN2216">
        <v>1.00000001478982</v>
      </c>
    </row>
    <row r="2217" spans="1:40" x14ac:dyDescent="0.25">
      <c r="A2217" t="str">
        <f>"20190305134943595"</f>
        <v>20190305134943595</v>
      </c>
      <c r="B2217" t="str">
        <f>"1551764983592747"</f>
        <v>1551764983592747</v>
      </c>
      <c r="C2217" t="s">
        <v>40</v>
      </c>
      <c r="D2217">
        <v>3.8769909999999999</v>
      </c>
      <c r="E2217">
        <v>0.48226259999999999</v>
      </c>
      <c r="F2217" t="s">
        <v>78</v>
      </c>
      <c r="G2217">
        <v>-299.34660000000002</v>
      </c>
      <c r="H2217" s="1">
        <v>4.9750169999999996E-6</v>
      </c>
      <c r="I2217">
        <v>277.709</v>
      </c>
      <c r="J2217">
        <v>-251.11359999999999</v>
      </c>
      <c r="K2217">
        <v>1.1081319999999999</v>
      </c>
      <c r="L2217">
        <v>285.21089999999998</v>
      </c>
      <c r="M2217">
        <v>-0.99994019999999995</v>
      </c>
      <c r="N2217">
        <v>-4.6868530000000004E-3</v>
      </c>
      <c r="O2217">
        <v>9.8833280000000003E-3</v>
      </c>
      <c r="P2217">
        <v>-0.99413220000000002</v>
      </c>
      <c r="Q2217">
        <v>-1.032983E-2</v>
      </c>
      <c r="R2217">
        <v>-0.10767930000000001</v>
      </c>
      <c r="S2217">
        <v>-2.96759</v>
      </c>
      <c r="T2217">
        <v>-6.7591429999999994E-2</v>
      </c>
      <c r="U2217">
        <v>-0.45736690000000002</v>
      </c>
      <c r="V2217">
        <v>-0.1175004</v>
      </c>
      <c r="W2217">
        <v>-5.6610840000000003E-3</v>
      </c>
      <c r="X2217">
        <v>0.99305670000000001</v>
      </c>
      <c r="Y2217">
        <v>-0.1620316</v>
      </c>
      <c r="Z2217">
        <v>-2.3939550000000001E-3</v>
      </c>
      <c r="AA2217">
        <v>0.98678270000000001</v>
      </c>
      <c r="AB2217">
        <v>47</v>
      </c>
      <c r="AC2217">
        <v>-48.232999999999997</v>
      </c>
      <c r="AD2217">
        <v>-1.108127024983</v>
      </c>
      <c r="AE2217">
        <v>-7.5018999999999698</v>
      </c>
      <c r="AF2217">
        <v>-7.9741318349055303</v>
      </c>
      <c r="AG2217">
        <v>-1.108127024983</v>
      </c>
      <c r="AH2217">
        <v>48.131694550222498</v>
      </c>
      <c r="AI2217">
        <v>91.301147459427995</v>
      </c>
      <c r="AJ2217">
        <v>99.406930245646393</v>
      </c>
      <c r="AK2217">
        <v>48.800355985380598</v>
      </c>
      <c r="AL2217">
        <v>90.324357952973003</v>
      </c>
      <c r="AM2217">
        <v>96.747974038821994</v>
      </c>
      <c r="AN2217">
        <v>1.0000000006435501</v>
      </c>
    </row>
    <row r="2218" spans="1:40" x14ac:dyDescent="0.25">
      <c r="A2218" t="str">
        <f>"20190305134943607"</f>
        <v>20190305134943607</v>
      </c>
      <c r="B2218" t="str">
        <f>"1551764983602508"</f>
        <v>1551764983602508</v>
      </c>
      <c r="C2218" t="s">
        <v>40</v>
      </c>
      <c r="D2218">
        <v>3.84613</v>
      </c>
      <c r="E2218">
        <v>0.48211510000000002</v>
      </c>
      <c r="F2218" t="s">
        <v>78</v>
      </c>
      <c r="G2218">
        <v>-297.60329999999999</v>
      </c>
      <c r="H2218" s="1">
        <v>4.5719360000000004E-6</v>
      </c>
      <c r="I2218">
        <v>277.97449999999998</v>
      </c>
      <c r="J2218">
        <v>-251.37540000000001</v>
      </c>
      <c r="K2218">
        <v>1.108193</v>
      </c>
      <c r="L2218">
        <v>285.21350000000001</v>
      </c>
      <c r="M2218">
        <v>-0.99994050000000001</v>
      </c>
      <c r="N2218">
        <v>-4.8153689999999999E-3</v>
      </c>
      <c r="O2218">
        <v>9.7962150000000005E-3</v>
      </c>
      <c r="P2218">
        <v>-0.99406419999999995</v>
      </c>
      <c r="Q2218">
        <v>-1.065323E-2</v>
      </c>
      <c r="R2218">
        <v>-0.1082736</v>
      </c>
      <c r="S2218">
        <v>-2.9669490000000001</v>
      </c>
      <c r="T2218">
        <v>-7.0720080000000005E-2</v>
      </c>
      <c r="U2218">
        <v>-0.46182250000000002</v>
      </c>
      <c r="V2218">
        <v>-0.1180069</v>
      </c>
      <c r="W2218">
        <v>-5.8674640000000002E-3</v>
      </c>
      <c r="X2218">
        <v>0.99299539999999997</v>
      </c>
      <c r="Y2218">
        <v>-0.1634196</v>
      </c>
      <c r="Z2218">
        <v>-2.516828E-3</v>
      </c>
      <c r="AA2218">
        <v>0.98655340000000002</v>
      </c>
      <c r="AB2218">
        <v>47</v>
      </c>
      <c r="AC2218">
        <v>-46.227899999999899</v>
      </c>
      <c r="AD2218">
        <v>-1.108188428064</v>
      </c>
      <c r="AE2218">
        <v>-7.2390000000000301</v>
      </c>
      <c r="AF2218">
        <v>-7.68720442225161</v>
      </c>
      <c r="AG2218">
        <v>-1.108188428064</v>
      </c>
      <c r="AH2218">
        <v>46.128891699274902</v>
      </c>
      <c r="AI2218">
        <v>91.357481065069393</v>
      </c>
      <c r="AJ2218">
        <v>99.461181135622795</v>
      </c>
      <c r="AK2218">
        <v>46.778155615896303</v>
      </c>
      <c r="AL2218">
        <v>90.336182866079398</v>
      </c>
      <c r="AM2218">
        <v>96.777206517024894</v>
      </c>
      <c r="AN2218">
        <v>0.999999960001279</v>
      </c>
    </row>
    <row r="2219" spans="1:40" x14ac:dyDescent="0.25">
      <c r="A2219" t="str">
        <f>"20190305134943620"</f>
        <v>20190305134943620</v>
      </c>
      <c r="B2219" t="str">
        <f>"1551764983613244"</f>
        <v>1551764983613244</v>
      </c>
      <c r="C2219" t="s">
        <v>40</v>
      </c>
      <c r="D2219">
        <v>3.8128289999999998</v>
      </c>
      <c r="E2219">
        <v>0.48202240000000002</v>
      </c>
      <c r="F2219" t="s">
        <v>78</v>
      </c>
      <c r="G2219">
        <v>-297.55720000000002</v>
      </c>
      <c r="H2219" s="1">
        <v>4.5624109999999998E-6</v>
      </c>
      <c r="I2219">
        <v>277.97840000000002</v>
      </c>
      <c r="J2219">
        <v>-251.63589999999999</v>
      </c>
      <c r="K2219">
        <v>1.1082749999999999</v>
      </c>
      <c r="L2219">
        <v>285.21589999999998</v>
      </c>
      <c r="M2219">
        <v>-0.99994050000000001</v>
      </c>
      <c r="N2219">
        <v>-5.0254660000000001E-3</v>
      </c>
      <c r="O2219">
        <v>9.6857890000000002E-3</v>
      </c>
      <c r="P2219">
        <v>-0.99400790000000006</v>
      </c>
      <c r="Q2219">
        <v>-1.100251E-2</v>
      </c>
      <c r="R2219">
        <v>-0.1087529</v>
      </c>
      <c r="S2219">
        <v>-2.9665219999999999</v>
      </c>
      <c r="T2219">
        <v>-7.1185230000000002E-2</v>
      </c>
      <c r="U2219">
        <v>-0.4647522</v>
      </c>
      <c r="V2219">
        <v>-0.1183756</v>
      </c>
      <c r="W2219">
        <v>-6.0194339999999997E-3</v>
      </c>
      <c r="X2219">
        <v>0.99295060000000002</v>
      </c>
      <c r="Y2219">
        <v>-0.16428199999999901</v>
      </c>
      <c r="Z2219">
        <v>-2.556872E-3</v>
      </c>
      <c r="AA2219">
        <v>0.98641009999999996</v>
      </c>
      <c r="AB2219">
        <v>47</v>
      </c>
      <c r="AC2219">
        <v>-45.921300000000002</v>
      </c>
      <c r="AD2219">
        <v>-1.10827043758899</v>
      </c>
      <c r="AE2219">
        <v>-7.2374999999999501</v>
      </c>
      <c r="AF2219">
        <v>-7.6775866462048397</v>
      </c>
      <c r="AG2219">
        <v>-1.10827043758899</v>
      </c>
      <c r="AH2219">
        <v>45.823001092540203</v>
      </c>
      <c r="AI2219">
        <v>91.366440150466303</v>
      </c>
      <c r="AJ2219">
        <v>99.511488990534602</v>
      </c>
      <c r="AK2219">
        <v>46.474950556184098</v>
      </c>
      <c r="AL2219">
        <v>90.344890261515502</v>
      </c>
      <c r="AM2219">
        <v>96.798487159346905</v>
      </c>
      <c r="AN2219">
        <v>0.99999995515069895</v>
      </c>
    </row>
    <row r="2220" spans="1:40" x14ac:dyDescent="0.25">
      <c r="A2220" t="str">
        <f>"20190305134943632"</f>
        <v>20190305134943632</v>
      </c>
      <c r="B2220" t="str">
        <f>"1551764983623003"</f>
        <v>1551764983623003</v>
      </c>
      <c r="C2220" t="s">
        <v>40</v>
      </c>
      <c r="D2220">
        <v>3.846034</v>
      </c>
      <c r="E2220">
        <v>0.48190529999999998</v>
      </c>
      <c r="F2220" t="s">
        <v>78</v>
      </c>
      <c r="G2220">
        <v>-297.47149999999999</v>
      </c>
      <c r="H2220" s="1">
        <v>4.5391040000000004E-6</v>
      </c>
      <c r="I2220">
        <v>278.00130000000001</v>
      </c>
      <c r="J2220">
        <v>-251.9014</v>
      </c>
      <c r="K2220">
        <v>1.1083719999999999</v>
      </c>
      <c r="L2220">
        <v>285.21839999999997</v>
      </c>
      <c r="M2220">
        <v>-0.99994039999999995</v>
      </c>
      <c r="N2220">
        <v>-5.2849630000000002E-3</v>
      </c>
      <c r="O2220">
        <v>9.5606860000000005E-3</v>
      </c>
      <c r="P2220">
        <v>-0.99396370000000001</v>
      </c>
      <c r="Q2220">
        <v>-1.14047E-2</v>
      </c>
      <c r="R2220">
        <v>-0.1091154</v>
      </c>
      <c r="S2220">
        <v>-2.966202</v>
      </c>
      <c r="T2220">
        <v>-7.1720480000000003E-2</v>
      </c>
      <c r="U2220">
        <v>-0.46688839999999998</v>
      </c>
      <c r="V2220">
        <v>-0.1186127</v>
      </c>
      <c r="W2220">
        <v>-6.1758000000000004E-3</v>
      </c>
      <c r="X2220">
        <v>0.99292139999999995</v>
      </c>
      <c r="Y2220">
        <v>-0.1648667</v>
      </c>
      <c r="Z2220">
        <v>-2.598656E-3</v>
      </c>
      <c r="AA2220">
        <v>0.98631239999999998</v>
      </c>
      <c r="AB2220">
        <v>47</v>
      </c>
      <c r="AC2220">
        <v>-45.570099999999996</v>
      </c>
      <c r="AD2220">
        <v>-1.1083674608959999</v>
      </c>
      <c r="AE2220">
        <v>-7.2170999999999497</v>
      </c>
      <c r="AF2220">
        <v>-7.6480439446478101</v>
      </c>
      <c r="AG2220">
        <v>-1.1083674608959999</v>
      </c>
      <c r="AH2220">
        <v>45.472773596984403</v>
      </c>
      <c r="AI2220">
        <v>91.376936818073105</v>
      </c>
      <c r="AJ2220">
        <v>99.547196040031693</v>
      </c>
      <c r="AK2220">
        <v>46.124767676490599</v>
      </c>
      <c r="AL2220">
        <v>90.353849520991702</v>
      </c>
      <c r="AM2220">
        <v>96.812174780115697</v>
      </c>
      <c r="AN2220">
        <v>1.00000000984244</v>
      </c>
    </row>
    <row r="2221" spans="1:40" x14ac:dyDescent="0.25">
      <c r="A2221" t="str">
        <f>"20190305134943645"</f>
        <v>20190305134943645</v>
      </c>
      <c r="B2221" t="str">
        <f>"1551764983642524"</f>
        <v>1551764983642524</v>
      </c>
      <c r="C2221" t="s">
        <v>40</v>
      </c>
      <c r="D2221">
        <v>3.807204</v>
      </c>
      <c r="E2221">
        <v>0.48166009999999998</v>
      </c>
      <c r="F2221" t="s">
        <v>78</v>
      </c>
      <c r="G2221">
        <v>-297.39069999999998</v>
      </c>
      <c r="H2221" s="1">
        <v>4.5157779999999998E-6</v>
      </c>
      <c r="I2221">
        <v>278.02670000000001</v>
      </c>
      <c r="J2221">
        <v>-252.17740000000001</v>
      </c>
      <c r="K2221">
        <v>1.1084989999999999</v>
      </c>
      <c r="L2221">
        <v>285.221</v>
      </c>
      <c r="M2221">
        <v>-0.99993980000000005</v>
      </c>
      <c r="N2221">
        <v>-5.6571109999999898E-3</v>
      </c>
      <c r="O2221">
        <v>9.4026119999999994E-3</v>
      </c>
      <c r="P2221">
        <v>-0.99390250000000002</v>
      </c>
      <c r="Q2221">
        <v>-1.188034E-2</v>
      </c>
      <c r="R2221">
        <v>-0.10962139999999999</v>
      </c>
      <c r="S2221">
        <v>-2.9659270000000002</v>
      </c>
      <c r="T2221">
        <v>-7.22661E-2</v>
      </c>
      <c r="U2221">
        <v>-0.4689026</v>
      </c>
      <c r="V2221">
        <v>-0.1189601</v>
      </c>
      <c r="W2221">
        <v>-6.2951029999999998E-3</v>
      </c>
      <c r="X2221">
        <v>0.99287910000000001</v>
      </c>
      <c r="Y2221">
        <v>-0.16537660000000001</v>
      </c>
      <c r="Z2221">
        <v>-2.6476049999999999E-3</v>
      </c>
      <c r="AA2221">
        <v>0.98622690000000002</v>
      </c>
      <c r="AB2221">
        <v>47</v>
      </c>
      <c r="AC2221">
        <v>-45.213299999999897</v>
      </c>
      <c r="AD2221">
        <v>-1.1084944842219999</v>
      </c>
      <c r="AE2221">
        <v>-7.1942999999999904</v>
      </c>
      <c r="AF2221">
        <v>-7.6146478647507996</v>
      </c>
      <c r="AG2221">
        <v>-1.1084944842219999</v>
      </c>
      <c r="AH2221">
        <v>45.117205438622598</v>
      </c>
      <c r="AI2221">
        <v>91.387810166344707</v>
      </c>
      <c r="AJ2221">
        <v>99.579805173296506</v>
      </c>
      <c r="AK2221">
        <v>45.768699443141003</v>
      </c>
      <c r="AL2221">
        <v>90.360685208370199</v>
      </c>
      <c r="AM2221">
        <v>96.8322266881529</v>
      </c>
      <c r="AN2221">
        <v>1.0000000204652999</v>
      </c>
    </row>
    <row r="2222" spans="1:40" x14ac:dyDescent="0.25">
      <c r="A2222" t="str">
        <f>"20190305134943663"</f>
        <v>20190305134943663</v>
      </c>
      <c r="B2222" t="str">
        <f>"1551764983653260"</f>
        <v>1551764983653260</v>
      </c>
      <c r="C2222" t="s">
        <v>40</v>
      </c>
      <c r="D2222">
        <v>3.8193649999999999</v>
      </c>
      <c r="E2222">
        <v>0.48155189999999998</v>
      </c>
      <c r="F2222" t="s">
        <v>78</v>
      </c>
      <c r="G2222">
        <v>-297.66219999999998</v>
      </c>
      <c r="H2222" s="1">
        <v>4.5833769999999996E-6</v>
      </c>
      <c r="I2222">
        <v>277.9717</v>
      </c>
      <c r="J2222">
        <v>-252.5566</v>
      </c>
      <c r="K2222">
        <v>1.108689</v>
      </c>
      <c r="L2222">
        <v>285.2244</v>
      </c>
      <c r="M2222">
        <v>-0.99993840000000001</v>
      </c>
      <c r="N2222">
        <v>-6.2643630000000002E-3</v>
      </c>
      <c r="O2222">
        <v>9.1608999999999996E-3</v>
      </c>
      <c r="P2222">
        <v>-0.99384779999999995</v>
      </c>
      <c r="Q2222">
        <v>-1.248758E-2</v>
      </c>
      <c r="R2222">
        <v>-0.11004940000000001</v>
      </c>
      <c r="S2222">
        <v>-2.9654240000000001</v>
      </c>
      <c r="T2222">
        <v>-7.2269440000000004E-2</v>
      </c>
      <c r="U2222">
        <v>-0.47262569999999998</v>
      </c>
      <c r="V2222">
        <v>-0.11914710000000001</v>
      </c>
      <c r="W2222">
        <v>-6.3174729999999997E-3</v>
      </c>
      <c r="X2222">
        <v>0.99285650000000003</v>
      </c>
      <c r="Y2222">
        <v>-0.1663704</v>
      </c>
      <c r="Z2222">
        <v>-2.703596E-3</v>
      </c>
      <c r="AA2222">
        <v>0.98605960000000004</v>
      </c>
      <c r="AB2222">
        <v>47</v>
      </c>
      <c r="AC2222">
        <v>-45.105599999999903</v>
      </c>
      <c r="AD2222">
        <v>-1.1086844166230001</v>
      </c>
      <c r="AE2222">
        <v>-7.2526999999999999</v>
      </c>
      <c r="AF2222">
        <v>-7.6610997481351397</v>
      </c>
      <c r="AG2222">
        <v>-1.1086844166230001</v>
      </c>
      <c r="AH2222">
        <v>45.010756126240601</v>
      </c>
      <c r="AI2222">
        <v>91.391001373131402</v>
      </c>
      <c r="AJ2222">
        <v>99.659515084094096</v>
      </c>
      <c r="AK2222">
        <v>45.671542535176599</v>
      </c>
      <c r="AL2222">
        <v>90.361966952985398</v>
      </c>
      <c r="AM2222">
        <v>96.843019172197103</v>
      </c>
      <c r="AN2222">
        <v>0.99999998574788196</v>
      </c>
    </row>
    <row r="2223" spans="1:40" x14ac:dyDescent="0.25">
      <c r="A2223" t="str">
        <f>"20190305134943676"</f>
        <v>20190305134943676</v>
      </c>
      <c r="B2223" t="str">
        <f>"1551764983672779"</f>
        <v>1551764983672779</v>
      </c>
      <c r="C2223" t="s">
        <v>40</v>
      </c>
      <c r="D2223">
        <v>3.8046660000000001</v>
      </c>
      <c r="E2223">
        <v>0.48135250000000002</v>
      </c>
      <c r="F2223" t="s">
        <v>78</v>
      </c>
      <c r="G2223">
        <v>-297.16379999999998</v>
      </c>
      <c r="H2223" s="1">
        <v>4.4554849999999997E-6</v>
      </c>
      <c r="I2223">
        <v>278.08339999999998</v>
      </c>
      <c r="J2223">
        <v>-252.81829999999999</v>
      </c>
      <c r="K2223">
        <v>1.108814</v>
      </c>
      <c r="L2223">
        <v>285.22669999999999</v>
      </c>
      <c r="M2223">
        <v>-0.99993739999999998</v>
      </c>
      <c r="N2223">
        <v>-6.7100119999999996E-3</v>
      </c>
      <c r="O2223">
        <v>8.9742250000000006E-3</v>
      </c>
      <c r="P2223">
        <v>-0.99382179999999998</v>
      </c>
      <c r="Q2223">
        <v>-1.292154E-2</v>
      </c>
      <c r="R2223">
        <v>-0.1102337</v>
      </c>
      <c r="S2223">
        <v>-2.9650880000000002</v>
      </c>
      <c r="T2223">
        <v>-7.3695540000000004E-2</v>
      </c>
      <c r="U2223">
        <v>-0.47467039999999999</v>
      </c>
      <c r="V2223">
        <v>-0.11914520000000001</v>
      </c>
      <c r="W2223">
        <v>-6.3206750000000004E-3</v>
      </c>
      <c r="X2223">
        <v>0.99285670000000004</v>
      </c>
      <c r="Y2223">
        <v>-0.1668634</v>
      </c>
      <c r="Z2223">
        <v>-2.785521E-3</v>
      </c>
      <c r="AA2223">
        <v>0.98597610000000002</v>
      </c>
      <c r="AB2223">
        <v>47</v>
      </c>
      <c r="AC2223">
        <v>-44.345499999999902</v>
      </c>
      <c r="AD2223">
        <v>-1.1088095445149999</v>
      </c>
      <c r="AE2223">
        <v>-7.1433000000000098</v>
      </c>
      <c r="AF2223">
        <v>-7.5363951707631101</v>
      </c>
      <c r="AG2223">
        <v>-1.1088095445149999</v>
      </c>
      <c r="AH2223">
        <v>44.252640390861202</v>
      </c>
      <c r="AI2223">
        <v>91.414958468836005</v>
      </c>
      <c r="AJ2223">
        <v>99.664964966962501</v>
      </c>
      <c r="AK2223">
        <v>44.903484189300798</v>
      </c>
      <c r="AL2223">
        <v>90.362150420479495</v>
      </c>
      <c r="AM2223">
        <v>96.842909718171896</v>
      </c>
      <c r="AN2223">
        <v>0.99999997817519204</v>
      </c>
    </row>
    <row r="2224" spans="1:40" x14ac:dyDescent="0.25">
      <c r="A2224" t="str">
        <f>"20190305134943688"</f>
        <v>20190305134943688</v>
      </c>
      <c r="B2224" t="str">
        <f>"1551764983682539"</f>
        <v>1551764983682539</v>
      </c>
      <c r="C2224" t="s">
        <v>40</v>
      </c>
      <c r="D2224">
        <v>3.7572909999999999</v>
      </c>
      <c r="E2224">
        <v>0.48124149999999999</v>
      </c>
      <c r="F2224" t="s">
        <v>78</v>
      </c>
      <c r="G2224">
        <v>-297.19569999999999</v>
      </c>
      <c r="H2224" s="1">
        <v>4.4595490000000001E-6</v>
      </c>
      <c r="I2224">
        <v>278.08800000000002</v>
      </c>
      <c r="J2224">
        <v>-253.08600000000001</v>
      </c>
      <c r="K2224">
        <v>1.108938</v>
      </c>
      <c r="L2224">
        <v>285.22890000000001</v>
      </c>
      <c r="M2224">
        <v>-0.99993589999999999</v>
      </c>
      <c r="N2224">
        <v>-7.1726230000000004E-3</v>
      </c>
      <c r="O2224">
        <v>8.7685719999999901E-3</v>
      </c>
      <c r="P2224">
        <v>-0.99374799999999996</v>
      </c>
      <c r="Q2224">
        <v>-1.3615800000000001E-2</v>
      </c>
      <c r="R2224">
        <v>-0.1108137</v>
      </c>
      <c r="S2224">
        <v>-2.964798</v>
      </c>
      <c r="T2224">
        <v>-7.4078199999999997E-2</v>
      </c>
      <c r="U2224">
        <v>-0.47692869999999998</v>
      </c>
      <c r="V2224">
        <v>-0.11952</v>
      </c>
      <c r="W2224">
        <v>-6.5675350000000002E-3</v>
      </c>
      <c r="X2224">
        <v>0.99281010000000003</v>
      </c>
      <c r="Y2224">
        <v>-0.16740620000000001</v>
      </c>
      <c r="Z2224">
        <v>-2.8372739999999999E-3</v>
      </c>
      <c r="AA2224">
        <v>0.98588399999999998</v>
      </c>
      <c r="AB2224">
        <v>47</v>
      </c>
      <c r="AC2224">
        <v>-44.109699999999997</v>
      </c>
      <c r="AD2224">
        <v>-1.1089335404509999</v>
      </c>
      <c r="AE2224">
        <v>-7.1409000000000402</v>
      </c>
      <c r="AF2224">
        <v>-7.5227812092040898</v>
      </c>
      <c r="AG2224">
        <v>-1.1089335404509999</v>
      </c>
      <c r="AH2224">
        <v>44.0182763506646</v>
      </c>
      <c r="AI2224">
        <v>91.422507132562899</v>
      </c>
      <c r="AJ2224">
        <v>99.698228724371404</v>
      </c>
      <c r="AK2224">
        <v>44.670243155843401</v>
      </c>
      <c r="AL2224">
        <v>90.376294731594001</v>
      </c>
      <c r="AM2224">
        <v>96.8645497928635</v>
      </c>
      <c r="AN2224">
        <v>1.0000000287889901</v>
      </c>
    </row>
    <row r="2225" spans="1:40" x14ac:dyDescent="0.25">
      <c r="A2225" t="str">
        <f>"20190305134943707"</f>
        <v>20190305134943707</v>
      </c>
      <c r="B2225" t="str">
        <f>"1551764983703036"</f>
        <v>1551764983703036</v>
      </c>
      <c r="C2225" t="s">
        <v>40</v>
      </c>
      <c r="D2225">
        <v>3.728694</v>
      </c>
      <c r="E2225">
        <v>0.4810295</v>
      </c>
      <c r="F2225" t="s">
        <v>78</v>
      </c>
      <c r="G2225">
        <v>-296.64589999999998</v>
      </c>
      <c r="H2225" s="1">
        <v>4.3280790000000002E-6</v>
      </c>
      <c r="I2225">
        <v>278.18400000000003</v>
      </c>
      <c r="J2225">
        <v>-253.47659999999999</v>
      </c>
      <c r="K2225">
        <v>1.109086</v>
      </c>
      <c r="L2225">
        <v>285.2321</v>
      </c>
      <c r="M2225">
        <v>-0.99993410000000005</v>
      </c>
      <c r="N2225">
        <v>-7.8075899999999997E-3</v>
      </c>
      <c r="O2225">
        <v>8.4275040000000006E-3</v>
      </c>
      <c r="P2225">
        <v>-0.99366860000000001</v>
      </c>
      <c r="Q2225">
        <v>-1.3824080000000001E-2</v>
      </c>
      <c r="R2225">
        <v>-0.1114984</v>
      </c>
      <c r="S2225">
        <v>-2.9643709999999999</v>
      </c>
      <c r="T2225">
        <v>-7.5466039999999998E-2</v>
      </c>
      <c r="U2225">
        <v>-0.4794312</v>
      </c>
      <c r="V2225">
        <v>-0.1198644</v>
      </c>
      <c r="W2225">
        <v>-6.1607320000000004E-3</v>
      </c>
      <c r="X2225">
        <v>0.99277110000000002</v>
      </c>
      <c r="Y2225">
        <v>-0.16789960000000001</v>
      </c>
      <c r="Z2225">
        <v>-2.9306620000000001E-3</v>
      </c>
      <c r="AA2225">
        <v>0.98579969999999995</v>
      </c>
      <c r="AB2225">
        <v>47</v>
      </c>
      <c r="AC2225">
        <v>-43.1692999999999</v>
      </c>
      <c r="AD2225">
        <v>-1.1090816719209999</v>
      </c>
      <c r="AE2225">
        <v>-7.0480999999999696</v>
      </c>
      <c r="AF2225">
        <v>-7.4069081995792097</v>
      </c>
      <c r="AG2225">
        <v>-1.1090816719209999</v>
      </c>
      <c r="AH2225">
        <v>43.080670063838198</v>
      </c>
      <c r="AI2225">
        <v>91.453398306481205</v>
      </c>
      <c r="AJ2225">
        <v>99.755548535568295</v>
      </c>
      <c r="AK2225">
        <v>43.726839405349999</v>
      </c>
      <c r="AL2225">
        <v>90.352986195364707</v>
      </c>
      <c r="AM2225">
        <v>96.884408461199399</v>
      </c>
      <c r="AN2225">
        <v>0.99999994300067097</v>
      </c>
    </row>
    <row r="2226" spans="1:40" x14ac:dyDescent="0.25">
      <c r="A2226" t="str">
        <f>"20190305134943719"</f>
        <v>20190305134943719</v>
      </c>
      <c r="B2226" t="str">
        <f>"1551764983712796"</f>
        <v>1551764983712796</v>
      </c>
      <c r="C2226" t="s">
        <v>40</v>
      </c>
      <c r="D2226">
        <v>3.7438120000000001</v>
      </c>
      <c r="E2226">
        <v>0.48092760000000001</v>
      </c>
      <c r="F2226" t="s">
        <v>78</v>
      </c>
      <c r="G2226">
        <v>-297.49560000000002</v>
      </c>
      <c r="H2226" s="1">
        <v>4.5245520000000002E-6</v>
      </c>
      <c r="I2226">
        <v>278.05459999999999</v>
      </c>
      <c r="J2226">
        <v>-253.7234</v>
      </c>
      <c r="K2226">
        <v>1.109165</v>
      </c>
      <c r="L2226">
        <v>285.23410000000001</v>
      </c>
      <c r="M2226">
        <v>-0.99993299999999996</v>
      </c>
      <c r="N2226">
        <v>-8.1783900000000007E-3</v>
      </c>
      <c r="O2226">
        <v>8.1948869999999997E-3</v>
      </c>
      <c r="P2226">
        <v>-0.99362680000000003</v>
      </c>
      <c r="Q2226">
        <v>-1.395384E-2</v>
      </c>
      <c r="R2226">
        <v>-0.1118528</v>
      </c>
      <c r="S2226">
        <v>-2.9638520000000002</v>
      </c>
      <c r="T2226">
        <v>-7.4675800000000001E-2</v>
      </c>
      <c r="U2226">
        <v>-0.48327639999999999</v>
      </c>
      <c r="V2226">
        <v>-0.1199877</v>
      </c>
      <c r="W2226">
        <v>-5.9312180000000003E-3</v>
      </c>
      <c r="X2226">
        <v>0.99275769999999997</v>
      </c>
      <c r="Y2226">
        <v>-0.1689437</v>
      </c>
      <c r="Z2226">
        <v>-2.9481070000000002E-3</v>
      </c>
      <c r="AA2226">
        <v>0.98562130000000003</v>
      </c>
      <c r="AB2226">
        <v>47</v>
      </c>
      <c r="AC2226">
        <v>-43.772199999999998</v>
      </c>
      <c r="AD2226">
        <v>-1.109160475448</v>
      </c>
      <c r="AE2226">
        <v>-7.1795000000000098</v>
      </c>
      <c r="AF2226">
        <v>-7.5332688517925996</v>
      </c>
      <c r="AG2226">
        <v>-1.109160475448</v>
      </c>
      <c r="AH2226">
        <v>43.684578575501597</v>
      </c>
      <c r="AI2226">
        <v>91.433292765771697</v>
      </c>
      <c r="AJ2226">
        <v>99.784247489524503</v>
      </c>
      <c r="AK2226">
        <v>44.343238288073401</v>
      </c>
      <c r="AL2226">
        <v>90.339835738002193</v>
      </c>
      <c r="AM2226">
        <v>96.891514249232799</v>
      </c>
      <c r="AN2226">
        <v>1.00000003920377</v>
      </c>
    </row>
    <row r="2227" spans="1:40" x14ac:dyDescent="0.25">
      <c r="A2227" t="str">
        <f>"20190305134943732"</f>
        <v>20190305134943732</v>
      </c>
      <c r="B2227" t="str">
        <f>"1551764983722556"</f>
        <v>1551764983722556</v>
      </c>
      <c r="C2227" t="s">
        <v>40</v>
      </c>
      <c r="D2227">
        <v>3.7459910000000001</v>
      </c>
      <c r="E2227">
        <v>0.48083579999999998</v>
      </c>
      <c r="F2227" t="s">
        <v>78</v>
      </c>
      <c r="G2227">
        <v>-297.80579999999998</v>
      </c>
      <c r="H2227" s="1">
        <v>4.5930550000000004E-6</v>
      </c>
      <c r="I2227">
        <v>278.01639999999998</v>
      </c>
      <c r="J2227">
        <v>-254.00110000000001</v>
      </c>
      <c r="K2227">
        <v>1.109248</v>
      </c>
      <c r="L2227">
        <v>285.2362</v>
      </c>
      <c r="M2227">
        <v>-0.99993189999999998</v>
      </c>
      <c r="N2227">
        <v>-8.5798669999999997E-3</v>
      </c>
      <c r="O2227">
        <v>7.9260549999999996E-3</v>
      </c>
      <c r="P2227">
        <v>-0.99355170000000004</v>
      </c>
      <c r="Q2227">
        <v>-1.425215E-2</v>
      </c>
      <c r="R2227">
        <v>-0.112482399999999</v>
      </c>
      <c r="S2227">
        <v>-2.963562</v>
      </c>
      <c r="T2227">
        <v>-7.4566480000000004E-2</v>
      </c>
      <c r="U2227">
        <v>-0.48522949999999998</v>
      </c>
      <c r="V2227">
        <v>-0.12034889999999999</v>
      </c>
      <c r="W2227">
        <v>-5.8410340000000002E-3</v>
      </c>
      <c r="X2227">
        <v>0.99271450000000006</v>
      </c>
      <c r="Y2227">
        <v>-0.169326</v>
      </c>
      <c r="Z2227">
        <v>-2.9777340000000001E-3</v>
      </c>
      <c r="AA2227">
        <v>0.98555559999999998</v>
      </c>
      <c r="AB2227">
        <v>47</v>
      </c>
      <c r="AC2227">
        <v>-43.804699999999897</v>
      </c>
      <c r="AD2227">
        <v>-1.1092434069449999</v>
      </c>
      <c r="AE2227">
        <v>-7.2198000000000198</v>
      </c>
      <c r="AF2227">
        <v>-7.5620636315676304</v>
      </c>
      <c r="AG2227">
        <v>-1.1092434069449999</v>
      </c>
      <c r="AH2227">
        <v>43.718804973564502</v>
      </c>
      <c r="AI2227">
        <v>91.432152461762797</v>
      </c>
      <c r="AJ2227">
        <v>99.813380381036495</v>
      </c>
      <c r="AK2227">
        <v>44.381855928073698</v>
      </c>
      <c r="AL2227">
        <v>90.334668490206795</v>
      </c>
      <c r="AM2227">
        <v>96.912357315826597</v>
      </c>
      <c r="AN2227">
        <v>1.0000000269598199</v>
      </c>
    </row>
    <row r="2228" spans="1:40" x14ac:dyDescent="0.25">
      <c r="A2228" t="str">
        <f>"20190305134943753"</f>
        <v>20190305134943753</v>
      </c>
      <c r="B2228" t="str">
        <f>"1551764983743051"</f>
        <v>1551764983743051</v>
      </c>
      <c r="C2228" t="s">
        <v>40</v>
      </c>
      <c r="D2228">
        <v>3.7240139999999999</v>
      </c>
      <c r="E2228">
        <v>0.48062539999999998</v>
      </c>
      <c r="F2228" t="s">
        <v>78</v>
      </c>
      <c r="G2228">
        <v>-297.7928</v>
      </c>
      <c r="H2228" s="1">
        <v>4.5862579999999997E-6</v>
      </c>
      <c r="I2228">
        <v>278.02910000000003</v>
      </c>
      <c r="J2228">
        <v>-254.44640000000001</v>
      </c>
      <c r="K2228">
        <v>1.1093459999999999</v>
      </c>
      <c r="L2228">
        <v>285.23939999999999</v>
      </c>
      <c r="M2228">
        <v>-0.99993019999999999</v>
      </c>
      <c r="N2228">
        <v>-9.1631950000000007E-3</v>
      </c>
      <c r="O2228">
        <v>7.4782659999999999E-3</v>
      </c>
      <c r="P2228">
        <v>-0.99345539999999999</v>
      </c>
      <c r="Q2228">
        <v>-1.434001E-2</v>
      </c>
      <c r="R2228">
        <v>-0.1133198</v>
      </c>
      <c r="S2228">
        <v>-2.9631959999999999</v>
      </c>
      <c r="T2228">
        <v>-7.5057739999999998E-2</v>
      </c>
      <c r="U2228">
        <v>-0.48767090000000002</v>
      </c>
      <c r="V2228">
        <v>-0.12074120000000001</v>
      </c>
      <c r="W2228">
        <v>-5.364504E-3</v>
      </c>
      <c r="X2228">
        <v>0.99266949999999998</v>
      </c>
      <c r="Y2228">
        <v>-0.1696927</v>
      </c>
      <c r="Z2228">
        <v>-3.0374099999999999E-3</v>
      </c>
      <c r="AA2228">
        <v>0.98549229999999999</v>
      </c>
      <c r="AB2228">
        <v>47</v>
      </c>
      <c r="AC2228">
        <v>-43.346399999999903</v>
      </c>
      <c r="AD2228">
        <v>-1.1093414137419999</v>
      </c>
      <c r="AE2228">
        <v>-7.2102999999999602</v>
      </c>
      <c r="AF2228">
        <v>-7.5294690064774299</v>
      </c>
      <c r="AG2228">
        <v>-1.1093414137419999</v>
      </c>
      <c r="AH2228">
        <v>43.263691356516503</v>
      </c>
      <c r="AI2228">
        <v>91.447079691744705</v>
      </c>
      <c r="AJ2228">
        <v>99.872682424836697</v>
      </c>
      <c r="AK2228">
        <v>43.9280153396858</v>
      </c>
      <c r="AL2228">
        <v>90.3073649200646</v>
      </c>
      <c r="AM2228">
        <v>96.934981701762894</v>
      </c>
      <c r="AN2228">
        <v>0.99999997575542698</v>
      </c>
    </row>
    <row r="2229" spans="1:40" x14ac:dyDescent="0.25">
      <c r="A2229" t="str">
        <f>"20190305134943775"</f>
        <v>20190305134943775</v>
      </c>
      <c r="B2229" t="str">
        <f>"1551764983762572"</f>
        <v>1551764983762572</v>
      </c>
      <c r="C2229" t="s">
        <v>40</v>
      </c>
      <c r="D2229">
        <v>3.7646709999999999</v>
      </c>
      <c r="E2229">
        <v>0.48044500000000001</v>
      </c>
      <c r="F2229" t="s">
        <v>78</v>
      </c>
      <c r="G2229">
        <v>-298.73140000000001</v>
      </c>
      <c r="H2229" s="1">
        <v>4.8034210000000004E-6</v>
      </c>
      <c r="I2229">
        <v>277.88580000000002</v>
      </c>
      <c r="J2229">
        <v>-254.90110000000001</v>
      </c>
      <c r="K2229">
        <v>1.109434</v>
      </c>
      <c r="L2229">
        <v>285.24250000000001</v>
      </c>
      <c r="M2229">
        <v>-0.9999285</v>
      </c>
      <c r="N2229">
        <v>-9.6993570000000005E-3</v>
      </c>
      <c r="O2229">
        <v>7.0151609999999998E-3</v>
      </c>
      <c r="P2229">
        <v>-0.99336599999999997</v>
      </c>
      <c r="Q2229">
        <v>-1.4689290000000001E-2</v>
      </c>
      <c r="R2229">
        <v>-0.11405419999999999</v>
      </c>
      <c r="S2229">
        <v>-2.9625849999999998</v>
      </c>
      <c r="T2229">
        <v>-7.4212790000000001E-2</v>
      </c>
      <c r="U2229">
        <v>-0.49194339999999998</v>
      </c>
      <c r="V2229">
        <v>-0.12101439999999999</v>
      </c>
      <c r="W2229">
        <v>-5.1949969999999998E-3</v>
      </c>
      <c r="X2229">
        <v>0.9926372</v>
      </c>
      <c r="Y2229">
        <v>-0.1706522</v>
      </c>
      <c r="Z2229">
        <v>-3.0629569999999998E-3</v>
      </c>
      <c r="AA2229">
        <v>0.98532660000000005</v>
      </c>
      <c r="AB2229">
        <v>47</v>
      </c>
      <c r="AC2229">
        <v>-43.830300000000001</v>
      </c>
      <c r="AD2229">
        <v>-1.109429196579</v>
      </c>
      <c r="AE2229">
        <v>-7.3566999999999796</v>
      </c>
      <c r="AF2229">
        <v>-7.65923722513556</v>
      </c>
      <c r="AG2229">
        <v>-1.109429196579</v>
      </c>
      <c r="AH2229">
        <v>43.750348008361001</v>
      </c>
      <c r="AI2229">
        <v>91.430853417040694</v>
      </c>
      <c r="AJ2229">
        <v>99.929963921794496</v>
      </c>
      <c r="AK2229">
        <v>44.429581349207197</v>
      </c>
      <c r="AL2229">
        <v>90.297652729059607</v>
      </c>
      <c r="AM2229">
        <v>96.950744052459299</v>
      </c>
      <c r="AN2229">
        <v>1.0000000419125099</v>
      </c>
    </row>
    <row r="2230" spans="1:40" x14ac:dyDescent="0.25">
      <c r="A2230" t="str">
        <f>"20190305134943786"</f>
        <v>20190305134943786</v>
      </c>
      <c r="B2230" t="str">
        <f>"1551764983783068"</f>
        <v>1551764983783068</v>
      </c>
      <c r="C2230" t="s">
        <v>40</v>
      </c>
      <c r="D2230">
        <v>3.7277610000000001</v>
      </c>
      <c r="E2230">
        <v>0.48027039999999999</v>
      </c>
      <c r="F2230" t="s">
        <v>78</v>
      </c>
      <c r="G2230">
        <v>-299.03960000000001</v>
      </c>
      <c r="H2230" s="1">
        <v>4.8696290000000001E-6</v>
      </c>
      <c r="I2230">
        <v>277.85309999999998</v>
      </c>
      <c r="J2230">
        <v>-255.15780000000001</v>
      </c>
      <c r="K2230">
        <v>1.1094729999999999</v>
      </c>
      <c r="L2230">
        <v>285.2441</v>
      </c>
      <c r="M2230">
        <v>-0.99992749999999997</v>
      </c>
      <c r="N2230">
        <v>-9.9794329999999994E-3</v>
      </c>
      <c r="O2230">
        <v>6.7535690000000001E-3</v>
      </c>
      <c r="P2230">
        <v>-0.99333510000000003</v>
      </c>
      <c r="Q2230">
        <v>-1.50251E-2</v>
      </c>
      <c r="R2230">
        <v>-0.11428099999999999</v>
      </c>
      <c r="S2230">
        <v>-2.9620060000000001</v>
      </c>
      <c r="T2230">
        <v>-7.445061E-2</v>
      </c>
      <c r="U2230">
        <v>-0.49588009999999899</v>
      </c>
      <c r="V2230">
        <v>-0.1209813</v>
      </c>
      <c r="W2230">
        <v>-5.2592539999999997E-3</v>
      </c>
      <c r="X2230">
        <v>0.99264090000000005</v>
      </c>
      <c r="Y2230">
        <v>-0.1716982</v>
      </c>
      <c r="Z2230">
        <v>-3.1071029999999999E-3</v>
      </c>
      <c r="AA2230">
        <v>0.98514469999999998</v>
      </c>
      <c r="AB2230">
        <v>47</v>
      </c>
      <c r="AC2230">
        <v>-43.881799999999998</v>
      </c>
      <c r="AD2230">
        <v>-1.1094681303709999</v>
      </c>
      <c r="AE2230">
        <v>-7.3910000000000098</v>
      </c>
      <c r="AF2230">
        <v>-7.6824295098158997</v>
      </c>
      <c r="AG2230">
        <v>-1.1094681303709999</v>
      </c>
      <c r="AH2230">
        <v>43.803652627664597</v>
      </c>
      <c r="AI2230">
        <v>91.429086221913195</v>
      </c>
      <c r="AJ2230">
        <v>99.947553463224907</v>
      </c>
      <c r="AK2230">
        <v>44.486072272461897</v>
      </c>
      <c r="AL2230">
        <v>90.301334433018397</v>
      </c>
      <c r="AM2230">
        <v>96.948835819289201</v>
      </c>
      <c r="AN2230">
        <v>1.0000000455275599</v>
      </c>
    </row>
    <row r="2231" spans="1:40" x14ac:dyDescent="0.25">
      <c r="A2231" t="str">
        <f>"20190305134943799"</f>
        <v>20190305134943799</v>
      </c>
      <c r="B2231" t="str">
        <f>"1551764983792827"</f>
        <v>1551764983792827</v>
      </c>
      <c r="C2231" t="s">
        <v>40</v>
      </c>
      <c r="D2231">
        <v>3.7216070000000001</v>
      </c>
      <c r="E2231">
        <v>0.48017710000000002</v>
      </c>
      <c r="F2231" t="s">
        <v>78</v>
      </c>
      <c r="G2231">
        <v>-299.25740000000002</v>
      </c>
      <c r="H2231" s="1">
        <v>4.9162420000000004E-6</v>
      </c>
      <c r="I2231">
        <v>277.8306</v>
      </c>
      <c r="J2231">
        <v>-255.411</v>
      </c>
      <c r="K2231">
        <v>1.109505</v>
      </c>
      <c r="L2231">
        <v>285.2457</v>
      </c>
      <c r="M2231">
        <v>-0.99992669999999995</v>
      </c>
      <c r="N2231">
        <v>-1.023432E-2</v>
      </c>
      <c r="O2231">
        <v>6.4947980000000004E-3</v>
      </c>
      <c r="P2231">
        <v>-0.99331700000000001</v>
      </c>
      <c r="Q2231">
        <v>-1.551544E-2</v>
      </c>
      <c r="R2231">
        <v>-0.1143726</v>
      </c>
      <c r="S2231">
        <v>-2.961716</v>
      </c>
      <c r="T2231">
        <v>-7.4511530000000006E-2</v>
      </c>
      <c r="U2231">
        <v>-0.49789430000000001</v>
      </c>
      <c r="V2231">
        <v>-0.1208154</v>
      </c>
      <c r="W2231">
        <v>-5.5017149999999999E-3</v>
      </c>
      <c r="X2231">
        <v>0.99265970000000003</v>
      </c>
      <c r="Y2231">
        <v>-0.17210980000000001</v>
      </c>
      <c r="Z2231">
        <v>-3.1328990000000002E-3</v>
      </c>
      <c r="AA2231">
        <v>0.98507279999999997</v>
      </c>
      <c r="AB2231">
        <v>47</v>
      </c>
      <c r="AC2231">
        <v>-43.846400000000003</v>
      </c>
      <c r="AD2231">
        <v>-1.109500083758</v>
      </c>
      <c r="AE2231">
        <v>-7.41509999999999</v>
      </c>
      <c r="AF2231">
        <v>-7.6949418563488399</v>
      </c>
      <c r="AG2231">
        <v>-1.109500083758</v>
      </c>
      <c r="AH2231">
        <v>43.7700661057142</v>
      </c>
      <c r="AI2231">
        <v>91.430121149710203</v>
      </c>
      <c r="AJ2231">
        <v>99.970922587626802</v>
      </c>
      <c r="AK2231">
        <v>44.455166263405701</v>
      </c>
      <c r="AL2231">
        <v>90.315226654081201</v>
      </c>
      <c r="AM2231">
        <v>96.939269807025099</v>
      </c>
      <c r="AN2231">
        <v>0.99999995487459403</v>
      </c>
    </row>
    <row r="2232" spans="1:40" x14ac:dyDescent="0.25">
      <c r="A2232" t="str">
        <f>"20190305134943811"</f>
        <v>20190305134943811</v>
      </c>
      <c r="B2232" t="str">
        <f>"1551764983802588"</f>
        <v>1551764983802588</v>
      </c>
      <c r="C2232" t="s">
        <v>40</v>
      </c>
      <c r="D2232">
        <v>3.7652580000000002</v>
      </c>
      <c r="E2232">
        <v>0.48014609999999902</v>
      </c>
      <c r="F2232" t="s">
        <v>78</v>
      </c>
      <c r="G2232">
        <v>-298.90789999999998</v>
      </c>
      <c r="H2232" s="1">
        <v>4.8234320000000003E-6</v>
      </c>
      <c r="I2232">
        <v>277.9178</v>
      </c>
      <c r="J2232">
        <v>-255.6765</v>
      </c>
      <c r="K2232">
        <v>1.109534</v>
      </c>
      <c r="L2232">
        <v>285.24720000000002</v>
      </c>
      <c r="M2232">
        <v>-0.99992570000000003</v>
      </c>
      <c r="N2232">
        <v>-1.049082E-2</v>
      </c>
      <c r="O2232">
        <v>6.2233459999999899E-3</v>
      </c>
      <c r="P2232">
        <v>-0.9932936</v>
      </c>
      <c r="Q2232">
        <v>-1.6056790000000001E-2</v>
      </c>
      <c r="R2232">
        <v>-0.1144989</v>
      </c>
      <c r="S2232">
        <v>-2.9615480000000001</v>
      </c>
      <c r="T2232">
        <v>-7.5541849999999994E-2</v>
      </c>
      <c r="U2232">
        <v>-0.49893189999999998</v>
      </c>
      <c r="V2232">
        <v>-0.1206713</v>
      </c>
      <c r="W2232">
        <v>-5.7934309999999999E-3</v>
      </c>
      <c r="X2232">
        <v>0.99267559999999999</v>
      </c>
      <c r="Y2232">
        <v>-0.1721848</v>
      </c>
      <c r="Z2232">
        <v>-3.1828300000000002E-3</v>
      </c>
      <c r="AA2232">
        <v>0.98505949999999998</v>
      </c>
      <c r="AB2232">
        <v>47</v>
      </c>
      <c r="AC2232">
        <v>-43.231399999999901</v>
      </c>
      <c r="AD2232">
        <v>-1.109529176568</v>
      </c>
      <c r="AE2232">
        <v>-7.3294000000000201</v>
      </c>
      <c r="AF2232">
        <v>-7.5934548317293302</v>
      </c>
      <c r="AG2232">
        <v>-1.109529176568</v>
      </c>
      <c r="AH2232">
        <v>43.157313942179101</v>
      </c>
      <c r="AI2232">
        <v>91.450419820686307</v>
      </c>
      <c r="AJ2232">
        <v>99.978954539493103</v>
      </c>
      <c r="AK2232">
        <v>43.834294313687501</v>
      </c>
      <c r="AL2232">
        <v>90.331941006514995</v>
      </c>
      <c r="AM2232">
        <v>96.930963760283902</v>
      </c>
      <c r="AN2232">
        <v>0.99999998666089995</v>
      </c>
    </row>
    <row r="2233" spans="1:40" x14ac:dyDescent="0.25">
      <c r="A2233" t="str">
        <f>"20190305134943824"</f>
        <v>20190305134943824</v>
      </c>
      <c r="B2233" t="str">
        <f>"1551764983812349"</f>
        <v>1551764983812349</v>
      </c>
      <c r="C2233" t="s">
        <v>40</v>
      </c>
      <c r="D2233">
        <v>4.0369510000000002</v>
      </c>
      <c r="E2233">
        <v>0.48014609999999902</v>
      </c>
      <c r="F2233" t="s">
        <v>78</v>
      </c>
      <c r="G2233">
        <v>-298.43150000000003</v>
      </c>
      <c r="H2233" s="1">
        <v>4.6981900000000003E-6</v>
      </c>
      <c r="I2233">
        <v>278.03300000000002</v>
      </c>
      <c r="J2233">
        <v>-255.93819999999999</v>
      </c>
      <c r="K2233">
        <v>1.1095569999999999</v>
      </c>
      <c r="L2233">
        <v>285.24860000000001</v>
      </c>
      <c r="M2233">
        <v>-0.99992479999999995</v>
      </c>
      <c r="N2233">
        <v>-1.072066E-2</v>
      </c>
      <c r="O2233">
        <v>5.9548639999999998E-3</v>
      </c>
      <c r="P2233">
        <v>-0.99326420000000004</v>
      </c>
      <c r="Q2233">
        <v>-1.635992E-2</v>
      </c>
      <c r="R2233">
        <v>-0.11471149999999999</v>
      </c>
      <c r="S2233">
        <v>-2.9614259999999999</v>
      </c>
      <c r="T2233">
        <v>-7.6851489999999995E-2</v>
      </c>
      <c r="U2233">
        <v>-0.49969479999999999</v>
      </c>
      <c r="V2233">
        <v>-0.1206168</v>
      </c>
      <c r="W2233">
        <v>-5.8725269999999998E-3</v>
      </c>
      <c r="X2233">
        <v>0.9926817</v>
      </c>
      <c r="Y2233">
        <v>-0.17217099999999999</v>
      </c>
      <c r="Z2233">
        <v>-3.237621E-3</v>
      </c>
      <c r="AA2233">
        <v>0.98506179999999999</v>
      </c>
      <c r="AB2233">
        <v>47</v>
      </c>
      <c r="AC2233">
        <v>-42.493299999999998</v>
      </c>
      <c r="AD2233">
        <v>-1.10955230181</v>
      </c>
      <c r="AE2233">
        <v>-7.2155999999999896</v>
      </c>
      <c r="AF2233">
        <v>-7.4635823859923898</v>
      </c>
      <c r="AG2233">
        <v>-1.10955230181</v>
      </c>
      <c r="AH2233">
        <v>42.421463894535101</v>
      </c>
      <c r="AI2233">
        <v>91.475601145035995</v>
      </c>
      <c r="AJ2233">
        <v>99.978429328252801</v>
      </c>
      <c r="AK2233">
        <v>43.087315619545002</v>
      </c>
      <c r="AL2233">
        <v>90.336472970298999</v>
      </c>
      <c r="AM2233">
        <v>96.927821729308306</v>
      </c>
      <c r="AN2233">
        <v>0.99999992826524498</v>
      </c>
    </row>
    <row r="2234" spans="1:40" x14ac:dyDescent="0.25">
      <c r="A2234" t="str">
        <f>"20190305134943841"</f>
        <v>20190305134943841</v>
      </c>
      <c r="B2234" t="str">
        <f>"1551764983832847"</f>
        <v>1551764983832847</v>
      </c>
      <c r="C2234" t="s">
        <v>40</v>
      </c>
      <c r="D2234">
        <v>3.8115779999999999</v>
      </c>
      <c r="E2234">
        <v>0.48133369999999998</v>
      </c>
      <c r="F2234" t="s">
        <v>78</v>
      </c>
      <c r="G2234">
        <v>-298.20670000000001</v>
      </c>
      <c r="H2234" s="1">
        <v>4.6313610000000002E-6</v>
      </c>
      <c r="I2234">
        <v>278.10919999999999</v>
      </c>
      <c r="J2234">
        <v>-256.31180000000001</v>
      </c>
      <c r="K2234">
        <v>1.1095839999999999</v>
      </c>
      <c r="L2234">
        <v>285.25049999999999</v>
      </c>
      <c r="M2234">
        <v>-0.99992380000000003</v>
      </c>
      <c r="N2234">
        <v>-1.102416E-2</v>
      </c>
      <c r="O2234">
        <v>5.5698659999999997E-3</v>
      </c>
      <c r="P2234">
        <v>-0.99331760000000002</v>
      </c>
      <c r="Q2234">
        <v>-1.6880389999999999E-2</v>
      </c>
      <c r="R2234">
        <v>-0.1141728</v>
      </c>
      <c r="S2234">
        <v>-2.9613040000000002</v>
      </c>
      <c r="T2234">
        <v>-7.7734590000000006E-2</v>
      </c>
      <c r="U2234">
        <v>-0.50018309999999999</v>
      </c>
      <c r="V2234">
        <v>-0.119696</v>
      </c>
      <c r="W2234">
        <v>-6.0942919999999899E-3</v>
      </c>
      <c r="X2234">
        <v>0.99279189999999995</v>
      </c>
      <c r="Y2234">
        <v>-0.1719542</v>
      </c>
      <c r="Z2234">
        <v>-3.27962E-3</v>
      </c>
      <c r="AA2234">
        <v>0.98509950000000002</v>
      </c>
      <c r="AB2234">
        <v>47</v>
      </c>
      <c r="AC2234">
        <v>-41.8949</v>
      </c>
      <c r="AD2234">
        <v>-1.1095793686390001</v>
      </c>
      <c r="AE2234">
        <v>-7.1413000000000002</v>
      </c>
      <c r="AF2234">
        <v>-7.3695289822263801</v>
      </c>
      <c r="AG2234">
        <v>-1.1095793686390001</v>
      </c>
      <c r="AH2234">
        <v>41.825961278644399</v>
      </c>
      <c r="AI2234">
        <v>91.496571747383996</v>
      </c>
      <c r="AJ2234">
        <v>99.992670879282201</v>
      </c>
      <c r="AK2234">
        <v>42.484728558363699</v>
      </c>
      <c r="AL2234">
        <v>90.349179367033003</v>
      </c>
      <c r="AM2234">
        <v>96.874686386599905</v>
      </c>
      <c r="AN2234">
        <v>1.0000000147582899</v>
      </c>
    </row>
    <row r="2235" spans="1:40" x14ac:dyDescent="0.25">
      <c r="A2235" t="str">
        <f>"20190305134943854"</f>
        <v>20190305134943854</v>
      </c>
      <c r="B2235" t="str">
        <f>"1551764983842604"</f>
        <v>1551764983842604</v>
      </c>
      <c r="C2235" t="s">
        <v>40</v>
      </c>
      <c r="D2235">
        <v>3.813107</v>
      </c>
      <c r="E2235">
        <v>0.5441838</v>
      </c>
      <c r="F2235" t="s">
        <v>78</v>
      </c>
      <c r="G2235">
        <v>-298.56630000000001</v>
      </c>
      <c r="H2235" s="1">
        <v>4.6377350000000004E-6</v>
      </c>
      <c r="I2235">
        <v>278.27159999999998</v>
      </c>
      <c r="J2235">
        <v>-256.56740000000002</v>
      </c>
      <c r="K2235">
        <v>1.109599</v>
      </c>
      <c r="L2235">
        <v>285.2518</v>
      </c>
      <c r="M2235">
        <v>-0.99992309999999995</v>
      </c>
      <c r="N2235">
        <v>-1.121605E-2</v>
      </c>
      <c r="O2235">
        <v>5.3054360000000002E-3</v>
      </c>
      <c r="P2235">
        <v>-0.99333329999999997</v>
      </c>
      <c r="Q2235">
        <v>-1.704396E-2</v>
      </c>
      <c r="R2235">
        <v>-0.114011</v>
      </c>
      <c r="S2235">
        <v>-2.9626160000000001</v>
      </c>
      <c r="T2235">
        <v>-7.7796699999999996E-2</v>
      </c>
      <c r="U2235">
        <v>-0.4893188</v>
      </c>
      <c r="V2235">
        <v>-0.1192718</v>
      </c>
      <c r="W2235">
        <v>-6.0689709999999899E-3</v>
      </c>
      <c r="X2235">
        <v>0.99284309999999998</v>
      </c>
      <c r="Y2235">
        <v>-0.1681076</v>
      </c>
      <c r="Z2235">
        <v>-3.2206159999999999E-3</v>
      </c>
      <c r="AA2235">
        <v>0.98576339999999996</v>
      </c>
      <c r="AB2235">
        <v>47</v>
      </c>
      <c r="AC2235">
        <v>-41.9988999999999</v>
      </c>
      <c r="AD2235">
        <v>-1.109594362265</v>
      </c>
      <c r="AE2235">
        <v>-6.9802000000000204</v>
      </c>
      <c r="AF2235">
        <v>-7.1980490681884399</v>
      </c>
      <c r="AG2235">
        <v>-1.109594362265</v>
      </c>
      <c r="AH2235">
        <v>41.932791346517398</v>
      </c>
      <c r="AI2235">
        <v>91.493924503236897</v>
      </c>
      <c r="AJ2235">
        <v>99.740281668999103</v>
      </c>
      <c r="AK2235">
        <v>42.560569781752001</v>
      </c>
      <c r="AL2235">
        <v>90.347728556158103</v>
      </c>
      <c r="AM2235">
        <v>96.850204669709996</v>
      </c>
      <c r="AN2235">
        <v>1.0000000079509199</v>
      </c>
    </row>
    <row r="2236" spans="1:40" x14ac:dyDescent="0.25">
      <c r="A2236" t="str">
        <f>"20190305134943866"</f>
        <v>20190305134943866</v>
      </c>
      <c r="B2236" t="str">
        <f>"1551764983863100"</f>
        <v>1551764983863100</v>
      </c>
      <c r="C2236" t="s">
        <v>40</v>
      </c>
      <c r="D2236">
        <v>3.785231</v>
      </c>
      <c r="E2236">
        <v>0.54386129999999999</v>
      </c>
      <c r="F2236" t="s">
        <v>78</v>
      </c>
      <c r="G2236">
        <v>-284.9101</v>
      </c>
      <c r="H2236" s="1">
        <v>6.0701359999999998E-6</v>
      </c>
      <c r="I2236">
        <v>285.36500000000001</v>
      </c>
      <c r="J2236">
        <v>-256.82830000000001</v>
      </c>
      <c r="K2236">
        <v>1.109612</v>
      </c>
      <c r="L2236">
        <v>285.25299999999999</v>
      </c>
      <c r="M2236">
        <v>-0.99992259999999999</v>
      </c>
      <c r="N2236">
        <v>-1.139685E-2</v>
      </c>
      <c r="O2236">
        <v>5.0339290000000004E-3</v>
      </c>
      <c r="P2236">
        <v>-0.99333269999999996</v>
      </c>
      <c r="Q2236">
        <v>-1.7315170000000001E-2</v>
      </c>
      <c r="R2236">
        <v>-0.11397690000000001</v>
      </c>
      <c r="S2236">
        <v>-3.019501</v>
      </c>
      <c r="T2236">
        <v>-0.11821089999999999</v>
      </c>
      <c r="U2236">
        <v>1.205444E-2</v>
      </c>
      <c r="V2236">
        <v>-0.1189678</v>
      </c>
      <c r="W2236">
        <v>-6.1621059999999997E-3</v>
      </c>
      <c r="X2236">
        <v>0.99287899999999996</v>
      </c>
      <c r="Y2236">
        <v>-1.0391350000000001E-3</v>
      </c>
      <c r="Z2236">
        <v>-1.6589679999999999E-4</v>
      </c>
      <c r="AA2236">
        <v>0.99999950000000004</v>
      </c>
      <c r="AB2236">
        <v>47</v>
      </c>
      <c r="AC2236">
        <v>-28.081799999999902</v>
      </c>
      <c r="AD2236">
        <v>-1.109605929864</v>
      </c>
      <c r="AE2236">
        <v>0.112000000000023</v>
      </c>
      <c r="AF2236">
        <v>-2.9326570449368001E-2</v>
      </c>
      <c r="AG2236">
        <v>-1.109605929864</v>
      </c>
      <c r="AH2236">
        <v>28.0382324591491</v>
      </c>
      <c r="AI2236">
        <v>92.266282059392495</v>
      </c>
      <c r="AJ2236">
        <v>90.059928460327797</v>
      </c>
      <c r="AK2236">
        <v>28.060195380656399</v>
      </c>
      <c r="AL2236">
        <v>90.353064898027895</v>
      </c>
      <c r="AM2236">
        <v>96.832665422675404</v>
      </c>
      <c r="AN2236">
        <v>1.0000000088140899</v>
      </c>
    </row>
    <row r="2237" spans="1:40" x14ac:dyDescent="0.25">
      <c r="A2237" t="str">
        <f>"20190305134943886"</f>
        <v>20190305134943886</v>
      </c>
      <c r="B2237" t="str">
        <f>"1551764983882620"</f>
        <v>1551764983882620</v>
      </c>
      <c r="C2237" t="s">
        <v>40</v>
      </c>
      <c r="D2237">
        <v>3.575364</v>
      </c>
      <c r="E2237">
        <v>0.54347539999999905</v>
      </c>
      <c r="F2237" t="s">
        <v>78</v>
      </c>
      <c r="G2237">
        <v>-287.70330000000001</v>
      </c>
      <c r="H2237" s="1">
        <v>4.8358910000000001E-6</v>
      </c>
      <c r="I2237">
        <v>285.34350000000001</v>
      </c>
      <c r="J2237">
        <v>-257.24680000000001</v>
      </c>
      <c r="K2237">
        <v>1.109632</v>
      </c>
      <c r="L2237">
        <v>285.25479999999999</v>
      </c>
      <c r="M2237">
        <v>-0.99992159999999997</v>
      </c>
      <c r="N2237">
        <v>-1.1659320000000001E-2</v>
      </c>
      <c r="O2237">
        <v>4.5968609999999998E-3</v>
      </c>
      <c r="P2237">
        <v>-0.99334730000000004</v>
      </c>
      <c r="Q2237">
        <v>-1.7493720000000001E-2</v>
      </c>
      <c r="R2237">
        <v>-0.1138218</v>
      </c>
      <c r="S2237">
        <v>-3.0192570000000001</v>
      </c>
      <c r="T2237">
        <v>-0.10850799999999999</v>
      </c>
      <c r="U2237">
        <v>8.8500980000000007E-3</v>
      </c>
      <c r="V2237">
        <v>-0.1183789</v>
      </c>
      <c r="W2237">
        <v>-6.0811750000000003E-3</v>
      </c>
      <c r="X2237">
        <v>0.99294990000000005</v>
      </c>
      <c r="Y2237">
        <v>-1.6632029999999901E-3</v>
      </c>
      <c r="Z2237">
        <v>-1.5114139999999901E-4</v>
      </c>
      <c r="AA2237">
        <v>0.99999859999999896</v>
      </c>
      <c r="AB2237">
        <v>47</v>
      </c>
      <c r="AC2237">
        <v>-30.456499999999998</v>
      </c>
      <c r="AD2237">
        <v>-1.1096271641090001</v>
      </c>
      <c r="AE2237">
        <v>8.8700000000017099E-2</v>
      </c>
      <c r="AF2237">
        <v>-5.12467088850296E-2</v>
      </c>
      <c r="AG2237">
        <v>-1.1096271641090001</v>
      </c>
      <c r="AH2237">
        <v>30.416212506002601</v>
      </c>
      <c r="AI2237">
        <v>92.089302898928395</v>
      </c>
      <c r="AJ2237">
        <v>90.096534614692999</v>
      </c>
      <c r="AK2237">
        <v>30.4364893159314</v>
      </c>
      <c r="AL2237">
        <v>90.348427801059003</v>
      </c>
      <c r="AM2237">
        <v>96.798679657292794</v>
      </c>
      <c r="AN2237">
        <v>1.0000000242822999</v>
      </c>
    </row>
    <row r="2238" spans="1:40" x14ac:dyDescent="0.25">
      <c r="A2238" t="str">
        <f>"20190305134943899"</f>
        <v>20190305134943899</v>
      </c>
      <c r="B2238" t="str">
        <f>"1551764983893356"</f>
        <v>1551764983893356</v>
      </c>
      <c r="C2238" t="s">
        <v>40</v>
      </c>
      <c r="D2238">
        <v>3.5543290000000001</v>
      </c>
      <c r="E2238">
        <v>0.54268729999999998</v>
      </c>
      <c r="F2238" t="s">
        <v>78</v>
      </c>
      <c r="G2238">
        <v>-288.78059999999999</v>
      </c>
      <c r="H2238" s="1">
        <v>4.3631130000000004E-6</v>
      </c>
      <c r="I2238">
        <v>285.31950000000001</v>
      </c>
      <c r="J2238">
        <v>-257.50979999999998</v>
      </c>
      <c r="K2238">
        <v>1.1096429999999999</v>
      </c>
      <c r="L2238">
        <v>285.25569999999999</v>
      </c>
      <c r="M2238">
        <v>-0.99992099999999995</v>
      </c>
      <c r="N2238">
        <v>-1.180693E-2</v>
      </c>
      <c r="O2238">
        <v>4.3214639999999997E-3</v>
      </c>
      <c r="P2238">
        <v>-0.99330260000000004</v>
      </c>
      <c r="Q2238">
        <v>-1.7566109999999999E-2</v>
      </c>
      <c r="R2238">
        <v>-0.1141993</v>
      </c>
      <c r="S2238">
        <v>-3.0189210000000002</v>
      </c>
      <c r="T2238">
        <v>-0.106231199999999</v>
      </c>
      <c r="U2238">
        <v>6.1950679999999998E-3</v>
      </c>
      <c r="V2238">
        <v>-0.11848259999999999</v>
      </c>
      <c r="W2238">
        <v>-6.0086050000000002E-3</v>
      </c>
      <c r="X2238">
        <v>0.99293790000000004</v>
      </c>
      <c r="Y2238">
        <v>-2.2666449999999999E-3</v>
      </c>
      <c r="Z2238">
        <v>-1.5425789999999999E-4</v>
      </c>
      <c r="AA2238">
        <v>0.99999740000000004</v>
      </c>
      <c r="AB2238">
        <v>47</v>
      </c>
      <c r="AC2238">
        <v>-31.270800000000001</v>
      </c>
      <c r="AD2238">
        <v>-1.1096386368869999</v>
      </c>
      <c r="AE2238">
        <v>6.3800000000014706E-2</v>
      </c>
      <c r="AF2238">
        <v>-7.1255923605204094E-2</v>
      </c>
      <c r="AG2238">
        <v>-1.1096386368869999</v>
      </c>
      <c r="AH2238">
        <v>31.231458071902601</v>
      </c>
      <c r="AI2238">
        <v>92.034830176147196</v>
      </c>
      <c r="AJ2238">
        <v>90.130722574478796</v>
      </c>
      <c r="AK2238">
        <v>31.251245552907601</v>
      </c>
      <c r="AL2238">
        <v>90.344269795511394</v>
      </c>
      <c r="AM2238">
        <v>96.804660951009396</v>
      </c>
      <c r="AN2238">
        <v>0.99999995154660604</v>
      </c>
    </row>
    <row r="2239" spans="1:40" x14ac:dyDescent="0.25">
      <c r="A2239" t="str">
        <f>"20190305134943911"</f>
        <v>20190305134943911</v>
      </c>
      <c r="B2239" t="str">
        <f>"1551764983903116"</f>
        <v>1551764983903116</v>
      </c>
      <c r="C2239" t="s">
        <v>40</v>
      </c>
      <c r="D2239">
        <v>3.5722800000000001</v>
      </c>
      <c r="E2239">
        <v>0.54231439999999997</v>
      </c>
      <c r="F2239" t="s">
        <v>47</v>
      </c>
      <c r="G2239">
        <v>0</v>
      </c>
      <c r="H2239">
        <v>0</v>
      </c>
      <c r="I2239">
        <v>0</v>
      </c>
      <c r="J2239">
        <v>-257.78089999999997</v>
      </c>
      <c r="K2239">
        <v>1.1096490000000001</v>
      </c>
      <c r="L2239">
        <v>285.25670000000002</v>
      </c>
      <c r="M2239">
        <v>-0.99992049999999999</v>
      </c>
      <c r="N2239">
        <v>-1.1951069999999999E-2</v>
      </c>
      <c r="O2239">
        <v>4.0371449999999998E-3</v>
      </c>
      <c r="P2239">
        <v>-0.99325640000000004</v>
      </c>
      <c r="Q2239">
        <v>-1.7526440000000001E-2</v>
      </c>
      <c r="R2239">
        <v>-0.1146071</v>
      </c>
      <c r="S2239">
        <v>-3.0248409999999999</v>
      </c>
      <c r="T2239">
        <v>0.47160600000000003</v>
      </c>
      <c r="U2239">
        <v>-3.2226560000000001E-2</v>
      </c>
      <c r="V2239">
        <v>-0.118608199999999</v>
      </c>
      <c r="W2239">
        <v>-5.8273539999999999E-3</v>
      </c>
      <c r="X2239">
        <v>0.99292400000000003</v>
      </c>
      <c r="Y2239">
        <v>-1.447268E-2</v>
      </c>
      <c r="Z2239">
        <v>1.7080299999999999E-3</v>
      </c>
      <c r="AA2239">
        <v>0.99989380000000005</v>
      </c>
      <c r="AB2239">
        <v>47</v>
      </c>
      <c r="AC2239">
        <v>-3.0248409999999999</v>
      </c>
      <c r="AD2239">
        <v>0.47160600000000003</v>
      </c>
      <c r="AE2239">
        <v>-3.2226560000000001E-2</v>
      </c>
      <c r="AF2239">
        <v>-4.3384411371326301E-2</v>
      </c>
      <c r="AG2239">
        <v>0.47160600000000003</v>
      </c>
      <c r="AH2239">
        <v>2.9529142281407399</v>
      </c>
      <c r="AI2239">
        <v>80.926962120676905</v>
      </c>
      <c r="AJ2239">
        <v>90.8417328254274</v>
      </c>
      <c r="AK2239">
        <v>2.9906515786935199</v>
      </c>
      <c r="AL2239">
        <v>90.333884690821506</v>
      </c>
      <c r="AM2239">
        <v>96.811901094699294</v>
      </c>
      <c r="AN2239">
        <v>0.99999996646893996</v>
      </c>
    </row>
    <row r="2240" spans="1:40" x14ac:dyDescent="0.25">
      <c r="A2240" t="str">
        <f>"20190305134943931"</f>
        <v>20190305134943931</v>
      </c>
      <c r="B2240" t="str">
        <f>"1551764983922635"</f>
        <v>1551764983922635</v>
      </c>
      <c r="C2240" t="s">
        <v>40</v>
      </c>
      <c r="D2240">
        <v>3.896417</v>
      </c>
      <c r="E2240">
        <v>0.54341719999999905</v>
      </c>
      <c r="F2240" t="s">
        <v>47</v>
      </c>
      <c r="G2240">
        <v>0</v>
      </c>
      <c r="H2240">
        <v>0</v>
      </c>
      <c r="I2240">
        <v>0</v>
      </c>
      <c r="J2240">
        <v>-258.20409999999998</v>
      </c>
      <c r="K2240">
        <v>1.1096649999999999</v>
      </c>
      <c r="L2240">
        <v>285.25810000000001</v>
      </c>
      <c r="M2240">
        <v>-0.99991969999999997</v>
      </c>
      <c r="N2240">
        <v>-1.214851E-2</v>
      </c>
      <c r="O2240">
        <v>3.5932350000000002E-3</v>
      </c>
      <c r="P2240">
        <v>-0.99318090000000003</v>
      </c>
      <c r="Q2240">
        <v>-1.705361E-2</v>
      </c>
      <c r="R2240">
        <v>-0.1153301</v>
      </c>
      <c r="S2240">
        <v>-3.0244749999999998</v>
      </c>
      <c r="T2240">
        <v>0.47318379999999999</v>
      </c>
      <c r="U2240">
        <v>-3.6590579999999998E-2</v>
      </c>
      <c r="V2240">
        <v>-0.11889089999999999</v>
      </c>
      <c r="W2240">
        <v>-5.1607390000000001E-3</v>
      </c>
      <c r="X2240">
        <v>0.9928939</v>
      </c>
      <c r="Y2240">
        <v>-1.546634E-2</v>
      </c>
      <c r="Z2240">
        <v>1.710151E-3</v>
      </c>
      <c r="AA2240">
        <v>0.99987890000000001</v>
      </c>
      <c r="AB2240">
        <v>47</v>
      </c>
      <c r="AC2240">
        <v>-3.0244749999999998</v>
      </c>
      <c r="AD2240">
        <v>0.47318379999999999</v>
      </c>
      <c r="AE2240">
        <v>-3.6590579999999998E-2</v>
      </c>
      <c r="AF2240">
        <v>-4.6325059163937699E-2</v>
      </c>
      <c r="AG2240">
        <v>0.47318379999999999</v>
      </c>
      <c r="AH2240">
        <v>2.9520763282714699</v>
      </c>
      <c r="AI2240">
        <v>80.894710450213793</v>
      </c>
      <c r="AJ2240">
        <v>90.899032492553303</v>
      </c>
      <c r="AK2240">
        <v>2.99011765113511</v>
      </c>
      <c r="AL2240">
        <v>90.295689879957905</v>
      </c>
      <c r="AM2240">
        <v>96.828189044406599</v>
      </c>
      <c r="AN2240">
        <v>0.99999998799352297</v>
      </c>
    </row>
    <row r="2241" spans="1:40" x14ac:dyDescent="0.25">
      <c r="A2241" t="str">
        <f>"20190305134943943"</f>
        <v>20190305134943943</v>
      </c>
      <c r="B2241" t="str">
        <f>"1551764983932903"</f>
        <v>1551764983932903</v>
      </c>
      <c r="C2241" t="s">
        <v>40</v>
      </c>
      <c r="D2241">
        <v>3.589137</v>
      </c>
      <c r="E2241">
        <v>0.54400749999999998</v>
      </c>
      <c r="F2241" t="s">
        <v>47</v>
      </c>
      <c r="G2241">
        <v>0</v>
      </c>
      <c r="H2241">
        <v>0</v>
      </c>
      <c r="I2241">
        <v>0</v>
      </c>
      <c r="J2241">
        <v>-258.4599</v>
      </c>
      <c r="K2241">
        <v>1.109677</v>
      </c>
      <c r="L2241">
        <v>285.25880000000001</v>
      </c>
      <c r="M2241">
        <v>-0.99991960000000002</v>
      </c>
      <c r="N2241">
        <v>-1.224538E-2</v>
      </c>
      <c r="O2241">
        <v>3.3247939999999998E-3</v>
      </c>
      <c r="P2241">
        <v>-0.99313269999999998</v>
      </c>
      <c r="Q2241">
        <v>-1.6875979999999999E-2</v>
      </c>
      <c r="R2241">
        <v>-0.1157738</v>
      </c>
      <c r="S2241">
        <v>-3.025299</v>
      </c>
      <c r="T2241">
        <v>0.4779215</v>
      </c>
      <c r="U2241">
        <v>-3.0029299999999998E-2</v>
      </c>
      <c r="V2241">
        <v>-0.1190681</v>
      </c>
      <c r="W2241">
        <v>-4.8881999999999997E-3</v>
      </c>
      <c r="X2241">
        <v>0.99287409999999998</v>
      </c>
      <c r="Y2241">
        <v>-1.305336E-2</v>
      </c>
      <c r="Z2241">
        <v>1.506723E-3</v>
      </c>
      <c r="AA2241">
        <v>0.99991370000000002</v>
      </c>
      <c r="AB2241">
        <v>47</v>
      </c>
      <c r="AC2241">
        <v>-3.025299</v>
      </c>
      <c r="AD2241">
        <v>0.4779215</v>
      </c>
      <c r="AE2241">
        <v>-3.0029299999999998E-2</v>
      </c>
      <c r="AF2241">
        <v>-3.91123870646327E-2</v>
      </c>
      <c r="AG2241">
        <v>0.4779215</v>
      </c>
      <c r="AH2241">
        <v>2.9515310129558801</v>
      </c>
      <c r="AI2241">
        <v>80.803105436966405</v>
      </c>
      <c r="AJ2241">
        <v>90.759213958755794</v>
      </c>
      <c r="AK2241">
        <v>2.99022976699526</v>
      </c>
      <c r="AL2241">
        <v>90.280074332838495</v>
      </c>
      <c r="AM2241">
        <v>96.838404844015699</v>
      </c>
      <c r="AN2241">
        <v>1.00000004269382</v>
      </c>
    </row>
    <row r="2242" spans="1:40" x14ac:dyDescent="0.25">
      <c r="A2242" t="str">
        <f>"20190305134943965"</f>
        <v>20190305134943965</v>
      </c>
      <c r="B2242" t="str">
        <f>"1551764983952423"</f>
        <v>1551764983952423</v>
      </c>
      <c r="C2242" t="s">
        <v>40</v>
      </c>
      <c r="D2242">
        <v>3.5793910000000002</v>
      </c>
      <c r="E2242">
        <v>0.54459880000000005</v>
      </c>
      <c r="F2242" t="s">
        <v>47</v>
      </c>
      <c r="G2242">
        <v>0</v>
      </c>
      <c r="H2242">
        <v>0</v>
      </c>
      <c r="I2242">
        <v>0</v>
      </c>
      <c r="J2242">
        <v>-258.90780000000001</v>
      </c>
      <c r="K2242">
        <v>1.1094569999999999</v>
      </c>
      <c r="L2242">
        <v>285.25990000000002</v>
      </c>
      <c r="M2242">
        <v>-0.99992840000000005</v>
      </c>
      <c r="N2242">
        <v>-1.1621609999999999E-2</v>
      </c>
      <c r="O2242">
        <v>2.8648079999999999E-3</v>
      </c>
      <c r="P2242">
        <v>-0.99302789999999996</v>
      </c>
      <c r="Q2242">
        <v>-1.610408E-2</v>
      </c>
      <c r="R2242">
        <v>-0.1167747</v>
      </c>
      <c r="S2242">
        <v>-3.0258479999999999</v>
      </c>
      <c r="T2242">
        <v>0.48261949999999998</v>
      </c>
      <c r="U2242">
        <v>-2.6672359999999999E-2</v>
      </c>
      <c r="V2242">
        <v>-0.1196131</v>
      </c>
      <c r="W2242">
        <v>-4.7323670000000003E-3</v>
      </c>
      <c r="X2242">
        <v>0.99280930000000001</v>
      </c>
      <c r="Y2242">
        <v>-1.1503009999999999E-2</v>
      </c>
      <c r="Z2242">
        <v>1.331472E-3</v>
      </c>
      <c r="AA2242">
        <v>0.99993290000000001</v>
      </c>
      <c r="AB2242">
        <v>47</v>
      </c>
      <c r="AC2242">
        <v>-3.0258479999999999</v>
      </c>
      <c r="AD2242">
        <v>0.48261949999999998</v>
      </c>
      <c r="AE2242">
        <v>-2.6672359999999999E-2</v>
      </c>
      <c r="AF2242">
        <v>-3.4464601102231297E-2</v>
      </c>
      <c r="AG2242">
        <v>0.48261949999999998</v>
      </c>
      <c r="AH2242">
        <v>2.95069947790636</v>
      </c>
      <c r="AI2242">
        <v>80.711516692363901</v>
      </c>
      <c r="AJ2242">
        <v>90.669192647017795</v>
      </c>
      <c r="AK2242">
        <v>2.9901064863021598</v>
      </c>
      <c r="AL2242">
        <v>90.271145668934807</v>
      </c>
      <c r="AM2242">
        <v>96.869851329265401</v>
      </c>
      <c r="AN2242">
        <v>0.99999999757776104</v>
      </c>
    </row>
    <row r="2243" spans="1:40" x14ac:dyDescent="0.25">
      <c r="A2243" t="str">
        <f>"20190305134943987"</f>
        <v>20190305134943987</v>
      </c>
      <c r="B2243" t="str">
        <f>"1551764983982680"</f>
        <v>1551764983982680</v>
      </c>
      <c r="C2243" t="s">
        <v>40</v>
      </c>
      <c r="D2243">
        <v>3.5789260000000001</v>
      </c>
      <c r="E2243">
        <v>0.54516880000000001</v>
      </c>
      <c r="F2243" t="s">
        <v>47</v>
      </c>
      <c r="G2243">
        <v>0</v>
      </c>
      <c r="H2243">
        <v>0</v>
      </c>
      <c r="I2243">
        <v>0</v>
      </c>
      <c r="J2243">
        <v>-259.3646</v>
      </c>
      <c r="K2243">
        <v>1.1090990000000001</v>
      </c>
      <c r="L2243">
        <v>285.26089999999999</v>
      </c>
      <c r="M2243">
        <v>-0.99994329999999998</v>
      </c>
      <c r="N2243">
        <v>-1.038391E-2</v>
      </c>
      <c r="O2243">
        <v>2.4128719999999999E-3</v>
      </c>
      <c r="P2243">
        <v>-0.99294680000000002</v>
      </c>
      <c r="Q2243">
        <v>-1.438351E-2</v>
      </c>
      <c r="R2243">
        <v>-0.11768579999999999</v>
      </c>
      <c r="S2243">
        <v>-3.026062</v>
      </c>
      <c r="T2243">
        <v>0.48809950000000002</v>
      </c>
      <c r="U2243">
        <v>-2.478027E-2</v>
      </c>
      <c r="V2243">
        <v>-0.1200758</v>
      </c>
      <c r="W2243">
        <v>-4.2324490000000001E-3</v>
      </c>
      <c r="X2243">
        <v>0.99275570000000002</v>
      </c>
      <c r="Y2243">
        <v>-1.0440110000000001E-2</v>
      </c>
      <c r="Z2243">
        <v>1.193607E-3</v>
      </c>
      <c r="AA2243">
        <v>0.99994479999999997</v>
      </c>
      <c r="AB2243">
        <v>47</v>
      </c>
      <c r="AC2243">
        <v>-3.026062</v>
      </c>
      <c r="AD2243">
        <v>0.48809950000000002</v>
      </c>
      <c r="AE2243">
        <v>-2.478027E-2</v>
      </c>
      <c r="AF2243">
        <v>-3.1268622448486702E-2</v>
      </c>
      <c r="AG2243">
        <v>0.48809950000000002</v>
      </c>
      <c r="AH2243">
        <v>2.9492667838620199</v>
      </c>
      <c r="AI2243">
        <v>80.603325734847601</v>
      </c>
      <c r="AJ2243">
        <v>90.607436731212601</v>
      </c>
      <c r="AK2243">
        <v>2.98954735888928</v>
      </c>
      <c r="AL2243">
        <v>90.242502189784105</v>
      </c>
      <c r="AM2243">
        <v>96.896539332836298</v>
      </c>
      <c r="AN2243">
        <v>0.99999999562633302</v>
      </c>
    </row>
    <row r="2244" spans="1:40" x14ac:dyDescent="0.25">
      <c r="A2244" t="str">
        <f>"20190305134943999"</f>
        <v>20190305134943999</v>
      </c>
      <c r="B2244" t="str">
        <f>"1551764983992440"</f>
        <v>1551764983992440</v>
      </c>
      <c r="C2244" t="s">
        <v>40</v>
      </c>
      <c r="D2244">
        <v>3.571053</v>
      </c>
      <c r="E2244">
        <v>0.54524879999999998</v>
      </c>
      <c r="F2244" t="s">
        <v>47</v>
      </c>
      <c r="G2244">
        <v>0</v>
      </c>
      <c r="H2244">
        <v>0</v>
      </c>
      <c r="I2244">
        <v>0</v>
      </c>
      <c r="J2244">
        <v>-259.62520000000001</v>
      </c>
      <c r="K2244">
        <v>1.1089059999999999</v>
      </c>
      <c r="L2244">
        <v>285.26139999999998</v>
      </c>
      <c r="M2244">
        <v>-0.99995140000000005</v>
      </c>
      <c r="N2244">
        <v>-9.6256310000000008E-3</v>
      </c>
      <c r="O2244">
        <v>2.1545230000000002E-3</v>
      </c>
      <c r="P2244">
        <v>-0.99292460000000005</v>
      </c>
      <c r="Q2244">
        <v>-1.3150739999999999E-2</v>
      </c>
      <c r="R2244">
        <v>-0.1180181</v>
      </c>
      <c r="S2244">
        <v>-3.0257869999999998</v>
      </c>
      <c r="T2244">
        <v>0.49792910000000001</v>
      </c>
      <c r="U2244">
        <v>-2.3071290000000001E-2</v>
      </c>
      <c r="V2244">
        <v>-0.1201523</v>
      </c>
      <c r="W2244">
        <v>-3.7468089999999998E-3</v>
      </c>
      <c r="X2244">
        <v>0.99274839999999998</v>
      </c>
      <c r="Y2244">
        <v>-9.6249679999999994E-3</v>
      </c>
      <c r="Z2244">
        <v>1.1128049999999999E-3</v>
      </c>
      <c r="AA2244">
        <v>0.99995299999999998</v>
      </c>
      <c r="AB2244">
        <v>47</v>
      </c>
      <c r="AC2244">
        <v>-3.0257869999999998</v>
      </c>
      <c r="AD2244">
        <v>0.49792910000000001</v>
      </c>
      <c r="AE2244">
        <v>-2.3071290000000001E-2</v>
      </c>
      <c r="AF2244">
        <v>-2.8810505378100301E-2</v>
      </c>
      <c r="AG2244">
        <v>0.49792910000000001</v>
      </c>
      <c r="AH2244">
        <v>2.9459566263173098</v>
      </c>
      <c r="AI2244">
        <v>80.406920042936903</v>
      </c>
      <c r="AJ2244">
        <v>90.560316375999093</v>
      </c>
      <c r="AK2244">
        <v>2.98787949522564</v>
      </c>
      <c r="AL2244">
        <v>90.214676844692804</v>
      </c>
      <c r="AM2244">
        <v>96.900941000434301</v>
      </c>
      <c r="AN2244">
        <v>0.99999999973776599</v>
      </c>
    </row>
    <row r="2245" spans="1:40" x14ac:dyDescent="0.25">
      <c r="A2245" t="str">
        <f>"20190305134944013"</f>
        <v>20190305134944013</v>
      </c>
      <c r="B2245" t="str">
        <f>"1551764984003176"</f>
        <v>1551764984003176</v>
      </c>
      <c r="C2245" t="s">
        <v>40</v>
      </c>
      <c r="D2245">
        <v>3.5832830000000002</v>
      </c>
      <c r="E2245">
        <v>0.5451511</v>
      </c>
      <c r="F2245" t="s">
        <v>47</v>
      </c>
      <c r="G2245">
        <v>0</v>
      </c>
      <c r="H2245">
        <v>0</v>
      </c>
      <c r="I2245">
        <v>0</v>
      </c>
      <c r="J2245">
        <v>-259.9504</v>
      </c>
      <c r="K2245">
        <v>1.108695</v>
      </c>
      <c r="L2245">
        <v>285.26209999999998</v>
      </c>
      <c r="M2245">
        <v>-0.99996050000000003</v>
      </c>
      <c r="N2245">
        <v>-8.7041900000000005E-3</v>
      </c>
      <c r="O2245">
        <v>1.8290349999999999E-3</v>
      </c>
      <c r="P2245">
        <v>-0.99293370000000003</v>
      </c>
      <c r="Q2245">
        <v>-1.177505E-2</v>
      </c>
      <c r="R2245">
        <v>-0.1180847</v>
      </c>
      <c r="S2245">
        <v>-3.0252690000000002</v>
      </c>
      <c r="T2245">
        <v>0.50127639999999996</v>
      </c>
      <c r="U2245">
        <v>-2.3223879999999999E-2</v>
      </c>
      <c r="V2245">
        <v>-0.1198973</v>
      </c>
      <c r="W2245">
        <v>-3.2789759999999999E-3</v>
      </c>
      <c r="X2245">
        <v>0.99278089999999997</v>
      </c>
      <c r="Y2245">
        <v>-9.3570370000000003E-3</v>
      </c>
      <c r="Z2245">
        <v>1.0457839999999999E-3</v>
      </c>
      <c r="AA2245">
        <v>0.9999557</v>
      </c>
      <c r="AB2245">
        <v>48</v>
      </c>
      <c r="AC2245">
        <v>-3.0252690000000002</v>
      </c>
      <c r="AD2245">
        <v>0.50127639999999996</v>
      </c>
      <c r="AE2245">
        <v>-2.3223879999999999E-2</v>
      </c>
      <c r="AF2245">
        <v>-2.7988972419814601E-2</v>
      </c>
      <c r="AG2245">
        <v>0.50127639999999996</v>
      </c>
      <c r="AH2245">
        <v>2.9443871307363501</v>
      </c>
      <c r="AI2245">
        <v>80.3385661044248</v>
      </c>
      <c r="AJ2245">
        <v>90.544630043933296</v>
      </c>
      <c r="AK2245">
        <v>2.98688416036175</v>
      </c>
      <c r="AL2245">
        <v>90.187871819798204</v>
      </c>
      <c r="AM2245">
        <v>96.8862126059594</v>
      </c>
      <c r="AN2245">
        <v>1.0000000148178501</v>
      </c>
    </row>
    <row r="2246" spans="1:40" x14ac:dyDescent="0.25">
      <c r="A2246" t="str">
        <f>"20190305134944031"</f>
        <v>20190305134944031</v>
      </c>
      <c r="B2246" t="str">
        <f>"1551764984022698"</f>
        <v>1551764984022698</v>
      </c>
      <c r="C2246" t="s">
        <v>40</v>
      </c>
      <c r="D2246">
        <v>3.7714819999999998</v>
      </c>
      <c r="E2246">
        <v>0.5452167</v>
      </c>
      <c r="F2246" t="s">
        <v>47</v>
      </c>
      <c r="G2246">
        <v>0</v>
      </c>
      <c r="H2246">
        <v>0</v>
      </c>
      <c r="I2246">
        <v>0</v>
      </c>
      <c r="J2246">
        <v>-260.33730000000003</v>
      </c>
      <c r="K2246">
        <v>1.1085100000000001</v>
      </c>
      <c r="L2246">
        <v>285.26260000000002</v>
      </c>
      <c r="M2246">
        <v>-0.99996929999999995</v>
      </c>
      <c r="N2246">
        <v>-7.7147550000000002E-3</v>
      </c>
      <c r="O2246">
        <v>1.433595E-3</v>
      </c>
      <c r="P2246">
        <v>-0.99297150000000001</v>
      </c>
      <c r="Q2246">
        <v>-1.048872E-2</v>
      </c>
      <c r="R2246">
        <v>-0.1178892</v>
      </c>
      <c r="S2246">
        <v>-3.0244450000000001</v>
      </c>
      <c r="T2246">
        <v>0.50436329999999996</v>
      </c>
      <c r="U2246">
        <v>-2.4291989999999999E-2</v>
      </c>
      <c r="V2246">
        <v>-0.119309</v>
      </c>
      <c r="W2246">
        <v>-2.9700999999999998E-3</v>
      </c>
      <c r="X2246">
        <v>0.99285270000000003</v>
      </c>
      <c r="Y2246">
        <v>-9.3208660000000006E-3</v>
      </c>
      <c r="Z2246">
        <v>9.8405960000000001E-4</v>
      </c>
      <c r="AA2246">
        <v>0.99995610000000001</v>
      </c>
      <c r="AB2246">
        <v>48</v>
      </c>
      <c r="AC2246">
        <v>-3.0244450000000001</v>
      </c>
      <c r="AD2246">
        <v>0.50436329999999996</v>
      </c>
      <c r="AE2246">
        <v>-2.4291989999999999E-2</v>
      </c>
      <c r="AF2246">
        <v>-2.7853380051421101E-2</v>
      </c>
      <c r="AG2246">
        <v>0.50436329999999996</v>
      </c>
      <c r="AH2246">
        <v>2.94258020963693</v>
      </c>
      <c r="AI2246">
        <v>80.274343549967995</v>
      </c>
      <c r="AJ2246">
        <v>90.542324541154201</v>
      </c>
      <c r="AK2246">
        <v>2.98562161690226</v>
      </c>
      <c r="AL2246">
        <v>90.1701744497921</v>
      </c>
      <c r="AM2246">
        <v>96.852255261122195</v>
      </c>
      <c r="AN2246">
        <v>0.99999997143614905</v>
      </c>
    </row>
    <row r="2247" spans="1:40" x14ac:dyDescent="0.25">
      <c r="A2247" t="str">
        <f>"20190305134944043"</f>
        <v>20190305134944043</v>
      </c>
      <c r="B2247" t="str">
        <f>"1551764984032962"</f>
        <v>1551764984032962</v>
      </c>
      <c r="C2247" t="s">
        <v>40</v>
      </c>
      <c r="D2247">
        <v>3.890304</v>
      </c>
      <c r="E2247">
        <v>0.54578819999999995</v>
      </c>
      <c r="F2247" t="s">
        <v>47</v>
      </c>
      <c r="G2247">
        <v>0</v>
      </c>
      <c r="H2247">
        <v>0</v>
      </c>
      <c r="I2247">
        <v>0</v>
      </c>
      <c r="J2247">
        <v>-260.60989999999998</v>
      </c>
      <c r="K2247">
        <v>1.108441</v>
      </c>
      <c r="L2247">
        <v>285.26299999999998</v>
      </c>
      <c r="M2247">
        <v>-0.99997389999999997</v>
      </c>
      <c r="N2247">
        <v>-7.1409319999999896E-3</v>
      </c>
      <c r="O2247">
        <v>1.1494299999999999E-3</v>
      </c>
      <c r="P2247">
        <v>-0.99299499999999996</v>
      </c>
      <c r="Q2247">
        <v>-1.0020100000000001E-2</v>
      </c>
      <c r="R2247">
        <v>-0.1177301</v>
      </c>
      <c r="S2247">
        <v>-3.023895</v>
      </c>
      <c r="T2247">
        <v>0.50945909999999905</v>
      </c>
      <c r="U2247">
        <v>-2.2979739999999999E-2</v>
      </c>
      <c r="V2247">
        <v>-0.11886819999999999</v>
      </c>
      <c r="W2247">
        <v>-3.0720809999999999E-3</v>
      </c>
      <c r="X2247">
        <v>0.99290529999999999</v>
      </c>
      <c r="Y2247">
        <v>-8.61479699999999E-3</v>
      </c>
      <c r="Z2247">
        <v>8.9009119999999896E-4</v>
      </c>
      <c r="AA2247">
        <v>0.99996249999999998</v>
      </c>
      <c r="AB2247">
        <v>48</v>
      </c>
      <c r="AC2247">
        <v>-3.023895</v>
      </c>
      <c r="AD2247">
        <v>0.50945909999999905</v>
      </c>
      <c r="AE2247">
        <v>-2.2979739999999999E-2</v>
      </c>
      <c r="AF2247">
        <v>-2.5725401674223301E-2</v>
      </c>
      <c r="AG2247">
        <v>0.50945909999999905</v>
      </c>
      <c r="AH2247">
        <v>2.9404086135120702</v>
      </c>
      <c r="AI2247">
        <v>80.170810209523907</v>
      </c>
      <c r="AJ2247">
        <v>90.501263439997999</v>
      </c>
      <c r="AK2247">
        <v>2.9843279285762301</v>
      </c>
      <c r="AL2247">
        <v>90.176017550604101</v>
      </c>
      <c r="AM2247">
        <v>96.826819991619303</v>
      </c>
      <c r="AN2247">
        <v>1.0000000107105</v>
      </c>
    </row>
    <row r="2248" spans="1:40" x14ac:dyDescent="0.25">
      <c r="A2248" t="str">
        <f>"20190305134944056"</f>
        <v>20190305134944056</v>
      </c>
      <c r="B2248" t="str">
        <f>"1551764984052483"</f>
        <v>1551764984052483</v>
      </c>
      <c r="C2248" t="s">
        <v>40</v>
      </c>
      <c r="D2248">
        <v>3.568057</v>
      </c>
      <c r="E2248">
        <v>0.54551119999999897</v>
      </c>
      <c r="F2248" t="s">
        <v>47</v>
      </c>
      <c r="G2248">
        <v>0</v>
      </c>
      <c r="H2248">
        <v>0</v>
      </c>
      <c r="I2248">
        <v>0</v>
      </c>
      <c r="J2248">
        <v>-260.86790000000002</v>
      </c>
      <c r="K2248">
        <v>1.1084130000000001</v>
      </c>
      <c r="L2248">
        <v>285.26330000000002</v>
      </c>
      <c r="M2248">
        <v>-0.99997740000000002</v>
      </c>
      <c r="N2248">
        <v>-6.6821199999999997E-3</v>
      </c>
      <c r="O2248">
        <v>8.7584429999999997E-4</v>
      </c>
      <c r="P2248">
        <v>-0.99301919999999999</v>
      </c>
      <c r="Q2248">
        <v>-1.0054779999999999E-2</v>
      </c>
      <c r="R2248">
        <v>-0.1175252</v>
      </c>
      <c r="S2248">
        <v>-3.0242309999999999</v>
      </c>
      <c r="T2248">
        <v>0.51015639999999995</v>
      </c>
      <c r="U2248">
        <v>-1.794434E-2</v>
      </c>
      <c r="V2248">
        <v>-0.1183903</v>
      </c>
      <c r="W2248">
        <v>-3.5654670000000001E-3</v>
      </c>
      <c r="X2248">
        <v>0.99296079999999998</v>
      </c>
      <c r="Y2248">
        <v>-6.7049659999999997E-3</v>
      </c>
      <c r="Z2248">
        <v>6.915224E-4</v>
      </c>
      <c r="AA2248">
        <v>0.99997729999999996</v>
      </c>
      <c r="AB2248">
        <v>48</v>
      </c>
      <c r="AC2248">
        <v>-3.0242309999999999</v>
      </c>
      <c r="AD2248">
        <v>0.51015639999999995</v>
      </c>
      <c r="AE2248">
        <v>-1.794434E-2</v>
      </c>
      <c r="AF2248">
        <v>-2.0023378439330601E-2</v>
      </c>
      <c r="AG2248">
        <v>0.51015639999999995</v>
      </c>
      <c r="AH2248">
        <v>2.9405404892392002</v>
      </c>
      <c r="AI2248">
        <v>80.157907056536004</v>
      </c>
      <c r="AJ2248">
        <v>90.390145059658707</v>
      </c>
      <c r="AK2248">
        <v>2.9845332728921301</v>
      </c>
      <c r="AL2248">
        <v>90.204286631056206</v>
      </c>
      <c r="AM2248">
        <v>96.799254308016401</v>
      </c>
      <c r="AN2248">
        <v>1.0000000630128201</v>
      </c>
    </row>
    <row r="2249" spans="1:40" x14ac:dyDescent="0.25">
      <c r="A2249" t="str">
        <f>"20190305134944069"</f>
        <v>20190305134944069</v>
      </c>
      <c r="B2249" t="str">
        <f>"1551764984063217"</f>
        <v>1551764984063217</v>
      </c>
      <c r="C2249" t="s">
        <v>40</v>
      </c>
      <c r="D2249">
        <v>3.5367470000000001</v>
      </c>
      <c r="E2249">
        <v>0.54540730000000004</v>
      </c>
      <c r="F2249" t="s">
        <v>47</v>
      </c>
      <c r="G2249">
        <v>0</v>
      </c>
      <c r="H2249">
        <v>0</v>
      </c>
      <c r="I2249">
        <v>0</v>
      </c>
      <c r="J2249">
        <v>-261.15120000000002</v>
      </c>
      <c r="K2249">
        <v>1.1084099999999999</v>
      </c>
      <c r="L2249">
        <v>285.26350000000002</v>
      </c>
      <c r="M2249">
        <v>-0.99998039999999999</v>
      </c>
      <c r="N2249">
        <v>-6.25313E-3</v>
      </c>
      <c r="O2249">
        <v>5.7139799999999998E-4</v>
      </c>
      <c r="P2249">
        <v>-0.9930388</v>
      </c>
      <c r="Q2249">
        <v>-9.6597190000000006E-3</v>
      </c>
      <c r="R2249">
        <v>-0.1173927</v>
      </c>
      <c r="S2249">
        <v>-3.023895</v>
      </c>
      <c r="T2249">
        <v>0.50897349999999997</v>
      </c>
      <c r="U2249">
        <v>-1.9805909999999999E-2</v>
      </c>
      <c r="V2249">
        <v>-0.11795559999999999</v>
      </c>
      <c r="W2249">
        <v>-3.6021249999999999E-3</v>
      </c>
      <c r="X2249">
        <v>0.99301240000000002</v>
      </c>
      <c r="Y2249">
        <v>-7.0174209999999898E-3</v>
      </c>
      <c r="Z2249">
        <v>6.6340759999999996E-4</v>
      </c>
      <c r="AA2249">
        <v>0.99997510000000001</v>
      </c>
      <c r="AB2249">
        <v>49</v>
      </c>
      <c r="AC2249">
        <v>-3.023895</v>
      </c>
      <c r="AD2249">
        <v>0.50897349999999997</v>
      </c>
      <c r="AE2249">
        <v>-1.9805909999999999E-2</v>
      </c>
      <c r="AF2249">
        <v>-2.0940553336235498E-2</v>
      </c>
      <c r="AG2249">
        <v>0.50897349999999997</v>
      </c>
      <c r="AH2249">
        <v>2.9405781964070901</v>
      </c>
      <c r="AI2249">
        <v>80.180427537659199</v>
      </c>
      <c r="AJ2249">
        <v>90.408009910229097</v>
      </c>
      <c r="AK2249">
        <v>2.98437475188038</v>
      </c>
      <c r="AL2249">
        <v>90.206386993159001</v>
      </c>
      <c r="AM2249">
        <v>96.774172818081396</v>
      </c>
      <c r="AN2249">
        <v>1.00000006271481</v>
      </c>
    </row>
    <row r="2250" spans="1:40" x14ac:dyDescent="0.25">
      <c r="A2250" t="str">
        <f>"20190305134944087"</f>
        <v>20190305134944087</v>
      </c>
      <c r="B2250" t="str">
        <f>"1551764984082738"</f>
        <v>1551764984082738</v>
      </c>
      <c r="C2250" t="s">
        <v>40</v>
      </c>
      <c r="D2250">
        <v>3.7697250000000002</v>
      </c>
      <c r="E2250">
        <v>0.54532599999999998</v>
      </c>
      <c r="F2250" t="s">
        <v>47</v>
      </c>
      <c r="G2250">
        <v>0</v>
      </c>
      <c r="H2250">
        <v>0</v>
      </c>
      <c r="I2250">
        <v>0</v>
      </c>
      <c r="J2250">
        <v>-261.55799999999999</v>
      </c>
      <c r="K2250">
        <v>1.1084689999999999</v>
      </c>
      <c r="L2250">
        <v>285.2636</v>
      </c>
      <c r="M2250">
        <v>-0.99998299999999996</v>
      </c>
      <c r="N2250">
        <v>-5.8392640000000003E-3</v>
      </c>
      <c r="O2250">
        <v>1.1299009999999999E-4</v>
      </c>
      <c r="P2250">
        <v>-0.99308220000000003</v>
      </c>
      <c r="Q2250">
        <v>-9.2841130000000001E-3</v>
      </c>
      <c r="R2250">
        <v>-0.1170538</v>
      </c>
      <c r="S2250">
        <v>-3.0236209999999999</v>
      </c>
      <c r="T2250">
        <v>0.51010529999999998</v>
      </c>
      <c r="U2250">
        <v>-2.0172120000000002E-2</v>
      </c>
      <c r="V2250">
        <v>-0.117161</v>
      </c>
      <c r="W2250">
        <v>-3.6501810000000002E-3</v>
      </c>
      <c r="X2250">
        <v>0.99310620000000005</v>
      </c>
      <c r="Y2250">
        <v>-6.6914080000000003E-3</v>
      </c>
      <c r="Z2250">
        <v>5.6039079999999997E-4</v>
      </c>
      <c r="AA2250">
        <v>0.99997749999999996</v>
      </c>
      <c r="AB2250">
        <v>49</v>
      </c>
      <c r="AC2250">
        <v>-3.0236209999999999</v>
      </c>
      <c r="AD2250">
        <v>0.51010529999999998</v>
      </c>
      <c r="AE2250">
        <v>-2.0172120000000002E-2</v>
      </c>
      <c r="AF2250">
        <v>-1.9946085289858799E-2</v>
      </c>
      <c r="AG2250">
        <v>0.51010529999999998</v>
      </c>
      <c r="AH2250">
        <v>2.9399457753756599</v>
      </c>
      <c r="AI2250">
        <v>80.156920182116593</v>
      </c>
      <c r="AJ2250">
        <v>90.388717703699598</v>
      </c>
      <c r="AK2250">
        <v>2.9839380733446399</v>
      </c>
      <c r="AL2250">
        <v>90.209140435600105</v>
      </c>
      <c r="AM2250">
        <v>96.728329177715395</v>
      </c>
      <c r="AN2250">
        <v>0.99999997411038599</v>
      </c>
    </row>
    <row r="2251" spans="1:40" x14ac:dyDescent="0.25">
      <c r="A2251" t="str">
        <f>"20190305134944099"</f>
        <v>20190305134944099</v>
      </c>
      <c r="B2251" t="str">
        <f>"1551764984092498"</f>
        <v>1551764984092498</v>
      </c>
      <c r="C2251" t="s">
        <v>40</v>
      </c>
      <c r="D2251">
        <v>3.5509179999999998</v>
      </c>
      <c r="E2251">
        <v>0.54527440000000005</v>
      </c>
      <c r="F2251" t="s">
        <v>47</v>
      </c>
      <c r="G2251">
        <v>0</v>
      </c>
      <c r="H2251">
        <v>0</v>
      </c>
      <c r="I2251">
        <v>0</v>
      </c>
      <c r="J2251">
        <v>-261.81490000000002</v>
      </c>
      <c r="K2251">
        <v>1.1085210000000001</v>
      </c>
      <c r="L2251">
        <v>285.26350000000002</v>
      </c>
      <c r="M2251">
        <v>-0.99998399999999998</v>
      </c>
      <c r="N2251">
        <v>-5.6535269999999898E-3</v>
      </c>
      <c r="O2251">
        <v>-1.956386E-4</v>
      </c>
      <c r="P2251">
        <v>-0.99322330000000003</v>
      </c>
      <c r="Q2251">
        <v>-8.8333000000000005E-3</v>
      </c>
      <c r="R2251">
        <v>-0.1158863</v>
      </c>
      <c r="S2251">
        <v>-3.0233759999999998</v>
      </c>
      <c r="T2251">
        <v>0.51190440000000004</v>
      </c>
      <c r="U2251">
        <v>-1.9836429999999999E-2</v>
      </c>
      <c r="V2251">
        <v>-0.11568680000000001</v>
      </c>
      <c r="W2251">
        <v>-3.3906969999999998E-3</v>
      </c>
      <c r="X2251">
        <v>0.99327989999999999</v>
      </c>
      <c r="Y2251">
        <v>-6.2818369999999898E-3</v>
      </c>
      <c r="Z2251">
        <v>4.761759E-4</v>
      </c>
      <c r="AA2251">
        <v>0.99998019999999999</v>
      </c>
      <c r="AB2251">
        <v>49</v>
      </c>
      <c r="AC2251">
        <v>-3.0233759999999998</v>
      </c>
      <c r="AD2251">
        <v>0.51190440000000004</v>
      </c>
      <c r="AE2251">
        <v>-1.9836429999999999E-2</v>
      </c>
      <c r="AF2251">
        <v>-1.8708620408133599E-2</v>
      </c>
      <c r="AG2251">
        <v>0.51190440000000004</v>
      </c>
      <c r="AH2251">
        <v>2.93912537828714</v>
      </c>
      <c r="AI2251">
        <v>80.120157613802306</v>
      </c>
      <c r="AJ2251">
        <v>90.364703908439395</v>
      </c>
      <c r="AK2251">
        <v>2.9834299248530098</v>
      </c>
      <c r="AL2251">
        <v>90.194273010427807</v>
      </c>
      <c r="AM2251">
        <v>96.643278915162199</v>
      </c>
      <c r="AN2251">
        <v>0.999999946132196</v>
      </c>
    </row>
    <row r="2252" spans="1:40" x14ac:dyDescent="0.25">
      <c r="A2252" t="str">
        <f>"20190305134944112"</f>
        <v>20190305134944112</v>
      </c>
      <c r="B2252" t="str">
        <f>"1551764984103235"</f>
        <v>1551764984103235</v>
      </c>
      <c r="C2252" t="s">
        <v>40</v>
      </c>
      <c r="D2252">
        <v>3.5657239999999999</v>
      </c>
      <c r="E2252">
        <v>0.54515829999999998</v>
      </c>
      <c r="F2252" t="s">
        <v>47</v>
      </c>
      <c r="G2252">
        <v>0</v>
      </c>
      <c r="H2252">
        <v>0</v>
      </c>
      <c r="I2252">
        <v>0</v>
      </c>
      <c r="J2252">
        <v>-262.0752</v>
      </c>
      <c r="K2252">
        <v>1.1085830000000001</v>
      </c>
      <c r="L2252">
        <v>285.26339999999999</v>
      </c>
      <c r="M2252">
        <v>-0.99998480000000001</v>
      </c>
      <c r="N2252">
        <v>-5.4860530000000003E-3</v>
      </c>
      <c r="O2252">
        <v>-5.1554960000000001E-4</v>
      </c>
      <c r="P2252">
        <v>-0.99330569999999896</v>
      </c>
      <c r="Q2252">
        <v>-8.7370569999999995E-3</v>
      </c>
      <c r="R2252">
        <v>-0.1151843</v>
      </c>
      <c r="S2252">
        <v>-3.0230709999999998</v>
      </c>
      <c r="T2252">
        <v>0.51337869999999997</v>
      </c>
      <c r="U2252">
        <v>-1.6784670000000002E-2</v>
      </c>
      <c r="V2252">
        <v>-0.11466700000000001</v>
      </c>
      <c r="W2252">
        <v>-3.4686980000000001E-3</v>
      </c>
      <c r="X2252">
        <v>0.993398</v>
      </c>
      <c r="Y2252">
        <v>-4.9755210000000001E-3</v>
      </c>
      <c r="Z2252">
        <v>3.1598889999999999E-4</v>
      </c>
      <c r="AA2252">
        <v>0.99998750000000003</v>
      </c>
      <c r="AB2252">
        <v>49</v>
      </c>
      <c r="AC2252">
        <v>-3.0230709999999998</v>
      </c>
      <c r="AD2252">
        <v>0.51337869999999997</v>
      </c>
      <c r="AE2252">
        <v>-1.6784670000000002E-2</v>
      </c>
      <c r="AF2252">
        <v>-1.4799318043576801E-2</v>
      </c>
      <c r="AG2252">
        <v>0.51337869999999997</v>
      </c>
      <c r="AH2252">
        <v>2.9383432178336499</v>
      </c>
      <c r="AI2252">
        <v>80.089607785600194</v>
      </c>
      <c r="AJ2252">
        <v>90.288574625487499</v>
      </c>
      <c r="AK2252">
        <v>2.9828908084636998</v>
      </c>
      <c r="AL2252">
        <v>90.198742140518206</v>
      </c>
      <c r="AM2252">
        <v>96.584457824891501</v>
      </c>
      <c r="AN2252">
        <v>1.0000000695794</v>
      </c>
    </row>
    <row r="2253" spans="1:40" x14ac:dyDescent="0.25">
      <c r="A2253" t="str">
        <f>"20190305134944123"</f>
        <v>20190305134944123</v>
      </c>
      <c r="B2253" t="str">
        <f>"1551764984112996"</f>
        <v>1551764984112996</v>
      </c>
      <c r="C2253" t="s">
        <v>40</v>
      </c>
      <c r="D2253">
        <v>3.588473</v>
      </c>
      <c r="E2253">
        <v>0.54508599999999996</v>
      </c>
      <c r="F2253" t="s">
        <v>47</v>
      </c>
      <c r="G2253">
        <v>0</v>
      </c>
      <c r="H2253">
        <v>0</v>
      </c>
      <c r="I2253">
        <v>0</v>
      </c>
      <c r="J2253">
        <v>-262.34059999999999</v>
      </c>
      <c r="K2253">
        <v>1.1086480000000001</v>
      </c>
      <c r="L2253">
        <v>285.26310000000001</v>
      </c>
      <c r="M2253">
        <v>-0.99998529999999997</v>
      </c>
      <c r="N2253">
        <v>-5.3572589999999996E-3</v>
      </c>
      <c r="O2253">
        <v>-8.6313119999999904E-4</v>
      </c>
      <c r="P2253">
        <v>-0.99336219999999997</v>
      </c>
      <c r="Q2253">
        <v>-8.7583069999999999E-3</v>
      </c>
      <c r="R2253">
        <v>-0.1146938</v>
      </c>
      <c r="S2253">
        <v>-3.022888</v>
      </c>
      <c r="T2253">
        <v>0.51372899999999999</v>
      </c>
      <c r="U2253">
        <v>-1.5655519999999999E-2</v>
      </c>
      <c r="V2253">
        <v>-0.1138308</v>
      </c>
      <c r="W2253">
        <v>-3.6258729999999999E-3</v>
      </c>
      <c r="X2253">
        <v>0.99349359999999998</v>
      </c>
      <c r="Y2253">
        <v>-4.2696970000000002E-3</v>
      </c>
      <c r="Z2253">
        <v>1.9847810000000001E-4</v>
      </c>
      <c r="AA2253">
        <v>0.99999090000000002</v>
      </c>
      <c r="AB2253">
        <v>49</v>
      </c>
      <c r="AC2253">
        <v>-3.022888</v>
      </c>
      <c r="AD2253">
        <v>0.51372899999999999</v>
      </c>
      <c r="AE2253">
        <v>-1.5655519999999999E-2</v>
      </c>
      <c r="AF2253">
        <v>-1.2680113336078399E-2</v>
      </c>
      <c r="AG2253">
        <v>0.51372899999999999</v>
      </c>
      <c r="AH2253">
        <v>2.9380466277678599</v>
      </c>
      <c r="AI2253">
        <v>80.081965721243193</v>
      </c>
      <c r="AJ2253">
        <v>90.247277378204402</v>
      </c>
      <c r="AK2253">
        <v>2.9826492012392798</v>
      </c>
      <c r="AL2253">
        <v>90.207747661529496</v>
      </c>
      <c r="AM2253">
        <v>96.536234708632804</v>
      </c>
      <c r="AN2253">
        <v>1.0000000656123</v>
      </c>
    </row>
    <row r="2254" spans="1:40" x14ac:dyDescent="0.25">
      <c r="A2254" t="str">
        <f>"20190305134944135"</f>
        <v>20190305134944135</v>
      </c>
      <c r="B2254" t="str">
        <f>"1551764984133023"</f>
        <v>1551764984133023</v>
      </c>
      <c r="C2254" t="s">
        <v>40</v>
      </c>
      <c r="D2254">
        <v>3.5544190000000002</v>
      </c>
      <c r="E2254">
        <v>0.54481999999999997</v>
      </c>
      <c r="F2254" t="s">
        <v>47</v>
      </c>
      <c r="G2254">
        <v>0</v>
      </c>
      <c r="H2254">
        <v>0</v>
      </c>
      <c r="I2254">
        <v>0</v>
      </c>
      <c r="J2254">
        <v>-262.60390000000001</v>
      </c>
      <c r="K2254">
        <v>1.1087089999999999</v>
      </c>
      <c r="L2254">
        <v>285.26280000000003</v>
      </c>
      <c r="M2254">
        <v>-0.99998549999999997</v>
      </c>
      <c r="N2254">
        <v>-5.2449860000000001E-3</v>
      </c>
      <c r="O2254">
        <v>-1.2198090000000001E-3</v>
      </c>
      <c r="P2254">
        <v>-0.99340150000000005</v>
      </c>
      <c r="Q2254">
        <v>-8.660849E-3</v>
      </c>
      <c r="R2254">
        <v>-0.1143631</v>
      </c>
      <c r="S2254">
        <v>-3.0228269999999999</v>
      </c>
      <c r="T2254">
        <v>0.51371179999999905</v>
      </c>
      <c r="U2254">
        <v>-1.504517E-2</v>
      </c>
      <c r="V2254">
        <v>-0.1131448</v>
      </c>
      <c r="W2254">
        <v>-3.647445E-3</v>
      </c>
      <c r="X2254">
        <v>0.9935718</v>
      </c>
      <c r="Y2254">
        <v>-3.7241689999999998E-3</v>
      </c>
      <c r="Z2254" s="1">
        <v>9.2188520000000001E-5</v>
      </c>
      <c r="AA2254">
        <v>0.99999309999999997</v>
      </c>
      <c r="AB2254">
        <v>49</v>
      </c>
      <c r="AC2254">
        <v>-3.0228269999999999</v>
      </c>
      <c r="AD2254">
        <v>0.51371179999999905</v>
      </c>
      <c r="AE2254">
        <v>-1.504517E-2</v>
      </c>
      <c r="AF2254">
        <v>-1.10390260896744E-2</v>
      </c>
      <c r="AG2254">
        <v>0.51371179999999905</v>
      </c>
      <c r="AH2254">
        <v>2.9379929772943401</v>
      </c>
      <c r="AI2254">
        <v>80.082091765247498</v>
      </c>
      <c r="AJ2254">
        <v>90.215278468457996</v>
      </c>
      <c r="AK2254">
        <v>2.9825868651536598</v>
      </c>
      <c r="AL2254">
        <v>90.208983670880002</v>
      </c>
      <c r="AM2254">
        <v>96.496674990702601</v>
      </c>
      <c r="AN2254">
        <v>0.999999985688653</v>
      </c>
    </row>
    <row r="2255" spans="1:40" x14ac:dyDescent="0.25">
      <c r="A2255" t="str">
        <f>"20190305134944154"</f>
        <v>20190305134944154</v>
      </c>
      <c r="B2255" t="str">
        <f>"1551764984142787"</f>
        <v>1551764984142787</v>
      </c>
      <c r="C2255" t="s">
        <v>40</v>
      </c>
      <c r="D2255">
        <v>3.5193249999999998</v>
      </c>
      <c r="E2255">
        <v>0.544678</v>
      </c>
      <c r="F2255" t="s">
        <v>47</v>
      </c>
      <c r="G2255">
        <v>0</v>
      </c>
      <c r="H2255">
        <v>0</v>
      </c>
      <c r="I2255">
        <v>0</v>
      </c>
      <c r="J2255">
        <v>-263.0034</v>
      </c>
      <c r="K2255">
        <v>1.108798</v>
      </c>
      <c r="L2255">
        <v>285.262</v>
      </c>
      <c r="M2255">
        <v>-0.99998540000000002</v>
      </c>
      <c r="N2255">
        <v>-5.1055709999999997E-3</v>
      </c>
      <c r="O2255">
        <v>-1.78594E-3</v>
      </c>
      <c r="P2255">
        <v>-0.99343970000000004</v>
      </c>
      <c r="Q2255">
        <v>-8.3869159999999995E-3</v>
      </c>
      <c r="R2255">
        <v>-0.11404889999999999</v>
      </c>
      <c r="S2255">
        <v>-3.0225520000000001</v>
      </c>
      <c r="T2255">
        <v>0.51338139999999999</v>
      </c>
      <c r="U2255">
        <v>-1.6052250000000001E-2</v>
      </c>
      <c r="V2255">
        <v>-0.1122683</v>
      </c>
      <c r="W2255">
        <v>-3.5220859999999998E-3</v>
      </c>
      <c r="X2255">
        <v>0.99367169999999905</v>
      </c>
      <c r="Y2255">
        <v>-3.5032980000000002E-3</v>
      </c>
      <c r="Z2255" s="1">
        <v>-2.383895E-5</v>
      </c>
      <c r="AA2255">
        <v>0.99999389999999999</v>
      </c>
      <c r="AB2255">
        <v>49</v>
      </c>
      <c r="AC2255">
        <v>-3.0225520000000001</v>
      </c>
      <c r="AD2255">
        <v>0.51338139999999999</v>
      </c>
      <c r="AE2255">
        <v>-1.6052250000000001E-2</v>
      </c>
      <c r="AF2255">
        <v>-1.0355324028877301E-2</v>
      </c>
      <c r="AG2255">
        <v>0.51338139999999999</v>
      </c>
      <c r="AH2255">
        <v>2.9378245605214199</v>
      </c>
      <c r="AI2255">
        <v>80.087778885977798</v>
      </c>
      <c r="AJ2255">
        <v>90.201956887805693</v>
      </c>
      <c r="AK2255">
        <v>2.9823616217696598</v>
      </c>
      <c r="AL2255">
        <v>90.201801077723402</v>
      </c>
      <c r="AM2255">
        <v>96.446129782468105</v>
      </c>
      <c r="AN2255">
        <v>1.0000000118277801</v>
      </c>
    </row>
    <row r="2256" spans="1:40" x14ac:dyDescent="0.25">
      <c r="A2256" t="str">
        <f>"20190305134944168"</f>
        <v>20190305134944168</v>
      </c>
      <c r="B2256" t="str">
        <f>"1551764984163279"</f>
        <v>1551764984163279</v>
      </c>
      <c r="C2256" t="s">
        <v>40</v>
      </c>
      <c r="D2256">
        <v>3.546837</v>
      </c>
      <c r="E2256">
        <v>0.54447519999999905</v>
      </c>
      <c r="F2256" t="s">
        <v>47</v>
      </c>
      <c r="G2256">
        <v>0</v>
      </c>
      <c r="H2256">
        <v>0</v>
      </c>
      <c r="I2256">
        <v>0</v>
      </c>
      <c r="J2256">
        <v>-263.30619999999999</v>
      </c>
      <c r="K2256">
        <v>1.1088559999999901</v>
      </c>
      <c r="L2256">
        <v>285.26139999999998</v>
      </c>
      <c r="M2256">
        <v>-0.99998509999999996</v>
      </c>
      <c r="N2256">
        <v>-5.019908E-3</v>
      </c>
      <c r="O2256">
        <v>-2.2338689999999999E-3</v>
      </c>
      <c r="P2256">
        <v>-0.99338610000000005</v>
      </c>
      <c r="Q2256">
        <v>-7.9388059999999996E-3</v>
      </c>
      <c r="R2256">
        <v>-0.1145489</v>
      </c>
      <c r="S2256">
        <v>-3.0223080000000002</v>
      </c>
      <c r="T2256">
        <v>0.51363809999999999</v>
      </c>
      <c r="U2256">
        <v>-1.61438E-2</v>
      </c>
      <c r="V2256">
        <v>-0.1123234</v>
      </c>
      <c r="W2256">
        <v>-3.166987E-3</v>
      </c>
      <c r="X2256">
        <v>0.99366659999999996</v>
      </c>
      <c r="Y2256">
        <v>-3.0984459999999999E-3</v>
      </c>
      <c r="Z2256">
        <v>-1.3448750000000001E-4</v>
      </c>
      <c r="AA2256">
        <v>0.99999519999999997</v>
      </c>
      <c r="AB2256">
        <v>49</v>
      </c>
      <c r="AC2256">
        <v>-3.0223080000000002</v>
      </c>
      <c r="AD2256">
        <v>0.51363809999999999</v>
      </c>
      <c r="AE2256">
        <v>-1.61438E-2</v>
      </c>
      <c r="AF2256">
        <v>-9.1285856072227597E-3</v>
      </c>
      <c r="AG2256">
        <v>0.51363809999999999</v>
      </c>
      <c r="AH2256">
        <v>2.9374962698868798</v>
      </c>
      <c r="AI2256">
        <v>80.0818212075189</v>
      </c>
      <c r="AJ2256">
        <v>90.178052224242194</v>
      </c>
      <c r="AK2256">
        <v>2.98207843029759</v>
      </c>
      <c r="AL2256">
        <v>90.181455302366601</v>
      </c>
      <c r="AM2256">
        <v>96.449299642940602</v>
      </c>
      <c r="AN2256">
        <v>0.99999994397488701</v>
      </c>
    </row>
    <row r="2257" spans="1:40" x14ac:dyDescent="0.25">
      <c r="A2257" t="str">
        <f>"20190305134944181"</f>
        <v>20190305134944181</v>
      </c>
      <c r="B2257" t="str">
        <f>"1551764984173039"</f>
        <v>1551764984173039</v>
      </c>
      <c r="C2257" t="s">
        <v>40</v>
      </c>
      <c r="D2257">
        <v>3.4582700000000002</v>
      </c>
      <c r="E2257">
        <v>0.54447519999999905</v>
      </c>
      <c r="F2257" t="s">
        <v>47</v>
      </c>
      <c r="G2257">
        <v>0</v>
      </c>
      <c r="H2257">
        <v>0</v>
      </c>
      <c r="I2257">
        <v>0</v>
      </c>
      <c r="J2257">
        <v>-263.61439999999999</v>
      </c>
      <c r="K2257">
        <v>1.108903</v>
      </c>
      <c r="L2257">
        <v>285.26049999999998</v>
      </c>
      <c r="M2257">
        <v>-0.99998410000000004</v>
      </c>
      <c r="N2257">
        <v>-4.9515569999999997E-3</v>
      </c>
      <c r="O2257">
        <v>-2.7061429999999998E-3</v>
      </c>
      <c r="P2257">
        <v>-0.99333570000000004</v>
      </c>
      <c r="Q2257">
        <v>-7.3425919999999898E-3</v>
      </c>
      <c r="R2257">
        <v>-0.11502419999999999</v>
      </c>
      <c r="S2257">
        <v>-3.0218509999999998</v>
      </c>
      <c r="T2257">
        <v>0.51405080000000003</v>
      </c>
      <c r="U2257">
        <v>-1.928711E-2</v>
      </c>
      <c r="V2257">
        <v>-0.11233070000000001</v>
      </c>
      <c r="W2257">
        <v>-2.645339E-3</v>
      </c>
      <c r="X2257">
        <v>0.99366739999999998</v>
      </c>
      <c r="Y2257">
        <v>-3.666332E-3</v>
      </c>
      <c r="Z2257">
        <v>-1.6988260000000001E-4</v>
      </c>
      <c r="AA2257">
        <v>0.99999329999999997</v>
      </c>
      <c r="AB2257">
        <v>49</v>
      </c>
      <c r="AC2257">
        <v>-3.0218509999999998</v>
      </c>
      <c r="AD2257">
        <v>0.51405080000000003</v>
      </c>
      <c r="AE2257">
        <v>-1.928711E-2</v>
      </c>
      <c r="AF2257">
        <v>-1.07969507489533E-2</v>
      </c>
      <c r="AG2257">
        <v>0.51405080000000003</v>
      </c>
      <c r="AH2257">
        <v>2.93690784638859</v>
      </c>
      <c r="AI2257">
        <v>80.072080156470406</v>
      </c>
      <c r="AJ2257">
        <v>90.210635455719697</v>
      </c>
      <c r="AK2257">
        <v>2.9815755058869402</v>
      </c>
      <c r="AL2257">
        <v>90.151566930352104</v>
      </c>
      <c r="AM2257">
        <v>96.449710108102906</v>
      </c>
      <c r="AN2257">
        <v>1.0000000429018301</v>
      </c>
    </row>
    <row r="2258" spans="1:40" x14ac:dyDescent="0.25">
      <c r="A2258" t="str">
        <f>"20190305134944200"</f>
        <v>20190305134944200</v>
      </c>
      <c r="B2258" t="str">
        <f>"1551764984192559"</f>
        <v>1551764984192559</v>
      </c>
      <c r="C2258" t="s">
        <v>40</v>
      </c>
      <c r="D2258">
        <v>3.5261589999999998</v>
      </c>
      <c r="E2258">
        <v>0.54431490000000005</v>
      </c>
      <c r="F2258" t="s">
        <v>47</v>
      </c>
      <c r="G2258">
        <v>0</v>
      </c>
      <c r="H2258">
        <v>0</v>
      </c>
      <c r="I2258">
        <v>0</v>
      </c>
      <c r="J2258">
        <v>-264.02</v>
      </c>
      <c r="K2258">
        <v>1.1089629999999999</v>
      </c>
      <c r="L2258">
        <v>285.25909999999999</v>
      </c>
      <c r="M2258">
        <v>-0.9999827</v>
      </c>
      <c r="N2258">
        <v>-4.8789539999999996E-3</v>
      </c>
      <c r="O2258">
        <v>-3.3417500000000001E-3</v>
      </c>
      <c r="P2258">
        <v>-0.99322790000000005</v>
      </c>
      <c r="Q2258">
        <v>-5.8797650000000003E-3</v>
      </c>
      <c r="R2258">
        <v>-0.1160349</v>
      </c>
      <c r="S2258">
        <v>-3.0215450000000001</v>
      </c>
      <c r="T2258">
        <v>0.51586019999999999</v>
      </c>
      <c r="U2258">
        <v>-2.0599369999999999E-2</v>
      </c>
      <c r="V2258">
        <v>-0.1127129</v>
      </c>
      <c r="W2258">
        <v>-1.2633189999999999E-3</v>
      </c>
      <c r="X2258">
        <v>0.99362680000000003</v>
      </c>
      <c r="Y2258">
        <v>-3.4778769999999999E-3</v>
      </c>
      <c r="Z2258">
        <v>-2.9639999999999999E-4</v>
      </c>
      <c r="AA2258">
        <v>0.99999389999999999</v>
      </c>
      <c r="AB2258">
        <v>49</v>
      </c>
      <c r="AC2258">
        <v>-3.0215450000000001</v>
      </c>
      <c r="AD2258">
        <v>0.51586019999999999</v>
      </c>
      <c r="AE2258">
        <v>-2.0599369999999999E-2</v>
      </c>
      <c r="AF2258">
        <v>-1.0204464708256899E-2</v>
      </c>
      <c r="AG2258">
        <v>0.51586019999999999</v>
      </c>
      <c r="AH2258">
        <v>2.9360223271755501</v>
      </c>
      <c r="AI2258">
        <v>80.034882450342295</v>
      </c>
      <c r="AJ2258">
        <v>90.199136907210999</v>
      </c>
      <c r="AK2258">
        <v>2.98101375084339</v>
      </c>
      <c r="AL2258">
        <v>90.072382865716705</v>
      </c>
      <c r="AM2258">
        <v>96.471731279667296</v>
      </c>
      <c r="AN2258">
        <v>1.00000000573977</v>
      </c>
    </row>
    <row r="2259" spans="1:40" x14ac:dyDescent="0.25">
      <c r="A2259" t="str">
        <f>"20190305134944221"</f>
        <v>20190305134944221</v>
      </c>
      <c r="B2259" t="str">
        <f>"1551764984213054"</f>
        <v>1551764984213054</v>
      </c>
      <c r="C2259" t="s">
        <v>40</v>
      </c>
      <c r="D2259">
        <v>3.5720830000000001</v>
      </c>
      <c r="E2259">
        <v>0.54408800000000002</v>
      </c>
      <c r="F2259" t="s">
        <v>47</v>
      </c>
      <c r="G2259">
        <v>0</v>
      </c>
      <c r="H2259">
        <v>0</v>
      </c>
      <c r="I2259">
        <v>0</v>
      </c>
      <c r="J2259">
        <v>-264.512</v>
      </c>
      <c r="K2259">
        <v>1.1090230000000001</v>
      </c>
      <c r="L2259">
        <v>285.25709999999998</v>
      </c>
      <c r="M2259">
        <v>-0.99997990000000003</v>
      </c>
      <c r="N2259">
        <v>-4.8160130000000001E-3</v>
      </c>
      <c r="O2259">
        <v>-4.1309440000000001E-3</v>
      </c>
      <c r="P2259">
        <v>-0.99310140000000002</v>
      </c>
      <c r="Q2259">
        <v>-5.0201789999999996E-3</v>
      </c>
      <c r="R2259">
        <v>-0.11715059999999999</v>
      </c>
      <c r="S2259">
        <v>-3.020721</v>
      </c>
      <c r="T2259">
        <v>0.51970079999999996</v>
      </c>
      <c r="U2259">
        <v>-2.420044E-2</v>
      </c>
      <c r="V2259">
        <v>-0.11304649999999999</v>
      </c>
      <c r="W2259">
        <v>-4.7524459999999998E-4</v>
      </c>
      <c r="X2259">
        <v>0.99358959999999996</v>
      </c>
      <c r="Y2259">
        <v>-3.8889150000000002E-3</v>
      </c>
      <c r="Z2259">
        <v>-4.025977E-4</v>
      </c>
      <c r="AA2259">
        <v>0.9999924</v>
      </c>
      <c r="AB2259">
        <v>49</v>
      </c>
      <c r="AC2259">
        <v>-3.020721</v>
      </c>
      <c r="AD2259">
        <v>0.51970079999999996</v>
      </c>
      <c r="AE2259">
        <v>-2.420044E-2</v>
      </c>
      <c r="AF2259">
        <v>-1.13846991898861E-2</v>
      </c>
      <c r="AG2259">
        <v>0.51970079999999996</v>
      </c>
      <c r="AH2259">
        <v>2.9339568809844399</v>
      </c>
      <c r="AI2259">
        <v>79.955287215791799</v>
      </c>
      <c r="AJ2259">
        <v>90.222324992236494</v>
      </c>
      <c r="AK2259">
        <v>2.9796512400568398</v>
      </c>
      <c r="AL2259">
        <v>90.027229510429507</v>
      </c>
      <c r="AM2259">
        <v>96.490963589275495</v>
      </c>
      <c r="AN2259">
        <v>1.0000000151239099</v>
      </c>
    </row>
    <row r="2260" spans="1:40" x14ac:dyDescent="0.25">
      <c r="A2260" t="str">
        <f>"20190305134944234"</f>
        <v>20190305134944234</v>
      </c>
      <c r="B2260" t="str">
        <f>"1551764984222815"</f>
        <v>1551764984222815</v>
      </c>
      <c r="C2260" t="s">
        <v>40</v>
      </c>
      <c r="D2260">
        <v>3.5759750000000001</v>
      </c>
      <c r="E2260">
        <v>0.54399909999999996</v>
      </c>
      <c r="F2260" t="s">
        <v>47</v>
      </c>
      <c r="G2260">
        <v>0</v>
      </c>
      <c r="H2260">
        <v>0</v>
      </c>
      <c r="I2260">
        <v>0</v>
      </c>
      <c r="J2260">
        <v>-264.7681</v>
      </c>
      <c r="K2260">
        <v>1.109043</v>
      </c>
      <c r="L2260">
        <v>285.25599999999997</v>
      </c>
      <c r="M2260">
        <v>-0.99997820000000004</v>
      </c>
      <c r="N2260">
        <v>-4.7915090000000002E-3</v>
      </c>
      <c r="O2260">
        <v>-4.5459439999999997E-3</v>
      </c>
      <c r="P2260">
        <v>-0.99304669999999895</v>
      </c>
      <c r="Q2260">
        <v>-4.5677010000000004E-3</v>
      </c>
      <c r="R2260">
        <v>-0.117632</v>
      </c>
      <c r="S2260">
        <v>-3.0200809999999998</v>
      </c>
      <c r="T2260">
        <v>0.52157909999999996</v>
      </c>
      <c r="U2260">
        <v>-2.8503420000000002E-2</v>
      </c>
      <c r="V2260">
        <v>-0.1131167</v>
      </c>
      <c r="W2260" s="1">
        <v>-5.118502E-5</v>
      </c>
      <c r="X2260">
        <v>0.99358170000000001</v>
      </c>
      <c r="Y2260">
        <v>-4.8923500000000002E-3</v>
      </c>
      <c r="Z2260">
        <v>-3.9338170000000002E-4</v>
      </c>
      <c r="AA2260">
        <v>0.99998799999999999</v>
      </c>
      <c r="AB2260">
        <v>50</v>
      </c>
      <c r="AC2260">
        <v>-3.0200809999999998</v>
      </c>
      <c r="AD2260">
        <v>0.52157909999999996</v>
      </c>
      <c r="AE2260">
        <v>-2.8503420000000002E-2</v>
      </c>
      <c r="AF2260">
        <v>-1.43459953449837E-2</v>
      </c>
      <c r="AG2260">
        <v>0.52157909999999996</v>
      </c>
      <c r="AH2260">
        <v>2.93271437697774</v>
      </c>
      <c r="AI2260">
        <v>79.915587614921805</v>
      </c>
      <c r="AJ2260">
        <v>90.280272240795995</v>
      </c>
      <c r="AK2260">
        <v>2.9787689037706802</v>
      </c>
      <c r="AL2260">
        <v>90.002932685643501</v>
      </c>
      <c r="AM2260">
        <v>96.495011138743806</v>
      </c>
      <c r="AN2260">
        <v>0.99999999250684302</v>
      </c>
    </row>
    <row r="2261" spans="1:40" x14ac:dyDescent="0.25">
      <c r="A2261" t="str">
        <f>"20190305134944245"</f>
        <v>20190305134944245</v>
      </c>
      <c r="B2261" t="str">
        <f>"1551764984233082"</f>
        <v>1551764984233082</v>
      </c>
      <c r="C2261" t="s">
        <v>40</v>
      </c>
      <c r="D2261">
        <v>3.5502769999999901</v>
      </c>
      <c r="E2261">
        <v>0.54391</v>
      </c>
      <c r="F2261" t="s">
        <v>47</v>
      </c>
      <c r="G2261">
        <v>0</v>
      </c>
      <c r="H2261">
        <v>0</v>
      </c>
      <c r="I2261">
        <v>0</v>
      </c>
      <c r="J2261">
        <v>-265.04250000000002</v>
      </c>
      <c r="K2261">
        <v>1.1090690000000001</v>
      </c>
      <c r="L2261">
        <v>285.25459999999998</v>
      </c>
      <c r="M2261">
        <v>-0.99997619999999998</v>
      </c>
      <c r="N2261">
        <v>-4.7715700000000002E-3</v>
      </c>
      <c r="O2261">
        <v>-4.9925519999999999E-3</v>
      </c>
      <c r="P2261">
        <v>-0.99296240000000002</v>
      </c>
      <c r="Q2261">
        <v>-4.8675029999999996E-3</v>
      </c>
      <c r="R2261">
        <v>-0.1183308</v>
      </c>
      <c r="S2261">
        <v>-3.019806</v>
      </c>
      <c r="T2261">
        <v>0.52259299999999997</v>
      </c>
      <c r="U2261">
        <v>-3.048706E-2</v>
      </c>
      <c r="V2261">
        <v>-0.1133716</v>
      </c>
      <c r="W2261">
        <v>-3.7542430000000001E-4</v>
      </c>
      <c r="X2261">
        <v>0.99355260000000001</v>
      </c>
      <c r="Y2261">
        <v>-5.1072740000000002E-3</v>
      </c>
      <c r="Z2261">
        <v>-4.5484889999999997E-4</v>
      </c>
      <c r="AA2261">
        <v>0.99998679999999995</v>
      </c>
      <c r="AB2261">
        <v>50</v>
      </c>
      <c r="AC2261">
        <v>-3.019806</v>
      </c>
      <c r="AD2261">
        <v>0.52259299999999997</v>
      </c>
      <c r="AE2261">
        <v>-3.048706E-2</v>
      </c>
      <c r="AF2261">
        <v>-1.4961934958218801E-2</v>
      </c>
      <c r="AG2261">
        <v>0.52259299999999997</v>
      </c>
      <c r="AH2261">
        <v>2.9321181914902801</v>
      </c>
      <c r="AI2261">
        <v>79.894386385588405</v>
      </c>
      <c r="AJ2261">
        <v>90.292364846876296</v>
      </c>
      <c r="AK2261">
        <v>2.9783627032339401</v>
      </c>
      <c r="AL2261">
        <v>90.021510228103594</v>
      </c>
      <c r="AM2261">
        <v>96.509710697028495</v>
      </c>
      <c r="AN2261">
        <v>1.0000000147983601</v>
      </c>
    </row>
    <row r="2262" spans="1:40" x14ac:dyDescent="0.25">
      <c r="A2262" t="str">
        <f>"20190305134944257"</f>
        <v>20190305134944257</v>
      </c>
      <c r="B2262" t="str">
        <f>"1551764984252602"</f>
        <v>1551764984252602</v>
      </c>
      <c r="C2262" t="s">
        <v>40</v>
      </c>
      <c r="D2262">
        <v>3.9471880000000001</v>
      </c>
      <c r="E2262">
        <v>0.54378000000000004</v>
      </c>
      <c r="F2262" t="s">
        <v>47</v>
      </c>
      <c r="G2262">
        <v>0</v>
      </c>
      <c r="H2262">
        <v>0</v>
      </c>
      <c r="I2262">
        <v>0</v>
      </c>
      <c r="J2262">
        <v>-265.29050000000001</v>
      </c>
      <c r="K2262">
        <v>1.109081</v>
      </c>
      <c r="L2262">
        <v>285.25319999999999</v>
      </c>
      <c r="M2262">
        <v>-0.99997409999999998</v>
      </c>
      <c r="N2262">
        <v>-4.7579290000000002E-3</v>
      </c>
      <c r="O2262">
        <v>-5.3957709999999997E-3</v>
      </c>
      <c r="P2262">
        <v>-0.99290789999999995</v>
      </c>
      <c r="Q2262">
        <v>-4.9700480000000003E-3</v>
      </c>
      <c r="R2262">
        <v>-0.1187835</v>
      </c>
      <c r="S2262">
        <v>-3.0198969999999998</v>
      </c>
      <c r="T2262">
        <v>0.5211732</v>
      </c>
      <c r="U2262">
        <v>-3.3050540000000003E-2</v>
      </c>
      <c r="V2262">
        <v>-0.1134232</v>
      </c>
      <c r="W2262">
        <v>-4.9499489999999999E-4</v>
      </c>
      <c r="X2262">
        <v>0.9935467</v>
      </c>
      <c r="Y2262">
        <v>-5.5523719999999999E-3</v>
      </c>
      <c r="Z2262">
        <v>-4.8752950000000001E-4</v>
      </c>
      <c r="AA2262">
        <v>0.9999844</v>
      </c>
      <c r="AB2262">
        <v>50</v>
      </c>
      <c r="AC2262">
        <v>-3.0198969999999998</v>
      </c>
      <c r="AD2262">
        <v>0.5211732</v>
      </c>
      <c r="AE2262">
        <v>-3.3050540000000003E-2</v>
      </c>
      <c r="AF2262">
        <v>-1.6270657649314301E-2</v>
      </c>
      <c r="AG2262">
        <v>0.5211732</v>
      </c>
      <c r="AH2262">
        <v>2.93269507385854</v>
      </c>
      <c r="AI2262">
        <v>79.923243399989005</v>
      </c>
      <c r="AJ2262">
        <v>90.317875000623303</v>
      </c>
      <c r="AK2262">
        <v>2.9786887442182901</v>
      </c>
      <c r="AL2262">
        <v>90.028361118214704</v>
      </c>
      <c r="AM2262">
        <v>96.512686422834904</v>
      </c>
      <c r="AN2262">
        <v>1.0000000561995299</v>
      </c>
    </row>
    <row r="2263" spans="1:40" x14ac:dyDescent="0.25">
      <c r="A2263" t="str">
        <f>"20190305134944271"</f>
        <v>20190305134944271</v>
      </c>
      <c r="B2263" t="str">
        <f>"1551764984263339"</f>
        <v>1551764984263339</v>
      </c>
      <c r="C2263" t="s">
        <v>40</v>
      </c>
      <c r="D2263">
        <v>3.6304020000000001</v>
      </c>
      <c r="E2263">
        <v>0.54377699999999995</v>
      </c>
      <c r="F2263" t="s">
        <v>47</v>
      </c>
      <c r="G2263">
        <v>0</v>
      </c>
      <c r="H2263">
        <v>0</v>
      </c>
      <c r="I2263">
        <v>0</v>
      </c>
      <c r="J2263">
        <v>-265.5917</v>
      </c>
      <c r="K2263">
        <v>1.1090960000000001</v>
      </c>
      <c r="L2263">
        <v>285.25150000000002</v>
      </c>
      <c r="M2263">
        <v>-0.99997150000000001</v>
      </c>
      <c r="N2263">
        <v>-4.7444100000000001E-3</v>
      </c>
      <c r="O2263">
        <v>-5.884958E-3</v>
      </c>
      <c r="P2263">
        <v>-0.99283169999999998</v>
      </c>
      <c r="Q2263">
        <v>-4.9328280000000002E-3</v>
      </c>
      <c r="R2263">
        <v>-0.1194207</v>
      </c>
      <c r="S2263">
        <v>-3.0197750000000001</v>
      </c>
      <c r="T2263">
        <v>0.52059169999999999</v>
      </c>
      <c r="U2263">
        <v>-3.5522459999999999E-2</v>
      </c>
      <c r="V2263">
        <v>-0.1135748</v>
      </c>
      <c r="W2263">
        <v>-4.7552469999999998E-4</v>
      </c>
      <c r="X2263">
        <v>0.99352929999999995</v>
      </c>
      <c r="Y2263">
        <v>-5.8849109999999996E-3</v>
      </c>
      <c r="Z2263">
        <v>-5.4529619999999998E-4</v>
      </c>
      <c r="AA2263">
        <v>0.9999825</v>
      </c>
      <c r="AB2263">
        <v>50</v>
      </c>
      <c r="AC2263">
        <v>-3.0197750000000001</v>
      </c>
      <c r="AD2263">
        <v>0.52059169999999999</v>
      </c>
      <c r="AE2263">
        <v>-3.5522459999999999E-2</v>
      </c>
      <c r="AF2263">
        <v>-1.7238154138378699E-2</v>
      </c>
      <c r="AG2263">
        <v>0.52059169999999999</v>
      </c>
      <c r="AH2263">
        <v>2.9327822305059001</v>
      </c>
      <c r="AI2263">
        <v>79.9345681134768</v>
      </c>
      <c r="AJ2263">
        <v>90.336766260606197</v>
      </c>
      <c r="AK2263">
        <v>2.9786783115398898</v>
      </c>
      <c r="AL2263">
        <v>90.027245560327202</v>
      </c>
      <c r="AM2263">
        <v>96.521429488158105</v>
      </c>
      <c r="AN2263">
        <v>0.99999996563863403</v>
      </c>
    </row>
    <row r="2264" spans="1:40" x14ac:dyDescent="0.25">
      <c r="A2264" t="str">
        <f>"20190305134944287"</f>
        <v>20190305134944287</v>
      </c>
      <c r="B2264" t="str">
        <f>"1551764984282859"</f>
        <v>1551764984282859</v>
      </c>
      <c r="C2264" t="s">
        <v>40</v>
      </c>
      <c r="D2264">
        <v>3.5548500000000001</v>
      </c>
      <c r="E2264">
        <v>0.54375709999999999</v>
      </c>
      <c r="F2264" t="s">
        <v>47</v>
      </c>
      <c r="G2264">
        <v>0</v>
      </c>
      <c r="H2264">
        <v>0</v>
      </c>
      <c r="I2264">
        <v>0</v>
      </c>
      <c r="J2264">
        <v>-265.99040000000002</v>
      </c>
      <c r="K2264">
        <v>1.109111</v>
      </c>
      <c r="L2264">
        <v>285.24900000000002</v>
      </c>
      <c r="M2264">
        <v>-0.99996750000000001</v>
      </c>
      <c r="N2264">
        <v>-4.7340539999999997E-3</v>
      </c>
      <c r="O2264">
        <v>-6.5283240000000003E-3</v>
      </c>
      <c r="P2264">
        <v>-0.99278549999999999</v>
      </c>
      <c r="Q2264">
        <v>-5.5126079999999996E-3</v>
      </c>
      <c r="R2264">
        <v>-0.1197772</v>
      </c>
      <c r="S2264">
        <v>-3.0197750000000001</v>
      </c>
      <c r="T2264">
        <v>0.52086639999999995</v>
      </c>
      <c r="U2264">
        <v>-3.7139890000000002E-2</v>
      </c>
      <c r="V2264">
        <v>-0.1132909</v>
      </c>
      <c r="W2264">
        <v>-1.0697250000000001E-3</v>
      </c>
      <c r="X2264">
        <v>0.99356129999999998</v>
      </c>
      <c r="Y2264">
        <v>-5.7884629999999998E-3</v>
      </c>
      <c r="Z2264">
        <v>-6.6666479999999905E-4</v>
      </c>
      <c r="AA2264">
        <v>0.99998299999999996</v>
      </c>
      <c r="AB2264">
        <v>50</v>
      </c>
      <c r="AC2264">
        <v>-3.0197750000000001</v>
      </c>
      <c r="AD2264">
        <v>0.52086639999999995</v>
      </c>
      <c r="AE2264">
        <v>-3.7139890000000002E-2</v>
      </c>
      <c r="AF2264">
        <v>-1.6921452091363198E-2</v>
      </c>
      <c r="AG2264">
        <v>0.52086639999999995</v>
      </c>
      <c r="AH2264">
        <v>2.9327147209797699</v>
      </c>
      <c r="AI2264">
        <v>79.9291323143553</v>
      </c>
      <c r="AJ2264">
        <v>90.330586886709298</v>
      </c>
      <c r="AK2264">
        <v>2.9786580496662101</v>
      </c>
      <c r="AL2264">
        <v>90.061290738534296</v>
      </c>
      <c r="AM2264">
        <v>96.505060223342198</v>
      </c>
      <c r="AN2264">
        <v>1.0000000145960299</v>
      </c>
    </row>
    <row r="2265" spans="1:40" x14ac:dyDescent="0.25">
      <c r="A2265" t="str">
        <f>"20190305134944300"</f>
        <v>20190305134944300</v>
      </c>
      <c r="B2265" t="str">
        <f>"1551764984292618"</f>
        <v>1551764984292618</v>
      </c>
      <c r="C2265" t="s">
        <v>40</v>
      </c>
      <c r="D2265">
        <v>3.562729</v>
      </c>
      <c r="E2265">
        <v>0.5437824</v>
      </c>
      <c r="F2265" t="s">
        <v>47</v>
      </c>
      <c r="G2265">
        <v>0</v>
      </c>
      <c r="H2265">
        <v>0</v>
      </c>
      <c r="I2265">
        <v>0</v>
      </c>
      <c r="J2265">
        <v>-266.26319999999998</v>
      </c>
      <c r="K2265">
        <v>1.109118</v>
      </c>
      <c r="L2265">
        <v>285.24709999999999</v>
      </c>
      <c r="M2265">
        <v>-0.99996450000000003</v>
      </c>
      <c r="N2265">
        <v>-4.7308020000000001E-3</v>
      </c>
      <c r="O2265">
        <v>-6.9659099999999996E-3</v>
      </c>
      <c r="P2265">
        <v>-0.99279980000000001</v>
      </c>
      <c r="Q2265">
        <v>-5.4331739999999998E-3</v>
      </c>
      <c r="R2265">
        <v>-0.11966209999999999</v>
      </c>
      <c r="S2265">
        <v>-3.0200200000000001</v>
      </c>
      <c r="T2265">
        <v>0.51906960000000002</v>
      </c>
      <c r="U2265">
        <v>-3.8513180000000001E-2</v>
      </c>
      <c r="V2265">
        <v>-0.1127418</v>
      </c>
      <c r="W2265">
        <v>-9.9517849999999995E-4</v>
      </c>
      <c r="X2265">
        <v>0.99362379999999995</v>
      </c>
      <c r="Y2265">
        <v>-5.8108689999999998E-3</v>
      </c>
      <c r="Z2265">
        <v>-7.3932220000000001E-4</v>
      </c>
      <c r="AA2265">
        <v>0.99998279999999995</v>
      </c>
      <c r="AB2265">
        <v>50</v>
      </c>
      <c r="AC2265">
        <v>-3.0200200000000001</v>
      </c>
      <c r="AD2265">
        <v>0.51906960000000002</v>
      </c>
      <c r="AE2265">
        <v>-3.8513180000000001E-2</v>
      </c>
      <c r="AF2265">
        <v>-1.6973482190913599E-2</v>
      </c>
      <c r="AG2265">
        <v>0.51906960000000002</v>
      </c>
      <c r="AH2265">
        <v>2.9335673187621798</v>
      </c>
      <c r="AI2265">
        <v>79.966024283475903</v>
      </c>
      <c r="AJ2265">
        <v>90.331506979529706</v>
      </c>
      <c r="AK2265">
        <v>2.9791842108958901</v>
      </c>
      <c r="AL2265">
        <v>90.057019538470797</v>
      </c>
      <c r="AM2265">
        <v>96.473395950741903</v>
      </c>
      <c r="AN2265">
        <v>0.99999997988696299</v>
      </c>
    </row>
    <row r="2266" spans="1:40" x14ac:dyDescent="0.25">
      <c r="A2266" t="str">
        <f>"20190305134944312"</f>
        <v>20190305134944312</v>
      </c>
      <c r="B2266" t="str">
        <f>"1551764984303355"</f>
        <v>1551764984303355</v>
      </c>
      <c r="C2266" t="s">
        <v>40</v>
      </c>
      <c r="D2266">
        <v>3.557083</v>
      </c>
      <c r="E2266">
        <v>0.543798</v>
      </c>
      <c r="F2266" t="s">
        <v>47</v>
      </c>
      <c r="G2266">
        <v>0</v>
      </c>
      <c r="H2266">
        <v>0</v>
      </c>
      <c r="I2266">
        <v>0</v>
      </c>
      <c r="J2266">
        <v>-266.53109999999998</v>
      </c>
      <c r="K2266">
        <v>1.1091230000000001</v>
      </c>
      <c r="L2266">
        <v>285.24509999999998</v>
      </c>
      <c r="M2266">
        <v>-0.99996160000000001</v>
      </c>
      <c r="N2266">
        <v>-4.72881E-3</v>
      </c>
      <c r="O2266">
        <v>-7.3943169999999897E-3</v>
      </c>
      <c r="P2266">
        <v>-0.99278710000000003</v>
      </c>
      <c r="Q2266">
        <v>-5.8195089999999996E-3</v>
      </c>
      <c r="R2266">
        <v>-0.1197502</v>
      </c>
      <c r="S2266">
        <v>-3.0200200000000001</v>
      </c>
      <c r="T2266">
        <v>0.51946079999999994</v>
      </c>
      <c r="U2266">
        <v>-3.7841800000000002E-2</v>
      </c>
      <c r="V2266">
        <v>-0.112403</v>
      </c>
      <c r="W2266">
        <v>-1.3856020000000001E-3</v>
      </c>
      <c r="X2266">
        <v>0.99366180000000004</v>
      </c>
      <c r="Y2266">
        <v>-5.1759110000000001E-3</v>
      </c>
      <c r="Z2266">
        <v>-8.6767020000000003E-4</v>
      </c>
      <c r="AA2266">
        <v>0.99998620000000005</v>
      </c>
      <c r="AB2266">
        <v>50</v>
      </c>
      <c r="AC2266">
        <v>-3.0200200000000001</v>
      </c>
      <c r="AD2266">
        <v>0.51946079999999994</v>
      </c>
      <c r="AE2266">
        <v>-3.7841800000000002E-2</v>
      </c>
      <c r="AF2266">
        <v>-1.5063922304313301E-2</v>
      </c>
      <c r="AG2266">
        <v>0.51946079999999994</v>
      </c>
      <c r="AH2266">
        <v>2.9334421251046598</v>
      </c>
      <c r="AI2266">
        <v>79.958161176958498</v>
      </c>
      <c r="AJ2266">
        <v>90.294224855111494</v>
      </c>
      <c r="AK2266">
        <v>2.9791188539281799</v>
      </c>
      <c r="AL2266">
        <v>90.079389167043502</v>
      </c>
      <c r="AM2266">
        <v>96.453862420358405</v>
      </c>
      <c r="AN2266">
        <v>1.0000000635405599</v>
      </c>
    </row>
    <row r="2267" spans="1:40" x14ac:dyDescent="0.25">
      <c r="A2267" t="str">
        <f>"20190305134944323"</f>
        <v>20190305134944323</v>
      </c>
      <c r="B2267" t="str">
        <f>"1551764984313114"</f>
        <v>1551764984313114</v>
      </c>
      <c r="C2267" t="s">
        <v>40</v>
      </c>
      <c r="D2267">
        <v>3.4643410000000001</v>
      </c>
      <c r="E2267">
        <v>0.54380539999999999</v>
      </c>
      <c r="F2267" t="s">
        <v>47</v>
      </c>
      <c r="G2267">
        <v>0</v>
      </c>
      <c r="H2267">
        <v>0</v>
      </c>
      <c r="I2267">
        <v>0</v>
      </c>
      <c r="J2267">
        <v>-266.79849999999999</v>
      </c>
      <c r="K2267">
        <v>1.109127</v>
      </c>
      <c r="L2267">
        <v>285.24310000000003</v>
      </c>
      <c r="M2267">
        <v>-0.99995829999999997</v>
      </c>
      <c r="N2267">
        <v>-4.7292949999999997E-3</v>
      </c>
      <c r="O2267">
        <v>-7.8206990000000004E-3</v>
      </c>
      <c r="P2267">
        <v>-0.9928013</v>
      </c>
      <c r="Q2267">
        <v>-6.1346739999999997E-3</v>
      </c>
      <c r="R2267">
        <v>-0.1196166</v>
      </c>
      <c r="S2267">
        <v>-3.0202640000000001</v>
      </c>
      <c r="T2267">
        <v>0.51838949999999995</v>
      </c>
      <c r="U2267">
        <v>-3.8177490000000001E-2</v>
      </c>
      <c r="V2267">
        <v>-0.11184429999999999</v>
      </c>
      <c r="W2267">
        <v>-1.7015019999999999E-3</v>
      </c>
      <c r="X2267">
        <v>0.9937243</v>
      </c>
      <c r="Y2267">
        <v>-4.8704020000000002E-3</v>
      </c>
      <c r="Z2267">
        <v>-9.6588869999999995E-4</v>
      </c>
      <c r="AA2267">
        <v>0.99998770000000003</v>
      </c>
      <c r="AB2267">
        <v>50</v>
      </c>
      <c r="AC2267">
        <v>-3.0202640000000001</v>
      </c>
      <c r="AD2267">
        <v>0.51838949999999995</v>
      </c>
      <c r="AE2267">
        <v>-3.8177490000000001E-2</v>
      </c>
      <c r="AF2267">
        <v>-1.41390247934333E-2</v>
      </c>
      <c r="AG2267">
        <v>0.51838949999999995</v>
      </c>
      <c r="AH2267">
        <v>2.9340489584884999</v>
      </c>
      <c r="AI2267">
        <v>79.980465792649795</v>
      </c>
      <c r="AJ2267">
        <v>90.276103155677802</v>
      </c>
      <c r="AK2267">
        <v>2.9795252770432699</v>
      </c>
      <c r="AL2267">
        <v>90.097488929158999</v>
      </c>
      <c r="AM2267">
        <v>96.421651571070697</v>
      </c>
      <c r="AN2267">
        <v>1.0000000134810101</v>
      </c>
    </row>
    <row r="2268" spans="1:40" x14ac:dyDescent="0.25">
      <c r="A2268" t="str">
        <f>"20190305134944336"</f>
        <v>20190305134944336</v>
      </c>
      <c r="B2268" t="str">
        <f>"1551764984322875"</f>
        <v>1551764984322875</v>
      </c>
      <c r="C2268" t="s">
        <v>40</v>
      </c>
      <c r="D2268">
        <v>3.4743930000000001</v>
      </c>
      <c r="E2268">
        <v>0.54380030000000001</v>
      </c>
      <c r="F2268" t="s">
        <v>47</v>
      </c>
      <c r="G2268">
        <v>0</v>
      </c>
      <c r="H2268">
        <v>0</v>
      </c>
      <c r="I2268">
        <v>0</v>
      </c>
      <c r="J2268">
        <v>-267.05590000000001</v>
      </c>
      <c r="K2268">
        <v>1.1091299999999999</v>
      </c>
      <c r="L2268">
        <v>285.24099999999999</v>
      </c>
      <c r="M2268">
        <v>-0.99995489999999998</v>
      </c>
      <c r="N2268">
        <v>-4.7310570000000003E-3</v>
      </c>
      <c r="O2268">
        <v>-8.2294359999999997E-3</v>
      </c>
      <c r="P2268">
        <v>-0.99279779999999995</v>
      </c>
      <c r="Q2268">
        <v>-6.4590409999999996E-3</v>
      </c>
      <c r="R2268">
        <v>-0.1196291</v>
      </c>
      <c r="S2268">
        <v>-3.0203859999999998</v>
      </c>
      <c r="T2268">
        <v>0.51760150000000005</v>
      </c>
      <c r="U2268">
        <v>-3.7902829999999998E-2</v>
      </c>
      <c r="V2268">
        <v>-0.11144999999999999</v>
      </c>
      <c r="W2268">
        <v>-2.0255619999999998E-3</v>
      </c>
      <c r="X2268">
        <v>0.99376799999999998</v>
      </c>
      <c r="Y2268">
        <v>-4.3832690000000004E-3</v>
      </c>
      <c r="Z2268">
        <v>-1.076224E-3</v>
      </c>
      <c r="AA2268">
        <v>0.99998980000000004</v>
      </c>
      <c r="AB2268">
        <v>50</v>
      </c>
      <c r="AC2268">
        <v>-3.0203859999999998</v>
      </c>
      <c r="AD2268">
        <v>0.51760150000000005</v>
      </c>
      <c r="AE2268">
        <v>-3.7902829999999998E-2</v>
      </c>
      <c r="AF2268">
        <v>-1.26730766189903E-2</v>
      </c>
      <c r="AG2268">
        <v>0.51760150000000005</v>
      </c>
      <c r="AH2268">
        <v>2.9344324301535898</v>
      </c>
      <c r="AI2268">
        <v>79.996647076883704</v>
      </c>
      <c r="AJ2268">
        <v>90.247444542225793</v>
      </c>
      <c r="AK2268">
        <v>2.9797593202824801</v>
      </c>
      <c r="AL2268">
        <v>90.116056230595106</v>
      </c>
      <c r="AM2268">
        <v>96.398921506153897</v>
      </c>
      <c r="AN2268">
        <v>1.0000000216127001</v>
      </c>
    </row>
    <row r="2269" spans="1:40" x14ac:dyDescent="0.25">
      <c r="A2269" t="str">
        <f>"20190305134944347"</f>
        <v>20190305134944347</v>
      </c>
      <c r="B2269" t="str">
        <f>"1551764984342902"</f>
        <v>1551764984342902</v>
      </c>
      <c r="C2269" t="s">
        <v>40</v>
      </c>
      <c r="D2269">
        <v>3.5565950000000002</v>
      </c>
      <c r="E2269">
        <v>0.54373939999999998</v>
      </c>
      <c r="F2269" t="s">
        <v>47</v>
      </c>
      <c r="G2269">
        <v>0</v>
      </c>
      <c r="H2269">
        <v>0</v>
      </c>
      <c r="I2269">
        <v>0</v>
      </c>
      <c r="J2269">
        <v>-267.33280000000002</v>
      </c>
      <c r="K2269">
        <v>1.109132</v>
      </c>
      <c r="L2269">
        <v>285.23860000000002</v>
      </c>
      <c r="M2269">
        <v>-0.99995120000000004</v>
      </c>
      <c r="N2269">
        <v>-4.7341570000000001E-3</v>
      </c>
      <c r="O2269">
        <v>-8.6675050000000007E-3</v>
      </c>
      <c r="P2269">
        <v>-0.99279569999999995</v>
      </c>
      <c r="Q2269">
        <v>-7.2235650000000004E-3</v>
      </c>
      <c r="R2269">
        <v>-0.1196011</v>
      </c>
      <c r="S2269">
        <v>-3.0205380000000002</v>
      </c>
      <c r="T2269">
        <v>0.51642969999999999</v>
      </c>
      <c r="U2269">
        <v>-3.7963869999999997E-2</v>
      </c>
      <c r="V2269">
        <v>-0.1109854</v>
      </c>
      <c r="W2269">
        <v>-2.7883029999999998E-3</v>
      </c>
      <c r="X2269">
        <v>0.99381810000000004</v>
      </c>
      <c r="Y2269">
        <v>-3.9769219999999999E-3</v>
      </c>
      <c r="Z2269">
        <v>-1.1838409999999999E-3</v>
      </c>
      <c r="AA2269">
        <v>0.99999139999999997</v>
      </c>
      <c r="AB2269">
        <v>50</v>
      </c>
      <c r="AC2269">
        <v>-3.0205380000000002</v>
      </c>
      <c r="AD2269">
        <v>0.51642969999999999</v>
      </c>
      <c r="AE2269">
        <v>-3.7963869999999997E-2</v>
      </c>
      <c r="AF2269">
        <v>-1.14470576204988E-2</v>
      </c>
      <c r="AG2269">
        <v>0.51642969999999999</v>
      </c>
      <c r="AH2269">
        <v>2.9349729443778898</v>
      </c>
      <c r="AI2269">
        <v>80.020622197069997</v>
      </c>
      <c r="AJ2269">
        <v>90.223465352601494</v>
      </c>
      <c r="AK2269">
        <v>2.98008336366627</v>
      </c>
      <c r="AL2269">
        <v>90.159758204945504</v>
      </c>
      <c r="AM2269">
        <v>96.372147701091194</v>
      </c>
      <c r="AN2269">
        <v>0.99999997476719404</v>
      </c>
    </row>
    <row r="2270" spans="1:40" x14ac:dyDescent="0.25">
      <c r="A2270" t="str">
        <f>"20190305134944368"</f>
        <v>20190305134944368</v>
      </c>
      <c r="B2270" t="str">
        <f>"1551764984363398"</f>
        <v>1551764984363398</v>
      </c>
      <c r="C2270" t="s">
        <v>40</v>
      </c>
      <c r="D2270">
        <v>3.6009199999999999</v>
      </c>
      <c r="E2270">
        <v>0.54362379999999999</v>
      </c>
      <c r="F2270" t="s">
        <v>47</v>
      </c>
      <c r="G2270">
        <v>0</v>
      </c>
      <c r="H2270">
        <v>0</v>
      </c>
      <c r="I2270">
        <v>0</v>
      </c>
      <c r="J2270">
        <v>-267.77109999999999</v>
      </c>
      <c r="K2270">
        <v>1.1091329999999999</v>
      </c>
      <c r="L2270">
        <v>285.2346</v>
      </c>
      <c r="M2270">
        <v>-0.99994499999999997</v>
      </c>
      <c r="N2270">
        <v>-4.7419669999999997E-3</v>
      </c>
      <c r="O2270">
        <v>-9.3567930000000004E-3</v>
      </c>
      <c r="P2270">
        <v>-0.99282800000000004</v>
      </c>
      <c r="Q2270">
        <v>-8.0311800000000006E-3</v>
      </c>
      <c r="R2270">
        <v>-0.119282399999999</v>
      </c>
      <c r="S2270">
        <v>-3.020905</v>
      </c>
      <c r="T2270">
        <v>0.51325189999999998</v>
      </c>
      <c r="U2270">
        <v>-3.8574219999999999E-2</v>
      </c>
      <c r="V2270">
        <v>-0.10997899999999999</v>
      </c>
      <c r="W2270">
        <v>-3.5886720000000002E-3</v>
      </c>
      <c r="X2270">
        <v>0.99392740000000002</v>
      </c>
      <c r="Y2270">
        <v>-3.5042189999999998E-3</v>
      </c>
      <c r="Z2270">
        <v>-1.335164E-3</v>
      </c>
      <c r="AA2270">
        <v>0.99999300000000002</v>
      </c>
      <c r="AB2270">
        <v>50</v>
      </c>
      <c r="AC2270">
        <v>-3.020905</v>
      </c>
      <c r="AD2270">
        <v>0.51325189999999998</v>
      </c>
      <c r="AE2270">
        <v>-3.8574219999999999E-2</v>
      </c>
      <c r="AF2270">
        <v>-1.0017123916376901E-2</v>
      </c>
      <c r="AG2270">
        <v>0.51325189999999998</v>
      </c>
      <c r="AH2270">
        <v>2.9363857218245801</v>
      </c>
      <c r="AI2270">
        <v>80.085466349259093</v>
      </c>
      <c r="AJ2270">
        <v>90.195456847719896</v>
      </c>
      <c r="AK2270">
        <v>2.9809208246715402</v>
      </c>
      <c r="AL2270">
        <v>90.205616207632005</v>
      </c>
      <c r="AM2270">
        <v>96.314146041872306</v>
      </c>
      <c r="AN2270">
        <v>0.99999996773924105</v>
      </c>
    </row>
    <row r="2271" spans="1:40" x14ac:dyDescent="0.25">
      <c r="A2271" t="str">
        <f>"20190305134944390"</f>
        <v>20190305134944390</v>
      </c>
      <c r="B2271" t="str">
        <f>"1551764984382918"</f>
        <v>1551764984382918</v>
      </c>
      <c r="C2271" t="s">
        <v>40</v>
      </c>
      <c r="D2271">
        <v>3.7995559999999999</v>
      </c>
      <c r="E2271">
        <v>0.54355540000000002</v>
      </c>
      <c r="F2271" t="s">
        <v>47</v>
      </c>
      <c r="G2271">
        <v>0</v>
      </c>
      <c r="H2271">
        <v>0</v>
      </c>
      <c r="I2271">
        <v>0</v>
      </c>
      <c r="J2271">
        <v>-268.28440000000001</v>
      </c>
      <c r="K2271">
        <v>1.1091329999999999</v>
      </c>
      <c r="L2271">
        <v>285.2296</v>
      </c>
      <c r="M2271">
        <v>-0.99993719999999997</v>
      </c>
      <c r="N2271">
        <v>-4.7540560000000004E-3</v>
      </c>
      <c r="O2271">
        <v>-1.015778E-2</v>
      </c>
      <c r="P2271">
        <v>-0.99276889999999995</v>
      </c>
      <c r="Q2271">
        <v>-8.312669E-3</v>
      </c>
      <c r="R2271">
        <v>-0.119754</v>
      </c>
      <c r="S2271">
        <v>-3.0211489999999999</v>
      </c>
      <c r="T2271">
        <v>0.50982729999999998</v>
      </c>
      <c r="U2271">
        <v>-3.9001460000000002E-2</v>
      </c>
      <c r="V2271">
        <v>-0.10965419999999999</v>
      </c>
      <c r="W2271">
        <v>-3.8602699999999998E-3</v>
      </c>
      <c r="X2271">
        <v>0.99396229999999997</v>
      </c>
      <c r="Y2271">
        <v>-2.8631630000000002E-3</v>
      </c>
      <c r="Z2271">
        <v>-1.516919E-3</v>
      </c>
      <c r="AA2271">
        <v>0.99999479999999996</v>
      </c>
      <c r="AB2271">
        <v>51</v>
      </c>
      <c r="AC2271">
        <v>-3.0211489999999999</v>
      </c>
      <c r="AD2271">
        <v>0.50982729999999998</v>
      </c>
      <c r="AE2271">
        <v>-3.9001460000000002E-2</v>
      </c>
      <c r="AF2271">
        <v>-8.0808528125454401E-3</v>
      </c>
      <c r="AG2271">
        <v>0.50982729999999998</v>
      </c>
      <c r="AH2271">
        <v>2.9377436439954301</v>
      </c>
      <c r="AI2271">
        <v>80.154763869732903</v>
      </c>
      <c r="AJ2271">
        <v>90.157603129953003</v>
      </c>
      <c r="AK2271">
        <v>2.98166512100924</v>
      </c>
      <c r="AL2271">
        <v>90.221177728204694</v>
      </c>
      <c r="AM2271">
        <v>96.295429204333502</v>
      </c>
      <c r="AN2271">
        <v>0.99999999954170105</v>
      </c>
    </row>
    <row r="2272" spans="1:40" x14ac:dyDescent="0.25">
      <c r="A2272" t="str">
        <f>"20190305134944401"</f>
        <v>20190305134944401</v>
      </c>
      <c r="B2272" t="str">
        <f>"1551764984392679"</f>
        <v>1551764984392679</v>
      </c>
      <c r="C2272" t="s">
        <v>40</v>
      </c>
      <c r="D2272">
        <v>3.6047150000000001</v>
      </c>
      <c r="E2272">
        <v>0.54350580000000004</v>
      </c>
      <c r="F2272" t="s">
        <v>47</v>
      </c>
      <c r="G2272">
        <v>0</v>
      </c>
      <c r="H2272">
        <v>0</v>
      </c>
      <c r="I2272">
        <v>0</v>
      </c>
      <c r="J2272">
        <v>-268.55759999999998</v>
      </c>
      <c r="K2272">
        <v>1.1091329999999999</v>
      </c>
      <c r="L2272">
        <v>285.22669999999999</v>
      </c>
      <c r="M2272">
        <v>-0.99993270000000001</v>
      </c>
      <c r="N2272">
        <v>-4.7619020000000001E-3</v>
      </c>
      <c r="O2272">
        <v>-1.058008E-2</v>
      </c>
      <c r="P2272">
        <v>-0.99273290000000003</v>
      </c>
      <c r="Q2272">
        <v>-8.4643400000000008E-3</v>
      </c>
      <c r="R2272">
        <v>-0.12004090000000001</v>
      </c>
      <c r="S2272">
        <v>-3.0210880000000002</v>
      </c>
      <c r="T2272">
        <v>0.50870099999999996</v>
      </c>
      <c r="U2272">
        <v>-4.1564940000000002E-2</v>
      </c>
      <c r="V2272">
        <v>-0.10952099999999999</v>
      </c>
      <c r="W2272">
        <v>-4.0047809999999998E-3</v>
      </c>
      <c r="X2272">
        <v>0.99397639999999998</v>
      </c>
      <c r="Y2272">
        <v>-3.289471E-3</v>
      </c>
      <c r="Z2272">
        <v>-1.5518260000000001E-3</v>
      </c>
      <c r="AA2272">
        <v>0.99999340000000003</v>
      </c>
      <c r="AB2272">
        <v>51</v>
      </c>
      <c r="AC2272">
        <v>-3.0210880000000002</v>
      </c>
      <c r="AD2272">
        <v>0.50870099999999996</v>
      </c>
      <c r="AE2272">
        <v>-4.1564940000000002E-2</v>
      </c>
      <c r="AF2272">
        <v>-9.3342939055859695E-3</v>
      </c>
      <c r="AG2272">
        <v>0.50870099999999996</v>
      </c>
      <c r="AH2272">
        <v>2.9380714087459601</v>
      </c>
      <c r="AI2272">
        <v>80.177176287055204</v>
      </c>
      <c r="AJ2272">
        <v>90.182028879410794</v>
      </c>
      <c r="AK2272">
        <v>2.98179936268928</v>
      </c>
      <c r="AL2272">
        <v>90.229457665800993</v>
      </c>
      <c r="AM2272">
        <v>96.287754779756597</v>
      </c>
      <c r="AN2272">
        <v>0.99999998573440796</v>
      </c>
    </row>
    <row r="2273" spans="1:40" x14ac:dyDescent="0.25">
      <c r="A2273" t="str">
        <f>"20190305134944413"</f>
        <v>20190305134944413</v>
      </c>
      <c r="B2273" t="str">
        <f>"1551764984402438"</f>
        <v>1551764984402438</v>
      </c>
      <c r="C2273" t="s">
        <v>40</v>
      </c>
      <c r="D2273">
        <v>3.5924019999999999</v>
      </c>
      <c r="E2273">
        <v>0.54343759999999997</v>
      </c>
      <c r="F2273" t="s">
        <v>47</v>
      </c>
      <c r="G2273">
        <v>0</v>
      </c>
      <c r="H2273">
        <v>0</v>
      </c>
      <c r="I2273">
        <v>0</v>
      </c>
      <c r="J2273">
        <v>-268.81</v>
      </c>
      <c r="K2273">
        <v>1.1091310000000001</v>
      </c>
      <c r="L2273">
        <v>285.22390000000001</v>
      </c>
      <c r="M2273">
        <v>-0.99992859999999995</v>
      </c>
      <c r="N2273">
        <v>-4.7693520000000001E-3</v>
      </c>
      <c r="O2273">
        <v>-1.0969359999999999E-2</v>
      </c>
      <c r="P2273">
        <v>-0.99266770000000004</v>
      </c>
      <c r="Q2273">
        <v>-8.0042819999999997E-3</v>
      </c>
      <c r="R2273">
        <v>-0.1206111</v>
      </c>
      <c r="S2273">
        <v>-3.0210880000000002</v>
      </c>
      <c r="T2273">
        <v>0.50759049999999994</v>
      </c>
      <c r="U2273">
        <v>-4.3029789999999998E-2</v>
      </c>
      <c r="V2273">
        <v>-0.1097065</v>
      </c>
      <c r="W2273">
        <v>-3.538738E-3</v>
      </c>
      <c r="X2273">
        <v>0.99395770000000006</v>
      </c>
      <c r="Y2273">
        <v>-3.388912E-3</v>
      </c>
      <c r="Z2273">
        <v>-1.607423E-3</v>
      </c>
      <c r="AA2273">
        <v>0.99999300000000002</v>
      </c>
      <c r="AB2273">
        <v>51</v>
      </c>
      <c r="AC2273">
        <v>-3.0210880000000002</v>
      </c>
      <c r="AD2273">
        <v>0.50759049999999994</v>
      </c>
      <c r="AE2273">
        <v>-4.3029789999999998E-2</v>
      </c>
      <c r="AF2273">
        <v>-9.6160281318169501E-3</v>
      </c>
      <c r="AG2273">
        <v>0.50759049999999994</v>
      </c>
      <c r="AH2273">
        <v>2.9384448094298898</v>
      </c>
      <c r="AI2273">
        <v>80.199427605808594</v>
      </c>
      <c r="AJ2273">
        <v>90.187499135293294</v>
      </c>
      <c r="AK2273">
        <v>2.9819789539419501</v>
      </c>
      <c r="AL2273">
        <v>90.202755180628202</v>
      </c>
      <c r="AM2273">
        <v>96.298436623059899</v>
      </c>
      <c r="AN2273">
        <v>0.99999997409908603</v>
      </c>
    </row>
    <row r="2274" spans="1:40" x14ac:dyDescent="0.25">
      <c r="A2274" t="str">
        <f>"20190305134944425"</f>
        <v>20190305134944425</v>
      </c>
      <c r="B2274" t="str">
        <f>"1551764984422933"</f>
        <v>1551764984422933</v>
      </c>
      <c r="C2274" t="s">
        <v>40</v>
      </c>
      <c r="D2274">
        <v>4.057563</v>
      </c>
      <c r="E2274">
        <v>0.54371449999999999</v>
      </c>
      <c r="F2274" t="s">
        <v>47</v>
      </c>
      <c r="G2274">
        <v>0</v>
      </c>
      <c r="H2274">
        <v>0</v>
      </c>
      <c r="I2274">
        <v>0</v>
      </c>
      <c r="J2274">
        <v>-269.10359999999997</v>
      </c>
      <c r="K2274">
        <v>1.1091299999999999</v>
      </c>
      <c r="L2274">
        <v>285.22059999999999</v>
      </c>
      <c r="M2274">
        <v>-0.99992360000000002</v>
      </c>
      <c r="N2274">
        <v>-4.7785429999999997E-3</v>
      </c>
      <c r="O2274">
        <v>-1.141907E-2</v>
      </c>
      <c r="P2274">
        <v>-0.99257499999999999</v>
      </c>
      <c r="Q2274">
        <v>-7.2329289999999999E-3</v>
      </c>
      <c r="R2274">
        <v>-0.1214213</v>
      </c>
      <c r="S2274">
        <v>-3.020721</v>
      </c>
      <c r="T2274">
        <v>0.50862149999999995</v>
      </c>
      <c r="U2274">
        <v>-4.5257569999999997E-2</v>
      </c>
      <c r="V2274">
        <v>-0.11007260000000001</v>
      </c>
      <c r="W2274">
        <v>-2.7601570000000001E-3</v>
      </c>
      <c r="X2274">
        <v>0.99391969999999996</v>
      </c>
      <c r="Y2274">
        <v>-3.681419E-3</v>
      </c>
      <c r="Z2274">
        <v>-1.6643789999999999E-3</v>
      </c>
      <c r="AA2274">
        <v>0.99999179999999999</v>
      </c>
      <c r="AB2274">
        <v>51</v>
      </c>
      <c r="AC2274">
        <v>-3.020721</v>
      </c>
      <c r="AD2274">
        <v>0.50862149999999995</v>
      </c>
      <c r="AE2274">
        <v>-4.5257569999999997E-2</v>
      </c>
      <c r="AF2274">
        <v>-1.04638153564911E-2</v>
      </c>
      <c r="AG2274">
        <v>0.50862149999999995</v>
      </c>
      <c r="AH2274">
        <v>2.9377708364541699</v>
      </c>
      <c r="AI2274">
        <v>80.177708714467997</v>
      </c>
      <c r="AJ2274">
        <v>90.204076476889696</v>
      </c>
      <c r="AK2274">
        <v>2.9814933857405599</v>
      </c>
      <c r="AL2274">
        <v>90.158145550403802</v>
      </c>
      <c r="AM2274">
        <v>96.319524935839098</v>
      </c>
      <c r="AN2274">
        <v>0.99999998289275704</v>
      </c>
    </row>
    <row r="2275" spans="1:40" x14ac:dyDescent="0.25">
      <c r="A2275" t="str">
        <f>"20190305134944443"</f>
        <v>20190305134944443</v>
      </c>
      <c r="B2275" t="str">
        <f>"1551764984433202"</f>
        <v>1551764984433202</v>
      </c>
      <c r="C2275" t="s">
        <v>40</v>
      </c>
      <c r="D2275">
        <v>3.5841479999999999</v>
      </c>
      <c r="E2275">
        <v>0.54369389999999995</v>
      </c>
      <c r="F2275" t="s">
        <v>47</v>
      </c>
      <c r="G2275">
        <v>0</v>
      </c>
      <c r="H2275">
        <v>0</v>
      </c>
      <c r="I2275">
        <v>0</v>
      </c>
      <c r="J2275">
        <v>-269.51130000000001</v>
      </c>
      <c r="K2275">
        <v>1.1091340000000001</v>
      </c>
      <c r="L2275">
        <v>285.2158</v>
      </c>
      <c r="M2275">
        <v>-0.99991620000000003</v>
      </c>
      <c r="N2275">
        <v>-4.7922679999999997E-3</v>
      </c>
      <c r="O2275">
        <v>-1.20407E-2</v>
      </c>
      <c r="P2275">
        <v>-0.99247059999999998</v>
      </c>
      <c r="Q2275">
        <v>-5.972046E-3</v>
      </c>
      <c r="R2275">
        <v>-0.1223408</v>
      </c>
      <c r="S2275">
        <v>-3.0205989999999998</v>
      </c>
      <c r="T2275">
        <v>0.51093699999999997</v>
      </c>
      <c r="U2275">
        <v>-4.5593259999999997E-2</v>
      </c>
      <c r="V2275">
        <v>-0.11037810000000001</v>
      </c>
      <c r="W2275">
        <v>-1.487368E-3</v>
      </c>
      <c r="X2275">
        <v>0.99388860000000001</v>
      </c>
      <c r="Y2275">
        <v>-3.1886589999999999E-3</v>
      </c>
      <c r="Z2275">
        <v>-1.819347E-3</v>
      </c>
      <c r="AA2275">
        <v>0.99999329999999997</v>
      </c>
      <c r="AB2275">
        <v>51</v>
      </c>
      <c r="AC2275">
        <v>-3.0205989999999998</v>
      </c>
      <c r="AD2275">
        <v>0.51093699999999997</v>
      </c>
      <c r="AE2275">
        <v>-4.5593259999999997E-2</v>
      </c>
      <c r="AF2275">
        <v>-8.9630252851240991E-3</v>
      </c>
      <c r="AG2275">
        <v>0.51093699999999997</v>
      </c>
      <c r="AH2275">
        <v>2.93691701203038</v>
      </c>
      <c r="AI2275">
        <v>80.131041277814106</v>
      </c>
      <c r="AJ2275">
        <v>90.174857486291998</v>
      </c>
      <c r="AK2275">
        <v>2.98104318810458</v>
      </c>
      <c r="AL2275">
        <v>90.085219936721401</v>
      </c>
      <c r="AM2275">
        <v>96.337118592280504</v>
      </c>
      <c r="AN2275">
        <v>1.0000000432165601</v>
      </c>
    </row>
    <row r="2276" spans="1:40" x14ac:dyDescent="0.25">
      <c r="A2276" t="str">
        <f>"20190305134944457"</f>
        <v>20190305134944457</v>
      </c>
      <c r="B2276" t="str">
        <f>"1551764984452723"</f>
        <v>1551764984452723</v>
      </c>
      <c r="C2276" t="s">
        <v>40</v>
      </c>
      <c r="D2276">
        <v>3.5679029999999998</v>
      </c>
      <c r="E2276">
        <v>0.54361749999999998</v>
      </c>
      <c r="F2276" t="s">
        <v>47</v>
      </c>
      <c r="G2276">
        <v>0</v>
      </c>
      <c r="H2276">
        <v>0</v>
      </c>
      <c r="I2276">
        <v>0</v>
      </c>
      <c r="J2276">
        <v>-269.82080000000002</v>
      </c>
      <c r="K2276">
        <v>1.109129</v>
      </c>
      <c r="L2276">
        <v>285.21190000000001</v>
      </c>
      <c r="M2276">
        <v>-0.99991030000000003</v>
      </c>
      <c r="N2276">
        <v>-4.8033479999999998E-3</v>
      </c>
      <c r="O2276">
        <v>-1.2510439999999999E-2</v>
      </c>
      <c r="P2276">
        <v>-0.99237330000000001</v>
      </c>
      <c r="Q2276">
        <v>-5.5361369999999896E-3</v>
      </c>
      <c r="R2276">
        <v>-0.1231445</v>
      </c>
      <c r="S2276">
        <v>-3.0198969999999998</v>
      </c>
      <c r="T2276">
        <v>0.51450879999999999</v>
      </c>
      <c r="U2276">
        <v>-4.8431399999999999E-2</v>
      </c>
      <c r="V2276">
        <v>-0.1107175</v>
      </c>
      <c r="W2276">
        <v>-1.04196E-3</v>
      </c>
      <c r="X2276">
        <v>0.99385140000000005</v>
      </c>
      <c r="Y2276">
        <v>-3.6643729999999998E-3</v>
      </c>
      <c r="Z2276">
        <v>-1.874576E-3</v>
      </c>
      <c r="AA2276">
        <v>0.99999150000000003</v>
      </c>
      <c r="AB2276">
        <v>51</v>
      </c>
      <c r="AC2276">
        <v>-3.0198969999999998</v>
      </c>
      <c r="AD2276">
        <v>0.51450879999999999</v>
      </c>
      <c r="AE2276">
        <v>-4.8431399999999999E-2</v>
      </c>
      <c r="AF2276">
        <v>-1.0346681927209301E-2</v>
      </c>
      <c r="AG2276">
        <v>0.51450879999999999</v>
      </c>
      <c r="AH2276">
        <v>2.9350917230641498</v>
      </c>
      <c r="AI2276">
        <v>80.057379938892694</v>
      </c>
      <c r="AJ2276">
        <v>90.201976226545895</v>
      </c>
      <c r="AK2276">
        <v>2.9798640542655699</v>
      </c>
      <c r="AL2276">
        <v>90.059699919559193</v>
      </c>
      <c r="AM2276">
        <v>96.356681227877203</v>
      </c>
      <c r="AN2276">
        <v>1.0000000278844201</v>
      </c>
    </row>
    <row r="2277" spans="1:40" x14ac:dyDescent="0.25">
      <c r="A2277" t="str">
        <f>"20190305134944471"</f>
        <v>20190305134944471</v>
      </c>
      <c r="B2277" t="str">
        <f>"1551764984462483"</f>
        <v>1551764984462483</v>
      </c>
      <c r="C2277" t="s">
        <v>40</v>
      </c>
      <c r="D2277">
        <v>3.5938810000000001</v>
      </c>
      <c r="E2277">
        <v>0.54357319999999998</v>
      </c>
      <c r="F2277" t="s">
        <v>47</v>
      </c>
      <c r="G2277">
        <v>0</v>
      </c>
      <c r="H2277">
        <v>0</v>
      </c>
      <c r="I2277">
        <v>0</v>
      </c>
      <c r="J2277">
        <v>-270.13420000000002</v>
      </c>
      <c r="K2277">
        <v>1.109119</v>
      </c>
      <c r="L2277">
        <v>285.2079</v>
      </c>
      <c r="M2277">
        <v>-0.99990420000000002</v>
      </c>
      <c r="N2277">
        <v>-4.8148130000000003E-3</v>
      </c>
      <c r="O2277">
        <v>-1.298495E-2</v>
      </c>
      <c r="P2277">
        <v>-0.99227010000000004</v>
      </c>
      <c r="Q2277">
        <v>-5.5835299999999997E-3</v>
      </c>
      <c r="R2277">
        <v>-0.1239739</v>
      </c>
      <c r="S2277">
        <v>-3.0195919999999998</v>
      </c>
      <c r="T2277">
        <v>0.51534840000000004</v>
      </c>
      <c r="U2277">
        <v>-5.1177979999999998E-2</v>
      </c>
      <c r="V2277">
        <v>-0.1110763</v>
      </c>
      <c r="W2277">
        <v>-1.079474E-3</v>
      </c>
      <c r="X2277">
        <v>0.99381129999999995</v>
      </c>
      <c r="Y2277">
        <v>-4.102362E-3</v>
      </c>
      <c r="Z2277">
        <v>-1.9244189999999999E-3</v>
      </c>
      <c r="AA2277">
        <v>0.99998969999999998</v>
      </c>
      <c r="AB2277">
        <v>51</v>
      </c>
      <c r="AC2277">
        <v>-3.0195919999999998</v>
      </c>
      <c r="AD2277">
        <v>0.51534840000000004</v>
      </c>
      <c r="AE2277">
        <v>-5.1177979999999998E-2</v>
      </c>
      <c r="AF2277">
        <v>-1.1625439099419901E-2</v>
      </c>
      <c r="AG2277">
        <v>0.51534840000000004</v>
      </c>
      <c r="AH2277">
        <v>2.9345499937330199</v>
      </c>
      <c r="AI2277">
        <v>80.039694011346299</v>
      </c>
      <c r="AJ2277">
        <v>90.226980324850601</v>
      </c>
      <c r="AK2277">
        <v>2.9794802885629701</v>
      </c>
      <c r="AL2277">
        <v>90.061849316006104</v>
      </c>
      <c r="AM2277">
        <v>96.377366955571205</v>
      </c>
      <c r="AN2277">
        <v>1.0000000048467399</v>
      </c>
    </row>
    <row r="2278" spans="1:40" x14ac:dyDescent="0.25">
      <c r="A2278" t="str">
        <f>"20190305134944490"</f>
        <v>20190305134944490</v>
      </c>
      <c r="B2278" t="str">
        <f>"1551764984482979"</f>
        <v>1551764984482979</v>
      </c>
      <c r="C2278" t="s">
        <v>40</v>
      </c>
      <c r="D2278">
        <v>3.5890569999999999</v>
      </c>
      <c r="E2278">
        <v>0.54348819999999998</v>
      </c>
      <c r="F2278" t="s">
        <v>47</v>
      </c>
      <c r="G2278">
        <v>0</v>
      </c>
      <c r="H2278">
        <v>0</v>
      </c>
      <c r="I2278">
        <v>0</v>
      </c>
      <c r="J2278">
        <v>-270.57139999999998</v>
      </c>
      <c r="K2278">
        <v>1.109111</v>
      </c>
      <c r="L2278">
        <v>285.20209999999997</v>
      </c>
      <c r="M2278">
        <v>-0.99989530000000004</v>
      </c>
      <c r="N2278">
        <v>-4.8293930000000004E-3</v>
      </c>
      <c r="O2278">
        <v>-1.364365E-2</v>
      </c>
      <c r="P2278">
        <v>-0.99214570000000002</v>
      </c>
      <c r="Q2278">
        <v>-5.6012400000000004E-3</v>
      </c>
      <c r="R2278">
        <v>-0.1249627</v>
      </c>
      <c r="S2278">
        <v>-3.0195310000000002</v>
      </c>
      <c r="T2278">
        <v>0.51480320000000002</v>
      </c>
      <c r="U2278">
        <v>-5.3924560000000003E-2</v>
      </c>
      <c r="V2278">
        <v>-0.1114122</v>
      </c>
      <c r="W2278">
        <v>-1.0843999999999999E-3</v>
      </c>
      <c r="X2278">
        <v>0.99377369999999998</v>
      </c>
      <c r="Y2278">
        <v>-4.3594630000000001E-3</v>
      </c>
      <c r="Z2278">
        <v>-2.0162259999999999E-3</v>
      </c>
      <c r="AA2278">
        <v>0.9999884</v>
      </c>
      <c r="AB2278">
        <v>51</v>
      </c>
      <c r="AC2278">
        <v>-3.0195310000000002</v>
      </c>
      <c r="AD2278">
        <v>0.51480320000000002</v>
      </c>
      <c r="AE2278">
        <v>-5.3924560000000003E-2</v>
      </c>
      <c r="AF2278">
        <v>-1.2362411436665201E-2</v>
      </c>
      <c r="AG2278">
        <v>0.51480320000000002</v>
      </c>
      <c r="AH2278">
        <v>2.9347090404787002</v>
      </c>
      <c r="AI2278">
        <v>80.050559044822293</v>
      </c>
      <c r="AJ2278">
        <v>90.241356059670593</v>
      </c>
      <c r="AK2278">
        <v>2.9795456560043201</v>
      </c>
      <c r="AL2278">
        <v>90.062131554827204</v>
      </c>
      <c r="AM2278">
        <v>96.396732819121695</v>
      </c>
      <c r="AN2278">
        <v>1.00000001052194</v>
      </c>
    </row>
    <row r="2279" spans="1:40" x14ac:dyDescent="0.25">
      <c r="A2279" t="str">
        <f>"20190305134944502"</f>
        <v>20190305134944502</v>
      </c>
      <c r="B2279" t="str">
        <f>"1551764984492741"</f>
        <v>1551764984492741</v>
      </c>
      <c r="C2279" t="s">
        <v>40</v>
      </c>
      <c r="D2279">
        <v>3.5728949999999902</v>
      </c>
      <c r="E2279">
        <v>0.54344789999999998</v>
      </c>
      <c r="F2279" t="s">
        <v>47</v>
      </c>
      <c r="G2279">
        <v>0</v>
      </c>
      <c r="H2279">
        <v>0</v>
      </c>
      <c r="I2279">
        <v>0</v>
      </c>
      <c r="J2279">
        <v>-270.86599999999999</v>
      </c>
      <c r="K2279">
        <v>1.1091059999999999</v>
      </c>
      <c r="L2279">
        <v>285.19799999999998</v>
      </c>
      <c r="M2279">
        <v>-0.99988909999999998</v>
      </c>
      <c r="N2279">
        <v>-4.8365689999999998E-3</v>
      </c>
      <c r="O2279">
        <v>-1.4086080000000001E-2</v>
      </c>
      <c r="P2279">
        <v>-0.99209510000000001</v>
      </c>
      <c r="Q2279">
        <v>-5.5625719999999896E-3</v>
      </c>
      <c r="R2279">
        <v>-0.12536559999999999</v>
      </c>
      <c r="S2279">
        <v>-3.0194399999999999</v>
      </c>
      <c r="T2279">
        <v>0.51376509999999997</v>
      </c>
      <c r="U2279">
        <v>-5.7281489999999997E-2</v>
      </c>
      <c r="V2279">
        <v>-0.11137619999999999</v>
      </c>
      <c r="W2279">
        <v>-1.038852E-3</v>
      </c>
      <c r="X2279">
        <v>0.99377780000000004</v>
      </c>
      <c r="Y2279">
        <v>-5.0258059999999998E-3</v>
      </c>
      <c r="Z2279">
        <v>-2.034709E-3</v>
      </c>
      <c r="AA2279">
        <v>0.99998529999999997</v>
      </c>
      <c r="AB2279">
        <v>51</v>
      </c>
      <c r="AC2279">
        <v>-3.0194399999999999</v>
      </c>
      <c r="AD2279">
        <v>0.51376509999999997</v>
      </c>
      <c r="AE2279">
        <v>-5.7281489999999997E-2</v>
      </c>
      <c r="AF2279">
        <v>-1.43285475803959E-2</v>
      </c>
      <c r="AG2279">
        <v>0.51376509999999997</v>
      </c>
      <c r="AH2279">
        <v>2.9350040635626402</v>
      </c>
      <c r="AI2279">
        <v>80.071230250213304</v>
      </c>
      <c r="AJ2279">
        <v>90.279712996328996</v>
      </c>
      <c r="AK2279">
        <v>2.9796658769705999</v>
      </c>
      <c r="AL2279">
        <v>90.059521844270094</v>
      </c>
      <c r="AM2279">
        <v>96.394656839320106</v>
      </c>
      <c r="AN2279">
        <v>1.00000002645637</v>
      </c>
    </row>
    <row r="2280" spans="1:40" x14ac:dyDescent="0.25">
      <c r="A2280" t="str">
        <f>"20190305134944514"</f>
        <v>20190305134944514</v>
      </c>
      <c r="B2280" t="str">
        <f>"1551764984502499"</f>
        <v>1551764984502499</v>
      </c>
      <c r="C2280" t="s">
        <v>40</v>
      </c>
      <c r="D2280">
        <v>3.569051</v>
      </c>
      <c r="E2280">
        <v>0.54337219999999997</v>
      </c>
      <c r="F2280" t="s">
        <v>47</v>
      </c>
      <c r="G2280">
        <v>0</v>
      </c>
      <c r="H2280">
        <v>0</v>
      </c>
      <c r="I2280">
        <v>0</v>
      </c>
      <c r="J2280">
        <v>-271.11930000000001</v>
      </c>
      <c r="K2280">
        <v>1.1091</v>
      </c>
      <c r="L2280">
        <v>285.19439999999997</v>
      </c>
      <c r="M2280">
        <v>-0.99988370000000004</v>
      </c>
      <c r="N2280">
        <v>-4.8415669999999997E-3</v>
      </c>
      <c r="O2280">
        <v>-1.446626E-2</v>
      </c>
      <c r="P2280">
        <v>-0.99204570000000003</v>
      </c>
      <c r="Q2280">
        <v>-5.6019370000000004E-3</v>
      </c>
      <c r="R2280">
        <v>-0.12575430000000001</v>
      </c>
      <c r="S2280">
        <v>-3.0193479999999999</v>
      </c>
      <c r="T2280">
        <v>0.51320730000000003</v>
      </c>
      <c r="U2280">
        <v>-5.8898930000000002E-2</v>
      </c>
      <c r="V2280">
        <v>-0.1113871</v>
      </c>
      <c r="W2280">
        <v>-1.073591E-3</v>
      </c>
      <c r="X2280">
        <v>0.99377649999999995</v>
      </c>
      <c r="Y2280">
        <v>-5.1849130000000002E-3</v>
      </c>
      <c r="Z2280">
        <v>-2.0856820000000002E-3</v>
      </c>
      <c r="AA2280">
        <v>0.9999844</v>
      </c>
      <c r="AB2280">
        <v>51</v>
      </c>
      <c r="AC2280">
        <v>-3.0193479999999999</v>
      </c>
      <c r="AD2280">
        <v>0.51320730000000003</v>
      </c>
      <c r="AE2280">
        <v>-5.8898930000000002E-2</v>
      </c>
      <c r="AF2280">
        <v>-1.47865516479133E-2</v>
      </c>
      <c r="AG2280">
        <v>0.51320730000000003</v>
      </c>
      <c r="AH2280">
        <v>2.9351184851679402</v>
      </c>
      <c r="AI2280">
        <v>80.082182328259194</v>
      </c>
      <c r="AJ2280">
        <v>90.288642465422299</v>
      </c>
      <c r="AK2280">
        <v>2.9796846975573499</v>
      </c>
      <c r="AL2280">
        <v>90.061512245944002</v>
      </c>
      <c r="AM2280">
        <v>96.395285773900099</v>
      </c>
      <c r="AN2280">
        <v>0.99999998529814704</v>
      </c>
    </row>
    <row r="2281" spans="1:40" x14ac:dyDescent="0.25">
      <c r="A2281" t="str">
        <f>"20190305134944526"</f>
        <v>20190305134944526</v>
      </c>
      <c r="B2281" t="str">
        <f>"1551764984522995"</f>
        <v>1551764984522995</v>
      </c>
      <c r="C2281" t="s">
        <v>40</v>
      </c>
      <c r="D2281">
        <v>3.5680299999999998</v>
      </c>
      <c r="E2281">
        <v>0.543296</v>
      </c>
      <c r="F2281" t="s">
        <v>47</v>
      </c>
      <c r="G2281">
        <v>0</v>
      </c>
      <c r="H2281">
        <v>0</v>
      </c>
      <c r="I2281">
        <v>0</v>
      </c>
      <c r="J2281">
        <v>-271.40879999999999</v>
      </c>
      <c r="K2281">
        <v>1.1090949999999999</v>
      </c>
      <c r="L2281">
        <v>285.19009999999997</v>
      </c>
      <c r="M2281">
        <v>-0.99987729999999997</v>
      </c>
      <c r="N2281">
        <v>-4.8451620000000001E-3</v>
      </c>
      <c r="O2281">
        <v>-1.4899849999999999E-2</v>
      </c>
      <c r="P2281">
        <v>-0.99201119999999998</v>
      </c>
      <c r="Q2281">
        <v>-5.6436769999999997E-3</v>
      </c>
      <c r="R2281">
        <v>-0.1260241</v>
      </c>
      <c r="S2281">
        <v>-3.0192869999999998</v>
      </c>
      <c r="T2281">
        <v>0.51244029999999996</v>
      </c>
      <c r="U2281">
        <v>-6.0668949999999999E-2</v>
      </c>
      <c r="V2281">
        <v>-0.11122650000000001</v>
      </c>
      <c r="W2281">
        <v>-1.1115960000000001E-3</v>
      </c>
      <c r="X2281">
        <v>0.99379439999999997</v>
      </c>
      <c r="Y2281">
        <v>-5.3416540000000004E-3</v>
      </c>
      <c r="Z2281">
        <v>-2.145129E-3</v>
      </c>
      <c r="AA2281">
        <v>0.99998339999999997</v>
      </c>
      <c r="AB2281">
        <v>52</v>
      </c>
      <c r="AC2281">
        <v>-3.0192869999999998</v>
      </c>
      <c r="AD2281">
        <v>0.51244029999999996</v>
      </c>
      <c r="AE2281">
        <v>-6.0668949999999999E-2</v>
      </c>
      <c r="AF2281">
        <v>-1.5236058238606401E-2</v>
      </c>
      <c r="AG2281">
        <v>0.51244029999999996</v>
      </c>
      <c r="AH2281">
        <v>2.9353356521273901</v>
      </c>
      <c r="AI2281">
        <v>80.097436822894295</v>
      </c>
      <c r="AJ2281">
        <v>90.297394948071599</v>
      </c>
      <c r="AK2281">
        <v>2.9797688818404802</v>
      </c>
      <c r="AL2281">
        <v>90.063689776279801</v>
      </c>
      <c r="AM2281">
        <v>96.386027088721306</v>
      </c>
      <c r="AN2281">
        <v>0.99999993970963597</v>
      </c>
    </row>
    <row r="2282" spans="1:40" x14ac:dyDescent="0.25">
      <c r="A2282" t="str">
        <f>"20190305134944539"</f>
        <v>20190305134944539</v>
      </c>
      <c r="B2282" t="str">
        <f>"1551764984533261"</f>
        <v>1551764984533261</v>
      </c>
      <c r="C2282" t="s">
        <v>40</v>
      </c>
      <c r="D2282">
        <v>3.573439</v>
      </c>
      <c r="E2282">
        <v>0.54325829999999997</v>
      </c>
      <c r="F2282" t="s">
        <v>47</v>
      </c>
      <c r="G2282">
        <v>0</v>
      </c>
      <c r="H2282">
        <v>0</v>
      </c>
      <c r="I2282">
        <v>0</v>
      </c>
      <c r="J2282">
        <v>-271.6968</v>
      </c>
      <c r="K2282">
        <v>1.1090899999999999</v>
      </c>
      <c r="L2282">
        <v>285.1857</v>
      </c>
      <c r="M2282">
        <v>-0.99987079999999995</v>
      </c>
      <c r="N2282">
        <v>-4.8470930000000002E-3</v>
      </c>
      <c r="O2282">
        <v>-1.5326859999999999E-2</v>
      </c>
      <c r="P2282">
        <v>-0.99197800000000003</v>
      </c>
      <c r="Q2282">
        <v>-5.7060899999999996E-3</v>
      </c>
      <c r="R2282">
        <v>-0.1262837</v>
      </c>
      <c r="S2282">
        <v>-3.019196</v>
      </c>
      <c r="T2282">
        <v>0.51149619999999996</v>
      </c>
      <c r="U2282">
        <v>-6.2042239999999999E-2</v>
      </c>
      <c r="V2282">
        <v>-0.11106249999999999</v>
      </c>
      <c r="W2282">
        <v>-1.171507E-3</v>
      </c>
      <c r="X2282">
        <v>0.99381269999999999</v>
      </c>
      <c r="Y2282">
        <v>-5.3753169999999897E-3</v>
      </c>
      <c r="Z2282">
        <v>-2.212589E-3</v>
      </c>
      <c r="AA2282">
        <v>0.99998310000000001</v>
      </c>
      <c r="AB2282">
        <v>52</v>
      </c>
      <c r="AC2282">
        <v>-3.019196</v>
      </c>
      <c r="AD2282">
        <v>0.51149619999999996</v>
      </c>
      <c r="AE2282">
        <v>-6.2042239999999999E-2</v>
      </c>
      <c r="AF2282">
        <v>-1.5320093046477501E-2</v>
      </c>
      <c r="AG2282">
        <v>0.51149619999999996</v>
      </c>
      <c r="AH2282">
        <v>2.9355729504332402</v>
      </c>
      <c r="AI2282">
        <v>80.116105439884294</v>
      </c>
      <c r="AJ2282">
        <v>90.299011034416594</v>
      </c>
      <c r="AK2282">
        <v>2.9798408707816399</v>
      </c>
      <c r="AL2282">
        <v>90.067122424337995</v>
      </c>
      <c r="AM2282">
        <v>96.376572256190897</v>
      </c>
      <c r="AN2282">
        <v>0.99999996700809402</v>
      </c>
    </row>
    <row r="2283" spans="1:40" x14ac:dyDescent="0.25">
      <c r="A2283" t="str">
        <f>"20190305134944557"</f>
        <v>20190305134944557</v>
      </c>
      <c r="B2283" t="str">
        <f>"1551764984552781"</f>
        <v>1551764984552781</v>
      </c>
      <c r="C2283" t="s">
        <v>40</v>
      </c>
      <c r="D2283">
        <v>3.5617489999999998</v>
      </c>
      <c r="E2283">
        <v>0.54324669999999997</v>
      </c>
      <c r="F2283" t="s">
        <v>76</v>
      </c>
      <c r="G2283">
        <v>-554.02949999999998</v>
      </c>
      <c r="H2283">
        <v>48.86909</v>
      </c>
      <c r="I2283">
        <v>279.27539999999999</v>
      </c>
      <c r="J2283">
        <v>-272.11939999999998</v>
      </c>
      <c r="K2283">
        <v>1.109075</v>
      </c>
      <c r="L2283">
        <v>285.17899999999997</v>
      </c>
      <c r="M2283">
        <v>-0.99986120000000001</v>
      </c>
      <c r="N2283">
        <v>-4.8479079999999997E-3</v>
      </c>
      <c r="O2283">
        <v>-1.5944449999999999E-2</v>
      </c>
      <c r="P2283">
        <v>-0.99198540000000002</v>
      </c>
      <c r="Q2283">
        <v>-5.8696010000000003E-3</v>
      </c>
      <c r="R2283">
        <v>-0.12621840000000001</v>
      </c>
      <c r="S2283">
        <v>-3.0191650000000001</v>
      </c>
      <c r="T2283">
        <v>0.51072859999999998</v>
      </c>
      <c r="U2283">
        <v>-6.3201900000000005E-2</v>
      </c>
      <c r="V2283">
        <v>-0.11038239999999901</v>
      </c>
      <c r="W2283">
        <v>-1.331119E-3</v>
      </c>
      <c r="X2283">
        <v>0.99388829999999995</v>
      </c>
      <c r="Y2283">
        <v>-5.153683E-3</v>
      </c>
      <c r="Z2283">
        <v>-2.3342189999999998E-3</v>
      </c>
      <c r="AA2283">
        <v>0.99998399999999998</v>
      </c>
      <c r="AB2283">
        <v>52</v>
      </c>
      <c r="AC2283">
        <v>-281.9101</v>
      </c>
      <c r="AD2283">
        <v>47.760015000000003</v>
      </c>
      <c r="AE2283">
        <v>-5.9036000000000399</v>
      </c>
      <c r="AF2283">
        <v>-1.3686307168807099</v>
      </c>
      <c r="AG2283">
        <v>47.760015000000003</v>
      </c>
      <c r="AH2283">
        <v>274.10457432934197</v>
      </c>
      <c r="AI2283">
        <v>80.116124684304097</v>
      </c>
      <c r="AJ2283">
        <v>90.286081005108798</v>
      </c>
      <c r="AK2283">
        <v>278.23768589303103</v>
      </c>
      <c r="AL2283">
        <v>90.076267523291193</v>
      </c>
      <c r="AM2283">
        <v>96.337365356196301</v>
      </c>
      <c r="AN2283">
        <v>0.99999999949222096</v>
      </c>
    </row>
    <row r="2284" spans="1:40" x14ac:dyDescent="0.25">
      <c r="A2284" t="str">
        <f>"20190305134944579"</f>
        <v>20190305134944579</v>
      </c>
      <c r="B2284" t="str">
        <f>"1551764984573279"</f>
        <v>1551764984573279</v>
      </c>
      <c r="C2284" t="s">
        <v>40</v>
      </c>
      <c r="D2284">
        <v>3.5792320000000002</v>
      </c>
      <c r="E2284">
        <v>0.54321059999999999</v>
      </c>
      <c r="F2284" t="s">
        <v>76</v>
      </c>
      <c r="G2284">
        <v>-554.68430000000001</v>
      </c>
      <c r="H2284">
        <v>48.82687</v>
      </c>
      <c r="I2284">
        <v>279.27539999999999</v>
      </c>
      <c r="J2284">
        <v>-272.62630000000001</v>
      </c>
      <c r="K2284">
        <v>1.1090500000000001</v>
      </c>
      <c r="L2284">
        <v>285.17079999999999</v>
      </c>
      <c r="M2284">
        <v>-0.99984949999999995</v>
      </c>
      <c r="N2284">
        <v>-4.8461140000000003E-3</v>
      </c>
      <c r="O2284">
        <v>-1.6661490000000001E-2</v>
      </c>
      <c r="P2284">
        <v>-0.99199309999999996</v>
      </c>
      <c r="Q2284">
        <v>-5.8111719999999999E-3</v>
      </c>
      <c r="R2284">
        <v>-0.12616050000000001</v>
      </c>
      <c r="S2284">
        <v>-3.019196</v>
      </c>
      <c r="T2284">
        <v>0.50986350000000003</v>
      </c>
      <c r="U2284">
        <v>-6.3079830000000003E-2</v>
      </c>
      <c r="V2284">
        <v>-0.1096118</v>
      </c>
      <c r="W2284">
        <v>-1.2688910000000001E-3</v>
      </c>
      <c r="X2284">
        <v>0.99397369999999996</v>
      </c>
      <c r="Y2284">
        <v>-4.4162380000000003E-3</v>
      </c>
      <c r="Z2284">
        <v>-2.514096E-3</v>
      </c>
      <c r="AA2284">
        <v>0.99998710000000002</v>
      </c>
      <c r="AB2284">
        <v>52</v>
      </c>
      <c r="AC2284">
        <v>-282.05799999999999</v>
      </c>
      <c r="AD2284">
        <v>47.717820000000003</v>
      </c>
      <c r="AE2284">
        <v>-5.8953999999999898</v>
      </c>
      <c r="AF2284">
        <v>-1.16178331595685</v>
      </c>
      <c r="AG2284">
        <v>47.717820000000003</v>
      </c>
      <c r="AH2284">
        <v>274.27061029084399</v>
      </c>
      <c r="AI2284">
        <v>80.130511750447894</v>
      </c>
      <c r="AJ2284">
        <v>90.242697832344604</v>
      </c>
      <c r="AK2284">
        <v>278.39308137117501</v>
      </c>
      <c r="AL2284">
        <v>90.072702115815204</v>
      </c>
      <c r="AM2284">
        <v>96.292942887436098</v>
      </c>
      <c r="AN2284">
        <v>1.00000003653764</v>
      </c>
    </row>
    <row r="2285" spans="1:40" x14ac:dyDescent="0.25">
      <c r="A2285" t="str">
        <f>"20190305134944594"</f>
        <v>20190305134944594</v>
      </c>
      <c r="B2285" t="str">
        <f>"1551764984583037"</f>
        <v>1551764984583037</v>
      </c>
      <c r="C2285" t="s">
        <v>40</v>
      </c>
      <c r="D2285">
        <v>3.7781669999999998</v>
      </c>
      <c r="E2285">
        <v>0.54321059999999999</v>
      </c>
      <c r="F2285" t="s">
        <v>47</v>
      </c>
      <c r="G2285">
        <v>0</v>
      </c>
      <c r="H2285">
        <v>0</v>
      </c>
      <c r="I2285">
        <v>0</v>
      </c>
      <c r="J2285">
        <v>-272.98090000000002</v>
      </c>
      <c r="K2285">
        <v>1.1090260000000001</v>
      </c>
      <c r="L2285">
        <v>285.16480000000001</v>
      </c>
      <c r="M2285">
        <v>-0.99984139999999999</v>
      </c>
      <c r="N2285">
        <v>-4.844246E-3</v>
      </c>
      <c r="O2285">
        <v>-1.7144159999999999E-2</v>
      </c>
      <c r="P2285">
        <v>-0.99199369999999998</v>
      </c>
      <c r="Q2285">
        <v>-5.9613289999999996E-3</v>
      </c>
      <c r="R2285">
        <v>-0.12614819999999999</v>
      </c>
      <c r="S2285">
        <v>-3.0191650000000001</v>
      </c>
      <c r="T2285">
        <v>0.50885190000000002</v>
      </c>
      <c r="U2285">
        <v>-6.3049320000000006E-2</v>
      </c>
      <c r="V2285">
        <v>-0.1091193</v>
      </c>
      <c r="W2285">
        <v>-1.4158679999999901E-3</v>
      </c>
      <c r="X2285">
        <v>0.99402769999999996</v>
      </c>
      <c r="Y2285">
        <v>-3.9366540000000004E-3</v>
      </c>
      <c r="Z2285">
        <v>-2.6313809999999999E-3</v>
      </c>
      <c r="AA2285">
        <v>0.99998880000000001</v>
      </c>
      <c r="AB2285">
        <v>52</v>
      </c>
      <c r="AC2285">
        <v>-3.0191650000000001</v>
      </c>
      <c r="AD2285">
        <v>0.50885190000000002</v>
      </c>
      <c r="AE2285">
        <v>-6.3049320000000006E-2</v>
      </c>
      <c r="AF2285">
        <v>-1.0967011256972199E-2</v>
      </c>
      <c r="AG2285">
        <v>0.50885190000000002</v>
      </c>
      <c r="AH2285">
        <v>2.9364266111787498</v>
      </c>
      <c r="AI2285">
        <v>80.168941477504703</v>
      </c>
      <c r="AJ2285">
        <v>90.213988163327798</v>
      </c>
      <c r="AK2285">
        <v>2.9802100218454801</v>
      </c>
      <c r="AL2285">
        <v>90.081123284011596</v>
      </c>
      <c r="AM2285">
        <v>96.264555581254896</v>
      </c>
      <c r="AN2285">
        <v>1.00000004734098</v>
      </c>
    </row>
    <row r="2286" spans="1:40" x14ac:dyDescent="0.25">
      <c r="A2286" t="str">
        <f>"20190305134944613"</f>
        <v>20190305134944613</v>
      </c>
      <c r="B2286" t="str">
        <f>"1551764984602561"</f>
        <v>1551764984602561</v>
      </c>
      <c r="C2286" t="s">
        <v>40</v>
      </c>
      <c r="D2286">
        <v>3.7747660000000001</v>
      </c>
      <c r="E2286">
        <v>0.54691959999999995</v>
      </c>
      <c r="F2286" t="s">
        <v>47</v>
      </c>
      <c r="G2286">
        <v>0</v>
      </c>
      <c r="H2286">
        <v>0</v>
      </c>
      <c r="I2286">
        <v>0</v>
      </c>
      <c r="J2286">
        <v>-273.40899999999999</v>
      </c>
      <c r="K2286">
        <v>1.108994</v>
      </c>
      <c r="L2286">
        <v>285.15730000000002</v>
      </c>
      <c r="M2286">
        <v>-0.99983169999999999</v>
      </c>
      <c r="N2286">
        <v>-4.8423429999999998E-3</v>
      </c>
      <c r="O2286">
        <v>-1.769863E-2</v>
      </c>
      <c r="P2286">
        <v>-0.9920177</v>
      </c>
      <c r="Q2286">
        <v>-5.8722239999999997E-3</v>
      </c>
      <c r="R2286">
        <v>-0.12596369999999901</v>
      </c>
      <c r="S2286">
        <v>-3.0193180000000002</v>
      </c>
      <c r="T2286">
        <v>0.50830540000000002</v>
      </c>
      <c r="U2286">
        <v>-6.2744140000000004E-2</v>
      </c>
      <c r="V2286">
        <v>-0.1083832</v>
      </c>
      <c r="W2286">
        <v>-1.3204289999999999E-3</v>
      </c>
      <c r="X2286">
        <v>0.99410829999999994</v>
      </c>
      <c r="Y2286">
        <v>-3.296565E-3</v>
      </c>
      <c r="Z2286">
        <v>-2.775801E-3</v>
      </c>
      <c r="AA2286">
        <v>0.99999070000000001</v>
      </c>
      <c r="AB2286">
        <v>52</v>
      </c>
      <c r="AC2286">
        <v>-3.0193180000000002</v>
      </c>
      <c r="AD2286">
        <v>0.50830540000000002</v>
      </c>
      <c r="AE2286">
        <v>-6.2744140000000004E-2</v>
      </c>
      <c r="AF2286">
        <v>-9.0398003065759007E-3</v>
      </c>
      <c r="AG2286">
        <v>0.50830540000000002</v>
      </c>
      <c r="AH2286">
        <v>2.93675766734688</v>
      </c>
      <c r="AI2286">
        <v>80.1803581888406</v>
      </c>
      <c r="AJ2286">
        <v>90.176364830892496</v>
      </c>
      <c r="AK2286">
        <v>2.9804364939349801</v>
      </c>
      <c r="AL2286">
        <v>90.075655031825903</v>
      </c>
      <c r="AM2286">
        <v>96.222128043021897</v>
      </c>
      <c r="AN2286">
        <v>0.99999998685193603</v>
      </c>
    </row>
    <row r="2287" spans="1:40" x14ac:dyDescent="0.25">
      <c r="A2287" t="str">
        <f>"20190305134944625"</f>
        <v>20190305134944625</v>
      </c>
      <c r="B2287" t="str">
        <f>"1551764984613294"</f>
        <v>1551764984613294</v>
      </c>
      <c r="C2287" t="s">
        <v>40</v>
      </c>
      <c r="D2287">
        <v>3.6090710000000001</v>
      </c>
      <c r="E2287">
        <v>0.54691959999999995</v>
      </c>
      <c r="F2287" t="s">
        <v>78</v>
      </c>
      <c r="G2287">
        <v>-309.44349999999997</v>
      </c>
      <c r="H2287" s="1">
        <v>2.2447580000000002E-6</v>
      </c>
      <c r="I2287">
        <v>285.12790000000001</v>
      </c>
      <c r="J2287">
        <v>-273.70620000000002</v>
      </c>
      <c r="K2287">
        <v>1.108968</v>
      </c>
      <c r="L2287">
        <v>285.15199999999999</v>
      </c>
      <c r="M2287">
        <v>-0.99982530000000003</v>
      </c>
      <c r="N2287">
        <v>-4.8415899999999998E-3</v>
      </c>
      <c r="O2287">
        <v>-1.8058919999999999E-2</v>
      </c>
      <c r="P2287">
        <v>-0.9920158</v>
      </c>
      <c r="Q2287">
        <v>-5.8064269999999899E-3</v>
      </c>
      <c r="R2287">
        <v>-0.12598129999999999</v>
      </c>
      <c r="S2287">
        <v>-3.023285</v>
      </c>
      <c r="T2287">
        <v>-9.3044160000000001E-2</v>
      </c>
      <c r="U2287">
        <v>-2.4719239999999999E-3</v>
      </c>
      <c r="V2287">
        <v>-0.108042899999999</v>
      </c>
      <c r="W2287">
        <v>-1.2487469999999999E-3</v>
      </c>
      <c r="X2287">
        <v>0.99414550000000002</v>
      </c>
      <c r="Y2287">
        <v>1.7226120000000001E-2</v>
      </c>
      <c r="Z2287">
        <v>7.7492670000000002E-4</v>
      </c>
      <c r="AA2287">
        <v>0.9998513</v>
      </c>
      <c r="AB2287">
        <v>52</v>
      </c>
      <c r="AC2287">
        <v>-35.737299999999898</v>
      </c>
      <c r="AD2287">
        <v>-1.108965755242</v>
      </c>
      <c r="AE2287">
        <v>-2.4099999999975801E-2</v>
      </c>
      <c r="AF2287">
        <v>0.62069079404960603</v>
      </c>
      <c r="AG2287">
        <v>-1.108965755242</v>
      </c>
      <c r="AH2287">
        <v>35.697533150359497</v>
      </c>
      <c r="AI2287">
        <v>91.779087527971697</v>
      </c>
      <c r="AJ2287">
        <v>89.003870112729004</v>
      </c>
      <c r="AK2287">
        <v>35.720147467908497</v>
      </c>
      <c r="AL2287">
        <v>90.071547947697695</v>
      </c>
      <c r="AM2287">
        <v>96.202514123867601</v>
      </c>
      <c r="AN2287">
        <v>1.0000000513898599</v>
      </c>
    </row>
    <row r="2288" spans="1:40" x14ac:dyDescent="0.25">
      <c r="A2288" t="str">
        <f>"20190305134944638"</f>
        <v>20190305134944638</v>
      </c>
      <c r="B2288" t="str">
        <f>"1551764984633320"</f>
        <v>1551764984633320</v>
      </c>
      <c r="C2288" t="s">
        <v>40</v>
      </c>
      <c r="D2288">
        <v>3.578951</v>
      </c>
      <c r="E2288">
        <v>0.57532039999999995</v>
      </c>
      <c r="F2288" t="s">
        <v>78</v>
      </c>
      <c r="G2288">
        <v>-309.76299999999998</v>
      </c>
      <c r="H2288" s="1">
        <v>2.1885849999999999E-6</v>
      </c>
      <c r="I2288">
        <v>285.12220000000002</v>
      </c>
      <c r="J2288">
        <v>-274.00220000000002</v>
      </c>
      <c r="K2288">
        <v>1.108938</v>
      </c>
      <c r="L2288">
        <v>285.14670000000001</v>
      </c>
      <c r="M2288">
        <v>-0.99981920000000002</v>
      </c>
      <c r="N2288">
        <v>-4.8415150000000002E-3</v>
      </c>
      <c r="O2288">
        <v>-1.8394270000000001E-2</v>
      </c>
      <c r="P2288">
        <v>-0.99201079999999997</v>
      </c>
      <c r="Q2288">
        <v>-5.6392959999999898E-3</v>
      </c>
      <c r="R2288">
        <v>-0.12602940000000001</v>
      </c>
      <c r="S2288">
        <v>-3.023285</v>
      </c>
      <c r="T2288">
        <v>-9.2984440000000002E-2</v>
      </c>
      <c r="U2288">
        <v>-2.5024410000000002E-3</v>
      </c>
      <c r="V2288">
        <v>-0.10775800000000001</v>
      </c>
      <c r="W2288">
        <v>-1.074235E-3</v>
      </c>
      <c r="X2288">
        <v>0.99417659999999997</v>
      </c>
      <c r="Y2288">
        <v>1.755112E-2</v>
      </c>
      <c r="Z2288">
        <v>7.8887140000000004E-4</v>
      </c>
      <c r="AA2288">
        <v>0.99984569999999995</v>
      </c>
      <c r="AB2288">
        <v>52</v>
      </c>
      <c r="AC2288">
        <v>-35.760799999999897</v>
      </c>
      <c r="AD2288">
        <v>-1.1089358114149901</v>
      </c>
      <c r="AE2288">
        <v>-2.4499999999988999E-2</v>
      </c>
      <c r="AF2288">
        <v>0.632697185541507</v>
      </c>
      <c r="AG2288">
        <v>-1.1089358114149901</v>
      </c>
      <c r="AH2288">
        <v>35.7208507307842</v>
      </c>
      <c r="AI2288">
        <v>91.777868834974399</v>
      </c>
      <c r="AJ2288">
        <v>88.985268058135802</v>
      </c>
      <c r="AK2288">
        <v>35.7436598754716</v>
      </c>
      <c r="AL2288">
        <v>90.061549141926307</v>
      </c>
      <c r="AM2288">
        <v>96.186093579876101</v>
      </c>
      <c r="AN2288">
        <v>1.0000000262661899</v>
      </c>
    </row>
    <row r="2289" spans="1:40" x14ac:dyDescent="0.25">
      <c r="A2289" t="str">
        <f>"20190305134944656"</f>
        <v>20190305134944656</v>
      </c>
      <c r="B2289" t="str">
        <f>"1551764984652840"</f>
        <v>1551764984652840</v>
      </c>
      <c r="C2289" t="s">
        <v>40</v>
      </c>
      <c r="D2289">
        <v>3.589896</v>
      </c>
      <c r="E2289">
        <v>0.57663260000000005</v>
      </c>
      <c r="F2289" t="s">
        <v>77</v>
      </c>
      <c r="G2289">
        <v>-511.83449999999999</v>
      </c>
      <c r="H2289">
        <v>43.309399999999997</v>
      </c>
      <c r="I2289">
        <v>300.01490000000001</v>
      </c>
      <c r="J2289">
        <v>-274.44400000000002</v>
      </c>
      <c r="K2289">
        <v>1.1088880000000001</v>
      </c>
      <c r="L2289">
        <v>285.13850000000002</v>
      </c>
      <c r="M2289">
        <v>-0.99981070000000005</v>
      </c>
      <c r="N2289">
        <v>-4.8425100000000004E-3</v>
      </c>
      <c r="O2289">
        <v>-1.884806E-2</v>
      </c>
      <c r="P2289">
        <v>-0.99198399999999998</v>
      </c>
      <c r="Q2289">
        <v>-5.1115420000000002E-3</v>
      </c>
      <c r="R2289">
        <v>-0.1262624</v>
      </c>
      <c r="S2289">
        <v>-3.0514830000000002</v>
      </c>
      <c r="T2289">
        <v>0.54144939999999997</v>
      </c>
      <c r="U2289">
        <v>0.1907654</v>
      </c>
      <c r="V2289">
        <v>-0.10754229999999999</v>
      </c>
      <c r="W2289">
        <v>-5.3274050000000003E-4</v>
      </c>
      <c r="X2289">
        <v>0.99420030000000004</v>
      </c>
      <c r="Y2289">
        <v>7.9679029999999998E-2</v>
      </c>
      <c r="Z2289">
        <v>-1.02191E-2</v>
      </c>
      <c r="AA2289">
        <v>0.99676819999999999</v>
      </c>
      <c r="AB2289">
        <v>52</v>
      </c>
      <c r="AC2289">
        <v>-237.3905</v>
      </c>
      <c r="AD2289">
        <v>42.200512000000003</v>
      </c>
      <c r="AE2289">
        <v>14.876399999999901</v>
      </c>
      <c r="AF2289">
        <v>18.757705498865299</v>
      </c>
      <c r="AG2289">
        <v>42.200512000000003</v>
      </c>
      <c r="AH2289">
        <v>229.83325199063401</v>
      </c>
      <c r="AI2289">
        <v>79.629336622559293</v>
      </c>
      <c r="AJ2289">
        <v>85.334179901933098</v>
      </c>
      <c r="AK2289">
        <v>234.42708557083299</v>
      </c>
      <c r="AL2289">
        <v>90.0305237857051</v>
      </c>
      <c r="AM2289">
        <v>96.173660514685395</v>
      </c>
      <c r="AN2289">
        <v>0.99999993331090797</v>
      </c>
    </row>
    <row r="2290" spans="1:40" x14ac:dyDescent="0.25">
      <c r="A2290" t="str">
        <f>"20190305134944668"</f>
        <v>20190305134944668</v>
      </c>
      <c r="B2290" t="str">
        <f>"1551764984662601"</f>
        <v>1551764984662601</v>
      </c>
      <c r="C2290" t="s">
        <v>40</v>
      </c>
      <c r="D2290">
        <v>3.6074139999999999</v>
      </c>
      <c r="E2290">
        <v>0.57688700000000004</v>
      </c>
      <c r="F2290" t="s">
        <v>77</v>
      </c>
      <c r="G2290">
        <v>-511.83460000000002</v>
      </c>
      <c r="H2290">
        <v>43.463940000000001</v>
      </c>
      <c r="I2290">
        <v>300.73090000000002</v>
      </c>
      <c r="J2290">
        <v>-274.721</v>
      </c>
      <c r="K2290">
        <v>1.1088519999999999</v>
      </c>
      <c r="L2290">
        <v>285.13330000000002</v>
      </c>
      <c r="M2290">
        <v>-0.99980590000000003</v>
      </c>
      <c r="N2290">
        <v>-4.8437300000000001E-3</v>
      </c>
      <c r="O2290">
        <v>-1.9103709999999999E-2</v>
      </c>
      <c r="P2290">
        <v>-0.9919713</v>
      </c>
      <c r="Q2290">
        <v>-4.7573110000000002E-3</v>
      </c>
      <c r="R2290">
        <v>-0.12637499999999999</v>
      </c>
      <c r="S2290">
        <v>-3.0525820000000001</v>
      </c>
      <c r="T2290">
        <v>0.54464009999999996</v>
      </c>
      <c r="U2290">
        <v>0.2005005</v>
      </c>
      <c r="V2290">
        <v>-0.1074011</v>
      </c>
      <c r="W2290">
        <v>-1.678327E-4</v>
      </c>
      <c r="X2290">
        <v>0.99421579999999998</v>
      </c>
      <c r="Y2290">
        <v>8.3005389999999998E-2</v>
      </c>
      <c r="Z2290">
        <v>-1.060666E-2</v>
      </c>
      <c r="AA2290">
        <v>0.99649259999999995</v>
      </c>
      <c r="AB2290">
        <v>52</v>
      </c>
      <c r="AC2290">
        <v>-237.11359999999999</v>
      </c>
      <c r="AD2290">
        <v>42.355088000000002</v>
      </c>
      <c r="AE2290">
        <v>15.5976</v>
      </c>
      <c r="AF2290">
        <v>19.5048772452433</v>
      </c>
      <c r="AG2290">
        <v>42.355088000000002</v>
      </c>
      <c r="AH2290">
        <v>229.48162306173899</v>
      </c>
      <c r="AI2290">
        <v>79.579431548035302</v>
      </c>
      <c r="AJ2290">
        <v>85.141800015181303</v>
      </c>
      <c r="AK2290">
        <v>234.17132411738601</v>
      </c>
      <c r="AL2290">
        <v>90.009616105027902</v>
      </c>
      <c r="AM2290">
        <v>96.1655217629757</v>
      </c>
      <c r="AN2290">
        <v>1.0000000407093299</v>
      </c>
    </row>
    <row r="2291" spans="1:40" x14ac:dyDescent="0.25">
      <c r="A2291" t="str">
        <f>"20190305134944680"</f>
        <v>20190305134944680</v>
      </c>
      <c r="B2291" t="str">
        <f>"1551764984673337"</f>
        <v>1551764984673337</v>
      </c>
      <c r="C2291" t="s">
        <v>40</v>
      </c>
      <c r="D2291">
        <v>3.592438</v>
      </c>
      <c r="E2291">
        <v>0.57662650000000004</v>
      </c>
      <c r="F2291" t="s">
        <v>77</v>
      </c>
      <c r="G2291">
        <v>-511.83460000000002</v>
      </c>
      <c r="H2291">
        <v>43.49823</v>
      </c>
      <c r="I2291">
        <v>300.86090000000002</v>
      </c>
      <c r="J2291">
        <v>-274.99130000000002</v>
      </c>
      <c r="K2291">
        <v>1.1088039999999999</v>
      </c>
      <c r="L2291">
        <v>285.12819999999999</v>
      </c>
      <c r="M2291">
        <v>-0.99980179999999996</v>
      </c>
      <c r="N2291">
        <v>-4.8458889999999999E-3</v>
      </c>
      <c r="O2291">
        <v>-1.9309010000000001E-2</v>
      </c>
      <c r="P2291">
        <v>-0.99197769999999996</v>
      </c>
      <c r="Q2291">
        <v>-4.169781E-3</v>
      </c>
      <c r="R2291">
        <v>-0.12634419999999999</v>
      </c>
      <c r="S2291">
        <v>-3.0527039999999999</v>
      </c>
      <c r="T2291">
        <v>0.54574</v>
      </c>
      <c r="U2291">
        <v>0.2024841</v>
      </c>
      <c r="V2291">
        <v>-0.10716729999999999</v>
      </c>
      <c r="W2291">
        <v>4.3327010000000001E-4</v>
      </c>
      <c r="X2291">
        <v>0.99424089999999998</v>
      </c>
      <c r="Y2291">
        <v>8.3829799999999996E-2</v>
      </c>
      <c r="Z2291">
        <v>-1.0735639999999999E-2</v>
      </c>
      <c r="AA2291">
        <v>0.99642220000000004</v>
      </c>
      <c r="AB2291">
        <v>52</v>
      </c>
      <c r="AC2291">
        <v>-236.8433</v>
      </c>
      <c r="AD2291">
        <v>42.389426</v>
      </c>
      <c r="AE2291">
        <v>15.732699999999999</v>
      </c>
      <c r="AF2291">
        <v>19.675539361863699</v>
      </c>
      <c r="AG2291">
        <v>42.389426</v>
      </c>
      <c r="AH2291">
        <v>229.18616786886301</v>
      </c>
      <c r="AI2291">
        <v>79.558759678762897</v>
      </c>
      <c r="AJ2291">
        <v>85.093211608417306</v>
      </c>
      <c r="AK2291">
        <v>233.90230830029199</v>
      </c>
      <c r="AL2291">
        <v>89.975175450919707</v>
      </c>
      <c r="AM2291">
        <v>96.152049036204801</v>
      </c>
      <c r="AN2291">
        <v>0.99999999257253902</v>
      </c>
    </row>
    <row r="2292" spans="1:40" x14ac:dyDescent="0.25">
      <c r="A2292" t="str">
        <f>"20190305134944691"</f>
        <v>20190305134944691</v>
      </c>
      <c r="B2292" t="str">
        <f>"1551764984683096"</f>
        <v>1551764984683096</v>
      </c>
      <c r="C2292" t="s">
        <v>40</v>
      </c>
      <c r="D2292">
        <v>3.7940700000000001</v>
      </c>
      <c r="E2292">
        <v>0.57662650000000004</v>
      </c>
      <c r="F2292" t="s">
        <v>77</v>
      </c>
      <c r="G2292">
        <v>-511.83460000000002</v>
      </c>
      <c r="H2292">
        <v>43.59019</v>
      </c>
      <c r="I2292">
        <v>300.70330000000001</v>
      </c>
      <c r="J2292">
        <v>-275.2801</v>
      </c>
      <c r="K2292">
        <v>1.1087590000000001</v>
      </c>
      <c r="L2292">
        <v>285.12259999999998</v>
      </c>
      <c r="M2292">
        <v>-0.99979790000000002</v>
      </c>
      <c r="N2292">
        <v>-4.8485560000000004E-3</v>
      </c>
      <c r="O2292">
        <v>-1.951321E-2</v>
      </c>
      <c r="P2292">
        <v>-0.99198960000000003</v>
      </c>
      <c r="Q2292">
        <v>-3.7930120000000001E-3</v>
      </c>
      <c r="R2292">
        <v>-0.12626329999999999</v>
      </c>
      <c r="S2292">
        <v>-3.052155</v>
      </c>
      <c r="T2292">
        <v>0.54745029999999995</v>
      </c>
      <c r="U2292">
        <v>0.20071410000000001</v>
      </c>
      <c r="V2292">
        <v>-0.1068838</v>
      </c>
      <c r="W2292">
        <v>8.2475319999999997E-4</v>
      </c>
      <c r="X2292">
        <v>0.99427120000000002</v>
      </c>
      <c r="Y2292">
        <v>8.346133E-2</v>
      </c>
      <c r="Z2292">
        <v>-1.0776590000000001E-2</v>
      </c>
      <c r="AA2292">
        <v>0.99645269999999997</v>
      </c>
      <c r="AB2292">
        <v>53</v>
      </c>
      <c r="AC2292">
        <v>-236.55449999999999</v>
      </c>
      <c r="AD2292">
        <v>42.481431000000001</v>
      </c>
      <c r="AE2292">
        <v>15.5807</v>
      </c>
      <c r="AF2292">
        <v>19.5654557006464</v>
      </c>
      <c r="AG2292">
        <v>42.481431000000001</v>
      </c>
      <c r="AH2292">
        <v>228.85657788181899</v>
      </c>
      <c r="AI2292">
        <v>79.521550385364904</v>
      </c>
      <c r="AJ2292">
        <v>85.113538715658393</v>
      </c>
      <c r="AK2292">
        <v>233.58684097431299</v>
      </c>
      <c r="AL2292">
        <v>89.952745118231306</v>
      </c>
      <c r="AM2292">
        <v>96.1357131736643</v>
      </c>
      <c r="AN2292">
        <v>1.00000002303486</v>
      </c>
    </row>
    <row r="2293" spans="1:40" x14ac:dyDescent="0.25">
      <c r="A2293" t="str">
        <f>"20190305134944703"</f>
        <v>20190305134944703</v>
      </c>
      <c r="B2293" t="str">
        <f>"1551764984692856"</f>
        <v>1551764984692856</v>
      </c>
      <c r="C2293" t="s">
        <v>40</v>
      </c>
      <c r="D2293">
        <v>3.621537</v>
      </c>
      <c r="E2293">
        <v>0.57647910000000002</v>
      </c>
      <c r="F2293" t="s">
        <v>77</v>
      </c>
      <c r="G2293">
        <v>-511.83460000000002</v>
      </c>
      <c r="H2293">
        <v>43.626089999999998</v>
      </c>
      <c r="I2293">
        <v>300.69889999999998</v>
      </c>
      <c r="J2293">
        <v>-275.5598</v>
      </c>
      <c r="K2293">
        <v>1.108706</v>
      </c>
      <c r="L2293">
        <v>285.11720000000003</v>
      </c>
      <c r="M2293">
        <v>-0.99979470000000004</v>
      </c>
      <c r="N2293">
        <v>-4.8519820000000003E-3</v>
      </c>
      <c r="O2293">
        <v>-1.9673179999999998E-2</v>
      </c>
      <c r="P2293">
        <v>-0.99200350000000004</v>
      </c>
      <c r="Q2293">
        <v>-3.2967650000000001E-3</v>
      </c>
      <c r="R2293">
        <v>-0.12616820000000001</v>
      </c>
      <c r="S2293">
        <v>-3.0519099999999999</v>
      </c>
      <c r="T2293">
        <v>0.54853830000000003</v>
      </c>
      <c r="U2293">
        <v>0.20095830000000001</v>
      </c>
      <c r="V2293">
        <v>-0.10663010000000001</v>
      </c>
      <c r="W2293">
        <v>1.3368760000000001E-3</v>
      </c>
      <c r="X2293">
        <v>0.99429789999999996</v>
      </c>
      <c r="Y2293">
        <v>8.36924E-2</v>
      </c>
      <c r="Z2293">
        <v>-1.0847910000000001E-2</v>
      </c>
      <c r="AA2293">
        <v>0.9964326</v>
      </c>
      <c r="AB2293">
        <v>53</v>
      </c>
      <c r="AC2293">
        <v>-236.2748</v>
      </c>
      <c r="AD2293">
        <v>42.517384</v>
      </c>
      <c r="AE2293">
        <v>15.5816999999999</v>
      </c>
      <c r="AF2293">
        <v>19.595238186906801</v>
      </c>
      <c r="AG2293">
        <v>42.517384</v>
      </c>
      <c r="AH2293">
        <v>228.55364188574401</v>
      </c>
      <c r="AI2293">
        <v>79.499500327050299</v>
      </c>
      <c r="AJ2293">
        <v>85.099681656911898</v>
      </c>
      <c r="AK2293">
        <v>233.299096700013</v>
      </c>
      <c r="AL2293">
        <v>89.923402627692596</v>
      </c>
      <c r="AM2293">
        <v>96.121096980066696</v>
      </c>
      <c r="AN2293">
        <v>1.0000000397039199</v>
      </c>
    </row>
    <row r="2294" spans="1:40" x14ac:dyDescent="0.25">
      <c r="A2294" t="str">
        <f>"20190305134944715"</f>
        <v>20190305134944715</v>
      </c>
      <c r="B2294" t="str">
        <f>"1551764984702617"</f>
        <v>1551764984702617</v>
      </c>
      <c r="C2294" t="s">
        <v>40</v>
      </c>
      <c r="D2294">
        <v>3.6055100000000002</v>
      </c>
      <c r="E2294">
        <v>0.57650059999999903</v>
      </c>
      <c r="F2294" t="s">
        <v>77</v>
      </c>
      <c r="G2294">
        <v>-511.83460000000002</v>
      </c>
      <c r="H2294">
        <v>43.60324</v>
      </c>
      <c r="I2294">
        <v>300.62779999999998</v>
      </c>
      <c r="J2294">
        <v>-275.82819999999998</v>
      </c>
      <c r="K2294">
        <v>1.1086579999999999</v>
      </c>
      <c r="L2294">
        <v>285.11200000000002</v>
      </c>
      <c r="M2294">
        <v>-0.99979209999999996</v>
      </c>
      <c r="N2294">
        <v>-4.8564339999999998E-3</v>
      </c>
      <c r="O2294">
        <v>-1.980575E-2</v>
      </c>
      <c r="P2294">
        <v>-0.99203459999999999</v>
      </c>
      <c r="Q2294">
        <v>-2.99665E-3</v>
      </c>
      <c r="R2294">
        <v>-0.1259304</v>
      </c>
      <c r="S2294">
        <v>-3.051453</v>
      </c>
      <c r="T2294">
        <v>0.54881099999999905</v>
      </c>
      <c r="U2294">
        <v>0.20031740000000001</v>
      </c>
      <c r="V2294">
        <v>-0.1062602</v>
      </c>
      <c r="W2294">
        <v>1.653973E-3</v>
      </c>
      <c r="X2294">
        <v>0.99433700000000003</v>
      </c>
      <c r="Y2294">
        <v>8.3622699999999994E-2</v>
      </c>
      <c r="Z2294">
        <v>-1.087309E-2</v>
      </c>
      <c r="AA2294">
        <v>0.99643809999999999</v>
      </c>
      <c r="AB2294">
        <v>53</v>
      </c>
      <c r="AC2294">
        <v>-236.00640000000001</v>
      </c>
      <c r="AD2294">
        <v>42.494582000000001</v>
      </c>
      <c r="AE2294">
        <v>15.515799999999899</v>
      </c>
      <c r="AF2294">
        <v>19.555814534076099</v>
      </c>
      <c r="AG2294">
        <v>42.494582000000001</v>
      </c>
      <c r="AH2294">
        <v>228.283585286049</v>
      </c>
      <c r="AI2294">
        <v>79.492805166320906</v>
      </c>
      <c r="AJ2294">
        <v>85.103735442490404</v>
      </c>
      <c r="AK2294">
        <v>233.027068583241</v>
      </c>
      <c r="AL2294">
        <v>89.905234286136704</v>
      </c>
      <c r="AM2294">
        <v>96.099785192729001</v>
      </c>
      <c r="AN2294">
        <v>1.00000001764986</v>
      </c>
    </row>
    <row r="2295" spans="1:40" x14ac:dyDescent="0.25">
      <c r="A2295" t="str">
        <f>"20190305134944728"</f>
        <v>20190305134944728</v>
      </c>
      <c r="B2295" t="str">
        <f>"1551764984723113"</f>
        <v>1551764984723113</v>
      </c>
      <c r="C2295" t="s">
        <v>40</v>
      </c>
      <c r="D2295">
        <v>3.6458520000000001</v>
      </c>
      <c r="E2295">
        <v>0.57631769999999904</v>
      </c>
      <c r="F2295" t="s">
        <v>77</v>
      </c>
      <c r="G2295">
        <v>-511.8347</v>
      </c>
      <c r="H2295">
        <v>43.715809999999998</v>
      </c>
      <c r="I2295">
        <v>300.68349999999998</v>
      </c>
      <c r="J2295">
        <v>-276.13749999999999</v>
      </c>
      <c r="K2295">
        <v>1.108603</v>
      </c>
      <c r="L2295">
        <v>285.10590000000002</v>
      </c>
      <c r="M2295">
        <v>-0.9997895</v>
      </c>
      <c r="N2295">
        <v>-4.8628830000000001E-3</v>
      </c>
      <c r="O2295">
        <v>-1.99353E-2</v>
      </c>
      <c r="P2295">
        <v>-0.99208379999999996</v>
      </c>
      <c r="Q2295">
        <v>-2.8789829999999999E-3</v>
      </c>
      <c r="R2295">
        <v>-0.12554499999999999</v>
      </c>
      <c r="S2295">
        <v>-3.0513309999999998</v>
      </c>
      <c r="T2295">
        <v>0.55086899999999905</v>
      </c>
      <c r="U2295">
        <v>0.20132449999999999</v>
      </c>
      <c r="V2295">
        <v>-0.1057448</v>
      </c>
      <c r="W2295">
        <v>1.792255E-3</v>
      </c>
      <c r="X2295">
        <v>0.99439169999999999</v>
      </c>
      <c r="Y2295">
        <v>8.4060480000000007E-2</v>
      </c>
      <c r="Z2295">
        <v>-1.097567E-2</v>
      </c>
      <c r="AA2295">
        <v>0.99640019999999996</v>
      </c>
      <c r="AB2295">
        <v>53</v>
      </c>
      <c r="AC2295">
        <v>-235.69720000000001</v>
      </c>
      <c r="AD2295">
        <v>42.607207000000002</v>
      </c>
      <c r="AE2295">
        <v>15.577599999999901</v>
      </c>
      <c r="AF2295">
        <v>19.634427854782398</v>
      </c>
      <c r="AG2295">
        <v>42.607207000000002</v>
      </c>
      <c r="AH2295">
        <v>227.924070259161</v>
      </c>
      <c r="AI2295">
        <v>79.449758683393895</v>
      </c>
      <c r="AJ2295">
        <v>85.076433072482004</v>
      </c>
      <c r="AK2295">
        <v>232.70209850585499</v>
      </c>
      <c r="AL2295">
        <v>89.897311299147205</v>
      </c>
      <c r="AM2295">
        <v>96.070089061163898</v>
      </c>
      <c r="AN2295">
        <v>1.00000001396695</v>
      </c>
    </row>
    <row r="2296" spans="1:40" x14ac:dyDescent="0.25">
      <c r="A2296" t="str">
        <f>"20190305134944746"</f>
        <v>20190305134944746</v>
      </c>
      <c r="B2296" t="str">
        <f>"1551764984733382"</f>
        <v>1551764984733382</v>
      </c>
      <c r="C2296" t="s">
        <v>40</v>
      </c>
      <c r="D2296">
        <v>3.605972</v>
      </c>
      <c r="E2296">
        <v>0.57616940000000005</v>
      </c>
      <c r="F2296" t="s">
        <v>77</v>
      </c>
      <c r="G2296">
        <v>-511.83460000000002</v>
      </c>
      <c r="H2296">
        <v>43.541220000000003</v>
      </c>
      <c r="I2296">
        <v>300.66329999999999</v>
      </c>
      <c r="J2296">
        <v>-276.54079999999999</v>
      </c>
      <c r="K2296">
        <v>1.1085389999999999</v>
      </c>
      <c r="L2296">
        <v>285.09800000000001</v>
      </c>
      <c r="M2296">
        <v>-0.99978719999999999</v>
      </c>
      <c r="N2296">
        <v>-4.8763490000000003E-3</v>
      </c>
      <c r="O2296">
        <v>-2.0045429999999999E-2</v>
      </c>
      <c r="P2296">
        <v>-0.99215830000000005</v>
      </c>
      <c r="Q2296">
        <v>-3.1575129999999998E-3</v>
      </c>
      <c r="R2296">
        <v>-0.1249489</v>
      </c>
      <c r="S2296">
        <v>-3.0510250000000001</v>
      </c>
      <c r="T2296">
        <v>0.54927749999999997</v>
      </c>
      <c r="U2296">
        <v>0.2013855</v>
      </c>
      <c r="V2296">
        <v>-0.1050374</v>
      </c>
      <c r="W2296">
        <v>1.5466849999999999E-3</v>
      </c>
      <c r="X2296">
        <v>0.99446710000000005</v>
      </c>
      <c r="Y2296">
        <v>8.4201810000000002E-2</v>
      </c>
      <c r="Z2296">
        <v>-1.097737E-2</v>
      </c>
      <c r="AA2296">
        <v>0.9963883</v>
      </c>
      <c r="AB2296">
        <v>53</v>
      </c>
      <c r="AC2296">
        <v>-235.2938</v>
      </c>
      <c r="AD2296">
        <v>42.432681000000002</v>
      </c>
      <c r="AE2296">
        <v>15.565299999999899</v>
      </c>
      <c r="AF2296">
        <v>19.642751607211899</v>
      </c>
      <c r="AG2296">
        <v>42.432681000000002</v>
      </c>
      <c r="AH2296">
        <v>227.56580934442701</v>
      </c>
      <c r="AI2296">
        <v>79.475987765210107</v>
      </c>
      <c r="AJ2296">
        <v>85.066639770332202</v>
      </c>
      <c r="AK2296">
        <v>232.31996834136899</v>
      </c>
      <c r="AL2296">
        <v>89.911381444616893</v>
      </c>
      <c r="AM2296">
        <v>96.029328392785203</v>
      </c>
      <c r="AN2296">
        <v>1.00000003030782</v>
      </c>
    </row>
    <row r="2297" spans="1:40" x14ac:dyDescent="0.25">
      <c r="A2297" t="str">
        <f>"20190305134944756"</f>
        <v>20190305134944756</v>
      </c>
      <c r="B2297" t="str">
        <f>"1551764984743140"</f>
        <v>1551764984743140</v>
      </c>
      <c r="C2297" t="s">
        <v>40</v>
      </c>
      <c r="D2297">
        <v>3.8018809999999998</v>
      </c>
      <c r="E2297">
        <v>0.57616940000000005</v>
      </c>
      <c r="F2297" t="s">
        <v>77</v>
      </c>
      <c r="G2297">
        <v>-511.83449999999999</v>
      </c>
      <c r="H2297">
        <v>43.353549999999998</v>
      </c>
      <c r="I2297">
        <v>300.7183</v>
      </c>
      <c r="J2297">
        <v>-276.79899999999998</v>
      </c>
      <c r="K2297">
        <v>1.1084879999999999</v>
      </c>
      <c r="L2297">
        <v>285.09280000000001</v>
      </c>
      <c r="M2297">
        <v>-0.99978650000000002</v>
      </c>
      <c r="N2297">
        <v>-4.887682E-3</v>
      </c>
      <c r="O2297">
        <v>-2.008623E-2</v>
      </c>
      <c r="P2297">
        <v>-0.99219669999999904</v>
      </c>
      <c r="Q2297">
        <v>-3.1911840000000001E-3</v>
      </c>
      <c r="R2297">
        <v>-0.1246428</v>
      </c>
      <c r="S2297">
        <v>-3.0509949999999999</v>
      </c>
      <c r="T2297">
        <v>0.54778110000000002</v>
      </c>
      <c r="U2297">
        <v>0.20254520000000001</v>
      </c>
      <c r="V2297">
        <v>-0.1046898</v>
      </c>
      <c r="W2297">
        <v>1.5366710000000001E-3</v>
      </c>
      <c r="X2297">
        <v>0.99450369999999999</v>
      </c>
      <c r="Y2297">
        <v>8.4622009999999998E-2</v>
      </c>
      <c r="Z2297">
        <v>-1.099118E-2</v>
      </c>
      <c r="AA2297">
        <v>0.99635249999999997</v>
      </c>
      <c r="AB2297">
        <v>53</v>
      </c>
      <c r="AC2297">
        <v>-235.03550000000001</v>
      </c>
      <c r="AD2297">
        <v>42.245061999999997</v>
      </c>
      <c r="AE2297">
        <v>15.625499999999899</v>
      </c>
      <c r="AF2297">
        <v>19.709445949424001</v>
      </c>
      <c r="AG2297">
        <v>42.245061999999997</v>
      </c>
      <c r="AH2297">
        <v>227.361374109829</v>
      </c>
      <c r="AI2297">
        <v>79.512601213130495</v>
      </c>
      <c r="AJ2297">
        <v>85.045543546256496</v>
      </c>
      <c r="AK2297">
        <v>232.09115011160301</v>
      </c>
      <c r="AL2297">
        <v>89.911955199242598</v>
      </c>
      <c r="AM2297">
        <v>96.0093022588742</v>
      </c>
      <c r="AN2297">
        <v>0.99999996244774503</v>
      </c>
    </row>
    <row r="2298" spans="1:40" x14ac:dyDescent="0.25">
      <c r="A2298" t="str">
        <f>"20190305134944771"</f>
        <v>20190305134944771</v>
      </c>
      <c r="B2298" t="str">
        <f>"1551764984762661"</f>
        <v>1551764984762661</v>
      </c>
      <c r="C2298" t="s">
        <v>40</v>
      </c>
      <c r="D2298">
        <v>3.6607690000000002</v>
      </c>
      <c r="E2298">
        <v>0.575766</v>
      </c>
      <c r="F2298" t="s">
        <v>77</v>
      </c>
      <c r="G2298">
        <v>-511.83449999999999</v>
      </c>
      <c r="H2298">
        <v>43.286769999999997</v>
      </c>
      <c r="I2298">
        <v>300.75779999999997</v>
      </c>
      <c r="J2298">
        <v>-277.15170000000001</v>
      </c>
      <c r="K2298">
        <v>1.1084229999999999</v>
      </c>
      <c r="L2298">
        <v>285.08580000000001</v>
      </c>
      <c r="M2298">
        <v>-0.99978579999999995</v>
      </c>
      <c r="N2298">
        <v>-4.9056919999999997E-3</v>
      </c>
      <c r="O2298">
        <v>-2.0112140000000001E-2</v>
      </c>
      <c r="P2298">
        <v>-0.99227799999999999</v>
      </c>
      <c r="Q2298">
        <v>-3.6939379999999999E-3</v>
      </c>
      <c r="R2298">
        <v>-0.1239793</v>
      </c>
      <c r="S2298">
        <v>-3.0508730000000002</v>
      </c>
      <c r="T2298">
        <v>0.54749490000000001</v>
      </c>
      <c r="U2298">
        <v>0.20333860000000001</v>
      </c>
      <c r="V2298">
        <v>-0.10399890000000001</v>
      </c>
      <c r="W2298">
        <v>1.0703240000000001E-3</v>
      </c>
      <c r="X2298">
        <v>0.99457680000000004</v>
      </c>
      <c r="Y2298">
        <v>8.4905330000000001E-2</v>
      </c>
      <c r="Z2298">
        <v>-1.1014629999999999E-2</v>
      </c>
      <c r="AA2298">
        <v>0.99632810000000005</v>
      </c>
      <c r="AB2298">
        <v>53</v>
      </c>
      <c r="AC2298">
        <v>-234.68279999999999</v>
      </c>
      <c r="AD2298">
        <v>42.178346999999903</v>
      </c>
      <c r="AE2298">
        <v>15.671999999999899</v>
      </c>
      <c r="AF2298">
        <v>19.753629497131101</v>
      </c>
      <c r="AG2298">
        <v>42.178346999999903</v>
      </c>
      <c r="AH2298">
        <v>227.019710540034</v>
      </c>
      <c r="AI2298">
        <v>79.513674266163704</v>
      </c>
      <c r="AJ2298">
        <v>85.027056768283401</v>
      </c>
      <c r="AK2298">
        <v>231.74806969561399</v>
      </c>
      <c r="AL2298">
        <v>89.938674938168504</v>
      </c>
      <c r="AM2298">
        <v>95.969495628968502</v>
      </c>
      <c r="AN2298">
        <v>0.99999996394645696</v>
      </c>
    </row>
    <row r="2299" spans="1:40" x14ac:dyDescent="0.25">
      <c r="A2299" t="str">
        <f>"20190305134944792"</f>
        <v>20190305134944792</v>
      </c>
      <c r="B2299" t="str">
        <f>"1551764984783156"</f>
        <v>1551764984783156</v>
      </c>
      <c r="C2299" t="s">
        <v>40</v>
      </c>
      <c r="D2299">
        <v>3.8132549999999998</v>
      </c>
      <c r="E2299">
        <v>0.56854340000000003</v>
      </c>
      <c r="F2299" t="s">
        <v>77</v>
      </c>
      <c r="G2299">
        <v>-511.83440000000002</v>
      </c>
      <c r="H2299">
        <v>42.92483</v>
      </c>
      <c r="I2299">
        <v>300.68360000000001</v>
      </c>
      <c r="J2299">
        <v>-277.66180000000003</v>
      </c>
      <c r="K2299">
        <v>1.1083179999999999</v>
      </c>
      <c r="L2299">
        <v>285.07569999999998</v>
      </c>
      <c r="M2299">
        <v>-0.99978659999999997</v>
      </c>
      <c r="N2299">
        <v>-4.9370070000000002E-3</v>
      </c>
      <c r="O2299">
        <v>-2.0059759999999999E-2</v>
      </c>
      <c r="P2299">
        <v>-0.99241170000000001</v>
      </c>
      <c r="Q2299">
        <v>-4.5568420000000002E-3</v>
      </c>
      <c r="R2299">
        <v>-0.122877</v>
      </c>
      <c r="S2299">
        <v>-3.0506899999999999</v>
      </c>
      <c r="T2299">
        <v>0.54358090000000003</v>
      </c>
      <c r="U2299">
        <v>0.20275879999999999</v>
      </c>
      <c r="V2299">
        <v>-0.1029446</v>
      </c>
      <c r="W2299">
        <v>2.654232E-4</v>
      </c>
      <c r="X2299">
        <v>0.99468710000000005</v>
      </c>
      <c r="Y2299">
        <v>8.4695999999999994E-2</v>
      </c>
      <c r="Z2299">
        <v>-1.0908879999999999E-2</v>
      </c>
      <c r="AA2299">
        <v>0.99634710000000004</v>
      </c>
      <c r="AB2299">
        <v>53</v>
      </c>
      <c r="AC2299">
        <v>-234.17259999999999</v>
      </c>
      <c r="AD2299">
        <v>41.816512000000003</v>
      </c>
      <c r="AE2299">
        <v>15.607900000000001</v>
      </c>
      <c r="AF2299">
        <v>19.677565199061998</v>
      </c>
      <c r="AG2299">
        <v>41.816512000000003</v>
      </c>
      <c r="AH2299">
        <v>226.61801344143601</v>
      </c>
      <c r="AI2299">
        <v>79.583474515420207</v>
      </c>
      <c r="AJ2299">
        <v>85.037373033387098</v>
      </c>
      <c r="AK2299">
        <v>231.28240586813499</v>
      </c>
      <c r="AL2299">
        <v>89.984792371345904</v>
      </c>
      <c r="AM2299">
        <v>95.908758995331496</v>
      </c>
      <c r="AN2299">
        <v>1.0000000440125201</v>
      </c>
    </row>
    <row r="2300" spans="1:40" x14ac:dyDescent="0.25">
      <c r="A2300" t="str">
        <f>"20190305134944806"</f>
        <v>20190305134944806</v>
      </c>
      <c r="B2300" t="str">
        <f>"1551764984792917"</f>
        <v>1551764984792917</v>
      </c>
      <c r="C2300" t="s">
        <v>40</v>
      </c>
      <c r="D2300">
        <v>3.6228289999999999</v>
      </c>
      <c r="E2300">
        <v>0.56854340000000003</v>
      </c>
      <c r="F2300" t="s">
        <v>78</v>
      </c>
      <c r="G2300">
        <v>-319.42750000000001</v>
      </c>
      <c r="H2300" s="1">
        <v>6.1447900000000002E-6</v>
      </c>
      <c r="I2300">
        <v>287.5093</v>
      </c>
      <c r="J2300">
        <v>-278.00639999999999</v>
      </c>
      <c r="K2300">
        <v>1.108247</v>
      </c>
      <c r="L2300">
        <v>285.06889999999999</v>
      </c>
      <c r="M2300">
        <v>-0.99978820000000002</v>
      </c>
      <c r="N2300">
        <v>-4.9596270000000003E-3</v>
      </c>
      <c r="O2300">
        <v>-1.9978269999999999E-2</v>
      </c>
      <c r="P2300">
        <v>-0.992502</v>
      </c>
      <c r="Q2300">
        <v>-4.6367719999999999E-3</v>
      </c>
      <c r="R2300">
        <v>-0.122141899999999</v>
      </c>
      <c r="S2300">
        <v>-3.044495</v>
      </c>
      <c r="T2300">
        <v>-8.0789920000000001E-2</v>
      </c>
      <c r="U2300">
        <v>0.17739869999999999</v>
      </c>
      <c r="V2300">
        <v>-0.10228909999999999</v>
      </c>
      <c r="W2300">
        <v>2.2632260000000001E-4</v>
      </c>
      <c r="X2300">
        <v>0.99475469999999999</v>
      </c>
      <c r="Y2300">
        <v>7.8065919999999997E-2</v>
      </c>
      <c r="Z2300">
        <v>1.6592110000000001E-3</v>
      </c>
      <c r="AA2300">
        <v>0.99694680000000002</v>
      </c>
      <c r="AB2300">
        <v>53</v>
      </c>
      <c r="AC2300">
        <v>-41.421100000000003</v>
      </c>
      <c r="AD2300">
        <v>-1.10824085521</v>
      </c>
      <c r="AE2300">
        <v>2.4404000000000101</v>
      </c>
      <c r="AF2300">
        <v>3.2651156808161002</v>
      </c>
      <c r="AG2300">
        <v>-1.10824085521</v>
      </c>
      <c r="AH2300">
        <v>41.3345899627313</v>
      </c>
      <c r="AI2300">
        <v>91.531048767923295</v>
      </c>
      <c r="AJ2300">
        <v>85.4834512473237</v>
      </c>
      <c r="AK2300">
        <v>41.4781569695351</v>
      </c>
      <c r="AL2300">
        <v>89.987032670258898</v>
      </c>
      <c r="AM2300">
        <v>95.871002423097096</v>
      </c>
      <c r="AN2300">
        <v>1.0000000121863999</v>
      </c>
    </row>
    <row r="2301" spans="1:40" x14ac:dyDescent="0.25">
      <c r="A2301" t="str">
        <f>"20190305134944824"</f>
        <v>20190305134944824</v>
      </c>
      <c r="B2301" t="str">
        <f>"1551764984812437"</f>
        <v>1551764984812437</v>
      </c>
      <c r="C2301" t="s">
        <v>40</v>
      </c>
      <c r="D2301">
        <v>3.6853560000000001</v>
      </c>
      <c r="E2301">
        <v>0.56853030000000004</v>
      </c>
      <c r="F2301" t="s">
        <v>78</v>
      </c>
      <c r="G2301">
        <v>-319.75400000000002</v>
      </c>
      <c r="H2301" s="1">
        <v>6.2874430000000003E-6</v>
      </c>
      <c r="I2301">
        <v>287.53379999999999</v>
      </c>
      <c r="J2301">
        <v>-278.40499999999997</v>
      </c>
      <c r="K2301">
        <v>1.108163</v>
      </c>
      <c r="L2301">
        <v>285.06099999999998</v>
      </c>
      <c r="M2301">
        <v>-0.99979079999999998</v>
      </c>
      <c r="N2301">
        <v>-4.9862140000000001E-3</v>
      </c>
      <c r="O2301">
        <v>-1.9836639999999999E-2</v>
      </c>
      <c r="P2301">
        <v>-0.99256940000000005</v>
      </c>
      <c r="Q2301">
        <v>-4.6721339999999997E-3</v>
      </c>
      <c r="R2301">
        <v>-0.121591</v>
      </c>
      <c r="S2301">
        <v>-3.044403</v>
      </c>
      <c r="T2301">
        <v>-8.0817340000000001E-2</v>
      </c>
      <c r="U2301">
        <v>0.17974849999999901</v>
      </c>
      <c r="V2301">
        <v>-0.10187789999999999</v>
      </c>
      <c r="W2301">
        <v>2.3872060000000001E-4</v>
      </c>
      <c r="X2301">
        <v>0.99479689999999998</v>
      </c>
      <c r="Y2301">
        <v>7.8693020000000002E-2</v>
      </c>
      <c r="Z2301">
        <v>1.667099E-3</v>
      </c>
      <c r="AA2301">
        <v>0.99689749999999999</v>
      </c>
      <c r="AB2301">
        <v>53</v>
      </c>
      <c r="AC2301">
        <v>-41.348999999999997</v>
      </c>
      <c r="AD2301">
        <v>-1.108156712557</v>
      </c>
      <c r="AE2301">
        <v>2.4727999999999999</v>
      </c>
      <c r="AF2301">
        <v>3.2901941082774102</v>
      </c>
      <c r="AG2301">
        <v>-1.108156712557</v>
      </c>
      <c r="AH2301">
        <v>41.262280294048701</v>
      </c>
      <c r="AI2301">
        <v>91.533523954988894</v>
      </c>
      <c r="AJ2301">
        <v>85.440964171459399</v>
      </c>
      <c r="AK2301">
        <v>41.408080897747098</v>
      </c>
      <c r="AL2301">
        <v>89.986322317251705</v>
      </c>
      <c r="AM2301">
        <v>95.847318653751003</v>
      </c>
      <c r="AN2301">
        <v>1.0000000178727699</v>
      </c>
    </row>
    <row r="2302" spans="1:40" x14ac:dyDescent="0.25">
      <c r="A2302" t="str">
        <f>"20190305134944836"</f>
        <v>20190305134944836</v>
      </c>
      <c r="B2302" t="str">
        <f>"1551764984832464"</f>
        <v>1551764984832464</v>
      </c>
      <c r="C2302" t="s">
        <v>40</v>
      </c>
      <c r="D2302">
        <v>3.8596659999999998</v>
      </c>
      <c r="E2302">
        <v>0.57335619999999998</v>
      </c>
      <c r="F2302" t="s">
        <v>74</v>
      </c>
      <c r="G2302">
        <v>-328.12040000000002</v>
      </c>
      <c r="H2302" s="1">
        <v>2.636043E-6</v>
      </c>
      <c r="I2302">
        <v>288.01240000000001</v>
      </c>
      <c r="J2302">
        <v>-278.70690000000002</v>
      </c>
      <c r="K2302">
        <v>1.1080950000000001</v>
      </c>
      <c r="L2302">
        <v>285.05509999999998</v>
      </c>
      <c r="M2302">
        <v>-0.9997935</v>
      </c>
      <c r="N2302">
        <v>-5.007226E-3</v>
      </c>
      <c r="O2302">
        <v>-1.9697869999999999E-2</v>
      </c>
      <c r="P2302">
        <v>-0.99261330000000003</v>
      </c>
      <c r="Q2302">
        <v>-4.3579339999999999E-3</v>
      </c>
      <c r="R2302">
        <v>-0.12124310000000001</v>
      </c>
      <c r="S2302">
        <v>-3.0443120000000001</v>
      </c>
      <c r="T2302">
        <v>-6.7857979999999998E-2</v>
      </c>
      <c r="U2302">
        <v>0.1807251</v>
      </c>
      <c r="V2302">
        <v>-0.1016677</v>
      </c>
      <c r="W2302">
        <v>5.8967269999999998E-4</v>
      </c>
      <c r="X2302">
        <v>0.99481830000000004</v>
      </c>
      <c r="Y2302">
        <v>7.8885650000000002E-2</v>
      </c>
      <c r="Z2302">
        <v>1.416149E-3</v>
      </c>
      <c r="AA2302">
        <v>0.99688270000000001</v>
      </c>
      <c r="AB2302">
        <v>54</v>
      </c>
      <c r="AC2302">
        <v>-49.413499999999999</v>
      </c>
      <c r="AD2302">
        <v>-1.1080923639569999</v>
      </c>
      <c r="AE2302">
        <v>2.9573000000000298</v>
      </c>
      <c r="AF2302">
        <v>3.9281107457478401</v>
      </c>
      <c r="AG2302">
        <v>-1.1080923639569999</v>
      </c>
      <c r="AH2302">
        <v>49.3209454358648</v>
      </c>
      <c r="AI2302">
        <v>91.282984942134405</v>
      </c>
      <c r="AJ2302">
        <v>85.4463545541972</v>
      </c>
      <c r="AK2302">
        <v>49.489530018029797</v>
      </c>
      <c r="AL2302">
        <v>89.966214243047403</v>
      </c>
      <c r="AM2302">
        <v>95.835212827690896</v>
      </c>
      <c r="AN2302">
        <v>1.0000000594760301</v>
      </c>
    </row>
    <row r="2303" spans="1:40" x14ac:dyDescent="0.25">
      <c r="A2303" t="str">
        <f>"20190305134944848"</f>
        <v>20190305134944848</v>
      </c>
      <c r="B2303" t="str">
        <f>"1551764984843199"</f>
        <v>1551764984843199</v>
      </c>
      <c r="C2303" t="s">
        <v>40</v>
      </c>
      <c r="D2303">
        <v>3.88612</v>
      </c>
      <c r="E2303">
        <v>0.56801519999999905</v>
      </c>
      <c r="F2303" t="s">
        <v>77</v>
      </c>
      <c r="G2303">
        <v>-511.83359999999999</v>
      </c>
      <c r="H2303">
        <v>40.746980000000001</v>
      </c>
      <c r="I2303">
        <v>299.76440000000002</v>
      </c>
      <c r="J2303">
        <v>-279.00569999999999</v>
      </c>
      <c r="K2303">
        <v>1.1080289999999999</v>
      </c>
      <c r="L2303">
        <v>285.04930000000002</v>
      </c>
      <c r="M2303">
        <v>-0.99979660000000004</v>
      </c>
      <c r="N2303">
        <v>-5.0287960000000003E-3</v>
      </c>
      <c r="O2303">
        <v>-1.9537180000000001E-2</v>
      </c>
      <c r="P2303">
        <v>-0.99263429999999997</v>
      </c>
      <c r="Q2303">
        <v>-4.3766159999999998E-3</v>
      </c>
      <c r="R2303">
        <v>-0.12107270000000001</v>
      </c>
      <c r="S2303">
        <v>-3.0480960000000001</v>
      </c>
      <c r="T2303">
        <v>0.51827290000000004</v>
      </c>
      <c r="U2303">
        <v>0.19232179999999999</v>
      </c>
      <c r="V2303">
        <v>-0.1016558</v>
      </c>
      <c r="W2303">
        <v>6.0874620000000003E-4</v>
      </c>
      <c r="X2303">
        <v>0.99481949999999997</v>
      </c>
      <c r="Y2303">
        <v>8.1036999999999998E-2</v>
      </c>
      <c r="Z2303">
        <v>-1.0021159999999999E-2</v>
      </c>
      <c r="AA2303">
        <v>0.99666069999999995</v>
      </c>
      <c r="AB2303">
        <v>54</v>
      </c>
      <c r="AC2303">
        <v>-232.8279</v>
      </c>
      <c r="AD2303">
        <v>39.638950999999999</v>
      </c>
      <c r="AE2303">
        <v>14.7151</v>
      </c>
      <c r="AF2303">
        <v>18.720687378591201</v>
      </c>
      <c r="AG2303">
        <v>39.638950999999999</v>
      </c>
      <c r="AH2303">
        <v>225.97220411699499</v>
      </c>
      <c r="AI2303">
        <v>80.083968418734599</v>
      </c>
      <c r="AJ2303">
        <v>85.264140838600895</v>
      </c>
      <c r="AK2303">
        <v>230.185029065316</v>
      </c>
      <c r="AL2303">
        <v>89.965121411706406</v>
      </c>
      <c r="AM2303">
        <v>95.834527550576297</v>
      </c>
      <c r="AN2303">
        <v>1.00000005491291</v>
      </c>
    </row>
    <row r="2304" spans="1:40" x14ac:dyDescent="0.25">
      <c r="A2304" t="str">
        <f>"20190305134944861"</f>
        <v>20190305134944861</v>
      </c>
      <c r="B2304" t="str">
        <f>"1551764984852960"</f>
        <v>1551764984852960</v>
      </c>
      <c r="C2304" t="s">
        <v>40</v>
      </c>
      <c r="D2304">
        <v>3.7007370000000002</v>
      </c>
      <c r="E2304">
        <v>0.56801519999999905</v>
      </c>
      <c r="F2304" t="s">
        <v>74</v>
      </c>
      <c r="G2304">
        <v>-392.03930000000003</v>
      </c>
      <c r="H2304">
        <v>8.0000619999999995E-2</v>
      </c>
      <c r="I2304">
        <v>291.59780000000001</v>
      </c>
      <c r="J2304">
        <v>-279.3143</v>
      </c>
      <c r="K2304">
        <v>1.1079589999999999</v>
      </c>
      <c r="L2304">
        <v>285.04329999999999</v>
      </c>
      <c r="M2304">
        <v>-0.99980040000000003</v>
      </c>
      <c r="N2304">
        <v>-5.0522650000000002E-3</v>
      </c>
      <c r="O2304">
        <v>-1.9327939999999998E-2</v>
      </c>
      <c r="P2304">
        <v>-0.99267720000000004</v>
      </c>
      <c r="Q2304">
        <v>-4.5259330000000002E-3</v>
      </c>
      <c r="R2304">
        <v>-0.1207135</v>
      </c>
      <c r="S2304">
        <v>-3.0436399999999999</v>
      </c>
      <c r="T2304">
        <v>-2.7681589999999999E-2</v>
      </c>
      <c r="U2304">
        <v>0.1763306</v>
      </c>
      <c r="V2304">
        <v>-0.1015045</v>
      </c>
      <c r="W2304">
        <v>5.000273E-4</v>
      </c>
      <c r="X2304">
        <v>0.99483500000000002</v>
      </c>
      <c r="Y2304">
        <v>7.7117050000000006E-2</v>
      </c>
      <c r="Z2304">
        <v>6.2345580000000003E-4</v>
      </c>
      <c r="AA2304">
        <v>0.99702190000000002</v>
      </c>
      <c r="AB2304">
        <v>54</v>
      </c>
      <c r="AC2304">
        <v>-112.72499999999999</v>
      </c>
      <c r="AD2304">
        <v>-1.0279583799999901</v>
      </c>
      <c r="AE2304">
        <v>6.5545000000000098</v>
      </c>
      <c r="AF2304">
        <v>8.7313218458533299</v>
      </c>
      <c r="AG2304">
        <v>-1.0279583799999901</v>
      </c>
      <c r="AH2304">
        <v>112.56792607096099</v>
      </c>
      <c r="AI2304">
        <v>90.521637718927195</v>
      </c>
      <c r="AJ2304">
        <v>85.564738036961003</v>
      </c>
      <c r="AK2304">
        <v>112.91071986097801</v>
      </c>
      <c r="AL2304">
        <v>89.971350546175103</v>
      </c>
      <c r="AM2304">
        <v>95.825813327308595</v>
      </c>
      <c r="AN2304">
        <v>1.0000000453862701</v>
      </c>
    </row>
    <row r="2305" spans="1:40" x14ac:dyDescent="0.25">
      <c r="A2305" t="str">
        <f>"20190305134944875"</f>
        <v>20190305134944875</v>
      </c>
      <c r="B2305" t="str">
        <f>"1551764984862719"</f>
        <v>1551764984862719</v>
      </c>
      <c r="C2305" t="s">
        <v>40</v>
      </c>
      <c r="D2305">
        <v>3.8606129999999999</v>
      </c>
      <c r="E2305">
        <v>0.56824479999999999</v>
      </c>
      <c r="F2305" t="s">
        <v>74</v>
      </c>
      <c r="G2305">
        <v>-390.3938</v>
      </c>
      <c r="H2305">
        <v>8.0000139999999997E-2</v>
      </c>
      <c r="I2305">
        <v>291.52550000000002</v>
      </c>
      <c r="J2305">
        <v>-279.64580000000001</v>
      </c>
      <c r="K2305">
        <v>1.1078790000000001</v>
      </c>
      <c r="L2305">
        <v>285.03699999999998</v>
      </c>
      <c r="M2305">
        <v>-0.99980519999999995</v>
      </c>
      <c r="N2305">
        <v>-5.0783709999999999E-3</v>
      </c>
      <c r="O2305">
        <v>-1.9077799999999999E-2</v>
      </c>
      <c r="P2305">
        <v>-0.99271609999999999</v>
      </c>
      <c r="Q2305">
        <v>-4.623668E-3</v>
      </c>
      <c r="R2305">
        <v>-0.1203882</v>
      </c>
      <c r="S2305">
        <v>-3.0435789999999998</v>
      </c>
      <c r="T2305">
        <v>-2.816606E-2</v>
      </c>
      <c r="U2305">
        <v>0.177612299999999</v>
      </c>
      <c r="V2305">
        <v>-0.1014272</v>
      </c>
      <c r="W2305">
        <v>4.4757549999999998E-4</v>
      </c>
      <c r="X2305">
        <v>0.99484289999999997</v>
      </c>
      <c r="Y2305">
        <v>7.7287049999999996E-2</v>
      </c>
      <c r="Z2305">
        <v>6.3334709999999996E-4</v>
      </c>
      <c r="AA2305">
        <v>0.99700869999999997</v>
      </c>
      <c r="AB2305">
        <v>54</v>
      </c>
      <c r="AC2305">
        <v>-110.748</v>
      </c>
      <c r="AD2305">
        <v>-1.0278788599999999</v>
      </c>
      <c r="AE2305">
        <v>6.4884999999999797</v>
      </c>
      <c r="AF2305">
        <v>8.5994360821064504</v>
      </c>
      <c r="AG2305">
        <v>-1.0278788599999999</v>
      </c>
      <c r="AH2305">
        <v>110.594561518581</v>
      </c>
      <c r="AI2305">
        <v>90.530895976669299</v>
      </c>
      <c r="AJ2305">
        <v>85.553832067136199</v>
      </c>
      <c r="AK2305">
        <v>110.93315047076</v>
      </c>
      <c r="AL2305">
        <v>89.974355812915107</v>
      </c>
      <c r="AM2305">
        <v>95.821361293849705</v>
      </c>
      <c r="AN2305">
        <v>1.0000000364520301</v>
      </c>
    </row>
    <row r="2306" spans="1:40" x14ac:dyDescent="0.25">
      <c r="A2306" t="str">
        <f>"20190305134944892"</f>
        <v>20190305134944892</v>
      </c>
      <c r="B2306" t="str">
        <f>"1551764984883215"</f>
        <v>1551764984883215</v>
      </c>
      <c r="C2306" t="s">
        <v>40</v>
      </c>
      <c r="D2306">
        <v>3.8593389999999999</v>
      </c>
      <c r="E2306">
        <v>0.56987809999999905</v>
      </c>
      <c r="F2306" t="s">
        <v>74</v>
      </c>
      <c r="G2306">
        <v>-386.4794</v>
      </c>
      <c r="H2306">
        <v>8.0000450000000001E-2</v>
      </c>
      <c r="I2306">
        <v>291.37180000000001</v>
      </c>
      <c r="J2306">
        <v>-280.05689999999998</v>
      </c>
      <c r="K2306">
        <v>1.107782</v>
      </c>
      <c r="L2306">
        <v>285.02929999999998</v>
      </c>
      <c r="M2306">
        <v>-0.99981180000000003</v>
      </c>
      <c r="N2306">
        <v>-5.1127639999999997E-3</v>
      </c>
      <c r="O2306">
        <v>-1.8718619999999998E-2</v>
      </c>
      <c r="P2306">
        <v>-0.99275880000000005</v>
      </c>
      <c r="Q2306">
        <v>-4.3837169999999996E-3</v>
      </c>
      <c r="R2306">
        <v>-0.12004670000000001</v>
      </c>
      <c r="S2306">
        <v>-3.0437620000000001</v>
      </c>
      <c r="T2306">
        <v>-2.9284950000000001E-2</v>
      </c>
      <c r="U2306">
        <v>0.180481</v>
      </c>
      <c r="V2306">
        <v>-0.1014419</v>
      </c>
      <c r="W2306">
        <v>7.4559850000000005E-4</v>
      </c>
      <c r="X2306">
        <v>0.99484119999999998</v>
      </c>
      <c r="Y2306">
        <v>7.7861369999999999E-2</v>
      </c>
      <c r="Z2306">
        <v>6.5779490000000005E-4</v>
      </c>
      <c r="AA2306">
        <v>0.99696399999999996</v>
      </c>
      <c r="AB2306">
        <v>54</v>
      </c>
      <c r="AC2306">
        <v>-106.4225</v>
      </c>
      <c r="AD2306">
        <v>-1.02778155</v>
      </c>
      <c r="AE2306">
        <v>6.3425000000000296</v>
      </c>
      <c r="AF2306">
        <v>8.3327224929142307</v>
      </c>
      <c r="AG2306">
        <v>-1.02778155</v>
      </c>
      <c r="AH2306">
        <v>106.27525193107</v>
      </c>
      <c r="AI2306">
        <v>90.552391504211002</v>
      </c>
      <c r="AJ2306">
        <v>85.5167825346998</v>
      </c>
      <c r="AK2306">
        <v>106.606377726996</v>
      </c>
      <c r="AL2306">
        <v>89.957280349383097</v>
      </c>
      <c r="AM2306">
        <v>95.822209077825207</v>
      </c>
      <c r="AN2306">
        <v>1.00000001410508</v>
      </c>
    </row>
    <row r="2307" spans="1:40" x14ac:dyDescent="0.25">
      <c r="A2307" t="str">
        <f>"20190305134944904"</f>
        <v>20190305134944904</v>
      </c>
      <c r="B2307" t="str">
        <f>"1551764984892976"</f>
        <v>1551764984892976</v>
      </c>
      <c r="C2307" t="s">
        <v>40</v>
      </c>
      <c r="D2307">
        <v>3.7061899999999999</v>
      </c>
      <c r="E2307">
        <v>0.56987809999999905</v>
      </c>
      <c r="F2307" t="s">
        <v>74</v>
      </c>
      <c r="G2307">
        <v>-351.64499999999998</v>
      </c>
      <c r="H2307">
        <v>1.065608E-2</v>
      </c>
      <c r="I2307">
        <v>289.61630000000002</v>
      </c>
      <c r="J2307">
        <v>-280.36900000000003</v>
      </c>
      <c r="K2307">
        <v>1.107704</v>
      </c>
      <c r="L2307">
        <v>285.02350000000001</v>
      </c>
      <c r="M2307">
        <v>-0.99981750000000003</v>
      </c>
      <c r="N2307">
        <v>-5.1413689999999998E-3</v>
      </c>
      <c r="O2307">
        <v>-1.840522E-2</v>
      </c>
      <c r="P2307">
        <v>-0.99278900000000003</v>
      </c>
      <c r="Q2307">
        <v>-4.249839E-3</v>
      </c>
      <c r="R2307">
        <v>-0.1198013</v>
      </c>
      <c r="S2307">
        <v>-3.0452880000000002</v>
      </c>
      <c r="T2307">
        <v>-4.6670679999999999E-2</v>
      </c>
      <c r="U2307">
        <v>0.19512940000000001</v>
      </c>
      <c r="V2307">
        <v>-0.1015078</v>
      </c>
      <c r="W2307">
        <v>9.2631970000000001E-4</v>
      </c>
      <c r="X2307">
        <v>0.99483429999999995</v>
      </c>
      <c r="Y2307">
        <v>8.2287860000000004E-2</v>
      </c>
      <c r="Z2307">
        <v>1.0289170000000001E-3</v>
      </c>
      <c r="AA2307">
        <v>0.9966081</v>
      </c>
      <c r="AB2307">
        <v>54</v>
      </c>
      <c r="AC2307">
        <v>-71.275999999999897</v>
      </c>
      <c r="AD2307">
        <v>-1.0970479200000001</v>
      </c>
      <c r="AE2307">
        <v>4.5928000000000102</v>
      </c>
      <c r="AF2307">
        <v>5.9024971411203202</v>
      </c>
      <c r="AG2307">
        <v>-1.0970479200000001</v>
      </c>
      <c r="AH2307">
        <v>71.162604917143</v>
      </c>
      <c r="AI2307">
        <v>90.880183941975901</v>
      </c>
      <c r="AJ2307">
        <v>85.258523500193107</v>
      </c>
      <c r="AK2307">
        <v>71.415399776470494</v>
      </c>
      <c r="AL2307">
        <v>89.946925782482694</v>
      </c>
      <c r="AM2307">
        <v>95.826005497948699</v>
      </c>
      <c r="AN2307">
        <v>0.99999998799275802</v>
      </c>
    </row>
    <row r="2308" spans="1:40" x14ac:dyDescent="0.25">
      <c r="A2308" t="str">
        <f>"20190305134944918"</f>
        <v>20190305134944918</v>
      </c>
      <c r="B2308" t="str">
        <f>"1551764984912497"</f>
        <v>1551764984912497</v>
      </c>
      <c r="C2308" t="s">
        <v>40</v>
      </c>
      <c r="D2308">
        <v>3.723983</v>
      </c>
      <c r="E2308">
        <v>0.57324310000000001</v>
      </c>
      <c r="F2308" t="s">
        <v>74</v>
      </c>
      <c r="G2308">
        <v>-351.74459999999999</v>
      </c>
      <c r="H2308">
        <v>2.0541449999999999E-2</v>
      </c>
      <c r="I2308">
        <v>289.61630000000002</v>
      </c>
      <c r="J2308">
        <v>-280.67590000000001</v>
      </c>
      <c r="K2308">
        <v>1.1076319999999999</v>
      </c>
      <c r="L2308">
        <v>285.01799999999997</v>
      </c>
      <c r="M2308">
        <v>-0.99982349999999998</v>
      </c>
      <c r="N2308">
        <v>-5.1723569999999998E-3</v>
      </c>
      <c r="O2308">
        <v>-1.8069559999999998E-2</v>
      </c>
      <c r="P2308">
        <v>-0.99279079999999997</v>
      </c>
      <c r="Q2308">
        <v>-4.1850230000000004E-3</v>
      </c>
      <c r="R2308">
        <v>-0.1197878</v>
      </c>
      <c r="S2308">
        <v>-3.045258</v>
      </c>
      <c r="T2308">
        <v>-4.6384099999999998E-2</v>
      </c>
      <c r="U2308">
        <v>0.1959534</v>
      </c>
      <c r="V2308">
        <v>-0.1018275</v>
      </c>
      <c r="W2308">
        <v>1.040284E-3</v>
      </c>
      <c r="X2308">
        <v>0.99480150000000001</v>
      </c>
      <c r="Y2308">
        <v>8.2222649999999994E-2</v>
      </c>
      <c r="Z2308">
        <v>1.019991E-3</v>
      </c>
      <c r="AA2308">
        <v>0.99661339999999998</v>
      </c>
      <c r="AB2308">
        <v>54</v>
      </c>
      <c r="AC2308">
        <v>-71.068699999999893</v>
      </c>
      <c r="AD2308">
        <v>-1.0870905500000001</v>
      </c>
      <c r="AE2308">
        <v>4.5983000000000498</v>
      </c>
      <c r="AF2308">
        <v>5.8803762126885699</v>
      </c>
      <c r="AG2308">
        <v>-1.0870905500000001</v>
      </c>
      <c r="AH2308">
        <v>70.957472842933896</v>
      </c>
      <c r="AI2308">
        <v>90.874722417580102</v>
      </c>
      <c r="AJ2308">
        <v>85.262618673739496</v>
      </c>
      <c r="AK2308">
        <v>71.209013070834999</v>
      </c>
      <c r="AL2308">
        <v>89.940396104955596</v>
      </c>
      <c r="AM2308">
        <v>95.844419118815594</v>
      </c>
      <c r="AN2308">
        <v>0.99999997317464995</v>
      </c>
    </row>
    <row r="2309" spans="1:40" x14ac:dyDescent="0.25">
      <c r="A2309" t="str">
        <f>"20190305134944930"</f>
        <v>20190305134944930</v>
      </c>
      <c r="B2309" t="str">
        <f>"1551764984923231"</f>
        <v>1551764984923231</v>
      </c>
      <c r="C2309" t="s">
        <v>40</v>
      </c>
      <c r="D2309">
        <v>3.8852479999999998</v>
      </c>
      <c r="E2309">
        <v>0.57324310000000001</v>
      </c>
      <c r="F2309" t="s">
        <v>77</v>
      </c>
      <c r="G2309">
        <v>-511.8202</v>
      </c>
      <c r="H2309">
        <v>0.19080559999999999</v>
      </c>
      <c r="I2309">
        <v>301.78280000000001</v>
      </c>
      <c r="J2309">
        <v>-280.98860000000002</v>
      </c>
      <c r="K2309">
        <v>1.107558</v>
      </c>
      <c r="L2309">
        <v>285.01249999999999</v>
      </c>
      <c r="M2309">
        <v>-0.99982979999999999</v>
      </c>
      <c r="N2309">
        <v>-5.2061670000000003E-3</v>
      </c>
      <c r="O2309">
        <v>-1.7707319999999999E-2</v>
      </c>
      <c r="P2309">
        <v>-0.99280570000000001</v>
      </c>
      <c r="Q2309">
        <v>-3.8147350000000001E-3</v>
      </c>
      <c r="R2309">
        <v>-0.11967609999999999</v>
      </c>
      <c r="S2309">
        <v>-3.0484010000000001</v>
      </c>
      <c r="T2309">
        <v>-1.2090210000000001E-2</v>
      </c>
      <c r="U2309">
        <v>0.22109989999999999</v>
      </c>
      <c r="V2309">
        <v>-0.102076</v>
      </c>
      <c r="W2309">
        <v>1.4627609999999999E-3</v>
      </c>
      <c r="X2309">
        <v>0.99477550000000003</v>
      </c>
      <c r="Y2309">
        <v>8.9987929999999994E-2</v>
      </c>
      <c r="Z2309">
        <v>3.90861E-4</v>
      </c>
      <c r="AA2309">
        <v>0.99594280000000002</v>
      </c>
      <c r="AB2309">
        <v>54</v>
      </c>
      <c r="AC2309">
        <v>-230.83160000000001</v>
      </c>
      <c r="AD2309">
        <v>-0.91675239999999902</v>
      </c>
      <c r="AE2309">
        <v>16.770299999999999</v>
      </c>
      <c r="AF2309">
        <v>20.854807175571501</v>
      </c>
      <c r="AG2309">
        <v>-0.91675239999999902</v>
      </c>
      <c r="AH2309">
        <v>230.49483011111701</v>
      </c>
      <c r="AI2309">
        <v>90.2269555578374</v>
      </c>
      <c r="AJ2309">
        <v>84.830045622128694</v>
      </c>
      <c r="AK2309">
        <v>231.43817776081301</v>
      </c>
      <c r="AL2309">
        <v>89.916189936064697</v>
      </c>
      <c r="AM2309">
        <v>95.858734819200393</v>
      </c>
      <c r="AN2309">
        <v>0.99999997242299599</v>
      </c>
    </row>
    <row r="2310" spans="1:40" x14ac:dyDescent="0.25">
      <c r="A2310" t="str">
        <f>"20190305134944946"</f>
        <v>20190305134944946</v>
      </c>
      <c r="B2310" t="str">
        <f>"1551764984932522"</f>
        <v>1551764984932522</v>
      </c>
      <c r="C2310" t="s">
        <v>40</v>
      </c>
      <c r="D2310">
        <v>3.6988699999999999</v>
      </c>
      <c r="E2310">
        <v>0.5743897</v>
      </c>
      <c r="F2310" t="s">
        <v>77</v>
      </c>
      <c r="G2310">
        <v>-511.82029999999997</v>
      </c>
      <c r="H2310">
        <v>0.26431320000000003</v>
      </c>
      <c r="I2310">
        <v>301.78230000000002</v>
      </c>
      <c r="J2310">
        <v>-281.37119999999999</v>
      </c>
      <c r="K2310">
        <v>1.1074759999999999</v>
      </c>
      <c r="L2310">
        <v>285.00580000000002</v>
      </c>
      <c r="M2310">
        <v>-0.99983820000000001</v>
      </c>
      <c r="N2310">
        <v>-5.2566230000000002E-3</v>
      </c>
      <c r="O2310">
        <v>-1.7206869999999999E-2</v>
      </c>
      <c r="P2310">
        <v>-0.992815</v>
      </c>
      <c r="Q2310">
        <v>-3.3685059999999998E-3</v>
      </c>
      <c r="R2310">
        <v>-0.1196147</v>
      </c>
      <c r="S2310">
        <v>-3.0484010000000001</v>
      </c>
      <c r="T2310">
        <v>-1.113486E-2</v>
      </c>
      <c r="U2310">
        <v>0.2214661</v>
      </c>
      <c r="V2310">
        <v>-0.1025109</v>
      </c>
      <c r="W2310">
        <v>1.98299E-3</v>
      </c>
      <c r="X2310">
        <v>0.99472989999999994</v>
      </c>
      <c r="Y2310">
        <v>8.9608640000000003E-2</v>
      </c>
      <c r="Z2310">
        <v>3.717282E-4</v>
      </c>
      <c r="AA2310">
        <v>0.995977</v>
      </c>
      <c r="AB2310">
        <v>54</v>
      </c>
      <c r="AC2310">
        <v>-230.44909999999999</v>
      </c>
      <c r="AD2310">
        <v>-0.84316279999999999</v>
      </c>
      <c r="AE2310">
        <v>16.776499999999999</v>
      </c>
      <c r="AF2310">
        <v>20.7391022454335</v>
      </c>
      <c r="AG2310">
        <v>-0.84316279999999999</v>
      </c>
      <c r="AH2310">
        <v>230.12324189985301</v>
      </c>
      <c r="AI2310">
        <v>90.209081269601697</v>
      </c>
      <c r="AJ2310">
        <v>84.850317542150904</v>
      </c>
      <c r="AK2310">
        <v>231.05741223330699</v>
      </c>
      <c r="AL2310">
        <v>89.886382967200106</v>
      </c>
      <c r="AM2310">
        <v>95.883789340324597</v>
      </c>
      <c r="AN2310">
        <v>0.99999999541107998</v>
      </c>
    </row>
    <row r="2311" spans="1:40" x14ac:dyDescent="0.25">
      <c r="A2311" t="str">
        <f>"20190305134944959"</f>
        <v>20190305134944959</v>
      </c>
      <c r="B2311" t="str">
        <f>"1551764984953018"</f>
        <v>1551764984953018</v>
      </c>
      <c r="C2311" t="s">
        <v>40</v>
      </c>
      <c r="D2311">
        <v>3.781755</v>
      </c>
      <c r="E2311">
        <v>0.57605649999999997</v>
      </c>
      <c r="F2311" t="s">
        <v>77</v>
      </c>
      <c r="G2311">
        <v>-511.82029999999997</v>
      </c>
      <c r="H2311">
        <v>0.52486869999999997</v>
      </c>
      <c r="I2311">
        <v>302.42930000000001</v>
      </c>
      <c r="J2311">
        <v>-281.70710000000003</v>
      </c>
      <c r="K2311">
        <v>1.107402</v>
      </c>
      <c r="L2311">
        <v>285.00020000000001</v>
      </c>
      <c r="M2311">
        <v>-0.99984609999999996</v>
      </c>
      <c r="N2311">
        <v>-5.3078409999999998E-3</v>
      </c>
      <c r="O2311">
        <v>-1.6728420000000001E-2</v>
      </c>
      <c r="P2311">
        <v>-0.99284859999999997</v>
      </c>
      <c r="Q2311">
        <v>-3.220681E-3</v>
      </c>
      <c r="R2311">
        <v>-0.11933920000000001</v>
      </c>
      <c r="S2311">
        <v>-3.0494690000000002</v>
      </c>
      <c r="T2311">
        <v>-7.7083109999999998E-3</v>
      </c>
      <c r="U2311">
        <v>0.2305603</v>
      </c>
      <c r="V2311">
        <v>-0.1027101</v>
      </c>
      <c r="W2311">
        <v>2.2023339999999998E-3</v>
      </c>
      <c r="X2311">
        <v>0.99470890000000001</v>
      </c>
      <c r="Y2311">
        <v>9.2061050000000005E-2</v>
      </c>
      <c r="Z2311">
        <v>3.144369E-4</v>
      </c>
      <c r="AA2311">
        <v>0.99575329999999995</v>
      </c>
      <c r="AB2311">
        <v>54</v>
      </c>
      <c r="AC2311">
        <v>-230.11319999999901</v>
      </c>
      <c r="AD2311">
        <v>-0.58253330000000003</v>
      </c>
      <c r="AE2311">
        <v>17.429099999999998</v>
      </c>
      <c r="AF2311">
        <v>21.276009538673499</v>
      </c>
      <c r="AG2311">
        <v>-0.58253330000000003</v>
      </c>
      <c r="AH2311">
        <v>229.78796982339099</v>
      </c>
      <c r="AI2311">
        <v>90.144631050079497</v>
      </c>
      <c r="AJ2311">
        <v>84.710080560666796</v>
      </c>
      <c r="AK2311">
        <v>230.771573211457</v>
      </c>
      <c r="AL2311">
        <v>89.873815455389007</v>
      </c>
      <c r="AM2311">
        <v>95.895265903014902</v>
      </c>
      <c r="AN2311">
        <v>1.0000000053281299</v>
      </c>
    </row>
    <row r="2312" spans="1:40" x14ac:dyDescent="0.25">
      <c r="A2312" t="str">
        <f>"20190305134944972"</f>
        <v>20190305134944972</v>
      </c>
      <c r="B2312" t="str">
        <f>"1551764984962778"</f>
        <v>1551764984962778</v>
      </c>
      <c r="C2312" t="s">
        <v>40</v>
      </c>
      <c r="D2312">
        <v>3.738632</v>
      </c>
      <c r="E2312">
        <v>0.57670880000000002</v>
      </c>
      <c r="F2312" t="s">
        <v>80</v>
      </c>
      <c r="G2312">
        <v>-455.36189999999999</v>
      </c>
      <c r="H2312">
        <v>0.82808780000000004</v>
      </c>
      <c r="I2312">
        <v>298.90839999999997</v>
      </c>
      <c r="J2312">
        <v>-282.01580000000001</v>
      </c>
      <c r="K2312">
        <v>1.1073360000000001</v>
      </c>
      <c r="L2312">
        <v>284.99509999999998</v>
      </c>
      <c r="M2312">
        <v>-0.9998534</v>
      </c>
      <c r="N2312">
        <v>-5.3617760000000004E-3</v>
      </c>
      <c r="O2312">
        <v>-1.6264790000000001E-2</v>
      </c>
      <c r="P2312">
        <v>-0.99291399999999996</v>
      </c>
      <c r="Q2312">
        <v>-3.002902E-3</v>
      </c>
      <c r="R2312">
        <v>-0.118799</v>
      </c>
      <c r="S2312">
        <v>-3.050964</v>
      </c>
      <c r="T2312">
        <v>-4.9077269999999997E-3</v>
      </c>
      <c r="U2312">
        <v>0.24435419999999999</v>
      </c>
      <c r="V2312">
        <v>-0.10262930000000001</v>
      </c>
      <c r="W2312">
        <v>2.4932040000000002E-3</v>
      </c>
      <c r="X2312">
        <v>0.9947165</v>
      </c>
      <c r="Y2312">
        <v>9.6037079999999997E-2</v>
      </c>
      <c r="Z2312">
        <v>2.7406369999999998E-4</v>
      </c>
      <c r="AA2312">
        <v>0.99537770000000003</v>
      </c>
      <c r="AB2312">
        <v>54</v>
      </c>
      <c r="AC2312">
        <v>-173.34609999999901</v>
      </c>
      <c r="AD2312">
        <v>-0.2792482</v>
      </c>
      <c r="AE2312">
        <v>13.9132999999999</v>
      </c>
      <c r="AF2312">
        <v>16.730894631635501</v>
      </c>
      <c r="AG2312">
        <v>-0.2792482</v>
      </c>
      <c r="AH2312">
        <v>173.09642257543501</v>
      </c>
      <c r="AI2312">
        <v>90.092003695834094</v>
      </c>
      <c r="AJ2312">
        <v>84.479140613953703</v>
      </c>
      <c r="AK2312">
        <v>173.903341897578</v>
      </c>
      <c r="AL2312">
        <v>89.857149778530299</v>
      </c>
      <c r="AM2312">
        <v>95.890616148342602</v>
      </c>
      <c r="AN2312">
        <v>0.99999995232846095</v>
      </c>
    </row>
    <row r="2313" spans="1:40" x14ac:dyDescent="0.25">
      <c r="A2313" t="str">
        <f>"20190305134944994"</f>
        <v>20190305134944994</v>
      </c>
      <c r="B2313" t="str">
        <f>"1551764984983274"</f>
        <v>1551764984983274</v>
      </c>
      <c r="C2313" t="s">
        <v>40</v>
      </c>
      <c r="D2313">
        <v>3.7289750000000002</v>
      </c>
      <c r="E2313">
        <v>0.57728710000000005</v>
      </c>
      <c r="F2313" t="s">
        <v>80</v>
      </c>
      <c r="G2313">
        <v>-455.3578</v>
      </c>
      <c r="H2313">
        <v>1.0255729999999901</v>
      </c>
      <c r="I2313">
        <v>299.26760000000002</v>
      </c>
      <c r="J2313">
        <v>-282.51600000000002</v>
      </c>
      <c r="K2313">
        <v>1.1072299999999999</v>
      </c>
      <c r="L2313">
        <v>284.98719999999997</v>
      </c>
      <c r="M2313">
        <v>-0.99986589999999997</v>
      </c>
      <c r="N2313">
        <v>-5.4811479999999999E-3</v>
      </c>
      <c r="O2313">
        <v>-1.5438199999999999E-2</v>
      </c>
      <c r="P2313">
        <v>-0.99302319999999999</v>
      </c>
      <c r="Q2313">
        <v>-2.2954439999999998E-3</v>
      </c>
      <c r="R2313">
        <v>-0.1178989</v>
      </c>
      <c r="S2313">
        <v>-3.0514830000000002</v>
      </c>
      <c r="T2313">
        <v>-1.439095E-3</v>
      </c>
      <c r="U2313">
        <v>0.25125120000000001</v>
      </c>
      <c r="V2313">
        <v>-0.102548</v>
      </c>
      <c r="W2313">
        <v>3.351985E-3</v>
      </c>
      <c r="X2313">
        <v>0.99472240000000001</v>
      </c>
      <c r="Y2313">
        <v>9.7435969999999997E-2</v>
      </c>
      <c r="Z2313">
        <v>2.1322410000000001E-4</v>
      </c>
      <c r="AA2313">
        <v>0.99524179999999995</v>
      </c>
      <c r="AB2313">
        <v>54</v>
      </c>
      <c r="AC2313">
        <v>-172.84180000000001</v>
      </c>
      <c r="AD2313">
        <v>-8.1656999999999993E-2</v>
      </c>
      <c r="AE2313">
        <v>14.2804</v>
      </c>
      <c r="AF2313">
        <v>16.947100404773298</v>
      </c>
      <c r="AG2313">
        <v>-8.1656999999999993E-2</v>
      </c>
      <c r="AH2313">
        <v>172.60069554768199</v>
      </c>
      <c r="AI2313">
        <v>90.026976777383595</v>
      </c>
      <c r="AJ2313">
        <v>84.392288473634594</v>
      </c>
      <c r="AK2313">
        <v>173.43070945925001</v>
      </c>
      <c r="AL2313">
        <v>89.807945045050801</v>
      </c>
      <c r="AM2313">
        <v>95.885947878448604</v>
      </c>
      <c r="AN2313">
        <v>0.99999999058459998</v>
      </c>
    </row>
    <row r="2314" spans="1:40" x14ac:dyDescent="0.25">
      <c r="A2314" t="str">
        <f>"20190305134945007"</f>
        <v>20190305134945007</v>
      </c>
      <c r="B2314" t="str">
        <f>"1551764985002796"</f>
        <v>1551764985002796</v>
      </c>
      <c r="C2314" t="s">
        <v>40</v>
      </c>
      <c r="D2314">
        <v>3.9496790000000002</v>
      </c>
      <c r="E2314">
        <v>0.59799239999999998</v>
      </c>
      <c r="F2314" t="s">
        <v>80</v>
      </c>
      <c r="G2314">
        <v>-455.358</v>
      </c>
      <c r="H2314">
        <v>1.37944</v>
      </c>
      <c r="I2314">
        <v>299.62180000000001</v>
      </c>
      <c r="J2314">
        <v>-282.86619999999999</v>
      </c>
      <c r="K2314">
        <v>1.107156</v>
      </c>
      <c r="L2314">
        <v>284.9819</v>
      </c>
      <c r="M2314">
        <v>-0.99987470000000001</v>
      </c>
      <c r="N2314">
        <v>-5.5900910000000002E-3</v>
      </c>
      <c r="O2314">
        <v>-1.481238E-2</v>
      </c>
      <c r="P2314">
        <v>-0.99310900000000002</v>
      </c>
      <c r="Q2314">
        <v>-2.1971450000000002E-3</v>
      </c>
      <c r="R2314">
        <v>-0.1171727</v>
      </c>
      <c r="S2314">
        <v>-3.051758</v>
      </c>
      <c r="T2314">
        <v>4.8063990000000003E-3</v>
      </c>
      <c r="U2314">
        <v>0.25839230000000002</v>
      </c>
      <c r="V2314">
        <v>-0.10244209999999999</v>
      </c>
      <c r="W2314">
        <v>3.5818180000000001E-3</v>
      </c>
      <c r="X2314">
        <v>0.99473250000000002</v>
      </c>
      <c r="Y2314">
        <v>9.9118609999999996E-2</v>
      </c>
      <c r="Z2314" s="1">
        <v>9.3688289999999995E-5</v>
      </c>
      <c r="AA2314">
        <v>0.99507559999999995</v>
      </c>
      <c r="AB2314">
        <v>55</v>
      </c>
      <c r="AC2314">
        <v>-172.49180000000001</v>
      </c>
      <c r="AD2314">
        <v>0.27228400000000003</v>
      </c>
      <c r="AE2314">
        <v>14.639900000000001</v>
      </c>
      <c r="AF2314">
        <v>17.193305200309101</v>
      </c>
      <c r="AG2314">
        <v>0.27228400000000003</v>
      </c>
      <c r="AH2314">
        <v>172.25559415860999</v>
      </c>
      <c r="AI2314">
        <v>89.909880573656096</v>
      </c>
      <c r="AJ2314">
        <v>84.300029257680904</v>
      </c>
      <c r="AK2314">
        <v>173.11173732945801</v>
      </c>
      <c r="AL2314">
        <v>89.794776502675901</v>
      </c>
      <c r="AM2314">
        <v>95.8798528611226</v>
      </c>
      <c r="AN2314">
        <v>0.99999997991442202</v>
      </c>
    </row>
    <row r="2315" spans="1:40" x14ac:dyDescent="0.25">
      <c r="A2315" t="str">
        <f>"20190305134945025"</f>
        <v>20190305134945025</v>
      </c>
      <c r="B2315" t="str">
        <f>"1551764985012554"</f>
        <v>1551764985012554</v>
      </c>
      <c r="C2315" t="s">
        <v>40</v>
      </c>
      <c r="D2315">
        <v>3.7208890000000001</v>
      </c>
      <c r="E2315">
        <v>0.59799239999999998</v>
      </c>
      <c r="F2315" t="s">
        <v>41</v>
      </c>
      <c r="G2315">
        <v>-283.61759999999998</v>
      </c>
      <c r="H2315">
        <v>0.97616650000000005</v>
      </c>
      <c r="I2315">
        <v>285.09190000000001</v>
      </c>
      <c r="J2315">
        <v>-283.28530000000001</v>
      </c>
      <c r="K2315">
        <v>1.1070719999999901</v>
      </c>
      <c r="L2315">
        <v>284.976</v>
      </c>
      <c r="M2315">
        <v>-0.99988540000000004</v>
      </c>
      <c r="N2315">
        <v>-5.7552590000000004E-3</v>
      </c>
      <c r="O2315">
        <v>-1.400993E-2</v>
      </c>
      <c r="P2315">
        <v>-0.9932588</v>
      </c>
      <c r="Q2315">
        <v>-1.643624E-3</v>
      </c>
      <c r="R2315">
        <v>-0.1159085</v>
      </c>
      <c r="S2315">
        <v>-3.0726010000000001</v>
      </c>
      <c r="T2315">
        <v>-0.53568909999999903</v>
      </c>
      <c r="U2315">
        <v>0.44885249999999999</v>
      </c>
      <c r="V2315">
        <v>-0.1019713</v>
      </c>
      <c r="W2315">
        <v>4.3266320000000004E-3</v>
      </c>
      <c r="X2315">
        <v>0.99477789999999999</v>
      </c>
      <c r="Y2315">
        <v>0.15582209999999999</v>
      </c>
      <c r="Z2315">
        <v>1.6198879999999999E-2</v>
      </c>
      <c r="AA2315">
        <v>0.98765230000000004</v>
      </c>
      <c r="AB2315">
        <v>55</v>
      </c>
      <c r="AC2315">
        <v>-0.332299999999975</v>
      </c>
      <c r="AD2315">
        <v>-0.13090549999999901</v>
      </c>
      <c r="AE2315">
        <v>0.11590000000001</v>
      </c>
      <c r="AF2315">
        <v>0.10589322493343201</v>
      </c>
      <c r="AG2315">
        <v>-0.13090549999999901</v>
      </c>
      <c r="AH2315">
        <v>0.29045709083117699</v>
      </c>
      <c r="AI2315">
        <v>112.94905393024</v>
      </c>
      <c r="AJ2315">
        <v>69.969438184382696</v>
      </c>
      <c r="AK2315">
        <v>0.33573046723698302</v>
      </c>
      <c r="AL2315">
        <v>89.752101465535901</v>
      </c>
      <c r="AM2315">
        <v>95.852753192960506</v>
      </c>
      <c r="AN2315">
        <v>0.99999996804828095</v>
      </c>
    </row>
    <row r="2316" spans="1:40" x14ac:dyDescent="0.25">
      <c r="A2316" t="str">
        <f>"20190305134945036"</f>
        <v>20190305134945036</v>
      </c>
      <c r="B2316" t="str">
        <f>"1551764985032582"</f>
        <v>1551764985032582</v>
      </c>
      <c r="C2316" t="s">
        <v>40</v>
      </c>
      <c r="D2316">
        <v>3.7503980000000001</v>
      </c>
      <c r="E2316">
        <v>0.5813429</v>
      </c>
      <c r="F2316" t="s">
        <v>41</v>
      </c>
      <c r="G2316">
        <v>-284.10250000000002</v>
      </c>
      <c r="H2316">
        <v>0.9649742</v>
      </c>
      <c r="I2316">
        <v>285.0967</v>
      </c>
      <c r="J2316">
        <v>-283.57670000000002</v>
      </c>
      <c r="K2316">
        <v>1.107019</v>
      </c>
      <c r="L2316">
        <v>284.97199999999998</v>
      </c>
      <c r="M2316">
        <v>-0.99989260000000002</v>
      </c>
      <c r="N2316">
        <v>-5.9004909999999999E-3</v>
      </c>
      <c r="O2316">
        <v>-1.3422150000000001E-2</v>
      </c>
      <c r="P2316">
        <v>-0.99336950000000002</v>
      </c>
      <c r="Q2316">
        <v>-1.820587E-3</v>
      </c>
      <c r="R2316">
        <v>-0.114952399999999</v>
      </c>
      <c r="S2316">
        <v>-3.0722960000000001</v>
      </c>
      <c r="T2316">
        <v>-0.53427080000000005</v>
      </c>
      <c r="U2316">
        <v>0.45254519999999998</v>
      </c>
      <c r="V2316">
        <v>-0.10159799999999999</v>
      </c>
      <c r="W2316">
        <v>4.3128039999999999E-3</v>
      </c>
      <c r="X2316">
        <v>0.99481620000000004</v>
      </c>
      <c r="Y2316">
        <v>0.1564284</v>
      </c>
      <c r="Z2316">
        <v>1.6123579999999998E-2</v>
      </c>
      <c r="AA2316">
        <v>0.98755769999999998</v>
      </c>
      <c r="AB2316">
        <v>55</v>
      </c>
      <c r="AC2316">
        <v>-0.52580000000000304</v>
      </c>
      <c r="AD2316">
        <v>-0.142044799999999</v>
      </c>
      <c r="AE2316">
        <v>0.124700000000018</v>
      </c>
      <c r="AF2316">
        <v>0.12323160999046601</v>
      </c>
      <c r="AG2316">
        <v>-0.142044799999999</v>
      </c>
      <c r="AH2316">
        <v>0.49020810430574702</v>
      </c>
      <c r="AI2316">
        <v>105.69646437089099</v>
      </c>
      <c r="AJ2316">
        <v>75.889023188934402</v>
      </c>
      <c r="AK2316">
        <v>0.52503975129024005</v>
      </c>
      <c r="AL2316">
        <v>89.752893770059003</v>
      </c>
      <c r="AM2316">
        <v>95.831252200593198</v>
      </c>
      <c r="AN2316">
        <v>1.00000001283239</v>
      </c>
    </row>
    <row r="2317" spans="1:40" x14ac:dyDescent="0.25">
      <c r="A2317" t="str">
        <f>"20190305134945048"</f>
        <v>20190305134945048</v>
      </c>
      <c r="B2317" t="str">
        <f>"1551764985043318"</f>
        <v>1551764985043318</v>
      </c>
      <c r="C2317" t="s">
        <v>40</v>
      </c>
      <c r="D2317">
        <v>4.240901</v>
      </c>
      <c r="E2317">
        <v>0.5813429</v>
      </c>
      <c r="F2317" t="s">
        <v>80</v>
      </c>
      <c r="G2317">
        <v>-439.93509999999998</v>
      </c>
      <c r="H2317">
        <v>4.0223709999999997</v>
      </c>
      <c r="I2317">
        <v>300.18920000000003</v>
      </c>
      <c r="J2317">
        <v>-283.84840000000003</v>
      </c>
      <c r="K2317">
        <v>1.1069719999999901</v>
      </c>
      <c r="L2317">
        <v>284.96850000000001</v>
      </c>
      <c r="M2317">
        <v>-0.99989910000000004</v>
      </c>
      <c r="N2317">
        <v>-6.0543019999999897E-3</v>
      </c>
      <c r="O2317">
        <v>-1.2857779999999999E-2</v>
      </c>
      <c r="P2317">
        <v>-0.99346769999999995</v>
      </c>
      <c r="Q2317">
        <v>-2.04893E-3</v>
      </c>
      <c r="R2317">
        <v>-0.11409610000000001</v>
      </c>
      <c r="S2317">
        <v>-3.0545040000000001</v>
      </c>
      <c r="T2317">
        <v>5.695248E-2</v>
      </c>
      <c r="U2317">
        <v>0.29727170000000003</v>
      </c>
      <c r="V2317">
        <v>-0.1013015</v>
      </c>
      <c r="W2317">
        <v>4.254631E-3</v>
      </c>
      <c r="X2317">
        <v>0.99484669999999997</v>
      </c>
      <c r="Y2317">
        <v>0.1096377</v>
      </c>
      <c r="Z2317">
        <v>-1.0037570000000001E-3</v>
      </c>
      <c r="AA2317">
        <v>0.9939711</v>
      </c>
      <c r="AB2317">
        <v>55</v>
      </c>
      <c r="AC2317">
        <v>-156.08669999999901</v>
      </c>
      <c r="AD2317">
        <v>2.9153989999999999</v>
      </c>
      <c r="AE2317">
        <v>15.220700000000001</v>
      </c>
      <c r="AF2317">
        <v>17.220455665304701</v>
      </c>
      <c r="AG2317">
        <v>2.9153989999999999</v>
      </c>
      <c r="AH2317">
        <v>155.82423828556401</v>
      </c>
      <c r="AI2317">
        <v>88.934632048600804</v>
      </c>
      <c r="AJ2317">
        <v>83.693715697681199</v>
      </c>
      <c r="AK2317">
        <v>156.79999005716201</v>
      </c>
      <c r="AL2317">
        <v>89.756226871225095</v>
      </c>
      <c r="AM2317">
        <v>95.814174207738205</v>
      </c>
      <c r="AN2317">
        <v>1.00000002614404</v>
      </c>
    </row>
    <row r="2318" spans="1:40" x14ac:dyDescent="0.25">
      <c r="A2318" t="str">
        <f>"20190305134945061"</f>
        <v>20190305134945061</v>
      </c>
      <c r="B2318" t="str">
        <f>"1551764985053078"</f>
        <v>1551764985053078</v>
      </c>
      <c r="C2318" t="s">
        <v>40</v>
      </c>
      <c r="D2318">
        <v>3.918418</v>
      </c>
      <c r="E2318">
        <v>0.58306789999999997</v>
      </c>
      <c r="F2318" t="s">
        <v>80</v>
      </c>
      <c r="G2318">
        <v>-439.93509999999998</v>
      </c>
      <c r="H2318">
        <v>3.983711</v>
      </c>
      <c r="I2318">
        <v>300.30360000000002</v>
      </c>
      <c r="J2318">
        <v>-284.1943</v>
      </c>
      <c r="K2318">
        <v>1.1069230000000001</v>
      </c>
      <c r="L2318">
        <v>284.96429999999998</v>
      </c>
      <c r="M2318">
        <v>-0.99990699999999999</v>
      </c>
      <c r="N2318">
        <v>-6.2976219999999897E-3</v>
      </c>
      <c r="O2318">
        <v>-1.209987E-2</v>
      </c>
      <c r="P2318">
        <v>-0.99359109999999995</v>
      </c>
      <c r="Q2318">
        <v>-2.4485900000000001E-3</v>
      </c>
      <c r="R2318">
        <v>-0.1130091</v>
      </c>
      <c r="S2318">
        <v>-3.0543209999999998</v>
      </c>
      <c r="T2318">
        <v>5.629253E-2</v>
      </c>
      <c r="U2318">
        <v>0.30007929999999999</v>
      </c>
      <c r="V2318">
        <v>-0.10096620000000001</v>
      </c>
      <c r="W2318">
        <v>4.1192099999999999E-3</v>
      </c>
      <c r="X2318">
        <v>0.99488129999999997</v>
      </c>
      <c r="Y2318">
        <v>0.1097959</v>
      </c>
      <c r="Z2318">
        <v>-9.6118080000000001E-4</v>
      </c>
      <c r="AA2318">
        <v>0.99395370000000005</v>
      </c>
      <c r="AB2318">
        <v>55</v>
      </c>
      <c r="AC2318">
        <v>-155.74079999999901</v>
      </c>
      <c r="AD2318">
        <v>2.8767879999999999</v>
      </c>
      <c r="AE2318">
        <v>15.3393</v>
      </c>
      <c r="AF2318">
        <v>17.216839784787499</v>
      </c>
      <c r="AG2318">
        <v>2.8767879999999999</v>
      </c>
      <c r="AH2318">
        <v>155.49124703549001</v>
      </c>
      <c r="AI2318">
        <v>88.946512143854605</v>
      </c>
      <c r="AJ2318">
        <v>83.681635917540504</v>
      </c>
      <c r="AK2318">
        <v>156.46796281035799</v>
      </c>
      <c r="AL2318">
        <v>89.763985977842594</v>
      </c>
      <c r="AM2318">
        <v>95.794860771720494</v>
      </c>
      <c r="AN2318">
        <v>0.99999997126157603</v>
      </c>
    </row>
    <row r="2319" spans="1:40" x14ac:dyDescent="0.25">
      <c r="A2319" t="str">
        <f>"20190305134945074"</f>
        <v>20190305134945074</v>
      </c>
      <c r="B2319" t="str">
        <f>"1551764985062838"</f>
        <v>1551764985062838</v>
      </c>
      <c r="C2319" t="s">
        <v>40</v>
      </c>
      <c r="D2319">
        <v>4.2051669999999897</v>
      </c>
      <c r="E2319">
        <v>0.58306789999999997</v>
      </c>
      <c r="F2319" t="s">
        <v>80</v>
      </c>
      <c r="G2319">
        <v>-440.19869999999997</v>
      </c>
      <c r="H2319">
        <v>2.2453409999999998</v>
      </c>
      <c r="I2319">
        <v>301.22430000000003</v>
      </c>
      <c r="J2319">
        <v>-284.49200000000002</v>
      </c>
      <c r="K2319">
        <v>1.106886</v>
      </c>
      <c r="L2319">
        <v>284.96080000000001</v>
      </c>
      <c r="M2319">
        <v>-0.99991339999999995</v>
      </c>
      <c r="N2319">
        <v>-6.5264579999999997E-3</v>
      </c>
      <c r="O2319">
        <v>-1.1429740000000001E-2</v>
      </c>
      <c r="P2319">
        <v>-0.99372459999999996</v>
      </c>
      <c r="Q2319">
        <v>-2.929755E-3</v>
      </c>
      <c r="R2319">
        <v>-0.1118165</v>
      </c>
      <c r="S2319">
        <v>-3.055634</v>
      </c>
      <c r="T2319">
        <v>2.2298220000000001E-2</v>
      </c>
      <c r="U2319">
        <v>0.31848140000000003</v>
      </c>
      <c r="V2319">
        <v>-0.10043920000000001</v>
      </c>
      <c r="W2319">
        <v>3.8841309999999999E-3</v>
      </c>
      <c r="X2319">
        <v>0.99493560000000003</v>
      </c>
      <c r="Y2319">
        <v>0.1150263</v>
      </c>
      <c r="Z2319">
        <v>-1.9975759999999999E-4</v>
      </c>
      <c r="AA2319">
        <v>0.99336239999999998</v>
      </c>
      <c r="AB2319">
        <v>55</v>
      </c>
      <c r="AC2319">
        <v>-155.70669999999899</v>
      </c>
      <c r="AD2319">
        <v>1.13845499999999</v>
      </c>
      <c r="AE2319">
        <v>16.263500000000001</v>
      </c>
      <c r="AF2319">
        <v>18.041208512854698</v>
      </c>
      <c r="AG2319">
        <v>1.13845499999999</v>
      </c>
      <c r="AH2319">
        <v>155.50241380301301</v>
      </c>
      <c r="AI2319">
        <v>89.583331830140494</v>
      </c>
      <c r="AJ2319">
        <v>83.382197403625298</v>
      </c>
      <c r="AK2319">
        <v>156.54961508401999</v>
      </c>
      <c r="AL2319">
        <v>89.777455123437704</v>
      </c>
      <c r="AM2319">
        <v>95.764505843052206</v>
      </c>
      <c r="AN2319">
        <v>0.99999998375881205</v>
      </c>
    </row>
    <row r="2320" spans="1:40" x14ac:dyDescent="0.25">
      <c r="A2320" t="str">
        <f>"20190305134945092"</f>
        <v>20190305134945092</v>
      </c>
      <c r="B2320" t="str">
        <f>"1551764985083337"</f>
        <v>1551764985083337</v>
      </c>
      <c r="C2320" t="s">
        <v>40</v>
      </c>
      <c r="D2320">
        <v>4.1458360000000001</v>
      </c>
      <c r="E2320">
        <v>0.61109760000000002</v>
      </c>
      <c r="F2320" t="s">
        <v>80</v>
      </c>
      <c r="G2320">
        <v>-440.1986</v>
      </c>
      <c r="H2320">
        <v>2.165692</v>
      </c>
      <c r="I2320">
        <v>301.38459999999998</v>
      </c>
      <c r="J2320">
        <v>-284.94159999999999</v>
      </c>
      <c r="K2320">
        <v>1.1068370000000001</v>
      </c>
      <c r="L2320">
        <v>284.95600000000002</v>
      </c>
      <c r="M2320">
        <v>-0.99992230000000004</v>
      </c>
      <c r="N2320">
        <v>-6.9123659999999996E-3</v>
      </c>
      <c r="O2320">
        <v>-1.0379330000000001E-2</v>
      </c>
      <c r="P2320">
        <v>-0.99390880000000004</v>
      </c>
      <c r="Q2320">
        <v>-3.8391609999999998E-3</v>
      </c>
      <c r="R2320">
        <v>-0.1101399</v>
      </c>
      <c r="S2320">
        <v>-3.0552670000000002</v>
      </c>
      <c r="T2320">
        <v>2.0776030000000001E-2</v>
      </c>
      <c r="U2320">
        <v>0.32226559999999999</v>
      </c>
      <c r="V2320">
        <v>-9.9806480000000003E-2</v>
      </c>
      <c r="W2320">
        <v>3.3848860000000001E-3</v>
      </c>
      <c r="X2320">
        <v>0.99500109999999997</v>
      </c>
      <c r="Y2320">
        <v>0.1152125</v>
      </c>
      <c r="Z2320">
        <v>-1.332673E-4</v>
      </c>
      <c r="AA2320">
        <v>0.99334080000000002</v>
      </c>
      <c r="AB2320">
        <v>55</v>
      </c>
      <c r="AC2320">
        <v>-155.25700000000001</v>
      </c>
      <c r="AD2320">
        <v>1.0588550000000001</v>
      </c>
      <c r="AE2320">
        <v>16.428599999999999</v>
      </c>
      <c r="AF2320">
        <v>18.0383873246316</v>
      </c>
      <c r="AG2320">
        <v>1.0588550000000001</v>
      </c>
      <c r="AH2320">
        <v>155.07098160703299</v>
      </c>
      <c r="AI2320">
        <v>89.611399476954603</v>
      </c>
      <c r="AJ2320">
        <v>83.364978069326199</v>
      </c>
      <c r="AK2320">
        <v>156.120190647312</v>
      </c>
      <c r="AL2320">
        <v>89.806059945773995</v>
      </c>
      <c r="AM2320">
        <v>95.728059830263504</v>
      </c>
      <c r="AN2320">
        <v>0.99999998995221595</v>
      </c>
    </row>
    <row r="2321" spans="1:40" x14ac:dyDescent="0.25">
      <c r="A2321" t="str">
        <f>"20190305134945102"</f>
        <v>20190305134945102</v>
      </c>
      <c r="B2321" t="str">
        <f>"1551764985093094"</f>
        <v>1551764985093094</v>
      </c>
      <c r="C2321" t="s">
        <v>40</v>
      </c>
      <c r="D2321">
        <v>4.1756760000000002</v>
      </c>
      <c r="E2321">
        <v>0.61125560000000001</v>
      </c>
      <c r="F2321" t="s">
        <v>41</v>
      </c>
      <c r="G2321">
        <v>-286.01580000000001</v>
      </c>
      <c r="H2321">
        <v>0.83987449999999997</v>
      </c>
      <c r="I2321">
        <v>285.16030000000001</v>
      </c>
      <c r="J2321">
        <v>-285.21660000000003</v>
      </c>
      <c r="K2321">
        <v>1.1068070000000001</v>
      </c>
      <c r="L2321">
        <v>284.95339999999999</v>
      </c>
      <c r="M2321">
        <v>-0.99992720000000002</v>
      </c>
      <c r="N2321">
        <v>-7.1665080000000003E-3</v>
      </c>
      <c r="O2321">
        <v>-9.7153780000000002E-3</v>
      </c>
      <c r="P2321">
        <v>-0.9940116</v>
      </c>
      <c r="Q2321">
        <v>-4.1796860000000002E-3</v>
      </c>
      <c r="R2321">
        <v>-0.1091955</v>
      </c>
      <c r="S2321">
        <v>-3.0802</v>
      </c>
      <c r="T2321">
        <v>-0.76543019999999995</v>
      </c>
      <c r="U2321">
        <v>0.58465579999999995</v>
      </c>
      <c r="V2321">
        <v>-9.9521349999999995E-2</v>
      </c>
      <c r="W2321">
        <v>3.3124069999999999E-3</v>
      </c>
      <c r="X2321">
        <v>0.99502990000000002</v>
      </c>
      <c r="Y2321">
        <v>0.18999530000000001</v>
      </c>
      <c r="Z2321">
        <v>2.604391E-2</v>
      </c>
      <c r="AA2321">
        <v>0.98143950000000002</v>
      </c>
      <c r="AB2321">
        <v>55</v>
      </c>
      <c r="AC2321">
        <v>-0.79919999999998403</v>
      </c>
      <c r="AD2321">
        <v>-0.26693249999999902</v>
      </c>
      <c r="AE2321">
        <v>0.20690000000001799</v>
      </c>
      <c r="AF2321">
        <v>0.19433723887996501</v>
      </c>
      <c r="AG2321">
        <v>-0.26693249999999902</v>
      </c>
      <c r="AH2321">
        <v>0.72169931970926005</v>
      </c>
      <c r="AI2321">
        <v>109.653926919754</v>
      </c>
      <c r="AJ2321">
        <v>74.929026434323603</v>
      </c>
      <c r="AK2321">
        <v>0.79364338971640602</v>
      </c>
      <c r="AL2321">
        <v>89.810212709251999</v>
      </c>
      <c r="AM2321">
        <v>95.711639873137798</v>
      </c>
      <c r="AN2321">
        <v>0.99999998651998301</v>
      </c>
    </row>
    <row r="2322" spans="1:40" x14ac:dyDescent="0.25">
      <c r="A2322" t="str">
        <f>"20190305134945115"</f>
        <v>20190305134945115</v>
      </c>
      <c r="B2322" t="str">
        <f>"1551764985102854"</f>
        <v>1551764985102854</v>
      </c>
      <c r="C2322" t="s">
        <v>40</v>
      </c>
      <c r="D2322">
        <v>4.1686779999999999</v>
      </c>
      <c r="E2322">
        <v>0.61172869999999901</v>
      </c>
      <c r="F2322" t="s">
        <v>41</v>
      </c>
      <c r="G2322">
        <v>-286.03899999999999</v>
      </c>
      <c r="H2322">
        <v>0.90264440000000001</v>
      </c>
      <c r="I2322">
        <v>285.11099999999999</v>
      </c>
      <c r="J2322">
        <v>-285.49810000000002</v>
      </c>
      <c r="K2322">
        <v>1.1067830000000001</v>
      </c>
      <c r="L2322">
        <v>284.95080000000002</v>
      </c>
      <c r="M2322">
        <v>-0.99993169999999998</v>
      </c>
      <c r="N2322">
        <v>-7.4324430000000004E-3</v>
      </c>
      <c r="O2322">
        <v>-9.0272579999999998E-3</v>
      </c>
      <c r="P2322">
        <v>-0.99408790000000002</v>
      </c>
      <c r="Q2322">
        <v>-4.4488269999999998E-3</v>
      </c>
      <c r="R2322">
        <v>-0.1084874</v>
      </c>
      <c r="S2322">
        <v>-3.0795590000000002</v>
      </c>
      <c r="T2322">
        <v>-0.76449639999999996</v>
      </c>
      <c r="U2322">
        <v>0.58883669999999899</v>
      </c>
      <c r="V2322">
        <v>-9.9497150000000006E-2</v>
      </c>
      <c r="W2322">
        <v>3.3238510000000001E-3</v>
      </c>
      <c r="X2322">
        <v>0.99503229999999998</v>
      </c>
      <c r="Y2322">
        <v>0.19065099999999999</v>
      </c>
      <c r="Z2322">
        <v>2.5959289999999999E-2</v>
      </c>
      <c r="AA2322">
        <v>0.98131460000000004</v>
      </c>
      <c r="AB2322">
        <v>55</v>
      </c>
      <c r="AC2322">
        <v>-0.54089999999996496</v>
      </c>
      <c r="AD2322">
        <v>-0.2041386</v>
      </c>
      <c r="AE2322">
        <v>0.160199999999974</v>
      </c>
      <c r="AF2322">
        <v>0.14596286445265799</v>
      </c>
      <c r="AG2322">
        <v>-0.2041386</v>
      </c>
      <c r="AH2322">
        <v>0.47697296343899398</v>
      </c>
      <c r="AI2322">
        <v>112.257014562824</v>
      </c>
      <c r="AJ2322">
        <v>72.984885629180795</v>
      </c>
      <c r="AK2322">
        <v>0.538962831428069</v>
      </c>
      <c r="AL2322">
        <v>89.809557016146201</v>
      </c>
      <c r="AM2322">
        <v>95.710246506083095</v>
      </c>
      <c r="AN2322">
        <v>1.0000000044434401</v>
      </c>
    </row>
    <row r="2323" spans="1:40" x14ac:dyDescent="0.25">
      <c r="A2323" t="str">
        <f>"20190305134945127"</f>
        <v>20190305134945127</v>
      </c>
      <c r="B2323" t="str">
        <f>"1551764985112614"</f>
        <v>1551764985112614</v>
      </c>
      <c r="C2323" t="s">
        <v>40</v>
      </c>
      <c r="D2323">
        <v>3.8531119999999999</v>
      </c>
      <c r="E2323">
        <v>0.61172869999999901</v>
      </c>
      <c r="F2323" t="s">
        <v>41</v>
      </c>
      <c r="G2323">
        <v>-286.51229999999998</v>
      </c>
      <c r="H2323">
        <v>0.85524</v>
      </c>
      <c r="I2323">
        <v>285.14690000000002</v>
      </c>
      <c r="J2323">
        <v>-285.79270000000002</v>
      </c>
      <c r="K2323">
        <v>1.106762</v>
      </c>
      <c r="L2323">
        <v>284.94839999999999</v>
      </c>
      <c r="M2323">
        <v>-0.99993580000000004</v>
      </c>
      <c r="N2323">
        <v>-7.7182969999999998E-3</v>
      </c>
      <c r="O2323">
        <v>-8.2960329999999995E-3</v>
      </c>
      <c r="P2323">
        <v>-0.99416570000000004</v>
      </c>
      <c r="Q2323">
        <v>-4.8617549999999997E-3</v>
      </c>
      <c r="R2323">
        <v>-0.1077533</v>
      </c>
      <c r="S2323">
        <v>-3.0793149999999998</v>
      </c>
      <c r="T2323">
        <v>-0.76375590000000004</v>
      </c>
      <c r="U2323">
        <v>0.594696</v>
      </c>
      <c r="V2323">
        <v>-9.9490079999999995E-2</v>
      </c>
      <c r="W2323">
        <v>3.2103639999999998E-3</v>
      </c>
      <c r="X2323">
        <v>0.99503339999999996</v>
      </c>
      <c r="Y2323">
        <v>0.191743</v>
      </c>
      <c r="Z2323">
        <v>2.5923499999999999E-2</v>
      </c>
      <c r="AA2323">
        <v>0.98110280000000005</v>
      </c>
      <c r="AB2323">
        <v>55</v>
      </c>
      <c r="AC2323">
        <v>-0.71959999999995705</v>
      </c>
      <c r="AD2323">
        <v>-0.25152199999999902</v>
      </c>
      <c r="AE2323">
        <v>0.19850000000002399</v>
      </c>
      <c r="AF2323">
        <v>0.18361670526262699</v>
      </c>
      <c r="AG2323">
        <v>-0.25152199999999902</v>
      </c>
      <c r="AH2323">
        <v>0.64473054270383301</v>
      </c>
      <c r="AI2323">
        <v>110.566099858814</v>
      </c>
      <c r="AJ2323">
        <v>74.103256818942</v>
      </c>
      <c r="AK2323">
        <v>0.71599991873650504</v>
      </c>
      <c r="AL2323">
        <v>89.816059380695293</v>
      </c>
      <c r="AM2323">
        <v>95.709837162041495</v>
      </c>
      <c r="AN2323">
        <v>1.0000000247854799</v>
      </c>
    </row>
    <row r="2324" spans="1:40" x14ac:dyDescent="0.25">
      <c r="A2324" t="str">
        <f>"20190305134945139"</f>
        <v>20190305134945139</v>
      </c>
      <c r="B2324" t="str">
        <f>"1551764985132640"</f>
        <v>1551764985132640</v>
      </c>
      <c r="C2324" t="s">
        <v>40</v>
      </c>
      <c r="D2324">
        <v>3.793825</v>
      </c>
      <c r="E2324">
        <v>0.59665760000000001</v>
      </c>
      <c r="F2324" t="s">
        <v>41</v>
      </c>
      <c r="G2324">
        <v>-286.53710000000001</v>
      </c>
      <c r="H2324">
        <v>0.92183409999999999</v>
      </c>
      <c r="I2324">
        <v>285.09300000000002</v>
      </c>
      <c r="J2324">
        <v>-286.08620000000002</v>
      </c>
      <c r="K2324">
        <v>1.106757</v>
      </c>
      <c r="L2324">
        <v>284.94619999999998</v>
      </c>
      <c r="M2324">
        <v>-0.99993920000000003</v>
      </c>
      <c r="N2324">
        <v>-8.0358419999999996E-3</v>
      </c>
      <c r="O2324">
        <v>-7.5597829999999996E-3</v>
      </c>
      <c r="P2324">
        <v>-0.99425669999999999</v>
      </c>
      <c r="Q2324">
        <v>-5.156379E-3</v>
      </c>
      <c r="R2324">
        <v>-0.1068986</v>
      </c>
      <c r="S2324">
        <v>-3.0786129999999998</v>
      </c>
      <c r="T2324">
        <v>-0.76483559999999995</v>
      </c>
      <c r="U2324">
        <v>0.59722900000000001</v>
      </c>
      <c r="V2324">
        <v>-9.936623E-2</v>
      </c>
      <c r="W2324">
        <v>3.2451730000000001E-3</v>
      </c>
      <c r="X2324">
        <v>0.99504570000000003</v>
      </c>
      <c r="Y2324">
        <v>0.19183359999999999</v>
      </c>
      <c r="Z2324">
        <v>2.5828980000000001E-2</v>
      </c>
      <c r="AA2324">
        <v>0.9810875</v>
      </c>
      <c r="AB2324">
        <v>55</v>
      </c>
      <c r="AC2324">
        <v>-0.45089999999998998</v>
      </c>
      <c r="AD2324">
        <v>-0.1849229</v>
      </c>
      <c r="AE2324">
        <v>0.14680000000004101</v>
      </c>
      <c r="AF2324">
        <v>0.13037709767959699</v>
      </c>
      <c r="AG2324">
        <v>-0.1849229</v>
      </c>
      <c r="AH2324">
        <v>0.39040516184698798</v>
      </c>
      <c r="AI2324">
        <v>114.19335494843</v>
      </c>
      <c r="AJ2324">
        <v>71.533087067199503</v>
      </c>
      <c r="AK2324">
        <v>0.45123259738247901</v>
      </c>
      <c r="AL2324">
        <v>89.814064968476401</v>
      </c>
      <c r="AM2324">
        <v>95.702706135005798</v>
      </c>
      <c r="AN2324">
        <v>1.00000006195034</v>
      </c>
    </row>
    <row r="2325" spans="1:40" x14ac:dyDescent="0.25">
      <c r="A2325" t="str">
        <f>"20190305134945152"</f>
        <v>20190305134945152</v>
      </c>
      <c r="B2325" t="str">
        <f>"1551764985143377"</f>
        <v>1551764985143377</v>
      </c>
      <c r="C2325" t="s">
        <v>40</v>
      </c>
      <c r="D2325">
        <v>3.8964400000000001</v>
      </c>
      <c r="E2325">
        <v>0.59665760000000001</v>
      </c>
      <c r="F2325" t="s">
        <v>74</v>
      </c>
      <c r="G2325">
        <v>-331.76249999999999</v>
      </c>
      <c r="H2325">
        <v>8.0000230000000006E-2</v>
      </c>
      <c r="I2325">
        <v>291.63560000000001</v>
      </c>
      <c r="J2325">
        <v>-286.40410000000003</v>
      </c>
      <c r="K2325">
        <v>1.1067549999999999</v>
      </c>
      <c r="L2325">
        <v>284.94389999999999</v>
      </c>
      <c r="M2325">
        <v>-0.99994190000000005</v>
      </c>
      <c r="N2325">
        <v>-8.3986489999999994E-3</v>
      </c>
      <c r="O2325">
        <v>-6.758549E-3</v>
      </c>
      <c r="P2325">
        <v>-0.99431780000000003</v>
      </c>
      <c r="Q2325">
        <v>-5.416784E-3</v>
      </c>
      <c r="R2325">
        <v>-0.10631500000000001</v>
      </c>
      <c r="S2325">
        <v>-3.0652469999999998</v>
      </c>
      <c r="T2325">
        <v>-6.8903679999999995E-2</v>
      </c>
      <c r="U2325">
        <v>0.44891360000000002</v>
      </c>
      <c r="V2325">
        <v>-9.9579219999999996E-2</v>
      </c>
      <c r="W2325">
        <v>3.3610440000000001E-3</v>
      </c>
      <c r="X2325">
        <v>0.99502400000000002</v>
      </c>
      <c r="Y2325">
        <v>0.1515387</v>
      </c>
      <c r="Z2325">
        <v>2.4284950000000001E-3</v>
      </c>
      <c r="AA2325">
        <v>0.98844829999999995</v>
      </c>
      <c r="AB2325">
        <v>55</v>
      </c>
      <c r="AC2325">
        <v>-45.358399999999897</v>
      </c>
      <c r="AD2325">
        <v>-1.0267547699999999</v>
      </c>
      <c r="AE2325">
        <v>6.6917000000000204</v>
      </c>
      <c r="AF2325">
        <v>6.9946071705517001</v>
      </c>
      <c r="AG2325">
        <v>-1.0267547699999999</v>
      </c>
      <c r="AH2325">
        <v>45.289423757341503</v>
      </c>
      <c r="AI2325">
        <v>91.2835158109297</v>
      </c>
      <c r="AJ2325">
        <v>81.220468384656598</v>
      </c>
      <c r="AK2325">
        <v>45.837873631966197</v>
      </c>
      <c r="AL2325">
        <v>89.807426009002896</v>
      </c>
      <c r="AM2325">
        <v>95.714972780234703</v>
      </c>
      <c r="AN2325">
        <v>1.00000003912428</v>
      </c>
    </row>
    <row r="2326" spans="1:40" x14ac:dyDescent="0.25">
      <c r="A2326" t="str">
        <f>"20190305134945162"</f>
        <v>20190305134945162</v>
      </c>
      <c r="B2326" t="str">
        <f>"1551764985153137"</f>
        <v>1551764985153137</v>
      </c>
      <c r="C2326" t="s">
        <v>40</v>
      </c>
      <c r="D2326">
        <v>3.7831709999999998</v>
      </c>
      <c r="E2326">
        <v>0.59697279999999997</v>
      </c>
      <c r="F2326" t="s">
        <v>74</v>
      </c>
      <c r="G2326">
        <v>-331.45650000000001</v>
      </c>
      <c r="H2326">
        <v>8.0000139999999997E-2</v>
      </c>
      <c r="I2326">
        <v>291.56830000000002</v>
      </c>
      <c r="J2326">
        <v>-286.69130000000001</v>
      </c>
      <c r="K2326">
        <v>1.1067670000000001</v>
      </c>
      <c r="L2326">
        <v>284.94229999999999</v>
      </c>
      <c r="M2326">
        <v>-0.99994360000000004</v>
      </c>
      <c r="N2326">
        <v>-8.7630650000000004E-3</v>
      </c>
      <c r="O2326">
        <v>-6.0302539999999996E-3</v>
      </c>
      <c r="P2326">
        <v>-0.99439160000000004</v>
      </c>
      <c r="Q2326">
        <v>-5.4808169999999998E-3</v>
      </c>
      <c r="R2326">
        <v>-0.105620699999999</v>
      </c>
      <c r="S2326">
        <v>-3.0649109999999999</v>
      </c>
      <c r="T2326">
        <v>-6.9850090000000004E-2</v>
      </c>
      <c r="U2326">
        <v>0.45065309999999997</v>
      </c>
      <c r="V2326">
        <v>-9.9607119999999993E-2</v>
      </c>
      <c r="W2326">
        <v>3.6705090000000002E-3</v>
      </c>
      <c r="X2326">
        <v>0.99502009999999996</v>
      </c>
      <c r="Y2326">
        <v>0.15138180000000001</v>
      </c>
      <c r="Z2326">
        <v>2.466672E-3</v>
      </c>
      <c r="AA2326">
        <v>0.98847229999999997</v>
      </c>
      <c r="AB2326">
        <v>55</v>
      </c>
      <c r="AC2326">
        <v>-44.765199999999901</v>
      </c>
      <c r="AD2326">
        <v>-1.0267668599999999</v>
      </c>
      <c r="AE2326">
        <v>6.6260000000000296</v>
      </c>
      <c r="AF2326">
        <v>6.8922871127147696</v>
      </c>
      <c r="AG2326">
        <v>-1.0267668599999999</v>
      </c>
      <c r="AH2326">
        <v>44.701415102185699</v>
      </c>
      <c r="AI2326">
        <v>91.300459341082401</v>
      </c>
      <c r="AJ2326">
        <v>81.234873858167305</v>
      </c>
      <c r="AK2326">
        <v>45.241290697401702</v>
      </c>
      <c r="AL2326">
        <v>89.789694858705104</v>
      </c>
      <c r="AM2326">
        <v>95.716585649287595</v>
      </c>
      <c r="AN2326">
        <v>1.0000000251975101</v>
      </c>
    </row>
    <row r="2327" spans="1:40" x14ac:dyDescent="0.25">
      <c r="A2327" t="str">
        <f>"20190305134945182"</f>
        <v>20190305134945182</v>
      </c>
      <c r="B2327" t="str">
        <f>"1551764985172656"</f>
        <v>1551764985172656</v>
      </c>
      <c r="C2327" t="s">
        <v>40</v>
      </c>
      <c r="D2327">
        <v>3.855791</v>
      </c>
      <c r="E2327">
        <v>0.62178020000000001</v>
      </c>
      <c r="F2327" t="s">
        <v>74</v>
      </c>
      <c r="G2327">
        <v>-338.05990000000003</v>
      </c>
      <c r="H2327">
        <v>8.0000559999999998E-2</v>
      </c>
      <c r="I2327">
        <v>292.56689999999998</v>
      </c>
      <c r="J2327">
        <v>-287.15519999999998</v>
      </c>
      <c r="K2327">
        <v>1.1067929999999999</v>
      </c>
      <c r="L2327">
        <v>284.93990000000002</v>
      </c>
      <c r="M2327">
        <v>-0.99994450000000001</v>
      </c>
      <c r="N2327">
        <v>-9.3648310000000005E-3</v>
      </c>
      <c r="O2327">
        <v>-4.8437339999999997E-3</v>
      </c>
      <c r="P2327">
        <v>-0.99448110000000001</v>
      </c>
      <c r="Q2327">
        <v>-5.4411249999999998E-3</v>
      </c>
      <c r="R2327">
        <v>-0.10477649999999999</v>
      </c>
      <c r="S2327">
        <v>-3.0649109999999999</v>
      </c>
      <c r="T2327">
        <v>-6.1262009999999999E-2</v>
      </c>
      <c r="U2327">
        <v>0.45492549999999998</v>
      </c>
      <c r="V2327">
        <v>-9.9939929999999996E-2</v>
      </c>
      <c r="W2327">
        <v>4.3256789999999998E-3</v>
      </c>
      <c r="X2327">
        <v>0.99498410000000004</v>
      </c>
      <c r="Y2327">
        <v>0.15156739999999999</v>
      </c>
      <c r="Z2327">
        <v>2.2712460000000002E-3</v>
      </c>
      <c r="AA2327">
        <v>0.98844430000000005</v>
      </c>
      <c r="AB2327">
        <v>55</v>
      </c>
      <c r="AC2327">
        <v>-50.904699999999998</v>
      </c>
      <c r="AD2327">
        <v>-1.0267924399999999</v>
      </c>
      <c r="AE2327">
        <v>7.62699999999995</v>
      </c>
      <c r="AF2327">
        <v>7.8703582774745504</v>
      </c>
      <c r="AG2327">
        <v>-1.0267924399999999</v>
      </c>
      <c r="AH2327">
        <v>50.846924432033902</v>
      </c>
      <c r="AI2327">
        <v>91.143251515400294</v>
      </c>
      <c r="AJ2327">
        <v>81.201278192118707</v>
      </c>
      <c r="AK2327">
        <v>51.462671581716599</v>
      </c>
      <c r="AL2327">
        <v>89.752156084325605</v>
      </c>
      <c r="AM2327">
        <v>95.735765060270097</v>
      </c>
      <c r="AN2327">
        <v>1.00000003018001</v>
      </c>
    </row>
    <row r="2328" spans="1:40" x14ac:dyDescent="0.25">
      <c r="A2328" t="str">
        <f>"20190305134945197"</f>
        <v>20190305134945197</v>
      </c>
      <c r="B2328" t="str">
        <f>"1551764985193154"</f>
        <v>1551764985193154</v>
      </c>
      <c r="C2328" t="s">
        <v>40</v>
      </c>
      <c r="D2328">
        <v>3.745323</v>
      </c>
      <c r="E2328">
        <v>0.59936429999999996</v>
      </c>
      <c r="F2328" t="s">
        <v>41</v>
      </c>
      <c r="G2328">
        <v>-288.01319999999998</v>
      </c>
      <c r="H2328">
        <v>0.92855350000000003</v>
      </c>
      <c r="I2328">
        <v>285.12970000000001</v>
      </c>
      <c r="J2328">
        <v>-287.51049999999998</v>
      </c>
      <c r="K2328">
        <v>1.106816</v>
      </c>
      <c r="L2328">
        <v>284.93860000000001</v>
      </c>
      <c r="M2328">
        <v>-0.99994419999999995</v>
      </c>
      <c r="N2328">
        <v>-9.8198360000000002E-3</v>
      </c>
      <c r="O2328">
        <v>-3.9258829999999998E-3</v>
      </c>
      <c r="P2328">
        <v>-0.99453659999999999</v>
      </c>
      <c r="Q2328">
        <v>-5.8300180000000002E-3</v>
      </c>
      <c r="R2328">
        <v>-0.1042269</v>
      </c>
      <c r="S2328">
        <v>-3.0848080000000002</v>
      </c>
      <c r="T2328">
        <v>-0.64080380000000003</v>
      </c>
      <c r="U2328">
        <v>0.68057250000000002</v>
      </c>
      <c r="V2328">
        <v>-0.1003028</v>
      </c>
      <c r="W2328">
        <v>4.4010179999999996E-3</v>
      </c>
      <c r="X2328">
        <v>0.99494720000000003</v>
      </c>
      <c r="Y2328">
        <v>0.21460899999999999</v>
      </c>
      <c r="Z2328">
        <v>2.3638159999999998E-2</v>
      </c>
      <c r="AA2328">
        <v>0.976414</v>
      </c>
      <c r="AB2328">
        <v>55</v>
      </c>
      <c r="AC2328">
        <v>-0.50270000000000403</v>
      </c>
      <c r="AD2328">
        <v>-0.17826249999999999</v>
      </c>
      <c r="AE2328">
        <v>0.19110000000000499</v>
      </c>
      <c r="AF2328">
        <v>0.17395914942949101</v>
      </c>
      <c r="AG2328">
        <v>-0.17826249999999999</v>
      </c>
      <c r="AH2328">
        <v>0.45225615195162999</v>
      </c>
      <c r="AI2328">
        <v>110.197865641828</v>
      </c>
      <c r="AJ2328">
        <v>68.960891422227903</v>
      </c>
      <c r="AK2328">
        <v>0.51630894971381003</v>
      </c>
      <c r="AL2328">
        <v>89.747839422896604</v>
      </c>
      <c r="AM2328">
        <v>95.756663387283496</v>
      </c>
      <c r="AN2328">
        <v>0.99999997571755705</v>
      </c>
    </row>
    <row r="2329" spans="1:40" x14ac:dyDescent="0.25">
      <c r="A2329" t="str">
        <f>"20190305134945214"</f>
        <v>20190305134945214</v>
      </c>
      <c r="B2329" t="str">
        <f>"1551764985202913"</f>
        <v>1551764985202913</v>
      </c>
      <c r="C2329" t="s">
        <v>40</v>
      </c>
      <c r="D2329">
        <v>4.1296350000000004</v>
      </c>
      <c r="E2329">
        <v>0.59936429999999996</v>
      </c>
      <c r="F2329" t="s">
        <v>43</v>
      </c>
      <c r="G2329">
        <v>-377.2869</v>
      </c>
      <c r="H2329">
        <v>-0.05</v>
      </c>
      <c r="I2329">
        <v>298.91160000000002</v>
      </c>
      <c r="J2329">
        <v>-287.93630000000002</v>
      </c>
      <c r="K2329">
        <v>1.1068370000000001</v>
      </c>
      <c r="L2329">
        <v>284.93740000000003</v>
      </c>
      <c r="M2329">
        <v>-0.99994269999999996</v>
      </c>
      <c r="N2329">
        <v>-1.034037E-2</v>
      </c>
      <c r="O2329">
        <v>-2.8164549999999998E-3</v>
      </c>
      <c r="P2329">
        <v>-0.99456509999999998</v>
      </c>
      <c r="Q2329">
        <v>-6.1042900000000001E-3</v>
      </c>
      <c r="R2329">
        <v>-0.103939</v>
      </c>
      <c r="S2329">
        <v>-3.0662229999999999</v>
      </c>
      <c r="T2329">
        <v>-3.9509889999999999E-2</v>
      </c>
      <c r="U2329">
        <v>0.47723389999999999</v>
      </c>
      <c r="V2329">
        <v>-0.10111630000000001</v>
      </c>
      <c r="W2329">
        <v>4.658985E-3</v>
      </c>
      <c r="X2329">
        <v>0.99486370000000002</v>
      </c>
      <c r="Y2329">
        <v>0.15654999999999999</v>
      </c>
      <c r="Z2329">
        <v>1.823982E-3</v>
      </c>
      <c r="AA2329">
        <v>0.98766830000000005</v>
      </c>
      <c r="AB2329">
        <v>55</v>
      </c>
      <c r="AC2329">
        <v>-89.350599999999901</v>
      </c>
      <c r="AD2329">
        <v>-1.1568369999999999</v>
      </c>
      <c r="AE2329">
        <v>13.9741999999999</v>
      </c>
      <c r="AF2329">
        <v>14.223482593349299</v>
      </c>
      <c r="AG2329">
        <v>-1.1568369999999999</v>
      </c>
      <c r="AH2329">
        <v>89.296274513640796</v>
      </c>
      <c r="AI2329">
        <v>90.732988497835706</v>
      </c>
      <c r="AJ2329">
        <v>80.949718061259105</v>
      </c>
      <c r="AK2329">
        <v>90.429366750759598</v>
      </c>
      <c r="AL2329">
        <v>89.733058856147295</v>
      </c>
      <c r="AM2329">
        <v>95.803518829534397</v>
      </c>
      <c r="AN2329">
        <v>0.99999999692230501</v>
      </c>
    </row>
    <row r="2330" spans="1:40" x14ac:dyDescent="0.25">
      <c r="A2330" t="str">
        <f>"20190305134945227"</f>
        <v>20190305134945227</v>
      </c>
      <c r="B2330" t="str">
        <f>"1551764985222433"</f>
        <v>1551764985222433</v>
      </c>
      <c r="C2330" t="s">
        <v>40</v>
      </c>
      <c r="D2330">
        <v>3.8038910000000001</v>
      </c>
      <c r="E2330">
        <v>0.62574169999999996</v>
      </c>
      <c r="F2330" t="s">
        <v>43</v>
      </c>
      <c r="G2330">
        <v>-376.28480000000002</v>
      </c>
      <c r="H2330">
        <v>-0.05</v>
      </c>
      <c r="I2330">
        <v>298.71339999999998</v>
      </c>
      <c r="J2330">
        <v>-288.25670000000002</v>
      </c>
      <c r="K2330">
        <v>1.1068469999999999</v>
      </c>
      <c r="L2330">
        <v>284.93669999999997</v>
      </c>
      <c r="M2330">
        <v>-0.99994079999999996</v>
      </c>
      <c r="N2330">
        <v>-1.0707319999999999E-2</v>
      </c>
      <c r="O2330">
        <v>-1.9774800000000002E-3</v>
      </c>
      <c r="P2330">
        <v>-0.99462119999999998</v>
      </c>
      <c r="Q2330">
        <v>-6.0652830000000003E-3</v>
      </c>
      <c r="R2330">
        <v>-0.10340299999999999</v>
      </c>
      <c r="S2330">
        <v>-3.066071</v>
      </c>
      <c r="T2330">
        <v>-4.0147189999999999E-2</v>
      </c>
      <c r="U2330">
        <v>0.47808840000000002</v>
      </c>
      <c r="V2330">
        <v>-0.10141260000000001</v>
      </c>
      <c r="W2330">
        <v>5.0719199999999997E-3</v>
      </c>
      <c r="X2330">
        <v>0.99483149999999998</v>
      </c>
      <c r="Y2330">
        <v>0.15599669999999999</v>
      </c>
      <c r="Z2330">
        <v>1.8600839999999999E-3</v>
      </c>
      <c r="AA2330">
        <v>0.98775579999999996</v>
      </c>
      <c r="AB2330">
        <v>55</v>
      </c>
      <c r="AC2330">
        <v>-88.028099999999995</v>
      </c>
      <c r="AD2330">
        <v>-1.156847</v>
      </c>
      <c r="AE2330">
        <v>13.7767</v>
      </c>
      <c r="AF2330">
        <v>13.948405443294901</v>
      </c>
      <c r="AG2330">
        <v>-1.156847</v>
      </c>
      <c r="AH2330">
        <v>87.985850707909293</v>
      </c>
      <c r="AI2330">
        <v>90.743997468769606</v>
      </c>
      <c r="AJ2330">
        <v>80.991858902321098</v>
      </c>
      <c r="AK2330">
        <v>89.092122178037997</v>
      </c>
      <c r="AL2330">
        <v>89.709399137242499</v>
      </c>
      <c r="AM2330">
        <v>95.820595328954596</v>
      </c>
      <c r="AN2330">
        <v>0.999999976601747</v>
      </c>
    </row>
    <row r="2331" spans="1:40" x14ac:dyDescent="0.25">
      <c r="A2331" t="str">
        <f>"20190305134945239"</f>
        <v>20190305134945239</v>
      </c>
      <c r="B2331" t="str">
        <f>"1551764985232701"</f>
        <v>1551764985232701</v>
      </c>
      <c r="C2331" t="s">
        <v>40</v>
      </c>
      <c r="D2331">
        <v>3.748221</v>
      </c>
      <c r="E2331">
        <v>0.62574169999999996</v>
      </c>
      <c r="F2331" t="s">
        <v>41</v>
      </c>
      <c r="G2331">
        <v>-289.00360000000001</v>
      </c>
      <c r="H2331">
        <v>0.95743080000000003</v>
      </c>
      <c r="I2331">
        <v>285.11009999999999</v>
      </c>
      <c r="J2331">
        <v>-288.553</v>
      </c>
      <c r="K2331">
        <v>1.1068530000000001</v>
      </c>
      <c r="L2331">
        <v>284.93650000000002</v>
      </c>
      <c r="M2331">
        <v>-0.99993849999999995</v>
      </c>
      <c r="N2331">
        <v>-1.1020810000000001E-2</v>
      </c>
      <c r="O2331">
        <v>-1.2001760000000001E-3</v>
      </c>
      <c r="P2331">
        <v>-0.99468190000000001</v>
      </c>
      <c r="Q2331">
        <v>-6.3519659999999997E-3</v>
      </c>
      <c r="R2331">
        <v>-0.1027967</v>
      </c>
      <c r="S2331">
        <v>-3.0868229999999999</v>
      </c>
      <c r="T2331">
        <v>-0.61751080000000003</v>
      </c>
      <c r="U2331">
        <v>0.71524049999999995</v>
      </c>
      <c r="V2331">
        <v>-0.10157960000000001</v>
      </c>
      <c r="W2331">
        <v>5.1043449999999997E-3</v>
      </c>
      <c r="X2331">
        <v>0.99481430000000004</v>
      </c>
      <c r="Y2331">
        <v>0.2224467</v>
      </c>
      <c r="Z2331">
        <v>2.322749E-2</v>
      </c>
      <c r="AA2331">
        <v>0.97466810000000004</v>
      </c>
      <c r="AB2331">
        <v>55</v>
      </c>
      <c r="AC2331">
        <v>-0.45060000000000799</v>
      </c>
      <c r="AD2331">
        <v>-0.14942219999999901</v>
      </c>
      <c r="AE2331">
        <v>0.17359999999996401</v>
      </c>
      <c r="AF2331">
        <v>0.15892359224757999</v>
      </c>
      <c r="AG2331">
        <v>-0.14942219999999901</v>
      </c>
      <c r="AH2331">
        <v>0.41103430916692202</v>
      </c>
      <c r="AI2331">
        <v>108.730036930471</v>
      </c>
      <c r="AJ2331">
        <v>68.8613483027912</v>
      </c>
      <c r="AK2331">
        <v>0.465330963227296</v>
      </c>
      <c r="AL2331">
        <v>89.707541298633203</v>
      </c>
      <c r="AM2331">
        <v>95.830214460214194</v>
      </c>
      <c r="AN2331">
        <v>0.99999998047926397</v>
      </c>
    </row>
    <row r="2332" spans="1:40" x14ac:dyDescent="0.25">
      <c r="A2332" t="str">
        <f>"20190305134945252"</f>
        <v>20190305134945252</v>
      </c>
      <c r="B2332" t="str">
        <f>"1551764985242462"</f>
        <v>1551764985242462</v>
      </c>
      <c r="C2332" t="s">
        <v>40</v>
      </c>
      <c r="D2332">
        <v>3.7878069999999999</v>
      </c>
      <c r="E2332">
        <v>0.62749739999999998</v>
      </c>
      <c r="F2332" t="s">
        <v>41</v>
      </c>
      <c r="G2332">
        <v>-289.47840000000002</v>
      </c>
      <c r="H2332">
        <v>0.92135880000000003</v>
      </c>
      <c r="I2332">
        <v>285.1515</v>
      </c>
      <c r="J2332">
        <v>-288.85399999999998</v>
      </c>
      <c r="K2332">
        <v>1.106859</v>
      </c>
      <c r="L2332">
        <v>284.93639999999999</v>
      </c>
      <c r="M2332">
        <v>-0.99993589999999999</v>
      </c>
      <c r="N2332">
        <v>-1.132794E-2</v>
      </c>
      <c r="O2332">
        <v>-4.1025700000000003E-4</v>
      </c>
      <c r="P2332">
        <v>-0.99472280000000002</v>
      </c>
      <c r="Q2332">
        <v>-6.3077009999999998E-3</v>
      </c>
      <c r="R2332">
        <v>-0.1024067</v>
      </c>
      <c r="S2332">
        <v>-3.086182</v>
      </c>
      <c r="T2332">
        <v>-0.61865789999999998</v>
      </c>
      <c r="U2332">
        <v>0.71685790000000005</v>
      </c>
      <c r="V2332">
        <v>-0.1019731</v>
      </c>
      <c r="W2332">
        <v>5.4614919999999897E-3</v>
      </c>
      <c r="X2332">
        <v>0.99477210000000005</v>
      </c>
      <c r="Y2332">
        <v>0.22220100000000001</v>
      </c>
      <c r="Z2332">
        <v>2.3133890000000001E-2</v>
      </c>
      <c r="AA2332">
        <v>0.97472639999999999</v>
      </c>
      <c r="AB2332">
        <v>55</v>
      </c>
      <c r="AC2332">
        <v>-0.62439999999997997</v>
      </c>
      <c r="AD2332">
        <v>-0.1855002</v>
      </c>
      <c r="AE2332">
        <v>0.21510000000000601</v>
      </c>
      <c r="AF2332">
        <v>0.19960774665437001</v>
      </c>
      <c r="AG2332">
        <v>-0.1855002</v>
      </c>
      <c r="AH2332">
        <v>0.57865746283394004</v>
      </c>
      <c r="AI2332">
        <v>106.85926281124701</v>
      </c>
      <c r="AJ2332">
        <v>70.968138604329596</v>
      </c>
      <c r="AK2332">
        <v>0.63960772041767</v>
      </c>
      <c r="AL2332">
        <v>89.6870779828743</v>
      </c>
      <c r="AM2332">
        <v>95.852889676767703</v>
      </c>
      <c r="AN2332">
        <v>0.99999993597844095</v>
      </c>
    </row>
    <row r="2333" spans="1:40" x14ac:dyDescent="0.25">
      <c r="A2333" t="str">
        <f>"20190305134945262"</f>
        <v>20190305134945262</v>
      </c>
      <c r="B2333" t="str">
        <f>"1551764985253198"</f>
        <v>1551764985253198</v>
      </c>
      <c r="C2333" t="s">
        <v>40</v>
      </c>
      <c r="D2333">
        <v>3.7847840000000001</v>
      </c>
      <c r="E2333">
        <v>0.6284689</v>
      </c>
      <c r="F2333" t="s">
        <v>78</v>
      </c>
      <c r="G2333">
        <v>-294.49290000000002</v>
      </c>
      <c r="H2333" s="1">
        <v>2.857986E-6</v>
      </c>
      <c r="I2333">
        <v>286.27190000000002</v>
      </c>
      <c r="J2333">
        <v>-289.13670000000002</v>
      </c>
      <c r="K2333">
        <v>1.1068629999999999</v>
      </c>
      <c r="L2333">
        <v>284.9366</v>
      </c>
      <c r="M2333">
        <v>-0.99993279999999995</v>
      </c>
      <c r="N2333">
        <v>-1.1593320000000001E-2</v>
      </c>
      <c r="O2333">
        <v>3.318641E-4</v>
      </c>
      <c r="P2333">
        <v>-0.99478599999999995</v>
      </c>
      <c r="Q2333">
        <v>-5.8682819999999998E-3</v>
      </c>
      <c r="R2333">
        <v>-0.1018164</v>
      </c>
      <c r="S2333">
        <v>-3.0873110000000001</v>
      </c>
      <c r="T2333">
        <v>-0.60600659999999995</v>
      </c>
      <c r="U2333">
        <v>0.73117069999999995</v>
      </c>
      <c r="V2333">
        <v>-0.10211729999999999</v>
      </c>
      <c r="W2333">
        <v>6.1700599999999998E-3</v>
      </c>
      <c r="X2333">
        <v>0.9947532</v>
      </c>
      <c r="Y2333">
        <v>0.22580040000000001</v>
      </c>
      <c r="Z2333">
        <v>2.2939689999999999E-2</v>
      </c>
      <c r="AA2333">
        <v>0.97390350000000003</v>
      </c>
      <c r="AB2333">
        <v>55</v>
      </c>
      <c r="AC2333">
        <v>-5.3562000000000003</v>
      </c>
      <c r="AD2333">
        <v>-1.1068601420139901</v>
      </c>
      <c r="AE2333">
        <v>1.3353000000000099</v>
      </c>
      <c r="AF2333">
        <v>1.28197959483178</v>
      </c>
      <c r="AG2333">
        <v>-1.1068601420139901</v>
      </c>
      <c r="AH2333">
        <v>5.14960040812612</v>
      </c>
      <c r="AI2333">
        <v>101.781555088782</v>
      </c>
      <c r="AJ2333">
        <v>76.020532889026995</v>
      </c>
      <c r="AK2333">
        <v>5.4209773490503501</v>
      </c>
      <c r="AL2333">
        <v>89.646479349227107</v>
      </c>
      <c r="AM2333">
        <v>95.861219244253803</v>
      </c>
      <c r="AN2333">
        <v>0.99999997075496605</v>
      </c>
    </row>
    <row r="2334" spans="1:40" x14ac:dyDescent="0.25">
      <c r="A2334" t="str">
        <f>"20190305134945275"</f>
        <v>20190305134945275</v>
      </c>
      <c r="B2334" t="str">
        <f>"1551764985262957"</f>
        <v>1551764985262957</v>
      </c>
      <c r="C2334" t="s">
        <v>40</v>
      </c>
      <c r="D2334">
        <v>3.7225679999999999</v>
      </c>
      <c r="E2334">
        <v>0.6284689</v>
      </c>
      <c r="F2334" t="s">
        <v>41</v>
      </c>
      <c r="G2334">
        <v>-289.97570000000002</v>
      </c>
      <c r="H2334">
        <v>0.94451680000000005</v>
      </c>
      <c r="I2334">
        <v>285.13819999999998</v>
      </c>
      <c r="J2334">
        <v>-289.4205</v>
      </c>
      <c r="K2334">
        <v>1.1068639999999901</v>
      </c>
      <c r="L2334">
        <v>284.93700000000001</v>
      </c>
      <c r="M2334">
        <v>-0.99992919999999996</v>
      </c>
      <c r="N2334">
        <v>-1.184788E-2</v>
      </c>
      <c r="O2334">
        <v>1.0778539999999901E-3</v>
      </c>
      <c r="P2334">
        <v>-0.99482890000000002</v>
      </c>
      <c r="Q2334">
        <v>-5.7816019999999899E-3</v>
      </c>
      <c r="R2334">
        <v>-0.1014008</v>
      </c>
      <c r="S2334">
        <v>-3.0879819999999998</v>
      </c>
      <c r="T2334">
        <v>-0.59750769999999997</v>
      </c>
      <c r="U2334">
        <v>0.74041749999999995</v>
      </c>
      <c r="V2334">
        <v>-0.10244159999999999</v>
      </c>
      <c r="W2334">
        <v>6.5157599999999998E-3</v>
      </c>
      <c r="X2334">
        <v>0.99471770000000004</v>
      </c>
      <c r="Y2334">
        <v>0.22787460000000001</v>
      </c>
      <c r="Z2334">
        <v>2.2736490000000002E-2</v>
      </c>
      <c r="AA2334">
        <v>0.97342499999999998</v>
      </c>
      <c r="AB2334">
        <v>55</v>
      </c>
      <c r="AC2334">
        <v>-0.55520000000001302</v>
      </c>
      <c r="AD2334">
        <v>-0.162347199999999</v>
      </c>
      <c r="AE2334">
        <v>0.20119999999997101</v>
      </c>
      <c r="AF2334">
        <v>0.186505484537343</v>
      </c>
      <c r="AG2334">
        <v>-0.162347199999999</v>
      </c>
      <c r="AH2334">
        <v>0.51638834784463805</v>
      </c>
      <c r="AI2334">
        <v>106.472667033802</v>
      </c>
      <c r="AJ2334">
        <v>70.1416531182348</v>
      </c>
      <c r="AK2334">
        <v>0.57253631753807899</v>
      </c>
      <c r="AL2334">
        <v>89.626671817355302</v>
      </c>
      <c r="AM2334">
        <v>95.879911234348796</v>
      </c>
      <c r="AN2334">
        <v>1.0000000196161101</v>
      </c>
    </row>
    <row r="2335" spans="1:40" x14ac:dyDescent="0.25">
      <c r="A2335" t="str">
        <f>"20190305134945292"</f>
        <v>20190305134945292</v>
      </c>
      <c r="B2335" t="str">
        <f>"1551764985282481"</f>
        <v>1551764985282481</v>
      </c>
      <c r="C2335" t="s">
        <v>40</v>
      </c>
      <c r="D2335">
        <v>3.7730049999999999</v>
      </c>
      <c r="E2335">
        <v>0.62697609999999904</v>
      </c>
      <c r="F2335" t="s">
        <v>41</v>
      </c>
      <c r="G2335">
        <v>-290.45339999999999</v>
      </c>
      <c r="H2335">
        <v>0.90699280000000004</v>
      </c>
      <c r="I2335">
        <v>285.18520000000001</v>
      </c>
      <c r="J2335">
        <v>-289.84179999999998</v>
      </c>
      <c r="K2335">
        <v>1.1068690000000001</v>
      </c>
      <c r="L2335">
        <v>284.93790000000001</v>
      </c>
      <c r="M2335">
        <v>-0.99992320000000001</v>
      </c>
      <c r="N2335">
        <v>-1.219928E-2</v>
      </c>
      <c r="O2335">
        <v>2.1861900000000002E-3</v>
      </c>
      <c r="P2335">
        <v>-0.99487619999999999</v>
      </c>
      <c r="Q2335">
        <v>-5.2307880000000001E-3</v>
      </c>
      <c r="R2335">
        <v>-0.100967</v>
      </c>
      <c r="S2335">
        <v>-3.0876769999999998</v>
      </c>
      <c r="T2335">
        <v>-0.59749909999999995</v>
      </c>
      <c r="U2335">
        <v>0.74151610000000001</v>
      </c>
      <c r="V2335">
        <v>-0.1031059</v>
      </c>
      <c r="W2335">
        <v>7.423636E-3</v>
      </c>
      <c r="X2335">
        <v>0.99464269999999999</v>
      </c>
      <c r="Y2335">
        <v>0.22716819999999999</v>
      </c>
      <c r="Z2335">
        <v>2.251121E-2</v>
      </c>
      <c r="AA2335">
        <v>0.97359530000000005</v>
      </c>
      <c r="AB2335">
        <v>55</v>
      </c>
      <c r="AC2335">
        <v>-0.61160000000000903</v>
      </c>
      <c r="AD2335">
        <v>-0.1998762</v>
      </c>
      <c r="AE2335">
        <v>0.247299999999995</v>
      </c>
      <c r="AF2335">
        <v>0.22528232856078201</v>
      </c>
      <c r="AG2335">
        <v>-0.1998762</v>
      </c>
      <c r="AH2335">
        <v>0.560672044889858</v>
      </c>
      <c r="AI2335">
        <v>108.30368555544401</v>
      </c>
      <c r="AJ2335">
        <v>68.109360068393201</v>
      </c>
      <c r="AK2335">
        <v>0.63643991453175097</v>
      </c>
      <c r="AL2335">
        <v>89.574653089666995</v>
      </c>
      <c r="AM2335">
        <v>95.9182138481994</v>
      </c>
      <c r="AN2335">
        <v>1.00000001882478</v>
      </c>
    </row>
    <row r="2336" spans="1:40" x14ac:dyDescent="0.25">
      <c r="A2336" t="str">
        <f>"20190305134945305"</f>
        <v>20190305134945305</v>
      </c>
      <c r="B2336" t="str">
        <f>"1551764985293214"</f>
        <v>1551764985293214</v>
      </c>
      <c r="C2336" t="s">
        <v>40</v>
      </c>
      <c r="D2336">
        <v>3.6956880000000001</v>
      </c>
      <c r="E2336">
        <v>0.62697609999999904</v>
      </c>
      <c r="F2336" t="s">
        <v>78</v>
      </c>
      <c r="G2336">
        <v>-295.44979999999998</v>
      </c>
      <c r="H2336" s="1">
        <v>3.028129E-6</v>
      </c>
      <c r="I2336">
        <v>286.2672</v>
      </c>
      <c r="J2336">
        <v>-290.17430000000002</v>
      </c>
      <c r="K2336">
        <v>1.106876</v>
      </c>
      <c r="L2336">
        <v>284.93900000000002</v>
      </c>
      <c r="M2336">
        <v>-0.99991790000000003</v>
      </c>
      <c r="N2336">
        <v>-1.2452639999999999E-2</v>
      </c>
      <c r="O2336">
        <v>3.063681E-3</v>
      </c>
      <c r="P2336">
        <v>-0.9949675</v>
      </c>
      <c r="Q2336">
        <v>-5.2526219999999898E-3</v>
      </c>
      <c r="R2336">
        <v>-0.1000621</v>
      </c>
      <c r="S2336">
        <v>-3.0865170000000002</v>
      </c>
      <c r="T2336">
        <v>-0.60919990000000002</v>
      </c>
      <c r="U2336">
        <v>0.73159790000000002</v>
      </c>
      <c r="V2336">
        <v>-0.103073</v>
      </c>
      <c r="W2336">
        <v>7.6572790000000003E-3</v>
      </c>
      <c r="X2336">
        <v>0.99464430000000004</v>
      </c>
      <c r="Y2336">
        <v>0.22335189999999999</v>
      </c>
      <c r="Z2336">
        <v>2.241083E-2</v>
      </c>
      <c r="AA2336">
        <v>0.97448020000000002</v>
      </c>
      <c r="AB2336">
        <v>55</v>
      </c>
      <c r="AC2336">
        <v>-5.2754999999999601</v>
      </c>
      <c r="AD2336">
        <v>-1.106872971871</v>
      </c>
      <c r="AE2336">
        <v>1.3281999999999801</v>
      </c>
      <c r="AF2336">
        <v>1.2598740823074399</v>
      </c>
      <c r="AG2336">
        <v>-1.106872971871</v>
      </c>
      <c r="AH2336">
        <v>5.0696716120348801</v>
      </c>
      <c r="AI2336">
        <v>101.96331248694</v>
      </c>
      <c r="AJ2336">
        <v>76.044027226892993</v>
      </c>
      <c r="AK2336">
        <v>5.3398521265107002</v>
      </c>
      <c r="AL2336">
        <v>89.561265934619598</v>
      </c>
      <c r="AM2336">
        <v>95.916329356501194</v>
      </c>
      <c r="AN2336">
        <v>0.999999980386586</v>
      </c>
    </row>
    <row r="2337" spans="1:40" x14ac:dyDescent="0.25">
      <c r="A2337" t="str">
        <f>"20190305134945318"</f>
        <v>20190305134945318</v>
      </c>
      <c r="B2337" t="str">
        <f>"1551764985312734"</f>
        <v>1551764985312734</v>
      </c>
      <c r="C2337" t="s">
        <v>40</v>
      </c>
      <c r="D2337">
        <v>4.0151949999999896</v>
      </c>
      <c r="E2337">
        <v>0.62697360000000002</v>
      </c>
      <c r="F2337" t="s">
        <v>41</v>
      </c>
      <c r="G2337">
        <v>-290.95429999999999</v>
      </c>
      <c r="H2337">
        <v>0.95287060000000001</v>
      </c>
      <c r="I2337">
        <v>285.12509999999997</v>
      </c>
      <c r="J2337">
        <v>-290.45729999999998</v>
      </c>
      <c r="K2337">
        <v>1.1068800000000001</v>
      </c>
      <c r="L2337">
        <v>284.9402</v>
      </c>
      <c r="M2337">
        <v>-0.99991260000000004</v>
      </c>
      <c r="N2337">
        <v>-1.2653009999999999E-2</v>
      </c>
      <c r="O2337">
        <v>3.8129219999999998E-3</v>
      </c>
      <c r="P2337">
        <v>-0.995031</v>
      </c>
      <c r="Q2337">
        <v>-5.4264140000000001E-3</v>
      </c>
      <c r="R2337">
        <v>-9.9416669999999999E-2</v>
      </c>
      <c r="S2337">
        <v>-3.085785</v>
      </c>
      <c r="T2337">
        <v>-0.60938729999999997</v>
      </c>
      <c r="U2337">
        <v>0.73425289999999999</v>
      </c>
      <c r="V2337">
        <v>-0.1031725</v>
      </c>
      <c r="W2337">
        <v>7.6849359999999999E-3</v>
      </c>
      <c r="X2337">
        <v>0.99463380000000001</v>
      </c>
      <c r="Y2337">
        <v>0.22346969999999999</v>
      </c>
      <c r="Z2337">
        <v>2.2320429999999999E-2</v>
      </c>
      <c r="AA2337">
        <v>0.97445530000000002</v>
      </c>
      <c r="AB2337">
        <v>55</v>
      </c>
      <c r="AC2337">
        <v>-0.49700000000001399</v>
      </c>
      <c r="AD2337">
        <v>-0.15400939999999899</v>
      </c>
      <c r="AE2337">
        <v>0.18489999999997001</v>
      </c>
      <c r="AF2337">
        <v>0.168767948658815</v>
      </c>
      <c r="AG2337">
        <v>-0.15400939999999899</v>
      </c>
      <c r="AH2337">
        <v>0.45898609373708199</v>
      </c>
      <c r="AI2337">
        <v>107.480673768405</v>
      </c>
      <c r="AJ2337">
        <v>69.811661043159006</v>
      </c>
      <c r="AK2337">
        <v>0.51270825039869405</v>
      </c>
      <c r="AL2337">
        <v>89.559681271429397</v>
      </c>
      <c r="AM2337">
        <v>95.922062100811104</v>
      </c>
      <c r="AN2337">
        <v>1.0000000095499999</v>
      </c>
    </row>
    <row r="2338" spans="1:40" x14ac:dyDescent="0.25">
      <c r="A2338" t="str">
        <f>"20190305134945330"</f>
        <v>20190305134945330</v>
      </c>
      <c r="B2338" t="str">
        <f>"1551764985322495"</f>
        <v>1551764985322495</v>
      </c>
      <c r="C2338" t="s">
        <v>40</v>
      </c>
      <c r="D2338">
        <v>3.7418939999999998</v>
      </c>
      <c r="E2338">
        <v>0.62807619999999997</v>
      </c>
      <c r="F2338" t="s">
        <v>41</v>
      </c>
      <c r="G2338">
        <v>-291.42590000000001</v>
      </c>
      <c r="H2338">
        <v>0.91249820000000004</v>
      </c>
      <c r="I2338">
        <v>285.17169999999999</v>
      </c>
      <c r="J2338">
        <v>-290.78859999999997</v>
      </c>
      <c r="K2338">
        <v>1.106886</v>
      </c>
      <c r="L2338">
        <v>284.9418</v>
      </c>
      <c r="M2338">
        <v>-0.99990610000000002</v>
      </c>
      <c r="N2338">
        <v>-1.28763E-2</v>
      </c>
      <c r="O2338">
        <v>4.6912710000000003E-3</v>
      </c>
      <c r="P2338">
        <v>-0.99510350000000003</v>
      </c>
      <c r="Q2338">
        <v>-5.1813909999999996E-3</v>
      </c>
      <c r="R2338">
        <v>-9.8701960000000005E-2</v>
      </c>
      <c r="S2338">
        <v>-3.0852360000000001</v>
      </c>
      <c r="T2338">
        <v>-0.61918960000000001</v>
      </c>
      <c r="U2338">
        <v>0.73678589999999999</v>
      </c>
      <c r="V2338">
        <v>-0.10332959999999999</v>
      </c>
      <c r="W2338">
        <v>8.1546039999999993E-3</v>
      </c>
      <c r="X2338">
        <v>0.99461379999999999</v>
      </c>
      <c r="Y2338">
        <v>0.2232894</v>
      </c>
      <c r="Z2338">
        <v>2.249785E-2</v>
      </c>
      <c r="AA2338">
        <v>0.97449249999999998</v>
      </c>
      <c r="AB2338">
        <v>54</v>
      </c>
      <c r="AC2338">
        <v>-0.63730000000003795</v>
      </c>
      <c r="AD2338">
        <v>-0.1943878</v>
      </c>
      <c r="AE2338">
        <v>0.229899999999986</v>
      </c>
      <c r="AF2338">
        <v>0.209648607515384</v>
      </c>
      <c r="AG2338">
        <v>-0.1943878</v>
      </c>
      <c r="AH2338">
        <v>0.58981625345449995</v>
      </c>
      <c r="AI2338">
        <v>107.251637546395</v>
      </c>
      <c r="AJ2338">
        <v>70.432379720937703</v>
      </c>
      <c r="AK2338">
        <v>0.65545584768242204</v>
      </c>
      <c r="AL2338">
        <v>89.532770455685593</v>
      </c>
      <c r="AM2338">
        <v>95.931133761616493</v>
      </c>
      <c r="AN2338">
        <v>1.00000005747649</v>
      </c>
    </row>
    <row r="2339" spans="1:40" x14ac:dyDescent="0.25">
      <c r="A2339" t="str">
        <f>"20190305134945343"</f>
        <v>20190305134945343</v>
      </c>
      <c r="B2339" t="str">
        <f>"1551764985332761"</f>
        <v>1551764985332761</v>
      </c>
      <c r="C2339" t="s">
        <v>40</v>
      </c>
      <c r="D2339">
        <v>3.7673909999999999</v>
      </c>
      <c r="E2339">
        <v>0.62904369999999998</v>
      </c>
      <c r="F2339" t="s">
        <v>78</v>
      </c>
      <c r="G2339">
        <v>-296.34100000000001</v>
      </c>
      <c r="H2339" s="1">
        <v>3.184494E-6</v>
      </c>
      <c r="I2339">
        <v>286.28680000000003</v>
      </c>
      <c r="J2339">
        <v>-291.09570000000002</v>
      </c>
      <c r="K2339">
        <v>1.106887</v>
      </c>
      <c r="L2339">
        <v>284.94369999999998</v>
      </c>
      <c r="M2339">
        <v>-0.9998996</v>
      </c>
      <c r="N2339">
        <v>-1.3062829999999999E-2</v>
      </c>
      <c r="O2339">
        <v>5.5084409999999898E-3</v>
      </c>
      <c r="P2339">
        <v>-0.99519539999999995</v>
      </c>
      <c r="Q2339">
        <v>-5.442133E-3</v>
      </c>
      <c r="R2339">
        <v>-9.7759600000000002E-2</v>
      </c>
      <c r="S2339">
        <v>-3.0857540000000001</v>
      </c>
      <c r="T2339">
        <v>-0.61515520000000001</v>
      </c>
      <c r="U2339">
        <v>0.74749759999999998</v>
      </c>
      <c r="V2339">
        <v>-0.10320020000000001</v>
      </c>
      <c r="W2339">
        <v>8.0802200000000008E-3</v>
      </c>
      <c r="X2339">
        <v>0.99462779999999995</v>
      </c>
      <c r="Y2339">
        <v>0.22567590000000001</v>
      </c>
      <c r="Z2339">
        <v>2.247453E-2</v>
      </c>
      <c r="AA2339">
        <v>0.97394320000000001</v>
      </c>
      <c r="AB2339">
        <v>54</v>
      </c>
      <c r="AC2339">
        <v>-5.2452999999999799</v>
      </c>
      <c r="AD2339">
        <v>-1.1068838155059999</v>
      </c>
      <c r="AE2339">
        <v>1.3431000000000399</v>
      </c>
      <c r="AF2339">
        <v>1.2614657603911601</v>
      </c>
      <c r="AG2339">
        <v>-1.1068838155059999</v>
      </c>
      <c r="AH2339">
        <v>5.0419126327753396</v>
      </c>
      <c r="AI2339">
        <v>102.022764470559</v>
      </c>
      <c r="AJ2339">
        <v>75.953194185715603</v>
      </c>
      <c r="AK2339">
        <v>5.31388470351098</v>
      </c>
      <c r="AL2339">
        <v>89.537032465868506</v>
      </c>
      <c r="AM2339">
        <v>95.923676245654704</v>
      </c>
      <c r="AN2339">
        <v>1.0000000158840601</v>
      </c>
    </row>
    <row r="2340" spans="1:40" x14ac:dyDescent="0.25">
      <c r="A2340" t="str">
        <f>"20190305134945362"</f>
        <v>20190305134945362</v>
      </c>
      <c r="B2340" t="str">
        <f>"1551764985353256"</f>
        <v>1551764985353256</v>
      </c>
      <c r="C2340" t="s">
        <v>40</v>
      </c>
      <c r="D2340">
        <v>4.0117180000000001</v>
      </c>
      <c r="E2340">
        <v>0.62816149999999904</v>
      </c>
      <c r="F2340" t="s">
        <v>41</v>
      </c>
      <c r="G2340">
        <v>-291.9239</v>
      </c>
      <c r="H2340">
        <v>0.94235990000000003</v>
      </c>
      <c r="I2340">
        <v>285.14729999999997</v>
      </c>
      <c r="J2340">
        <v>-291.5215</v>
      </c>
      <c r="K2340">
        <v>1.1068990000000001</v>
      </c>
      <c r="L2340">
        <v>284.94659999999999</v>
      </c>
      <c r="M2340">
        <v>-0.99988960000000005</v>
      </c>
      <c r="N2340">
        <v>-1.3302349999999999E-2</v>
      </c>
      <c r="O2340">
        <v>6.642635E-3</v>
      </c>
      <c r="P2340">
        <v>-0.99531199999999997</v>
      </c>
      <c r="Q2340">
        <v>-5.2698370000000003E-3</v>
      </c>
      <c r="R2340">
        <v>-9.6572740000000004E-2</v>
      </c>
      <c r="S2340">
        <v>-3.0856020000000002</v>
      </c>
      <c r="T2340">
        <v>-0.61301850000000002</v>
      </c>
      <c r="U2340">
        <v>0.75793459999999901</v>
      </c>
      <c r="V2340">
        <v>-0.1031406</v>
      </c>
      <c r="W2340">
        <v>8.4917159999999998E-3</v>
      </c>
      <c r="X2340">
        <v>0.99463049999999997</v>
      </c>
      <c r="Y2340">
        <v>0.2276976</v>
      </c>
      <c r="Z2340">
        <v>2.2430390000000001E-2</v>
      </c>
      <c r="AA2340">
        <v>0.97347349999999999</v>
      </c>
      <c r="AB2340">
        <v>54</v>
      </c>
      <c r="AC2340">
        <v>-0.40239999999999998</v>
      </c>
      <c r="AD2340">
        <v>-0.16453909999999999</v>
      </c>
      <c r="AE2340">
        <v>0.200699999999983</v>
      </c>
      <c r="AF2340">
        <v>0.174640026894919</v>
      </c>
      <c r="AG2340">
        <v>-0.16453909999999999</v>
      </c>
      <c r="AH2340">
        <v>0.356052974305965</v>
      </c>
      <c r="AI2340">
        <v>112.533505632908</v>
      </c>
      <c r="AJ2340">
        <v>63.872562553674499</v>
      </c>
      <c r="AK2340">
        <v>0.42935530151005802</v>
      </c>
      <c r="AL2340">
        <v>89.513454646398998</v>
      </c>
      <c r="AM2340">
        <v>95.920263562883093</v>
      </c>
      <c r="AN2340">
        <v>0.99999996206961606</v>
      </c>
    </row>
    <row r="2341" spans="1:40" x14ac:dyDescent="0.25">
      <c r="A2341" t="str">
        <f>"20190305134945375"</f>
        <v>20190305134945375</v>
      </c>
      <c r="B2341" t="str">
        <f>"1551764985363016"</f>
        <v>1551764985363016</v>
      </c>
      <c r="C2341" t="s">
        <v>40</v>
      </c>
      <c r="D2341">
        <v>4.0196430000000003</v>
      </c>
      <c r="E2341">
        <v>0.62744919999999904</v>
      </c>
      <c r="F2341" t="s">
        <v>41</v>
      </c>
      <c r="G2341">
        <v>-292.40480000000002</v>
      </c>
      <c r="H2341">
        <v>0.92863010000000001</v>
      </c>
      <c r="I2341">
        <v>285.1628</v>
      </c>
      <c r="J2341">
        <v>-291.86250000000001</v>
      </c>
      <c r="K2341">
        <v>1.1069089999999999</v>
      </c>
      <c r="L2341">
        <v>284.94920000000002</v>
      </c>
      <c r="M2341">
        <v>-0.99988089999999996</v>
      </c>
      <c r="N2341">
        <v>-1.3477940000000001E-2</v>
      </c>
      <c r="O2341">
        <v>7.5500150000000002E-3</v>
      </c>
      <c r="P2341">
        <v>-0.99542059999999999</v>
      </c>
      <c r="Q2341">
        <v>-5.2696339999999996E-3</v>
      </c>
      <c r="R2341">
        <v>-9.5448050000000006E-2</v>
      </c>
      <c r="S2341">
        <v>-3.0840450000000001</v>
      </c>
      <c r="T2341">
        <v>-0.62244449999999996</v>
      </c>
      <c r="U2341">
        <v>0.75500489999999998</v>
      </c>
      <c r="V2341">
        <v>-0.1029185</v>
      </c>
      <c r="W2341">
        <v>8.6657550000000007E-3</v>
      </c>
      <c r="X2341">
        <v>0.99465199999999998</v>
      </c>
      <c r="Y2341">
        <v>0.2259669</v>
      </c>
      <c r="Z2341">
        <v>2.2429350000000001E-2</v>
      </c>
      <c r="AA2341">
        <v>0.97387670000000004</v>
      </c>
      <c r="AB2341">
        <v>54</v>
      </c>
      <c r="AC2341">
        <v>-0.542300000000011</v>
      </c>
      <c r="AD2341">
        <v>-0.17827889999999999</v>
      </c>
      <c r="AE2341">
        <v>0.213599999999985</v>
      </c>
      <c r="AF2341">
        <v>0.19157552896871699</v>
      </c>
      <c r="AG2341">
        <v>-0.17827889999999999</v>
      </c>
      <c r="AH2341">
        <v>0.49736439503122698</v>
      </c>
      <c r="AI2341">
        <v>108.494660002543</v>
      </c>
      <c r="AJ2341">
        <v>68.934241699496894</v>
      </c>
      <c r="AK2341">
        <v>0.56201057901931994</v>
      </c>
      <c r="AL2341">
        <v>89.503482576381799</v>
      </c>
      <c r="AM2341">
        <v>95.907478502395804</v>
      </c>
      <c r="AN2341">
        <v>0.99999995702798405</v>
      </c>
    </row>
    <row r="2342" spans="1:40" x14ac:dyDescent="0.25">
      <c r="A2342" t="str">
        <f>"20190305134945394"</f>
        <v>20190305134945394</v>
      </c>
      <c r="B2342" t="str">
        <f>"1551764985382537"</f>
        <v>1551764985382537</v>
      </c>
      <c r="C2342" t="s">
        <v>40</v>
      </c>
      <c r="D2342">
        <v>4.0207509999999997</v>
      </c>
      <c r="E2342">
        <v>0.62692700000000001</v>
      </c>
      <c r="F2342" t="s">
        <v>41</v>
      </c>
      <c r="G2342">
        <v>-292.87990000000002</v>
      </c>
      <c r="H2342">
        <v>0.89848139999999999</v>
      </c>
      <c r="I2342">
        <v>285.1979</v>
      </c>
      <c r="J2342">
        <v>-292.30619999999999</v>
      </c>
      <c r="K2342">
        <v>1.1069249999999999</v>
      </c>
      <c r="L2342">
        <v>284.95319999999998</v>
      </c>
      <c r="M2342">
        <v>-0.99986839999999999</v>
      </c>
      <c r="N2342">
        <v>-1.3684760000000001E-2</v>
      </c>
      <c r="O2342">
        <v>8.7270260000000006E-3</v>
      </c>
      <c r="P2342">
        <v>-0.99557309999999999</v>
      </c>
      <c r="Q2342">
        <v>-4.6346490000000002E-3</v>
      </c>
      <c r="R2342">
        <v>-9.3877779999999994E-2</v>
      </c>
      <c r="S2342">
        <v>-3.0826720000000001</v>
      </c>
      <c r="T2342">
        <v>-0.63153709999999996</v>
      </c>
      <c r="U2342">
        <v>0.75311280000000003</v>
      </c>
      <c r="V2342">
        <v>-0.10251589999999999</v>
      </c>
      <c r="W2342">
        <v>9.5040009999999998E-3</v>
      </c>
      <c r="X2342">
        <v>0.99468590000000001</v>
      </c>
      <c r="Y2342">
        <v>0.22427759999999999</v>
      </c>
      <c r="Z2342">
        <v>2.2362980000000001E-2</v>
      </c>
      <c r="AA2342">
        <v>0.97426869999999999</v>
      </c>
      <c r="AB2342">
        <v>54</v>
      </c>
      <c r="AC2342">
        <v>-0.57370000000002996</v>
      </c>
      <c r="AD2342">
        <v>-0.20844359999999901</v>
      </c>
      <c r="AE2342">
        <v>0.24470000000002301</v>
      </c>
      <c r="AF2342">
        <v>0.215602720281172</v>
      </c>
      <c r="AG2342">
        <v>-0.20844359999999901</v>
      </c>
      <c r="AH2342">
        <v>0.51796233007995396</v>
      </c>
      <c r="AI2342">
        <v>110.38147085558801</v>
      </c>
      <c r="AJ2342">
        <v>67.400394867481097</v>
      </c>
      <c r="AK2342">
        <v>0.59851336054883197</v>
      </c>
      <c r="AL2342">
        <v>89.455452622288007</v>
      </c>
      <c r="AM2342">
        <v>95.8843327665424</v>
      </c>
      <c r="AN2342">
        <v>0.99999993772331197</v>
      </c>
    </row>
    <row r="2343" spans="1:40" x14ac:dyDescent="0.25">
      <c r="A2343" t="str">
        <f>"20190305134945408"</f>
        <v>20190305134945408</v>
      </c>
      <c r="B2343" t="str">
        <f>"1551764985403032"</f>
        <v>1551764985403032</v>
      </c>
      <c r="C2343" t="s">
        <v>40</v>
      </c>
      <c r="D2343">
        <v>3.762346</v>
      </c>
      <c r="E2343">
        <v>0.62787130000000002</v>
      </c>
      <c r="F2343" t="s">
        <v>41</v>
      </c>
      <c r="G2343">
        <v>-293.36399999999998</v>
      </c>
      <c r="H2343">
        <v>0.88754650000000002</v>
      </c>
      <c r="I2343">
        <v>285.21210000000002</v>
      </c>
      <c r="J2343">
        <v>-292.66860000000003</v>
      </c>
      <c r="K2343">
        <v>1.1069420000000001</v>
      </c>
      <c r="L2343">
        <v>284.95679999999999</v>
      </c>
      <c r="M2343">
        <v>-0.99985740000000001</v>
      </c>
      <c r="N2343">
        <v>-1.3837779999999999E-2</v>
      </c>
      <c r="O2343">
        <v>9.681785E-3</v>
      </c>
      <c r="P2343">
        <v>-0.99570919999999896</v>
      </c>
      <c r="Q2343">
        <v>-4.3736030000000002E-3</v>
      </c>
      <c r="R2343">
        <v>-9.2435459999999997E-2</v>
      </c>
      <c r="S2343">
        <v>-3.0814819999999998</v>
      </c>
      <c r="T2343">
        <v>-0.6390209</v>
      </c>
      <c r="U2343">
        <v>0.75411989999999995</v>
      </c>
      <c r="V2343">
        <v>-0.10202269999999999</v>
      </c>
      <c r="W2343">
        <v>9.9150169999999999E-3</v>
      </c>
      <c r="X2343">
        <v>0.99473270000000003</v>
      </c>
      <c r="Y2343">
        <v>0.22365499999999999</v>
      </c>
      <c r="Z2343">
        <v>2.238182E-2</v>
      </c>
      <c r="AA2343">
        <v>0.97441140000000004</v>
      </c>
      <c r="AB2343">
        <v>54</v>
      </c>
      <c r="AC2343">
        <v>-0.69540000000000601</v>
      </c>
      <c r="AD2343">
        <v>-0.21939549999999999</v>
      </c>
      <c r="AE2343">
        <v>0.255300000000033</v>
      </c>
      <c r="AF2343">
        <v>0.22851085759152101</v>
      </c>
      <c r="AG2343">
        <v>-0.21939549999999999</v>
      </c>
      <c r="AH2343">
        <v>0.641564596090477</v>
      </c>
      <c r="AI2343">
        <v>107.856104428804</v>
      </c>
      <c r="AJ2343">
        <v>70.3952462301271</v>
      </c>
      <c r="AK2343">
        <v>0.71551151522124301</v>
      </c>
      <c r="AL2343">
        <v>89.431902087455995</v>
      </c>
      <c r="AM2343">
        <v>95.855947085921898</v>
      </c>
      <c r="AN2343">
        <v>1.0000000416633399</v>
      </c>
    </row>
    <row r="2344" spans="1:40" x14ac:dyDescent="0.25">
      <c r="A2344" t="str">
        <f>"20190305134945427"</f>
        <v>20190305134945427</v>
      </c>
      <c r="B2344" t="str">
        <f>"1551764985422553"</f>
        <v>1551764985422553</v>
      </c>
      <c r="C2344" t="s">
        <v>40</v>
      </c>
      <c r="D2344">
        <v>4.073353</v>
      </c>
      <c r="E2344">
        <v>0.62658469999999999</v>
      </c>
      <c r="F2344" t="s">
        <v>41</v>
      </c>
      <c r="G2344">
        <v>-293.38850000000002</v>
      </c>
      <c r="H2344">
        <v>0.95834850000000005</v>
      </c>
      <c r="I2344">
        <v>285.13580000000002</v>
      </c>
      <c r="J2344">
        <v>-293.12360000000001</v>
      </c>
      <c r="K2344">
        <v>1.106968</v>
      </c>
      <c r="L2344">
        <v>284.96179999999998</v>
      </c>
      <c r="M2344">
        <v>-0.99984280000000003</v>
      </c>
      <c r="N2344">
        <v>-1.400851E-2</v>
      </c>
      <c r="O2344">
        <v>1.0865079999999999E-2</v>
      </c>
      <c r="P2344">
        <v>-0.99586300000000005</v>
      </c>
      <c r="Q2344">
        <v>-3.4006370000000002E-3</v>
      </c>
      <c r="R2344">
        <v>-9.0802350000000004E-2</v>
      </c>
      <c r="S2344">
        <v>-3.0812379999999999</v>
      </c>
      <c r="T2344">
        <v>-0.63602419999999904</v>
      </c>
      <c r="U2344">
        <v>0.76580809999999999</v>
      </c>
      <c r="V2344">
        <v>-0.1015633</v>
      </c>
      <c r="W2344">
        <v>1.1053159999999999E-2</v>
      </c>
      <c r="X2344">
        <v>0.99476770000000003</v>
      </c>
      <c r="Y2344">
        <v>0.22601599999999999</v>
      </c>
      <c r="Z2344">
        <v>2.233388E-2</v>
      </c>
      <c r="AA2344">
        <v>0.9738675</v>
      </c>
      <c r="AB2344">
        <v>54</v>
      </c>
      <c r="AC2344">
        <v>-0.26490000000001102</v>
      </c>
      <c r="AD2344">
        <v>-0.14861949999999899</v>
      </c>
      <c r="AE2344">
        <v>0.17400000000003499</v>
      </c>
      <c r="AF2344">
        <v>0.140267520789253</v>
      </c>
      <c r="AG2344">
        <v>-0.14861949999999899</v>
      </c>
      <c r="AH2344">
        <v>0.21868737471272001</v>
      </c>
      <c r="AI2344">
        <v>119.771298142734</v>
      </c>
      <c r="AJ2344">
        <v>57.323620469081398</v>
      </c>
      <c r="AK2344">
        <v>0.299310709844061</v>
      </c>
      <c r="AL2344">
        <v>89.366687702580805</v>
      </c>
      <c r="AM2344">
        <v>95.8295565491254</v>
      </c>
      <c r="AN2344">
        <v>1.00000002660808</v>
      </c>
    </row>
    <row r="2345" spans="1:40" x14ac:dyDescent="0.25">
      <c r="A2345" t="str">
        <f>"20190305134945440"</f>
        <v>20190305134945440</v>
      </c>
      <c r="B2345" t="str">
        <f>"1551764985432821"</f>
        <v>1551764985432821</v>
      </c>
      <c r="C2345" t="s">
        <v>40</v>
      </c>
      <c r="D2345">
        <v>3.8007919999999999</v>
      </c>
      <c r="E2345">
        <v>0.62717659999999997</v>
      </c>
      <c r="F2345" t="s">
        <v>41</v>
      </c>
      <c r="G2345">
        <v>-293.87009999999998</v>
      </c>
      <c r="H2345">
        <v>0.95064499999999996</v>
      </c>
      <c r="I2345">
        <v>285.14659999999998</v>
      </c>
      <c r="J2345">
        <v>-293.45269999999999</v>
      </c>
      <c r="K2345">
        <v>1.1069929999999999</v>
      </c>
      <c r="L2345">
        <v>284.9658</v>
      </c>
      <c r="M2345">
        <v>-0.9998319</v>
      </c>
      <c r="N2345">
        <v>-1.411885E-2</v>
      </c>
      <c r="O2345">
        <v>1.1702250000000001E-2</v>
      </c>
      <c r="P2345">
        <v>-0.99593869999999896</v>
      </c>
      <c r="Q2345">
        <v>-2.9860360000000001E-3</v>
      </c>
      <c r="R2345">
        <v>-8.9984590000000003E-2</v>
      </c>
      <c r="S2345">
        <v>-3.07959</v>
      </c>
      <c r="T2345">
        <v>-0.64486089999999996</v>
      </c>
      <c r="U2345">
        <v>0.7611694</v>
      </c>
      <c r="V2345">
        <v>-0.101576899999999</v>
      </c>
      <c r="W2345">
        <v>1.157384E-2</v>
      </c>
      <c r="X2345">
        <v>0.99476030000000004</v>
      </c>
      <c r="Y2345">
        <v>0.22387009999999999</v>
      </c>
      <c r="Z2345">
        <v>2.224831E-2</v>
      </c>
      <c r="AA2345">
        <v>0.97436500000000004</v>
      </c>
      <c r="AB2345">
        <v>54</v>
      </c>
      <c r="AC2345">
        <v>-0.417399999999986</v>
      </c>
      <c r="AD2345">
        <v>-0.15634799999999999</v>
      </c>
      <c r="AE2345">
        <v>0.18079999999997601</v>
      </c>
      <c r="AF2345">
        <v>0.15731703683776699</v>
      </c>
      <c r="AG2345">
        <v>-0.15634799999999999</v>
      </c>
      <c r="AH2345">
        <v>0.37516505697426999</v>
      </c>
      <c r="AI2345">
        <v>111.022928144373</v>
      </c>
      <c r="AJ2345">
        <v>67.250354315183898</v>
      </c>
      <c r="AK2345">
        <v>0.43582355048565502</v>
      </c>
      <c r="AL2345">
        <v>89.336852968003896</v>
      </c>
      <c r="AM2345">
        <v>95.8303748611239</v>
      </c>
      <c r="AN2345">
        <v>0.999999937421021</v>
      </c>
    </row>
    <row r="2346" spans="1:40" x14ac:dyDescent="0.25">
      <c r="A2346" t="str">
        <f>"20190305134945454"</f>
        <v>20190305134945454</v>
      </c>
      <c r="B2346" t="str">
        <f>"1551764985442580"</f>
        <v>1551764985442580</v>
      </c>
      <c r="C2346" t="s">
        <v>40</v>
      </c>
      <c r="D2346">
        <v>3.801634</v>
      </c>
      <c r="E2346">
        <v>0.62787939999999998</v>
      </c>
      <c r="F2346" t="s">
        <v>41</v>
      </c>
      <c r="G2346">
        <v>-294.34359999999998</v>
      </c>
      <c r="H2346">
        <v>0.92190229999999995</v>
      </c>
      <c r="I2346">
        <v>285.18799999999999</v>
      </c>
      <c r="J2346">
        <v>-293.77050000000003</v>
      </c>
      <c r="K2346">
        <v>1.10702099999999</v>
      </c>
      <c r="L2346">
        <v>284.96980000000002</v>
      </c>
      <c r="M2346">
        <v>-0.99982090000000001</v>
      </c>
      <c r="N2346">
        <v>-1.4218730000000001E-2</v>
      </c>
      <c r="O2346">
        <v>1.249746E-2</v>
      </c>
      <c r="P2346">
        <v>-0.99604110000000001</v>
      </c>
      <c r="Q2346">
        <v>-2.7213929999999999E-3</v>
      </c>
      <c r="R2346">
        <v>-8.8855530000000002E-2</v>
      </c>
      <c r="S2346">
        <v>-3.0797119999999998</v>
      </c>
      <c r="T2346">
        <v>-0.63989940000000001</v>
      </c>
      <c r="U2346">
        <v>0.76797490000000002</v>
      </c>
      <c r="V2346">
        <v>-0.1012392</v>
      </c>
      <c r="W2346">
        <v>1.193287E-2</v>
      </c>
      <c r="X2346">
        <v>0.99479059999999997</v>
      </c>
      <c r="Y2346">
        <v>0.22517000000000001</v>
      </c>
      <c r="Z2346">
        <v>2.2092049999999998E-2</v>
      </c>
      <c r="AA2346">
        <v>0.97406899999999996</v>
      </c>
      <c r="AB2346">
        <v>54</v>
      </c>
      <c r="AC2346">
        <v>-0.57309999999995398</v>
      </c>
      <c r="AD2346">
        <v>-0.185118699999999</v>
      </c>
      <c r="AE2346">
        <v>0.218199999999967</v>
      </c>
      <c r="AF2346">
        <v>0.193396226275176</v>
      </c>
      <c r="AG2346">
        <v>-0.185118699999999</v>
      </c>
      <c r="AH2346">
        <v>0.52769494174482001</v>
      </c>
      <c r="AI2346">
        <v>108.230965491315</v>
      </c>
      <c r="AJ2346">
        <v>69.872494620325</v>
      </c>
      <c r="AK2346">
        <v>0.59172036044928999</v>
      </c>
      <c r="AL2346">
        <v>89.316280721212095</v>
      </c>
      <c r="AM2346">
        <v>95.810948429631694</v>
      </c>
      <c r="AN2346">
        <v>1.0000000534257101</v>
      </c>
    </row>
    <row r="2347" spans="1:40" x14ac:dyDescent="0.25">
      <c r="A2347" t="str">
        <f>"20190305134945473"</f>
        <v>20190305134945473</v>
      </c>
      <c r="B2347" t="str">
        <f>"1551764985463076"</f>
        <v>1551764985463076</v>
      </c>
      <c r="C2347" t="s">
        <v>40</v>
      </c>
      <c r="D2347">
        <v>3.7945129999999998</v>
      </c>
      <c r="E2347">
        <v>0.62893659999999996</v>
      </c>
      <c r="F2347" t="s">
        <v>41</v>
      </c>
      <c r="G2347">
        <v>-294.82389999999998</v>
      </c>
      <c r="H2347">
        <v>0.88899699999999904</v>
      </c>
      <c r="I2347">
        <v>285.23590000000002</v>
      </c>
      <c r="J2347">
        <v>-294.23340000000002</v>
      </c>
      <c r="K2347">
        <v>1.1070709999999999</v>
      </c>
      <c r="L2347">
        <v>284.97609999999997</v>
      </c>
      <c r="M2347">
        <v>-0.99980429999999998</v>
      </c>
      <c r="N2347">
        <v>-1.4348720000000001E-2</v>
      </c>
      <c r="O2347">
        <v>1.361972E-2</v>
      </c>
      <c r="P2347">
        <v>-0.99615030000000004</v>
      </c>
      <c r="Q2347">
        <v>-1.6096089999999999E-3</v>
      </c>
      <c r="R2347">
        <v>-8.7647509999999998E-2</v>
      </c>
      <c r="S2347">
        <v>-3.079529</v>
      </c>
      <c r="T2347">
        <v>-0.63739609999999902</v>
      </c>
      <c r="U2347">
        <v>0.7770996</v>
      </c>
      <c r="V2347">
        <v>-0.1011442</v>
      </c>
      <c r="W2347">
        <v>1.3165400000000001E-2</v>
      </c>
      <c r="X2347">
        <v>0.99478469999999997</v>
      </c>
      <c r="Y2347">
        <v>0.22682479999999999</v>
      </c>
      <c r="Z2347">
        <v>2.1994099999999999E-2</v>
      </c>
      <c r="AA2347">
        <v>0.97368719999999997</v>
      </c>
      <c r="AB2347">
        <v>54</v>
      </c>
      <c r="AC2347">
        <v>-0.59049999999996305</v>
      </c>
      <c r="AD2347">
        <v>-0.21807399999999999</v>
      </c>
      <c r="AE2347">
        <v>0.259800000000041</v>
      </c>
      <c r="AF2347">
        <v>0.22591773224954501</v>
      </c>
      <c r="AG2347">
        <v>-0.21807399999999999</v>
      </c>
      <c r="AH2347">
        <v>0.53307160689327504</v>
      </c>
      <c r="AI2347">
        <v>110.63937107406301</v>
      </c>
      <c r="AJ2347">
        <v>67.032588297973305</v>
      </c>
      <c r="AK2347">
        <v>0.61867635262433895</v>
      </c>
      <c r="AL2347">
        <v>89.245656380661103</v>
      </c>
      <c r="AM2347">
        <v>95.805567060251803</v>
      </c>
      <c r="AN2347">
        <v>1.0000000381524401</v>
      </c>
    </row>
    <row r="2348" spans="1:40" x14ac:dyDescent="0.25">
      <c r="A2348" t="str">
        <f>"20190305134945486"</f>
        <v>20190305134945486</v>
      </c>
      <c r="B2348" t="str">
        <f>"1551764985472836"</f>
        <v>1551764985472836</v>
      </c>
      <c r="C2348" t="s">
        <v>40</v>
      </c>
      <c r="D2348">
        <v>3.802168</v>
      </c>
      <c r="E2348">
        <v>0.62939969999999901</v>
      </c>
      <c r="F2348" t="s">
        <v>78</v>
      </c>
      <c r="G2348">
        <v>-299.64139999999998</v>
      </c>
      <c r="H2348" s="1">
        <v>3.7634240000000001E-6</v>
      </c>
      <c r="I2348">
        <v>286.3614</v>
      </c>
      <c r="J2348">
        <v>-294.5609</v>
      </c>
      <c r="K2348">
        <v>1.1071120000000001</v>
      </c>
      <c r="L2348">
        <v>284.98090000000002</v>
      </c>
      <c r="M2348">
        <v>-0.99979240000000003</v>
      </c>
      <c r="N2348">
        <v>-1.443085E-2</v>
      </c>
      <c r="O2348">
        <v>1.4386950000000001E-2</v>
      </c>
      <c r="P2348">
        <v>-0.99621000000000004</v>
      </c>
      <c r="Q2348">
        <v>-7.4305759999999997E-4</v>
      </c>
      <c r="R2348">
        <v>-8.6979609999999999E-2</v>
      </c>
      <c r="S2348">
        <v>-3.0799259999999999</v>
      </c>
      <c r="T2348">
        <v>-0.6304843</v>
      </c>
      <c r="U2348">
        <v>0.78894039999999999</v>
      </c>
      <c r="V2348">
        <v>-0.1012373</v>
      </c>
      <c r="W2348">
        <v>1.410611E-2</v>
      </c>
      <c r="X2348">
        <v>0.99476229999999999</v>
      </c>
      <c r="Y2348">
        <v>0.22961690000000001</v>
      </c>
      <c r="Z2348">
        <v>2.1936649999999999E-2</v>
      </c>
      <c r="AA2348">
        <v>0.97303379999999995</v>
      </c>
      <c r="AB2348">
        <v>54</v>
      </c>
      <c r="AC2348">
        <v>-5.0804999999999696</v>
      </c>
      <c r="AD2348">
        <v>-1.1071082365760001</v>
      </c>
      <c r="AE2348">
        <v>1.3804999999999801</v>
      </c>
      <c r="AF2348">
        <v>1.25189631072949</v>
      </c>
      <c r="AG2348">
        <v>-1.1071082365760001</v>
      </c>
      <c r="AH2348">
        <v>4.8838671857790796</v>
      </c>
      <c r="AI2348">
        <v>102.384867468268</v>
      </c>
      <c r="AJ2348">
        <v>75.622759065025605</v>
      </c>
      <c r="AK2348">
        <v>5.1618883859148097</v>
      </c>
      <c r="AL2348">
        <v>89.191752628377898</v>
      </c>
      <c r="AM2348">
        <v>95.811004300671897</v>
      </c>
      <c r="AN2348">
        <v>1.00000000337595</v>
      </c>
    </row>
    <row r="2349" spans="1:40" x14ac:dyDescent="0.25">
      <c r="A2349" t="str">
        <f>"20190305134945505"</f>
        <v>20190305134945505</v>
      </c>
      <c r="B2349" t="str">
        <f>"1551764985493333"</f>
        <v>1551764985493333</v>
      </c>
      <c r="C2349" t="s">
        <v>40</v>
      </c>
      <c r="D2349">
        <v>3.8264689999999999</v>
      </c>
      <c r="E2349">
        <v>0.63014550000000003</v>
      </c>
      <c r="F2349" t="s">
        <v>41</v>
      </c>
      <c r="G2349">
        <v>-295.32420000000002</v>
      </c>
      <c r="H2349">
        <v>0.95179829999999999</v>
      </c>
      <c r="I2349">
        <v>285.17790000000002</v>
      </c>
      <c r="J2349">
        <v>-295.0111</v>
      </c>
      <c r="K2349">
        <v>1.1071789999999999</v>
      </c>
      <c r="L2349">
        <v>284.98779999999999</v>
      </c>
      <c r="M2349">
        <v>-0.99977590000000005</v>
      </c>
      <c r="N2349">
        <v>-1.453204E-2</v>
      </c>
      <c r="O2349">
        <v>1.540306E-2</v>
      </c>
      <c r="P2349">
        <v>-0.99629900000000005</v>
      </c>
      <c r="Q2349">
        <v>6.5569770000000003E-4</v>
      </c>
      <c r="R2349">
        <v>-8.5954999999999906E-2</v>
      </c>
      <c r="S2349">
        <v>-3.0803219999999998</v>
      </c>
      <c r="T2349">
        <v>-0.62683069999999996</v>
      </c>
      <c r="U2349">
        <v>0.79470830000000003</v>
      </c>
      <c r="V2349">
        <v>-0.1012199</v>
      </c>
      <c r="W2349">
        <v>1.559368E-2</v>
      </c>
      <c r="X2349">
        <v>0.99474189999999996</v>
      </c>
      <c r="Y2349">
        <v>0.23036039999999999</v>
      </c>
      <c r="Z2349">
        <v>2.1721810000000001E-2</v>
      </c>
      <c r="AA2349">
        <v>0.97286289999999997</v>
      </c>
      <c r="AB2349">
        <v>54</v>
      </c>
      <c r="AC2349">
        <v>-0.31310000000001897</v>
      </c>
      <c r="AD2349">
        <v>-0.15538070000000001</v>
      </c>
      <c r="AE2349">
        <v>0.190100000000029</v>
      </c>
      <c r="AF2349">
        <v>0.15700242373390499</v>
      </c>
      <c r="AG2349">
        <v>-0.15538070000000001</v>
      </c>
      <c r="AH2349">
        <v>0.26780168485929501</v>
      </c>
      <c r="AI2349">
        <v>116.58942692911</v>
      </c>
      <c r="AJ2349">
        <v>59.618449098373603</v>
      </c>
      <c r="AK2349">
        <v>0.34714646102803298</v>
      </c>
      <c r="AL2349">
        <v>89.106511771030199</v>
      </c>
      <c r="AM2349">
        <v>95.810130712314404</v>
      </c>
      <c r="AN2349">
        <v>1.00000003931378</v>
      </c>
    </row>
    <row r="2350" spans="1:40" x14ac:dyDescent="0.25">
      <c r="A2350" t="str">
        <f>"20190305134945517"</f>
        <v>20190305134945517</v>
      </c>
      <c r="B2350" t="str">
        <f>"1551764985512852"</f>
        <v>1551764985512852</v>
      </c>
      <c r="C2350" t="s">
        <v>40</v>
      </c>
      <c r="D2350">
        <v>3.857056</v>
      </c>
      <c r="E2350">
        <v>0.63076779999999999</v>
      </c>
      <c r="F2350" t="s">
        <v>41</v>
      </c>
      <c r="G2350">
        <v>-295.80579999999998</v>
      </c>
      <c r="H2350">
        <v>0.94693419999999895</v>
      </c>
      <c r="I2350">
        <v>285.19499999999999</v>
      </c>
      <c r="J2350">
        <v>-295.3082</v>
      </c>
      <c r="K2350">
        <v>1.1072249999999999</v>
      </c>
      <c r="L2350">
        <v>284.99270000000001</v>
      </c>
      <c r="M2350">
        <v>-0.99976489999999996</v>
      </c>
      <c r="N2350">
        <v>-1.4592020000000001E-2</v>
      </c>
      <c r="O2350">
        <v>1.604305E-2</v>
      </c>
      <c r="P2350">
        <v>-0.99634310000000004</v>
      </c>
      <c r="Q2350">
        <v>1.5988370000000001E-3</v>
      </c>
      <c r="R2350">
        <v>-8.5427900000000001E-2</v>
      </c>
      <c r="S2350">
        <v>-3.0808409999999999</v>
      </c>
      <c r="T2350">
        <v>-0.62119279999999999</v>
      </c>
      <c r="U2350">
        <v>0.80313109999999999</v>
      </c>
      <c r="V2350">
        <v>-0.101326899999999</v>
      </c>
      <c r="W2350">
        <v>1.6588229999999999E-2</v>
      </c>
      <c r="X2350">
        <v>0.99471489999999996</v>
      </c>
      <c r="Y2350">
        <v>0.23224249999999999</v>
      </c>
      <c r="Z2350">
        <v>2.1628350000000001E-2</v>
      </c>
      <c r="AA2350">
        <v>0.97241739999999999</v>
      </c>
      <c r="AB2350">
        <v>54</v>
      </c>
      <c r="AC2350">
        <v>-0.49759999999997701</v>
      </c>
      <c r="AD2350">
        <v>-0.16029080000000001</v>
      </c>
      <c r="AE2350">
        <v>0.202299999999979</v>
      </c>
      <c r="AF2350">
        <v>0.17840358799697301</v>
      </c>
      <c r="AG2350">
        <v>-0.16029080000000001</v>
      </c>
      <c r="AH2350">
        <v>0.45983442102892003</v>
      </c>
      <c r="AI2350">
        <v>108.00323156588</v>
      </c>
      <c r="AJ2350">
        <v>68.795064577312601</v>
      </c>
      <c r="AK2350">
        <v>0.51862190036464595</v>
      </c>
      <c r="AL2350">
        <v>89.049520857663296</v>
      </c>
      <c r="AM2350">
        <v>95.816387332071599</v>
      </c>
      <c r="AN2350">
        <v>1.0000000211600699</v>
      </c>
    </row>
    <row r="2351" spans="1:40" x14ac:dyDescent="0.25">
      <c r="A2351" t="str">
        <f>"20190305134945531"</f>
        <v>20190305134945531</v>
      </c>
      <c r="B2351" t="str">
        <f>"1551764985522612"</f>
        <v>1551764985522612</v>
      </c>
      <c r="C2351" t="s">
        <v>40</v>
      </c>
      <c r="D2351">
        <v>3.7969010000000001</v>
      </c>
      <c r="E2351">
        <v>0.63076779999999999</v>
      </c>
      <c r="F2351" t="s">
        <v>41</v>
      </c>
      <c r="G2351">
        <v>-296.2774</v>
      </c>
      <c r="H2351">
        <v>0.91310639999999998</v>
      </c>
      <c r="I2351">
        <v>285.24720000000002</v>
      </c>
      <c r="J2351">
        <v>-295.63279999999997</v>
      </c>
      <c r="K2351">
        <v>1.1072789999999999</v>
      </c>
      <c r="L2351">
        <v>284.99810000000002</v>
      </c>
      <c r="M2351">
        <v>-0.99975290000000006</v>
      </c>
      <c r="N2351">
        <v>-1.4653589999999999E-2</v>
      </c>
      <c r="O2351">
        <v>1.672179E-2</v>
      </c>
      <c r="P2351">
        <v>-0.99639639999999996</v>
      </c>
      <c r="Q2351">
        <v>2.1676759999999999E-3</v>
      </c>
      <c r="R2351">
        <v>-8.4794480000000005E-2</v>
      </c>
      <c r="S2351">
        <v>-3.0814509999999999</v>
      </c>
      <c r="T2351">
        <v>-0.61713149999999894</v>
      </c>
      <c r="U2351">
        <v>0.80966190000000005</v>
      </c>
      <c r="V2351">
        <v>-0.1013685</v>
      </c>
      <c r="W2351">
        <v>1.7208029999999999E-2</v>
      </c>
      <c r="X2351">
        <v>0.99470009999999998</v>
      </c>
      <c r="Y2351">
        <v>0.23350789999999999</v>
      </c>
      <c r="Z2351">
        <v>2.1512409999999999E-2</v>
      </c>
      <c r="AA2351">
        <v>0.97211689999999995</v>
      </c>
      <c r="AB2351">
        <v>54</v>
      </c>
      <c r="AC2351">
        <v>-0.64460000000002504</v>
      </c>
      <c r="AD2351">
        <v>-0.1941726</v>
      </c>
      <c r="AE2351">
        <v>0.24909999999999799</v>
      </c>
      <c r="AF2351">
        <v>0.220849259406625</v>
      </c>
      <c r="AG2351">
        <v>-0.1941726</v>
      </c>
      <c r="AH2351">
        <v>0.60121057756063701</v>
      </c>
      <c r="AI2351">
        <v>106.865318338615</v>
      </c>
      <c r="AJ2351">
        <v>69.829649367691005</v>
      </c>
      <c r="AK2351">
        <v>0.66927688779907002</v>
      </c>
      <c r="AL2351">
        <v>89.014003830760799</v>
      </c>
      <c r="AM2351">
        <v>95.818844864327502</v>
      </c>
      <c r="AN2351">
        <v>0.99999998901437004</v>
      </c>
    </row>
    <row r="2352" spans="1:40" x14ac:dyDescent="0.25">
      <c r="A2352" t="str">
        <f>"20190305134945542"</f>
        <v>20190305134945542</v>
      </c>
      <c r="B2352" t="str">
        <f>"1551764985533349"</f>
        <v>1551764985533349</v>
      </c>
      <c r="C2352" t="s">
        <v>40</v>
      </c>
      <c r="D2352">
        <v>3.8563390000000002</v>
      </c>
      <c r="E2352">
        <v>0.63097209999999904</v>
      </c>
      <c r="F2352" t="s">
        <v>78</v>
      </c>
      <c r="G2352">
        <v>-301.17570000000001</v>
      </c>
      <c r="H2352" s="1">
        <v>3.59508E-6</v>
      </c>
      <c r="I2352">
        <v>286.45760000000001</v>
      </c>
      <c r="J2352">
        <v>-295.90910000000002</v>
      </c>
      <c r="K2352">
        <v>1.1073329999999999</v>
      </c>
      <c r="L2352">
        <v>285.00290000000001</v>
      </c>
      <c r="M2352">
        <v>-0.9997431</v>
      </c>
      <c r="N2352">
        <v>-1.4699830000000001E-2</v>
      </c>
      <c r="O2352">
        <v>1.7258559999999999E-2</v>
      </c>
      <c r="P2352">
        <v>-0.99644969999999999</v>
      </c>
      <c r="Q2352">
        <v>2.5310609999999998E-3</v>
      </c>
      <c r="R2352">
        <v>-8.4154400000000004E-2</v>
      </c>
      <c r="S2352">
        <v>-3.0812379999999999</v>
      </c>
      <c r="T2352">
        <v>-0.61552489999999904</v>
      </c>
      <c r="U2352">
        <v>0.81130979999999997</v>
      </c>
      <c r="V2352">
        <v>-0.10126350000000001</v>
      </c>
      <c r="W2352">
        <v>1.7606130000000001E-2</v>
      </c>
      <c r="X2352">
        <v>0.99470380000000003</v>
      </c>
      <c r="Y2352">
        <v>0.23351839999999999</v>
      </c>
      <c r="Z2352">
        <v>2.1373349999999999E-2</v>
      </c>
      <c r="AA2352">
        <v>0.97211749999999997</v>
      </c>
      <c r="AB2352">
        <v>54</v>
      </c>
      <c r="AC2352">
        <v>-5.26659999999998</v>
      </c>
      <c r="AD2352">
        <v>-1.10732940492</v>
      </c>
      <c r="AE2352">
        <v>1.4547000000000001</v>
      </c>
      <c r="AF2352">
        <v>1.3097821274974499</v>
      </c>
      <c r="AG2352">
        <v>-1.10732940492</v>
      </c>
      <c r="AH2352">
        <v>5.0821808864231102</v>
      </c>
      <c r="AI2352">
        <v>101.91411480028501</v>
      </c>
      <c r="AJ2352">
        <v>75.548188152109802</v>
      </c>
      <c r="AK2352">
        <v>5.3637925197416596</v>
      </c>
      <c r="AL2352">
        <v>88.9911908957706</v>
      </c>
      <c r="AM2352">
        <v>95.812837381570205</v>
      </c>
      <c r="AN2352">
        <v>0.999999960990132</v>
      </c>
    </row>
    <row r="2353" spans="1:40" x14ac:dyDescent="0.25">
      <c r="A2353" t="str">
        <f>"20190305134945561"</f>
        <v>20190305134945561</v>
      </c>
      <c r="B2353" t="str">
        <f>"1551764985552868"</f>
        <v>1551764985552868</v>
      </c>
      <c r="C2353" t="s">
        <v>40</v>
      </c>
      <c r="D2353">
        <v>3.8071079999999999</v>
      </c>
      <c r="E2353">
        <v>0.63119080000000005</v>
      </c>
      <c r="F2353" t="s">
        <v>41</v>
      </c>
      <c r="G2353">
        <v>-296.76799999999997</v>
      </c>
      <c r="H2353">
        <v>0.93607680000000004</v>
      </c>
      <c r="I2353">
        <v>285.2303</v>
      </c>
      <c r="J2353">
        <v>-296.36660000000001</v>
      </c>
      <c r="K2353">
        <v>1.107424</v>
      </c>
      <c r="L2353">
        <v>285.01119999999997</v>
      </c>
      <c r="M2353">
        <v>-0.99972709999999998</v>
      </c>
      <c r="N2353">
        <v>-1.477029E-2</v>
      </c>
      <c r="O2353">
        <v>1.8103330000000001E-2</v>
      </c>
      <c r="P2353">
        <v>-0.99648689999999995</v>
      </c>
      <c r="Q2353">
        <v>2.6108680000000001E-3</v>
      </c>
      <c r="R2353">
        <v>-8.3708589999999999E-2</v>
      </c>
      <c r="S2353">
        <v>-3.0810550000000001</v>
      </c>
      <c r="T2353">
        <v>-0.61437109999999995</v>
      </c>
      <c r="U2353">
        <v>0.81469729999999996</v>
      </c>
      <c r="V2353">
        <v>-0.10166169999999999</v>
      </c>
      <c r="W2353">
        <v>1.7739149999999999E-2</v>
      </c>
      <c r="X2353">
        <v>0.99466089999999996</v>
      </c>
      <c r="Y2353">
        <v>0.233735</v>
      </c>
      <c r="Z2353">
        <v>2.1217010000000001E-2</v>
      </c>
      <c r="AA2353">
        <v>0.97206879999999996</v>
      </c>
      <c r="AB2353">
        <v>54</v>
      </c>
      <c r="AC2353">
        <v>-0.40139999999996601</v>
      </c>
      <c r="AD2353">
        <v>-0.17134719999999901</v>
      </c>
      <c r="AE2353">
        <v>0.219100000000025</v>
      </c>
      <c r="AF2353">
        <v>0.18572253701692201</v>
      </c>
      <c r="AG2353">
        <v>-0.17134719999999901</v>
      </c>
      <c r="AH2353">
        <v>0.35540484600862798</v>
      </c>
      <c r="AI2353">
        <v>113.136719099693</v>
      </c>
      <c r="AJ2353">
        <v>62.409955749338401</v>
      </c>
      <c r="AK2353">
        <v>0.43607949764952098</v>
      </c>
      <c r="AL2353">
        <v>88.983568303112804</v>
      </c>
      <c r="AM2353">
        <v>95.835787800346395</v>
      </c>
      <c r="AN2353">
        <v>1.0000000423392099</v>
      </c>
    </row>
    <row r="2354" spans="1:40" x14ac:dyDescent="0.25">
      <c r="A2354" t="str">
        <f>"20190305134945574"</f>
        <v>20190305134945574</v>
      </c>
      <c r="B2354" t="str">
        <f>"1551764985562628"</f>
        <v>1551764985562628</v>
      </c>
      <c r="C2354" t="s">
        <v>40</v>
      </c>
      <c r="D2354">
        <v>3.9237880000000001</v>
      </c>
      <c r="E2354">
        <v>0.63145969999999996</v>
      </c>
      <c r="F2354" t="s">
        <v>41</v>
      </c>
      <c r="G2354">
        <v>-297.24880000000002</v>
      </c>
      <c r="H2354">
        <v>0.93162429999999996</v>
      </c>
      <c r="I2354">
        <v>285.2457</v>
      </c>
      <c r="J2354">
        <v>-296.6789</v>
      </c>
      <c r="K2354">
        <v>1.107486</v>
      </c>
      <c r="L2354">
        <v>285.017</v>
      </c>
      <c r="M2354">
        <v>-0.99971659999999996</v>
      </c>
      <c r="N2354">
        <v>-1.481361E-2</v>
      </c>
      <c r="O2354">
        <v>1.8641520000000002E-2</v>
      </c>
      <c r="P2354">
        <v>-0.99652850000000004</v>
      </c>
      <c r="Q2354">
        <v>2.3801550000000001E-3</v>
      </c>
      <c r="R2354">
        <v>-8.3219689999999999E-2</v>
      </c>
      <c r="S2354">
        <v>-3.080902</v>
      </c>
      <c r="T2354">
        <v>-0.61397489999999999</v>
      </c>
      <c r="U2354">
        <v>0.81799319999999998</v>
      </c>
      <c r="V2354">
        <v>-0.10171230000000001</v>
      </c>
      <c r="W2354">
        <v>1.7537000000000001E-2</v>
      </c>
      <c r="X2354">
        <v>0.99465919999999997</v>
      </c>
      <c r="Y2354">
        <v>0.23420009999999999</v>
      </c>
      <c r="Z2354">
        <v>2.1161550000000001E-2</v>
      </c>
      <c r="AA2354">
        <v>0.97195810000000005</v>
      </c>
      <c r="AB2354">
        <v>54</v>
      </c>
      <c r="AC2354">
        <v>-0.56990000000001795</v>
      </c>
      <c r="AD2354">
        <v>-0.17586169999999901</v>
      </c>
      <c r="AE2354">
        <v>0.22870000000000301</v>
      </c>
      <c r="AF2354">
        <v>0.201508398239576</v>
      </c>
      <c r="AG2354">
        <v>-0.17586169999999901</v>
      </c>
      <c r="AH2354">
        <v>0.53055112211560995</v>
      </c>
      <c r="AI2354">
        <v>107.216753474097</v>
      </c>
      <c r="AJ2354">
        <v>69.202743257697406</v>
      </c>
      <c r="AK2354">
        <v>0.59415272890571103</v>
      </c>
      <c r="AL2354">
        <v>88.995152334887294</v>
      </c>
      <c r="AM2354">
        <v>95.838682290575093</v>
      </c>
      <c r="AN2354">
        <v>0.999999931242462</v>
      </c>
    </row>
    <row r="2355" spans="1:40" x14ac:dyDescent="0.25">
      <c r="A2355" t="str">
        <f>"20190305134945588"</f>
        <v>20190305134945588</v>
      </c>
      <c r="B2355" t="str">
        <f>"1551764985583124"</f>
        <v>1551764985583124</v>
      </c>
      <c r="C2355" t="s">
        <v>40</v>
      </c>
      <c r="D2355">
        <v>3.8919220000000001</v>
      </c>
      <c r="E2355">
        <v>0.58055819999999903</v>
      </c>
      <c r="F2355" t="s">
        <v>78</v>
      </c>
      <c r="G2355">
        <v>-302.23</v>
      </c>
      <c r="H2355" s="1">
        <v>3.4045319999999998E-6</v>
      </c>
      <c r="I2355">
        <v>286.49799999999999</v>
      </c>
      <c r="J2355">
        <v>-297.01569999999998</v>
      </c>
      <c r="K2355">
        <v>1.1075600000000001</v>
      </c>
      <c r="L2355">
        <v>285.02350000000001</v>
      </c>
      <c r="M2355">
        <v>-0.99970570000000003</v>
      </c>
      <c r="N2355">
        <v>-1.4856090000000001E-2</v>
      </c>
      <c r="O2355">
        <v>1.918423E-2</v>
      </c>
      <c r="P2355">
        <v>-0.99655629999999995</v>
      </c>
      <c r="Q2355">
        <v>2.4787559999999999E-3</v>
      </c>
      <c r="R2355">
        <v>-8.2885539999999994E-2</v>
      </c>
      <c r="S2355">
        <v>-3.0805660000000001</v>
      </c>
      <c r="T2355">
        <v>-0.61458930000000001</v>
      </c>
      <c r="U2355">
        <v>0.82186890000000001</v>
      </c>
      <c r="V2355">
        <v>-0.10192080000000001</v>
      </c>
      <c r="W2355">
        <v>1.7662859999999999E-2</v>
      </c>
      <c r="X2355">
        <v>0.99463570000000001</v>
      </c>
      <c r="Y2355">
        <v>0.2348287</v>
      </c>
      <c r="Z2355">
        <v>2.1153930000000001E-2</v>
      </c>
      <c r="AA2355">
        <v>0.97180659999999996</v>
      </c>
      <c r="AB2355">
        <v>54</v>
      </c>
      <c r="AC2355">
        <v>-5.2143000000000299</v>
      </c>
      <c r="AD2355">
        <v>-1.107556595468</v>
      </c>
      <c r="AE2355">
        <v>1.4744999999999699</v>
      </c>
      <c r="AF2355">
        <v>1.3190789396898099</v>
      </c>
      <c r="AG2355">
        <v>-1.107556595468</v>
      </c>
      <c r="AH2355">
        <v>5.0314355148154304</v>
      </c>
      <c r="AI2355">
        <v>102.02054510033101</v>
      </c>
      <c r="AJ2355">
        <v>75.309519564094799</v>
      </c>
      <c r="AK2355">
        <v>5.3180818159411496</v>
      </c>
      <c r="AL2355">
        <v>88.987940040958705</v>
      </c>
      <c r="AM2355">
        <v>95.850705334288307</v>
      </c>
      <c r="AN2355">
        <v>1.0000000009052501</v>
      </c>
    </row>
    <row r="2356" spans="1:40" x14ac:dyDescent="0.25">
      <c r="A2356" t="str">
        <f>"20190305134945606"</f>
        <v>20190305134945606</v>
      </c>
      <c r="B2356" t="str">
        <f>"1551764985592883"</f>
        <v>1551764985592883</v>
      </c>
      <c r="C2356" t="s">
        <v>40</v>
      </c>
      <c r="D2356">
        <v>3.756475</v>
      </c>
      <c r="E2356">
        <v>0.58055819999999903</v>
      </c>
      <c r="F2356" t="s">
        <v>41</v>
      </c>
      <c r="G2356">
        <v>-297.75349999999997</v>
      </c>
      <c r="H2356">
        <v>0.98389669999999896</v>
      </c>
      <c r="I2356">
        <v>285.1241</v>
      </c>
      <c r="J2356">
        <v>-297.44470000000001</v>
      </c>
      <c r="K2356">
        <v>1.1076539999999999</v>
      </c>
      <c r="L2356">
        <v>285.03199999999998</v>
      </c>
      <c r="M2356">
        <v>-0.99969280000000005</v>
      </c>
      <c r="N2356">
        <v>-1.490381E-2</v>
      </c>
      <c r="O2356">
        <v>1.9806069999999999E-2</v>
      </c>
      <c r="P2356">
        <v>-0.99657359999999995</v>
      </c>
      <c r="Q2356">
        <v>2.24332E-3</v>
      </c>
      <c r="R2356">
        <v>-8.2681260000000006E-2</v>
      </c>
      <c r="S2356">
        <v>-3.0459900000000002</v>
      </c>
      <c r="T2356">
        <v>-0.51072439999999997</v>
      </c>
      <c r="U2356">
        <v>0.41375729999999999</v>
      </c>
      <c r="V2356">
        <v>-0.1023404</v>
      </c>
      <c r="W2356">
        <v>1.745356E-2</v>
      </c>
      <c r="X2356">
        <v>0.99459629999999999</v>
      </c>
      <c r="Y2356">
        <v>0.11347459999999999</v>
      </c>
      <c r="Z2356">
        <v>7.2710359999999998E-3</v>
      </c>
      <c r="AA2356">
        <v>0.99351429999999996</v>
      </c>
      <c r="AB2356">
        <v>54</v>
      </c>
      <c r="AC2356">
        <v>-0.30879999999996199</v>
      </c>
      <c r="AD2356">
        <v>-0.1237573</v>
      </c>
      <c r="AE2356">
        <v>9.2100000000016197E-2</v>
      </c>
      <c r="AF2356">
        <v>7.4915471126786398E-2</v>
      </c>
      <c r="AG2356">
        <v>-0.1237573</v>
      </c>
      <c r="AH2356">
        <v>0.27064494955912399</v>
      </c>
      <c r="AI2356">
        <v>113.782921544746</v>
      </c>
      <c r="AJ2356">
        <v>74.527724946454796</v>
      </c>
      <c r="AK2356">
        <v>0.30688252775174302</v>
      </c>
      <c r="AL2356">
        <v>88.9999338877562</v>
      </c>
      <c r="AM2356">
        <v>95.874855206396305</v>
      </c>
      <c r="AN2356">
        <v>0.999999992101261</v>
      </c>
    </row>
    <row r="2357" spans="1:40" x14ac:dyDescent="0.25">
      <c r="A2357" t="str">
        <f>"20190305134945620"</f>
        <v>20190305134945620</v>
      </c>
      <c r="B2357" t="str">
        <f>"1551764985613381"</f>
        <v>1551764985613381</v>
      </c>
      <c r="C2357" t="s">
        <v>40</v>
      </c>
      <c r="D2357">
        <v>3.9741759999999999</v>
      </c>
      <c r="E2357">
        <v>0.5310165</v>
      </c>
      <c r="F2357" t="s">
        <v>41</v>
      </c>
      <c r="G2357">
        <v>-298.23110000000003</v>
      </c>
      <c r="H2357">
        <v>0.97569019999999995</v>
      </c>
      <c r="I2357">
        <v>285.13909999999998</v>
      </c>
      <c r="J2357">
        <v>-297.7783</v>
      </c>
      <c r="K2357">
        <v>1.1077300000000001</v>
      </c>
      <c r="L2357">
        <v>285.03879999999998</v>
      </c>
      <c r="M2357">
        <v>-0.99968369999999995</v>
      </c>
      <c r="N2357">
        <v>-1.4936919999999999E-2</v>
      </c>
      <c r="O2357">
        <v>2.0239429999999999E-2</v>
      </c>
      <c r="P2357">
        <v>-0.99659140000000002</v>
      </c>
      <c r="Q2357">
        <v>1.4204160000000001E-3</v>
      </c>
      <c r="R2357">
        <v>-8.2486959999999998E-2</v>
      </c>
      <c r="S2357">
        <v>-3.0458370000000001</v>
      </c>
      <c r="T2357">
        <v>-0.51112389999999996</v>
      </c>
      <c r="U2357">
        <v>0.41445920000000003</v>
      </c>
      <c r="V2357">
        <v>-0.1025837</v>
      </c>
      <c r="W2357">
        <v>1.6645440000000001E-2</v>
      </c>
      <c r="X2357">
        <v>0.9945851</v>
      </c>
      <c r="Y2357">
        <v>0.1132806</v>
      </c>
      <c r="Z2357">
        <v>7.1955550000000002E-3</v>
      </c>
      <c r="AA2357">
        <v>0.99353689999999995</v>
      </c>
      <c r="AB2357">
        <v>54</v>
      </c>
      <c r="AC2357">
        <v>-0.45280000000002402</v>
      </c>
      <c r="AD2357">
        <v>-0.13203979999999901</v>
      </c>
      <c r="AE2357">
        <v>0.100300000000004</v>
      </c>
      <c r="AF2357">
        <v>8.42822952974151E-2</v>
      </c>
      <c r="AG2357">
        <v>-0.13203979999999901</v>
      </c>
      <c r="AH2357">
        <v>0.42064130047156501</v>
      </c>
      <c r="AI2357">
        <v>107.10751425709</v>
      </c>
      <c r="AJ2357">
        <v>78.669894698857206</v>
      </c>
      <c r="AK2357">
        <v>0.44886202528956398</v>
      </c>
      <c r="AL2357">
        <v>89.046242496855996</v>
      </c>
      <c r="AM2357">
        <v>95.888789667788004</v>
      </c>
      <c r="AN2357">
        <v>1.0000000036602401</v>
      </c>
    </row>
    <row r="2358" spans="1:40" x14ac:dyDescent="0.25">
      <c r="A2358" t="str">
        <f>"20190305134945632"</f>
        <v>20190305134945632</v>
      </c>
      <c r="B2358" t="str">
        <f>"1551764985623140"</f>
        <v>1551764985623140</v>
      </c>
      <c r="C2358" t="s">
        <v>40</v>
      </c>
      <c r="D2358">
        <v>3.988267</v>
      </c>
      <c r="E2358">
        <v>0.52885079999999995</v>
      </c>
      <c r="F2358" t="s">
        <v>47</v>
      </c>
      <c r="G2358">
        <v>0</v>
      </c>
      <c r="H2358">
        <v>0</v>
      </c>
      <c r="I2358">
        <v>0</v>
      </c>
      <c r="J2358">
        <v>-298.09719999999999</v>
      </c>
      <c r="K2358">
        <v>1.1078030000000001</v>
      </c>
      <c r="L2358">
        <v>285.04539999999997</v>
      </c>
      <c r="M2358">
        <v>-0.99967530000000004</v>
      </c>
      <c r="N2358">
        <v>-1.4966299999999899E-2</v>
      </c>
      <c r="O2358">
        <v>2.0622959999999999E-2</v>
      </c>
      <c r="P2358">
        <v>-0.99660720000000003</v>
      </c>
      <c r="Q2358">
        <v>2.2188199999999999E-4</v>
      </c>
      <c r="R2358">
        <v>-8.2303909999999994E-2</v>
      </c>
      <c r="S2358">
        <v>-3.0102229999999999</v>
      </c>
      <c r="T2358">
        <v>-1.683831E-3</v>
      </c>
      <c r="U2358">
        <v>-3.9672850000000001E-4</v>
      </c>
      <c r="V2358">
        <v>-0.10278959999999999</v>
      </c>
      <c r="W2358">
        <v>1.5459219999999999E-2</v>
      </c>
      <c r="X2358">
        <v>0.99458299999999999</v>
      </c>
      <c r="Y2358">
        <v>-2.0754809999999999E-2</v>
      </c>
      <c r="Z2358">
        <v>1.360232E-4</v>
      </c>
      <c r="AA2358">
        <v>0.99978460000000002</v>
      </c>
      <c r="AB2358">
        <v>54</v>
      </c>
      <c r="AC2358">
        <v>-3.0102229999999999</v>
      </c>
      <c r="AD2358">
        <v>-1.683831E-3</v>
      </c>
      <c r="AE2358">
        <v>-3.9672850000000001E-4</v>
      </c>
      <c r="AF2358">
        <v>-6.2483286801725803E-2</v>
      </c>
      <c r="AG2358">
        <v>-1.683831E-3</v>
      </c>
      <c r="AH2358">
        <v>3.0095735304893099</v>
      </c>
      <c r="AI2358">
        <v>90.032049595328999</v>
      </c>
      <c r="AJ2358">
        <v>91.189375950370206</v>
      </c>
      <c r="AK2358">
        <v>3.0102225552005799</v>
      </c>
      <c r="AL2358">
        <v>89.114216669914001</v>
      </c>
      <c r="AM2358">
        <v>95.900538362464502</v>
      </c>
      <c r="AN2358">
        <v>1.00000001662008</v>
      </c>
    </row>
    <row r="2359" spans="1:40" x14ac:dyDescent="0.25">
      <c r="A2359" t="str">
        <f>"20190305134945644"</f>
        <v>20190305134945644</v>
      </c>
      <c r="B2359" t="str">
        <f>"1551764985632901"</f>
        <v>1551764985632901</v>
      </c>
      <c r="C2359" t="s">
        <v>40</v>
      </c>
      <c r="D2359">
        <v>3.8097590000000001</v>
      </c>
      <c r="E2359">
        <v>0.52885079999999995</v>
      </c>
      <c r="F2359" t="s">
        <v>62</v>
      </c>
      <c r="G2359">
        <v>-503.33</v>
      </c>
      <c r="H2359">
        <v>7.9980670000000004E-2</v>
      </c>
      <c r="I2359">
        <v>283.90050000000002</v>
      </c>
      <c r="J2359">
        <v>-298.37240000000003</v>
      </c>
      <c r="K2359">
        <v>1.107869</v>
      </c>
      <c r="L2359">
        <v>285.05119999999999</v>
      </c>
      <c r="M2359">
        <v>-0.99966889999999997</v>
      </c>
      <c r="N2359">
        <v>-1.498906E-2</v>
      </c>
      <c r="O2359">
        <v>2.0916509999999999E-2</v>
      </c>
      <c r="P2359">
        <v>-0.99659229999999999</v>
      </c>
      <c r="Q2359">
        <v>-1.9819460000000001E-3</v>
      </c>
      <c r="R2359">
        <v>-8.2460080000000005E-2</v>
      </c>
      <c r="S2359">
        <v>-3.0088200000000001</v>
      </c>
      <c r="T2359">
        <v>-1.5068410000000001E-2</v>
      </c>
      <c r="U2359">
        <v>-1.6784670000000002E-2</v>
      </c>
      <c r="V2359">
        <v>-0.10324759999999999</v>
      </c>
      <c r="W2359">
        <v>1.3262660000000001E-2</v>
      </c>
      <c r="X2359">
        <v>0.99456730000000004</v>
      </c>
      <c r="Y2359">
        <v>-2.6493360000000001E-2</v>
      </c>
      <c r="Z2359" s="1">
        <v>-5.610773E-5</v>
      </c>
      <c r="AA2359">
        <v>0.99964900000000001</v>
      </c>
      <c r="AB2359">
        <v>54</v>
      </c>
      <c r="AC2359">
        <v>-204.95760000000001</v>
      </c>
      <c r="AD2359">
        <v>-1.0278883299999999</v>
      </c>
      <c r="AE2359">
        <v>-1.1506999999999701</v>
      </c>
      <c r="AF2359">
        <v>-5.4377906152466702</v>
      </c>
      <c r="AG2359">
        <v>-1.0278883299999999</v>
      </c>
      <c r="AH2359">
        <v>204.88352621026701</v>
      </c>
      <c r="AI2359">
        <v>90.287345882216201</v>
      </c>
      <c r="AJ2359">
        <v>91.520323922516795</v>
      </c>
      <c r="AK2359">
        <v>204.958252904213</v>
      </c>
      <c r="AL2359">
        <v>89.240083307908506</v>
      </c>
      <c r="AM2359">
        <v>95.926735577071398</v>
      </c>
      <c r="AN2359">
        <v>1.00000003964266</v>
      </c>
    </row>
    <row r="2360" spans="1:40" x14ac:dyDescent="0.25">
      <c r="A2360" t="str">
        <f>"20190305134945661"</f>
        <v>20190305134945661</v>
      </c>
      <c r="B2360" t="str">
        <f>"1551764985653400"</f>
        <v>1551764985653400</v>
      </c>
      <c r="C2360" t="s">
        <v>40</v>
      </c>
      <c r="D2360">
        <v>3.9634849999999999</v>
      </c>
      <c r="E2360">
        <v>0.52760689999999999</v>
      </c>
      <c r="F2360" t="s">
        <v>74</v>
      </c>
      <c r="G2360">
        <v>-451.67860000000002</v>
      </c>
      <c r="H2360" s="1">
        <v>-6.2424529999999999E-7</v>
      </c>
      <c r="I2360">
        <v>284.17579999999998</v>
      </c>
      <c r="J2360">
        <v>-298.77800000000002</v>
      </c>
      <c r="K2360">
        <v>1.107974</v>
      </c>
      <c r="L2360">
        <v>285.0598</v>
      </c>
      <c r="M2360">
        <v>-0.9996604</v>
      </c>
      <c r="N2360">
        <v>-1.501952E-2</v>
      </c>
      <c r="O2360">
        <v>2.1301859999999999E-2</v>
      </c>
      <c r="P2360">
        <v>-0.99648720000000002</v>
      </c>
      <c r="Q2360">
        <v>-3.0928660000000001E-3</v>
      </c>
      <c r="R2360">
        <v>-8.3689570000000005E-2</v>
      </c>
      <c r="S2360">
        <v>-3.0087890000000002</v>
      </c>
      <c r="T2360">
        <v>-2.1743060000000002E-2</v>
      </c>
      <c r="U2360">
        <v>-1.7181399999999999E-2</v>
      </c>
      <c r="V2360">
        <v>-0.1048642</v>
      </c>
      <c r="W2360">
        <v>1.2160300000000001E-2</v>
      </c>
      <c r="X2360">
        <v>0.99441219999999997</v>
      </c>
      <c r="Y2360">
        <v>-2.701011E-2</v>
      </c>
      <c r="Z2360">
        <v>-1.3440469999999999E-4</v>
      </c>
      <c r="AA2360">
        <v>0.99963519999999995</v>
      </c>
      <c r="AB2360">
        <v>54</v>
      </c>
      <c r="AC2360">
        <v>-152.9006</v>
      </c>
      <c r="AD2360">
        <v>-1.1079746242452999</v>
      </c>
      <c r="AE2360">
        <v>-0.884000000000014</v>
      </c>
      <c r="AF2360">
        <v>-4.1410160998092804</v>
      </c>
      <c r="AG2360">
        <v>-1.1079746242452999</v>
      </c>
      <c r="AH2360">
        <v>152.83903918780001</v>
      </c>
      <c r="AI2360">
        <v>90.415194125250594</v>
      </c>
      <c r="AJ2360">
        <v>91.551990351247397</v>
      </c>
      <c r="AK2360">
        <v>152.89914166520501</v>
      </c>
      <c r="AL2360">
        <v>89.303248958803195</v>
      </c>
      <c r="AM2360">
        <v>96.019789352896794</v>
      </c>
      <c r="AN2360">
        <v>0.99999999842328502</v>
      </c>
    </row>
    <row r="2361" spans="1:40" x14ac:dyDescent="0.25">
      <c r="A2361" t="str">
        <f>"20190305134945673"</f>
        <v>20190305134945673</v>
      </c>
      <c r="B2361" t="str">
        <f>"1551764985663156"</f>
        <v>1551764985663156</v>
      </c>
      <c r="C2361" t="s">
        <v>40</v>
      </c>
      <c r="D2361">
        <v>4.0061429999999998</v>
      </c>
      <c r="E2361">
        <v>0.52732570000000001</v>
      </c>
      <c r="F2361" t="s">
        <v>74</v>
      </c>
      <c r="G2361">
        <v>-358.95490000000001</v>
      </c>
      <c r="H2361" s="1">
        <v>3.2285399999999999E-6</v>
      </c>
      <c r="I2361">
        <v>284.46820000000002</v>
      </c>
      <c r="J2361">
        <v>-299.07159999999999</v>
      </c>
      <c r="K2361">
        <v>1.1080639999999999</v>
      </c>
      <c r="L2361">
        <v>285.06619999999998</v>
      </c>
      <c r="M2361">
        <v>-0.99965479999999995</v>
      </c>
      <c r="N2361">
        <v>-1.503968E-2</v>
      </c>
      <c r="O2361">
        <v>2.1550300000000001E-2</v>
      </c>
      <c r="P2361">
        <v>-0.99643029999999999</v>
      </c>
      <c r="Q2361">
        <v>-2.4788060000000001E-3</v>
      </c>
      <c r="R2361">
        <v>-8.4384669999999995E-2</v>
      </c>
      <c r="S2361">
        <v>-3.0078740000000002</v>
      </c>
      <c r="T2361">
        <v>-5.5380699999999998E-2</v>
      </c>
      <c r="U2361">
        <v>-2.9571529999999999E-2</v>
      </c>
      <c r="V2361">
        <v>-0.1058051</v>
      </c>
      <c r="W2361">
        <v>1.2777760000000001E-2</v>
      </c>
      <c r="X2361">
        <v>0.99430479999999999</v>
      </c>
      <c r="Y2361">
        <v>-3.1370540000000002E-2</v>
      </c>
      <c r="Z2361">
        <v>-5.9732220000000003E-4</v>
      </c>
      <c r="AA2361">
        <v>0.9995077</v>
      </c>
      <c r="AB2361">
        <v>54</v>
      </c>
      <c r="AC2361">
        <v>-59.883299999999998</v>
      </c>
      <c r="AD2361">
        <v>-1.1080607714599999</v>
      </c>
      <c r="AE2361">
        <v>-0.59799999999995601</v>
      </c>
      <c r="AF2361">
        <v>-1.8878636237733899</v>
      </c>
      <c r="AG2361">
        <v>-1.1080607714599999</v>
      </c>
      <c r="AH2361">
        <v>59.836016385809003</v>
      </c>
      <c r="AI2361">
        <v>91.060371149229596</v>
      </c>
      <c r="AJ2361">
        <v>91.807118098740602</v>
      </c>
      <c r="AK2361">
        <v>59.876044330416597</v>
      </c>
      <c r="AL2361">
        <v>89.267868366170902</v>
      </c>
      <c r="AM2361">
        <v>96.074051453801403</v>
      </c>
      <c r="AN2361">
        <v>1.0000000128198301</v>
      </c>
    </row>
    <row r="2362" spans="1:40" x14ac:dyDescent="0.25">
      <c r="A2362" t="str">
        <f>"20190305134945686"</f>
        <v>20190305134945686</v>
      </c>
      <c r="B2362" t="str">
        <f>"1551764985682676"</f>
        <v>1551764985682676</v>
      </c>
      <c r="C2362" t="s">
        <v>40</v>
      </c>
      <c r="D2362">
        <v>3.9782709999999999</v>
      </c>
      <c r="E2362">
        <v>0.52663950000000004</v>
      </c>
      <c r="F2362" t="s">
        <v>74</v>
      </c>
      <c r="G2362">
        <v>-358.84519999999998</v>
      </c>
      <c r="H2362" s="1">
        <v>3.1702070000000001E-6</v>
      </c>
      <c r="I2362">
        <v>284.39420000000001</v>
      </c>
      <c r="J2362">
        <v>-299.38679999999999</v>
      </c>
      <c r="K2362">
        <v>1.1081479999999999</v>
      </c>
      <c r="L2362">
        <v>285.07310000000001</v>
      </c>
      <c r="M2362">
        <v>-0.99964940000000002</v>
      </c>
      <c r="N2362">
        <v>-1.505924E-2</v>
      </c>
      <c r="O2362">
        <v>2.1782309999999999E-2</v>
      </c>
      <c r="P2362">
        <v>-0.99638510000000002</v>
      </c>
      <c r="Q2362">
        <v>-2.036581E-3</v>
      </c>
      <c r="R2362">
        <v>-8.4928480000000001E-2</v>
      </c>
      <c r="S2362">
        <v>-3.0077509999999998</v>
      </c>
      <c r="T2362">
        <v>-5.5756569999999998E-2</v>
      </c>
      <c r="U2362">
        <v>-3.381348E-2</v>
      </c>
      <c r="V2362">
        <v>-0.1065796</v>
      </c>
      <c r="W2362">
        <v>1.3220229999999999E-2</v>
      </c>
      <c r="X2362">
        <v>0.99421630000000005</v>
      </c>
      <c r="Y2362">
        <v>-3.3011730000000003E-2</v>
      </c>
      <c r="Z2362">
        <v>-6.3026589999999995E-4</v>
      </c>
      <c r="AA2362">
        <v>0.99945470000000003</v>
      </c>
      <c r="AB2362">
        <v>54</v>
      </c>
      <c r="AC2362">
        <v>-59.458399999999898</v>
      </c>
      <c r="AD2362">
        <v>-1.1081448297930001</v>
      </c>
      <c r="AE2362">
        <v>-0.67889999999999795</v>
      </c>
      <c r="AF2362">
        <v>-1.9733416066706899</v>
      </c>
      <c r="AG2362">
        <v>-1.1081448297930001</v>
      </c>
      <c r="AH2362">
        <v>59.408866910642601</v>
      </c>
      <c r="AI2362">
        <v>91.068016916919504</v>
      </c>
      <c r="AJ2362">
        <v>91.902453235608405</v>
      </c>
      <c r="AK2362">
        <v>59.451959847147698</v>
      </c>
      <c r="AL2362">
        <v>89.242514564800302</v>
      </c>
      <c r="AM2362">
        <v>96.118718363513494</v>
      </c>
      <c r="AN2362">
        <v>1.0000000184015501</v>
      </c>
    </row>
    <row r="2363" spans="1:40" x14ac:dyDescent="0.25">
      <c r="A2363" t="str">
        <f>"20190305134945699"</f>
        <v>20190305134945699</v>
      </c>
      <c r="B2363" t="str">
        <f>"1551764985693414"</f>
        <v>1551764985693414</v>
      </c>
      <c r="C2363" t="s">
        <v>40</v>
      </c>
      <c r="D2363">
        <v>3.9966520000000001</v>
      </c>
      <c r="E2363">
        <v>0.5266594</v>
      </c>
      <c r="F2363" t="s">
        <v>74</v>
      </c>
      <c r="G2363">
        <v>-345.05709999999999</v>
      </c>
      <c r="H2363" s="1">
        <v>1.154371E-6</v>
      </c>
      <c r="I2363">
        <v>284.46359999999999</v>
      </c>
      <c r="J2363">
        <v>-299.67180000000002</v>
      </c>
      <c r="K2363">
        <v>1.1082190000000001</v>
      </c>
      <c r="L2363">
        <v>285.07929999999999</v>
      </c>
      <c r="M2363">
        <v>-0.99964529999999996</v>
      </c>
      <c r="N2363">
        <v>-1.5075089999999999E-2</v>
      </c>
      <c r="O2363">
        <v>2.1959260000000001E-2</v>
      </c>
      <c r="P2363">
        <v>-0.99632019999999999</v>
      </c>
      <c r="Q2363">
        <v>-3.614632E-3</v>
      </c>
      <c r="R2363">
        <v>-8.5633109999999998E-2</v>
      </c>
      <c r="S2363">
        <v>-3.007355</v>
      </c>
      <c r="T2363">
        <v>-7.2970510000000002E-2</v>
      </c>
      <c r="U2363">
        <v>-4.0130619999999999E-2</v>
      </c>
      <c r="V2363">
        <v>-0.1074649</v>
      </c>
      <c r="W2363">
        <v>1.164106E-2</v>
      </c>
      <c r="X2363">
        <v>0.99414069999999999</v>
      </c>
      <c r="Y2363">
        <v>-3.528179E-2</v>
      </c>
      <c r="Z2363">
        <v>-8.956592E-4</v>
      </c>
      <c r="AA2363">
        <v>0.99937699999999996</v>
      </c>
      <c r="AB2363">
        <v>54</v>
      </c>
      <c r="AC2363">
        <v>-45.385299999999901</v>
      </c>
      <c r="AD2363">
        <v>-1.1082178456289999</v>
      </c>
      <c r="AE2363">
        <v>-0.61570000000000302</v>
      </c>
      <c r="AF2363">
        <v>-1.6113317112504499</v>
      </c>
      <c r="AG2363">
        <v>-1.1082178456289999</v>
      </c>
      <c r="AH2363">
        <v>45.333806963074203</v>
      </c>
      <c r="AI2363">
        <v>91.399474664866304</v>
      </c>
      <c r="AJ2363">
        <v>92.035647640587101</v>
      </c>
      <c r="AK2363">
        <v>45.375969305815701</v>
      </c>
      <c r="AL2363">
        <v>89.333001311182201</v>
      </c>
      <c r="AM2363">
        <v>96.169618504917594</v>
      </c>
      <c r="AN2363">
        <v>0.99999997520321104</v>
      </c>
    </row>
    <row r="2364" spans="1:40" x14ac:dyDescent="0.25">
      <c r="A2364" t="str">
        <f>"20190305134945710"</f>
        <v>20190305134945710</v>
      </c>
      <c r="B2364" t="str">
        <f>"1551764985703172"</f>
        <v>1551764985703172</v>
      </c>
      <c r="C2364" t="s">
        <v>40</v>
      </c>
      <c r="D2364">
        <v>4.0074809999999896</v>
      </c>
      <c r="E2364">
        <v>0.52673950000000003</v>
      </c>
      <c r="F2364" t="s">
        <v>74</v>
      </c>
      <c r="G2364">
        <v>-340.61239999999998</v>
      </c>
      <c r="H2364" s="1">
        <v>-1.210896E-6</v>
      </c>
      <c r="I2364">
        <v>284.5068</v>
      </c>
      <c r="J2364">
        <v>-299.97070000000002</v>
      </c>
      <c r="K2364">
        <v>1.10829</v>
      </c>
      <c r="L2364">
        <v>285.08589999999998</v>
      </c>
      <c r="M2364">
        <v>-0.99964120000000001</v>
      </c>
      <c r="N2364">
        <v>-1.509082E-2</v>
      </c>
      <c r="O2364">
        <v>2.212857E-2</v>
      </c>
      <c r="P2364">
        <v>-0.99622790000000006</v>
      </c>
      <c r="Q2364">
        <v>-5.4829269999999899E-3</v>
      </c>
      <c r="R2364">
        <v>-8.6602289999999998E-2</v>
      </c>
      <c r="S2364">
        <v>-3.0071409999999998</v>
      </c>
      <c r="T2364">
        <v>-8.1400159999999999E-2</v>
      </c>
      <c r="U2364">
        <v>-4.2053220000000002E-2</v>
      </c>
      <c r="V2364">
        <v>-0.1086066</v>
      </c>
      <c r="W2364">
        <v>9.7705420000000001E-3</v>
      </c>
      <c r="X2364">
        <v>0.99403680000000005</v>
      </c>
      <c r="Y2364">
        <v>-3.6086409999999999E-2</v>
      </c>
      <c r="Z2364">
        <v>-1.025614E-3</v>
      </c>
      <c r="AA2364">
        <v>0.99934820000000002</v>
      </c>
      <c r="AB2364">
        <v>54</v>
      </c>
      <c r="AC2364">
        <v>-40.641699999999901</v>
      </c>
      <c r="AD2364">
        <v>-1.1082912108959999</v>
      </c>
      <c r="AE2364">
        <v>-0.57909999999998196</v>
      </c>
      <c r="AF2364">
        <v>-1.47730495692647</v>
      </c>
      <c r="AG2364">
        <v>-1.1082912108959999</v>
      </c>
      <c r="AH2364">
        <v>40.588752431511502</v>
      </c>
      <c r="AI2364">
        <v>91.5630597867695</v>
      </c>
      <c r="AJ2364">
        <v>92.084468899440395</v>
      </c>
      <c r="AK2364">
        <v>40.630746526373798</v>
      </c>
      <c r="AL2364">
        <v>89.440180277251201</v>
      </c>
      <c r="AM2364">
        <v>96.235297155231905</v>
      </c>
      <c r="AN2364">
        <v>1.0000000084043801</v>
      </c>
    </row>
    <row r="2365" spans="1:40" x14ac:dyDescent="0.25">
      <c r="A2365" t="str">
        <f>"20190305134945722"</f>
        <v>20190305134945722</v>
      </c>
      <c r="B2365" t="str">
        <f>"1551764985712932"</f>
        <v>1551764985712932</v>
      </c>
      <c r="C2365" t="s">
        <v>40</v>
      </c>
      <c r="D2365">
        <v>4.009639</v>
      </c>
      <c r="E2365">
        <v>0.52672200000000002</v>
      </c>
      <c r="F2365" t="s">
        <v>74</v>
      </c>
      <c r="G2365">
        <v>-337.78699999999998</v>
      </c>
      <c r="H2365" s="1">
        <v>2.6109209999999998E-6</v>
      </c>
      <c r="I2365">
        <v>284.52859999999998</v>
      </c>
      <c r="J2365">
        <v>-300.25369999999998</v>
      </c>
      <c r="K2365">
        <v>1.1083609999999999</v>
      </c>
      <c r="L2365">
        <v>285.09230000000002</v>
      </c>
      <c r="M2365">
        <v>-0.99963829999999998</v>
      </c>
      <c r="N2365">
        <v>-1.510382E-2</v>
      </c>
      <c r="O2365">
        <v>2.2253780000000001E-2</v>
      </c>
      <c r="P2365">
        <v>-0.99613949999999996</v>
      </c>
      <c r="Q2365">
        <v>-6.6558869999999897E-3</v>
      </c>
      <c r="R2365">
        <v>-8.753213E-2</v>
      </c>
      <c r="S2365">
        <v>-3.0069889999999999</v>
      </c>
      <c r="T2365">
        <v>-8.8126060000000006E-2</v>
      </c>
      <c r="U2365">
        <v>-4.431152E-2</v>
      </c>
      <c r="V2365">
        <v>-0.1096623</v>
      </c>
      <c r="W2365">
        <v>8.5932779999999993E-3</v>
      </c>
      <c r="X2365">
        <v>0.99393180000000003</v>
      </c>
      <c r="Y2365">
        <v>-3.695855E-2</v>
      </c>
      <c r="Z2365">
        <v>-1.136572E-3</v>
      </c>
      <c r="AA2365">
        <v>0.99931619999999999</v>
      </c>
      <c r="AB2365">
        <v>54</v>
      </c>
      <c r="AC2365">
        <v>-37.533299999999997</v>
      </c>
      <c r="AD2365">
        <v>-1.1083583890790001</v>
      </c>
      <c r="AE2365">
        <v>-0.56370000000003895</v>
      </c>
      <c r="AF2365">
        <v>-1.3976948783230601</v>
      </c>
      <c r="AG2365">
        <v>-1.1083583890790001</v>
      </c>
      <c r="AH2365">
        <v>37.478782107193503</v>
      </c>
      <c r="AI2365">
        <v>91.692735890562503</v>
      </c>
      <c r="AJ2365">
        <v>92.135739715364295</v>
      </c>
      <c r="AK2365">
        <v>37.521208902832797</v>
      </c>
      <c r="AL2365">
        <v>89.507635400106196</v>
      </c>
      <c r="AM2365">
        <v>96.296082150068898</v>
      </c>
      <c r="AN2365">
        <v>1.0000000437596499</v>
      </c>
    </row>
    <row r="2366" spans="1:40" x14ac:dyDescent="0.25">
      <c r="A2366" t="str">
        <f>"20190305134945741"</f>
        <v>20190305134945741</v>
      </c>
      <c r="B2366" t="str">
        <f>"1551764985732456"</f>
        <v>1551764985732456</v>
      </c>
      <c r="C2366" t="s">
        <v>40</v>
      </c>
      <c r="D2366">
        <v>4.0284870000000002</v>
      </c>
      <c r="E2366">
        <v>0.52669449999999995</v>
      </c>
      <c r="F2366" t="s">
        <v>74</v>
      </c>
      <c r="G2366">
        <v>-335.98480000000001</v>
      </c>
      <c r="H2366" s="1">
        <v>1.651707E-6</v>
      </c>
      <c r="I2366">
        <v>284.53199999999998</v>
      </c>
      <c r="J2366">
        <v>-300.68619999999999</v>
      </c>
      <c r="K2366">
        <v>1.108474</v>
      </c>
      <c r="L2366">
        <v>285.10199999999998</v>
      </c>
      <c r="M2366">
        <v>-0.99963440000000003</v>
      </c>
      <c r="N2366">
        <v>-1.512198E-2</v>
      </c>
      <c r="O2366">
        <v>2.2414610000000001E-2</v>
      </c>
      <c r="P2366">
        <v>-0.99599680000000002</v>
      </c>
      <c r="Q2366">
        <v>-6.5024530000000001E-3</v>
      </c>
      <c r="R2366">
        <v>-8.9153399999999994E-2</v>
      </c>
      <c r="S2366">
        <v>-3.0068969999999999</v>
      </c>
      <c r="T2366">
        <v>-9.3272209999999994E-2</v>
      </c>
      <c r="U2366">
        <v>-4.7149660000000003E-2</v>
      </c>
      <c r="V2366">
        <v>-0.1114417</v>
      </c>
      <c r="W2366">
        <v>8.7387090000000008E-3</v>
      </c>
      <c r="X2366">
        <v>0.99373259999999997</v>
      </c>
      <c r="Y2366">
        <v>-3.8059000000000003E-2</v>
      </c>
      <c r="Z2366">
        <v>-1.234155E-3</v>
      </c>
      <c r="AA2366">
        <v>0.99927469999999996</v>
      </c>
      <c r="AB2366">
        <v>54</v>
      </c>
      <c r="AC2366">
        <v>-35.2986</v>
      </c>
      <c r="AD2366">
        <v>-1.1084723482929999</v>
      </c>
      <c r="AE2366">
        <v>-0.57000000000005002</v>
      </c>
      <c r="AF2366">
        <v>-1.3598109815142301</v>
      </c>
      <c r="AG2366">
        <v>-1.1084723482929999</v>
      </c>
      <c r="AH2366">
        <v>35.2422074145924</v>
      </c>
      <c r="AI2366">
        <v>91.800190264568798</v>
      </c>
      <c r="AJ2366">
        <v>92.209645934010197</v>
      </c>
      <c r="AK2366">
        <v>35.285846742079499</v>
      </c>
      <c r="AL2366">
        <v>89.499302507632393</v>
      </c>
      <c r="AM2366">
        <v>96.3986749556978</v>
      </c>
      <c r="AN2366">
        <v>1.0000000489183101</v>
      </c>
    </row>
    <row r="2367" spans="1:40" x14ac:dyDescent="0.25">
      <c r="A2367" t="str">
        <f>"20190305134945752"</f>
        <v>20190305134945752</v>
      </c>
      <c r="B2367" t="str">
        <f>"1551764985743188"</f>
        <v>1551764985743188</v>
      </c>
      <c r="C2367" t="s">
        <v>40</v>
      </c>
      <c r="D2367">
        <v>4.0996379999999997</v>
      </c>
      <c r="E2367">
        <v>0.52639139999999995</v>
      </c>
      <c r="F2367" t="s">
        <v>74</v>
      </c>
      <c r="G2367">
        <v>-335.80160000000001</v>
      </c>
      <c r="H2367" s="1">
        <v>1.5559490000000001E-6</v>
      </c>
      <c r="I2367">
        <v>284.49250000000001</v>
      </c>
      <c r="J2367">
        <v>-300.97489999999999</v>
      </c>
      <c r="K2367">
        <v>1.108544</v>
      </c>
      <c r="L2367">
        <v>285.10849999999999</v>
      </c>
      <c r="M2367">
        <v>-0.99963239999999998</v>
      </c>
      <c r="N2367">
        <v>-1.5132949999999999E-2</v>
      </c>
      <c r="O2367">
        <v>2.250249E-2</v>
      </c>
      <c r="P2367">
        <v>-0.99591470000000004</v>
      </c>
      <c r="Q2367">
        <v>-6.4402840000000001E-3</v>
      </c>
      <c r="R2367">
        <v>-9.0070910000000004E-2</v>
      </c>
      <c r="S2367">
        <v>-3.0067750000000002</v>
      </c>
      <c r="T2367">
        <v>-9.4913600000000001E-2</v>
      </c>
      <c r="U2367">
        <v>-5.2185059999999998E-2</v>
      </c>
      <c r="V2367">
        <v>-0.112445699999999</v>
      </c>
      <c r="W2367">
        <v>8.794975E-3</v>
      </c>
      <c r="X2367">
        <v>0.99361900000000003</v>
      </c>
      <c r="Y2367">
        <v>-3.9818119999999999E-2</v>
      </c>
      <c r="Z2367">
        <v>-1.299293E-3</v>
      </c>
      <c r="AA2367">
        <v>0.99920609999999999</v>
      </c>
      <c r="AB2367">
        <v>54</v>
      </c>
      <c r="AC2367">
        <v>-34.826700000000002</v>
      </c>
      <c r="AD2367">
        <v>-1.1085424440510001</v>
      </c>
      <c r="AE2367">
        <v>-0.615999999999985</v>
      </c>
      <c r="AF2367">
        <v>-1.39820491601505</v>
      </c>
      <c r="AG2367">
        <v>-1.1085424440510001</v>
      </c>
      <c r="AH2367">
        <v>34.768800786474301</v>
      </c>
      <c r="AI2367">
        <v>91.824683327744296</v>
      </c>
      <c r="AJ2367">
        <v>92.302871985120504</v>
      </c>
      <c r="AK2367">
        <v>34.814556603050001</v>
      </c>
      <c r="AL2367">
        <v>89.496078581167694</v>
      </c>
      <c r="AM2367">
        <v>96.4565691918325</v>
      </c>
      <c r="AN2367">
        <v>1.00000005209736</v>
      </c>
    </row>
    <row r="2368" spans="1:40" x14ac:dyDescent="0.25">
      <c r="A2368" t="str">
        <f>"20190305134945764"</f>
        <v>20190305134945764</v>
      </c>
      <c r="B2368" t="str">
        <f>"1551764985752948"</f>
        <v>1551764985752948</v>
      </c>
      <c r="C2368" t="s">
        <v>40</v>
      </c>
      <c r="D2368">
        <v>3.8370410000000001</v>
      </c>
      <c r="E2368">
        <v>0.52639139999999995</v>
      </c>
      <c r="F2368" t="s">
        <v>74</v>
      </c>
      <c r="G2368">
        <v>-333.60809999999998</v>
      </c>
      <c r="H2368" s="1">
        <v>3.8878600000000002E-7</v>
      </c>
      <c r="I2368">
        <v>284.49040000000002</v>
      </c>
      <c r="J2368">
        <v>-301.26139999999998</v>
      </c>
      <c r="K2368">
        <v>1.1086039999999999</v>
      </c>
      <c r="L2368">
        <v>285.11500000000001</v>
      </c>
      <c r="M2368">
        <v>-0.99963060000000004</v>
      </c>
      <c r="N2368">
        <v>-1.5142610000000001E-2</v>
      </c>
      <c r="O2368">
        <v>2.2571959999999999E-2</v>
      </c>
      <c r="P2368">
        <v>-0.99581620000000004</v>
      </c>
      <c r="Q2368">
        <v>-6.9205780000000001E-3</v>
      </c>
      <c r="R2368">
        <v>-9.1118279999999996E-2</v>
      </c>
      <c r="S2368">
        <v>-3.0065</v>
      </c>
      <c r="T2368">
        <v>-0.10213029999999999</v>
      </c>
      <c r="U2368">
        <v>-5.6945799999999998E-2</v>
      </c>
      <c r="V2368">
        <v>-0.11356189999999999</v>
      </c>
      <c r="W2368">
        <v>8.3071880000000001E-3</v>
      </c>
      <c r="X2368">
        <v>0.99349620000000005</v>
      </c>
      <c r="Y2368">
        <v>-4.1464609999999999E-2</v>
      </c>
      <c r="Z2368">
        <v>-1.4428570000000001E-3</v>
      </c>
      <c r="AA2368">
        <v>0.999139</v>
      </c>
      <c r="AB2368">
        <v>54</v>
      </c>
      <c r="AC2368">
        <v>-32.346699999999998</v>
      </c>
      <c r="AD2368">
        <v>-1.1086036112140001</v>
      </c>
      <c r="AE2368">
        <v>-0.62459999999998606</v>
      </c>
      <c r="AF2368">
        <v>-1.35306419677982</v>
      </c>
      <c r="AG2368">
        <v>-1.1086036112140001</v>
      </c>
      <c r="AH2368">
        <v>32.286447029632299</v>
      </c>
      <c r="AI2368">
        <v>91.964840655232507</v>
      </c>
      <c r="AJ2368">
        <v>92.399753995553098</v>
      </c>
      <c r="AK2368">
        <v>32.333797279080201</v>
      </c>
      <c r="AL2368">
        <v>89.524027716758894</v>
      </c>
      <c r="AM2368">
        <v>96.520910530724507</v>
      </c>
      <c r="AN2368">
        <v>1.0000000069592501</v>
      </c>
    </row>
    <row r="2369" spans="1:40" x14ac:dyDescent="0.25">
      <c r="A2369" t="str">
        <f>"20190305134945777"</f>
        <v>20190305134945777</v>
      </c>
      <c r="B2369" t="str">
        <f>"1551764985773444"</f>
        <v>1551764985773444</v>
      </c>
      <c r="C2369" t="s">
        <v>40</v>
      </c>
      <c r="D2369">
        <v>3.9725000000000001</v>
      </c>
      <c r="E2369">
        <v>0.52803869999999997</v>
      </c>
      <c r="F2369" t="s">
        <v>74</v>
      </c>
      <c r="G2369">
        <v>-333.48239999999998</v>
      </c>
      <c r="H2369" s="1">
        <v>3.2268399999999998E-7</v>
      </c>
      <c r="I2369">
        <v>284.47230000000002</v>
      </c>
      <c r="J2369">
        <v>-301.54770000000002</v>
      </c>
      <c r="K2369">
        <v>1.1086590000000001</v>
      </c>
      <c r="L2369">
        <v>285.12150000000003</v>
      </c>
      <c r="M2369">
        <v>-0.99962910000000005</v>
      </c>
      <c r="N2369">
        <v>-1.5151390000000001E-2</v>
      </c>
      <c r="O2369">
        <v>2.2629320000000001E-2</v>
      </c>
      <c r="P2369">
        <v>-0.99573020000000001</v>
      </c>
      <c r="Q2369">
        <v>-7.9414059999999998E-3</v>
      </c>
      <c r="R2369">
        <v>-9.1970339999999998E-2</v>
      </c>
      <c r="S2369">
        <v>-3.0064090000000001</v>
      </c>
      <c r="T2369">
        <v>-0.1034392</v>
      </c>
      <c r="U2369">
        <v>-5.9967039999999999E-2</v>
      </c>
      <c r="V2369">
        <v>-0.1144714</v>
      </c>
      <c r="W2369">
        <v>7.2801100000000002E-3</v>
      </c>
      <c r="X2369">
        <v>0.9933999</v>
      </c>
      <c r="Y2369">
        <v>-4.2524319999999997E-2</v>
      </c>
      <c r="Z2369">
        <v>-1.48908E-3</v>
      </c>
      <c r="AA2369">
        <v>0.99909429999999999</v>
      </c>
      <c r="AB2369">
        <v>54</v>
      </c>
      <c r="AC2369">
        <v>-31.9346999999999</v>
      </c>
      <c r="AD2369">
        <v>-1.1086586773160001</v>
      </c>
      <c r="AE2369">
        <v>-0.64920000000000699</v>
      </c>
      <c r="AF2369">
        <v>-1.3701265940148</v>
      </c>
      <c r="AG2369">
        <v>-1.1086586773160001</v>
      </c>
      <c r="AH2369">
        <v>31.873428822337701</v>
      </c>
      <c r="AI2369">
        <v>91.990288770518902</v>
      </c>
      <c r="AJ2369">
        <v>92.461428669527606</v>
      </c>
      <c r="AK2369">
        <v>31.922121418211599</v>
      </c>
      <c r="AL2369">
        <v>89.582876751049994</v>
      </c>
      <c r="AM2369">
        <v>96.573311915148494</v>
      </c>
      <c r="AN2369">
        <v>1.0000000313697901</v>
      </c>
    </row>
    <row r="2370" spans="1:40" x14ac:dyDescent="0.25">
      <c r="A2370" t="str">
        <f>"20190305134945791"</f>
        <v>20190305134945791</v>
      </c>
      <c r="B2370" t="str">
        <f>"1551764985783204"</f>
        <v>1551764985783204</v>
      </c>
      <c r="C2370" t="s">
        <v>40</v>
      </c>
      <c r="D2370">
        <v>3.8271799999999998</v>
      </c>
      <c r="E2370">
        <v>0.52832460000000003</v>
      </c>
      <c r="F2370" t="s">
        <v>76</v>
      </c>
      <c r="G2370">
        <v>-551.07299999999998</v>
      </c>
      <c r="H2370">
        <v>33.518909999999998</v>
      </c>
      <c r="I2370">
        <v>279.23079999999999</v>
      </c>
      <c r="J2370">
        <v>-301.87650000000002</v>
      </c>
      <c r="K2370">
        <v>1.1087180000000001</v>
      </c>
      <c r="L2370">
        <v>285.12900000000002</v>
      </c>
      <c r="M2370">
        <v>-0.99962779999999996</v>
      </c>
      <c r="N2370">
        <v>-1.5160699999999999E-2</v>
      </c>
      <c r="O2370">
        <v>2.2684360000000001E-2</v>
      </c>
      <c r="P2370">
        <v>-0.99561770000000005</v>
      </c>
      <c r="Q2370">
        <v>-9.4033459999999999E-3</v>
      </c>
      <c r="R2370">
        <v>-9.3042360000000005E-2</v>
      </c>
      <c r="S2370">
        <v>-3.00943</v>
      </c>
      <c r="T2370">
        <v>0.39088859999999997</v>
      </c>
      <c r="U2370">
        <v>-7.1044919999999998E-2</v>
      </c>
      <c r="V2370">
        <v>-0.1155984</v>
      </c>
      <c r="W2370">
        <v>5.8095769999999998E-3</v>
      </c>
      <c r="X2370">
        <v>0.99327900000000002</v>
      </c>
      <c r="Y2370">
        <v>-4.5699379999999998E-2</v>
      </c>
      <c r="Z2370">
        <v>5.8832950000000002E-3</v>
      </c>
      <c r="AA2370">
        <v>0.99893790000000005</v>
      </c>
      <c r="AB2370">
        <v>54</v>
      </c>
      <c r="AC2370">
        <v>-249.19649999999999</v>
      </c>
      <c r="AD2370">
        <v>32.410191999999903</v>
      </c>
      <c r="AE2370">
        <v>-5.8982000000000303</v>
      </c>
      <c r="AF2370">
        <v>-11.3581751124725</v>
      </c>
      <c r="AG2370">
        <v>32.410191999999903</v>
      </c>
      <c r="AH2370">
        <v>244.85900798487199</v>
      </c>
      <c r="AI2370">
        <v>82.468012914573293</v>
      </c>
      <c r="AJ2370">
        <v>92.655852208975304</v>
      </c>
      <c r="AK2370">
        <v>247.25566217722499</v>
      </c>
      <c r="AL2370">
        <v>89.667133870226394</v>
      </c>
      <c r="AM2370">
        <v>96.638253856549099</v>
      </c>
      <c r="AN2370">
        <v>0.99999995655423801</v>
      </c>
    </row>
    <row r="2371" spans="1:40" x14ac:dyDescent="0.25">
      <c r="A2371" t="str">
        <f>"20190305134945806"</f>
        <v>20190305134945806</v>
      </c>
      <c r="B2371" t="str">
        <f>"1551764985802724"</f>
        <v>1551764985802724</v>
      </c>
      <c r="C2371" t="s">
        <v>40</v>
      </c>
      <c r="D2371">
        <v>4.1303010000000002</v>
      </c>
      <c r="E2371">
        <v>0.5220496</v>
      </c>
      <c r="F2371" t="s">
        <v>76</v>
      </c>
      <c r="G2371">
        <v>-551.07309999999995</v>
      </c>
      <c r="H2371">
        <v>33.925329999999903</v>
      </c>
      <c r="I2371">
        <v>279.11369999999999</v>
      </c>
      <c r="J2371">
        <v>-302.2627</v>
      </c>
      <c r="K2371">
        <v>1.1087739999999999</v>
      </c>
      <c r="L2371">
        <v>285.13780000000003</v>
      </c>
      <c r="M2371">
        <v>-0.99962669999999998</v>
      </c>
      <c r="N2371">
        <v>-1.516998E-2</v>
      </c>
      <c r="O2371">
        <v>2.2721939999999999E-2</v>
      </c>
      <c r="P2371">
        <v>-0.99547200000000002</v>
      </c>
      <c r="Q2371">
        <v>-1.165278E-2</v>
      </c>
      <c r="R2371">
        <v>-9.4336870000000003E-2</v>
      </c>
      <c r="S2371">
        <v>-3.0101930000000001</v>
      </c>
      <c r="T2371">
        <v>0.39641179999999998</v>
      </c>
      <c r="U2371">
        <v>-7.2662350000000001E-2</v>
      </c>
      <c r="V2371">
        <v>-0.1169304</v>
      </c>
      <c r="W2371">
        <v>3.548917E-3</v>
      </c>
      <c r="X2371">
        <v>0.99313379999999996</v>
      </c>
      <c r="Y2371">
        <v>-4.6246879999999997E-2</v>
      </c>
      <c r="Z2371">
        <v>6.0013890000000002E-3</v>
      </c>
      <c r="AA2371">
        <v>0.99891200000000002</v>
      </c>
      <c r="AB2371">
        <v>54</v>
      </c>
      <c r="AC2371">
        <v>-248.81039999999999</v>
      </c>
      <c r="AD2371">
        <v>32.816555999999999</v>
      </c>
      <c r="AE2371">
        <v>-6.02410000000003</v>
      </c>
      <c r="AF2371">
        <v>-11.4771114408525</v>
      </c>
      <c r="AG2371">
        <v>32.816555999999999</v>
      </c>
      <c r="AH2371">
        <v>244.36084678156499</v>
      </c>
      <c r="AI2371">
        <v>82.359522800593197</v>
      </c>
      <c r="AJ2371">
        <v>92.6890852208913</v>
      </c>
      <c r="AK2371">
        <v>246.82154256573801</v>
      </c>
      <c r="AL2371">
        <v>89.796661613113997</v>
      </c>
      <c r="AM2371">
        <v>96.715022407993402</v>
      </c>
      <c r="AN2371">
        <v>1.0000000289792299</v>
      </c>
    </row>
    <row r="2372" spans="1:40" x14ac:dyDescent="0.25">
      <c r="A2372" t="str">
        <f>"20190305134945822"</f>
        <v>20190305134945822</v>
      </c>
      <c r="B2372" t="str">
        <f>"1551764985812485"</f>
        <v>1551764985812485</v>
      </c>
      <c r="C2372" t="s">
        <v>40</v>
      </c>
      <c r="D2372">
        <v>4.491924</v>
      </c>
      <c r="E2372">
        <v>0.52337469999999997</v>
      </c>
      <c r="F2372" t="s">
        <v>78</v>
      </c>
      <c r="G2372">
        <v>-317.17320000000001</v>
      </c>
      <c r="H2372" s="1">
        <v>5.3955229999999998E-6</v>
      </c>
      <c r="I2372">
        <v>284.64479999999998</v>
      </c>
      <c r="J2372">
        <v>-302.61410000000001</v>
      </c>
      <c r="K2372">
        <v>1.1088370000000001</v>
      </c>
      <c r="L2372">
        <v>285.14580000000001</v>
      </c>
      <c r="M2372">
        <v>-0.99962640000000003</v>
      </c>
      <c r="N2372">
        <v>-1.5177349999999999E-2</v>
      </c>
      <c r="O2372">
        <v>2.2734549999999999E-2</v>
      </c>
      <c r="P2372">
        <v>-0.9954345</v>
      </c>
      <c r="Q2372">
        <v>-1.169281E-2</v>
      </c>
      <c r="R2372">
        <v>-9.4728930000000003E-2</v>
      </c>
      <c r="S2372">
        <v>-3.0015869999999998</v>
      </c>
      <c r="T2372">
        <v>-0.22320209999999999</v>
      </c>
      <c r="U2372">
        <v>-9.9243159999999997E-2</v>
      </c>
      <c r="V2372">
        <v>-0.11733440000000001</v>
      </c>
      <c r="W2372">
        <v>3.4988490000000001E-3</v>
      </c>
      <c r="X2372">
        <v>0.99308629999999998</v>
      </c>
      <c r="Y2372">
        <v>-5.5537419999999997E-2</v>
      </c>
      <c r="Z2372">
        <v>-3.8270499999999998E-3</v>
      </c>
      <c r="AA2372">
        <v>0.99844929999999998</v>
      </c>
      <c r="AB2372">
        <v>54</v>
      </c>
      <c r="AC2372">
        <v>-14.559100000000001</v>
      </c>
      <c r="AD2372">
        <v>-1.1088316044769999</v>
      </c>
      <c r="AE2372">
        <v>-0.50100000000003297</v>
      </c>
      <c r="AF2372">
        <v>-0.82711122330095399</v>
      </c>
      <c r="AG2372">
        <v>-1.1088316044769999</v>
      </c>
      <c r="AH2372">
        <v>14.4601684532975</v>
      </c>
      <c r="AI2372">
        <v>94.377833844882701</v>
      </c>
      <c r="AJ2372">
        <v>93.273710179130006</v>
      </c>
      <c r="AK2372">
        <v>14.526186430048901</v>
      </c>
      <c r="AL2372">
        <v>89.799530310384</v>
      </c>
      <c r="AM2372">
        <v>96.738329488834907</v>
      </c>
      <c r="AN2372">
        <v>1.00000000130768</v>
      </c>
    </row>
    <row r="2373" spans="1:40" x14ac:dyDescent="0.25">
      <c r="A2373" t="str">
        <f>"20190305134945834"</f>
        <v>20190305134945834</v>
      </c>
      <c r="B2373" t="str">
        <f>"1551764985823220"</f>
        <v>1551764985823220</v>
      </c>
      <c r="C2373" t="s">
        <v>40</v>
      </c>
      <c r="D2373">
        <v>4.119497</v>
      </c>
      <c r="E2373">
        <v>0.52363119999999996</v>
      </c>
      <c r="F2373" t="s">
        <v>78</v>
      </c>
      <c r="G2373">
        <v>-318.13529999999997</v>
      </c>
      <c r="H2373" s="1">
        <v>5.8192430000000002E-6</v>
      </c>
      <c r="I2373">
        <v>284.67809999999997</v>
      </c>
      <c r="J2373">
        <v>-302.92360000000002</v>
      </c>
      <c r="K2373">
        <v>1.108894</v>
      </c>
      <c r="L2373">
        <v>285.15289999999999</v>
      </c>
      <c r="M2373">
        <v>-0.99962640000000003</v>
      </c>
      <c r="N2373">
        <v>-1.5183220000000001E-2</v>
      </c>
      <c r="O2373">
        <v>2.2730899999999998E-2</v>
      </c>
      <c r="P2373">
        <v>-0.99540039999999996</v>
      </c>
      <c r="Q2373">
        <v>-1.1697829999999999E-2</v>
      </c>
      <c r="R2373">
        <v>-9.5086190000000001E-2</v>
      </c>
      <c r="S2373">
        <v>-3.0026250000000001</v>
      </c>
      <c r="T2373">
        <v>-0.2145069</v>
      </c>
      <c r="U2373">
        <v>-9.0484620000000002E-2</v>
      </c>
      <c r="V2373">
        <v>-0.1176876</v>
      </c>
      <c r="W2373">
        <v>3.484067E-3</v>
      </c>
      <c r="X2373">
        <v>0.99304460000000006</v>
      </c>
      <c r="Y2373">
        <v>-5.2638400000000002E-2</v>
      </c>
      <c r="Z2373">
        <v>-3.5545350000000002E-3</v>
      </c>
      <c r="AA2373">
        <v>0.99860729999999998</v>
      </c>
      <c r="AB2373">
        <v>53</v>
      </c>
      <c r="AC2373">
        <v>-15.211699999999899</v>
      </c>
      <c r="AD2373">
        <v>-1.1088881807569999</v>
      </c>
      <c r="AE2373">
        <v>-0.47480000000001599</v>
      </c>
      <c r="AF2373">
        <v>-0.81615992158596196</v>
      </c>
      <c r="AG2373">
        <v>-1.1088881807569999</v>
      </c>
      <c r="AH2373">
        <v>15.1167230202428</v>
      </c>
      <c r="AI2373">
        <v>94.189341482935504</v>
      </c>
      <c r="AJ2373">
        <v>93.090429117791203</v>
      </c>
      <c r="AK2373">
        <v>15.17929724611</v>
      </c>
      <c r="AL2373">
        <v>89.800377270230996</v>
      </c>
      <c r="AM2373">
        <v>96.7587070337744</v>
      </c>
      <c r="AN2373">
        <v>1.00000004375288</v>
      </c>
    </row>
    <row r="2374" spans="1:40" x14ac:dyDescent="0.25">
      <c r="A2374" t="str">
        <f>"20190305134945851"</f>
        <v>20190305134945851</v>
      </c>
      <c r="B2374" t="str">
        <f>"1551764985842743"</f>
        <v>1551764985842743</v>
      </c>
      <c r="C2374" t="s">
        <v>40</v>
      </c>
      <c r="D2374">
        <v>3.7449789999999998</v>
      </c>
      <c r="E2374">
        <v>0.52429419999999904</v>
      </c>
      <c r="F2374" t="s">
        <v>78</v>
      </c>
      <c r="G2374">
        <v>-318.64510000000001</v>
      </c>
      <c r="H2374" s="1">
        <v>6.0448409999999998E-6</v>
      </c>
      <c r="I2374">
        <v>284.68389999999999</v>
      </c>
      <c r="J2374">
        <v>-303.32429999999999</v>
      </c>
      <c r="K2374">
        <v>1.1089709999999999</v>
      </c>
      <c r="L2374">
        <v>285.16199999999998</v>
      </c>
      <c r="M2374">
        <v>-0.99962689999999998</v>
      </c>
      <c r="N2374">
        <v>-1.5189859999999999E-2</v>
      </c>
      <c r="O2374">
        <v>2.269964E-2</v>
      </c>
      <c r="P2374">
        <v>-0.99538550000000003</v>
      </c>
      <c r="Q2374">
        <v>-1.146488E-2</v>
      </c>
      <c r="R2374">
        <v>-9.5270380000000002E-2</v>
      </c>
      <c r="S2374">
        <v>-3.0028079999999999</v>
      </c>
      <c r="T2374">
        <v>-0.2117965</v>
      </c>
      <c r="U2374">
        <v>-8.9569090000000004E-2</v>
      </c>
      <c r="V2374">
        <v>-0.117840899999999</v>
      </c>
      <c r="W2374">
        <v>3.7034110000000002E-3</v>
      </c>
      <c r="X2374">
        <v>0.99302559999999995</v>
      </c>
      <c r="Y2374">
        <v>-5.2307069999999997E-2</v>
      </c>
      <c r="Z2374">
        <v>-3.4943209999999999E-3</v>
      </c>
      <c r="AA2374">
        <v>0.99862490000000004</v>
      </c>
      <c r="AB2374">
        <v>53</v>
      </c>
      <c r="AC2374">
        <v>-15.3208</v>
      </c>
      <c r="AD2374">
        <v>-1.108964955159</v>
      </c>
      <c r="AE2374">
        <v>-0.47810000000003999</v>
      </c>
      <c r="AF2374">
        <v>-0.82149370250774001</v>
      </c>
      <c r="AG2374">
        <v>-1.108964955159</v>
      </c>
      <c r="AH2374">
        <v>15.2262999775231</v>
      </c>
      <c r="AI2374">
        <v>94.159594322456002</v>
      </c>
      <c r="AJ2374">
        <v>93.088244177098005</v>
      </c>
      <c r="AK2374">
        <v>15.2887169566498</v>
      </c>
      <c r="AL2374">
        <v>89.787809698592</v>
      </c>
      <c r="AM2374">
        <v>96.767557615370606</v>
      </c>
      <c r="AN2374">
        <v>1.0000000176106001</v>
      </c>
    </row>
    <row r="2375" spans="1:40" x14ac:dyDescent="0.25">
      <c r="A2375" t="str">
        <f>"20190305134945863"</f>
        <v>20190305134945863</v>
      </c>
      <c r="B2375" t="str">
        <f>"1551764985852500"</f>
        <v>1551764985852500</v>
      </c>
      <c r="C2375" t="s">
        <v>40</v>
      </c>
      <c r="D2375">
        <v>4.1041639999999999</v>
      </c>
      <c r="E2375">
        <v>0.52409600000000001</v>
      </c>
      <c r="F2375" t="s">
        <v>78</v>
      </c>
      <c r="G2375">
        <v>-319.29250000000002</v>
      </c>
      <c r="H2375" s="1">
        <v>6.3295080000000004E-6</v>
      </c>
      <c r="I2375">
        <v>284.71140000000003</v>
      </c>
      <c r="J2375">
        <v>-303.62709999999998</v>
      </c>
      <c r="K2375">
        <v>1.10903</v>
      </c>
      <c r="L2375">
        <v>285.16890000000001</v>
      </c>
      <c r="M2375">
        <v>-0.99962810000000002</v>
      </c>
      <c r="N2375">
        <v>-1.519409E-2</v>
      </c>
      <c r="O2375">
        <v>2.2650130000000001E-2</v>
      </c>
      <c r="P2375">
        <v>-0.99538179999999998</v>
      </c>
      <c r="Q2375">
        <v>-1.0863070000000001E-2</v>
      </c>
      <c r="R2375">
        <v>-9.5380259999999994E-2</v>
      </c>
      <c r="S2375">
        <v>-3.003387</v>
      </c>
      <c r="T2375">
        <v>-0.20858009999999999</v>
      </c>
      <c r="U2375">
        <v>-8.4747310000000006E-2</v>
      </c>
      <c r="V2375">
        <v>-0.1179013</v>
      </c>
      <c r="W2375">
        <v>4.2937309999999899E-3</v>
      </c>
      <c r="X2375">
        <v>0.99301609999999996</v>
      </c>
      <c r="Y2375">
        <v>-5.0660539999999997E-2</v>
      </c>
      <c r="Z2375">
        <v>-3.369276E-3</v>
      </c>
      <c r="AA2375">
        <v>0.99871030000000005</v>
      </c>
      <c r="AB2375">
        <v>53</v>
      </c>
      <c r="AC2375">
        <v>-15.6654</v>
      </c>
      <c r="AD2375">
        <v>-1.109023670492</v>
      </c>
      <c r="AE2375">
        <v>-0.45749999999998098</v>
      </c>
      <c r="AF2375">
        <v>-0.80819974366412695</v>
      </c>
      <c r="AG2375">
        <v>-1.109023670492</v>
      </c>
      <c r="AH2375">
        <v>15.5730332297333</v>
      </c>
      <c r="AI2375">
        <v>94.067949678624501</v>
      </c>
      <c r="AJ2375">
        <v>92.970836041585201</v>
      </c>
      <c r="AK2375">
        <v>15.633377251948801</v>
      </c>
      <c r="AL2375">
        <v>89.753986595095895</v>
      </c>
      <c r="AM2375">
        <v>96.771058342353697</v>
      </c>
      <c r="AN2375">
        <v>1.0000000637633899</v>
      </c>
    </row>
    <row r="2376" spans="1:40" x14ac:dyDescent="0.25">
      <c r="A2376" t="str">
        <f>"20190305134945874"</f>
        <v>20190305134945874</v>
      </c>
      <c r="B2376" t="str">
        <f>"1551764985863236"</f>
        <v>1551764985863236</v>
      </c>
      <c r="C2376" t="s">
        <v>40</v>
      </c>
      <c r="D2376">
        <v>4.1259610000000002</v>
      </c>
      <c r="E2376">
        <v>0.52384129999999995</v>
      </c>
      <c r="F2376" t="s">
        <v>78</v>
      </c>
      <c r="G2376">
        <v>-319.75380000000001</v>
      </c>
      <c r="H2376" s="1">
        <v>6.5347929999999997E-6</v>
      </c>
      <c r="I2376">
        <v>284.70330000000001</v>
      </c>
      <c r="J2376">
        <v>-303.89159999999998</v>
      </c>
      <c r="K2376">
        <v>1.109084</v>
      </c>
      <c r="L2376">
        <v>285.1748</v>
      </c>
      <c r="M2376">
        <v>-0.9996292</v>
      </c>
      <c r="N2376">
        <v>-1.5197469999999999E-2</v>
      </c>
      <c r="O2376">
        <v>2.2594909999999999E-2</v>
      </c>
      <c r="P2376">
        <v>-0.99538689999999996</v>
      </c>
      <c r="Q2376">
        <v>-1.0729560000000001E-2</v>
      </c>
      <c r="R2376">
        <v>-9.5342369999999996E-2</v>
      </c>
      <c r="S2376">
        <v>-3.003387</v>
      </c>
      <c r="T2376">
        <v>-0.20654139999999999</v>
      </c>
      <c r="U2376">
        <v>-8.6700440000000004E-2</v>
      </c>
      <c r="V2376">
        <v>-0.11780939999999999</v>
      </c>
      <c r="W2376">
        <v>4.4172300000000003E-3</v>
      </c>
      <c r="X2376">
        <v>0.99302639999999998</v>
      </c>
      <c r="Y2376">
        <v>-5.1256110000000001E-2</v>
      </c>
      <c r="Z2376">
        <v>-3.3588300000000001E-3</v>
      </c>
      <c r="AA2376">
        <v>0.99867989999999995</v>
      </c>
      <c r="AB2376">
        <v>53</v>
      </c>
      <c r="AC2376">
        <v>-15.8622</v>
      </c>
      <c r="AD2376">
        <v>-1.1090774652069999</v>
      </c>
      <c r="AE2376">
        <v>-0.47149999999999098</v>
      </c>
      <c r="AF2376">
        <v>-0.82579245111828004</v>
      </c>
      <c r="AG2376">
        <v>-1.1090774652069999</v>
      </c>
      <c r="AH2376">
        <v>15.7704651135275</v>
      </c>
      <c r="AI2376">
        <v>94.017287680731101</v>
      </c>
      <c r="AJ2376">
        <v>92.997454351640599</v>
      </c>
      <c r="AK2376">
        <v>15.830968255073399</v>
      </c>
      <c r="AL2376">
        <v>89.746910540528106</v>
      </c>
      <c r="AM2376">
        <v>96.765759954566803</v>
      </c>
      <c r="AN2376">
        <v>0.99999999887309599</v>
      </c>
    </row>
    <row r="2377" spans="1:40" x14ac:dyDescent="0.25">
      <c r="A2377" t="str">
        <f>"20190305134945886"</f>
        <v>20190305134945886</v>
      </c>
      <c r="B2377" t="str">
        <f>"1551764985882757"</f>
        <v>1551764985882757</v>
      </c>
      <c r="C2377" t="s">
        <v>40</v>
      </c>
      <c r="D2377">
        <v>4.108638</v>
      </c>
      <c r="E2377">
        <v>0.52382949999999995</v>
      </c>
      <c r="F2377" t="s">
        <v>74</v>
      </c>
      <c r="G2377">
        <v>-319.98450000000003</v>
      </c>
      <c r="H2377" s="1">
        <v>-1.548752E-6</v>
      </c>
      <c r="I2377">
        <v>284.70080000000002</v>
      </c>
      <c r="J2377">
        <v>-304.17250000000001</v>
      </c>
      <c r="K2377">
        <v>1.1091390000000001</v>
      </c>
      <c r="L2377">
        <v>285.18119999999999</v>
      </c>
      <c r="M2377">
        <v>-0.99963089999999999</v>
      </c>
      <c r="N2377">
        <v>-1.5200689999999999E-2</v>
      </c>
      <c r="O2377">
        <v>2.2522170000000001E-2</v>
      </c>
      <c r="P2377">
        <v>-0.99540209999999996</v>
      </c>
      <c r="Q2377">
        <v>-1.0323590000000001E-2</v>
      </c>
      <c r="R2377">
        <v>-9.5227110000000004E-2</v>
      </c>
      <c r="S2377">
        <v>-3.0032040000000002</v>
      </c>
      <c r="T2377">
        <v>-0.20697409999999999</v>
      </c>
      <c r="U2377">
        <v>-8.8470460000000001E-2</v>
      </c>
      <c r="V2377">
        <v>-0.11762309999999999</v>
      </c>
      <c r="W2377">
        <v>4.8125240000000003E-3</v>
      </c>
      <c r="X2377">
        <v>0.9930466</v>
      </c>
      <c r="Y2377">
        <v>-5.1771159999999997E-2</v>
      </c>
      <c r="Z2377">
        <v>-3.3836920000000002E-3</v>
      </c>
      <c r="AA2377">
        <v>0.99865320000000002</v>
      </c>
      <c r="AB2377">
        <v>53</v>
      </c>
      <c r="AC2377">
        <v>-15.811999999999999</v>
      </c>
      <c r="AD2377">
        <v>-1.1091405487520001</v>
      </c>
      <c r="AE2377">
        <v>-0.48039999999997401</v>
      </c>
      <c r="AF2377">
        <v>-0.83234807316965598</v>
      </c>
      <c r="AG2377">
        <v>-1.1091405487520001</v>
      </c>
      <c r="AH2377">
        <v>15.719890695653801</v>
      </c>
      <c r="AI2377">
        <v>94.030274652324195</v>
      </c>
      <c r="AJ2377">
        <v>93.030907785730307</v>
      </c>
      <c r="AK2377">
        <v>15.780936586752301</v>
      </c>
      <c r="AL2377">
        <v>89.724261608358205</v>
      </c>
      <c r="AM2377">
        <v>96.755023609182601</v>
      </c>
      <c r="AN2377">
        <v>0.99999995190620905</v>
      </c>
    </row>
    <row r="2378" spans="1:40" x14ac:dyDescent="0.25">
      <c r="A2378" t="str">
        <f>"20190305134945899"</f>
        <v>20190305134945899</v>
      </c>
      <c r="B2378" t="str">
        <f>"1551764985892516"</f>
        <v>1551764985892516</v>
      </c>
      <c r="C2378" t="s">
        <v>40</v>
      </c>
      <c r="D2378">
        <v>4.1186759999999998</v>
      </c>
      <c r="E2378">
        <v>0.52374759999999998</v>
      </c>
      <c r="F2378" t="s">
        <v>74</v>
      </c>
      <c r="G2378">
        <v>-320.65269999999998</v>
      </c>
      <c r="H2378" s="1">
        <v>-1.192923E-6</v>
      </c>
      <c r="I2378">
        <v>284.6961</v>
      </c>
      <c r="J2378">
        <v>-304.46289999999999</v>
      </c>
      <c r="K2378">
        <v>1.1091949999999999</v>
      </c>
      <c r="L2378">
        <v>285.18770000000001</v>
      </c>
      <c r="M2378">
        <v>-0.99963310000000005</v>
      </c>
      <c r="N2378">
        <v>-1.520355E-2</v>
      </c>
      <c r="O2378">
        <v>2.2422190000000002E-2</v>
      </c>
      <c r="P2378">
        <v>-0.99540919999999999</v>
      </c>
      <c r="Q2378">
        <v>-1.1035970000000001E-2</v>
      </c>
      <c r="R2378">
        <v>-9.5073329999999998E-2</v>
      </c>
      <c r="S2378">
        <v>-3.0032960000000002</v>
      </c>
      <c r="T2378">
        <v>-0.2021261</v>
      </c>
      <c r="U2378">
        <v>-8.8409420000000002E-2</v>
      </c>
      <c r="V2378">
        <v>-0.11737060000000001</v>
      </c>
      <c r="W2378">
        <v>4.0882150000000001E-3</v>
      </c>
      <c r="X2378">
        <v>0.99307979999999996</v>
      </c>
      <c r="Y2378">
        <v>-5.1658780000000001E-2</v>
      </c>
      <c r="Z2378">
        <v>-3.2958729999999999E-3</v>
      </c>
      <c r="AA2378">
        <v>0.99865939999999997</v>
      </c>
      <c r="AB2378">
        <v>53</v>
      </c>
      <c r="AC2378">
        <v>-16.189799999999899</v>
      </c>
      <c r="AD2378">
        <v>-1.1091961929230001</v>
      </c>
      <c r="AE2378">
        <v>-0.49160000000000498</v>
      </c>
      <c r="AF2378">
        <v>-0.85054039593219199</v>
      </c>
      <c r="AG2378">
        <v>-1.1091961929230001</v>
      </c>
      <c r="AH2378">
        <v>16.099206335402499</v>
      </c>
      <c r="AI2378">
        <v>93.935839923368107</v>
      </c>
      <c r="AJ2378">
        <v>93.024193255151602</v>
      </c>
      <c r="AK2378">
        <v>16.1597704126442</v>
      </c>
      <c r="AL2378">
        <v>89.765761889340595</v>
      </c>
      <c r="AM2378">
        <v>96.740432984664693</v>
      </c>
      <c r="AN2378">
        <v>1.0000000302071399</v>
      </c>
    </row>
    <row r="2379" spans="1:40" x14ac:dyDescent="0.25">
      <c r="A2379" t="str">
        <f>"20190305134945911"</f>
        <v>20190305134945911</v>
      </c>
      <c r="B2379" t="str">
        <f>"1551764985903252"</f>
        <v>1551764985903252</v>
      </c>
      <c r="C2379" t="s">
        <v>40</v>
      </c>
      <c r="D2379">
        <v>4.1300919999999897</v>
      </c>
      <c r="E2379">
        <v>0.52364670000000002</v>
      </c>
      <c r="F2379" t="s">
        <v>74</v>
      </c>
      <c r="G2379">
        <v>-320.76940000000002</v>
      </c>
      <c r="H2379" s="1">
        <v>-1.131304E-6</v>
      </c>
      <c r="I2379">
        <v>284.70659999999998</v>
      </c>
      <c r="J2379">
        <v>-304.75099999999998</v>
      </c>
      <c r="K2379">
        <v>1.109243</v>
      </c>
      <c r="L2379">
        <v>285.19409999999999</v>
      </c>
      <c r="M2379">
        <v>-0.99963559999999996</v>
      </c>
      <c r="N2379">
        <v>-1.520617E-2</v>
      </c>
      <c r="O2379">
        <v>2.2311060000000001E-2</v>
      </c>
      <c r="P2379">
        <v>-0.99541519999999994</v>
      </c>
      <c r="Q2379">
        <v>-1.1894689999999999E-2</v>
      </c>
      <c r="R2379">
        <v>-9.4908679999999995E-2</v>
      </c>
      <c r="S2379">
        <v>-3.0031129999999999</v>
      </c>
      <c r="T2379">
        <v>-0.20427680000000001</v>
      </c>
      <c r="U2379">
        <v>-8.8592530000000003E-2</v>
      </c>
      <c r="V2379">
        <v>-0.1170963</v>
      </c>
      <c r="W2379">
        <v>3.21704E-3</v>
      </c>
      <c r="X2379">
        <v>0.99311539999999998</v>
      </c>
      <c r="Y2379">
        <v>-5.1607060000000003E-2</v>
      </c>
      <c r="Z2379">
        <v>-3.3225139999999999E-3</v>
      </c>
      <c r="AA2379">
        <v>0.99866189999999999</v>
      </c>
      <c r="AB2379">
        <v>53</v>
      </c>
      <c r="AC2379">
        <v>-16.0184</v>
      </c>
      <c r="AD2379">
        <v>-1.109244131304</v>
      </c>
      <c r="AE2379">
        <v>-0.48750000000001098</v>
      </c>
      <c r="AF2379">
        <v>-0.84077931000630801</v>
      </c>
      <c r="AG2379">
        <v>-1.109244131304</v>
      </c>
      <c r="AH2379">
        <v>15.927228633687401</v>
      </c>
      <c r="AI2379">
        <v>93.978382514847993</v>
      </c>
      <c r="AJ2379">
        <v>93.021770731383597</v>
      </c>
      <c r="AK2379">
        <v>15.9879312089063</v>
      </c>
      <c r="AL2379">
        <v>89.815676875880996</v>
      </c>
      <c r="AM2379">
        <v>96.7245858940707</v>
      </c>
      <c r="AN2379">
        <v>1.0000000452686</v>
      </c>
    </row>
    <row r="2380" spans="1:40" x14ac:dyDescent="0.25">
      <c r="A2380" t="str">
        <f>"20190305134945922"</f>
        <v>20190305134945922</v>
      </c>
      <c r="B2380" t="str">
        <f>"1551764985913013"</f>
        <v>1551764985913013</v>
      </c>
      <c r="C2380" t="s">
        <v>40</v>
      </c>
      <c r="D2380">
        <v>4.1147600000000004</v>
      </c>
      <c r="E2380">
        <v>0.52369730000000003</v>
      </c>
      <c r="F2380" t="s">
        <v>74</v>
      </c>
      <c r="G2380">
        <v>-320.89190000000002</v>
      </c>
      <c r="H2380" s="1">
        <v>-1.066503E-6</v>
      </c>
      <c r="I2380">
        <v>284.71609999999998</v>
      </c>
      <c r="J2380">
        <v>-305.03649999999999</v>
      </c>
      <c r="K2380">
        <v>1.1092959999999901</v>
      </c>
      <c r="L2380">
        <v>285.2004</v>
      </c>
      <c r="M2380">
        <v>-0.99963869999999999</v>
      </c>
      <c r="N2380">
        <v>-1.5208330000000001E-2</v>
      </c>
      <c r="O2380">
        <v>2.2166999999999999E-2</v>
      </c>
      <c r="P2380">
        <v>-0.99539610000000001</v>
      </c>
      <c r="Q2380">
        <v>-1.350792E-2</v>
      </c>
      <c r="R2380">
        <v>-9.4892379999999998E-2</v>
      </c>
      <c r="S2380">
        <v>-3.002869</v>
      </c>
      <c r="T2380">
        <v>-0.20636399999999999</v>
      </c>
      <c r="U2380">
        <v>-8.8928220000000002E-2</v>
      </c>
      <c r="V2380">
        <v>-0.1169362</v>
      </c>
      <c r="W2380">
        <v>1.59103E-3</v>
      </c>
      <c r="X2380">
        <v>0.99313810000000002</v>
      </c>
      <c r="Y2380">
        <v>-5.1573800000000003E-2</v>
      </c>
      <c r="Z2380">
        <v>-3.3470280000000002E-3</v>
      </c>
      <c r="AA2380">
        <v>0.99866359999999998</v>
      </c>
      <c r="AB2380">
        <v>53</v>
      </c>
      <c r="AC2380">
        <v>-15.855399999999999</v>
      </c>
      <c r="AD2380">
        <v>-1.10929706650299</v>
      </c>
      <c r="AE2380">
        <v>-0.48430000000001799</v>
      </c>
      <c r="AF2380">
        <v>-0.83162135528852899</v>
      </c>
      <c r="AG2380">
        <v>-1.10929706650299</v>
      </c>
      <c r="AH2380">
        <v>15.7636771653168</v>
      </c>
      <c r="AI2380">
        <v>94.019722667390198</v>
      </c>
      <c r="AJ2380">
        <v>93.019870479086805</v>
      </c>
      <c r="AK2380">
        <v>15.8245269070723</v>
      </c>
      <c r="AL2380">
        <v>89.908840652535105</v>
      </c>
      <c r="AM2380">
        <v>96.715323635696393</v>
      </c>
      <c r="AN2380">
        <v>0.99999994595925401</v>
      </c>
    </row>
    <row r="2381" spans="1:40" x14ac:dyDescent="0.25">
      <c r="A2381" t="str">
        <f>"20190305134945934"</f>
        <v>20190305134945934</v>
      </c>
      <c r="B2381" t="str">
        <f>"1551764985922773"</f>
        <v>1551764985922773</v>
      </c>
      <c r="C2381" t="s">
        <v>40</v>
      </c>
      <c r="D2381">
        <v>4.1195959999999996</v>
      </c>
      <c r="E2381">
        <v>0.52376369999999906</v>
      </c>
      <c r="F2381" t="s">
        <v>74</v>
      </c>
      <c r="G2381">
        <v>-320.83929999999998</v>
      </c>
      <c r="H2381" s="1">
        <v>-1.095364E-6</v>
      </c>
      <c r="I2381">
        <v>284.73500000000001</v>
      </c>
      <c r="J2381">
        <v>-305.29520000000002</v>
      </c>
      <c r="K2381">
        <v>1.1093440000000001</v>
      </c>
      <c r="L2381">
        <v>285.20609999999999</v>
      </c>
      <c r="M2381">
        <v>-0.99964169999999997</v>
      </c>
      <c r="N2381">
        <v>-1.521016E-2</v>
      </c>
      <c r="O2381">
        <v>2.2022710000000001E-2</v>
      </c>
      <c r="P2381">
        <v>-0.99539359999999999</v>
      </c>
      <c r="Q2381">
        <v>-1.4636949999999999E-2</v>
      </c>
      <c r="R2381">
        <v>-9.4749829999999993E-2</v>
      </c>
      <c r="S2381">
        <v>-3.0025940000000002</v>
      </c>
      <c r="T2381">
        <v>-0.21077099999999999</v>
      </c>
      <c r="U2381">
        <v>-8.8439939999999995E-2</v>
      </c>
      <c r="V2381">
        <v>-0.1166508</v>
      </c>
      <c r="W2381">
        <v>4.4995940000000002E-4</v>
      </c>
      <c r="X2381">
        <v>0.99317290000000003</v>
      </c>
      <c r="Y2381">
        <v>-5.1263629999999998E-2</v>
      </c>
      <c r="Z2381">
        <v>-3.3963370000000001E-3</v>
      </c>
      <c r="AA2381">
        <v>0.99867939999999999</v>
      </c>
      <c r="AB2381">
        <v>53</v>
      </c>
      <c r="AC2381">
        <v>-15.544099999999901</v>
      </c>
      <c r="AD2381">
        <v>-1.1093450953640001</v>
      </c>
      <c r="AE2381">
        <v>-0.47109999999997798</v>
      </c>
      <c r="AF2381">
        <v>-0.80923065077433698</v>
      </c>
      <c r="AG2381">
        <v>-1.1093450953640001</v>
      </c>
      <c r="AH2381">
        <v>15.4513265791827</v>
      </c>
      <c r="AI2381">
        <v>94.100966326729903</v>
      </c>
      <c r="AJ2381">
        <v>92.998006549947803</v>
      </c>
      <c r="AK2381">
        <v>15.512220790180899</v>
      </c>
      <c r="AL2381">
        <v>89.974219224827195</v>
      </c>
      <c r="AM2381">
        <v>96.698850445742593</v>
      </c>
      <c r="AN2381">
        <v>1.0000000104492499</v>
      </c>
    </row>
    <row r="2382" spans="1:40" x14ac:dyDescent="0.25">
      <c r="A2382" t="str">
        <f>"20190305134945946"</f>
        <v>20190305134945946</v>
      </c>
      <c r="B2382" t="str">
        <f>"1551764985943268"</f>
        <v>1551764985943268</v>
      </c>
      <c r="C2382" t="s">
        <v>40</v>
      </c>
      <c r="D2382">
        <v>4.1314390000000003</v>
      </c>
      <c r="E2382">
        <v>0.52402289999999996</v>
      </c>
      <c r="F2382" t="s">
        <v>74</v>
      </c>
      <c r="G2382">
        <v>-320.98939999999999</v>
      </c>
      <c r="H2382" s="1">
        <v>-1.0160559999999999E-6</v>
      </c>
      <c r="I2382">
        <v>284.74869999999999</v>
      </c>
      <c r="J2382">
        <v>-305.59179999999998</v>
      </c>
      <c r="K2382">
        <v>1.109405</v>
      </c>
      <c r="L2382">
        <v>285.21249999999998</v>
      </c>
      <c r="M2382">
        <v>-0.99964589999999998</v>
      </c>
      <c r="N2382">
        <v>-1.521205E-2</v>
      </c>
      <c r="O2382">
        <v>2.1832730000000002E-2</v>
      </c>
      <c r="P2382">
        <v>-0.99539310000000003</v>
      </c>
      <c r="Q2382">
        <v>-1.534873E-2</v>
      </c>
      <c r="R2382">
        <v>-9.4643889999999994E-2</v>
      </c>
      <c r="S2382">
        <v>-3.0024410000000001</v>
      </c>
      <c r="T2382">
        <v>-0.2122269</v>
      </c>
      <c r="U2382">
        <v>-8.7493899999999999E-2</v>
      </c>
      <c r="V2382">
        <v>-0.11635570000000001</v>
      </c>
      <c r="W2382">
        <v>-2.7594529999999998E-4</v>
      </c>
      <c r="X2382">
        <v>0.99320759999999997</v>
      </c>
      <c r="Y2382">
        <v>-5.0760189999999997E-2</v>
      </c>
      <c r="Z2382">
        <v>-3.387429E-3</v>
      </c>
      <c r="AA2382">
        <v>0.99870510000000001</v>
      </c>
      <c r="AB2382">
        <v>53</v>
      </c>
      <c r="AC2382">
        <v>-15.397600000000001</v>
      </c>
      <c r="AD2382">
        <v>-1.109406016056</v>
      </c>
      <c r="AE2382">
        <v>-0.463799999999992</v>
      </c>
      <c r="AF2382">
        <v>-0.79577262961345496</v>
      </c>
      <c r="AG2382">
        <v>-1.109406016056</v>
      </c>
      <c r="AH2382">
        <v>15.3044241240127</v>
      </c>
      <c r="AI2382">
        <v>94.140501453232403</v>
      </c>
      <c r="AJ2382">
        <v>92.976485064185297</v>
      </c>
      <c r="AK2382">
        <v>15.3652020342775</v>
      </c>
      <c r="AL2382">
        <v>90.015810500778798</v>
      </c>
      <c r="AM2382">
        <v>96.681825970922503</v>
      </c>
      <c r="AN2382">
        <v>1.0000000308830199</v>
      </c>
    </row>
    <row r="2383" spans="1:40" x14ac:dyDescent="0.25">
      <c r="A2383" t="str">
        <f>"20190305134945961"</f>
        <v>20190305134945961</v>
      </c>
      <c r="B2383" t="str">
        <f>"1551764985953028"</f>
        <v>1551764985953028</v>
      </c>
      <c r="C2383" t="s">
        <v>40</v>
      </c>
      <c r="D2383">
        <v>4.0973100000000002</v>
      </c>
      <c r="E2383">
        <v>0.52407190000000003</v>
      </c>
      <c r="F2383" t="s">
        <v>74</v>
      </c>
      <c r="G2383">
        <v>-321.23360000000002</v>
      </c>
      <c r="H2383" s="1">
        <v>-8.8699530000000004E-7</v>
      </c>
      <c r="I2383">
        <v>284.76830000000001</v>
      </c>
      <c r="J2383">
        <v>-305.96190000000001</v>
      </c>
      <c r="K2383">
        <v>1.109486</v>
      </c>
      <c r="L2383">
        <v>285.22050000000002</v>
      </c>
      <c r="M2383">
        <v>-0.99965210000000004</v>
      </c>
      <c r="N2383">
        <v>-1.5213930000000001E-2</v>
      </c>
      <c r="O2383">
        <v>2.155164E-2</v>
      </c>
      <c r="P2383">
        <v>-0.99540700000000004</v>
      </c>
      <c r="Q2383">
        <v>-1.5988180000000001E-2</v>
      </c>
      <c r="R2383">
        <v>-9.4389559999999997E-2</v>
      </c>
      <c r="S2383">
        <v>-3.0025019999999998</v>
      </c>
      <c r="T2383">
        <v>-0.21295520000000001</v>
      </c>
      <c r="U2383">
        <v>-8.5266110000000006E-2</v>
      </c>
      <c r="V2383">
        <v>-0.11582240000000001</v>
      </c>
      <c r="W2383">
        <v>-9.3358480000000005E-4</v>
      </c>
      <c r="X2383">
        <v>0.99326950000000003</v>
      </c>
      <c r="Y2383">
        <v>-4.9740649999999997E-2</v>
      </c>
      <c r="Z2383">
        <v>-3.339299E-3</v>
      </c>
      <c r="AA2383">
        <v>0.99875659999999999</v>
      </c>
      <c r="AB2383">
        <v>53</v>
      </c>
      <c r="AC2383">
        <v>-15.271699999999999</v>
      </c>
      <c r="AD2383">
        <v>-1.1094868869953001</v>
      </c>
      <c r="AE2383">
        <v>-0.45220000000000399</v>
      </c>
      <c r="AF2383">
        <v>-0.77716489681833101</v>
      </c>
      <c r="AG2383">
        <v>-1.1094868869953001</v>
      </c>
      <c r="AH2383">
        <v>15.1783640783091</v>
      </c>
      <c r="AI2383">
        <v>94.175241515752703</v>
      </c>
      <c r="AJ2383">
        <v>92.931107514226696</v>
      </c>
      <c r="AK2383">
        <v>15.238690315213001</v>
      </c>
      <c r="AL2383">
        <v>90.053490476639695</v>
      </c>
      <c r="AM2383">
        <v>96.6510649959354</v>
      </c>
      <c r="AN2383">
        <v>0.99999999977629395</v>
      </c>
    </row>
    <row r="2384" spans="1:40" x14ac:dyDescent="0.25">
      <c r="A2384" t="str">
        <f>"20190305134945975"</f>
        <v>20190305134945975</v>
      </c>
      <c r="B2384" t="str">
        <f>"1551764985962789"</f>
        <v>1551764985962789</v>
      </c>
      <c r="C2384" t="s">
        <v>40</v>
      </c>
      <c r="D2384">
        <v>4.0987080000000002</v>
      </c>
      <c r="E2384">
        <v>0.52403919999999904</v>
      </c>
      <c r="F2384" t="s">
        <v>74</v>
      </c>
      <c r="G2384">
        <v>-321.38299999999998</v>
      </c>
      <c r="H2384" s="1">
        <v>-8.0837570000000001E-7</v>
      </c>
      <c r="I2384">
        <v>284.7885</v>
      </c>
      <c r="J2384">
        <v>-306.26960000000003</v>
      </c>
      <c r="K2384">
        <v>1.1095539999999999</v>
      </c>
      <c r="L2384">
        <v>285.22699999999998</v>
      </c>
      <c r="M2384">
        <v>-0.99965760000000004</v>
      </c>
      <c r="N2384">
        <v>-1.521523E-2</v>
      </c>
      <c r="O2384">
        <v>2.1288580000000001E-2</v>
      </c>
      <c r="P2384">
        <v>-0.99542030000000004</v>
      </c>
      <c r="Q2384">
        <v>-1.5749180000000002E-2</v>
      </c>
      <c r="R2384">
        <v>-9.428781E-2</v>
      </c>
      <c r="S2384">
        <v>-3.00238</v>
      </c>
      <c r="T2384">
        <v>-0.21601010000000001</v>
      </c>
      <c r="U2384">
        <v>-8.4106449999999999E-2</v>
      </c>
      <c r="V2384">
        <v>-0.1154596</v>
      </c>
      <c r="W2384">
        <v>-7.1038470000000002E-4</v>
      </c>
      <c r="X2384">
        <v>0.99331190000000003</v>
      </c>
      <c r="Y2384">
        <v>-4.9090719999999997E-2</v>
      </c>
      <c r="Z2384">
        <v>-3.3433209999999998E-3</v>
      </c>
      <c r="AA2384">
        <v>0.99878869999999997</v>
      </c>
      <c r="AB2384">
        <v>53</v>
      </c>
      <c r="AC2384">
        <v>-15.113399999999899</v>
      </c>
      <c r="AD2384">
        <v>-1.1095548083756901</v>
      </c>
      <c r="AE2384">
        <v>-0.43850000000003297</v>
      </c>
      <c r="AF2384">
        <v>-0.75610881822359899</v>
      </c>
      <c r="AG2384">
        <v>-1.1095548083756901</v>
      </c>
      <c r="AH2384">
        <v>15.0197525039715</v>
      </c>
      <c r="AI2384">
        <v>94.219615217043994</v>
      </c>
      <c r="AJ2384">
        <v>92.881891967332706</v>
      </c>
      <c r="AK2384">
        <v>15.0796477975563</v>
      </c>
      <c r="AL2384">
        <v>90.040702049488701</v>
      </c>
      <c r="AM2384">
        <v>96.630136605960104</v>
      </c>
      <c r="AN2384">
        <v>0.99999997728009504</v>
      </c>
    </row>
    <row r="2385" spans="1:40" x14ac:dyDescent="0.25">
      <c r="A2385" t="str">
        <f>"20190305134945988"</f>
        <v>20190305134945988</v>
      </c>
      <c r="B2385" t="str">
        <f>"1551764985983285"</f>
        <v>1551764985983285</v>
      </c>
      <c r="C2385" t="s">
        <v>40</v>
      </c>
      <c r="D2385">
        <v>4.131589</v>
      </c>
      <c r="E2385">
        <v>0.52416099999999999</v>
      </c>
      <c r="F2385" t="s">
        <v>74</v>
      </c>
      <c r="G2385">
        <v>-321.76260000000002</v>
      </c>
      <c r="H2385" s="1">
        <v>-6.0655159999999896E-7</v>
      </c>
      <c r="I2385">
        <v>284.79270000000002</v>
      </c>
      <c r="J2385">
        <v>-306.56819999999999</v>
      </c>
      <c r="K2385">
        <v>1.1096200000000001</v>
      </c>
      <c r="L2385">
        <v>285.23320000000001</v>
      </c>
      <c r="M2385">
        <v>-0.99966370000000004</v>
      </c>
      <c r="N2385">
        <v>-1.521628E-2</v>
      </c>
      <c r="O2385">
        <v>2.100465E-2</v>
      </c>
      <c r="P2385">
        <v>-0.99545779999999995</v>
      </c>
      <c r="Q2385">
        <v>-1.554726E-2</v>
      </c>
      <c r="R2385">
        <v>-9.3927460000000004E-2</v>
      </c>
      <c r="S2385">
        <v>-3.0024410000000001</v>
      </c>
      <c r="T2385">
        <v>-0.2150244</v>
      </c>
      <c r="U2385">
        <v>-8.4167480000000003E-2</v>
      </c>
      <c r="V2385">
        <v>-0.1148183</v>
      </c>
      <c r="W2385">
        <v>-5.2361539999999998E-4</v>
      </c>
      <c r="X2385">
        <v>0.9933864</v>
      </c>
      <c r="Y2385">
        <v>-4.8829699999999997E-2</v>
      </c>
      <c r="Z2385">
        <v>-3.30095E-3</v>
      </c>
      <c r="AA2385">
        <v>0.99880159999999996</v>
      </c>
      <c r="AB2385">
        <v>53</v>
      </c>
      <c r="AC2385">
        <v>-15.1944</v>
      </c>
      <c r="AD2385">
        <v>-1.1096206065516001</v>
      </c>
      <c r="AE2385">
        <v>-0.44049999999998501</v>
      </c>
      <c r="AF2385">
        <v>-0.75556661385274004</v>
      </c>
      <c r="AG2385">
        <v>-1.1096206065516001</v>
      </c>
      <c r="AH2385">
        <v>15.101323744082499</v>
      </c>
      <c r="AI2385">
        <v>94.197216666100701</v>
      </c>
      <c r="AJ2385">
        <v>92.864299151839205</v>
      </c>
      <c r="AK2385">
        <v>15.1608745665296</v>
      </c>
      <c r="AL2385">
        <v>90.030000953040499</v>
      </c>
      <c r="AM2385">
        <v>96.593145708465201</v>
      </c>
      <c r="AN2385">
        <v>1.00000002794646</v>
      </c>
    </row>
    <row r="2386" spans="1:40" x14ac:dyDescent="0.25">
      <c r="A2386" t="str">
        <f>"20190305134946008"</f>
        <v>20190305134946008</v>
      </c>
      <c r="B2386" t="str">
        <f>"1551764986002804"</f>
        <v>1551764986002804</v>
      </c>
      <c r="C2386" t="s">
        <v>40</v>
      </c>
      <c r="D2386">
        <v>4.0998999999999999</v>
      </c>
      <c r="E2386">
        <v>0.52421279999999904</v>
      </c>
      <c r="F2386" t="s">
        <v>74</v>
      </c>
      <c r="G2386">
        <v>-322.12290000000002</v>
      </c>
      <c r="H2386" s="1">
        <v>-4.1547639999999998E-7</v>
      </c>
      <c r="I2386">
        <v>284.80790000000002</v>
      </c>
      <c r="J2386">
        <v>-307.05119999999999</v>
      </c>
      <c r="K2386">
        <v>1.1097379999999999</v>
      </c>
      <c r="L2386">
        <v>285.24299999999999</v>
      </c>
      <c r="M2386">
        <v>-0.99967470000000003</v>
      </c>
      <c r="N2386">
        <v>-1.521759E-2</v>
      </c>
      <c r="O2386">
        <v>2.0475630000000002E-2</v>
      </c>
      <c r="P2386">
        <v>-0.99551909999999999</v>
      </c>
      <c r="Q2386">
        <v>-1.447381E-2</v>
      </c>
      <c r="R2386">
        <v>-9.3447530000000001E-2</v>
      </c>
      <c r="S2386">
        <v>-3.0025629999999999</v>
      </c>
      <c r="T2386">
        <v>-0.21419369999999999</v>
      </c>
      <c r="U2386">
        <v>-8.2092289999999998E-2</v>
      </c>
      <c r="V2386">
        <v>-0.113814899999999</v>
      </c>
      <c r="W2386">
        <v>5.2482289999999997E-4</v>
      </c>
      <c r="X2386">
        <v>0.99350179999999999</v>
      </c>
      <c r="Y2386">
        <v>-4.7616150000000003E-2</v>
      </c>
      <c r="Z2386">
        <v>-3.2062079999999999E-3</v>
      </c>
      <c r="AA2386">
        <v>0.99886050000000004</v>
      </c>
      <c r="AB2386">
        <v>53</v>
      </c>
      <c r="AC2386">
        <v>-15.0717</v>
      </c>
      <c r="AD2386">
        <v>-1.1097384154763901</v>
      </c>
      <c r="AE2386">
        <v>-0.43509999999997701</v>
      </c>
      <c r="AF2386">
        <v>-0.739640404712545</v>
      </c>
      <c r="AG2386">
        <v>-1.1097384154763901</v>
      </c>
      <c r="AH2386">
        <v>14.978491777800199</v>
      </c>
      <c r="AI2386">
        <v>94.232095814036896</v>
      </c>
      <c r="AJ2386">
        <v>92.826978804744201</v>
      </c>
      <c r="AK2386">
        <v>15.037745948668499</v>
      </c>
      <c r="AL2386">
        <v>89.969929860457995</v>
      </c>
      <c r="AM2386">
        <v>96.535276146085394</v>
      </c>
      <c r="AN2386">
        <v>0.99999996675216196</v>
      </c>
    </row>
    <row r="2387" spans="1:40" x14ac:dyDescent="0.25">
      <c r="A2387" t="str">
        <f>"20190305134946022"</f>
        <v>20190305134946022</v>
      </c>
      <c r="B2387" t="str">
        <f>"1551764986012565"</f>
        <v>1551764986012565</v>
      </c>
      <c r="C2387" t="s">
        <v>40</v>
      </c>
      <c r="D2387">
        <v>4.0917219999999999</v>
      </c>
      <c r="E2387">
        <v>0.5242291</v>
      </c>
      <c r="F2387" t="s">
        <v>74</v>
      </c>
      <c r="G2387">
        <v>-322.76499999999999</v>
      </c>
      <c r="H2387" s="1">
        <v>-7.4335769999999998E-8</v>
      </c>
      <c r="I2387">
        <v>284.82150000000001</v>
      </c>
      <c r="J2387">
        <v>-307.3913</v>
      </c>
      <c r="K2387">
        <v>1.1098159999999999</v>
      </c>
      <c r="L2387">
        <v>285.24970000000002</v>
      </c>
      <c r="M2387">
        <v>-0.99968319999999999</v>
      </c>
      <c r="N2387">
        <v>-1.5218239999999999E-2</v>
      </c>
      <c r="O2387">
        <v>2.0047300000000001E-2</v>
      </c>
      <c r="P2387">
        <v>-0.995564</v>
      </c>
      <c r="Q2387">
        <v>-1.384761E-2</v>
      </c>
      <c r="R2387">
        <v>-9.3064530000000006E-2</v>
      </c>
      <c r="S2387">
        <v>-3.0028990000000002</v>
      </c>
      <c r="T2387">
        <v>-0.21207010000000001</v>
      </c>
      <c r="U2387">
        <v>-8.0535889999999999E-2</v>
      </c>
      <c r="V2387">
        <v>-0.1130081</v>
      </c>
      <c r="W2387">
        <v>1.132313E-3</v>
      </c>
      <c r="X2387">
        <v>0.99359339999999996</v>
      </c>
      <c r="Y2387">
        <v>-4.6674760000000003E-2</v>
      </c>
      <c r="Z2387">
        <v>-3.1105989999999999E-3</v>
      </c>
      <c r="AA2387">
        <v>0.9989053</v>
      </c>
      <c r="AB2387">
        <v>53</v>
      </c>
      <c r="AC2387">
        <v>-15.3736999999999</v>
      </c>
      <c r="AD2387">
        <v>-1.1098160743357699</v>
      </c>
      <c r="AE2387">
        <v>-0.42820000000000302</v>
      </c>
      <c r="AF2387">
        <v>-0.73253629892124905</v>
      </c>
      <c r="AG2387">
        <v>-1.1098160743357699</v>
      </c>
      <c r="AH2387">
        <v>15.282444912905</v>
      </c>
      <c r="AI2387">
        <v>94.148799950970599</v>
      </c>
      <c r="AJ2387">
        <v>92.744268898612503</v>
      </c>
      <c r="AK2387">
        <v>15.3401898183845</v>
      </c>
      <c r="AL2387">
        <v>89.935123228764297</v>
      </c>
      <c r="AM2387">
        <v>96.488752920621593</v>
      </c>
      <c r="AN2387">
        <v>0.99999997866094903</v>
      </c>
    </row>
    <row r="2388" spans="1:40" x14ac:dyDescent="0.25">
      <c r="A2388" t="str">
        <f>"20190305134946035"</f>
        <v>20190305134946035</v>
      </c>
      <c r="B2388" t="str">
        <f>"1551764986033060"</f>
        <v>1551764986033060</v>
      </c>
      <c r="C2388" t="s">
        <v>40</v>
      </c>
      <c r="D2388">
        <v>4.1132</v>
      </c>
      <c r="E2388">
        <v>0.52418189999999998</v>
      </c>
      <c r="F2388" t="s">
        <v>74</v>
      </c>
      <c r="G2388">
        <v>-323.24329999999998</v>
      </c>
      <c r="H2388" s="1">
        <v>1.7970379999999999E-7</v>
      </c>
      <c r="I2388">
        <v>284.83179999999999</v>
      </c>
      <c r="J2388">
        <v>-307.70460000000003</v>
      </c>
      <c r="K2388">
        <v>1.109891</v>
      </c>
      <c r="L2388">
        <v>285.25580000000002</v>
      </c>
      <c r="M2388">
        <v>-0.99969169999999996</v>
      </c>
      <c r="N2388">
        <v>-1.521867E-2</v>
      </c>
      <c r="O2388">
        <v>1.9624240000000001E-2</v>
      </c>
      <c r="P2388">
        <v>-0.99558409999999997</v>
      </c>
      <c r="Q2388">
        <v>-1.347516E-2</v>
      </c>
      <c r="R2388">
        <v>-9.2903840000000001E-2</v>
      </c>
      <c r="S2388">
        <v>-3.0030519999999998</v>
      </c>
      <c r="T2388">
        <v>-0.2102472</v>
      </c>
      <c r="U2388">
        <v>-7.91626E-2</v>
      </c>
      <c r="V2388">
        <v>-0.1124276</v>
      </c>
      <c r="W2388">
        <v>1.487557E-3</v>
      </c>
      <c r="X2388">
        <v>0.99365879999999995</v>
      </c>
      <c r="Y2388">
        <v>-4.5800309999999997E-2</v>
      </c>
      <c r="Z2388">
        <v>-3.0238299999999999E-3</v>
      </c>
      <c r="AA2388">
        <v>0.998946</v>
      </c>
      <c r="AB2388">
        <v>53</v>
      </c>
      <c r="AC2388">
        <v>-15.538699999999899</v>
      </c>
      <c r="AD2388">
        <v>-1.1098908202961999</v>
      </c>
      <c r="AE2388">
        <v>-0.42400000000003402</v>
      </c>
      <c r="AF2388">
        <v>-0.72519169797850802</v>
      </c>
      <c r="AG2388">
        <v>-1.1098908202961999</v>
      </c>
      <c r="AH2388">
        <v>15.4486267529178</v>
      </c>
      <c r="AI2388">
        <v>94.104791755111904</v>
      </c>
      <c r="AJ2388">
        <v>92.687613915214897</v>
      </c>
      <c r="AK2388">
        <v>15.505412899460699</v>
      </c>
      <c r="AL2388">
        <v>89.914769230207696</v>
      </c>
      <c r="AM2388">
        <v>96.455282286496796</v>
      </c>
      <c r="AN2388">
        <v>0.99999999444251397</v>
      </c>
    </row>
    <row r="2389" spans="1:40" x14ac:dyDescent="0.25">
      <c r="A2389" t="str">
        <f>"20190305134946051"</f>
        <v>20190305134946051</v>
      </c>
      <c r="B2389" t="str">
        <f>"1551764986042823"</f>
        <v>1551764986042823</v>
      </c>
      <c r="C2389" t="s">
        <v>40</v>
      </c>
      <c r="D2389">
        <v>4.0921719999999997</v>
      </c>
      <c r="E2389">
        <v>0.52411339999999995</v>
      </c>
      <c r="F2389" t="s">
        <v>74</v>
      </c>
      <c r="G2389">
        <v>-323.59620000000001</v>
      </c>
      <c r="H2389" s="1">
        <v>3.6724860000000001E-7</v>
      </c>
      <c r="I2389">
        <v>284.8374</v>
      </c>
      <c r="J2389">
        <v>-308.0831</v>
      </c>
      <c r="K2389">
        <v>1.109969</v>
      </c>
      <c r="L2389">
        <v>285.2629</v>
      </c>
      <c r="M2389">
        <v>-0.99970230000000004</v>
      </c>
      <c r="N2389">
        <v>-1.521896E-2</v>
      </c>
      <c r="O2389">
        <v>1.90736E-2</v>
      </c>
      <c r="P2389">
        <v>-0.99561359999999999</v>
      </c>
      <c r="Q2389">
        <v>-1.422881E-2</v>
      </c>
      <c r="R2389">
        <v>-9.2475299999999996E-2</v>
      </c>
      <c r="S2389">
        <v>-3.003082</v>
      </c>
      <c r="T2389">
        <v>-0.2097396</v>
      </c>
      <c r="U2389">
        <v>-7.9071039999999995E-2</v>
      </c>
      <c r="V2389">
        <v>-0.1114521</v>
      </c>
      <c r="W2389">
        <v>7.1365009999999995E-4</v>
      </c>
      <c r="X2389">
        <v>0.99376949999999997</v>
      </c>
      <c r="Y2389">
        <v>-4.5222690000000003E-2</v>
      </c>
      <c r="Z2389">
        <v>-2.9620610000000002E-3</v>
      </c>
      <c r="AA2389">
        <v>0.99897250000000004</v>
      </c>
      <c r="AB2389">
        <v>53</v>
      </c>
      <c r="AC2389">
        <v>-15.5131</v>
      </c>
      <c r="AD2389">
        <v>-1.10996863275139</v>
      </c>
      <c r="AE2389">
        <v>-0.42549999999999899</v>
      </c>
      <c r="AF2389">
        <v>-0.71767614401021895</v>
      </c>
      <c r="AG2389">
        <v>-1.10996863275139</v>
      </c>
      <c r="AH2389">
        <v>15.423261059297101</v>
      </c>
      <c r="AI2389">
        <v>94.111885151488707</v>
      </c>
      <c r="AJ2389">
        <v>92.664169040322605</v>
      </c>
      <c r="AK2389">
        <v>15.479795577351901</v>
      </c>
      <c r="AL2389">
        <v>89.959110855685594</v>
      </c>
      <c r="AM2389">
        <v>96.399031499284405</v>
      </c>
      <c r="AN2389">
        <v>0.99999994951056104</v>
      </c>
    </row>
    <row r="2390" spans="1:40" x14ac:dyDescent="0.25">
      <c r="A2390" t="str">
        <f>"20190305134946063"</f>
        <v>20190305134946063</v>
      </c>
      <c r="B2390" t="str">
        <f>"1551764986052581"</f>
        <v>1551764986052581</v>
      </c>
      <c r="C2390" t="s">
        <v>40</v>
      </c>
      <c r="D2390">
        <v>4.1081260000000004</v>
      </c>
      <c r="E2390">
        <v>0.52401350000000002</v>
      </c>
      <c r="F2390" t="s">
        <v>74</v>
      </c>
      <c r="G2390">
        <v>-323.83550000000002</v>
      </c>
      <c r="H2390" s="1">
        <v>4.9397799999999998E-7</v>
      </c>
      <c r="I2390">
        <v>284.85250000000002</v>
      </c>
      <c r="J2390">
        <v>-308.36810000000003</v>
      </c>
      <c r="K2390">
        <v>1.110028</v>
      </c>
      <c r="L2390">
        <v>285.26819999999998</v>
      </c>
      <c r="M2390">
        <v>-0.99971069999999995</v>
      </c>
      <c r="N2390">
        <v>-1.5219119999999999E-2</v>
      </c>
      <c r="O2390">
        <v>1.8623810000000001E-2</v>
      </c>
      <c r="P2390">
        <v>-0.99557859999999998</v>
      </c>
      <c r="Q2390">
        <v>-1.522577E-2</v>
      </c>
      <c r="R2390">
        <v>-9.2690659999999994E-2</v>
      </c>
      <c r="S2390">
        <v>-3.0029300000000001</v>
      </c>
      <c r="T2390">
        <v>-0.21159610000000001</v>
      </c>
      <c r="U2390">
        <v>-7.8247070000000002E-2</v>
      </c>
      <c r="V2390">
        <v>-0.111218</v>
      </c>
      <c r="W2390">
        <v>-2.9943210000000001E-4</v>
      </c>
      <c r="X2390">
        <v>0.99379600000000001</v>
      </c>
      <c r="Y2390">
        <v>-4.4500659999999997E-2</v>
      </c>
      <c r="Z2390">
        <v>-2.9321849999999999E-3</v>
      </c>
      <c r="AA2390">
        <v>0.99900509999999998</v>
      </c>
      <c r="AB2390">
        <v>53</v>
      </c>
      <c r="AC2390">
        <v>-15.4673999999999</v>
      </c>
      <c r="AD2390">
        <v>-1.110027506022</v>
      </c>
      <c r="AE2390">
        <v>-0.41569999999995799</v>
      </c>
      <c r="AF2390">
        <v>-0.70011994950503198</v>
      </c>
      <c r="AG2390">
        <v>-1.110027506022</v>
      </c>
      <c r="AH2390">
        <v>15.377830592640599</v>
      </c>
      <c r="AI2390">
        <v>94.124398534410503</v>
      </c>
      <c r="AJ2390">
        <v>92.606755001086199</v>
      </c>
      <c r="AK2390">
        <v>15.4337293854653</v>
      </c>
      <c r="AL2390">
        <v>90.017156195641505</v>
      </c>
      <c r="AM2390">
        <v>96.385532899964304</v>
      </c>
      <c r="AN2390">
        <v>1.00000001139979</v>
      </c>
    </row>
    <row r="2391" spans="1:40" x14ac:dyDescent="0.25">
      <c r="A2391" t="str">
        <f>"20190305134946076"</f>
        <v>20190305134946076</v>
      </c>
      <c r="B2391" t="str">
        <f>"1551764986073076"</f>
        <v>1551764986073076</v>
      </c>
      <c r="C2391" t="s">
        <v>40</v>
      </c>
      <c r="D2391">
        <v>4.0805629999999997</v>
      </c>
      <c r="E2391">
        <v>0.51947849999999995</v>
      </c>
      <c r="F2391" t="s">
        <v>74</v>
      </c>
      <c r="G2391">
        <v>-324.03840000000002</v>
      </c>
      <c r="H2391" s="1">
        <v>6.0196290000000001E-7</v>
      </c>
      <c r="I2391">
        <v>284.85149999999999</v>
      </c>
      <c r="J2391">
        <v>-308.66120000000001</v>
      </c>
      <c r="K2391">
        <v>1.1100829999999999</v>
      </c>
      <c r="L2391">
        <v>285.27339999999998</v>
      </c>
      <c r="M2391">
        <v>-0.99971960000000004</v>
      </c>
      <c r="N2391">
        <v>-1.5219150000000001E-2</v>
      </c>
      <c r="O2391">
        <v>1.8144690000000002E-2</v>
      </c>
      <c r="P2391">
        <v>-0.99552269999999998</v>
      </c>
      <c r="Q2391">
        <v>-1.6109970000000001E-2</v>
      </c>
      <c r="R2391">
        <v>-9.3139719999999995E-2</v>
      </c>
      <c r="S2391">
        <v>-3.0026549999999999</v>
      </c>
      <c r="T2391">
        <v>-0.21269740000000001</v>
      </c>
      <c r="U2391">
        <v>-7.9833979999999999E-2</v>
      </c>
      <c r="V2391">
        <v>-0.1111876</v>
      </c>
      <c r="W2391">
        <v>-1.200486E-3</v>
      </c>
      <c r="X2391">
        <v>0.99379870000000003</v>
      </c>
      <c r="Y2391">
        <v>-4.455079E-2</v>
      </c>
      <c r="Z2391">
        <v>-2.922923E-3</v>
      </c>
      <c r="AA2391">
        <v>0.99900290000000003</v>
      </c>
      <c r="AB2391">
        <v>53</v>
      </c>
      <c r="AC2391">
        <v>-15.3772</v>
      </c>
      <c r="AD2391">
        <v>-1.1100823980371</v>
      </c>
      <c r="AE2391">
        <v>-0.421899999999993</v>
      </c>
      <c r="AF2391">
        <v>-0.69724644520824597</v>
      </c>
      <c r="AG2391">
        <v>-1.1100823980371</v>
      </c>
      <c r="AH2391">
        <v>15.2874026411441</v>
      </c>
      <c r="AI2391">
        <v>94.148899364409701</v>
      </c>
      <c r="AJ2391">
        <v>92.611405823049097</v>
      </c>
      <c r="AK2391">
        <v>15.3435040016369</v>
      </c>
      <c r="AL2391">
        <v>90.068782798384504</v>
      </c>
      <c r="AM2391">
        <v>96.383784707737206</v>
      </c>
      <c r="AN2391">
        <v>0.99999998984104299</v>
      </c>
    </row>
    <row r="2392" spans="1:40" x14ac:dyDescent="0.25">
      <c r="A2392" t="str">
        <f>"20190305134946097"</f>
        <v>20190305134946097</v>
      </c>
      <c r="B2392" t="str">
        <f>"1551764986092597"</f>
        <v>1551764986092597</v>
      </c>
      <c r="C2392" t="s">
        <v>40</v>
      </c>
      <c r="D2392">
        <v>4.116574</v>
      </c>
      <c r="E2392">
        <v>0.51696070000000005</v>
      </c>
      <c r="F2392" t="s">
        <v>74</v>
      </c>
      <c r="G2392">
        <v>-338.12529999999998</v>
      </c>
      <c r="H2392" s="1">
        <v>2.8106549999999999E-6</v>
      </c>
      <c r="I2392">
        <v>284.07729999999998</v>
      </c>
      <c r="J2392">
        <v>-309.15030000000002</v>
      </c>
      <c r="K2392">
        <v>1.110168</v>
      </c>
      <c r="L2392">
        <v>285.2817</v>
      </c>
      <c r="M2392">
        <v>-0.99973449999999997</v>
      </c>
      <c r="N2392">
        <v>-1.52189E-2</v>
      </c>
      <c r="O2392">
        <v>1.7303010000000001E-2</v>
      </c>
      <c r="P2392">
        <v>-0.99537969999999998</v>
      </c>
      <c r="Q2392">
        <v>-1.8216010000000001E-2</v>
      </c>
      <c r="R2392">
        <v>-9.4273659999999995E-2</v>
      </c>
      <c r="S2392">
        <v>-3.0002749999999998</v>
      </c>
      <c r="T2392">
        <v>-0.1130372</v>
      </c>
      <c r="U2392">
        <v>-0.12179570000000001</v>
      </c>
      <c r="V2392">
        <v>-0.1114771</v>
      </c>
      <c r="W2392">
        <v>-3.3342609999999998E-3</v>
      </c>
      <c r="X2392">
        <v>0.99376140000000002</v>
      </c>
      <c r="Y2392">
        <v>-5.7784269999999999E-2</v>
      </c>
      <c r="Z2392">
        <v>-1.9160920000000001E-3</v>
      </c>
      <c r="AA2392">
        <v>0.99832730000000003</v>
      </c>
      <c r="AB2392">
        <v>53</v>
      </c>
      <c r="AC2392">
        <v>-28.974999999999898</v>
      </c>
      <c r="AD2392">
        <v>-1.110165189345</v>
      </c>
      <c r="AE2392">
        <v>-1.2044000000000199</v>
      </c>
      <c r="AF2392">
        <v>-1.7031365100788001</v>
      </c>
      <c r="AG2392">
        <v>-1.110165189345</v>
      </c>
      <c r="AH2392">
        <v>28.907455868244501</v>
      </c>
      <c r="AI2392">
        <v>92.195509268148896</v>
      </c>
      <c r="AJ2392">
        <v>93.3717896035552</v>
      </c>
      <c r="AK2392">
        <v>28.978856870037198</v>
      </c>
      <c r="AL2392">
        <v>90.191039438860798</v>
      </c>
      <c r="AM2392">
        <v>96.400506702355798</v>
      </c>
      <c r="AN2392">
        <v>0.99999999062539302</v>
      </c>
    </row>
    <row r="2393" spans="1:40" x14ac:dyDescent="0.25">
      <c r="A2393" t="str">
        <f>"20190305134946112"</f>
        <v>20190305134946112</v>
      </c>
      <c r="B2393" t="str">
        <f>"1551764986102357"</f>
        <v>1551764986102357</v>
      </c>
      <c r="C2393" t="s">
        <v>40</v>
      </c>
      <c r="D2393">
        <v>4.1155929999999996</v>
      </c>
      <c r="E2393">
        <v>0.51654709999999904</v>
      </c>
      <c r="F2393" t="s">
        <v>74</v>
      </c>
      <c r="G2393">
        <v>-339.70269999999999</v>
      </c>
      <c r="H2393" s="1">
        <v>3.6622569999999999E-6</v>
      </c>
      <c r="I2393">
        <v>283.7989</v>
      </c>
      <c r="J2393">
        <v>-309.51979999999998</v>
      </c>
      <c r="K2393">
        <v>1.110225</v>
      </c>
      <c r="L2393">
        <v>285.2878</v>
      </c>
      <c r="M2393">
        <v>-0.99974580000000002</v>
      </c>
      <c r="N2393">
        <v>-1.521844E-2</v>
      </c>
      <c r="O2393">
        <v>1.6641059999999999E-2</v>
      </c>
      <c r="P2393">
        <v>-0.9952493</v>
      </c>
      <c r="Q2393">
        <v>-1.8997699999999999E-2</v>
      </c>
      <c r="R2393">
        <v>-9.5489989999999997E-2</v>
      </c>
      <c r="S2393">
        <v>-2.9981689999999999</v>
      </c>
      <c r="T2393">
        <v>-0.1089426</v>
      </c>
      <c r="U2393">
        <v>-0.14550779999999999</v>
      </c>
      <c r="V2393">
        <v>-0.112031199999999</v>
      </c>
      <c r="W2393">
        <v>-4.136626E-3</v>
      </c>
      <c r="X2393">
        <v>0.99369609999999997</v>
      </c>
      <c r="Y2393">
        <v>-6.5027370000000001E-2</v>
      </c>
      <c r="Z2393">
        <v>-2.026815E-3</v>
      </c>
      <c r="AA2393">
        <v>0.99788140000000003</v>
      </c>
      <c r="AB2393">
        <v>53</v>
      </c>
      <c r="AC2393">
        <v>-30.1829</v>
      </c>
      <c r="AD2393">
        <v>-1.1102213377429999</v>
      </c>
      <c r="AE2393">
        <v>-1.4888999999999999</v>
      </c>
      <c r="AF2393">
        <v>-1.9883436622406501</v>
      </c>
      <c r="AG2393">
        <v>-1.1102213377429999</v>
      </c>
      <c r="AH2393">
        <v>30.113295472823999</v>
      </c>
      <c r="AI2393">
        <v>92.106849204401698</v>
      </c>
      <c r="AJ2393">
        <v>93.777685856085199</v>
      </c>
      <c r="AK2393">
        <v>30.199282543987</v>
      </c>
      <c r="AL2393">
        <v>90.237011882360605</v>
      </c>
      <c r="AM2393">
        <v>96.4324737677955</v>
      </c>
      <c r="AN2393">
        <v>1.0000000203016499</v>
      </c>
    </row>
    <row r="2394" spans="1:40" x14ac:dyDescent="0.25">
      <c r="A2394" t="str">
        <f>"20190305134946123"</f>
        <v>20190305134946123</v>
      </c>
      <c r="B2394" t="str">
        <f>"1551764986113093"</f>
        <v>1551764986113093</v>
      </c>
      <c r="C2394" t="s">
        <v>40</v>
      </c>
      <c r="D2394">
        <v>4.1325640000000003</v>
      </c>
      <c r="E2394">
        <v>0.51574750000000003</v>
      </c>
      <c r="F2394" t="s">
        <v>74</v>
      </c>
      <c r="G2394">
        <v>-339.87740000000002</v>
      </c>
      <c r="H2394" s="1">
        <v>3.7576269999999999E-6</v>
      </c>
      <c r="I2394">
        <v>283.74310000000003</v>
      </c>
      <c r="J2394">
        <v>-309.7998</v>
      </c>
      <c r="K2394">
        <v>1.110268</v>
      </c>
      <c r="L2394">
        <v>285.29219999999998</v>
      </c>
      <c r="M2394">
        <v>-0.99975429999999998</v>
      </c>
      <c r="N2394">
        <v>-1.52178E-2</v>
      </c>
      <c r="O2394">
        <v>1.6123729999999999E-2</v>
      </c>
      <c r="P2394">
        <v>-0.99514190000000002</v>
      </c>
      <c r="Q2394">
        <v>-1.9639070000000002E-2</v>
      </c>
      <c r="R2394">
        <v>-9.6472749999999996E-2</v>
      </c>
      <c r="S2394">
        <v>-2.9975589999999999</v>
      </c>
      <c r="T2394">
        <v>-0.10962529999999999</v>
      </c>
      <c r="U2394">
        <v>-0.15252689999999999</v>
      </c>
      <c r="V2394">
        <v>-0.1124961</v>
      </c>
      <c r="W2394">
        <v>-4.7928199999999997E-3</v>
      </c>
      <c r="X2394">
        <v>0.99364059999999998</v>
      </c>
      <c r="Y2394">
        <v>-6.6849249999999999E-2</v>
      </c>
      <c r="Z2394">
        <v>-2.074415E-3</v>
      </c>
      <c r="AA2394">
        <v>0.99776100000000001</v>
      </c>
      <c r="AB2394">
        <v>53</v>
      </c>
      <c r="AC2394">
        <v>-30.0776</v>
      </c>
      <c r="AD2394">
        <v>-1.110264242373</v>
      </c>
      <c r="AE2394">
        <v>-1.54909999999995</v>
      </c>
      <c r="AF2394">
        <v>-2.03115746969958</v>
      </c>
      <c r="AG2394">
        <v>-1.110264242373</v>
      </c>
      <c r="AH2394">
        <v>30.0079285366152</v>
      </c>
      <c r="AI2394">
        <v>92.114088729673398</v>
      </c>
      <c r="AJ2394">
        <v>93.872293538232199</v>
      </c>
      <c r="AK2394">
        <v>30.097077306828499</v>
      </c>
      <c r="AL2394">
        <v>90.274609411296694</v>
      </c>
      <c r="AM2394">
        <v>96.459299447949405</v>
      </c>
      <c r="AN2394">
        <v>0.999999992803561</v>
      </c>
    </row>
    <row r="2395" spans="1:40" x14ac:dyDescent="0.25">
      <c r="A2395" t="str">
        <f>"20190305134946136"</f>
        <v>20190305134946136</v>
      </c>
      <c r="B2395" t="str">
        <f>"1551764986132613"</f>
        <v>1551764986132613</v>
      </c>
      <c r="C2395" t="s">
        <v>40</v>
      </c>
      <c r="D2395">
        <v>4.1313709999999997</v>
      </c>
      <c r="E2395">
        <v>0.51507150000000002</v>
      </c>
      <c r="F2395" t="s">
        <v>74</v>
      </c>
      <c r="G2395">
        <v>-340.04860000000002</v>
      </c>
      <c r="H2395" s="1">
        <v>-1.5109560000000001E-6</v>
      </c>
      <c r="I2395">
        <v>283.65710000000001</v>
      </c>
      <c r="J2395">
        <v>-310.08210000000003</v>
      </c>
      <c r="K2395">
        <v>1.1103069999999999</v>
      </c>
      <c r="L2395">
        <v>285.29640000000001</v>
      </c>
      <c r="M2395">
        <v>-0.99976279999999995</v>
      </c>
      <c r="N2395">
        <v>-1.521697E-2</v>
      </c>
      <c r="O2395">
        <v>1.5594530000000001E-2</v>
      </c>
      <c r="P2395">
        <v>-0.99499329999999997</v>
      </c>
      <c r="Q2395">
        <v>-2.060855E-2</v>
      </c>
      <c r="R2395">
        <v>-9.7795290000000007E-2</v>
      </c>
      <c r="S2395">
        <v>-2.9967649999999999</v>
      </c>
      <c r="T2395">
        <v>-0.10999539999999999</v>
      </c>
      <c r="U2395">
        <v>-0.161987299999999</v>
      </c>
      <c r="V2395">
        <v>-0.1132872</v>
      </c>
      <c r="W2395">
        <v>-5.7781100000000004E-3</v>
      </c>
      <c r="X2395">
        <v>0.99354549999999997</v>
      </c>
      <c r="Y2395">
        <v>-6.9472660000000006E-2</v>
      </c>
      <c r="Z2395">
        <v>-2.1376260000000001E-3</v>
      </c>
      <c r="AA2395">
        <v>0.99758150000000001</v>
      </c>
      <c r="AB2395">
        <v>53</v>
      </c>
      <c r="AC2395">
        <v>-29.9665</v>
      </c>
      <c r="AD2395">
        <v>-1.110308510956</v>
      </c>
      <c r="AE2395">
        <v>-1.63929999999999</v>
      </c>
      <c r="AF2395">
        <v>-2.1035888712016302</v>
      </c>
      <c r="AG2395">
        <v>-1.110308510956</v>
      </c>
      <c r="AH2395">
        <v>29.896368064475499</v>
      </c>
      <c r="AI2395">
        <v>92.121665319862203</v>
      </c>
      <c r="AJ2395">
        <v>94.024851681748302</v>
      </c>
      <c r="AK2395">
        <v>29.990843512231201</v>
      </c>
      <c r="AL2395">
        <v>90.331063152663006</v>
      </c>
      <c r="AM2395">
        <v>96.504952151292699</v>
      </c>
      <c r="AN2395">
        <v>1.00000001840463</v>
      </c>
    </row>
    <row r="2396" spans="1:40" x14ac:dyDescent="0.25">
      <c r="A2396" t="str">
        <f>"20190305134946152"</f>
        <v>20190305134946152</v>
      </c>
      <c r="B2396" t="str">
        <f>"1551764986142373"</f>
        <v>1551764986142373</v>
      </c>
      <c r="C2396" t="s">
        <v>40</v>
      </c>
      <c r="D2396">
        <v>4.1478630000000001</v>
      </c>
      <c r="E2396">
        <v>0.51483679999999998</v>
      </c>
      <c r="F2396" t="s">
        <v>74</v>
      </c>
      <c r="G2396">
        <v>-338.87290000000002</v>
      </c>
      <c r="H2396" s="1">
        <v>3.2270990000000002E-6</v>
      </c>
      <c r="I2396">
        <v>283.65140000000002</v>
      </c>
      <c r="J2396">
        <v>-310.45749999999998</v>
      </c>
      <c r="K2396">
        <v>1.110347</v>
      </c>
      <c r="L2396">
        <v>285.30189999999999</v>
      </c>
      <c r="M2396">
        <v>-0.99977360000000004</v>
      </c>
      <c r="N2396">
        <v>-1.5215630000000001E-2</v>
      </c>
      <c r="O2396">
        <v>1.488014E-2</v>
      </c>
      <c r="P2396">
        <v>-0.99469169999999996</v>
      </c>
      <c r="Q2396">
        <v>-2.4235449999999999E-2</v>
      </c>
      <c r="R2396">
        <v>-0.1000085</v>
      </c>
      <c r="S2396">
        <v>-2.9958499999999999</v>
      </c>
      <c r="T2396">
        <v>-0.1155335</v>
      </c>
      <c r="U2396">
        <v>-0.17117309999999999</v>
      </c>
      <c r="V2396">
        <v>-0.1147758</v>
      </c>
      <c r="W2396">
        <v>-9.4277609999999998E-3</v>
      </c>
      <c r="X2396">
        <v>0.99334670000000003</v>
      </c>
      <c r="Y2396">
        <v>-7.1816679999999994E-2</v>
      </c>
      <c r="Z2396">
        <v>-2.277313E-3</v>
      </c>
      <c r="AA2396">
        <v>0.99741519999999995</v>
      </c>
      <c r="AB2396">
        <v>53</v>
      </c>
      <c r="AC2396">
        <v>-28.415400000000002</v>
      </c>
      <c r="AD2396">
        <v>-1.1103437729009999</v>
      </c>
      <c r="AE2396">
        <v>-1.6504999999999601</v>
      </c>
      <c r="AF2396">
        <v>-2.0700411721396499</v>
      </c>
      <c r="AG2396">
        <v>-1.1103437729009999</v>
      </c>
      <c r="AH2396">
        <v>28.3445572785193</v>
      </c>
      <c r="AI2396">
        <v>92.237352946209299</v>
      </c>
      <c r="AJ2396">
        <v>94.176972366611395</v>
      </c>
      <c r="AK2396">
        <v>28.4417274627199</v>
      </c>
      <c r="AL2396">
        <v>90.540178908844794</v>
      </c>
      <c r="AM2396">
        <v>96.590987816896103</v>
      </c>
      <c r="AN2396">
        <v>1.000000016672</v>
      </c>
    </row>
    <row r="2397" spans="1:40" x14ac:dyDescent="0.25">
      <c r="A2397" t="str">
        <f>"20190305134946164"</f>
        <v>20190305134946164</v>
      </c>
      <c r="B2397" t="str">
        <f>"1551764986153109"</f>
        <v>1551764986153109</v>
      </c>
      <c r="C2397" t="s">
        <v>40</v>
      </c>
      <c r="D2397">
        <v>4.1255920000000001</v>
      </c>
      <c r="E2397">
        <v>0.51489039999999997</v>
      </c>
      <c r="F2397" t="s">
        <v>74</v>
      </c>
      <c r="G2397">
        <v>-336.32150000000001</v>
      </c>
      <c r="H2397" s="1">
        <v>1.8650370000000001E-6</v>
      </c>
      <c r="I2397">
        <v>283.75119999999998</v>
      </c>
      <c r="J2397">
        <v>-310.75670000000002</v>
      </c>
      <c r="K2397">
        <v>1.1103749999999999</v>
      </c>
      <c r="L2397">
        <v>285.30610000000001</v>
      </c>
      <c r="M2397">
        <v>-0.99978210000000001</v>
      </c>
      <c r="N2397">
        <v>-1.5214490000000001E-2</v>
      </c>
      <c r="O2397">
        <v>1.430291E-2</v>
      </c>
      <c r="P2397">
        <v>-0.99444960000000004</v>
      </c>
      <c r="Q2397">
        <v>-2.6601420000000001E-2</v>
      </c>
      <c r="R2397">
        <v>-0.1017976</v>
      </c>
      <c r="S2397">
        <v>-2.994812</v>
      </c>
      <c r="T2397">
        <v>-0.1285675</v>
      </c>
      <c r="U2397">
        <v>-0.17956539999999999</v>
      </c>
      <c r="V2397">
        <v>-0.1159806</v>
      </c>
      <c r="W2397">
        <v>-1.1810899999999999E-2</v>
      </c>
      <c r="X2397">
        <v>0.99318119999999999</v>
      </c>
      <c r="Y2397">
        <v>-7.4026540000000002E-2</v>
      </c>
      <c r="Z2397">
        <v>-2.5467490000000001E-3</v>
      </c>
      <c r="AA2397">
        <v>0.99725299999999995</v>
      </c>
      <c r="AB2397">
        <v>53</v>
      </c>
      <c r="AC2397">
        <v>-25.564799999999899</v>
      </c>
      <c r="AD2397">
        <v>-1.1103731349629999</v>
      </c>
      <c r="AE2397">
        <v>-1.5549000000000299</v>
      </c>
      <c r="AF2397">
        <v>-1.9168314720205699</v>
      </c>
      <c r="AG2397">
        <v>-1.1103731349629999</v>
      </c>
      <c r="AH2397">
        <v>25.492029102460201</v>
      </c>
      <c r="AI2397">
        <v>92.487081287506498</v>
      </c>
      <c r="AJ2397">
        <v>94.3001702491229</v>
      </c>
      <c r="AK2397">
        <v>25.588097216316299</v>
      </c>
      <c r="AL2397">
        <v>90.676730492775505</v>
      </c>
      <c r="AM2397">
        <v>96.660654826041693</v>
      </c>
      <c r="AN2397">
        <v>0.99999994648430302</v>
      </c>
    </row>
    <row r="2398" spans="1:40" x14ac:dyDescent="0.25">
      <c r="A2398" t="str">
        <f>"20190305134946176"</f>
        <v>20190305134946176</v>
      </c>
      <c r="B2398" t="str">
        <f>"1551764986172629"</f>
        <v>1551764986172629</v>
      </c>
      <c r="C2398" t="s">
        <v>40</v>
      </c>
      <c r="D2398">
        <v>3.855397</v>
      </c>
      <c r="E2398">
        <v>0.51490440000000004</v>
      </c>
      <c r="F2398" t="s">
        <v>74</v>
      </c>
      <c r="G2398">
        <v>-334.97199999999998</v>
      </c>
      <c r="H2398" s="1">
        <v>1.1440500000000001E-6</v>
      </c>
      <c r="I2398">
        <v>283.81560000000002</v>
      </c>
      <c r="J2398">
        <v>-311.01499999999999</v>
      </c>
      <c r="K2398">
        <v>1.1104050000000001</v>
      </c>
      <c r="L2398">
        <v>285.30959999999999</v>
      </c>
      <c r="M2398">
        <v>-0.99978909999999999</v>
      </c>
      <c r="N2398">
        <v>-1.521344E-2</v>
      </c>
      <c r="O2398">
        <v>1.380369E-2</v>
      </c>
      <c r="P2398">
        <v>-0.99426510000000001</v>
      </c>
      <c r="Q2398">
        <v>-2.8029200000000001E-2</v>
      </c>
      <c r="R2398">
        <v>-0.1032066</v>
      </c>
      <c r="S2398">
        <v>-2.994202</v>
      </c>
      <c r="T2398">
        <v>-0.1372968</v>
      </c>
      <c r="U2398">
        <v>-0.18429570000000001</v>
      </c>
      <c r="V2398">
        <v>-0.1168863</v>
      </c>
      <c r="W2398">
        <v>-1.325223E-2</v>
      </c>
      <c r="X2398">
        <v>0.99305690000000002</v>
      </c>
      <c r="Y2398">
        <v>-7.5096670000000004E-2</v>
      </c>
      <c r="Z2398">
        <v>-2.713788E-3</v>
      </c>
      <c r="AA2398">
        <v>0.99717259999999996</v>
      </c>
      <c r="AB2398">
        <v>53</v>
      </c>
      <c r="AC2398">
        <v>-23.956999999999901</v>
      </c>
      <c r="AD2398">
        <v>-1.11040385594999</v>
      </c>
      <c r="AE2398">
        <v>-1.49399999999997</v>
      </c>
      <c r="AF2398">
        <v>-1.8206945992355299</v>
      </c>
      <c r="AG2398">
        <v>-1.11040385594999</v>
      </c>
      <c r="AH2398">
        <v>23.882982560785699</v>
      </c>
      <c r="AI2398">
        <v>92.654274746994105</v>
      </c>
      <c r="AJ2398">
        <v>94.359452682096006</v>
      </c>
      <c r="AK2398">
        <v>23.9780062045573</v>
      </c>
      <c r="AL2398">
        <v>90.759319061286902</v>
      </c>
      <c r="AM2398">
        <v>96.713028026300293</v>
      </c>
      <c r="AN2398">
        <v>1.00000001768263</v>
      </c>
    </row>
    <row r="2399" spans="1:40" x14ac:dyDescent="0.25">
      <c r="A2399" t="str">
        <f>"20190305134946187"</f>
        <v>20190305134946187</v>
      </c>
      <c r="B2399" t="str">
        <f>"1551764986183364"</f>
        <v>1551764986183364</v>
      </c>
      <c r="C2399" t="s">
        <v>40</v>
      </c>
      <c r="D2399">
        <v>3.8591359999999999</v>
      </c>
      <c r="E2399">
        <v>0.52471319999999999</v>
      </c>
      <c r="F2399" t="s">
        <v>74</v>
      </c>
      <c r="G2399">
        <v>-334.23559999999998</v>
      </c>
      <c r="H2399" s="1">
        <v>7.5072760000000003E-7</v>
      </c>
      <c r="I2399">
        <v>283.84840000000003</v>
      </c>
      <c r="J2399">
        <v>-311.28230000000002</v>
      </c>
      <c r="K2399">
        <v>1.11043799999999</v>
      </c>
      <c r="L2399">
        <v>285.31299999999999</v>
      </c>
      <c r="M2399">
        <v>-0.99979609999999997</v>
      </c>
      <c r="N2399">
        <v>-1.521231E-2</v>
      </c>
      <c r="O2399">
        <v>1.3286310000000001E-2</v>
      </c>
      <c r="P2399">
        <v>-0.99414290000000005</v>
      </c>
      <c r="Q2399">
        <v>-2.7699479999999999E-2</v>
      </c>
      <c r="R2399">
        <v>-0.1044649</v>
      </c>
      <c r="S2399">
        <v>-2.9936829999999999</v>
      </c>
      <c r="T2399">
        <v>-0.14315749999999999</v>
      </c>
      <c r="U2399">
        <v>-0.188385</v>
      </c>
      <c r="V2399">
        <v>-0.11762880000000001</v>
      </c>
      <c r="W2399">
        <v>-1.2934579999999999E-2</v>
      </c>
      <c r="X2399">
        <v>0.99297340000000001</v>
      </c>
      <c r="Y2399">
        <v>-7.5938259999999994E-2</v>
      </c>
      <c r="Z2399">
        <v>-2.824067E-3</v>
      </c>
      <c r="AA2399">
        <v>0.99710849999999995</v>
      </c>
      <c r="AB2399">
        <v>53</v>
      </c>
      <c r="AC2399">
        <v>-22.953299999999899</v>
      </c>
      <c r="AD2399">
        <v>-1.11043724927239</v>
      </c>
      <c r="AE2399">
        <v>-1.4645999999999599</v>
      </c>
      <c r="AF2399">
        <v>-1.7653556609380301</v>
      </c>
      <c r="AG2399">
        <v>-1.11043724927239</v>
      </c>
      <c r="AH2399">
        <v>22.878483508183098</v>
      </c>
      <c r="AI2399">
        <v>92.770522519651294</v>
      </c>
      <c r="AJ2399">
        <v>94.412329091996895</v>
      </c>
      <c r="AK2399">
        <v>22.9733445350995</v>
      </c>
      <c r="AL2399">
        <v>90.741117505898103</v>
      </c>
      <c r="AM2399">
        <v>96.755841319439398</v>
      </c>
      <c r="AN2399">
        <v>1.00000000552838</v>
      </c>
    </row>
    <row r="2400" spans="1:40" x14ac:dyDescent="0.25">
      <c r="A2400" t="str">
        <f>"20190305134946199"</f>
        <v>20190305134946199</v>
      </c>
      <c r="B2400" t="str">
        <f>"1551764986193125"</f>
        <v>1551764986193125</v>
      </c>
      <c r="C2400" t="s">
        <v>40</v>
      </c>
      <c r="D2400">
        <v>3.873786</v>
      </c>
      <c r="E2400">
        <v>0.52418359999999997</v>
      </c>
      <c r="F2400" t="s">
        <v>76</v>
      </c>
      <c r="G2400">
        <v>-511.97050000000002</v>
      </c>
      <c r="H2400">
        <v>35.732089999999999</v>
      </c>
      <c r="I2400">
        <v>275.52359999999999</v>
      </c>
      <c r="J2400">
        <v>-311.58080000000001</v>
      </c>
      <c r="K2400">
        <v>1.110468</v>
      </c>
      <c r="L2400">
        <v>285.3168</v>
      </c>
      <c r="M2400">
        <v>-0.99980349999999996</v>
      </c>
      <c r="N2400">
        <v>-1.5210950000000001E-2</v>
      </c>
      <c r="O2400">
        <v>1.2712849999999999E-2</v>
      </c>
      <c r="P2400">
        <v>-0.99407679999999998</v>
      </c>
      <c r="Q2400">
        <v>-2.4735759999999999E-2</v>
      </c>
      <c r="R2400">
        <v>-0.1058283</v>
      </c>
      <c r="S2400">
        <v>-3.0167540000000002</v>
      </c>
      <c r="T2400">
        <v>0.52043499999999998</v>
      </c>
      <c r="U2400">
        <v>-0.1471558</v>
      </c>
      <c r="V2400">
        <v>-0.1184296</v>
      </c>
      <c r="W2400">
        <v>-9.9819560000000002E-3</v>
      </c>
      <c r="X2400">
        <v>0.99291229999999997</v>
      </c>
      <c r="Y2400">
        <v>-6.0384699999999999E-2</v>
      </c>
      <c r="Z2400">
        <v>7.0724789999999996E-3</v>
      </c>
      <c r="AA2400">
        <v>0.99815010000000004</v>
      </c>
      <c r="AB2400">
        <v>53</v>
      </c>
      <c r="AC2400">
        <v>-200.3897</v>
      </c>
      <c r="AD2400">
        <v>34.621621999999903</v>
      </c>
      <c r="AE2400">
        <v>-9.7932000000000095</v>
      </c>
      <c r="AF2400">
        <v>-11.983376101370499</v>
      </c>
      <c r="AG2400">
        <v>34.621621999999903</v>
      </c>
      <c r="AH2400">
        <v>194.45824438405299</v>
      </c>
      <c r="AI2400">
        <v>79.923482065589397</v>
      </c>
      <c r="AJ2400">
        <v>93.5263597032082</v>
      </c>
      <c r="AK2400">
        <v>197.879424957791</v>
      </c>
      <c r="AL2400">
        <v>90.571933435313198</v>
      </c>
      <c r="AM2400">
        <v>96.801819314019795</v>
      </c>
      <c r="AN2400">
        <v>1.00000002254651</v>
      </c>
    </row>
    <row r="2401" spans="1:40" x14ac:dyDescent="0.25">
      <c r="A2401" t="str">
        <f>"20190305134946221"</f>
        <v>20190305134946221</v>
      </c>
      <c r="B2401" t="str">
        <f>"1551764986212644"</f>
        <v>1551764986212644</v>
      </c>
      <c r="C2401" t="s">
        <v>40</v>
      </c>
      <c r="D2401">
        <v>3.8336429999999999</v>
      </c>
      <c r="E2401">
        <v>0.52408440000000001</v>
      </c>
      <c r="F2401" t="s">
        <v>76</v>
      </c>
      <c r="G2401">
        <v>-512.8374</v>
      </c>
      <c r="H2401">
        <v>36.873399999999997</v>
      </c>
      <c r="I2401">
        <v>274.92419999999998</v>
      </c>
      <c r="J2401">
        <v>-312.07740000000001</v>
      </c>
      <c r="K2401">
        <v>1.1105100000000001</v>
      </c>
      <c r="L2401">
        <v>285.32260000000002</v>
      </c>
      <c r="M2401">
        <v>-0.99981509999999996</v>
      </c>
      <c r="N2401">
        <v>-1.520851E-2</v>
      </c>
      <c r="O2401">
        <v>1.177404E-2</v>
      </c>
      <c r="P2401">
        <v>-0.99396169999999995</v>
      </c>
      <c r="Q2401">
        <v>-2.2778940000000001E-2</v>
      </c>
      <c r="R2401">
        <v>-0.1073393</v>
      </c>
      <c r="S2401">
        <v>-3.014618</v>
      </c>
      <c r="T2401">
        <v>0.53569290000000003</v>
      </c>
      <c r="U2401">
        <v>-0.15567020000000001</v>
      </c>
      <c r="V2401">
        <v>-0.1190126</v>
      </c>
      <c r="W2401">
        <v>-8.0383850000000003E-3</v>
      </c>
      <c r="X2401">
        <v>0.99286019999999997</v>
      </c>
      <c r="Y2401">
        <v>-6.2221369999999998E-2</v>
      </c>
      <c r="Z2401">
        <v>7.257126E-3</v>
      </c>
      <c r="AA2401">
        <v>0.99803600000000003</v>
      </c>
      <c r="AB2401">
        <v>53</v>
      </c>
      <c r="AC2401">
        <v>-200.76</v>
      </c>
      <c r="AD2401">
        <v>35.762889999999999</v>
      </c>
      <c r="AE2401">
        <v>-10.398400000000001</v>
      </c>
      <c r="AF2401">
        <v>-12.3702150531245</v>
      </c>
      <c r="AG2401">
        <v>35.762889999999999</v>
      </c>
      <c r="AH2401">
        <v>194.46906395128201</v>
      </c>
      <c r="AI2401">
        <v>79.600283966684401</v>
      </c>
      <c r="AJ2401">
        <v>93.639691942561697</v>
      </c>
      <c r="AK2401">
        <v>198.11669125972301</v>
      </c>
      <c r="AL2401">
        <v>90.460570496696306</v>
      </c>
      <c r="AM2401">
        <v>96.835342279780406</v>
      </c>
      <c r="AN2401">
        <v>0.99999999566810405</v>
      </c>
    </row>
    <row r="2402" spans="1:40" x14ac:dyDescent="0.25">
      <c r="A2402" t="str">
        <f>"20190305134946236"</f>
        <v>20190305134946236</v>
      </c>
      <c r="B2402" t="str">
        <f>"1551764986223381"</f>
        <v>1551764986223381</v>
      </c>
      <c r="C2402" t="s">
        <v>40</v>
      </c>
      <c r="D2402">
        <v>3.884198</v>
      </c>
      <c r="E2402">
        <v>0.52410409999999996</v>
      </c>
      <c r="F2402" t="s">
        <v>76</v>
      </c>
      <c r="G2402">
        <v>-512.83759999999995</v>
      </c>
      <c r="H2402">
        <v>37.46837</v>
      </c>
      <c r="I2402">
        <v>274.58929999999998</v>
      </c>
      <c r="J2402">
        <v>-312.41759999999999</v>
      </c>
      <c r="K2402">
        <v>1.110525</v>
      </c>
      <c r="L2402">
        <v>285.3263</v>
      </c>
      <c r="M2402">
        <v>-0.99982230000000005</v>
      </c>
      <c r="N2402">
        <v>-1.520668E-2</v>
      </c>
      <c r="O2402">
        <v>1.1146970000000001E-2</v>
      </c>
      <c r="P2402">
        <v>-0.99384819999999996</v>
      </c>
      <c r="Q2402">
        <v>-2.3470049999999999E-2</v>
      </c>
      <c r="R2402">
        <v>-0.108235999999999</v>
      </c>
      <c r="S2402">
        <v>-3.0133359999999998</v>
      </c>
      <c r="T2402">
        <v>0.54571879999999995</v>
      </c>
      <c r="U2402">
        <v>-0.1611023</v>
      </c>
      <c r="V2402">
        <v>-0.11928320000000001</v>
      </c>
      <c r="W2402">
        <v>-8.7362069999999993E-3</v>
      </c>
      <c r="X2402">
        <v>0.99282179999999998</v>
      </c>
      <c r="Y2402">
        <v>-6.3363340000000004E-2</v>
      </c>
      <c r="Z2402">
        <v>7.3707209999999898E-3</v>
      </c>
      <c r="AA2402">
        <v>0.9979633</v>
      </c>
      <c r="AB2402">
        <v>53</v>
      </c>
      <c r="AC2402">
        <v>-200.42</v>
      </c>
      <c r="AD2402">
        <v>36.357844999999998</v>
      </c>
      <c r="AE2402">
        <v>-10.737</v>
      </c>
      <c r="AF2402">
        <v>-12.5585602946576</v>
      </c>
      <c r="AG2402">
        <v>36.357844999999998</v>
      </c>
      <c r="AH2402">
        <v>193.92426409179399</v>
      </c>
      <c r="AI2402">
        <v>79.402881918434105</v>
      </c>
      <c r="AJ2402">
        <v>93.705307968518696</v>
      </c>
      <c r="AK2402">
        <v>197.702378673759</v>
      </c>
      <c r="AL2402">
        <v>90.500554174951105</v>
      </c>
      <c r="AM2402">
        <v>96.850998771177203</v>
      </c>
      <c r="AN2402">
        <v>0.999999964835112</v>
      </c>
    </row>
    <row r="2403" spans="1:40" x14ac:dyDescent="0.25">
      <c r="A2403" t="str">
        <f>"20190305134946247"</f>
        <v>20190305134946247</v>
      </c>
      <c r="B2403" t="str">
        <f>"1551764986242901"</f>
        <v>1551764986242901</v>
      </c>
      <c r="C2403" t="s">
        <v>40</v>
      </c>
      <c r="D2403">
        <v>3.8419409999999998</v>
      </c>
      <c r="E2403">
        <v>0.52358009999999999</v>
      </c>
      <c r="F2403" t="s">
        <v>76</v>
      </c>
      <c r="G2403">
        <v>-512.83749999999998</v>
      </c>
      <c r="H2403">
        <v>37.137219999999999</v>
      </c>
      <c r="I2403">
        <v>274.44139999999999</v>
      </c>
      <c r="J2403">
        <v>-312.7099</v>
      </c>
      <c r="K2403">
        <v>1.110528</v>
      </c>
      <c r="L2403">
        <v>285.32929999999999</v>
      </c>
      <c r="M2403">
        <v>-0.99982800000000005</v>
      </c>
      <c r="N2403">
        <v>-1.520499E-2</v>
      </c>
      <c r="O2403">
        <v>1.061958E-2</v>
      </c>
      <c r="P2403">
        <v>-0.99375210000000003</v>
      </c>
      <c r="Q2403">
        <v>-2.4650689999999999E-2</v>
      </c>
      <c r="R2403">
        <v>-0.10885350000000001</v>
      </c>
      <c r="S2403">
        <v>-3.0135190000000001</v>
      </c>
      <c r="T2403">
        <v>0.54169919999999905</v>
      </c>
      <c r="U2403">
        <v>-0.1636658</v>
      </c>
      <c r="V2403">
        <v>-0.1193723</v>
      </c>
      <c r="W2403">
        <v>-9.9206409999999991E-3</v>
      </c>
      <c r="X2403">
        <v>0.99280000000000002</v>
      </c>
      <c r="Y2403">
        <v>-6.3702519999999999E-2</v>
      </c>
      <c r="Z2403">
        <v>7.2401430000000001E-3</v>
      </c>
      <c r="AA2403">
        <v>0.99794269999999996</v>
      </c>
      <c r="AB2403">
        <v>53</v>
      </c>
      <c r="AC2403">
        <v>-200.1276</v>
      </c>
      <c r="AD2403">
        <v>36.026691999999997</v>
      </c>
      <c r="AE2403">
        <v>-10.8879</v>
      </c>
      <c r="AF2403">
        <v>-12.605505402370101</v>
      </c>
      <c r="AG2403">
        <v>36.026691999999997</v>
      </c>
      <c r="AH2403">
        <v>193.74070600091699</v>
      </c>
      <c r="AI2403">
        <v>79.487717664181503</v>
      </c>
      <c r="AJ2403">
        <v>93.7226337123587</v>
      </c>
      <c r="AK2403">
        <v>197.464635984892</v>
      </c>
      <c r="AL2403">
        <v>90.5684201820699</v>
      </c>
      <c r="AM2403">
        <v>96.856216626537901</v>
      </c>
      <c r="AN2403">
        <v>1.0000000025625699</v>
      </c>
    </row>
    <row r="2404" spans="1:40" x14ac:dyDescent="0.25">
      <c r="A2404" t="str">
        <f>"20190305134946264"</f>
        <v>20190305134946264</v>
      </c>
      <c r="B2404" t="str">
        <f>"1551764986252660"</f>
        <v>1551764986252660</v>
      </c>
      <c r="C2404" t="s">
        <v>40</v>
      </c>
      <c r="D2404">
        <v>3.867543</v>
      </c>
      <c r="E2404">
        <v>0.52393729999999905</v>
      </c>
      <c r="F2404" t="s">
        <v>76</v>
      </c>
      <c r="G2404">
        <v>-512.83720000000005</v>
      </c>
      <c r="H2404">
        <v>36.157969999999999</v>
      </c>
      <c r="I2404">
        <v>274.1096</v>
      </c>
      <c r="J2404">
        <v>-313.08420000000001</v>
      </c>
      <c r="K2404">
        <v>1.1105210000000001</v>
      </c>
      <c r="L2404">
        <v>285.33300000000003</v>
      </c>
      <c r="M2404">
        <v>-0.99983469999999997</v>
      </c>
      <c r="N2404">
        <v>-1.5202709999999999E-2</v>
      </c>
      <c r="O2404">
        <v>9.9730329999999992E-3</v>
      </c>
      <c r="P2404">
        <v>-0.99357269999999998</v>
      </c>
      <c r="Q2404">
        <v>-2.585786E-2</v>
      </c>
      <c r="R2404">
        <v>-0.1102026</v>
      </c>
      <c r="S2404">
        <v>-3.0134889999999999</v>
      </c>
      <c r="T2404">
        <v>0.52774019999999899</v>
      </c>
      <c r="U2404">
        <v>-0.16894529999999999</v>
      </c>
      <c r="V2404">
        <v>-0.12007379999999999</v>
      </c>
      <c r="W2404">
        <v>-1.11325E-2</v>
      </c>
      <c r="X2404">
        <v>0.99270250000000004</v>
      </c>
      <c r="Y2404">
        <v>-6.4854949999999995E-2</v>
      </c>
      <c r="Z2404">
        <v>7.0172749999999999E-3</v>
      </c>
      <c r="AA2404">
        <v>0.99787000000000003</v>
      </c>
      <c r="AB2404">
        <v>53</v>
      </c>
      <c r="AC2404">
        <v>-199.75299999999999</v>
      </c>
      <c r="AD2404">
        <v>35.047449</v>
      </c>
      <c r="AE2404">
        <v>-11.2233999999999</v>
      </c>
      <c r="AF2404">
        <v>-12.8217514970474</v>
      </c>
      <c r="AG2404">
        <v>35.047449</v>
      </c>
      <c r="AH2404">
        <v>193.68739454263999</v>
      </c>
      <c r="AI2404">
        <v>79.765319586359396</v>
      </c>
      <c r="AJ2404">
        <v>93.787350022859101</v>
      </c>
      <c r="AK2404">
        <v>197.24991203439299</v>
      </c>
      <c r="AL2404">
        <v>90.637858471905005</v>
      </c>
      <c r="AM2404">
        <v>96.896791596623004</v>
      </c>
      <c r="AN2404">
        <v>0.99999995175446799</v>
      </c>
    </row>
    <row r="2405" spans="1:40" x14ac:dyDescent="0.25">
      <c r="A2405" t="str">
        <f>"20190305134946286"</f>
        <v>20190305134946286</v>
      </c>
      <c r="B2405" t="str">
        <f>"1551764986282917"</f>
        <v>1551764986282917</v>
      </c>
      <c r="C2405" t="s">
        <v>40</v>
      </c>
      <c r="D2405">
        <v>4.1745919999999996</v>
      </c>
      <c r="E2405">
        <v>0.52445909999999996</v>
      </c>
      <c r="F2405" t="s">
        <v>76</v>
      </c>
      <c r="G2405">
        <v>-512.83699999999999</v>
      </c>
      <c r="H2405">
        <v>35.883029999999998</v>
      </c>
      <c r="I2405">
        <v>274.05189999999999</v>
      </c>
      <c r="J2405">
        <v>-313.61509999999998</v>
      </c>
      <c r="K2405">
        <v>1.1105020000000001</v>
      </c>
      <c r="L2405">
        <v>285.33780000000002</v>
      </c>
      <c r="M2405">
        <v>-0.99984309999999998</v>
      </c>
      <c r="N2405">
        <v>-1.5199320000000001E-2</v>
      </c>
      <c r="O2405">
        <v>9.1072719999999996E-3</v>
      </c>
      <c r="P2405">
        <v>-0.99343669999999995</v>
      </c>
      <c r="Q2405">
        <v>-2.685297E-2</v>
      </c>
      <c r="R2405">
        <v>-0.1111881</v>
      </c>
      <c r="S2405">
        <v>-3.0141909999999998</v>
      </c>
      <c r="T2405">
        <v>0.52470399999999995</v>
      </c>
      <c r="U2405">
        <v>-0.17022709999999999</v>
      </c>
      <c r="V2405">
        <v>-0.12019630000000001</v>
      </c>
      <c r="W2405">
        <v>-1.212506E-2</v>
      </c>
      <c r="X2405">
        <v>0.99267609999999995</v>
      </c>
      <c r="Y2405">
        <v>-6.4435119999999999E-2</v>
      </c>
      <c r="Z2405">
        <v>6.7783510000000002E-3</v>
      </c>
      <c r="AA2405">
        <v>0.99789890000000003</v>
      </c>
      <c r="AB2405">
        <v>53</v>
      </c>
      <c r="AC2405">
        <v>-199.22190000000001</v>
      </c>
      <c r="AD2405">
        <v>34.772528000000001</v>
      </c>
      <c r="AE2405">
        <v>-11.2859</v>
      </c>
      <c r="AF2405">
        <v>-12.713921248741601</v>
      </c>
      <c r="AG2405">
        <v>34.772528000000001</v>
      </c>
      <c r="AH2405">
        <v>193.24257579773001</v>
      </c>
      <c r="AI2405">
        <v>79.820770164862296</v>
      </c>
      <c r="AJ2405">
        <v>93.764210193484203</v>
      </c>
      <c r="AK2405">
        <v>196.75737749312299</v>
      </c>
      <c r="AL2405">
        <v>90.694731785483398</v>
      </c>
      <c r="AM2405">
        <v>96.903941704067407</v>
      </c>
      <c r="AN2405">
        <v>1.0000000035624499</v>
      </c>
    </row>
    <row r="2406" spans="1:40" x14ac:dyDescent="0.25">
      <c r="A2406" t="str">
        <f>"20190305134946298"</f>
        <v>20190305134946298</v>
      </c>
      <c r="B2406" t="str">
        <f>"1551764986292677"</f>
        <v>1551764986292677</v>
      </c>
      <c r="C2406" t="s">
        <v>40</v>
      </c>
      <c r="D2406">
        <v>3.8584520000000002</v>
      </c>
      <c r="E2406">
        <v>0.5245727</v>
      </c>
      <c r="F2406" t="s">
        <v>76</v>
      </c>
      <c r="G2406">
        <v>-512.83699999999999</v>
      </c>
      <c r="H2406">
        <v>35.684440000000002</v>
      </c>
      <c r="I2406">
        <v>274.06909999999999</v>
      </c>
      <c r="J2406">
        <v>-313.89370000000002</v>
      </c>
      <c r="K2406">
        <v>1.110484</v>
      </c>
      <c r="L2406">
        <v>285.34019999999998</v>
      </c>
      <c r="M2406">
        <v>-0.99984689999999998</v>
      </c>
      <c r="N2406">
        <v>-1.519745E-2</v>
      </c>
      <c r="O2406">
        <v>8.6875049999999999E-3</v>
      </c>
      <c r="P2406">
        <v>-0.99345419999999995</v>
      </c>
      <c r="Q2406">
        <v>-2.6407380000000001E-2</v>
      </c>
      <c r="R2406">
        <v>-0.1111384</v>
      </c>
      <c r="S2406">
        <v>-3.0148929999999998</v>
      </c>
      <c r="T2406">
        <v>0.52321969999999995</v>
      </c>
      <c r="U2406">
        <v>-0.17053219999999999</v>
      </c>
      <c r="V2406">
        <v>-0.119732199999999</v>
      </c>
      <c r="W2406">
        <v>-1.167282E-2</v>
      </c>
      <c r="X2406">
        <v>0.9927376</v>
      </c>
      <c r="Y2406">
        <v>-6.4121929999999994E-2</v>
      </c>
      <c r="Z2406">
        <v>6.6537480000000001E-3</v>
      </c>
      <c r="AA2406">
        <v>0.99791989999999997</v>
      </c>
      <c r="AB2406">
        <v>53</v>
      </c>
      <c r="AC2406">
        <v>-198.94329999999999</v>
      </c>
      <c r="AD2406">
        <v>34.573956000000003</v>
      </c>
      <c r="AE2406">
        <v>-11.271099999999899</v>
      </c>
      <c r="AF2406">
        <v>-12.619283364135301</v>
      </c>
      <c r="AG2406">
        <v>34.573956000000003</v>
      </c>
      <c r="AH2406">
        <v>193.02667157958399</v>
      </c>
      <c r="AI2406">
        <v>79.866336793327207</v>
      </c>
      <c r="AJ2406">
        <v>93.740437656505705</v>
      </c>
      <c r="AK2406">
        <v>196.504200177012</v>
      </c>
      <c r="AL2406">
        <v>90.668818510920403</v>
      </c>
      <c r="AM2406">
        <v>96.877118147751801</v>
      </c>
      <c r="AN2406">
        <v>0.99999999844867604</v>
      </c>
    </row>
    <row r="2407" spans="1:40" x14ac:dyDescent="0.25">
      <c r="A2407" t="str">
        <f>"20190305134946310"</f>
        <v>20190305134946310</v>
      </c>
      <c r="B2407" t="str">
        <f>"1551764986303412"</f>
        <v>1551764986303412</v>
      </c>
      <c r="C2407" t="s">
        <v>40</v>
      </c>
      <c r="D2407">
        <v>3.8417439999999998</v>
      </c>
      <c r="E2407">
        <v>0.52463780000000004</v>
      </c>
      <c r="F2407" t="s">
        <v>76</v>
      </c>
      <c r="G2407">
        <v>-512.83699999999999</v>
      </c>
      <c r="H2407">
        <v>35.83681</v>
      </c>
      <c r="I2407">
        <v>274.13319999999999</v>
      </c>
      <c r="J2407">
        <v>-314.17230000000001</v>
      </c>
      <c r="K2407">
        <v>1.1104639999999999</v>
      </c>
      <c r="L2407">
        <v>285.34249999999997</v>
      </c>
      <c r="M2407">
        <v>-0.99985020000000002</v>
      </c>
      <c r="N2407">
        <v>-1.519557E-2</v>
      </c>
      <c r="O2407">
        <v>8.2798349999999993E-3</v>
      </c>
      <c r="P2407">
        <v>-0.99346630000000002</v>
      </c>
      <c r="Q2407">
        <v>-2.6230320000000001E-2</v>
      </c>
      <c r="R2407">
        <v>-0.1110715</v>
      </c>
      <c r="S2407">
        <v>-3.0147710000000001</v>
      </c>
      <c r="T2407">
        <v>0.5262405</v>
      </c>
      <c r="U2407">
        <v>-0.16983029999999999</v>
      </c>
      <c r="V2407">
        <v>-0.1192619</v>
      </c>
      <c r="W2407">
        <v>-1.1488430000000001E-2</v>
      </c>
      <c r="X2407">
        <v>0.99279640000000002</v>
      </c>
      <c r="Y2407">
        <v>-6.3489489999999996E-2</v>
      </c>
      <c r="Z2407">
        <v>6.5673490000000001E-3</v>
      </c>
      <c r="AA2407">
        <v>0.99796090000000004</v>
      </c>
      <c r="AB2407">
        <v>53</v>
      </c>
      <c r="AC2407">
        <v>-198.66470000000001</v>
      </c>
      <c r="AD2407">
        <v>34.726345999999999</v>
      </c>
      <c r="AE2407">
        <v>-11.209299999999899</v>
      </c>
      <c r="AF2407">
        <v>-12.474085359009599</v>
      </c>
      <c r="AG2407">
        <v>34.726345999999999</v>
      </c>
      <c r="AH2407">
        <v>192.69599987821101</v>
      </c>
      <c r="AI2407">
        <v>79.8050893740633</v>
      </c>
      <c r="AJ2407">
        <v>93.703847506595807</v>
      </c>
      <c r="AK2407">
        <v>196.19701904238801</v>
      </c>
      <c r="AL2407">
        <v>90.658253007352201</v>
      </c>
      <c r="AM2407">
        <v>96.849960617593695</v>
      </c>
      <c r="AN2407">
        <v>1.00000003833421</v>
      </c>
    </row>
    <row r="2408" spans="1:40" x14ac:dyDescent="0.25">
      <c r="A2408" t="str">
        <f>"20190305134946320"</f>
        <v>20190305134946320</v>
      </c>
      <c r="B2408" t="str">
        <f>"1551764986313173"</f>
        <v>1551764986313173</v>
      </c>
      <c r="C2408" t="s">
        <v>40</v>
      </c>
      <c r="D2408">
        <v>3.8850899999999999</v>
      </c>
      <c r="E2408">
        <v>0.52433280000000004</v>
      </c>
      <c r="F2408" t="s">
        <v>76</v>
      </c>
      <c r="G2408">
        <v>-512.83699999999999</v>
      </c>
      <c r="H2408">
        <v>35.872790000000002</v>
      </c>
      <c r="I2408">
        <v>274.20940000000002</v>
      </c>
      <c r="J2408">
        <v>-314.4325</v>
      </c>
      <c r="K2408">
        <v>1.1104369999999999</v>
      </c>
      <c r="L2408">
        <v>285.34440000000001</v>
      </c>
      <c r="M2408">
        <v>-0.99985329999999994</v>
      </c>
      <c r="N2408">
        <v>-1.5193760000000001E-2</v>
      </c>
      <c r="O2408">
        <v>7.9346839999999991E-3</v>
      </c>
      <c r="P2408">
        <v>-0.99351710000000004</v>
      </c>
      <c r="Q2408">
        <v>-2.5594349999999998E-2</v>
      </c>
      <c r="R2408">
        <v>-0.11076569999999999</v>
      </c>
      <c r="S2408">
        <v>-3.0147710000000001</v>
      </c>
      <c r="T2408">
        <v>0.52752469999999996</v>
      </c>
      <c r="U2408">
        <v>-0.16894529999999999</v>
      </c>
      <c r="V2408">
        <v>-0.1186165</v>
      </c>
      <c r="W2408">
        <v>-1.0842630000000001E-2</v>
      </c>
      <c r="X2408">
        <v>0.99288089999999996</v>
      </c>
      <c r="Y2408">
        <v>-6.2862669999999995E-2</v>
      </c>
      <c r="Z2408">
        <v>6.4694050000000001E-3</v>
      </c>
      <c r="AA2408">
        <v>0.99800120000000003</v>
      </c>
      <c r="AB2408">
        <v>53</v>
      </c>
      <c r="AC2408">
        <v>-198.40450000000001</v>
      </c>
      <c r="AD2408">
        <v>34.762352999999997</v>
      </c>
      <c r="AE2408">
        <v>-11.1349999999999</v>
      </c>
      <c r="AF2408">
        <v>-12.3317323806624</v>
      </c>
      <c r="AG2408">
        <v>34.762352999999997</v>
      </c>
      <c r="AH2408">
        <v>192.42141370613899</v>
      </c>
      <c r="AI2408">
        <v>79.780068822693195</v>
      </c>
      <c r="AJ2408">
        <v>93.666906245355804</v>
      </c>
      <c r="AK2408">
        <v>195.92471325045699</v>
      </c>
      <c r="AL2408">
        <v>90.621249136224606</v>
      </c>
      <c r="AM2408">
        <v>96.812666239461393</v>
      </c>
      <c r="AN2408">
        <v>0.999999959141187</v>
      </c>
    </row>
    <row r="2409" spans="1:40" x14ac:dyDescent="0.25">
      <c r="A2409" t="str">
        <f>"20190305134946332"</f>
        <v>20190305134946332</v>
      </c>
      <c r="B2409" t="str">
        <f>"1551764986322932"</f>
        <v>1551764986322932</v>
      </c>
      <c r="C2409" t="s">
        <v>40</v>
      </c>
      <c r="D2409">
        <v>3.9045100000000001</v>
      </c>
      <c r="E2409">
        <v>0.52408959999999905</v>
      </c>
      <c r="F2409" t="s">
        <v>76</v>
      </c>
      <c r="G2409">
        <v>-512.83699999999999</v>
      </c>
      <c r="H2409">
        <v>35.588549999999998</v>
      </c>
      <c r="I2409">
        <v>274.13499999999999</v>
      </c>
      <c r="J2409">
        <v>-314.70080000000002</v>
      </c>
      <c r="K2409">
        <v>1.1104080000000001</v>
      </c>
      <c r="L2409">
        <v>285.34649999999999</v>
      </c>
      <c r="M2409">
        <v>-0.99985590000000002</v>
      </c>
      <c r="N2409">
        <v>-1.5191909999999999E-2</v>
      </c>
      <c r="O2409">
        <v>7.5879650000000003E-3</v>
      </c>
      <c r="P2409">
        <v>-0.99354469999999995</v>
      </c>
      <c r="Q2409">
        <v>-2.4887490000000002E-2</v>
      </c>
      <c r="R2409">
        <v>-0.1106781</v>
      </c>
      <c r="S2409">
        <v>-3.0140690000000001</v>
      </c>
      <c r="T2409">
        <v>0.52377609999999997</v>
      </c>
      <c r="U2409">
        <v>-0.1702881</v>
      </c>
      <c r="V2409">
        <v>-0.118188</v>
      </c>
      <c r="W2409">
        <v>-1.012645E-2</v>
      </c>
      <c r="X2409">
        <v>0.99293960000000003</v>
      </c>
      <c r="Y2409">
        <v>-6.2991359999999996E-2</v>
      </c>
      <c r="Z2409">
        <v>6.3682690000000002E-3</v>
      </c>
      <c r="AA2409">
        <v>0.99799380000000004</v>
      </c>
      <c r="AB2409">
        <v>53</v>
      </c>
      <c r="AC2409">
        <v>-198.1362</v>
      </c>
      <c r="AD2409">
        <v>34.478141999999998</v>
      </c>
      <c r="AE2409">
        <v>-11.211499999999999</v>
      </c>
      <c r="AF2409">
        <v>-12.3422664604944</v>
      </c>
      <c r="AG2409">
        <v>34.478141999999998</v>
      </c>
      <c r="AH2409">
        <v>192.24282255821399</v>
      </c>
      <c r="AI2409">
        <v>79.852735167700899</v>
      </c>
      <c r="AJ2409">
        <v>93.673430133239194</v>
      </c>
      <c r="AK2409">
        <v>195.69971037869001</v>
      </c>
      <c r="AL2409">
        <v>90.580212763758496</v>
      </c>
      <c r="AM2409">
        <v>96.787888113543502</v>
      </c>
      <c r="AN2409">
        <v>0.99999999879088097</v>
      </c>
    </row>
    <row r="2410" spans="1:40" x14ac:dyDescent="0.25">
      <c r="A2410" t="str">
        <f>"20190305134946344"</f>
        <v>20190305134946344</v>
      </c>
      <c r="B2410" t="str">
        <f>"1551764986333669"</f>
        <v>1551764986333669</v>
      </c>
      <c r="C2410" t="s">
        <v>40</v>
      </c>
      <c r="D2410">
        <v>3.8669500000000001</v>
      </c>
      <c r="E2410">
        <v>0.52369069999999995</v>
      </c>
      <c r="F2410" t="s">
        <v>76</v>
      </c>
      <c r="G2410">
        <v>-512.83690000000001</v>
      </c>
      <c r="H2410">
        <v>35.390090000000001</v>
      </c>
      <c r="I2410">
        <v>274.07369999999997</v>
      </c>
      <c r="J2410">
        <v>-314.99160000000001</v>
      </c>
      <c r="K2410">
        <v>1.1103639999999999</v>
      </c>
      <c r="L2410">
        <v>285.3485</v>
      </c>
      <c r="M2410">
        <v>-0.99985840000000004</v>
      </c>
      <c r="N2410">
        <v>-1.5189899999999999E-2</v>
      </c>
      <c r="O2410">
        <v>7.2426359999999898E-3</v>
      </c>
      <c r="P2410">
        <v>-0.99354889999999996</v>
      </c>
      <c r="Q2410">
        <v>-2.4841220000000001E-2</v>
      </c>
      <c r="R2410">
        <v>-0.11065120000000001</v>
      </c>
      <c r="S2410">
        <v>-3.013458</v>
      </c>
      <c r="T2410">
        <v>0.52136159999999998</v>
      </c>
      <c r="U2410">
        <v>-0.17144779999999901</v>
      </c>
      <c r="V2410">
        <v>-0.117818699999999</v>
      </c>
      <c r="W2410">
        <v>-1.0069699999999999E-2</v>
      </c>
      <c r="X2410">
        <v>0.99298410000000004</v>
      </c>
      <c r="Y2410">
        <v>-6.3055029999999998E-2</v>
      </c>
      <c r="Z2410">
        <v>6.2795289999999998E-3</v>
      </c>
      <c r="AA2410">
        <v>0.9979903</v>
      </c>
      <c r="AB2410">
        <v>52</v>
      </c>
      <c r="AC2410">
        <v>-197.84530000000001</v>
      </c>
      <c r="AD2410">
        <v>34.279725999999997</v>
      </c>
      <c r="AE2410">
        <v>-11.274800000000001</v>
      </c>
      <c r="AF2410">
        <v>-12.338381212656101</v>
      </c>
      <c r="AG2410">
        <v>34.279725999999997</v>
      </c>
      <c r="AH2410">
        <v>192.012713127789</v>
      </c>
      <c r="AI2410">
        <v>79.898120520416001</v>
      </c>
      <c r="AJ2410">
        <v>93.676665750507198</v>
      </c>
      <c r="AK2410">
        <v>195.43852554775</v>
      </c>
      <c r="AL2410">
        <v>90.5769610422211</v>
      </c>
      <c r="AM2410">
        <v>96.766574662869303</v>
      </c>
      <c r="AN2410">
        <v>1.0000000338902899</v>
      </c>
    </row>
    <row r="2411" spans="1:40" x14ac:dyDescent="0.25">
      <c r="A2411" t="str">
        <f>"20190305134946357"</f>
        <v>20190305134946357</v>
      </c>
      <c r="B2411" t="str">
        <f>"1551764986352629"</f>
        <v>1551764986352629</v>
      </c>
      <c r="C2411" t="s">
        <v>40</v>
      </c>
      <c r="D2411">
        <v>3.8585410000000002</v>
      </c>
      <c r="E2411">
        <v>0.50836250000000005</v>
      </c>
      <c r="F2411" t="s">
        <v>76</v>
      </c>
      <c r="G2411">
        <v>-512.83690000000001</v>
      </c>
      <c r="H2411">
        <v>35.317790000000002</v>
      </c>
      <c r="I2411">
        <v>273.90859999999998</v>
      </c>
      <c r="J2411">
        <v>-315.26389999999998</v>
      </c>
      <c r="K2411">
        <v>1.1103289999999999</v>
      </c>
      <c r="L2411">
        <v>285.3503</v>
      </c>
      <c r="M2411">
        <v>-0.99986059999999999</v>
      </c>
      <c r="N2411">
        <v>-1.518808E-2</v>
      </c>
      <c r="O2411">
        <v>6.9409140000000003E-3</v>
      </c>
      <c r="P2411">
        <v>-0.99352839999999998</v>
      </c>
      <c r="Q2411">
        <v>-2.5252480000000001E-2</v>
      </c>
      <c r="R2411">
        <v>-0.1107422</v>
      </c>
      <c r="S2411">
        <v>-3.0130919999999999</v>
      </c>
      <c r="T2411">
        <v>0.52096379999999998</v>
      </c>
      <c r="U2411">
        <v>-0.17422489999999999</v>
      </c>
      <c r="V2411">
        <v>-0.1176099</v>
      </c>
      <c r="W2411">
        <v>-1.0471370000000001E-2</v>
      </c>
      <c r="X2411">
        <v>0.99300469999999996</v>
      </c>
      <c r="Y2411">
        <v>-6.3675839999999997E-2</v>
      </c>
      <c r="Z2411">
        <v>6.2673779999999997E-3</v>
      </c>
      <c r="AA2411">
        <v>0.99795100000000003</v>
      </c>
      <c r="AB2411">
        <v>52</v>
      </c>
      <c r="AC2411">
        <v>-197.57300000000001</v>
      </c>
      <c r="AD2411">
        <v>34.207461000000002</v>
      </c>
      <c r="AE2411">
        <v>-11.441700000000001</v>
      </c>
      <c r="AF2411">
        <v>-12.4412173213573</v>
      </c>
      <c r="AG2411">
        <v>34.207461000000002</v>
      </c>
      <c r="AH2411">
        <v>191.759671087013</v>
      </c>
      <c r="AI2411">
        <v>79.906344509593495</v>
      </c>
      <c r="AJ2411">
        <v>93.712102681364797</v>
      </c>
      <c r="AK2411">
        <v>195.18377425365799</v>
      </c>
      <c r="AL2411">
        <v>90.599976249869002</v>
      </c>
      <c r="AM2411">
        <v>96.754554909621007</v>
      </c>
      <c r="AN2411">
        <v>1.00000003619488</v>
      </c>
    </row>
    <row r="2412" spans="1:40" x14ac:dyDescent="0.25">
      <c r="A2412" t="str">
        <f>"20190305134946371"</f>
        <v>20190305134946371</v>
      </c>
      <c r="B2412" t="str">
        <f>"1551764986363365"</f>
        <v>1551764986363365</v>
      </c>
      <c r="C2412" t="s">
        <v>40</v>
      </c>
      <c r="D2412">
        <v>3.8576820000000001</v>
      </c>
      <c r="E2412">
        <v>0.50705059999999902</v>
      </c>
      <c r="F2412" t="s">
        <v>76</v>
      </c>
      <c r="G2412">
        <v>-512.83690000000001</v>
      </c>
      <c r="H2412">
        <v>35.548310000000001</v>
      </c>
      <c r="I2412">
        <v>265.82159999999999</v>
      </c>
      <c r="J2412">
        <v>-315.59649999999999</v>
      </c>
      <c r="K2412">
        <v>1.1102810000000001</v>
      </c>
      <c r="L2412">
        <v>285.35250000000002</v>
      </c>
      <c r="M2412">
        <v>-0.99986299999999995</v>
      </c>
      <c r="N2412">
        <v>-1.518591E-2</v>
      </c>
      <c r="O2412">
        <v>6.5943440000000002E-3</v>
      </c>
      <c r="P2412">
        <v>-0.99352260000000003</v>
      </c>
      <c r="Q2412">
        <v>-2.5576600000000001E-2</v>
      </c>
      <c r="R2412">
        <v>-0.1107192</v>
      </c>
      <c r="S2412">
        <v>-2.9997859999999998</v>
      </c>
      <c r="T2412">
        <v>0.52287839999999997</v>
      </c>
      <c r="U2412">
        <v>-0.29650880000000002</v>
      </c>
      <c r="V2412">
        <v>-0.1172435</v>
      </c>
      <c r="W2412">
        <v>-1.078279E-2</v>
      </c>
      <c r="X2412">
        <v>0.9930447</v>
      </c>
      <c r="Y2412">
        <v>-0.1034017</v>
      </c>
      <c r="Z2412">
        <v>9.3679479999999992E-3</v>
      </c>
      <c r="AA2412">
        <v>0.99459560000000002</v>
      </c>
      <c r="AB2412">
        <v>52</v>
      </c>
      <c r="AC2412">
        <v>-197.24039999999999</v>
      </c>
      <c r="AD2412">
        <v>34.438029</v>
      </c>
      <c r="AE2412">
        <v>-19.530899999999999</v>
      </c>
      <c r="AF2412">
        <v>-20.220851010360501</v>
      </c>
      <c r="AG2412">
        <v>34.438029</v>
      </c>
      <c r="AH2412">
        <v>191.33122334161999</v>
      </c>
      <c r="AI2412">
        <v>79.851820447046805</v>
      </c>
      <c r="AJ2412">
        <v>96.032912964712594</v>
      </c>
      <c r="AK2412">
        <v>195.45459237988999</v>
      </c>
      <c r="AL2412">
        <v>90.617820305294202</v>
      </c>
      <c r="AM2412">
        <v>96.733436663184406</v>
      </c>
      <c r="AN2412">
        <v>1.0000000415252599</v>
      </c>
    </row>
    <row r="2413" spans="1:40" x14ac:dyDescent="0.25">
      <c r="A2413" t="str">
        <f>"20190305134946382"</f>
        <v>20190305134946382</v>
      </c>
      <c r="B2413" t="str">
        <f>"1551764986373126"</f>
        <v>1551764986373126</v>
      </c>
      <c r="C2413" t="s">
        <v>40</v>
      </c>
      <c r="D2413">
        <v>3.8155220000000001</v>
      </c>
      <c r="E2413">
        <v>0.50651939999999995</v>
      </c>
      <c r="F2413" t="s">
        <v>76</v>
      </c>
      <c r="G2413">
        <v>-512.83690000000001</v>
      </c>
      <c r="H2413">
        <v>35.32685</v>
      </c>
      <c r="I2413">
        <v>265.18189999999998</v>
      </c>
      <c r="J2413">
        <v>-315.89210000000003</v>
      </c>
      <c r="K2413">
        <v>1.1102449999999999</v>
      </c>
      <c r="L2413">
        <v>285.3544</v>
      </c>
      <c r="M2413">
        <v>-0.9998648</v>
      </c>
      <c r="N2413">
        <v>-1.518392E-2</v>
      </c>
      <c r="O2413">
        <v>6.3217719999999998E-3</v>
      </c>
      <c r="P2413">
        <v>-0.99347960000000002</v>
      </c>
      <c r="Q2413">
        <v>-2.61435E-2</v>
      </c>
      <c r="R2413">
        <v>-0.110972</v>
      </c>
      <c r="S2413">
        <v>-2.9988100000000002</v>
      </c>
      <c r="T2413">
        <v>0.52022360000000001</v>
      </c>
      <c r="U2413">
        <v>-0.30667109999999997</v>
      </c>
      <c r="V2413">
        <v>-0.1172248</v>
      </c>
      <c r="W2413">
        <v>-1.1339460000000001E-2</v>
      </c>
      <c r="X2413">
        <v>0.9930407</v>
      </c>
      <c r="Y2413">
        <v>-0.1064774</v>
      </c>
      <c r="Z2413">
        <v>9.5088069999999993E-3</v>
      </c>
      <c r="AA2413">
        <v>0.99426970000000003</v>
      </c>
      <c r="AB2413">
        <v>52</v>
      </c>
      <c r="AC2413">
        <v>-196.94479999999999</v>
      </c>
      <c r="AD2413">
        <v>34.216605000000001</v>
      </c>
      <c r="AE2413">
        <v>-20.172499999999999</v>
      </c>
      <c r="AF2413">
        <v>-20.7960772747569</v>
      </c>
      <c r="AG2413">
        <v>34.216605000000001</v>
      </c>
      <c r="AH2413">
        <v>191.104799401598</v>
      </c>
      <c r="AI2413">
        <v>79.907310539817601</v>
      </c>
      <c r="AJ2413">
        <v>96.210504926016597</v>
      </c>
      <c r="AK2413">
        <v>195.254442310716</v>
      </c>
      <c r="AL2413">
        <v>90.649717101867495</v>
      </c>
      <c r="AM2413">
        <v>96.732399427557198</v>
      </c>
      <c r="AN2413">
        <v>1.0000000344723099</v>
      </c>
    </row>
    <row r="2414" spans="1:40" x14ac:dyDescent="0.25">
      <c r="A2414" t="str">
        <f>"20190305134946399"</f>
        <v>20190305134946399</v>
      </c>
      <c r="B2414" t="str">
        <f>"1551764986392645"</f>
        <v>1551764986392645</v>
      </c>
      <c r="C2414" t="s">
        <v>40</v>
      </c>
      <c r="D2414">
        <v>3.8108200000000001</v>
      </c>
      <c r="E2414">
        <v>0.50603100000000001</v>
      </c>
      <c r="F2414" t="s">
        <v>76</v>
      </c>
      <c r="G2414">
        <v>-512.83690000000001</v>
      </c>
      <c r="H2414">
        <v>35.275730000000003</v>
      </c>
      <c r="I2414">
        <v>264.87740000000002</v>
      </c>
      <c r="J2414">
        <v>-316.24619999999999</v>
      </c>
      <c r="K2414">
        <v>1.1102000000000001</v>
      </c>
      <c r="L2414">
        <v>285.35649999999998</v>
      </c>
      <c r="M2414">
        <v>-0.99986660000000005</v>
      </c>
      <c r="N2414">
        <v>-1.518155E-2</v>
      </c>
      <c r="O2414">
        <v>6.0185600000000001E-3</v>
      </c>
      <c r="P2414">
        <v>-0.9934868</v>
      </c>
      <c r="Q2414">
        <v>-2.5401730000000001E-2</v>
      </c>
      <c r="R2414">
        <v>-0.1110792</v>
      </c>
      <c r="S2414">
        <v>-2.998535</v>
      </c>
      <c r="T2414">
        <v>0.5201789</v>
      </c>
      <c r="U2414">
        <v>-0.31176759999999998</v>
      </c>
      <c r="V2414">
        <v>-0.117034</v>
      </c>
      <c r="W2414">
        <v>-1.0584379999999999E-2</v>
      </c>
      <c r="X2414">
        <v>0.9930715</v>
      </c>
      <c r="Y2414">
        <v>-0.10784440000000001</v>
      </c>
      <c r="Z2414">
        <v>9.5583030000000006E-3</v>
      </c>
      <c r="AA2414">
        <v>0.99412180000000006</v>
      </c>
      <c r="AB2414">
        <v>52</v>
      </c>
      <c r="AC2414">
        <v>-196.5907</v>
      </c>
      <c r="AD2414">
        <v>34.165529999999997</v>
      </c>
      <c r="AE2414">
        <v>-20.479099999999899</v>
      </c>
      <c r="AF2414">
        <v>-21.033599897776501</v>
      </c>
      <c r="AG2414">
        <v>34.165529999999997</v>
      </c>
      <c r="AH2414">
        <v>190.76407065725499</v>
      </c>
      <c r="AI2414">
        <v>79.905976834418894</v>
      </c>
      <c r="AJ2414">
        <v>96.292003070258502</v>
      </c>
      <c r="AK2414">
        <v>194.93749361927999</v>
      </c>
      <c r="AL2414">
        <v>90.606451629414394</v>
      </c>
      <c r="AM2414">
        <v>96.721335273529903</v>
      </c>
      <c r="AN2414">
        <v>0.99999999518411697</v>
      </c>
    </row>
    <row r="2415" spans="1:40" x14ac:dyDescent="0.25">
      <c r="A2415" t="str">
        <f>"20190305134946422"</f>
        <v>20190305134946422</v>
      </c>
      <c r="B2415" t="str">
        <f>"1551764986413141"</f>
        <v>1551764986413141</v>
      </c>
      <c r="C2415" t="s">
        <v>40</v>
      </c>
      <c r="D2415">
        <v>3.8291620000000002</v>
      </c>
      <c r="E2415">
        <v>0.50622199999999995</v>
      </c>
      <c r="F2415" t="s">
        <v>76</v>
      </c>
      <c r="G2415">
        <v>-512.83690000000001</v>
      </c>
      <c r="H2415">
        <v>35.454000000000001</v>
      </c>
      <c r="I2415">
        <v>264.65309999999999</v>
      </c>
      <c r="J2415">
        <v>-316.7919</v>
      </c>
      <c r="K2415">
        <v>1.110133</v>
      </c>
      <c r="L2415">
        <v>285.35950000000003</v>
      </c>
      <c r="M2415">
        <v>-0.99986900000000001</v>
      </c>
      <c r="N2415">
        <v>-1.5177929999999999E-2</v>
      </c>
      <c r="O2415">
        <v>5.6031910000000004E-3</v>
      </c>
      <c r="P2415">
        <v>-0.99345439999999996</v>
      </c>
      <c r="Q2415">
        <v>-2.4606300000000001E-2</v>
      </c>
      <c r="R2415">
        <v>-0.11154699999999999</v>
      </c>
      <c r="S2415">
        <v>-2.9978030000000002</v>
      </c>
      <c r="T2415">
        <v>0.52370760000000005</v>
      </c>
      <c r="U2415">
        <v>-0.31570429999999999</v>
      </c>
      <c r="V2415">
        <v>-0.11709319999999999</v>
      </c>
      <c r="W2415">
        <v>-9.7704620000000006E-3</v>
      </c>
      <c r="X2415">
        <v>0.99307290000000004</v>
      </c>
      <c r="Y2415">
        <v>-0.10872080000000001</v>
      </c>
      <c r="Z2415">
        <v>9.6199070000000005E-3</v>
      </c>
      <c r="AA2415">
        <v>0.99402579999999996</v>
      </c>
      <c r="AB2415">
        <v>52</v>
      </c>
      <c r="AC2415">
        <v>-196.04499999999999</v>
      </c>
      <c r="AD2415">
        <v>34.343866999999896</v>
      </c>
      <c r="AE2415">
        <v>-20.706399999999999</v>
      </c>
      <c r="AF2415">
        <v>-21.162385768579099</v>
      </c>
      <c r="AG2415">
        <v>34.343866999999896</v>
      </c>
      <c r="AH2415">
        <v>190.15456123252699</v>
      </c>
      <c r="AI2415">
        <v>79.823662314230603</v>
      </c>
      <c r="AJ2415">
        <v>96.350341324192399</v>
      </c>
      <c r="AK2415">
        <v>194.38648340218199</v>
      </c>
      <c r="AL2415">
        <v>90.559815125622094</v>
      </c>
      <c r="AM2415">
        <v>96.724694643481698</v>
      </c>
      <c r="AN2415">
        <v>1.00000003206417</v>
      </c>
    </row>
    <row r="2416" spans="1:40" x14ac:dyDescent="0.25">
      <c r="A2416" t="str">
        <f>"20190305134946437"</f>
        <v>20190305134946437</v>
      </c>
      <c r="B2416" t="str">
        <f>"1551764986432662"</f>
        <v>1551764986432662</v>
      </c>
      <c r="C2416" t="s">
        <v>40</v>
      </c>
      <c r="D2416">
        <v>3.7996479999999999</v>
      </c>
      <c r="E2416">
        <v>0.50618019999999997</v>
      </c>
      <c r="F2416" t="s">
        <v>76</v>
      </c>
      <c r="G2416">
        <v>-512.83699999999999</v>
      </c>
      <c r="H2416">
        <v>35.826300000000003</v>
      </c>
      <c r="I2416">
        <v>264.68079999999998</v>
      </c>
      <c r="J2416">
        <v>-317.1388</v>
      </c>
      <c r="K2416">
        <v>1.110087</v>
      </c>
      <c r="L2416">
        <v>285.36130000000003</v>
      </c>
      <c r="M2416">
        <v>-0.9998705</v>
      </c>
      <c r="N2416">
        <v>-1.5175660000000001E-2</v>
      </c>
      <c r="O2416">
        <v>5.365664E-3</v>
      </c>
      <c r="P2416">
        <v>-0.99339069999999996</v>
      </c>
      <c r="Q2416">
        <v>-2.429454E-2</v>
      </c>
      <c r="R2416">
        <v>-0.11218350000000001</v>
      </c>
      <c r="S2416">
        <v>-2.9973749999999999</v>
      </c>
      <c r="T2416">
        <v>0.53078319999999901</v>
      </c>
      <c r="U2416">
        <v>-0.316162099999999</v>
      </c>
      <c r="V2416">
        <v>-0.11749510000000001</v>
      </c>
      <c r="W2416">
        <v>-9.4489780000000002E-3</v>
      </c>
      <c r="X2416">
        <v>0.99302849999999998</v>
      </c>
      <c r="Y2416">
        <v>-0.1086105</v>
      </c>
      <c r="Z2416">
        <v>9.7051800000000008E-3</v>
      </c>
      <c r="AA2416">
        <v>0.99403699999999995</v>
      </c>
      <c r="AB2416">
        <v>52</v>
      </c>
      <c r="AC2416">
        <v>-195.69820000000001</v>
      </c>
      <c r="AD2416">
        <v>34.716213000000003</v>
      </c>
      <c r="AE2416">
        <v>-20.680499999999999</v>
      </c>
      <c r="AF2416">
        <v>-21.074492762086599</v>
      </c>
      <c r="AG2416">
        <v>34.716213000000003</v>
      </c>
      <c r="AH2416">
        <v>189.681141431209</v>
      </c>
      <c r="AI2416">
        <v>79.690351581612404</v>
      </c>
      <c r="AJ2416">
        <v>96.339836787154098</v>
      </c>
      <c r="AK2416">
        <v>193.98011523062601</v>
      </c>
      <c r="AL2416">
        <v>90.541394621015897</v>
      </c>
      <c r="AM2416">
        <v>96.747862323079602</v>
      </c>
      <c r="AN2416">
        <v>0.99999999176075205</v>
      </c>
    </row>
    <row r="2417" spans="1:40" x14ac:dyDescent="0.25">
      <c r="A2417" t="str">
        <f>"20190305134946454"</f>
        <v>20190305134946454</v>
      </c>
      <c r="B2417" t="str">
        <f>"1551764986443397"</f>
        <v>1551764986443397</v>
      </c>
      <c r="C2417" t="s">
        <v>40</v>
      </c>
      <c r="D2417">
        <v>3.7990569999999999</v>
      </c>
      <c r="E2417">
        <v>0.50619510000000001</v>
      </c>
      <c r="F2417" t="s">
        <v>76</v>
      </c>
      <c r="G2417">
        <v>-512.83699999999999</v>
      </c>
      <c r="H2417">
        <v>35.710270000000001</v>
      </c>
      <c r="I2417">
        <v>264.57490000000001</v>
      </c>
      <c r="J2417">
        <v>-317.53449999999998</v>
      </c>
      <c r="K2417">
        <v>1.1100380000000001</v>
      </c>
      <c r="L2417">
        <v>285.36329999999998</v>
      </c>
      <c r="M2417">
        <v>-0.99987190000000004</v>
      </c>
      <c r="N2417">
        <v>-1.51731E-2</v>
      </c>
      <c r="O2417">
        <v>5.1140220000000002E-3</v>
      </c>
      <c r="P2417">
        <v>-0.99333769999999999</v>
      </c>
      <c r="Q2417">
        <v>-2.4260529999999999E-2</v>
      </c>
      <c r="R2417">
        <v>-0.1126582</v>
      </c>
      <c r="S2417">
        <v>-2.9969790000000001</v>
      </c>
      <c r="T2417">
        <v>0.52987790000000001</v>
      </c>
      <c r="U2417">
        <v>-0.31832890000000003</v>
      </c>
      <c r="V2417">
        <v>-0.11772050000000001</v>
      </c>
      <c r="W2417">
        <v>-9.40386E-3</v>
      </c>
      <c r="X2417">
        <v>0.99300219999999995</v>
      </c>
      <c r="Y2417">
        <v>-0.10908809999999999</v>
      </c>
      <c r="Z2417">
        <v>9.6790079999999994E-3</v>
      </c>
      <c r="AA2417">
        <v>0.99398489999999995</v>
      </c>
      <c r="AB2417">
        <v>52</v>
      </c>
      <c r="AC2417">
        <v>-195.30250000000001</v>
      </c>
      <c r="AD2417">
        <v>34.600231999999998</v>
      </c>
      <c r="AE2417">
        <v>-20.7883999999999</v>
      </c>
      <c r="AF2417">
        <v>-21.131220153291199</v>
      </c>
      <c r="AG2417">
        <v>34.600231999999998</v>
      </c>
      <c r="AH2417">
        <v>189.31816136711399</v>
      </c>
      <c r="AI2417">
        <v>79.705346340323402</v>
      </c>
      <c r="AJ2417">
        <v>96.368850350984204</v>
      </c>
      <c r="AK2417">
        <v>193.610616297364</v>
      </c>
      <c r="AL2417">
        <v>90.538809452832396</v>
      </c>
      <c r="AM2417">
        <v>96.760864965601897</v>
      </c>
      <c r="AN2417">
        <v>0.99999995895399296</v>
      </c>
    </row>
    <row r="2418" spans="1:40" x14ac:dyDescent="0.25">
      <c r="A2418" t="str">
        <f>"20190305134946468"</f>
        <v>20190305134946468</v>
      </c>
      <c r="B2418" t="str">
        <f>"1551764986462918"</f>
        <v>1551764986462918</v>
      </c>
      <c r="C2418" t="s">
        <v>40</v>
      </c>
      <c r="D2418">
        <v>3.8276729999999999</v>
      </c>
      <c r="E2418">
        <v>0.50619289999999995</v>
      </c>
      <c r="F2418" t="s">
        <v>76</v>
      </c>
      <c r="G2418">
        <v>-512.83699999999999</v>
      </c>
      <c r="H2418">
        <v>35.713000000000001</v>
      </c>
      <c r="I2418">
        <v>264.54629999999997</v>
      </c>
      <c r="J2418">
        <v>-317.8759</v>
      </c>
      <c r="K2418">
        <v>1.109999</v>
      </c>
      <c r="L2418">
        <v>285.36500000000001</v>
      </c>
      <c r="M2418">
        <v>-0.99987289999999995</v>
      </c>
      <c r="N2418">
        <v>-1.5170889999999999E-2</v>
      </c>
      <c r="O2418">
        <v>4.9102E-3</v>
      </c>
      <c r="P2418">
        <v>-0.99334750000000005</v>
      </c>
      <c r="Q2418">
        <v>-2.4079159999999999E-2</v>
      </c>
      <c r="R2418">
        <v>-0.11261019999999899</v>
      </c>
      <c r="S2418">
        <v>-2.996826</v>
      </c>
      <c r="T2418">
        <v>0.53096699999999997</v>
      </c>
      <c r="U2418">
        <v>-0.31942749999999998</v>
      </c>
      <c r="V2418">
        <v>-0.117471699999999</v>
      </c>
      <c r="W2418">
        <v>-9.2121939999999999E-3</v>
      </c>
      <c r="X2418">
        <v>0.99303350000000001</v>
      </c>
      <c r="Y2418">
        <v>-0.1092456</v>
      </c>
      <c r="Z2418">
        <v>9.6743320000000008E-3</v>
      </c>
      <c r="AA2418">
        <v>0.99396770000000001</v>
      </c>
      <c r="AB2418">
        <v>52</v>
      </c>
      <c r="AC2418">
        <v>-194.96109999999999</v>
      </c>
      <c r="AD2418">
        <v>34.603000999999999</v>
      </c>
      <c r="AE2418">
        <v>-20.8187</v>
      </c>
      <c r="AF2418">
        <v>-21.1181047868882</v>
      </c>
      <c r="AG2418">
        <v>34.603000999999999</v>
      </c>
      <c r="AH2418">
        <v>188.970760091644</v>
      </c>
      <c r="AI2418">
        <v>79.686170120082593</v>
      </c>
      <c r="AJ2418">
        <v>96.376534799992299</v>
      </c>
      <c r="AK2418">
        <v>193.26999300876901</v>
      </c>
      <c r="AL2418">
        <v>90.527827302877398</v>
      </c>
      <c r="AM2418">
        <v>96.746497169927807</v>
      </c>
      <c r="AN2418">
        <v>0.99999999847071597</v>
      </c>
    </row>
    <row r="2419" spans="1:40" x14ac:dyDescent="0.25">
      <c r="A2419" t="str">
        <f>"20190305134946480"</f>
        <v>20190305134946480</v>
      </c>
      <c r="B2419" t="str">
        <f>"1551764986472678"</f>
        <v>1551764986472678</v>
      </c>
      <c r="C2419" t="s">
        <v>40</v>
      </c>
      <c r="D2419">
        <v>3.7990729999999999</v>
      </c>
      <c r="E2419">
        <v>0.50614689999999996</v>
      </c>
      <c r="F2419" t="s">
        <v>76</v>
      </c>
      <c r="G2419">
        <v>-512.83699999999999</v>
      </c>
      <c r="H2419">
        <v>35.789020000000001</v>
      </c>
      <c r="I2419">
        <v>264.59249999999997</v>
      </c>
      <c r="J2419">
        <v>-318.16829999999999</v>
      </c>
      <c r="K2419">
        <v>1.10997099999999</v>
      </c>
      <c r="L2419">
        <v>285.36630000000002</v>
      </c>
      <c r="M2419">
        <v>-0.99987369999999998</v>
      </c>
      <c r="N2419">
        <v>-1.516897E-2</v>
      </c>
      <c r="O2419">
        <v>4.7445739999999997E-3</v>
      </c>
      <c r="P2419">
        <v>-0.99336990000000003</v>
      </c>
      <c r="Q2419">
        <v>-2.3822980000000001E-2</v>
      </c>
      <c r="R2419">
        <v>-0.11246730000000001</v>
      </c>
      <c r="S2419">
        <v>-2.9968569999999999</v>
      </c>
      <c r="T2419">
        <v>0.53307119999999997</v>
      </c>
      <c r="U2419">
        <v>-0.31930540000000002</v>
      </c>
      <c r="V2419">
        <v>-0.11716559999999999</v>
      </c>
      <c r="W2419">
        <v>-8.9477879999999999E-3</v>
      </c>
      <c r="X2419">
        <v>0.99307210000000001</v>
      </c>
      <c r="Y2419">
        <v>-0.10903259999999999</v>
      </c>
      <c r="Z2419">
        <v>9.6662750000000002E-3</v>
      </c>
      <c r="AA2419">
        <v>0.99399119999999996</v>
      </c>
      <c r="AB2419">
        <v>52</v>
      </c>
      <c r="AC2419">
        <v>-194.6687</v>
      </c>
      <c r="AD2419">
        <v>34.679048999999999</v>
      </c>
      <c r="AE2419">
        <v>-20.773800000000001</v>
      </c>
      <c r="AF2419">
        <v>-21.037188850593399</v>
      </c>
      <c r="AG2419">
        <v>34.679048999999999</v>
      </c>
      <c r="AH2419">
        <v>188.64853237029399</v>
      </c>
      <c r="AI2419">
        <v>79.646452035968807</v>
      </c>
      <c r="AJ2419">
        <v>96.363063979615205</v>
      </c>
      <c r="AK2419">
        <v>192.95975880930601</v>
      </c>
      <c r="AL2419">
        <v>90.512677320241295</v>
      </c>
      <c r="AM2419">
        <v>96.728819851813498</v>
      </c>
      <c r="AN2419">
        <v>1.0000000182659301</v>
      </c>
    </row>
    <row r="2420" spans="1:40" x14ac:dyDescent="0.25">
      <c r="A2420" t="str">
        <f>"20190305134946495"</f>
        <v>20190305134946495</v>
      </c>
      <c r="B2420" t="str">
        <f>"1551764986483414"</f>
        <v>1551764986483414</v>
      </c>
      <c r="C2420" t="s">
        <v>40</v>
      </c>
      <c r="D2420">
        <v>3.7850999999999999</v>
      </c>
      <c r="E2420">
        <v>0.50610940000000004</v>
      </c>
      <c r="F2420" t="s">
        <v>76</v>
      </c>
      <c r="G2420">
        <v>-512.83699999999999</v>
      </c>
      <c r="H2420">
        <v>35.784990000000001</v>
      </c>
      <c r="I2420">
        <v>264.65559999999999</v>
      </c>
      <c r="J2420">
        <v>-318.48129999999998</v>
      </c>
      <c r="K2420">
        <v>1.109942</v>
      </c>
      <c r="L2420">
        <v>285.36770000000001</v>
      </c>
      <c r="M2420">
        <v>-0.99987470000000001</v>
      </c>
      <c r="N2420">
        <v>-1.516692E-2</v>
      </c>
      <c r="O2420">
        <v>4.5708529999999997E-3</v>
      </c>
      <c r="P2420">
        <v>-0.99338419999999905</v>
      </c>
      <c r="Q2420">
        <v>-2.3300660000000001E-2</v>
      </c>
      <c r="R2420">
        <v>-0.1124502</v>
      </c>
      <c r="S2420">
        <v>-2.9967039999999998</v>
      </c>
      <c r="T2420">
        <v>0.53378309999999995</v>
      </c>
      <c r="U2420">
        <v>-0.31881710000000002</v>
      </c>
      <c r="V2420">
        <v>-0.1169772</v>
      </c>
      <c r="W2420">
        <v>-8.4175699999999992E-3</v>
      </c>
      <c r="X2420">
        <v>0.99309890000000001</v>
      </c>
      <c r="Y2420">
        <v>-0.1087082</v>
      </c>
      <c r="Z2420">
        <v>9.6213630000000008E-3</v>
      </c>
      <c r="AA2420">
        <v>0.99402710000000005</v>
      </c>
      <c r="AB2420">
        <v>52</v>
      </c>
      <c r="AC2420">
        <v>-194.35570000000001</v>
      </c>
      <c r="AD2420">
        <v>34.675047999999997</v>
      </c>
      <c r="AE2420">
        <v>-20.7121</v>
      </c>
      <c r="AF2420">
        <v>-20.941276619497501</v>
      </c>
      <c r="AG2420">
        <v>34.675047999999997</v>
      </c>
      <c r="AH2420">
        <v>188.331664003052</v>
      </c>
      <c r="AI2420">
        <v>79.630221467710996</v>
      </c>
      <c r="AJ2420">
        <v>96.344860603407596</v>
      </c>
      <c r="AK2420">
        <v>192.63881147477801</v>
      </c>
      <c r="AL2420">
        <v>90.482296943459801</v>
      </c>
      <c r="AM2420">
        <v>96.717919376710199</v>
      </c>
      <c r="AN2420">
        <v>0.99999997299287702</v>
      </c>
    </row>
    <row r="2421" spans="1:40" x14ac:dyDescent="0.25">
      <c r="A2421" t="str">
        <f>"20190305134946510"</f>
        <v>20190305134946510</v>
      </c>
      <c r="B2421" t="str">
        <f>"1551764986502933"</f>
        <v>1551764986502933</v>
      </c>
      <c r="C2421" t="s">
        <v>40</v>
      </c>
      <c r="D2421">
        <v>3.819617</v>
      </c>
      <c r="E2421">
        <v>0.5060827</v>
      </c>
      <c r="F2421" t="s">
        <v>76</v>
      </c>
      <c r="G2421">
        <v>-512.83709999999996</v>
      </c>
      <c r="H2421">
        <v>35.932519999999997</v>
      </c>
      <c r="I2421">
        <v>264.66070000000002</v>
      </c>
      <c r="J2421">
        <v>-318.85590000000002</v>
      </c>
      <c r="K2421">
        <v>1.109904</v>
      </c>
      <c r="L2421">
        <v>285.36930000000001</v>
      </c>
      <c r="M2421">
        <v>-0.99987550000000003</v>
      </c>
      <c r="N2421">
        <v>-1.5164449999999999E-2</v>
      </c>
      <c r="O2421">
        <v>4.3685909999999998E-3</v>
      </c>
      <c r="P2421">
        <v>-0.99355760000000004</v>
      </c>
      <c r="Q2421">
        <v>-2.2271409999999998E-2</v>
      </c>
      <c r="R2421">
        <v>-0.11111889999999899</v>
      </c>
      <c r="S2421">
        <v>-2.996429</v>
      </c>
      <c r="T2421">
        <v>0.53686859999999903</v>
      </c>
      <c r="U2421">
        <v>-0.31924439999999998</v>
      </c>
      <c r="V2421">
        <v>-0.11544840000000001</v>
      </c>
      <c r="W2421">
        <v>-7.3755139999999997E-3</v>
      </c>
      <c r="X2421">
        <v>0.99328609999999995</v>
      </c>
      <c r="Y2421">
        <v>-0.1086418</v>
      </c>
      <c r="Z2421">
        <v>9.6370980000000002E-3</v>
      </c>
      <c r="AA2421">
        <v>0.99403419999999998</v>
      </c>
      <c r="AB2421">
        <v>52</v>
      </c>
      <c r="AC2421">
        <v>-193.9812</v>
      </c>
      <c r="AD2421">
        <v>34.822615999999996</v>
      </c>
      <c r="AE2421">
        <v>-20.708599999999901</v>
      </c>
      <c r="AF2421">
        <v>-20.890303792730499</v>
      </c>
      <c r="AG2421">
        <v>34.822615999999996</v>
      </c>
      <c r="AH2421">
        <v>187.901820193394</v>
      </c>
      <c r="AI2421">
        <v>79.563736984504402</v>
      </c>
      <c r="AJ2421">
        <v>96.343903706128003</v>
      </c>
      <c r="AK2421">
        <v>192.23972900945</v>
      </c>
      <c r="AL2421">
        <v>90.422589653720095</v>
      </c>
      <c r="AM2421">
        <v>96.629669848219194</v>
      </c>
      <c r="AN2421">
        <v>1.00000000386126</v>
      </c>
    </row>
    <row r="2422" spans="1:40" x14ac:dyDescent="0.25">
      <c r="A2422" t="str">
        <f>"20190305134946521"</f>
        <v>20190305134946521</v>
      </c>
      <c r="B2422" t="str">
        <f>"1551764986512695"</f>
        <v>1551764986512695</v>
      </c>
      <c r="C2422" t="s">
        <v>40</v>
      </c>
      <c r="D2422">
        <v>3.9485760000000001</v>
      </c>
      <c r="E2422">
        <v>0.5060827</v>
      </c>
      <c r="F2422" t="s">
        <v>76</v>
      </c>
      <c r="G2422">
        <v>-512.83709999999996</v>
      </c>
      <c r="H2422">
        <v>36.067100000000003</v>
      </c>
      <c r="I2422">
        <v>264.94220000000001</v>
      </c>
      <c r="J2422">
        <v>-319.13440000000003</v>
      </c>
      <c r="K2422">
        <v>1.109885</v>
      </c>
      <c r="L2422">
        <v>285.37040000000002</v>
      </c>
      <c r="M2422">
        <v>-0.99987599999999999</v>
      </c>
      <c r="N2422">
        <v>-1.516235E-2</v>
      </c>
      <c r="O2422">
        <v>4.2220469999999996E-3</v>
      </c>
      <c r="P2422">
        <v>-0.99364140000000001</v>
      </c>
      <c r="Q2422">
        <v>-2.168374E-2</v>
      </c>
      <c r="R2422">
        <v>-0.1104826</v>
      </c>
      <c r="S2422">
        <v>-2.9962770000000001</v>
      </c>
      <c r="T2422">
        <v>0.53995729999999997</v>
      </c>
      <c r="U2422">
        <v>-0.3155212</v>
      </c>
      <c r="V2422">
        <v>-0.1146679</v>
      </c>
      <c r="W2422">
        <v>-6.7807170000000003E-3</v>
      </c>
      <c r="X2422">
        <v>0.99338070000000001</v>
      </c>
      <c r="Y2422">
        <v>-0.1072824</v>
      </c>
      <c r="Z2422">
        <v>9.5581859999999998E-3</v>
      </c>
      <c r="AA2422">
        <v>0.99418260000000003</v>
      </c>
      <c r="AB2422">
        <v>52</v>
      </c>
      <c r="AC2422">
        <v>-193.70269999999999</v>
      </c>
      <c r="AD2422">
        <v>34.957214999999998</v>
      </c>
      <c r="AE2422">
        <v>-20.4282</v>
      </c>
      <c r="AF2422">
        <v>-20.582945116270398</v>
      </c>
      <c r="AG2422">
        <v>34.957214999999998</v>
      </c>
      <c r="AH2422">
        <v>187.57288127069901</v>
      </c>
      <c r="AI2422">
        <v>79.5047096697771</v>
      </c>
      <c r="AJ2422">
        <v>96.262186029888298</v>
      </c>
      <c r="AK2422">
        <v>191.90948464942301</v>
      </c>
      <c r="AL2422">
        <v>90.388509458801707</v>
      </c>
      <c r="AM2422">
        <v>96.584622715308797</v>
      </c>
      <c r="AN2422">
        <v>0.999999960272966</v>
      </c>
    </row>
    <row r="2423" spans="1:40" x14ac:dyDescent="0.25">
      <c r="A2423" t="str">
        <f>"20190305134946535"</f>
        <v>20190305134946535</v>
      </c>
      <c r="B2423" t="str">
        <f>"1551764986523429"</f>
        <v>1551764986523429</v>
      </c>
      <c r="C2423" t="s">
        <v>40</v>
      </c>
      <c r="D2423">
        <v>3.801561</v>
      </c>
      <c r="E2423">
        <v>0.50609139999999997</v>
      </c>
      <c r="F2423" t="s">
        <v>76</v>
      </c>
      <c r="G2423">
        <v>-512.83720000000005</v>
      </c>
      <c r="H2423">
        <v>36.133499999999998</v>
      </c>
      <c r="I2423">
        <v>265.10419999999999</v>
      </c>
      <c r="J2423">
        <v>-319.42290000000003</v>
      </c>
      <c r="K2423">
        <v>1.109864</v>
      </c>
      <c r="L2423">
        <v>285.37150000000003</v>
      </c>
      <c r="M2423">
        <v>-0.99987689999999996</v>
      </c>
      <c r="N2423">
        <v>-1.516025E-2</v>
      </c>
      <c r="O2423">
        <v>4.0707900000000003E-3</v>
      </c>
      <c r="P2423">
        <v>-0.99374470000000004</v>
      </c>
      <c r="Q2423">
        <v>-2.1173689999999998E-2</v>
      </c>
      <c r="R2423">
        <v>-0.10965080000000001</v>
      </c>
      <c r="S2423">
        <v>-2.9961850000000001</v>
      </c>
      <c r="T2423">
        <v>0.54174440000000001</v>
      </c>
      <c r="U2423">
        <v>-0.31347659999999899</v>
      </c>
      <c r="V2423">
        <v>-0.1136872</v>
      </c>
      <c r="W2423">
        <v>-6.2631060000000001E-3</v>
      </c>
      <c r="X2423">
        <v>0.99349679999999996</v>
      </c>
      <c r="Y2423">
        <v>-0.1064674</v>
      </c>
      <c r="Z2423">
        <v>9.4965659999999997E-3</v>
      </c>
      <c r="AA2423">
        <v>0.99427089999999996</v>
      </c>
      <c r="AB2423">
        <v>52</v>
      </c>
      <c r="AC2423">
        <v>-193.4143</v>
      </c>
      <c r="AD2423">
        <v>35.023636000000003</v>
      </c>
      <c r="AE2423">
        <v>-20.267299999999999</v>
      </c>
      <c r="AF2423">
        <v>-20.3931372421075</v>
      </c>
      <c r="AG2423">
        <v>35.023636000000003</v>
      </c>
      <c r="AH2423">
        <v>187.25667154103701</v>
      </c>
      <c r="AI2423">
        <v>79.466932102984501</v>
      </c>
      <c r="AJ2423">
        <v>96.215287029313501</v>
      </c>
      <c r="AK2423">
        <v>191.59226540198301</v>
      </c>
      <c r="AL2423">
        <v>90.358851904935094</v>
      </c>
      <c r="AM2423">
        <v>96.528039482237403</v>
      </c>
      <c r="AN2423">
        <v>0.99999994877542198</v>
      </c>
    </row>
    <row r="2424" spans="1:40" x14ac:dyDescent="0.25">
      <c r="A2424" t="str">
        <f>"20190305134946554"</f>
        <v>20190305134946554</v>
      </c>
      <c r="B2424" t="str">
        <f>"1551764986543458"</f>
        <v>1551764986543458</v>
      </c>
      <c r="C2424" t="s">
        <v>40</v>
      </c>
      <c r="D2424">
        <v>3.802994</v>
      </c>
      <c r="E2424">
        <v>0.50598809999999905</v>
      </c>
      <c r="F2424" t="s">
        <v>76</v>
      </c>
      <c r="G2424">
        <v>-512.83720000000005</v>
      </c>
      <c r="H2424">
        <v>36.19894</v>
      </c>
      <c r="I2424">
        <v>265.32859999999999</v>
      </c>
      <c r="J2424">
        <v>-319.87279999999998</v>
      </c>
      <c r="K2424">
        <v>1.1098349999999999</v>
      </c>
      <c r="L2424">
        <v>285.3732</v>
      </c>
      <c r="M2424">
        <v>-0.99987780000000004</v>
      </c>
      <c r="N2424">
        <v>-1.5157189999999999E-2</v>
      </c>
      <c r="O2424">
        <v>3.8377770000000001E-3</v>
      </c>
      <c r="P2424">
        <v>-0.99396180000000001</v>
      </c>
      <c r="Q2424">
        <v>-2.1224219999999999E-2</v>
      </c>
      <c r="R2424">
        <v>-0.107655399999999</v>
      </c>
      <c r="S2424">
        <v>-2.9961850000000001</v>
      </c>
      <c r="T2424">
        <v>0.54356649999999995</v>
      </c>
      <c r="U2424">
        <v>-0.31048579999999998</v>
      </c>
      <c r="V2424">
        <v>-0.1114618</v>
      </c>
      <c r="W2424">
        <v>-6.3009850000000003E-3</v>
      </c>
      <c r="X2424">
        <v>0.99374870000000004</v>
      </c>
      <c r="Y2424">
        <v>-0.10526439999999999</v>
      </c>
      <c r="Z2424">
        <v>9.3870949999999998E-3</v>
      </c>
      <c r="AA2424">
        <v>0.99439999999999995</v>
      </c>
      <c r="AB2424">
        <v>52</v>
      </c>
      <c r="AC2424">
        <v>-192.96440000000001</v>
      </c>
      <c r="AD2424">
        <v>35.089104999999897</v>
      </c>
      <c r="AE2424">
        <v>-20.044599999999999</v>
      </c>
      <c r="AF2424">
        <v>-20.126674667618001</v>
      </c>
      <c r="AG2424">
        <v>35.089104999999897</v>
      </c>
      <c r="AH2424">
        <v>186.77592025413901</v>
      </c>
      <c r="AI2424">
        <v>79.419866662889206</v>
      </c>
      <c r="AJ2424">
        <v>96.150369132922506</v>
      </c>
      <c r="AK2424">
        <v>191.106181767252</v>
      </c>
      <c r="AL2424">
        <v>90.361022251731001</v>
      </c>
      <c r="AM2424">
        <v>96.399716642753106</v>
      </c>
      <c r="AN2424">
        <v>0.99999995701144895</v>
      </c>
    </row>
    <row r="2425" spans="1:40" x14ac:dyDescent="0.25">
      <c r="A2425" t="str">
        <f>"20190305134946570"</f>
        <v>20190305134946570</v>
      </c>
      <c r="B2425" t="str">
        <f>"1551764986562979"</f>
        <v>1551764986562979</v>
      </c>
      <c r="C2425" t="s">
        <v>40</v>
      </c>
      <c r="D2425">
        <v>4.0648400000000002</v>
      </c>
      <c r="E2425">
        <v>0.5059342</v>
      </c>
      <c r="F2425" t="s">
        <v>76</v>
      </c>
      <c r="G2425">
        <v>-512.83709999999996</v>
      </c>
      <c r="H2425">
        <v>36.068440000000002</v>
      </c>
      <c r="I2425">
        <v>265.70679999999999</v>
      </c>
      <c r="J2425">
        <v>-320.24810000000002</v>
      </c>
      <c r="K2425">
        <v>1.109815</v>
      </c>
      <c r="L2425">
        <v>285.37450000000001</v>
      </c>
      <c r="M2425">
        <v>-0.9998785</v>
      </c>
      <c r="N2425">
        <v>-1.5154890000000001E-2</v>
      </c>
      <c r="O2425">
        <v>3.645471E-3</v>
      </c>
      <c r="P2425">
        <v>-0.99401989999999996</v>
      </c>
      <c r="Q2425">
        <v>-2.1467940000000001E-2</v>
      </c>
      <c r="R2425">
        <v>-0.1070681</v>
      </c>
      <c r="S2425">
        <v>-2.9967350000000001</v>
      </c>
      <c r="T2425">
        <v>0.54290760000000005</v>
      </c>
      <c r="U2425">
        <v>-0.30541990000000002</v>
      </c>
      <c r="V2425">
        <v>-0.1106835</v>
      </c>
      <c r="W2425">
        <v>-6.5381959999999996E-3</v>
      </c>
      <c r="X2425">
        <v>0.9938342</v>
      </c>
      <c r="Y2425">
        <v>-0.1034258</v>
      </c>
      <c r="Z2425">
        <v>9.1861789999999992E-3</v>
      </c>
      <c r="AA2425">
        <v>0.9945948</v>
      </c>
      <c r="AB2425">
        <v>52</v>
      </c>
      <c r="AC2425">
        <v>-192.589</v>
      </c>
      <c r="AD2425">
        <v>34.958624999999998</v>
      </c>
      <c r="AE2425">
        <v>-19.6677</v>
      </c>
      <c r="AF2425">
        <v>-19.7264636897545</v>
      </c>
      <c r="AG2425">
        <v>34.958624999999998</v>
      </c>
      <c r="AH2425">
        <v>186.43647277679599</v>
      </c>
      <c r="AI2425">
        <v>79.437437825515303</v>
      </c>
      <c r="AJ2425">
        <v>96.039877238127104</v>
      </c>
      <c r="AK2425">
        <v>190.70867104839999</v>
      </c>
      <c r="AL2425">
        <v>90.374613705034804</v>
      </c>
      <c r="AM2425">
        <v>96.354854219906102</v>
      </c>
      <c r="AN2425">
        <v>1.0000000011344099</v>
      </c>
    </row>
    <row r="2426" spans="1:40" x14ac:dyDescent="0.25">
      <c r="A2426" t="str">
        <f>"20190305134946582"</f>
        <v>20190305134946582</v>
      </c>
      <c r="B2426" t="str">
        <f>"1551764986572740"</f>
        <v>1551764986572740</v>
      </c>
      <c r="C2426" t="s">
        <v>40</v>
      </c>
      <c r="D2426">
        <v>3.792856</v>
      </c>
      <c r="E2426">
        <v>0.50593290000000002</v>
      </c>
      <c r="F2426" t="s">
        <v>76</v>
      </c>
      <c r="G2426">
        <v>-512.83709999999996</v>
      </c>
      <c r="H2426">
        <v>35.930810000000001</v>
      </c>
      <c r="I2426">
        <v>265.87200000000001</v>
      </c>
      <c r="J2426">
        <v>-320.55369999999999</v>
      </c>
      <c r="K2426">
        <v>1.109799</v>
      </c>
      <c r="L2426">
        <v>285.37549999999999</v>
      </c>
      <c r="M2426">
        <v>-0.99987919999999997</v>
      </c>
      <c r="N2426">
        <v>-1.5153089999999999E-2</v>
      </c>
      <c r="O2426">
        <v>3.4891990000000001E-3</v>
      </c>
      <c r="P2426">
        <v>-0.99407979999999996</v>
      </c>
      <c r="Q2426">
        <v>-2.1514209999999999E-2</v>
      </c>
      <c r="R2426">
        <v>-0.1065025</v>
      </c>
      <c r="S2426">
        <v>-2.9970699999999999</v>
      </c>
      <c r="T2426">
        <v>0.54188499999999995</v>
      </c>
      <c r="U2426">
        <v>-0.30349730000000003</v>
      </c>
      <c r="V2426">
        <v>-0.10996309999999999</v>
      </c>
      <c r="W2426">
        <v>-6.5795430000000002E-3</v>
      </c>
      <c r="X2426">
        <v>0.99391390000000002</v>
      </c>
      <c r="Y2426">
        <v>-0.1026484</v>
      </c>
      <c r="Z2426">
        <v>9.073256E-3</v>
      </c>
      <c r="AA2426">
        <v>0.99467629999999996</v>
      </c>
      <c r="AB2426">
        <v>52</v>
      </c>
      <c r="AC2426">
        <v>-192.2834</v>
      </c>
      <c r="AD2426">
        <v>34.821010999999999</v>
      </c>
      <c r="AE2426">
        <v>-19.503499999999899</v>
      </c>
      <c r="AF2426">
        <v>-19.540094003463299</v>
      </c>
      <c r="AG2426">
        <v>34.821010999999999</v>
      </c>
      <c r="AH2426">
        <v>186.17098523301601</v>
      </c>
      <c r="AI2426">
        <v>79.462505166314301</v>
      </c>
      <c r="AJ2426">
        <v>95.991700500712099</v>
      </c>
      <c r="AK2426">
        <v>190.40471061231199</v>
      </c>
      <c r="AL2426">
        <v>90.376982762306099</v>
      </c>
      <c r="AM2426">
        <v>96.313325616061505</v>
      </c>
      <c r="AN2426">
        <v>1.00000000718045</v>
      </c>
    </row>
    <row r="2427" spans="1:40" x14ac:dyDescent="0.25">
      <c r="A2427" t="str">
        <f>"20190305134946600"</f>
        <v>20190305134946600</v>
      </c>
      <c r="B2427" t="str">
        <f>"1551764986593234"</f>
        <v>1551764986593234</v>
      </c>
      <c r="C2427" t="s">
        <v>40</v>
      </c>
      <c r="D2427">
        <v>3.8096700000000001</v>
      </c>
      <c r="E2427">
        <v>0.50591249999999999</v>
      </c>
      <c r="F2427" t="s">
        <v>76</v>
      </c>
      <c r="G2427">
        <v>-512.83699999999999</v>
      </c>
      <c r="H2427">
        <v>35.871029999999998</v>
      </c>
      <c r="I2427">
        <v>266.04259999999999</v>
      </c>
      <c r="J2427">
        <v>-320.93520000000001</v>
      </c>
      <c r="K2427">
        <v>1.1097859999999999</v>
      </c>
      <c r="L2427">
        <v>285.3768</v>
      </c>
      <c r="M2427">
        <v>-0.99987979999999999</v>
      </c>
      <c r="N2427">
        <v>-1.5150820000000001E-2</v>
      </c>
      <c r="O2427">
        <v>3.295723E-3</v>
      </c>
      <c r="P2427">
        <v>-0.99416640000000001</v>
      </c>
      <c r="Q2427">
        <v>-2.097069E-2</v>
      </c>
      <c r="R2427">
        <v>-0.1057998</v>
      </c>
      <c r="S2427">
        <v>-2.9973139999999998</v>
      </c>
      <c r="T2427">
        <v>0.54185899999999998</v>
      </c>
      <c r="U2427">
        <v>-0.30136109999999999</v>
      </c>
      <c r="V2427">
        <v>-0.1090691</v>
      </c>
      <c r="W2427">
        <v>-6.0304429999999999E-3</v>
      </c>
      <c r="X2427">
        <v>0.99401589999999995</v>
      </c>
      <c r="Y2427">
        <v>-0.1017629</v>
      </c>
      <c r="Z2427">
        <v>8.9625509999999992E-3</v>
      </c>
      <c r="AA2427">
        <v>0.99476830000000005</v>
      </c>
      <c r="AB2427">
        <v>52</v>
      </c>
      <c r="AC2427">
        <v>-191.90180000000001</v>
      </c>
      <c r="AD2427">
        <v>34.761243999999998</v>
      </c>
      <c r="AE2427">
        <v>-19.334199999999999</v>
      </c>
      <c r="AF2427">
        <v>-19.3384654874807</v>
      </c>
      <c r="AG2427">
        <v>34.761243999999998</v>
      </c>
      <c r="AH2427">
        <v>185.80176692752499</v>
      </c>
      <c r="AI2427">
        <v>79.458817209941401</v>
      </c>
      <c r="AJ2427">
        <v>95.942017056041095</v>
      </c>
      <c r="AK2427">
        <v>190.01214941478901</v>
      </c>
      <c r="AL2427">
        <v>90.345521019084401</v>
      </c>
      <c r="AM2427">
        <v>96.261770232182997</v>
      </c>
      <c r="AN2427">
        <v>1.0000000221351899</v>
      </c>
    </row>
    <row r="2428" spans="1:40" x14ac:dyDescent="0.25">
      <c r="A2428" t="str">
        <f>"20190305134946617"</f>
        <v>20190305134946617</v>
      </c>
      <c r="B2428" t="str">
        <f>"1551764986612755"</f>
        <v>1551764986612755</v>
      </c>
      <c r="C2428" t="s">
        <v>40</v>
      </c>
      <c r="D2428">
        <v>3.801053</v>
      </c>
      <c r="E2428">
        <v>0.50580420000000004</v>
      </c>
      <c r="F2428" t="s">
        <v>76</v>
      </c>
      <c r="G2428">
        <v>-512.83709999999996</v>
      </c>
      <c r="H2428">
        <v>35.978400000000001</v>
      </c>
      <c r="I2428">
        <v>266.29390000000001</v>
      </c>
      <c r="J2428">
        <v>-321.32330000000002</v>
      </c>
      <c r="K2428">
        <v>1.1097729999999999</v>
      </c>
      <c r="L2428">
        <v>285.37790000000001</v>
      </c>
      <c r="M2428">
        <v>-0.99988049999999995</v>
      </c>
      <c r="N2428">
        <v>-1.514837E-2</v>
      </c>
      <c r="O2428">
        <v>3.1006620000000001E-3</v>
      </c>
      <c r="P2428">
        <v>-0.99417009999999995</v>
      </c>
      <c r="Q2428">
        <v>-2.0392049999999998E-2</v>
      </c>
      <c r="R2428">
        <v>-0.1058771</v>
      </c>
      <c r="S2428">
        <v>-2.9974059999999998</v>
      </c>
      <c r="T2428">
        <v>0.54463019999999995</v>
      </c>
      <c r="U2428">
        <v>-0.29806519999999997</v>
      </c>
      <c r="V2428">
        <v>-0.1089538</v>
      </c>
      <c r="W2428">
        <v>-5.4490800000000002E-3</v>
      </c>
      <c r="X2428">
        <v>0.99403189999999997</v>
      </c>
      <c r="Y2428">
        <v>-0.1004888</v>
      </c>
      <c r="Z2428">
        <v>8.8688629999999994E-3</v>
      </c>
      <c r="AA2428">
        <v>0.99489870000000002</v>
      </c>
      <c r="AB2428">
        <v>52</v>
      </c>
      <c r="AC2428">
        <v>-191.5138</v>
      </c>
      <c r="AD2428">
        <v>34.868626999999996</v>
      </c>
      <c r="AE2428">
        <v>-19.084</v>
      </c>
      <c r="AF2428">
        <v>-19.052437607404698</v>
      </c>
      <c r="AG2428">
        <v>34.868626999999996</v>
      </c>
      <c r="AH2428">
        <v>185.369320672101</v>
      </c>
      <c r="AI2428">
        <v>79.401501153378305</v>
      </c>
      <c r="AJ2428">
        <v>95.868309254782801</v>
      </c>
      <c r="AK2428">
        <v>189.58006639434799</v>
      </c>
      <c r="AL2428">
        <v>90.312210824858596</v>
      </c>
      <c r="AM2428">
        <v>96.255103353868293</v>
      </c>
      <c r="AN2428">
        <v>1.00000002061244</v>
      </c>
    </row>
    <row r="2429" spans="1:40" x14ac:dyDescent="0.25">
      <c r="A2429" t="str">
        <f>"20190305134946633"</f>
        <v>20190305134946633</v>
      </c>
      <c r="B2429" t="str">
        <f>"1551764986622515"</f>
        <v>1551764986622515</v>
      </c>
      <c r="C2429" t="s">
        <v>40</v>
      </c>
      <c r="D2429">
        <v>3.7946240000000002</v>
      </c>
      <c r="E2429">
        <v>0.50577629999999996</v>
      </c>
      <c r="F2429" t="s">
        <v>76</v>
      </c>
      <c r="G2429">
        <v>-512.83709999999996</v>
      </c>
      <c r="H2429">
        <v>36.0578</v>
      </c>
      <c r="I2429">
        <v>266.31369999999998</v>
      </c>
      <c r="J2429">
        <v>-321.70780000000002</v>
      </c>
      <c r="K2429">
        <v>1.1097619999999999</v>
      </c>
      <c r="L2429">
        <v>285.37900000000002</v>
      </c>
      <c r="M2429">
        <v>-0.99988109999999997</v>
      </c>
      <c r="N2429">
        <v>-1.5145749999999999E-2</v>
      </c>
      <c r="O2429">
        <v>2.9106380000000001E-3</v>
      </c>
      <c r="P2429">
        <v>-0.9941354</v>
      </c>
      <c r="Q2429">
        <v>-1.9657810000000001E-2</v>
      </c>
      <c r="R2429">
        <v>-0.1063418</v>
      </c>
      <c r="S2429">
        <v>-2.9970400000000001</v>
      </c>
      <c r="T2429">
        <v>0.5469096</v>
      </c>
      <c r="U2429">
        <v>-0.29833979999999999</v>
      </c>
      <c r="V2429">
        <v>-0.1092306</v>
      </c>
      <c r="W2429">
        <v>-4.7137100000000003E-3</v>
      </c>
      <c r="X2429">
        <v>0.99400529999999998</v>
      </c>
      <c r="Y2429">
        <v>-0.1003932</v>
      </c>
      <c r="Z2429">
        <v>8.8644850000000001E-3</v>
      </c>
      <c r="AA2429">
        <v>0.99490829999999997</v>
      </c>
      <c r="AB2429">
        <v>52</v>
      </c>
      <c r="AC2429">
        <v>-191.1293</v>
      </c>
      <c r="AD2429">
        <v>34.948037999999997</v>
      </c>
      <c r="AE2429">
        <v>-19.065300000000001</v>
      </c>
      <c r="AF2429">
        <v>-18.992836974288299</v>
      </c>
      <c r="AG2429">
        <v>34.948037999999997</v>
      </c>
      <c r="AH2429">
        <v>184.950248924129</v>
      </c>
      <c r="AI2429">
        <v>79.354299259631802</v>
      </c>
      <c r="AJ2429">
        <v>95.863242509409702</v>
      </c>
      <c r="AK2429">
        <v>189.17898348780301</v>
      </c>
      <c r="AL2429">
        <v>90.270076678265596</v>
      </c>
      <c r="AM2429">
        <v>96.271034640447994</v>
      </c>
      <c r="AN2429">
        <v>1.0000000397332001</v>
      </c>
    </row>
    <row r="2430" spans="1:40" x14ac:dyDescent="0.25">
      <c r="A2430" t="str">
        <f>"20190305134946654"</f>
        <v>20190305134946654</v>
      </c>
      <c r="B2430" t="str">
        <f>"1551764986643011"</f>
        <v>1551764986643011</v>
      </c>
      <c r="C2430" t="s">
        <v>40</v>
      </c>
      <c r="D2430">
        <v>4.0073589999999903</v>
      </c>
      <c r="E2430">
        <v>0.50230629999999998</v>
      </c>
      <c r="F2430" t="s">
        <v>76</v>
      </c>
      <c r="G2430">
        <v>-512.83720000000005</v>
      </c>
      <c r="H2430">
        <v>36.157060000000001</v>
      </c>
      <c r="I2430">
        <v>266.32499999999999</v>
      </c>
      <c r="J2430">
        <v>-322.2002</v>
      </c>
      <c r="K2430">
        <v>1.1097509999999999</v>
      </c>
      <c r="L2430">
        <v>285.38029999999998</v>
      </c>
      <c r="M2430">
        <v>-0.99988169999999998</v>
      </c>
      <c r="N2430">
        <v>-1.5142340000000001E-2</v>
      </c>
      <c r="O2430">
        <v>2.6774300000000002E-3</v>
      </c>
      <c r="P2430">
        <v>-0.99402040000000003</v>
      </c>
      <c r="Q2430">
        <v>-2.0152300000000001E-2</v>
      </c>
      <c r="R2430">
        <v>-0.1073172</v>
      </c>
      <c r="S2430">
        <v>-2.996613</v>
      </c>
      <c r="T2430">
        <v>0.54948790000000003</v>
      </c>
      <c r="U2430">
        <v>-0.29873660000000002</v>
      </c>
      <c r="V2430">
        <v>-0.1099739</v>
      </c>
      <c r="W2430">
        <v>-5.2082159999999999E-3</v>
      </c>
      <c r="X2430">
        <v>0.99392080000000005</v>
      </c>
      <c r="Y2430">
        <v>-0.100296</v>
      </c>
      <c r="Z2430">
        <v>8.8564539999999997E-3</v>
      </c>
      <c r="AA2430">
        <v>0.99491819999999997</v>
      </c>
      <c r="AB2430">
        <v>52</v>
      </c>
      <c r="AC2430">
        <v>-190.637</v>
      </c>
      <c r="AD2430">
        <v>35.047308999999899</v>
      </c>
      <c r="AE2430">
        <v>-19.0552999999999</v>
      </c>
      <c r="AF2430">
        <v>-18.932162275892999</v>
      </c>
      <c r="AG2430">
        <v>35.047308999999899</v>
      </c>
      <c r="AH2430">
        <v>184.41406585565099</v>
      </c>
      <c r="AI2430">
        <v>79.294399652539994</v>
      </c>
      <c r="AJ2430">
        <v>95.861516732541602</v>
      </c>
      <c r="AK2430">
        <v>188.667136306233</v>
      </c>
      <c r="AL2430">
        <v>90.2984101535138</v>
      </c>
      <c r="AM2430">
        <v>96.313897191663798</v>
      </c>
      <c r="AN2430">
        <v>0.99999997043387501</v>
      </c>
    </row>
    <row r="2431" spans="1:40" x14ac:dyDescent="0.25">
      <c r="A2431" t="str">
        <f>"20190305134946668"</f>
        <v>20190305134946668</v>
      </c>
      <c r="B2431" t="str">
        <f>"1551764986663507"</f>
        <v>1551764986663507</v>
      </c>
      <c r="C2431" t="s">
        <v>40</v>
      </c>
      <c r="D2431">
        <v>3.7963879999999999</v>
      </c>
      <c r="E2431">
        <v>0.50255050000000001</v>
      </c>
      <c r="F2431" t="s">
        <v>76</v>
      </c>
      <c r="G2431">
        <v>-512.82590000000005</v>
      </c>
      <c r="H2431">
        <v>2.2355670000000001</v>
      </c>
      <c r="I2431">
        <v>265.77980000000002</v>
      </c>
      <c r="J2431">
        <v>-322.53559999999999</v>
      </c>
      <c r="K2431">
        <v>1.1097399999999999</v>
      </c>
      <c r="L2431">
        <v>285.3811</v>
      </c>
      <c r="M2431">
        <v>-0.9998823</v>
      </c>
      <c r="N2431">
        <v>-1.514005E-2</v>
      </c>
      <c r="O2431">
        <v>2.5255690000000001E-3</v>
      </c>
      <c r="P2431">
        <v>-0.99397559999999996</v>
      </c>
      <c r="Q2431">
        <v>-2.0572259999999998E-2</v>
      </c>
      <c r="R2431">
        <v>-0.1076539</v>
      </c>
      <c r="S2431">
        <v>-2.9852289999999999</v>
      </c>
      <c r="T2431">
        <v>1.7631649999999999E-2</v>
      </c>
      <c r="U2431">
        <v>-0.30694579999999999</v>
      </c>
      <c r="V2431">
        <v>-0.11015900000000001</v>
      </c>
      <c r="W2431">
        <v>-5.6271339999999998E-3</v>
      </c>
      <c r="X2431">
        <v>0.99389799999999995</v>
      </c>
      <c r="Y2431">
        <v>-0.1047968</v>
      </c>
      <c r="Z2431">
        <v>-4.337562E-4</v>
      </c>
      <c r="AA2431">
        <v>0.99449350000000003</v>
      </c>
      <c r="AB2431">
        <v>52</v>
      </c>
      <c r="AC2431">
        <v>-190.2903</v>
      </c>
      <c r="AD2431">
        <v>1.1258269999999899</v>
      </c>
      <c r="AE2431">
        <v>-19.601299999999899</v>
      </c>
      <c r="AF2431">
        <v>-20.0811882642267</v>
      </c>
      <c r="AG2431">
        <v>1.1258269999999899</v>
      </c>
      <c r="AH2431">
        <v>190.23359396411601</v>
      </c>
      <c r="AI2431">
        <v>89.662793635623899</v>
      </c>
      <c r="AJ2431">
        <v>96.025865598323406</v>
      </c>
      <c r="AK2431">
        <v>191.293862632969</v>
      </c>
      <c r="AL2431">
        <v>90.322412745907499</v>
      </c>
      <c r="AM2431">
        <v>96.324582146500902</v>
      </c>
      <c r="AN2431">
        <v>0.999999952161025</v>
      </c>
    </row>
    <row r="2432" spans="1:40" x14ac:dyDescent="0.25">
      <c r="A2432" t="str">
        <f>"20190305134946681"</f>
        <v>20190305134946681</v>
      </c>
      <c r="B2432" t="str">
        <f>"1551764986673266"</f>
        <v>1551764986673266</v>
      </c>
      <c r="C2432" t="s">
        <v>40</v>
      </c>
      <c r="D2432">
        <v>3.7724099999999998</v>
      </c>
      <c r="E2432">
        <v>0.5025482</v>
      </c>
      <c r="F2432" t="s">
        <v>76</v>
      </c>
      <c r="G2432">
        <v>-512.83699999999999</v>
      </c>
      <c r="H2432">
        <v>35.75264</v>
      </c>
      <c r="I2432">
        <v>264.54599999999999</v>
      </c>
      <c r="J2432">
        <v>-322.81290000000001</v>
      </c>
      <c r="K2432">
        <v>1.109731</v>
      </c>
      <c r="L2432">
        <v>285.38170000000002</v>
      </c>
      <c r="M2432">
        <v>-0.99988259999999995</v>
      </c>
      <c r="N2432">
        <v>-1.5138179999999999E-2</v>
      </c>
      <c r="O2432">
        <v>2.4096170000000002E-3</v>
      </c>
      <c r="P2432">
        <v>-0.99393399999999998</v>
      </c>
      <c r="Q2432">
        <v>-2.092809E-2</v>
      </c>
      <c r="R2432">
        <v>-0.1079695</v>
      </c>
      <c r="S2432">
        <v>-2.9939269999999998</v>
      </c>
      <c r="T2432">
        <v>0.5450218</v>
      </c>
      <c r="U2432">
        <v>-0.32778930000000001</v>
      </c>
      <c r="V2432">
        <v>-0.11035970000000001</v>
      </c>
      <c r="W2432">
        <v>-5.9819209999999899E-3</v>
      </c>
      <c r="X2432">
        <v>0.99387369999999997</v>
      </c>
      <c r="Y2432">
        <v>-0.1095559</v>
      </c>
      <c r="Z2432">
        <v>9.4938920000000003E-3</v>
      </c>
      <c r="AA2432">
        <v>0.99393529999999997</v>
      </c>
      <c r="AB2432">
        <v>52</v>
      </c>
      <c r="AC2432">
        <v>-190.0241</v>
      </c>
      <c r="AD2432">
        <v>34.642909000000003</v>
      </c>
      <c r="AE2432">
        <v>-20.835699999999999</v>
      </c>
      <c r="AF2432">
        <v>-20.616503245293401</v>
      </c>
      <c r="AG2432">
        <v>34.642909000000003</v>
      </c>
      <c r="AH2432">
        <v>183.932735392419</v>
      </c>
      <c r="AI2432">
        <v>79.398421829399894</v>
      </c>
      <c r="AJ2432">
        <v>96.395428931565107</v>
      </c>
      <c r="AK2432">
        <v>188.298758623054</v>
      </c>
      <c r="AL2432">
        <v>90.342740874488698</v>
      </c>
      <c r="AM2432">
        <v>96.336165005317994</v>
      </c>
      <c r="AN2432">
        <v>0.99999998915731503</v>
      </c>
    </row>
    <row r="2433" spans="1:40" x14ac:dyDescent="0.25">
      <c r="A2433" t="str">
        <f>"20190305134946692"</f>
        <v>20190305134946692</v>
      </c>
      <c r="B2433" t="str">
        <f>"1551764986683026"</f>
        <v>1551764986683026</v>
      </c>
      <c r="C2433" t="s">
        <v>40</v>
      </c>
      <c r="D2433">
        <v>3.7775099999999999</v>
      </c>
      <c r="E2433">
        <v>0.50243720000000003</v>
      </c>
      <c r="F2433" t="s">
        <v>76</v>
      </c>
      <c r="G2433">
        <v>-512.83690000000001</v>
      </c>
      <c r="H2433">
        <v>35.282159999999998</v>
      </c>
      <c r="I2433">
        <v>264.5111</v>
      </c>
      <c r="J2433">
        <v>-323.08819999999997</v>
      </c>
      <c r="K2433">
        <v>1.109721</v>
      </c>
      <c r="L2433">
        <v>285.38240000000002</v>
      </c>
      <c r="M2433">
        <v>-0.99988279999999996</v>
      </c>
      <c r="N2433">
        <v>-1.513633E-2</v>
      </c>
      <c r="O2433">
        <v>2.2989820000000002E-3</v>
      </c>
      <c r="P2433">
        <v>-0.99390210000000001</v>
      </c>
      <c r="Q2433">
        <v>-2.0936340000000001E-2</v>
      </c>
      <c r="R2433">
        <v>-0.1082612</v>
      </c>
      <c r="S2433">
        <v>-2.9939269999999998</v>
      </c>
      <c r="T2433">
        <v>0.53840509999999997</v>
      </c>
      <c r="U2433">
        <v>-0.32882689999999998</v>
      </c>
      <c r="V2433">
        <v>-0.11054120000000001</v>
      </c>
      <c r="W2433">
        <v>-5.988775E-3</v>
      </c>
      <c r="X2433">
        <v>0.99385349999999995</v>
      </c>
      <c r="Y2433">
        <v>-0.1098262</v>
      </c>
      <c r="Z2433">
        <v>9.3715619999999999E-3</v>
      </c>
      <c r="AA2433">
        <v>0.99390659999999997</v>
      </c>
      <c r="AB2433">
        <v>52</v>
      </c>
      <c r="AC2433">
        <v>-189.74870000000001</v>
      </c>
      <c r="AD2433">
        <v>34.172438999999997</v>
      </c>
      <c r="AE2433">
        <v>-20.871300000000002</v>
      </c>
      <c r="AF2433">
        <v>-20.645908515609001</v>
      </c>
      <c r="AG2433">
        <v>34.172438999999997</v>
      </c>
      <c r="AH2433">
        <v>183.809871500631</v>
      </c>
      <c r="AI2433">
        <v>79.532626468907296</v>
      </c>
      <c r="AJ2433">
        <v>96.408720310810097</v>
      </c>
      <c r="AK2433">
        <v>188.095927618655</v>
      </c>
      <c r="AL2433">
        <v>90.343133582773206</v>
      </c>
      <c r="AM2433">
        <v>96.3466285833223</v>
      </c>
      <c r="AN2433">
        <v>1.00000000089284</v>
      </c>
    </row>
    <row r="2434" spans="1:40" x14ac:dyDescent="0.25">
      <c r="A2434" t="str">
        <f>"20190305134946705"</f>
        <v>20190305134946705</v>
      </c>
      <c r="B2434" t="str">
        <f>"1551764986702548"</f>
        <v>1551764986702548</v>
      </c>
      <c r="C2434" t="s">
        <v>40</v>
      </c>
      <c r="D2434">
        <v>3.7746200000000001</v>
      </c>
      <c r="E2434">
        <v>0.50235429999999903</v>
      </c>
      <c r="F2434" t="s">
        <v>76</v>
      </c>
      <c r="G2434">
        <v>-512.83680000000004</v>
      </c>
      <c r="H2434">
        <v>35.071199999999997</v>
      </c>
      <c r="I2434">
        <v>264.41609999999997</v>
      </c>
      <c r="J2434">
        <v>-323.39569999999998</v>
      </c>
      <c r="K2434">
        <v>1.1097090000000001</v>
      </c>
      <c r="L2434">
        <v>285.38299999999998</v>
      </c>
      <c r="M2434">
        <v>-0.99988310000000002</v>
      </c>
      <c r="N2434">
        <v>-1.513428E-2</v>
      </c>
      <c r="O2434">
        <v>2.1866949999999998E-3</v>
      </c>
      <c r="P2434">
        <v>-0.9938804</v>
      </c>
      <c r="Q2434">
        <v>-2.0881199999999999E-2</v>
      </c>
      <c r="R2434">
        <v>-0.10847030000000001</v>
      </c>
      <c r="S2434">
        <v>-2.9936219999999998</v>
      </c>
      <c r="T2434">
        <v>0.53580360000000005</v>
      </c>
      <c r="U2434">
        <v>-0.33078000000000002</v>
      </c>
      <c r="V2434">
        <v>-0.1106384</v>
      </c>
      <c r="W2434">
        <v>-5.9311529999999998E-3</v>
      </c>
      <c r="X2434">
        <v>0.99384300000000003</v>
      </c>
      <c r="Y2434">
        <v>-0.1103765</v>
      </c>
      <c r="Z2434">
        <v>9.3468969999999998E-3</v>
      </c>
      <c r="AA2434">
        <v>0.99384589999999995</v>
      </c>
      <c r="AB2434">
        <v>52</v>
      </c>
      <c r="AC2434">
        <v>-189.44110000000001</v>
      </c>
      <c r="AD2434">
        <v>33.961490999999903</v>
      </c>
      <c r="AE2434">
        <v>-20.966899999999999</v>
      </c>
      <c r="AF2434">
        <v>-20.723195208578598</v>
      </c>
      <c r="AG2434">
        <v>33.961490999999903</v>
      </c>
      <c r="AH2434">
        <v>183.566636502248</v>
      </c>
      <c r="AI2434">
        <v>79.582987980866804</v>
      </c>
      <c r="AJ2434">
        <v>96.440962068996996</v>
      </c>
      <c r="AK2434">
        <v>187.82849551477699</v>
      </c>
      <c r="AL2434">
        <v>90.339832036756803</v>
      </c>
      <c r="AM2434">
        <v>96.352230203671198</v>
      </c>
      <c r="AN2434">
        <v>0.99999997138973395</v>
      </c>
    </row>
    <row r="2435" spans="1:40" x14ac:dyDescent="0.25">
      <c r="A2435" t="str">
        <f>"20190305134946723"</f>
        <v>20190305134946723</v>
      </c>
      <c r="B2435" t="str">
        <f>"1551764986713283"</f>
        <v>1551764986713283</v>
      </c>
      <c r="C2435" t="s">
        <v>40</v>
      </c>
      <c r="D2435">
        <v>3.769749</v>
      </c>
      <c r="E2435">
        <v>0.50211669999999997</v>
      </c>
      <c r="F2435" t="s">
        <v>76</v>
      </c>
      <c r="G2435">
        <v>-512.83680000000004</v>
      </c>
      <c r="H2435">
        <v>35.083240000000004</v>
      </c>
      <c r="I2435">
        <v>264.33159999999998</v>
      </c>
      <c r="J2435">
        <v>-323.77339999999998</v>
      </c>
      <c r="K2435">
        <v>1.1096889999999999</v>
      </c>
      <c r="L2435">
        <v>285.38369999999998</v>
      </c>
      <c r="M2435">
        <v>-0.99988339999999998</v>
      </c>
      <c r="N2435">
        <v>-1.5131739999999999E-2</v>
      </c>
      <c r="O2435">
        <v>2.0655920000000002E-3</v>
      </c>
      <c r="P2435">
        <v>-0.99394610000000005</v>
      </c>
      <c r="Q2435">
        <v>-1.933441E-2</v>
      </c>
      <c r="R2435">
        <v>-0.10815429999999999</v>
      </c>
      <c r="S2435">
        <v>-2.993439</v>
      </c>
      <c r="T2435">
        <v>0.53683049999999999</v>
      </c>
      <c r="U2435">
        <v>-0.33264159999999998</v>
      </c>
      <c r="V2435">
        <v>-0.1102042</v>
      </c>
      <c r="W2435">
        <v>-4.3790749999999996E-3</v>
      </c>
      <c r="X2435">
        <v>0.99389930000000004</v>
      </c>
      <c r="Y2435">
        <v>-0.11086210000000001</v>
      </c>
      <c r="Z2435">
        <v>9.3824779999999997E-3</v>
      </c>
      <c r="AA2435">
        <v>0.99379150000000005</v>
      </c>
      <c r="AB2435">
        <v>52</v>
      </c>
      <c r="AC2435">
        <v>-189.0634</v>
      </c>
      <c r="AD2435">
        <v>33.973551</v>
      </c>
      <c r="AE2435">
        <v>-21.052099999999999</v>
      </c>
      <c r="AF2435">
        <v>-20.779864867437499</v>
      </c>
      <c r="AG2435">
        <v>33.973551</v>
      </c>
      <c r="AH2435">
        <v>183.17716795824001</v>
      </c>
      <c r="AI2435">
        <v>79.558327437879896</v>
      </c>
      <c r="AJ2435">
        <v>96.472042329698496</v>
      </c>
      <c r="AK2435">
        <v>187.456341084157</v>
      </c>
      <c r="AL2435">
        <v>90.2509033225259</v>
      </c>
      <c r="AM2435">
        <v>96.327147973222296</v>
      </c>
      <c r="AN2435">
        <v>0.99999998026799197</v>
      </c>
    </row>
    <row r="2436" spans="1:40" x14ac:dyDescent="0.25">
      <c r="A2436" t="str">
        <f>"20190305134946737"</f>
        <v>20190305134946737</v>
      </c>
      <c r="B2436" t="str">
        <f>"1551764986732803"</f>
        <v>1551764986732803</v>
      </c>
      <c r="C2436" t="s">
        <v>40</v>
      </c>
      <c r="D2436">
        <v>3.7738079999999998</v>
      </c>
      <c r="E2436">
        <v>0.50180429999999998</v>
      </c>
      <c r="F2436" t="s">
        <v>76</v>
      </c>
      <c r="G2436">
        <v>-512.83690000000001</v>
      </c>
      <c r="H2436">
        <v>35.404980000000002</v>
      </c>
      <c r="I2436">
        <v>264.24959999999999</v>
      </c>
      <c r="J2436">
        <v>-324.1028</v>
      </c>
      <c r="K2436">
        <v>1.1096729999999999</v>
      </c>
      <c r="L2436">
        <v>285.3843</v>
      </c>
      <c r="M2436">
        <v>-0.99988350000000004</v>
      </c>
      <c r="N2436">
        <v>-1.512952E-2</v>
      </c>
      <c r="O2436">
        <v>1.9737859999999999E-3</v>
      </c>
      <c r="P2436">
        <v>-0.99399610000000005</v>
      </c>
      <c r="Q2436">
        <v>-1.8611079999999999E-2</v>
      </c>
      <c r="R2436">
        <v>-0.1078214</v>
      </c>
      <c r="S2436">
        <v>-2.992432</v>
      </c>
      <c r="T2436">
        <v>0.54281459999999904</v>
      </c>
      <c r="U2436">
        <v>-0.3345032</v>
      </c>
      <c r="V2436">
        <v>-0.1097804</v>
      </c>
      <c r="W2436">
        <v>-3.6507089999999998E-3</v>
      </c>
      <c r="X2436">
        <v>0.99394919999999998</v>
      </c>
      <c r="Y2436">
        <v>-0.1113735</v>
      </c>
      <c r="Z2436">
        <v>9.5214700000000006E-3</v>
      </c>
      <c r="AA2436">
        <v>0.99373299999999998</v>
      </c>
      <c r="AB2436">
        <v>52</v>
      </c>
      <c r="AC2436">
        <v>-188.73410000000001</v>
      </c>
      <c r="AD2436">
        <v>34.295307000000001</v>
      </c>
      <c r="AE2436">
        <v>-21.134699999999999</v>
      </c>
      <c r="AF2436">
        <v>-20.828011799846902</v>
      </c>
      <c r="AG2436">
        <v>34.295307000000001</v>
      </c>
      <c r="AH2436">
        <v>182.73301006043999</v>
      </c>
      <c r="AI2436">
        <v>79.437227824772506</v>
      </c>
      <c r="AJ2436">
        <v>96.502542828410498</v>
      </c>
      <c r="AK2436">
        <v>187.086416191843</v>
      </c>
      <c r="AL2436">
        <v>90.209170674601694</v>
      </c>
      <c r="AM2436">
        <v>96.302698680767605</v>
      </c>
      <c r="AN2436">
        <v>1.0000000380405001</v>
      </c>
    </row>
    <row r="2437" spans="1:40" x14ac:dyDescent="0.25">
      <c r="A2437" t="str">
        <f>"20190305134946749"</f>
        <v>20190305134946749</v>
      </c>
      <c r="B2437" t="str">
        <f>"1551764986743538"</f>
        <v>1551764986743538</v>
      </c>
      <c r="C2437" t="s">
        <v>40</v>
      </c>
      <c r="D2437">
        <v>3.7731970000000001</v>
      </c>
      <c r="E2437">
        <v>0.50170859999999995</v>
      </c>
      <c r="F2437" t="s">
        <v>76</v>
      </c>
      <c r="G2437">
        <v>-512.83690000000001</v>
      </c>
      <c r="H2437">
        <v>35.384909999999998</v>
      </c>
      <c r="I2437">
        <v>264.1771</v>
      </c>
      <c r="J2437">
        <v>-324.4033</v>
      </c>
      <c r="K2437">
        <v>1.1096549999999901</v>
      </c>
      <c r="L2437">
        <v>285.38490000000002</v>
      </c>
      <c r="M2437">
        <v>-0.99988379999999999</v>
      </c>
      <c r="N2437">
        <v>-1.512748E-2</v>
      </c>
      <c r="O2437">
        <v>1.8992480000000001E-3</v>
      </c>
      <c r="P2437">
        <v>-0.99405679999999996</v>
      </c>
      <c r="Q2437">
        <v>-1.764812E-2</v>
      </c>
      <c r="R2437">
        <v>-0.10742400000000001</v>
      </c>
      <c r="S2437">
        <v>-2.9918520000000002</v>
      </c>
      <c r="T2437">
        <v>0.54333869999999995</v>
      </c>
      <c r="U2437">
        <v>-0.33618160000000002</v>
      </c>
      <c r="V2437">
        <v>-0.10931009999999999</v>
      </c>
      <c r="W2437">
        <v>-2.6826509999999999E-3</v>
      </c>
      <c r="X2437">
        <v>0.99400409999999995</v>
      </c>
      <c r="Y2437">
        <v>-0.1118615</v>
      </c>
      <c r="Z2437">
        <v>9.5585989999999992E-3</v>
      </c>
      <c r="AA2437">
        <v>0.9936779</v>
      </c>
      <c r="AB2437">
        <v>52</v>
      </c>
      <c r="AC2437">
        <v>-188.43360000000001</v>
      </c>
      <c r="AD2437">
        <v>34.275255000000001</v>
      </c>
      <c r="AE2437">
        <v>-21.207799999999999</v>
      </c>
      <c r="AF2437">
        <v>-20.883379422036001</v>
      </c>
      <c r="AG2437">
        <v>34.275255000000001</v>
      </c>
      <c r="AH2437">
        <v>182.43250991454801</v>
      </c>
      <c r="AI2437">
        <v>79.426840249716193</v>
      </c>
      <c r="AJ2437">
        <v>96.530326500700895</v>
      </c>
      <c r="AK2437">
        <v>186.79542102289699</v>
      </c>
      <c r="AL2437">
        <v>90.153704761077194</v>
      </c>
      <c r="AM2437">
        <v>96.275569925542896</v>
      </c>
      <c r="AN2437">
        <v>1.0000000226976</v>
      </c>
    </row>
    <row r="2438" spans="1:40" x14ac:dyDescent="0.25">
      <c r="A2438" t="str">
        <f>"20190305134946761"</f>
        <v>20190305134946761</v>
      </c>
      <c r="B2438" t="str">
        <f>"1551764986753298"</f>
        <v>1551764986753298</v>
      </c>
      <c r="C2438" t="s">
        <v>40</v>
      </c>
      <c r="D2438">
        <v>3.7646670000000002</v>
      </c>
      <c r="E2438">
        <v>0.5015752</v>
      </c>
      <c r="F2438" t="s">
        <v>76</v>
      </c>
      <c r="G2438">
        <v>-512.83690000000001</v>
      </c>
      <c r="H2438">
        <v>35.48292</v>
      </c>
      <c r="I2438">
        <v>264.23270000000002</v>
      </c>
      <c r="J2438">
        <v>-324.67689999999999</v>
      </c>
      <c r="K2438">
        <v>1.109637</v>
      </c>
      <c r="L2438">
        <v>285.3854</v>
      </c>
      <c r="M2438">
        <v>-0.999884</v>
      </c>
      <c r="N2438">
        <v>-1.5125609999999999E-2</v>
      </c>
      <c r="O2438">
        <v>1.8471480000000001E-3</v>
      </c>
      <c r="P2438">
        <v>-0.99412060000000002</v>
      </c>
      <c r="Q2438">
        <v>-1.69602999999999E-2</v>
      </c>
      <c r="R2438">
        <v>-0.106943899999999</v>
      </c>
      <c r="S2438">
        <v>-2.991333</v>
      </c>
      <c r="T2438">
        <v>0.54566680000000001</v>
      </c>
      <c r="U2438">
        <v>-0.3357849</v>
      </c>
      <c r="V2438">
        <v>-0.1087789</v>
      </c>
      <c r="W2438">
        <v>-1.9899129999999998E-3</v>
      </c>
      <c r="X2438">
        <v>0.99406399999999995</v>
      </c>
      <c r="Y2438">
        <v>-0.1116867</v>
      </c>
      <c r="Z2438">
        <v>9.5796719999999991E-3</v>
      </c>
      <c r="AA2438">
        <v>0.99369730000000001</v>
      </c>
      <c r="AB2438">
        <v>52</v>
      </c>
      <c r="AC2438">
        <v>-188.16</v>
      </c>
      <c r="AD2438">
        <v>34.373283000000001</v>
      </c>
      <c r="AE2438">
        <v>-21.1526999999999</v>
      </c>
      <c r="AF2438">
        <v>-20.814308666279501</v>
      </c>
      <c r="AG2438">
        <v>34.373283000000001</v>
      </c>
      <c r="AH2438">
        <v>182.11871558712801</v>
      </c>
      <c r="AI2438">
        <v>79.379218734975098</v>
      </c>
      <c r="AJ2438">
        <v>96.520031922521994</v>
      </c>
      <c r="AK2438">
        <v>186.49928846126599</v>
      </c>
      <c r="AL2438">
        <v>90.114013689180993</v>
      </c>
      <c r="AM2438">
        <v>96.244941570719803</v>
      </c>
      <c r="AN2438">
        <v>1.0000000224674701</v>
      </c>
    </row>
    <row r="2439" spans="1:40" x14ac:dyDescent="0.25">
      <c r="A2439" t="str">
        <f>"20190305134946777"</f>
        <v>20190305134946777</v>
      </c>
      <c r="B2439" t="str">
        <f>"1551764986772819"</f>
        <v>1551764986772819</v>
      </c>
      <c r="C2439" t="s">
        <v>40</v>
      </c>
      <c r="D2439">
        <v>3.730054</v>
      </c>
      <c r="E2439">
        <v>0.50146520000000006</v>
      </c>
      <c r="F2439" t="s">
        <v>76</v>
      </c>
      <c r="G2439">
        <v>-512.83690000000001</v>
      </c>
      <c r="H2439">
        <v>35.48019</v>
      </c>
      <c r="I2439">
        <v>264.26900000000001</v>
      </c>
      <c r="J2439">
        <v>-325.04969999999997</v>
      </c>
      <c r="K2439">
        <v>1.1096140000000001</v>
      </c>
      <c r="L2439">
        <v>285.3861</v>
      </c>
      <c r="M2439">
        <v>-0.99988410000000005</v>
      </c>
      <c r="N2439">
        <v>-1.5123060000000001E-2</v>
      </c>
      <c r="O2439">
        <v>1.78570799999999E-3</v>
      </c>
      <c r="P2439">
        <v>-0.9942474</v>
      </c>
      <c r="Q2439">
        <v>-1.7069939999999999E-2</v>
      </c>
      <c r="R2439">
        <v>-0.1057391</v>
      </c>
      <c r="S2439">
        <v>-2.9909669999999999</v>
      </c>
      <c r="T2439">
        <v>0.54635019999999901</v>
      </c>
      <c r="U2439">
        <v>-0.33566279999999998</v>
      </c>
      <c r="V2439">
        <v>-0.1075132</v>
      </c>
      <c r="W2439">
        <v>-2.0920629999999999E-3</v>
      </c>
      <c r="X2439">
        <v>0.99420149999999996</v>
      </c>
      <c r="Y2439">
        <v>-0.11159669999999999</v>
      </c>
      <c r="Z2439">
        <v>9.5744339999999997E-3</v>
      </c>
      <c r="AA2439">
        <v>0.99370749999999997</v>
      </c>
      <c r="AB2439">
        <v>52</v>
      </c>
      <c r="AC2439">
        <v>-187.78720000000001</v>
      </c>
      <c r="AD2439">
        <v>34.370576</v>
      </c>
      <c r="AE2439">
        <v>-21.117099999999901</v>
      </c>
      <c r="AF2439">
        <v>-20.765485907494199</v>
      </c>
      <c r="AG2439">
        <v>34.370576</v>
      </c>
      <c r="AH2439">
        <v>181.73706619070799</v>
      </c>
      <c r="AI2439">
        <v>79.358209382619506</v>
      </c>
      <c r="AJ2439">
        <v>96.5184123786768</v>
      </c>
      <c r="AK2439">
        <v>186.12066818908599</v>
      </c>
      <c r="AL2439">
        <v>90.119866462568297</v>
      </c>
      <c r="AM2439">
        <v>96.171995479400707</v>
      </c>
      <c r="AN2439">
        <v>1.00000004375204</v>
      </c>
    </row>
    <row r="2440" spans="1:40" x14ac:dyDescent="0.25">
      <c r="A2440" t="str">
        <f>"20190305134946792"</f>
        <v>20190305134946792</v>
      </c>
      <c r="B2440" t="str">
        <f>"1551764986782578"</f>
        <v>1551764986782578</v>
      </c>
      <c r="C2440" t="s">
        <v>40</v>
      </c>
      <c r="D2440">
        <v>3.725819</v>
      </c>
      <c r="E2440">
        <v>0.50137419999999999</v>
      </c>
      <c r="F2440" t="s">
        <v>76</v>
      </c>
      <c r="G2440">
        <v>-512.83690000000001</v>
      </c>
      <c r="H2440">
        <v>35.418849999999999</v>
      </c>
      <c r="I2440">
        <v>264.49439999999998</v>
      </c>
      <c r="J2440">
        <v>-325.38400000000001</v>
      </c>
      <c r="K2440">
        <v>1.1095930000000001</v>
      </c>
      <c r="L2440">
        <v>285.38670000000002</v>
      </c>
      <c r="M2440">
        <v>-0.99988429999999995</v>
      </c>
      <c r="N2440">
        <v>-1.512077E-2</v>
      </c>
      <c r="O2440">
        <v>1.7410010000000001E-3</v>
      </c>
      <c r="P2440">
        <v>-0.99427109999999996</v>
      </c>
      <c r="Q2440">
        <v>-1.765858E-2</v>
      </c>
      <c r="R2440">
        <v>-0.10542070000000001</v>
      </c>
      <c r="S2440">
        <v>-2.9913639999999999</v>
      </c>
      <c r="T2440">
        <v>0.54653079999999998</v>
      </c>
      <c r="U2440">
        <v>-0.33279419999999998</v>
      </c>
      <c r="V2440">
        <v>-0.10715040000000001</v>
      </c>
      <c r="W2440">
        <v>-2.6760830000000001E-3</v>
      </c>
      <c r="X2440">
        <v>0.99423919999999999</v>
      </c>
      <c r="Y2440">
        <v>-0.1106111</v>
      </c>
      <c r="Z2440">
        <v>9.4869289999999998E-3</v>
      </c>
      <c r="AA2440">
        <v>0.99381850000000005</v>
      </c>
      <c r="AB2440">
        <v>52</v>
      </c>
      <c r="AC2440">
        <v>-187.4529</v>
      </c>
      <c r="AD2440">
        <v>34.309257000000002</v>
      </c>
      <c r="AE2440">
        <v>-20.892299999999999</v>
      </c>
      <c r="AF2440">
        <v>-20.539055245992198</v>
      </c>
      <c r="AG2440">
        <v>34.309257000000002</v>
      </c>
      <c r="AH2440">
        <v>181.41354056947901</v>
      </c>
      <c r="AI2440">
        <v>79.357030182174199</v>
      </c>
      <c r="AJ2440">
        <v>96.459338167091204</v>
      </c>
      <c r="AK2440">
        <v>185.76827126353899</v>
      </c>
      <c r="AL2440">
        <v>90.153328447873506</v>
      </c>
      <c r="AM2440">
        <v>96.151096748930598</v>
      </c>
      <c r="AN2440">
        <v>0.99999997822851106</v>
      </c>
    </row>
    <row r="2441" spans="1:40" x14ac:dyDescent="0.25">
      <c r="A2441" t="str">
        <f>"20190305134946803"</f>
        <v>20190305134946803</v>
      </c>
      <c r="B2441" t="str">
        <f>"1551764986793315"</f>
        <v>1551764986793315</v>
      </c>
      <c r="C2441" t="s">
        <v>40</v>
      </c>
      <c r="D2441">
        <v>3.7032980000000002</v>
      </c>
      <c r="E2441">
        <v>0.50121419999999905</v>
      </c>
      <c r="F2441" t="s">
        <v>76</v>
      </c>
      <c r="G2441">
        <v>-512.83680000000004</v>
      </c>
      <c r="H2441">
        <v>35.1663</v>
      </c>
      <c r="I2441">
        <v>264.5804</v>
      </c>
      <c r="J2441">
        <v>-325.6508</v>
      </c>
      <c r="K2441">
        <v>1.109577</v>
      </c>
      <c r="L2441">
        <v>285.38709999999998</v>
      </c>
      <c r="M2441">
        <v>-0.99988429999999995</v>
      </c>
      <c r="N2441">
        <v>-1.5118940000000001E-2</v>
      </c>
      <c r="O2441">
        <v>1.714761E-3</v>
      </c>
      <c r="P2441">
        <v>-0.99425669999999999</v>
      </c>
      <c r="Q2441">
        <v>-1.8223059999999999E-2</v>
      </c>
      <c r="R2441">
        <v>-0.1054605</v>
      </c>
      <c r="S2441">
        <v>-2.9916990000000001</v>
      </c>
      <c r="T2441">
        <v>0.54353699999999905</v>
      </c>
      <c r="U2441">
        <v>-0.33206180000000002</v>
      </c>
      <c r="V2441">
        <v>-0.10716390000000001</v>
      </c>
      <c r="W2441">
        <v>-3.2379869999999999E-3</v>
      </c>
      <c r="X2441">
        <v>0.99423609999999896</v>
      </c>
      <c r="Y2441">
        <v>-0.1103561</v>
      </c>
      <c r="Z2441">
        <v>9.4045029999999998E-3</v>
      </c>
      <c r="AA2441">
        <v>0.99384760000000005</v>
      </c>
      <c r="AB2441">
        <v>52</v>
      </c>
      <c r="AC2441">
        <v>-187.18600000000001</v>
      </c>
      <c r="AD2441">
        <v>34.056722999999998</v>
      </c>
      <c r="AE2441">
        <v>-20.8066999999999</v>
      </c>
      <c r="AF2441">
        <v>-20.4587188085438</v>
      </c>
      <c r="AG2441">
        <v>34.056722999999998</v>
      </c>
      <c r="AH2441">
        <v>181.224304900883</v>
      </c>
      <c r="AI2441">
        <v>79.4224377073716</v>
      </c>
      <c r="AJ2441">
        <v>96.440947701696402</v>
      </c>
      <c r="AK2441">
        <v>185.528079393913</v>
      </c>
      <c r="AL2441">
        <v>90.185523312612901</v>
      </c>
      <c r="AM2441">
        <v>96.151884824706102</v>
      </c>
      <c r="AN2441">
        <v>1.0000000042831101</v>
      </c>
    </row>
    <row r="2442" spans="1:40" x14ac:dyDescent="0.25">
      <c r="A2442" t="str">
        <f>"20190305134946817"</f>
        <v>20190305134946817</v>
      </c>
      <c r="B2442" t="str">
        <f>"1551764986812834"</f>
        <v>1551764986812834</v>
      </c>
      <c r="C2442" t="s">
        <v>40</v>
      </c>
      <c r="D2442">
        <v>3.883883</v>
      </c>
      <c r="E2442">
        <v>0.50118989999999997</v>
      </c>
      <c r="F2442" t="s">
        <v>76</v>
      </c>
      <c r="G2442">
        <v>-512.83669999999995</v>
      </c>
      <c r="H2442">
        <v>34.960149999999999</v>
      </c>
      <c r="I2442">
        <v>264.5532</v>
      </c>
      <c r="J2442">
        <v>-325.95429999999999</v>
      </c>
      <c r="K2442">
        <v>1.1095600000000001</v>
      </c>
      <c r="L2442">
        <v>285.38760000000002</v>
      </c>
      <c r="M2442">
        <v>-0.99988429999999995</v>
      </c>
      <c r="N2442">
        <v>-1.5116849999999999E-2</v>
      </c>
      <c r="O2442">
        <v>1.6898519999999999E-3</v>
      </c>
      <c r="P2442">
        <v>-0.99426499999999995</v>
      </c>
      <c r="Q2442">
        <v>-1.8518280000000002E-2</v>
      </c>
      <c r="R2442">
        <v>-0.10532950000000001</v>
      </c>
      <c r="S2442">
        <v>-2.9919739999999999</v>
      </c>
      <c r="T2442">
        <v>0.54106709999999902</v>
      </c>
      <c r="U2442">
        <v>-0.33300780000000002</v>
      </c>
      <c r="V2442">
        <v>-0.1070088</v>
      </c>
      <c r="W2442">
        <v>-3.5302440000000001E-3</v>
      </c>
      <c r="X2442">
        <v>0.99425180000000002</v>
      </c>
      <c r="Y2442">
        <v>-0.1106439</v>
      </c>
      <c r="Z2442">
        <v>9.3765819999999996E-3</v>
      </c>
      <c r="AA2442">
        <v>0.99381589999999997</v>
      </c>
      <c r="AB2442">
        <v>52</v>
      </c>
      <c r="AC2442">
        <v>-186.88239999999999</v>
      </c>
      <c r="AD2442">
        <v>33.850589999999997</v>
      </c>
      <c r="AE2442">
        <v>-20.834399999999999</v>
      </c>
      <c r="AF2442">
        <v>-20.486321323958599</v>
      </c>
      <c r="AG2442">
        <v>33.850589999999997</v>
      </c>
      <c r="AH2442">
        <v>180.98194272901901</v>
      </c>
      <c r="AI2442">
        <v>79.471610244864195</v>
      </c>
      <c r="AJ2442">
        <v>96.458128554098295</v>
      </c>
      <c r="AK2442">
        <v>185.25662039103</v>
      </c>
      <c r="AL2442">
        <v>90.202268503229106</v>
      </c>
      <c r="AM2442">
        <v>96.142952969486998</v>
      </c>
      <c r="AN2442">
        <v>0.99999999385168903</v>
      </c>
    </row>
    <row r="2443" spans="1:40" x14ac:dyDescent="0.25">
      <c r="A2443" t="str">
        <f>"20190305134946831"</f>
        <v>20190305134946831</v>
      </c>
      <c r="B2443" t="str">
        <f>"1551764986822595"</f>
        <v>1551764986822595</v>
      </c>
      <c r="C2443" t="s">
        <v>40</v>
      </c>
      <c r="D2443">
        <v>3.7064810000000001</v>
      </c>
      <c r="E2443">
        <v>0.50110940000000004</v>
      </c>
      <c r="F2443" t="s">
        <v>76</v>
      </c>
      <c r="G2443">
        <v>-512.83669999999995</v>
      </c>
      <c r="H2443">
        <v>34.830509999999997</v>
      </c>
      <c r="I2443">
        <v>264.60169999999999</v>
      </c>
      <c r="J2443">
        <v>-326.28179999999998</v>
      </c>
      <c r="K2443">
        <v>1.1095440000000001</v>
      </c>
      <c r="L2443">
        <v>285.38819999999998</v>
      </c>
      <c r="M2443">
        <v>-0.99988440000000001</v>
      </c>
      <c r="N2443">
        <v>-1.5114570000000001E-2</v>
      </c>
      <c r="O2443">
        <v>1.6683410000000001E-3</v>
      </c>
      <c r="P2443">
        <v>-0.99425269999999999</v>
      </c>
      <c r="Q2443">
        <v>-1.8514010000000001E-2</v>
      </c>
      <c r="R2443">
        <v>-0.1054479</v>
      </c>
      <c r="S2443">
        <v>-2.9920960000000001</v>
      </c>
      <c r="T2443">
        <v>0.53989240000000005</v>
      </c>
      <c r="U2443">
        <v>-0.33279419999999998</v>
      </c>
      <c r="V2443">
        <v>-0.10710550000000001</v>
      </c>
      <c r="W2443">
        <v>-3.5236569999999999E-3</v>
      </c>
      <c r="X2443">
        <v>0.99424140000000005</v>
      </c>
      <c r="Y2443">
        <v>-0.11055719999999999</v>
      </c>
      <c r="Z2443">
        <v>9.343344E-3</v>
      </c>
      <c r="AA2443">
        <v>0.99382590000000004</v>
      </c>
      <c r="AB2443">
        <v>52</v>
      </c>
      <c r="AC2443">
        <v>-186.5549</v>
      </c>
      <c r="AD2443">
        <v>33.720965999999997</v>
      </c>
      <c r="AE2443">
        <v>-20.786499999999901</v>
      </c>
      <c r="AF2443">
        <v>-20.438160145203799</v>
      </c>
      <c r="AG2443">
        <v>33.720965999999997</v>
      </c>
      <c r="AH2443">
        <v>180.68874069201701</v>
      </c>
      <c r="AI2443">
        <v>79.494293363990593</v>
      </c>
      <c r="AJ2443">
        <v>96.453440983975696</v>
      </c>
      <c r="AK2443">
        <v>184.941187816454</v>
      </c>
      <c r="AL2443">
        <v>90.201891095794593</v>
      </c>
      <c r="AM2443">
        <v>96.148525456897005</v>
      </c>
      <c r="AN2443">
        <v>0.99999998288143099</v>
      </c>
    </row>
    <row r="2444" spans="1:40" x14ac:dyDescent="0.25">
      <c r="A2444" t="str">
        <f>"20190305134946848"</f>
        <v>20190305134946848</v>
      </c>
      <c r="B2444" t="str">
        <f>"1551764986843091"</f>
        <v>1551764986843091</v>
      </c>
      <c r="C2444" t="s">
        <v>40</v>
      </c>
      <c r="D2444">
        <v>3.9057879999999998</v>
      </c>
      <c r="E2444">
        <v>0.50101289999999998</v>
      </c>
      <c r="F2444" t="s">
        <v>76</v>
      </c>
      <c r="G2444">
        <v>-512.83669999999995</v>
      </c>
      <c r="H2444">
        <v>34.751089999999998</v>
      </c>
      <c r="I2444">
        <v>264.57310000000001</v>
      </c>
      <c r="J2444">
        <v>-326.70330000000001</v>
      </c>
      <c r="K2444">
        <v>1.1095120000000001</v>
      </c>
      <c r="L2444">
        <v>285.38889999999998</v>
      </c>
      <c r="M2444">
        <v>-0.99988449999999995</v>
      </c>
      <c r="N2444">
        <v>-1.5111619999999999E-2</v>
      </c>
      <c r="O2444">
        <v>1.6496760000000001E-3</v>
      </c>
      <c r="P2444">
        <v>-0.99420799999999998</v>
      </c>
      <c r="Q2444">
        <v>-1.8599879999999999E-2</v>
      </c>
      <c r="R2444">
        <v>-0.1058505</v>
      </c>
      <c r="S2444">
        <v>-2.9919739999999999</v>
      </c>
      <c r="T2444">
        <v>0.5395451</v>
      </c>
      <c r="U2444">
        <v>-0.33383180000000001</v>
      </c>
      <c r="V2444">
        <v>-0.10749</v>
      </c>
      <c r="W2444">
        <v>-3.6078769999999998E-3</v>
      </c>
      <c r="X2444">
        <v>0.99419959999999996</v>
      </c>
      <c r="Y2444">
        <v>-0.1108813</v>
      </c>
      <c r="Z2444">
        <v>9.3600920000000004E-3</v>
      </c>
      <c r="AA2444">
        <v>0.99378960000000005</v>
      </c>
      <c r="AB2444">
        <v>52</v>
      </c>
      <c r="AC2444">
        <v>-186.13339999999999</v>
      </c>
      <c r="AD2444">
        <v>33.641578000000003</v>
      </c>
      <c r="AE2444">
        <v>-20.8157999999999</v>
      </c>
      <c r="AF2444">
        <v>-20.462676889349002</v>
      </c>
      <c r="AG2444">
        <v>33.641578000000003</v>
      </c>
      <c r="AH2444">
        <v>180.28233429811399</v>
      </c>
      <c r="AI2444">
        <v>79.495824137563503</v>
      </c>
      <c r="AJ2444">
        <v>96.475558405025694</v>
      </c>
      <c r="AK2444">
        <v>184.53237378786699</v>
      </c>
      <c r="AL2444">
        <v>90.206716577545393</v>
      </c>
      <c r="AM2444">
        <v>96.170685617782596</v>
      </c>
      <c r="AN2444">
        <v>0.99999998075830299</v>
      </c>
    </row>
    <row r="2445" spans="1:40" x14ac:dyDescent="0.25">
      <c r="A2445" t="str">
        <f>"20190305134946867"</f>
        <v>20190305134946867</v>
      </c>
      <c r="B2445" t="str">
        <f>"1551764986863587"</f>
        <v>1551764986863587</v>
      </c>
      <c r="C2445" t="s">
        <v>40</v>
      </c>
      <c r="D2445">
        <v>3.7203040000000001</v>
      </c>
      <c r="E2445">
        <v>0.50079180000000001</v>
      </c>
      <c r="F2445" t="s">
        <v>76</v>
      </c>
      <c r="G2445">
        <v>-512.83659999999998</v>
      </c>
      <c r="H2445">
        <v>34.62086</v>
      </c>
      <c r="I2445">
        <v>264.49829999999997</v>
      </c>
      <c r="J2445">
        <v>-327.11130000000003</v>
      </c>
      <c r="K2445">
        <v>1.109486</v>
      </c>
      <c r="L2445">
        <v>285.3895</v>
      </c>
      <c r="M2445">
        <v>-0.99988449999999995</v>
      </c>
      <c r="N2445">
        <v>-1.5108770000000001E-2</v>
      </c>
      <c r="O2445">
        <v>1.637566E-3</v>
      </c>
      <c r="P2445">
        <v>-0.99407639999999997</v>
      </c>
      <c r="Q2445">
        <v>-1.990892E-2</v>
      </c>
      <c r="R2445">
        <v>-0.1068428</v>
      </c>
      <c r="S2445">
        <v>-2.9918209999999998</v>
      </c>
      <c r="T2445">
        <v>0.53864659999999998</v>
      </c>
      <c r="U2445">
        <v>-0.3357849</v>
      </c>
      <c r="V2445">
        <v>-0.1084697</v>
      </c>
      <c r="W2445">
        <v>-4.9173029999999996E-3</v>
      </c>
      <c r="X2445">
        <v>0.99408759999999996</v>
      </c>
      <c r="Y2445">
        <v>-0.11151229999999999</v>
      </c>
      <c r="Z2445">
        <v>9.3927200000000002E-3</v>
      </c>
      <c r="AA2445">
        <v>0.99371869999999995</v>
      </c>
      <c r="AB2445">
        <v>52</v>
      </c>
      <c r="AC2445">
        <v>-185.7253</v>
      </c>
      <c r="AD2445">
        <v>33.511373999999897</v>
      </c>
      <c r="AE2445">
        <v>-20.891200000000001</v>
      </c>
      <c r="AF2445">
        <v>-20.535138214618101</v>
      </c>
      <c r="AG2445">
        <v>33.511373999999897</v>
      </c>
      <c r="AH2445">
        <v>179.90682117658</v>
      </c>
      <c r="AI2445">
        <v>79.514957936982</v>
      </c>
      <c r="AJ2445">
        <v>96.511740784536897</v>
      </c>
      <c r="AK2445">
        <v>184.14985309449301</v>
      </c>
      <c r="AL2445">
        <v>90.281741842195103</v>
      </c>
      <c r="AM2445">
        <v>96.227183538683207</v>
      </c>
      <c r="AN2445">
        <v>1.00000000608032</v>
      </c>
    </row>
    <row r="2446" spans="1:40" x14ac:dyDescent="0.25">
      <c r="A2446" t="str">
        <f>"20190305134946882"</f>
        <v>20190305134946882</v>
      </c>
      <c r="B2446" t="str">
        <f>"1551764986873347"</f>
        <v>1551764986873347</v>
      </c>
      <c r="C2446" t="s">
        <v>40</v>
      </c>
      <c r="D2446">
        <v>3.9043079999999999</v>
      </c>
      <c r="E2446">
        <v>0.50079180000000001</v>
      </c>
      <c r="F2446" t="s">
        <v>76</v>
      </c>
      <c r="G2446">
        <v>-512.8365</v>
      </c>
      <c r="H2446">
        <v>34.141399999999997</v>
      </c>
      <c r="I2446">
        <v>264.21929999999998</v>
      </c>
      <c r="J2446">
        <v>-327.44349999999997</v>
      </c>
      <c r="K2446">
        <v>1.1094649999999999</v>
      </c>
      <c r="L2446">
        <v>285.39</v>
      </c>
      <c r="M2446">
        <v>-0.99988469999999996</v>
      </c>
      <c r="N2446">
        <v>-1.5106430000000001E-2</v>
      </c>
      <c r="O2446">
        <v>1.6307229999999999E-3</v>
      </c>
      <c r="P2446">
        <v>-0.99401010000000001</v>
      </c>
      <c r="Q2446">
        <v>-2.079133E-2</v>
      </c>
      <c r="R2446">
        <v>-0.1072956</v>
      </c>
      <c r="S2446">
        <v>-2.9918819999999999</v>
      </c>
      <c r="T2446">
        <v>0.53211779999999997</v>
      </c>
      <c r="U2446">
        <v>-0.3410339</v>
      </c>
      <c r="V2446">
        <v>-0.1089152</v>
      </c>
      <c r="W2446">
        <v>-5.7997730000000003E-3</v>
      </c>
      <c r="X2446">
        <v>0.99403410000000003</v>
      </c>
      <c r="Y2446">
        <v>-0.1132417</v>
      </c>
      <c r="Z2446">
        <v>9.4074039999999994E-3</v>
      </c>
      <c r="AA2446">
        <v>0.99352289999999999</v>
      </c>
      <c r="AB2446">
        <v>51</v>
      </c>
      <c r="AC2446">
        <v>-185.393</v>
      </c>
      <c r="AD2446">
        <v>33.031934999999997</v>
      </c>
      <c r="AE2446">
        <v>-21.1707</v>
      </c>
      <c r="AF2446">
        <v>-20.820580496097399</v>
      </c>
      <c r="AG2446">
        <v>33.031934999999997</v>
      </c>
      <c r="AH2446">
        <v>179.726181930965</v>
      </c>
      <c r="AI2446">
        <v>79.653497685228402</v>
      </c>
      <c r="AJ2446">
        <v>96.608038024278599</v>
      </c>
      <c r="AK2446">
        <v>183.91874774889399</v>
      </c>
      <c r="AL2446">
        <v>90.332304386313297</v>
      </c>
      <c r="AM2446">
        <v>96.252891132166695</v>
      </c>
      <c r="AN2446">
        <v>0.99999997506034999</v>
      </c>
    </row>
    <row r="2447" spans="1:40" x14ac:dyDescent="0.25">
      <c r="A2447" t="str">
        <f>"20190305134946893"</f>
        <v>20190305134946893</v>
      </c>
      <c r="B2447" t="str">
        <f>"1551764986883107"</f>
        <v>1551764986883107</v>
      </c>
      <c r="C2447" t="s">
        <v>40</v>
      </c>
      <c r="D2447">
        <v>3.898352</v>
      </c>
      <c r="E2447">
        <v>0.49842049999999999</v>
      </c>
      <c r="F2447" t="s">
        <v>76</v>
      </c>
      <c r="G2447">
        <v>-512.83640000000003</v>
      </c>
      <c r="H2447">
        <v>33.914439999999999</v>
      </c>
      <c r="I2447">
        <v>264.13470000000001</v>
      </c>
      <c r="J2447">
        <v>-327.72320000000002</v>
      </c>
      <c r="K2447">
        <v>1.109448</v>
      </c>
      <c r="L2447">
        <v>285.39049999999997</v>
      </c>
      <c r="M2447">
        <v>-0.99988469999999996</v>
      </c>
      <c r="N2447">
        <v>-1.510448E-2</v>
      </c>
      <c r="O2447">
        <v>1.6259149999999999E-3</v>
      </c>
      <c r="P2447">
        <v>-0.9939057</v>
      </c>
      <c r="Q2447">
        <v>-2.175999E-2</v>
      </c>
      <c r="R2447">
        <v>-0.1080656</v>
      </c>
      <c r="S2447">
        <v>-2.9921259999999998</v>
      </c>
      <c r="T2447">
        <v>0.529452699999999</v>
      </c>
      <c r="U2447">
        <v>-0.34304810000000002</v>
      </c>
      <c r="V2447">
        <v>-0.1096805</v>
      </c>
      <c r="W2447">
        <v>-6.7693850000000002E-3</v>
      </c>
      <c r="X2447">
        <v>0.99394389999999999</v>
      </c>
      <c r="Y2447">
        <v>-0.1138962</v>
      </c>
      <c r="Z2447">
        <v>9.4071740000000008E-3</v>
      </c>
      <c r="AA2447">
        <v>0.99344809999999995</v>
      </c>
      <c r="AB2447">
        <v>51</v>
      </c>
      <c r="AC2447">
        <v>-185.11320000000001</v>
      </c>
      <c r="AD2447">
        <v>32.804991999999999</v>
      </c>
      <c r="AE2447">
        <v>-21.255799999999901</v>
      </c>
      <c r="AF2447">
        <v>-20.908683040254399</v>
      </c>
      <c r="AG2447">
        <v>32.804991999999999</v>
      </c>
      <c r="AH2447">
        <v>179.51403711717199</v>
      </c>
      <c r="AI2447">
        <v>79.711901114662993</v>
      </c>
      <c r="AJ2447">
        <v>96.643523057039801</v>
      </c>
      <c r="AK2447">
        <v>183.68078301418299</v>
      </c>
      <c r="AL2447">
        <v>90.387860130777398</v>
      </c>
      <c r="AM2447">
        <v>96.297042636250893</v>
      </c>
      <c r="AN2447">
        <v>1.0000000565003599</v>
      </c>
    </row>
    <row r="2448" spans="1:40" x14ac:dyDescent="0.25">
      <c r="A2448" t="str">
        <f>"20190305134946906"</f>
        <v>20190305134946906</v>
      </c>
      <c r="B2448" t="str">
        <f>"1551764986902627"</f>
        <v>1551764986902627</v>
      </c>
      <c r="C2448" t="s">
        <v>40</v>
      </c>
      <c r="D2448">
        <v>3.7110560000000001</v>
      </c>
      <c r="E2448">
        <v>0.49919170000000002</v>
      </c>
      <c r="F2448" t="s">
        <v>76</v>
      </c>
      <c r="G2448">
        <v>-512.82539999999995</v>
      </c>
      <c r="H2448">
        <v>0.78131879999999998</v>
      </c>
      <c r="I2448">
        <v>264.3075</v>
      </c>
      <c r="J2448">
        <v>-328.01889999999997</v>
      </c>
      <c r="K2448">
        <v>1.109442</v>
      </c>
      <c r="L2448">
        <v>285.39100000000002</v>
      </c>
      <c r="M2448">
        <v>-0.99988469999999996</v>
      </c>
      <c r="N2448">
        <v>-1.510249E-2</v>
      </c>
      <c r="O2448">
        <v>1.62188E-3</v>
      </c>
      <c r="P2448">
        <v>-0.99380650000000004</v>
      </c>
      <c r="Q2448">
        <v>-2.2912559999999998E-2</v>
      </c>
      <c r="R2448">
        <v>-0.1087366</v>
      </c>
      <c r="S2448">
        <v>-2.9813230000000002</v>
      </c>
      <c r="T2448">
        <v>-5.2837129999999998E-3</v>
      </c>
      <c r="U2448">
        <v>-0.33956910000000001</v>
      </c>
      <c r="V2448">
        <v>-0.1103473</v>
      </c>
      <c r="W2448">
        <v>-7.9228289999999993E-3</v>
      </c>
      <c r="X2448">
        <v>0.99386149999999995</v>
      </c>
      <c r="Y2448">
        <v>-0.1147767</v>
      </c>
      <c r="Z2448">
        <v>-9.493848E-4</v>
      </c>
      <c r="AA2448">
        <v>0.99339089999999997</v>
      </c>
      <c r="AB2448">
        <v>51</v>
      </c>
      <c r="AC2448">
        <v>-184.8065</v>
      </c>
      <c r="AD2448">
        <v>-0.3281232</v>
      </c>
      <c r="AE2448">
        <v>-21.083499999999901</v>
      </c>
      <c r="AF2448">
        <v>-21.383173856851499</v>
      </c>
      <c r="AG2448">
        <v>-0.3281232</v>
      </c>
      <c r="AH2448">
        <v>184.77148308557801</v>
      </c>
      <c r="AI2448">
        <v>90.101073021338905</v>
      </c>
      <c r="AJ2448">
        <v>96.601341424722406</v>
      </c>
      <c r="AK2448">
        <v>186.004969693475</v>
      </c>
      <c r="AL2448">
        <v>90.453949417510202</v>
      </c>
      <c r="AM2448">
        <v>96.335536001550494</v>
      </c>
      <c r="AN2448">
        <v>0.99999998950945101</v>
      </c>
    </row>
    <row r="2449" spans="1:40" x14ac:dyDescent="0.25">
      <c r="A2449" t="str">
        <f>"20190305134946923"</f>
        <v>20190305134946923</v>
      </c>
      <c r="B2449" t="str">
        <f>"1551764986913363"</f>
        <v>1551764986913363</v>
      </c>
      <c r="C2449" t="s">
        <v>40</v>
      </c>
      <c r="D2449">
        <v>3.7037789999999999</v>
      </c>
      <c r="E2449">
        <v>0.49949769999999999</v>
      </c>
      <c r="F2449" t="s">
        <v>76</v>
      </c>
      <c r="G2449">
        <v>-512.83619999999996</v>
      </c>
      <c r="H2449">
        <v>33.492609999999999</v>
      </c>
      <c r="I2449">
        <v>263.08659999999998</v>
      </c>
      <c r="J2449">
        <v>-328.38170000000002</v>
      </c>
      <c r="K2449">
        <v>1.1094280000000001</v>
      </c>
      <c r="L2449">
        <v>285.39150000000001</v>
      </c>
      <c r="M2449">
        <v>-0.99988480000000002</v>
      </c>
      <c r="N2449">
        <v>-1.51001E-2</v>
      </c>
      <c r="O2449">
        <v>1.6167410000000001E-3</v>
      </c>
      <c r="P2449">
        <v>-0.99366030000000005</v>
      </c>
      <c r="Q2449">
        <v>-2.441931E-2</v>
      </c>
      <c r="R2449">
        <v>-0.1097405</v>
      </c>
      <c r="S2449">
        <v>-2.991241</v>
      </c>
      <c r="T2449">
        <v>0.52411759999999996</v>
      </c>
      <c r="U2449">
        <v>-0.36099239999999999</v>
      </c>
      <c r="V2449">
        <v>-0.11134579999999999</v>
      </c>
      <c r="W2449">
        <v>-9.4311540000000006E-3</v>
      </c>
      <c r="X2449">
        <v>0.99373699999999998</v>
      </c>
      <c r="Y2449">
        <v>-0.1197507</v>
      </c>
      <c r="Z2449">
        <v>9.765793E-3</v>
      </c>
      <c r="AA2449">
        <v>0.99275590000000002</v>
      </c>
      <c r="AB2449">
        <v>51</v>
      </c>
      <c r="AC2449">
        <v>-184.4545</v>
      </c>
      <c r="AD2449">
        <v>32.383181999999998</v>
      </c>
      <c r="AE2449">
        <v>-22.3049</v>
      </c>
      <c r="AF2449">
        <v>-21.936730775990899</v>
      </c>
      <c r="AG2449">
        <v>32.383181999999998</v>
      </c>
      <c r="AH2449">
        <v>178.98114366472601</v>
      </c>
      <c r="AI2449">
        <v>79.8189574696287</v>
      </c>
      <c r="AJ2449">
        <v>96.987577235149502</v>
      </c>
      <c r="AK2449">
        <v>183.20518666543401</v>
      </c>
      <c r="AL2449">
        <v>90.540373315129301</v>
      </c>
      <c r="AM2449">
        <v>96.393186179838096</v>
      </c>
      <c r="AN2449">
        <v>1.0000000295061999</v>
      </c>
    </row>
    <row r="2450" spans="1:40" x14ac:dyDescent="0.25">
      <c r="A2450" t="str">
        <f>"20190305134946936"</f>
        <v>20190305134946936</v>
      </c>
      <c r="B2450" t="str">
        <f>"1551764986932883"</f>
        <v>1551764986932883</v>
      </c>
      <c r="C2450" t="s">
        <v>40</v>
      </c>
      <c r="D2450">
        <v>3.8766039999999999</v>
      </c>
      <c r="E2450">
        <v>0.49965949999999998</v>
      </c>
      <c r="F2450" t="s">
        <v>76</v>
      </c>
      <c r="G2450">
        <v>-512.83619999999996</v>
      </c>
      <c r="H2450">
        <v>33.318449999999999</v>
      </c>
      <c r="I2450">
        <v>263.05169999999998</v>
      </c>
      <c r="J2450">
        <v>-328.68880000000001</v>
      </c>
      <c r="K2450">
        <v>1.1094219999999999</v>
      </c>
      <c r="L2450">
        <v>285.392</v>
      </c>
      <c r="M2450">
        <v>-0.99988480000000002</v>
      </c>
      <c r="N2450">
        <v>-1.509811E-2</v>
      </c>
      <c r="O2450">
        <v>1.6123279999999999E-3</v>
      </c>
      <c r="P2450">
        <v>-0.99359770000000003</v>
      </c>
      <c r="Q2450">
        <v>-2.4573230000000001E-2</v>
      </c>
      <c r="R2450">
        <v>-0.1102727</v>
      </c>
      <c r="S2450">
        <v>-2.9919739999999999</v>
      </c>
      <c r="T2450">
        <v>0.52245240000000004</v>
      </c>
      <c r="U2450">
        <v>-0.36236570000000001</v>
      </c>
      <c r="V2450">
        <v>-0.1118734</v>
      </c>
      <c r="W2450">
        <v>-9.5856840000000006E-3</v>
      </c>
      <c r="X2450">
        <v>0.99367620000000001</v>
      </c>
      <c r="Y2450">
        <v>-0.1201728</v>
      </c>
      <c r="Z2450">
        <v>9.7621449999999999E-3</v>
      </c>
      <c r="AA2450">
        <v>0.99270499999999995</v>
      </c>
      <c r="AB2450">
        <v>51</v>
      </c>
      <c r="AC2450">
        <v>-184.14739999999901</v>
      </c>
      <c r="AD2450">
        <v>32.209028000000004</v>
      </c>
      <c r="AE2450">
        <v>-22.340299999999999</v>
      </c>
      <c r="AF2450">
        <v>-21.9746870854182</v>
      </c>
      <c r="AG2450">
        <v>32.209028000000004</v>
      </c>
      <c r="AH2450">
        <v>178.72275228069199</v>
      </c>
      <c r="AI2450">
        <v>79.858703673731299</v>
      </c>
      <c r="AJ2450">
        <v>97.009566857759296</v>
      </c>
      <c r="AK2450">
        <v>182.92657144327799</v>
      </c>
      <c r="AL2450">
        <v>90.549227666446299</v>
      </c>
      <c r="AM2450">
        <v>96.423616742631594</v>
      </c>
      <c r="AN2450">
        <v>0.99999996670587299</v>
      </c>
    </row>
    <row r="2451" spans="1:40" x14ac:dyDescent="0.25">
      <c r="A2451" t="str">
        <f>"20190305134946948"</f>
        <v>20190305134946948</v>
      </c>
      <c r="B2451" t="str">
        <f>"1551764986942643"</f>
        <v>1551764986942643</v>
      </c>
      <c r="C2451" t="s">
        <v>40</v>
      </c>
      <c r="D2451">
        <v>3.7014939999999998</v>
      </c>
      <c r="E2451">
        <v>0.499774</v>
      </c>
      <c r="F2451" t="s">
        <v>76</v>
      </c>
      <c r="G2451">
        <v>-512.83630000000005</v>
      </c>
      <c r="H2451">
        <v>33.528209999999902</v>
      </c>
      <c r="I2451">
        <v>263.0523</v>
      </c>
      <c r="J2451">
        <v>-328.9803</v>
      </c>
      <c r="K2451">
        <v>1.109416</v>
      </c>
      <c r="L2451">
        <v>285.39240000000001</v>
      </c>
      <c r="M2451">
        <v>-0.99988480000000002</v>
      </c>
      <c r="N2451">
        <v>-1.509625E-2</v>
      </c>
      <c r="O2451">
        <v>1.608789E-3</v>
      </c>
      <c r="P2451">
        <v>-0.99355780000000005</v>
      </c>
      <c r="Q2451">
        <v>-2.452679E-2</v>
      </c>
      <c r="R2451">
        <v>-0.1106419</v>
      </c>
      <c r="S2451">
        <v>-2.992035</v>
      </c>
      <c r="T2451">
        <v>0.52674209999999999</v>
      </c>
      <c r="U2451">
        <v>-0.36297610000000002</v>
      </c>
      <c r="V2451">
        <v>-0.1122393</v>
      </c>
      <c r="W2451">
        <v>-9.5396579999999995E-3</v>
      </c>
      <c r="X2451">
        <v>0.99363539999999995</v>
      </c>
      <c r="Y2451">
        <v>-0.1203359</v>
      </c>
      <c r="Z2451">
        <v>9.8602559999999995E-3</v>
      </c>
      <c r="AA2451">
        <v>0.99268420000000002</v>
      </c>
      <c r="AB2451">
        <v>51</v>
      </c>
      <c r="AC2451">
        <v>-183.85599999999999</v>
      </c>
      <c r="AD2451">
        <v>32.418793999999899</v>
      </c>
      <c r="AE2451">
        <v>-22.3401</v>
      </c>
      <c r="AF2451">
        <v>-21.9629694963227</v>
      </c>
      <c r="AG2451">
        <v>32.418793999999899</v>
      </c>
      <c r="AH2451">
        <v>178.355213388663</v>
      </c>
      <c r="AI2451">
        <v>79.773680475004596</v>
      </c>
      <c r="AJ2451">
        <v>97.020159460692994</v>
      </c>
      <c r="AK2451">
        <v>182.60321020296001</v>
      </c>
      <c r="AL2451">
        <v>90.546590439224602</v>
      </c>
      <c r="AM2451">
        <v>96.4447121462631</v>
      </c>
      <c r="AN2451">
        <v>0.99999998683620295</v>
      </c>
    </row>
    <row r="2452" spans="1:40" x14ac:dyDescent="0.25">
      <c r="A2452" t="str">
        <f>"20190305134946961"</f>
        <v>20190305134946961</v>
      </c>
      <c r="B2452" t="str">
        <f>"1551764986953379"</f>
        <v>1551764986953379</v>
      </c>
      <c r="C2452" t="s">
        <v>40</v>
      </c>
      <c r="D2452">
        <v>3.6854619999999998</v>
      </c>
      <c r="E2452">
        <v>0.4998553</v>
      </c>
      <c r="F2452" t="s">
        <v>76</v>
      </c>
      <c r="G2452">
        <v>-512.83630000000005</v>
      </c>
      <c r="H2452">
        <v>33.589919999999999</v>
      </c>
      <c r="I2452">
        <v>263.06180000000001</v>
      </c>
      <c r="J2452">
        <v>-329.26459999999997</v>
      </c>
      <c r="K2452">
        <v>1.1094120000000001</v>
      </c>
      <c r="L2452">
        <v>285.3929</v>
      </c>
      <c r="M2452">
        <v>-0.99988480000000002</v>
      </c>
      <c r="N2452">
        <v>-1.5094170000000001E-2</v>
      </c>
      <c r="O2452">
        <v>1.6052309999999999E-3</v>
      </c>
      <c r="P2452">
        <v>-0.99356650000000002</v>
      </c>
      <c r="Q2452">
        <v>-2.3599620000000002E-2</v>
      </c>
      <c r="R2452">
        <v>-0.1107643</v>
      </c>
      <c r="S2452">
        <v>-2.992035</v>
      </c>
      <c r="T2452">
        <v>0.52858169999999904</v>
      </c>
      <c r="U2452">
        <v>-0.36340329999999998</v>
      </c>
      <c r="V2452">
        <v>-0.11235870000000001</v>
      </c>
      <c r="W2452">
        <v>-8.6127570000000004E-3</v>
      </c>
      <c r="X2452">
        <v>0.99363040000000002</v>
      </c>
      <c r="Y2452">
        <v>-0.1204581</v>
      </c>
      <c r="Z2452">
        <v>9.9062979999999991E-3</v>
      </c>
      <c r="AA2452">
        <v>0.99266900000000002</v>
      </c>
      <c r="AB2452">
        <v>51</v>
      </c>
      <c r="AC2452">
        <v>-183.57169999999999</v>
      </c>
      <c r="AD2452">
        <v>32.480508</v>
      </c>
      <c r="AE2452">
        <v>-22.3310999999999</v>
      </c>
      <c r="AF2452">
        <v>-21.948664548539</v>
      </c>
      <c r="AG2452">
        <v>32.480508</v>
      </c>
      <c r="AH2452">
        <v>178.04299508470999</v>
      </c>
      <c r="AI2452">
        <v>79.737205522383903</v>
      </c>
      <c r="AJ2452">
        <v>97.027812438534895</v>
      </c>
      <c r="AK2452">
        <v>182.30752966933801</v>
      </c>
      <c r="AL2452">
        <v>90.493480720112998</v>
      </c>
      <c r="AM2452">
        <v>96.451542439698102</v>
      </c>
      <c r="AN2452">
        <v>1.00000001442649</v>
      </c>
    </row>
    <row r="2453" spans="1:40" x14ac:dyDescent="0.25">
      <c r="A2453" t="str">
        <f>"20190305134946972"</f>
        <v>20190305134946972</v>
      </c>
      <c r="B2453" t="str">
        <f>"1551764986963140"</f>
        <v>1551764986963140</v>
      </c>
      <c r="C2453" t="s">
        <v>40</v>
      </c>
      <c r="D2453">
        <v>3.845777</v>
      </c>
      <c r="E2453">
        <v>0.4998553</v>
      </c>
      <c r="F2453" t="s">
        <v>76</v>
      </c>
      <c r="G2453">
        <v>-512.83640000000003</v>
      </c>
      <c r="H2453">
        <v>33.871459999999999</v>
      </c>
      <c r="I2453">
        <v>263.10669999999999</v>
      </c>
      <c r="J2453">
        <v>-329.53820000000002</v>
      </c>
      <c r="K2453">
        <v>1.1094170000000001</v>
      </c>
      <c r="L2453">
        <v>285.39330000000001</v>
      </c>
      <c r="M2453">
        <v>-0.99988480000000002</v>
      </c>
      <c r="N2453">
        <v>-1.509221E-2</v>
      </c>
      <c r="O2453">
        <v>1.601838E-3</v>
      </c>
      <c r="P2453">
        <v>-0.99357490000000004</v>
      </c>
      <c r="Q2453">
        <v>-2.2623629999999999E-2</v>
      </c>
      <c r="R2453">
        <v>-0.1108923</v>
      </c>
      <c r="S2453">
        <v>-2.9916079999999998</v>
      </c>
      <c r="T2453">
        <v>0.53391269999999902</v>
      </c>
      <c r="U2453">
        <v>-0.3631897</v>
      </c>
      <c r="V2453">
        <v>-0.11248320000000001</v>
      </c>
      <c r="W2453">
        <v>-7.6370880000000002E-3</v>
      </c>
      <c r="X2453">
        <v>0.99362430000000002</v>
      </c>
      <c r="Y2453">
        <v>-0.1203668</v>
      </c>
      <c r="Z2453">
        <v>1.00071E-2</v>
      </c>
      <c r="AA2453">
        <v>0.99267910000000004</v>
      </c>
      <c r="AB2453">
        <v>51</v>
      </c>
      <c r="AC2453">
        <v>-183.29820000000001</v>
      </c>
      <c r="AD2453">
        <v>32.762042999999998</v>
      </c>
      <c r="AE2453">
        <v>-22.2866</v>
      </c>
      <c r="AF2453">
        <v>-21.891060491478701</v>
      </c>
      <c r="AG2453">
        <v>32.762042999999998</v>
      </c>
      <c r="AH2453">
        <v>177.66901498691399</v>
      </c>
      <c r="AI2453">
        <v>79.628770982031796</v>
      </c>
      <c r="AJ2453">
        <v>97.024159086030707</v>
      </c>
      <c r="AK2453">
        <v>181.98584801405801</v>
      </c>
      <c r="AL2453">
        <v>90.437577154029398</v>
      </c>
      <c r="AM2453">
        <v>96.458670069645095</v>
      </c>
      <c r="AN2453">
        <v>1.00000002247292</v>
      </c>
    </row>
    <row r="2454" spans="1:40" x14ac:dyDescent="0.25">
      <c r="A2454" t="str">
        <f>"20190305134946984"</f>
        <v>20190305134946984</v>
      </c>
      <c r="B2454" t="str">
        <f>"1551764986972900"</f>
        <v>1551764986972900</v>
      </c>
      <c r="C2454" t="s">
        <v>40</v>
      </c>
      <c r="D2454">
        <v>3.6685729999999999</v>
      </c>
      <c r="E2454">
        <v>0.50001870000000004</v>
      </c>
      <c r="F2454" t="s">
        <v>76</v>
      </c>
      <c r="G2454">
        <v>-512.83640000000003</v>
      </c>
      <c r="H2454">
        <v>34.006250000000001</v>
      </c>
      <c r="I2454">
        <v>263.12130000000002</v>
      </c>
      <c r="J2454">
        <v>-329.81610000000001</v>
      </c>
      <c r="K2454">
        <v>1.109416</v>
      </c>
      <c r="L2454">
        <v>285.39370000000002</v>
      </c>
      <c r="M2454">
        <v>-0.99988500000000002</v>
      </c>
      <c r="N2454">
        <v>-1.5090360000000001E-2</v>
      </c>
      <c r="O2454">
        <v>1.5983729999999999E-3</v>
      </c>
      <c r="P2454">
        <v>-0.99361920000000004</v>
      </c>
      <c r="Q2454">
        <v>-2.1719080000000002E-2</v>
      </c>
      <c r="R2454">
        <v>-0.110679</v>
      </c>
      <c r="S2454">
        <v>-2.9910580000000002</v>
      </c>
      <c r="T2454">
        <v>0.53681080000000003</v>
      </c>
      <c r="U2454">
        <v>-0.36343379999999997</v>
      </c>
      <c r="V2454">
        <v>-0.11226650000000001</v>
      </c>
      <c r="W2454">
        <v>-6.7323469999999996E-3</v>
      </c>
      <c r="X2454">
        <v>0.99365530000000002</v>
      </c>
      <c r="Y2454">
        <v>-0.1204437</v>
      </c>
      <c r="Z2454">
        <v>1.0072869999999999E-2</v>
      </c>
      <c r="AA2454">
        <v>0.99266900000000002</v>
      </c>
      <c r="AB2454">
        <v>51</v>
      </c>
      <c r="AC2454">
        <v>-183.02029999999999</v>
      </c>
      <c r="AD2454">
        <v>32.896833999999998</v>
      </c>
      <c r="AE2454">
        <v>-22.272400000000001</v>
      </c>
      <c r="AF2454">
        <v>-21.868716276805898</v>
      </c>
      <c r="AG2454">
        <v>32.896833999999998</v>
      </c>
      <c r="AH2454">
        <v>177.33862260021701</v>
      </c>
      <c r="AI2454">
        <v>79.568186607165401</v>
      </c>
      <c r="AJ2454">
        <v>97.030003545198298</v>
      </c>
      <c r="AK2454">
        <v>181.68497324919599</v>
      </c>
      <c r="AL2454">
        <v>90.3857379935246</v>
      </c>
      <c r="AM2454">
        <v>96.446132795800906</v>
      </c>
      <c r="AN2454">
        <v>0.99999997336823299</v>
      </c>
    </row>
    <row r="2455" spans="1:40" x14ac:dyDescent="0.25">
      <c r="A2455" t="str">
        <f>"20190305134947001"</f>
        <v>20190305134947001</v>
      </c>
      <c r="B2455" t="str">
        <f>"1551764986993395"</f>
        <v>1551764986993395</v>
      </c>
      <c r="C2455" t="s">
        <v>40</v>
      </c>
      <c r="D2455">
        <v>3.6983160000000002</v>
      </c>
      <c r="E2455">
        <v>0.50059179999999903</v>
      </c>
      <c r="F2455" t="s">
        <v>76</v>
      </c>
      <c r="G2455">
        <v>-512.8365</v>
      </c>
      <c r="H2455">
        <v>34.305950000000003</v>
      </c>
      <c r="I2455">
        <v>263.2774</v>
      </c>
      <c r="J2455">
        <v>-330.17869999999999</v>
      </c>
      <c r="K2455">
        <v>1.10941</v>
      </c>
      <c r="L2455">
        <v>285.39429999999999</v>
      </c>
      <c r="M2455">
        <v>-0.99988500000000002</v>
      </c>
      <c r="N2455">
        <v>-1.508808E-2</v>
      </c>
      <c r="O2455">
        <v>1.5944479999999901E-3</v>
      </c>
      <c r="P2455">
        <v>-0.99368060000000002</v>
      </c>
      <c r="Q2455">
        <v>-2.080628E-2</v>
      </c>
      <c r="R2455">
        <v>-0.11030239999999999</v>
      </c>
      <c r="S2455">
        <v>-2.990875</v>
      </c>
      <c r="T2455">
        <v>0.54249009999999998</v>
      </c>
      <c r="U2455">
        <v>-0.36141970000000001</v>
      </c>
      <c r="V2455">
        <v>-0.1118866</v>
      </c>
      <c r="W2455">
        <v>-5.8193180000000004E-3</v>
      </c>
      <c r="X2455">
        <v>0.99370400000000003</v>
      </c>
      <c r="Y2455">
        <v>-0.11975909999999999</v>
      </c>
      <c r="Z2455">
        <v>1.0131289999999999E-2</v>
      </c>
      <c r="AA2455">
        <v>0.9927513</v>
      </c>
      <c r="AB2455">
        <v>51</v>
      </c>
      <c r="AC2455">
        <v>-182.65780000000001</v>
      </c>
      <c r="AD2455">
        <v>33.196539999999999</v>
      </c>
      <c r="AE2455">
        <v>-22.116899999999902</v>
      </c>
      <c r="AF2455">
        <v>-21.7016928986951</v>
      </c>
      <c r="AG2455">
        <v>33.196539999999999</v>
      </c>
      <c r="AH2455">
        <v>176.86485644645001</v>
      </c>
      <c r="AI2455">
        <v>79.446934369953794</v>
      </c>
      <c r="AJ2455">
        <v>96.995346611013105</v>
      </c>
      <c r="AK2455">
        <v>181.257141068881</v>
      </c>
      <c r="AL2455">
        <v>90.333424223706302</v>
      </c>
      <c r="AM2455">
        <v>96.4241901057527</v>
      </c>
      <c r="AN2455">
        <v>1.00000005766877</v>
      </c>
    </row>
    <row r="2456" spans="1:40" x14ac:dyDescent="0.25">
      <c r="A2456" t="str">
        <f>"20190305134947014"</f>
        <v>20190305134947014</v>
      </c>
      <c r="B2456" t="str">
        <f>"1551764987003155"</f>
        <v>1551764987003155</v>
      </c>
      <c r="C2456" t="s">
        <v>40</v>
      </c>
      <c r="D2456">
        <v>4.0214970000000001</v>
      </c>
      <c r="E2456">
        <v>0.50059179999999903</v>
      </c>
      <c r="F2456" t="s">
        <v>76</v>
      </c>
      <c r="G2456">
        <v>-512.83659999999998</v>
      </c>
      <c r="H2456">
        <v>34.557519999999997</v>
      </c>
      <c r="I2456">
        <v>263.70190000000002</v>
      </c>
      <c r="J2456">
        <v>-330.49889999999999</v>
      </c>
      <c r="K2456">
        <v>1.1094059999999999</v>
      </c>
      <c r="L2456">
        <v>285.39479999999998</v>
      </c>
      <c r="M2456">
        <v>-0.99988500000000002</v>
      </c>
      <c r="N2456">
        <v>-1.508615E-2</v>
      </c>
      <c r="O2456">
        <v>1.5915059999999999E-3</v>
      </c>
      <c r="P2456">
        <v>-0.99370590000000003</v>
      </c>
      <c r="Q2456">
        <v>-2.0582429999999999E-2</v>
      </c>
      <c r="R2456">
        <v>-0.1101135</v>
      </c>
      <c r="S2456">
        <v>-2.9911189999999999</v>
      </c>
      <c r="T2456">
        <v>0.54773099999999997</v>
      </c>
      <c r="U2456">
        <v>-0.355224599999999</v>
      </c>
      <c r="V2456">
        <v>-0.1116949</v>
      </c>
      <c r="W2456">
        <v>-5.5957849999999998E-3</v>
      </c>
      <c r="X2456">
        <v>0.99372680000000002</v>
      </c>
      <c r="Y2456">
        <v>-0.1177136</v>
      </c>
      <c r="Z2456">
        <v>1.0066500000000001E-2</v>
      </c>
      <c r="AA2456">
        <v>0.99299660000000001</v>
      </c>
      <c r="AB2456">
        <v>51</v>
      </c>
      <c r="AC2456">
        <v>-182.33770000000001</v>
      </c>
      <c r="AD2456">
        <v>33.448113999999997</v>
      </c>
      <c r="AE2456">
        <v>-21.692899999999899</v>
      </c>
      <c r="AF2456">
        <v>-21.277106438131099</v>
      </c>
      <c r="AG2456">
        <v>33.448113999999997</v>
      </c>
      <c r="AH2456">
        <v>176.448252984655</v>
      </c>
      <c r="AI2456">
        <v>79.341607616423701</v>
      </c>
      <c r="AJ2456">
        <v>96.875843384058697</v>
      </c>
      <c r="AK2456">
        <v>180.84655808135599</v>
      </c>
      <c r="AL2456">
        <v>90.320616534160905</v>
      </c>
      <c r="AM2456">
        <v>96.413129135407004</v>
      </c>
      <c r="AN2456">
        <v>1.000000008267</v>
      </c>
    </row>
    <row r="2457" spans="1:40" x14ac:dyDescent="0.25">
      <c r="A2457" t="str">
        <f>"20190305134947030"</f>
        <v>20190305134947030</v>
      </c>
      <c r="B2457" t="str">
        <f>"1551764987022675"</f>
        <v>1551764987022675</v>
      </c>
      <c r="C2457" t="s">
        <v>40</v>
      </c>
      <c r="D2457">
        <v>3.7164190000000001</v>
      </c>
      <c r="E2457">
        <v>0.50612849999999998</v>
      </c>
      <c r="F2457" t="s">
        <v>76</v>
      </c>
      <c r="G2457">
        <v>-512.83659999999998</v>
      </c>
      <c r="H2457">
        <v>34.541670000000003</v>
      </c>
      <c r="I2457">
        <v>263.77339999999998</v>
      </c>
      <c r="J2457">
        <v>-330.83839999999998</v>
      </c>
      <c r="K2457">
        <v>1.109405</v>
      </c>
      <c r="L2457">
        <v>285.3954</v>
      </c>
      <c r="M2457">
        <v>-0.99988509999999997</v>
      </c>
      <c r="N2457">
        <v>-1.5084149999999999E-2</v>
      </c>
      <c r="O2457">
        <v>1.588913E-3</v>
      </c>
      <c r="P2457">
        <v>-0.99376900000000001</v>
      </c>
      <c r="Q2457">
        <v>-2.0550740000000001E-2</v>
      </c>
      <c r="R2457">
        <v>-0.1095487</v>
      </c>
      <c r="S2457">
        <v>-2.9910580000000002</v>
      </c>
      <c r="T2457">
        <v>0.54842159999999995</v>
      </c>
      <c r="U2457">
        <v>-0.35467530000000003</v>
      </c>
      <c r="V2457">
        <v>-0.1111277</v>
      </c>
      <c r="W2457">
        <v>-5.5640059999999998E-3</v>
      </c>
      <c r="X2457">
        <v>0.99379059999999997</v>
      </c>
      <c r="Y2457">
        <v>-0.1175315</v>
      </c>
      <c r="Z2457">
        <v>1.006489E-2</v>
      </c>
      <c r="AA2457">
        <v>0.99301819999999996</v>
      </c>
      <c r="AB2457">
        <v>51</v>
      </c>
      <c r="AC2457">
        <v>-181.9982</v>
      </c>
      <c r="AD2457">
        <v>33.432265000000001</v>
      </c>
      <c r="AE2457">
        <v>-21.622</v>
      </c>
      <c r="AF2457">
        <v>-21.205581384958901</v>
      </c>
      <c r="AG2457">
        <v>33.432265000000001</v>
      </c>
      <c r="AH2457">
        <v>176.10385659915801</v>
      </c>
      <c r="AI2457">
        <v>79.325975248923001</v>
      </c>
      <c r="AJ2457">
        <v>96.8662238526517</v>
      </c>
      <c r="AK2457">
        <v>180.49920036942299</v>
      </c>
      <c r="AL2457">
        <v>90.318795693053502</v>
      </c>
      <c r="AM2457">
        <v>96.380425520893397</v>
      </c>
      <c r="AN2457">
        <v>1.0000000402592</v>
      </c>
    </row>
    <row r="2458" spans="1:40" x14ac:dyDescent="0.25">
      <c r="A2458" t="str">
        <f>"20190305134947042"</f>
        <v>20190305134947042</v>
      </c>
      <c r="B2458" t="str">
        <f>"1551764987033411"</f>
        <v>1551764987033411</v>
      </c>
      <c r="C2458" t="s">
        <v>40</v>
      </c>
      <c r="D2458">
        <v>3.7624360000000001</v>
      </c>
      <c r="E2458">
        <v>0.50965479999999996</v>
      </c>
      <c r="F2458" t="s">
        <v>76</v>
      </c>
      <c r="G2458">
        <v>-512.83640000000003</v>
      </c>
      <c r="H2458">
        <v>33.708240000000004</v>
      </c>
      <c r="I2458">
        <v>266.68049999999999</v>
      </c>
      <c r="J2458">
        <v>-331.13350000000003</v>
      </c>
      <c r="K2458">
        <v>1.1094010000000001</v>
      </c>
      <c r="L2458">
        <v>285.39589999999998</v>
      </c>
      <c r="M2458">
        <v>-0.99988509999999997</v>
      </c>
      <c r="N2458">
        <v>-1.5082379999999999E-2</v>
      </c>
      <c r="O2458">
        <v>1.5873129999999999E-3</v>
      </c>
      <c r="P2458">
        <v>-0.99379960000000001</v>
      </c>
      <c r="Q2458">
        <v>-2.0148449999999998E-2</v>
      </c>
      <c r="R2458">
        <v>-0.1093464</v>
      </c>
      <c r="S2458">
        <v>-2.9959720000000001</v>
      </c>
      <c r="T2458">
        <v>0.53662869999999996</v>
      </c>
      <c r="U2458">
        <v>-0.30807499999999999</v>
      </c>
      <c r="V2458">
        <v>-0.1109237</v>
      </c>
      <c r="W2458">
        <v>-5.1622329999999996E-3</v>
      </c>
      <c r="X2458">
        <v>0.99381549999999996</v>
      </c>
      <c r="Y2458">
        <v>-0.1023666</v>
      </c>
      <c r="Z2458">
        <v>8.5975240000000005E-3</v>
      </c>
      <c r="AA2458">
        <v>0.99470959999999997</v>
      </c>
      <c r="AB2458">
        <v>51</v>
      </c>
      <c r="AC2458">
        <v>-181.7029</v>
      </c>
      <c r="AD2458">
        <v>32.598838999999998</v>
      </c>
      <c r="AE2458">
        <v>-18.715399999999899</v>
      </c>
      <c r="AF2458">
        <v>-18.417255267794101</v>
      </c>
      <c r="AG2458">
        <v>32.598838999999998</v>
      </c>
      <c r="AH2458">
        <v>176.065432049912</v>
      </c>
      <c r="AI2458">
        <v>79.566039340737703</v>
      </c>
      <c r="AJ2458">
        <v>95.971684701835102</v>
      </c>
      <c r="AK2458">
        <v>180.00254431165499</v>
      </c>
      <c r="AL2458">
        <v>90.295775482779604</v>
      </c>
      <c r="AM2458">
        <v>96.368650878483805</v>
      </c>
      <c r="AN2458">
        <v>0.99999998195574202</v>
      </c>
    </row>
    <row r="2459" spans="1:40" x14ac:dyDescent="0.25">
      <c r="A2459" t="str">
        <f>"20190305134947059"</f>
        <v>20190305134947059</v>
      </c>
      <c r="B2459" t="str">
        <f>"1551764987052931"</f>
        <v>1551764987052931</v>
      </c>
      <c r="C2459" t="s">
        <v>40</v>
      </c>
      <c r="D2459">
        <v>3.7657319999999999</v>
      </c>
      <c r="E2459">
        <v>0.51462189999999997</v>
      </c>
      <c r="F2459" t="s">
        <v>76</v>
      </c>
      <c r="G2459">
        <v>-512.83630000000005</v>
      </c>
      <c r="H2459">
        <v>33.660020000000003</v>
      </c>
      <c r="I2459">
        <v>268.47680000000003</v>
      </c>
      <c r="J2459">
        <v>-331.48520000000002</v>
      </c>
      <c r="K2459">
        <v>1.1094059999999999</v>
      </c>
      <c r="L2459">
        <v>285.39640000000003</v>
      </c>
      <c r="M2459">
        <v>-0.99988500000000002</v>
      </c>
      <c r="N2459">
        <v>-1.508019E-2</v>
      </c>
      <c r="O2459">
        <v>1.5855419999999999E-3</v>
      </c>
      <c r="P2459">
        <v>-0.99382910000000002</v>
      </c>
      <c r="Q2459">
        <v>-1.945626E-2</v>
      </c>
      <c r="R2459">
        <v>-0.1092013</v>
      </c>
      <c r="S2459">
        <v>-2.9988709999999998</v>
      </c>
      <c r="T2459">
        <v>0.53722449999999999</v>
      </c>
      <c r="U2459">
        <v>-0.27923579999999998</v>
      </c>
      <c r="V2459">
        <v>-0.1107771</v>
      </c>
      <c r="W2459">
        <v>-4.4709759999999998E-3</v>
      </c>
      <c r="X2459">
        <v>0.99383520000000003</v>
      </c>
      <c r="Y2459">
        <v>-9.2921409999999996E-2</v>
      </c>
      <c r="Z2459">
        <v>7.8376069999999999E-3</v>
      </c>
      <c r="AA2459">
        <v>0.99564260000000004</v>
      </c>
      <c r="AB2459">
        <v>51</v>
      </c>
      <c r="AC2459">
        <v>-181.3511</v>
      </c>
      <c r="AD2459">
        <v>32.550614000000003</v>
      </c>
      <c r="AE2459">
        <v>-16.919599999999999</v>
      </c>
      <c r="AF2459">
        <v>-16.6745903787135</v>
      </c>
      <c r="AG2459">
        <v>32.550614000000003</v>
      </c>
      <c r="AH2459">
        <v>175.71206822432501</v>
      </c>
      <c r="AI2459">
        <v>79.550850838798993</v>
      </c>
      <c r="AJ2459">
        <v>95.420977411660004</v>
      </c>
      <c r="AK2459">
        <v>179.47789656596899</v>
      </c>
      <c r="AL2459">
        <v>90.256168913651393</v>
      </c>
      <c r="AM2459">
        <v>96.360177863799194</v>
      </c>
      <c r="AN2459">
        <v>0.99999998013492097</v>
      </c>
    </row>
    <row r="2460" spans="1:40" x14ac:dyDescent="0.25">
      <c r="A2460" t="str">
        <f>"20190305134947071"</f>
        <v>20190305134947071</v>
      </c>
      <c r="B2460" t="str">
        <f>"1551764987062692"</f>
        <v>1551764987062692</v>
      </c>
      <c r="C2460" t="s">
        <v>40</v>
      </c>
      <c r="D2460">
        <v>3.7509800000000002</v>
      </c>
      <c r="E2460">
        <v>0.51657810000000004</v>
      </c>
      <c r="F2460" t="s">
        <v>76</v>
      </c>
      <c r="G2460">
        <v>-512.83630000000005</v>
      </c>
      <c r="H2460">
        <v>33.521540000000002</v>
      </c>
      <c r="I2460">
        <v>270.9579</v>
      </c>
      <c r="J2460">
        <v>-331.79930000000002</v>
      </c>
      <c r="K2460">
        <v>1.1094090000000001</v>
      </c>
      <c r="L2460">
        <v>285.39690000000002</v>
      </c>
      <c r="M2460">
        <v>-0.99988509999999997</v>
      </c>
      <c r="N2460">
        <v>-1.507815E-2</v>
      </c>
      <c r="O2460">
        <v>1.5839350000000001E-3</v>
      </c>
      <c r="P2460">
        <v>-0.99387230000000004</v>
      </c>
      <c r="Q2460">
        <v>-1.8854329999999999E-2</v>
      </c>
      <c r="R2460">
        <v>-0.1089141</v>
      </c>
      <c r="S2460">
        <v>-3.0028380000000001</v>
      </c>
      <c r="T2460">
        <v>0.53668570000000004</v>
      </c>
      <c r="U2460">
        <v>-0.2390747</v>
      </c>
      <c r="V2460">
        <v>-0.1104884</v>
      </c>
      <c r="W2460">
        <v>-3.8697839999999998E-3</v>
      </c>
      <c r="X2460">
        <v>0.99386989999999997</v>
      </c>
      <c r="Y2460">
        <v>-7.9766740000000003E-2</v>
      </c>
      <c r="Z2460">
        <v>6.7586919999999898E-3</v>
      </c>
      <c r="AA2460">
        <v>0.99679059999999997</v>
      </c>
      <c r="AB2460">
        <v>51</v>
      </c>
      <c r="AC2460">
        <v>-181.03700000000001</v>
      </c>
      <c r="AD2460">
        <v>32.412131000000002</v>
      </c>
      <c r="AE2460">
        <v>-14.439</v>
      </c>
      <c r="AF2460">
        <v>-14.2712093393449</v>
      </c>
      <c r="AG2460">
        <v>32.412131000000002</v>
      </c>
      <c r="AH2460">
        <v>175.426349818745</v>
      </c>
      <c r="AI2460">
        <v>79.565674984318505</v>
      </c>
      <c r="AJ2460">
        <v>94.650859862275198</v>
      </c>
      <c r="AK2460">
        <v>178.96540968214299</v>
      </c>
      <c r="AL2460">
        <v>90.221722839799099</v>
      </c>
      <c r="AM2460">
        <v>96.343518011527394</v>
      </c>
      <c r="AN2460">
        <v>1.0000000199443799</v>
      </c>
    </row>
    <row r="2461" spans="1:40" x14ac:dyDescent="0.25">
      <c r="A2461" t="str">
        <f>"20190305134947082"</f>
        <v>20190305134947082</v>
      </c>
      <c r="B2461" t="str">
        <f>"1551764987073427"</f>
        <v>1551764987073427</v>
      </c>
      <c r="C2461" t="s">
        <v>40</v>
      </c>
      <c r="D2461">
        <v>3.6855509999999998</v>
      </c>
      <c r="E2461">
        <v>0.51810140000000005</v>
      </c>
      <c r="F2461" t="s">
        <v>76</v>
      </c>
      <c r="G2461">
        <v>-512.83630000000005</v>
      </c>
      <c r="H2461">
        <v>33.5852</v>
      </c>
      <c r="I2461">
        <v>271.9742</v>
      </c>
      <c r="J2461">
        <v>-332.04680000000002</v>
      </c>
      <c r="K2461">
        <v>1.10941</v>
      </c>
      <c r="L2461">
        <v>285.39729999999997</v>
      </c>
      <c r="M2461">
        <v>-0.99988509999999997</v>
      </c>
      <c r="N2461">
        <v>-1.5076529999999999E-2</v>
      </c>
      <c r="O2461">
        <v>1.5829660000000001E-3</v>
      </c>
      <c r="P2461">
        <v>-0.99390020000000001</v>
      </c>
      <c r="Q2461">
        <v>-1.8171440000000001E-2</v>
      </c>
      <c r="R2461">
        <v>-0.10877630000000001</v>
      </c>
      <c r="S2461">
        <v>-3.0042719999999998</v>
      </c>
      <c r="T2461">
        <v>0.53892969999999996</v>
      </c>
      <c r="U2461">
        <v>-0.2227478</v>
      </c>
      <c r="V2461">
        <v>-0.1103498</v>
      </c>
      <c r="W2461">
        <v>-3.1876949999999999E-3</v>
      </c>
      <c r="X2461">
        <v>0.99388770000000004</v>
      </c>
      <c r="Y2461">
        <v>-7.4409749999999997E-2</v>
      </c>
      <c r="Z2461">
        <v>6.3516049999999998E-3</v>
      </c>
      <c r="AA2461">
        <v>0.99720750000000002</v>
      </c>
      <c r="AB2461">
        <v>51</v>
      </c>
      <c r="AC2461">
        <v>-180.7895</v>
      </c>
      <c r="AD2461">
        <v>32.475790000000003</v>
      </c>
      <c r="AE2461">
        <v>-13.4230999999999</v>
      </c>
      <c r="AF2461">
        <v>-13.2830313612699</v>
      </c>
      <c r="AG2461">
        <v>32.475790000000003</v>
      </c>
      <c r="AH2461">
        <v>175.147340185302</v>
      </c>
      <c r="AI2461">
        <v>79.524937424385499</v>
      </c>
      <c r="AJ2461">
        <v>94.336963080755197</v>
      </c>
      <c r="AK2461">
        <v>178.627284120468</v>
      </c>
      <c r="AL2461">
        <v>90.182641779194498</v>
      </c>
      <c r="AM2461">
        <v>96.335512713088704</v>
      </c>
      <c r="AN2461">
        <v>0.99999999998537104</v>
      </c>
    </row>
    <row r="2462" spans="1:40" x14ac:dyDescent="0.25">
      <c r="A2462" t="str">
        <f>"20190305134947092"</f>
        <v>20190305134947092</v>
      </c>
      <c r="B2462" t="str">
        <f>"1551764987083187"</f>
        <v>1551764987083187</v>
      </c>
      <c r="C2462" t="s">
        <v>40</v>
      </c>
      <c r="D2462">
        <v>3.6938749999999998</v>
      </c>
      <c r="E2462">
        <v>0.51944920000000006</v>
      </c>
      <c r="F2462" t="s">
        <v>76</v>
      </c>
      <c r="G2462">
        <v>-512.83630000000005</v>
      </c>
      <c r="H2462">
        <v>33.534640000000003</v>
      </c>
      <c r="I2462">
        <v>272.75380000000001</v>
      </c>
      <c r="J2462">
        <v>-332.28550000000001</v>
      </c>
      <c r="K2462">
        <v>1.1094090000000001</v>
      </c>
      <c r="L2462">
        <v>285.39769999999999</v>
      </c>
      <c r="M2462">
        <v>-0.99988509999999997</v>
      </c>
      <c r="N2462">
        <v>-1.507497E-2</v>
      </c>
      <c r="O2462">
        <v>1.5819930000000001E-3</v>
      </c>
      <c r="P2462">
        <v>-0.9938979</v>
      </c>
      <c r="Q2462">
        <v>-1.7400479999999999E-2</v>
      </c>
      <c r="R2462">
        <v>-0.1089234</v>
      </c>
      <c r="S2462">
        <v>-3.00528</v>
      </c>
      <c r="T2462">
        <v>0.5390083</v>
      </c>
      <c r="U2462">
        <v>-0.21017459999999999</v>
      </c>
      <c r="V2462">
        <v>-0.1104955</v>
      </c>
      <c r="W2462">
        <v>-2.4179760000000001E-3</v>
      </c>
      <c r="X2462">
        <v>0.99387369999999997</v>
      </c>
      <c r="Y2462">
        <v>-7.0292759999999996E-2</v>
      </c>
      <c r="Z2462">
        <v>6.0167450000000004E-3</v>
      </c>
      <c r="AA2462">
        <v>0.99750830000000001</v>
      </c>
      <c r="AB2462">
        <v>51</v>
      </c>
      <c r="AC2462">
        <v>-180.55080000000001</v>
      </c>
      <c r="AD2462">
        <v>32.425230999999997</v>
      </c>
      <c r="AE2462">
        <v>-12.643899999999901</v>
      </c>
      <c r="AF2462">
        <v>-12.5274725961794</v>
      </c>
      <c r="AG2462">
        <v>32.425230999999997</v>
      </c>
      <c r="AH2462">
        <v>174.91655380045401</v>
      </c>
      <c r="AI2462">
        <v>79.524221189239</v>
      </c>
      <c r="AJ2462">
        <v>94.0965123891297</v>
      </c>
      <c r="AK2462">
        <v>178.33713569663101</v>
      </c>
      <c r="AL2462">
        <v>90.138539952429198</v>
      </c>
      <c r="AM2462">
        <v>96.343898265809699</v>
      </c>
      <c r="AN2462">
        <v>1.0000000168399299</v>
      </c>
    </row>
    <row r="2463" spans="1:40" x14ac:dyDescent="0.25">
      <c r="A2463" t="str">
        <f>"20190305134947111"</f>
        <v>20190305134947111</v>
      </c>
      <c r="B2463" t="str">
        <f>"1551764987102707"</f>
        <v>1551764987102707</v>
      </c>
      <c r="C2463" t="s">
        <v>40</v>
      </c>
      <c r="D2463">
        <v>3.7110970000000001</v>
      </c>
      <c r="E2463">
        <v>0.52169540000000003</v>
      </c>
      <c r="F2463" t="s">
        <v>76</v>
      </c>
      <c r="G2463">
        <v>-512.83619999999996</v>
      </c>
      <c r="H2463">
        <v>33.493789999999997</v>
      </c>
      <c r="I2463">
        <v>273.36739999999998</v>
      </c>
      <c r="J2463">
        <v>-332.71350000000001</v>
      </c>
      <c r="K2463">
        <v>1.1094170000000001</v>
      </c>
      <c r="L2463">
        <v>285.39839999999998</v>
      </c>
      <c r="M2463">
        <v>-0.99988520000000003</v>
      </c>
      <c r="N2463">
        <v>-1.5072210000000001E-2</v>
      </c>
      <c r="O2463">
        <v>1.5805089999999999E-3</v>
      </c>
      <c r="P2463">
        <v>-0.99401969999999995</v>
      </c>
      <c r="Q2463">
        <v>-1.6654410000000001E-2</v>
      </c>
      <c r="R2463">
        <v>-0.1079256</v>
      </c>
      <c r="S2463">
        <v>-3.00589</v>
      </c>
      <c r="T2463">
        <v>0.53915019999999902</v>
      </c>
      <c r="U2463">
        <v>-0.20028689999999999</v>
      </c>
      <c r="V2463">
        <v>-0.109497</v>
      </c>
      <c r="W2463">
        <v>-1.6722340000000001E-3</v>
      </c>
      <c r="X2463">
        <v>0.99398569999999997</v>
      </c>
      <c r="Y2463">
        <v>-6.705738E-2</v>
      </c>
      <c r="Z2463">
        <v>5.7547559999999998E-3</v>
      </c>
      <c r="AA2463">
        <v>0.99773250000000002</v>
      </c>
      <c r="AB2463">
        <v>51</v>
      </c>
      <c r="AC2463">
        <v>-180.12269999999901</v>
      </c>
      <c r="AD2463">
        <v>32.384372999999997</v>
      </c>
      <c r="AE2463">
        <v>-12.031000000000001</v>
      </c>
      <c r="AF2463">
        <v>-11.931726779537099</v>
      </c>
      <c r="AG2463">
        <v>32.384372999999997</v>
      </c>
      <c r="AH2463">
        <v>174.488234731533</v>
      </c>
      <c r="AI2463">
        <v>79.509701845638403</v>
      </c>
      <c r="AJ2463">
        <v>93.911868354827206</v>
      </c>
      <c r="AK2463">
        <v>177.86865316370699</v>
      </c>
      <c r="AL2463">
        <v>90.095811997072204</v>
      </c>
      <c r="AM2463">
        <v>96.286329592276303</v>
      </c>
      <c r="AN2463">
        <v>0.99999998059002004</v>
      </c>
    </row>
    <row r="2464" spans="1:40" x14ac:dyDescent="0.25">
      <c r="A2464" t="str">
        <f>"20190305134947123"</f>
        <v>20190305134947123</v>
      </c>
      <c r="B2464" t="str">
        <f>"1551764987113443"</f>
        <v>1551764987113443</v>
      </c>
      <c r="C2464" t="s">
        <v>40</v>
      </c>
      <c r="D2464">
        <v>3.9156819999999999</v>
      </c>
      <c r="E2464">
        <v>0.52169540000000003</v>
      </c>
      <c r="F2464" t="s">
        <v>76</v>
      </c>
      <c r="G2464">
        <v>-512.83619999999996</v>
      </c>
      <c r="H2464">
        <v>33.344209999999997</v>
      </c>
      <c r="I2464">
        <v>274.6626</v>
      </c>
      <c r="J2464">
        <v>-332.98520000000002</v>
      </c>
      <c r="K2464">
        <v>1.1094189999999999</v>
      </c>
      <c r="L2464">
        <v>285.39879999999999</v>
      </c>
      <c r="M2464">
        <v>-0.99988529999999998</v>
      </c>
      <c r="N2464">
        <v>-1.5070460000000001E-2</v>
      </c>
      <c r="O2464">
        <v>1.5795329999999999E-3</v>
      </c>
      <c r="P2464">
        <v>-0.99410980000000004</v>
      </c>
      <c r="Q2464">
        <v>-1.6236839999999999E-2</v>
      </c>
      <c r="R2464">
        <v>-0.1071559</v>
      </c>
      <c r="S2464">
        <v>-3.0075989999999999</v>
      </c>
      <c r="T2464">
        <v>0.53824110000000003</v>
      </c>
      <c r="U2464">
        <v>-0.17926029999999901</v>
      </c>
      <c r="V2464">
        <v>-0.1087259</v>
      </c>
      <c r="W2464">
        <v>-1.2547350000000001E-3</v>
      </c>
      <c r="X2464">
        <v>0.99407089999999998</v>
      </c>
      <c r="Y2464">
        <v>-6.0173310000000001E-2</v>
      </c>
      <c r="Z2464">
        <v>5.1839449999999997E-3</v>
      </c>
      <c r="AA2464">
        <v>0.99817449999999996</v>
      </c>
      <c r="AB2464">
        <v>51</v>
      </c>
      <c r="AC2464">
        <v>-179.850999999999</v>
      </c>
      <c r="AD2464">
        <v>32.234790999999902</v>
      </c>
      <c r="AE2464">
        <v>-10.736199999999901</v>
      </c>
      <c r="AF2464">
        <v>-10.678486217288899</v>
      </c>
      <c r="AG2464">
        <v>32.234790999999902</v>
      </c>
      <c r="AH2464">
        <v>174.25596580340701</v>
      </c>
      <c r="AI2464">
        <v>79.538786233776193</v>
      </c>
      <c r="AJ2464">
        <v>93.506726670167296</v>
      </c>
      <c r="AK2464">
        <v>177.533809278078</v>
      </c>
      <c r="AL2464">
        <v>90.071891044165895</v>
      </c>
      <c r="AM2464">
        <v>96.241879906736003</v>
      </c>
      <c r="AN2464">
        <v>0.99999992495876699</v>
      </c>
    </row>
    <row r="2465" spans="1:40" x14ac:dyDescent="0.25">
      <c r="A2465" t="str">
        <f>"20190305134947133"</f>
        <v>20190305134947133</v>
      </c>
      <c r="B2465" t="str">
        <f>"1551764987123203"</f>
        <v>1551764987123203</v>
      </c>
      <c r="C2465" t="s">
        <v>40</v>
      </c>
      <c r="D2465">
        <v>3.9426920000000001</v>
      </c>
      <c r="E2465">
        <v>0.53522760000000003</v>
      </c>
      <c r="F2465" t="s">
        <v>76</v>
      </c>
      <c r="G2465">
        <v>-512.83619999999996</v>
      </c>
      <c r="H2465">
        <v>33.364980000000003</v>
      </c>
      <c r="I2465">
        <v>274.83229999999998</v>
      </c>
      <c r="J2465">
        <v>-333.21109999999999</v>
      </c>
      <c r="K2465">
        <v>1.109421</v>
      </c>
      <c r="L2465">
        <v>285.39920000000001</v>
      </c>
      <c r="M2465">
        <v>-0.99988529999999998</v>
      </c>
      <c r="N2465">
        <v>-1.5069000000000001E-2</v>
      </c>
      <c r="O2465">
        <v>1.5789070000000001E-3</v>
      </c>
      <c r="P2465">
        <v>-0.99417979999999995</v>
      </c>
      <c r="Q2465">
        <v>-1.5656730000000001E-2</v>
      </c>
      <c r="R2465">
        <v>-0.10659159999999999</v>
      </c>
      <c r="S2465">
        <v>-3.0075379999999998</v>
      </c>
      <c r="T2465">
        <v>0.53939029999999999</v>
      </c>
      <c r="U2465">
        <v>-0.17669679999999999</v>
      </c>
      <c r="V2465">
        <v>-0.10816099999999999</v>
      </c>
      <c r="W2465">
        <v>-6.7481129999999998E-4</v>
      </c>
      <c r="X2465">
        <v>0.99413320000000005</v>
      </c>
      <c r="Y2465">
        <v>-5.9334169999999999E-2</v>
      </c>
      <c r="Z2465">
        <v>5.1277049999999998E-3</v>
      </c>
      <c r="AA2465">
        <v>0.99822500000000003</v>
      </c>
      <c r="AB2465">
        <v>51</v>
      </c>
      <c r="AC2465">
        <v>-179.62509999999901</v>
      </c>
      <c r="AD2465">
        <v>32.255558999999998</v>
      </c>
      <c r="AE2465">
        <v>-10.5669</v>
      </c>
      <c r="AF2465">
        <v>-10.5127072576448</v>
      </c>
      <c r="AG2465">
        <v>32.255558999999998</v>
      </c>
      <c r="AH2465">
        <v>174.01622450991701</v>
      </c>
      <c r="AI2465">
        <v>79.517553772021202</v>
      </c>
      <c r="AJ2465">
        <v>93.457163794588098</v>
      </c>
      <c r="AK2465">
        <v>177.29237009238</v>
      </c>
      <c r="AL2465">
        <v>90.038663840910601</v>
      </c>
      <c r="AM2465">
        <v>96.2093172883894</v>
      </c>
      <c r="AN2465">
        <v>1.00000003831676</v>
      </c>
    </row>
    <row r="2466" spans="1:40" x14ac:dyDescent="0.25">
      <c r="A2466" t="str">
        <f>"20190305134947145"</f>
        <v>20190305134947145</v>
      </c>
      <c r="B2466" t="str">
        <f>"1551764987132964"</f>
        <v>1551764987132964</v>
      </c>
      <c r="C2466" t="s">
        <v>40</v>
      </c>
      <c r="D2466">
        <v>3.6273759999999999</v>
      </c>
      <c r="E2466">
        <v>0.53522760000000003</v>
      </c>
      <c r="F2466" t="s">
        <v>74</v>
      </c>
      <c r="G2466">
        <v>-382.18579999999997</v>
      </c>
      <c r="H2466" s="1">
        <v>-3.7361729999999998E-7</v>
      </c>
      <c r="I2466">
        <v>284.76319999999998</v>
      </c>
      <c r="J2466">
        <v>-333.47590000000002</v>
      </c>
      <c r="K2466">
        <v>1.1094189999999999</v>
      </c>
      <c r="L2466">
        <v>285.3997</v>
      </c>
      <c r="M2466">
        <v>-0.99988540000000004</v>
      </c>
      <c r="N2466">
        <v>-1.5067280000000001E-2</v>
      </c>
      <c r="O2466">
        <v>1.578105E-3</v>
      </c>
      <c r="P2466">
        <v>-0.99426510000000001</v>
      </c>
      <c r="Q2466">
        <v>-1.507053E-2</v>
      </c>
      <c r="R2466">
        <v>-0.105878399999999</v>
      </c>
      <c r="S2466">
        <v>-3.0122990000000001</v>
      </c>
      <c r="T2466">
        <v>-6.8237419999999993E-2</v>
      </c>
      <c r="U2466">
        <v>-3.9123539999999998E-2</v>
      </c>
      <c r="V2466">
        <v>-0.1074475</v>
      </c>
      <c r="W2466" s="1">
        <v>-8.8815110000000004E-5</v>
      </c>
      <c r="X2466">
        <v>0.99421079999999995</v>
      </c>
      <c r="Y2466">
        <v>-1.4558710000000001E-2</v>
      </c>
      <c r="Z2466">
        <v>-2.865508E-4</v>
      </c>
      <c r="AA2466">
        <v>0.99989399999999995</v>
      </c>
      <c r="AB2466">
        <v>51</v>
      </c>
      <c r="AC2466">
        <v>-48.709899999999898</v>
      </c>
      <c r="AD2466">
        <v>-1.1094193736172999</v>
      </c>
      <c r="AE2466">
        <v>-0.63650000000001195</v>
      </c>
      <c r="AF2466">
        <v>-0.71300744993169596</v>
      </c>
      <c r="AG2466">
        <v>-1.1094193736172999</v>
      </c>
      <c r="AH2466">
        <v>48.683584520226198</v>
      </c>
      <c r="AI2466">
        <v>91.305311346871605</v>
      </c>
      <c r="AJ2466">
        <v>90.839079486623902</v>
      </c>
      <c r="AK2466">
        <v>48.701443435572003</v>
      </c>
      <c r="AL2466">
        <v>90.005088730742798</v>
      </c>
      <c r="AM2466">
        <v>96.168195677680998</v>
      </c>
      <c r="AN2466">
        <v>1.0000000439904999</v>
      </c>
    </row>
    <row r="2467" spans="1:40" x14ac:dyDescent="0.25">
      <c r="A2467" t="str">
        <f>"20190305134947157"</f>
        <v>20190305134947157</v>
      </c>
      <c r="B2467" t="str">
        <f>"1551764987152819"</f>
        <v>1551764987152819</v>
      </c>
      <c r="C2467" t="s">
        <v>40</v>
      </c>
      <c r="D2467">
        <v>3.7160470000000001</v>
      </c>
      <c r="E2467">
        <v>0.53679449999999995</v>
      </c>
      <c r="F2467" t="s">
        <v>74</v>
      </c>
      <c r="G2467">
        <v>-383.78530000000001</v>
      </c>
      <c r="H2467" s="1">
        <v>4.7754090000000001E-7</v>
      </c>
      <c r="I2467">
        <v>284.78140000000002</v>
      </c>
      <c r="J2467">
        <v>-333.73509999999999</v>
      </c>
      <c r="K2467">
        <v>1.109418</v>
      </c>
      <c r="L2467">
        <v>285.40010000000001</v>
      </c>
      <c r="M2467">
        <v>-0.99988540000000004</v>
      </c>
      <c r="N2467">
        <v>-1.506561E-2</v>
      </c>
      <c r="O2467">
        <v>1.5773E-3</v>
      </c>
      <c r="P2467">
        <v>-0.99430660000000004</v>
      </c>
      <c r="Q2467">
        <v>-1.492663E-2</v>
      </c>
      <c r="R2467">
        <v>-0.1055088</v>
      </c>
      <c r="S2467">
        <v>-3.0123600000000001</v>
      </c>
      <c r="T2467">
        <v>-6.6428299999999996E-2</v>
      </c>
      <c r="U2467">
        <v>-3.701782E-2</v>
      </c>
      <c r="V2467">
        <v>-0.1070773</v>
      </c>
      <c r="W2467" s="1">
        <v>5.4273059999999998E-5</v>
      </c>
      <c r="X2467">
        <v>0.99425070000000004</v>
      </c>
      <c r="Y2467">
        <v>-1.3859349999999999E-2</v>
      </c>
      <c r="Z2467">
        <v>-2.6823389999999997E-4</v>
      </c>
      <c r="AA2467">
        <v>0.99990389999999996</v>
      </c>
      <c r="AB2467">
        <v>51</v>
      </c>
      <c r="AC2467">
        <v>-50.050199999999997</v>
      </c>
      <c r="AD2467">
        <v>-1.1094175224591001</v>
      </c>
      <c r="AE2467">
        <v>-0.61869999999998904</v>
      </c>
      <c r="AF2467">
        <v>-0.69730979954500805</v>
      </c>
      <c r="AG2467">
        <v>-1.1094175224591001</v>
      </c>
      <c r="AH2467">
        <v>50.024586625473802</v>
      </c>
      <c r="AI2467">
        <v>91.270342371809704</v>
      </c>
      <c r="AJ2467">
        <v>90.798613718515</v>
      </c>
      <c r="AK2467">
        <v>50.041745725396297</v>
      </c>
      <c r="AL2467">
        <v>89.996890382727798</v>
      </c>
      <c r="AM2467">
        <v>96.146861938721003</v>
      </c>
      <c r="AN2467">
        <v>1.0000000027856699</v>
      </c>
    </row>
    <row r="2468" spans="1:40" x14ac:dyDescent="0.25">
      <c r="A2468" t="str">
        <f>"20190305134947167"</f>
        <v>20190305134947167</v>
      </c>
      <c r="B2468" t="str">
        <f>"1551764987162578"</f>
        <v>1551764987162578</v>
      </c>
      <c r="C2468" t="s">
        <v>40</v>
      </c>
      <c r="D2468">
        <v>3.7118760000000002</v>
      </c>
      <c r="E2468">
        <v>0.53698109999999999</v>
      </c>
      <c r="F2468" t="s">
        <v>47</v>
      </c>
      <c r="G2468">
        <v>0</v>
      </c>
      <c r="H2468">
        <v>0</v>
      </c>
      <c r="I2468">
        <v>0</v>
      </c>
      <c r="J2468">
        <v>-333.9862</v>
      </c>
      <c r="K2468">
        <v>1.1094189999999999</v>
      </c>
      <c r="L2468">
        <v>285.40050000000002</v>
      </c>
      <c r="M2468">
        <v>-0.99988529999999998</v>
      </c>
      <c r="N2468">
        <v>-1.5063979999999999E-2</v>
      </c>
      <c r="O2468">
        <v>1.5767909999999999E-3</v>
      </c>
      <c r="P2468">
        <v>-0.99433740000000004</v>
      </c>
      <c r="Q2468">
        <v>-1.5416040000000001E-2</v>
      </c>
      <c r="R2468">
        <v>-0.1051453</v>
      </c>
      <c r="S2468">
        <v>-3.0191349999999999</v>
      </c>
      <c r="T2468">
        <v>0.47632600000000003</v>
      </c>
      <c r="U2468">
        <v>-4.8858640000000002E-2</v>
      </c>
      <c r="V2468">
        <v>-0.10671319999999999</v>
      </c>
      <c r="W2468">
        <v>-4.3602289999999998E-4</v>
      </c>
      <c r="X2468">
        <v>0.9942898</v>
      </c>
      <c r="Y2468">
        <v>-1.7538310000000001E-2</v>
      </c>
      <c r="Z2468">
        <v>1.512879E-3</v>
      </c>
      <c r="AA2468">
        <v>0.99984499999999998</v>
      </c>
      <c r="AB2468">
        <v>51</v>
      </c>
      <c r="AC2468">
        <v>-3.0191349999999999</v>
      </c>
      <c r="AD2468">
        <v>0.47632600000000003</v>
      </c>
      <c r="AE2468">
        <v>-4.8858640000000002E-2</v>
      </c>
      <c r="AF2468">
        <v>-5.23177604074197E-2</v>
      </c>
      <c r="AG2468">
        <v>0.47632600000000003</v>
      </c>
      <c r="AH2468">
        <v>2.9457505218183702</v>
      </c>
      <c r="AI2468">
        <v>80.816235666663701</v>
      </c>
      <c r="AJ2468">
        <v>91.017490016089496</v>
      </c>
      <c r="AK2468">
        <v>2.9844714344626002</v>
      </c>
      <c r="AL2468">
        <v>90.0249822714391</v>
      </c>
      <c r="AM2468">
        <v>96.125880600934195</v>
      </c>
      <c r="AN2468">
        <v>1.0000000517771199</v>
      </c>
    </row>
    <row r="2469" spans="1:40" x14ac:dyDescent="0.25">
      <c r="A2469" t="str">
        <f>"20190305134947180"</f>
        <v>20190305134947180</v>
      </c>
      <c r="B2469" t="str">
        <f>"1551764987173314"</f>
        <v>1551764987173314</v>
      </c>
      <c r="C2469" t="s">
        <v>40</v>
      </c>
      <c r="D2469">
        <v>3.9157500000000001</v>
      </c>
      <c r="E2469">
        <v>0.53698109999999999</v>
      </c>
      <c r="F2469" t="s">
        <v>47</v>
      </c>
      <c r="G2469">
        <v>0</v>
      </c>
      <c r="H2469">
        <v>0</v>
      </c>
      <c r="I2469">
        <v>0</v>
      </c>
      <c r="J2469">
        <v>-334.2577</v>
      </c>
      <c r="K2469">
        <v>1.109416</v>
      </c>
      <c r="L2469">
        <v>285.40089999999998</v>
      </c>
      <c r="M2469">
        <v>-0.99988529999999998</v>
      </c>
      <c r="N2469">
        <v>-1.5062209999999999E-2</v>
      </c>
      <c r="O2469">
        <v>1.57616299999999E-3</v>
      </c>
      <c r="P2469">
        <v>-0.99437589999999998</v>
      </c>
      <c r="Q2469">
        <v>-1.6283280000000001E-2</v>
      </c>
      <c r="R2469">
        <v>-0.1046507</v>
      </c>
      <c r="S2469">
        <v>-3.0196230000000002</v>
      </c>
      <c r="T2469">
        <v>0.48075269999999998</v>
      </c>
      <c r="U2469">
        <v>-4.6630860000000003E-2</v>
      </c>
      <c r="V2469">
        <v>-0.1062181</v>
      </c>
      <c r="W2469">
        <v>-1.3041400000000001E-3</v>
      </c>
      <c r="X2469">
        <v>0.99434199999999995</v>
      </c>
      <c r="Y2469">
        <v>-1.6801819999999999E-2</v>
      </c>
      <c r="Z2469">
        <v>1.474724E-3</v>
      </c>
      <c r="AA2469">
        <v>0.99985769999999996</v>
      </c>
      <c r="AB2469">
        <v>51</v>
      </c>
      <c r="AC2469">
        <v>-3.0196230000000002</v>
      </c>
      <c r="AD2469">
        <v>0.48075269999999998</v>
      </c>
      <c r="AE2469">
        <v>-4.6630860000000003E-2</v>
      </c>
      <c r="AF2469">
        <v>-5.0120622156643299E-2</v>
      </c>
      <c r="AG2469">
        <v>0.48075269999999998</v>
      </c>
      <c r="AH2469">
        <v>2.9449167660006199</v>
      </c>
      <c r="AI2469">
        <v>80.729665673850107</v>
      </c>
      <c r="AJ2469">
        <v>90.975043820022904</v>
      </c>
      <c r="AK2469">
        <v>2.9843206922169401</v>
      </c>
      <c r="AL2469">
        <v>90.074721739130595</v>
      </c>
      <c r="AM2469">
        <v>96.097356253777605</v>
      </c>
      <c r="AN2469">
        <v>0.99999999925637395</v>
      </c>
    </row>
    <row r="2470" spans="1:40" x14ac:dyDescent="0.25">
      <c r="A2470" t="str">
        <f>"20190305134947190"</f>
        <v>20190305134947190</v>
      </c>
      <c r="B2470" t="str">
        <f>"1551764987183075"</f>
        <v>1551764987183075</v>
      </c>
      <c r="C2470" t="s">
        <v>40</v>
      </c>
      <c r="D2470">
        <v>3.568403</v>
      </c>
      <c r="E2470">
        <v>0.53700539999999997</v>
      </c>
      <c r="F2470" t="s">
        <v>47</v>
      </c>
      <c r="G2470">
        <v>0</v>
      </c>
      <c r="H2470">
        <v>0</v>
      </c>
      <c r="I2470">
        <v>0</v>
      </c>
      <c r="J2470">
        <v>-334.50639999999999</v>
      </c>
      <c r="K2470">
        <v>1.1094139999999999</v>
      </c>
      <c r="L2470">
        <v>285.40129999999999</v>
      </c>
      <c r="M2470">
        <v>-0.99988549999999998</v>
      </c>
      <c r="N2470">
        <v>-1.506058E-2</v>
      </c>
      <c r="O2470">
        <v>1.5755319999999999E-3</v>
      </c>
      <c r="P2470">
        <v>-0.99440249999999997</v>
      </c>
      <c r="Q2470">
        <v>-1.674757E-2</v>
      </c>
      <c r="R2470">
        <v>-0.10432520000000001</v>
      </c>
      <c r="S2470">
        <v>-3.0200200000000001</v>
      </c>
      <c r="T2470">
        <v>0.47797050000000002</v>
      </c>
      <c r="U2470">
        <v>-4.5043949999999999E-2</v>
      </c>
      <c r="V2470">
        <v>-0.10589179999999999</v>
      </c>
      <c r="W2470">
        <v>-1.76942299999999E-3</v>
      </c>
      <c r="X2470">
        <v>0.99437609999999999</v>
      </c>
      <c r="Y2470">
        <v>-1.6282359999999999E-2</v>
      </c>
      <c r="Z2470">
        <v>1.4285019999999999E-3</v>
      </c>
      <c r="AA2470">
        <v>0.99986640000000004</v>
      </c>
      <c r="AB2470">
        <v>51</v>
      </c>
      <c r="AC2470">
        <v>-3.0200200000000001</v>
      </c>
      <c r="AD2470">
        <v>0.47797050000000002</v>
      </c>
      <c r="AE2470">
        <v>-4.5043949999999999E-2</v>
      </c>
      <c r="AF2470">
        <v>-4.8585837215405499E-2</v>
      </c>
      <c r="AG2470">
        <v>0.47797050000000002</v>
      </c>
      <c r="AH2470">
        <v>2.9461645452618299</v>
      </c>
      <c r="AI2470">
        <v>80.786148029624499</v>
      </c>
      <c r="AJ2470">
        <v>90.944791459310196</v>
      </c>
      <c r="AK2470">
        <v>2.9850798833877201</v>
      </c>
      <c r="AL2470">
        <v>90.101380521331507</v>
      </c>
      <c r="AM2470">
        <v>96.078558847796998</v>
      </c>
      <c r="AN2470">
        <v>1.0000000162081</v>
      </c>
    </row>
    <row r="2471" spans="1:40" x14ac:dyDescent="0.25">
      <c r="A2471" t="str">
        <f>"20190305134947200"</f>
        <v>20190305134947200</v>
      </c>
      <c r="B2471" t="str">
        <f>"1551764987192836"</f>
        <v>1551764987192836</v>
      </c>
      <c r="C2471" t="s">
        <v>40</v>
      </c>
      <c r="D2471">
        <v>3.8058399999999999</v>
      </c>
      <c r="E2471">
        <v>0.53700539999999997</v>
      </c>
      <c r="F2471" t="s">
        <v>47</v>
      </c>
      <c r="G2471">
        <v>0</v>
      </c>
      <c r="H2471">
        <v>0</v>
      </c>
      <c r="I2471">
        <v>0</v>
      </c>
      <c r="J2471">
        <v>-334.74970000000002</v>
      </c>
      <c r="K2471">
        <v>1.109415</v>
      </c>
      <c r="L2471">
        <v>285.40170000000001</v>
      </c>
      <c r="M2471">
        <v>-0.99988540000000004</v>
      </c>
      <c r="N2471">
        <v>-1.505897E-2</v>
      </c>
      <c r="O2471">
        <v>1.574841E-3</v>
      </c>
      <c r="P2471">
        <v>-0.9944752</v>
      </c>
      <c r="Q2471">
        <v>-1.750297E-2</v>
      </c>
      <c r="R2471">
        <v>-0.10350380000000001</v>
      </c>
      <c r="S2471">
        <v>-3.0201720000000001</v>
      </c>
      <c r="T2471">
        <v>0.46056079999999999</v>
      </c>
      <c r="U2471">
        <v>-4.263306E-2</v>
      </c>
      <c r="V2471">
        <v>-0.10506989999999899</v>
      </c>
      <c r="W2471">
        <v>-2.5250590000000001E-3</v>
      </c>
      <c r="X2471">
        <v>0.9944617</v>
      </c>
      <c r="Y2471">
        <v>-1.5506239999999999E-2</v>
      </c>
      <c r="Z2471">
        <v>1.3204180000000001E-3</v>
      </c>
      <c r="AA2471">
        <v>0.99987890000000001</v>
      </c>
      <c r="AB2471">
        <v>51</v>
      </c>
      <c r="AC2471">
        <v>-3.0201720000000001</v>
      </c>
      <c r="AD2471">
        <v>0.46056079999999999</v>
      </c>
      <c r="AE2471">
        <v>-4.263306E-2</v>
      </c>
      <c r="AF2471">
        <v>-4.6313055772697703E-2</v>
      </c>
      <c r="AG2471">
        <v>0.46056079999999999</v>
      </c>
      <c r="AH2471">
        <v>2.9514790444816601</v>
      </c>
      <c r="AI2471">
        <v>81.131933322309493</v>
      </c>
      <c r="AJ2471">
        <v>90.898981438507803</v>
      </c>
      <c r="AK2471">
        <v>2.9875558069508998</v>
      </c>
      <c r="AL2471">
        <v>90.144675367871301</v>
      </c>
      <c r="AM2471">
        <v>96.031212709092998</v>
      </c>
      <c r="AN2471">
        <v>1.00000006628792</v>
      </c>
    </row>
    <row r="2472" spans="1:40" x14ac:dyDescent="0.25">
      <c r="A2472" t="str">
        <f>"20190305134947212"</f>
        <v>20190305134947212</v>
      </c>
      <c r="B2472" t="str">
        <f>"1551764987202594"</f>
        <v>1551764987202594</v>
      </c>
      <c r="C2472" t="s">
        <v>40</v>
      </c>
      <c r="D2472">
        <v>3.9004560000000001</v>
      </c>
      <c r="E2472">
        <v>0.53268359999999904</v>
      </c>
      <c r="F2472" t="s">
        <v>47</v>
      </c>
      <c r="G2472">
        <v>0</v>
      </c>
      <c r="H2472">
        <v>0</v>
      </c>
      <c r="I2472">
        <v>0</v>
      </c>
      <c r="J2472">
        <v>-335.00009999999997</v>
      </c>
      <c r="K2472">
        <v>1.109416</v>
      </c>
      <c r="L2472">
        <v>285.40210000000002</v>
      </c>
      <c r="M2472">
        <v>-0.99988529999999998</v>
      </c>
      <c r="N2472">
        <v>-1.5057310000000001E-2</v>
      </c>
      <c r="O2472">
        <v>1.5742110000000001E-3</v>
      </c>
      <c r="P2472">
        <v>-0.99458769999999996</v>
      </c>
      <c r="Q2472">
        <v>-1.8213469999999999E-2</v>
      </c>
      <c r="R2472">
        <v>-0.1022904</v>
      </c>
      <c r="S2472">
        <v>-3.0205690000000001</v>
      </c>
      <c r="T2472">
        <v>0.45796589999999998</v>
      </c>
      <c r="U2472">
        <v>-4.0008540000000002E-2</v>
      </c>
      <c r="V2472">
        <v>-0.10385610000000001</v>
      </c>
      <c r="W2472">
        <v>-3.2352549999999998E-3</v>
      </c>
      <c r="X2472">
        <v>0.99458709999999995</v>
      </c>
      <c r="Y2472">
        <v>-1.464615E-2</v>
      </c>
      <c r="Z2472">
        <v>1.253962E-3</v>
      </c>
      <c r="AA2472">
        <v>0.99989189999999994</v>
      </c>
      <c r="AB2472">
        <v>51</v>
      </c>
      <c r="AC2472">
        <v>-3.0205690000000001</v>
      </c>
      <c r="AD2472">
        <v>0.45796589999999998</v>
      </c>
      <c r="AE2472">
        <v>-4.0008540000000002E-2</v>
      </c>
      <c r="AF2472">
        <v>-4.3758331626973401E-2</v>
      </c>
      <c r="AG2472">
        <v>0.45796589999999998</v>
      </c>
      <c r="AH2472">
        <v>2.9526408082516902</v>
      </c>
      <c r="AI2472">
        <v>81.184410459984704</v>
      </c>
      <c r="AJ2472">
        <v>90.849065075761601</v>
      </c>
      <c r="AK2472">
        <v>2.98826626988004</v>
      </c>
      <c r="AL2472">
        <v>90.185366775339901</v>
      </c>
      <c r="AM2472">
        <v>95.961296741105002</v>
      </c>
      <c r="AN2472">
        <v>1.00000002793426</v>
      </c>
    </row>
    <row r="2473" spans="1:40" x14ac:dyDescent="0.25">
      <c r="A2473" t="str">
        <f>"20190305134947226"</f>
        <v>20190305134947226</v>
      </c>
      <c r="B2473" t="str">
        <f>"1551764987223091"</f>
        <v>1551764987223091</v>
      </c>
      <c r="C2473" t="s">
        <v>40</v>
      </c>
      <c r="D2473">
        <v>3.9233560000000001</v>
      </c>
      <c r="E2473">
        <v>0.53305939999999996</v>
      </c>
      <c r="F2473" t="s">
        <v>74</v>
      </c>
      <c r="G2473">
        <v>-360.42779999999999</v>
      </c>
      <c r="H2473" s="1">
        <v>-1.309152E-6</v>
      </c>
      <c r="I2473">
        <v>285.02969999999999</v>
      </c>
      <c r="J2473">
        <v>-335.31439999999998</v>
      </c>
      <c r="K2473">
        <v>1.1094170000000001</v>
      </c>
      <c r="L2473">
        <v>285.40260000000001</v>
      </c>
      <c r="M2473">
        <v>-0.99988540000000004</v>
      </c>
      <c r="N2473">
        <v>-1.5055229999999999E-2</v>
      </c>
      <c r="O2473">
        <v>1.573227E-3</v>
      </c>
      <c r="P2473">
        <v>-0.99461449999999996</v>
      </c>
      <c r="Q2473">
        <v>-1.812975E-2</v>
      </c>
      <c r="R2473">
        <v>-0.1020443</v>
      </c>
      <c r="S2473">
        <v>-3.0093990000000002</v>
      </c>
      <c r="T2473">
        <v>-0.13130120000000001</v>
      </c>
      <c r="U2473">
        <v>-4.4067380000000003E-2</v>
      </c>
      <c r="V2473">
        <v>-0.10360949999999999</v>
      </c>
      <c r="W2473">
        <v>-3.1530260000000002E-3</v>
      </c>
      <c r="X2473">
        <v>0.99461310000000003</v>
      </c>
      <c r="Y2473">
        <v>-1.6193530000000001E-2</v>
      </c>
      <c r="Z2473">
        <v>-5.199944E-4</v>
      </c>
      <c r="AA2473">
        <v>0.9998688</v>
      </c>
      <c r="AB2473">
        <v>51</v>
      </c>
      <c r="AC2473">
        <v>-25.113399999999999</v>
      </c>
      <c r="AD2473">
        <v>-1.109418309152</v>
      </c>
      <c r="AE2473">
        <v>-0.372900000000015</v>
      </c>
      <c r="AF2473">
        <v>-0.41160999639318002</v>
      </c>
      <c r="AG2473">
        <v>-1.109418309152</v>
      </c>
      <c r="AH2473">
        <v>25.063879565652002</v>
      </c>
      <c r="AI2473">
        <v>92.534123602986099</v>
      </c>
      <c r="AJ2473">
        <v>90.940851784328999</v>
      </c>
      <c r="AK2473">
        <v>25.091797278300401</v>
      </c>
      <c r="AL2473">
        <v>90.180655373811902</v>
      </c>
      <c r="AM2473">
        <v>95.947089223978494</v>
      </c>
      <c r="AN2473">
        <v>1.0000000443774</v>
      </c>
    </row>
    <row r="2474" spans="1:40" x14ac:dyDescent="0.25">
      <c r="A2474" t="str">
        <f>"20190305134947242"</f>
        <v>20190305134947242</v>
      </c>
      <c r="B2474" t="str">
        <f>"1551764987232850"</f>
        <v>1551764987232850</v>
      </c>
      <c r="C2474" t="s">
        <v>40</v>
      </c>
      <c r="D2474">
        <v>3.9566759999999999</v>
      </c>
      <c r="E2474">
        <v>0.53312890000000002</v>
      </c>
      <c r="F2474" t="s">
        <v>74</v>
      </c>
      <c r="G2474">
        <v>-364.97609999999997</v>
      </c>
      <c r="H2474" s="1">
        <v>1.1112230000000001E-6</v>
      </c>
      <c r="I2474">
        <v>284.99599999999998</v>
      </c>
      <c r="J2474">
        <v>-335.65820000000002</v>
      </c>
      <c r="K2474">
        <v>1.1094120000000001</v>
      </c>
      <c r="L2474">
        <v>285.40309999999999</v>
      </c>
      <c r="M2474">
        <v>-0.99988560000000004</v>
      </c>
      <c r="N2474">
        <v>-1.5052940000000001E-2</v>
      </c>
      <c r="O2474">
        <v>1.5724199999999999E-3</v>
      </c>
      <c r="P2474">
        <v>-0.99472760000000005</v>
      </c>
      <c r="Q2474">
        <v>-1.833278E-2</v>
      </c>
      <c r="R2474">
        <v>-0.1009036</v>
      </c>
      <c r="S2474">
        <v>-3.0099490000000002</v>
      </c>
      <c r="T2474">
        <v>-0.112579</v>
      </c>
      <c r="U2474">
        <v>-4.1259770000000001E-2</v>
      </c>
      <c r="V2474">
        <v>-0.1024678</v>
      </c>
      <c r="W2474">
        <v>-3.3564710000000002E-3</v>
      </c>
      <c r="X2474">
        <v>0.99473069999999997</v>
      </c>
      <c r="Y2474">
        <v>-1.5263580000000001E-2</v>
      </c>
      <c r="Z2474">
        <v>-4.3540670000000002E-4</v>
      </c>
      <c r="AA2474">
        <v>0.99988339999999998</v>
      </c>
      <c r="AB2474">
        <v>51</v>
      </c>
      <c r="AC2474">
        <v>-29.317899999999899</v>
      </c>
      <c r="AD2474">
        <v>-1.109410888777</v>
      </c>
      <c r="AE2474">
        <v>-0.40710000000001401</v>
      </c>
      <c r="AF2474">
        <v>-0.45255686550164198</v>
      </c>
      <c r="AG2474">
        <v>-1.109410888777</v>
      </c>
      <c r="AH2474">
        <v>29.275311683486201</v>
      </c>
      <c r="AI2474">
        <v>92.169970985714002</v>
      </c>
      <c r="AJ2474">
        <v>90.885644993110304</v>
      </c>
      <c r="AK2474">
        <v>29.299820381734602</v>
      </c>
      <c r="AL2474">
        <v>90.192311975621095</v>
      </c>
      <c r="AM2474">
        <v>95.881328189098198</v>
      </c>
      <c r="AN2474">
        <v>1.0000000407284499</v>
      </c>
    </row>
    <row r="2475" spans="1:40" x14ac:dyDescent="0.25">
      <c r="A2475" t="str">
        <f>"20190305134947254"</f>
        <v>20190305134947254</v>
      </c>
      <c r="B2475" t="str">
        <f>"1551764987243118"</f>
        <v>1551764987243118</v>
      </c>
      <c r="C2475" t="s">
        <v>40</v>
      </c>
      <c r="D2475">
        <v>3.9367230000000002</v>
      </c>
      <c r="E2475">
        <v>0.53325449999999996</v>
      </c>
      <c r="F2475" t="s">
        <v>74</v>
      </c>
      <c r="G2475">
        <v>-367.02429999999998</v>
      </c>
      <c r="H2475" s="1">
        <v>2.2011789999999998E-6</v>
      </c>
      <c r="I2475">
        <v>285.01</v>
      </c>
      <c r="J2475">
        <v>-335.94299999999998</v>
      </c>
      <c r="K2475">
        <v>1.1094170000000001</v>
      </c>
      <c r="L2475">
        <v>285.40359999999998</v>
      </c>
      <c r="M2475">
        <v>-0.99988549999999998</v>
      </c>
      <c r="N2475">
        <v>-1.505105E-2</v>
      </c>
      <c r="O2475">
        <v>1.5719639999999999E-3</v>
      </c>
      <c r="P2475">
        <v>-0.99485489999999999</v>
      </c>
      <c r="Q2475">
        <v>-1.7923129999999999E-2</v>
      </c>
      <c r="R2475">
        <v>-9.9711519999999998E-2</v>
      </c>
      <c r="S2475">
        <v>-3.0101010000000001</v>
      </c>
      <c r="T2475">
        <v>-0.10646650000000001</v>
      </c>
      <c r="U2475">
        <v>-3.771973E-2</v>
      </c>
      <c r="V2475">
        <v>-0.1012754</v>
      </c>
      <c r="W2475">
        <v>-2.9467479999999999E-3</v>
      </c>
      <c r="X2475">
        <v>0.99485400000000002</v>
      </c>
      <c r="Y2475">
        <v>-1.408918E-2</v>
      </c>
      <c r="Z2475">
        <v>-3.8708850000000001E-4</v>
      </c>
      <c r="AA2475">
        <v>0.99990060000000003</v>
      </c>
      <c r="AB2475">
        <v>51</v>
      </c>
      <c r="AC2475">
        <v>-31.081299999999899</v>
      </c>
      <c r="AD2475">
        <v>-1.1094147988209999</v>
      </c>
      <c r="AE2475">
        <v>-0.39359999999999201</v>
      </c>
      <c r="AF2475">
        <v>-0.44190081536586701</v>
      </c>
      <c r="AG2475">
        <v>-1.1094147988209999</v>
      </c>
      <c r="AH2475">
        <v>31.041100939519001</v>
      </c>
      <c r="AI2475">
        <v>92.046683510170098</v>
      </c>
      <c r="AJ2475">
        <v>90.815607072890401</v>
      </c>
      <c r="AK2475">
        <v>31.064063241370601</v>
      </c>
      <c r="AL2475">
        <v>90.168836478898697</v>
      </c>
      <c r="AM2475">
        <v>95.812644103405802</v>
      </c>
      <c r="AN2475">
        <v>0.99999993564246503</v>
      </c>
    </row>
    <row r="2476" spans="1:40" x14ac:dyDescent="0.25">
      <c r="A2476" t="str">
        <f>"20190305134947268"</f>
        <v>20190305134947268</v>
      </c>
      <c r="B2476" t="str">
        <f>"1551764987262637"</f>
        <v>1551764987262637</v>
      </c>
      <c r="C2476" t="s">
        <v>40</v>
      </c>
      <c r="D2476">
        <v>3.6118220000000001</v>
      </c>
      <c r="E2476">
        <v>0.53677779999999997</v>
      </c>
      <c r="F2476" t="s">
        <v>74</v>
      </c>
      <c r="G2476">
        <v>-369.01710000000003</v>
      </c>
      <c r="H2476" s="1">
        <v>3.2616490000000001E-6</v>
      </c>
      <c r="I2476">
        <v>285.0401</v>
      </c>
      <c r="J2476">
        <v>-336.2842</v>
      </c>
      <c r="K2476">
        <v>1.1094349999999999</v>
      </c>
      <c r="L2476">
        <v>285.40410000000003</v>
      </c>
      <c r="M2476">
        <v>-0.99988560000000004</v>
      </c>
      <c r="N2476">
        <v>-1.504877E-2</v>
      </c>
      <c r="O2476">
        <v>1.5712720000000001E-3</v>
      </c>
      <c r="P2476">
        <v>-0.99506879999999998</v>
      </c>
      <c r="Q2476">
        <v>-1.6168620000000002E-2</v>
      </c>
      <c r="R2476">
        <v>-9.7862340000000006E-2</v>
      </c>
      <c r="S2476">
        <v>-3.0104060000000001</v>
      </c>
      <c r="T2476">
        <v>-0.100979</v>
      </c>
      <c r="U2476">
        <v>-3.3081050000000001E-2</v>
      </c>
      <c r="V2476">
        <v>-9.9425990000000006E-2</v>
      </c>
      <c r="W2476">
        <v>-1.1914180000000001E-3</v>
      </c>
      <c r="X2476">
        <v>0.99504420000000005</v>
      </c>
      <c r="Y2476">
        <v>-1.2549090000000001E-2</v>
      </c>
      <c r="Z2476">
        <v>-3.3392090000000001E-4</v>
      </c>
      <c r="AA2476">
        <v>0.99992119999999995</v>
      </c>
      <c r="AB2476">
        <v>51</v>
      </c>
      <c r="AC2476">
        <v>-32.732900000000001</v>
      </c>
      <c r="AD2476">
        <v>-1.109431738351</v>
      </c>
      <c r="AE2476">
        <v>-0.36400000000003202</v>
      </c>
      <c r="AF2476">
        <v>-0.41496102595336798</v>
      </c>
      <c r="AG2476">
        <v>-1.109431738351</v>
      </c>
      <c r="AH2476">
        <v>32.694733567127599</v>
      </c>
      <c r="AI2476">
        <v>91.943317937353697</v>
      </c>
      <c r="AJ2476">
        <v>90.727158057009703</v>
      </c>
      <c r="AK2476">
        <v>32.716183066803197</v>
      </c>
      <c r="AL2476">
        <v>90.068263242362605</v>
      </c>
      <c r="AM2476">
        <v>95.7061217275442</v>
      </c>
      <c r="AN2476">
        <v>0.99999995345898396</v>
      </c>
    </row>
    <row r="2477" spans="1:40" x14ac:dyDescent="0.25">
      <c r="A2477" t="str">
        <f>"20190305134947280"</f>
        <v>20190305134947280</v>
      </c>
      <c r="B2477" t="str">
        <f>"1551764987273374"</f>
        <v>1551764987273374</v>
      </c>
      <c r="C2477" t="s">
        <v>40</v>
      </c>
      <c r="D2477">
        <v>3.7169479999999999</v>
      </c>
      <c r="E2477">
        <v>0.5372306</v>
      </c>
      <c r="F2477" t="s">
        <v>47</v>
      </c>
      <c r="G2477">
        <v>0</v>
      </c>
      <c r="H2477">
        <v>0</v>
      </c>
      <c r="I2477">
        <v>0</v>
      </c>
      <c r="J2477">
        <v>-336.53989999999999</v>
      </c>
      <c r="K2477">
        <v>1.1094389999999901</v>
      </c>
      <c r="L2477">
        <v>285.40449999999998</v>
      </c>
      <c r="M2477">
        <v>-0.99988569999999999</v>
      </c>
      <c r="N2477">
        <v>-1.5047069999999999E-2</v>
      </c>
      <c r="O2477">
        <v>1.570812E-3</v>
      </c>
      <c r="P2477">
        <v>-0.99513450000000003</v>
      </c>
      <c r="Q2477">
        <v>-1.5480890000000001E-2</v>
      </c>
      <c r="R2477">
        <v>-9.7303299999999995E-2</v>
      </c>
      <c r="S2477">
        <v>-3.0208439999999999</v>
      </c>
      <c r="T2477">
        <v>0.50154509999999997</v>
      </c>
      <c r="U2477">
        <v>-2.2583010000000001E-2</v>
      </c>
      <c r="V2477">
        <v>-9.8866629999999997E-2</v>
      </c>
      <c r="W2477">
        <v>-5.0443099999999995E-4</v>
      </c>
      <c r="X2477">
        <v>0.9951006</v>
      </c>
      <c r="Y2477">
        <v>-8.9101189999999993E-3</v>
      </c>
      <c r="Z2477">
        <v>9.4965749999999997E-4</v>
      </c>
      <c r="AA2477">
        <v>0.99995979999999995</v>
      </c>
      <c r="AB2477">
        <v>51</v>
      </c>
      <c r="AC2477">
        <v>-3.0208439999999999</v>
      </c>
      <c r="AD2477">
        <v>0.50154509999999997</v>
      </c>
      <c r="AE2477">
        <v>-2.2583010000000001E-2</v>
      </c>
      <c r="AF2477">
        <v>-2.65956203138372E-2</v>
      </c>
      <c r="AG2477">
        <v>0.50154509999999997</v>
      </c>
      <c r="AH2477">
        <v>2.9397734619375799</v>
      </c>
      <c r="AI2477">
        <v>80.318560828268204</v>
      </c>
      <c r="AJ2477">
        <v>90.518330832966797</v>
      </c>
      <c r="AK2477">
        <v>2.98236865961711</v>
      </c>
      <c r="AL2477">
        <v>90.028901767582695</v>
      </c>
      <c r="AM2477">
        <v>95.673910266251198</v>
      </c>
      <c r="AN2477">
        <v>1.0000000345492699</v>
      </c>
    </row>
    <row r="2478" spans="1:40" x14ac:dyDescent="0.25">
      <c r="A2478" t="str">
        <f>"20190305134947293"</f>
        <v>20190305134947293</v>
      </c>
      <c r="B2478" t="str">
        <f>"1551764987283134"</f>
        <v>1551764987283134</v>
      </c>
      <c r="C2478" t="s">
        <v>40</v>
      </c>
      <c r="D2478">
        <v>3.7321369999999998</v>
      </c>
      <c r="E2478">
        <v>0.53758459999999997</v>
      </c>
      <c r="F2478" t="s">
        <v>47</v>
      </c>
      <c r="G2478">
        <v>0</v>
      </c>
      <c r="H2478">
        <v>0</v>
      </c>
      <c r="I2478">
        <v>0</v>
      </c>
      <c r="J2478">
        <v>-336.82679999999999</v>
      </c>
      <c r="K2478">
        <v>1.1094459999999999</v>
      </c>
      <c r="L2478">
        <v>285.40499999999997</v>
      </c>
      <c r="M2478">
        <v>-0.99988560000000004</v>
      </c>
      <c r="N2478">
        <v>-1.504516E-2</v>
      </c>
      <c r="O2478">
        <v>1.5708300000000001E-3</v>
      </c>
      <c r="P2478">
        <v>-0.9952223</v>
      </c>
      <c r="Q2478">
        <v>-1.513171E-2</v>
      </c>
      <c r="R2478">
        <v>-9.6456210000000001E-2</v>
      </c>
      <c r="S2478">
        <v>-3.020966</v>
      </c>
      <c r="T2478">
        <v>0.51344069999999997</v>
      </c>
      <c r="U2478">
        <v>-1.7395020000000001E-2</v>
      </c>
      <c r="V2478">
        <v>-9.8019629999999996E-2</v>
      </c>
      <c r="W2478">
        <v>-1.5581959999999901E-4</v>
      </c>
      <c r="X2478">
        <v>0.99518450000000003</v>
      </c>
      <c r="Y2478">
        <v>-7.20820199999999E-3</v>
      </c>
      <c r="Z2478">
        <v>8.4213069999999998E-4</v>
      </c>
      <c r="AA2478">
        <v>0.99997369999999997</v>
      </c>
      <c r="AB2478">
        <v>51</v>
      </c>
      <c r="AC2478">
        <v>-3.020966</v>
      </c>
      <c r="AD2478">
        <v>0.51344069999999997</v>
      </c>
      <c r="AE2478">
        <v>-1.7395020000000001E-2</v>
      </c>
      <c r="AF2478">
        <v>-2.1519369587390098E-2</v>
      </c>
      <c r="AG2478">
        <v>0.51344069999999997</v>
      </c>
      <c r="AH2478">
        <v>2.9361245686722302</v>
      </c>
      <c r="AI2478">
        <v>80.081231583340696</v>
      </c>
      <c r="AJ2478">
        <v>90.419923252560693</v>
      </c>
      <c r="AK2478">
        <v>2.9807569371628801</v>
      </c>
      <c r="AL2478">
        <v>90.008927805208401</v>
      </c>
      <c r="AM2478">
        <v>95.625143233702602</v>
      </c>
      <c r="AN2478">
        <v>1.00000003059266</v>
      </c>
    </row>
    <row r="2479" spans="1:40" x14ac:dyDescent="0.25">
      <c r="A2479" t="str">
        <f>"20190305134947305"</f>
        <v>20190305134947305</v>
      </c>
      <c r="B2479" t="str">
        <f>"1551764987292894"</f>
        <v>1551764987292894</v>
      </c>
      <c r="C2479" t="s">
        <v>40</v>
      </c>
      <c r="D2479">
        <v>3.7211069999999999</v>
      </c>
      <c r="E2479">
        <v>0.53754000000000002</v>
      </c>
      <c r="F2479" t="s">
        <v>47</v>
      </c>
      <c r="G2479">
        <v>0</v>
      </c>
      <c r="H2479">
        <v>0</v>
      </c>
      <c r="I2479">
        <v>0</v>
      </c>
      <c r="J2479">
        <v>-337.10739999999998</v>
      </c>
      <c r="K2479">
        <v>1.1094520000000001</v>
      </c>
      <c r="L2479">
        <v>285.40539999999999</v>
      </c>
      <c r="M2479">
        <v>-0.99988569999999999</v>
      </c>
      <c r="N2479">
        <v>-1.5043300000000001E-2</v>
      </c>
      <c r="O2479">
        <v>1.570489E-3</v>
      </c>
      <c r="P2479">
        <v>-0.99528470000000002</v>
      </c>
      <c r="Q2479">
        <v>-1.4874979999999999E-2</v>
      </c>
      <c r="R2479">
        <v>-9.585109E-2</v>
      </c>
      <c r="S2479">
        <v>-3.0211790000000001</v>
      </c>
      <c r="T2479">
        <v>0.5188391</v>
      </c>
      <c r="U2479">
        <v>-1.1810299999999999E-2</v>
      </c>
      <c r="V2479">
        <v>-9.741408E-2</v>
      </c>
      <c r="W2479" s="1">
        <v>9.9995059999999998E-5</v>
      </c>
      <c r="X2479">
        <v>0.99524389999999996</v>
      </c>
      <c r="Y2479">
        <v>-5.3808240000000002E-3</v>
      </c>
      <c r="Z2479">
        <v>7.0911849999999996E-4</v>
      </c>
      <c r="AA2479">
        <v>0.99998529999999997</v>
      </c>
      <c r="AB2479">
        <v>51</v>
      </c>
      <c r="AC2479">
        <v>-3.0211790000000001</v>
      </c>
      <c r="AD2479">
        <v>0.5188391</v>
      </c>
      <c r="AE2479">
        <v>-1.1810299999999999E-2</v>
      </c>
      <c r="AF2479">
        <v>-1.6081279487953602E-2</v>
      </c>
      <c r="AG2479">
        <v>0.5188391</v>
      </c>
      <c r="AH2479">
        <v>2.9346089147523902</v>
      </c>
      <c r="AI2479">
        <v>79.973860209268807</v>
      </c>
      <c r="AJ2479">
        <v>90.313970361285996</v>
      </c>
      <c r="AK2479">
        <v>2.9801647776226998</v>
      </c>
      <c r="AL2479">
        <v>89.994270704889701</v>
      </c>
      <c r="AM2479">
        <v>95.590281250560906</v>
      </c>
      <c r="AN2479">
        <v>0.99999996673423297</v>
      </c>
    </row>
    <row r="2480" spans="1:40" x14ac:dyDescent="0.25">
      <c r="A2480" t="str">
        <f>"20190305134947318"</f>
        <v>20190305134947318</v>
      </c>
      <c r="B2480" t="str">
        <f>"1551764987313390"</f>
        <v>1551764987313390</v>
      </c>
      <c r="C2480" t="s">
        <v>40</v>
      </c>
      <c r="D2480">
        <v>3.7246109999999999</v>
      </c>
      <c r="E2480">
        <v>0.53754650000000004</v>
      </c>
      <c r="F2480" t="s">
        <v>47</v>
      </c>
      <c r="G2480">
        <v>0</v>
      </c>
      <c r="H2480">
        <v>0</v>
      </c>
      <c r="I2480">
        <v>0</v>
      </c>
      <c r="J2480">
        <v>-337.37959999999998</v>
      </c>
      <c r="K2480">
        <v>1.109456</v>
      </c>
      <c r="L2480">
        <v>285.4058</v>
      </c>
      <c r="M2480">
        <v>-0.99988580000000005</v>
      </c>
      <c r="N2480">
        <v>-1.5041489999999999E-2</v>
      </c>
      <c r="O2480">
        <v>1.570147E-3</v>
      </c>
      <c r="P2480">
        <v>-0.99535289999999998</v>
      </c>
      <c r="Q2480">
        <v>-1.4811299999999999E-2</v>
      </c>
      <c r="R2480">
        <v>-9.5151959999999994E-2</v>
      </c>
      <c r="S2480">
        <v>-3.0210270000000001</v>
      </c>
      <c r="T2480">
        <v>0.51891279999999995</v>
      </c>
      <c r="U2480">
        <v>-1.013184E-2</v>
      </c>
      <c r="V2480">
        <v>-9.6714560000000005E-2</v>
      </c>
      <c r="W2480">
        <v>1.6290320000000001E-4</v>
      </c>
      <c r="X2480">
        <v>0.99531219999999998</v>
      </c>
      <c r="Y2480">
        <v>-4.8323849999999998E-3</v>
      </c>
      <c r="Z2480">
        <v>6.665884E-4</v>
      </c>
      <c r="AA2480">
        <v>0.99998810000000005</v>
      </c>
      <c r="AB2480">
        <v>51</v>
      </c>
      <c r="AC2480">
        <v>-3.0210270000000001</v>
      </c>
      <c r="AD2480">
        <v>0.51891279999999995</v>
      </c>
      <c r="AE2480">
        <v>-1.013184E-2</v>
      </c>
      <c r="AF2480">
        <v>-1.44495077438766E-2</v>
      </c>
      <c r="AG2480">
        <v>0.51891279999999995</v>
      </c>
      <c r="AH2480">
        <v>2.9344311503273501</v>
      </c>
      <c r="AI2480">
        <v>79.971841390414397</v>
      </c>
      <c r="AJ2480">
        <v>90.282129338231996</v>
      </c>
      <c r="AK2480">
        <v>2.9799942044053398</v>
      </c>
      <c r="AL2480">
        <v>89.990666334634099</v>
      </c>
      <c r="AM2480">
        <v>95.550011115291099</v>
      </c>
      <c r="AN2480">
        <v>1.00000005406114</v>
      </c>
    </row>
    <row r="2481" spans="1:40" x14ac:dyDescent="0.25">
      <c r="A2481" t="str">
        <f>"20190305134947329"</f>
        <v>20190305134947329</v>
      </c>
      <c r="B2481" t="str">
        <f>"1551764987323150"</f>
        <v>1551764987323150</v>
      </c>
      <c r="C2481" t="s">
        <v>40</v>
      </c>
      <c r="D2481">
        <v>3.8467739999999999</v>
      </c>
      <c r="E2481">
        <v>0.53754650000000004</v>
      </c>
      <c r="F2481" t="s">
        <v>47</v>
      </c>
      <c r="G2481">
        <v>0</v>
      </c>
      <c r="H2481">
        <v>0</v>
      </c>
      <c r="I2481">
        <v>0</v>
      </c>
      <c r="J2481">
        <v>-337.64670000000001</v>
      </c>
      <c r="K2481">
        <v>1.109456</v>
      </c>
      <c r="L2481">
        <v>285.40629999999999</v>
      </c>
      <c r="M2481">
        <v>-0.99988569999999999</v>
      </c>
      <c r="N2481">
        <v>-1.50397E-2</v>
      </c>
      <c r="O2481">
        <v>1.5701630000000001E-3</v>
      </c>
      <c r="P2481">
        <v>-0.99539909999999998</v>
      </c>
      <c r="Q2481">
        <v>-1.4796790000000001E-2</v>
      </c>
      <c r="R2481">
        <v>-9.4668600000000006E-2</v>
      </c>
      <c r="S2481">
        <v>-3.0210270000000001</v>
      </c>
      <c r="T2481">
        <v>0.51964339999999998</v>
      </c>
      <c r="U2481">
        <v>-7.5378419999999899E-3</v>
      </c>
      <c r="V2481">
        <v>-9.6231860000000002E-2</v>
      </c>
      <c r="W2481">
        <v>1.7625489999999999E-4</v>
      </c>
      <c r="X2481">
        <v>0.99535890000000005</v>
      </c>
      <c r="Y2481">
        <v>-3.984853E-3</v>
      </c>
      <c r="Z2481">
        <v>6.0159190000000004E-4</v>
      </c>
      <c r="AA2481">
        <v>0.99999190000000004</v>
      </c>
      <c r="AB2481">
        <v>51</v>
      </c>
      <c r="AC2481">
        <v>-3.0210270000000001</v>
      </c>
      <c r="AD2481">
        <v>0.51964339999999998</v>
      </c>
      <c r="AE2481">
        <v>-7.5378419999999899E-3</v>
      </c>
      <c r="AF2481">
        <v>-1.1928934182582901E-2</v>
      </c>
      <c r="AG2481">
        <v>0.51964339999999998</v>
      </c>
      <c r="AH2481">
        <v>2.9341977331195999</v>
      </c>
      <c r="AI2481">
        <v>79.957188927063598</v>
      </c>
      <c r="AJ2481">
        <v>90.232933796359902</v>
      </c>
      <c r="AK2481">
        <v>2.9798805176849799</v>
      </c>
      <c r="AL2481">
        <v>89.989901337765104</v>
      </c>
      <c r="AM2481">
        <v>95.522225309878195</v>
      </c>
      <c r="AN2481">
        <v>0.99999997087702897</v>
      </c>
    </row>
    <row r="2482" spans="1:40" x14ac:dyDescent="0.25">
      <c r="A2482" t="str">
        <f>"20190305134947341"</f>
        <v>20190305134947341</v>
      </c>
      <c r="B2482" t="str">
        <f>"1551764987332910"</f>
        <v>1551764987332910</v>
      </c>
      <c r="C2482" t="s">
        <v>40</v>
      </c>
      <c r="D2482">
        <v>3.943908</v>
      </c>
      <c r="E2482">
        <v>0.52885569999999904</v>
      </c>
      <c r="F2482" t="s">
        <v>47</v>
      </c>
      <c r="G2482">
        <v>0</v>
      </c>
      <c r="H2482">
        <v>0</v>
      </c>
      <c r="I2482">
        <v>0</v>
      </c>
      <c r="J2482">
        <v>-337.92770000000002</v>
      </c>
      <c r="K2482">
        <v>1.1094569999999999</v>
      </c>
      <c r="L2482">
        <v>285.4067</v>
      </c>
      <c r="M2482">
        <v>-0.99988580000000005</v>
      </c>
      <c r="N2482">
        <v>-1.503783E-2</v>
      </c>
      <c r="O2482">
        <v>1.5698820000000001E-3</v>
      </c>
      <c r="P2482">
        <v>-0.99543649999999995</v>
      </c>
      <c r="Q2482">
        <v>-1.493039E-2</v>
      </c>
      <c r="R2482">
        <v>-9.4252290000000002E-2</v>
      </c>
      <c r="S2482">
        <v>-3.0210270000000001</v>
      </c>
      <c r="T2482">
        <v>0.51948859999999997</v>
      </c>
      <c r="U2482">
        <v>-5.7983399999999999E-3</v>
      </c>
      <c r="V2482">
        <v>-9.5815129999999998E-2</v>
      </c>
      <c r="W2482" s="1">
        <v>4.150544E-5</v>
      </c>
      <c r="X2482">
        <v>0.99539909999999998</v>
      </c>
      <c r="Y2482">
        <v>-3.4164360000000001E-3</v>
      </c>
      <c r="Z2482">
        <v>5.5714930000000005E-4</v>
      </c>
      <c r="AA2482">
        <v>0.99999400000000005</v>
      </c>
      <c r="AB2482">
        <v>51</v>
      </c>
      <c r="AC2482">
        <v>-3.0210270000000001</v>
      </c>
      <c r="AD2482">
        <v>0.51948859999999997</v>
      </c>
      <c r="AE2482">
        <v>-5.7983399999999999E-3</v>
      </c>
      <c r="AF2482">
        <v>-1.0238771163065799E-2</v>
      </c>
      <c r="AG2482">
        <v>0.51948859999999997</v>
      </c>
      <c r="AH2482">
        <v>2.9342504049997</v>
      </c>
      <c r="AI2482">
        <v>79.960274925204004</v>
      </c>
      <c r="AJ2482">
        <v>90.199927038643395</v>
      </c>
      <c r="AK2482">
        <v>2.97989910520571</v>
      </c>
      <c r="AL2482">
        <v>89.997621913352404</v>
      </c>
      <c r="AM2482">
        <v>95.498237601828393</v>
      </c>
      <c r="AN2482">
        <v>0.99999995457021296</v>
      </c>
    </row>
    <row r="2483" spans="1:40" x14ac:dyDescent="0.25">
      <c r="A2483" t="str">
        <f>"20190305134947353"</f>
        <v>20190305134947353</v>
      </c>
      <c r="B2483" t="str">
        <f>"1551764987343178"</f>
        <v>1551764987343178</v>
      </c>
      <c r="C2483" t="s">
        <v>40</v>
      </c>
      <c r="D2483">
        <v>3.927022</v>
      </c>
      <c r="E2483">
        <v>0.52914600000000001</v>
      </c>
      <c r="F2483" t="s">
        <v>74</v>
      </c>
      <c r="G2483">
        <v>-370.66</v>
      </c>
      <c r="H2483" s="1">
        <v>-1.1855900000000001E-6</v>
      </c>
      <c r="I2483">
        <v>284.84629999999999</v>
      </c>
      <c r="J2483">
        <v>-338.19929999999999</v>
      </c>
      <c r="K2483">
        <v>1.1094599999999999</v>
      </c>
      <c r="L2483">
        <v>285.40710000000001</v>
      </c>
      <c r="M2483">
        <v>-0.99988580000000005</v>
      </c>
      <c r="N2483">
        <v>-1.5036010000000001E-2</v>
      </c>
      <c r="O2483">
        <v>1.569719E-3</v>
      </c>
      <c r="P2483">
        <v>-0.99544820000000001</v>
      </c>
      <c r="Q2483">
        <v>-1.4883779999999999E-2</v>
      </c>
      <c r="R2483">
        <v>-9.4136650000000002E-2</v>
      </c>
      <c r="S2483">
        <v>-3.0073240000000001</v>
      </c>
      <c r="T2483">
        <v>-0.1019331</v>
      </c>
      <c r="U2483">
        <v>-5.1483149999999998E-2</v>
      </c>
      <c r="V2483">
        <v>-9.5699329999999999E-2</v>
      </c>
      <c r="W2483" s="1">
        <v>8.6515560000000006E-5</v>
      </c>
      <c r="X2483">
        <v>0.99541029999999997</v>
      </c>
      <c r="Y2483">
        <v>-1.8670639999999999E-2</v>
      </c>
      <c r="Z2483">
        <v>-4.863372E-4</v>
      </c>
      <c r="AA2483">
        <v>0.99982559999999998</v>
      </c>
      <c r="AB2483">
        <v>51</v>
      </c>
      <c r="AC2483">
        <v>-32.460700000000003</v>
      </c>
      <c r="AD2483">
        <v>-1.1094611855900001</v>
      </c>
      <c r="AE2483">
        <v>-0.56080000000002805</v>
      </c>
      <c r="AF2483">
        <v>-0.61104564713374399</v>
      </c>
      <c r="AG2483">
        <v>-1.1094611855900001</v>
      </c>
      <c r="AH2483">
        <v>32.421916381515302</v>
      </c>
      <c r="AI2483">
        <v>91.959519447416497</v>
      </c>
      <c r="AJ2483">
        <v>91.079707687440305</v>
      </c>
      <c r="AK2483">
        <v>32.446647635082101</v>
      </c>
      <c r="AL2483">
        <v>89.995043023629293</v>
      </c>
      <c r="AM2483">
        <v>95.491571790826001</v>
      </c>
      <c r="AN2483">
        <v>1.00000001729674</v>
      </c>
    </row>
    <row r="2484" spans="1:40" x14ac:dyDescent="0.25">
      <c r="A2484" t="str">
        <f>"20190305134947366"</f>
        <v>20190305134947366</v>
      </c>
      <c r="B2484" t="str">
        <f>"1551764987352937"</f>
        <v>1551764987352937</v>
      </c>
      <c r="C2484" t="s">
        <v>40</v>
      </c>
      <c r="D2484">
        <v>3.7322950000000001</v>
      </c>
      <c r="E2484">
        <v>0.52914600000000001</v>
      </c>
      <c r="F2484" t="s">
        <v>74</v>
      </c>
      <c r="G2484">
        <v>-372.72460000000001</v>
      </c>
      <c r="H2484" s="1">
        <v>-8.6888660000000002E-8</v>
      </c>
      <c r="I2484">
        <v>284.8449</v>
      </c>
      <c r="J2484">
        <v>-338.49250000000001</v>
      </c>
      <c r="K2484">
        <v>1.109461</v>
      </c>
      <c r="L2484">
        <v>285.4076</v>
      </c>
      <c r="M2484">
        <v>-0.99988580000000005</v>
      </c>
      <c r="N2484">
        <v>-1.503406E-2</v>
      </c>
      <c r="O2484">
        <v>1.5697370000000001E-3</v>
      </c>
      <c r="P2484">
        <v>-0.99547649999999999</v>
      </c>
      <c r="Q2484">
        <v>-1.4374319999999999E-2</v>
      </c>
      <c r="R2484">
        <v>-9.3914369999999997E-2</v>
      </c>
      <c r="S2484">
        <v>-3.0076290000000001</v>
      </c>
      <c r="T2484">
        <v>-9.6649289999999999E-2</v>
      </c>
      <c r="U2484">
        <v>-4.8980709999999997E-2</v>
      </c>
      <c r="V2484">
        <v>-9.5476690000000003E-2</v>
      </c>
      <c r="W2484">
        <v>5.9444119999999998E-4</v>
      </c>
      <c r="X2484">
        <v>0.99543150000000002</v>
      </c>
      <c r="Y2484">
        <v>-1.7839270000000001E-2</v>
      </c>
      <c r="Z2484">
        <v>-4.4753330000000001E-4</v>
      </c>
      <c r="AA2484">
        <v>0.99984079999999997</v>
      </c>
      <c r="AB2484">
        <v>51</v>
      </c>
      <c r="AC2484">
        <v>-34.232100000000003</v>
      </c>
      <c r="AD2484">
        <v>-1.1094610868886501</v>
      </c>
      <c r="AE2484">
        <v>-0.56270000000000597</v>
      </c>
      <c r="AF2484">
        <v>-0.61579411267919804</v>
      </c>
      <c r="AG2484">
        <v>-1.1094610868886501</v>
      </c>
      <c r="AH2484">
        <v>34.1952652260414</v>
      </c>
      <c r="AI2484">
        <v>91.858001461929007</v>
      </c>
      <c r="AJ2484">
        <v>91.031680563236904</v>
      </c>
      <c r="AK2484">
        <v>34.218799952246201</v>
      </c>
      <c r="AL2484">
        <v>89.965941026455198</v>
      </c>
      <c r="AM2484">
        <v>95.478757761007799</v>
      </c>
      <c r="AN2484">
        <v>1.0000000114429699</v>
      </c>
    </row>
    <row r="2485" spans="1:40" x14ac:dyDescent="0.25">
      <c r="A2485" t="str">
        <f>"20190305134947380"</f>
        <v>20190305134947380</v>
      </c>
      <c r="B2485" t="str">
        <f>"1551764987373436"</f>
        <v>1551764987373436</v>
      </c>
      <c r="C2485" t="s">
        <v>40</v>
      </c>
      <c r="D2485">
        <v>3.7064370000000002</v>
      </c>
      <c r="E2485">
        <v>0.53498590000000001</v>
      </c>
      <c r="F2485" t="s">
        <v>74</v>
      </c>
      <c r="G2485">
        <v>-373.55799999999999</v>
      </c>
      <c r="H2485" s="1">
        <v>3.56595299999999E-7</v>
      </c>
      <c r="I2485">
        <v>284.84370000000001</v>
      </c>
      <c r="J2485">
        <v>-338.80009999999999</v>
      </c>
      <c r="K2485">
        <v>1.109469</v>
      </c>
      <c r="L2485">
        <v>285.40809999999999</v>
      </c>
      <c r="M2485">
        <v>-0.99988580000000005</v>
      </c>
      <c r="N2485">
        <v>-1.5031869999999999E-2</v>
      </c>
      <c r="O2485">
        <v>1.569577E-3</v>
      </c>
      <c r="P2485">
        <v>-0.99547430000000003</v>
      </c>
      <c r="Q2485">
        <v>-1.42152999999999E-2</v>
      </c>
      <c r="R2485">
        <v>-9.3961379999999997E-2</v>
      </c>
      <c r="S2485">
        <v>-3.0077210000000001</v>
      </c>
      <c r="T2485">
        <v>-9.5163230000000001E-2</v>
      </c>
      <c r="U2485">
        <v>-4.8370360000000001E-2</v>
      </c>
      <c r="V2485">
        <v>-9.5524139999999993E-2</v>
      </c>
      <c r="W2485">
        <v>7.5084339999999998E-4</v>
      </c>
      <c r="X2485">
        <v>0.99542679999999995</v>
      </c>
      <c r="Y2485">
        <v>-1.7636289999999999E-2</v>
      </c>
      <c r="Z2485">
        <v>-4.3758840000000001E-4</v>
      </c>
      <c r="AA2485">
        <v>0.99984439999999997</v>
      </c>
      <c r="AB2485">
        <v>51</v>
      </c>
      <c r="AC2485">
        <v>-34.757899999999999</v>
      </c>
      <c r="AD2485">
        <v>-1.1094686434047001</v>
      </c>
      <c r="AE2485">
        <v>-0.56439999999997703</v>
      </c>
      <c r="AF2485">
        <v>-0.61833082992447697</v>
      </c>
      <c r="AG2485">
        <v>-1.1094686434047001</v>
      </c>
      <c r="AH2485">
        <v>34.721603387523501</v>
      </c>
      <c r="AI2485">
        <v>91.829874666800507</v>
      </c>
      <c r="AJ2485">
        <v>91.020229454986506</v>
      </c>
      <c r="AK2485">
        <v>34.744826888134298</v>
      </c>
      <c r="AL2485">
        <v>89.956979836755707</v>
      </c>
      <c r="AM2485">
        <v>95.481489737673499</v>
      </c>
      <c r="AN2485">
        <v>0.99999996962339499</v>
      </c>
    </row>
    <row r="2486" spans="1:40" x14ac:dyDescent="0.25">
      <c r="A2486" t="str">
        <f>"20190305134947391"</f>
        <v>20190305134947391</v>
      </c>
      <c r="B2486" t="str">
        <f>"1551764987383194"</f>
        <v>1551764987383194</v>
      </c>
      <c r="C2486" t="s">
        <v>40</v>
      </c>
      <c r="D2486">
        <v>3.9228239999999999</v>
      </c>
      <c r="E2486">
        <v>0.53498590000000001</v>
      </c>
      <c r="F2486" t="s">
        <v>47</v>
      </c>
      <c r="G2486">
        <v>0</v>
      </c>
      <c r="H2486">
        <v>0</v>
      </c>
      <c r="I2486">
        <v>0</v>
      </c>
      <c r="J2486">
        <v>-339.05509999999998</v>
      </c>
      <c r="K2486">
        <v>1.1094729999999999</v>
      </c>
      <c r="L2486">
        <v>285.4085</v>
      </c>
      <c r="M2486">
        <v>-0.99988589999999999</v>
      </c>
      <c r="N2486">
        <v>-1.503003E-2</v>
      </c>
      <c r="O2486">
        <v>1.569235E-3</v>
      </c>
      <c r="P2486">
        <v>-0.99545499999999998</v>
      </c>
      <c r="Q2486">
        <v>-1.391849E-2</v>
      </c>
      <c r="R2486">
        <v>-9.4211890000000006E-2</v>
      </c>
      <c r="S2486">
        <v>-3.018799</v>
      </c>
      <c r="T2486">
        <v>0.51533399999999996</v>
      </c>
      <c r="U2486">
        <v>-2.3071290000000001E-2</v>
      </c>
      <c r="V2486">
        <v>-9.577426E-2</v>
      </c>
      <c r="W2486">
        <v>1.0460059999999999E-3</v>
      </c>
      <c r="X2486">
        <v>0.99540249999999997</v>
      </c>
      <c r="Y2486">
        <v>-9.065376E-3</v>
      </c>
      <c r="Z2486">
        <v>9.8897960000000006E-4</v>
      </c>
      <c r="AA2486">
        <v>0.99995840000000003</v>
      </c>
      <c r="AB2486">
        <v>51</v>
      </c>
      <c r="AC2486">
        <v>-3.018799</v>
      </c>
      <c r="AD2486">
        <v>0.51533399999999996</v>
      </c>
      <c r="AE2486">
        <v>-2.3071290000000001E-2</v>
      </c>
      <c r="AF2486">
        <v>-2.7021602249456399E-2</v>
      </c>
      <c r="AG2486">
        <v>0.51533399999999996</v>
      </c>
      <c r="AH2486">
        <v>2.9332842942947002</v>
      </c>
      <c r="AI2486">
        <v>80.036092829034203</v>
      </c>
      <c r="AJ2486">
        <v>90.5277974503297</v>
      </c>
      <c r="AK2486">
        <v>2.9783310846344899</v>
      </c>
      <c r="AL2486">
        <v>89.940068258128207</v>
      </c>
      <c r="AM2486">
        <v>95.495888030354394</v>
      </c>
      <c r="AN2486">
        <v>0.99999997000667395</v>
      </c>
    </row>
    <row r="2487" spans="1:40" x14ac:dyDescent="0.25">
      <c r="A2487" t="str">
        <f>"20190305134947402"</f>
        <v>20190305134947402</v>
      </c>
      <c r="B2487" t="str">
        <f>"1551764987392953"</f>
        <v>1551764987392953</v>
      </c>
      <c r="C2487" t="s">
        <v>40</v>
      </c>
      <c r="D2487">
        <v>3.9348960000000002</v>
      </c>
      <c r="E2487">
        <v>0.53031899999999998</v>
      </c>
      <c r="F2487" t="s">
        <v>47</v>
      </c>
      <c r="G2487">
        <v>0</v>
      </c>
      <c r="H2487">
        <v>0</v>
      </c>
      <c r="I2487">
        <v>0</v>
      </c>
      <c r="J2487">
        <v>-339.30840000000001</v>
      </c>
      <c r="K2487">
        <v>1.1094729999999999</v>
      </c>
      <c r="L2487">
        <v>285.40890000000002</v>
      </c>
      <c r="M2487">
        <v>-0.99988600000000005</v>
      </c>
      <c r="N2487">
        <v>-1.5028299999999901E-2</v>
      </c>
      <c r="O2487">
        <v>1.568952E-3</v>
      </c>
      <c r="P2487">
        <v>-0.99545760000000005</v>
      </c>
      <c r="Q2487">
        <v>-1.355433E-2</v>
      </c>
      <c r="R2487">
        <v>-9.4240169999999998E-2</v>
      </c>
      <c r="S2487">
        <v>-3.0186769999999998</v>
      </c>
      <c r="T2487">
        <v>0.51613059999999999</v>
      </c>
      <c r="U2487">
        <v>-2.3590090000000001E-2</v>
      </c>
      <c r="V2487">
        <v>-9.5801750000000005E-2</v>
      </c>
      <c r="W2487">
        <v>1.408402E-3</v>
      </c>
      <c r="X2487">
        <v>0.99539940000000005</v>
      </c>
      <c r="Y2487">
        <v>-9.2345440000000008E-3</v>
      </c>
      <c r="Z2487">
        <v>1.003625E-3</v>
      </c>
      <c r="AA2487">
        <v>0.99995679999999998</v>
      </c>
      <c r="AB2487">
        <v>50</v>
      </c>
      <c r="AC2487">
        <v>-3.0186769999999998</v>
      </c>
      <c r="AD2487">
        <v>0.51613059999999999</v>
      </c>
      <c r="AE2487">
        <v>-2.3590090000000001E-2</v>
      </c>
      <c r="AF2487">
        <v>-2.7522223182301998E-2</v>
      </c>
      <c r="AG2487">
        <v>0.51613059999999999</v>
      </c>
      <c r="AH2487">
        <v>2.93290151834108</v>
      </c>
      <c r="AI2487">
        <v>80.019739484084596</v>
      </c>
      <c r="AJ2487">
        <v>90.537645378465299</v>
      </c>
      <c r="AK2487">
        <v>2.9780966380076799</v>
      </c>
      <c r="AL2487">
        <v>89.919304479814798</v>
      </c>
      <c r="AM2487">
        <v>95.497472863665493</v>
      </c>
      <c r="AN2487">
        <v>0.99999996220980703</v>
      </c>
    </row>
    <row r="2488" spans="1:40" x14ac:dyDescent="0.25">
      <c r="A2488" t="str">
        <f>"20190305134947414"</f>
        <v>20190305134947414</v>
      </c>
      <c r="B2488" t="str">
        <f>"1551764987402714"</f>
        <v>1551764987402714</v>
      </c>
      <c r="C2488" t="s">
        <v>40</v>
      </c>
      <c r="D2488">
        <v>3.9446720000000002</v>
      </c>
      <c r="E2488">
        <v>0.53022879999999994</v>
      </c>
      <c r="F2488" t="s">
        <v>74</v>
      </c>
      <c r="G2488">
        <v>-388.73570000000001</v>
      </c>
      <c r="H2488" s="1">
        <v>3.1119179999999999E-6</v>
      </c>
      <c r="I2488">
        <v>284.73360000000002</v>
      </c>
      <c r="J2488">
        <v>-339.5566</v>
      </c>
      <c r="K2488">
        <v>1.109477</v>
      </c>
      <c r="L2488">
        <v>285.4092</v>
      </c>
      <c r="M2488">
        <v>-0.99988600000000005</v>
      </c>
      <c r="N2488">
        <v>-1.5026650000000001E-2</v>
      </c>
      <c r="O2488">
        <v>1.5687870000000001E-3</v>
      </c>
      <c r="P2488">
        <v>-0.99545439999999996</v>
      </c>
      <c r="Q2488">
        <v>-1.3619799999999901E-2</v>
      </c>
      <c r="R2488">
        <v>-9.4262910000000005E-2</v>
      </c>
      <c r="S2488">
        <v>-3.0088810000000001</v>
      </c>
      <c r="T2488">
        <v>-6.7538860000000006E-2</v>
      </c>
      <c r="U2488">
        <v>-4.110718E-2</v>
      </c>
      <c r="V2488">
        <v>-9.582454E-2</v>
      </c>
      <c r="W2488">
        <v>1.34116799999999E-3</v>
      </c>
      <c r="X2488">
        <v>0.99539730000000004</v>
      </c>
      <c r="Y2488">
        <v>-1.522303E-2</v>
      </c>
      <c r="Z2488">
        <v>-2.9686890000000003E-4</v>
      </c>
      <c r="AA2488">
        <v>0.99988410000000005</v>
      </c>
      <c r="AB2488">
        <v>50</v>
      </c>
      <c r="AC2488">
        <v>-49.179099999999998</v>
      </c>
      <c r="AD2488">
        <v>-1.1094738880820001</v>
      </c>
      <c r="AE2488">
        <v>-0.675599999999974</v>
      </c>
      <c r="AF2488">
        <v>-0.75237655456957997</v>
      </c>
      <c r="AG2488">
        <v>-1.1094738880820001</v>
      </c>
      <c r="AH2488">
        <v>49.152967915321703</v>
      </c>
      <c r="AI2488">
        <v>91.292901316306498</v>
      </c>
      <c r="AJ2488">
        <v>90.876948773548804</v>
      </c>
      <c r="AK2488">
        <v>49.171244215220497</v>
      </c>
      <c r="AL2488">
        <v>89.923156708103704</v>
      </c>
      <c r="AM2488">
        <v>95.4987841567049</v>
      </c>
      <c r="AN2488">
        <v>0.99999996302255201</v>
      </c>
    </row>
    <row r="2489" spans="1:40" x14ac:dyDescent="0.25">
      <c r="A2489" t="str">
        <f>"20190305134947428"</f>
        <v>20190305134947428</v>
      </c>
      <c r="B2489" t="str">
        <f>"1551764987423209"</f>
        <v>1551764987423209</v>
      </c>
      <c r="C2489" t="s">
        <v>40</v>
      </c>
      <c r="D2489">
        <v>3.7030460000000001</v>
      </c>
      <c r="E2489">
        <v>0.53064350000000005</v>
      </c>
      <c r="F2489" t="s">
        <v>74</v>
      </c>
      <c r="G2489">
        <v>-389.00490000000002</v>
      </c>
      <c r="H2489" s="1">
        <v>3.2551599999999902E-6</v>
      </c>
      <c r="I2489">
        <v>284.72210000000001</v>
      </c>
      <c r="J2489">
        <v>-339.87720000000002</v>
      </c>
      <c r="K2489">
        <v>1.10948</v>
      </c>
      <c r="L2489">
        <v>285.40969999999999</v>
      </c>
      <c r="M2489">
        <v>-0.99988600000000005</v>
      </c>
      <c r="N2489">
        <v>-1.5024600000000001E-2</v>
      </c>
      <c r="O2489">
        <v>1.5686249999999999E-3</v>
      </c>
      <c r="P2489">
        <v>-0.99543879999999996</v>
      </c>
      <c r="Q2489">
        <v>-1.3237840000000001E-2</v>
      </c>
      <c r="R2489">
        <v>-9.4480129999999996E-2</v>
      </c>
      <c r="S2489">
        <v>-3.0088499999999998</v>
      </c>
      <c r="T2489">
        <v>-6.7509769999999997E-2</v>
      </c>
      <c r="U2489">
        <v>-4.1809079999999998E-2</v>
      </c>
      <c r="V2489">
        <v>-9.6041870000000001E-2</v>
      </c>
      <c r="W2489">
        <v>1.7212060000000001E-3</v>
      </c>
      <c r="X2489">
        <v>0.99537580000000003</v>
      </c>
      <c r="Y2489">
        <v>-1.545612E-2</v>
      </c>
      <c r="Z2489">
        <v>-3.0113459999999998E-4</v>
      </c>
      <c r="AA2489">
        <v>0.99988049999999995</v>
      </c>
      <c r="AB2489">
        <v>50</v>
      </c>
      <c r="AC2489">
        <v>-49.127699999999997</v>
      </c>
      <c r="AD2489">
        <v>-1.10947674484</v>
      </c>
      <c r="AE2489">
        <v>-0.68759999999997401</v>
      </c>
      <c r="AF2489">
        <v>-0.76428106461015299</v>
      </c>
      <c r="AG2489">
        <v>-1.10947674484</v>
      </c>
      <c r="AH2489">
        <v>49.1015231938418</v>
      </c>
      <c r="AI2489">
        <v>91.294253626638195</v>
      </c>
      <c r="AJ2489">
        <v>90.891755297056605</v>
      </c>
      <c r="AK2489">
        <v>49.120002485224397</v>
      </c>
      <c r="AL2489">
        <v>89.9013821111716</v>
      </c>
      <c r="AM2489">
        <v>95.5112970080054</v>
      </c>
      <c r="AN2489">
        <v>0.99999999328441502</v>
      </c>
    </row>
    <row r="2490" spans="1:40" x14ac:dyDescent="0.25">
      <c r="A2490" t="str">
        <f>"20190305134947449"</f>
        <v>20190305134947449</v>
      </c>
      <c r="B2490" t="str">
        <f>"1551764987442729"</f>
        <v>1551764987442729</v>
      </c>
      <c r="C2490" t="s">
        <v>40</v>
      </c>
      <c r="D2490">
        <v>3.951025</v>
      </c>
      <c r="E2490">
        <v>0.53341619999999901</v>
      </c>
      <c r="F2490" t="s">
        <v>74</v>
      </c>
      <c r="G2490">
        <v>-392.3673</v>
      </c>
      <c r="H2490" s="1">
        <v>-2.7703599999999999E-7</v>
      </c>
      <c r="I2490">
        <v>284.72300000000001</v>
      </c>
      <c r="J2490">
        <v>-340.34429999999998</v>
      </c>
      <c r="K2490">
        <v>1.1094930000000001</v>
      </c>
      <c r="L2490">
        <v>285.41050000000001</v>
      </c>
      <c r="M2490">
        <v>-0.99988589999999999</v>
      </c>
      <c r="N2490">
        <v>-1.5021720000000001E-2</v>
      </c>
      <c r="O2490">
        <v>1.5683509999999999E-3</v>
      </c>
      <c r="P2490">
        <v>-0.99540189999999995</v>
      </c>
      <c r="Q2490">
        <v>-1.3123060000000001E-2</v>
      </c>
      <c r="R2490">
        <v>-9.4884750000000004E-2</v>
      </c>
      <c r="S2490">
        <v>-3.009125</v>
      </c>
      <c r="T2490">
        <v>-6.3603640000000003E-2</v>
      </c>
      <c r="U2490">
        <v>-3.9367680000000002E-2</v>
      </c>
      <c r="V2490">
        <v>-9.6445779999999995E-2</v>
      </c>
      <c r="W2490">
        <v>1.8323090000000001E-3</v>
      </c>
      <c r="X2490">
        <v>0.99533649999999996</v>
      </c>
      <c r="Y2490">
        <v>-1.46443999999999E-2</v>
      </c>
      <c r="Z2490">
        <v>-2.7435509999999998E-4</v>
      </c>
      <c r="AA2490">
        <v>0.99989269999999997</v>
      </c>
      <c r="AB2490">
        <v>50</v>
      </c>
      <c r="AC2490">
        <v>-52.023000000000003</v>
      </c>
      <c r="AD2490">
        <v>-1.109493277036</v>
      </c>
      <c r="AE2490">
        <v>-0.6875</v>
      </c>
      <c r="AF2490">
        <v>-0.76874909177852102</v>
      </c>
      <c r="AG2490">
        <v>-1.109493277036</v>
      </c>
      <c r="AH2490">
        <v>51.998210909601703</v>
      </c>
      <c r="AI2490">
        <v>91.222209257871299</v>
      </c>
      <c r="AJ2490">
        <v>90.847007407551899</v>
      </c>
      <c r="AK2490">
        <v>52.0157273168156</v>
      </c>
      <c r="AL2490">
        <v>89.895016363230894</v>
      </c>
      <c r="AM2490">
        <v>95.534548666804497</v>
      </c>
      <c r="AN2490">
        <v>0.99999994703416295</v>
      </c>
    </row>
    <row r="2491" spans="1:40" x14ac:dyDescent="0.25">
      <c r="A2491" t="str">
        <f>"20190305134947463"</f>
        <v>20190305134947463</v>
      </c>
      <c r="B2491" t="str">
        <f>"1551764987453465"</f>
        <v>1551764987453465</v>
      </c>
      <c r="C2491" t="s">
        <v>40</v>
      </c>
      <c r="D2491">
        <v>3.7268150000000002</v>
      </c>
      <c r="E2491">
        <v>0.53279480000000001</v>
      </c>
      <c r="F2491" t="s">
        <v>47</v>
      </c>
      <c r="G2491">
        <v>0</v>
      </c>
      <c r="H2491">
        <v>0</v>
      </c>
      <c r="I2491">
        <v>0</v>
      </c>
      <c r="J2491">
        <v>-340.65300000000002</v>
      </c>
      <c r="K2491">
        <v>1.109494</v>
      </c>
      <c r="L2491">
        <v>285.411</v>
      </c>
      <c r="M2491">
        <v>-0.99988600000000005</v>
      </c>
      <c r="N2491">
        <v>-1.501979E-2</v>
      </c>
      <c r="O2491">
        <v>1.568189E-3</v>
      </c>
      <c r="P2491">
        <v>-0.99534319999999998</v>
      </c>
      <c r="Q2491">
        <v>-1.3168320000000001E-2</v>
      </c>
      <c r="R2491">
        <v>-9.5490749999999999E-2</v>
      </c>
      <c r="S2491">
        <v>-3.0168460000000001</v>
      </c>
      <c r="T2491">
        <v>0.48954940000000002</v>
      </c>
      <c r="U2491">
        <v>-3.6315920000000002E-2</v>
      </c>
      <c r="V2491">
        <v>-9.7051830000000006E-2</v>
      </c>
      <c r="W2491">
        <v>1.7841489999999901E-3</v>
      </c>
      <c r="X2491">
        <v>0.99527770000000004</v>
      </c>
      <c r="Y2491">
        <v>-1.3421509999999999E-2</v>
      </c>
      <c r="Z2491">
        <v>1.256655E-3</v>
      </c>
      <c r="AA2491">
        <v>0.99990919999999905</v>
      </c>
      <c r="AB2491">
        <v>50</v>
      </c>
      <c r="AC2491">
        <v>-3.0168460000000001</v>
      </c>
      <c r="AD2491">
        <v>0.48954940000000002</v>
      </c>
      <c r="AE2491">
        <v>-3.6315920000000002E-2</v>
      </c>
      <c r="AF2491">
        <v>-3.9994406425650303E-2</v>
      </c>
      <c r="AG2491">
        <v>0.48954940000000002</v>
      </c>
      <c r="AH2491">
        <v>2.93939585585139</v>
      </c>
      <c r="AI2491">
        <v>80.545173494187196</v>
      </c>
      <c r="AJ2491">
        <v>90.779537500038103</v>
      </c>
      <c r="AK2491">
        <v>2.98015203722596</v>
      </c>
      <c r="AL2491">
        <v>89.897775735029199</v>
      </c>
      <c r="AM2491">
        <v>95.569435882273197</v>
      </c>
      <c r="AN2491">
        <v>0.99999997050564604</v>
      </c>
    </row>
    <row r="2492" spans="1:40" x14ac:dyDescent="0.25">
      <c r="A2492" t="str">
        <f>"20190305134947481"</f>
        <v>20190305134947481</v>
      </c>
      <c r="B2492" t="str">
        <f>"1551764987472985"</f>
        <v>1551764987472985</v>
      </c>
      <c r="C2492" t="s">
        <v>40</v>
      </c>
      <c r="D2492">
        <v>3.9803000000000002</v>
      </c>
      <c r="E2492">
        <v>0.53234729999999997</v>
      </c>
      <c r="F2492" t="s">
        <v>47</v>
      </c>
      <c r="G2492">
        <v>0</v>
      </c>
      <c r="H2492">
        <v>0</v>
      </c>
      <c r="I2492">
        <v>0</v>
      </c>
      <c r="J2492">
        <v>-341.08569999999997</v>
      </c>
      <c r="K2492">
        <v>1.109497</v>
      </c>
      <c r="L2492">
        <v>285.4117</v>
      </c>
      <c r="M2492">
        <v>-0.9998861</v>
      </c>
      <c r="N2492">
        <v>-1.5017050000000001E-2</v>
      </c>
      <c r="O2492">
        <v>1.567854E-3</v>
      </c>
      <c r="P2492">
        <v>-0.99525969999999997</v>
      </c>
      <c r="Q2492">
        <v>-1.3090279999999999E-2</v>
      </c>
      <c r="R2492">
        <v>-9.6368620000000002E-2</v>
      </c>
      <c r="S2492">
        <v>-3.0163570000000002</v>
      </c>
      <c r="T2492">
        <v>0.48569770000000001</v>
      </c>
      <c r="U2492">
        <v>-4.2755130000000002E-2</v>
      </c>
      <c r="V2492">
        <v>-9.792882E-2</v>
      </c>
      <c r="W2492">
        <v>1.858536E-3</v>
      </c>
      <c r="X2492">
        <v>0.99519170000000001</v>
      </c>
      <c r="Y2492">
        <v>-1.553554E-2</v>
      </c>
      <c r="Z2492">
        <v>1.3995850000000001E-3</v>
      </c>
      <c r="AA2492">
        <v>0.9998783</v>
      </c>
      <c r="AB2492">
        <v>50</v>
      </c>
      <c r="AC2492">
        <v>-3.0163570000000002</v>
      </c>
      <c r="AD2492">
        <v>0.48569770000000001</v>
      </c>
      <c r="AE2492">
        <v>-4.2755130000000002E-2</v>
      </c>
      <c r="AF2492">
        <v>-4.6284988266348102E-2</v>
      </c>
      <c r="AG2492">
        <v>0.48569770000000001</v>
      </c>
      <c r="AH2492">
        <v>2.9400718036714499</v>
      </c>
      <c r="AI2492">
        <v>80.620642369682301</v>
      </c>
      <c r="AJ2492">
        <v>90.9019219973124</v>
      </c>
      <c r="AK2492">
        <v>2.9802796457158198</v>
      </c>
      <c r="AL2492">
        <v>89.893513671297796</v>
      </c>
      <c r="AM2492">
        <v>95.619924814303403</v>
      </c>
      <c r="AN2492">
        <v>1.0000000138457701</v>
      </c>
    </row>
    <row r="2493" spans="1:40" x14ac:dyDescent="0.25">
      <c r="A2493" t="str">
        <f>"20190305134947497"</f>
        <v>20190305134947497</v>
      </c>
      <c r="B2493" t="str">
        <f>"1551764987493481"</f>
        <v>1551764987493481</v>
      </c>
      <c r="C2493" t="s">
        <v>40</v>
      </c>
      <c r="D2493">
        <v>3.9594849999999999</v>
      </c>
      <c r="E2493">
        <v>0.53311619999999904</v>
      </c>
      <c r="F2493" t="s">
        <v>47</v>
      </c>
      <c r="G2493">
        <v>0</v>
      </c>
      <c r="H2493">
        <v>0</v>
      </c>
      <c r="I2493">
        <v>0</v>
      </c>
      <c r="J2493">
        <v>-341.3861</v>
      </c>
      <c r="K2493">
        <v>1.109502</v>
      </c>
      <c r="L2493">
        <v>285.41210000000001</v>
      </c>
      <c r="M2493">
        <v>-0.99988600000000005</v>
      </c>
      <c r="N2493">
        <v>-1.501509E-2</v>
      </c>
      <c r="O2493">
        <v>1.567691E-3</v>
      </c>
      <c r="P2493">
        <v>-0.99523870000000003</v>
      </c>
      <c r="Q2493">
        <v>-1.3109579999999999E-2</v>
      </c>
      <c r="R2493">
        <v>-9.6582580000000001E-2</v>
      </c>
      <c r="S2493">
        <v>-3.0159609999999999</v>
      </c>
      <c r="T2493">
        <v>0.48716890000000002</v>
      </c>
      <c r="U2493">
        <v>-4.9041750000000002E-2</v>
      </c>
      <c r="V2493">
        <v>-9.814283E-2</v>
      </c>
      <c r="W2493">
        <v>1.837078E-3</v>
      </c>
      <c r="X2493">
        <v>0.99517069999999996</v>
      </c>
      <c r="Y2493">
        <v>-1.7595409999999999E-2</v>
      </c>
      <c r="Z2493">
        <v>1.5539250000000001E-3</v>
      </c>
      <c r="AA2493">
        <v>0.99984399999999996</v>
      </c>
      <c r="AB2493">
        <v>50</v>
      </c>
      <c r="AC2493">
        <v>-3.0159609999999999</v>
      </c>
      <c r="AD2493">
        <v>0.48716890000000002</v>
      </c>
      <c r="AE2493">
        <v>-4.9041750000000002E-2</v>
      </c>
      <c r="AF2493">
        <v>-5.2403369663852603E-2</v>
      </c>
      <c r="AG2493">
        <v>0.48716890000000002</v>
      </c>
      <c r="AH2493">
        <v>2.9392107350605698</v>
      </c>
      <c r="AI2493">
        <v>80.590355856394098</v>
      </c>
      <c r="AJ2493">
        <v>91.021421771284494</v>
      </c>
      <c r="AK2493">
        <v>2.9797717018883598</v>
      </c>
      <c r="AL2493">
        <v>89.894743130657403</v>
      </c>
      <c r="AM2493">
        <v>95.632245595701505</v>
      </c>
      <c r="AN2493">
        <v>1.00000005603723</v>
      </c>
    </row>
    <row r="2494" spans="1:40" x14ac:dyDescent="0.25">
      <c r="A2494" t="str">
        <f>"20190305134947510"</f>
        <v>20190305134947510</v>
      </c>
      <c r="B2494" t="str">
        <f>"1551764987503243"</f>
        <v>1551764987503243</v>
      </c>
      <c r="C2494" t="s">
        <v>40</v>
      </c>
      <c r="D2494">
        <v>3.987444</v>
      </c>
      <c r="E2494">
        <v>0.52947909999999998</v>
      </c>
      <c r="F2494" t="s">
        <v>47</v>
      </c>
      <c r="G2494">
        <v>0</v>
      </c>
      <c r="H2494">
        <v>0</v>
      </c>
      <c r="I2494">
        <v>0</v>
      </c>
      <c r="J2494">
        <v>-341.7199</v>
      </c>
      <c r="K2494">
        <v>1.1095029999999999</v>
      </c>
      <c r="L2494">
        <v>285.41269999999997</v>
      </c>
      <c r="M2494">
        <v>-0.99988619999999995</v>
      </c>
      <c r="N2494">
        <v>-1.501282E-2</v>
      </c>
      <c r="O2494">
        <v>1.5674110000000001E-3</v>
      </c>
      <c r="P2494">
        <v>-0.99521760000000004</v>
      </c>
      <c r="Q2494">
        <v>-1.290466E-2</v>
      </c>
      <c r="R2494">
        <v>-9.6829120000000005E-2</v>
      </c>
      <c r="S2494">
        <v>-3.016632</v>
      </c>
      <c r="T2494">
        <v>0.48962030000000001</v>
      </c>
      <c r="U2494">
        <v>-4.3365479999999998E-2</v>
      </c>
      <c r="V2494">
        <v>-9.8389069999999995E-2</v>
      </c>
      <c r="W2494">
        <v>2.03878E-3</v>
      </c>
      <c r="X2494">
        <v>0.99514590000000003</v>
      </c>
      <c r="Y2494">
        <v>-1.5730379999999999E-2</v>
      </c>
      <c r="Z2494">
        <v>1.425525E-3</v>
      </c>
      <c r="AA2494">
        <v>0.99987519999999996</v>
      </c>
      <c r="AB2494">
        <v>50</v>
      </c>
      <c r="AC2494">
        <v>-3.016632</v>
      </c>
      <c r="AD2494">
        <v>0.48962030000000001</v>
      </c>
      <c r="AE2494">
        <v>-4.3365479999999998E-2</v>
      </c>
      <c r="AF2494">
        <v>-4.6860056427886002E-2</v>
      </c>
      <c r="AG2494">
        <v>0.48962030000000001</v>
      </c>
      <c r="AH2494">
        <v>2.9391487245093701</v>
      </c>
      <c r="AI2494">
        <v>80.543368744316695</v>
      </c>
      <c r="AJ2494">
        <v>90.913412778700007</v>
      </c>
      <c r="AK2494">
        <v>2.9800199878265201</v>
      </c>
      <c r="AL2494">
        <v>89.883186425514197</v>
      </c>
      <c r="AM2494">
        <v>95.646425482081298</v>
      </c>
      <c r="AN2494">
        <v>0.999999964003081</v>
      </c>
    </row>
    <row r="2495" spans="1:40" x14ac:dyDescent="0.25">
      <c r="A2495" t="str">
        <f>"20190305134947524"</f>
        <v>20190305134947524</v>
      </c>
      <c r="B2495" t="str">
        <f>"1551764987513003"</f>
        <v>1551764987513003</v>
      </c>
      <c r="C2495" t="s">
        <v>40</v>
      </c>
      <c r="D2495">
        <v>3.7539829999999998</v>
      </c>
      <c r="E2495">
        <v>0.52947909999999998</v>
      </c>
      <c r="F2495" t="s">
        <v>74</v>
      </c>
      <c r="G2495">
        <v>-380.49630000000002</v>
      </c>
      <c r="H2495" s="1">
        <v>-1.272689E-6</v>
      </c>
      <c r="I2495">
        <v>284.70490000000001</v>
      </c>
      <c r="J2495">
        <v>-342.05990000000003</v>
      </c>
      <c r="K2495">
        <v>1.10951</v>
      </c>
      <c r="L2495">
        <v>285.41309999999999</v>
      </c>
      <c r="M2495">
        <v>-0.99988619999999995</v>
      </c>
      <c r="N2495">
        <v>-1.50105E-2</v>
      </c>
      <c r="O2495">
        <v>1.5670720000000001E-3</v>
      </c>
      <c r="P2495">
        <v>-0.99523550000000005</v>
      </c>
      <c r="Q2495">
        <v>-1.2290189999999999E-2</v>
      </c>
      <c r="R2495">
        <v>-9.6723329999999996E-2</v>
      </c>
      <c r="S2495">
        <v>-3.0079039999999999</v>
      </c>
      <c r="T2495">
        <v>-8.606482E-2</v>
      </c>
      <c r="U2495">
        <v>-5.4901119999999998E-2</v>
      </c>
      <c r="V2495">
        <v>-9.8283110000000007E-2</v>
      </c>
      <c r="W2495">
        <v>2.6515140000000002E-3</v>
      </c>
      <c r="X2495">
        <v>0.99515500000000001</v>
      </c>
      <c r="Y2495">
        <v>-1.9803709999999999E-2</v>
      </c>
      <c r="Z2495">
        <v>-4.5324420000000001E-4</v>
      </c>
      <c r="AA2495">
        <v>0.99980380000000002</v>
      </c>
      <c r="AB2495">
        <v>50</v>
      </c>
      <c r="AC2495">
        <v>-38.4363999999999</v>
      </c>
      <c r="AD2495">
        <v>-1.109511272689</v>
      </c>
      <c r="AE2495">
        <v>-0.70819999999997596</v>
      </c>
      <c r="AF2495">
        <v>-0.76779896237356804</v>
      </c>
      <c r="AG2495">
        <v>-1.109511272689</v>
      </c>
      <c r="AH2495">
        <v>38.403254018601103</v>
      </c>
      <c r="AI2495">
        <v>91.654545835022006</v>
      </c>
      <c r="AJ2495">
        <v>91.145365961813198</v>
      </c>
      <c r="AK2495">
        <v>38.426949524104202</v>
      </c>
      <c r="AL2495">
        <v>89.848079266107007</v>
      </c>
      <c r="AM2495">
        <v>95.6403325575005</v>
      </c>
      <c r="AN2495">
        <v>1.00000003713138</v>
      </c>
    </row>
    <row r="2496" spans="1:40" x14ac:dyDescent="0.25">
      <c r="A2496" t="str">
        <f>"20190305134947537"</f>
        <v>20190305134947537</v>
      </c>
      <c r="B2496" t="str">
        <f>"1551764987533497"</f>
        <v>1551764987533497</v>
      </c>
      <c r="C2496" t="s">
        <v>40</v>
      </c>
      <c r="D2496">
        <v>3.965633</v>
      </c>
      <c r="E2496">
        <v>0.53290249999999995</v>
      </c>
      <c r="F2496" t="s">
        <v>74</v>
      </c>
      <c r="G2496">
        <v>-381.66669999999999</v>
      </c>
      <c r="H2496" s="1">
        <v>-6.4987399999999898E-7</v>
      </c>
      <c r="I2496">
        <v>284.69470000000001</v>
      </c>
      <c r="J2496">
        <v>-342.30959999999999</v>
      </c>
      <c r="K2496">
        <v>1.109518</v>
      </c>
      <c r="L2496">
        <v>285.41359999999997</v>
      </c>
      <c r="M2496">
        <v>-0.99988619999999995</v>
      </c>
      <c r="N2496">
        <v>-1.5008809999999999E-2</v>
      </c>
      <c r="O2496">
        <v>1.567085E-3</v>
      </c>
      <c r="P2496">
        <v>-0.99524109999999999</v>
      </c>
      <c r="Q2496">
        <v>-1.182386E-2</v>
      </c>
      <c r="R2496">
        <v>-9.6723089999999998E-2</v>
      </c>
      <c r="S2496">
        <v>-3.008057</v>
      </c>
      <c r="T2496">
        <v>-8.4265110000000004E-2</v>
      </c>
      <c r="U2496">
        <v>-5.4565429999999998E-2</v>
      </c>
      <c r="V2496">
        <v>-9.8282990000000001E-2</v>
      </c>
      <c r="W2496">
        <v>3.1164280000000001E-3</v>
      </c>
      <c r="X2496">
        <v>0.99515359999999997</v>
      </c>
      <c r="Y2496">
        <v>-1.9691770000000001E-2</v>
      </c>
      <c r="Z2496">
        <v>-4.4394699999999998E-4</v>
      </c>
      <c r="AA2496">
        <v>0.99980599999999997</v>
      </c>
      <c r="AB2496">
        <v>50</v>
      </c>
      <c r="AC2496">
        <v>-39.357100000000003</v>
      </c>
      <c r="AD2496">
        <v>-1.109518649874</v>
      </c>
      <c r="AE2496">
        <v>-0.71889999999996201</v>
      </c>
      <c r="AF2496">
        <v>-0.77996232429678103</v>
      </c>
      <c r="AG2496">
        <v>-1.109518649874</v>
      </c>
      <c r="AH2496">
        <v>39.324682631604297</v>
      </c>
      <c r="AI2496">
        <v>91.615814319818597</v>
      </c>
      <c r="AJ2496">
        <v>91.136250513226599</v>
      </c>
      <c r="AK2496">
        <v>39.348062683417403</v>
      </c>
      <c r="AL2496">
        <v>89.821441534577104</v>
      </c>
      <c r="AM2496">
        <v>95.640333599017794</v>
      </c>
      <c r="AN2496">
        <v>0.99999997291988896</v>
      </c>
    </row>
    <row r="2497" spans="1:40" x14ac:dyDescent="0.25">
      <c r="A2497" t="str">
        <f>"20190305134947549"</f>
        <v>20190305134947549</v>
      </c>
      <c r="B2497" t="str">
        <f>"1551764987542789"</f>
        <v>1551764987542789</v>
      </c>
      <c r="C2497" t="s">
        <v>40</v>
      </c>
      <c r="D2497">
        <v>3.984658</v>
      </c>
      <c r="E2497">
        <v>0.52967430000000004</v>
      </c>
      <c r="F2497" t="s">
        <v>47</v>
      </c>
      <c r="G2497">
        <v>0</v>
      </c>
      <c r="H2497">
        <v>0</v>
      </c>
      <c r="I2497">
        <v>0</v>
      </c>
      <c r="J2497">
        <v>-342.6078</v>
      </c>
      <c r="K2497">
        <v>1.1095200000000001</v>
      </c>
      <c r="L2497">
        <v>285.41399999999999</v>
      </c>
      <c r="M2497">
        <v>-0.99988619999999995</v>
      </c>
      <c r="N2497">
        <v>-1.500684E-2</v>
      </c>
      <c r="O2497">
        <v>1.5669220000000001E-3</v>
      </c>
      <c r="P2497">
        <v>-0.99529429999999997</v>
      </c>
      <c r="Q2497">
        <v>-1.1367530000000001E-2</v>
      </c>
      <c r="R2497">
        <v>-9.6230339999999998E-2</v>
      </c>
      <c r="S2497">
        <v>-3.015717</v>
      </c>
      <c r="T2497">
        <v>0.4867146</v>
      </c>
      <c r="U2497">
        <v>-4.5104980000000003E-2</v>
      </c>
      <c r="V2497">
        <v>-9.7789790000000001E-2</v>
      </c>
      <c r="W2497">
        <v>3.5713279999999999E-3</v>
      </c>
      <c r="X2497">
        <v>0.99520070000000005</v>
      </c>
      <c r="Y2497">
        <v>-1.630655E-2</v>
      </c>
      <c r="Z2497">
        <v>1.4588680000000001E-3</v>
      </c>
      <c r="AA2497">
        <v>0.99986589999999997</v>
      </c>
      <c r="AB2497">
        <v>50</v>
      </c>
      <c r="AC2497">
        <v>-3.015717</v>
      </c>
      <c r="AD2497">
        <v>0.4867146</v>
      </c>
      <c r="AE2497">
        <v>-4.5104980000000003E-2</v>
      </c>
      <c r="AF2497">
        <v>-4.8566102833121599E-2</v>
      </c>
      <c r="AG2497">
        <v>0.4867146</v>
      </c>
      <c r="AH2497">
        <v>2.93910317483865</v>
      </c>
      <c r="AI2497">
        <v>80.598429119593902</v>
      </c>
      <c r="AJ2497">
        <v>90.9466763610735</v>
      </c>
      <c r="AK2497">
        <v>2.9795263449991798</v>
      </c>
      <c r="AL2497">
        <v>89.795377546509499</v>
      </c>
      <c r="AM2497">
        <v>95.611946721566497</v>
      </c>
      <c r="AN2497">
        <v>1.0000000153462001</v>
      </c>
    </row>
    <row r="2498" spans="1:40" x14ac:dyDescent="0.25">
      <c r="A2498" t="str">
        <f>"20190305134947560"</f>
        <v>20190305134947560</v>
      </c>
      <c r="B2498" t="str">
        <f>"1551764987553525"</f>
        <v>1551764987553525</v>
      </c>
      <c r="C2498" t="s">
        <v>40</v>
      </c>
      <c r="D2498">
        <v>3.777399</v>
      </c>
      <c r="E2498">
        <v>0.52967430000000004</v>
      </c>
      <c r="F2498" t="s">
        <v>74</v>
      </c>
      <c r="G2498">
        <v>-383.68490000000003</v>
      </c>
      <c r="H2498" s="1">
        <v>4.2414539999999999E-7</v>
      </c>
      <c r="I2498">
        <v>284.71019999999999</v>
      </c>
      <c r="J2498">
        <v>-342.85480000000001</v>
      </c>
      <c r="K2498">
        <v>1.1095219999999999</v>
      </c>
      <c r="L2498">
        <v>285.4144</v>
      </c>
      <c r="M2498">
        <v>-0.99988619999999995</v>
      </c>
      <c r="N2498">
        <v>-1.500523E-2</v>
      </c>
      <c r="O2498">
        <v>1.566577E-3</v>
      </c>
      <c r="P2498">
        <v>-0.99532229999999999</v>
      </c>
      <c r="Q2498">
        <v>-1.1120379999999999E-2</v>
      </c>
      <c r="R2498">
        <v>-9.5966670000000004E-2</v>
      </c>
      <c r="S2498">
        <v>-3.00827</v>
      </c>
      <c r="T2498">
        <v>-8.12552E-2</v>
      </c>
      <c r="U2498">
        <v>-5.1544189999999997E-2</v>
      </c>
      <c r="V2498">
        <v>-9.7526329999999994E-2</v>
      </c>
      <c r="W2498">
        <v>3.8173740000000001E-3</v>
      </c>
      <c r="X2498">
        <v>0.99522560000000004</v>
      </c>
      <c r="Y2498">
        <v>-1.868744E-2</v>
      </c>
      <c r="Z2498">
        <v>-4.1137660000000001E-4</v>
      </c>
      <c r="AA2498">
        <v>0.99982530000000003</v>
      </c>
      <c r="AB2498">
        <v>50</v>
      </c>
      <c r="AC2498">
        <v>-40.830100000000002</v>
      </c>
      <c r="AD2498">
        <v>-1.1095215758546</v>
      </c>
      <c r="AE2498">
        <v>-0.70420000000001404</v>
      </c>
      <c r="AF2498">
        <v>-0.76760317828744296</v>
      </c>
      <c r="AG2498">
        <v>-1.1095215758546</v>
      </c>
      <c r="AH2498">
        <v>40.798828370171002</v>
      </c>
      <c r="AI2498">
        <v>91.557495677339304</v>
      </c>
      <c r="AJ2498">
        <v>91.077855319026995</v>
      </c>
      <c r="AK2498">
        <v>40.8211299346953</v>
      </c>
      <c r="AL2498">
        <v>89.781280044545994</v>
      </c>
      <c r="AM2498">
        <v>95.596784300892907</v>
      </c>
      <c r="AN2498">
        <v>0.99999997614144198</v>
      </c>
    </row>
    <row r="2499" spans="1:40" x14ac:dyDescent="0.25">
      <c r="A2499" t="str">
        <f>"20190305134947572"</f>
        <v>20190305134947572</v>
      </c>
      <c r="B2499" t="str">
        <f>"1551764987563285"</f>
        <v>1551764987563285</v>
      </c>
      <c r="C2499" t="s">
        <v>40</v>
      </c>
      <c r="D2499">
        <v>3.978685</v>
      </c>
      <c r="E2499">
        <v>0.52940010000000004</v>
      </c>
      <c r="F2499" t="s">
        <v>74</v>
      </c>
      <c r="G2499">
        <v>-384.30540000000002</v>
      </c>
      <c r="H2499" s="1">
        <v>7.5431619999999897E-7</v>
      </c>
      <c r="I2499">
        <v>284.71469999999999</v>
      </c>
      <c r="J2499">
        <v>-343.10090000000002</v>
      </c>
      <c r="K2499">
        <v>1.1095170000000001</v>
      </c>
      <c r="L2499">
        <v>285.41480000000001</v>
      </c>
      <c r="M2499">
        <v>-0.99988630000000001</v>
      </c>
      <c r="N2499">
        <v>-1.500363E-2</v>
      </c>
      <c r="O2499">
        <v>1.566291E-3</v>
      </c>
      <c r="P2499">
        <v>-0.99533680000000002</v>
      </c>
      <c r="Q2499">
        <v>-1.1105200000000001E-2</v>
      </c>
      <c r="R2499">
        <v>-9.5822069999999995E-2</v>
      </c>
      <c r="S2499">
        <v>-3.0083009999999999</v>
      </c>
      <c r="T2499">
        <v>-8.0524209999999999E-2</v>
      </c>
      <c r="U2499">
        <v>-5.078125E-2</v>
      </c>
      <c r="V2499">
        <v>-9.7381090000000003E-2</v>
      </c>
      <c r="W2499">
        <v>3.8312020000000001E-3</v>
      </c>
      <c r="X2499">
        <v>0.99523980000000001</v>
      </c>
      <c r="Y2499">
        <v>-1.8433789999999999E-2</v>
      </c>
      <c r="Z2499">
        <v>-4.0341040000000002E-4</v>
      </c>
      <c r="AA2499">
        <v>0.99983</v>
      </c>
      <c r="AB2499">
        <v>50</v>
      </c>
      <c r="AC2499">
        <v>-41.204500000000003</v>
      </c>
      <c r="AD2499">
        <v>-1.1095162456837999</v>
      </c>
      <c r="AE2499">
        <v>-0.70010000000002004</v>
      </c>
      <c r="AF2499">
        <v>-0.76409078120644403</v>
      </c>
      <c r="AG2499">
        <v>-1.1095162456837999</v>
      </c>
      <c r="AH2499">
        <v>41.173507833441903</v>
      </c>
      <c r="AI2499">
        <v>91.543329313174993</v>
      </c>
      <c r="AJ2499">
        <v>91.063163051287404</v>
      </c>
      <c r="AK2499">
        <v>41.195541121969299</v>
      </c>
      <c r="AL2499">
        <v>89.780487759501298</v>
      </c>
      <c r="AM2499">
        <v>95.588422922824506</v>
      </c>
      <c r="AN2499">
        <v>1.0000000071511901</v>
      </c>
    </row>
    <row r="2500" spans="1:40" x14ac:dyDescent="0.25">
      <c r="A2500" t="str">
        <f>"20190305134947582"</f>
        <v>20190305134947582</v>
      </c>
      <c r="B2500" t="str">
        <f>"1551764987573045"</f>
        <v>1551764987573045</v>
      </c>
      <c r="C2500" t="s">
        <v>40</v>
      </c>
      <c r="D2500">
        <v>3.6811039999999999</v>
      </c>
      <c r="E2500">
        <v>0.52940010000000004</v>
      </c>
      <c r="F2500" t="s">
        <v>74</v>
      </c>
      <c r="G2500">
        <v>-385.7276</v>
      </c>
      <c r="H2500" s="1">
        <v>1.5111619999999901E-6</v>
      </c>
      <c r="I2500">
        <v>284.6705</v>
      </c>
      <c r="J2500">
        <v>-343.35899999999998</v>
      </c>
      <c r="K2500">
        <v>1.1095159999999999</v>
      </c>
      <c r="L2500">
        <v>285.41520000000003</v>
      </c>
      <c r="M2500">
        <v>-0.99988650000000001</v>
      </c>
      <c r="N2500">
        <v>-1.500196E-2</v>
      </c>
      <c r="O2500">
        <v>1.566125E-3</v>
      </c>
      <c r="P2500">
        <v>-0.99535289999999998</v>
      </c>
      <c r="Q2500">
        <v>-1.0942189999999999E-2</v>
      </c>
      <c r="R2500">
        <v>-9.5672750000000001E-2</v>
      </c>
      <c r="S2500">
        <v>-3.0081180000000001</v>
      </c>
      <c r="T2500">
        <v>-7.8297259999999994E-2</v>
      </c>
      <c r="U2500">
        <v>-5.2520749999999998E-2</v>
      </c>
      <c r="V2500">
        <v>-9.723155E-2</v>
      </c>
      <c r="W2500">
        <v>3.9928489999999997E-3</v>
      </c>
      <c r="X2500">
        <v>0.99525379999999997</v>
      </c>
      <c r="Y2500">
        <v>-1.9012810000000002E-2</v>
      </c>
      <c r="Z2500">
        <v>-4.0731140000000002E-4</v>
      </c>
      <c r="AA2500">
        <v>0.99981920000000002</v>
      </c>
      <c r="AB2500">
        <v>50</v>
      </c>
      <c r="AC2500">
        <v>-42.368599999999901</v>
      </c>
      <c r="AD2500">
        <v>-1.109514488838</v>
      </c>
      <c r="AE2500">
        <v>-0.74470000000002201</v>
      </c>
      <c r="AF2500">
        <v>-0.81050541320867797</v>
      </c>
      <c r="AG2500">
        <v>-1.109514488838</v>
      </c>
      <c r="AH2500">
        <v>42.338356247250701</v>
      </c>
      <c r="AI2500">
        <v>91.500868704579602</v>
      </c>
      <c r="AJ2500">
        <v>91.096709271781705</v>
      </c>
      <c r="AK2500">
        <v>42.360646255043001</v>
      </c>
      <c r="AL2500">
        <v>89.771226001163697</v>
      </c>
      <c r="AM2500">
        <v>95.579817452507797</v>
      </c>
      <c r="AN2500">
        <v>1.00000002178648</v>
      </c>
    </row>
    <row r="2501" spans="1:40" x14ac:dyDescent="0.25">
      <c r="A2501" t="str">
        <f>"20190305134947595"</f>
        <v>20190305134947595</v>
      </c>
      <c r="B2501" t="str">
        <f>"1551764987582805"</f>
        <v>1551764987582805</v>
      </c>
      <c r="C2501" t="s">
        <v>40</v>
      </c>
      <c r="D2501">
        <v>3.7754059999999998</v>
      </c>
      <c r="E2501">
        <v>0.53089830000000005</v>
      </c>
      <c r="F2501" t="s">
        <v>74</v>
      </c>
      <c r="G2501">
        <v>-386.2328</v>
      </c>
      <c r="H2501" s="1">
        <v>1.780026E-6</v>
      </c>
      <c r="I2501">
        <v>284.67140000000001</v>
      </c>
      <c r="J2501">
        <v>-343.62329999999997</v>
      </c>
      <c r="K2501">
        <v>1.1095170000000001</v>
      </c>
      <c r="L2501">
        <v>285.41559999999998</v>
      </c>
      <c r="M2501">
        <v>-0.99988630000000001</v>
      </c>
      <c r="N2501">
        <v>-1.500024E-2</v>
      </c>
      <c r="O2501">
        <v>1.5661379999999999E-3</v>
      </c>
      <c r="P2501">
        <v>-0.99536939999999996</v>
      </c>
      <c r="Q2501">
        <v>-1.1021960000000001E-2</v>
      </c>
      <c r="R2501">
        <v>-9.549204E-2</v>
      </c>
      <c r="S2501">
        <v>-3.0081790000000002</v>
      </c>
      <c r="T2501">
        <v>-7.7847360000000004E-2</v>
      </c>
      <c r="U2501">
        <v>-5.2185059999999998E-2</v>
      </c>
      <c r="V2501">
        <v>-9.7050769999999995E-2</v>
      </c>
      <c r="W2501">
        <v>3.9117880000000002E-3</v>
      </c>
      <c r="X2501">
        <v>0.99527169999999998</v>
      </c>
      <c r="Y2501">
        <v>-1.8901089999999999E-2</v>
      </c>
      <c r="Z2501">
        <v>-4.0335320000000003E-4</v>
      </c>
      <c r="AA2501">
        <v>0.99982130000000002</v>
      </c>
      <c r="AB2501">
        <v>50</v>
      </c>
      <c r="AC2501">
        <v>-42.609499999999997</v>
      </c>
      <c r="AD2501">
        <v>-1.1095152199739999</v>
      </c>
      <c r="AE2501">
        <v>-0.74419999999997799</v>
      </c>
      <c r="AF2501">
        <v>-0.81038964376072598</v>
      </c>
      <c r="AG2501">
        <v>-1.1095152199739999</v>
      </c>
      <c r="AH2501">
        <v>42.579420445626901</v>
      </c>
      <c r="AI2501">
        <v>91.492379506763001</v>
      </c>
      <c r="AJ2501">
        <v>91.0903460095969</v>
      </c>
      <c r="AK2501">
        <v>42.601582140614703</v>
      </c>
      <c r="AL2501">
        <v>89.775870475650294</v>
      </c>
      <c r="AM2501">
        <v>95.569408799257999</v>
      </c>
      <c r="AN2501">
        <v>0.999999955431919</v>
      </c>
    </row>
    <row r="2502" spans="1:40" x14ac:dyDescent="0.25">
      <c r="A2502" t="str">
        <f>"20190305134947606"</f>
        <v>20190305134947606</v>
      </c>
      <c r="B2502" t="str">
        <f>"1551764987593541"</f>
        <v>1551764987593541</v>
      </c>
      <c r="C2502" t="s">
        <v>40</v>
      </c>
      <c r="D2502">
        <v>3.9616020000000001</v>
      </c>
      <c r="E2502">
        <v>0.53089830000000005</v>
      </c>
      <c r="F2502" t="s">
        <v>47</v>
      </c>
      <c r="G2502">
        <v>0</v>
      </c>
      <c r="H2502">
        <v>0</v>
      </c>
      <c r="I2502">
        <v>0</v>
      </c>
      <c r="J2502">
        <v>-343.88560000000001</v>
      </c>
      <c r="K2502">
        <v>1.109523</v>
      </c>
      <c r="L2502">
        <v>285.416</v>
      </c>
      <c r="M2502">
        <v>-0.99988630000000001</v>
      </c>
      <c r="N2502">
        <v>-1.499852E-2</v>
      </c>
      <c r="O2502">
        <v>1.5659719999999999E-3</v>
      </c>
      <c r="P2502">
        <v>-0.99537719999999996</v>
      </c>
      <c r="Q2502">
        <v>-1.105165E-2</v>
      </c>
      <c r="R2502">
        <v>-9.5405439999999994E-2</v>
      </c>
      <c r="S2502">
        <v>-3.0135800000000001</v>
      </c>
      <c r="T2502">
        <v>0.45057330000000001</v>
      </c>
      <c r="U2502">
        <v>-5.5847170000000002E-2</v>
      </c>
      <c r="V2502">
        <v>-9.6964400000000006E-2</v>
      </c>
      <c r="W2502">
        <v>3.880316E-3</v>
      </c>
      <c r="X2502">
        <v>0.99528030000000001</v>
      </c>
      <c r="Y2502">
        <v>-1.9874989999999999E-2</v>
      </c>
      <c r="Z2502">
        <v>1.5838180000000001E-3</v>
      </c>
      <c r="AA2502">
        <v>0.99980119999999895</v>
      </c>
      <c r="AB2502">
        <v>50</v>
      </c>
      <c r="AC2502">
        <v>-3.0135800000000001</v>
      </c>
      <c r="AD2502">
        <v>0.45057330000000001</v>
      </c>
      <c r="AE2502">
        <v>-5.5847170000000002E-2</v>
      </c>
      <c r="AF2502">
        <v>-5.9242921515922801E-2</v>
      </c>
      <c r="AG2502">
        <v>0.45057330000000001</v>
      </c>
      <c r="AH2502">
        <v>2.9476188403387602</v>
      </c>
      <c r="AI2502">
        <v>81.3107645952132</v>
      </c>
      <c r="AJ2502">
        <v>91.151408173450207</v>
      </c>
      <c r="AK2502">
        <v>2.9824457833031399</v>
      </c>
      <c r="AL2502">
        <v>89.777673715131598</v>
      </c>
      <c r="AM2502">
        <v>95.564435664613896</v>
      </c>
      <c r="AN2502">
        <v>1.00000001364385</v>
      </c>
    </row>
    <row r="2503" spans="1:40" x14ac:dyDescent="0.25">
      <c r="A2503" t="str">
        <f>"20190305134947617"</f>
        <v>20190305134947617</v>
      </c>
      <c r="B2503" t="str">
        <f>"1551764987613061"</f>
        <v>1551764987613061</v>
      </c>
      <c r="C2503" t="s">
        <v>40</v>
      </c>
      <c r="D2503">
        <v>3.7811910000000002</v>
      </c>
      <c r="E2503">
        <v>0.531645699999999</v>
      </c>
      <c r="F2503" t="s">
        <v>47</v>
      </c>
      <c r="G2503">
        <v>0</v>
      </c>
      <c r="H2503">
        <v>0</v>
      </c>
      <c r="I2503">
        <v>0</v>
      </c>
      <c r="J2503">
        <v>-344.13810000000001</v>
      </c>
      <c r="K2503">
        <v>1.1095219999999999</v>
      </c>
      <c r="L2503">
        <v>285.41640000000001</v>
      </c>
      <c r="M2503">
        <v>-0.99988630000000001</v>
      </c>
      <c r="N2503">
        <v>-1.4996870000000001E-2</v>
      </c>
      <c r="O2503">
        <v>1.5658060000000001E-3</v>
      </c>
      <c r="P2503">
        <v>-0.99539979999999995</v>
      </c>
      <c r="Q2503">
        <v>-1.104525E-2</v>
      </c>
      <c r="R2503">
        <v>-9.5170749999999998E-2</v>
      </c>
      <c r="S2503">
        <v>-3.0136409999999998</v>
      </c>
      <c r="T2503">
        <v>0.45050869999999998</v>
      </c>
      <c r="U2503">
        <v>-5.5633540000000002E-2</v>
      </c>
      <c r="V2503">
        <v>-9.6729499999999996E-2</v>
      </c>
      <c r="W2503">
        <v>3.8850849999999999E-3</v>
      </c>
      <c r="X2503">
        <v>0.99530320000000005</v>
      </c>
      <c r="Y2503">
        <v>-1.980438E-2</v>
      </c>
      <c r="Z2503">
        <v>1.578814E-3</v>
      </c>
      <c r="AA2503">
        <v>0.99980259999999999</v>
      </c>
      <c r="AB2503">
        <v>50</v>
      </c>
      <c r="AC2503">
        <v>-3.0136409999999998</v>
      </c>
      <c r="AD2503">
        <v>0.45050869999999998</v>
      </c>
      <c r="AE2503">
        <v>-5.5633540000000002E-2</v>
      </c>
      <c r="AF2503">
        <v>-5.9033984266602398E-2</v>
      </c>
      <c r="AG2503">
        <v>0.45050869999999998</v>
      </c>
      <c r="AH2503">
        <v>2.9476997560931699</v>
      </c>
      <c r="AI2503">
        <v>81.312213981053404</v>
      </c>
      <c r="AJ2503">
        <v>91.1473170010172</v>
      </c>
      <c r="AK2503">
        <v>2.98251185280894</v>
      </c>
      <c r="AL2503">
        <v>89.777400483159497</v>
      </c>
      <c r="AM2503">
        <v>95.550912980212104</v>
      </c>
      <c r="AN2503">
        <v>1.0000000749929701</v>
      </c>
    </row>
    <row r="2504" spans="1:40" x14ac:dyDescent="0.25">
      <c r="A2504" t="str">
        <f>"20190305134947630"</f>
        <v>20190305134947630</v>
      </c>
      <c r="B2504" t="str">
        <f>"1551764987622821"</f>
        <v>1551764987622821</v>
      </c>
      <c r="C2504" t="s">
        <v>40</v>
      </c>
      <c r="D2504">
        <v>3.9810910000000002</v>
      </c>
      <c r="E2504">
        <v>0.531645699999999</v>
      </c>
      <c r="F2504" t="s">
        <v>47</v>
      </c>
      <c r="G2504">
        <v>0</v>
      </c>
      <c r="H2504">
        <v>0</v>
      </c>
      <c r="I2504">
        <v>0</v>
      </c>
      <c r="J2504">
        <v>-344.42540000000002</v>
      </c>
      <c r="K2504">
        <v>1.109523</v>
      </c>
      <c r="L2504">
        <v>285.4169</v>
      </c>
      <c r="M2504">
        <v>-0.99988650000000001</v>
      </c>
      <c r="N2504">
        <v>-1.4995E-2</v>
      </c>
      <c r="O2504">
        <v>1.5655230000000001E-3</v>
      </c>
      <c r="P2504">
        <v>-0.99542189999999997</v>
      </c>
      <c r="Q2504">
        <v>-1.0958270000000001E-2</v>
      </c>
      <c r="R2504">
        <v>-9.4948179999999993E-2</v>
      </c>
      <c r="S2504">
        <v>-3.0143430000000002</v>
      </c>
      <c r="T2504">
        <v>0.47118399999999999</v>
      </c>
      <c r="U2504">
        <v>-4.9621579999999998E-2</v>
      </c>
      <c r="V2504">
        <v>-9.650686E-2</v>
      </c>
      <c r="W2504">
        <v>3.9709150000000002E-3</v>
      </c>
      <c r="X2504">
        <v>0.9953244</v>
      </c>
      <c r="Y2504">
        <v>-1.780704E-2</v>
      </c>
      <c r="Z2504">
        <v>1.515541E-3</v>
      </c>
      <c r="AA2504">
        <v>0.99984030000000002</v>
      </c>
      <c r="AB2504">
        <v>50</v>
      </c>
      <c r="AC2504">
        <v>-3.0143430000000002</v>
      </c>
      <c r="AD2504">
        <v>0.47118399999999999</v>
      </c>
      <c r="AE2504">
        <v>-4.9621579999999998E-2</v>
      </c>
      <c r="AF2504">
        <v>-5.3045310905595701E-2</v>
      </c>
      <c r="AG2504">
        <v>0.47118399999999999</v>
      </c>
      <c r="AH2504">
        <v>2.9423866232372999</v>
      </c>
      <c r="AI2504">
        <v>80.903541379922601</v>
      </c>
      <c r="AJ2504">
        <v>91.032815747280196</v>
      </c>
      <c r="AK2504">
        <v>2.9803468267083999</v>
      </c>
      <c r="AL2504">
        <v>89.772482732160398</v>
      </c>
      <c r="AM2504">
        <v>95.5380988704717</v>
      </c>
      <c r="AN2504">
        <v>1.0000000017141699</v>
      </c>
    </row>
    <row r="2505" spans="1:40" x14ac:dyDescent="0.25">
      <c r="A2505" t="str">
        <f>"20190305134947642"</f>
        <v>20190305134947642</v>
      </c>
      <c r="B2505" t="str">
        <f>"1551764987633558"</f>
        <v>1551764987633558</v>
      </c>
      <c r="C2505" t="s">
        <v>40</v>
      </c>
      <c r="D2505">
        <v>3.9790070000000002</v>
      </c>
      <c r="E2505">
        <v>0.52901629999999999</v>
      </c>
      <c r="F2505" t="s">
        <v>47</v>
      </c>
      <c r="G2505">
        <v>0</v>
      </c>
      <c r="H2505">
        <v>0</v>
      </c>
      <c r="I2505">
        <v>0</v>
      </c>
      <c r="J2505">
        <v>-344.7047</v>
      </c>
      <c r="K2505">
        <v>1.1095139999999999</v>
      </c>
      <c r="L2505">
        <v>285.41730000000001</v>
      </c>
      <c r="M2505">
        <v>-0.99988650000000001</v>
      </c>
      <c r="N2505">
        <v>-1.499317E-2</v>
      </c>
      <c r="O2505">
        <v>1.565358E-3</v>
      </c>
      <c r="P2505">
        <v>-0.99545779999999995</v>
      </c>
      <c r="Q2505">
        <v>-1.0916500000000001E-2</v>
      </c>
      <c r="R2505">
        <v>-9.4577159999999993E-2</v>
      </c>
      <c r="S2505">
        <v>-3.0142820000000001</v>
      </c>
      <c r="T2505">
        <v>0.47144770000000003</v>
      </c>
      <c r="U2505">
        <v>-4.8858640000000002E-2</v>
      </c>
      <c r="V2505">
        <v>-9.6135700000000004E-2</v>
      </c>
      <c r="W2505">
        <v>4.0114460000000001E-3</v>
      </c>
      <c r="X2505">
        <v>0.99536009999999997</v>
      </c>
      <c r="Y2505">
        <v>-1.755669E-2</v>
      </c>
      <c r="Z2505">
        <v>1.4988899999999999E-3</v>
      </c>
      <c r="AA2505">
        <v>0.99984470000000003</v>
      </c>
      <c r="AB2505">
        <v>50</v>
      </c>
      <c r="AC2505">
        <v>-3.0142820000000001</v>
      </c>
      <c r="AD2505">
        <v>0.47144770000000003</v>
      </c>
      <c r="AE2505">
        <v>-4.8858640000000002E-2</v>
      </c>
      <c r="AF2505">
        <v>-5.22985282647567E-2</v>
      </c>
      <c r="AG2505">
        <v>0.47144770000000003</v>
      </c>
      <c r="AH2505">
        <v>2.9422462797095599</v>
      </c>
      <c r="AI2505">
        <v>80.898068315748105</v>
      </c>
      <c r="AJ2505">
        <v>91.018327202296106</v>
      </c>
      <c r="AK2505">
        <v>2.9802367758885699</v>
      </c>
      <c r="AL2505">
        <v>89.770160445759203</v>
      </c>
      <c r="AM2505">
        <v>95.516734657009806</v>
      </c>
      <c r="AN2505">
        <v>0.99999994659275404</v>
      </c>
    </row>
    <row r="2506" spans="1:40" x14ac:dyDescent="0.25">
      <c r="A2506" t="str">
        <f>"20190305134947656"</f>
        <v>20190305134947656</v>
      </c>
      <c r="B2506" t="str">
        <f>"1551764987642850"</f>
        <v>1551764987642850</v>
      </c>
      <c r="C2506" t="s">
        <v>40</v>
      </c>
      <c r="D2506">
        <v>3.8627060000000002</v>
      </c>
      <c r="E2506">
        <v>0.52901629999999999</v>
      </c>
      <c r="F2506" t="s">
        <v>74</v>
      </c>
      <c r="G2506">
        <v>-387.99209999999999</v>
      </c>
      <c r="H2506" s="1">
        <v>2.716204E-6</v>
      </c>
      <c r="I2506">
        <v>284.66719999999998</v>
      </c>
      <c r="J2506">
        <v>-344.98829999999998</v>
      </c>
      <c r="K2506">
        <v>1.109515</v>
      </c>
      <c r="L2506">
        <v>285.41770000000002</v>
      </c>
      <c r="M2506">
        <v>-0.99988639999999995</v>
      </c>
      <c r="N2506">
        <v>-1.4991300000000001E-2</v>
      </c>
      <c r="O2506">
        <v>1.565372E-3</v>
      </c>
      <c r="P2506">
        <v>-0.99549290000000001</v>
      </c>
      <c r="Q2506">
        <v>-1.109971E-2</v>
      </c>
      <c r="R2506">
        <v>-9.418501E-2</v>
      </c>
      <c r="S2506">
        <v>-3.0079039999999999</v>
      </c>
      <c r="T2506">
        <v>-7.7096339999999999E-2</v>
      </c>
      <c r="U2506">
        <v>-5.212402E-2</v>
      </c>
      <c r="V2506">
        <v>-9.5743250000000002E-2</v>
      </c>
      <c r="W2506">
        <v>3.8264340000000001E-3</v>
      </c>
      <c r="X2506">
        <v>0.99539869999999997</v>
      </c>
      <c r="Y2506">
        <v>-1.8881789999999999E-2</v>
      </c>
      <c r="Z2506">
        <v>-4.0015899999999997E-4</v>
      </c>
      <c r="AA2506">
        <v>0.99982170000000004</v>
      </c>
      <c r="AB2506">
        <v>50</v>
      </c>
      <c r="AC2506">
        <v>-43.003799999999998</v>
      </c>
      <c r="AD2506">
        <v>-1.1095122837960001</v>
      </c>
      <c r="AE2506">
        <v>-0.75050000000004502</v>
      </c>
      <c r="AF2506">
        <v>-0.81727972786519598</v>
      </c>
      <c r="AG2506">
        <v>-1.1095122837960001</v>
      </c>
      <c r="AH2506">
        <v>42.973975134958401</v>
      </c>
      <c r="AI2506">
        <v>91.478680206675605</v>
      </c>
      <c r="AJ2506">
        <v>91.089520684667704</v>
      </c>
      <c r="AK2506">
        <v>42.996063803114502</v>
      </c>
      <c r="AL2506">
        <v>89.780760944399702</v>
      </c>
      <c r="AM2506">
        <v>95.494140295336805</v>
      </c>
      <c r="AN2506">
        <v>0.999999991739704</v>
      </c>
    </row>
    <row r="2507" spans="1:40" x14ac:dyDescent="0.25">
      <c r="A2507" t="str">
        <f>"20190305134947671"</f>
        <v>20190305134947671</v>
      </c>
      <c r="B2507" t="str">
        <f>"1551764987663345"</f>
        <v>1551764987663345</v>
      </c>
      <c r="C2507" t="s">
        <v>40</v>
      </c>
      <c r="D2507">
        <v>3.6404700000000001</v>
      </c>
      <c r="E2507">
        <v>0.52931499999999998</v>
      </c>
      <c r="F2507" t="s">
        <v>74</v>
      </c>
      <c r="G2507">
        <v>-387.96440000000001</v>
      </c>
      <c r="H2507" s="1">
        <v>2.701472E-6</v>
      </c>
      <c r="I2507">
        <v>284.69130000000001</v>
      </c>
      <c r="J2507">
        <v>-345.3261</v>
      </c>
      <c r="K2507">
        <v>1.1095200000000001</v>
      </c>
      <c r="L2507">
        <v>285.41829999999999</v>
      </c>
      <c r="M2507">
        <v>-0.99988639999999995</v>
      </c>
      <c r="N2507">
        <v>-1.498908E-2</v>
      </c>
      <c r="O2507">
        <v>1.56521E-3</v>
      </c>
      <c r="P2507">
        <v>-0.99558150000000001</v>
      </c>
      <c r="Q2507">
        <v>-1.1284280000000001E-2</v>
      </c>
      <c r="R2507">
        <v>-9.3219999999999997E-2</v>
      </c>
      <c r="S2507">
        <v>-3.007965</v>
      </c>
      <c r="T2507">
        <v>-7.7656509999999998E-2</v>
      </c>
      <c r="U2507">
        <v>-5.0842289999999998E-2</v>
      </c>
      <c r="V2507">
        <v>-9.4778310000000004E-2</v>
      </c>
      <c r="W2507">
        <v>3.6409459999999999E-3</v>
      </c>
      <c r="X2507">
        <v>0.99549169999999998</v>
      </c>
      <c r="Y2507">
        <v>-1.8455470000000002E-2</v>
      </c>
      <c r="Z2507">
        <v>-3.9348520000000002E-4</v>
      </c>
      <c r="AA2507">
        <v>0.99982959999999999</v>
      </c>
      <c r="AB2507">
        <v>50</v>
      </c>
      <c r="AC2507">
        <v>-42.638300000000001</v>
      </c>
      <c r="AD2507">
        <v>-1.109517298528</v>
      </c>
      <c r="AE2507">
        <v>-0.726999999999975</v>
      </c>
      <c r="AF2507">
        <v>-0.79320755931074205</v>
      </c>
      <c r="AG2507">
        <v>-1.109517298528</v>
      </c>
      <c r="AH2507">
        <v>42.608267015724898</v>
      </c>
      <c r="AI2507">
        <v>91.491384061327395</v>
      </c>
      <c r="AJ2507">
        <v>91.066511255229997</v>
      </c>
      <c r="AK2507">
        <v>42.6300906045388</v>
      </c>
      <c r="AL2507">
        <v>89.791388690394101</v>
      </c>
      <c r="AM2507">
        <v>95.438596742796406</v>
      </c>
      <c r="AN2507">
        <v>0.999999954651559</v>
      </c>
    </row>
    <row r="2508" spans="1:40" x14ac:dyDescent="0.25">
      <c r="A2508" t="str">
        <f>"20190305134947681"</f>
        <v>20190305134947681</v>
      </c>
      <c r="B2508" t="str">
        <f>"1551764987673105"</f>
        <v>1551764987673105</v>
      </c>
      <c r="C2508" t="s">
        <v>40</v>
      </c>
      <c r="D2508">
        <v>3.6648800000000001</v>
      </c>
      <c r="E2508">
        <v>0.53556429999999999</v>
      </c>
      <c r="F2508" t="s">
        <v>74</v>
      </c>
      <c r="G2508">
        <v>-387.86020000000002</v>
      </c>
      <c r="H2508" s="1">
        <v>2.6460289999999999E-6</v>
      </c>
      <c r="I2508">
        <v>284.77539999999999</v>
      </c>
      <c r="J2508">
        <v>-345.58150000000001</v>
      </c>
      <c r="K2508">
        <v>1.1095189999999999</v>
      </c>
      <c r="L2508">
        <v>285.4187</v>
      </c>
      <c r="M2508">
        <v>-0.99988659999999996</v>
      </c>
      <c r="N2508">
        <v>-1.49874E-2</v>
      </c>
      <c r="O2508">
        <v>1.5648649999999999E-3</v>
      </c>
      <c r="P2508">
        <v>-0.99562510000000004</v>
      </c>
      <c r="Q2508">
        <v>-1.172897E-2</v>
      </c>
      <c r="R2508">
        <v>-9.2701690000000003E-2</v>
      </c>
      <c r="S2508">
        <v>-3.0081479999999998</v>
      </c>
      <c r="T2508">
        <v>-7.8468560000000007E-2</v>
      </c>
      <c r="U2508">
        <v>-4.5471190000000002E-2</v>
      </c>
      <c r="V2508">
        <v>-9.4259629999999997E-2</v>
      </c>
      <c r="W2508">
        <v>3.1960589999999998E-3</v>
      </c>
      <c r="X2508">
        <v>0.9955425</v>
      </c>
      <c r="Y2508">
        <v>-1.66701E-2</v>
      </c>
      <c r="Z2508">
        <v>-3.5970089999999902E-4</v>
      </c>
      <c r="AA2508">
        <v>0.999861</v>
      </c>
      <c r="AB2508">
        <v>50</v>
      </c>
      <c r="AC2508">
        <v>-42.278700000000001</v>
      </c>
      <c r="AD2508">
        <v>-1.109516353971</v>
      </c>
      <c r="AE2508">
        <v>-0.64330000000000997</v>
      </c>
      <c r="AF2508">
        <v>-0.70897893832721703</v>
      </c>
      <c r="AG2508">
        <v>-1.109516353971</v>
      </c>
      <c r="AH2508">
        <v>42.248551985053098</v>
      </c>
      <c r="AI2508">
        <v>91.504123815289603</v>
      </c>
      <c r="AJ2508">
        <v>90.961398357332698</v>
      </c>
      <c r="AK2508">
        <v>42.269064604134002</v>
      </c>
      <c r="AL2508">
        <v>89.816878992982893</v>
      </c>
      <c r="AM2508">
        <v>95.408736328446096</v>
      </c>
      <c r="AN2508">
        <v>0.99999998097355902</v>
      </c>
    </row>
    <row r="2509" spans="1:40" x14ac:dyDescent="0.25">
      <c r="A2509" t="str">
        <f>"20190305134947693"</f>
        <v>20190305134947693</v>
      </c>
      <c r="B2509" t="str">
        <f>"1551764987682865"</f>
        <v>1551764987682865</v>
      </c>
      <c r="C2509" t="s">
        <v>40</v>
      </c>
      <c r="D2509">
        <v>4.0011359999999998</v>
      </c>
      <c r="E2509">
        <v>0.53556429999999999</v>
      </c>
      <c r="F2509" t="s">
        <v>47</v>
      </c>
      <c r="G2509">
        <v>0</v>
      </c>
      <c r="H2509">
        <v>0</v>
      </c>
      <c r="I2509">
        <v>0</v>
      </c>
      <c r="J2509">
        <v>-345.82490000000001</v>
      </c>
      <c r="K2509">
        <v>1.1095189999999999</v>
      </c>
      <c r="L2509">
        <v>285.41910000000001</v>
      </c>
      <c r="M2509">
        <v>-0.99988659999999996</v>
      </c>
      <c r="N2509">
        <v>-1.4985790000000001E-2</v>
      </c>
      <c r="O2509">
        <v>1.5647580000000001E-3</v>
      </c>
      <c r="P2509">
        <v>-0.99568670000000004</v>
      </c>
      <c r="Q2509">
        <v>-1.184116E-2</v>
      </c>
      <c r="R2509">
        <v>-9.2022359999999997E-2</v>
      </c>
      <c r="S2509">
        <v>-3.017944</v>
      </c>
      <c r="T2509">
        <v>0.49657790000000002</v>
      </c>
      <c r="U2509">
        <v>-1.1627200000000001E-2</v>
      </c>
      <c r="V2509">
        <v>-9.358031E-2</v>
      </c>
      <c r="W2509">
        <v>3.0830499999999999E-3</v>
      </c>
      <c r="X2509">
        <v>0.99560700000000002</v>
      </c>
      <c r="Y2509">
        <v>-5.3275029999999999E-3</v>
      </c>
      <c r="Z2509">
        <v>6.7423410000000004E-4</v>
      </c>
      <c r="AA2509">
        <v>0.99998560000000003</v>
      </c>
      <c r="AB2509">
        <v>50</v>
      </c>
      <c r="AC2509">
        <v>-3.017944</v>
      </c>
      <c r="AD2509">
        <v>0.49657790000000002</v>
      </c>
      <c r="AE2509">
        <v>-1.1627200000000001E-2</v>
      </c>
      <c r="AF2509">
        <v>-1.5919080779602201E-2</v>
      </c>
      <c r="AG2509">
        <v>0.49657790000000002</v>
      </c>
      <c r="AH2509">
        <v>2.9383698644023801</v>
      </c>
      <c r="AI2509">
        <v>80.407913717430503</v>
      </c>
      <c r="AJ2509">
        <v>90.310405858009304</v>
      </c>
      <c r="AK2509">
        <v>2.9800772620738099</v>
      </c>
      <c r="AL2509">
        <v>89.823353974023902</v>
      </c>
      <c r="AM2509">
        <v>95.369638923528996</v>
      </c>
      <c r="AN2509">
        <v>1.00000003903299</v>
      </c>
    </row>
    <row r="2510" spans="1:40" x14ac:dyDescent="0.25">
      <c r="A2510" t="str">
        <f>"20190305134947705"</f>
        <v>20190305134947705</v>
      </c>
      <c r="B2510" t="str">
        <f>"1551764987692625"</f>
        <v>1551764987692625</v>
      </c>
      <c r="C2510" t="s">
        <v>40</v>
      </c>
      <c r="D2510">
        <v>4.0013740000000002</v>
      </c>
      <c r="E2510">
        <v>0.52897269999999996</v>
      </c>
      <c r="F2510" t="s">
        <v>47</v>
      </c>
      <c r="G2510">
        <v>0</v>
      </c>
      <c r="H2510">
        <v>0</v>
      </c>
      <c r="I2510">
        <v>0</v>
      </c>
      <c r="J2510">
        <v>-346.09460000000001</v>
      </c>
      <c r="K2510">
        <v>1.1095219999999999</v>
      </c>
      <c r="L2510">
        <v>285.41950000000003</v>
      </c>
      <c r="M2510">
        <v>-0.99988659999999996</v>
      </c>
      <c r="N2510">
        <v>-1.4984000000000001E-2</v>
      </c>
      <c r="O2510">
        <v>1.564593E-3</v>
      </c>
      <c r="P2510">
        <v>-0.99575429999999998</v>
      </c>
      <c r="Q2510">
        <v>-1.193544E-2</v>
      </c>
      <c r="R2510">
        <v>-9.1276499999999997E-2</v>
      </c>
      <c r="S2510">
        <v>-3.018005</v>
      </c>
      <c r="T2510">
        <v>0.49614550000000002</v>
      </c>
      <c r="U2510">
        <v>-9.6435549999999998E-3</v>
      </c>
      <c r="V2510">
        <v>-9.28345E-2</v>
      </c>
      <c r="W2510">
        <v>2.9876830000000001E-3</v>
      </c>
      <c r="X2510">
        <v>0.99567709999999998</v>
      </c>
      <c r="Y2510">
        <v>-4.6780809999999997E-3</v>
      </c>
      <c r="Z2510">
        <v>6.2547089999999905E-4</v>
      </c>
      <c r="AA2510">
        <v>0.99998889999999996</v>
      </c>
      <c r="AB2510">
        <v>50</v>
      </c>
      <c r="AC2510">
        <v>-3.018005</v>
      </c>
      <c r="AD2510">
        <v>0.49614550000000002</v>
      </c>
      <c r="AE2510">
        <v>-9.6435549999999998E-3</v>
      </c>
      <c r="AF2510">
        <v>-1.39879899881277E-2</v>
      </c>
      <c r="AG2510">
        <v>0.49614550000000002</v>
      </c>
      <c r="AH2510">
        <v>2.9385698889461001</v>
      </c>
      <c r="AI2510">
        <v>80.416719918948701</v>
      </c>
      <c r="AJ2510">
        <v>90.272733597368301</v>
      </c>
      <c r="AK2510">
        <v>2.9801927812231899</v>
      </c>
      <c r="AL2510">
        <v>89.828818123880893</v>
      </c>
      <c r="AM2510">
        <v>95.326718623069695</v>
      </c>
      <c r="AN2510">
        <v>1.00000002905218</v>
      </c>
    </row>
    <row r="2511" spans="1:40" x14ac:dyDescent="0.25">
      <c r="A2511" t="str">
        <f>"20190305134947716"</f>
        <v>20190305134947716</v>
      </c>
      <c r="B2511" t="str">
        <f>"1551764987703361"</f>
        <v>1551764987703361</v>
      </c>
      <c r="C2511" t="s">
        <v>40</v>
      </c>
      <c r="D2511">
        <v>3.8669709999999999</v>
      </c>
      <c r="E2511">
        <v>0.52955559999999902</v>
      </c>
      <c r="F2511" t="s">
        <v>74</v>
      </c>
      <c r="G2511">
        <v>-389.85419999999999</v>
      </c>
      <c r="H2511" s="1">
        <v>3.7071419999999999E-6</v>
      </c>
      <c r="I2511">
        <v>284.80110000000002</v>
      </c>
      <c r="J2511">
        <v>-346.32940000000002</v>
      </c>
      <c r="K2511">
        <v>1.109526</v>
      </c>
      <c r="L2511">
        <v>285.41989999999998</v>
      </c>
      <c r="M2511">
        <v>-0.99988659999999996</v>
      </c>
      <c r="N2511">
        <v>-1.498243E-2</v>
      </c>
      <c r="O2511">
        <v>1.5644260000000001E-3</v>
      </c>
      <c r="P2511">
        <v>-0.99582110000000001</v>
      </c>
      <c r="Q2511">
        <v>-1.1743429999999999E-2</v>
      </c>
      <c r="R2511">
        <v>-9.0569650000000002E-2</v>
      </c>
      <c r="S2511">
        <v>-3.007965</v>
      </c>
      <c r="T2511">
        <v>-7.6266410000000007E-2</v>
      </c>
      <c r="U2511">
        <v>-4.2510989999999999E-2</v>
      </c>
      <c r="V2511">
        <v>-9.2127459999999994E-2</v>
      </c>
      <c r="W2511">
        <v>3.1793699999999999E-3</v>
      </c>
      <c r="X2511">
        <v>0.99574209999999996</v>
      </c>
      <c r="Y2511">
        <v>-1.5687719999999999E-2</v>
      </c>
      <c r="Z2511">
        <v>-3.3262040000000002E-4</v>
      </c>
      <c r="AA2511">
        <v>0.99987689999999996</v>
      </c>
      <c r="AB2511">
        <v>50</v>
      </c>
      <c r="AC2511">
        <v>-43.5247999999999</v>
      </c>
      <c r="AD2511">
        <v>-1.109522292858</v>
      </c>
      <c r="AE2511">
        <v>-0.61879999999996405</v>
      </c>
      <c r="AF2511">
        <v>-0.68645222463136601</v>
      </c>
      <c r="AG2511">
        <v>-1.109522292858</v>
      </c>
      <c r="AH2511">
        <v>43.495519651079398</v>
      </c>
      <c r="AI2511">
        <v>91.4610528066206</v>
      </c>
      <c r="AJ2511">
        <v>90.904174743981201</v>
      </c>
      <c r="AK2511">
        <v>43.515083431983498</v>
      </c>
      <c r="AL2511">
        <v>89.817835202118303</v>
      </c>
      <c r="AM2511">
        <v>95.286037209631203</v>
      </c>
      <c r="AN2511">
        <v>0.99999995349602799</v>
      </c>
    </row>
    <row r="2512" spans="1:40" x14ac:dyDescent="0.25">
      <c r="A2512" t="str">
        <f>"20190305134947727"</f>
        <v>20190305134947727</v>
      </c>
      <c r="B2512" t="str">
        <f>"1551764987722881"</f>
        <v>1551764987722881</v>
      </c>
      <c r="C2512" t="s">
        <v>40</v>
      </c>
      <c r="D2512">
        <v>3.7891499999999998</v>
      </c>
      <c r="E2512">
        <v>0.52916649999999998</v>
      </c>
      <c r="F2512" t="s">
        <v>74</v>
      </c>
      <c r="G2512">
        <v>-393.37599999999998</v>
      </c>
      <c r="H2512" s="1">
        <v>2.5977349999999999E-7</v>
      </c>
      <c r="I2512">
        <v>284.85820000000001</v>
      </c>
      <c r="J2512">
        <v>-346.58600000000001</v>
      </c>
      <c r="K2512">
        <v>1.109531</v>
      </c>
      <c r="L2512">
        <v>285.4203</v>
      </c>
      <c r="M2512">
        <v>-0.99988670000000002</v>
      </c>
      <c r="N2512">
        <v>-1.4980719999999999E-2</v>
      </c>
      <c r="O2512">
        <v>1.56426E-3</v>
      </c>
      <c r="P2512">
        <v>-0.99587550000000002</v>
      </c>
      <c r="Q2512">
        <v>-1.127482E-2</v>
      </c>
      <c r="R2512">
        <v>-9.0027979999999994E-2</v>
      </c>
      <c r="S2512">
        <v>-3.0084840000000002</v>
      </c>
      <c r="T2512">
        <v>-7.0950630000000001E-2</v>
      </c>
      <c r="U2512">
        <v>-3.5919189999999997E-2</v>
      </c>
      <c r="V2512">
        <v>-9.1586029999999999E-2</v>
      </c>
      <c r="W2512">
        <v>3.6471440000000002E-3</v>
      </c>
      <c r="X2512">
        <v>0.99579050000000002</v>
      </c>
      <c r="Y2512">
        <v>-1.3496559999999999E-2</v>
      </c>
      <c r="Z2512">
        <v>-2.7369820000000002E-4</v>
      </c>
      <c r="AA2512">
        <v>0.99990889999999999</v>
      </c>
      <c r="AB2512">
        <v>50</v>
      </c>
      <c r="AC2512">
        <v>-46.7899999999999</v>
      </c>
      <c r="AD2512">
        <v>-1.1095307402265</v>
      </c>
      <c r="AE2512">
        <v>-0.56209999999998606</v>
      </c>
      <c r="AF2512">
        <v>-0.63494226130883302</v>
      </c>
      <c r="AG2512">
        <v>-1.1095307402265</v>
      </c>
      <c r="AH2512">
        <v>46.762772187358003</v>
      </c>
      <c r="AI2512">
        <v>91.359065007847406</v>
      </c>
      <c r="AJ2512">
        <v>90.777911032737705</v>
      </c>
      <c r="AK2512">
        <v>46.780242333547697</v>
      </c>
      <c r="AL2512">
        <v>89.791033580599802</v>
      </c>
      <c r="AM2512">
        <v>95.254891795530597</v>
      </c>
      <c r="AN2512">
        <v>1.00000001122038</v>
      </c>
    </row>
    <row r="2513" spans="1:40" x14ac:dyDescent="0.25">
      <c r="A2513" t="str">
        <f>"20190305134947740"</f>
        <v>20190305134947740</v>
      </c>
      <c r="B2513" t="str">
        <f>"1551764987732642"</f>
        <v>1551764987732642</v>
      </c>
      <c r="C2513" t="s">
        <v>40</v>
      </c>
      <c r="D2513">
        <v>4.013833</v>
      </c>
      <c r="E2513">
        <v>0.52881599999999995</v>
      </c>
      <c r="F2513" t="s">
        <v>74</v>
      </c>
      <c r="G2513">
        <v>-392.07100000000003</v>
      </c>
      <c r="H2513" s="1">
        <v>-4.3473809999999998E-7</v>
      </c>
      <c r="I2513">
        <v>284.85820000000001</v>
      </c>
      <c r="J2513">
        <v>-346.8569</v>
      </c>
      <c r="K2513">
        <v>1.10954</v>
      </c>
      <c r="L2513">
        <v>285.42070000000001</v>
      </c>
      <c r="M2513">
        <v>-0.99988659999999996</v>
      </c>
      <c r="N2513">
        <v>-1.497891E-2</v>
      </c>
      <c r="O2513">
        <v>1.5642729999999999E-3</v>
      </c>
      <c r="P2513">
        <v>-0.99593200000000004</v>
      </c>
      <c r="Q2513">
        <v>-1.0974909999999999E-2</v>
      </c>
      <c r="R2513">
        <v>-8.943719E-2</v>
      </c>
      <c r="S2513">
        <v>-3.00827</v>
      </c>
      <c r="T2513">
        <v>-7.33819E-2</v>
      </c>
      <c r="U2513">
        <v>-3.7170410000000001E-2</v>
      </c>
      <c r="V2513">
        <v>-9.0994749999999999E-2</v>
      </c>
      <c r="W2513">
        <v>3.9456430000000004E-3</v>
      </c>
      <c r="X2513">
        <v>0.99584349999999999</v>
      </c>
      <c r="Y2513">
        <v>-1.39127E-2</v>
      </c>
      <c r="Z2513">
        <v>-2.8861130000000003E-4</v>
      </c>
      <c r="AA2513">
        <v>0.99990310000000004</v>
      </c>
      <c r="AB2513">
        <v>50</v>
      </c>
      <c r="AC2513">
        <v>-45.214099999999902</v>
      </c>
      <c r="AD2513">
        <v>-1.1095404347380999</v>
      </c>
      <c r="AE2513">
        <v>-0.5625</v>
      </c>
      <c r="AF2513">
        <v>-0.63285339894711101</v>
      </c>
      <c r="AG2513">
        <v>-1.1095404347380999</v>
      </c>
      <c r="AH2513">
        <v>45.185958035790797</v>
      </c>
      <c r="AI2513">
        <v>91.406476355414</v>
      </c>
      <c r="AJ2513">
        <v>90.802405433393702</v>
      </c>
      <c r="AK2513">
        <v>45.204008528150702</v>
      </c>
      <c r="AL2513">
        <v>89.7739307095204</v>
      </c>
      <c r="AM2513">
        <v>95.220877944207601</v>
      </c>
      <c r="AN2513">
        <v>0.99999994455924601</v>
      </c>
    </row>
    <row r="2514" spans="1:40" x14ac:dyDescent="0.25">
      <c r="A2514" t="str">
        <f>"20190305134947752"</f>
        <v>20190305134947752</v>
      </c>
      <c r="B2514" t="str">
        <f>"1551764987743377"</f>
        <v>1551764987743377</v>
      </c>
      <c r="C2514" t="s">
        <v>40</v>
      </c>
      <c r="D2514">
        <v>3.9988000000000001</v>
      </c>
      <c r="E2514">
        <v>0.52856719999999902</v>
      </c>
      <c r="F2514" t="s">
        <v>74</v>
      </c>
      <c r="G2514">
        <v>-391.16910000000001</v>
      </c>
      <c r="H2514" s="1">
        <v>-9.146615E-7</v>
      </c>
      <c r="I2514">
        <v>284.85919999999999</v>
      </c>
      <c r="J2514">
        <v>-347.13049999999998</v>
      </c>
      <c r="K2514">
        <v>1.109545</v>
      </c>
      <c r="L2514">
        <v>285.42110000000002</v>
      </c>
      <c r="M2514">
        <v>-0.99988670000000002</v>
      </c>
      <c r="N2514">
        <v>-1.497709E-2</v>
      </c>
      <c r="O2514">
        <v>1.5639300000000001E-3</v>
      </c>
      <c r="P2514">
        <v>-0.99595679999999998</v>
      </c>
      <c r="Q2514">
        <v>-1.0377870000000001E-2</v>
      </c>
      <c r="R2514">
        <v>-8.9233359999999998E-2</v>
      </c>
      <c r="S2514">
        <v>-3.0079959999999999</v>
      </c>
      <c r="T2514">
        <v>-7.5317739999999994E-2</v>
      </c>
      <c r="U2514">
        <v>-3.8116459999999998E-2</v>
      </c>
      <c r="V2514">
        <v>-9.0790819999999994E-2</v>
      </c>
      <c r="W2514">
        <v>4.5412070000000002E-3</v>
      </c>
      <c r="X2514">
        <v>0.99585959999999996</v>
      </c>
      <c r="Y2514">
        <v>-1.4227450000000001E-2</v>
      </c>
      <c r="Z2514">
        <v>-3.0039660000000002E-4</v>
      </c>
      <c r="AA2514">
        <v>0.99989870000000003</v>
      </c>
      <c r="AB2514">
        <v>50</v>
      </c>
      <c r="AC2514">
        <v>-44.038600000000002</v>
      </c>
      <c r="AD2514">
        <v>-1.1095459146615001</v>
      </c>
      <c r="AE2514">
        <v>-0.56190000000003604</v>
      </c>
      <c r="AF2514">
        <v>-0.630380232426349</v>
      </c>
      <c r="AG2514">
        <v>-1.1095459146615001</v>
      </c>
      <c r="AH2514">
        <v>44.009735287946597</v>
      </c>
      <c r="AI2514">
        <v>91.444051352352801</v>
      </c>
      <c r="AJ2514">
        <v>90.820628817483097</v>
      </c>
      <c r="AK2514">
        <v>44.0282326637046</v>
      </c>
      <c r="AL2514">
        <v>89.739807102687195</v>
      </c>
      <c r="AM2514">
        <v>95.209158029430697</v>
      </c>
      <c r="AN2514">
        <v>0.99999996923472401</v>
      </c>
    </row>
    <row r="2515" spans="1:40" x14ac:dyDescent="0.25">
      <c r="A2515" t="str">
        <f>"20190305134947762"</f>
        <v>20190305134947762</v>
      </c>
      <c r="B2515" t="str">
        <f>"1551764987753137"</f>
        <v>1551764987753137</v>
      </c>
      <c r="C2515" t="s">
        <v>40</v>
      </c>
      <c r="D2515">
        <v>4.0130480000000004</v>
      </c>
      <c r="E2515">
        <v>0.5284141</v>
      </c>
      <c r="F2515" t="s">
        <v>74</v>
      </c>
      <c r="G2515">
        <v>-391.5865</v>
      </c>
      <c r="H2515" s="1">
        <v>-6.9253969999999995E-7</v>
      </c>
      <c r="I2515">
        <v>284.83699999999999</v>
      </c>
      <c r="J2515">
        <v>-347.38720000000001</v>
      </c>
      <c r="K2515">
        <v>1.1095489999999999</v>
      </c>
      <c r="L2515">
        <v>285.42149999999998</v>
      </c>
      <c r="M2515">
        <v>-0.99988659999999996</v>
      </c>
      <c r="N2515">
        <v>-1.497537E-2</v>
      </c>
      <c r="O2515">
        <v>1.5638239999999999E-3</v>
      </c>
      <c r="P2515">
        <v>-0.99599309999999996</v>
      </c>
      <c r="Q2515">
        <v>-9.931502E-3</v>
      </c>
      <c r="R2515">
        <v>-8.8877739999999997E-2</v>
      </c>
      <c r="S2515">
        <v>-3.0078130000000001</v>
      </c>
      <c r="T2515">
        <v>-7.5069899999999995E-2</v>
      </c>
      <c r="U2515">
        <v>-3.9520260000000001E-2</v>
      </c>
      <c r="V2515">
        <v>-9.0434940000000005E-2</v>
      </c>
      <c r="W2515">
        <v>4.9865669999999999E-3</v>
      </c>
      <c r="X2515">
        <v>0.99588989999999999</v>
      </c>
      <c r="Y2515">
        <v>-1.4694520000000001E-2</v>
      </c>
      <c r="Z2515">
        <v>-3.090101E-4</v>
      </c>
      <c r="AA2515">
        <v>0.999892</v>
      </c>
      <c r="AB2515">
        <v>50</v>
      </c>
      <c r="AC2515">
        <v>-44.199300000000001</v>
      </c>
      <c r="AD2515">
        <v>-1.1095496925396999</v>
      </c>
      <c r="AE2515">
        <v>-0.58449999999999103</v>
      </c>
      <c r="AF2515">
        <v>-0.65321539627569902</v>
      </c>
      <c r="AG2515">
        <v>-1.1095496925396999</v>
      </c>
      <c r="AH2515">
        <v>44.170501405575997</v>
      </c>
      <c r="AI2515">
        <v>91.438792860730601</v>
      </c>
      <c r="AJ2515">
        <v>90.847256791291301</v>
      </c>
      <c r="AK2515">
        <v>44.189263235475401</v>
      </c>
      <c r="AL2515">
        <v>89.714289577866694</v>
      </c>
      <c r="AM2515">
        <v>95.188693947293501</v>
      </c>
      <c r="AN2515">
        <v>1.0000000185726201</v>
      </c>
    </row>
    <row r="2516" spans="1:40" x14ac:dyDescent="0.25">
      <c r="A2516" t="str">
        <f>"20190305134947775"</f>
        <v>20190305134947775</v>
      </c>
      <c r="B2516" t="str">
        <f>"1551764987762897"</f>
        <v>1551764987762897</v>
      </c>
      <c r="C2516" t="s">
        <v>40</v>
      </c>
      <c r="D2516">
        <v>3.7918509999999999</v>
      </c>
      <c r="E2516">
        <v>0.5284141</v>
      </c>
      <c r="F2516" t="s">
        <v>74</v>
      </c>
      <c r="G2516">
        <v>-391.78210000000001</v>
      </c>
      <c r="H2516" s="1">
        <v>-5.8843429999999996E-7</v>
      </c>
      <c r="I2516">
        <v>284.83780000000002</v>
      </c>
      <c r="J2516">
        <v>-347.64350000000002</v>
      </c>
      <c r="K2516">
        <v>1.109548</v>
      </c>
      <c r="L2516">
        <v>285.42189999999999</v>
      </c>
      <c r="M2516">
        <v>-0.99988670000000002</v>
      </c>
      <c r="N2516">
        <v>-1.497365E-2</v>
      </c>
      <c r="O2516">
        <v>1.5636580000000001E-3</v>
      </c>
      <c r="P2516">
        <v>-0.99598980000000004</v>
      </c>
      <c r="Q2516">
        <v>-9.7435209999999998E-3</v>
      </c>
      <c r="R2516">
        <v>-8.8935189999999997E-2</v>
      </c>
      <c r="S2516">
        <v>-3.0077820000000002</v>
      </c>
      <c r="T2516">
        <v>-7.5172660000000002E-2</v>
      </c>
      <c r="U2516">
        <v>-3.9550780000000001E-2</v>
      </c>
      <c r="V2516">
        <v>-9.0492320000000001E-2</v>
      </c>
      <c r="W2516">
        <v>5.1725310000000002E-3</v>
      </c>
      <c r="X2516">
        <v>0.99588370000000004</v>
      </c>
      <c r="Y2516">
        <v>-1.470461E-2</v>
      </c>
      <c r="Z2516">
        <v>-3.095067E-4</v>
      </c>
      <c r="AA2516">
        <v>0.9998918</v>
      </c>
      <c r="AB2516">
        <v>50</v>
      </c>
      <c r="AC2516">
        <v>-44.138599999999997</v>
      </c>
      <c r="AD2516">
        <v>-1.1095485884342999</v>
      </c>
      <c r="AE2516">
        <v>-0.58409999999997797</v>
      </c>
      <c r="AF2516">
        <v>-0.65271231343369696</v>
      </c>
      <c r="AG2516">
        <v>-1.1095485884342999</v>
      </c>
      <c r="AH2516">
        <v>44.109764052012103</v>
      </c>
      <c r="AI2516">
        <v>91.440771561673699</v>
      </c>
      <c r="AJ2516">
        <v>90.847769929601398</v>
      </c>
      <c r="AK2516">
        <v>44.128544233391402</v>
      </c>
      <c r="AL2516">
        <v>89.703634476664007</v>
      </c>
      <c r="AM2516">
        <v>95.192000277522993</v>
      </c>
      <c r="AN2516">
        <v>0.99999997949080899</v>
      </c>
    </row>
    <row r="2517" spans="1:40" x14ac:dyDescent="0.25">
      <c r="A2517" t="str">
        <f>"20190305134947789"</f>
        <v>20190305134947789</v>
      </c>
      <c r="B2517" t="str">
        <f>"1551764987783393"</f>
        <v>1551764987783393</v>
      </c>
      <c r="C2517" t="s">
        <v>40</v>
      </c>
      <c r="D2517">
        <v>4.0202330000000002</v>
      </c>
      <c r="E2517">
        <v>0.52838869999999905</v>
      </c>
      <c r="F2517" t="s">
        <v>74</v>
      </c>
      <c r="G2517">
        <v>-392.3845</v>
      </c>
      <c r="H2517" s="1">
        <v>-2.679042E-7</v>
      </c>
      <c r="I2517">
        <v>284.83</v>
      </c>
      <c r="J2517">
        <v>-347.96159999999998</v>
      </c>
      <c r="K2517">
        <v>1.10955</v>
      </c>
      <c r="L2517">
        <v>285.42239999999998</v>
      </c>
      <c r="M2517">
        <v>-0.99988679999999996</v>
      </c>
      <c r="N2517">
        <v>-1.497154E-2</v>
      </c>
      <c r="O2517">
        <v>1.5634959999999999E-3</v>
      </c>
      <c r="P2517">
        <v>-0.99601850000000003</v>
      </c>
      <c r="Q2517">
        <v>-9.4876479999999996E-3</v>
      </c>
      <c r="R2517">
        <v>-8.864176E-2</v>
      </c>
      <c r="S2517">
        <v>-3.0077509999999998</v>
      </c>
      <c r="T2517">
        <v>-7.4590439999999994E-2</v>
      </c>
      <c r="U2517">
        <v>-3.9794919999999998E-2</v>
      </c>
      <c r="V2517">
        <v>-9.0198710000000001E-2</v>
      </c>
      <c r="W2517">
        <v>5.4266820000000004E-3</v>
      </c>
      <c r="X2517">
        <v>0.99590900000000004</v>
      </c>
      <c r="Y2517">
        <v>-1.478578E-2</v>
      </c>
      <c r="Z2517">
        <v>-3.0938379999999999E-4</v>
      </c>
      <c r="AA2517">
        <v>0.99989059999999996</v>
      </c>
      <c r="AB2517">
        <v>50</v>
      </c>
      <c r="AC2517">
        <v>-44.422899999999998</v>
      </c>
      <c r="AD2517">
        <v>-1.1095502679042</v>
      </c>
      <c r="AE2517">
        <v>-0.59239999999999704</v>
      </c>
      <c r="AF2517">
        <v>-0.66144950862697105</v>
      </c>
      <c r="AG2517">
        <v>-1.1095502679042</v>
      </c>
      <c r="AH2517">
        <v>44.394228959042898</v>
      </c>
      <c r="AI2517">
        <v>91.431543382928794</v>
      </c>
      <c r="AJ2517">
        <v>90.853612329286904</v>
      </c>
      <c r="AK2517">
        <v>44.413018160415497</v>
      </c>
      <c r="AL2517">
        <v>89.689072497375307</v>
      </c>
      <c r="AM2517">
        <v>95.175115259319696</v>
      </c>
      <c r="AN2517">
        <v>0.99999999622209601</v>
      </c>
    </row>
    <row r="2518" spans="1:40" x14ac:dyDescent="0.25">
      <c r="A2518" t="str">
        <f>"20190305134947801"</f>
        <v>20190305134947801</v>
      </c>
      <c r="B2518" t="str">
        <f>"1551764987793153"</f>
        <v>1551764987793153</v>
      </c>
      <c r="C2518" t="s">
        <v>40</v>
      </c>
      <c r="D2518">
        <v>3.8087780000000002</v>
      </c>
      <c r="E2518">
        <v>0.52838869999999905</v>
      </c>
      <c r="F2518" t="s">
        <v>74</v>
      </c>
      <c r="G2518">
        <v>-393.07960000000003</v>
      </c>
      <c r="H2518" s="1">
        <v>1.020005E-7</v>
      </c>
      <c r="I2518">
        <v>284.83690000000001</v>
      </c>
      <c r="J2518">
        <v>-348.2362</v>
      </c>
      <c r="K2518">
        <v>1.10955</v>
      </c>
      <c r="L2518">
        <v>285.42290000000003</v>
      </c>
      <c r="M2518">
        <v>-0.99988690000000002</v>
      </c>
      <c r="N2518">
        <v>-1.4969710000000001E-2</v>
      </c>
      <c r="O2518">
        <v>1.5633310000000001E-3</v>
      </c>
      <c r="P2518">
        <v>-0.99603660000000005</v>
      </c>
      <c r="Q2518">
        <v>-9.3608730000000005E-3</v>
      </c>
      <c r="R2518">
        <v>-8.845298E-2</v>
      </c>
      <c r="S2518">
        <v>-3.0078130000000001</v>
      </c>
      <c r="T2518">
        <v>-7.3968770000000003E-2</v>
      </c>
      <c r="U2518">
        <v>-3.9031980000000001E-2</v>
      </c>
      <c r="V2518">
        <v>-9.0009640000000002E-2</v>
      </c>
      <c r="W2518">
        <v>5.5520889999999996E-3</v>
      </c>
      <c r="X2518">
        <v>0.99592539999999996</v>
      </c>
      <c r="Y2518">
        <v>-1.453199E-2</v>
      </c>
      <c r="Z2518">
        <v>-3.0249630000000002E-4</v>
      </c>
      <c r="AA2518">
        <v>0.99989439999999996</v>
      </c>
      <c r="AB2518">
        <v>50</v>
      </c>
      <c r="AC2518">
        <v>-44.843400000000003</v>
      </c>
      <c r="AD2518">
        <v>-1.1095498979995</v>
      </c>
      <c r="AE2518">
        <v>-0.58600000000001196</v>
      </c>
      <c r="AF2518">
        <v>-0.65571084451886297</v>
      </c>
      <c r="AG2518">
        <v>-1.1095498979995</v>
      </c>
      <c r="AH2518">
        <v>44.814997709735401</v>
      </c>
      <c r="AI2518">
        <v>91.418113247445405</v>
      </c>
      <c r="AJ2518">
        <v>90.838263645375406</v>
      </c>
      <c r="AK2518">
        <v>44.833526265634703</v>
      </c>
      <c r="AL2518">
        <v>89.681887092633502</v>
      </c>
      <c r="AM2518">
        <v>95.164241580437107</v>
      </c>
      <c r="AN2518">
        <v>0.99999998167517601</v>
      </c>
    </row>
    <row r="2519" spans="1:40" x14ac:dyDescent="0.25">
      <c r="A2519" t="str">
        <f>"20190305134947816"</f>
        <v>20190305134947816</v>
      </c>
      <c r="B2519" t="str">
        <f>"1551764987802913"</f>
        <v>1551764987802913</v>
      </c>
      <c r="C2519" t="s">
        <v>40</v>
      </c>
      <c r="D2519">
        <v>4.0213570000000001</v>
      </c>
      <c r="E2519">
        <v>0.52815259999999997</v>
      </c>
      <c r="F2519" t="s">
        <v>74</v>
      </c>
      <c r="G2519">
        <v>-393.5994</v>
      </c>
      <c r="H2519" s="1">
        <v>3.7864470000000001E-7</v>
      </c>
      <c r="I2519">
        <v>284.84199999999998</v>
      </c>
      <c r="J2519">
        <v>-348.54300000000001</v>
      </c>
      <c r="K2519">
        <v>1.109556</v>
      </c>
      <c r="L2519">
        <v>285.42340000000002</v>
      </c>
      <c r="M2519">
        <v>-0.99988679999999996</v>
      </c>
      <c r="N2519">
        <v>-1.4967680000000001E-2</v>
      </c>
      <c r="O2519">
        <v>1.563168E-3</v>
      </c>
      <c r="P2519">
        <v>-0.99608459999999999</v>
      </c>
      <c r="Q2519">
        <v>-9.3823650000000001E-3</v>
      </c>
      <c r="R2519">
        <v>-8.7906360000000003E-2</v>
      </c>
      <c r="S2519">
        <v>-3.0078740000000002</v>
      </c>
      <c r="T2519">
        <v>-7.3570250000000004E-2</v>
      </c>
      <c r="U2519">
        <v>-3.8513180000000001E-2</v>
      </c>
      <c r="V2519">
        <v>-8.9463509999999996E-2</v>
      </c>
      <c r="W2519">
        <v>5.5292010000000001E-3</v>
      </c>
      <c r="X2519">
        <v>0.99597480000000005</v>
      </c>
      <c r="Y2519">
        <v>-1.435928E-2</v>
      </c>
      <c r="Z2519">
        <v>-2.9790459999999997E-4</v>
      </c>
      <c r="AA2519">
        <v>0.99989689999999998</v>
      </c>
      <c r="AB2519">
        <v>50</v>
      </c>
      <c r="AC2519">
        <v>-45.056399999999996</v>
      </c>
      <c r="AD2519">
        <v>-1.1095556213552999</v>
      </c>
      <c r="AE2519">
        <v>-0.58140000000003</v>
      </c>
      <c r="AF2519">
        <v>-0.65144290692810902</v>
      </c>
      <c r="AG2519">
        <v>-1.1095556213552999</v>
      </c>
      <c r="AH2519">
        <v>45.028133864277699</v>
      </c>
      <c r="AI2519">
        <v>91.411414116276703</v>
      </c>
      <c r="AJ2519">
        <v>90.8288668029371</v>
      </c>
      <c r="AK2519">
        <v>45.046512970896899</v>
      </c>
      <c r="AL2519">
        <v>89.683198519271102</v>
      </c>
      <c r="AM2519">
        <v>95.132822404923004</v>
      </c>
      <c r="AN2519">
        <v>1.00000004696012</v>
      </c>
    </row>
    <row r="2520" spans="1:40" x14ac:dyDescent="0.25">
      <c r="A2520" t="str">
        <f>"20190305134947829"</f>
        <v>20190305134947829</v>
      </c>
      <c r="B2520" t="str">
        <f>"1551764987823409"</f>
        <v>1551764987823409</v>
      </c>
      <c r="C2520" t="s">
        <v>40</v>
      </c>
      <c r="D2520">
        <v>3.9624139999999999</v>
      </c>
      <c r="E2520">
        <v>0.52803230000000001</v>
      </c>
      <c r="F2520" t="s">
        <v>74</v>
      </c>
      <c r="G2520">
        <v>-392.90089999999998</v>
      </c>
      <c r="H2520" s="1">
        <v>6.9226469999999902E-9</v>
      </c>
      <c r="I2520">
        <v>284.85359999999997</v>
      </c>
      <c r="J2520">
        <v>-348.84050000000002</v>
      </c>
      <c r="K2520">
        <v>1.109558</v>
      </c>
      <c r="L2520">
        <v>285.42380000000003</v>
      </c>
      <c r="M2520">
        <v>-0.99988690000000002</v>
      </c>
      <c r="N2520">
        <v>-1.496571E-2</v>
      </c>
      <c r="O2520">
        <v>1.562885E-3</v>
      </c>
      <c r="P2520">
        <v>-0.99610889999999996</v>
      </c>
      <c r="Q2520">
        <v>-9.2552610000000007E-3</v>
      </c>
      <c r="R2520">
        <v>-8.7646009999999996E-2</v>
      </c>
      <c r="S2520">
        <v>-3.00766</v>
      </c>
      <c r="T2520">
        <v>-7.5232740000000006E-2</v>
      </c>
      <c r="U2520">
        <v>-3.8635250000000003E-2</v>
      </c>
      <c r="V2520">
        <v>-8.9202710000000004E-2</v>
      </c>
      <c r="W2520">
        <v>5.6546069999999999E-3</v>
      </c>
      <c r="X2520">
        <v>0.99599740000000003</v>
      </c>
      <c r="Y2520">
        <v>-1.44002E-2</v>
      </c>
      <c r="Z2520">
        <v>-3.03555E-4</v>
      </c>
      <c r="AA2520">
        <v>0.99989629999999996</v>
      </c>
      <c r="AB2520">
        <v>50</v>
      </c>
      <c r="AC2520">
        <v>-44.060399999999902</v>
      </c>
      <c r="AD2520">
        <v>-1.10955799307735</v>
      </c>
      <c r="AE2520">
        <v>-0.570200000000056</v>
      </c>
      <c r="AF2520">
        <v>-0.63866339571358</v>
      </c>
      <c r="AG2520">
        <v>-1.10955799307735</v>
      </c>
      <c r="AH2520">
        <v>44.031536280475898</v>
      </c>
      <c r="AI2520">
        <v>91.443348614488798</v>
      </c>
      <c r="AJ2520">
        <v>90.830998741423898</v>
      </c>
      <c r="AK2520">
        <v>44.050144121125101</v>
      </c>
      <c r="AL2520">
        <v>89.676013144377393</v>
      </c>
      <c r="AM2520">
        <v>95.117823499076295</v>
      </c>
      <c r="AN2520">
        <v>0.99999995942921305</v>
      </c>
    </row>
    <row r="2521" spans="1:40" x14ac:dyDescent="0.25">
      <c r="A2521" t="str">
        <f>"20190305134947843"</f>
        <v>20190305134947843</v>
      </c>
      <c r="B2521" t="str">
        <f>"1551764987833169"</f>
        <v>1551764987833169</v>
      </c>
      <c r="C2521" t="s">
        <v>40</v>
      </c>
      <c r="D2521">
        <v>4.0292379999999897</v>
      </c>
      <c r="E2521">
        <v>0.52790839999999895</v>
      </c>
      <c r="F2521" t="s">
        <v>74</v>
      </c>
      <c r="G2521">
        <v>-393.85860000000002</v>
      </c>
      <c r="H2521" s="1">
        <v>5.1654069999999999E-7</v>
      </c>
      <c r="I2521">
        <v>284.84230000000002</v>
      </c>
      <c r="J2521">
        <v>-349.15359999999998</v>
      </c>
      <c r="K2521">
        <v>1.1095619999999999</v>
      </c>
      <c r="L2521">
        <v>285.42430000000002</v>
      </c>
      <c r="M2521">
        <v>-0.99988679999999996</v>
      </c>
      <c r="N2521">
        <v>-1.496343E-2</v>
      </c>
      <c r="O2521">
        <v>1.56272299999999E-3</v>
      </c>
      <c r="P2521">
        <v>-0.99613609999999997</v>
      </c>
      <c r="Q2521">
        <v>-9.2403940000000007E-3</v>
      </c>
      <c r="R2521">
        <v>-8.733573E-2</v>
      </c>
      <c r="S2521">
        <v>-3.00766</v>
      </c>
      <c r="T2521">
        <v>-7.4129700000000007E-2</v>
      </c>
      <c r="U2521">
        <v>-3.8848880000000002E-2</v>
      </c>
      <c r="V2521">
        <v>-8.8892090000000007E-2</v>
      </c>
      <c r="W2521">
        <v>5.6679579999999999E-3</v>
      </c>
      <c r="X2521">
        <v>0.9960251</v>
      </c>
      <c r="Y2521">
        <v>-1.447119E-2</v>
      </c>
      <c r="Z2521">
        <v>-3.0173359999999998E-4</v>
      </c>
      <c r="AA2521">
        <v>0.99989519999999998</v>
      </c>
      <c r="AB2521">
        <v>50</v>
      </c>
      <c r="AC2521">
        <v>-44.704999999999998</v>
      </c>
      <c r="AD2521">
        <v>-1.1095614834592999</v>
      </c>
      <c r="AE2521">
        <v>-0.58199999999999297</v>
      </c>
      <c r="AF2521">
        <v>-0.65146739979033397</v>
      </c>
      <c r="AG2521">
        <v>-1.1095614834592999</v>
      </c>
      <c r="AH2521">
        <v>44.676519098708901</v>
      </c>
      <c r="AI2521">
        <v>91.422522882607595</v>
      </c>
      <c r="AJ2521">
        <v>90.835420664131107</v>
      </c>
      <c r="AK2521">
        <v>44.695043296050898</v>
      </c>
      <c r="AL2521">
        <v>89.675248177821501</v>
      </c>
      <c r="AM2521">
        <v>95.099955371848793</v>
      </c>
      <c r="AN2521">
        <v>0.99999996462123297</v>
      </c>
    </row>
    <row r="2522" spans="1:40" x14ac:dyDescent="0.25">
      <c r="A2522" t="str">
        <f>"20190305134947857"</f>
        <v>20190305134947857</v>
      </c>
      <c r="B2522" t="str">
        <f>"1551764987842929"</f>
        <v>1551764987842929</v>
      </c>
      <c r="C2522" t="s">
        <v>40</v>
      </c>
      <c r="D2522">
        <v>4.0240780000000003</v>
      </c>
      <c r="E2522">
        <v>0.52785700000000002</v>
      </c>
      <c r="F2522" t="s">
        <v>74</v>
      </c>
      <c r="G2522">
        <v>-394.52730000000003</v>
      </c>
      <c r="H2522" s="1">
        <v>8.7238609999999998E-7</v>
      </c>
      <c r="I2522">
        <v>284.83679999999998</v>
      </c>
      <c r="J2522">
        <v>-349.45319999999998</v>
      </c>
      <c r="K2522">
        <v>1.1095660000000001</v>
      </c>
      <c r="L2522">
        <v>285.4248</v>
      </c>
      <c r="M2522">
        <v>-0.99988690000000002</v>
      </c>
      <c r="N2522">
        <v>-1.496129E-2</v>
      </c>
      <c r="O2522">
        <v>1.5625610000000001E-3</v>
      </c>
      <c r="P2522">
        <v>-0.99613689999999999</v>
      </c>
      <c r="Q2522">
        <v>-9.2375860000000008E-3</v>
      </c>
      <c r="R2522">
        <v>-8.7328230000000007E-2</v>
      </c>
      <c r="S2522">
        <v>-3.0075069999999999</v>
      </c>
      <c r="T2522">
        <v>-7.3545219999999994E-2</v>
      </c>
      <c r="U2522">
        <v>-3.8940429999999998E-2</v>
      </c>
      <c r="V2522">
        <v>-8.888451E-2</v>
      </c>
      <c r="W2522">
        <v>5.6684350000000003E-3</v>
      </c>
      <c r="X2522">
        <v>0.99602579999999996</v>
      </c>
      <c r="Y2522">
        <v>-1.450219E-2</v>
      </c>
      <c r="Z2522">
        <v>-3.0063250000000001E-4</v>
      </c>
      <c r="AA2522">
        <v>0.99989479999999997</v>
      </c>
      <c r="AB2522">
        <v>50</v>
      </c>
      <c r="AC2522">
        <v>-45.074100000000001</v>
      </c>
      <c r="AD2522">
        <v>-1.10956512761389</v>
      </c>
      <c r="AE2522">
        <v>-0.58800000000002195</v>
      </c>
      <c r="AF2522">
        <v>-0.65803950874703199</v>
      </c>
      <c r="AG2522">
        <v>-1.10956512761389</v>
      </c>
      <c r="AH2522">
        <v>45.045834271072998</v>
      </c>
      <c r="AI2522">
        <v>91.410868933930502</v>
      </c>
      <c r="AJ2522">
        <v>90.836929887611007</v>
      </c>
      <c r="AK2522">
        <v>45.064302235189103</v>
      </c>
      <c r="AL2522">
        <v>89.675220855787103</v>
      </c>
      <c r="AM2522">
        <v>95.099519216915596</v>
      </c>
      <c r="AN2522">
        <v>0.999999990769464</v>
      </c>
    </row>
    <row r="2523" spans="1:40" x14ac:dyDescent="0.25">
      <c r="A2523" t="str">
        <f>"20190305134947872"</f>
        <v>20190305134947872</v>
      </c>
      <c r="B2523" t="str">
        <f>"1551764987863425"</f>
        <v>1551764987863425</v>
      </c>
      <c r="C2523" t="s">
        <v>40</v>
      </c>
      <c r="D2523">
        <v>4.0291949999999996</v>
      </c>
      <c r="E2523">
        <v>0.52777629999999998</v>
      </c>
      <c r="F2523" t="s">
        <v>74</v>
      </c>
      <c r="G2523">
        <v>-394.96510000000001</v>
      </c>
      <c r="H2523" s="1">
        <v>1.1053799999999999E-6</v>
      </c>
      <c r="I2523">
        <v>284.83179999999999</v>
      </c>
      <c r="J2523">
        <v>-349.78960000000001</v>
      </c>
      <c r="K2523">
        <v>1.109567</v>
      </c>
      <c r="L2523">
        <v>285.42540000000002</v>
      </c>
      <c r="M2523">
        <v>-0.99988690000000002</v>
      </c>
      <c r="N2523">
        <v>-1.495896E-2</v>
      </c>
      <c r="O2523">
        <v>1.5622209999999999E-3</v>
      </c>
      <c r="P2523">
        <v>-0.99617540000000004</v>
      </c>
      <c r="Q2523">
        <v>-8.8222089999999993E-3</v>
      </c>
      <c r="R2523">
        <v>-8.6931140000000004E-2</v>
      </c>
      <c r="S2523">
        <v>-3.0075069999999999</v>
      </c>
      <c r="T2523">
        <v>-7.3322059999999994E-2</v>
      </c>
      <c r="U2523">
        <v>-3.9184570000000002E-2</v>
      </c>
      <c r="V2523">
        <v>-8.8486759999999998E-2</v>
      </c>
      <c r="W2523">
        <v>6.0823219999999898E-3</v>
      </c>
      <c r="X2523">
        <v>0.99605880000000002</v>
      </c>
      <c r="Y2523">
        <v>-1.4583E-2</v>
      </c>
      <c r="Z2523">
        <v>-3.0155170000000002E-4</v>
      </c>
      <c r="AA2523">
        <v>0.99989360000000005</v>
      </c>
      <c r="AB2523">
        <v>50</v>
      </c>
      <c r="AC2523">
        <v>-45.1755</v>
      </c>
      <c r="AD2523">
        <v>-1.10956589462</v>
      </c>
      <c r="AE2523">
        <v>-0.59360000000003699</v>
      </c>
      <c r="AF2523">
        <v>-0.66378092753620199</v>
      </c>
      <c r="AG2523">
        <v>-1.10956589462</v>
      </c>
      <c r="AH2523">
        <v>45.147286840193701</v>
      </c>
      <c r="AI2523">
        <v>91.407698809385494</v>
      </c>
      <c r="AJ2523">
        <v>90.842334241902094</v>
      </c>
      <c r="AK2523">
        <v>45.165797354026601</v>
      </c>
      <c r="AL2523">
        <v>89.651506476998804</v>
      </c>
      <c r="AM2523">
        <v>95.076651540094403</v>
      </c>
      <c r="AN2523">
        <v>1.00000001719682</v>
      </c>
    </row>
    <row r="2524" spans="1:40" x14ac:dyDescent="0.25">
      <c r="A2524" t="str">
        <f>"20190305134947882"</f>
        <v>20190305134947882</v>
      </c>
      <c r="B2524" t="str">
        <f>"1551764987873185"</f>
        <v>1551764987873185</v>
      </c>
      <c r="C2524" t="s">
        <v>40</v>
      </c>
      <c r="D2524">
        <v>4.0106380000000001</v>
      </c>
      <c r="E2524">
        <v>0.5277269</v>
      </c>
      <c r="F2524" t="s">
        <v>74</v>
      </c>
      <c r="G2524">
        <v>-397.07769999999999</v>
      </c>
      <c r="H2524" s="1">
        <v>2.2296170000000001E-6</v>
      </c>
      <c r="I2524">
        <v>284.815</v>
      </c>
      <c r="J2524">
        <v>-350.04239999999999</v>
      </c>
      <c r="K2524">
        <v>1.109567</v>
      </c>
      <c r="L2524">
        <v>285.42579999999998</v>
      </c>
      <c r="M2524">
        <v>-0.99988690000000002</v>
      </c>
      <c r="N2524">
        <v>-1.495731E-2</v>
      </c>
      <c r="O2524">
        <v>1.562234E-3</v>
      </c>
      <c r="P2524">
        <v>-0.99618930000000006</v>
      </c>
      <c r="Q2524">
        <v>-8.6262159999999904E-3</v>
      </c>
      <c r="R2524">
        <v>-8.6789379999999999E-2</v>
      </c>
      <c r="S2524">
        <v>-3.0075069999999999</v>
      </c>
      <c r="T2524">
        <v>-7.0567969999999994E-2</v>
      </c>
      <c r="U2524">
        <v>-3.8818360000000003E-2</v>
      </c>
      <c r="V2524">
        <v>-8.8345580000000007E-2</v>
      </c>
      <c r="W2524">
        <v>6.2763910000000001E-3</v>
      </c>
      <c r="X2524">
        <v>0.99607009999999996</v>
      </c>
      <c r="Y2524">
        <v>-1.4461770000000001E-2</v>
      </c>
      <c r="Z2524">
        <v>-2.9110790000000001E-4</v>
      </c>
      <c r="AA2524">
        <v>0.99989539999999999</v>
      </c>
      <c r="AB2524">
        <v>50</v>
      </c>
      <c r="AC2524">
        <v>-47.035299999999999</v>
      </c>
      <c r="AD2524">
        <v>-1.1095647703829901</v>
      </c>
      <c r="AE2524">
        <v>-0.61079999999998302</v>
      </c>
      <c r="AF2524">
        <v>-0.68390709779526104</v>
      </c>
      <c r="AG2524">
        <v>-1.1095647703829901</v>
      </c>
      <c r="AH2524">
        <v>47.008133118897803</v>
      </c>
      <c r="AI2524">
        <v>91.351996954080406</v>
      </c>
      <c r="AJ2524">
        <v>90.833520145184295</v>
      </c>
      <c r="AK2524">
        <v>47.026199529858999</v>
      </c>
      <c r="AL2524">
        <v>89.640386920225694</v>
      </c>
      <c r="AM2524">
        <v>95.068536802401795</v>
      </c>
      <c r="AN2524">
        <v>0.99999998935176504</v>
      </c>
    </row>
    <row r="2525" spans="1:40" x14ac:dyDescent="0.25">
      <c r="A2525" t="str">
        <f>"20190305134947895"</f>
        <v>20190305134947895</v>
      </c>
      <c r="B2525" t="str">
        <f>"1551764987882946"</f>
        <v>1551764987882946</v>
      </c>
      <c r="C2525" t="s">
        <v>40</v>
      </c>
      <c r="D2525">
        <v>3.810864</v>
      </c>
      <c r="E2525">
        <v>0.5277269</v>
      </c>
      <c r="F2525" t="s">
        <v>74</v>
      </c>
      <c r="G2525">
        <v>-397.03309999999999</v>
      </c>
      <c r="H2525" s="1">
        <v>2.2058929999999999E-6</v>
      </c>
      <c r="I2525">
        <v>284.82159999999999</v>
      </c>
      <c r="J2525">
        <v>-350.30079999999998</v>
      </c>
      <c r="K2525">
        <v>1.1095680000000001</v>
      </c>
      <c r="L2525">
        <v>285.42610000000002</v>
      </c>
      <c r="M2525">
        <v>-0.99988699999999997</v>
      </c>
      <c r="N2525">
        <v>-1.4955660000000001E-2</v>
      </c>
      <c r="O2525">
        <v>1.5617700000000001E-3</v>
      </c>
      <c r="P2525">
        <v>-0.99621040000000005</v>
      </c>
      <c r="Q2525">
        <v>-8.4231010000000005E-3</v>
      </c>
      <c r="R2525">
        <v>-8.6568469999999995E-2</v>
      </c>
      <c r="S2525">
        <v>-3.0075069999999999</v>
      </c>
      <c r="T2525">
        <v>-7.1014519999999998E-2</v>
      </c>
      <c r="U2525">
        <v>-3.8665770000000002E-2</v>
      </c>
      <c r="V2525">
        <v>-8.8124620000000001E-2</v>
      </c>
      <c r="W2525">
        <v>6.4785669999999898E-3</v>
      </c>
      <c r="X2525">
        <v>0.99608839999999998</v>
      </c>
      <c r="Y2525">
        <v>-1.4410539999999999E-2</v>
      </c>
      <c r="Z2525">
        <v>-2.9141189999999997E-4</v>
      </c>
      <c r="AA2525">
        <v>0.99989609999999995</v>
      </c>
      <c r="AB2525">
        <v>50</v>
      </c>
      <c r="AC2525">
        <v>-46.732300000000002</v>
      </c>
      <c r="AD2525">
        <v>-1.1095657941069901</v>
      </c>
      <c r="AE2525">
        <v>-0.60450000000003001</v>
      </c>
      <c r="AF2525">
        <v>-0.67711088154965604</v>
      </c>
      <c r="AG2525">
        <v>-1.1095657941069901</v>
      </c>
      <c r="AH2525">
        <v>46.704974168368601</v>
      </c>
      <c r="AI2525">
        <v>91.360771653285795</v>
      </c>
      <c r="AJ2525">
        <v>90.830594144995104</v>
      </c>
      <c r="AK2525">
        <v>46.723058841061999</v>
      </c>
      <c r="AL2525">
        <v>89.628802860854407</v>
      </c>
      <c r="AM2525">
        <v>95.055833331408905</v>
      </c>
      <c r="AN2525">
        <v>1.00000001054753</v>
      </c>
    </row>
    <row r="2526" spans="1:40" x14ac:dyDescent="0.25">
      <c r="A2526" t="str">
        <f>"20190305134947908"</f>
        <v>20190305134947908</v>
      </c>
      <c r="B2526" t="str">
        <f>"1551764987903441"</f>
        <v>1551764987903441</v>
      </c>
      <c r="C2526" t="s">
        <v>40</v>
      </c>
      <c r="D2526">
        <v>4.0433000000000003</v>
      </c>
      <c r="E2526">
        <v>0.52761179999999996</v>
      </c>
      <c r="F2526" t="s">
        <v>74</v>
      </c>
      <c r="G2526">
        <v>-397.69139999999999</v>
      </c>
      <c r="H2526" s="1">
        <v>2.5561750000000001E-6</v>
      </c>
      <c r="I2526">
        <v>284.82600000000002</v>
      </c>
      <c r="J2526">
        <v>-350.60559999999998</v>
      </c>
      <c r="K2526">
        <v>1.109569</v>
      </c>
      <c r="L2526">
        <v>285.42660000000001</v>
      </c>
      <c r="M2526">
        <v>-0.99988699999999997</v>
      </c>
      <c r="N2526">
        <v>-1.495376E-2</v>
      </c>
      <c r="O2526">
        <v>1.561605E-3</v>
      </c>
      <c r="P2526">
        <v>-0.99623839999999997</v>
      </c>
      <c r="Q2526">
        <v>-8.1498890000000004E-3</v>
      </c>
      <c r="R2526">
        <v>-8.6272399999999999E-2</v>
      </c>
      <c r="S2526">
        <v>-3.0074459999999998</v>
      </c>
      <c r="T2526">
        <v>-7.0413950000000003E-2</v>
      </c>
      <c r="U2526">
        <v>-3.8085939999999999E-2</v>
      </c>
      <c r="V2526">
        <v>-8.7828059999999999E-2</v>
      </c>
      <c r="W2526">
        <v>6.7498810000000001E-3</v>
      </c>
      <c r="X2526">
        <v>0.99611280000000002</v>
      </c>
      <c r="Y2526">
        <v>-1.4218059999999999E-2</v>
      </c>
      <c r="Z2526">
        <v>-2.8596129999999999E-4</v>
      </c>
      <c r="AA2526">
        <v>0.99989890000000003</v>
      </c>
      <c r="AB2526">
        <v>50</v>
      </c>
      <c r="AC2526">
        <v>-47.085799999999999</v>
      </c>
      <c r="AD2526">
        <v>-1.1095664438249999</v>
      </c>
      <c r="AE2526">
        <v>-0.60060000000004199</v>
      </c>
      <c r="AF2526">
        <v>-0.67376282949316801</v>
      </c>
      <c r="AG2526">
        <v>-1.1095664438249999</v>
      </c>
      <c r="AH2526">
        <v>47.058677195180898</v>
      </c>
      <c r="AI2526">
        <v>91.350551899713295</v>
      </c>
      <c r="AJ2526">
        <v>90.820276542827202</v>
      </c>
      <c r="AK2526">
        <v>47.076577970408103</v>
      </c>
      <c r="AL2526">
        <v>89.613257377330697</v>
      </c>
      <c r="AM2526">
        <v>95.038784213888405</v>
      </c>
      <c r="AN2526">
        <v>1.00000001967035</v>
      </c>
    </row>
    <row r="2527" spans="1:40" x14ac:dyDescent="0.25">
      <c r="A2527" t="str">
        <f>"20190305134947921"</f>
        <v>20190305134947921</v>
      </c>
      <c r="B2527" t="str">
        <f>"1551764987913201"</f>
        <v>1551764987913201</v>
      </c>
      <c r="C2527" t="s">
        <v>40</v>
      </c>
      <c r="D2527">
        <v>4.0310169999999896</v>
      </c>
      <c r="E2527">
        <v>0.52751150000000002</v>
      </c>
      <c r="F2527" t="s">
        <v>74</v>
      </c>
      <c r="G2527">
        <v>-397.99509999999998</v>
      </c>
      <c r="H2527" s="1">
        <v>2.717812E-6</v>
      </c>
      <c r="I2527">
        <v>284.8279</v>
      </c>
      <c r="J2527">
        <v>-350.86410000000001</v>
      </c>
      <c r="K2527">
        <v>1.1095680000000001</v>
      </c>
      <c r="L2527">
        <v>285.4271</v>
      </c>
      <c r="M2527">
        <v>-0.99988699999999997</v>
      </c>
      <c r="N2527">
        <v>-1.4952129999999999E-2</v>
      </c>
      <c r="O2527">
        <v>1.561439E-3</v>
      </c>
      <c r="P2527">
        <v>-0.99626780000000004</v>
      </c>
      <c r="Q2527">
        <v>-8.1447199999999994E-3</v>
      </c>
      <c r="R2527">
        <v>-8.5931820000000006E-2</v>
      </c>
      <c r="S2527">
        <v>-3.0074459999999998</v>
      </c>
      <c r="T2527">
        <v>-7.0415619999999998E-2</v>
      </c>
      <c r="U2527">
        <v>-3.7994380000000001E-2</v>
      </c>
      <c r="V2527">
        <v>-8.7487499999999996E-2</v>
      </c>
      <c r="W2527">
        <v>6.7536970000000003E-3</v>
      </c>
      <c r="X2527">
        <v>0.99614270000000005</v>
      </c>
      <c r="Y2527">
        <v>-1.4187480000000001E-2</v>
      </c>
      <c r="Z2527">
        <v>-2.8536890000000002E-4</v>
      </c>
      <c r="AA2527">
        <v>0.99989930000000005</v>
      </c>
      <c r="AB2527">
        <v>50</v>
      </c>
      <c r="AC2527">
        <v>-47.130999999999901</v>
      </c>
      <c r="AD2527">
        <v>-1.109565282188</v>
      </c>
      <c r="AE2527">
        <v>-0.59919999999999596</v>
      </c>
      <c r="AF2527">
        <v>-0.67242705694474603</v>
      </c>
      <c r="AG2527">
        <v>-1.109565282188</v>
      </c>
      <c r="AH2527">
        <v>47.103904492382597</v>
      </c>
      <c r="AI2527">
        <v>91.349255032706694</v>
      </c>
      <c r="AJ2527">
        <v>90.817864591304499</v>
      </c>
      <c r="AK2527">
        <v>47.121768978783599</v>
      </c>
      <c r="AL2527">
        <v>89.6130387151142</v>
      </c>
      <c r="AM2527">
        <v>95.019196057289093</v>
      </c>
      <c r="AN2527">
        <v>0.99999997692135301</v>
      </c>
    </row>
    <row r="2528" spans="1:40" x14ac:dyDescent="0.25">
      <c r="A2528" t="str">
        <f>"20190305134947931"</f>
        <v>20190305134947931</v>
      </c>
      <c r="B2528" t="str">
        <f>"1551764987922961"</f>
        <v>1551764987922961</v>
      </c>
      <c r="C2528" t="s">
        <v>40</v>
      </c>
      <c r="D2528">
        <v>4.0382600000000002</v>
      </c>
      <c r="E2528">
        <v>0.52741899999999997</v>
      </c>
      <c r="F2528" t="s">
        <v>74</v>
      </c>
      <c r="G2528">
        <v>-398.08929999999998</v>
      </c>
      <c r="H2528" s="1">
        <v>2.7679330000000001E-6</v>
      </c>
      <c r="I2528">
        <v>284.83229999999998</v>
      </c>
      <c r="J2528">
        <v>-351.11</v>
      </c>
      <c r="K2528">
        <v>1.1095660000000001</v>
      </c>
      <c r="L2528">
        <v>285.42739999999998</v>
      </c>
      <c r="M2528">
        <v>-0.99988699999999997</v>
      </c>
      <c r="N2528">
        <v>-1.495058E-2</v>
      </c>
      <c r="O2528">
        <v>1.5614509999999999E-3</v>
      </c>
      <c r="P2528">
        <v>-0.99630320000000006</v>
      </c>
      <c r="Q2528">
        <v>-8.3808809999999997E-3</v>
      </c>
      <c r="R2528">
        <v>-8.5498790000000005E-2</v>
      </c>
      <c r="S2528">
        <v>-3.0073850000000002</v>
      </c>
      <c r="T2528">
        <v>-7.0659040000000006E-2</v>
      </c>
      <c r="U2528">
        <v>-3.7872309999999999E-2</v>
      </c>
      <c r="V2528">
        <v>-8.7054419999999993E-2</v>
      </c>
      <c r="W2528">
        <v>6.5167130000000004E-3</v>
      </c>
      <c r="X2528">
        <v>0.99618229999999997</v>
      </c>
      <c r="Y2528">
        <v>-1.4147150000000001E-2</v>
      </c>
      <c r="Z2528">
        <v>-2.8528970000000001E-4</v>
      </c>
      <c r="AA2528">
        <v>0.99989989999999995</v>
      </c>
      <c r="AB2528">
        <v>50</v>
      </c>
      <c r="AC2528">
        <v>-46.979299999999903</v>
      </c>
      <c r="AD2528">
        <v>-1.1095632320669999</v>
      </c>
      <c r="AE2528">
        <v>-0.59510000000000196</v>
      </c>
      <c r="AF2528">
        <v>-0.66809073806253705</v>
      </c>
      <c r="AG2528">
        <v>-1.1095632320669999</v>
      </c>
      <c r="AH2528">
        <v>46.952126943364398</v>
      </c>
      <c r="AI2528">
        <v>91.353613408210194</v>
      </c>
      <c r="AJ2528">
        <v>90.815217520386398</v>
      </c>
      <c r="AK2528">
        <v>46.969987229144998</v>
      </c>
      <c r="AL2528">
        <v>89.626617227356903</v>
      </c>
      <c r="AM2528">
        <v>94.994278515995902</v>
      </c>
      <c r="AN2528">
        <v>1.0000000572115699</v>
      </c>
    </row>
    <row r="2529" spans="1:40" x14ac:dyDescent="0.25">
      <c r="A2529" t="str">
        <f>"20190305134947950"</f>
        <v>20190305134947950</v>
      </c>
      <c r="B2529" t="str">
        <f>"1551764987943460"</f>
        <v>1551764987943460</v>
      </c>
      <c r="C2529" t="s">
        <v>40</v>
      </c>
      <c r="D2529">
        <v>3.9240520000000001</v>
      </c>
      <c r="E2529">
        <v>0.52736890000000003</v>
      </c>
      <c r="F2529" t="s">
        <v>74</v>
      </c>
      <c r="G2529">
        <v>-397.8193</v>
      </c>
      <c r="H2529" s="1">
        <v>2.6242459999999998E-6</v>
      </c>
      <c r="I2529">
        <v>284.8501</v>
      </c>
      <c r="J2529">
        <v>-351.52569999999997</v>
      </c>
      <c r="K2529">
        <v>1.109567</v>
      </c>
      <c r="L2529">
        <v>285.42809999999997</v>
      </c>
      <c r="M2529">
        <v>-0.99988710000000003</v>
      </c>
      <c r="N2529">
        <v>-1.494791E-2</v>
      </c>
      <c r="O2529">
        <v>1.5611729999999999E-3</v>
      </c>
      <c r="P2529">
        <v>-0.99636659999999999</v>
      </c>
      <c r="Q2529">
        <v>-9.0967159999999995E-3</v>
      </c>
      <c r="R2529">
        <v>-8.4682209999999994E-2</v>
      </c>
      <c r="S2529">
        <v>-3.0073850000000002</v>
      </c>
      <c r="T2529">
        <v>-7.1439390000000005E-2</v>
      </c>
      <c r="U2529">
        <v>-3.7170410000000001E-2</v>
      </c>
      <c r="V2529">
        <v>-8.6237270000000005E-2</v>
      </c>
      <c r="W2529">
        <v>5.7990860000000002E-3</v>
      </c>
      <c r="X2529">
        <v>0.99625770000000002</v>
      </c>
      <c r="Y2529">
        <v>-1.391353E-2</v>
      </c>
      <c r="Z2529">
        <v>-2.8299180000000002E-4</v>
      </c>
      <c r="AA2529">
        <v>0.99990310000000004</v>
      </c>
      <c r="AB2529">
        <v>49</v>
      </c>
      <c r="AC2529">
        <v>-46.293599999999998</v>
      </c>
      <c r="AD2529">
        <v>-1.1095643757539999</v>
      </c>
      <c r="AE2529">
        <v>-0.57799999999997398</v>
      </c>
      <c r="AF2529">
        <v>-0.64990639635095604</v>
      </c>
      <c r="AG2529">
        <v>-1.1095643757539999</v>
      </c>
      <c r="AH2529">
        <v>46.266067049191101</v>
      </c>
      <c r="AI2529">
        <v>91.373682881614499</v>
      </c>
      <c r="AJ2529">
        <v>90.804789493237493</v>
      </c>
      <c r="AK2529">
        <v>46.283933190991903</v>
      </c>
      <c r="AL2529">
        <v>89.667734968380202</v>
      </c>
      <c r="AM2529">
        <v>94.947260133754895</v>
      </c>
      <c r="AN2529">
        <v>0.99999995047238699</v>
      </c>
    </row>
    <row r="2530" spans="1:40" x14ac:dyDescent="0.25">
      <c r="A2530" t="str">
        <f>"20190305134947962"</f>
        <v>20190305134947962</v>
      </c>
      <c r="B2530" t="str">
        <f>"1551764987953219"</f>
        <v>1551764987953219</v>
      </c>
      <c r="C2530" t="s">
        <v>40</v>
      </c>
      <c r="D2530">
        <v>4.0232599999999996</v>
      </c>
      <c r="E2530">
        <v>0.52730730000000003</v>
      </c>
      <c r="F2530" t="s">
        <v>74</v>
      </c>
      <c r="G2530">
        <v>-396.62700000000001</v>
      </c>
      <c r="H2530" s="1">
        <v>1.9897479999999998E-6</v>
      </c>
      <c r="I2530">
        <v>284.90219999999999</v>
      </c>
      <c r="J2530">
        <v>-351.7824</v>
      </c>
      <c r="K2530">
        <v>1.1095660000000001</v>
      </c>
      <c r="L2530">
        <v>285.42849999999999</v>
      </c>
      <c r="M2530">
        <v>-0.99988710000000003</v>
      </c>
      <c r="N2530">
        <v>-1.494614E-2</v>
      </c>
      <c r="O2530">
        <v>1.5610070000000001E-3</v>
      </c>
      <c r="P2530">
        <v>-0.99640450000000003</v>
      </c>
      <c r="Q2530">
        <v>-9.2719819999999998E-3</v>
      </c>
      <c r="R2530">
        <v>-8.4214780000000003E-2</v>
      </c>
      <c r="S2530">
        <v>-3.0072939999999999</v>
      </c>
      <c r="T2530">
        <v>-7.3984380000000002E-2</v>
      </c>
      <c r="U2530">
        <v>-3.5064699999999997E-2</v>
      </c>
      <c r="V2530">
        <v>-8.5769910000000005E-2</v>
      </c>
      <c r="W2530">
        <v>5.6231369999999899E-3</v>
      </c>
      <c r="X2530">
        <v>0.99629909999999999</v>
      </c>
      <c r="Y2530">
        <v>-1.321365E-2</v>
      </c>
      <c r="Z2530">
        <v>-2.763544E-4</v>
      </c>
      <c r="AA2530">
        <v>0.99991269999999999</v>
      </c>
      <c r="AB2530">
        <v>49</v>
      </c>
      <c r="AC2530">
        <v>-44.8445999999999</v>
      </c>
      <c r="AD2530">
        <v>-1.1095640102519999</v>
      </c>
      <c r="AE2530">
        <v>-0.526299999999992</v>
      </c>
      <c r="AF2530">
        <v>-0.59594513214210099</v>
      </c>
      <c r="AG2530">
        <v>-1.1095640102519999</v>
      </c>
      <c r="AH2530">
        <v>44.816291508333201</v>
      </c>
      <c r="AI2530">
        <v>91.418116754980304</v>
      </c>
      <c r="AJ2530">
        <v>90.761846359875406</v>
      </c>
      <c r="AK2530">
        <v>44.833985629801802</v>
      </c>
      <c r="AL2530">
        <v>89.677816283370404</v>
      </c>
      <c r="AM2530">
        <v>94.920377150481499</v>
      </c>
      <c r="AN2530">
        <v>0.99999999689596897</v>
      </c>
    </row>
    <row r="2531" spans="1:40" x14ac:dyDescent="0.25">
      <c r="A2531" t="str">
        <f>"20190305134947974"</f>
        <v>20190305134947974</v>
      </c>
      <c r="B2531" t="str">
        <f>"1551764987962977"</f>
        <v>1551764987962977</v>
      </c>
      <c r="C2531" t="s">
        <v>40</v>
      </c>
      <c r="D2531">
        <v>3.7916470000000002</v>
      </c>
      <c r="E2531">
        <v>0.52730730000000003</v>
      </c>
      <c r="F2531" t="s">
        <v>74</v>
      </c>
      <c r="G2531">
        <v>-396.5883</v>
      </c>
      <c r="H2531" s="1">
        <v>1.9691989999999999E-6</v>
      </c>
      <c r="I2531">
        <v>284.91840000000002</v>
      </c>
      <c r="J2531">
        <v>-352.05250000000001</v>
      </c>
      <c r="K2531">
        <v>1.1095630000000001</v>
      </c>
      <c r="L2531">
        <v>285.42899999999997</v>
      </c>
      <c r="M2531">
        <v>-0.99988710000000003</v>
      </c>
      <c r="N2531">
        <v>-1.4944290000000001E-2</v>
      </c>
      <c r="O2531">
        <v>1.560842E-3</v>
      </c>
      <c r="P2531">
        <v>-0.99644699999999997</v>
      </c>
      <c r="Q2531">
        <v>-9.3822839999999994E-3</v>
      </c>
      <c r="R2531">
        <v>-8.3698819999999993E-2</v>
      </c>
      <c r="S2531">
        <v>-3.0072019999999999</v>
      </c>
      <c r="T2531">
        <v>-7.4469690000000005E-2</v>
      </c>
      <c r="U2531">
        <v>-3.4240720000000002E-2</v>
      </c>
      <c r="V2531">
        <v>-8.5254010000000005E-2</v>
      </c>
      <c r="W2531">
        <v>5.5110819999999996E-3</v>
      </c>
      <c r="X2531">
        <v>0.99634400000000001</v>
      </c>
      <c r="Y2531">
        <v>-1.293997E-2</v>
      </c>
      <c r="Z2531">
        <v>-2.7223360000000002E-4</v>
      </c>
      <c r="AA2531">
        <v>0.99991629999999998</v>
      </c>
      <c r="AB2531">
        <v>49</v>
      </c>
      <c r="AC2531">
        <v>-44.535800000000002</v>
      </c>
      <c r="AD2531">
        <v>-1.10956103080099</v>
      </c>
      <c r="AE2531">
        <v>-0.51060000000001005</v>
      </c>
      <c r="AF2531">
        <v>-0.57976067735322001</v>
      </c>
      <c r="AG2531">
        <v>-1.10956103080099</v>
      </c>
      <c r="AH2531">
        <v>44.5073264810258</v>
      </c>
      <c r="AI2531">
        <v>91.427958369203907</v>
      </c>
      <c r="AJ2531">
        <v>90.746303225554499</v>
      </c>
      <c r="AK2531">
        <v>44.524929630631597</v>
      </c>
      <c r="AL2531">
        <v>89.684236660006107</v>
      </c>
      <c r="AM2531">
        <v>94.890706081011601</v>
      </c>
      <c r="AN2531">
        <v>0.99999999229094505</v>
      </c>
    </row>
    <row r="2532" spans="1:40" x14ac:dyDescent="0.25">
      <c r="A2532" t="str">
        <f>"20190305134947986"</f>
        <v>20190305134947986</v>
      </c>
      <c r="B2532" t="str">
        <f>"1551764987972737"</f>
        <v>1551764987972737</v>
      </c>
      <c r="C2532" t="s">
        <v>40</v>
      </c>
      <c r="D2532">
        <v>4.0119579999999999</v>
      </c>
      <c r="E2532">
        <v>0.52721689999999999</v>
      </c>
      <c r="F2532" t="s">
        <v>74</v>
      </c>
      <c r="G2532">
        <v>-396.69209999999998</v>
      </c>
      <c r="H2532" s="1">
        <v>2.0244250000000001E-6</v>
      </c>
      <c r="I2532">
        <v>284.94380000000001</v>
      </c>
      <c r="J2532">
        <v>-352.31459999999998</v>
      </c>
      <c r="K2532">
        <v>1.1095649999999999</v>
      </c>
      <c r="L2532">
        <v>285.42939999999999</v>
      </c>
      <c r="M2532">
        <v>-0.99988710000000003</v>
      </c>
      <c r="N2532">
        <v>-1.4942489999999999E-2</v>
      </c>
      <c r="O2532">
        <v>1.5606769999999999E-3</v>
      </c>
      <c r="P2532">
        <v>-0.99647430000000004</v>
      </c>
      <c r="Q2532">
        <v>-9.2484520000000008E-3</v>
      </c>
      <c r="R2532">
        <v>-8.338893E-2</v>
      </c>
      <c r="S2532">
        <v>-3.0072329999999998</v>
      </c>
      <c r="T2532">
        <v>-7.4747679999999997E-2</v>
      </c>
      <c r="U2532">
        <v>-3.2684329999999998E-2</v>
      </c>
      <c r="V2532">
        <v>-8.494372E-2</v>
      </c>
      <c r="W2532">
        <v>5.6436400000000001E-3</v>
      </c>
      <c r="X2532">
        <v>0.99636979999999997</v>
      </c>
      <c r="Y2532">
        <v>-1.242246E-2</v>
      </c>
      <c r="Z2532">
        <v>-2.6266540000000001E-4</v>
      </c>
      <c r="AA2532">
        <v>0.9999228</v>
      </c>
      <c r="AB2532">
        <v>49</v>
      </c>
      <c r="AC2532">
        <v>-44.377499999999998</v>
      </c>
      <c r="AD2532">
        <v>-1.1095629755749901</v>
      </c>
      <c r="AE2532">
        <v>-0.485599999999976</v>
      </c>
      <c r="AF2532">
        <v>-0.55451947631707399</v>
      </c>
      <c r="AG2532">
        <v>-1.1095629755749901</v>
      </c>
      <c r="AH2532">
        <v>44.348966937898197</v>
      </c>
      <c r="AI2532">
        <v>91.4330672099032</v>
      </c>
      <c r="AJ2532">
        <v>90.716363250098496</v>
      </c>
      <c r="AK2532">
        <v>44.366310307542697</v>
      </c>
      <c r="AL2532">
        <v>89.676641540805804</v>
      </c>
      <c r="AM2532">
        <v>94.872866191075801</v>
      </c>
      <c r="AN2532">
        <v>1.0000000322959599</v>
      </c>
    </row>
    <row r="2533" spans="1:40" x14ac:dyDescent="0.25">
      <c r="A2533" t="str">
        <f>"20190305134947998"</f>
        <v>20190305134947998</v>
      </c>
      <c r="B2533" t="str">
        <f>"1551764987993233"</f>
        <v>1551764987993233</v>
      </c>
      <c r="C2533" t="s">
        <v>40</v>
      </c>
      <c r="D2533">
        <v>4.0000580000000001</v>
      </c>
      <c r="E2533">
        <v>0.52706189999999997</v>
      </c>
      <c r="F2533" t="s">
        <v>74</v>
      </c>
      <c r="G2533">
        <v>-396.8227</v>
      </c>
      <c r="H2533" s="1">
        <v>2.093916E-6</v>
      </c>
      <c r="I2533">
        <v>284.95150000000001</v>
      </c>
      <c r="J2533">
        <v>-352.57589999999999</v>
      </c>
      <c r="K2533">
        <v>1.1095680000000001</v>
      </c>
      <c r="L2533">
        <v>285.4298</v>
      </c>
      <c r="M2533">
        <v>-0.99988730000000003</v>
      </c>
      <c r="N2533">
        <v>-1.4940729999999999E-2</v>
      </c>
      <c r="O2533">
        <v>1.5605110000000001E-3</v>
      </c>
      <c r="P2533">
        <v>-0.99651489999999998</v>
      </c>
      <c r="Q2533">
        <v>-9.2776979999999992E-3</v>
      </c>
      <c r="R2533">
        <v>-8.2899710000000001E-2</v>
      </c>
      <c r="S2533">
        <v>-3.0072329999999998</v>
      </c>
      <c r="T2533">
        <v>-7.4968699999999999E-2</v>
      </c>
      <c r="U2533">
        <v>-3.22876E-2</v>
      </c>
      <c r="V2533">
        <v>-8.4454349999999997E-2</v>
      </c>
      <c r="W2533">
        <v>5.6135999999999998E-3</v>
      </c>
      <c r="X2533">
        <v>0.99641159999999995</v>
      </c>
      <c r="Y2533">
        <v>-1.229043E-2</v>
      </c>
      <c r="Z2533">
        <v>-2.6059450000000001E-4</v>
      </c>
      <c r="AA2533">
        <v>0.99992440000000005</v>
      </c>
      <c r="AB2533">
        <v>49</v>
      </c>
      <c r="AC2533">
        <v>-44.2468</v>
      </c>
      <c r="AD2533">
        <v>-1.109565906084</v>
      </c>
      <c r="AE2533">
        <v>-0.47829999999999001</v>
      </c>
      <c r="AF2533">
        <v>-0.54701079014383702</v>
      </c>
      <c r="AG2533">
        <v>-1.109565906084</v>
      </c>
      <c r="AH2533">
        <v>44.218196567531002</v>
      </c>
      <c r="AI2533">
        <v>91.437309738376996</v>
      </c>
      <c r="AJ2533">
        <v>90.708753712932193</v>
      </c>
      <c r="AK2533">
        <v>44.235497792940997</v>
      </c>
      <c r="AL2533">
        <v>89.678362743164399</v>
      </c>
      <c r="AM2533">
        <v>94.844724814912297</v>
      </c>
      <c r="AN2533">
        <v>1.0000000631767101</v>
      </c>
    </row>
    <row r="2534" spans="1:40" x14ac:dyDescent="0.25">
      <c r="A2534" t="str">
        <f>"20190305134948009"</f>
        <v>20190305134948009</v>
      </c>
      <c r="B2534" t="str">
        <f>"1551764988002993"</f>
        <v>1551764988002993</v>
      </c>
      <c r="C2534" t="s">
        <v>40</v>
      </c>
      <c r="D2534">
        <v>3.995215</v>
      </c>
      <c r="E2534">
        <v>0.52703330000000004</v>
      </c>
      <c r="F2534" t="s">
        <v>74</v>
      </c>
      <c r="G2534">
        <v>-396.5077</v>
      </c>
      <c r="H2534" s="1">
        <v>1.9262610000000001E-6</v>
      </c>
      <c r="I2534">
        <v>284.96210000000002</v>
      </c>
      <c r="J2534">
        <v>-352.83589999999998</v>
      </c>
      <c r="K2534">
        <v>1.1095680000000001</v>
      </c>
      <c r="L2534">
        <v>285.43020000000001</v>
      </c>
      <c r="M2534">
        <v>-0.99988730000000003</v>
      </c>
      <c r="N2534">
        <v>-1.4938979999999999E-2</v>
      </c>
      <c r="O2534">
        <v>1.5603450000000001E-3</v>
      </c>
      <c r="P2534">
        <v>-0.99657090000000004</v>
      </c>
      <c r="Q2534">
        <v>-8.6890059999999904E-3</v>
      </c>
      <c r="R2534">
        <v>-8.2286509999999993E-2</v>
      </c>
      <c r="S2534">
        <v>-3.0071110000000001</v>
      </c>
      <c r="T2534">
        <v>-7.5949310000000006E-2</v>
      </c>
      <c r="U2534">
        <v>-3.2012939999999997E-2</v>
      </c>
      <c r="V2534">
        <v>-8.3841600000000002E-2</v>
      </c>
      <c r="W2534">
        <v>6.2010529999999998E-3</v>
      </c>
      <c r="X2534">
        <v>0.99645980000000001</v>
      </c>
      <c r="Y2534">
        <v>-1.219929E-2</v>
      </c>
      <c r="Z2534">
        <v>-2.6127300000000002E-4</v>
      </c>
      <c r="AA2534">
        <v>0.99992559999999997</v>
      </c>
      <c r="AB2534">
        <v>49</v>
      </c>
      <c r="AC2534">
        <v>-43.671799999999998</v>
      </c>
      <c r="AD2534">
        <v>-1.1095660737390001</v>
      </c>
      <c r="AE2534">
        <v>-0.46809999999999202</v>
      </c>
      <c r="AF2534">
        <v>-0.53590420968999997</v>
      </c>
      <c r="AG2534">
        <v>-1.1095660737390001</v>
      </c>
      <c r="AH2534">
        <v>43.642847611037801</v>
      </c>
      <c r="AI2534">
        <v>91.456251720454503</v>
      </c>
      <c r="AJ2534">
        <v>90.703517483556894</v>
      </c>
      <c r="AK2534">
        <v>43.6602390945609</v>
      </c>
      <c r="AL2534">
        <v>89.644703557492804</v>
      </c>
      <c r="AM2534">
        <v>94.809508341648794</v>
      </c>
      <c r="AN2534">
        <v>0.99999999998245404</v>
      </c>
    </row>
    <row r="2535" spans="1:40" x14ac:dyDescent="0.25">
      <c r="A2535" t="str">
        <f>"20190305134948022"</f>
        <v>20190305134948022</v>
      </c>
      <c r="B2535" t="str">
        <f>"1551764988012754"</f>
        <v>1551764988012754</v>
      </c>
      <c r="C2535" t="s">
        <v>40</v>
      </c>
      <c r="D2535">
        <v>3.791509</v>
      </c>
      <c r="E2535">
        <v>0.52703330000000004</v>
      </c>
      <c r="F2535" t="s">
        <v>74</v>
      </c>
      <c r="G2535">
        <v>-397.96039999999999</v>
      </c>
      <c r="H2535" s="1">
        <v>2.6993219999999999E-6</v>
      </c>
      <c r="I2535">
        <v>284.97370000000001</v>
      </c>
      <c r="J2535">
        <v>-353.09949999999998</v>
      </c>
      <c r="K2535">
        <v>1.1095710000000001</v>
      </c>
      <c r="L2535">
        <v>285.43060000000003</v>
      </c>
      <c r="M2535">
        <v>-0.99988719999999998</v>
      </c>
      <c r="N2535">
        <v>-1.4937249999999999E-2</v>
      </c>
      <c r="O2535">
        <v>1.5605339999999999E-3</v>
      </c>
      <c r="P2535">
        <v>-0.99660669999999996</v>
      </c>
      <c r="Q2535">
        <v>-8.4702409999999999E-3</v>
      </c>
      <c r="R2535">
        <v>-8.187287E-2</v>
      </c>
      <c r="S2535">
        <v>-3.0072019999999999</v>
      </c>
      <c r="T2535">
        <v>-7.3944090000000004E-2</v>
      </c>
      <c r="U2535">
        <v>-3.042603E-2</v>
      </c>
      <c r="V2535">
        <v>-8.342811E-2</v>
      </c>
      <c r="W2535">
        <v>6.4189640000000001E-3</v>
      </c>
      <c r="X2535">
        <v>0.99649310000000002</v>
      </c>
      <c r="Y2535">
        <v>-1.167207E-2</v>
      </c>
      <c r="Z2535">
        <v>-2.4573539999999999E-4</v>
      </c>
      <c r="AA2535">
        <v>0.99993189999999998</v>
      </c>
      <c r="AB2535">
        <v>49</v>
      </c>
      <c r="AC2535">
        <v>-44.860900000000001</v>
      </c>
      <c r="AD2535">
        <v>-1.1095683006779999</v>
      </c>
      <c r="AE2535">
        <v>-0.45690000000001801</v>
      </c>
      <c r="AF2535">
        <v>-0.526592107734557</v>
      </c>
      <c r="AG2535">
        <v>-1.1095683006779999</v>
      </c>
      <c r="AH2535">
        <v>44.832708828623801</v>
      </c>
      <c r="AI2535">
        <v>91.417630675229404</v>
      </c>
      <c r="AJ2535">
        <v>90.6729488067202</v>
      </c>
      <c r="AK2535">
        <v>44.849528670588697</v>
      </c>
      <c r="AL2535">
        <v>89.632217919283605</v>
      </c>
      <c r="AM2535">
        <v>94.785740068032396</v>
      </c>
      <c r="AN2535">
        <v>0.99999997549230701</v>
      </c>
    </row>
    <row r="2536" spans="1:40" x14ac:dyDescent="0.25">
      <c r="A2536" t="str">
        <f>"20190305134948041"</f>
        <v>20190305134948041</v>
      </c>
      <c r="B2536" t="str">
        <f>"1551764988033249"</f>
        <v>1551764988033249</v>
      </c>
      <c r="C2536" t="s">
        <v>40</v>
      </c>
      <c r="D2536">
        <v>3.671036</v>
      </c>
      <c r="E2536">
        <v>0.52706070000000005</v>
      </c>
      <c r="F2536" t="s">
        <v>74</v>
      </c>
      <c r="G2536">
        <v>-398.56459999999998</v>
      </c>
      <c r="H2536" s="1">
        <v>3.0208719999999998E-6</v>
      </c>
      <c r="I2536">
        <v>284.98809999999997</v>
      </c>
      <c r="J2536">
        <v>-353.5247</v>
      </c>
      <c r="K2536">
        <v>1.10958</v>
      </c>
      <c r="L2536">
        <v>285.43130000000002</v>
      </c>
      <c r="M2536">
        <v>-0.99988730000000003</v>
      </c>
      <c r="N2536">
        <v>-1.493447E-2</v>
      </c>
      <c r="O2536">
        <v>1.560374E-3</v>
      </c>
      <c r="P2536">
        <v>-0.99667240000000001</v>
      </c>
      <c r="Q2536">
        <v>-7.7478669999999899E-3</v>
      </c>
      <c r="R2536">
        <v>-8.1144809999999998E-2</v>
      </c>
      <c r="S2536">
        <v>-3.0071720000000002</v>
      </c>
      <c r="T2536">
        <v>-7.3389529999999994E-2</v>
      </c>
      <c r="U2536">
        <v>-2.9266360000000002E-2</v>
      </c>
      <c r="V2536">
        <v>-8.2700200000000001E-2</v>
      </c>
      <c r="W2536">
        <v>7.1389699999999997E-3</v>
      </c>
      <c r="X2536">
        <v>0.99654889999999996</v>
      </c>
      <c r="Y2536">
        <v>-1.12867E-2</v>
      </c>
      <c r="Z2536">
        <v>-2.367801E-4</v>
      </c>
      <c r="AA2536">
        <v>0.9999363</v>
      </c>
      <c r="AB2536">
        <v>49</v>
      </c>
      <c r="AC2536">
        <v>-45.039899999999903</v>
      </c>
      <c r="AD2536">
        <v>-1.1095769791279999</v>
      </c>
      <c r="AE2536">
        <v>-0.443200000000047</v>
      </c>
      <c r="AF2536">
        <v>-0.51317496720335298</v>
      </c>
      <c r="AG2536">
        <v>-1.1095769791279999</v>
      </c>
      <c r="AH2536">
        <v>45.011838299702298</v>
      </c>
      <c r="AI2536">
        <v>91.412008020631603</v>
      </c>
      <c r="AJ2536">
        <v>90.653194516293695</v>
      </c>
      <c r="AK2536">
        <v>45.0284365344625</v>
      </c>
      <c r="AL2536">
        <v>89.590963674067893</v>
      </c>
      <c r="AM2536">
        <v>94.743911495742793</v>
      </c>
      <c r="AN2536">
        <v>0.99999999903195502</v>
      </c>
    </row>
    <row r="2537" spans="1:40" x14ac:dyDescent="0.25">
      <c r="A2537" t="str">
        <f>"20190305134948054"</f>
        <v>20190305134948054</v>
      </c>
      <c r="B2537" t="str">
        <f>"1551764988043008"</f>
        <v>1551764988043008</v>
      </c>
      <c r="C2537" t="s">
        <v>40</v>
      </c>
      <c r="D2537">
        <v>4.1044989999999997</v>
      </c>
      <c r="E2537">
        <v>0.52683169999999901</v>
      </c>
      <c r="F2537" t="s">
        <v>74</v>
      </c>
      <c r="G2537">
        <v>-397.90780000000001</v>
      </c>
      <c r="H2537" s="1">
        <v>2.6713670000000001E-6</v>
      </c>
      <c r="I2537">
        <v>285.03449999999998</v>
      </c>
      <c r="J2537">
        <v>-353.8304</v>
      </c>
      <c r="K2537">
        <v>1.10958</v>
      </c>
      <c r="L2537">
        <v>285.43169999999998</v>
      </c>
      <c r="M2537">
        <v>-0.99988719999999998</v>
      </c>
      <c r="N2537">
        <v>-1.493247E-2</v>
      </c>
      <c r="O2537">
        <v>1.56056799999999E-3</v>
      </c>
      <c r="P2537">
        <v>-0.99670709999999996</v>
      </c>
      <c r="Q2537">
        <v>-7.556653E-3</v>
      </c>
      <c r="R2537">
        <v>-8.0733050000000001E-2</v>
      </c>
      <c r="S2537">
        <v>-3.0072329999999998</v>
      </c>
      <c r="T2537">
        <v>-7.5180650000000002E-2</v>
      </c>
      <c r="U2537">
        <v>-2.6885989999999999E-2</v>
      </c>
      <c r="V2537">
        <v>-8.2288570000000005E-2</v>
      </c>
      <c r="W2537">
        <v>7.3292230000000002E-3</v>
      </c>
      <c r="X2537">
        <v>0.99658159999999896</v>
      </c>
      <c r="Y2537">
        <v>-1.049543E-2</v>
      </c>
      <c r="Z2537">
        <v>-2.252613E-4</v>
      </c>
      <c r="AA2537">
        <v>0.99994490000000003</v>
      </c>
      <c r="AB2537">
        <v>49</v>
      </c>
      <c r="AC2537">
        <v>-44.077399999999997</v>
      </c>
      <c r="AD2537">
        <v>-1.109577328633</v>
      </c>
      <c r="AE2537">
        <v>-0.397199999999998</v>
      </c>
      <c r="AF2537">
        <v>-0.46569788386435401</v>
      </c>
      <c r="AG2537">
        <v>-1.109577328633</v>
      </c>
      <c r="AH2537">
        <v>44.048814953161497</v>
      </c>
      <c r="AI2537">
        <v>91.4428789142505</v>
      </c>
      <c r="AJ2537">
        <v>90.605726379536804</v>
      </c>
      <c r="AK2537">
        <v>44.065248610953297</v>
      </c>
      <c r="AL2537">
        <v>89.580062697729204</v>
      </c>
      <c r="AM2537">
        <v>94.720252043348793</v>
      </c>
      <c r="AN2537">
        <v>1.0000000058604901</v>
      </c>
    </row>
    <row r="2538" spans="1:40" x14ac:dyDescent="0.25">
      <c r="A2538" t="str">
        <f>"20190305134948068"</f>
        <v>20190305134948068</v>
      </c>
      <c r="B2538" t="str">
        <f>"1551764988063505"</f>
        <v>1551764988063505</v>
      </c>
      <c r="C2538" t="s">
        <v>40</v>
      </c>
      <c r="D2538">
        <v>3.7637900000000002</v>
      </c>
      <c r="E2538">
        <v>0.52681160000000005</v>
      </c>
      <c r="F2538" t="s">
        <v>74</v>
      </c>
      <c r="G2538">
        <v>-399.00670000000002</v>
      </c>
      <c r="H2538" s="1">
        <v>3.2561399999999999E-6</v>
      </c>
      <c r="I2538">
        <v>285.02100000000002</v>
      </c>
      <c r="J2538">
        <v>-354.13510000000002</v>
      </c>
      <c r="K2538">
        <v>1.1095809999999999</v>
      </c>
      <c r="L2538">
        <v>285.43220000000002</v>
      </c>
      <c r="M2538">
        <v>-0.99988750000000004</v>
      </c>
      <c r="N2538">
        <v>-1.4930479999999999E-2</v>
      </c>
      <c r="O2538">
        <v>1.560285E-3</v>
      </c>
      <c r="P2538">
        <v>-0.99672559999999999</v>
      </c>
      <c r="Q2538">
        <v>-7.38272699999999E-3</v>
      </c>
      <c r="R2538">
        <v>-8.0524559999999995E-2</v>
      </c>
      <c r="S2538">
        <v>-3.0071720000000002</v>
      </c>
      <c r="T2538">
        <v>-7.3859209999999995E-2</v>
      </c>
      <c r="U2538">
        <v>-2.734375E-2</v>
      </c>
      <c r="V2538">
        <v>-8.2079369999999999E-2</v>
      </c>
      <c r="W2538">
        <v>7.5008799999999997E-3</v>
      </c>
      <c r="X2538">
        <v>0.99659759999999997</v>
      </c>
      <c r="Y2538">
        <v>-1.064762E-2</v>
      </c>
      <c r="Z2538">
        <v>-2.252686E-4</v>
      </c>
      <c r="AA2538">
        <v>0.99994329999999998</v>
      </c>
      <c r="AB2538">
        <v>49</v>
      </c>
      <c r="AC2538">
        <v>-44.871600000000001</v>
      </c>
      <c r="AD2538">
        <v>-1.1095777438600001</v>
      </c>
      <c r="AE2538">
        <v>-0.41120000000006401</v>
      </c>
      <c r="AF2538">
        <v>-0.48092573073002198</v>
      </c>
      <c r="AG2538">
        <v>-1.1095777438600001</v>
      </c>
      <c r="AH2538">
        <v>44.8434857400241</v>
      </c>
      <c r="AI2538">
        <v>91.417318434560897</v>
      </c>
      <c r="AJ2538">
        <v>90.614447289903495</v>
      </c>
      <c r="AK2538">
        <v>44.859788961205503</v>
      </c>
      <c r="AL2538">
        <v>89.570227216668101</v>
      </c>
      <c r="AM2538">
        <v>94.708230642856904</v>
      </c>
      <c r="AN2538">
        <v>1.0000000312530599</v>
      </c>
    </row>
    <row r="2539" spans="1:40" x14ac:dyDescent="0.25">
      <c r="A2539" t="str">
        <f>"20190305134948084"</f>
        <v>20190305134948084</v>
      </c>
      <c r="B2539" t="str">
        <f>"1551764988073265"</f>
        <v>1551764988073265</v>
      </c>
      <c r="C2539" t="s">
        <v>40</v>
      </c>
      <c r="D2539">
        <v>3.9713980000000002</v>
      </c>
      <c r="E2539">
        <v>0.52680990000000005</v>
      </c>
      <c r="F2539" t="s">
        <v>74</v>
      </c>
      <c r="G2539">
        <v>-399.20780000000002</v>
      </c>
      <c r="H2539" s="1">
        <v>3.3631189999999999E-6</v>
      </c>
      <c r="I2539">
        <v>285.02969999999999</v>
      </c>
      <c r="J2539">
        <v>-354.46379999999999</v>
      </c>
      <c r="K2539">
        <v>1.109583</v>
      </c>
      <c r="L2539">
        <v>285.43270000000001</v>
      </c>
      <c r="M2539">
        <v>-0.99988739999999998</v>
      </c>
      <c r="N2539">
        <v>-1.492832E-2</v>
      </c>
      <c r="O2539">
        <v>1.5601229999999901E-3</v>
      </c>
      <c r="P2539">
        <v>-0.99676659999999995</v>
      </c>
      <c r="Q2539">
        <v>-7.4259959999999998E-3</v>
      </c>
      <c r="R2539">
        <v>-8.0008529999999994E-2</v>
      </c>
      <c r="S2539">
        <v>-3.0071409999999998</v>
      </c>
      <c r="T2539">
        <v>-7.4028369999999996E-2</v>
      </c>
      <c r="U2539">
        <v>-2.6855469999999999E-2</v>
      </c>
      <c r="V2539">
        <v>-8.1563300000000005E-2</v>
      </c>
      <c r="W2539">
        <v>7.4565359999999997E-3</v>
      </c>
      <c r="X2539">
        <v>0.99664030000000003</v>
      </c>
      <c r="Y2539">
        <v>-1.048526E-2</v>
      </c>
      <c r="Z2539">
        <v>-2.2243750000000001E-4</v>
      </c>
      <c r="AA2539">
        <v>0.99994499999999997</v>
      </c>
      <c r="AB2539">
        <v>49</v>
      </c>
      <c r="AC2539">
        <v>-44.744</v>
      </c>
      <c r="AD2539">
        <v>-1.109579636881</v>
      </c>
      <c r="AE2539">
        <v>-0.40300000000002001</v>
      </c>
      <c r="AF2539">
        <v>-0.472522869618618</v>
      </c>
      <c r="AG2539">
        <v>-1.109579636881</v>
      </c>
      <c r="AH2539">
        <v>44.715820494646202</v>
      </c>
      <c r="AI2539">
        <v>91.421368073997598</v>
      </c>
      <c r="AJ2539">
        <v>90.605435798403803</v>
      </c>
      <c r="AK2539">
        <v>44.732080740139097</v>
      </c>
      <c r="AL2539">
        <v>89.572768011032096</v>
      </c>
      <c r="AM2539">
        <v>94.678560145582296</v>
      </c>
      <c r="AN2539">
        <v>1.00000002971004</v>
      </c>
    </row>
    <row r="2540" spans="1:40" x14ac:dyDescent="0.25">
      <c r="A2540" t="str">
        <f>"20190305134948099"</f>
        <v>20190305134948099</v>
      </c>
      <c r="B2540" t="str">
        <f>"1551764988092785"</f>
        <v>1551764988092785</v>
      </c>
      <c r="C2540" t="s">
        <v>40</v>
      </c>
      <c r="D2540">
        <v>4.2713140000000003</v>
      </c>
      <c r="E2540">
        <v>0.52673890000000001</v>
      </c>
      <c r="F2540" t="s">
        <v>74</v>
      </c>
      <c r="G2540">
        <v>-399.23630000000003</v>
      </c>
      <c r="H2540" s="1">
        <v>3.378325E-6</v>
      </c>
      <c r="I2540">
        <v>285.05430000000001</v>
      </c>
      <c r="J2540">
        <v>-354.79219999999998</v>
      </c>
      <c r="K2540">
        <v>1.109586</v>
      </c>
      <c r="L2540">
        <v>285.4332</v>
      </c>
      <c r="M2540">
        <v>-0.99988739999999998</v>
      </c>
      <c r="N2540">
        <v>-1.4926160000000001E-2</v>
      </c>
      <c r="O2540">
        <v>1.559962E-3</v>
      </c>
      <c r="P2540">
        <v>-0.99679530000000005</v>
      </c>
      <c r="Q2540">
        <v>-7.4975409999999999E-3</v>
      </c>
      <c r="R2540">
        <v>-7.9642630000000006E-2</v>
      </c>
      <c r="S2540">
        <v>-3.0071409999999998</v>
      </c>
      <c r="T2540">
        <v>-7.4524759999999995E-2</v>
      </c>
      <c r="U2540">
        <v>-2.5421139999999998E-2</v>
      </c>
      <c r="V2540">
        <v>-8.1197409999999998E-2</v>
      </c>
      <c r="W2540">
        <v>7.3826279999999996E-3</v>
      </c>
      <c r="X2540">
        <v>0.99667070000000002</v>
      </c>
      <c r="Y2540">
        <v>-1.0008360000000001E-2</v>
      </c>
      <c r="Z2540">
        <v>-2.1408199999999999E-4</v>
      </c>
      <c r="AA2540">
        <v>0.99994989999999995</v>
      </c>
      <c r="AB2540">
        <v>49</v>
      </c>
      <c r="AC2540">
        <v>-44.444099999999999</v>
      </c>
      <c r="AD2540">
        <v>-1.109582621675</v>
      </c>
      <c r="AE2540">
        <v>-0.37889999999998702</v>
      </c>
      <c r="AF2540">
        <v>-0.44795918040850202</v>
      </c>
      <c r="AG2540">
        <v>-1.109582621675</v>
      </c>
      <c r="AH2540">
        <v>44.415772823003302</v>
      </c>
      <c r="AI2540">
        <v>91.430977009770899</v>
      </c>
      <c r="AJ2540">
        <v>90.577842027887002</v>
      </c>
      <c r="AK2540">
        <v>44.4318885091133</v>
      </c>
      <c r="AL2540">
        <v>89.577002732818599</v>
      </c>
      <c r="AM2540">
        <v>94.657523401248099</v>
      </c>
      <c r="AN2540">
        <v>1.0000000034126899</v>
      </c>
    </row>
    <row r="2541" spans="1:40" x14ac:dyDescent="0.25">
      <c r="A2541" t="str">
        <f>"20190305134948111"</f>
        <v>20190305134948111</v>
      </c>
      <c r="B2541" t="str">
        <f>"1551764988103521"</f>
        <v>1551764988103521</v>
      </c>
      <c r="C2541" t="s">
        <v>40</v>
      </c>
      <c r="D2541">
        <v>3.9907889999999999</v>
      </c>
      <c r="E2541">
        <v>0.52671990000000002</v>
      </c>
      <c r="F2541" t="s">
        <v>74</v>
      </c>
      <c r="G2541">
        <v>-399.10719999999998</v>
      </c>
      <c r="H2541" s="1">
        <v>3.3096149999999998E-6</v>
      </c>
      <c r="I2541">
        <v>285.06760000000003</v>
      </c>
      <c r="J2541">
        <v>-355.06819999999999</v>
      </c>
      <c r="K2541">
        <v>1.109588</v>
      </c>
      <c r="L2541">
        <v>285.43369999999999</v>
      </c>
      <c r="M2541">
        <v>-0.99988750000000004</v>
      </c>
      <c r="N2541">
        <v>-1.492433E-2</v>
      </c>
      <c r="O2541">
        <v>1.5596189999999999E-3</v>
      </c>
      <c r="P2541">
        <v>-0.99681560000000002</v>
      </c>
      <c r="Q2541">
        <v>-7.7246379999999998E-3</v>
      </c>
      <c r="R2541">
        <v>-7.936965E-2</v>
      </c>
      <c r="S2541">
        <v>-3.0071110000000001</v>
      </c>
      <c r="T2541">
        <v>-7.5293659999999998E-2</v>
      </c>
      <c r="U2541">
        <v>-2.4810789999999999E-2</v>
      </c>
      <c r="V2541">
        <v>-8.0923800000000004E-2</v>
      </c>
      <c r="W2541">
        <v>7.1542289999999998E-3</v>
      </c>
      <c r="X2541">
        <v>0.99669459999999999</v>
      </c>
      <c r="Y2541">
        <v>-9.8051709999999997E-3</v>
      </c>
      <c r="Z2541">
        <v>-2.116919E-4</v>
      </c>
      <c r="AA2541">
        <v>0.9999519</v>
      </c>
      <c r="AB2541">
        <v>49</v>
      </c>
      <c r="AC2541">
        <v>-44.038999999999902</v>
      </c>
      <c r="AD2541">
        <v>-1.109584690385</v>
      </c>
      <c r="AE2541">
        <v>-0.36609999999996001</v>
      </c>
      <c r="AF2541">
        <v>-0.43451544293359701</v>
      </c>
      <c r="AG2541">
        <v>-1.109584690385</v>
      </c>
      <c r="AH2541">
        <v>44.010438906350799</v>
      </c>
      <c r="AI2541">
        <v>91.444156433325603</v>
      </c>
      <c r="AJ2541">
        <v>90.565663346224099</v>
      </c>
      <c r="AK2541">
        <v>44.026568280811098</v>
      </c>
      <c r="AL2541">
        <v>89.590089369702298</v>
      </c>
      <c r="AM2541">
        <v>94.641786874273805</v>
      </c>
      <c r="AN2541">
        <v>0.99999998503409204</v>
      </c>
    </row>
    <row r="2542" spans="1:40" x14ac:dyDescent="0.25">
      <c r="A2542" t="str">
        <f>"20190305134948122"</f>
        <v>20190305134948122</v>
      </c>
      <c r="B2542" t="str">
        <f>"1551764988113282"</f>
        <v>1551764988113282</v>
      </c>
      <c r="C2542" t="s">
        <v>40</v>
      </c>
      <c r="D2542">
        <v>4.0036930000000002</v>
      </c>
      <c r="E2542">
        <v>0.52669790000000005</v>
      </c>
      <c r="F2542" t="s">
        <v>74</v>
      </c>
      <c r="G2542">
        <v>-398.92720000000003</v>
      </c>
      <c r="H2542" s="1">
        <v>3.2137939999999999E-6</v>
      </c>
      <c r="I2542">
        <v>285.08199999999999</v>
      </c>
      <c r="J2542">
        <v>-355.32589999999999</v>
      </c>
      <c r="K2542">
        <v>1.1095889999999999</v>
      </c>
      <c r="L2542">
        <v>285.4341</v>
      </c>
      <c r="M2542">
        <v>-0.99988750000000004</v>
      </c>
      <c r="N2542">
        <v>-1.4922619999999999E-2</v>
      </c>
      <c r="O2542">
        <v>1.5594529999999999E-3</v>
      </c>
      <c r="P2542">
        <v>-0.99684079999999997</v>
      </c>
      <c r="Q2542">
        <v>-7.7920250000000002E-3</v>
      </c>
      <c r="R2542">
        <v>-7.9042580000000001E-2</v>
      </c>
      <c r="S2542">
        <v>-3.00705</v>
      </c>
      <c r="T2542">
        <v>-7.6075199999999996E-2</v>
      </c>
      <c r="U2542">
        <v>-2.4108890000000001E-2</v>
      </c>
      <c r="V2542">
        <v>-8.0596860000000006E-2</v>
      </c>
      <c r="W2542">
        <v>7.0855680000000004E-3</v>
      </c>
      <c r="X2542">
        <v>0.99672159999999999</v>
      </c>
      <c r="Y2542">
        <v>-9.5718139999999997E-3</v>
      </c>
      <c r="Z2542">
        <v>-2.0867379999999999E-4</v>
      </c>
      <c r="AA2542">
        <v>0.99995420000000002</v>
      </c>
      <c r="AB2542">
        <v>49</v>
      </c>
      <c r="AC2542">
        <v>-43.601300000000002</v>
      </c>
      <c r="AD2542">
        <v>-1.1095857862059999</v>
      </c>
      <c r="AE2542">
        <v>-0.35210000000000702</v>
      </c>
      <c r="AF2542">
        <v>-0.419829443491263</v>
      </c>
      <c r="AG2542">
        <v>-1.1095857862059999</v>
      </c>
      <c r="AH2542">
        <v>43.572481085095902</v>
      </c>
      <c r="AI2542">
        <v>91.4586705897472</v>
      </c>
      <c r="AJ2542">
        <v>90.552039045940901</v>
      </c>
      <c r="AK2542">
        <v>43.588628623640098</v>
      </c>
      <c r="AL2542">
        <v>89.594023462496907</v>
      </c>
      <c r="AM2542">
        <v>94.622990368390703</v>
      </c>
      <c r="AN2542">
        <v>1.00000000351115</v>
      </c>
    </row>
    <row r="2543" spans="1:40" x14ac:dyDescent="0.25">
      <c r="A2543" t="str">
        <f>"20190305134948134"</f>
        <v>20190305134948134</v>
      </c>
      <c r="B2543" t="str">
        <f>"1551764988123042"</f>
        <v>1551764988123042</v>
      </c>
      <c r="C2543" t="s">
        <v>40</v>
      </c>
      <c r="D2543">
        <v>3.9823590000000002</v>
      </c>
      <c r="E2543">
        <v>0.52668289999999995</v>
      </c>
      <c r="F2543" t="s">
        <v>74</v>
      </c>
      <c r="G2543">
        <v>-399.12220000000002</v>
      </c>
      <c r="H2543" s="1">
        <v>3.317569E-6</v>
      </c>
      <c r="I2543">
        <v>285.09449999999998</v>
      </c>
      <c r="J2543">
        <v>-355.57729999999998</v>
      </c>
      <c r="K2543">
        <v>1.1095919999999999</v>
      </c>
      <c r="L2543">
        <v>285.43439999999998</v>
      </c>
      <c r="M2543">
        <v>-0.99988750000000004</v>
      </c>
      <c r="N2543">
        <v>-1.492097E-2</v>
      </c>
      <c r="O2543">
        <v>1.559347E-3</v>
      </c>
      <c r="P2543">
        <v>-0.99685040000000003</v>
      </c>
      <c r="Q2543">
        <v>-7.8133070000000002E-3</v>
      </c>
      <c r="R2543">
        <v>-7.8921939999999996E-2</v>
      </c>
      <c r="S2543">
        <v>-3.0070190000000001</v>
      </c>
      <c r="T2543">
        <v>-7.6183319999999999E-2</v>
      </c>
      <c r="U2543">
        <v>-2.3315430000000002E-2</v>
      </c>
      <c r="V2543">
        <v>-8.0476140000000002E-2</v>
      </c>
      <c r="W2543">
        <v>7.0626789999999997E-3</v>
      </c>
      <c r="X2543">
        <v>0.99673149999999999</v>
      </c>
      <c r="Y2543">
        <v>-9.3080690000000004E-3</v>
      </c>
      <c r="Z2543">
        <v>-2.035885E-4</v>
      </c>
      <c r="AA2543">
        <v>0.99995670000000003</v>
      </c>
      <c r="AB2543">
        <v>49</v>
      </c>
      <c r="AC2543">
        <v>-43.544899999999998</v>
      </c>
      <c r="AD2543">
        <v>-1.109588682431</v>
      </c>
      <c r="AE2543">
        <v>-0.33989999999999998</v>
      </c>
      <c r="AF2543">
        <v>-0.407544148299055</v>
      </c>
      <c r="AG2543">
        <v>-1.109588682431</v>
      </c>
      <c r="AH2543">
        <v>43.516063444777799</v>
      </c>
      <c r="AI2543">
        <v>91.460568458918303</v>
      </c>
      <c r="AJ2543">
        <v>90.536580636119098</v>
      </c>
      <c r="AK2543">
        <v>43.532115236994002</v>
      </c>
      <c r="AL2543">
        <v>89.5953349316501</v>
      </c>
      <c r="AM2543">
        <v>94.616050233544698</v>
      </c>
      <c r="AN2543">
        <v>0.99999998681810298</v>
      </c>
    </row>
    <row r="2544" spans="1:40" x14ac:dyDescent="0.25">
      <c r="A2544" t="str">
        <f>"20190305134948146"</f>
        <v>20190305134948146</v>
      </c>
      <c r="B2544" t="str">
        <f>"1551764988132800"</f>
        <v>1551764988132800</v>
      </c>
      <c r="C2544" t="s">
        <v>40</v>
      </c>
      <c r="D2544">
        <v>3.9870009999999998</v>
      </c>
      <c r="E2544">
        <v>0.52662969999999998</v>
      </c>
      <c r="F2544" t="s">
        <v>74</v>
      </c>
      <c r="G2544">
        <v>-399.37630000000001</v>
      </c>
      <c r="H2544" s="1">
        <v>3.4528199999999999E-6</v>
      </c>
      <c r="I2544">
        <v>285.09750000000003</v>
      </c>
      <c r="J2544">
        <v>-355.84829999999999</v>
      </c>
      <c r="K2544">
        <v>1.109588</v>
      </c>
      <c r="L2544">
        <v>285.43490000000003</v>
      </c>
      <c r="M2544">
        <v>-0.99988759999999999</v>
      </c>
      <c r="N2544">
        <v>-1.4919200000000001E-2</v>
      </c>
      <c r="O2544">
        <v>1.55900299999999E-3</v>
      </c>
      <c r="P2544">
        <v>-0.99684669999999997</v>
      </c>
      <c r="Q2544">
        <v>-7.8957439999999997E-3</v>
      </c>
      <c r="R2544">
        <v>-7.8959550000000003E-2</v>
      </c>
      <c r="S2544">
        <v>-3.0070190000000001</v>
      </c>
      <c r="T2544">
        <v>-7.6178789999999996E-2</v>
      </c>
      <c r="U2544">
        <v>-2.3132320000000001E-2</v>
      </c>
      <c r="V2544">
        <v>-8.051374E-2</v>
      </c>
      <c r="W2544">
        <v>6.9787579999999998E-3</v>
      </c>
      <c r="X2544">
        <v>0.99672910000000003</v>
      </c>
      <c r="Y2544">
        <v>-9.2468719999999997E-3</v>
      </c>
      <c r="Z2544">
        <v>-2.0233830000000001E-4</v>
      </c>
      <c r="AA2544">
        <v>0.99995719999999999</v>
      </c>
      <c r="AB2544">
        <v>49</v>
      </c>
      <c r="AC2544">
        <v>-43.527999999999999</v>
      </c>
      <c r="AD2544">
        <v>-1.1095845471799901</v>
      </c>
      <c r="AE2544">
        <v>-0.33740000000000198</v>
      </c>
      <c r="AF2544">
        <v>-0.40500426014857799</v>
      </c>
      <c r="AG2544">
        <v>-1.1095845471799901</v>
      </c>
      <c r="AH2544">
        <v>43.499156732415798</v>
      </c>
      <c r="AI2544">
        <v>91.461131192065594</v>
      </c>
      <c r="AJ2544">
        <v>90.533444003030695</v>
      </c>
      <c r="AK2544">
        <v>43.515190942352</v>
      </c>
      <c r="AL2544">
        <v>89.600143387436304</v>
      </c>
      <c r="AM2544">
        <v>94.618208686073501</v>
      </c>
      <c r="AN2544">
        <v>1.0000000320894</v>
      </c>
    </row>
    <row r="2545" spans="1:40" x14ac:dyDescent="0.25">
      <c r="A2545" t="str">
        <f>"20190305134948159"</f>
        <v>20190305134948159</v>
      </c>
      <c r="B2545" t="str">
        <f>"1551764988153298"</f>
        <v>1551764988153298</v>
      </c>
      <c r="C2545" t="s">
        <v>40</v>
      </c>
      <c r="D2545">
        <v>3.8454959999999998</v>
      </c>
      <c r="E2545">
        <v>0.52648490000000003</v>
      </c>
      <c r="F2545" t="s">
        <v>74</v>
      </c>
      <c r="G2545">
        <v>-399.65780000000001</v>
      </c>
      <c r="H2545" s="1">
        <v>3.6026320000000001E-6</v>
      </c>
      <c r="I2545">
        <v>285.09030000000001</v>
      </c>
      <c r="J2545">
        <v>-356.13119999999998</v>
      </c>
      <c r="K2545">
        <v>1.1095900000000001</v>
      </c>
      <c r="L2545">
        <v>285.43529999999998</v>
      </c>
      <c r="M2545">
        <v>-0.99988770000000005</v>
      </c>
      <c r="N2545">
        <v>-1.4917410000000001E-2</v>
      </c>
      <c r="O2545">
        <v>1.5607010000000001E-3</v>
      </c>
      <c r="P2545">
        <v>-0.99686560000000002</v>
      </c>
      <c r="Q2545">
        <v>-8.1307510000000003E-3</v>
      </c>
      <c r="R2545">
        <v>-7.8697119999999995E-2</v>
      </c>
      <c r="S2545">
        <v>-3.00705</v>
      </c>
      <c r="T2545">
        <v>-7.6160909999999998E-2</v>
      </c>
      <c r="U2545">
        <v>-2.3651120000000001E-2</v>
      </c>
      <c r="V2545">
        <v>-8.0252950000000003E-2</v>
      </c>
      <c r="W2545">
        <v>6.7422519999999998E-3</v>
      </c>
      <c r="X2545">
        <v>0.99675170000000002</v>
      </c>
      <c r="Y2545">
        <v>-9.4209150000000002E-3</v>
      </c>
      <c r="Z2545">
        <v>-2.0581430000000001E-4</v>
      </c>
      <c r="AA2545">
        <v>0.99995560000000006</v>
      </c>
      <c r="AB2545">
        <v>49</v>
      </c>
      <c r="AC2545">
        <v>-43.526600000000002</v>
      </c>
      <c r="AD2545">
        <v>-1.10958639736799</v>
      </c>
      <c r="AE2545">
        <v>-0.34499999999997</v>
      </c>
      <c r="AF2545">
        <v>-0.41267097757603699</v>
      </c>
      <c r="AG2545">
        <v>-1.10958639736799</v>
      </c>
      <c r="AH2545">
        <v>43.497743266726502</v>
      </c>
      <c r="AI2545">
        <v>91.461178663067699</v>
      </c>
      <c r="AJ2545">
        <v>90.543559141786204</v>
      </c>
      <c r="AK2545">
        <v>43.513850077958097</v>
      </c>
      <c r="AL2545">
        <v>89.613694478625206</v>
      </c>
      <c r="AM2545">
        <v>94.603210431837795</v>
      </c>
      <c r="AN2545">
        <v>0.99999997269931096</v>
      </c>
    </row>
    <row r="2546" spans="1:40" x14ac:dyDescent="0.25">
      <c r="A2546" t="str">
        <f>"20190305134948172"</f>
        <v>20190305134948172</v>
      </c>
      <c r="B2546" t="str">
        <f>"1551764988163057"</f>
        <v>1551764988163057</v>
      </c>
      <c r="C2546" t="s">
        <v>40</v>
      </c>
      <c r="D2546">
        <v>3.8836360000000001</v>
      </c>
      <c r="E2546">
        <v>0.52633509999999994</v>
      </c>
      <c r="F2546" t="s">
        <v>74</v>
      </c>
      <c r="G2546">
        <v>-398.07900000000001</v>
      </c>
      <c r="H2546" s="1">
        <v>2.7624489999999999E-6</v>
      </c>
      <c r="I2546">
        <v>285.10070000000002</v>
      </c>
      <c r="J2546">
        <v>-356.42739999999998</v>
      </c>
      <c r="K2546">
        <v>1.109591</v>
      </c>
      <c r="L2546">
        <v>285.43579999999997</v>
      </c>
      <c r="M2546">
        <v>-0.99988759999999999</v>
      </c>
      <c r="N2546">
        <v>-1.491554E-2</v>
      </c>
      <c r="O2546">
        <v>1.5651619999999999E-3</v>
      </c>
      <c r="P2546">
        <v>-0.99687729999999997</v>
      </c>
      <c r="Q2546">
        <v>-7.8656650000000009E-3</v>
      </c>
      <c r="R2546">
        <v>-7.8573340000000005E-2</v>
      </c>
      <c r="S2546">
        <v>-3.0069270000000001</v>
      </c>
      <c r="T2546">
        <v>-7.9538109999999995E-2</v>
      </c>
      <c r="U2546">
        <v>-2.3986819999999999E-2</v>
      </c>
      <c r="V2546">
        <v>-8.0133499999999996E-2</v>
      </c>
      <c r="W2546">
        <v>7.0064119999999896E-3</v>
      </c>
      <c r="X2546">
        <v>0.99675950000000002</v>
      </c>
      <c r="Y2546">
        <v>-9.5368880000000003E-3</v>
      </c>
      <c r="Z2546">
        <v>-2.1530630000000001E-4</v>
      </c>
      <c r="AA2546">
        <v>0.99995449999999997</v>
      </c>
      <c r="AB2546">
        <v>49</v>
      </c>
      <c r="AC2546">
        <v>-41.651600000000002</v>
      </c>
      <c r="AD2546">
        <v>-1.109588237551</v>
      </c>
      <c r="AE2546">
        <v>-0.33509999999995399</v>
      </c>
      <c r="AF2546">
        <v>-0.40001447705983001</v>
      </c>
      <c r="AG2546">
        <v>-1.109588237551</v>
      </c>
      <c r="AH2546">
        <v>41.621488554082603</v>
      </c>
      <c r="AI2546">
        <v>91.527017338850598</v>
      </c>
      <c r="AJ2546">
        <v>90.550639500376803</v>
      </c>
      <c r="AK2546">
        <v>41.638197692700402</v>
      </c>
      <c r="AL2546">
        <v>89.598558872051299</v>
      </c>
      <c r="AM2546">
        <v>94.596352492153301</v>
      </c>
      <c r="AN2546">
        <v>0.99999998423580605</v>
      </c>
    </row>
    <row r="2547" spans="1:40" x14ac:dyDescent="0.25">
      <c r="A2547" t="str">
        <f>"20190305134948184"</f>
        <v>20190305134948184</v>
      </c>
      <c r="B2547" t="str">
        <f>"1551764988172817"</f>
        <v>1551764988172817</v>
      </c>
      <c r="C2547" t="s">
        <v>40</v>
      </c>
      <c r="D2547">
        <v>3.9707219999999999</v>
      </c>
      <c r="E2547">
        <v>0.5262578</v>
      </c>
      <c r="F2547" t="s">
        <v>74</v>
      </c>
      <c r="G2547">
        <v>-397.52620000000002</v>
      </c>
      <c r="H2547" s="1">
        <v>2.4682770000000002E-6</v>
      </c>
      <c r="I2547">
        <v>285.09789999999998</v>
      </c>
      <c r="J2547">
        <v>-356.6782</v>
      </c>
      <c r="K2547">
        <v>1.1095870000000001</v>
      </c>
      <c r="L2547">
        <v>285.43619999999999</v>
      </c>
      <c r="M2547">
        <v>-0.99988759999999999</v>
      </c>
      <c r="N2547">
        <v>-1.4913879999999999E-2</v>
      </c>
      <c r="O2547">
        <v>1.5731689999999999E-3</v>
      </c>
      <c r="P2547">
        <v>-0.99686410000000003</v>
      </c>
      <c r="Q2547">
        <v>-7.8227980000000006E-3</v>
      </c>
      <c r="R2547">
        <v>-7.8745590000000004E-2</v>
      </c>
      <c r="S2547">
        <v>-3.0068049999999999</v>
      </c>
      <c r="T2547">
        <v>-8.1177949999999999E-2</v>
      </c>
      <c r="U2547">
        <v>-2.471924E-2</v>
      </c>
      <c r="V2547">
        <v>-8.0313140000000005E-2</v>
      </c>
      <c r="W2547">
        <v>7.0478969999999896E-3</v>
      </c>
      <c r="X2547">
        <v>0.99674479999999999</v>
      </c>
      <c r="Y2547">
        <v>-9.7884470000000005E-3</v>
      </c>
      <c r="Z2547">
        <v>-2.2412920000000001E-4</v>
      </c>
      <c r="AA2547">
        <v>0.99995210000000001</v>
      </c>
      <c r="AB2547">
        <v>49</v>
      </c>
      <c r="AC2547">
        <v>-40.847999999999999</v>
      </c>
      <c r="AD2547">
        <v>-1.109584531723</v>
      </c>
      <c r="AE2547">
        <v>-0.33830000000000299</v>
      </c>
      <c r="AF2547">
        <v>-0.40227073008344499</v>
      </c>
      <c r="AG2547">
        <v>-1.109584531723</v>
      </c>
      <c r="AH2547">
        <v>40.817301429194401</v>
      </c>
      <c r="AI2547">
        <v>91.557079237470802</v>
      </c>
      <c r="AJ2547">
        <v>90.564654400703105</v>
      </c>
      <c r="AK2547">
        <v>40.834361701084902</v>
      </c>
      <c r="AL2547">
        <v>89.596181918337606</v>
      </c>
      <c r="AM2547">
        <v>94.606679754879806</v>
      </c>
      <c r="AN2547">
        <v>1.0000000348179101</v>
      </c>
    </row>
    <row r="2548" spans="1:40" x14ac:dyDescent="0.25">
      <c r="A2548" t="str">
        <f>"20190305134948196"</f>
        <v>20190305134948196</v>
      </c>
      <c r="B2548" t="str">
        <f>"1551764988182577"</f>
        <v>1551764988182577</v>
      </c>
      <c r="C2548" t="s">
        <v>40</v>
      </c>
      <c r="D2548">
        <v>3.9657399999999998</v>
      </c>
      <c r="E2548">
        <v>0.52616770000000002</v>
      </c>
      <c r="F2548" t="s">
        <v>74</v>
      </c>
      <c r="G2548">
        <v>-397.78100000000001</v>
      </c>
      <c r="H2548" s="1">
        <v>2.6038610000000002E-6</v>
      </c>
      <c r="I2548">
        <v>285.08359999999999</v>
      </c>
      <c r="J2548">
        <v>-356.93439999999998</v>
      </c>
      <c r="K2548">
        <v>1.109583</v>
      </c>
      <c r="L2548">
        <v>285.4366</v>
      </c>
      <c r="M2548">
        <v>-0.99988759999999999</v>
      </c>
      <c r="N2548">
        <v>-1.4912180000000001E-2</v>
      </c>
      <c r="O2548">
        <v>1.58603E-3</v>
      </c>
      <c r="P2548">
        <v>-0.99685800000000002</v>
      </c>
      <c r="Q2548">
        <v>-7.8119340000000004E-3</v>
      </c>
      <c r="R2548">
        <v>-7.882691E-2</v>
      </c>
      <c r="S2548">
        <v>-3.0067140000000001</v>
      </c>
      <c r="T2548">
        <v>-8.1167340000000004E-2</v>
      </c>
      <c r="U2548">
        <v>-2.5787350000000001E-2</v>
      </c>
      <c r="V2548">
        <v>-8.040725E-2</v>
      </c>
      <c r="W2548">
        <v>7.057911E-3</v>
      </c>
      <c r="X2548">
        <v>0.99673710000000004</v>
      </c>
      <c r="Y2548">
        <v>-1.015655E-2</v>
      </c>
      <c r="Z2548">
        <v>-2.3197450000000001E-4</v>
      </c>
      <c r="AA2548">
        <v>0.99994839999999996</v>
      </c>
      <c r="AB2548">
        <v>49</v>
      </c>
      <c r="AC2548">
        <v>-40.846600000000002</v>
      </c>
      <c r="AD2548">
        <v>-1.1095803961390001</v>
      </c>
      <c r="AE2548">
        <v>-0.35300000000000797</v>
      </c>
      <c r="AF2548">
        <v>-0.41748264667267398</v>
      </c>
      <c r="AG2548">
        <v>-1.1095803961390001</v>
      </c>
      <c r="AH2548">
        <v>40.815872330456202</v>
      </c>
      <c r="AI2548">
        <v>91.557122098711801</v>
      </c>
      <c r="AJ2548">
        <v>90.586025930193301</v>
      </c>
      <c r="AK2548">
        <v>40.833085782388203</v>
      </c>
      <c r="AL2548">
        <v>89.595608127335794</v>
      </c>
      <c r="AM2548">
        <v>94.612090009638607</v>
      </c>
      <c r="AN2548">
        <v>0.999999993238328</v>
      </c>
    </row>
    <row r="2549" spans="1:40" x14ac:dyDescent="0.25">
      <c r="A2549" t="str">
        <f>"20190305134948207"</f>
        <v>20190305134948207</v>
      </c>
      <c r="B2549" t="str">
        <f>"1551764988203073"</f>
        <v>1551764988203073</v>
      </c>
      <c r="C2549" t="s">
        <v>40</v>
      </c>
      <c r="D2549">
        <v>4.3573649999999997</v>
      </c>
      <c r="E2549">
        <v>0.52605690000000005</v>
      </c>
      <c r="F2549" t="s">
        <v>74</v>
      </c>
      <c r="G2549">
        <v>-398.11709999999999</v>
      </c>
      <c r="H2549" s="1">
        <v>2.7827029999999999E-6</v>
      </c>
      <c r="I2549">
        <v>285.07130000000001</v>
      </c>
      <c r="J2549">
        <v>-357.1943</v>
      </c>
      <c r="K2549">
        <v>1.1095740000000001</v>
      </c>
      <c r="L2549">
        <v>285.43700000000001</v>
      </c>
      <c r="M2549">
        <v>-0.99988759999999999</v>
      </c>
      <c r="N2549">
        <v>-1.491044E-2</v>
      </c>
      <c r="O2549">
        <v>1.6030230000000001E-3</v>
      </c>
      <c r="P2549">
        <v>-0.99685639999999998</v>
      </c>
      <c r="Q2549">
        <v>-7.7484769999999897E-3</v>
      </c>
      <c r="R2549">
        <v>-7.8853999999999994E-2</v>
      </c>
      <c r="S2549">
        <v>-3.0067140000000001</v>
      </c>
      <c r="T2549">
        <v>-8.1009629999999999E-2</v>
      </c>
      <c r="U2549">
        <v>-2.6672359999999999E-2</v>
      </c>
      <c r="V2549">
        <v>-8.0451410000000001E-2</v>
      </c>
      <c r="W2549">
        <v>7.1208510000000001E-3</v>
      </c>
      <c r="X2549">
        <v>0.99673310000000004</v>
      </c>
      <c r="Y2549">
        <v>-1.04677E-2</v>
      </c>
      <c r="Z2549">
        <v>-2.3833440000000001E-4</v>
      </c>
      <c r="AA2549">
        <v>0.99994519999999998</v>
      </c>
      <c r="AB2549">
        <v>49</v>
      </c>
      <c r="AC2549">
        <v>-40.922800000000002</v>
      </c>
      <c r="AD2549">
        <v>-1.109571217297</v>
      </c>
      <c r="AE2549">
        <v>-0.36570000000000302</v>
      </c>
      <c r="AF2549">
        <v>-0.43099018977717202</v>
      </c>
      <c r="AG2549">
        <v>-1.109571217297</v>
      </c>
      <c r="AH2549">
        <v>40.892101432887799</v>
      </c>
      <c r="AI2549">
        <v>91.554202940052306</v>
      </c>
      <c r="AJ2549">
        <v>90.603857559424895</v>
      </c>
      <c r="AK2549">
        <v>40.909422636203601</v>
      </c>
      <c r="AL2549">
        <v>89.592001844820402</v>
      </c>
      <c r="AM2549">
        <v>94.614630491209098</v>
      </c>
      <c r="AN2549">
        <v>1.0000000042627799</v>
      </c>
    </row>
    <row r="2550" spans="1:40" x14ac:dyDescent="0.25">
      <c r="A2550" t="str">
        <f>"20190305134948221"</f>
        <v>20190305134948221</v>
      </c>
      <c r="B2550" t="str">
        <f>"1551764988212833"</f>
        <v>1551764988212833</v>
      </c>
      <c r="C2550" t="s">
        <v>40</v>
      </c>
      <c r="D2550">
        <v>3.9569220000000001</v>
      </c>
      <c r="E2550">
        <v>0.52606609999999998</v>
      </c>
      <c r="F2550" t="s">
        <v>74</v>
      </c>
      <c r="G2550">
        <v>-397.47129999999999</v>
      </c>
      <c r="H2550" s="1">
        <v>2.439045E-6</v>
      </c>
      <c r="I2550">
        <v>285.06540000000001</v>
      </c>
      <c r="J2550">
        <v>-357.47070000000002</v>
      </c>
      <c r="K2550">
        <v>1.1095660000000001</v>
      </c>
      <c r="L2550">
        <v>285.4375</v>
      </c>
      <c r="M2550">
        <v>-0.99988750000000004</v>
      </c>
      <c r="N2550">
        <v>-1.4908589999999999E-2</v>
      </c>
      <c r="O2550">
        <v>1.6315170000000001E-3</v>
      </c>
      <c r="P2550">
        <v>-0.99684360000000005</v>
      </c>
      <c r="Q2550">
        <v>-7.5691980000000001E-3</v>
      </c>
      <c r="R2550">
        <v>-7.902882E-2</v>
      </c>
      <c r="S2550">
        <v>-3.0066220000000001</v>
      </c>
      <c r="T2550">
        <v>-8.2828159999999998E-2</v>
      </c>
      <c r="U2550">
        <v>-2.7740480000000001E-2</v>
      </c>
      <c r="V2550">
        <v>-8.0654729999999994E-2</v>
      </c>
      <c r="W2550">
        <v>7.2996609999999998E-3</v>
      </c>
      <c r="X2550">
        <v>0.99671540000000003</v>
      </c>
      <c r="Y2550">
        <v>-1.085121E-2</v>
      </c>
      <c r="Z2550">
        <v>-2.5096839999999999E-4</v>
      </c>
      <c r="AA2550">
        <v>0.99994110000000003</v>
      </c>
      <c r="AB2550">
        <v>49</v>
      </c>
      <c r="AC2550">
        <v>-40.000599999999899</v>
      </c>
      <c r="AD2550">
        <v>-1.1095635609550001</v>
      </c>
      <c r="AE2550">
        <v>-0.372099999999989</v>
      </c>
      <c r="AF2550">
        <v>-0.43703218112515801</v>
      </c>
      <c r="AG2550">
        <v>-1.1095635609550001</v>
      </c>
      <c r="AH2550">
        <v>39.969188604670897</v>
      </c>
      <c r="AI2550">
        <v>91.590054515902906</v>
      </c>
      <c r="AJ2550">
        <v>90.626460094050003</v>
      </c>
      <c r="AK2550">
        <v>39.986974956089099</v>
      </c>
      <c r="AL2550">
        <v>89.581756530776801</v>
      </c>
      <c r="AM2550">
        <v>94.626324008061005</v>
      </c>
      <c r="AN2550">
        <v>1.0000000295596201</v>
      </c>
    </row>
    <row r="2551" spans="1:40" x14ac:dyDescent="0.25">
      <c r="A2551" t="str">
        <f>"20190305134948235"</f>
        <v>20190305134948235</v>
      </c>
      <c r="B2551" t="str">
        <f>"1551764988222595"</f>
        <v>1551764988222595</v>
      </c>
      <c r="C2551" t="s">
        <v>40</v>
      </c>
      <c r="D2551">
        <v>3.9523609999999998</v>
      </c>
      <c r="E2551">
        <v>0.5260608</v>
      </c>
      <c r="F2551" t="s">
        <v>74</v>
      </c>
      <c r="G2551">
        <v>-398.21899999999999</v>
      </c>
      <c r="H2551" s="1">
        <v>2.8369479999999999E-6</v>
      </c>
      <c r="I2551">
        <v>285.0557</v>
      </c>
      <c r="J2551">
        <v>-357.77249999999998</v>
      </c>
      <c r="K2551">
        <v>1.1095539999999999</v>
      </c>
      <c r="L2551">
        <v>285.43799999999999</v>
      </c>
      <c r="M2551">
        <v>-0.99988759999999999</v>
      </c>
      <c r="N2551">
        <v>-1.4906569999999999E-2</v>
      </c>
      <c r="O2551">
        <v>1.669294E-3</v>
      </c>
      <c r="P2551">
        <v>-0.99684649999999997</v>
      </c>
      <c r="Q2551">
        <v>-7.3808449999999996E-3</v>
      </c>
      <c r="R2551">
        <v>-7.9011659999999997E-2</v>
      </c>
      <c r="S2551">
        <v>-3.006653</v>
      </c>
      <c r="T2551">
        <v>-8.1870200000000004E-2</v>
      </c>
      <c r="U2551">
        <v>-2.816772E-2</v>
      </c>
      <c r="V2551">
        <v>-8.0674570000000001E-2</v>
      </c>
      <c r="W2551">
        <v>7.4884840000000001E-3</v>
      </c>
      <c r="X2551">
        <v>0.99671240000000005</v>
      </c>
      <c r="Y2551">
        <v>-1.1030999999999999E-2</v>
      </c>
      <c r="Z2551">
        <v>-2.5296409999999998E-4</v>
      </c>
      <c r="AA2551">
        <v>0.99993909999999997</v>
      </c>
      <c r="AB2551">
        <v>49</v>
      </c>
      <c r="AC2551">
        <v>-40.4465</v>
      </c>
      <c r="AD2551">
        <v>-1.1095511630519901</v>
      </c>
      <c r="AE2551">
        <v>-0.38229999999998598</v>
      </c>
      <c r="AF2551">
        <v>-0.44948583434614198</v>
      </c>
      <c r="AG2551">
        <v>-1.1095511630519901</v>
      </c>
      <c r="AH2551">
        <v>40.415393686178199</v>
      </c>
      <c r="AI2551">
        <v>91.572487614592603</v>
      </c>
      <c r="AJ2551">
        <v>90.637197294322704</v>
      </c>
      <c r="AK2551">
        <v>40.433119940309801</v>
      </c>
      <c r="AL2551">
        <v>89.570937477103001</v>
      </c>
      <c r="AM2551">
        <v>94.627470948731101</v>
      </c>
      <c r="AN2551">
        <v>1.0000000359755301</v>
      </c>
    </row>
    <row r="2552" spans="1:40" x14ac:dyDescent="0.25">
      <c r="A2552" t="str">
        <f>"20190305134948252"</f>
        <v>20190305134948252</v>
      </c>
      <c r="B2552" t="str">
        <f>"1551764988243089"</f>
        <v>1551764988243089</v>
      </c>
      <c r="C2552" t="s">
        <v>40</v>
      </c>
      <c r="D2552">
        <v>3.8280479999999999</v>
      </c>
      <c r="E2552">
        <v>0.52604059999999997</v>
      </c>
      <c r="F2552" t="s">
        <v>74</v>
      </c>
      <c r="G2552">
        <v>-398.90499999999997</v>
      </c>
      <c r="H2552" s="1">
        <v>3.2020259999999999E-6</v>
      </c>
      <c r="I2552">
        <v>285.05430000000001</v>
      </c>
      <c r="J2552">
        <v>-358.15499999999997</v>
      </c>
      <c r="K2552">
        <v>1.109542</v>
      </c>
      <c r="L2552">
        <v>285.43869999999998</v>
      </c>
      <c r="M2552">
        <v>-0.99988750000000004</v>
      </c>
      <c r="N2552">
        <v>-1.4904010000000001E-2</v>
      </c>
      <c r="O2552">
        <v>1.732276E-3</v>
      </c>
      <c r="P2552">
        <v>-0.99685409999999997</v>
      </c>
      <c r="Q2552">
        <v>-7.5178709999999998E-3</v>
      </c>
      <c r="R2552">
        <v>-7.8905639999999999E-2</v>
      </c>
      <c r="S2552">
        <v>-3.006653</v>
      </c>
      <c r="T2552">
        <v>-8.1104519999999999E-2</v>
      </c>
      <c r="U2552">
        <v>-2.8045649999999998E-2</v>
      </c>
      <c r="V2552">
        <v>-8.0631389999999997E-2</v>
      </c>
      <c r="W2552">
        <v>7.3525880000000002E-3</v>
      </c>
      <c r="X2552">
        <v>0.99671690000000002</v>
      </c>
      <c r="Y2552">
        <v>-1.1053469999999999E-2</v>
      </c>
      <c r="Z2552">
        <v>-2.5235580000000001E-4</v>
      </c>
      <c r="AA2552">
        <v>0.99993889999999996</v>
      </c>
      <c r="AB2552">
        <v>49</v>
      </c>
      <c r="AC2552">
        <v>-40.75</v>
      </c>
      <c r="AD2552">
        <v>-1.1095387979739999</v>
      </c>
      <c r="AE2552">
        <v>-0.38439999999997099</v>
      </c>
      <c r="AF2552">
        <v>-0.45466046890165401</v>
      </c>
      <c r="AG2552">
        <v>-1.1095387979739999</v>
      </c>
      <c r="AH2552">
        <v>40.719088025133999</v>
      </c>
      <c r="AI2552">
        <v>91.560747233202406</v>
      </c>
      <c r="AJ2552">
        <v>90.639725610928494</v>
      </c>
      <c r="AK2552">
        <v>40.7367392176251</v>
      </c>
      <c r="AL2552">
        <v>89.578723956019402</v>
      </c>
      <c r="AM2552">
        <v>94.624984113409099</v>
      </c>
      <c r="AN2552">
        <v>1.0000000301746099</v>
      </c>
    </row>
    <row r="2553" spans="1:40" x14ac:dyDescent="0.25">
      <c r="A2553" t="str">
        <f>"20190305134948265"</f>
        <v>20190305134948265</v>
      </c>
      <c r="B2553" t="str">
        <f>"1551764988252850"</f>
        <v>1551764988252850</v>
      </c>
      <c r="C2553" t="s">
        <v>40</v>
      </c>
      <c r="D2553">
        <v>3.937433</v>
      </c>
      <c r="E2553">
        <v>0.525999199999999</v>
      </c>
      <c r="F2553" t="s">
        <v>74</v>
      </c>
      <c r="G2553">
        <v>-399.27569999999997</v>
      </c>
      <c r="H2553" s="1">
        <v>3.3992949999999999E-6</v>
      </c>
      <c r="I2553">
        <v>285.05680000000001</v>
      </c>
      <c r="J2553">
        <v>-358.46039999999999</v>
      </c>
      <c r="K2553">
        <v>1.109526</v>
      </c>
      <c r="L2553">
        <v>285.4393</v>
      </c>
      <c r="M2553">
        <v>-0.99988750000000004</v>
      </c>
      <c r="N2553">
        <v>-1.490198E-2</v>
      </c>
      <c r="O2553">
        <v>1.796761E-3</v>
      </c>
      <c r="P2553">
        <v>-0.99687040000000005</v>
      </c>
      <c r="Q2553">
        <v>-7.723125E-3</v>
      </c>
      <c r="R2553">
        <v>-7.8676079999999995E-2</v>
      </c>
      <c r="S2553">
        <v>-3.0066220000000001</v>
      </c>
      <c r="T2553">
        <v>-8.1126089999999998E-2</v>
      </c>
      <c r="U2553">
        <v>-2.792358E-2</v>
      </c>
      <c r="V2553">
        <v>-8.0465640000000005E-2</v>
      </c>
      <c r="W2553">
        <v>7.1485069999999897E-3</v>
      </c>
      <c r="X2553">
        <v>0.99673179999999995</v>
      </c>
      <c r="Y2553">
        <v>-1.1077439999999999E-2</v>
      </c>
      <c r="Z2553">
        <v>-2.536827E-4</v>
      </c>
      <c r="AA2553">
        <v>0.99993860000000001</v>
      </c>
      <c r="AB2553">
        <v>49</v>
      </c>
      <c r="AC2553">
        <v>-40.815299999999901</v>
      </c>
      <c r="AD2553">
        <v>-1.1095226007050001</v>
      </c>
      <c r="AE2553">
        <v>-0.38249999999999301</v>
      </c>
      <c r="AF2553">
        <v>-0.45550627888458001</v>
      </c>
      <c r="AG2553">
        <v>-1.1095226007050001</v>
      </c>
      <c r="AH2553">
        <v>40.784410989298102</v>
      </c>
      <c r="AI2553">
        <v>91.558225886369499</v>
      </c>
      <c r="AJ2553">
        <v>90.639889153825607</v>
      </c>
      <c r="AK2553">
        <v>40.802042915956598</v>
      </c>
      <c r="AL2553">
        <v>89.590417251458703</v>
      </c>
      <c r="AM2553">
        <v>94.615449180599697</v>
      </c>
      <c r="AN2553">
        <v>1.0000000507520801</v>
      </c>
    </row>
    <row r="2554" spans="1:40" x14ac:dyDescent="0.25">
      <c r="A2554" t="str">
        <f>"20190305134948279"</f>
        <v>20190305134948279</v>
      </c>
      <c r="B2554" t="str">
        <f>"1551764988273345"</f>
        <v>1551764988273345</v>
      </c>
      <c r="C2554" t="s">
        <v>40</v>
      </c>
      <c r="D2554">
        <v>3.9347850000000002</v>
      </c>
      <c r="E2554">
        <v>0.52594099999999999</v>
      </c>
      <c r="F2554" t="s">
        <v>74</v>
      </c>
      <c r="G2554">
        <v>-399.2878</v>
      </c>
      <c r="H2554" s="1">
        <v>3.4056949999999999E-6</v>
      </c>
      <c r="I2554">
        <v>285.0634</v>
      </c>
      <c r="J2554">
        <v>-358.73079999999999</v>
      </c>
      <c r="K2554">
        <v>1.109507</v>
      </c>
      <c r="L2554">
        <v>285.43979999999999</v>
      </c>
      <c r="M2554">
        <v>-0.99988739999999998</v>
      </c>
      <c r="N2554">
        <v>-1.4900180000000001E-2</v>
      </c>
      <c r="O2554">
        <v>1.862888E-3</v>
      </c>
      <c r="P2554">
        <v>-0.99688829999999995</v>
      </c>
      <c r="Q2554">
        <v>-7.8577609999999996E-3</v>
      </c>
      <c r="R2554">
        <v>-7.8438030000000006E-2</v>
      </c>
      <c r="S2554">
        <v>-3.0065919999999999</v>
      </c>
      <c r="T2554">
        <v>-8.1707000000000002E-2</v>
      </c>
      <c r="U2554">
        <v>-2.767944E-2</v>
      </c>
      <c r="V2554">
        <v>-8.029319E-2</v>
      </c>
      <c r="W2554">
        <v>7.0145199999999998E-3</v>
      </c>
      <c r="X2554">
        <v>0.99674660000000004</v>
      </c>
      <c r="Y2554">
        <v>-1.10624E-2</v>
      </c>
      <c r="Z2554">
        <v>-2.555899E-4</v>
      </c>
      <c r="AA2554">
        <v>0.99993880000000002</v>
      </c>
      <c r="AB2554">
        <v>49</v>
      </c>
      <c r="AC2554">
        <v>-40.557000000000002</v>
      </c>
      <c r="AD2554">
        <v>-1.109503594305</v>
      </c>
      <c r="AE2554">
        <v>-0.37639999999998902</v>
      </c>
      <c r="AF2554">
        <v>-0.45162291319606301</v>
      </c>
      <c r="AG2554">
        <v>-1.109503594305</v>
      </c>
      <c r="AH2554">
        <v>40.525901927609503</v>
      </c>
      <c r="AI2554">
        <v>91.568134224228004</v>
      </c>
      <c r="AJ2554">
        <v>90.638480934983093</v>
      </c>
      <c r="AK2554">
        <v>40.543602313160598</v>
      </c>
      <c r="AL2554">
        <v>89.598094309661093</v>
      </c>
      <c r="AM2554">
        <v>94.605532085342602</v>
      </c>
      <c r="AN2554">
        <v>0.99999999223138303</v>
      </c>
    </row>
    <row r="2555" spans="1:40" x14ac:dyDescent="0.25">
      <c r="A2555" t="str">
        <f>"20190305134948290"</f>
        <v>20190305134948290</v>
      </c>
      <c r="B2555" t="str">
        <f>"1551764988283105"</f>
        <v>1551764988283105</v>
      </c>
      <c r="C2555" t="s">
        <v>40</v>
      </c>
      <c r="D2555">
        <v>3.9433289999999999</v>
      </c>
      <c r="E2555">
        <v>0.52590209999999904</v>
      </c>
      <c r="F2555" t="s">
        <v>74</v>
      </c>
      <c r="G2555">
        <v>-399.22739999999999</v>
      </c>
      <c r="H2555" s="1">
        <v>3.3735960000000001E-6</v>
      </c>
      <c r="I2555">
        <v>285.06979999999999</v>
      </c>
      <c r="J2555">
        <v>-359.01260000000002</v>
      </c>
      <c r="K2555">
        <v>1.1094900000000001</v>
      </c>
      <c r="L2555">
        <v>285.44040000000001</v>
      </c>
      <c r="M2555">
        <v>-0.99988719999999998</v>
      </c>
      <c r="N2555">
        <v>-1.48983E-2</v>
      </c>
      <c r="O2555">
        <v>1.9376090000000001E-3</v>
      </c>
      <c r="P2555">
        <v>-0.99692670000000005</v>
      </c>
      <c r="Q2555">
        <v>-7.9465400000000002E-3</v>
      </c>
      <c r="R2555">
        <v>-7.7939309999999998E-2</v>
      </c>
      <c r="S2555">
        <v>-3.0065309999999998</v>
      </c>
      <c r="T2555">
        <v>-8.2371230000000004E-2</v>
      </c>
      <c r="U2555">
        <v>-2.7465819999999998E-2</v>
      </c>
      <c r="V2555">
        <v>-7.9869280000000001E-2</v>
      </c>
      <c r="W2555">
        <v>6.9272609999999997E-3</v>
      </c>
      <c r="X2555">
        <v>0.99678129999999998</v>
      </c>
      <c r="Y2555">
        <v>-1.106617E-2</v>
      </c>
      <c r="Z2555">
        <v>-2.5823349999999997E-4</v>
      </c>
      <c r="AA2555">
        <v>0.99993869999999896</v>
      </c>
      <c r="AB2555">
        <v>49</v>
      </c>
      <c r="AC2555">
        <v>-40.214799999999897</v>
      </c>
      <c r="AD2555">
        <v>-1.109486626404</v>
      </c>
      <c r="AE2555">
        <v>-0.37060000000002402</v>
      </c>
      <c r="AF2555">
        <v>-0.44818739620300502</v>
      </c>
      <c r="AG2555">
        <v>-1.109486626404</v>
      </c>
      <c r="AH2555">
        <v>40.183423175131303</v>
      </c>
      <c r="AI2555">
        <v>91.581468154468695</v>
      </c>
      <c r="AJ2555">
        <v>90.639024240315607</v>
      </c>
      <c r="AK2555">
        <v>40.2012354360903</v>
      </c>
      <c r="AL2555">
        <v>89.603094016383906</v>
      </c>
      <c r="AM2555">
        <v>94.581162030263997</v>
      </c>
      <c r="AN2555">
        <v>1.00000002443118</v>
      </c>
    </row>
    <row r="2556" spans="1:40" x14ac:dyDescent="0.25">
      <c r="A2556" t="str">
        <f>"20190305134948302"</f>
        <v>20190305134948302</v>
      </c>
      <c r="B2556" t="str">
        <f>"1551764988292866"</f>
        <v>1551764988292866</v>
      </c>
      <c r="C2556" t="s">
        <v>40</v>
      </c>
      <c r="D2556">
        <v>3.9468040000000002</v>
      </c>
      <c r="E2556">
        <v>0.52588950000000001</v>
      </c>
      <c r="F2556" t="s">
        <v>74</v>
      </c>
      <c r="G2556">
        <v>-399.15519999999998</v>
      </c>
      <c r="H2556" s="1">
        <v>3.335167E-6</v>
      </c>
      <c r="I2556">
        <v>285.08749999999998</v>
      </c>
      <c r="J2556">
        <v>-359.26799999999997</v>
      </c>
      <c r="K2556">
        <v>1.109477</v>
      </c>
      <c r="L2556">
        <v>285.4409</v>
      </c>
      <c r="M2556">
        <v>-0.99988710000000003</v>
      </c>
      <c r="N2556">
        <v>-1.489647E-2</v>
      </c>
      <c r="O2556">
        <v>2.0152770000000002E-3</v>
      </c>
      <c r="P2556">
        <v>-0.99695860000000003</v>
      </c>
      <c r="Q2556">
        <v>-7.9055369999999903E-3</v>
      </c>
      <c r="R2556">
        <v>-7.7532989999999996E-2</v>
      </c>
      <c r="S2556">
        <v>-3.0065</v>
      </c>
      <c r="T2556">
        <v>-8.3095550000000004E-2</v>
      </c>
      <c r="U2556">
        <v>-2.6428219999999999E-2</v>
      </c>
      <c r="V2556">
        <v>-7.9539869999999999E-2</v>
      </c>
      <c r="W2556">
        <v>6.9696979999999999E-3</v>
      </c>
      <c r="X2556">
        <v>0.99680729999999995</v>
      </c>
      <c r="Y2556">
        <v>-1.079892E-2</v>
      </c>
      <c r="Z2556">
        <v>-2.553338E-4</v>
      </c>
      <c r="AA2556">
        <v>0.99994159999999999</v>
      </c>
      <c r="AB2556">
        <v>49</v>
      </c>
      <c r="AC2556">
        <v>-39.887199999999901</v>
      </c>
      <c r="AD2556">
        <v>-1.1094736648329999</v>
      </c>
      <c r="AE2556">
        <v>-0.35340000000002098</v>
      </c>
      <c r="AF2556">
        <v>-0.43345661736076502</v>
      </c>
      <c r="AG2556">
        <v>-1.1094736648329999</v>
      </c>
      <c r="AH2556">
        <v>39.855573274574603</v>
      </c>
      <c r="AI2556">
        <v>91.594456801161598</v>
      </c>
      <c r="AJ2556">
        <v>90.623106221569401</v>
      </c>
      <c r="AK2556">
        <v>39.873368775375297</v>
      </c>
      <c r="AL2556">
        <v>89.600662479193701</v>
      </c>
      <c r="AM2556">
        <v>94.562229081785503</v>
      </c>
      <c r="AN2556">
        <v>0.99999998047155803</v>
      </c>
    </row>
    <row r="2557" spans="1:40" x14ac:dyDescent="0.25">
      <c r="A2557" t="str">
        <f>"20190305134948315"</f>
        <v>20190305134948315</v>
      </c>
      <c r="B2557" t="str">
        <f>"1551764988302626"</f>
        <v>1551764988302626</v>
      </c>
      <c r="C2557" t="s">
        <v>40</v>
      </c>
      <c r="D2557">
        <v>3.939511</v>
      </c>
      <c r="E2557">
        <v>0.52581999999999995</v>
      </c>
      <c r="F2557" t="s">
        <v>74</v>
      </c>
      <c r="G2557">
        <v>-399.38979999999998</v>
      </c>
      <c r="H2557" s="1">
        <v>3.4599870000000002E-6</v>
      </c>
      <c r="I2557">
        <v>285.1046</v>
      </c>
      <c r="J2557">
        <v>-359.52440000000001</v>
      </c>
      <c r="K2557">
        <v>1.109467</v>
      </c>
      <c r="L2557">
        <v>285.44150000000002</v>
      </c>
      <c r="M2557">
        <v>-0.99988699999999997</v>
      </c>
      <c r="N2557">
        <v>-1.489469E-2</v>
      </c>
      <c r="O2557">
        <v>2.0975270000000001E-3</v>
      </c>
      <c r="P2557">
        <v>-0.99697659999999999</v>
      </c>
      <c r="Q2557">
        <v>-7.9029510000000001E-3</v>
      </c>
      <c r="R2557">
        <v>-7.7300079999999993E-2</v>
      </c>
      <c r="S2557">
        <v>-3.0065309999999998</v>
      </c>
      <c r="T2557">
        <v>-8.3138589999999998E-2</v>
      </c>
      <c r="U2557">
        <v>-2.5207520000000001E-2</v>
      </c>
      <c r="V2557">
        <v>-7.9389180000000004E-2</v>
      </c>
      <c r="W2557">
        <v>6.9725580000000002E-3</v>
      </c>
      <c r="X2557">
        <v>0.99681929999999996</v>
      </c>
      <c r="Y2557">
        <v>-1.047529E-2</v>
      </c>
      <c r="Z2557">
        <v>-2.495962E-4</v>
      </c>
      <c r="AA2557">
        <v>0.99994510000000003</v>
      </c>
      <c r="AB2557">
        <v>49</v>
      </c>
      <c r="AC2557">
        <v>-39.865399999999902</v>
      </c>
      <c r="AD2557">
        <v>-1.109463540013</v>
      </c>
      <c r="AE2557">
        <v>-0.33690000000001402</v>
      </c>
      <c r="AF2557">
        <v>-0.42020184518868903</v>
      </c>
      <c r="AG2557">
        <v>-1.109463540013</v>
      </c>
      <c r="AH2557">
        <v>39.833755627996801</v>
      </c>
      <c r="AI2557">
        <v>91.595320692068199</v>
      </c>
      <c r="AJ2557">
        <v>90.604384369719696</v>
      </c>
      <c r="AK2557">
        <v>39.851418624288499</v>
      </c>
      <c r="AL2557">
        <v>89.600498612150801</v>
      </c>
      <c r="AM2557">
        <v>94.553567637414204</v>
      </c>
      <c r="AN2557">
        <v>0.99999998765931197</v>
      </c>
    </row>
    <row r="2558" spans="1:40" x14ac:dyDescent="0.25">
      <c r="A2558" t="str">
        <f>"20190305134948330"</f>
        <v>20190305134948330</v>
      </c>
      <c r="B2558" t="str">
        <f>"1551764988323121"</f>
        <v>1551764988323121</v>
      </c>
      <c r="C2558" t="s">
        <v>40</v>
      </c>
      <c r="D2558">
        <v>3.90964</v>
      </c>
      <c r="E2558">
        <v>0.52558119999999997</v>
      </c>
      <c r="F2558" t="s">
        <v>74</v>
      </c>
      <c r="G2558">
        <v>-399.70069999999998</v>
      </c>
      <c r="H2558" s="1">
        <v>3.6254489999999999E-6</v>
      </c>
      <c r="I2558">
        <v>285.10550000000001</v>
      </c>
      <c r="J2558">
        <v>-359.85939999999999</v>
      </c>
      <c r="K2558">
        <v>1.109456</v>
      </c>
      <c r="L2558">
        <v>285.44229999999999</v>
      </c>
      <c r="M2558">
        <v>-0.99988679999999996</v>
      </c>
      <c r="N2558">
        <v>-1.489245E-2</v>
      </c>
      <c r="O2558">
        <v>2.2120210000000002E-3</v>
      </c>
      <c r="P2558">
        <v>-0.99701519999999999</v>
      </c>
      <c r="Q2558">
        <v>-7.6555159999999898E-3</v>
      </c>
      <c r="R2558">
        <v>-7.6827370000000006E-2</v>
      </c>
      <c r="S2558">
        <v>-3.0064700000000002</v>
      </c>
      <c r="T2558">
        <v>-8.3023310000000003E-2</v>
      </c>
      <c r="U2558">
        <v>-2.5146479999999999E-2</v>
      </c>
      <c r="V2558">
        <v>-7.9030180000000005E-2</v>
      </c>
      <c r="W2558">
        <v>7.2214619999999997E-3</v>
      </c>
      <c r="X2558">
        <v>0.99684609999999996</v>
      </c>
      <c r="Y2558">
        <v>-1.056962E-2</v>
      </c>
      <c r="Z2558">
        <v>-2.5277289999999999E-4</v>
      </c>
      <c r="AA2558">
        <v>0.9999441</v>
      </c>
      <c r="AB2558">
        <v>49</v>
      </c>
      <c r="AC2558">
        <v>-39.841299999999897</v>
      </c>
      <c r="AD2558">
        <v>-1.1094523745510001</v>
      </c>
      <c r="AE2558">
        <v>-0.336799999999982</v>
      </c>
      <c r="AF2558">
        <v>-0.42460949256538499</v>
      </c>
      <c r="AG2558">
        <v>-1.1094523745510001</v>
      </c>
      <c r="AH2558">
        <v>39.809589521238898</v>
      </c>
      <c r="AI2558">
        <v>91.596270580004898</v>
      </c>
      <c r="AJ2558">
        <v>90.611094202672106</v>
      </c>
      <c r="AK2558">
        <v>39.827309671155398</v>
      </c>
      <c r="AL2558">
        <v>89.586237122821103</v>
      </c>
      <c r="AM2558">
        <v>94.532940933498494</v>
      </c>
      <c r="AN2558">
        <v>1.0000000329747201</v>
      </c>
    </row>
    <row r="2559" spans="1:40" x14ac:dyDescent="0.25">
      <c r="A2559" t="str">
        <f>"20190305134948342"</f>
        <v>20190305134948342</v>
      </c>
      <c r="B2559" t="str">
        <f>"1551764988332882"</f>
        <v>1551764988332882</v>
      </c>
      <c r="C2559" t="s">
        <v>40</v>
      </c>
      <c r="D2559">
        <v>3.862784</v>
      </c>
      <c r="E2559">
        <v>0.4939674</v>
      </c>
      <c r="F2559" t="s">
        <v>78</v>
      </c>
      <c r="G2559">
        <v>-400.33960000000002</v>
      </c>
      <c r="H2559" s="1">
        <v>8.1515430000000008E-6</v>
      </c>
      <c r="I2559">
        <v>285.10090000000002</v>
      </c>
      <c r="J2559">
        <v>-360.1395</v>
      </c>
      <c r="K2559">
        <v>1.1094469999999901</v>
      </c>
      <c r="L2559">
        <v>285.44299999999998</v>
      </c>
      <c r="M2559">
        <v>-0.99988650000000001</v>
      </c>
      <c r="N2559">
        <v>-1.489072E-2</v>
      </c>
      <c r="O2559">
        <v>2.3152939999999999E-3</v>
      </c>
      <c r="P2559">
        <v>-0.99703430000000004</v>
      </c>
      <c r="Q2559">
        <v>-7.56319E-3</v>
      </c>
      <c r="R2559">
        <v>-7.6587619999999995E-2</v>
      </c>
      <c r="S2559">
        <v>-3.006348</v>
      </c>
      <c r="T2559">
        <v>-8.2395549999999998E-2</v>
      </c>
      <c r="U2559">
        <v>-2.5360110000000002E-2</v>
      </c>
      <c r="V2559">
        <v>-7.8892749999999998E-2</v>
      </c>
      <c r="W2559">
        <v>7.3144430000000003E-3</v>
      </c>
      <c r="X2559">
        <v>0.99685630000000003</v>
      </c>
      <c r="Y2559">
        <v>-1.074426E-2</v>
      </c>
      <c r="Z2559">
        <v>-2.5619679999999999E-4</v>
      </c>
      <c r="AA2559">
        <v>0.9999422</v>
      </c>
      <c r="AB2559">
        <v>49</v>
      </c>
      <c r="AC2559">
        <v>-40.200099999999999</v>
      </c>
      <c r="AD2559">
        <v>-1.1094388484569999</v>
      </c>
      <c r="AE2559">
        <v>-0.34209999999995899</v>
      </c>
      <c r="AF2559">
        <v>-0.43485326912151601</v>
      </c>
      <c r="AG2559">
        <v>-1.1094388484569999</v>
      </c>
      <c r="AH2559">
        <v>40.168608082713597</v>
      </c>
      <c r="AI2559">
        <v>91.581988742002395</v>
      </c>
      <c r="AJ2559">
        <v>90.620242646307403</v>
      </c>
      <c r="AK2559">
        <v>40.186279091585199</v>
      </c>
      <c r="AL2559">
        <v>89.580909560051794</v>
      </c>
      <c r="AM2559">
        <v>94.525045005581006</v>
      </c>
      <c r="AN2559">
        <v>1.0000000249643199</v>
      </c>
    </row>
    <row r="2560" spans="1:40" x14ac:dyDescent="0.25">
      <c r="A2560" t="str">
        <f>"20190305134948355"</f>
        <v>20190305134948355</v>
      </c>
      <c r="B2560" t="str">
        <f>"1551764988342642"</f>
        <v>1551764988342642</v>
      </c>
      <c r="C2560" t="s">
        <v>40</v>
      </c>
      <c r="D2560">
        <v>3.980426</v>
      </c>
      <c r="E2560">
        <v>0.49269170000000001</v>
      </c>
      <c r="F2560" t="s">
        <v>76</v>
      </c>
      <c r="G2560">
        <v>-512.8252</v>
      </c>
      <c r="H2560">
        <v>0.1813139</v>
      </c>
      <c r="I2560">
        <v>271.24329999999998</v>
      </c>
      <c r="J2560">
        <v>-360.40199999999999</v>
      </c>
      <c r="K2560">
        <v>1.1094360000000001</v>
      </c>
      <c r="L2560">
        <v>285.44369999999998</v>
      </c>
      <c r="M2560">
        <v>-0.99988630000000001</v>
      </c>
      <c r="N2560">
        <v>-1.488913E-2</v>
      </c>
      <c r="O2560">
        <v>2.4143110000000001E-3</v>
      </c>
      <c r="P2560">
        <v>-0.99705279999999996</v>
      </c>
      <c r="Q2560">
        <v>-7.7140280000000004E-3</v>
      </c>
      <c r="R2560">
        <v>-7.6332520000000001E-2</v>
      </c>
      <c r="S2560">
        <v>-2.987457</v>
      </c>
      <c r="T2560">
        <v>-1.8158319999999999E-2</v>
      </c>
      <c r="U2560">
        <v>-0.27783200000000002</v>
      </c>
      <c r="V2560">
        <v>-7.8736459999999994E-2</v>
      </c>
      <c r="W2560">
        <v>7.1642429999999998E-3</v>
      </c>
      <c r="X2560">
        <v>0.99686969999999997</v>
      </c>
      <c r="Y2560">
        <v>-9.4997700000000004E-2</v>
      </c>
      <c r="Z2560">
        <v>-9.7565559999999996E-4</v>
      </c>
      <c r="AA2560">
        <v>0.99547699999999995</v>
      </c>
      <c r="AB2560">
        <v>49</v>
      </c>
      <c r="AC2560">
        <v>-152.42320000000001</v>
      </c>
      <c r="AD2560">
        <v>-0.92812209999999995</v>
      </c>
      <c r="AE2560">
        <v>-14.2004</v>
      </c>
      <c r="AF2560">
        <v>-14.567860896896001</v>
      </c>
      <c r="AG2560">
        <v>-0.92812209999999995</v>
      </c>
      <c r="AH2560">
        <v>152.382866363022</v>
      </c>
      <c r="AI2560">
        <v>90.347384708726693</v>
      </c>
      <c r="AJ2560">
        <v>95.460902491678198</v>
      </c>
      <c r="AK2560">
        <v>153.08044271805099</v>
      </c>
      <c r="AL2560">
        <v>89.589515592019794</v>
      </c>
      <c r="AM2560">
        <v>94.516057357212503</v>
      </c>
      <c r="AN2560">
        <v>0.99999997764459203</v>
      </c>
    </row>
    <row r="2561" spans="1:40" x14ac:dyDescent="0.25">
      <c r="A2561" t="str">
        <f>"20190305134948368"</f>
        <v>20190305134948368</v>
      </c>
      <c r="B2561" t="str">
        <f>"1551764988363137"</f>
        <v>1551764988363137</v>
      </c>
      <c r="C2561" t="s">
        <v>40</v>
      </c>
      <c r="D2561">
        <v>3.8898649999999999</v>
      </c>
      <c r="E2561">
        <v>0.4888439</v>
      </c>
      <c r="F2561" t="s">
        <v>78</v>
      </c>
      <c r="G2561">
        <v>-431.39370000000002</v>
      </c>
      <c r="H2561">
        <v>8.0001119999999995E-2</v>
      </c>
      <c r="I2561">
        <v>278.6327</v>
      </c>
      <c r="J2561">
        <v>-360.69049999999999</v>
      </c>
      <c r="K2561">
        <v>1.109426</v>
      </c>
      <c r="L2561">
        <v>285.44450000000001</v>
      </c>
      <c r="M2561">
        <v>-0.99988600000000005</v>
      </c>
      <c r="N2561">
        <v>-1.488739E-2</v>
      </c>
      <c r="O2561">
        <v>2.5261459999999999E-3</v>
      </c>
      <c r="P2561">
        <v>-0.99706910000000004</v>
      </c>
      <c r="Q2561">
        <v>-7.7736339999999998E-3</v>
      </c>
      <c r="R2561">
        <v>-7.6111659999999998E-2</v>
      </c>
      <c r="S2561">
        <v>-2.986542</v>
      </c>
      <c r="T2561">
        <v>-4.3307190000000002E-2</v>
      </c>
      <c r="U2561">
        <v>-0.28652949999999999</v>
      </c>
      <c r="V2561">
        <v>-7.8627150000000007E-2</v>
      </c>
      <c r="W2561">
        <v>7.1051159999999999E-3</v>
      </c>
      <c r="X2561">
        <v>0.99687879999999995</v>
      </c>
      <c r="Y2561">
        <v>-9.7995509999999994E-2</v>
      </c>
      <c r="Z2561">
        <v>-1.439103E-3</v>
      </c>
      <c r="AA2561">
        <v>0.99518580000000001</v>
      </c>
      <c r="AB2561">
        <v>49</v>
      </c>
      <c r="AC2561">
        <v>-70.703199999999995</v>
      </c>
      <c r="AD2561">
        <v>-1.0294248800000001</v>
      </c>
      <c r="AE2561">
        <v>-6.8117999999999999</v>
      </c>
      <c r="AF2561">
        <v>-6.98893671516569</v>
      </c>
      <c r="AG2561">
        <v>-1.0294248800000001</v>
      </c>
      <c r="AH2561">
        <v>70.670921243889893</v>
      </c>
      <c r="AI2561">
        <v>90.830486797373894</v>
      </c>
      <c r="AJ2561">
        <v>95.647849899200097</v>
      </c>
      <c r="AK2561">
        <v>71.023123427882595</v>
      </c>
      <c r="AL2561">
        <v>89.592903425824701</v>
      </c>
      <c r="AM2561">
        <v>94.509772588190799</v>
      </c>
      <c r="AN2561">
        <v>1.00000002663996</v>
      </c>
    </row>
    <row r="2562" spans="1:40" x14ac:dyDescent="0.25">
      <c r="A2562" t="str">
        <f>"20190305134948385"</f>
        <v>20190305134948385</v>
      </c>
      <c r="B2562" t="str">
        <f>"1551764988372897"</f>
        <v>1551764988372897</v>
      </c>
      <c r="C2562" t="s">
        <v>40</v>
      </c>
      <c r="D2562">
        <v>3.855521</v>
      </c>
      <c r="E2562">
        <v>0.48813109999999998</v>
      </c>
      <c r="F2562" t="s">
        <v>43</v>
      </c>
      <c r="G2562">
        <v>-483.59649999999999</v>
      </c>
      <c r="H2562">
        <v>-0.05</v>
      </c>
      <c r="I2562">
        <v>272.39510000000001</v>
      </c>
      <c r="J2562">
        <v>-361.05290000000002</v>
      </c>
      <c r="K2562">
        <v>1.1094120000000001</v>
      </c>
      <c r="L2562">
        <v>285.44540000000001</v>
      </c>
      <c r="M2562">
        <v>-0.99988569999999999</v>
      </c>
      <c r="N2562">
        <v>-1.4885209999999999E-2</v>
      </c>
      <c r="O2562">
        <v>2.671493E-3</v>
      </c>
      <c r="P2562">
        <v>-0.99711629999999996</v>
      </c>
      <c r="Q2562">
        <v>-8.4565460000000005E-3</v>
      </c>
      <c r="R2562">
        <v>-7.5419879999999995E-2</v>
      </c>
      <c r="S2562">
        <v>-2.9844059999999999</v>
      </c>
      <c r="T2562">
        <v>-2.815318E-2</v>
      </c>
      <c r="U2562">
        <v>-0.31686399999999998</v>
      </c>
      <c r="V2562">
        <v>-7.8080369999999996E-2</v>
      </c>
      <c r="W2562">
        <v>6.4223020000000004E-3</v>
      </c>
      <c r="X2562">
        <v>0.99692639999999999</v>
      </c>
      <c r="Y2562">
        <v>-0.1082239</v>
      </c>
      <c r="Z2562">
        <v>-1.302311E-3</v>
      </c>
      <c r="AA2562">
        <v>0.9941257</v>
      </c>
      <c r="AB2562">
        <v>49</v>
      </c>
      <c r="AC2562">
        <v>-122.543599999999</v>
      </c>
      <c r="AD2562">
        <v>-1.1594120000000001</v>
      </c>
      <c r="AE2562">
        <v>-13.050299999999901</v>
      </c>
      <c r="AF2562">
        <v>-13.3764800806991</v>
      </c>
      <c r="AG2562">
        <v>-1.1594120000000001</v>
      </c>
      <c r="AH2562">
        <v>122.497452611168</v>
      </c>
      <c r="AI2562">
        <v>90.539071731016904</v>
      </c>
      <c r="AJ2562">
        <v>96.231894190966401</v>
      </c>
      <c r="AK2562">
        <v>123.231085168315</v>
      </c>
      <c r="AL2562">
        <v>89.632026677879793</v>
      </c>
      <c r="AM2562">
        <v>94.478326302801094</v>
      </c>
      <c r="AN2562">
        <v>1.0000000185796301</v>
      </c>
    </row>
    <row r="2563" spans="1:40" x14ac:dyDescent="0.25">
      <c r="A2563" t="str">
        <f>"20190305134948397"</f>
        <v>20190305134948397</v>
      </c>
      <c r="B2563" t="str">
        <f>"1551764988393394"</f>
        <v>1551764988393394</v>
      </c>
      <c r="C2563" t="s">
        <v>40</v>
      </c>
      <c r="D2563">
        <v>3.8775550000000001</v>
      </c>
      <c r="E2563">
        <v>0.48717290000000002</v>
      </c>
      <c r="F2563" t="s">
        <v>43</v>
      </c>
      <c r="G2563">
        <v>-479.91989999999998</v>
      </c>
      <c r="H2563">
        <v>-0.05</v>
      </c>
      <c r="I2563">
        <v>272.67919999999998</v>
      </c>
      <c r="J2563">
        <v>-361.30599999999998</v>
      </c>
      <c r="K2563">
        <v>1.109407</v>
      </c>
      <c r="L2563">
        <v>285.44619999999998</v>
      </c>
      <c r="M2563">
        <v>-0.99988549999999998</v>
      </c>
      <c r="N2563">
        <v>-1.48836E-2</v>
      </c>
      <c r="O2563">
        <v>2.7745040000000001E-3</v>
      </c>
      <c r="P2563">
        <v>-0.99712630000000002</v>
      </c>
      <c r="Q2563">
        <v>-8.5069819999999997E-3</v>
      </c>
      <c r="R2563">
        <v>-7.5279620000000005E-2</v>
      </c>
      <c r="S2563">
        <v>-2.9841609999999998</v>
      </c>
      <c r="T2563">
        <v>-2.9107089999999999E-2</v>
      </c>
      <c r="U2563">
        <v>-0.32049559999999999</v>
      </c>
      <c r="V2563">
        <v>-7.8042840000000002E-2</v>
      </c>
      <c r="W2563">
        <v>6.3717569999999996E-3</v>
      </c>
      <c r="X2563">
        <v>0.99692959999999997</v>
      </c>
      <c r="Y2563">
        <v>-0.10953019999999999</v>
      </c>
      <c r="Z2563">
        <v>-1.335967E-3</v>
      </c>
      <c r="AA2563">
        <v>0.99398260000000005</v>
      </c>
      <c r="AB2563">
        <v>49</v>
      </c>
      <c r="AC2563">
        <v>-118.6139</v>
      </c>
      <c r="AD2563">
        <v>-1.1594070000000001</v>
      </c>
      <c r="AE2563">
        <v>-12.7669999999999</v>
      </c>
      <c r="AF2563">
        <v>-13.0948452109235</v>
      </c>
      <c r="AG2563">
        <v>-1.1594070000000001</v>
      </c>
      <c r="AH2563">
        <v>118.566818810168</v>
      </c>
      <c r="AI2563">
        <v>90.556863889084994</v>
      </c>
      <c r="AJ2563">
        <v>96.302361557319003</v>
      </c>
      <c r="AK2563">
        <v>119.293376674705</v>
      </c>
      <c r="AL2563">
        <v>89.634922729324401</v>
      </c>
      <c r="AM2563">
        <v>94.476168197257294</v>
      </c>
      <c r="AN2563">
        <v>0.99999995575934497</v>
      </c>
    </row>
    <row r="2564" spans="1:40" x14ac:dyDescent="0.25">
      <c r="A2564" t="str">
        <f>"20190305134948409"</f>
        <v>20190305134948409</v>
      </c>
      <c r="B2564" t="str">
        <f>"1551764988403153"</f>
        <v>1551764988403153</v>
      </c>
      <c r="C2564" t="s">
        <v>40</v>
      </c>
      <c r="D2564">
        <v>3.8576600000000001</v>
      </c>
      <c r="E2564">
        <v>0.48693039999999999</v>
      </c>
      <c r="F2564" t="s">
        <v>62</v>
      </c>
      <c r="G2564">
        <v>-491.81540000000001</v>
      </c>
      <c r="H2564" s="1">
        <v>5.2593209999999999E-7</v>
      </c>
      <c r="I2564">
        <v>271.10410000000002</v>
      </c>
      <c r="J2564">
        <v>-361.58479999999997</v>
      </c>
      <c r="K2564">
        <v>1.1094059999999999</v>
      </c>
      <c r="L2564">
        <v>285.447</v>
      </c>
      <c r="M2564">
        <v>-0.99988509999999997</v>
      </c>
      <c r="N2564">
        <v>-1.4881760000000001E-2</v>
      </c>
      <c r="O2564">
        <v>2.8887880000000002E-3</v>
      </c>
      <c r="P2564">
        <v>-0.99713390000000002</v>
      </c>
      <c r="Q2564">
        <v>-8.1794439999999993E-3</v>
      </c>
      <c r="R2564">
        <v>-7.5217800000000001E-2</v>
      </c>
      <c r="S2564">
        <v>-2.9836429999999998</v>
      </c>
      <c r="T2564">
        <v>-2.536273E-2</v>
      </c>
      <c r="U2564">
        <v>-0.32788089999999998</v>
      </c>
      <c r="V2564">
        <v>-7.8094499999999997E-2</v>
      </c>
      <c r="W2564">
        <v>6.6988610000000004E-3</v>
      </c>
      <c r="X2564">
        <v>0.99692340000000002</v>
      </c>
      <c r="Y2564">
        <v>-0.1120954</v>
      </c>
      <c r="Z2564">
        <v>-1.2933E-3</v>
      </c>
      <c r="AA2564">
        <v>0.99369660000000004</v>
      </c>
      <c r="AB2564">
        <v>49</v>
      </c>
      <c r="AC2564">
        <v>-130.23060000000001</v>
      </c>
      <c r="AD2564">
        <v>-1.10940547406789</v>
      </c>
      <c r="AE2564">
        <v>-14.342899999999901</v>
      </c>
      <c r="AF2564">
        <v>-14.7180351145067</v>
      </c>
      <c r="AG2564">
        <v>-1.10940547406789</v>
      </c>
      <c r="AH2564">
        <v>130.17928446124299</v>
      </c>
      <c r="AI2564">
        <v>90.485179654690398</v>
      </c>
      <c r="AJ2564">
        <v>96.450454266487696</v>
      </c>
      <c r="AK2564">
        <v>131.01334833130201</v>
      </c>
      <c r="AL2564">
        <v>89.616180645594397</v>
      </c>
      <c r="AM2564">
        <v>94.479146860201695</v>
      </c>
      <c r="AN2564">
        <v>0.999999945568252</v>
      </c>
    </row>
    <row r="2565" spans="1:40" x14ac:dyDescent="0.25">
      <c r="A2565" t="str">
        <f>"20190305134948421"</f>
        <v>20190305134948421</v>
      </c>
      <c r="B2565" t="str">
        <f>"1551764988412913"</f>
        <v>1551764988412913</v>
      </c>
      <c r="C2565" t="s">
        <v>40</v>
      </c>
      <c r="D2565">
        <v>3.8314279999999998</v>
      </c>
      <c r="E2565">
        <v>0.48676009999999997</v>
      </c>
      <c r="F2565" t="s">
        <v>62</v>
      </c>
      <c r="G2565">
        <v>-499.68509999999998</v>
      </c>
      <c r="H2565" s="1">
        <v>1.24411399999999E-7</v>
      </c>
      <c r="I2565">
        <v>270.18540000000002</v>
      </c>
      <c r="J2565">
        <v>-361.83569999999997</v>
      </c>
      <c r="K2565">
        <v>1.1094029999999999</v>
      </c>
      <c r="L2565">
        <v>285.44779999999997</v>
      </c>
      <c r="M2565">
        <v>-0.99988480000000002</v>
      </c>
      <c r="N2565">
        <v>-1.488009E-2</v>
      </c>
      <c r="O2565">
        <v>2.9927310000000002E-3</v>
      </c>
      <c r="P2565">
        <v>-0.99714469999999999</v>
      </c>
      <c r="Q2565">
        <v>-8.0216219999999904E-3</v>
      </c>
      <c r="R2565">
        <v>-7.5089779999999995E-2</v>
      </c>
      <c r="S2565">
        <v>-2.9835210000000001</v>
      </c>
      <c r="T2565">
        <v>-2.3967619999999999E-2</v>
      </c>
      <c r="U2565">
        <v>-0.3297119</v>
      </c>
      <c r="V2565">
        <v>-7.807016E-2</v>
      </c>
      <c r="W2565">
        <v>6.8566900000000004E-3</v>
      </c>
      <c r="X2565">
        <v>0.99692429999999999</v>
      </c>
      <c r="Y2565">
        <v>-0.1128064</v>
      </c>
      <c r="Z2565">
        <v>-1.2732119999999999E-3</v>
      </c>
      <c r="AA2565">
        <v>0.99361619999999995</v>
      </c>
      <c r="AB2565">
        <v>49</v>
      </c>
      <c r="AC2565">
        <v>-137.8494</v>
      </c>
      <c r="AD2565">
        <v>-1.1094028755886001</v>
      </c>
      <c r="AE2565">
        <v>-15.2623999999999</v>
      </c>
      <c r="AF2565">
        <v>-15.673920597720899</v>
      </c>
      <c r="AG2565">
        <v>-1.1094028755886001</v>
      </c>
      <c r="AH2565">
        <v>137.79428447496699</v>
      </c>
      <c r="AI2565">
        <v>90.458331657740999</v>
      </c>
      <c r="AJ2565">
        <v>96.489427904398397</v>
      </c>
      <c r="AK2565">
        <v>138.68730077268199</v>
      </c>
      <c r="AL2565">
        <v>89.607137527893599</v>
      </c>
      <c r="AM2565">
        <v>94.477752480330906</v>
      </c>
      <c r="AN2565">
        <v>1.0000000120053301</v>
      </c>
    </row>
    <row r="2566" spans="1:40" x14ac:dyDescent="0.25">
      <c r="A2566" t="str">
        <f>"20190305134948437"</f>
        <v>20190305134948437</v>
      </c>
      <c r="B2566" t="str">
        <f>"1551764988433410"</f>
        <v>1551764988433410</v>
      </c>
      <c r="C2566" t="s">
        <v>40</v>
      </c>
      <c r="D2566">
        <v>3.8743810000000001</v>
      </c>
      <c r="E2566">
        <v>0.48641000000000001</v>
      </c>
      <c r="F2566" t="s">
        <v>62</v>
      </c>
      <c r="G2566">
        <v>-499.95780000000002</v>
      </c>
      <c r="H2566">
        <v>1.276888E-2</v>
      </c>
      <c r="I2566">
        <v>270.13869999999997</v>
      </c>
      <c r="J2566">
        <v>-362.1678</v>
      </c>
      <c r="K2566">
        <v>1.1093959999999901</v>
      </c>
      <c r="L2566">
        <v>285.44889999999998</v>
      </c>
      <c r="M2566">
        <v>-0.99988449999999995</v>
      </c>
      <c r="N2566">
        <v>-1.4877919999999999E-2</v>
      </c>
      <c r="O2566">
        <v>3.1302589999999998E-3</v>
      </c>
      <c r="P2566">
        <v>-0.99716510000000003</v>
      </c>
      <c r="Q2566">
        <v>-7.7313590000000001E-3</v>
      </c>
      <c r="R2566">
        <v>-7.4847250000000004E-2</v>
      </c>
      <c r="S2566">
        <v>-2.9835509999999998</v>
      </c>
      <c r="T2566">
        <v>-2.36882E-2</v>
      </c>
      <c r="U2566">
        <v>-0.3306885</v>
      </c>
      <c r="V2566">
        <v>-7.7964480000000003E-2</v>
      </c>
      <c r="W2566">
        <v>7.1456459999999899E-3</v>
      </c>
      <c r="X2566">
        <v>0.99693050000000005</v>
      </c>
      <c r="Y2566">
        <v>-0.1132633</v>
      </c>
      <c r="Z2566">
        <v>-1.2718180000000001E-3</v>
      </c>
      <c r="AA2566">
        <v>0.99356420000000001</v>
      </c>
      <c r="AB2566">
        <v>49</v>
      </c>
      <c r="AC2566">
        <v>-137.79</v>
      </c>
      <c r="AD2566">
        <v>-1.09662711999999</v>
      </c>
      <c r="AE2566">
        <v>-15.3102</v>
      </c>
      <c r="AF2566">
        <v>-15.7405062163567</v>
      </c>
      <c r="AG2566">
        <v>-1.09662711999999</v>
      </c>
      <c r="AH2566">
        <v>137.73277689687799</v>
      </c>
      <c r="AI2566">
        <v>90.453228844854905</v>
      </c>
      <c r="AJ2566">
        <v>96.519644656501598</v>
      </c>
      <c r="AK2566">
        <v>138.63363213417099</v>
      </c>
      <c r="AL2566">
        <v>89.590581146256596</v>
      </c>
      <c r="AM2566">
        <v>94.471688055112196</v>
      </c>
      <c r="AN2566">
        <v>0.99999997111433803</v>
      </c>
    </row>
    <row r="2567" spans="1:40" x14ac:dyDescent="0.25">
      <c r="A2567" t="str">
        <f>"20190305134948453"</f>
        <v>20190305134948453</v>
      </c>
      <c r="B2567" t="str">
        <f>"1551764988443170"</f>
        <v>1551764988443170</v>
      </c>
      <c r="C2567" t="s">
        <v>40</v>
      </c>
      <c r="D2567">
        <v>3.8801929999999998</v>
      </c>
      <c r="E2567">
        <v>0.48623250000000001</v>
      </c>
      <c r="F2567" t="s">
        <v>62</v>
      </c>
      <c r="G2567">
        <v>-499.95780000000002</v>
      </c>
      <c r="H2567">
        <v>2.499521E-2</v>
      </c>
      <c r="I2567">
        <v>270.08859999999999</v>
      </c>
      <c r="J2567">
        <v>-362.54270000000002</v>
      </c>
      <c r="K2567">
        <v>1.1093949999999999</v>
      </c>
      <c r="L2567">
        <v>285.4502</v>
      </c>
      <c r="M2567">
        <v>-0.99988390000000005</v>
      </c>
      <c r="N2567">
        <v>-1.48755E-2</v>
      </c>
      <c r="O2567">
        <v>3.2860889999999999E-3</v>
      </c>
      <c r="P2567">
        <v>-0.99717960000000005</v>
      </c>
      <c r="Q2567">
        <v>-7.5919680000000002E-3</v>
      </c>
      <c r="R2567">
        <v>-7.4669120000000005E-2</v>
      </c>
      <c r="S2567">
        <v>-2.9834290000000001</v>
      </c>
      <c r="T2567">
        <v>-2.3479460000000001E-2</v>
      </c>
      <c r="U2567">
        <v>-0.332580599999999</v>
      </c>
      <c r="V2567">
        <v>-7.7941579999999996E-2</v>
      </c>
      <c r="W2567">
        <v>7.2844019999999997E-3</v>
      </c>
      <c r="X2567">
        <v>0.99693129999999996</v>
      </c>
      <c r="Y2567">
        <v>-0.1140451</v>
      </c>
      <c r="Z2567">
        <v>-1.2753650000000001E-3</v>
      </c>
      <c r="AA2567">
        <v>0.99347479999999999</v>
      </c>
      <c r="AB2567">
        <v>49</v>
      </c>
      <c r="AC2567">
        <v>-137.4151</v>
      </c>
      <c r="AD2567">
        <v>-1.08439979</v>
      </c>
      <c r="AE2567">
        <v>-15.361599999999999</v>
      </c>
      <c r="AF2567">
        <v>-15.8121527434571</v>
      </c>
      <c r="AG2567">
        <v>-1.08439979</v>
      </c>
      <c r="AH2567">
        <v>137.35542457194299</v>
      </c>
      <c r="AI2567">
        <v>90.449364276014194</v>
      </c>
      <c r="AJ2567">
        <v>96.566898187299103</v>
      </c>
      <c r="AK2567">
        <v>138.26681726511899</v>
      </c>
      <c r="AL2567">
        <v>89.582630811556697</v>
      </c>
      <c r="AM2567">
        <v>94.470376367195598</v>
      </c>
      <c r="AN2567">
        <v>0.99999998466254103</v>
      </c>
    </row>
    <row r="2568" spans="1:40" x14ac:dyDescent="0.25">
      <c r="A2568" t="str">
        <f>"20190305134948475"</f>
        <v>20190305134948475</v>
      </c>
      <c r="B2568" t="str">
        <f>"1551764988462690"</f>
        <v>1551764988462690</v>
      </c>
      <c r="C2568" t="s">
        <v>40</v>
      </c>
      <c r="D2568">
        <v>3.876395</v>
      </c>
      <c r="E2568">
        <v>0.48609459999999999</v>
      </c>
      <c r="F2568" t="s">
        <v>62</v>
      </c>
      <c r="G2568">
        <v>-499.95780000000002</v>
      </c>
      <c r="H2568">
        <v>2.0739919999999998E-2</v>
      </c>
      <c r="I2568">
        <v>270.09190000000001</v>
      </c>
      <c r="J2568">
        <v>-363.00720000000001</v>
      </c>
      <c r="K2568">
        <v>1.10938799999999</v>
      </c>
      <c r="L2568">
        <v>285.45179999999999</v>
      </c>
      <c r="M2568">
        <v>-0.99988350000000004</v>
      </c>
      <c r="N2568">
        <v>-1.487254E-2</v>
      </c>
      <c r="O2568">
        <v>3.479242E-3</v>
      </c>
      <c r="P2568">
        <v>-0.99718830000000003</v>
      </c>
      <c r="Q2568">
        <v>-7.4550519999999898E-3</v>
      </c>
      <c r="R2568">
        <v>-7.4566300000000002E-2</v>
      </c>
      <c r="S2568">
        <v>-2.9833370000000001</v>
      </c>
      <c r="T2568">
        <v>-2.3635150000000001E-2</v>
      </c>
      <c r="U2568">
        <v>-0.33343509999999998</v>
      </c>
      <c r="V2568">
        <v>-7.8031349999999999E-2</v>
      </c>
      <c r="W2568">
        <v>7.4202969999999898E-3</v>
      </c>
      <c r="X2568">
        <v>0.99692329999999996</v>
      </c>
      <c r="Y2568">
        <v>-0.1145212</v>
      </c>
      <c r="Z2568">
        <v>-1.2824589999999999E-3</v>
      </c>
      <c r="AA2568">
        <v>0.99341990000000002</v>
      </c>
      <c r="AB2568">
        <v>49</v>
      </c>
      <c r="AC2568">
        <v>-136.95060000000001</v>
      </c>
      <c r="AD2568">
        <v>-1.08864807999999</v>
      </c>
      <c r="AE2568">
        <v>-15.3598999999999</v>
      </c>
      <c r="AF2568">
        <v>-15.8353557211694</v>
      </c>
      <c r="AG2568">
        <v>-1.08864807999999</v>
      </c>
      <c r="AH2568">
        <v>136.88778174157599</v>
      </c>
      <c r="AI2568">
        <v>90.452636732455801</v>
      </c>
      <c r="AJ2568">
        <v>96.598719182039005</v>
      </c>
      <c r="AK2568">
        <v>137.80496520658301</v>
      </c>
      <c r="AL2568">
        <v>89.574844401464105</v>
      </c>
      <c r="AM2568">
        <v>94.475540030624998</v>
      </c>
      <c r="AN2568">
        <v>1.0000000092366399</v>
      </c>
    </row>
    <row r="2569" spans="1:40" x14ac:dyDescent="0.25">
      <c r="A2569" t="str">
        <f>"20190305134948489"</f>
        <v>20190305134948489</v>
      </c>
      <c r="B2569" t="str">
        <f>"1551764988483186"</f>
        <v>1551764988483186</v>
      </c>
      <c r="C2569" t="s">
        <v>40</v>
      </c>
      <c r="D2569">
        <v>3.8455499999999998</v>
      </c>
      <c r="E2569">
        <v>0.48583769999999998</v>
      </c>
      <c r="F2569" t="s">
        <v>62</v>
      </c>
      <c r="G2569">
        <v>-499.95780000000002</v>
      </c>
      <c r="H2569">
        <v>3.104492E-2</v>
      </c>
      <c r="I2569">
        <v>270.09899999999999</v>
      </c>
      <c r="J2569">
        <v>-363.30470000000003</v>
      </c>
      <c r="K2569">
        <v>1.1093820000000001</v>
      </c>
      <c r="L2569">
        <v>285.4529</v>
      </c>
      <c r="M2569">
        <v>-0.99988290000000002</v>
      </c>
      <c r="N2569">
        <v>-1.487058E-2</v>
      </c>
      <c r="O2569">
        <v>3.6031879999999998E-3</v>
      </c>
      <c r="P2569">
        <v>-0.99719040000000003</v>
      </c>
      <c r="Q2569">
        <v>-7.527972E-3</v>
      </c>
      <c r="R2569">
        <v>-7.4527990000000002E-2</v>
      </c>
      <c r="S2569">
        <v>-2.9833069999999999</v>
      </c>
      <c r="T2569">
        <v>-2.349043E-2</v>
      </c>
      <c r="U2569">
        <v>-0.33444210000000002</v>
      </c>
      <c r="V2569">
        <v>-7.8116489999999997E-2</v>
      </c>
      <c r="W2569">
        <v>7.3459129999999999E-3</v>
      </c>
      <c r="X2569">
        <v>0.99691719999999895</v>
      </c>
      <c r="Y2569">
        <v>-0.1149767</v>
      </c>
      <c r="Z2569">
        <v>-1.283749E-3</v>
      </c>
      <c r="AA2569">
        <v>0.99336740000000001</v>
      </c>
      <c r="AB2569">
        <v>48</v>
      </c>
      <c r="AC2569">
        <v>-136.65309999999999</v>
      </c>
      <c r="AD2569">
        <v>-1.0783370799999901</v>
      </c>
      <c r="AE2569">
        <v>-15.353899999999999</v>
      </c>
      <c r="AF2569">
        <v>-15.8452672215177</v>
      </c>
      <c r="AG2569">
        <v>-1.0783370799999901</v>
      </c>
      <c r="AH2569">
        <v>136.588484449741</v>
      </c>
      <c r="AI2569">
        <v>90.4493154666755</v>
      </c>
      <c r="AJ2569">
        <v>96.617153057612498</v>
      </c>
      <c r="AK2569">
        <v>137.50872477212701</v>
      </c>
      <c r="AL2569">
        <v>89.579106413929594</v>
      </c>
      <c r="AM2569">
        <v>94.480430723371498</v>
      </c>
      <c r="AN2569">
        <v>1.0000000260517801</v>
      </c>
    </row>
    <row r="2570" spans="1:40" x14ac:dyDescent="0.25">
      <c r="A2570" t="str">
        <f>"20190305134948501"</f>
        <v>20190305134948501</v>
      </c>
      <c r="B2570" t="str">
        <f>"1551764988492946"</f>
        <v>1551764988492946</v>
      </c>
      <c r="C2570" t="s">
        <v>40</v>
      </c>
      <c r="D2570">
        <v>3.8821479999999999</v>
      </c>
      <c r="E2570">
        <v>0.48573959999999999</v>
      </c>
      <c r="F2570" t="s">
        <v>62</v>
      </c>
      <c r="G2570">
        <v>-494.50819999999999</v>
      </c>
      <c r="H2570" s="1">
        <v>3.7051439999999997E-7</v>
      </c>
      <c r="I2570">
        <v>270.66449999999998</v>
      </c>
      <c r="J2570">
        <v>-363.5686</v>
      </c>
      <c r="K2570">
        <v>1.1093789999999999</v>
      </c>
      <c r="L2570">
        <v>285.45389999999998</v>
      </c>
      <c r="M2570">
        <v>-0.99988259999999995</v>
      </c>
      <c r="N2570">
        <v>-1.4868920000000001E-2</v>
      </c>
      <c r="O2570">
        <v>3.71346E-3</v>
      </c>
      <c r="P2570">
        <v>-0.99717650000000002</v>
      </c>
      <c r="Q2570">
        <v>-7.7458819999999999E-3</v>
      </c>
      <c r="R2570">
        <v>-7.4693579999999996E-2</v>
      </c>
      <c r="S2570">
        <v>-2.9831539999999999</v>
      </c>
      <c r="T2570">
        <v>-2.5223849999999999E-2</v>
      </c>
      <c r="U2570">
        <v>-0.33624270000000001</v>
      </c>
      <c r="V2570">
        <v>-7.8391840000000004E-2</v>
      </c>
      <c r="W2570">
        <v>7.1265740000000001E-3</v>
      </c>
      <c r="X2570">
        <v>0.99689720000000004</v>
      </c>
      <c r="Y2570">
        <v>-0.11568290000000001</v>
      </c>
      <c r="Z2570">
        <v>-1.3266249999999999E-3</v>
      </c>
      <c r="AA2570">
        <v>0.99328530000000004</v>
      </c>
      <c r="AB2570">
        <v>48</v>
      </c>
      <c r="AC2570">
        <v>-130.93959999999899</v>
      </c>
      <c r="AD2570">
        <v>-1.1093786294856001</v>
      </c>
      <c r="AE2570">
        <v>-14.789400000000001</v>
      </c>
      <c r="AF2570">
        <v>-15.274508081839601</v>
      </c>
      <c r="AG2570">
        <v>-1.1093786294856001</v>
      </c>
      <c r="AH2570">
        <v>130.87449492991101</v>
      </c>
      <c r="AI2570">
        <v>90.482391052743907</v>
      </c>
      <c r="AJ2570">
        <v>96.656937473815901</v>
      </c>
      <c r="AK2570">
        <v>131.767502599257</v>
      </c>
      <c r="AL2570">
        <v>89.591673950615302</v>
      </c>
      <c r="AM2570">
        <v>94.496248823206599</v>
      </c>
      <c r="AN2570">
        <v>1.0000000480016999</v>
      </c>
    </row>
    <row r="2571" spans="1:40" x14ac:dyDescent="0.25">
      <c r="A2571" t="str">
        <f>"20190305134948517"</f>
        <v>20190305134948517</v>
      </c>
      <c r="B2571" t="str">
        <f>"1551764988513442"</f>
        <v>1551764988513442</v>
      </c>
      <c r="C2571" t="s">
        <v>40</v>
      </c>
      <c r="D2571">
        <v>3.8772169999999999</v>
      </c>
      <c r="E2571">
        <v>0.48558839999999998</v>
      </c>
      <c r="F2571" t="s">
        <v>62</v>
      </c>
      <c r="G2571">
        <v>-489.52210000000002</v>
      </c>
      <c r="H2571" s="1">
        <v>5.2577969999999996E-7</v>
      </c>
      <c r="I2571">
        <v>271.21300000000002</v>
      </c>
      <c r="J2571">
        <v>-363.8897</v>
      </c>
      <c r="K2571">
        <v>1.109367</v>
      </c>
      <c r="L2571">
        <v>285.45519999999999</v>
      </c>
      <c r="M2571">
        <v>-0.9998821</v>
      </c>
      <c r="N2571">
        <v>-1.4866890000000001E-2</v>
      </c>
      <c r="O2571">
        <v>3.8476420000000001E-3</v>
      </c>
      <c r="P2571">
        <v>-0.99716459999999996</v>
      </c>
      <c r="Q2571">
        <v>-7.8327039999999994E-3</v>
      </c>
      <c r="R2571">
        <v>-7.4845610000000007E-2</v>
      </c>
      <c r="S2571">
        <v>-2.983063</v>
      </c>
      <c r="T2571">
        <v>-2.627432E-2</v>
      </c>
      <c r="U2571">
        <v>-0.33728029999999998</v>
      </c>
      <c r="V2571">
        <v>-7.8677579999999997E-2</v>
      </c>
      <c r="W2571">
        <v>7.0383609999999999E-3</v>
      </c>
      <c r="X2571">
        <v>0.99687530000000002</v>
      </c>
      <c r="Y2571">
        <v>-0.11616</v>
      </c>
      <c r="Z2571">
        <v>-1.3529900000000001E-3</v>
      </c>
      <c r="AA2571">
        <v>0.99322960000000005</v>
      </c>
      <c r="AB2571">
        <v>48</v>
      </c>
      <c r="AC2571">
        <v>-125.6324</v>
      </c>
      <c r="AD2571">
        <v>-1.1093664742203</v>
      </c>
      <c r="AE2571">
        <v>-14.2422</v>
      </c>
      <c r="AF2571">
        <v>-14.724402925858699</v>
      </c>
      <c r="AG2571">
        <v>-1.1093664742203</v>
      </c>
      <c r="AH2571">
        <v>125.566998233338</v>
      </c>
      <c r="AI2571">
        <v>90.502742303579794</v>
      </c>
      <c r="AJ2571">
        <v>96.688149310352003</v>
      </c>
      <c r="AK2571">
        <v>126.432233946997</v>
      </c>
      <c r="AL2571">
        <v>89.5967283032615</v>
      </c>
      <c r="AM2571">
        <v>94.512668908066502</v>
      </c>
      <c r="AN2571">
        <v>1.0000000319351501</v>
      </c>
    </row>
    <row r="2572" spans="1:40" x14ac:dyDescent="0.25">
      <c r="A2572" t="str">
        <f>"20190305134948531"</f>
        <v>20190305134948531</v>
      </c>
      <c r="B2572" t="str">
        <f>"1551764988523202"</f>
        <v>1551764988523202</v>
      </c>
      <c r="C2572" t="s">
        <v>40</v>
      </c>
      <c r="D2572">
        <v>3.8774690000000001</v>
      </c>
      <c r="E2572">
        <v>0.48550729999999997</v>
      </c>
      <c r="F2572" t="s">
        <v>62</v>
      </c>
      <c r="G2572">
        <v>-477.52980000000002</v>
      </c>
      <c r="H2572">
        <v>7.999916E-2</v>
      </c>
      <c r="I2572">
        <v>272.54070000000002</v>
      </c>
      <c r="J2572">
        <v>-364.20949999999999</v>
      </c>
      <c r="K2572">
        <v>1.109362</v>
      </c>
      <c r="L2572">
        <v>285.45650000000001</v>
      </c>
      <c r="M2572">
        <v>-0.99988160000000004</v>
      </c>
      <c r="N2572">
        <v>-1.4864840000000001E-2</v>
      </c>
      <c r="O2572">
        <v>3.9813390000000004E-3</v>
      </c>
      <c r="P2572">
        <v>-0.99716210000000005</v>
      </c>
      <c r="Q2572">
        <v>-8.1358630000000001E-3</v>
      </c>
      <c r="R2572">
        <v>-7.4845339999999996E-2</v>
      </c>
      <c r="S2572">
        <v>-2.98291</v>
      </c>
      <c r="T2572">
        <v>-2.7019620000000001E-2</v>
      </c>
      <c r="U2572">
        <v>-0.33898929999999999</v>
      </c>
      <c r="V2572">
        <v>-7.8810829999999998E-2</v>
      </c>
      <c r="W2572">
        <v>6.7336690000000003E-3</v>
      </c>
      <c r="X2572">
        <v>0.99686680000000005</v>
      </c>
      <c r="Y2572">
        <v>-0.1168597</v>
      </c>
      <c r="Z2572">
        <v>-1.3759460000000001E-3</v>
      </c>
      <c r="AA2572">
        <v>0.99314749999999996</v>
      </c>
      <c r="AB2572">
        <v>48</v>
      </c>
      <c r="AC2572">
        <v>-113.3203</v>
      </c>
      <c r="AD2572">
        <v>-1.0293628399999999</v>
      </c>
      <c r="AE2572">
        <v>-12.9157999999999</v>
      </c>
      <c r="AF2572">
        <v>-13.3658252804774</v>
      </c>
      <c r="AG2572">
        <v>-1.0293628399999999</v>
      </c>
      <c r="AH2572">
        <v>113.258748357405</v>
      </c>
      <c r="AI2572">
        <v>90.517135424842806</v>
      </c>
      <c r="AJ2572">
        <v>96.730427072616493</v>
      </c>
      <c r="AK2572">
        <v>114.049326840498</v>
      </c>
      <c r="AL2572">
        <v>89.614186251909302</v>
      </c>
      <c r="AM2572">
        <v>94.520318394781299</v>
      </c>
      <c r="AN2572">
        <v>0.99999995308286405</v>
      </c>
    </row>
    <row r="2573" spans="1:40" x14ac:dyDescent="0.25">
      <c r="A2573" t="str">
        <f>"20190305134948541"</f>
        <v>20190305134948541</v>
      </c>
      <c r="B2573" t="str">
        <f>"1551764988532962"</f>
        <v>1551764988532962</v>
      </c>
      <c r="C2573" t="s">
        <v>40</v>
      </c>
      <c r="D2573">
        <v>3.8457560000000002</v>
      </c>
      <c r="E2573">
        <v>0.4854812</v>
      </c>
      <c r="F2573" t="s">
        <v>62</v>
      </c>
      <c r="G2573">
        <v>-482.03829999999999</v>
      </c>
      <c r="H2573" s="1">
        <v>4.2625409999999999E-7</v>
      </c>
      <c r="I2573">
        <v>272.0367</v>
      </c>
      <c r="J2573">
        <v>-364.45510000000002</v>
      </c>
      <c r="K2573">
        <v>1.109364</v>
      </c>
      <c r="L2573">
        <v>285.45760000000001</v>
      </c>
      <c r="M2573">
        <v>-0.99988129999999997</v>
      </c>
      <c r="N2573">
        <v>-1.486325E-2</v>
      </c>
      <c r="O2573">
        <v>4.084318E-3</v>
      </c>
      <c r="P2573">
        <v>-0.99715209999999999</v>
      </c>
      <c r="Q2573">
        <v>-8.7618560000000002E-3</v>
      </c>
      <c r="R2573">
        <v>-7.4908050000000004E-2</v>
      </c>
      <c r="S2573">
        <v>-2.9828190000000001</v>
      </c>
      <c r="T2573">
        <v>-2.8083319999999998E-2</v>
      </c>
      <c r="U2573">
        <v>-0.33972170000000002</v>
      </c>
      <c r="V2573">
        <v>-7.8976589999999999E-2</v>
      </c>
      <c r="W2573">
        <v>6.1066410000000003E-3</v>
      </c>
      <c r="X2573">
        <v>0.99685780000000002</v>
      </c>
      <c r="Y2573">
        <v>-0.1172054</v>
      </c>
      <c r="Z2573">
        <v>-1.401708E-3</v>
      </c>
      <c r="AA2573">
        <v>0.99310670000000001</v>
      </c>
      <c r="AB2573">
        <v>48</v>
      </c>
      <c r="AC2573">
        <v>-117.583199999999</v>
      </c>
      <c r="AD2573">
        <v>-1.1093635737459</v>
      </c>
      <c r="AE2573">
        <v>-13.4209</v>
      </c>
      <c r="AF2573">
        <v>-13.899866850832</v>
      </c>
      <c r="AG2573">
        <v>-1.1093635737459</v>
      </c>
      <c r="AH2573">
        <v>117.51707165293701</v>
      </c>
      <c r="AI2573">
        <v>90.537113420099402</v>
      </c>
      <c r="AJ2573">
        <v>96.745578763099303</v>
      </c>
      <c r="AK2573">
        <v>118.341451384927</v>
      </c>
      <c r="AL2573">
        <v>89.650113080656794</v>
      </c>
      <c r="AM2573">
        <v>94.529827018892405</v>
      </c>
      <c r="AN2573">
        <v>1.0000000331265799</v>
      </c>
    </row>
    <row r="2574" spans="1:40" x14ac:dyDescent="0.25">
      <c r="A2574" t="str">
        <f>"20190305134948554"</f>
        <v>20190305134948554</v>
      </c>
      <c r="B2574" t="str">
        <f>"1551764988542722"</f>
        <v>1551764988542722</v>
      </c>
      <c r="C2574" t="s">
        <v>40</v>
      </c>
      <c r="D2574">
        <v>3.6898580000000001</v>
      </c>
      <c r="E2574">
        <v>0.4854812</v>
      </c>
      <c r="F2574" t="s">
        <v>43</v>
      </c>
      <c r="G2574">
        <v>-478.19670000000002</v>
      </c>
      <c r="H2574">
        <v>-0.05</v>
      </c>
      <c r="I2574">
        <v>272.49020000000002</v>
      </c>
      <c r="J2574">
        <v>-364.71620000000001</v>
      </c>
      <c r="K2574">
        <v>1.109361</v>
      </c>
      <c r="L2574">
        <v>285.45870000000002</v>
      </c>
      <c r="M2574">
        <v>-0.99988089999999996</v>
      </c>
      <c r="N2574">
        <v>-1.4861559999999999E-2</v>
      </c>
      <c r="O2574">
        <v>4.1937329999999998E-3</v>
      </c>
      <c r="P2574">
        <v>-0.99712069999999997</v>
      </c>
      <c r="Q2574">
        <v>-8.9397330000000001E-3</v>
      </c>
      <c r="R2574">
        <v>-7.5304590000000005E-2</v>
      </c>
      <c r="S2574">
        <v>-2.982758</v>
      </c>
      <c r="T2574">
        <v>-3.0403139999999999E-2</v>
      </c>
      <c r="U2574">
        <v>-0.34005740000000001</v>
      </c>
      <c r="V2574">
        <v>-7.9481940000000001E-2</v>
      </c>
      <c r="W2574">
        <v>5.9273540000000001E-3</v>
      </c>
      <c r="X2574">
        <v>0.99681869999999995</v>
      </c>
      <c r="Y2574">
        <v>-0.11742519999999999</v>
      </c>
      <c r="Z2574">
        <v>-1.452474E-3</v>
      </c>
      <c r="AA2574">
        <v>0.99308070000000004</v>
      </c>
      <c r="AB2574">
        <v>48</v>
      </c>
      <c r="AC2574">
        <v>-113.48050000000001</v>
      </c>
      <c r="AD2574">
        <v>-1.1593610000000001</v>
      </c>
      <c r="AE2574">
        <v>-12.968500000000001</v>
      </c>
      <c r="AF2574">
        <v>-13.4429603360296</v>
      </c>
      <c r="AG2574">
        <v>-1.1593610000000001</v>
      </c>
      <c r="AH2574">
        <v>113.413424555649</v>
      </c>
      <c r="AI2574">
        <v>90.581610662585604</v>
      </c>
      <c r="AJ2574">
        <v>96.759763294625003</v>
      </c>
      <c r="AK2574">
        <v>114.213231151054</v>
      </c>
      <c r="AL2574">
        <v>89.660385649059094</v>
      </c>
      <c r="AM2574">
        <v>94.558868440431795</v>
      </c>
      <c r="AN2574">
        <v>1.00000001649064</v>
      </c>
    </row>
    <row r="2575" spans="1:40" x14ac:dyDescent="0.25">
      <c r="A2575" t="str">
        <f>"20190305134948566"</f>
        <v>20190305134948566</v>
      </c>
      <c r="B2575" t="str">
        <f>"1551764988563218"</f>
        <v>1551764988563218</v>
      </c>
      <c r="C2575" t="s">
        <v>40</v>
      </c>
      <c r="D2575">
        <v>3.6877979999999999</v>
      </c>
      <c r="E2575">
        <v>0.48537599999999997</v>
      </c>
      <c r="F2575" t="s">
        <v>43</v>
      </c>
      <c r="G2575">
        <v>-476.34460000000001</v>
      </c>
      <c r="H2575">
        <v>-0.05</v>
      </c>
      <c r="I2575">
        <v>272.6893</v>
      </c>
      <c r="J2575">
        <v>-364.98689999999999</v>
      </c>
      <c r="K2575">
        <v>1.109364</v>
      </c>
      <c r="L2575">
        <v>285.4599</v>
      </c>
      <c r="M2575">
        <v>-0.9998804</v>
      </c>
      <c r="N2575">
        <v>-1.4859799999999901E-2</v>
      </c>
      <c r="O2575">
        <v>4.3076149999999999E-3</v>
      </c>
      <c r="P2575">
        <v>-0.99712940000000005</v>
      </c>
      <c r="Q2575">
        <v>-8.6760729999999994E-3</v>
      </c>
      <c r="R2575">
        <v>-7.5218889999999997E-2</v>
      </c>
      <c r="S2575">
        <v>-2.982605</v>
      </c>
      <c r="T2575">
        <v>-3.0977009999999999E-2</v>
      </c>
      <c r="U2575">
        <v>-0.3411865</v>
      </c>
      <c r="V2575">
        <v>-7.9509850000000007E-2</v>
      </c>
      <c r="W2575">
        <v>6.189132E-3</v>
      </c>
      <c r="X2575">
        <v>0.9968148</v>
      </c>
      <c r="Y2575">
        <v>-0.1179147</v>
      </c>
      <c r="Z2575">
        <v>-1.4701569999999999E-3</v>
      </c>
      <c r="AA2575">
        <v>0.99302259999999998</v>
      </c>
      <c r="AB2575">
        <v>48</v>
      </c>
      <c r="AC2575">
        <v>-111.35769999999999</v>
      </c>
      <c r="AD2575">
        <v>-1.1593639999999901</v>
      </c>
      <c r="AE2575">
        <v>-12.7706</v>
      </c>
      <c r="AF2575">
        <v>-13.248803085924999</v>
      </c>
      <c r="AG2575">
        <v>-1.1593639999999901</v>
      </c>
      <c r="AH2575">
        <v>111.289743336999</v>
      </c>
      <c r="AI2575">
        <v>90.592674062060993</v>
      </c>
      <c r="AJ2575">
        <v>96.788986817308498</v>
      </c>
      <c r="AK2575">
        <v>112.081585820817</v>
      </c>
      <c r="AL2575">
        <v>89.6453865700298</v>
      </c>
      <c r="AM2575">
        <v>94.560480298129093</v>
      </c>
      <c r="AN2575">
        <v>0.999999933550485</v>
      </c>
    </row>
    <row r="2576" spans="1:40" x14ac:dyDescent="0.25">
      <c r="A2576" t="str">
        <f>"20190305134948578"</f>
        <v>20190305134948578</v>
      </c>
      <c r="B2576" t="str">
        <f>"1551764988572978"</f>
        <v>1551764988572978</v>
      </c>
      <c r="C2576" t="s">
        <v>40</v>
      </c>
      <c r="D2576">
        <v>3.654922</v>
      </c>
      <c r="E2576">
        <v>0.4854</v>
      </c>
      <c r="F2576" t="s">
        <v>76</v>
      </c>
      <c r="G2576">
        <v>-512.83370000000002</v>
      </c>
      <c r="H2576">
        <v>25.917629999999999</v>
      </c>
      <c r="I2576">
        <v>267.84710000000001</v>
      </c>
      <c r="J2576">
        <v>-365.23809999999997</v>
      </c>
      <c r="K2576">
        <v>1.109361</v>
      </c>
      <c r="L2576">
        <v>285.46109999999999</v>
      </c>
      <c r="M2576">
        <v>-0.99987999999999999</v>
      </c>
      <c r="N2576">
        <v>-1.4858150000000001E-2</v>
      </c>
      <c r="O2576">
        <v>4.4131459999999997E-3</v>
      </c>
      <c r="P2576">
        <v>-0.99711450000000001</v>
      </c>
      <c r="Q2576">
        <v>-7.9975299999999992E-3</v>
      </c>
      <c r="R2576">
        <v>-7.5489840000000002E-2</v>
      </c>
      <c r="S2576">
        <v>-2.9862060000000001</v>
      </c>
      <c r="T2576">
        <v>0.50107749999999995</v>
      </c>
      <c r="U2576">
        <v>-0.35574339999999999</v>
      </c>
      <c r="V2576">
        <v>-7.988547E-2</v>
      </c>
      <c r="W2576">
        <v>6.8662269999999999E-3</v>
      </c>
      <c r="X2576">
        <v>0.99678040000000001</v>
      </c>
      <c r="Y2576">
        <v>-0.1210837</v>
      </c>
      <c r="Z2576">
        <v>9.9428050000000007E-3</v>
      </c>
      <c r="AA2576">
        <v>0.99259249999999999</v>
      </c>
      <c r="AB2576">
        <v>48</v>
      </c>
      <c r="AC2576">
        <v>-147.59559999999999</v>
      </c>
      <c r="AD2576">
        <v>24.808268999999999</v>
      </c>
      <c r="AE2576">
        <v>-17.613999999999901</v>
      </c>
      <c r="AF2576">
        <v>-17.770268792432098</v>
      </c>
      <c r="AG2576">
        <v>24.808268999999999</v>
      </c>
      <c r="AH2576">
        <v>143.51869477513401</v>
      </c>
      <c r="AI2576">
        <v>80.265807161313703</v>
      </c>
      <c r="AJ2576">
        <v>97.0583529008547</v>
      </c>
      <c r="AK2576">
        <v>146.72712228381599</v>
      </c>
      <c r="AL2576">
        <v>89.606591080309997</v>
      </c>
      <c r="AM2576">
        <v>94.582090825920304</v>
      </c>
      <c r="AN2576">
        <v>0.99999999960724795</v>
      </c>
    </row>
    <row r="2577" spans="1:40" x14ac:dyDescent="0.25">
      <c r="A2577" t="str">
        <f>"20190305134948590"</f>
        <v>20190305134948590</v>
      </c>
      <c r="B2577" t="str">
        <f>"1551764988582738"</f>
        <v>1551764988582738</v>
      </c>
      <c r="C2577" t="s">
        <v>40</v>
      </c>
      <c r="D2577">
        <v>3.6607310000000002</v>
      </c>
      <c r="E2577">
        <v>0.48534899999999997</v>
      </c>
      <c r="F2577" t="s">
        <v>76</v>
      </c>
      <c r="G2577">
        <v>-512.8338</v>
      </c>
      <c r="H2577">
        <v>26.129519999999999</v>
      </c>
      <c r="I2577">
        <v>267.8347</v>
      </c>
      <c r="J2577">
        <v>-365.5052</v>
      </c>
      <c r="K2577">
        <v>1.109364</v>
      </c>
      <c r="L2577">
        <v>285.46230000000003</v>
      </c>
      <c r="M2577">
        <v>-0.99987950000000003</v>
      </c>
      <c r="N2577">
        <v>-1.4856380000000001E-2</v>
      </c>
      <c r="O2577">
        <v>4.5257099999999996E-3</v>
      </c>
      <c r="P2577">
        <v>-0.99713090000000004</v>
      </c>
      <c r="Q2577">
        <v>-7.9792679999999994E-3</v>
      </c>
      <c r="R2577">
        <v>-7.5275480000000006E-2</v>
      </c>
      <c r="S2577">
        <v>-2.9857480000000001</v>
      </c>
      <c r="T2577">
        <v>0.50613949999999996</v>
      </c>
      <c r="U2577">
        <v>-0.35656739999999998</v>
      </c>
      <c r="V2577">
        <v>-7.9783750000000001E-2</v>
      </c>
      <c r="W2577">
        <v>6.8833929999999998E-3</v>
      </c>
      <c r="X2577">
        <v>0.99678840000000002</v>
      </c>
      <c r="Y2577">
        <v>-0.121443</v>
      </c>
      <c r="Z2577">
        <v>1.009966E-2</v>
      </c>
      <c r="AA2577">
        <v>0.99254699999999996</v>
      </c>
      <c r="AB2577">
        <v>48</v>
      </c>
      <c r="AC2577">
        <v>-147.32859999999999</v>
      </c>
      <c r="AD2577">
        <v>25.020156</v>
      </c>
      <c r="AE2577">
        <v>-17.627600000000001</v>
      </c>
      <c r="AF2577">
        <v>-17.788468227223699</v>
      </c>
      <c r="AG2577">
        <v>25.020156</v>
      </c>
      <c r="AH2577">
        <v>143.17627908211799</v>
      </c>
      <c r="AI2577">
        <v>80.161760123314906</v>
      </c>
      <c r="AJ2577">
        <v>97.082234938359605</v>
      </c>
      <c r="AK2577">
        <v>146.43047736019901</v>
      </c>
      <c r="AL2577">
        <v>89.605607506479402</v>
      </c>
      <c r="AM2577">
        <v>94.576244570169393</v>
      </c>
      <c r="AN2577">
        <v>0.99999997111890704</v>
      </c>
    </row>
    <row r="2578" spans="1:40" x14ac:dyDescent="0.25">
      <c r="A2578" t="str">
        <f>"20190305134948610"</f>
        <v>20190305134948610</v>
      </c>
      <c r="B2578" t="str">
        <f>"1551764988603237"</f>
        <v>1551764988603237</v>
      </c>
      <c r="C2578" t="s">
        <v>40</v>
      </c>
      <c r="D2578">
        <v>3.6596359999999999</v>
      </c>
      <c r="E2578">
        <v>0.48521890000000001</v>
      </c>
      <c r="F2578" t="s">
        <v>76</v>
      </c>
      <c r="G2578">
        <v>-512.8338</v>
      </c>
      <c r="H2578">
        <v>26.10857</v>
      </c>
      <c r="I2578">
        <v>267.90769999999998</v>
      </c>
      <c r="J2578">
        <v>-365.92180000000002</v>
      </c>
      <c r="K2578">
        <v>1.1093580000000001</v>
      </c>
      <c r="L2578">
        <v>285.46429999999998</v>
      </c>
      <c r="M2578">
        <v>-0.99987859999999995</v>
      </c>
      <c r="N2578">
        <v>-1.485361E-2</v>
      </c>
      <c r="O2578">
        <v>4.7016430000000001E-3</v>
      </c>
      <c r="P2578">
        <v>-0.99720160000000002</v>
      </c>
      <c r="Q2578">
        <v>-8.1037339999999996E-3</v>
      </c>
      <c r="R2578">
        <v>-7.4319040000000003E-2</v>
      </c>
      <c r="S2578">
        <v>-2.9858699999999998</v>
      </c>
      <c r="T2578">
        <v>0.50665340000000003</v>
      </c>
      <c r="U2578">
        <v>-0.35577389999999998</v>
      </c>
      <c r="V2578">
        <v>-7.9002849999999999E-2</v>
      </c>
      <c r="W2578">
        <v>6.7565569999999998E-3</v>
      </c>
      <c r="X2578">
        <v>0.9968515</v>
      </c>
      <c r="Y2578">
        <v>-0.1213476</v>
      </c>
      <c r="Z2578">
        <v>1.013534E-2</v>
      </c>
      <c r="AA2578">
        <v>0.9925583</v>
      </c>
      <c r="AB2578">
        <v>48</v>
      </c>
      <c r="AC2578">
        <v>-146.91199999999901</v>
      </c>
      <c r="AD2578">
        <v>24.999212</v>
      </c>
      <c r="AE2578">
        <v>-17.5566</v>
      </c>
      <c r="AF2578">
        <v>-17.740742517237798</v>
      </c>
      <c r="AG2578">
        <v>24.999212</v>
      </c>
      <c r="AH2578">
        <v>142.75248626722399</v>
      </c>
      <c r="AI2578">
        <v>80.141264409504203</v>
      </c>
      <c r="AJ2578">
        <v>97.084182408318199</v>
      </c>
      <c r="AK2578">
        <v>146.006735738998</v>
      </c>
      <c r="AL2578">
        <v>89.612874857168293</v>
      </c>
      <c r="AM2578">
        <v>94.531355449332096</v>
      </c>
      <c r="AN2578">
        <v>1.0000000072114299</v>
      </c>
    </row>
    <row r="2579" spans="1:40" x14ac:dyDescent="0.25">
      <c r="A2579" t="str">
        <f>"20190305134948621"</f>
        <v>20190305134948621</v>
      </c>
      <c r="B2579" t="str">
        <f>"1551764988612994"</f>
        <v>1551764988612994</v>
      </c>
      <c r="C2579" t="s">
        <v>40</v>
      </c>
      <c r="D2579">
        <v>3.6157879999999998</v>
      </c>
      <c r="E2579">
        <v>0.48511979999999999</v>
      </c>
      <c r="F2579" t="s">
        <v>76</v>
      </c>
      <c r="G2579">
        <v>-512.83389999999997</v>
      </c>
      <c r="H2579">
        <v>26.203130000000002</v>
      </c>
      <c r="I2579">
        <v>268.07080000000002</v>
      </c>
      <c r="J2579">
        <v>-366.17469999999997</v>
      </c>
      <c r="K2579">
        <v>1.1093550000000001</v>
      </c>
      <c r="L2579">
        <v>285.46559999999999</v>
      </c>
      <c r="M2579">
        <v>-0.99987820000000005</v>
      </c>
      <c r="N2579">
        <v>-1.4851929999999999E-2</v>
      </c>
      <c r="O2579">
        <v>4.8082949999999998E-3</v>
      </c>
      <c r="P2579">
        <v>-0.9972491</v>
      </c>
      <c r="Q2579">
        <v>-8.6818680000000006E-3</v>
      </c>
      <c r="R2579">
        <v>-7.3613429999999994E-2</v>
      </c>
      <c r="S2579">
        <v>-2.9861759999999999</v>
      </c>
      <c r="T2579">
        <v>0.51006390000000001</v>
      </c>
      <c r="U2579">
        <v>-0.35354609999999997</v>
      </c>
      <c r="V2579">
        <v>-7.8404230000000005E-2</v>
      </c>
      <c r="W2579">
        <v>6.1776879999999998E-3</v>
      </c>
      <c r="X2579">
        <v>0.99690250000000002</v>
      </c>
      <c r="Y2579">
        <v>-0.12069530000000001</v>
      </c>
      <c r="Z2579">
        <v>1.017697E-2</v>
      </c>
      <c r="AA2579">
        <v>0.99263749999999995</v>
      </c>
      <c r="AB2579">
        <v>48</v>
      </c>
      <c r="AC2579">
        <v>-146.6592</v>
      </c>
      <c r="AD2579">
        <v>25.093775000000001</v>
      </c>
      <c r="AE2579">
        <v>-17.394799999999901</v>
      </c>
      <c r="AF2579">
        <v>-17.591977305602601</v>
      </c>
      <c r="AG2579">
        <v>25.093775000000001</v>
      </c>
      <c r="AH2579">
        <v>142.46100938076401</v>
      </c>
      <c r="AI2579">
        <v>80.083926919916706</v>
      </c>
      <c r="AJ2579">
        <v>97.039603932035206</v>
      </c>
      <c r="AK2579">
        <v>145.719986285538</v>
      </c>
      <c r="AL2579">
        <v>89.646042295776695</v>
      </c>
      <c r="AM2579">
        <v>94.496932740580405</v>
      </c>
      <c r="AN2579">
        <v>0.99999999080858404</v>
      </c>
    </row>
    <row r="2580" spans="1:40" x14ac:dyDescent="0.25">
      <c r="A2580" t="str">
        <f>"20190305134948635"</f>
        <v>20190305134948635</v>
      </c>
      <c r="B2580" t="str">
        <f>"1551764988623730"</f>
        <v>1551764988623730</v>
      </c>
      <c r="C2580" t="s">
        <v>40</v>
      </c>
      <c r="D2580">
        <v>3.6144919999999998</v>
      </c>
      <c r="E2580">
        <v>0.48513489999999998</v>
      </c>
      <c r="F2580" t="s">
        <v>76</v>
      </c>
      <c r="G2580">
        <v>-512.8338</v>
      </c>
      <c r="H2580">
        <v>26.068069999999999</v>
      </c>
      <c r="I2580">
        <v>268.15159999999997</v>
      </c>
      <c r="J2580">
        <v>-366.46820000000002</v>
      </c>
      <c r="K2580">
        <v>1.1093519999999999</v>
      </c>
      <c r="L2580">
        <v>285.46699999999998</v>
      </c>
      <c r="M2580">
        <v>-0.99987769999999998</v>
      </c>
      <c r="N2580">
        <v>-1.484998E-2</v>
      </c>
      <c r="O2580">
        <v>4.9322940000000003E-3</v>
      </c>
      <c r="P2580">
        <v>-0.99726530000000002</v>
      </c>
      <c r="Q2580">
        <v>-9.1579810000000008E-3</v>
      </c>
      <c r="R2580">
        <v>-7.3336650000000003E-2</v>
      </c>
      <c r="S2580">
        <v>-2.9867249999999999</v>
      </c>
      <c r="T2580">
        <v>0.50828700000000004</v>
      </c>
      <c r="U2580">
        <v>-0.35260010000000003</v>
      </c>
      <c r="V2580">
        <v>-7.8251370000000001E-2</v>
      </c>
      <c r="W2580">
        <v>5.6989519999999898E-3</v>
      </c>
      <c r="X2580">
        <v>0.99691739999999995</v>
      </c>
      <c r="Y2580">
        <v>-0.12049989999999999</v>
      </c>
      <c r="Z2580">
        <v>1.014526E-2</v>
      </c>
      <c r="AA2580">
        <v>0.99266149999999997</v>
      </c>
      <c r="AB2580">
        <v>48</v>
      </c>
      <c r="AC2580">
        <v>-146.36559999999901</v>
      </c>
      <c r="AD2580">
        <v>24.958718000000001</v>
      </c>
      <c r="AE2580">
        <v>-17.3154</v>
      </c>
      <c r="AF2580">
        <v>-17.5343579546321</v>
      </c>
      <c r="AG2580">
        <v>24.958718000000001</v>
      </c>
      <c r="AH2580">
        <v>142.200550165339</v>
      </c>
      <c r="AI2580">
        <v>80.118323399436804</v>
      </c>
      <c r="AJ2580">
        <v>97.029500890139204</v>
      </c>
      <c r="AK2580">
        <v>145.43516693155701</v>
      </c>
      <c r="AL2580">
        <v>89.673472344607603</v>
      </c>
      <c r="AM2580">
        <v>94.4881343914724</v>
      </c>
      <c r="AN2580">
        <v>1.0000000286917601</v>
      </c>
    </row>
    <row r="2581" spans="1:40" x14ac:dyDescent="0.25">
      <c r="A2581" t="str">
        <f>"20190305134948653"</f>
        <v>20190305134948653</v>
      </c>
      <c r="B2581" t="str">
        <f>"1551764988643250"</f>
        <v>1551764988643250</v>
      </c>
      <c r="C2581" t="s">
        <v>40</v>
      </c>
      <c r="D2581">
        <v>3.640504</v>
      </c>
      <c r="E2581">
        <v>0.485153</v>
      </c>
      <c r="F2581" t="s">
        <v>76</v>
      </c>
      <c r="G2581">
        <v>-512.83370000000002</v>
      </c>
      <c r="H2581">
        <v>25.919720000000002</v>
      </c>
      <c r="I2581">
        <v>268.22800000000001</v>
      </c>
      <c r="J2581">
        <v>-366.86110000000002</v>
      </c>
      <c r="K2581">
        <v>1.1093390000000001</v>
      </c>
      <c r="L2581">
        <v>285.46910000000003</v>
      </c>
      <c r="M2581">
        <v>-0.99987689999999996</v>
      </c>
      <c r="N2581">
        <v>-1.484737E-2</v>
      </c>
      <c r="O2581">
        <v>5.098259E-3</v>
      </c>
      <c r="P2581">
        <v>-0.99723649999999997</v>
      </c>
      <c r="Q2581">
        <v>-1.1430940000000001E-2</v>
      </c>
      <c r="R2581">
        <v>-7.341019E-2</v>
      </c>
      <c r="S2581">
        <v>-2.9869690000000002</v>
      </c>
      <c r="T2581">
        <v>0.50632060000000001</v>
      </c>
      <c r="U2581">
        <v>-0.35180660000000002</v>
      </c>
      <c r="V2581">
        <v>-7.8491770000000002E-2</v>
      </c>
      <c r="W2581">
        <v>3.423986E-3</v>
      </c>
      <c r="X2581">
        <v>0.99690889999999999</v>
      </c>
      <c r="Y2581">
        <v>-0.12040679999999999</v>
      </c>
      <c r="Z2581">
        <v>1.0126059999999999E-2</v>
      </c>
      <c r="AA2581">
        <v>0.99267300000000003</v>
      </c>
      <c r="AB2581">
        <v>48</v>
      </c>
      <c r="AC2581">
        <v>-145.9726</v>
      </c>
      <c r="AD2581">
        <v>24.810381</v>
      </c>
      <c r="AE2581">
        <v>-17.241099999999999</v>
      </c>
      <c r="AF2581">
        <v>-17.486943704145801</v>
      </c>
      <c r="AG2581">
        <v>24.810381</v>
      </c>
      <c r="AH2581">
        <v>141.84158672905801</v>
      </c>
      <c r="AI2581">
        <v>80.151503459948501</v>
      </c>
      <c r="AJ2581">
        <v>97.028246945986595</v>
      </c>
      <c r="AK2581">
        <v>145.05303833871901</v>
      </c>
      <c r="AL2581">
        <v>89.803819673344805</v>
      </c>
      <c r="AM2581">
        <v>94.501904250761598</v>
      </c>
      <c r="AN2581">
        <v>1.00000001826853</v>
      </c>
    </row>
    <row r="2582" spans="1:40" x14ac:dyDescent="0.25">
      <c r="A2582" t="str">
        <f>"20190305134948666"</f>
        <v>20190305134948666</v>
      </c>
      <c r="B2582" t="str">
        <f>"1551764988662770"</f>
        <v>1551764988662770</v>
      </c>
      <c r="C2582" t="s">
        <v>40</v>
      </c>
      <c r="D2582">
        <v>3.607955</v>
      </c>
      <c r="E2582">
        <v>0.4850082</v>
      </c>
      <c r="F2582" t="s">
        <v>76</v>
      </c>
      <c r="G2582">
        <v>-512.83360000000005</v>
      </c>
      <c r="H2582">
        <v>25.485499999999998</v>
      </c>
      <c r="I2582">
        <v>268.26209999999998</v>
      </c>
      <c r="J2582">
        <v>-367.1463</v>
      </c>
      <c r="K2582">
        <v>1.1093329999999999</v>
      </c>
      <c r="L2582">
        <v>285.47059999999999</v>
      </c>
      <c r="M2582">
        <v>-0.99987630000000005</v>
      </c>
      <c r="N2582">
        <v>-1.4845479999999999E-2</v>
      </c>
      <c r="O2582">
        <v>5.2188549999999997E-3</v>
      </c>
      <c r="P2582">
        <v>-0.99721649999999995</v>
      </c>
      <c r="Q2582">
        <v>-1.2712879999999999E-2</v>
      </c>
      <c r="R2582">
        <v>-7.3471289999999995E-2</v>
      </c>
      <c r="S2582">
        <v>-2.9881289999999998</v>
      </c>
      <c r="T2582">
        <v>0.49899290000000002</v>
      </c>
      <c r="U2582">
        <v>-0.35223389999999999</v>
      </c>
      <c r="V2582">
        <v>-7.8674129999999995E-2</v>
      </c>
      <c r="W2582">
        <v>2.140346E-3</v>
      </c>
      <c r="X2582">
        <v>0.99689810000000001</v>
      </c>
      <c r="Y2582">
        <v>-0.1206662</v>
      </c>
      <c r="Z2582">
        <v>1.000699E-2</v>
      </c>
      <c r="AA2582">
        <v>0.99264269999999999</v>
      </c>
      <c r="AB2582">
        <v>48</v>
      </c>
      <c r="AC2582">
        <v>-145.68729999999999</v>
      </c>
      <c r="AD2582">
        <v>24.376166999999999</v>
      </c>
      <c r="AE2582">
        <v>-17.208500000000001</v>
      </c>
      <c r="AF2582">
        <v>-17.485881067801198</v>
      </c>
      <c r="AG2582">
        <v>24.376166999999999</v>
      </c>
      <c r="AH2582">
        <v>141.68358128418399</v>
      </c>
      <c r="AI2582">
        <v>80.310136234005498</v>
      </c>
      <c r="AJ2582">
        <v>97.035583050312695</v>
      </c>
      <c r="AK2582">
        <v>144.82468974536499</v>
      </c>
      <c r="AL2582">
        <v>89.877367115194403</v>
      </c>
      <c r="AM2582">
        <v>94.512369067220405</v>
      </c>
      <c r="AN2582">
        <v>1.0000000107979301</v>
      </c>
    </row>
    <row r="2583" spans="1:40" x14ac:dyDescent="0.25">
      <c r="A2583" t="str">
        <f>"20190305134948678"</f>
        <v>20190305134948678</v>
      </c>
      <c r="B2583" t="str">
        <f>"1551764988673506"</f>
        <v>1551764988673506</v>
      </c>
      <c r="C2583" t="s">
        <v>40</v>
      </c>
      <c r="D2583">
        <v>3.5965539999999998</v>
      </c>
      <c r="E2583">
        <v>0.48491669999999998</v>
      </c>
      <c r="F2583" t="s">
        <v>76</v>
      </c>
      <c r="G2583">
        <v>-512.83349999999996</v>
      </c>
      <c r="H2583">
        <v>25.209009999999999</v>
      </c>
      <c r="I2583">
        <v>268.23320000000001</v>
      </c>
      <c r="J2583">
        <v>-367.39299999999997</v>
      </c>
      <c r="K2583">
        <v>1.1093329999999999</v>
      </c>
      <c r="L2583">
        <v>285.47199999999998</v>
      </c>
      <c r="M2583">
        <v>-0.99987579999999998</v>
      </c>
      <c r="N2583">
        <v>-1.4843780000000001E-2</v>
      </c>
      <c r="O2583">
        <v>5.3232949999999996E-3</v>
      </c>
      <c r="P2583">
        <v>-0.99721020000000005</v>
      </c>
      <c r="Q2583">
        <v>-1.337756E-2</v>
      </c>
      <c r="R2583">
        <v>-7.3437820000000001E-2</v>
      </c>
      <c r="S2583">
        <v>-2.9886170000000001</v>
      </c>
      <c r="T2583">
        <v>0.49437989999999998</v>
      </c>
      <c r="U2583">
        <v>-0.35360720000000001</v>
      </c>
      <c r="V2583">
        <v>-7.874457E-2</v>
      </c>
      <c r="W2583">
        <v>1.473252E-3</v>
      </c>
      <c r="X2583">
        <v>0.99689380000000005</v>
      </c>
      <c r="Y2583">
        <v>-0.1212232</v>
      </c>
      <c r="Z2583">
        <v>9.9664119999999991E-3</v>
      </c>
      <c r="AA2583">
        <v>0.99257519999999999</v>
      </c>
      <c r="AB2583">
        <v>48</v>
      </c>
      <c r="AC2583">
        <v>-145.44049999999899</v>
      </c>
      <c r="AD2583">
        <v>24.099677</v>
      </c>
      <c r="AE2583">
        <v>-17.238799999999902</v>
      </c>
      <c r="AF2583">
        <v>-17.537995719462302</v>
      </c>
      <c r="AG2583">
        <v>24.099677</v>
      </c>
      <c r="AH2583">
        <v>141.514929963361</v>
      </c>
      <c r="AI2583">
        <v>80.407379298276894</v>
      </c>
      <c r="AJ2583">
        <v>97.064665230001097</v>
      </c>
      <c r="AK2583">
        <v>144.619677526591</v>
      </c>
      <c r="AL2583">
        <v>89.915588853033995</v>
      </c>
      <c r="AM2583">
        <v>94.516411859368603</v>
      </c>
      <c r="AN2583">
        <v>1.0000000631271799</v>
      </c>
    </row>
    <row r="2584" spans="1:40" x14ac:dyDescent="0.25">
      <c r="A2584" t="str">
        <f>"20190305134948690"</f>
        <v>20190305134948690</v>
      </c>
      <c r="B2584" t="str">
        <f>"1551764988683266"</f>
        <v>1551764988683266</v>
      </c>
      <c r="C2584" t="s">
        <v>40</v>
      </c>
      <c r="D2584">
        <v>3.5774650000000001</v>
      </c>
      <c r="E2584">
        <v>0.48486849999999998</v>
      </c>
      <c r="F2584" t="s">
        <v>76</v>
      </c>
      <c r="G2584">
        <v>-512.83349999999996</v>
      </c>
      <c r="H2584">
        <v>25.06362</v>
      </c>
      <c r="I2584">
        <v>268.23430000000002</v>
      </c>
      <c r="J2584">
        <v>-367.64729999999997</v>
      </c>
      <c r="K2584">
        <v>1.1093329999999999</v>
      </c>
      <c r="L2584">
        <v>285.47340000000003</v>
      </c>
      <c r="M2584">
        <v>-0.99987510000000002</v>
      </c>
      <c r="N2584">
        <v>-1.4841999999999999E-2</v>
      </c>
      <c r="O2584">
        <v>5.4308940000000003E-3</v>
      </c>
      <c r="P2584">
        <v>-0.99720209999999998</v>
      </c>
      <c r="Q2584">
        <v>-1.3613480000000001E-2</v>
      </c>
      <c r="R2584">
        <v>-7.3504440000000004E-2</v>
      </c>
      <c r="S2584">
        <v>-2.9889220000000001</v>
      </c>
      <c r="T2584">
        <v>0.49228129999999998</v>
      </c>
      <c r="U2584">
        <v>-0.35424800000000001</v>
      </c>
      <c r="V2584">
        <v>-7.8919050000000004E-2</v>
      </c>
      <c r="W2584">
        <v>1.2357869999999999E-3</v>
      </c>
      <c r="X2584">
        <v>0.99688019999999999</v>
      </c>
      <c r="Y2584">
        <v>-0.12153650000000001</v>
      </c>
      <c r="Z2584">
        <v>9.9624420000000002E-3</v>
      </c>
      <c r="AA2584">
        <v>0.992537</v>
      </c>
      <c r="AB2584">
        <v>48</v>
      </c>
      <c r="AC2584">
        <v>-145.18620000000001</v>
      </c>
      <c r="AD2584">
        <v>23.954287000000001</v>
      </c>
      <c r="AE2584">
        <v>-17.239100000000001</v>
      </c>
      <c r="AF2584">
        <v>-17.556158535198701</v>
      </c>
      <c r="AG2584">
        <v>23.954287000000001</v>
      </c>
      <c r="AH2584">
        <v>141.29753489570101</v>
      </c>
      <c r="AI2584">
        <v>80.450148644619901</v>
      </c>
      <c r="AJ2584">
        <v>97.082677691073798</v>
      </c>
      <c r="AK2584">
        <v>144.38497129477599</v>
      </c>
      <c r="AL2584">
        <v>89.929194598138295</v>
      </c>
      <c r="AM2584">
        <v>94.526439152520595</v>
      </c>
      <c r="AN2584">
        <v>0.99999993838722401</v>
      </c>
    </row>
    <row r="2585" spans="1:40" x14ac:dyDescent="0.25">
      <c r="A2585" t="str">
        <f>"20190305134948700"</f>
        <v>20190305134948700</v>
      </c>
      <c r="B2585" t="str">
        <f>"1551764988693026"</f>
        <v>1551764988693026</v>
      </c>
      <c r="C2585" t="s">
        <v>40</v>
      </c>
      <c r="D2585">
        <v>3.607523</v>
      </c>
      <c r="E2585">
        <v>0.4849638</v>
      </c>
      <c r="F2585" t="s">
        <v>76</v>
      </c>
      <c r="G2585">
        <v>-512.83339999999998</v>
      </c>
      <c r="H2585">
        <v>24.997779999999999</v>
      </c>
      <c r="I2585">
        <v>268.22899999999998</v>
      </c>
      <c r="J2585">
        <v>-367.88720000000001</v>
      </c>
      <c r="K2585">
        <v>1.109335</v>
      </c>
      <c r="L2585">
        <v>285.47480000000002</v>
      </c>
      <c r="M2585">
        <v>-0.99987479999999995</v>
      </c>
      <c r="N2585">
        <v>-1.484042E-2</v>
      </c>
      <c r="O2585">
        <v>5.5324709999999997E-3</v>
      </c>
      <c r="P2585">
        <v>-0.99720960000000003</v>
      </c>
      <c r="Q2585">
        <v>-1.314912E-2</v>
      </c>
      <c r="R2585">
        <v>-7.3487070000000002E-2</v>
      </c>
      <c r="S2585">
        <v>-2.988953</v>
      </c>
      <c r="T2585">
        <v>0.49179299999999998</v>
      </c>
      <c r="U2585">
        <v>-0.35501100000000002</v>
      </c>
      <c r="V2585">
        <v>-7.9002660000000002E-2</v>
      </c>
      <c r="W2585">
        <v>1.6987949999999999E-3</v>
      </c>
      <c r="X2585">
        <v>0.99687300000000001</v>
      </c>
      <c r="Y2585">
        <v>-0.12188350000000001</v>
      </c>
      <c r="Z2585">
        <v>9.995393E-3</v>
      </c>
      <c r="AA2585">
        <v>0.99249410000000005</v>
      </c>
      <c r="AB2585">
        <v>48</v>
      </c>
      <c r="AC2585">
        <v>-144.94619999999901</v>
      </c>
      <c r="AD2585">
        <v>23.888445000000001</v>
      </c>
      <c r="AE2585">
        <v>-17.2457999999999</v>
      </c>
      <c r="AF2585">
        <v>-17.576778181429301</v>
      </c>
      <c r="AG2585">
        <v>23.888445000000001</v>
      </c>
      <c r="AH2585">
        <v>141.070291217593</v>
      </c>
      <c r="AI2585">
        <v>80.461253481515996</v>
      </c>
      <c r="AJ2585">
        <v>97.102217508846906</v>
      </c>
      <c r="AK2585">
        <v>144.15418134751999</v>
      </c>
      <c r="AL2585">
        <v>89.902666173529596</v>
      </c>
      <c r="AM2585">
        <v>94.531247274397003</v>
      </c>
      <c r="AN2585">
        <v>1.0000000421602599</v>
      </c>
    </row>
    <row r="2586" spans="1:40" x14ac:dyDescent="0.25">
      <c r="A2586" t="str">
        <f>"20190305134948712"</f>
        <v>20190305134948712</v>
      </c>
      <c r="B2586" t="str">
        <f>"1551764988702786"</f>
        <v>1551764988702786</v>
      </c>
      <c r="C2586" t="s">
        <v>40</v>
      </c>
      <c r="D2586">
        <v>3.5863529999999999</v>
      </c>
      <c r="E2586">
        <v>0.48492560000000001</v>
      </c>
      <c r="F2586" t="s">
        <v>76</v>
      </c>
      <c r="G2586">
        <v>-512.83349999999996</v>
      </c>
      <c r="H2586">
        <v>25.067589999999999</v>
      </c>
      <c r="I2586">
        <v>268.29790000000003</v>
      </c>
      <c r="J2586">
        <v>-368.1225</v>
      </c>
      <c r="K2586">
        <v>1.1093409999999999</v>
      </c>
      <c r="L2586">
        <v>285.47609999999997</v>
      </c>
      <c r="M2586">
        <v>-0.99987409999999999</v>
      </c>
      <c r="N2586">
        <v>-1.4838870000000001E-2</v>
      </c>
      <c r="O2586">
        <v>5.6324959999999999E-3</v>
      </c>
      <c r="P2586">
        <v>-0.99721070000000001</v>
      </c>
      <c r="Q2586">
        <v>-1.297687E-2</v>
      </c>
      <c r="R2586">
        <v>-7.3500679999999999E-2</v>
      </c>
      <c r="S2586">
        <v>-2.9887999999999999</v>
      </c>
      <c r="T2586">
        <v>0.4940214</v>
      </c>
      <c r="U2586">
        <v>-0.35418699999999997</v>
      </c>
      <c r="V2586">
        <v>-7.9115770000000002E-2</v>
      </c>
      <c r="W2586">
        <v>1.869026E-3</v>
      </c>
      <c r="X2586">
        <v>0.99686370000000002</v>
      </c>
      <c r="Y2586">
        <v>-0.1217046</v>
      </c>
      <c r="Z2586">
        <v>1.004911E-2</v>
      </c>
      <c r="AA2586">
        <v>0.99251549999999999</v>
      </c>
      <c r="AB2586">
        <v>48</v>
      </c>
      <c r="AC2586">
        <v>-144.71099999999899</v>
      </c>
      <c r="AD2586">
        <v>23.958248999999999</v>
      </c>
      <c r="AE2586">
        <v>-17.178199999999901</v>
      </c>
      <c r="AF2586">
        <v>-17.519564945777098</v>
      </c>
      <c r="AG2586">
        <v>23.958248999999999</v>
      </c>
      <c r="AH2586">
        <v>140.80608934810101</v>
      </c>
      <c r="AI2586">
        <v>80.416079111581695</v>
      </c>
      <c r="AJ2586">
        <v>97.092482577064899</v>
      </c>
      <c r="AK2586">
        <v>143.90026980009699</v>
      </c>
      <c r="AL2586">
        <v>89.8929126379103</v>
      </c>
      <c r="AM2586">
        <v>94.537749851782806</v>
      </c>
      <c r="AN2586">
        <v>1.00000001734928</v>
      </c>
    </row>
    <row r="2587" spans="1:40" x14ac:dyDescent="0.25">
      <c r="A2587" t="str">
        <f>"20190305134948725"</f>
        <v>20190305134948725</v>
      </c>
      <c r="B2587" t="str">
        <f>"1551764988713522"</f>
        <v>1551764988713522</v>
      </c>
      <c r="C2587" t="s">
        <v>40</v>
      </c>
      <c r="D2587">
        <v>3.5782609999999999</v>
      </c>
      <c r="E2587">
        <v>0.48493599999999998</v>
      </c>
      <c r="F2587" t="s">
        <v>76</v>
      </c>
      <c r="G2587">
        <v>-512.83349999999996</v>
      </c>
      <c r="H2587">
        <v>25.08595</v>
      </c>
      <c r="I2587">
        <v>268.29079999999999</v>
      </c>
      <c r="J2587">
        <v>-368.40309999999999</v>
      </c>
      <c r="K2587">
        <v>1.1093420000000001</v>
      </c>
      <c r="L2587">
        <v>285.4778</v>
      </c>
      <c r="M2587">
        <v>-0.99987349999999997</v>
      </c>
      <c r="N2587">
        <v>-1.4837009999999999E-2</v>
      </c>
      <c r="O2587">
        <v>5.7511790000000004E-3</v>
      </c>
      <c r="P2587">
        <v>-0.99723949999999995</v>
      </c>
      <c r="Q2587">
        <v>-1.199384E-2</v>
      </c>
      <c r="R2587">
        <v>-7.327939E-2</v>
      </c>
      <c r="S2587">
        <v>-2.9886469999999998</v>
      </c>
      <c r="T2587">
        <v>0.49517830000000002</v>
      </c>
      <c r="U2587">
        <v>-0.3549194</v>
      </c>
      <c r="V2587">
        <v>-7.9011949999999997E-2</v>
      </c>
      <c r="W2587">
        <v>2.8508309999999999E-3</v>
      </c>
      <c r="X2587">
        <v>0.99686960000000002</v>
      </c>
      <c r="Y2587">
        <v>-0.1220542</v>
      </c>
      <c r="Z2587">
        <v>1.0121959999999999E-2</v>
      </c>
      <c r="AA2587">
        <v>0.99247180000000002</v>
      </c>
      <c r="AB2587">
        <v>48</v>
      </c>
      <c r="AC2587">
        <v>-144.430399999999</v>
      </c>
      <c r="AD2587">
        <v>23.976607999999999</v>
      </c>
      <c r="AE2587">
        <v>-17.187000000000001</v>
      </c>
      <c r="AF2587">
        <v>-17.540800676337099</v>
      </c>
      <c r="AG2587">
        <v>23.976607999999999</v>
      </c>
      <c r="AH2587">
        <v>140.510928658735</v>
      </c>
      <c r="AI2587">
        <v>80.389576928291604</v>
      </c>
      <c r="AJ2587">
        <v>97.115755537925594</v>
      </c>
      <c r="AK2587">
        <v>143.617124647769</v>
      </c>
      <c r="AL2587">
        <v>89.836659195558397</v>
      </c>
      <c r="AM2587">
        <v>94.531793280900203</v>
      </c>
      <c r="AN2587">
        <v>1.00000000744217</v>
      </c>
    </row>
    <row r="2588" spans="1:40" x14ac:dyDescent="0.25">
      <c r="A2588" t="str">
        <f>"20190305134948737"</f>
        <v>20190305134948737</v>
      </c>
      <c r="B2588" t="str">
        <f>"1551764988733042"</f>
        <v>1551764988733042</v>
      </c>
      <c r="C2588" t="s">
        <v>40</v>
      </c>
      <c r="D2588">
        <v>3.5815619999999999</v>
      </c>
      <c r="E2588">
        <v>0.4848538</v>
      </c>
      <c r="F2588" t="s">
        <v>76</v>
      </c>
      <c r="G2588">
        <v>-512.83349999999996</v>
      </c>
      <c r="H2588">
        <v>25.21508</v>
      </c>
      <c r="I2588">
        <v>268.3621</v>
      </c>
      <c r="J2588">
        <v>-368.67899999999997</v>
      </c>
      <c r="K2588">
        <v>1.1093459999999999</v>
      </c>
      <c r="L2588">
        <v>285.47949999999997</v>
      </c>
      <c r="M2588">
        <v>-0.99987289999999995</v>
      </c>
      <c r="N2588">
        <v>-1.483518E-2</v>
      </c>
      <c r="O2588">
        <v>5.8683709999999998E-3</v>
      </c>
      <c r="P2588">
        <v>-0.99724330000000005</v>
      </c>
      <c r="Q2588">
        <v>-1.1550080000000001E-2</v>
      </c>
      <c r="R2588">
        <v>-7.3300530000000003E-2</v>
      </c>
      <c r="S2588">
        <v>-2.9882810000000002</v>
      </c>
      <c r="T2588">
        <v>0.49875120000000001</v>
      </c>
      <c r="U2588">
        <v>-0.354126</v>
      </c>
      <c r="V2588">
        <v>-7.9149689999999995E-2</v>
      </c>
      <c r="W2588">
        <v>3.2928559999999998E-3</v>
      </c>
      <c r="X2588">
        <v>0.99685729999999995</v>
      </c>
      <c r="Y2588">
        <v>-0.1219007</v>
      </c>
      <c r="Z2588">
        <v>1.021098E-2</v>
      </c>
      <c r="AA2588">
        <v>0.99248979999999998</v>
      </c>
      <c r="AB2588">
        <v>48</v>
      </c>
      <c r="AC2588">
        <v>-144.15449999999899</v>
      </c>
      <c r="AD2588">
        <v>24.105733999999899</v>
      </c>
      <c r="AE2588">
        <v>-17.1173999999999</v>
      </c>
      <c r="AF2588">
        <v>-17.481121622889699</v>
      </c>
      <c r="AG2588">
        <v>24.105733999999899</v>
      </c>
      <c r="AH2588">
        <v>140.18603188069099</v>
      </c>
      <c r="AI2588">
        <v>80.316666302743002</v>
      </c>
      <c r="AJ2588">
        <v>97.108060623743398</v>
      </c>
      <c r="AK2588">
        <v>143.31364052080701</v>
      </c>
      <c r="AL2588">
        <v>89.811332907034199</v>
      </c>
      <c r="AM2588">
        <v>94.539716254576803</v>
      </c>
      <c r="AN2588">
        <v>0.99999999644551096</v>
      </c>
    </row>
    <row r="2589" spans="1:40" x14ac:dyDescent="0.25">
      <c r="A2589" t="str">
        <f>"20190305134948750"</f>
        <v>20190305134948750</v>
      </c>
      <c r="B2589" t="str">
        <f>"1551764988742802"</f>
        <v>1551764988742802</v>
      </c>
      <c r="C2589" t="s">
        <v>40</v>
      </c>
      <c r="D2589">
        <v>3.6056689999999998</v>
      </c>
      <c r="E2589">
        <v>0.48479309999999998</v>
      </c>
      <c r="F2589" t="s">
        <v>76</v>
      </c>
      <c r="G2589">
        <v>-512.83360000000005</v>
      </c>
      <c r="H2589">
        <v>25.26549</v>
      </c>
      <c r="I2589">
        <v>268.35660000000001</v>
      </c>
      <c r="J2589">
        <v>-368.94139999999999</v>
      </c>
      <c r="K2589">
        <v>1.1093420000000001</v>
      </c>
      <c r="L2589">
        <v>285.48110000000003</v>
      </c>
      <c r="M2589">
        <v>-0.99987210000000004</v>
      </c>
      <c r="N2589">
        <v>-1.483344E-2</v>
      </c>
      <c r="O2589">
        <v>5.9797799999999996E-3</v>
      </c>
      <c r="P2589">
        <v>-0.99725580000000003</v>
      </c>
      <c r="Q2589">
        <v>-1.134481E-2</v>
      </c>
      <c r="R2589">
        <v>-7.3158680000000004E-2</v>
      </c>
      <c r="S2589">
        <v>-2.9880070000000001</v>
      </c>
      <c r="T2589">
        <v>0.50070439999999905</v>
      </c>
      <c r="U2589">
        <v>-0.3549194</v>
      </c>
      <c r="V2589">
        <v>-7.9119220000000004E-2</v>
      </c>
      <c r="W2589">
        <v>3.4964649999999998E-3</v>
      </c>
      <c r="X2589">
        <v>0.99685900000000005</v>
      </c>
      <c r="Y2589">
        <v>-0.1222622</v>
      </c>
      <c r="Z2589">
        <v>1.0301859999999999E-2</v>
      </c>
      <c r="AA2589">
        <v>0.9924444</v>
      </c>
      <c r="AB2589">
        <v>48</v>
      </c>
      <c r="AC2589">
        <v>-143.8922</v>
      </c>
      <c r="AD2589">
        <v>24.156148000000002</v>
      </c>
      <c r="AE2589">
        <v>-17.124500000000001</v>
      </c>
      <c r="AF2589">
        <v>-17.498467130852401</v>
      </c>
      <c r="AG2589">
        <v>24.156148000000002</v>
      </c>
      <c r="AH2589">
        <v>139.89954546647499</v>
      </c>
      <c r="AI2589">
        <v>80.277753024821493</v>
      </c>
      <c r="AJ2589">
        <v>97.129461697991999</v>
      </c>
      <c r="AK2589">
        <v>143.044044475307</v>
      </c>
      <c r="AL2589">
        <v>89.799666898298298</v>
      </c>
      <c r="AM2589">
        <v>94.537968209085605</v>
      </c>
      <c r="AN2589">
        <v>0.99999997106095195</v>
      </c>
    </row>
    <row r="2590" spans="1:40" x14ac:dyDescent="0.25">
      <c r="A2590" t="str">
        <f>"20190305134948765"</f>
        <v>20190305134948765</v>
      </c>
      <c r="B2590" t="str">
        <f>"1551764988753538"</f>
        <v>1551764988753538</v>
      </c>
      <c r="C2590" t="s">
        <v>40</v>
      </c>
      <c r="D2590">
        <v>3.5967950000000002</v>
      </c>
      <c r="E2590">
        <v>0.48474450000000002</v>
      </c>
      <c r="F2590" t="s">
        <v>76</v>
      </c>
      <c r="G2590">
        <v>-512.83360000000005</v>
      </c>
      <c r="H2590">
        <v>25.268719999999998</v>
      </c>
      <c r="I2590">
        <v>268.3947</v>
      </c>
      <c r="J2590">
        <v>-369.25740000000002</v>
      </c>
      <c r="K2590">
        <v>1.1093489999999999</v>
      </c>
      <c r="L2590">
        <v>285.48309999999998</v>
      </c>
      <c r="M2590">
        <v>-0.99987150000000002</v>
      </c>
      <c r="N2590">
        <v>-1.483115E-2</v>
      </c>
      <c r="O2590">
        <v>6.1137819999999999E-3</v>
      </c>
      <c r="P2590">
        <v>-0.99729480000000004</v>
      </c>
      <c r="Q2590">
        <v>-1.121807E-2</v>
      </c>
      <c r="R2590">
        <v>-7.2647240000000002E-2</v>
      </c>
      <c r="S2590">
        <v>-2.9879150000000001</v>
      </c>
      <c r="T2590">
        <v>0.50166959999999905</v>
      </c>
      <c r="U2590">
        <v>-0.35479739999999999</v>
      </c>
      <c r="V2590">
        <v>-7.8741749999999999E-2</v>
      </c>
      <c r="W2590">
        <v>3.6209189999999998E-3</v>
      </c>
      <c r="X2590">
        <v>0.99688849999999996</v>
      </c>
      <c r="Y2590">
        <v>-0.1223489</v>
      </c>
      <c r="Z2590">
        <v>1.035427E-2</v>
      </c>
      <c r="AA2590">
        <v>0.99243309999999996</v>
      </c>
      <c r="AB2590">
        <v>48</v>
      </c>
      <c r="AC2590">
        <v>-143.5762</v>
      </c>
      <c r="AD2590">
        <v>24.159371</v>
      </c>
      <c r="AE2590">
        <v>-17.088399999999901</v>
      </c>
      <c r="AF2590">
        <v>-17.4780048677789</v>
      </c>
      <c r="AG2590">
        <v>24.159371</v>
      </c>
      <c r="AH2590">
        <v>139.572331787222</v>
      </c>
      <c r="AI2590">
        <v>80.254294149309601</v>
      </c>
      <c r="AJ2590">
        <v>97.137733312645906</v>
      </c>
      <c r="AK2590">
        <v>142.722078396428</v>
      </c>
      <c r="AL2590">
        <v>89.792536175770394</v>
      </c>
      <c r="AM2590">
        <v>94.516274698293401</v>
      </c>
      <c r="AN2590">
        <v>1.00000002783985</v>
      </c>
    </row>
    <row r="2591" spans="1:40" x14ac:dyDescent="0.25">
      <c r="A2591" t="str">
        <f>"20190305134948787"</f>
        <v>20190305134948787</v>
      </c>
      <c r="B2591" t="str">
        <f>"1551764988782821"</f>
        <v>1551764988782821</v>
      </c>
      <c r="C2591" t="s">
        <v>40</v>
      </c>
      <c r="D2591">
        <v>3.6180140000000001</v>
      </c>
      <c r="E2591">
        <v>0.48476960000000002</v>
      </c>
      <c r="F2591" t="s">
        <v>76</v>
      </c>
      <c r="G2591">
        <v>-512.83349999999996</v>
      </c>
      <c r="H2591">
        <v>25.233899999999998</v>
      </c>
      <c r="I2591">
        <v>268.49520000000001</v>
      </c>
      <c r="J2591">
        <v>-369.74509999999998</v>
      </c>
      <c r="K2591">
        <v>1.1093569999999999</v>
      </c>
      <c r="L2591">
        <v>285.4862</v>
      </c>
      <c r="M2591">
        <v>-0.99987000000000004</v>
      </c>
      <c r="N2591">
        <v>-1.48278E-2</v>
      </c>
      <c r="O2591">
        <v>6.3209800000000003E-3</v>
      </c>
      <c r="P2591">
        <v>-0.99733320000000003</v>
      </c>
      <c r="Q2591">
        <v>-1.1311430000000001E-2</v>
      </c>
      <c r="R2591">
        <v>-7.2100719999999993E-2</v>
      </c>
      <c r="S2591">
        <v>-2.9880680000000002</v>
      </c>
      <c r="T2591">
        <v>0.50207420000000003</v>
      </c>
      <c r="U2591">
        <v>-0.35354609999999997</v>
      </c>
      <c r="V2591">
        <v>-7.8401910000000005E-2</v>
      </c>
      <c r="W2591">
        <v>3.5245979999999999E-3</v>
      </c>
      <c r="X2591">
        <v>0.99691560000000001</v>
      </c>
      <c r="Y2591">
        <v>-0.1221353</v>
      </c>
      <c r="Z2591">
        <v>1.038442E-2</v>
      </c>
      <c r="AA2591">
        <v>0.99245910000000004</v>
      </c>
      <c r="AB2591">
        <v>48</v>
      </c>
      <c r="AC2591">
        <v>-143.08839999999901</v>
      </c>
      <c r="AD2591">
        <v>24.124542999999999</v>
      </c>
      <c r="AE2591">
        <v>-16.9909999999999</v>
      </c>
      <c r="AF2591">
        <v>-17.407286700534002</v>
      </c>
      <c r="AG2591">
        <v>24.124542999999999</v>
      </c>
      <c r="AH2591">
        <v>139.07967811533899</v>
      </c>
      <c r="AI2591">
        <v>80.234187862194304</v>
      </c>
      <c r="AJ2591">
        <v>97.1340725512635</v>
      </c>
      <c r="AK2591">
        <v>142.22575037559099</v>
      </c>
      <c r="AL2591">
        <v>89.798054991574702</v>
      </c>
      <c r="AM2591">
        <v>94.496741373036102</v>
      </c>
      <c r="AN2591">
        <v>0.99999999790303395</v>
      </c>
    </row>
    <row r="2592" spans="1:40" x14ac:dyDescent="0.25">
      <c r="A2592" t="str">
        <f>"20190305134948802"</f>
        <v>20190305134948802</v>
      </c>
      <c r="B2592" t="str">
        <f>"1551764988793554"</f>
        <v>1551764988793554</v>
      </c>
      <c r="C2592" t="s">
        <v>40</v>
      </c>
      <c r="D2592">
        <v>3.5905269999999998</v>
      </c>
      <c r="E2592">
        <v>0.48475439999999997</v>
      </c>
      <c r="F2592" t="s">
        <v>76</v>
      </c>
      <c r="G2592">
        <v>-512.83349999999996</v>
      </c>
      <c r="H2592">
        <v>25.163589999999999</v>
      </c>
      <c r="I2592">
        <v>268.6318</v>
      </c>
      <c r="J2592">
        <v>-370.05990000000003</v>
      </c>
      <c r="K2592">
        <v>1.109359</v>
      </c>
      <c r="L2592">
        <v>285.48829999999998</v>
      </c>
      <c r="M2592">
        <v>-0.99986929999999996</v>
      </c>
      <c r="N2592">
        <v>-1.482587E-2</v>
      </c>
      <c r="O2592">
        <v>6.4547390000000001E-3</v>
      </c>
      <c r="P2592">
        <v>-0.99734290000000003</v>
      </c>
      <c r="Q2592">
        <v>-1.078199E-2</v>
      </c>
      <c r="R2592">
        <v>-7.2050089999999997E-2</v>
      </c>
      <c r="S2592">
        <v>-2.9882810000000002</v>
      </c>
      <c r="T2592">
        <v>0.50235339999999995</v>
      </c>
      <c r="U2592">
        <v>-0.35198970000000002</v>
      </c>
      <c r="V2592">
        <v>-7.8483990000000003E-2</v>
      </c>
      <c r="W2592">
        <v>4.051977E-3</v>
      </c>
      <c r="X2592">
        <v>0.99690710000000005</v>
      </c>
      <c r="Y2592">
        <v>-0.12175080000000001</v>
      </c>
      <c r="Z2592">
        <v>1.038535E-2</v>
      </c>
      <c r="AA2592">
        <v>0.99250640000000001</v>
      </c>
      <c r="AB2592">
        <v>48</v>
      </c>
      <c r="AC2592">
        <v>-142.77359999999899</v>
      </c>
      <c r="AD2592">
        <v>24.054231000000001</v>
      </c>
      <c r="AE2592">
        <v>-16.856499999999901</v>
      </c>
      <c r="AF2592">
        <v>-17.2936854972465</v>
      </c>
      <c r="AG2592">
        <v>24.054231000000001</v>
      </c>
      <c r="AH2592">
        <v>138.77679943461999</v>
      </c>
      <c r="AI2592">
        <v>80.240618416255401</v>
      </c>
      <c r="AJ2592">
        <v>97.103301763057502</v>
      </c>
      <c r="AK2592">
        <v>141.90376192474801</v>
      </c>
      <c r="AL2592">
        <v>89.767838174777594</v>
      </c>
      <c r="AM2592">
        <v>94.501467956385795</v>
      </c>
      <c r="AN2592">
        <v>0.999999960617168</v>
      </c>
    </row>
    <row r="2593" spans="1:40" x14ac:dyDescent="0.25">
      <c r="A2593" t="str">
        <f>"20190305134948814"</f>
        <v>20190305134948814</v>
      </c>
      <c r="B2593" t="str">
        <f>"1551764988803315"</f>
        <v>1551764988803315</v>
      </c>
      <c r="C2593" t="s">
        <v>40</v>
      </c>
      <c r="D2593">
        <v>3.5838459999999999</v>
      </c>
      <c r="E2593">
        <v>0.48476079999999999</v>
      </c>
      <c r="F2593" t="s">
        <v>76</v>
      </c>
      <c r="G2593">
        <v>-512.83349999999996</v>
      </c>
      <c r="H2593">
        <v>25.214790000000001</v>
      </c>
      <c r="I2593">
        <v>268.67399999999998</v>
      </c>
      <c r="J2593">
        <v>-370.31200000000001</v>
      </c>
      <c r="K2593">
        <v>1.1093660000000001</v>
      </c>
      <c r="L2593">
        <v>285.49</v>
      </c>
      <c r="M2593">
        <v>-0.9998686</v>
      </c>
      <c r="N2593">
        <v>-1.482436E-2</v>
      </c>
      <c r="O2593">
        <v>6.5619709999999998E-3</v>
      </c>
      <c r="P2593">
        <v>-0.99735689999999999</v>
      </c>
      <c r="Q2593">
        <v>-1.0621210000000001E-2</v>
      </c>
      <c r="R2593">
        <v>-7.1879730000000003E-2</v>
      </c>
      <c r="S2593">
        <v>-2.9880369999999998</v>
      </c>
      <c r="T2593">
        <v>0.50449160000000004</v>
      </c>
      <c r="U2593">
        <v>-0.35189819999999999</v>
      </c>
      <c r="V2593">
        <v>-7.8420710000000005E-2</v>
      </c>
      <c r="W2593">
        <v>4.2112390000000003E-3</v>
      </c>
      <c r="X2593">
        <v>0.99691149999999995</v>
      </c>
      <c r="Y2593">
        <v>-0.12181930000000001</v>
      </c>
      <c r="Z2593">
        <v>1.045802E-2</v>
      </c>
      <c r="AA2593">
        <v>0.99249719999999997</v>
      </c>
      <c r="AB2593">
        <v>48</v>
      </c>
      <c r="AC2593">
        <v>-142.5215</v>
      </c>
      <c r="AD2593">
        <v>24.105423999999999</v>
      </c>
      <c r="AE2593">
        <v>-16.815999999999899</v>
      </c>
      <c r="AF2593">
        <v>-17.263879700495099</v>
      </c>
      <c r="AG2593">
        <v>24.105423999999999</v>
      </c>
      <c r="AH2593">
        <v>138.500423416253</v>
      </c>
      <c r="AI2593">
        <v>80.201150878184194</v>
      </c>
      <c r="AJ2593">
        <v>97.105189803324706</v>
      </c>
      <c r="AK2593">
        <v>141.638555114822</v>
      </c>
      <c r="AL2593">
        <v>89.758713075377301</v>
      </c>
      <c r="AM2593">
        <v>94.497833645328697</v>
      </c>
      <c r="AN2593">
        <v>1.0000000405615299</v>
      </c>
    </row>
    <row r="2594" spans="1:40" x14ac:dyDescent="0.25">
      <c r="A2594" t="str">
        <f>"20190305134948825"</f>
        <v>20190305134948825</v>
      </c>
      <c r="B2594" t="str">
        <f>"1551764988822834"</f>
        <v>1551764988822834</v>
      </c>
      <c r="C2594" t="s">
        <v>40</v>
      </c>
      <c r="D2594">
        <v>3.6053199999999999</v>
      </c>
      <c r="E2594">
        <v>0.48474640000000002</v>
      </c>
      <c r="F2594" t="s">
        <v>76</v>
      </c>
      <c r="G2594">
        <v>-512.83349999999996</v>
      </c>
      <c r="H2594">
        <v>25.20609</v>
      </c>
      <c r="I2594">
        <v>268.7328</v>
      </c>
      <c r="J2594">
        <v>-370.56830000000002</v>
      </c>
      <c r="K2594">
        <v>1.1093660000000001</v>
      </c>
      <c r="L2594">
        <v>285.49180000000001</v>
      </c>
      <c r="M2594">
        <v>-0.99986799999999998</v>
      </c>
      <c r="N2594">
        <v>-1.482284E-2</v>
      </c>
      <c r="O2594">
        <v>6.6708720000000004E-3</v>
      </c>
      <c r="P2594">
        <v>-0.99736959999999997</v>
      </c>
      <c r="Q2594">
        <v>-1.0600460000000001E-2</v>
      </c>
      <c r="R2594">
        <v>-7.1705989999999997E-2</v>
      </c>
      <c r="S2594">
        <v>-2.9880070000000001</v>
      </c>
      <c r="T2594">
        <v>0.50519590000000003</v>
      </c>
      <c r="U2594">
        <v>-0.35131839999999998</v>
      </c>
      <c r="V2594">
        <v>-7.8355569999999999E-2</v>
      </c>
      <c r="W2594">
        <v>4.230312E-3</v>
      </c>
      <c r="X2594">
        <v>0.99691649999999998</v>
      </c>
      <c r="Y2594">
        <v>-0.12173299999999999</v>
      </c>
      <c r="Z2594">
        <v>1.0487099999999999E-2</v>
      </c>
      <c r="AA2594">
        <v>0.99250749999999999</v>
      </c>
      <c r="AB2594">
        <v>48</v>
      </c>
      <c r="AC2594">
        <v>-142.265199999999</v>
      </c>
      <c r="AD2594">
        <v>24.096723999999998</v>
      </c>
      <c r="AE2594">
        <v>-16.759</v>
      </c>
      <c r="AF2594">
        <v>-17.220484012755499</v>
      </c>
      <c r="AG2594">
        <v>24.096723999999998</v>
      </c>
      <c r="AH2594">
        <v>138.23855171979301</v>
      </c>
      <c r="AI2594">
        <v>80.186331663888396</v>
      </c>
      <c r="AJ2594">
        <v>97.100800840643998</v>
      </c>
      <c r="AK2594">
        <v>141.375720541936</v>
      </c>
      <c r="AL2594">
        <v>89.757620253315395</v>
      </c>
      <c r="AM2594">
        <v>94.494090392878604</v>
      </c>
      <c r="AN2594">
        <v>0.99999999943094597</v>
      </c>
    </row>
    <row r="2595" spans="1:40" x14ac:dyDescent="0.25">
      <c r="A2595" t="str">
        <f>"20190305134948839"</f>
        <v>20190305134948839</v>
      </c>
      <c r="B2595" t="str">
        <f>"1551764988833570"</f>
        <v>1551764988833570</v>
      </c>
      <c r="C2595" t="s">
        <v>40</v>
      </c>
      <c r="D2595">
        <v>3.5883759999999998</v>
      </c>
      <c r="E2595">
        <v>0.4847862</v>
      </c>
      <c r="F2595" t="s">
        <v>76</v>
      </c>
      <c r="G2595">
        <v>-512.83349999999996</v>
      </c>
      <c r="H2595">
        <v>25.198309999999999</v>
      </c>
      <c r="I2595">
        <v>268.80160000000001</v>
      </c>
      <c r="J2595">
        <v>-370.83819999999997</v>
      </c>
      <c r="K2595">
        <v>1.1093679999999999</v>
      </c>
      <c r="L2595">
        <v>285.49360000000001</v>
      </c>
      <c r="M2595">
        <v>-0.99986719999999896</v>
      </c>
      <c r="N2595">
        <v>-1.482121E-2</v>
      </c>
      <c r="O2595">
        <v>6.785615E-3</v>
      </c>
      <c r="P2595">
        <v>-0.99736060000000004</v>
      </c>
      <c r="Q2595">
        <v>-1.065518E-2</v>
      </c>
      <c r="R2595">
        <v>-7.1823529999999997E-2</v>
      </c>
      <c r="S2595">
        <v>-2.9880979999999999</v>
      </c>
      <c r="T2595">
        <v>0.50595829999999997</v>
      </c>
      <c r="U2595">
        <v>-0.35055540000000002</v>
      </c>
      <c r="V2595">
        <v>-7.8587580000000004E-2</v>
      </c>
      <c r="W2595">
        <v>4.1735690000000002E-3</v>
      </c>
      <c r="X2595">
        <v>0.99689850000000002</v>
      </c>
      <c r="Y2595">
        <v>-0.12158819999999999</v>
      </c>
      <c r="Z2595">
        <v>1.0513689999999999E-2</v>
      </c>
      <c r="AA2595">
        <v>0.99252499999999999</v>
      </c>
      <c r="AB2595">
        <v>48</v>
      </c>
      <c r="AC2595">
        <v>-141.99529999999999</v>
      </c>
      <c r="AD2595">
        <v>24.088941999999999</v>
      </c>
      <c r="AE2595">
        <v>-16.692</v>
      </c>
      <c r="AF2595">
        <v>-17.167893223135302</v>
      </c>
      <c r="AG2595">
        <v>24.088941999999999</v>
      </c>
      <c r="AH2595">
        <v>137.96234576452099</v>
      </c>
      <c r="AI2595">
        <v>80.170025285438598</v>
      </c>
      <c r="AJ2595">
        <v>97.093364464538993</v>
      </c>
      <c r="AK2595">
        <v>141.097918245626</v>
      </c>
      <c r="AL2595">
        <v>89.760871422037994</v>
      </c>
      <c r="AM2595">
        <v>94.507423642352506</v>
      </c>
      <c r="AN2595">
        <v>1.0000000228553501</v>
      </c>
    </row>
    <row r="2596" spans="1:40" x14ac:dyDescent="0.25">
      <c r="A2596" t="str">
        <f>"20190305134948852"</f>
        <v>20190305134948852</v>
      </c>
      <c r="B2596" t="str">
        <f>"1551764988843330"</f>
        <v>1551764988843330</v>
      </c>
      <c r="C2596" t="s">
        <v>40</v>
      </c>
      <c r="D2596">
        <v>3.5807060000000002</v>
      </c>
      <c r="E2596">
        <v>0.48482510000000001</v>
      </c>
      <c r="F2596" t="s">
        <v>76</v>
      </c>
      <c r="G2596">
        <v>-512.83349999999996</v>
      </c>
      <c r="H2596">
        <v>25.163799999999998</v>
      </c>
      <c r="I2596">
        <v>268.81630000000001</v>
      </c>
      <c r="J2596">
        <v>-371.13010000000003</v>
      </c>
      <c r="K2596">
        <v>1.1093660000000001</v>
      </c>
      <c r="L2596">
        <v>285.4957</v>
      </c>
      <c r="M2596">
        <v>-0.99986640000000004</v>
      </c>
      <c r="N2596">
        <v>-1.481944E-2</v>
      </c>
      <c r="O2596">
        <v>6.9099540000000003E-3</v>
      </c>
      <c r="P2596">
        <v>-0.99734560000000005</v>
      </c>
      <c r="Q2596">
        <v>-1.062139E-2</v>
      </c>
      <c r="R2596">
        <v>-7.2034290000000001E-2</v>
      </c>
      <c r="S2596">
        <v>-2.9880979999999999</v>
      </c>
      <c r="T2596">
        <v>0.50619380000000003</v>
      </c>
      <c r="U2596">
        <v>-0.35095209999999999</v>
      </c>
      <c r="V2596">
        <v>-7.892267E-2</v>
      </c>
      <c r="W2596">
        <v>4.2055169999999998E-3</v>
      </c>
      <c r="X2596">
        <v>0.99687190000000003</v>
      </c>
      <c r="Y2596">
        <v>-0.1218347</v>
      </c>
      <c r="Z2596">
        <v>1.0560379999999999E-2</v>
      </c>
      <c r="AA2596">
        <v>0.99249419999999999</v>
      </c>
      <c r="AB2596">
        <v>48</v>
      </c>
      <c r="AC2596">
        <v>-141.70339999999899</v>
      </c>
      <c r="AD2596">
        <v>24.054434000000001</v>
      </c>
      <c r="AE2596">
        <v>-16.679399999999902</v>
      </c>
      <c r="AF2596">
        <v>-17.170260717680399</v>
      </c>
      <c r="AG2596">
        <v>24.054434000000001</v>
      </c>
      <c r="AH2596">
        <v>137.671846368719</v>
      </c>
      <c r="AI2596">
        <v>80.163855068473296</v>
      </c>
      <c r="AJ2596">
        <v>97.109149329116207</v>
      </c>
      <c r="AK2596">
        <v>140.80827720963501</v>
      </c>
      <c r="AL2596">
        <v>89.759040922078995</v>
      </c>
      <c r="AM2596">
        <v>94.526683448863693</v>
      </c>
      <c r="AN2596">
        <v>1.00000002961138</v>
      </c>
    </row>
    <row r="2597" spans="1:40" x14ac:dyDescent="0.25">
      <c r="A2597" t="str">
        <f>"20190305134948865"</f>
        <v>20190305134948865</v>
      </c>
      <c r="B2597" t="str">
        <f>"1551764988853090"</f>
        <v>1551764988853090</v>
      </c>
      <c r="C2597" t="s">
        <v>40</v>
      </c>
      <c r="D2597">
        <v>3.5791110000000002</v>
      </c>
      <c r="E2597">
        <v>0.48477730000000002</v>
      </c>
      <c r="F2597" t="s">
        <v>76</v>
      </c>
      <c r="G2597">
        <v>-512.83349999999996</v>
      </c>
      <c r="H2597">
        <v>25.137219999999999</v>
      </c>
      <c r="I2597">
        <v>268.83350000000002</v>
      </c>
      <c r="J2597">
        <v>-371.40820000000002</v>
      </c>
      <c r="K2597">
        <v>1.1093630000000001</v>
      </c>
      <c r="L2597">
        <v>285.49770000000001</v>
      </c>
      <c r="M2597">
        <v>-0.99986549999999996</v>
      </c>
      <c r="N2597">
        <v>-1.4817749999999999E-2</v>
      </c>
      <c r="O2597">
        <v>7.028393E-3</v>
      </c>
      <c r="P2597">
        <v>-0.99728570000000005</v>
      </c>
      <c r="Q2597">
        <v>-1.132001E-2</v>
      </c>
      <c r="R2597">
        <v>-7.2753380000000006E-2</v>
      </c>
      <c r="S2597">
        <v>-2.9880369999999998</v>
      </c>
      <c r="T2597">
        <v>0.5066659</v>
      </c>
      <c r="U2597">
        <v>-0.35134890000000002</v>
      </c>
      <c r="V2597">
        <v>-7.9759490000000002E-2</v>
      </c>
      <c r="W2597">
        <v>3.5045710000000002E-3</v>
      </c>
      <c r="X2597">
        <v>0.99680800000000003</v>
      </c>
      <c r="Y2597">
        <v>-0.1220763</v>
      </c>
      <c r="Z2597">
        <v>1.061113E-2</v>
      </c>
      <c r="AA2597">
        <v>0.99246400000000001</v>
      </c>
      <c r="AB2597">
        <v>48</v>
      </c>
      <c r="AC2597">
        <v>-141.425299999999</v>
      </c>
      <c r="AD2597">
        <v>24.027857000000001</v>
      </c>
      <c r="AE2597">
        <v>-16.664199999999902</v>
      </c>
      <c r="AF2597">
        <v>-17.1690860353368</v>
      </c>
      <c r="AG2597">
        <v>24.027857000000001</v>
      </c>
      <c r="AH2597">
        <v>137.39308837524399</v>
      </c>
      <c r="AI2597">
        <v>80.155255562532304</v>
      </c>
      <c r="AJ2597">
        <v>97.122942778899798</v>
      </c>
      <c r="AK2597">
        <v>140.531050521189</v>
      </c>
      <c r="AL2597">
        <v>89.799202466392899</v>
      </c>
      <c r="AM2597">
        <v>94.574769397719294</v>
      </c>
      <c r="AN2597">
        <v>1.0000000235634701</v>
      </c>
    </row>
    <row r="2598" spans="1:40" x14ac:dyDescent="0.25">
      <c r="A2598" t="str">
        <f>"20190305134948879"</f>
        <v>20190305134948879</v>
      </c>
      <c r="B2598" t="str">
        <f>"1551764988873586"</f>
        <v>1551764988873586</v>
      </c>
      <c r="C2598" t="s">
        <v>40</v>
      </c>
      <c r="D2598">
        <v>3.6022660000000002</v>
      </c>
      <c r="E2598">
        <v>0.4846915</v>
      </c>
      <c r="F2598" t="s">
        <v>76</v>
      </c>
      <c r="G2598">
        <v>-512.83339999999998</v>
      </c>
      <c r="H2598">
        <v>24.97805</v>
      </c>
      <c r="I2598">
        <v>268.7355</v>
      </c>
      <c r="J2598">
        <v>-371.69060000000002</v>
      </c>
      <c r="K2598">
        <v>1.109359</v>
      </c>
      <c r="L2598">
        <v>285.49979999999999</v>
      </c>
      <c r="M2598">
        <v>-0.9998648</v>
      </c>
      <c r="N2598">
        <v>-1.481593E-2</v>
      </c>
      <c r="O2598">
        <v>7.1485000000000003E-3</v>
      </c>
      <c r="P2598">
        <v>-0.99725030000000003</v>
      </c>
      <c r="Q2598">
        <v>-1.149936E-2</v>
      </c>
      <c r="R2598">
        <v>-7.3210449999999996E-2</v>
      </c>
      <c r="S2598">
        <v>-2.9880680000000002</v>
      </c>
      <c r="T2598">
        <v>0.50430429999999904</v>
      </c>
      <c r="U2598">
        <v>-0.35415649999999999</v>
      </c>
      <c r="V2598">
        <v>-8.0336080000000004E-2</v>
      </c>
      <c r="W2598">
        <v>3.3238510000000001E-3</v>
      </c>
      <c r="X2598">
        <v>0.99676229999999999</v>
      </c>
      <c r="Y2598">
        <v>-0.12311510000000001</v>
      </c>
      <c r="Z2598">
        <v>1.0658809999999999E-2</v>
      </c>
      <c r="AA2598">
        <v>0.99233510000000003</v>
      </c>
      <c r="AB2598">
        <v>48</v>
      </c>
      <c r="AC2598">
        <v>-141.142799999999</v>
      </c>
      <c r="AD2598">
        <v>23.868690999999998</v>
      </c>
      <c r="AE2598">
        <v>-16.764299999999899</v>
      </c>
      <c r="AF2598">
        <v>-17.2854834714209</v>
      </c>
      <c r="AG2598">
        <v>23.868690999999998</v>
      </c>
      <c r="AH2598">
        <v>137.151606101504</v>
      </c>
      <c r="AI2598">
        <v>80.203586757403599</v>
      </c>
      <c r="AJ2598">
        <v>97.183225312333093</v>
      </c>
      <c r="AK2598">
        <v>140.28209224671701</v>
      </c>
      <c r="AL2598">
        <v>89.809557016865099</v>
      </c>
      <c r="AM2598">
        <v>94.607909350749395</v>
      </c>
      <c r="AN2598">
        <v>1.0000000082182601</v>
      </c>
    </row>
    <row r="2599" spans="1:40" x14ac:dyDescent="0.25">
      <c r="A2599" t="str">
        <f>"20190305134948892"</f>
        <v>20190305134948892</v>
      </c>
      <c r="B2599" t="str">
        <f>"1551764988883346"</f>
        <v>1551764988883346</v>
      </c>
      <c r="C2599" t="s">
        <v>40</v>
      </c>
      <c r="D2599">
        <v>3.6998410000000002</v>
      </c>
      <c r="E2599">
        <v>0.4846915</v>
      </c>
      <c r="F2599" t="s">
        <v>76</v>
      </c>
      <c r="G2599">
        <v>-512.83339999999998</v>
      </c>
      <c r="H2599">
        <v>24.894850000000002</v>
      </c>
      <c r="I2599">
        <v>268.68950000000001</v>
      </c>
      <c r="J2599">
        <v>-371.96539999999999</v>
      </c>
      <c r="K2599">
        <v>1.1093580000000001</v>
      </c>
      <c r="L2599">
        <v>285.5018</v>
      </c>
      <c r="M2599">
        <v>-0.99986390000000003</v>
      </c>
      <c r="N2599">
        <v>-1.481412E-2</v>
      </c>
      <c r="O2599">
        <v>7.2655669999999997E-3</v>
      </c>
      <c r="P2599">
        <v>-0.99724060000000003</v>
      </c>
      <c r="Q2599">
        <v>-1.1656980000000001E-2</v>
      </c>
      <c r="R2599">
        <v>-7.3318069999999999E-2</v>
      </c>
      <c r="S2599">
        <v>-2.9879150000000001</v>
      </c>
      <c r="T2599">
        <v>0.50352629999999998</v>
      </c>
      <c r="U2599">
        <v>-0.3558655</v>
      </c>
      <c r="V2599">
        <v>-8.0560439999999997E-2</v>
      </c>
      <c r="W2599">
        <v>3.1641109999999998E-3</v>
      </c>
      <c r="X2599">
        <v>0.99674470000000004</v>
      </c>
      <c r="Y2599">
        <v>-0.1237917</v>
      </c>
      <c r="Z2599">
        <v>1.071423E-2</v>
      </c>
      <c r="AA2599">
        <v>0.99225039999999998</v>
      </c>
      <c r="AB2599">
        <v>48</v>
      </c>
      <c r="AC2599">
        <v>-140.86799999999999</v>
      </c>
      <c r="AD2599">
        <v>23.785492000000001</v>
      </c>
      <c r="AE2599">
        <v>-16.812299999999901</v>
      </c>
      <c r="AF2599">
        <v>-17.347811481651998</v>
      </c>
      <c r="AG2599">
        <v>23.785492000000001</v>
      </c>
      <c r="AH2599">
        <v>136.894057375514</v>
      </c>
      <c r="AI2599">
        <v>80.219888702540004</v>
      </c>
      <c r="AJ2599">
        <v>97.222274052480003</v>
      </c>
      <c r="AK2599">
        <v>140.023852031058</v>
      </c>
      <c r="AL2599">
        <v>89.818709490658705</v>
      </c>
      <c r="AM2599">
        <v>94.620803758777996</v>
      </c>
      <c r="AN2599">
        <v>0.99999999653475202</v>
      </c>
    </row>
    <row r="2600" spans="1:40" x14ac:dyDescent="0.25">
      <c r="A2600" t="str">
        <f>"20190305134948903"</f>
        <v>20190305134948903</v>
      </c>
      <c r="B2600" t="str">
        <f>"1551764988893106"</f>
        <v>1551764988893106</v>
      </c>
      <c r="C2600" t="s">
        <v>40</v>
      </c>
      <c r="D2600">
        <v>3.593299</v>
      </c>
      <c r="E2600">
        <v>0.48417579999999999</v>
      </c>
      <c r="F2600" t="s">
        <v>76</v>
      </c>
      <c r="G2600">
        <v>-512.83339999999998</v>
      </c>
      <c r="H2600">
        <v>24.82817</v>
      </c>
      <c r="I2600">
        <v>268.71050000000002</v>
      </c>
      <c r="J2600">
        <v>-372.22719999999998</v>
      </c>
      <c r="K2600">
        <v>1.1093569999999999</v>
      </c>
      <c r="L2600">
        <v>285.50380000000001</v>
      </c>
      <c r="M2600">
        <v>-0.9998631</v>
      </c>
      <c r="N2600">
        <v>-1.481238E-2</v>
      </c>
      <c r="O2600">
        <v>7.3769129999999997E-3</v>
      </c>
      <c r="P2600">
        <v>-0.99719800000000003</v>
      </c>
      <c r="Q2600">
        <v>-1.1804729999999999E-2</v>
      </c>
      <c r="R2600">
        <v>-7.3870549999999993E-2</v>
      </c>
      <c r="S2600">
        <v>-2.9880369999999998</v>
      </c>
      <c r="T2600">
        <v>0.50311530000000004</v>
      </c>
      <c r="U2600">
        <v>-0.35617070000000001</v>
      </c>
      <c r="V2600">
        <v>-8.1223959999999998E-2</v>
      </c>
      <c r="W2600">
        <v>3.0143850000000001E-3</v>
      </c>
      <c r="X2600">
        <v>0.99669129999999995</v>
      </c>
      <c r="Y2600">
        <v>-0.12399589999999901</v>
      </c>
      <c r="Z2600">
        <v>1.074019E-2</v>
      </c>
      <c r="AA2600">
        <v>0.99222460000000001</v>
      </c>
      <c r="AB2600">
        <v>48</v>
      </c>
      <c r="AC2600">
        <v>-140.6062</v>
      </c>
      <c r="AD2600">
        <v>23.718813000000001</v>
      </c>
      <c r="AE2600">
        <v>-16.793299999999899</v>
      </c>
      <c r="AF2600">
        <v>-17.343604405772499</v>
      </c>
      <c r="AG2600">
        <v>23.718813000000001</v>
      </c>
      <c r="AH2600">
        <v>136.644772241916</v>
      </c>
      <c r="AI2600">
        <v>80.229567698685599</v>
      </c>
      <c r="AJ2600">
        <v>97.233574288775003</v>
      </c>
      <c r="AK2600">
        <v>139.76829570742399</v>
      </c>
      <c r="AL2600">
        <v>89.827288197150807</v>
      </c>
      <c r="AM2600">
        <v>94.658943748093606</v>
      </c>
      <c r="AN2600">
        <v>0.99999998284534897</v>
      </c>
    </row>
    <row r="2601" spans="1:40" x14ac:dyDescent="0.25">
      <c r="A2601" t="str">
        <f>"20190305134948922"</f>
        <v>20190305134948922</v>
      </c>
      <c r="B2601" t="str">
        <f>"1551764988913605"</f>
        <v>1551764988913605</v>
      </c>
      <c r="C2601" t="s">
        <v>40</v>
      </c>
      <c r="D2601">
        <v>3.7595010000000002</v>
      </c>
      <c r="E2601">
        <v>0.48306949999999999</v>
      </c>
      <c r="F2601" t="s">
        <v>76</v>
      </c>
      <c r="G2601">
        <v>-512.83330000000001</v>
      </c>
      <c r="H2601">
        <v>24.574000000000002</v>
      </c>
      <c r="I2601">
        <v>268.47649999999999</v>
      </c>
      <c r="J2601">
        <v>-372.6087</v>
      </c>
      <c r="K2601">
        <v>1.1093489999999999</v>
      </c>
      <c r="L2601">
        <v>285.50670000000002</v>
      </c>
      <c r="M2601">
        <v>-0.99986200000000003</v>
      </c>
      <c r="N2601">
        <v>-1.4809889999999999E-2</v>
      </c>
      <c r="O2601">
        <v>7.5393409999999998E-3</v>
      </c>
      <c r="P2601">
        <v>-0.99716959999999999</v>
      </c>
      <c r="Q2601">
        <v>-1.229248E-2</v>
      </c>
      <c r="R2601">
        <v>-7.4177590000000002E-2</v>
      </c>
      <c r="S2601">
        <v>-2.9875180000000001</v>
      </c>
      <c r="T2601">
        <v>0.49856400000000001</v>
      </c>
      <c r="U2601">
        <v>-0.36178589999999999</v>
      </c>
      <c r="V2601">
        <v>-8.1692680000000004E-2</v>
      </c>
      <c r="W2601">
        <v>2.5237219999999999E-3</v>
      </c>
      <c r="X2601">
        <v>0.99665440000000005</v>
      </c>
      <c r="Y2601">
        <v>-0.12601899999999999</v>
      </c>
      <c r="Z2601">
        <v>1.081901E-2</v>
      </c>
      <c r="AA2601">
        <v>0.99196879999999998</v>
      </c>
      <c r="AB2601">
        <v>48</v>
      </c>
      <c r="AC2601">
        <v>-140.22460000000001</v>
      </c>
      <c r="AD2601">
        <v>23.464651</v>
      </c>
      <c r="AE2601">
        <v>-17.030200000000001</v>
      </c>
      <c r="AF2601">
        <v>-17.601334783660501</v>
      </c>
      <c r="AG2601">
        <v>23.464651</v>
      </c>
      <c r="AH2601">
        <v>136.33025359658299</v>
      </c>
      <c r="AI2601">
        <v>80.313010026051501</v>
      </c>
      <c r="AJ2601">
        <v>97.356651415749994</v>
      </c>
      <c r="AK2601">
        <v>139.45011609327199</v>
      </c>
      <c r="AL2601">
        <v>89.855401231301201</v>
      </c>
      <c r="AM2601">
        <v>94.685882502217197</v>
      </c>
      <c r="AN2601">
        <v>1.0000000280888299</v>
      </c>
    </row>
    <row r="2602" spans="1:40" x14ac:dyDescent="0.25">
      <c r="A2602" t="str">
        <f>"20190305134948933"</f>
        <v>20190305134948933</v>
      </c>
      <c r="B2602" t="str">
        <f>"1551764988923362"</f>
        <v>1551764988923362</v>
      </c>
      <c r="C2602" t="s">
        <v>40</v>
      </c>
      <c r="D2602">
        <v>3.6162519999999998</v>
      </c>
      <c r="E2602">
        <v>0.4825583</v>
      </c>
      <c r="F2602" t="s">
        <v>76</v>
      </c>
      <c r="G2602">
        <v>-512.83330000000001</v>
      </c>
      <c r="H2602">
        <v>24.415489999999998</v>
      </c>
      <c r="I2602">
        <v>268.08730000000003</v>
      </c>
      <c r="J2602">
        <v>-372.85879999999997</v>
      </c>
      <c r="K2602">
        <v>1.109354</v>
      </c>
      <c r="L2602">
        <v>285.50869999999998</v>
      </c>
      <c r="M2602">
        <v>-0.99986120000000001</v>
      </c>
      <c r="N2602">
        <v>-1.480828E-2</v>
      </c>
      <c r="O2602">
        <v>7.6459769999999896E-3</v>
      </c>
      <c r="P2602">
        <v>-0.99718589999999996</v>
      </c>
      <c r="Q2602">
        <v>-1.2271590000000001E-2</v>
      </c>
      <c r="R2602">
        <v>-7.3962139999999996E-2</v>
      </c>
      <c r="S2602">
        <v>-2.9870299999999999</v>
      </c>
      <c r="T2602">
        <v>0.49646269999999998</v>
      </c>
      <c r="U2602">
        <v>-0.37106319999999998</v>
      </c>
      <c r="V2602">
        <v>-8.1583379999999997E-2</v>
      </c>
      <c r="W2602">
        <v>2.542795E-3</v>
      </c>
      <c r="X2602">
        <v>0.99666330000000003</v>
      </c>
      <c r="Y2602">
        <v>-0.1291534</v>
      </c>
      <c r="Z2602">
        <v>1.1023639999999999E-2</v>
      </c>
      <c r="AA2602">
        <v>0.99156330000000004</v>
      </c>
      <c r="AB2602">
        <v>48</v>
      </c>
      <c r="AC2602">
        <v>-139.97450000000001</v>
      </c>
      <c r="AD2602">
        <v>23.306135999999999</v>
      </c>
      <c r="AE2602">
        <v>-17.421399999999899</v>
      </c>
      <c r="AF2602">
        <v>-17.9998491519958</v>
      </c>
      <c r="AG2602">
        <v>23.306135999999999</v>
      </c>
      <c r="AH2602">
        <v>136.121049164569</v>
      </c>
      <c r="AI2602">
        <v>80.366507826758294</v>
      </c>
      <c r="AJ2602">
        <v>97.532755116344404</v>
      </c>
      <c r="AK2602">
        <v>139.26991983342299</v>
      </c>
      <c r="AL2602">
        <v>89.854308424773507</v>
      </c>
      <c r="AM2602">
        <v>94.679599327340696</v>
      </c>
      <c r="AN2602">
        <v>1.00000002363276</v>
      </c>
    </row>
    <row r="2603" spans="1:40" x14ac:dyDescent="0.25">
      <c r="A2603" t="str">
        <f>"20190305134948945"</f>
        <v>20190305134948945</v>
      </c>
      <c r="B2603" t="str">
        <f>"1551764988933121"</f>
        <v>1551764988933121</v>
      </c>
      <c r="C2603" t="s">
        <v>40</v>
      </c>
      <c r="D2603">
        <v>3.6206909999999999</v>
      </c>
      <c r="E2603">
        <v>0.48213230000000001</v>
      </c>
      <c r="F2603" t="s">
        <v>76</v>
      </c>
      <c r="G2603">
        <v>-512.83330000000001</v>
      </c>
      <c r="H2603">
        <v>24.364999999999998</v>
      </c>
      <c r="I2603">
        <v>267.9502</v>
      </c>
      <c r="J2603">
        <v>-373.12490000000003</v>
      </c>
      <c r="K2603">
        <v>1.1093550000000001</v>
      </c>
      <c r="L2603">
        <v>285.51069999999999</v>
      </c>
      <c r="M2603">
        <v>-0.99986030000000004</v>
      </c>
      <c r="N2603">
        <v>-1.480659E-2</v>
      </c>
      <c r="O2603">
        <v>7.7593480000000001E-3</v>
      </c>
      <c r="P2603">
        <v>-0.99717909999999998</v>
      </c>
      <c r="Q2603">
        <v>-1.202479E-2</v>
      </c>
      <c r="R2603">
        <v>-7.4090760000000006E-2</v>
      </c>
      <c r="S2603">
        <v>-2.9867859999999999</v>
      </c>
      <c r="T2603">
        <v>0.4962318</v>
      </c>
      <c r="U2603">
        <v>-0.37466430000000001</v>
      </c>
      <c r="V2603">
        <v>-8.1824750000000002E-2</v>
      </c>
      <c r="W2603">
        <v>2.787889E-3</v>
      </c>
      <c r="X2603">
        <v>0.99664280000000005</v>
      </c>
      <c r="Y2603">
        <v>-0.13043689999999999</v>
      </c>
      <c r="Z2603">
        <v>1.113448E-2</v>
      </c>
      <c r="AA2603">
        <v>0.99139409999999994</v>
      </c>
      <c r="AB2603">
        <v>48</v>
      </c>
      <c r="AC2603">
        <v>-139.70839999999899</v>
      </c>
      <c r="AD2603">
        <v>23.255645000000001</v>
      </c>
      <c r="AE2603">
        <v>-17.560499999999902</v>
      </c>
      <c r="AF2603">
        <v>-18.149075418920098</v>
      </c>
      <c r="AG2603">
        <v>23.255645000000001</v>
      </c>
      <c r="AH2603">
        <v>135.861950980118</v>
      </c>
      <c r="AI2603">
        <v>80.370665379934195</v>
      </c>
      <c r="AJ2603">
        <v>97.608792529655702</v>
      </c>
      <c r="AK2603">
        <v>139.027636414677</v>
      </c>
      <c r="AL2603">
        <v>89.840265514265795</v>
      </c>
      <c r="AM2603">
        <v>94.693478588748107</v>
      </c>
      <c r="AN2603">
        <v>0.99999996641473898</v>
      </c>
    </row>
    <row r="2604" spans="1:40" x14ac:dyDescent="0.25">
      <c r="A2604" t="str">
        <f>"20190305134948958"</f>
        <v>20190305134948958</v>
      </c>
      <c r="B2604" t="str">
        <f>"1551764988953618"</f>
        <v>1551764988953618</v>
      </c>
      <c r="C2604" t="s">
        <v>40</v>
      </c>
      <c r="D2604">
        <v>3.6118199999999998</v>
      </c>
      <c r="E2604">
        <v>0.4813732</v>
      </c>
      <c r="F2604" t="s">
        <v>76</v>
      </c>
      <c r="G2604">
        <v>-512.83330000000001</v>
      </c>
      <c r="H2604">
        <v>24.327719999999999</v>
      </c>
      <c r="I2604">
        <v>267.803</v>
      </c>
      <c r="J2604">
        <v>-373.37700000000001</v>
      </c>
      <c r="K2604">
        <v>1.1093599999999999</v>
      </c>
      <c r="L2604">
        <v>285.51280000000003</v>
      </c>
      <c r="M2604">
        <v>-0.99985959999999996</v>
      </c>
      <c r="N2604">
        <v>-1.4804990000000001E-2</v>
      </c>
      <c r="O2604">
        <v>7.8666399999999994E-3</v>
      </c>
      <c r="P2604">
        <v>-0.99717319999999998</v>
      </c>
      <c r="Q2604">
        <v>-1.1785820000000001E-2</v>
      </c>
      <c r="R2604">
        <v>-7.4209010000000006E-2</v>
      </c>
      <c r="S2604">
        <v>-2.9863279999999999</v>
      </c>
      <c r="T2604">
        <v>0.49630419999999997</v>
      </c>
      <c r="U2604">
        <v>-0.3785095</v>
      </c>
      <c r="V2604">
        <v>-8.2049940000000002E-2</v>
      </c>
      <c r="W2604">
        <v>3.0248749999999998E-3</v>
      </c>
      <c r="X2604">
        <v>0.99662360000000005</v>
      </c>
      <c r="Y2604">
        <v>-0.13179929999999901</v>
      </c>
      <c r="Z2604">
        <v>1.12581E-2</v>
      </c>
      <c r="AA2604">
        <v>0.99121250000000005</v>
      </c>
      <c r="AB2604">
        <v>48</v>
      </c>
      <c r="AC2604">
        <v>-139.4563</v>
      </c>
      <c r="AD2604">
        <v>23.218360000000001</v>
      </c>
      <c r="AE2604">
        <v>-17.709800000000001</v>
      </c>
      <c r="AF2604">
        <v>-18.307015450251502</v>
      </c>
      <c r="AG2604">
        <v>23.218360000000001</v>
      </c>
      <c r="AH2604">
        <v>135.61317169319199</v>
      </c>
      <c r="AI2604">
        <v>80.370265774426599</v>
      </c>
      <c r="AJ2604">
        <v>97.688131289221801</v>
      </c>
      <c r="AK2604">
        <v>138.799032390261</v>
      </c>
      <c r="AL2604">
        <v>89.826687159672204</v>
      </c>
      <c r="AM2604">
        <v>94.706427833444593</v>
      </c>
      <c r="AN2604">
        <v>0.99999997129986395</v>
      </c>
    </row>
    <row r="2605" spans="1:40" x14ac:dyDescent="0.25">
      <c r="A2605" t="str">
        <f>"20190305134948970"</f>
        <v>20190305134948970</v>
      </c>
      <c r="B2605" t="str">
        <f>"1551764988963377"</f>
        <v>1551764988963377</v>
      </c>
      <c r="C2605" t="s">
        <v>40</v>
      </c>
      <c r="D2605">
        <v>3.6333220000000002</v>
      </c>
      <c r="E2605">
        <v>0.4809988</v>
      </c>
      <c r="F2605" t="s">
        <v>76</v>
      </c>
      <c r="G2605">
        <v>-512.83320000000003</v>
      </c>
      <c r="H2605">
        <v>24.282440000000001</v>
      </c>
      <c r="I2605">
        <v>267.5428</v>
      </c>
      <c r="J2605">
        <v>-373.64350000000002</v>
      </c>
      <c r="K2605">
        <v>1.1093630000000001</v>
      </c>
      <c r="L2605">
        <v>285.51499999999999</v>
      </c>
      <c r="M2605">
        <v>-0.99985860000000004</v>
      </c>
      <c r="N2605">
        <v>-1.480328E-2</v>
      </c>
      <c r="O2605">
        <v>7.9804860000000002E-3</v>
      </c>
      <c r="P2605">
        <v>-0.99718549999999995</v>
      </c>
      <c r="Q2605">
        <v>-1.127802E-2</v>
      </c>
      <c r="R2605">
        <v>-7.4118530000000002E-2</v>
      </c>
      <c r="S2605">
        <v>-2.9857480000000001</v>
      </c>
      <c r="T2605">
        <v>0.49613499999999999</v>
      </c>
      <c r="U2605">
        <v>-0.3847351</v>
      </c>
      <c r="V2605">
        <v>-8.2073090000000001E-2</v>
      </c>
      <c r="W2605">
        <v>3.530797E-3</v>
      </c>
      <c r="X2605">
        <v>0.99662010000000001</v>
      </c>
      <c r="Y2605">
        <v>-0.13394239999999999</v>
      </c>
      <c r="Z2605">
        <v>1.1435219999999999E-2</v>
      </c>
      <c r="AA2605">
        <v>0.99092309999999995</v>
      </c>
      <c r="AB2605">
        <v>48</v>
      </c>
      <c r="AC2605">
        <v>-139.18969999999999</v>
      </c>
      <c r="AD2605">
        <v>23.173076999999999</v>
      </c>
      <c r="AE2605">
        <v>-17.972199999999901</v>
      </c>
      <c r="AF2605">
        <v>-18.576111700861102</v>
      </c>
      <c r="AG2605">
        <v>23.173076999999999</v>
      </c>
      <c r="AH2605">
        <v>135.35174056406601</v>
      </c>
      <c r="AI2605">
        <v>80.3733186679749</v>
      </c>
      <c r="AJ2605">
        <v>97.814637838565602</v>
      </c>
      <c r="AK2605">
        <v>138.57184814129101</v>
      </c>
      <c r="AL2605">
        <v>89.797699821581006</v>
      </c>
      <c r="AM2605">
        <v>94.707766220644899</v>
      </c>
      <c r="AN2605">
        <v>1.0000000411768</v>
      </c>
    </row>
    <row r="2606" spans="1:40" x14ac:dyDescent="0.25">
      <c r="A2606" t="str">
        <f>"20190305134948981"</f>
        <v>20190305134948981</v>
      </c>
      <c r="B2606" t="str">
        <f>"1551764988973138"</f>
        <v>1551764988973138</v>
      </c>
      <c r="C2606" t="s">
        <v>40</v>
      </c>
      <c r="D2606">
        <v>3.7742499999999999</v>
      </c>
      <c r="E2606">
        <v>0.4809988</v>
      </c>
      <c r="F2606" t="s">
        <v>76</v>
      </c>
      <c r="G2606">
        <v>-512.83320000000003</v>
      </c>
      <c r="H2606">
        <v>24.289739999999998</v>
      </c>
      <c r="I2606">
        <v>267.43130000000002</v>
      </c>
      <c r="J2606">
        <v>-373.89839999999998</v>
      </c>
      <c r="K2606">
        <v>1.1093649999999999</v>
      </c>
      <c r="L2606">
        <v>285.51710000000003</v>
      </c>
      <c r="M2606">
        <v>-0.99985780000000002</v>
      </c>
      <c r="N2606">
        <v>-1.4801740000000001E-2</v>
      </c>
      <c r="O2606">
        <v>8.0883090000000001E-3</v>
      </c>
      <c r="P2606">
        <v>-0.99719100000000005</v>
      </c>
      <c r="Q2606">
        <v>-1.128008E-2</v>
      </c>
      <c r="R2606">
        <v>-7.404964E-2</v>
      </c>
      <c r="S2606">
        <v>-2.9852599999999998</v>
      </c>
      <c r="T2606">
        <v>0.4971602</v>
      </c>
      <c r="U2606">
        <v>-0.38784790000000002</v>
      </c>
      <c r="V2606">
        <v>-8.2111110000000001E-2</v>
      </c>
      <c r="W2606">
        <v>3.5269820000000001E-3</v>
      </c>
      <c r="X2606">
        <v>0.99661699999999998</v>
      </c>
      <c r="Y2606">
        <v>-0.1350626</v>
      </c>
      <c r="Z2606">
        <v>1.1564720000000001E-2</v>
      </c>
      <c r="AA2606">
        <v>0.99076960000000003</v>
      </c>
      <c r="AB2606">
        <v>48</v>
      </c>
      <c r="AC2606">
        <v>-138.9348</v>
      </c>
      <c r="AD2606">
        <v>23.180375000000002</v>
      </c>
      <c r="AE2606">
        <v>-18.085799999999999</v>
      </c>
      <c r="AF2606">
        <v>-18.697279714119698</v>
      </c>
      <c r="AG2606">
        <v>23.180375000000002</v>
      </c>
      <c r="AH2606">
        <v>135.08624929147101</v>
      </c>
      <c r="AI2606">
        <v>80.353267259381894</v>
      </c>
      <c r="AJ2606">
        <v>97.880238557392801</v>
      </c>
      <c r="AK2606">
        <v>138.33008639296901</v>
      </c>
      <c r="AL2606">
        <v>89.797918410001998</v>
      </c>
      <c r="AM2606">
        <v>94.709951848024502</v>
      </c>
      <c r="AN2606">
        <v>1.0000000593382199</v>
      </c>
    </row>
    <row r="2607" spans="1:40" x14ac:dyDescent="0.25">
      <c r="A2607" t="str">
        <f>"20190305134948995"</f>
        <v>20190305134948995</v>
      </c>
      <c r="B2607" t="str">
        <f>"1551764988982898"</f>
        <v>1551764988982898</v>
      </c>
      <c r="C2607" t="s">
        <v>40</v>
      </c>
      <c r="D2607">
        <v>3.6336810000000002</v>
      </c>
      <c r="E2607">
        <v>0.48064590000000001</v>
      </c>
      <c r="F2607" t="s">
        <v>76</v>
      </c>
      <c r="G2607">
        <v>-512.83320000000003</v>
      </c>
      <c r="H2607">
        <v>24.243120000000001</v>
      </c>
      <c r="I2607">
        <v>267.47680000000003</v>
      </c>
      <c r="J2607">
        <v>-374.16309999999999</v>
      </c>
      <c r="K2607">
        <v>1.1093679999999999</v>
      </c>
      <c r="L2607">
        <v>285.51929999999999</v>
      </c>
      <c r="M2607">
        <v>-0.99985690000000005</v>
      </c>
      <c r="N2607">
        <v>-1.480009E-2</v>
      </c>
      <c r="O2607">
        <v>8.2003019999999996E-3</v>
      </c>
      <c r="P2607">
        <v>-0.9972065</v>
      </c>
      <c r="Q2607">
        <v>-1.1015459999999999E-2</v>
      </c>
      <c r="R2607">
        <v>-7.3879230000000004E-2</v>
      </c>
      <c r="S2607">
        <v>-2.9853209999999999</v>
      </c>
      <c r="T2607">
        <v>0.49708079999999999</v>
      </c>
      <c r="U2607">
        <v>-0.38763429999999999</v>
      </c>
      <c r="V2607">
        <v>-8.2052100000000003E-2</v>
      </c>
      <c r="W2607">
        <v>3.7901950000000001E-3</v>
      </c>
      <c r="X2607">
        <v>0.99662079999999997</v>
      </c>
      <c r="Y2607">
        <v>-0.13509959999999999</v>
      </c>
      <c r="Z2607">
        <v>1.158553E-2</v>
      </c>
      <c r="AA2607">
        <v>0.99076430000000004</v>
      </c>
      <c r="AB2607">
        <v>48</v>
      </c>
      <c r="AC2607">
        <v>-138.67009999999999</v>
      </c>
      <c r="AD2607">
        <v>23.133751999999902</v>
      </c>
      <c r="AE2607">
        <v>-18.042499999999901</v>
      </c>
      <c r="AF2607">
        <v>-18.6682501522758</v>
      </c>
      <c r="AG2607">
        <v>23.133751999999902</v>
      </c>
      <c r="AH2607">
        <v>134.827566164073</v>
      </c>
      <c r="AI2607">
        <v>80.354245753688701</v>
      </c>
      <c r="AJ2607">
        <v>97.883063393819398</v>
      </c>
      <c r="AK2607">
        <v>138.06573305159</v>
      </c>
      <c r="AL2607">
        <v>89.782837295603898</v>
      </c>
      <c r="AM2607">
        <v>94.706564339205102</v>
      </c>
      <c r="AN2607">
        <v>0.99999996584259299</v>
      </c>
    </row>
    <row r="2608" spans="1:40" x14ac:dyDescent="0.25">
      <c r="A2608" t="str">
        <f>"20190305134949009"</f>
        <v>20190305134949009</v>
      </c>
      <c r="B2608" t="str">
        <f>"1551764989003395"</f>
        <v>1551764989003395</v>
      </c>
      <c r="C2608" t="s">
        <v>40</v>
      </c>
      <c r="D2608">
        <v>3.6590129999999998</v>
      </c>
      <c r="E2608">
        <v>0.47995280000000001</v>
      </c>
      <c r="F2608" t="s">
        <v>76</v>
      </c>
      <c r="G2608">
        <v>-512.83320000000003</v>
      </c>
      <c r="H2608">
        <v>24.215820000000001</v>
      </c>
      <c r="I2608">
        <v>267.40519999999998</v>
      </c>
      <c r="J2608">
        <v>-374.47770000000003</v>
      </c>
      <c r="K2608">
        <v>1.1093759999999999</v>
      </c>
      <c r="L2608">
        <v>285.52190000000002</v>
      </c>
      <c r="M2608">
        <v>-0.99985579999999996</v>
      </c>
      <c r="N2608">
        <v>-1.479805E-2</v>
      </c>
      <c r="O2608">
        <v>8.3327350000000008E-3</v>
      </c>
      <c r="P2608">
        <v>-0.99721570000000004</v>
      </c>
      <c r="Q2608">
        <v>-1.071597E-2</v>
      </c>
      <c r="R2608">
        <v>-7.3798740000000002E-2</v>
      </c>
      <c r="S2608">
        <v>-2.9850159999999999</v>
      </c>
      <c r="T2608">
        <v>0.49739090000000002</v>
      </c>
      <c r="U2608">
        <v>-0.38992310000000002</v>
      </c>
      <c r="V2608">
        <v>-8.2103800000000005E-2</v>
      </c>
      <c r="W2608">
        <v>4.0872620000000004E-3</v>
      </c>
      <c r="X2608">
        <v>0.99661540000000004</v>
      </c>
      <c r="Y2608">
        <v>-0.13597529999999999</v>
      </c>
      <c r="Z2608">
        <v>1.1683290000000001E-2</v>
      </c>
      <c r="AA2608">
        <v>0.9906433</v>
      </c>
      <c r="AB2608">
        <v>48</v>
      </c>
      <c r="AC2608">
        <v>-138.35550000000001</v>
      </c>
      <c r="AD2608">
        <v>23.106444</v>
      </c>
      <c r="AE2608">
        <v>-18.116700000000002</v>
      </c>
      <c r="AF2608">
        <v>-18.7547936515397</v>
      </c>
      <c r="AG2608">
        <v>23.106444</v>
      </c>
      <c r="AH2608">
        <v>134.511227691149</v>
      </c>
      <c r="AI2608">
        <v>80.344437836691299</v>
      </c>
      <c r="AJ2608">
        <v>97.937532464584905</v>
      </c>
      <c r="AK2608">
        <v>137.76400260669399</v>
      </c>
      <c r="AL2608">
        <v>89.765816485037206</v>
      </c>
      <c r="AM2608">
        <v>94.709541954227603</v>
      </c>
      <c r="AN2608">
        <v>0.99999999760112801</v>
      </c>
    </row>
    <row r="2609" spans="1:40" x14ac:dyDescent="0.25">
      <c r="A2609" t="str">
        <f>"20190305134949021"</f>
        <v>20190305134949021</v>
      </c>
      <c r="B2609" t="str">
        <f>"1551764989013155"</f>
        <v>1551764989013155</v>
      </c>
      <c r="C2609" t="s">
        <v>40</v>
      </c>
      <c r="D2609">
        <v>3.6574659999999999</v>
      </c>
      <c r="E2609">
        <v>0.4796242</v>
      </c>
      <c r="F2609" t="s">
        <v>76</v>
      </c>
      <c r="G2609">
        <v>-512.83320000000003</v>
      </c>
      <c r="H2609">
        <v>24.1556</v>
      </c>
      <c r="I2609">
        <v>267.19670000000002</v>
      </c>
      <c r="J2609">
        <v>-374.73349999999999</v>
      </c>
      <c r="K2609">
        <v>1.1093839999999999</v>
      </c>
      <c r="L2609">
        <v>285.52420000000001</v>
      </c>
      <c r="M2609">
        <v>-0.99985489999999999</v>
      </c>
      <c r="N2609">
        <v>-1.479637E-2</v>
      </c>
      <c r="O2609">
        <v>8.4398340000000002E-3</v>
      </c>
      <c r="P2609">
        <v>-0.99724299999999999</v>
      </c>
      <c r="Q2609">
        <v>-9.9017270000000008E-3</v>
      </c>
      <c r="R2609">
        <v>-7.3540480000000005E-2</v>
      </c>
      <c r="S2609">
        <v>-2.984467</v>
      </c>
      <c r="T2609">
        <v>0.49713099999999999</v>
      </c>
      <c r="U2609">
        <v>-0.39529419999999998</v>
      </c>
      <c r="V2609">
        <v>-8.1951899999999994E-2</v>
      </c>
      <c r="W2609">
        <v>4.8997839999999999E-3</v>
      </c>
      <c r="X2609">
        <v>0.99662419999999996</v>
      </c>
      <c r="Y2609">
        <v>-0.13783429999999999</v>
      </c>
      <c r="Z2609">
        <v>1.1836030000000001E-2</v>
      </c>
      <c r="AA2609">
        <v>0.99038459999999995</v>
      </c>
      <c r="AB2609">
        <v>48</v>
      </c>
      <c r="AC2609">
        <v>-138.09970000000001</v>
      </c>
      <c r="AD2609">
        <v>23.046216000000001</v>
      </c>
      <c r="AE2609">
        <v>-18.327499999999901</v>
      </c>
      <c r="AF2609">
        <v>-18.973266895107301</v>
      </c>
      <c r="AG2609">
        <v>23.046216000000001</v>
      </c>
      <c r="AH2609">
        <v>134.26560047386499</v>
      </c>
      <c r="AI2609">
        <v>80.354298169462496</v>
      </c>
      <c r="AJ2609">
        <v>98.043293278343995</v>
      </c>
      <c r="AK2609">
        <v>137.544045306219</v>
      </c>
      <c r="AL2609">
        <v>89.719261921410194</v>
      </c>
      <c r="AM2609">
        <v>94.700826607468102</v>
      </c>
      <c r="AN2609">
        <v>0.99999995891124704</v>
      </c>
    </row>
    <row r="2610" spans="1:40" x14ac:dyDescent="0.25">
      <c r="A2610" t="str">
        <f>"20190305134949033"</f>
        <v>20190305134949033</v>
      </c>
      <c r="B2610" t="str">
        <f>"1551764989022914"</f>
        <v>1551764989022914</v>
      </c>
      <c r="C2610" t="s">
        <v>40</v>
      </c>
      <c r="D2610">
        <v>3.6018020000000002</v>
      </c>
      <c r="E2610">
        <v>0.47927570000000003</v>
      </c>
      <c r="F2610" t="s">
        <v>76</v>
      </c>
      <c r="G2610">
        <v>-512.83320000000003</v>
      </c>
      <c r="H2610">
        <v>24.199200000000001</v>
      </c>
      <c r="I2610">
        <v>267.14909999999998</v>
      </c>
      <c r="J2610">
        <v>-374.98820000000001</v>
      </c>
      <c r="K2610">
        <v>1.109391</v>
      </c>
      <c r="L2610">
        <v>285.52640000000002</v>
      </c>
      <c r="M2610">
        <v>-0.99985409999999997</v>
      </c>
      <c r="N2610">
        <v>-1.4794720000000001E-2</v>
      </c>
      <c r="O2610">
        <v>8.5460980000000002E-3</v>
      </c>
      <c r="P2610">
        <v>-0.99726340000000002</v>
      </c>
      <c r="Q2610">
        <v>-9.2330650000000004E-3</v>
      </c>
      <c r="R2610">
        <v>-7.3352399999999901E-2</v>
      </c>
      <c r="S2610">
        <v>-2.9839479999999998</v>
      </c>
      <c r="T2610">
        <v>0.49890709999999999</v>
      </c>
      <c r="U2610">
        <v>-0.39703369999999999</v>
      </c>
      <c r="V2610">
        <v>-8.1869399999999995E-2</v>
      </c>
      <c r="W2610">
        <v>5.5668699999999998E-3</v>
      </c>
      <c r="X2610">
        <v>0.9966275</v>
      </c>
      <c r="Y2610">
        <v>-0.13850519999999999</v>
      </c>
      <c r="Z2610">
        <v>1.195222E-2</v>
      </c>
      <c r="AA2610">
        <v>0.99028959999999999</v>
      </c>
      <c r="AB2610">
        <v>48</v>
      </c>
      <c r="AC2610">
        <v>-137.845</v>
      </c>
      <c r="AD2610">
        <v>23.089808999999999</v>
      </c>
      <c r="AE2610">
        <v>-18.377300000000002</v>
      </c>
      <c r="AF2610">
        <v>-19.030168269170101</v>
      </c>
      <c r="AG2610">
        <v>23.089808999999999</v>
      </c>
      <c r="AH2610">
        <v>133.989065204338</v>
      </c>
      <c r="AI2610">
        <v>80.317774504354702</v>
      </c>
      <c r="AJ2610">
        <v>98.083527839556695</v>
      </c>
      <c r="AK2610">
        <v>137.28931560154899</v>
      </c>
      <c r="AL2610">
        <v>89.68104019047</v>
      </c>
      <c r="AM2610">
        <v>94.696100037325905</v>
      </c>
      <c r="AN2610">
        <v>0.99999998122710299</v>
      </c>
    </row>
    <row r="2611" spans="1:40" x14ac:dyDescent="0.25">
      <c r="A2611" t="str">
        <f>"20190305134949048"</f>
        <v>20190305134949048</v>
      </c>
      <c r="B2611" t="str">
        <f>"1551764989043410"</f>
        <v>1551764989043410</v>
      </c>
      <c r="C2611" t="s">
        <v>40</v>
      </c>
      <c r="D2611">
        <v>3.67767</v>
      </c>
      <c r="E2611">
        <v>0.47862359999999998</v>
      </c>
      <c r="F2611" t="s">
        <v>76</v>
      </c>
      <c r="G2611">
        <v>-512.83330000000001</v>
      </c>
      <c r="H2611">
        <v>24.316310000000001</v>
      </c>
      <c r="I2611">
        <v>267.0754</v>
      </c>
      <c r="J2611">
        <v>-375.28</v>
      </c>
      <c r="K2611">
        <v>1.1093959999999901</v>
      </c>
      <c r="L2611">
        <v>285.529</v>
      </c>
      <c r="M2611">
        <v>-0.99985299999999999</v>
      </c>
      <c r="N2611">
        <v>-1.479284E-2</v>
      </c>
      <c r="O2611">
        <v>8.6669030000000001E-3</v>
      </c>
      <c r="P2611">
        <v>-0.99729699999999999</v>
      </c>
      <c r="Q2611">
        <v>-8.2726220000000003E-3</v>
      </c>
      <c r="R2611">
        <v>-7.3007509999999998E-2</v>
      </c>
      <c r="S2611">
        <v>-2.9835210000000001</v>
      </c>
      <c r="T2611">
        <v>0.50229199999999996</v>
      </c>
      <c r="U2611">
        <v>-0.39935300000000001</v>
      </c>
      <c r="V2611">
        <v>-8.1645099999999998E-2</v>
      </c>
      <c r="W2611">
        <v>6.5252959999999999E-3</v>
      </c>
      <c r="X2611">
        <v>0.99664010000000003</v>
      </c>
      <c r="Y2611">
        <v>-0.1393605</v>
      </c>
      <c r="Z2611">
        <v>1.2126079999999999E-2</v>
      </c>
      <c r="AA2611">
        <v>0.99016749999999998</v>
      </c>
      <c r="AB2611">
        <v>47</v>
      </c>
      <c r="AC2611">
        <v>-137.55330000000001</v>
      </c>
      <c r="AD2611">
        <v>23.206914000000001</v>
      </c>
      <c r="AE2611">
        <v>-18.453599999999899</v>
      </c>
      <c r="AF2611">
        <v>-19.110848283117299</v>
      </c>
      <c r="AG2611">
        <v>23.206914000000001</v>
      </c>
      <c r="AH2611">
        <v>133.651216337378</v>
      </c>
      <c r="AI2611">
        <v>80.246766839563406</v>
      </c>
      <c r="AJ2611">
        <v>98.137587693142905</v>
      </c>
      <c r="AK2611">
        <v>136.99063109557699</v>
      </c>
      <c r="AL2611">
        <v>89.626125424137598</v>
      </c>
      <c r="AM2611">
        <v>94.683232358014195</v>
      </c>
      <c r="AN2611">
        <v>0.99999999538495299</v>
      </c>
    </row>
    <row r="2612" spans="1:40" x14ac:dyDescent="0.25">
      <c r="A2612" t="str">
        <f>"20190305134949061"</f>
        <v>20190305134949061</v>
      </c>
      <c r="B2612" t="str">
        <f>"1551764989053170"</f>
        <v>1551764989053170</v>
      </c>
      <c r="C2612" t="s">
        <v>40</v>
      </c>
      <c r="D2612">
        <v>3.6219459999999999</v>
      </c>
      <c r="E2612">
        <v>0.47836020000000001</v>
      </c>
      <c r="F2612" t="s">
        <v>76</v>
      </c>
      <c r="G2612">
        <v>-512.83330000000001</v>
      </c>
      <c r="H2612">
        <v>24.361719999999998</v>
      </c>
      <c r="I2612">
        <v>266.93220000000002</v>
      </c>
      <c r="J2612">
        <v>-375.58920000000001</v>
      </c>
      <c r="K2612">
        <v>1.1093999999999999</v>
      </c>
      <c r="L2612">
        <v>285.5317</v>
      </c>
      <c r="M2612">
        <v>-0.99985199999999996</v>
      </c>
      <c r="N2612">
        <v>-1.4790889999999999E-2</v>
      </c>
      <c r="O2612">
        <v>8.7945009999999997E-3</v>
      </c>
      <c r="P2612">
        <v>-0.99733640000000001</v>
      </c>
      <c r="Q2612">
        <v>-7.5274039999999997E-3</v>
      </c>
      <c r="R2612">
        <v>-7.2551699999999997E-2</v>
      </c>
      <c r="S2612">
        <v>-2.982758</v>
      </c>
      <c r="T2612">
        <v>0.50421329999999998</v>
      </c>
      <c r="U2612">
        <v>-0.40325929999999999</v>
      </c>
      <c r="V2612">
        <v>-8.1316299999999994E-2</v>
      </c>
      <c r="W2612">
        <v>7.2681890000000004E-3</v>
      </c>
      <c r="X2612">
        <v>0.99666180000000004</v>
      </c>
      <c r="Y2612">
        <v>-0.1407582</v>
      </c>
      <c r="Z2612">
        <v>1.2306930000000001E-2</v>
      </c>
      <c r="AA2612">
        <v>0.9899675</v>
      </c>
      <c r="AB2612">
        <v>47</v>
      </c>
      <c r="AC2612">
        <v>-137.2441</v>
      </c>
      <c r="AD2612">
        <v>23.252320000000001</v>
      </c>
      <c r="AE2612">
        <v>-18.5994999999999</v>
      </c>
      <c r="AF2612">
        <v>-19.262950540248799</v>
      </c>
      <c r="AG2612">
        <v>23.252320000000001</v>
      </c>
      <c r="AH2612">
        <v>133.31744647556201</v>
      </c>
      <c r="AI2612">
        <v>80.206087673869007</v>
      </c>
      <c r="AJ2612">
        <v>98.221729275963497</v>
      </c>
      <c r="AK2612">
        <v>136.694086132732</v>
      </c>
      <c r="AL2612">
        <v>89.583559760449106</v>
      </c>
      <c r="AM2612">
        <v>94.664354389706602</v>
      </c>
      <c r="AN2612">
        <v>0.99999995539813402</v>
      </c>
    </row>
    <row r="2613" spans="1:40" x14ac:dyDescent="0.25">
      <c r="A2613" t="str">
        <f>"20190305134949079"</f>
        <v>20190305134949079</v>
      </c>
      <c r="B2613" t="str">
        <f>"1551764989073666"</f>
        <v>1551764989073666</v>
      </c>
      <c r="C2613" t="s">
        <v>40</v>
      </c>
      <c r="D2613">
        <v>3.6280139999999999</v>
      </c>
      <c r="E2613">
        <v>0.4777672</v>
      </c>
      <c r="F2613" t="s">
        <v>76</v>
      </c>
      <c r="G2613">
        <v>-512.83330000000001</v>
      </c>
      <c r="H2613">
        <v>24.446539999999999</v>
      </c>
      <c r="I2613">
        <v>266.9384</v>
      </c>
      <c r="J2613">
        <v>-375.94990000000001</v>
      </c>
      <c r="K2613">
        <v>1.109407</v>
      </c>
      <c r="L2613">
        <v>285.53500000000003</v>
      </c>
      <c r="M2613">
        <v>-0.99985069999999998</v>
      </c>
      <c r="N2613">
        <v>-1.478865E-2</v>
      </c>
      <c r="O2613">
        <v>8.9426639999999995E-3</v>
      </c>
      <c r="P2613">
        <v>-0.99734880000000004</v>
      </c>
      <c r="Q2613">
        <v>-6.8212589999999997E-3</v>
      </c>
      <c r="R2613">
        <v>-7.2449970000000002E-2</v>
      </c>
      <c r="S2613">
        <v>-2.9824519999999999</v>
      </c>
      <c r="T2613">
        <v>0.50714059999999905</v>
      </c>
      <c r="U2613">
        <v>-0.40405269999999999</v>
      </c>
      <c r="V2613">
        <v>-8.1361950000000002E-2</v>
      </c>
      <c r="W2613">
        <v>7.9724589999999994E-3</v>
      </c>
      <c r="X2613">
        <v>0.99665269999999995</v>
      </c>
      <c r="Y2613">
        <v>-0.14114599999999999</v>
      </c>
      <c r="Z2613">
        <v>1.244056E-2</v>
      </c>
      <c r="AA2613">
        <v>0.98991059999999997</v>
      </c>
      <c r="AB2613">
        <v>47</v>
      </c>
      <c r="AC2613">
        <v>-136.88339999999999</v>
      </c>
      <c r="AD2613">
        <v>23.337133000000001</v>
      </c>
      <c r="AE2613">
        <v>-18.596599999999999</v>
      </c>
      <c r="AF2613">
        <v>-19.270127066884999</v>
      </c>
      <c r="AG2613">
        <v>23.337133000000001</v>
      </c>
      <c r="AH2613">
        <v>132.918148956148</v>
      </c>
      <c r="AI2613">
        <v>80.142779917427106</v>
      </c>
      <c r="AJ2613">
        <v>98.249118759010102</v>
      </c>
      <c r="AK2613">
        <v>136.320188878105</v>
      </c>
      <c r="AL2613">
        <v>89.543206892240406</v>
      </c>
      <c r="AM2613">
        <v>94.667003762825601</v>
      </c>
      <c r="AN2613">
        <v>0.99999996571379801</v>
      </c>
    </row>
    <row r="2614" spans="1:40" x14ac:dyDescent="0.25">
      <c r="A2614" t="str">
        <f>"20190305134949100"</f>
        <v>20190305134949100</v>
      </c>
      <c r="B2614" t="str">
        <f>"1551764989093189"</f>
        <v>1551764989093189</v>
      </c>
      <c r="C2614" t="s">
        <v>40</v>
      </c>
      <c r="D2614">
        <v>3.6246179999999999</v>
      </c>
      <c r="E2614">
        <v>0.47727770000000003</v>
      </c>
      <c r="F2614" t="s">
        <v>76</v>
      </c>
      <c r="G2614">
        <v>-512.83330000000001</v>
      </c>
      <c r="H2614">
        <v>24.573779999999999</v>
      </c>
      <c r="I2614">
        <v>266.78739999999999</v>
      </c>
      <c r="J2614">
        <v>-376.40069999999997</v>
      </c>
      <c r="K2614">
        <v>1.1094090000000001</v>
      </c>
      <c r="L2614">
        <v>285.53919999999999</v>
      </c>
      <c r="M2614">
        <v>-0.99984899999999999</v>
      </c>
      <c r="N2614">
        <v>-1.478587E-2</v>
      </c>
      <c r="O2614">
        <v>9.1274189999999995E-3</v>
      </c>
      <c r="P2614">
        <v>-0.99738709999999997</v>
      </c>
      <c r="Q2614">
        <v>-6.6953150000000003E-3</v>
      </c>
      <c r="R2614">
        <v>-7.1932029999999994E-2</v>
      </c>
      <c r="S2614">
        <v>-2.9817809999999998</v>
      </c>
      <c r="T2614">
        <v>0.51113390000000003</v>
      </c>
      <c r="U2614">
        <v>-0.40838619999999998</v>
      </c>
      <c r="V2614">
        <v>-8.1028249999999996E-2</v>
      </c>
      <c r="W2614">
        <v>8.0954789999999992E-3</v>
      </c>
      <c r="X2614">
        <v>0.99667890000000003</v>
      </c>
      <c r="Y2614">
        <v>-0.1427147</v>
      </c>
      <c r="Z2614">
        <v>1.270107E-2</v>
      </c>
      <c r="AA2614">
        <v>0.98968239999999996</v>
      </c>
      <c r="AB2614">
        <v>47</v>
      </c>
      <c r="AC2614">
        <v>-136.43260000000001</v>
      </c>
      <c r="AD2614">
        <v>23.464371</v>
      </c>
      <c r="AE2614">
        <v>-18.751799999999999</v>
      </c>
      <c r="AF2614">
        <v>-19.432303701000802</v>
      </c>
      <c r="AG2614">
        <v>23.464371</v>
      </c>
      <c r="AH2614">
        <v>132.41176699413799</v>
      </c>
      <c r="AI2614">
        <v>80.055433440063993</v>
      </c>
      <c r="AJ2614">
        <v>98.348937071990406</v>
      </c>
      <c r="AK2614">
        <v>135.87150978797399</v>
      </c>
      <c r="AL2614">
        <v>89.536158140580795</v>
      </c>
      <c r="AM2614">
        <v>94.647824784272302</v>
      </c>
      <c r="AN2614">
        <v>0.99999997189175505</v>
      </c>
    </row>
    <row r="2615" spans="1:40" x14ac:dyDescent="0.25">
      <c r="A2615" t="str">
        <f>"20190305134949112"</f>
        <v>20190305134949112</v>
      </c>
      <c r="B2615" t="str">
        <f>"1551764989102947"</f>
        <v>1551764989102947</v>
      </c>
      <c r="C2615" t="s">
        <v>40</v>
      </c>
      <c r="D2615">
        <v>3.652374</v>
      </c>
      <c r="E2615">
        <v>0.4770025</v>
      </c>
      <c r="F2615" t="s">
        <v>76</v>
      </c>
      <c r="G2615">
        <v>-512.83330000000001</v>
      </c>
      <c r="H2615">
        <v>24.553039999999999</v>
      </c>
      <c r="I2615">
        <v>266.7466</v>
      </c>
      <c r="J2615">
        <v>-376.65539999999999</v>
      </c>
      <c r="K2615">
        <v>1.1094040000000001</v>
      </c>
      <c r="L2615">
        <v>285.54160000000002</v>
      </c>
      <c r="M2615">
        <v>-0.99984810000000002</v>
      </c>
      <c r="N2615">
        <v>-1.478431E-2</v>
      </c>
      <c r="O2615">
        <v>9.2315980000000006E-3</v>
      </c>
      <c r="P2615">
        <v>-0.99740649999999997</v>
      </c>
      <c r="Q2615">
        <v>-6.5972699999999997E-3</v>
      </c>
      <c r="R2615">
        <v>-7.1673600000000004E-2</v>
      </c>
      <c r="S2615">
        <v>-2.9816889999999998</v>
      </c>
      <c r="T2615">
        <v>0.51235379999999997</v>
      </c>
      <c r="U2615">
        <v>-0.4107056</v>
      </c>
      <c r="V2615">
        <v>-8.087374E-2</v>
      </c>
      <c r="W2615">
        <v>8.1917969999999903E-3</v>
      </c>
      <c r="X2615">
        <v>0.99669070000000004</v>
      </c>
      <c r="Y2615">
        <v>-0.14355490000000001</v>
      </c>
      <c r="Z2615">
        <v>1.281712E-2</v>
      </c>
      <c r="AA2615">
        <v>0.98955939999999998</v>
      </c>
      <c r="AB2615">
        <v>47</v>
      </c>
      <c r="AC2615">
        <v>-136.17789999999999</v>
      </c>
      <c r="AD2615">
        <v>23.443636000000001</v>
      </c>
      <c r="AE2615">
        <v>-18.795000000000002</v>
      </c>
      <c r="AF2615">
        <v>-19.4847964678087</v>
      </c>
      <c r="AG2615">
        <v>23.443636000000001</v>
      </c>
      <c r="AH2615">
        <v>132.15508142135599</v>
      </c>
      <c r="AI2615">
        <v>80.046091361657403</v>
      </c>
      <c r="AJ2615">
        <v>98.387199324393407</v>
      </c>
      <c r="AK2615">
        <v>135.625318092816</v>
      </c>
      <c r="AL2615">
        <v>89.530639360140697</v>
      </c>
      <c r="AM2615">
        <v>94.638946042861605</v>
      </c>
      <c r="AN2615">
        <v>1.0000000094130801</v>
      </c>
    </row>
    <row r="2616" spans="1:40" x14ac:dyDescent="0.25">
      <c r="A2616" t="str">
        <f>"20190305134949124"</f>
        <v>20190305134949124</v>
      </c>
      <c r="B2616" t="str">
        <f>"1551764989113683"</f>
        <v>1551764989113683</v>
      </c>
      <c r="C2616" t="s">
        <v>40</v>
      </c>
      <c r="D2616">
        <v>3.6478510000000002</v>
      </c>
      <c r="E2616">
        <v>0.47669909999999999</v>
      </c>
      <c r="F2616" t="s">
        <v>76</v>
      </c>
      <c r="G2616">
        <v>-512.83330000000001</v>
      </c>
      <c r="H2616">
        <v>24.562560000000001</v>
      </c>
      <c r="I2616">
        <v>266.71940000000001</v>
      </c>
      <c r="J2616">
        <v>-376.91419999999999</v>
      </c>
      <c r="K2616">
        <v>1.109407</v>
      </c>
      <c r="L2616">
        <v>285.54399999999998</v>
      </c>
      <c r="M2616">
        <v>-0.99984720000000005</v>
      </c>
      <c r="N2616">
        <v>-1.4782719999999999E-2</v>
      </c>
      <c r="O2616">
        <v>9.3369739999999996E-3</v>
      </c>
      <c r="P2616">
        <v>-0.99741230000000003</v>
      </c>
      <c r="Q2616">
        <v>-6.582053E-3</v>
      </c>
      <c r="R2616">
        <v>-7.159256E-2</v>
      </c>
      <c r="S2616">
        <v>-2.981598</v>
      </c>
      <c r="T2616">
        <v>0.51350470000000004</v>
      </c>
      <c r="U2616">
        <v>-0.41210940000000001</v>
      </c>
      <c r="V2616">
        <v>-8.0898429999999993E-2</v>
      </c>
      <c r="W2616">
        <v>8.2051469999999994E-3</v>
      </c>
      <c r="X2616">
        <v>0.99668860000000004</v>
      </c>
      <c r="Y2616">
        <v>-0.14410200000000001</v>
      </c>
      <c r="Z2616">
        <v>1.2909520000000001E-2</v>
      </c>
      <c r="AA2616">
        <v>0.98947859999999999</v>
      </c>
      <c r="AB2616">
        <v>47</v>
      </c>
      <c r="AC2616">
        <v>-135.91909999999999</v>
      </c>
      <c r="AD2616">
        <v>23.453153</v>
      </c>
      <c r="AE2616">
        <v>-18.8246</v>
      </c>
      <c r="AF2616">
        <v>-19.522657627614201</v>
      </c>
      <c r="AG2616">
        <v>23.453153</v>
      </c>
      <c r="AH2616">
        <v>131.88452614693301</v>
      </c>
      <c r="AI2616">
        <v>80.022946739794307</v>
      </c>
      <c r="AJ2616">
        <v>98.420256144308297</v>
      </c>
      <c r="AK2616">
        <v>135.368802844258</v>
      </c>
      <c r="AL2616">
        <v>89.529874442120601</v>
      </c>
      <c r="AM2616">
        <v>94.640365820418495</v>
      </c>
      <c r="AN2616">
        <v>1.00000002289185</v>
      </c>
    </row>
    <row r="2617" spans="1:40" x14ac:dyDescent="0.25">
      <c r="A2617" t="str">
        <f>"20190305134949137"</f>
        <v>20190305134949137</v>
      </c>
      <c r="B2617" t="str">
        <f>"1551764989133202"</f>
        <v>1551764989133202</v>
      </c>
      <c r="C2617" t="s">
        <v>40</v>
      </c>
      <c r="D2617">
        <v>3.671789</v>
      </c>
      <c r="E2617">
        <v>0.47652090000000003</v>
      </c>
      <c r="F2617" t="s">
        <v>76</v>
      </c>
      <c r="G2617">
        <v>-512.83330000000001</v>
      </c>
      <c r="H2617">
        <v>24.53659</v>
      </c>
      <c r="I2617">
        <v>266.66320000000002</v>
      </c>
      <c r="J2617">
        <v>-377.17020000000002</v>
      </c>
      <c r="K2617">
        <v>1.10941</v>
      </c>
      <c r="L2617">
        <v>285.54649999999998</v>
      </c>
      <c r="M2617">
        <v>-0.99984629999999997</v>
      </c>
      <c r="N2617">
        <v>-1.478115E-2</v>
      </c>
      <c r="O2617">
        <v>9.4409779999999992E-3</v>
      </c>
      <c r="P2617">
        <v>-0.99742109999999995</v>
      </c>
      <c r="Q2617">
        <v>-6.3437529999999997E-3</v>
      </c>
      <c r="R2617">
        <v>-7.1492879999999995E-2</v>
      </c>
      <c r="S2617">
        <v>-2.9814150000000001</v>
      </c>
      <c r="T2617">
        <v>0.51388129999999999</v>
      </c>
      <c r="U2617">
        <v>-0.41415410000000002</v>
      </c>
      <c r="V2617">
        <v>-8.0901609999999999E-2</v>
      </c>
      <c r="W2617">
        <v>8.4416509999999997E-3</v>
      </c>
      <c r="X2617">
        <v>0.99668630000000003</v>
      </c>
      <c r="Y2617">
        <v>-0.14486389999999999</v>
      </c>
      <c r="Z2617">
        <v>1.299818E-2</v>
      </c>
      <c r="AA2617">
        <v>0.98936619999999997</v>
      </c>
      <c r="AB2617">
        <v>47</v>
      </c>
      <c r="AC2617">
        <v>-135.66309999999999</v>
      </c>
      <c r="AD2617">
        <v>23.42718</v>
      </c>
      <c r="AE2617">
        <v>-18.883299999999899</v>
      </c>
      <c r="AF2617">
        <v>-19.5902990641823</v>
      </c>
      <c r="AG2617">
        <v>23.42718</v>
      </c>
      <c r="AH2617">
        <v>131.62812919065701</v>
      </c>
      <c r="AI2617">
        <v>80.015891207768107</v>
      </c>
      <c r="AJ2617">
        <v>98.465229468748404</v>
      </c>
      <c r="AK2617">
        <v>135.12430193865501</v>
      </c>
      <c r="AL2617">
        <v>89.516323259733696</v>
      </c>
      <c r="AM2617">
        <v>94.640558091804195</v>
      </c>
      <c r="AN2617">
        <v>0.99999995628994298</v>
      </c>
    </row>
    <row r="2618" spans="1:40" x14ac:dyDescent="0.25">
      <c r="A2618" t="str">
        <f>"20190305134949149"</f>
        <v>20190305134949149</v>
      </c>
      <c r="B2618" t="str">
        <f>"1551764989142963"</f>
        <v>1551764989142963</v>
      </c>
      <c r="C2618" t="s">
        <v>40</v>
      </c>
      <c r="D2618">
        <v>3.7113330000000002</v>
      </c>
      <c r="E2618">
        <v>0.47635739999999999</v>
      </c>
      <c r="F2618" t="s">
        <v>76</v>
      </c>
      <c r="G2618">
        <v>-512.83330000000001</v>
      </c>
      <c r="H2618">
        <v>24.551369999999999</v>
      </c>
      <c r="I2618">
        <v>266.63459999999998</v>
      </c>
      <c r="J2618">
        <v>-377.43329999999997</v>
      </c>
      <c r="K2618">
        <v>1.109413</v>
      </c>
      <c r="L2618">
        <v>285.54910000000001</v>
      </c>
      <c r="M2618">
        <v>-0.99984530000000005</v>
      </c>
      <c r="N2618">
        <v>-1.4779530000000001E-2</v>
      </c>
      <c r="O2618">
        <v>9.5477229999999993E-3</v>
      </c>
      <c r="P2618">
        <v>-0.99744460000000001</v>
      </c>
      <c r="Q2618">
        <v>-6.2653129999999998E-3</v>
      </c>
      <c r="R2618">
        <v>-7.1171869999999998E-2</v>
      </c>
      <c r="S2618">
        <v>-2.981201</v>
      </c>
      <c r="T2618">
        <v>0.51513869999999995</v>
      </c>
      <c r="U2618">
        <v>-0.41558840000000002</v>
      </c>
      <c r="V2618">
        <v>-8.0687200000000001E-2</v>
      </c>
      <c r="W2618">
        <v>8.5184189999999993E-3</v>
      </c>
      <c r="X2618">
        <v>0.99670309999999995</v>
      </c>
      <c r="Y2618">
        <v>-0.14542620000000001</v>
      </c>
      <c r="Z2618">
        <v>1.309594E-2</v>
      </c>
      <c r="AA2618">
        <v>0.98928240000000001</v>
      </c>
      <c r="AB2618">
        <v>47</v>
      </c>
      <c r="AC2618">
        <v>-135.4</v>
      </c>
      <c r="AD2618">
        <v>23.441956999999999</v>
      </c>
      <c r="AE2618">
        <v>-18.9145</v>
      </c>
      <c r="AF2618">
        <v>-19.629422457188799</v>
      </c>
      <c r="AG2618">
        <v>23.441956999999999</v>
      </c>
      <c r="AH2618">
        <v>131.351399014176</v>
      </c>
      <c r="AI2618">
        <v>79.989973166086898</v>
      </c>
      <c r="AJ2618">
        <v>98.499498380314506</v>
      </c>
      <c r="AK2618">
        <v>134.86300306968599</v>
      </c>
      <c r="AL2618">
        <v>89.511924654287796</v>
      </c>
      <c r="AM2618">
        <v>94.628235251984805</v>
      </c>
      <c r="AN2618">
        <v>1.0000000286278501</v>
      </c>
    </row>
    <row r="2619" spans="1:40" x14ac:dyDescent="0.25">
      <c r="A2619" t="str">
        <f>"20190305134949161"</f>
        <v>20190305134949161</v>
      </c>
      <c r="B2619" t="str">
        <f>"1551764989153230"</f>
        <v>1551764989153230</v>
      </c>
      <c r="C2619" t="s">
        <v>40</v>
      </c>
      <c r="D2619">
        <v>3.786292</v>
      </c>
      <c r="E2619">
        <v>0.47626200000000002</v>
      </c>
      <c r="F2619" t="s">
        <v>76</v>
      </c>
      <c r="G2619">
        <v>-512.83330000000001</v>
      </c>
      <c r="H2619">
        <v>24.488779999999998</v>
      </c>
      <c r="I2619">
        <v>266.67129999999997</v>
      </c>
      <c r="J2619">
        <v>-377.68259999999998</v>
      </c>
      <c r="K2619">
        <v>1.1094200000000001</v>
      </c>
      <c r="L2619">
        <v>285.55149999999998</v>
      </c>
      <c r="M2619">
        <v>-0.99984430000000002</v>
      </c>
      <c r="N2619">
        <v>-1.477799E-2</v>
      </c>
      <c r="O2619">
        <v>9.6471890000000005E-3</v>
      </c>
      <c r="P2619">
        <v>-0.99745640000000002</v>
      </c>
      <c r="Q2619">
        <v>-6.3540380000000002E-3</v>
      </c>
      <c r="R2619">
        <v>-7.0996210000000004E-2</v>
      </c>
      <c r="S2619">
        <v>-2.9812319999999999</v>
      </c>
      <c r="T2619">
        <v>0.51476679999999997</v>
      </c>
      <c r="U2619">
        <v>-0.4156494</v>
      </c>
      <c r="V2619">
        <v>-8.0611219999999997E-2</v>
      </c>
      <c r="W2619">
        <v>8.4278219999999997E-3</v>
      </c>
      <c r="X2619">
        <v>0.99670999999999998</v>
      </c>
      <c r="Y2619">
        <v>-0.14554300000000001</v>
      </c>
      <c r="Z2619">
        <v>1.3113410000000001E-2</v>
      </c>
      <c r="AA2619">
        <v>0.98926499999999995</v>
      </c>
      <c r="AB2619">
        <v>47</v>
      </c>
      <c r="AC2619">
        <v>-135.1507</v>
      </c>
      <c r="AD2619">
        <v>23.379359999999998</v>
      </c>
      <c r="AE2619">
        <v>-18.880199999999999</v>
      </c>
      <c r="AF2619">
        <v>-19.607764552077501</v>
      </c>
      <c r="AG2619">
        <v>23.379359999999998</v>
      </c>
      <c r="AH2619">
        <v>131.11382086465301</v>
      </c>
      <c r="AI2619">
        <v>79.998589994962003</v>
      </c>
      <c r="AJ2619">
        <v>98.505416825261094</v>
      </c>
      <c r="AK2619">
        <v>134.617580302379</v>
      </c>
      <c r="AL2619">
        <v>89.517115657485903</v>
      </c>
      <c r="AM2619">
        <v>94.623864058546999</v>
      </c>
      <c r="AN2619">
        <v>1.0000000105367699</v>
      </c>
    </row>
    <row r="2620" spans="1:40" x14ac:dyDescent="0.25">
      <c r="A2620" t="str">
        <f>"20190305134949173"</f>
        <v>20190305134949173</v>
      </c>
      <c r="B2620" t="str">
        <f>"1551764989162991"</f>
        <v>1551764989162991</v>
      </c>
      <c r="C2620" t="s">
        <v>40</v>
      </c>
      <c r="D2620">
        <v>3.7049050000000001</v>
      </c>
      <c r="E2620">
        <v>0.47626200000000002</v>
      </c>
      <c r="F2620" t="s">
        <v>76</v>
      </c>
      <c r="G2620">
        <v>-512.83330000000001</v>
      </c>
      <c r="H2620">
        <v>24.471360000000001</v>
      </c>
      <c r="I2620">
        <v>266.69659999999999</v>
      </c>
      <c r="J2620">
        <v>-377.9513</v>
      </c>
      <c r="K2620">
        <v>1.109421</v>
      </c>
      <c r="L2620">
        <v>285.55419999999998</v>
      </c>
      <c r="M2620">
        <v>-0.99984320000000004</v>
      </c>
      <c r="N2620">
        <v>-1.4776330000000001E-2</v>
      </c>
      <c r="O2620">
        <v>9.7526609999999993E-3</v>
      </c>
      <c r="P2620">
        <v>-0.99745439999999996</v>
      </c>
      <c r="Q2620">
        <v>-6.4813079999999999E-3</v>
      </c>
      <c r="R2620">
        <v>-7.1009879999999997E-2</v>
      </c>
      <c r="S2620">
        <v>-2.9813230000000002</v>
      </c>
      <c r="T2620">
        <v>0.51534809999999998</v>
      </c>
      <c r="U2620">
        <v>-0.41592410000000002</v>
      </c>
      <c r="V2620">
        <v>-8.0730590000000005E-2</v>
      </c>
      <c r="W2620">
        <v>8.2990809999999998E-3</v>
      </c>
      <c r="X2620">
        <v>0.99670139999999996</v>
      </c>
      <c r="Y2620">
        <v>-0.14572370000000001</v>
      </c>
      <c r="Z2620">
        <v>1.316226E-2</v>
      </c>
      <c r="AA2620">
        <v>0.98923779999999994</v>
      </c>
      <c r="AB2620">
        <v>47</v>
      </c>
      <c r="AC2620">
        <v>-134.88200000000001</v>
      </c>
      <c r="AD2620">
        <v>23.361939</v>
      </c>
      <c r="AE2620">
        <v>-18.857599999999898</v>
      </c>
      <c r="AF2620">
        <v>-19.595719189583001</v>
      </c>
      <c r="AG2620">
        <v>23.361939</v>
      </c>
      <c r="AH2620">
        <v>130.84175436906</v>
      </c>
      <c r="AI2620">
        <v>79.985845519737694</v>
      </c>
      <c r="AJ2620">
        <v>98.517684239426202</v>
      </c>
      <c r="AK2620">
        <v>134.347821310098</v>
      </c>
      <c r="AL2620">
        <v>89.524492222460594</v>
      </c>
      <c r="AM2620">
        <v>94.630721154465803</v>
      </c>
      <c r="AN2620">
        <v>0.999999991834576</v>
      </c>
    </row>
    <row r="2621" spans="1:40" x14ac:dyDescent="0.25">
      <c r="A2621" t="str">
        <f>"20190305134949186"</f>
        <v>20190305134949186</v>
      </c>
      <c r="B2621" t="str">
        <f>"1551764989172751"</f>
        <v>1551764989172751</v>
      </c>
      <c r="C2621" t="s">
        <v>40</v>
      </c>
      <c r="D2621">
        <v>2.8215490000000001</v>
      </c>
      <c r="E2621">
        <v>0.47626200000000002</v>
      </c>
      <c r="F2621" t="s">
        <v>76</v>
      </c>
      <c r="G2621">
        <v>-512.83330000000001</v>
      </c>
      <c r="H2621">
        <v>24.407399999999999</v>
      </c>
      <c r="I2621">
        <v>266.73989999999998</v>
      </c>
      <c r="J2621">
        <v>-378.22239999999999</v>
      </c>
      <c r="K2621">
        <v>1.1094280000000001</v>
      </c>
      <c r="L2621">
        <v>285.55689999999998</v>
      </c>
      <c r="M2621">
        <v>-0.99984229999999996</v>
      </c>
      <c r="N2621">
        <v>-1.477464E-2</v>
      </c>
      <c r="O2621">
        <v>9.8551279999999995E-3</v>
      </c>
      <c r="P2621">
        <v>-0.99745600000000001</v>
      </c>
      <c r="Q2621">
        <v>-6.7376240000000002E-3</v>
      </c>
      <c r="R2621">
        <v>-7.0968089999999998E-2</v>
      </c>
      <c r="S2621">
        <v>-2.9813839999999998</v>
      </c>
      <c r="T2621">
        <v>0.51497159999999997</v>
      </c>
      <c r="U2621">
        <v>-0.41586299999999998</v>
      </c>
      <c r="V2621">
        <v>-8.079066E-2</v>
      </c>
      <c r="W2621">
        <v>8.0401659999999996E-3</v>
      </c>
      <c r="X2621">
        <v>0.99669870000000005</v>
      </c>
      <c r="Y2621">
        <v>-0.14580279999999901</v>
      </c>
      <c r="Z2621">
        <v>1.3177110000000001E-2</v>
      </c>
      <c r="AA2621">
        <v>0.98922589999999999</v>
      </c>
      <c r="AB2621">
        <v>47</v>
      </c>
      <c r="AC2621">
        <v>-134.61089999999999</v>
      </c>
      <c r="AD2621">
        <v>23.297972000000001</v>
      </c>
      <c r="AE2621">
        <v>-18.817</v>
      </c>
      <c r="AF2621">
        <v>-19.567907599277302</v>
      </c>
      <c r="AG2621">
        <v>23.297972000000001</v>
      </c>
      <c r="AH2621">
        <v>130.582220107046</v>
      </c>
      <c r="AI2621">
        <v>79.993384916897995</v>
      </c>
      <c r="AJ2621">
        <v>98.522429660200501</v>
      </c>
      <c r="AK2621">
        <v>134.07988184366701</v>
      </c>
      <c r="AL2621">
        <v>89.5393274751696</v>
      </c>
      <c r="AM2621">
        <v>94.634164277634298</v>
      </c>
      <c r="AN2621">
        <v>1.00000003679711</v>
      </c>
    </row>
    <row r="2622" spans="1:40" x14ac:dyDescent="0.25">
      <c r="A2622" t="str">
        <f>"20190305134949239"</f>
        <v>20190305134949239</v>
      </c>
      <c r="B2622" t="str">
        <f>"1551764989233263"</f>
        <v>1551764989233263</v>
      </c>
      <c r="C2622" t="s">
        <v>40</v>
      </c>
      <c r="D2622">
        <v>3.8432430000000002</v>
      </c>
      <c r="E2622">
        <v>0.51332319999999998</v>
      </c>
      <c r="F2622" t="s">
        <v>76</v>
      </c>
      <c r="G2622">
        <v>-512.83330000000001</v>
      </c>
      <c r="H2622">
        <v>24.328990000000001</v>
      </c>
      <c r="I2622">
        <v>266.79930000000002</v>
      </c>
      <c r="J2622">
        <v>-379.31869999999998</v>
      </c>
      <c r="K2622">
        <v>1.1094850000000001</v>
      </c>
      <c r="L2622">
        <v>285.56810000000002</v>
      </c>
      <c r="M2622">
        <v>-0.99983889999999997</v>
      </c>
      <c r="N2622">
        <v>-1.476744E-2</v>
      </c>
      <c r="O2622">
        <v>1.021154E-2</v>
      </c>
      <c r="P2622">
        <v>-0.99723410000000001</v>
      </c>
      <c r="Q2622">
        <v>-6.5959950000000003E-3</v>
      </c>
      <c r="R2622">
        <v>-7.4031949999999999E-2</v>
      </c>
      <c r="S2622">
        <v>-2.9815369999999999</v>
      </c>
      <c r="T2622">
        <v>0.51429809999999998</v>
      </c>
      <c r="U2622">
        <v>-0.41546630000000001</v>
      </c>
      <c r="V2622">
        <v>-8.4208179999999994E-2</v>
      </c>
      <c r="W2622">
        <v>8.1660489999999999E-3</v>
      </c>
      <c r="X2622">
        <v>0.99641469999999999</v>
      </c>
      <c r="Y2622">
        <v>-0.14601610000000001</v>
      </c>
      <c r="Z2622">
        <v>1.3241360000000001E-2</v>
      </c>
      <c r="AA2622">
        <v>0.98919360000000001</v>
      </c>
      <c r="AB2622">
        <v>47</v>
      </c>
      <c r="AC2622">
        <v>-133.5146</v>
      </c>
      <c r="AD2622">
        <v>23.219504999999899</v>
      </c>
      <c r="AE2622">
        <v>-18.768799999999999</v>
      </c>
      <c r="AF2622">
        <v>-19.551490637631002</v>
      </c>
      <c r="AG2622">
        <v>23.219504999999899</v>
      </c>
      <c r="AH2622">
        <v>129.47589111436699</v>
      </c>
      <c r="AI2622">
        <v>79.944592375910304</v>
      </c>
      <c r="AJ2622">
        <v>98.587065405173703</v>
      </c>
      <c r="AK2622">
        <v>132.986512768994</v>
      </c>
      <c r="AL2622">
        <v>89.532114646578293</v>
      </c>
      <c r="AM2622">
        <v>94.830655234587098</v>
      </c>
      <c r="AN2622">
        <v>0.99999997815563602</v>
      </c>
    </row>
    <row r="2623" spans="1:40" x14ac:dyDescent="0.25">
      <c r="A2623" t="str">
        <f>"20190305134949252"</f>
        <v>20190305134949252</v>
      </c>
      <c r="B2623" t="str">
        <f>"1551764989243023"</f>
        <v>1551764989243023</v>
      </c>
      <c r="C2623" t="s">
        <v>40</v>
      </c>
      <c r="D2623">
        <v>3.832856</v>
      </c>
      <c r="E2623">
        <v>0.57543250000000001</v>
      </c>
      <c r="F2623" t="s">
        <v>76</v>
      </c>
      <c r="G2623">
        <v>-511.98899999999998</v>
      </c>
      <c r="H2623">
        <v>91.550219999999996</v>
      </c>
      <c r="I2623">
        <v>278.21730000000002</v>
      </c>
      <c r="J2623">
        <v>-379.60809999999998</v>
      </c>
      <c r="K2623">
        <v>1.1094949999999999</v>
      </c>
      <c r="L2623">
        <v>285.5711</v>
      </c>
      <c r="M2623">
        <v>-0.99983809999999995</v>
      </c>
      <c r="N2623">
        <v>-1.476558E-2</v>
      </c>
      <c r="O2623">
        <v>1.028631E-2</v>
      </c>
      <c r="P2623">
        <v>-0.99717690000000003</v>
      </c>
      <c r="Q2623">
        <v>-8.4738319999999902E-3</v>
      </c>
      <c r="R2623">
        <v>-7.4608530000000006E-2</v>
      </c>
      <c r="S2623">
        <v>-3.0095209999999999</v>
      </c>
      <c r="T2623">
        <v>2.051577</v>
      </c>
      <c r="U2623">
        <v>-0.16674800000000001</v>
      </c>
      <c r="V2623">
        <v>-8.4859770000000001E-2</v>
      </c>
      <c r="W2623">
        <v>6.2835440000000003E-3</v>
      </c>
      <c r="X2623">
        <v>0.99637310000000001</v>
      </c>
      <c r="Y2623">
        <v>-5.2598659999999998E-2</v>
      </c>
      <c r="Z2623">
        <v>2.226771E-2</v>
      </c>
      <c r="AA2623">
        <v>0.99836740000000002</v>
      </c>
      <c r="AB2623">
        <v>47</v>
      </c>
      <c r="AC2623">
        <v>-132.3809</v>
      </c>
      <c r="AD2623">
        <v>90.440725</v>
      </c>
      <c r="AE2623">
        <v>-7.3537999999999704</v>
      </c>
      <c r="AF2623">
        <v>-5.9477447392846496</v>
      </c>
      <c r="AG2623">
        <v>90.440725</v>
      </c>
      <c r="AH2623">
        <v>90.287065771410397</v>
      </c>
      <c r="AI2623">
        <v>45.013311957459301</v>
      </c>
      <c r="AJ2623">
        <v>93.768967269796505</v>
      </c>
      <c r="AK2623">
        <v>127.932226790673</v>
      </c>
      <c r="AL2623">
        <v>89.639977082483398</v>
      </c>
      <c r="AM2623">
        <v>94.868057439432505</v>
      </c>
      <c r="AN2623">
        <v>1.0000000089466301</v>
      </c>
    </row>
    <row r="2624" spans="1:40" x14ac:dyDescent="0.25">
      <c r="A2624" t="str">
        <f>"20190305134949267"</f>
        <v>20190305134949267</v>
      </c>
      <c r="B2624" t="str">
        <f>"1551764989263050"</f>
        <v>1551764989263050</v>
      </c>
      <c r="C2624" t="s">
        <v>40</v>
      </c>
      <c r="D2624">
        <v>3.787992</v>
      </c>
      <c r="E2624">
        <v>0.56893039999999995</v>
      </c>
      <c r="F2624" t="s">
        <v>77</v>
      </c>
      <c r="G2624">
        <v>-511.8306</v>
      </c>
      <c r="H2624">
        <v>31.56926</v>
      </c>
      <c r="I2624">
        <v>301.13959999999997</v>
      </c>
      <c r="J2624">
        <v>-379.94170000000003</v>
      </c>
      <c r="K2624">
        <v>1.109502</v>
      </c>
      <c r="L2624">
        <v>285.57459999999998</v>
      </c>
      <c r="M2624">
        <v>-0.99983750000000005</v>
      </c>
      <c r="N2624">
        <v>-1.476359E-2</v>
      </c>
      <c r="O2624">
        <v>1.035527E-2</v>
      </c>
      <c r="P2624">
        <v>-0.99708929999999996</v>
      </c>
      <c r="Q2624">
        <v>-1.0028280000000001E-2</v>
      </c>
      <c r="R2624">
        <v>-7.5583520000000001E-2</v>
      </c>
      <c r="S2624">
        <v>-3.0412599999999999</v>
      </c>
      <c r="T2624">
        <v>0.70060809999999996</v>
      </c>
      <c r="U2624">
        <v>0.3580933</v>
      </c>
      <c r="V2624">
        <v>-8.5903800000000002E-2</v>
      </c>
      <c r="W2624">
        <v>4.722403E-3</v>
      </c>
      <c r="X2624">
        <v>0.99629219999999996</v>
      </c>
      <c r="Y2624">
        <v>0.1044301</v>
      </c>
      <c r="Z2624">
        <v>-8.5542769999999903E-3</v>
      </c>
      <c r="AA2624">
        <v>0.99449549999999998</v>
      </c>
      <c r="AB2624">
        <v>47</v>
      </c>
      <c r="AC2624">
        <v>-131.88889999999901</v>
      </c>
      <c r="AD2624">
        <v>30.459758000000001</v>
      </c>
      <c r="AE2624">
        <v>15.5649999999999</v>
      </c>
      <c r="AF2624">
        <v>13.488694739701501</v>
      </c>
      <c r="AG2624">
        <v>30.459758000000001</v>
      </c>
      <c r="AH2624">
        <v>125.44400645306099</v>
      </c>
      <c r="AI2624">
        <v>76.427152171621003</v>
      </c>
      <c r="AJ2624">
        <v>83.862702557875394</v>
      </c>
      <c r="AK2624">
        <v>129.79191229886001</v>
      </c>
      <c r="AL2624">
        <v>89.729425221305803</v>
      </c>
      <c r="AM2624">
        <v>94.928054207281804</v>
      </c>
      <c r="AN2624">
        <v>0.99999995586268597</v>
      </c>
    </row>
    <row r="2625" spans="1:40" x14ac:dyDescent="0.25">
      <c r="A2625" t="str">
        <f>"20190305134949283"</f>
        <v>20190305134949283</v>
      </c>
      <c r="B2625" t="str">
        <f>"1551764989272810"</f>
        <v>1551764989272810</v>
      </c>
      <c r="C2625" t="s">
        <v>40</v>
      </c>
      <c r="D2625">
        <v>3.7651530000000002</v>
      </c>
      <c r="E2625">
        <v>0.56893039999999995</v>
      </c>
      <c r="F2625" t="s">
        <v>77</v>
      </c>
      <c r="G2625">
        <v>-511.82929999999999</v>
      </c>
      <c r="H2625">
        <v>27.744789999999998</v>
      </c>
      <c r="I2625">
        <v>298.84379999999999</v>
      </c>
      <c r="J2625">
        <v>-380.255</v>
      </c>
      <c r="K2625">
        <v>1.1095200000000001</v>
      </c>
      <c r="L2625">
        <v>285.5779</v>
      </c>
      <c r="M2625">
        <v>-0.99983690000000003</v>
      </c>
      <c r="N2625">
        <v>-1.476177E-2</v>
      </c>
      <c r="O2625">
        <v>1.040628E-2</v>
      </c>
      <c r="P2625">
        <v>-0.99709740000000002</v>
      </c>
      <c r="Q2625">
        <v>-9.508107E-3</v>
      </c>
      <c r="R2625">
        <v>-7.553965E-2</v>
      </c>
      <c r="S2625">
        <v>-3.038116</v>
      </c>
      <c r="T2625">
        <v>0.61356160000000004</v>
      </c>
      <c r="U2625">
        <v>0.30566409999999899</v>
      </c>
      <c r="V2625">
        <v>-8.5910710000000001E-2</v>
      </c>
      <c r="W2625">
        <v>5.236905E-3</v>
      </c>
      <c r="X2625">
        <v>0.99628910000000004</v>
      </c>
      <c r="Y2625">
        <v>8.835026E-2</v>
      </c>
      <c r="Z2625">
        <v>-5.9240439999999998E-3</v>
      </c>
      <c r="AA2625">
        <v>0.99607190000000001</v>
      </c>
      <c r="AB2625">
        <v>47</v>
      </c>
      <c r="AC2625">
        <v>-131.57429999999999</v>
      </c>
      <c r="AD2625">
        <v>26.635269999999998</v>
      </c>
      <c r="AE2625">
        <v>13.265899999999901</v>
      </c>
      <c r="AF2625">
        <v>11.432061821861801</v>
      </c>
      <c r="AG2625">
        <v>26.635269999999998</v>
      </c>
      <c r="AH2625">
        <v>126.57057119157101</v>
      </c>
      <c r="AI2625">
        <v>78.1629997561095</v>
      </c>
      <c r="AJ2625">
        <v>84.838955310521598</v>
      </c>
      <c r="AK2625">
        <v>129.84698355076401</v>
      </c>
      <c r="AL2625">
        <v>89.699946081181295</v>
      </c>
      <c r="AM2625">
        <v>94.928463921312499</v>
      </c>
      <c r="AN2625">
        <v>1.0000000230227399</v>
      </c>
    </row>
    <row r="2626" spans="1:40" x14ac:dyDescent="0.25">
      <c r="A2626" t="str">
        <f>"20190305134949296"</f>
        <v>20190305134949296</v>
      </c>
      <c r="B2626" t="str">
        <f>"1551764989293306"</f>
        <v>1551764989293306</v>
      </c>
      <c r="C2626" t="s">
        <v>40</v>
      </c>
      <c r="D2626">
        <v>3.7588210000000002</v>
      </c>
      <c r="E2626">
        <v>0.56824680000000005</v>
      </c>
      <c r="F2626" t="s">
        <v>77</v>
      </c>
      <c r="G2626">
        <v>-511.82929999999999</v>
      </c>
      <c r="H2626">
        <v>27.74072</v>
      </c>
      <c r="I2626">
        <v>298.83030000000002</v>
      </c>
      <c r="J2626">
        <v>-380.53019999999998</v>
      </c>
      <c r="K2626">
        <v>1.109534</v>
      </c>
      <c r="L2626">
        <v>285.58069999999998</v>
      </c>
      <c r="M2626">
        <v>-0.99983639999999996</v>
      </c>
      <c r="N2626">
        <v>-1.476017E-2</v>
      </c>
      <c r="O2626">
        <v>1.044309E-2</v>
      </c>
      <c r="P2626">
        <v>-0.99711229999999995</v>
      </c>
      <c r="Q2626">
        <v>-8.7270509999999996E-3</v>
      </c>
      <c r="R2626">
        <v>-7.5438399999999906E-2</v>
      </c>
      <c r="S2626">
        <v>-3.03775</v>
      </c>
      <c r="T2626">
        <v>0.61485429999999996</v>
      </c>
      <c r="U2626">
        <v>0.3059692</v>
      </c>
      <c r="V2626">
        <v>-8.5845729999999995E-2</v>
      </c>
      <c r="W2626">
        <v>6.0127059999999996E-3</v>
      </c>
      <c r="X2626">
        <v>0.99629029999999996</v>
      </c>
      <c r="Y2626">
        <v>8.8417700000000002E-2</v>
      </c>
      <c r="Z2626">
        <v>-5.937126E-3</v>
      </c>
      <c r="AA2626">
        <v>0.9960658</v>
      </c>
      <c r="AB2626">
        <v>47</v>
      </c>
      <c r="AC2626">
        <v>-131.29910000000001</v>
      </c>
      <c r="AD2626">
        <v>26.631186</v>
      </c>
      <c r="AE2626">
        <v>13.249599999999999</v>
      </c>
      <c r="AF2626">
        <v>11.412778024522099</v>
      </c>
      <c r="AG2626">
        <v>26.631186</v>
      </c>
      <c r="AH2626">
        <v>126.287313399382</v>
      </c>
      <c r="AI2626">
        <v>78.139020202915404</v>
      </c>
      <c r="AJ2626">
        <v>84.836119950709104</v>
      </c>
      <c r="AK2626">
        <v>129.56834912754499</v>
      </c>
      <c r="AL2626">
        <v>89.655495247599404</v>
      </c>
      <c r="AM2626">
        <v>94.924748632736197</v>
      </c>
      <c r="AN2626">
        <v>1.0000000019333799</v>
      </c>
    </row>
    <row r="2627" spans="1:40" x14ac:dyDescent="0.25">
      <c r="A2627" t="str">
        <f>"20190305134949308"</f>
        <v>20190305134949308</v>
      </c>
      <c r="B2627" t="str">
        <f>"1551764989303066"</f>
        <v>1551764989303066</v>
      </c>
      <c r="C2627" t="s">
        <v>40</v>
      </c>
      <c r="D2627">
        <v>3.8279260000000002</v>
      </c>
      <c r="E2627">
        <v>0.56705620000000001</v>
      </c>
      <c r="F2627" t="s">
        <v>77</v>
      </c>
      <c r="G2627">
        <v>-511.82920000000001</v>
      </c>
      <c r="H2627">
        <v>27.248169999999998</v>
      </c>
      <c r="I2627">
        <v>298.61579999999998</v>
      </c>
      <c r="J2627">
        <v>-380.80520000000001</v>
      </c>
      <c r="K2627">
        <v>1.109551</v>
      </c>
      <c r="L2627">
        <v>285.58359999999999</v>
      </c>
      <c r="M2627">
        <v>-0.99983619999999995</v>
      </c>
      <c r="N2627">
        <v>-1.475856E-2</v>
      </c>
      <c r="O2627">
        <v>1.047299E-2</v>
      </c>
      <c r="P2627">
        <v>-0.99716380000000004</v>
      </c>
      <c r="Q2627">
        <v>-7.7840219999999998E-3</v>
      </c>
      <c r="R2627">
        <v>-7.4860209999999996E-2</v>
      </c>
      <c r="S2627">
        <v>-3.0367739999999999</v>
      </c>
      <c r="T2627">
        <v>0.60455319999999901</v>
      </c>
      <c r="U2627">
        <v>0.30148320000000001</v>
      </c>
      <c r="V2627">
        <v>-8.5297899999999996E-2</v>
      </c>
      <c r="W2627">
        <v>6.952054E-3</v>
      </c>
      <c r="X2627">
        <v>0.99633119999999997</v>
      </c>
      <c r="Y2627">
        <v>8.7035920000000003E-2</v>
      </c>
      <c r="Z2627">
        <v>-5.6971649999999997E-3</v>
      </c>
      <c r="AA2627">
        <v>0.99618890000000004</v>
      </c>
      <c r="AB2627">
        <v>47</v>
      </c>
      <c r="AC2627">
        <v>-131.024</v>
      </c>
      <c r="AD2627">
        <v>26.138618999999998</v>
      </c>
      <c r="AE2627">
        <v>13.0321999999999</v>
      </c>
      <c r="AF2627">
        <v>11.217076191955501</v>
      </c>
      <c r="AG2627">
        <v>26.138618999999998</v>
      </c>
      <c r="AH2627">
        <v>126.180740008234</v>
      </c>
      <c r="AI2627">
        <v>78.341295618152003</v>
      </c>
      <c r="AJ2627">
        <v>84.919936931451502</v>
      </c>
      <c r="AK2627">
        <v>129.34693405933101</v>
      </c>
      <c r="AL2627">
        <v>89.601673422861296</v>
      </c>
      <c r="AM2627">
        <v>94.893274224263905</v>
      </c>
      <c r="AN2627">
        <v>0.99999996144633296</v>
      </c>
    </row>
    <row r="2628" spans="1:40" x14ac:dyDescent="0.25">
      <c r="A2628" t="str">
        <f>"20190305134949323"</f>
        <v>20190305134949323</v>
      </c>
      <c r="B2628" t="str">
        <f>"1551764989312827"</f>
        <v>1551764989312827</v>
      </c>
      <c r="C2628" t="s">
        <v>40</v>
      </c>
      <c r="D2628">
        <v>3.8126259999999998</v>
      </c>
      <c r="E2628">
        <v>0.56683319999999904</v>
      </c>
      <c r="F2628" t="s">
        <v>77</v>
      </c>
      <c r="G2628">
        <v>-511.82909999999998</v>
      </c>
      <c r="H2628">
        <v>27.051960000000001</v>
      </c>
      <c r="I2628">
        <v>298.2801</v>
      </c>
      <c r="J2628">
        <v>-381.0994</v>
      </c>
      <c r="K2628">
        <v>1.109559</v>
      </c>
      <c r="L2628">
        <v>285.58670000000001</v>
      </c>
      <c r="M2628">
        <v>-0.99983610000000001</v>
      </c>
      <c r="N2628">
        <v>-1.475682E-2</v>
      </c>
      <c r="O2628">
        <v>1.049335E-2</v>
      </c>
      <c r="P2628">
        <v>-0.99725280000000005</v>
      </c>
      <c r="Q2628">
        <v>-7.037148E-3</v>
      </c>
      <c r="R2628">
        <v>-7.3738199999999907E-2</v>
      </c>
      <c r="S2628">
        <v>-3.0353089999999998</v>
      </c>
      <c r="T2628">
        <v>0.60098479999999999</v>
      </c>
      <c r="U2628">
        <v>0.29412840000000001</v>
      </c>
      <c r="V2628">
        <v>-8.4197569999999999E-2</v>
      </c>
      <c r="W2628">
        <v>7.6949480000000001E-3</v>
      </c>
      <c r="X2628">
        <v>0.99641939999999996</v>
      </c>
      <c r="Y2628">
        <v>8.4727919999999998E-2</v>
      </c>
      <c r="Z2628">
        <v>-5.4506669999999898E-3</v>
      </c>
      <c r="AA2628">
        <v>0.99638919999999997</v>
      </c>
      <c r="AB2628">
        <v>47</v>
      </c>
      <c r="AC2628">
        <v>-130.72969999999901</v>
      </c>
      <c r="AD2628">
        <v>25.942401</v>
      </c>
      <c r="AE2628">
        <v>12.693399999999899</v>
      </c>
      <c r="AF2628">
        <v>10.8956978188832</v>
      </c>
      <c r="AG2628">
        <v>25.942401</v>
      </c>
      <c r="AH2628">
        <v>125.94246288741699</v>
      </c>
      <c r="AI2628">
        <v>78.402800837130997</v>
      </c>
      <c r="AJ2628">
        <v>85.055464505253497</v>
      </c>
      <c r="AK2628">
        <v>129.04738803537899</v>
      </c>
      <c r="AL2628">
        <v>89.559107618963694</v>
      </c>
      <c r="AM2628">
        <v>94.830026789911997</v>
      </c>
      <c r="AN2628">
        <v>1.00000003185749</v>
      </c>
    </row>
    <row r="2629" spans="1:40" x14ac:dyDescent="0.25">
      <c r="A2629" t="str">
        <f>"20190305134949336"</f>
        <v>20190305134949336</v>
      </c>
      <c r="B2629" t="str">
        <f>"1551764989323563"</f>
        <v>1551764989323563</v>
      </c>
      <c r="C2629" t="s">
        <v>40</v>
      </c>
      <c r="D2629">
        <v>3.8842080000000001</v>
      </c>
      <c r="E2629">
        <v>0.56351019999999996</v>
      </c>
      <c r="F2629" t="s">
        <v>77</v>
      </c>
      <c r="G2629">
        <v>-511.82900000000001</v>
      </c>
      <c r="H2629">
        <v>26.847490000000001</v>
      </c>
      <c r="I2629">
        <v>298.33760000000001</v>
      </c>
      <c r="J2629">
        <v>-381.36869999999999</v>
      </c>
      <c r="K2629">
        <v>1.1095660000000001</v>
      </c>
      <c r="L2629">
        <v>285.58949999999999</v>
      </c>
      <c r="M2629">
        <v>-0.99983599999999995</v>
      </c>
      <c r="N2629">
        <v>-1.475516E-2</v>
      </c>
      <c r="O2629">
        <v>1.0504370000000001E-2</v>
      </c>
      <c r="P2629">
        <v>-0.99730240000000003</v>
      </c>
      <c r="Q2629">
        <v>-7.0262359999999999E-3</v>
      </c>
      <c r="R2629">
        <v>-7.3066119999999998E-2</v>
      </c>
      <c r="S2629">
        <v>-3.0343629999999999</v>
      </c>
      <c r="T2629">
        <v>0.59740349999999998</v>
      </c>
      <c r="U2629">
        <v>0.29595949999999999</v>
      </c>
      <c r="V2629">
        <v>-8.3537109999999998E-2</v>
      </c>
      <c r="W2629">
        <v>7.7016230000000003E-3</v>
      </c>
      <c r="X2629">
        <v>0.99647490000000005</v>
      </c>
      <c r="Y2629">
        <v>8.5346889999999995E-2</v>
      </c>
      <c r="Z2629">
        <v>-5.469331E-3</v>
      </c>
      <c r="AA2629">
        <v>0.99633629999999995</v>
      </c>
      <c r="AB2629">
        <v>47</v>
      </c>
      <c r="AC2629">
        <v>-130.46029999999999</v>
      </c>
      <c r="AD2629">
        <v>25.737924</v>
      </c>
      <c r="AE2629">
        <v>12.748100000000001</v>
      </c>
      <c r="AF2629">
        <v>10.9545100792014</v>
      </c>
      <c r="AG2629">
        <v>25.737924</v>
      </c>
      <c r="AH2629">
        <v>125.73934211915601</v>
      </c>
      <c r="AI2629">
        <v>78.474255308430003</v>
      </c>
      <c r="AJ2629">
        <v>85.0209184943688</v>
      </c>
      <c r="AK2629">
        <v>128.81313667271399</v>
      </c>
      <c r="AL2629">
        <v>89.558725142066194</v>
      </c>
      <c r="AM2629">
        <v>94.792050721364205</v>
      </c>
      <c r="AN2629">
        <v>0.99999999503699799</v>
      </c>
    </row>
    <row r="2630" spans="1:40" x14ac:dyDescent="0.25">
      <c r="A2630" t="str">
        <f>"20190305134949348"</f>
        <v>20190305134949348</v>
      </c>
      <c r="B2630" t="str">
        <f>"1551764989343082"</f>
        <v>1551764989343082</v>
      </c>
      <c r="C2630" t="s">
        <v>40</v>
      </c>
      <c r="D2630">
        <v>3.7531949999999998</v>
      </c>
      <c r="E2630">
        <v>0.56021829999999995</v>
      </c>
      <c r="F2630" t="s">
        <v>77</v>
      </c>
      <c r="G2630">
        <v>-510.96210000000002</v>
      </c>
      <c r="H2630">
        <v>25.626439999999999</v>
      </c>
      <c r="I2630">
        <v>297.22300000000001</v>
      </c>
      <c r="J2630">
        <v>-381.63249999999999</v>
      </c>
      <c r="K2630">
        <v>1.1095759999999999</v>
      </c>
      <c r="L2630">
        <v>285.5924</v>
      </c>
      <c r="M2630">
        <v>-0.9998359</v>
      </c>
      <c r="N2630">
        <v>-1.4753459999999999E-2</v>
      </c>
      <c r="O2630">
        <v>1.0507290000000001E-2</v>
      </c>
      <c r="P2630">
        <v>-0.99733939999999999</v>
      </c>
      <c r="Q2630">
        <v>-7.4956069999999996E-3</v>
      </c>
      <c r="R2630">
        <v>-7.2512889999999997E-2</v>
      </c>
      <c r="S2630">
        <v>-3.0320740000000002</v>
      </c>
      <c r="T2630">
        <v>0.57361790000000001</v>
      </c>
      <c r="U2630">
        <v>0.27218629999999999</v>
      </c>
      <c r="V2630">
        <v>-8.2987640000000001E-2</v>
      </c>
      <c r="W2630">
        <v>7.2281369999999999E-3</v>
      </c>
      <c r="X2630">
        <v>0.99652430000000003</v>
      </c>
      <c r="Y2630">
        <v>7.789198E-2</v>
      </c>
      <c r="Z2630">
        <v>-4.5890039999999998E-3</v>
      </c>
      <c r="AA2630">
        <v>0.99695120000000004</v>
      </c>
      <c r="AB2630">
        <v>47</v>
      </c>
      <c r="AC2630">
        <v>-129.3296</v>
      </c>
      <c r="AD2630">
        <v>24.516864000000002</v>
      </c>
      <c r="AE2630">
        <v>11.630599999999999</v>
      </c>
      <c r="AF2630">
        <v>9.9173712618060001</v>
      </c>
      <c r="AG2630">
        <v>24.516864000000002</v>
      </c>
      <c r="AH2630">
        <v>124.989062043955</v>
      </c>
      <c r="AI2630">
        <v>78.936125000357606</v>
      </c>
      <c r="AJ2630">
        <v>85.463318763194493</v>
      </c>
      <c r="AK2630">
        <v>127.756395157998</v>
      </c>
      <c r="AL2630">
        <v>89.585854623950993</v>
      </c>
      <c r="AM2630">
        <v>94.760441176361496</v>
      </c>
      <c r="AN2630">
        <v>0.99999993742387305</v>
      </c>
    </row>
    <row r="2631" spans="1:40" x14ac:dyDescent="0.25">
      <c r="A2631" t="str">
        <f>"20190305134949361"</f>
        <v>20190305134949361</v>
      </c>
      <c r="B2631" t="str">
        <f>"1551764989353349"</f>
        <v>1551764989353349</v>
      </c>
      <c r="C2631" t="s">
        <v>40</v>
      </c>
      <c r="D2631">
        <v>3.7884220000000002</v>
      </c>
      <c r="E2631">
        <v>0.55902629999999998</v>
      </c>
      <c r="F2631" t="s">
        <v>77</v>
      </c>
      <c r="G2631">
        <v>-510.96179999999998</v>
      </c>
      <c r="H2631">
        <v>24.618040000000001</v>
      </c>
      <c r="I2631">
        <v>296.19319999999999</v>
      </c>
      <c r="J2631">
        <v>-381.88040000000001</v>
      </c>
      <c r="K2631">
        <v>1.109586</v>
      </c>
      <c r="L2631">
        <v>285.59500000000003</v>
      </c>
      <c r="M2631">
        <v>-0.99983610000000001</v>
      </c>
      <c r="N2631">
        <v>-1.475185E-2</v>
      </c>
      <c r="O2631">
        <v>1.0497869999999999E-2</v>
      </c>
      <c r="P2631">
        <v>-0.99735770000000001</v>
      </c>
      <c r="Q2631">
        <v>-8.0316520000000002E-3</v>
      </c>
      <c r="R2631">
        <v>-7.2203379999999998E-2</v>
      </c>
      <c r="S2631">
        <v>-3.030243</v>
      </c>
      <c r="T2631">
        <v>0.55081530000000001</v>
      </c>
      <c r="U2631">
        <v>0.24838260000000001</v>
      </c>
      <c r="V2631">
        <v>-8.2669110000000004E-2</v>
      </c>
      <c r="W2631">
        <v>6.6878939999999998E-3</v>
      </c>
      <c r="X2631">
        <v>0.99655459999999996</v>
      </c>
      <c r="Y2631">
        <v>7.0374740000000005E-2</v>
      </c>
      <c r="Z2631">
        <v>-3.767262E-3</v>
      </c>
      <c r="AA2631">
        <v>0.99751350000000005</v>
      </c>
      <c r="AB2631">
        <v>47</v>
      </c>
      <c r="AC2631">
        <v>-129.08139999999901</v>
      </c>
      <c r="AD2631">
        <v>23.508454</v>
      </c>
      <c r="AE2631">
        <v>10.598199999999901</v>
      </c>
      <c r="AF2631">
        <v>8.9476008357400101</v>
      </c>
      <c r="AG2631">
        <v>23.508454</v>
      </c>
      <c r="AH2631">
        <v>125.06515693492599</v>
      </c>
      <c r="AI2631">
        <v>79.380874327133398</v>
      </c>
      <c r="AJ2631">
        <v>85.907830965902605</v>
      </c>
      <c r="AK2631">
        <v>127.569590613687</v>
      </c>
      <c r="AL2631">
        <v>89.616809039632102</v>
      </c>
      <c r="AM2631">
        <v>94.742109222516405</v>
      </c>
      <c r="AN2631">
        <v>0.99999999022775299</v>
      </c>
    </row>
    <row r="2632" spans="1:40" x14ac:dyDescent="0.25">
      <c r="A2632" t="str">
        <f>"20190305134949373"</f>
        <v>20190305134949373</v>
      </c>
      <c r="B2632" t="str">
        <f>"1551764989363109"</f>
        <v>1551764989363109</v>
      </c>
      <c r="C2632" t="s">
        <v>40</v>
      </c>
      <c r="D2632">
        <v>3.7688630000000001</v>
      </c>
      <c r="E2632">
        <v>0.55797949999999996</v>
      </c>
      <c r="F2632" t="s">
        <v>77</v>
      </c>
      <c r="G2632">
        <v>-510.96159999999998</v>
      </c>
      <c r="H2632">
        <v>24.179469999999998</v>
      </c>
      <c r="I2632">
        <v>295.82130000000001</v>
      </c>
      <c r="J2632">
        <v>-382.16019999999997</v>
      </c>
      <c r="K2632">
        <v>1.109599</v>
      </c>
      <c r="L2632">
        <v>285.59789999999998</v>
      </c>
      <c r="M2632">
        <v>-0.99983619999999995</v>
      </c>
      <c r="N2632">
        <v>-1.4750040000000001E-2</v>
      </c>
      <c r="O2632">
        <v>1.0481610000000001E-2</v>
      </c>
      <c r="P2632">
        <v>-0.9973805</v>
      </c>
      <c r="Q2632">
        <v>-8.7703639999999992E-3</v>
      </c>
      <c r="R2632">
        <v>-7.1799230000000006E-2</v>
      </c>
      <c r="S2632">
        <v>-3.0296630000000002</v>
      </c>
      <c r="T2632">
        <v>0.54147369999999995</v>
      </c>
      <c r="U2632">
        <v>0.24002080000000001</v>
      </c>
      <c r="V2632">
        <v>-8.2249399999999903E-2</v>
      </c>
      <c r="W2632">
        <v>5.9445189999999997E-3</v>
      </c>
      <c r="X2632">
        <v>0.99659410000000004</v>
      </c>
      <c r="Y2632">
        <v>6.7738439999999997E-2</v>
      </c>
      <c r="Z2632">
        <v>-3.483917E-3</v>
      </c>
      <c r="AA2632">
        <v>0.9976971</v>
      </c>
      <c r="AB2632">
        <v>47</v>
      </c>
      <c r="AC2632">
        <v>-128.8014</v>
      </c>
      <c r="AD2632">
        <v>23.069870999999999</v>
      </c>
      <c r="AE2632">
        <v>10.2234</v>
      </c>
      <c r="AF2632">
        <v>8.5985222576621592</v>
      </c>
      <c r="AG2632">
        <v>23.069870999999999</v>
      </c>
      <c r="AH2632">
        <v>124.91904273836199</v>
      </c>
      <c r="AI2632">
        <v>79.560745827682894</v>
      </c>
      <c r="AJ2632">
        <v>86.062384368025107</v>
      </c>
      <c r="AK2632">
        <v>127.322114228601</v>
      </c>
      <c r="AL2632">
        <v>89.659402161320997</v>
      </c>
      <c r="AM2632">
        <v>94.717956402560304</v>
      </c>
      <c r="AN2632">
        <v>1.0000000506306499</v>
      </c>
    </row>
    <row r="2633" spans="1:40" x14ac:dyDescent="0.25">
      <c r="A2633" t="str">
        <f>"20190305134949385"</f>
        <v>20190305134949385</v>
      </c>
      <c r="B2633" t="str">
        <f>"1551764989372869"</f>
        <v>1551764989372869</v>
      </c>
      <c r="C2633" t="s">
        <v>40</v>
      </c>
      <c r="D2633">
        <v>3.990275</v>
      </c>
      <c r="E2633">
        <v>0.55797949999999996</v>
      </c>
      <c r="F2633" t="s">
        <v>77</v>
      </c>
      <c r="G2633">
        <v>-510.9615</v>
      </c>
      <c r="H2633">
        <v>23.739090000000001</v>
      </c>
      <c r="I2633">
        <v>295.50839999999999</v>
      </c>
      <c r="J2633">
        <v>-382.41230000000002</v>
      </c>
      <c r="K2633">
        <v>1.1096109999999999</v>
      </c>
      <c r="L2633">
        <v>285.60050000000001</v>
      </c>
      <c r="M2633">
        <v>-0.99983659999999996</v>
      </c>
      <c r="N2633">
        <v>-1.474846E-2</v>
      </c>
      <c r="O2633">
        <v>1.045774E-2</v>
      </c>
      <c r="P2633">
        <v>-0.99739800000000001</v>
      </c>
      <c r="Q2633">
        <v>-9.1749540000000008E-3</v>
      </c>
      <c r="R2633">
        <v>-7.1504369999999998E-2</v>
      </c>
      <c r="S2633">
        <v>-3.029388</v>
      </c>
      <c r="T2633">
        <v>0.53224349999999998</v>
      </c>
      <c r="U2633">
        <v>0.2330933</v>
      </c>
      <c r="V2633">
        <v>-8.1931669999999998E-2</v>
      </c>
      <c r="W2633">
        <v>5.5358760000000003E-3</v>
      </c>
      <c r="X2633">
        <v>0.99662260000000003</v>
      </c>
      <c r="Y2633">
        <v>6.5559329999999999E-2</v>
      </c>
      <c r="Z2633">
        <v>-3.2462989999999998E-3</v>
      </c>
      <c r="AA2633">
        <v>0.99784340000000005</v>
      </c>
      <c r="AB2633">
        <v>47</v>
      </c>
      <c r="AC2633">
        <v>-128.54919999999899</v>
      </c>
      <c r="AD2633">
        <v>22.629479</v>
      </c>
      <c r="AE2633">
        <v>9.9078999999999802</v>
      </c>
      <c r="AF2633">
        <v>8.3069716292004294</v>
      </c>
      <c r="AG2633">
        <v>22.629479</v>
      </c>
      <c r="AH2633">
        <v>124.801146069681</v>
      </c>
      <c r="AI2633">
        <v>79.744757844895901</v>
      </c>
      <c r="AJ2633">
        <v>86.191914943987996</v>
      </c>
      <c r="AK2633">
        <v>127.107927202695</v>
      </c>
      <c r="AL2633">
        <v>89.682816057348603</v>
      </c>
      <c r="AM2633">
        <v>94.699678908132697</v>
      </c>
      <c r="AN2633">
        <v>1.0000000256514101</v>
      </c>
    </row>
    <row r="2634" spans="1:40" x14ac:dyDescent="0.25">
      <c r="A2634" t="str">
        <f>"20190305134949398"</f>
        <v>20190305134949398</v>
      </c>
      <c r="B2634" t="str">
        <f>"1551764989393365"</f>
        <v>1551764989393365</v>
      </c>
      <c r="C2634" t="s">
        <v>40</v>
      </c>
      <c r="D2634">
        <v>3.7858689999999999</v>
      </c>
      <c r="E2634">
        <v>0.55587659999999905</v>
      </c>
      <c r="F2634" t="s">
        <v>77</v>
      </c>
      <c r="G2634">
        <v>-510.9615</v>
      </c>
      <c r="H2634">
        <v>23.63796</v>
      </c>
      <c r="I2634">
        <v>295.5326</v>
      </c>
      <c r="J2634">
        <v>-382.66149999999999</v>
      </c>
      <c r="K2634">
        <v>1.1096299999999999</v>
      </c>
      <c r="L2634">
        <v>285.60309999999998</v>
      </c>
      <c r="M2634">
        <v>-0.99983699999999998</v>
      </c>
      <c r="N2634">
        <v>-1.47469E-2</v>
      </c>
      <c r="O2634">
        <v>1.042762E-2</v>
      </c>
      <c r="P2634">
        <v>-0.99742070000000005</v>
      </c>
      <c r="Q2634">
        <v>-9.2321399999999998E-3</v>
      </c>
      <c r="R2634">
        <v>-7.1184979999999995E-2</v>
      </c>
      <c r="S2634">
        <v>-3.0295100000000001</v>
      </c>
      <c r="T2634">
        <v>0.530925599999999</v>
      </c>
      <c r="U2634">
        <v>0.23406979999999999</v>
      </c>
      <c r="V2634">
        <v>-8.1582409999999994E-2</v>
      </c>
      <c r="W2634">
        <v>5.4738879999999997E-3</v>
      </c>
      <c r="X2634">
        <v>0.99665159999999997</v>
      </c>
      <c r="Y2634">
        <v>6.5904679999999993E-2</v>
      </c>
      <c r="Z2634">
        <v>-3.269788E-3</v>
      </c>
      <c r="AA2634">
        <v>0.99782059999999995</v>
      </c>
      <c r="AB2634">
        <v>47</v>
      </c>
      <c r="AC2634">
        <v>-128.30000000000001</v>
      </c>
      <c r="AD2634">
        <v>22.52833</v>
      </c>
      <c r="AE2634">
        <v>9.9295000000000098</v>
      </c>
      <c r="AF2634">
        <v>8.3354799342640007</v>
      </c>
      <c r="AG2634">
        <v>22.52833</v>
      </c>
      <c r="AH2634">
        <v>124.578416497267</v>
      </c>
      <c r="AI2634">
        <v>79.771991847317693</v>
      </c>
      <c r="AJ2634">
        <v>86.172073455495195</v>
      </c>
      <c r="AK2634">
        <v>126.873116676819</v>
      </c>
      <c r="AL2634">
        <v>89.686367763978893</v>
      </c>
      <c r="AM2634">
        <v>94.679598626150494</v>
      </c>
      <c r="AN2634">
        <v>1.0000000324269001</v>
      </c>
    </row>
    <row r="2635" spans="1:40" x14ac:dyDescent="0.25">
      <c r="A2635" t="str">
        <f>"20190305134949409"</f>
        <v>20190305134949409</v>
      </c>
      <c r="B2635" t="str">
        <f>"1551764989403125"</f>
        <v>1551764989403125</v>
      </c>
      <c r="C2635" t="s">
        <v>40</v>
      </c>
      <c r="D2635">
        <v>3.7459389999999999</v>
      </c>
      <c r="E2635">
        <v>0.55504980000000004</v>
      </c>
      <c r="F2635" t="s">
        <v>77</v>
      </c>
      <c r="G2635">
        <v>-510.96120000000002</v>
      </c>
      <c r="H2635">
        <v>23.018059999999998</v>
      </c>
      <c r="I2635">
        <v>294.87520000000001</v>
      </c>
      <c r="J2635">
        <v>-382.92160000000001</v>
      </c>
      <c r="K2635">
        <v>1.1096490000000001</v>
      </c>
      <c r="L2635">
        <v>285.60579999999999</v>
      </c>
      <c r="M2635">
        <v>-0.99983730000000004</v>
      </c>
      <c r="N2635">
        <v>-1.4745279999999999E-2</v>
      </c>
      <c r="O2635">
        <v>1.039259E-2</v>
      </c>
      <c r="P2635">
        <v>-0.99745640000000002</v>
      </c>
      <c r="Q2635">
        <v>-8.8942869999999903E-3</v>
      </c>
      <c r="R2635">
        <v>-7.0721629999999994E-2</v>
      </c>
      <c r="S2635">
        <v>-3.028168</v>
      </c>
      <c r="T2635">
        <v>0.51709039999999995</v>
      </c>
      <c r="U2635">
        <v>0.2188416</v>
      </c>
      <c r="V2635">
        <v>-8.1084669999999998E-2</v>
      </c>
      <c r="W2635">
        <v>5.80767E-3</v>
      </c>
      <c r="X2635">
        <v>0.99669030000000003</v>
      </c>
      <c r="Y2635">
        <v>6.10845E-2</v>
      </c>
      <c r="Z2635">
        <v>-2.806093E-3</v>
      </c>
      <c r="AA2635">
        <v>0.99812869999999998</v>
      </c>
      <c r="AB2635">
        <v>47</v>
      </c>
      <c r="AC2635">
        <v>-128.03960000000001</v>
      </c>
      <c r="AD2635">
        <v>21.908410999999901</v>
      </c>
      <c r="AE2635">
        <v>9.2694000000000099</v>
      </c>
      <c r="AF2635">
        <v>7.7134392193541501</v>
      </c>
      <c r="AG2635">
        <v>21.908410999999901</v>
      </c>
      <c r="AH2635">
        <v>124.502905173492</v>
      </c>
      <c r="AI2635">
        <v>80.038716175131398</v>
      </c>
      <c r="AJ2635">
        <v>86.454834762822401</v>
      </c>
      <c r="AK2635">
        <v>126.65089424783</v>
      </c>
      <c r="AL2635">
        <v>89.667243150723394</v>
      </c>
      <c r="AM2635">
        <v>94.650993908270195</v>
      </c>
      <c r="AN2635">
        <v>1.00000000342696</v>
      </c>
    </row>
    <row r="2636" spans="1:40" x14ac:dyDescent="0.25">
      <c r="A2636" t="str">
        <f>"20190305134949423"</f>
        <v>20190305134949423</v>
      </c>
      <c r="B2636" t="str">
        <f>"1551764989412885"</f>
        <v>1551764989412885</v>
      </c>
      <c r="C2636" t="s">
        <v>40</v>
      </c>
      <c r="D2636">
        <v>3.7044670000000002</v>
      </c>
      <c r="E2636">
        <v>0.55410879999999996</v>
      </c>
      <c r="F2636" t="s">
        <v>77</v>
      </c>
      <c r="G2636">
        <v>-510.96120000000002</v>
      </c>
      <c r="H2636">
        <v>22.808969999999999</v>
      </c>
      <c r="I2636">
        <v>294.65879999999999</v>
      </c>
      <c r="J2636">
        <v>-383.21319999999997</v>
      </c>
      <c r="K2636">
        <v>1.1096710000000001</v>
      </c>
      <c r="L2636">
        <v>285.60879999999997</v>
      </c>
      <c r="M2636">
        <v>-0.99983789999999995</v>
      </c>
      <c r="N2636">
        <v>-1.474348E-2</v>
      </c>
      <c r="O2636">
        <v>1.0343659999999999E-2</v>
      </c>
      <c r="P2636">
        <v>-0.99752320000000005</v>
      </c>
      <c r="Q2636">
        <v>-7.9816769999999995E-3</v>
      </c>
      <c r="R2636">
        <v>-6.9883749999999994E-2</v>
      </c>
      <c r="S2636">
        <v>-3.027374</v>
      </c>
      <c r="T2636">
        <v>0.51306130000000005</v>
      </c>
      <c r="U2636">
        <v>0.2140503</v>
      </c>
      <c r="V2636">
        <v>-8.019925E-2</v>
      </c>
      <c r="W2636">
        <v>6.7160259999999999E-3</v>
      </c>
      <c r="X2636">
        <v>0.99675630000000004</v>
      </c>
      <c r="Y2636">
        <v>5.9608679999999997E-2</v>
      </c>
      <c r="Z2636">
        <v>-2.676936E-3</v>
      </c>
      <c r="AA2636">
        <v>0.99821819999999895</v>
      </c>
      <c r="AB2636">
        <v>47</v>
      </c>
      <c r="AC2636">
        <v>-127.748</v>
      </c>
      <c r="AD2636">
        <v>21.699299</v>
      </c>
      <c r="AE2636">
        <v>9.0500000000000096</v>
      </c>
      <c r="AF2636">
        <v>7.5123235315110897</v>
      </c>
      <c r="AG2636">
        <v>21.699299</v>
      </c>
      <c r="AH2636">
        <v>124.26726960921999</v>
      </c>
      <c r="AI2636">
        <v>80.112687102819294</v>
      </c>
      <c r="AJ2636">
        <v>86.540511081231998</v>
      </c>
      <c r="AK2636">
        <v>126.371076113421</v>
      </c>
      <c r="AL2636">
        <v>89.615197190455106</v>
      </c>
      <c r="AM2636">
        <v>94.600122351586094</v>
      </c>
      <c r="AN2636">
        <v>1.0000000731477301</v>
      </c>
    </row>
    <row r="2637" spans="1:40" x14ac:dyDescent="0.25">
      <c r="A2637" t="str">
        <f>"20190305134949437"</f>
        <v>20190305134949437</v>
      </c>
      <c r="B2637" t="str">
        <f>"1551764989433381"</f>
        <v>1551764989433381</v>
      </c>
      <c r="C2637" t="s">
        <v>40</v>
      </c>
      <c r="D2637">
        <v>4.0069980000000003</v>
      </c>
      <c r="E2637">
        <v>0.55337250000000004</v>
      </c>
      <c r="F2637" t="s">
        <v>77</v>
      </c>
      <c r="G2637">
        <v>-510.96109999999999</v>
      </c>
      <c r="H2637">
        <v>22.474589999999999</v>
      </c>
      <c r="I2637">
        <v>294.45929999999998</v>
      </c>
      <c r="J2637">
        <v>-383.47910000000002</v>
      </c>
      <c r="K2637">
        <v>1.1096809999999999</v>
      </c>
      <c r="L2637">
        <v>285.61160000000001</v>
      </c>
      <c r="M2637">
        <v>-0.99983840000000002</v>
      </c>
      <c r="N2637">
        <v>-1.4741829999999999E-2</v>
      </c>
      <c r="O2637">
        <v>1.029567E-2</v>
      </c>
      <c r="P2637">
        <v>-0.99753809999999998</v>
      </c>
      <c r="Q2637">
        <v>-7.7466050000000002E-3</v>
      </c>
      <c r="R2637">
        <v>-6.9698830000000003E-2</v>
      </c>
      <c r="S2637">
        <v>-3.0261840000000002</v>
      </c>
      <c r="T2637">
        <v>0.50610889999999997</v>
      </c>
      <c r="U2637">
        <v>0.2096558</v>
      </c>
      <c r="V2637">
        <v>-7.9966709999999996E-2</v>
      </c>
      <c r="W2637">
        <v>6.9472880000000002E-3</v>
      </c>
      <c r="X2637">
        <v>0.99677329999999997</v>
      </c>
      <c r="Y2637">
        <v>5.8274369999999999E-2</v>
      </c>
      <c r="Z2637">
        <v>-2.5426469999999999E-3</v>
      </c>
      <c r="AA2637">
        <v>0.9982974</v>
      </c>
      <c r="AB2637">
        <v>47</v>
      </c>
      <c r="AC2637">
        <v>-127.481999999999</v>
      </c>
      <c r="AD2637">
        <v>21.364909000000001</v>
      </c>
      <c r="AE2637">
        <v>8.8476999999999695</v>
      </c>
      <c r="AF2637">
        <v>7.3296940466397</v>
      </c>
      <c r="AG2637">
        <v>21.364909000000001</v>
      </c>
      <c r="AH2637">
        <v>124.09753394367399</v>
      </c>
      <c r="AI2637">
        <v>80.248258383487098</v>
      </c>
      <c r="AJ2637">
        <v>86.619810332182297</v>
      </c>
      <c r="AK2637">
        <v>126.136361459719</v>
      </c>
      <c r="AL2637">
        <v>89.601946506768002</v>
      </c>
      <c r="AM2637">
        <v>94.586763269178306</v>
      </c>
      <c r="AN2637">
        <v>0.99999997555583398</v>
      </c>
    </row>
    <row r="2638" spans="1:40" x14ac:dyDescent="0.25">
      <c r="A2638" t="str">
        <f>"20190305134949450"</f>
        <v>20190305134949450</v>
      </c>
      <c r="B2638" t="str">
        <f>"1551764989443141"</f>
        <v>1551764989443141</v>
      </c>
      <c r="C2638" t="s">
        <v>40</v>
      </c>
      <c r="D2638">
        <v>4.0114640000000001</v>
      </c>
      <c r="E2638">
        <v>0.55318489999999998</v>
      </c>
      <c r="F2638" t="s">
        <v>77</v>
      </c>
      <c r="G2638">
        <v>-510.96100000000001</v>
      </c>
      <c r="H2638">
        <v>22.302759999999999</v>
      </c>
      <c r="I2638">
        <v>294.23559999999998</v>
      </c>
      <c r="J2638">
        <v>-383.75619999999998</v>
      </c>
      <c r="K2638">
        <v>1.109696</v>
      </c>
      <c r="L2638">
        <v>285.61439999999999</v>
      </c>
      <c r="M2638">
        <v>-0.99983889999999997</v>
      </c>
      <c r="N2638">
        <v>-1.4740110000000001E-2</v>
      </c>
      <c r="O2638">
        <v>1.0242380000000001E-2</v>
      </c>
      <c r="P2638">
        <v>-0.99755240000000001</v>
      </c>
      <c r="Q2638">
        <v>-8.3210379999999994E-3</v>
      </c>
      <c r="R2638">
        <v>-6.9427970000000006E-2</v>
      </c>
      <c r="S2638">
        <v>-3.0256349999999999</v>
      </c>
      <c r="T2638">
        <v>0.50299439999999995</v>
      </c>
      <c r="U2638">
        <v>0.20468140000000001</v>
      </c>
      <c r="V2638">
        <v>-7.9643320000000004E-2</v>
      </c>
      <c r="W2638">
        <v>6.3679419999999997E-3</v>
      </c>
      <c r="X2638">
        <v>0.99680310000000005</v>
      </c>
      <c r="Y2638">
        <v>5.673185E-2</v>
      </c>
      <c r="Z2638">
        <v>-2.4183160000000002E-3</v>
      </c>
      <c r="AA2638">
        <v>0.99838649999999995</v>
      </c>
      <c r="AB2638">
        <v>47</v>
      </c>
      <c r="AC2638">
        <v>-127.20480000000001</v>
      </c>
      <c r="AD2638">
        <v>21.193064</v>
      </c>
      <c r="AE2638">
        <v>8.6211999999999804</v>
      </c>
      <c r="AF2638">
        <v>7.1209696079169298</v>
      </c>
      <c r="AG2638">
        <v>21.193064</v>
      </c>
      <c r="AH2638">
        <v>123.86400146317</v>
      </c>
      <c r="AI2638">
        <v>80.3064422852391</v>
      </c>
      <c r="AJ2638">
        <v>86.709674399141605</v>
      </c>
      <c r="AK2638">
        <v>125.865583176391</v>
      </c>
      <c r="AL2638">
        <v>89.6351413386502</v>
      </c>
      <c r="AM2638">
        <v>94.568156811106505</v>
      </c>
      <c r="AN2638">
        <v>1.0000000146377701</v>
      </c>
    </row>
    <row r="2639" spans="1:40" x14ac:dyDescent="0.25">
      <c r="A2639" t="str">
        <f>"20190305134949470"</f>
        <v>20190305134949470</v>
      </c>
      <c r="B2639" t="str">
        <f>"1551764989463168"</f>
        <v>1551764989463168</v>
      </c>
      <c r="C2639" t="s">
        <v>40</v>
      </c>
      <c r="D2639">
        <v>3.9709240000000001</v>
      </c>
      <c r="E2639">
        <v>0.55274709999999905</v>
      </c>
      <c r="F2639" t="s">
        <v>77</v>
      </c>
      <c r="G2639">
        <v>-510.96089999999998</v>
      </c>
      <c r="H2639">
        <v>22.034839999999999</v>
      </c>
      <c r="I2639">
        <v>294.20400000000001</v>
      </c>
      <c r="J2639">
        <v>-384.17450000000002</v>
      </c>
      <c r="K2639">
        <v>1.1097060000000001</v>
      </c>
      <c r="L2639">
        <v>285.61860000000001</v>
      </c>
      <c r="M2639">
        <v>-0.99983999999999995</v>
      </c>
      <c r="N2639">
        <v>-1.4737480000000001E-2</v>
      </c>
      <c r="O2639">
        <v>1.015338E-2</v>
      </c>
      <c r="P2639">
        <v>-0.99758630000000004</v>
      </c>
      <c r="Q2639">
        <v>-8.0514890000000002E-3</v>
      </c>
      <c r="R2639">
        <v>-6.8972099999999995E-2</v>
      </c>
      <c r="S2639">
        <v>-3.0257260000000001</v>
      </c>
      <c r="T2639">
        <v>0.49773250000000002</v>
      </c>
      <c r="U2639">
        <v>0.2043152</v>
      </c>
      <c r="V2639">
        <v>-7.9099420000000004E-2</v>
      </c>
      <c r="W2639">
        <v>6.6321039999999998E-3</v>
      </c>
      <c r="X2639">
        <v>0.99684459999999997</v>
      </c>
      <c r="Y2639">
        <v>5.67094E-2</v>
      </c>
      <c r="Z2639">
        <v>-2.401678E-3</v>
      </c>
      <c r="AA2639">
        <v>0.99838780000000005</v>
      </c>
      <c r="AB2639">
        <v>47</v>
      </c>
      <c r="AC2639">
        <v>-126.78639999999901</v>
      </c>
      <c r="AD2639">
        <v>20.925134</v>
      </c>
      <c r="AE2639">
        <v>8.5853999999999893</v>
      </c>
      <c r="AF2639">
        <v>7.1048612762600403</v>
      </c>
      <c r="AG2639">
        <v>20.925134</v>
      </c>
      <c r="AH2639">
        <v>123.517896600303</v>
      </c>
      <c r="AI2639">
        <v>80.400399464309899</v>
      </c>
      <c r="AJ2639">
        <v>86.707922457124099</v>
      </c>
      <c r="AK2639">
        <v>125.479126021965</v>
      </c>
      <c r="AL2639">
        <v>89.620005619134005</v>
      </c>
      <c r="AM2639">
        <v>94.536902563965398</v>
      </c>
      <c r="AN2639">
        <v>0.99999992979847896</v>
      </c>
    </row>
    <row r="2640" spans="1:40" x14ac:dyDescent="0.25">
      <c r="A2640" t="str">
        <f>"20190305134949492"</f>
        <v>20190305134949492</v>
      </c>
      <c r="B2640" t="str">
        <f>"1551764989483666"</f>
        <v>1551764989483666</v>
      </c>
      <c r="C2640" t="s">
        <v>40</v>
      </c>
      <c r="D2640">
        <v>3.7763689999999999</v>
      </c>
      <c r="E2640">
        <v>0.55154349999999996</v>
      </c>
      <c r="F2640" t="s">
        <v>77</v>
      </c>
      <c r="G2640">
        <v>-510.96089999999998</v>
      </c>
      <c r="H2640">
        <v>21.902190000000001</v>
      </c>
      <c r="I2640">
        <v>294.09699999999998</v>
      </c>
      <c r="J2640">
        <v>-384.63200000000001</v>
      </c>
      <c r="K2640">
        <v>1.10972</v>
      </c>
      <c r="L2640">
        <v>285.6232</v>
      </c>
      <c r="M2640">
        <v>-0.99984099999999998</v>
      </c>
      <c r="N2640">
        <v>-1.4734519999999999E-2</v>
      </c>
      <c r="O2640">
        <v>1.0049280000000001E-2</v>
      </c>
      <c r="P2640">
        <v>-0.99762280000000003</v>
      </c>
      <c r="Q2640">
        <v>-7.6884509999999998E-3</v>
      </c>
      <c r="R2640">
        <v>-6.8481719999999996E-2</v>
      </c>
      <c r="S2640">
        <v>-3.0252379999999999</v>
      </c>
      <c r="T2640">
        <v>0.49612889999999998</v>
      </c>
      <c r="U2640">
        <v>0.20230100000000001</v>
      </c>
      <c r="V2640">
        <v>-7.8505519999999995E-2</v>
      </c>
      <c r="W2640">
        <v>6.9902009999999997E-3</v>
      </c>
      <c r="X2640">
        <v>0.99688920000000003</v>
      </c>
      <c r="Y2640">
        <v>5.6170749999999998E-2</v>
      </c>
      <c r="Z2640">
        <v>-2.3715239999999999E-3</v>
      </c>
      <c r="AA2640">
        <v>0.99841829999999998</v>
      </c>
      <c r="AB2640">
        <v>47</v>
      </c>
      <c r="AC2640">
        <v>-126.3289</v>
      </c>
      <c r="AD2640">
        <v>20.792470000000002</v>
      </c>
      <c r="AE2640">
        <v>8.4737999999999793</v>
      </c>
      <c r="AF2640">
        <v>7.0145478203765501</v>
      </c>
      <c r="AG2640">
        <v>20.792470000000002</v>
      </c>
      <c r="AH2640">
        <v>123.088178734409</v>
      </c>
      <c r="AI2640">
        <v>80.427162801535104</v>
      </c>
      <c r="AJ2640">
        <v>86.738356545310793</v>
      </c>
      <c r="AK2640">
        <v>125.02891839082299</v>
      </c>
      <c r="AL2640">
        <v>89.599487734353602</v>
      </c>
      <c r="AM2640">
        <v>94.502778254713604</v>
      </c>
      <c r="AN2640">
        <v>1.0000000283285599</v>
      </c>
    </row>
    <row r="2641" spans="1:40" x14ac:dyDescent="0.25">
      <c r="A2641" t="str">
        <f>"20190305134949512"</f>
        <v>20190305134949512</v>
      </c>
      <c r="B2641" t="str">
        <f>"1551764989503184"</f>
        <v>1551764989503184</v>
      </c>
      <c r="C2641" t="s">
        <v>40</v>
      </c>
      <c r="D2641">
        <v>3.7714050000000001</v>
      </c>
      <c r="E2641">
        <v>0.55106129999999998</v>
      </c>
      <c r="F2641" t="s">
        <v>77</v>
      </c>
      <c r="G2641">
        <v>-510.96080000000001</v>
      </c>
      <c r="H2641">
        <v>21.62773</v>
      </c>
      <c r="I2641">
        <v>293.76229999999998</v>
      </c>
      <c r="J2641">
        <v>-385.06810000000002</v>
      </c>
      <c r="K2641">
        <v>1.1097330000000001</v>
      </c>
      <c r="L2641">
        <v>285.6275</v>
      </c>
      <c r="M2641">
        <v>-0.99984209999999996</v>
      </c>
      <c r="N2641">
        <v>-1.47317E-2</v>
      </c>
      <c r="O2641">
        <v>9.9452399999999993E-3</v>
      </c>
      <c r="P2641">
        <v>-0.99765579999999998</v>
      </c>
      <c r="Q2641">
        <v>-7.2412609999999997E-3</v>
      </c>
      <c r="R2641">
        <v>-6.8048830000000005E-2</v>
      </c>
      <c r="S2641">
        <v>-3.0243530000000001</v>
      </c>
      <c r="T2641">
        <v>0.49120930000000002</v>
      </c>
      <c r="U2641">
        <v>0.19485469999999999</v>
      </c>
      <c r="V2641">
        <v>-7.7969549999999999E-2</v>
      </c>
      <c r="W2641">
        <v>7.4326949999999996E-3</v>
      </c>
      <c r="X2641">
        <v>0.99692800000000004</v>
      </c>
      <c r="Y2641">
        <v>5.388242E-2</v>
      </c>
      <c r="Z2641">
        <v>-2.1948430000000001E-3</v>
      </c>
      <c r="AA2641">
        <v>0.99854489999999996</v>
      </c>
      <c r="AB2641">
        <v>47</v>
      </c>
      <c r="AC2641">
        <v>-125.8927</v>
      </c>
      <c r="AD2641">
        <v>20.517997000000001</v>
      </c>
      <c r="AE2641">
        <v>8.1347999999999807</v>
      </c>
      <c r="AF2641">
        <v>6.7048711435187496</v>
      </c>
      <c r="AG2641">
        <v>20.517997000000001</v>
      </c>
      <c r="AH2641">
        <v>122.721158175387</v>
      </c>
      <c r="AI2641">
        <v>80.522271783376496</v>
      </c>
      <c r="AJ2641">
        <v>86.8727538951361</v>
      </c>
      <c r="AK2641">
        <v>124.605080802717</v>
      </c>
      <c r="AL2641">
        <v>89.574134010577595</v>
      </c>
      <c r="AM2641">
        <v>94.471988836651803</v>
      </c>
      <c r="AN2641">
        <v>0.99999996643308198</v>
      </c>
    </row>
    <row r="2642" spans="1:40" x14ac:dyDescent="0.25">
      <c r="A2642" t="str">
        <f>"20190305134949525"</f>
        <v>20190305134949525</v>
      </c>
      <c r="B2642" t="str">
        <f>"1551764989512945"</f>
        <v>1551764989512945</v>
      </c>
      <c r="C2642" t="s">
        <v>40</v>
      </c>
      <c r="D2642">
        <v>3.8230149999999998</v>
      </c>
      <c r="E2642">
        <v>0.55074780000000001</v>
      </c>
      <c r="F2642" t="s">
        <v>77</v>
      </c>
      <c r="G2642">
        <v>-511.44049999999999</v>
      </c>
      <c r="H2642">
        <v>21.573830000000001</v>
      </c>
      <c r="I2642">
        <v>293.69319999999999</v>
      </c>
      <c r="J2642">
        <v>-385.3322</v>
      </c>
      <c r="K2642">
        <v>1.109739</v>
      </c>
      <c r="L2642">
        <v>285.63010000000003</v>
      </c>
      <c r="M2642">
        <v>-0.99984260000000003</v>
      </c>
      <c r="N2642">
        <v>-1.472997E-2</v>
      </c>
      <c r="O2642">
        <v>9.8812369999999993E-3</v>
      </c>
      <c r="P2642">
        <v>-0.99768299999999999</v>
      </c>
      <c r="Q2642">
        <v>-7.2409500000000003E-3</v>
      </c>
      <c r="R2642">
        <v>-6.7647949999999998E-2</v>
      </c>
      <c r="S2642">
        <v>-3.0237729999999998</v>
      </c>
      <c r="T2642">
        <v>0.48965560000000002</v>
      </c>
      <c r="U2642">
        <v>0.1929932</v>
      </c>
      <c r="V2642">
        <v>-7.7505569999999996E-2</v>
      </c>
      <c r="W2642">
        <v>7.4307879999999998E-3</v>
      </c>
      <c r="X2642">
        <v>0.99696419999999997</v>
      </c>
      <c r="Y2642">
        <v>5.3354680000000002E-2</v>
      </c>
      <c r="Z2642">
        <v>-2.1596559999999998E-3</v>
      </c>
      <c r="AA2642">
        <v>0.9985733</v>
      </c>
      <c r="AB2642">
        <v>47</v>
      </c>
      <c r="AC2642">
        <v>-126.1083</v>
      </c>
      <c r="AD2642">
        <v>20.464091</v>
      </c>
      <c r="AE2642">
        <v>8.0630999999999595</v>
      </c>
      <c r="AF2642">
        <v>6.6422673756095598</v>
      </c>
      <c r="AG2642">
        <v>20.464091</v>
      </c>
      <c r="AH2642">
        <v>122.957195281691</v>
      </c>
      <c r="AI2642">
        <v>80.564234520488498</v>
      </c>
      <c r="AJ2642">
        <v>86.907831804461694</v>
      </c>
      <c r="AK2642">
        <v>124.825360435631</v>
      </c>
      <c r="AL2642">
        <v>89.574243279461697</v>
      </c>
      <c r="AM2642">
        <v>94.445323214669202</v>
      </c>
      <c r="AN2642">
        <v>0.99999997303648203</v>
      </c>
    </row>
    <row r="2643" spans="1:40" x14ac:dyDescent="0.25">
      <c r="A2643" t="str">
        <f>"20190305134949537"</f>
        <v>20190305134949537</v>
      </c>
      <c r="B2643" t="str">
        <f>"1551764989533440"</f>
        <v>1551764989533440</v>
      </c>
      <c r="C2643" t="s">
        <v>40</v>
      </c>
      <c r="D2643">
        <v>3.8574299999999999</v>
      </c>
      <c r="E2643">
        <v>0.55013519999999905</v>
      </c>
      <c r="F2643" t="s">
        <v>77</v>
      </c>
      <c r="G2643">
        <v>-512.55730000000005</v>
      </c>
      <c r="H2643">
        <v>21.682960000000001</v>
      </c>
      <c r="I2643">
        <v>293.69319999999999</v>
      </c>
      <c r="J2643">
        <v>-385.58170000000001</v>
      </c>
      <c r="K2643">
        <v>1.1097379999999999</v>
      </c>
      <c r="L2643">
        <v>285.63249999999999</v>
      </c>
      <c r="M2643">
        <v>-0.99984340000000005</v>
      </c>
      <c r="N2643">
        <v>-1.472833E-2</v>
      </c>
      <c r="O2643">
        <v>9.8204069999999997E-3</v>
      </c>
      <c r="P2643">
        <v>-0.99770340000000002</v>
      </c>
      <c r="Q2643">
        <v>-7.3405650000000003E-3</v>
      </c>
      <c r="R2643">
        <v>-6.7334350000000001E-2</v>
      </c>
      <c r="S2643">
        <v>-3.0234990000000002</v>
      </c>
      <c r="T2643">
        <v>0.4889232</v>
      </c>
      <c r="U2643">
        <v>0.19161990000000001</v>
      </c>
      <c r="V2643">
        <v>-7.7131489999999997E-2</v>
      </c>
      <c r="W2643">
        <v>7.3292239999999996E-3</v>
      </c>
      <c r="X2643">
        <v>0.99699400000000005</v>
      </c>
      <c r="Y2643">
        <v>5.2974430000000003E-2</v>
      </c>
      <c r="Z2643">
        <v>-2.1389680000000002E-3</v>
      </c>
      <c r="AA2643">
        <v>0.99859359999999997</v>
      </c>
      <c r="AB2643">
        <v>47</v>
      </c>
      <c r="AC2643">
        <v>-126.9756</v>
      </c>
      <c r="AD2643">
        <v>20.573222000000001</v>
      </c>
      <c r="AE2643">
        <v>8.06069999999999</v>
      </c>
      <c r="AF2643">
        <v>6.63961965090418</v>
      </c>
      <c r="AG2643">
        <v>20.573222000000001</v>
      </c>
      <c r="AH2643">
        <v>123.811380878804</v>
      </c>
      <c r="AI2643">
        <v>80.578893702777094</v>
      </c>
      <c r="AJ2643">
        <v>86.930345735601307</v>
      </c>
      <c r="AK2643">
        <v>125.68452588798</v>
      </c>
      <c r="AL2643">
        <v>89.580062642235404</v>
      </c>
      <c r="AM2643">
        <v>94.423821570282598</v>
      </c>
      <c r="AN2643">
        <v>1.0000000101550299</v>
      </c>
    </row>
    <row r="2644" spans="1:40" x14ac:dyDescent="0.25">
      <c r="A2644" t="str">
        <f>"20190305134949550"</f>
        <v>20190305134949550</v>
      </c>
      <c r="B2644" t="str">
        <f>"1551764989543201"</f>
        <v>1551764989543201</v>
      </c>
      <c r="C2644" t="s">
        <v>40</v>
      </c>
      <c r="D2644">
        <v>3.9274960000000001</v>
      </c>
      <c r="E2644">
        <v>0.55013519999999905</v>
      </c>
      <c r="F2644" t="s">
        <v>77</v>
      </c>
      <c r="G2644">
        <v>-529.34</v>
      </c>
      <c r="H2644">
        <v>24.27337</v>
      </c>
      <c r="I2644">
        <v>294.55</v>
      </c>
      <c r="J2644">
        <v>-385.85980000000001</v>
      </c>
      <c r="K2644">
        <v>1.109742</v>
      </c>
      <c r="L2644">
        <v>285.6352</v>
      </c>
      <c r="M2644">
        <v>-0.99984399999999996</v>
      </c>
      <c r="N2644">
        <v>-1.472651E-2</v>
      </c>
      <c r="O2644">
        <v>9.7523609999999993E-3</v>
      </c>
      <c r="P2644">
        <v>-0.99769770000000002</v>
      </c>
      <c r="Q2644">
        <v>-7.316716E-3</v>
      </c>
      <c r="R2644">
        <v>-6.7424040000000005E-2</v>
      </c>
      <c r="S2644">
        <v>-3.0231629999999998</v>
      </c>
      <c r="T2644">
        <v>0.48712050000000001</v>
      </c>
      <c r="U2644">
        <v>0.18753049999999999</v>
      </c>
      <c r="V2644">
        <v>-7.7153340000000001E-2</v>
      </c>
      <c r="W2644">
        <v>7.3497279999999998E-3</v>
      </c>
      <c r="X2644">
        <v>0.9969922</v>
      </c>
      <c r="Y2644">
        <v>5.1721000000000003E-2</v>
      </c>
      <c r="Z2644">
        <v>-2.0506449999999998E-3</v>
      </c>
      <c r="AA2644">
        <v>0.99865950000000003</v>
      </c>
      <c r="AB2644">
        <v>47</v>
      </c>
      <c r="AC2644">
        <v>-143.4802</v>
      </c>
      <c r="AD2644">
        <v>23.163627999999999</v>
      </c>
      <c r="AE2644">
        <v>8.9148000000000103</v>
      </c>
      <c r="AF2644">
        <v>7.3247798084028899</v>
      </c>
      <c r="AG2644">
        <v>23.163627999999999</v>
      </c>
      <c r="AH2644">
        <v>139.92738210208</v>
      </c>
      <c r="AI2644">
        <v>80.613101239976899</v>
      </c>
      <c r="AJ2644">
        <v>87.003472404462599</v>
      </c>
      <c r="AK2644">
        <v>142.020696813195</v>
      </c>
      <c r="AL2644">
        <v>89.5788878354019</v>
      </c>
      <c r="AM2644">
        <v>94.425077742161093</v>
      </c>
      <c r="AN2644">
        <v>1.00000005161783</v>
      </c>
    </row>
    <row r="2645" spans="1:40" x14ac:dyDescent="0.25">
      <c r="A2645" t="str">
        <f>"20190305134949562"</f>
        <v>20190305134949562</v>
      </c>
      <c r="B2645" t="str">
        <f>"1551764989553468"</f>
        <v>1551764989553468</v>
      </c>
      <c r="C2645" t="s">
        <v>40</v>
      </c>
      <c r="D2645">
        <v>3.8687999999999998</v>
      </c>
      <c r="E2645">
        <v>0.54983909999999903</v>
      </c>
      <c r="F2645" t="s">
        <v>77</v>
      </c>
      <c r="G2645">
        <v>-529.80740000000003</v>
      </c>
      <c r="H2645">
        <v>24.312539999999998</v>
      </c>
      <c r="I2645">
        <v>294.55</v>
      </c>
      <c r="J2645">
        <v>-386.10700000000003</v>
      </c>
      <c r="K2645">
        <v>1.1097459999999999</v>
      </c>
      <c r="L2645">
        <v>285.63760000000002</v>
      </c>
      <c r="M2645">
        <v>-0.99984470000000003</v>
      </c>
      <c r="N2645">
        <v>-1.4724889999999999E-2</v>
      </c>
      <c r="O2645">
        <v>9.6912579999999995E-3</v>
      </c>
      <c r="P2645">
        <v>-0.99770210000000004</v>
      </c>
      <c r="Q2645">
        <v>-7.2532229999999996E-3</v>
      </c>
      <c r="R2645">
        <v>-6.7365519999999998E-2</v>
      </c>
      <c r="S2645">
        <v>-3.0231319999999999</v>
      </c>
      <c r="T2645">
        <v>0.48729749999999999</v>
      </c>
      <c r="U2645">
        <v>0.18722530000000001</v>
      </c>
      <c r="V2645">
        <v>-7.7033980000000002E-2</v>
      </c>
      <c r="W2645">
        <v>7.4112369999999898E-3</v>
      </c>
      <c r="X2645">
        <v>0.99700089999999997</v>
      </c>
      <c r="Y2645">
        <v>5.1681369999999997E-2</v>
      </c>
      <c r="Z2645">
        <v>-2.0594509999999999E-3</v>
      </c>
      <c r="AA2645">
        <v>0.99866149999999998</v>
      </c>
      <c r="AB2645">
        <v>47</v>
      </c>
      <c r="AC2645">
        <v>-143.7004</v>
      </c>
      <c r="AD2645">
        <v>23.202794000000001</v>
      </c>
      <c r="AE2645">
        <v>8.9123999999999892</v>
      </c>
      <c r="AF2645">
        <v>7.3288514620209897</v>
      </c>
      <c r="AG2645">
        <v>23.202794000000001</v>
      </c>
      <c r="AH2645">
        <v>140.140374138097</v>
      </c>
      <c r="AI2645">
        <v>80.611524115663499</v>
      </c>
      <c r="AJ2645">
        <v>87.006358249132106</v>
      </c>
      <c r="AK2645">
        <v>142.23714766798599</v>
      </c>
      <c r="AL2645">
        <v>89.575363502042293</v>
      </c>
      <c r="AM2645">
        <v>94.418220655516606</v>
      </c>
      <c r="AN2645">
        <v>0.99999997755465997</v>
      </c>
    </row>
    <row r="2646" spans="1:40" x14ac:dyDescent="0.25">
      <c r="A2646" t="str">
        <f>"20190305134949574"</f>
        <v>20190305134949574</v>
      </c>
      <c r="B2646" t="str">
        <f>"1551764989563228"</f>
        <v>1551764989563228</v>
      </c>
      <c r="C2646" t="s">
        <v>40</v>
      </c>
      <c r="D2646">
        <v>3.7878029999999998</v>
      </c>
      <c r="E2646">
        <v>0.54947049999999997</v>
      </c>
      <c r="F2646" t="s">
        <v>77</v>
      </c>
      <c r="G2646">
        <v>-531.90589999999997</v>
      </c>
      <c r="H2646">
        <v>24.57199</v>
      </c>
      <c r="I2646">
        <v>294.55</v>
      </c>
      <c r="J2646">
        <v>-386.35250000000002</v>
      </c>
      <c r="K2646">
        <v>1.1097429999999999</v>
      </c>
      <c r="L2646">
        <v>285.63990000000001</v>
      </c>
      <c r="M2646">
        <v>-0.99984519999999999</v>
      </c>
      <c r="N2646">
        <v>-1.472328E-2</v>
      </c>
      <c r="O2646">
        <v>9.630932E-3</v>
      </c>
      <c r="P2646">
        <v>-0.99767680000000003</v>
      </c>
      <c r="Q2646">
        <v>-7.251324E-3</v>
      </c>
      <c r="R2646">
        <v>-6.7738850000000003E-2</v>
      </c>
      <c r="S2646">
        <v>-3.022888</v>
      </c>
      <c r="T2646">
        <v>0.4864502</v>
      </c>
      <c r="U2646">
        <v>0.1847839</v>
      </c>
      <c r="V2646">
        <v>-7.7347289999999999E-2</v>
      </c>
      <c r="W2646">
        <v>7.4098069999999896E-3</v>
      </c>
      <c r="X2646">
        <v>0.99697670000000005</v>
      </c>
      <c r="Y2646">
        <v>5.0952230000000001E-2</v>
      </c>
      <c r="Z2646">
        <v>-2.0130289999999999E-3</v>
      </c>
      <c r="AA2646">
        <v>0.99869909999999995</v>
      </c>
      <c r="AB2646">
        <v>47</v>
      </c>
      <c r="AC2646">
        <v>-145.55339999999899</v>
      </c>
      <c r="AD2646">
        <v>23.462247000000001</v>
      </c>
      <c r="AE2646">
        <v>8.9100999999999999</v>
      </c>
      <c r="AF2646">
        <v>7.3182766234396297</v>
      </c>
      <c r="AG2646">
        <v>23.462247000000001</v>
      </c>
      <c r="AH2646">
        <v>141.957709014811</v>
      </c>
      <c r="AI2646">
        <v>80.627428528424304</v>
      </c>
      <c r="AJ2646">
        <v>87.048871105308905</v>
      </c>
      <c r="AK2646">
        <v>144.069515705995</v>
      </c>
      <c r="AL2646">
        <v>89.575445457158693</v>
      </c>
      <c r="AM2646">
        <v>94.436225959437806</v>
      </c>
      <c r="AN2646">
        <v>1.0000000244264999</v>
      </c>
    </row>
    <row r="2647" spans="1:40" x14ac:dyDescent="0.25">
      <c r="A2647" t="str">
        <f>"20190305134949587"</f>
        <v>20190305134949587</v>
      </c>
      <c r="B2647" t="str">
        <f>"1551764989572988"</f>
        <v>1551764989572988</v>
      </c>
      <c r="C2647" t="s">
        <v>40</v>
      </c>
      <c r="D2647">
        <v>3.8722479999999999</v>
      </c>
      <c r="E2647">
        <v>0.54918710000000004</v>
      </c>
      <c r="F2647" t="s">
        <v>77</v>
      </c>
      <c r="G2647">
        <v>-535.60940000000005</v>
      </c>
      <c r="H2647">
        <v>25.050219999999999</v>
      </c>
      <c r="I2647">
        <v>294.55</v>
      </c>
      <c r="J2647">
        <v>-386.61759999999998</v>
      </c>
      <c r="K2647">
        <v>1.109745</v>
      </c>
      <c r="L2647">
        <v>285.64240000000001</v>
      </c>
      <c r="M2647">
        <v>-0.99984600000000001</v>
      </c>
      <c r="N2647">
        <v>-1.472155E-2</v>
      </c>
      <c r="O2647">
        <v>9.5661349999999999E-3</v>
      </c>
      <c r="P2647">
        <v>-0.99765170000000003</v>
      </c>
      <c r="Q2647">
        <v>-7.374093E-3</v>
      </c>
      <c r="R2647">
        <v>-6.8096459999999998E-2</v>
      </c>
      <c r="S2647">
        <v>-3.0227970000000002</v>
      </c>
      <c r="T2647">
        <v>0.48485080000000003</v>
      </c>
      <c r="U2647">
        <v>0.18045040000000001</v>
      </c>
      <c r="V2647">
        <v>-7.7639710000000001E-2</v>
      </c>
      <c r="W2647">
        <v>7.2844019999999997E-3</v>
      </c>
      <c r="X2647">
        <v>0.99695489999999998</v>
      </c>
      <c r="Y2647">
        <v>4.9609809999999997E-2</v>
      </c>
      <c r="Z2647">
        <v>-1.9193979999999999E-3</v>
      </c>
      <c r="AA2647">
        <v>0.99876679999999995</v>
      </c>
      <c r="AB2647">
        <v>47</v>
      </c>
      <c r="AC2647">
        <v>-148.99180000000001</v>
      </c>
      <c r="AD2647">
        <v>23.940474999999999</v>
      </c>
      <c r="AE2647">
        <v>8.9076000000000004</v>
      </c>
      <c r="AF2647">
        <v>7.2941060019525601</v>
      </c>
      <c r="AG2647">
        <v>23.940474999999999</v>
      </c>
      <c r="AH2647">
        <v>145.331246694974</v>
      </c>
      <c r="AI2647">
        <v>80.6572049290032</v>
      </c>
      <c r="AJ2647">
        <v>87.126763066880002</v>
      </c>
      <c r="AK2647">
        <v>147.47040920641899</v>
      </c>
      <c r="AL2647">
        <v>89.582630830420101</v>
      </c>
      <c r="AM2647">
        <v>94.453027254414394</v>
      </c>
      <c r="AN2647">
        <v>1.0000000298576901</v>
      </c>
    </row>
    <row r="2648" spans="1:40" x14ac:dyDescent="0.25">
      <c r="A2648" t="str">
        <f>"20190305134949599"</f>
        <v>20190305134949599</v>
      </c>
      <c r="B2648" t="str">
        <f>"1551764989593484"</f>
        <v>1551764989593484</v>
      </c>
      <c r="C2648" t="s">
        <v>40</v>
      </c>
      <c r="D2648">
        <v>3.8675989999999998</v>
      </c>
      <c r="E2648">
        <v>0.54860710000000001</v>
      </c>
      <c r="F2648" t="s">
        <v>77</v>
      </c>
      <c r="G2648">
        <v>-539.07470000000001</v>
      </c>
      <c r="H2648">
        <v>25.50806</v>
      </c>
      <c r="I2648">
        <v>294.55</v>
      </c>
      <c r="J2648">
        <v>-386.88189999999997</v>
      </c>
      <c r="K2648">
        <v>1.109745</v>
      </c>
      <c r="L2648">
        <v>285.64490000000001</v>
      </c>
      <c r="M2648">
        <v>-0.99984660000000003</v>
      </c>
      <c r="N2648">
        <v>-1.471983E-2</v>
      </c>
      <c r="O2648">
        <v>9.5012910000000003E-3</v>
      </c>
      <c r="P2648">
        <v>-0.99762099999999998</v>
      </c>
      <c r="Q2648">
        <v>-7.338664E-3</v>
      </c>
      <c r="R2648">
        <v>-6.8548049999999999E-2</v>
      </c>
      <c r="S2648">
        <v>-3.022675</v>
      </c>
      <c r="T2648">
        <v>0.48373169999999999</v>
      </c>
      <c r="U2648">
        <v>0.17660519999999999</v>
      </c>
      <c r="V2648">
        <v>-7.8026650000000003E-2</v>
      </c>
      <c r="W2648">
        <v>7.3168259999999898E-3</v>
      </c>
      <c r="X2648">
        <v>0.99692440000000004</v>
      </c>
      <c r="Y2648">
        <v>4.8425500000000003E-2</v>
      </c>
      <c r="Z2648">
        <v>-1.840059E-3</v>
      </c>
      <c r="AA2648">
        <v>0.99882510000000002</v>
      </c>
      <c r="AB2648">
        <v>47</v>
      </c>
      <c r="AC2648">
        <v>-152.19280000000001</v>
      </c>
      <c r="AD2648">
        <v>24.398315</v>
      </c>
      <c r="AE2648">
        <v>8.9050999999999991</v>
      </c>
      <c r="AF2648">
        <v>7.2722547668037496</v>
      </c>
      <c r="AG2648">
        <v>24.398315</v>
      </c>
      <c r="AH2648">
        <v>148.4679548734</v>
      </c>
      <c r="AI2648">
        <v>80.678751986727207</v>
      </c>
      <c r="AJ2648">
        <v>87.195780358031897</v>
      </c>
      <c r="AK2648">
        <v>150.63497963130101</v>
      </c>
      <c r="AL2648">
        <v>89.580773000318104</v>
      </c>
      <c r="AM2648">
        <v>94.475266636183903</v>
      </c>
      <c r="AN2648">
        <v>0.99999997668414797</v>
      </c>
    </row>
    <row r="2649" spans="1:40" x14ac:dyDescent="0.25">
      <c r="A2649" t="str">
        <f>"20190305134949613"</f>
        <v>20190305134949613</v>
      </c>
      <c r="B2649" t="str">
        <f>"1551764989603244"</f>
        <v>1551764989603244</v>
      </c>
      <c r="C2649" t="s">
        <v>40</v>
      </c>
      <c r="D2649">
        <v>3.887283</v>
      </c>
      <c r="E2649">
        <v>0.54839079999999996</v>
      </c>
      <c r="F2649" t="s">
        <v>77</v>
      </c>
      <c r="G2649">
        <v>-545.10640000000001</v>
      </c>
      <c r="H2649">
        <v>26.34404</v>
      </c>
      <c r="I2649">
        <v>294.55</v>
      </c>
      <c r="J2649">
        <v>-387.16320000000002</v>
      </c>
      <c r="K2649">
        <v>1.1097649999999999</v>
      </c>
      <c r="L2649">
        <v>285.64760000000001</v>
      </c>
      <c r="M2649">
        <v>-0.99984729999999999</v>
      </c>
      <c r="N2649">
        <v>-1.471799E-2</v>
      </c>
      <c r="O2649">
        <v>9.432279E-3</v>
      </c>
      <c r="P2649">
        <v>-0.99757790000000002</v>
      </c>
      <c r="Q2649">
        <v>-6.8063480000000003E-3</v>
      </c>
      <c r="R2649">
        <v>-6.9225930000000005E-2</v>
      </c>
      <c r="S2649">
        <v>-3.0224000000000002</v>
      </c>
      <c r="T2649">
        <v>0.48202539999999999</v>
      </c>
      <c r="U2649">
        <v>0.17010500000000001</v>
      </c>
      <c r="V2649">
        <v>-7.8635280000000002E-2</v>
      </c>
      <c r="W2649">
        <v>7.8456229999999995E-3</v>
      </c>
      <c r="X2649">
        <v>0.9968726</v>
      </c>
      <c r="Y2649">
        <v>4.6383790000000001E-2</v>
      </c>
      <c r="Z2649">
        <v>-1.6977400000000001E-3</v>
      </c>
      <c r="AA2649">
        <v>0.99892219999999998</v>
      </c>
      <c r="AB2649">
        <v>47</v>
      </c>
      <c r="AC2649">
        <v>-157.94319999999999</v>
      </c>
      <c r="AD2649">
        <v>25.234275</v>
      </c>
      <c r="AE2649">
        <v>8.9024000000000001</v>
      </c>
      <c r="AF2649">
        <v>7.2281579471686603</v>
      </c>
      <c r="AG2649">
        <v>25.234275</v>
      </c>
      <c r="AH2649">
        <v>154.09910163575401</v>
      </c>
      <c r="AI2649">
        <v>80.710187901507396</v>
      </c>
      <c r="AJ2649">
        <v>87.3144579527753</v>
      </c>
      <c r="AK2649">
        <v>156.31873856652999</v>
      </c>
      <c r="AL2649">
        <v>89.550474312070506</v>
      </c>
      <c r="AM2649">
        <v>94.510264907556802</v>
      </c>
      <c r="AN2649">
        <v>1.0000000208458399</v>
      </c>
    </row>
    <row r="2650" spans="1:40" x14ac:dyDescent="0.25">
      <c r="A2650" t="str">
        <f>"20190305134949636"</f>
        <v>20190305134949636</v>
      </c>
      <c r="B2650" t="str">
        <f>"1551764989622768"</f>
        <v>1551764989622768</v>
      </c>
      <c r="C2650" t="s">
        <v>40</v>
      </c>
      <c r="D2650">
        <v>3.942348</v>
      </c>
      <c r="E2650">
        <v>0.538556699999999</v>
      </c>
      <c r="F2650" t="s">
        <v>77</v>
      </c>
      <c r="G2650">
        <v>-549.48910000000001</v>
      </c>
      <c r="H2650">
        <v>27.097490000000001</v>
      </c>
      <c r="I2650">
        <v>294.55</v>
      </c>
      <c r="J2650">
        <v>-387.6266</v>
      </c>
      <c r="K2650">
        <v>1.1097760000000001</v>
      </c>
      <c r="L2650">
        <v>285.65179999999998</v>
      </c>
      <c r="M2650">
        <v>-0.99984839999999997</v>
      </c>
      <c r="N2650">
        <v>-1.4714949999999999E-2</v>
      </c>
      <c r="O2650">
        <v>9.3186129999999999E-3</v>
      </c>
      <c r="P2650">
        <v>-0.9974594</v>
      </c>
      <c r="Q2650">
        <v>-5.039506E-3</v>
      </c>
      <c r="R2650">
        <v>-7.1062180000000003E-2</v>
      </c>
      <c r="S2650">
        <v>-3.0220950000000002</v>
      </c>
      <c r="T2650">
        <v>0.48382639999999999</v>
      </c>
      <c r="U2650">
        <v>0.165741</v>
      </c>
      <c r="V2650">
        <v>-8.0357999999999999E-2</v>
      </c>
      <c r="W2650">
        <v>9.6060399999999997E-3</v>
      </c>
      <c r="X2650">
        <v>0.99671980000000004</v>
      </c>
      <c r="Y2650">
        <v>4.5074950000000003E-2</v>
      </c>
      <c r="Z2650">
        <v>-1.6315679999999999E-3</v>
      </c>
      <c r="AA2650">
        <v>0.99898229999999999</v>
      </c>
      <c r="AB2650">
        <v>46</v>
      </c>
      <c r="AC2650">
        <v>-161.86250000000001</v>
      </c>
      <c r="AD2650">
        <v>25.987714</v>
      </c>
      <c r="AE2650">
        <v>8.8982000000000294</v>
      </c>
      <c r="AF2650">
        <v>7.20416921963138</v>
      </c>
      <c r="AG2650">
        <v>25.987714</v>
      </c>
      <c r="AH2650">
        <v>157.880859961407</v>
      </c>
      <c r="AI2650">
        <v>80.6622866691186</v>
      </c>
      <c r="AJ2650">
        <v>87.387382050203797</v>
      </c>
      <c r="AK2650">
        <v>160.16749756191001</v>
      </c>
      <c r="AL2650">
        <v>89.449605997327495</v>
      </c>
      <c r="AM2650">
        <v>94.609356906703098</v>
      </c>
      <c r="AN2650">
        <v>1.0000000219402601</v>
      </c>
    </row>
    <row r="2651" spans="1:40" x14ac:dyDescent="0.25">
      <c r="A2651" t="str">
        <f>"20190305134949647"</f>
        <v>20190305134949647</v>
      </c>
      <c r="B2651" t="str">
        <f>"1551764989643261"</f>
        <v>1551764989643261</v>
      </c>
      <c r="C2651" t="s">
        <v>40</v>
      </c>
      <c r="D2651">
        <v>3.9311780000000001</v>
      </c>
      <c r="E2651">
        <v>0.53753600000000001</v>
      </c>
      <c r="F2651" t="s">
        <v>78</v>
      </c>
      <c r="G2651">
        <v>-428.73610000000002</v>
      </c>
      <c r="H2651" s="1">
        <v>2.210904E-6</v>
      </c>
      <c r="I2651">
        <v>286.95049999999998</v>
      </c>
      <c r="J2651">
        <v>-387.8578</v>
      </c>
      <c r="K2651">
        <v>1.1097790000000001</v>
      </c>
      <c r="L2651">
        <v>285.65390000000002</v>
      </c>
      <c r="M2651">
        <v>-0.99984890000000004</v>
      </c>
      <c r="N2651">
        <v>-1.471343E-2</v>
      </c>
      <c r="O2651">
        <v>9.2617270000000008E-3</v>
      </c>
      <c r="P2651">
        <v>-0.99736469999999999</v>
      </c>
      <c r="Q2651">
        <v>-5.4844560000000004E-3</v>
      </c>
      <c r="R2651">
        <v>-7.2345549999999995E-2</v>
      </c>
      <c r="S2651">
        <v>-3.014008</v>
      </c>
      <c r="T2651">
        <v>-8.136475E-2</v>
      </c>
      <c r="U2651">
        <v>9.5214839999999995E-2</v>
      </c>
      <c r="V2651">
        <v>-8.1583539999999996E-2</v>
      </c>
      <c r="W2651">
        <v>9.1568799999999992E-3</v>
      </c>
      <c r="X2651">
        <v>0.99662450000000002</v>
      </c>
      <c r="Y2651">
        <v>2.2303719999999999E-2</v>
      </c>
      <c r="Z2651">
        <v>3.514333E-4</v>
      </c>
      <c r="AA2651">
        <v>0.99975119999999895</v>
      </c>
      <c r="AB2651">
        <v>46</v>
      </c>
      <c r="AC2651">
        <v>-40.878300000000003</v>
      </c>
      <c r="AD2651">
        <v>-1.109776789096</v>
      </c>
      <c r="AE2651">
        <v>1.29659999999995</v>
      </c>
      <c r="AF2651">
        <v>0.91722440675802497</v>
      </c>
      <c r="AG2651">
        <v>-1.109776789096</v>
      </c>
      <c r="AH2651">
        <v>40.858472690257102</v>
      </c>
      <c r="AI2651">
        <v>91.555464220791805</v>
      </c>
      <c r="AJ2651">
        <v>88.713993486547494</v>
      </c>
      <c r="AK2651">
        <v>40.883831715171397</v>
      </c>
      <c r="AL2651">
        <v>89.475342120908294</v>
      </c>
      <c r="AM2651">
        <v>94.679789838738301</v>
      </c>
      <c r="AN2651">
        <v>1.00000005822525</v>
      </c>
    </row>
    <row r="2652" spans="1:40" x14ac:dyDescent="0.25">
      <c r="A2652" t="str">
        <f>"20190305134949661"</f>
        <v>20190305134949661</v>
      </c>
      <c r="B2652" t="str">
        <f>"1551764989653528"</f>
        <v>1551764989653528</v>
      </c>
      <c r="C2652" t="s">
        <v>40</v>
      </c>
      <c r="D2652">
        <v>3.8679899999999998</v>
      </c>
      <c r="E2652">
        <v>0.53753600000000001</v>
      </c>
      <c r="F2652" t="s">
        <v>78</v>
      </c>
      <c r="G2652">
        <v>-420.89400000000001</v>
      </c>
      <c r="H2652" s="1">
        <v>3.6349900000000001E-6</v>
      </c>
      <c r="I2652">
        <v>286.57260000000002</v>
      </c>
      <c r="J2652">
        <v>-388.13690000000003</v>
      </c>
      <c r="K2652">
        <v>1.1097790000000001</v>
      </c>
      <c r="L2652">
        <v>285.65649999999999</v>
      </c>
      <c r="M2652">
        <v>-0.99984960000000001</v>
      </c>
      <c r="N2652">
        <v>-1.471161E-2</v>
      </c>
      <c r="O2652">
        <v>9.1927459999999999E-3</v>
      </c>
      <c r="P2652">
        <v>-0.99728209999999995</v>
      </c>
      <c r="Q2652">
        <v>-6.4426020000000004E-3</v>
      </c>
      <c r="R2652">
        <v>-7.3394520000000005E-2</v>
      </c>
      <c r="S2652">
        <v>-3.0134280000000002</v>
      </c>
      <c r="T2652">
        <v>-0.10122920000000001</v>
      </c>
      <c r="U2652">
        <v>8.3801269999999997E-2</v>
      </c>
      <c r="V2652">
        <v>-8.2562679999999999E-2</v>
      </c>
      <c r="W2652">
        <v>8.1951360000000004E-3</v>
      </c>
      <c r="X2652">
        <v>0.9965522</v>
      </c>
      <c r="Y2652">
        <v>1.8593740000000001E-2</v>
      </c>
      <c r="Z2652">
        <v>2.7557599999999998E-4</v>
      </c>
      <c r="AA2652">
        <v>0.99982709999999997</v>
      </c>
      <c r="AB2652">
        <v>46</v>
      </c>
      <c r="AC2652">
        <v>-32.757099999999902</v>
      </c>
      <c r="AD2652">
        <v>-1.10977536501</v>
      </c>
      <c r="AE2652">
        <v>0.916100000000028</v>
      </c>
      <c r="AF2652">
        <v>0.61419660209062399</v>
      </c>
      <c r="AG2652">
        <v>-1.10977536501</v>
      </c>
      <c r="AH2652">
        <v>32.7266043224123</v>
      </c>
      <c r="AI2652">
        <v>91.941842356970398</v>
      </c>
      <c r="AJ2652">
        <v>88.924827581115295</v>
      </c>
      <c r="AK2652">
        <v>32.751175082774402</v>
      </c>
      <c r="AL2652">
        <v>89.530448048954497</v>
      </c>
      <c r="AM2652">
        <v>94.736043271243005</v>
      </c>
      <c r="AN2652">
        <v>1.0000000218538401</v>
      </c>
    </row>
    <row r="2653" spans="1:40" x14ac:dyDescent="0.25">
      <c r="A2653" t="str">
        <f>"20190305134949681"</f>
        <v>20190305134949681</v>
      </c>
      <c r="B2653" t="str">
        <f>"1551764989673047"</f>
        <v>1551764989673047</v>
      </c>
      <c r="C2653" t="s">
        <v>40</v>
      </c>
      <c r="D2653">
        <v>3.804808</v>
      </c>
      <c r="E2653">
        <v>0.53051130000000002</v>
      </c>
      <c r="F2653" t="s">
        <v>78</v>
      </c>
      <c r="G2653">
        <v>-420.43529999999998</v>
      </c>
      <c r="H2653" s="1">
        <v>3.720708E-6</v>
      </c>
      <c r="I2653">
        <v>286.52289999999999</v>
      </c>
      <c r="J2653">
        <v>-388.5659</v>
      </c>
      <c r="K2653">
        <v>1.109777</v>
      </c>
      <c r="L2653">
        <v>285.66030000000001</v>
      </c>
      <c r="M2653">
        <v>-0.99985060000000003</v>
      </c>
      <c r="N2653">
        <v>-1.4708819999999999E-2</v>
      </c>
      <c r="O2653">
        <v>9.0861540000000008E-3</v>
      </c>
      <c r="P2653">
        <v>-0.99710169999999998</v>
      </c>
      <c r="Q2653">
        <v>-9.4378250000000004E-3</v>
      </c>
      <c r="R2653">
        <v>-7.5494439999999996E-2</v>
      </c>
      <c r="S2653">
        <v>-3.013458</v>
      </c>
      <c r="T2653">
        <v>-0.1035427</v>
      </c>
      <c r="U2653">
        <v>8.0841060000000006E-2</v>
      </c>
      <c r="V2653">
        <v>-8.455385E-2</v>
      </c>
      <c r="W2653">
        <v>5.1935130000000003E-3</v>
      </c>
      <c r="X2653">
        <v>0.9964054</v>
      </c>
      <c r="Y2653">
        <v>1.7718879999999999E-2</v>
      </c>
      <c r="Z2653">
        <v>2.5623639999999999E-4</v>
      </c>
      <c r="AA2653">
        <v>0.99984300000000004</v>
      </c>
      <c r="AB2653">
        <v>46</v>
      </c>
      <c r="AC2653">
        <v>-31.869399999999899</v>
      </c>
      <c r="AD2653">
        <v>-1.1097732792919901</v>
      </c>
      <c r="AE2653">
        <v>0.86259999999998604</v>
      </c>
      <c r="AF2653">
        <v>0.57226936656390504</v>
      </c>
      <c r="AG2653">
        <v>-1.1097732792919901</v>
      </c>
      <c r="AH2653">
        <v>31.8373447269473</v>
      </c>
      <c r="AI2653">
        <v>91.996062618713594</v>
      </c>
      <c r="AJ2653">
        <v>88.970231683628597</v>
      </c>
      <c r="AK2653">
        <v>31.861820541548099</v>
      </c>
      <c r="AL2653">
        <v>89.702432293582703</v>
      </c>
      <c r="AM2653">
        <v>94.850435455306197</v>
      </c>
      <c r="AN2653">
        <v>1.0000000236381299</v>
      </c>
    </row>
    <row r="2654" spans="1:40" x14ac:dyDescent="0.25">
      <c r="A2654" t="str">
        <f>"20190305134949696"</f>
        <v>20190305134949696</v>
      </c>
      <c r="B2654" t="str">
        <f>"1551764989682807"</f>
        <v>1551764989682807</v>
      </c>
      <c r="C2654" t="s">
        <v>40</v>
      </c>
      <c r="D2654">
        <v>3.8857400000000002</v>
      </c>
      <c r="E2654">
        <v>0.52630619999999995</v>
      </c>
      <c r="F2654" t="s">
        <v>47</v>
      </c>
      <c r="G2654">
        <v>0</v>
      </c>
      <c r="H2654">
        <v>0</v>
      </c>
      <c r="I2654">
        <v>0</v>
      </c>
      <c r="J2654">
        <v>-388.86599999999999</v>
      </c>
      <c r="K2654">
        <v>1.109775</v>
      </c>
      <c r="L2654">
        <v>285.66300000000001</v>
      </c>
      <c r="M2654">
        <v>-0.9998513</v>
      </c>
      <c r="N2654">
        <v>-1.4706779999999999E-2</v>
      </c>
      <c r="O2654">
        <v>9.0120019999999999E-3</v>
      </c>
      <c r="P2654">
        <v>-0.997027</v>
      </c>
      <c r="Q2654">
        <v>-1.024367E-2</v>
      </c>
      <c r="R2654">
        <v>-7.6372179999999998E-2</v>
      </c>
      <c r="S2654">
        <v>-3.0132750000000001</v>
      </c>
      <c r="T2654">
        <v>0.46657480000000001</v>
      </c>
      <c r="U2654">
        <v>1.190186E-3</v>
      </c>
      <c r="V2654">
        <v>-8.5356639999999998E-2</v>
      </c>
      <c r="W2654">
        <v>4.3843279999999998E-3</v>
      </c>
      <c r="X2654">
        <v>0.99634080000000003</v>
      </c>
      <c r="Y2654">
        <v>-8.3987839999999994E-3</v>
      </c>
      <c r="Z2654">
        <v>2.103111E-3</v>
      </c>
      <c r="AA2654">
        <v>0.99996249999999998</v>
      </c>
      <c r="AB2654">
        <v>46</v>
      </c>
      <c r="AC2654">
        <v>-3.0132750000000001</v>
      </c>
      <c r="AD2654">
        <v>0.46657480000000001</v>
      </c>
      <c r="AE2654">
        <v>1.190186E-3</v>
      </c>
      <c r="AF2654">
        <v>-2.5360413367887399E-2</v>
      </c>
      <c r="AG2654">
        <v>0.46657480000000001</v>
      </c>
      <c r="AH2654">
        <v>2.9426131550664398</v>
      </c>
      <c r="AI2654">
        <v>80.990629545826593</v>
      </c>
      <c r="AJ2654">
        <v>90.493781751951403</v>
      </c>
      <c r="AK2654">
        <v>2.9794810579916899</v>
      </c>
      <c r="AL2654">
        <v>89.748795700795199</v>
      </c>
      <c r="AM2654">
        <v>94.896580625456494</v>
      </c>
      <c r="AN2654">
        <v>0.99999998403436996</v>
      </c>
    </row>
    <row r="2655" spans="1:40" x14ac:dyDescent="0.25">
      <c r="A2655" t="str">
        <f>"20190305134949708"</f>
        <v>20190305134949708</v>
      </c>
      <c r="B2655" t="str">
        <f>"1551764989703303"</f>
        <v>1551764989703303</v>
      </c>
      <c r="C2655" t="s">
        <v>40</v>
      </c>
      <c r="D2655">
        <v>3.8711060000000002</v>
      </c>
      <c r="E2655">
        <v>0.52326879999999998</v>
      </c>
      <c r="F2655" t="s">
        <v>47</v>
      </c>
      <c r="G2655">
        <v>0</v>
      </c>
      <c r="H2655">
        <v>0</v>
      </c>
      <c r="I2655">
        <v>0</v>
      </c>
      <c r="J2655">
        <v>-389.12459999999999</v>
      </c>
      <c r="K2655">
        <v>1.1097809999999999</v>
      </c>
      <c r="L2655">
        <v>285.6653</v>
      </c>
      <c r="M2655">
        <v>-0.99985190000000002</v>
      </c>
      <c r="N2655">
        <v>-1.470492E-2</v>
      </c>
      <c r="O2655">
        <v>8.9484070000000002E-3</v>
      </c>
      <c r="P2655">
        <v>-0.99699740000000003</v>
      </c>
      <c r="Q2655">
        <v>-1.0580640000000001E-2</v>
      </c>
      <c r="R2655">
        <v>-7.6710390000000003E-2</v>
      </c>
      <c r="S2655">
        <v>-3.0110169999999998</v>
      </c>
      <c r="T2655">
        <v>0.46642260000000002</v>
      </c>
      <c r="U2655">
        <v>-3.5522459999999999E-2</v>
      </c>
      <c r="V2655">
        <v>-8.5630869999999998E-2</v>
      </c>
      <c r="W2655">
        <v>4.0448239999999998E-3</v>
      </c>
      <c r="X2655">
        <v>0.9963187</v>
      </c>
      <c r="Y2655">
        <v>-2.0397140000000001E-2</v>
      </c>
      <c r="Z2655">
        <v>2.9282370000000002E-3</v>
      </c>
      <c r="AA2655">
        <v>0.99978769999999995</v>
      </c>
      <c r="AB2655">
        <v>46</v>
      </c>
      <c r="AC2655">
        <v>-3.0110169999999998</v>
      </c>
      <c r="AD2655">
        <v>0.46642260000000002</v>
      </c>
      <c r="AE2655">
        <v>-3.5522459999999999E-2</v>
      </c>
      <c r="AF2655">
        <v>-6.1004124154368601E-2</v>
      </c>
      <c r="AG2655">
        <v>0.46642260000000002</v>
      </c>
      <c r="AH2655">
        <v>2.9400401209944702</v>
      </c>
      <c r="AI2655">
        <v>80.987346275643205</v>
      </c>
      <c r="AJ2655">
        <v>91.188683560568805</v>
      </c>
      <c r="AK2655">
        <v>2.97743303165861</v>
      </c>
      <c r="AL2655">
        <v>89.768248019177605</v>
      </c>
      <c r="AM2655">
        <v>94.9123437158499</v>
      </c>
      <c r="AN2655">
        <v>0.99999997923391803</v>
      </c>
    </row>
    <row r="2656" spans="1:40" x14ac:dyDescent="0.25">
      <c r="A2656" t="str">
        <f>"20190305134949720"</f>
        <v>20190305134949720</v>
      </c>
      <c r="B2656" t="str">
        <f>"1551764989713062"</f>
        <v>1551764989713062</v>
      </c>
      <c r="C2656" t="s">
        <v>40</v>
      </c>
      <c r="D2656">
        <v>3.86145</v>
      </c>
      <c r="E2656">
        <v>0.52126679999999903</v>
      </c>
      <c r="F2656" t="s">
        <v>47</v>
      </c>
      <c r="G2656">
        <v>0</v>
      </c>
      <c r="H2656">
        <v>0</v>
      </c>
      <c r="I2656">
        <v>0</v>
      </c>
      <c r="J2656">
        <v>-389.39659999999998</v>
      </c>
      <c r="K2656">
        <v>1.1097919999999999</v>
      </c>
      <c r="L2656">
        <v>285.66770000000002</v>
      </c>
      <c r="M2656">
        <v>-0.99985270000000004</v>
      </c>
      <c r="N2656">
        <v>-1.470308E-2</v>
      </c>
      <c r="O2656">
        <v>8.8819680000000005E-3</v>
      </c>
      <c r="P2656">
        <v>-0.99699990000000005</v>
      </c>
      <c r="Q2656">
        <v>-9.5229119999999997E-3</v>
      </c>
      <c r="R2656">
        <v>-7.6817609999999995E-2</v>
      </c>
      <c r="S2656">
        <v>-3.009277</v>
      </c>
      <c r="T2656">
        <v>0.46538309999999999</v>
      </c>
      <c r="U2656">
        <v>-6.115723E-2</v>
      </c>
      <c r="V2656">
        <v>-8.5672739999999997E-2</v>
      </c>
      <c r="W2656">
        <v>5.1005310000000002E-3</v>
      </c>
      <c r="X2656">
        <v>0.99631029999999998</v>
      </c>
      <c r="Y2656">
        <v>-2.8763500000000001E-2</v>
      </c>
      <c r="Z2656">
        <v>3.493239E-3</v>
      </c>
      <c r="AA2656">
        <v>0.99958009999999997</v>
      </c>
      <c r="AB2656">
        <v>46</v>
      </c>
      <c r="AC2656">
        <v>-3.009277</v>
      </c>
      <c r="AD2656">
        <v>0.46538309999999999</v>
      </c>
      <c r="AE2656">
        <v>-6.115723E-2</v>
      </c>
      <c r="AF2656">
        <v>-8.5834004139900305E-2</v>
      </c>
      <c r="AG2656">
        <v>0.46538309999999999</v>
      </c>
      <c r="AH2656">
        <v>2.9383686558062001</v>
      </c>
      <c r="AI2656">
        <v>81.003941511167397</v>
      </c>
      <c r="AJ2656">
        <v>91.673216887043196</v>
      </c>
      <c r="AK2656">
        <v>2.97623239406076</v>
      </c>
      <c r="AL2656">
        <v>89.707759840257395</v>
      </c>
      <c r="AM2656">
        <v>94.914775123118602</v>
      </c>
      <c r="AN2656">
        <v>1.00000002384083</v>
      </c>
    </row>
    <row r="2657" spans="1:40" x14ac:dyDescent="0.25">
      <c r="A2657" t="str">
        <f>"20190305134949734"</f>
        <v>20190305134949734</v>
      </c>
      <c r="B2657" t="str">
        <f>"1551764989722823"</f>
        <v>1551764989722823</v>
      </c>
      <c r="C2657" t="s">
        <v>40</v>
      </c>
      <c r="D2657">
        <v>3.8505199999999999</v>
      </c>
      <c r="E2657">
        <v>0.52005449999999998</v>
      </c>
      <c r="F2657" t="s">
        <v>47</v>
      </c>
      <c r="G2657">
        <v>0</v>
      </c>
      <c r="H2657">
        <v>0</v>
      </c>
      <c r="I2657">
        <v>0</v>
      </c>
      <c r="J2657">
        <v>-389.65219999999999</v>
      </c>
      <c r="K2657">
        <v>1.109804</v>
      </c>
      <c r="L2657">
        <v>285.66989999999998</v>
      </c>
      <c r="M2657">
        <v>-0.99985310000000005</v>
      </c>
      <c r="N2657">
        <v>-1.470141E-2</v>
      </c>
      <c r="O2657">
        <v>8.8203580000000004E-3</v>
      </c>
      <c r="P2657">
        <v>-0.99697789999999997</v>
      </c>
      <c r="Q2657">
        <v>-6.4055120000000004E-3</v>
      </c>
      <c r="R2657">
        <v>-7.7424090000000001E-2</v>
      </c>
      <c r="S2657">
        <v>-3.0075069999999999</v>
      </c>
      <c r="T2657">
        <v>0.46884039999999999</v>
      </c>
      <c r="U2657">
        <v>-7.7423099999999995E-2</v>
      </c>
      <c r="V2657">
        <v>-8.6218249999999996E-2</v>
      </c>
      <c r="W2657">
        <v>8.2156380000000008E-3</v>
      </c>
      <c r="X2657">
        <v>0.99624239999999997</v>
      </c>
      <c r="Y2657">
        <v>-3.4052850000000003E-2</v>
      </c>
      <c r="Z2657">
        <v>3.8815210000000002E-3</v>
      </c>
      <c r="AA2657">
        <v>0.99941250000000004</v>
      </c>
      <c r="AB2657">
        <v>46</v>
      </c>
      <c r="AC2657">
        <v>-3.0075069999999999</v>
      </c>
      <c r="AD2657">
        <v>0.46884039999999999</v>
      </c>
      <c r="AE2657">
        <v>-7.7423099999999995E-2</v>
      </c>
      <c r="AF2657">
        <v>-0.10148560126723399</v>
      </c>
      <c r="AG2657">
        <v>0.46884039999999999</v>
      </c>
      <c r="AH2657">
        <v>2.9354185740893399</v>
      </c>
      <c r="AI2657">
        <v>80.930783092370604</v>
      </c>
      <c r="AJ2657">
        <v>91.980086117793107</v>
      </c>
      <c r="AK2657">
        <v>2.97435587195706</v>
      </c>
      <c r="AL2657">
        <v>89.529273321756804</v>
      </c>
      <c r="AM2657">
        <v>94.946249992917799</v>
      </c>
      <c r="AN2657">
        <v>1.00000000144928</v>
      </c>
    </row>
    <row r="2658" spans="1:40" x14ac:dyDescent="0.25">
      <c r="A2658" t="str">
        <f>"20190305134949747"</f>
        <v>20190305134949747</v>
      </c>
      <c r="B2658" t="str">
        <f>"1551764989743319"</f>
        <v>1551764989743319</v>
      </c>
      <c r="C2658" t="s">
        <v>40</v>
      </c>
      <c r="D2658">
        <v>3.8124310000000001</v>
      </c>
      <c r="E2658">
        <v>0.51918240000000004</v>
      </c>
      <c r="F2658" t="s">
        <v>47</v>
      </c>
      <c r="G2658">
        <v>0</v>
      </c>
      <c r="H2658">
        <v>0</v>
      </c>
      <c r="I2658">
        <v>0</v>
      </c>
      <c r="J2658">
        <v>-389.94659999999999</v>
      </c>
      <c r="K2658">
        <v>1.109812</v>
      </c>
      <c r="L2658">
        <v>285.67239999999998</v>
      </c>
      <c r="M2658">
        <v>-0.99985369999999996</v>
      </c>
      <c r="N2658">
        <v>-1.469962E-2</v>
      </c>
      <c r="O2658">
        <v>8.7507669999999996E-3</v>
      </c>
      <c r="P2658">
        <v>-0.99694309999999997</v>
      </c>
      <c r="Q2658">
        <v>-2.4111369999999998E-3</v>
      </c>
      <c r="R2658">
        <v>-7.8094280000000002E-2</v>
      </c>
      <c r="S2658">
        <v>-3.0052490000000001</v>
      </c>
      <c r="T2658">
        <v>0.4803306</v>
      </c>
      <c r="U2658">
        <v>-8.8897710000000005E-2</v>
      </c>
      <c r="V2658">
        <v>-8.6819880000000002E-2</v>
      </c>
      <c r="W2658">
        <v>1.2207030000000001E-2</v>
      </c>
      <c r="X2658">
        <v>0.99614919999999996</v>
      </c>
      <c r="Y2658">
        <v>-3.7748169999999998E-2</v>
      </c>
      <c r="Z2658">
        <v>4.2351630000000001E-3</v>
      </c>
      <c r="AA2658">
        <v>0.99927829999999995</v>
      </c>
      <c r="AB2658">
        <v>46</v>
      </c>
      <c r="AC2658">
        <v>-3.0052490000000001</v>
      </c>
      <c r="AD2658">
        <v>0.4803306</v>
      </c>
      <c r="AE2658">
        <v>-8.8897710000000005E-2</v>
      </c>
      <c r="AF2658">
        <v>-0.112328370072902</v>
      </c>
      <c r="AG2658">
        <v>0.4803306</v>
      </c>
      <c r="AH2658">
        <v>2.9295827798048002</v>
      </c>
      <c r="AI2658">
        <v>80.695422577879</v>
      </c>
      <c r="AJ2658">
        <v>92.195804253645207</v>
      </c>
      <c r="AK2658">
        <v>2.9708231875607201</v>
      </c>
      <c r="AL2658">
        <v>89.300571305531705</v>
      </c>
      <c r="AM2658">
        <v>94.981055498769095</v>
      </c>
      <c r="AN2658">
        <v>0.99999996590263696</v>
      </c>
    </row>
    <row r="2659" spans="1:40" x14ac:dyDescent="0.25">
      <c r="A2659" t="str">
        <f>"20190305134949759"</f>
        <v>20190305134949759</v>
      </c>
      <c r="B2659" t="str">
        <f>"1551764989753552"</f>
        <v>1551764989753552</v>
      </c>
      <c r="C2659" t="s">
        <v>40</v>
      </c>
      <c r="D2659">
        <v>3.9669889999999999</v>
      </c>
      <c r="E2659">
        <v>0.51918240000000004</v>
      </c>
      <c r="F2659" t="s">
        <v>47</v>
      </c>
      <c r="G2659">
        <v>0</v>
      </c>
      <c r="H2659">
        <v>0</v>
      </c>
      <c r="I2659">
        <v>0</v>
      </c>
      <c r="J2659">
        <v>-390.18700000000001</v>
      </c>
      <c r="K2659">
        <v>1.1098110000000001</v>
      </c>
      <c r="L2659">
        <v>285.67450000000002</v>
      </c>
      <c r="M2659">
        <v>-0.99985429999999997</v>
      </c>
      <c r="N2659">
        <v>-1.469818E-2</v>
      </c>
      <c r="O2659">
        <v>8.694228E-3</v>
      </c>
      <c r="P2659">
        <v>-0.99690650000000003</v>
      </c>
      <c r="Q2659">
        <v>-1.6548019999999999E-3</v>
      </c>
      <c r="R2659">
        <v>-7.8584009999999996E-2</v>
      </c>
      <c r="S2659">
        <v>-3.0028079999999999</v>
      </c>
      <c r="T2659">
        <v>0.49435770000000001</v>
      </c>
      <c r="U2659">
        <v>-9.732056E-2</v>
      </c>
      <c r="V2659">
        <v>-8.7253209999999998E-2</v>
      </c>
      <c r="W2659">
        <v>1.2961810000000001E-2</v>
      </c>
      <c r="X2659">
        <v>0.99610189999999998</v>
      </c>
      <c r="Y2659">
        <v>-4.0448770000000002E-2</v>
      </c>
      <c r="Z2659">
        <v>4.5555810000000004E-3</v>
      </c>
      <c r="AA2659">
        <v>0.99917129999999998</v>
      </c>
      <c r="AB2659">
        <v>46</v>
      </c>
      <c r="AC2659">
        <v>-3.0028079999999999</v>
      </c>
      <c r="AD2659">
        <v>0.49435770000000001</v>
      </c>
      <c r="AE2659">
        <v>-9.732056E-2</v>
      </c>
      <c r="AF2659">
        <v>-0.12017308628104401</v>
      </c>
      <c r="AG2659">
        <v>0.49435770000000001</v>
      </c>
      <c r="AH2659">
        <v>2.92271519129861</v>
      </c>
      <c r="AI2659">
        <v>80.407622089654893</v>
      </c>
      <c r="AJ2659">
        <v>92.354500514819904</v>
      </c>
      <c r="AK2659">
        <v>2.96666398428661</v>
      </c>
      <c r="AL2659">
        <v>89.257322242050506</v>
      </c>
      <c r="AM2659">
        <v>95.006027119358507</v>
      </c>
      <c r="AN2659">
        <v>1.0000000631786901</v>
      </c>
    </row>
    <row r="2660" spans="1:40" x14ac:dyDescent="0.25">
      <c r="A2660" t="str">
        <f>"20190305134949771"</f>
        <v>20190305134949771</v>
      </c>
      <c r="B2660" t="str">
        <f>"1551764989763312"</f>
        <v>1551764989763312</v>
      </c>
      <c r="C2660" t="s">
        <v>40</v>
      </c>
      <c r="D2660">
        <v>3.80091</v>
      </c>
      <c r="E2660">
        <v>0.51837009999999994</v>
      </c>
      <c r="F2660" t="s">
        <v>47</v>
      </c>
      <c r="G2660">
        <v>0</v>
      </c>
      <c r="H2660">
        <v>0</v>
      </c>
      <c r="I2660">
        <v>0</v>
      </c>
      <c r="J2660">
        <v>-390.4332</v>
      </c>
      <c r="K2660">
        <v>1.109802</v>
      </c>
      <c r="L2660">
        <v>285.67660000000001</v>
      </c>
      <c r="M2660">
        <v>-0.99985480000000004</v>
      </c>
      <c r="N2660">
        <v>-1.469672E-2</v>
      </c>
      <c r="O2660">
        <v>8.6366789999999995E-3</v>
      </c>
      <c r="P2660">
        <v>-0.99689079999999997</v>
      </c>
      <c r="Q2660">
        <v>-7.9730429999999998E-4</v>
      </c>
      <c r="R2660">
        <v>-7.879274E-2</v>
      </c>
      <c r="S2660">
        <v>-3.0023499999999999</v>
      </c>
      <c r="T2660">
        <v>0.49655929999999998</v>
      </c>
      <c r="U2660">
        <v>-9.8663329999999994E-2</v>
      </c>
      <c r="V2660">
        <v>-8.7404670000000004E-2</v>
      </c>
      <c r="W2660">
        <v>1.3817650000000001E-2</v>
      </c>
      <c r="X2660">
        <v>0.99607710000000005</v>
      </c>
      <c r="Y2660">
        <v>-4.0832849999999997E-2</v>
      </c>
      <c r="Z2660">
        <v>4.5954330000000003E-3</v>
      </c>
      <c r="AA2660">
        <v>0.99915540000000003</v>
      </c>
      <c r="AB2660">
        <v>46</v>
      </c>
      <c r="AC2660">
        <v>-3.0023499999999999</v>
      </c>
      <c r="AD2660">
        <v>0.49655929999999998</v>
      </c>
      <c r="AE2660">
        <v>-9.8663329999999994E-2</v>
      </c>
      <c r="AF2660">
        <v>-0.12127890572064599</v>
      </c>
      <c r="AG2660">
        <v>0.49655929999999998</v>
      </c>
      <c r="AH2660">
        <v>2.9215559775452098</v>
      </c>
      <c r="AI2660">
        <v>80.362104839791698</v>
      </c>
      <c r="AJ2660">
        <v>92.377083370876505</v>
      </c>
      <c r="AK2660">
        <v>2.9659347668685201</v>
      </c>
      <c r="AL2660">
        <v>89.208281814181902</v>
      </c>
      <c r="AM2660">
        <v>95.014796864469304</v>
      </c>
      <c r="AN2660">
        <v>1.0000000464668599</v>
      </c>
    </row>
    <row r="2661" spans="1:40" x14ac:dyDescent="0.25">
      <c r="A2661" t="str">
        <f>"20190305134949783"</f>
        <v>20190305134949783</v>
      </c>
      <c r="B2661" t="str">
        <f>"1551764989773074"</f>
        <v>1551764989773074</v>
      </c>
      <c r="C2661" t="s">
        <v>40</v>
      </c>
      <c r="D2661">
        <v>3.8048009999999999</v>
      </c>
      <c r="E2661">
        <v>0.5177332</v>
      </c>
      <c r="F2661" t="s">
        <v>47</v>
      </c>
      <c r="G2661">
        <v>0</v>
      </c>
      <c r="H2661">
        <v>0</v>
      </c>
      <c r="I2661">
        <v>0</v>
      </c>
      <c r="J2661">
        <v>-390.68669999999997</v>
      </c>
      <c r="K2661">
        <v>1.1097969999999999</v>
      </c>
      <c r="L2661">
        <v>285.67880000000002</v>
      </c>
      <c r="M2661">
        <v>-0.9998553</v>
      </c>
      <c r="N2661">
        <v>-1.46952E-2</v>
      </c>
      <c r="O2661">
        <v>8.5777619999999992E-3</v>
      </c>
      <c r="P2661">
        <v>-0.99687760000000003</v>
      </c>
      <c r="Q2661">
        <v>-1.559922E-3</v>
      </c>
      <c r="R2661">
        <v>-7.8948270000000001E-2</v>
      </c>
      <c r="S2661">
        <v>-3.001404</v>
      </c>
      <c r="T2661">
        <v>0.49712610000000002</v>
      </c>
      <c r="U2661">
        <v>-0.1054688</v>
      </c>
      <c r="V2661">
        <v>-8.7501029999999994E-2</v>
      </c>
      <c r="W2661">
        <v>1.305335E-2</v>
      </c>
      <c r="X2661">
        <v>0.99607889999999999</v>
      </c>
      <c r="Y2661">
        <v>-4.3019130000000003E-2</v>
      </c>
      <c r="Z2661">
        <v>4.7551690000000001E-3</v>
      </c>
      <c r="AA2661">
        <v>0.99906300000000003</v>
      </c>
      <c r="AB2661">
        <v>46</v>
      </c>
      <c r="AC2661">
        <v>-3.001404</v>
      </c>
      <c r="AD2661">
        <v>0.49712610000000002</v>
      </c>
      <c r="AE2661">
        <v>-0.1054688</v>
      </c>
      <c r="AF2661">
        <v>-0.127713689877891</v>
      </c>
      <c r="AG2661">
        <v>0.49712610000000002</v>
      </c>
      <c r="AH2661">
        <v>2.92037102663308</v>
      </c>
      <c r="AI2661">
        <v>80.348363550587806</v>
      </c>
      <c r="AJ2661">
        <v>92.504063985378707</v>
      </c>
      <c r="AK2661">
        <v>2.96513272537358</v>
      </c>
      <c r="AL2661">
        <v>89.252076893917703</v>
      </c>
      <c r="AM2661">
        <v>95.020288204940002</v>
      </c>
      <c r="AN2661">
        <v>0.99999999761124603</v>
      </c>
    </row>
    <row r="2662" spans="1:40" x14ac:dyDescent="0.25">
      <c r="A2662" t="str">
        <f>"20190305134949795"</f>
        <v>20190305134949795</v>
      </c>
      <c r="B2662" t="str">
        <f>"1551764989782832"</f>
        <v>1551764989782832</v>
      </c>
      <c r="C2662" t="s">
        <v>40</v>
      </c>
      <c r="D2662">
        <v>4.0143769999999996</v>
      </c>
      <c r="E2662">
        <v>0.5177332</v>
      </c>
      <c r="F2662" t="s">
        <v>47</v>
      </c>
      <c r="G2662">
        <v>0</v>
      </c>
      <c r="H2662">
        <v>0</v>
      </c>
      <c r="I2662">
        <v>0</v>
      </c>
      <c r="J2662">
        <v>-390.92559999999997</v>
      </c>
      <c r="K2662">
        <v>1.1097950000000001</v>
      </c>
      <c r="L2662">
        <v>285.68079999999998</v>
      </c>
      <c r="M2662">
        <v>-0.99985579999999996</v>
      </c>
      <c r="N2662">
        <v>-1.469376E-2</v>
      </c>
      <c r="O2662">
        <v>8.5225939999999997E-3</v>
      </c>
      <c r="P2662">
        <v>-0.99686989999999998</v>
      </c>
      <c r="Q2662">
        <v>-2.538453E-3</v>
      </c>
      <c r="R2662">
        <v>-7.9020430000000003E-2</v>
      </c>
      <c r="S2662">
        <v>-3.0014340000000002</v>
      </c>
      <c r="T2662">
        <v>0.49377539999999998</v>
      </c>
      <c r="U2662">
        <v>-0.11074829999999999</v>
      </c>
      <c r="V2662">
        <v>-8.7517789999999998E-2</v>
      </c>
      <c r="W2662">
        <v>1.2073530000000001E-2</v>
      </c>
      <c r="X2662">
        <v>0.99608980000000003</v>
      </c>
      <c r="Y2662">
        <v>-4.4708129999999999E-2</v>
      </c>
      <c r="Z2662">
        <v>4.8377569999999998E-3</v>
      </c>
      <c r="AA2662">
        <v>0.9989884</v>
      </c>
      <c r="AB2662">
        <v>46</v>
      </c>
      <c r="AC2662">
        <v>-3.0014340000000002</v>
      </c>
      <c r="AD2662">
        <v>0.49377539999999998</v>
      </c>
      <c r="AE2662">
        <v>-0.11074829999999999</v>
      </c>
      <c r="AF2662">
        <v>-0.13273938887154699</v>
      </c>
      <c r="AG2662">
        <v>0.49377539999999998</v>
      </c>
      <c r="AH2662">
        <v>2.9214214620892198</v>
      </c>
      <c r="AI2662">
        <v>80.416302206686296</v>
      </c>
      <c r="AJ2662">
        <v>92.601534761966704</v>
      </c>
      <c r="AK2662">
        <v>2.96582825702344</v>
      </c>
      <c r="AL2662">
        <v>89.308220887772293</v>
      </c>
      <c r="AM2662">
        <v>95.021190212949705</v>
      </c>
      <c r="AN2662">
        <v>1.0000000116785901</v>
      </c>
    </row>
    <row r="2663" spans="1:40" x14ac:dyDescent="0.25">
      <c r="A2663" t="str">
        <f>"20190305134949815"</f>
        <v>20190305134949815</v>
      </c>
      <c r="B2663" t="str">
        <f>"1551764989803332"</f>
        <v>1551764989803332</v>
      </c>
      <c r="C2663" t="s">
        <v>40</v>
      </c>
      <c r="D2663">
        <v>3.8336519999999998</v>
      </c>
      <c r="E2663">
        <v>0.51295259999999998</v>
      </c>
      <c r="F2663" t="s">
        <v>47</v>
      </c>
      <c r="G2663">
        <v>0</v>
      </c>
      <c r="H2663">
        <v>0</v>
      </c>
      <c r="I2663">
        <v>0</v>
      </c>
      <c r="J2663">
        <v>-391.31869999999998</v>
      </c>
      <c r="K2663">
        <v>1.1097980000000001</v>
      </c>
      <c r="L2663">
        <v>285.68400000000003</v>
      </c>
      <c r="M2663">
        <v>-0.99985650000000004</v>
      </c>
      <c r="N2663">
        <v>-1.4691320000000001E-2</v>
      </c>
      <c r="O2663">
        <v>8.4329839999999993E-3</v>
      </c>
      <c r="P2663">
        <v>-0.996892</v>
      </c>
      <c r="Q2663">
        <v>-1.62607299999999E-3</v>
      </c>
      <c r="R2663">
        <v>-7.8765269999999998E-2</v>
      </c>
      <c r="S2663">
        <v>-3.0018919999999998</v>
      </c>
      <c r="T2663">
        <v>0.49070920000000001</v>
      </c>
      <c r="U2663">
        <v>-0.1105347</v>
      </c>
      <c r="V2663">
        <v>-8.7173860000000006E-2</v>
      </c>
      <c r="W2663">
        <v>1.298421E-2</v>
      </c>
      <c r="X2663">
        <v>0.99610849999999995</v>
      </c>
      <c r="Y2663">
        <v>-4.4554040000000003E-2</v>
      </c>
      <c r="Z2663">
        <v>4.7789479999999999E-3</v>
      </c>
      <c r="AA2663">
        <v>0.99899550000000004</v>
      </c>
      <c r="AB2663">
        <v>46</v>
      </c>
      <c r="AC2663">
        <v>-3.0018919999999998</v>
      </c>
      <c r="AD2663">
        <v>0.49070920000000001</v>
      </c>
      <c r="AE2663">
        <v>-0.1105347</v>
      </c>
      <c r="AF2663">
        <v>-0.132317494908605</v>
      </c>
      <c r="AG2663">
        <v>0.49070920000000001</v>
      </c>
      <c r="AH2663">
        <v>2.9228561087536802</v>
      </c>
      <c r="AI2663">
        <v>80.479239611574997</v>
      </c>
      <c r="AJ2663">
        <v>92.592006305293907</v>
      </c>
      <c r="AK2663">
        <v>2.9667138842332301</v>
      </c>
      <c r="AL2663">
        <v>89.256038667362006</v>
      </c>
      <c r="AM2663">
        <v>95.001464659126299</v>
      </c>
      <c r="AN2663">
        <v>1.00000000767443</v>
      </c>
    </row>
    <row r="2664" spans="1:40" x14ac:dyDescent="0.25">
      <c r="A2664" t="str">
        <f>"20190305134949825"</f>
        <v>20190305134949825</v>
      </c>
      <c r="B2664" t="str">
        <f>"1551764989813088"</f>
        <v>1551764989813088</v>
      </c>
      <c r="C2664" t="s">
        <v>40</v>
      </c>
      <c r="D2664">
        <v>3.8131149999999998</v>
      </c>
      <c r="E2664">
        <v>0.5126501</v>
      </c>
      <c r="F2664" t="s">
        <v>74</v>
      </c>
      <c r="G2664">
        <v>-465.01089999999999</v>
      </c>
      <c r="H2664" s="1">
        <v>1.225042E-6</v>
      </c>
      <c r="I2664">
        <v>282.43680000000001</v>
      </c>
      <c r="J2664">
        <v>-391.56599999999997</v>
      </c>
      <c r="K2664">
        <v>1.1097999999999999</v>
      </c>
      <c r="L2664">
        <v>285.68610000000001</v>
      </c>
      <c r="M2664">
        <v>-0.99985710000000005</v>
      </c>
      <c r="N2664">
        <v>-1.468972E-2</v>
      </c>
      <c r="O2664">
        <v>8.3767430000000007E-3</v>
      </c>
      <c r="P2664">
        <v>-0.99693609999999999</v>
      </c>
      <c r="Q2664">
        <v>-8.1961600000000001E-4</v>
      </c>
      <c r="R2664">
        <v>-7.821612E-2</v>
      </c>
      <c r="S2664">
        <v>-2.99884</v>
      </c>
      <c r="T2664">
        <v>-4.5162199999999902E-2</v>
      </c>
      <c r="U2664">
        <v>-0.13214110000000001</v>
      </c>
      <c r="V2664">
        <v>-8.6569670000000001E-2</v>
      </c>
      <c r="W2664">
        <v>1.378999E-2</v>
      </c>
      <c r="X2664">
        <v>0.99615039999999999</v>
      </c>
      <c r="Y2664">
        <v>-5.2377609999999998E-2</v>
      </c>
      <c r="Z2664">
        <v>-7.8223850000000005E-4</v>
      </c>
      <c r="AA2664">
        <v>0.99862709999999999</v>
      </c>
      <c r="AB2664">
        <v>46</v>
      </c>
      <c r="AC2664">
        <v>-73.444900000000004</v>
      </c>
      <c r="AD2664">
        <v>-1.1097987749579901</v>
      </c>
      <c r="AE2664">
        <v>-3.2492999999999999</v>
      </c>
      <c r="AF2664">
        <v>-3.8636009022070801</v>
      </c>
      <c r="AG2664">
        <v>-1.1097987749579901</v>
      </c>
      <c r="AH2664">
        <v>73.3983747074641</v>
      </c>
      <c r="AI2664">
        <v>90.865060695872302</v>
      </c>
      <c r="AJ2664">
        <v>93.013198957021004</v>
      </c>
      <c r="AK2664">
        <v>73.508370101300301</v>
      </c>
      <c r="AL2664">
        <v>89.209866765618798</v>
      </c>
      <c r="AM2664">
        <v>94.966766334207307</v>
      </c>
      <c r="AN2664">
        <v>1.00000004550413</v>
      </c>
    </row>
    <row r="2665" spans="1:40" x14ac:dyDescent="0.25">
      <c r="A2665" t="str">
        <f>"20190305134949837"</f>
        <v>20190305134949837</v>
      </c>
      <c r="B2665" t="str">
        <f>"1551764989833584"</f>
        <v>1551764989833584</v>
      </c>
      <c r="C2665" t="s">
        <v>40</v>
      </c>
      <c r="D2665">
        <v>3.8454060000000001</v>
      </c>
      <c r="E2665">
        <v>0.5124708</v>
      </c>
      <c r="F2665" t="s">
        <v>76</v>
      </c>
      <c r="G2665">
        <v>-547.26919999999996</v>
      </c>
      <c r="H2665">
        <v>25.436419999999998</v>
      </c>
      <c r="I2665">
        <v>278.05</v>
      </c>
      <c r="J2665">
        <v>-391.78190000000001</v>
      </c>
      <c r="K2665">
        <v>1.1098049999999999</v>
      </c>
      <c r="L2665">
        <v>285.68790000000001</v>
      </c>
      <c r="M2665">
        <v>-0.99985749999999995</v>
      </c>
      <c r="N2665">
        <v>-1.468831E-2</v>
      </c>
      <c r="O2665">
        <v>8.3277660000000003E-3</v>
      </c>
      <c r="P2665">
        <v>-0.99696799999999997</v>
      </c>
      <c r="Q2665" s="1">
        <v>5.6961549999999997E-5</v>
      </c>
      <c r="R2665">
        <v>-7.7814019999999998E-2</v>
      </c>
      <c r="S2665">
        <v>-2.9980769999999999</v>
      </c>
      <c r="T2665">
        <v>0.4684123</v>
      </c>
      <c r="U2665">
        <v>-0.14703369999999999</v>
      </c>
      <c r="V2665">
        <v>-8.6119230000000005E-2</v>
      </c>
      <c r="W2665">
        <v>1.4665859999999999E-2</v>
      </c>
      <c r="X2665">
        <v>0.99617690000000003</v>
      </c>
      <c r="Y2665">
        <v>-5.6560729999999997E-2</v>
      </c>
      <c r="Z2665">
        <v>5.3853019999999998E-3</v>
      </c>
      <c r="AA2665">
        <v>0.99838470000000001</v>
      </c>
      <c r="AB2665">
        <v>46</v>
      </c>
      <c r="AC2665">
        <v>-155.48729999999901</v>
      </c>
      <c r="AD2665">
        <v>24.326615</v>
      </c>
      <c r="AE2665">
        <v>-7.6379000000000001</v>
      </c>
      <c r="AF2665">
        <v>-8.7197104685139699</v>
      </c>
      <c r="AG2665">
        <v>24.326615</v>
      </c>
      <c r="AH2665">
        <v>151.713607931506</v>
      </c>
      <c r="AI2665">
        <v>80.905172799330302</v>
      </c>
      <c r="AJ2665">
        <v>93.289445038310305</v>
      </c>
      <c r="AK2665">
        <v>153.89878615378299</v>
      </c>
      <c r="AL2665">
        <v>89.1596780040868</v>
      </c>
      <c r="AM2665">
        <v>94.940920696560099</v>
      </c>
      <c r="AN2665">
        <v>1.0000000126594699</v>
      </c>
    </row>
    <row r="2666" spans="1:40" x14ac:dyDescent="0.25">
      <c r="A2666" t="str">
        <f>"20190305134949848"</f>
        <v>20190305134949848</v>
      </c>
      <c r="B2666" t="str">
        <f>"1551764989843345"</f>
        <v>1551764989843345</v>
      </c>
      <c r="C2666" t="s">
        <v>40</v>
      </c>
      <c r="D2666">
        <v>3.8395730000000001</v>
      </c>
      <c r="E2666">
        <v>0.51212199999999997</v>
      </c>
      <c r="F2666" t="s">
        <v>76</v>
      </c>
      <c r="G2666">
        <v>-547.56269999999995</v>
      </c>
      <c r="H2666">
        <v>25.649349999999998</v>
      </c>
      <c r="I2666">
        <v>278.05</v>
      </c>
      <c r="J2666">
        <v>-392.02370000000002</v>
      </c>
      <c r="K2666">
        <v>1.1098079999999999</v>
      </c>
      <c r="L2666">
        <v>285.68990000000002</v>
      </c>
      <c r="M2666">
        <v>-0.99985789999999997</v>
      </c>
      <c r="N2666">
        <v>-1.468674E-2</v>
      </c>
      <c r="O2666">
        <v>8.2735459999999997E-3</v>
      </c>
      <c r="P2666">
        <v>-0.99700690000000003</v>
      </c>
      <c r="Q2666">
        <v>3.5118129999999999E-4</v>
      </c>
      <c r="R2666">
        <v>-7.7310690000000001E-2</v>
      </c>
      <c r="S2666">
        <v>-2.99762</v>
      </c>
      <c r="T2666">
        <v>0.47220440000000002</v>
      </c>
      <c r="U2666">
        <v>-0.14697270000000001</v>
      </c>
      <c r="V2666">
        <v>-8.5562150000000003E-2</v>
      </c>
      <c r="W2666">
        <v>1.495956E-2</v>
      </c>
      <c r="X2666">
        <v>0.99622049999999995</v>
      </c>
      <c r="Y2666">
        <v>-5.6482900000000003E-2</v>
      </c>
      <c r="Z2666">
        <v>5.4168019999999897E-3</v>
      </c>
      <c r="AA2666">
        <v>0.99838890000000002</v>
      </c>
      <c r="AB2666">
        <v>46</v>
      </c>
      <c r="AC2666">
        <v>-155.53899999999899</v>
      </c>
      <c r="AD2666">
        <v>24.539542000000001</v>
      </c>
      <c r="AE2666">
        <v>-7.6399000000000097</v>
      </c>
      <c r="AF2666">
        <v>-8.7103430816341003</v>
      </c>
      <c r="AG2666">
        <v>24.539542000000001</v>
      </c>
      <c r="AH2666">
        <v>151.703394932718</v>
      </c>
      <c r="AI2666">
        <v>80.826277923550805</v>
      </c>
      <c r="AJ2666">
        <v>93.286139740105</v>
      </c>
      <c r="AK2666">
        <v>153.921990736483</v>
      </c>
      <c r="AL2666">
        <v>89.142848357023993</v>
      </c>
      <c r="AM2666">
        <v>94.9089022285293</v>
      </c>
      <c r="AN2666">
        <v>0.99999997728413204</v>
      </c>
    </row>
    <row r="2667" spans="1:40" x14ac:dyDescent="0.25">
      <c r="A2667" t="str">
        <f>"20190305134949860"</f>
        <v>20190305134949860</v>
      </c>
      <c r="B2667" t="str">
        <f>"1551764989853612"</f>
        <v>1551764989853612</v>
      </c>
      <c r="C2667" t="s">
        <v>40</v>
      </c>
      <c r="D2667">
        <v>4.0352489999999896</v>
      </c>
      <c r="E2667">
        <v>0.51243509999999903</v>
      </c>
      <c r="F2667" t="s">
        <v>76</v>
      </c>
      <c r="G2667">
        <v>-546.16300000000001</v>
      </c>
      <c r="H2667">
        <v>25.556660000000001</v>
      </c>
      <c r="I2667">
        <v>278.05</v>
      </c>
      <c r="J2667">
        <v>-392.26600000000002</v>
      </c>
      <c r="K2667">
        <v>1.1098110000000001</v>
      </c>
      <c r="L2667">
        <v>285.69189999999998</v>
      </c>
      <c r="M2667">
        <v>-0.99985840000000004</v>
      </c>
      <c r="N2667">
        <v>-1.4685200000000001E-2</v>
      </c>
      <c r="O2667">
        <v>8.2193219999999994E-3</v>
      </c>
      <c r="P2667">
        <v>-0.99704780000000004</v>
      </c>
      <c r="Q2667">
        <v>4.512807E-4</v>
      </c>
      <c r="R2667">
        <v>-7.6784619999999998E-2</v>
      </c>
      <c r="S2667">
        <v>-2.9972840000000001</v>
      </c>
      <c r="T2667">
        <v>0.4753773</v>
      </c>
      <c r="U2667">
        <v>-0.14855960000000001</v>
      </c>
      <c r="V2667">
        <v>-8.4981989999999993E-2</v>
      </c>
      <c r="W2667">
        <v>1.50592E-2</v>
      </c>
      <c r="X2667">
        <v>0.99626870000000001</v>
      </c>
      <c r="Y2667">
        <v>-5.6946589999999998E-2</v>
      </c>
      <c r="Z2667">
        <v>5.4790269999999896E-3</v>
      </c>
      <c r="AA2667">
        <v>0.99836219999999998</v>
      </c>
      <c r="AB2667">
        <v>46</v>
      </c>
      <c r="AC2667">
        <v>-153.89699999999999</v>
      </c>
      <c r="AD2667">
        <v>24.446849</v>
      </c>
      <c r="AE2667">
        <v>-7.6418999999999597</v>
      </c>
      <c r="AF2667">
        <v>-8.6880134222015997</v>
      </c>
      <c r="AG2667">
        <v>24.446849</v>
      </c>
      <c r="AH2667">
        <v>150.05189160113599</v>
      </c>
      <c r="AI2667">
        <v>80.7617282099596</v>
      </c>
      <c r="AJ2667">
        <v>93.313729335500994</v>
      </c>
      <c r="AK2667">
        <v>152.278364111032</v>
      </c>
      <c r="AL2667">
        <v>89.137138799427106</v>
      </c>
      <c r="AM2667">
        <v>94.875543331924803</v>
      </c>
      <c r="AN2667">
        <v>1.00000002036434</v>
      </c>
    </row>
    <row r="2668" spans="1:40" x14ac:dyDescent="0.25">
      <c r="A2668" t="str">
        <f>"20190305134949875"</f>
        <v>20190305134949875</v>
      </c>
      <c r="B2668" t="str">
        <f>"1551764989863371"</f>
        <v>1551764989863371</v>
      </c>
      <c r="C2668" t="s">
        <v>40</v>
      </c>
      <c r="D2668">
        <v>4.0342500000000001</v>
      </c>
      <c r="E2668">
        <v>0.51243509999999903</v>
      </c>
      <c r="F2668" t="s">
        <v>76</v>
      </c>
      <c r="G2668">
        <v>-550.85760000000005</v>
      </c>
      <c r="H2668">
        <v>26.429279999999999</v>
      </c>
      <c r="I2668">
        <v>278.05</v>
      </c>
      <c r="J2668">
        <v>-392.57</v>
      </c>
      <c r="K2668">
        <v>1.109809</v>
      </c>
      <c r="L2668">
        <v>285.6943</v>
      </c>
      <c r="M2668">
        <v>-0.99985900000000005</v>
      </c>
      <c r="N2668">
        <v>-1.46833E-2</v>
      </c>
      <c r="O2668">
        <v>8.1515140000000003E-3</v>
      </c>
      <c r="P2668">
        <v>-0.99704400000000004</v>
      </c>
      <c r="Q2668">
        <v>3.5611539999999998E-4</v>
      </c>
      <c r="R2668">
        <v>-7.6833670000000007E-2</v>
      </c>
      <c r="S2668">
        <v>-2.9975589999999999</v>
      </c>
      <c r="T2668">
        <v>0.47856700000000002</v>
      </c>
      <c r="U2668">
        <v>-0.1444397</v>
      </c>
      <c r="V2668">
        <v>-8.4963590000000005E-2</v>
      </c>
      <c r="W2668">
        <v>1.4962420000000001E-2</v>
      </c>
      <c r="X2668">
        <v>0.99627169999999998</v>
      </c>
      <c r="Y2668">
        <v>-5.5512390000000002E-2</v>
      </c>
      <c r="Z2668">
        <v>5.4021579999999998E-3</v>
      </c>
      <c r="AA2668">
        <v>0.99844339999999998</v>
      </c>
      <c r="AB2668">
        <v>46</v>
      </c>
      <c r="AC2668">
        <v>-158.2876</v>
      </c>
      <c r="AD2668">
        <v>25.319471</v>
      </c>
      <c r="AE2668">
        <v>-7.6442999999999799</v>
      </c>
      <c r="AF2668">
        <v>-8.7120734963958508</v>
      </c>
      <c r="AG2668">
        <v>25.319471</v>
      </c>
      <c r="AH2668">
        <v>154.28163721318501</v>
      </c>
      <c r="AI2668">
        <v>80.694715280311001</v>
      </c>
      <c r="AJ2668">
        <v>93.2319821094068</v>
      </c>
      <c r="AK2668">
        <v>156.587992571293</v>
      </c>
      <c r="AL2668">
        <v>89.142684486162594</v>
      </c>
      <c r="AM2668">
        <v>94.874478175954096</v>
      </c>
      <c r="AN2668">
        <v>0.99999999292941699</v>
      </c>
    </row>
    <row r="2669" spans="1:40" x14ac:dyDescent="0.25">
      <c r="A2669" t="str">
        <f>"20190305134949889"</f>
        <v>20190305134949889</v>
      </c>
      <c r="B2669" t="str">
        <f>"1551764989882892"</f>
        <v>1551764989882892</v>
      </c>
      <c r="C2669" t="s">
        <v>40</v>
      </c>
      <c r="D2669">
        <v>4.0273940000000001</v>
      </c>
      <c r="E2669">
        <v>0.51232460000000002</v>
      </c>
      <c r="F2669" t="s">
        <v>76</v>
      </c>
      <c r="G2669">
        <v>-551.07060000000001</v>
      </c>
      <c r="H2669">
        <v>26.397950000000002</v>
      </c>
      <c r="I2669">
        <v>278.05200000000002</v>
      </c>
      <c r="J2669">
        <v>-392.86270000000002</v>
      </c>
      <c r="K2669">
        <v>1.109804</v>
      </c>
      <c r="L2669">
        <v>285.69659999999999</v>
      </c>
      <c r="M2669">
        <v>-0.99985959999999996</v>
      </c>
      <c r="N2669">
        <v>-1.46815E-2</v>
      </c>
      <c r="O2669">
        <v>8.0859160000000003E-3</v>
      </c>
      <c r="P2669">
        <v>-0.99705460000000001</v>
      </c>
      <c r="Q2669">
        <v>-1.7832500000000001E-4</v>
      </c>
      <c r="R2669">
        <v>-7.6695390000000002E-2</v>
      </c>
      <c r="S2669">
        <v>-2.9975890000000001</v>
      </c>
      <c r="T2669">
        <v>0.47825440000000002</v>
      </c>
      <c r="U2669">
        <v>-0.144531299999999</v>
      </c>
      <c r="V2669">
        <v>-8.4759970000000004E-2</v>
      </c>
      <c r="W2669">
        <v>1.442651E-2</v>
      </c>
      <c r="X2669">
        <v>0.99629690000000004</v>
      </c>
      <c r="Y2669">
        <v>-5.5479220000000003E-2</v>
      </c>
      <c r="Z2669">
        <v>5.3847319999999997E-3</v>
      </c>
      <c r="AA2669">
        <v>0.99844529999999998</v>
      </c>
      <c r="AB2669">
        <v>46</v>
      </c>
      <c r="AC2669">
        <v>-158.2079</v>
      </c>
      <c r="AD2669">
        <v>25.288145999999902</v>
      </c>
      <c r="AE2669">
        <v>-7.6445999999999596</v>
      </c>
      <c r="AF2669">
        <v>-8.7019338802968598</v>
      </c>
      <c r="AG2669">
        <v>25.288145999999902</v>
      </c>
      <c r="AH2669">
        <v>154.210135507768</v>
      </c>
      <c r="AI2669">
        <v>80.701772303593202</v>
      </c>
      <c r="AJ2669">
        <v>93.2297221474401</v>
      </c>
      <c r="AK2669">
        <v>156.51191607893199</v>
      </c>
      <c r="AL2669">
        <v>89.173393143784196</v>
      </c>
      <c r="AM2669">
        <v>94.862729892368293</v>
      </c>
      <c r="AN2669">
        <v>0.99999994482739396</v>
      </c>
    </row>
    <row r="2670" spans="1:40" x14ac:dyDescent="0.25">
      <c r="A2670" t="str">
        <f>"20190305134949903"</f>
        <v>20190305134949903</v>
      </c>
      <c r="B2670" t="str">
        <f>"1551764989893628"</f>
        <v>1551764989893628</v>
      </c>
      <c r="C2670" t="s">
        <v>40</v>
      </c>
      <c r="D2670">
        <v>4.1120530000000004</v>
      </c>
      <c r="E2670">
        <v>0.50329990000000002</v>
      </c>
      <c r="F2670" t="s">
        <v>76</v>
      </c>
      <c r="G2670">
        <v>-550.99469999999997</v>
      </c>
      <c r="H2670">
        <v>26.139060000000001</v>
      </c>
      <c r="I2670">
        <v>278.05</v>
      </c>
      <c r="J2670">
        <v>-393.14499999999998</v>
      </c>
      <c r="K2670">
        <v>1.109801</v>
      </c>
      <c r="L2670">
        <v>285.69889999999998</v>
      </c>
      <c r="M2670">
        <v>-0.99986019999999998</v>
      </c>
      <c r="N2670">
        <v>-1.467975E-2</v>
      </c>
      <c r="O2670">
        <v>8.0226380000000003E-3</v>
      </c>
      <c r="P2670">
        <v>-0.99704590000000004</v>
      </c>
      <c r="Q2670">
        <v>-1.4699730000000001E-3</v>
      </c>
      <c r="R2670">
        <v>-7.6795100000000005E-2</v>
      </c>
      <c r="S2670">
        <v>-2.9977420000000001</v>
      </c>
      <c r="T2670">
        <v>0.47448560000000001</v>
      </c>
      <c r="U2670">
        <v>-0.14495849999999999</v>
      </c>
      <c r="V2670">
        <v>-8.4796150000000001E-2</v>
      </c>
      <c r="W2670">
        <v>1.3132970000000001E-2</v>
      </c>
      <c r="X2670">
        <v>0.99631179999999997</v>
      </c>
      <c r="Y2670">
        <v>-5.5567730000000003E-2</v>
      </c>
      <c r="Z2670">
        <v>5.3357619999999904E-3</v>
      </c>
      <c r="AA2670">
        <v>0.99844069999999996</v>
      </c>
      <c r="AB2670">
        <v>46</v>
      </c>
      <c r="AC2670">
        <v>-157.84969999999899</v>
      </c>
      <c r="AD2670">
        <v>25.029259</v>
      </c>
      <c r="AE2670">
        <v>-7.6488999999999603</v>
      </c>
      <c r="AF2670">
        <v>-8.6970087781490193</v>
      </c>
      <c r="AG2670">
        <v>25.029259</v>
      </c>
      <c r="AH2670">
        <v>153.92232174687001</v>
      </c>
      <c r="AI2670">
        <v>80.778446596837199</v>
      </c>
      <c r="AJ2670">
        <v>93.233920993125594</v>
      </c>
      <c r="AK2670">
        <v>156.18637232397401</v>
      </c>
      <c r="AL2670">
        <v>89.247514639036396</v>
      </c>
      <c r="AM2670">
        <v>94.864723196469697</v>
      </c>
      <c r="AN2670">
        <v>1.00000003238754</v>
      </c>
    </row>
    <row r="2671" spans="1:40" x14ac:dyDescent="0.25">
      <c r="A2671" t="str">
        <f>"20190305134949916"</f>
        <v>20190305134949916</v>
      </c>
      <c r="B2671" t="str">
        <f>"1551764989903387"</f>
        <v>1551764989903387</v>
      </c>
      <c r="C2671" t="s">
        <v>40</v>
      </c>
      <c r="D2671">
        <v>4.058319</v>
      </c>
      <c r="E2671">
        <v>0.49553960000000002</v>
      </c>
      <c r="F2671" t="s">
        <v>74</v>
      </c>
      <c r="G2671">
        <v>-464.02820000000003</v>
      </c>
      <c r="H2671" s="1">
        <v>7.6966299999999995E-7</v>
      </c>
      <c r="I2671">
        <v>280.89139999999998</v>
      </c>
      <c r="J2671">
        <v>-393.4153</v>
      </c>
      <c r="K2671">
        <v>1.109788</v>
      </c>
      <c r="L2671">
        <v>285.70100000000002</v>
      </c>
      <c r="M2671">
        <v>-0.99986079999999999</v>
      </c>
      <c r="N2671">
        <v>-1.467806E-2</v>
      </c>
      <c r="O2671">
        <v>7.9620419999999904E-3</v>
      </c>
      <c r="P2671">
        <v>-0.99701550000000005</v>
      </c>
      <c r="Q2671">
        <v>-4.1912970000000001E-3</v>
      </c>
      <c r="R2671">
        <v>-7.709046E-2</v>
      </c>
      <c r="S2671">
        <v>-2.9931640000000002</v>
      </c>
      <c r="T2671">
        <v>-4.6863200000000001E-2</v>
      </c>
      <c r="U2671">
        <v>-0.20300289999999999</v>
      </c>
      <c r="V2671">
        <v>-8.5030259999999996E-2</v>
      </c>
      <c r="W2671">
        <v>1.0409949999999999E-2</v>
      </c>
      <c r="X2671">
        <v>0.99632399999999999</v>
      </c>
      <c r="Y2671">
        <v>-7.5591350000000002E-2</v>
      </c>
      <c r="Z2671">
        <v>-1.1543250000000001E-3</v>
      </c>
      <c r="AA2671">
        <v>0.99713819999999997</v>
      </c>
      <c r="AB2671">
        <v>46</v>
      </c>
      <c r="AC2671">
        <v>-70.612899999999996</v>
      </c>
      <c r="AD2671">
        <v>-1.109787230337</v>
      </c>
      <c r="AE2671">
        <v>-4.8095999999999801</v>
      </c>
      <c r="AF2671">
        <v>-5.37041042548148</v>
      </c>
      <c r="AG2671">
        <v>-1.109787230337</v>
      </c>
      <c r="AH2671">
        <v>70.555015719598202</v>
      </c>
      <c r="AI2671">
        <v>90.898554433787595</v>
      </c>
      <c r="AJ2671">
        <v>94.352768649261506</v>
      </c>
      <c r="AK2671">
        <v>70.767811743952393</v>
      </c>
      <c r="AL2671">
        <v>89.403543034513206</v>
      </c>
      <c r="AM2671">
        <v>94.878029834514507</v>
      </c>
      <c r="AN2671">
        <v>1.0000000125753301</v>
      </c>
    </row>
    <row r="2672" spans="1:40" x14ac:dyDescent="0.25">
      <c r="A2672" t="str">
        <f>"20190305134949929"</f>
        <v>20190305134949929</v>
      </c>
      <c r="B2672" t="str">
        <f>"1551764989922908"</f>
        <v>1551764989922908</v>
      </c>
      <c r="C2672" t="s">
        <v>40</v>
      </c>
      <c r="D2672">
        <v>4.1914800000000003</v>
      </c>
      <c r="E2672">
        <v>0.49161149999999998</v>
      </c>
      <c r="F2672" t="s">
        <v>74</v>
      </c>
      <c r="G2672">
        <v>-465.55650000000003</v>
      </c>
      <c r="H2672">
        <v>8.0001530000000001E-2</v>
      </c>
      <c r="I2672">
        <v>279.27870000000001</v>
      </c>
      <c r="J2672">
        <v>-393.6875</v>
      </c>
      <c r="K2672">
        <v>1.109782</v>
      </c>
      <c r="L2672">
        <v>285.70310000000001</v>
      </c>
      <c r="M2672">
        <v>-0.99986109999999995</v>
      </c>
      <c r="N2672">
        <v>-1.4676349999999999E-2</v>
      </c>
      <c r="O2672">
        <v>7.901089E-3</v>
      </c>
      <c r="P2672">
        <v>-0.99698050000000005</v>
      </c>
      <c r="Q2672">
        <v>-5.0046680000000003E-3</v>
      </c>
      <c r="R2672">
        <v>-7.7490550000000005E-2</v>
      </c>
      <c r="S2672">
        <v>-2.9882200000000001</v>
      </c>
      <c r="T2672">
        <v>-4.265559E-2</v>
      </c>
      <c r="U2672">
        <v>-0.26602170000000003</v>
      </c>
      <c r="V2672">
        <v>-8.5368719999999995E-2</v>
      </c>
      <c r="W2672">
        <v>9.5941189999999999E-3</v>
      </c>
      <c r="X2672">
        <v>0.9963033</v>
      </c>
      <c r="Y2672">
        <v>-9.6520960000000003E-2</v>
      </c>
      <c r="Z2672">
        <v>-1.394139E-3</v>
      </c>
      <c r="AA2672">
        <v>0.99533000000000005</v>
      </c>
      <c r="AB2672">
        <v>46</v>
      </c>
      <c r="AC2672">
        <v>-71.869</v>
      </c>
      <c r="AD2672">
        <v>-1.0297804699999999</v>
      </c>
      <c r="AE2672">
        <v>-6.4243999999999897</v>
      </c>
      <c r="AF2672">
        <v>-6.9906800780622902</v>
      </c>
      <c r="AG2672">
        <v>-1.0297804699999999</v>
      </c>
      <c r="AH2672">
        <v>71.801366425544501</v>
      </c>
      <c r="AI2672">
        <v>90.817817469678502</v>
      </c>
      <c r="AJ2672">
        <v>95.5608693886319</v>
      </c>
      <c r="AK2672">
        <v>72.148224346448799</v>
      </c>
      <c r="AL2672">
        <v>89.450289075740301</v>
      </c>
      <c r="AM2672">
        <v>94.897453670919802</v>
      </c>
      <c r="AN2672">
        <v>1.00000006553235</v>
      </c>
    </row>
    <row r="2673" spans="1:40" x14ac:dyDescent="0.25">
      <c r="A2673" t="str">
        <f>"20190305134949941"</f>
        <v>20190305134949941</v>
      </c>
      <c r="B2673" t="str">
        <f>"1551764989933644"</f>
        <v>1551764989933644</v>
      </c>
      <c r="C2673" t="s">
        <v>40</v>
      </c>
      <c r="D2673">
        <v>3.9863689999999998</v>
      </c>
      <c r="E2673">
        <v>0.4867976</v>
      </c>
      <c r="F2673" t="s">
        <v>74</v>
      </c>
      <c r="G2673">
        <v>-454.87880000000001</v>
      </c>
      <c r="H2673">
        <v>7.5900410000000001E-2</v>
      </c>
      <c r="I2673">
        <v>279.59039999999999</v>
      </c>
      <c r="J2673">
        <v>-393.93400000000003</v>
      </c>
      <c r="K2673">
        <v>1.109774</v>
      </c>
      <c r="L2673">
        <v>285.70499999999998</v>
      </c>
      <c r="M2673">
        <v>-0.99986149999999996</v>
      </c>
      <c r="N2673">
        <v>-1.467479E-2</v>
      </c>
      <c r="O2673">
        <v>7.8457359999999903E-3</v>
      </c>
      <c r="P2673">
        <v>-0.99694939999999999</v>
      </c>
      <c r="Q2673">
        <v>-5.3840349999999997E-3</v>
      </c>
      <c r="R2673">
        <v>-7.7865680000000007E-2</v>
      </c>
      <c r="S2673">
        <v>-2.9856569999999998</v>
      </c>
      <c r="T2673">
        <v>-5.0445320000000002E-2</v>
      </c>
      <c r="U2673">
        <v>-0.29824830000000002</v>
      </c>
      <c r="V2673">
        <v>-8.5688749999999994E-2</v>
      </c>
      <c r="W2673">
        <v>9.2126650000000001E-3</v>
      </c>
      <c r="X2673">
        <v>0.99627940000000004</v>
      </c>
      <c r="Y2673">
        <v>-0.1071752</v>
      </c>
      <c r="Z2673">
        <v>-1.7089749999999999E-3</v>
      </c>
      <c r="AA2673">
        <v>0.99423870000000003</v>
      </c>
      <c r="AB2673">
        <v>46</v>
      </c>
      <c r="AC2673">
        <v>-60.944800000000001</v>
      </c>
      <c r="AD2673">
        <v>-1.03387359</v>
      </c>
      <c r="AE2673">
        <v>-6.1145999999999896</v>
      </c>
      <c r="AF2673">
        <v>-6.5907422999436802</v>
      </c>
      <c r="AG2673">
        <v>-1.03387359</v>
      </c>
      <c r="AH2673">
        <v>60.877600315825703</v>
      </c>
      <c r="AI2673">
        <v>90.967299508121798</v>
      </c>
      <c r="AJ2673">
        <v>96.178901176531298</v>
      </c>
      <c r="AK2673">
        <v>61.242052536453897</v>
      </c>
      <c r="AL2673">
        <v>89.472145731042701</v>
      </c>
      <c r="AM2673">
        <v>94.915840781395403</v>
      </c>
      <c r="AN2673">
        <v>1.0000000389686601</v>
      </c>
    </row>
    <row r="2674" spans="1:40" x14ac:dyDescent="0.25">
      <c r="A2674" t="str">
        <f>"20190305134949960"</f>
        <v>20190305134949960</v>
      </c>
      <c r="B2674" t="str">
        <f>"1551764989953177"</f>
        <v>1551764989953177</v>
      </c>
      <c r="C2674" t="s">
        <v>40</v>
      </c>
      <c r="D2674">
        <v>3.8121309999999999</v>
      </c>
      <c r="E2674">
        <v>0.47061259999999999</v>
      </c>
      <c r="F2674" t="s">
        <v>74</v>
      </c>
      <c r="G2674">
        <v>-452.53919999999999</v>
      </c>
      <c r="H2674">
        <v>8.0000959999999996E-2</v>
      </c>
      <c r="I2674">
        <v>279.06920000000002</v>
      </c>
      <c r="J2674">
        <v>-394.32130000000001</v>
      </c>
      <c r="K2674">
        <v>1.1097760000000001</v>
      </c>
      <c r="L2674">
        <v>285.70800000000003</v>
      </c>
      <c r="M2674">
        <v>-0.99986229999999998</v>
      </c>
      <c r="N2674">
        <v>-1.4672330000000001E-2</v>
      </c>
      <c r="O2674">
        <v>7.7586280000000001E-3</v>
      </c>
      <c r="P2674">
        <v>-0.99688929999999998</v>
      </c>
      <c r="Q2674">
        <v>-4.4312689999999998E-3</v>
      </c>
      <c r="R2674">
        <v>-7.8690170000000004E-2</v>
      </c>
      <c r="S2674">
        <v>-2.982513</v>
      </c>
      <c r="T2674">
        <v>-5.2406790000000002E-2</v>
      </c>
      <c r="U2674">
        <v>-0.33770749999999999</v>
      </c>
      <c r="V2674">
        <v>-8.642619E-2</v>
      </c>
      <c r="W2674">
        <v>1.016248E-2</v>
      </c>
      <c r="X2674">
        <v>0.99620640000000005</v>
      </c>
      <c r="Y2674">
        <v>-0.1201832</v>
      </c>
      <c r="Z2674">
        <v>-1.9595429999999998E-3</v>
      </c>
      <c r="AA2674">
        <v>0.99274980000000002</v>
      </c>
      <c r="AB2674">
        <v>46</v>
      </c>
      <c r="AC2674">
        <v>-58.217899999999901</v>
      </c>
      <c r="AD2674">
        <v>-1.0297750400000001</v>
      </c>
      <c r="AE2674">
        <v>-6.6387999999999403</v>
      </c>
      <c r="AF2674">
        <v>-7.0881505328064698</v>
      </c>
      <c r="AG2674">
        <v>-1.0297750400000001</v>
      </c>
      <c r="AH2674">
        <v>58.146674683775302</v>
      </c>
      <c r="AI2674">
        <v>91.007145760279201</v>
      </c>
      <c r="AJ2674">
        <v>96.950134622228205</v>
      </c>
      <c r="AK2674">
        <v>58.586159554877199</v>
      </c>
      <c r="AL2674">
        <v>89.417722750301905</v>
      </c>
      <c r="AM2674">
        <v>94.958298175955093</v>
      </c>
      <c r="AN2674">
        <v>0.99999997685931297</v>
      </c>
    </row>
    <row r="2675" spans="1:40" x14ac:dyDescent="0.25">
      <c r="A2675" t="str">
        <f>"20190305134949973"</f>
        <v>20190305134949973</v>
      </c>
      <c r="B2675" t="str">
        <f>"1551764989962924"</f>
        <v>1551764989962924</v>
      </c>
      <c r="C2675" t="s">
        <v>40</v>
      </c>
      <c r="D2675">
        <v>3.748885</v>
      </c>
      <c r="E2675">
        <v>0.47173189999999998</v>
      </c>
      <c r="F2675" t="s">
        <v>76</v>
      </c>
      <c r="G2675">
        <v>-512.8329</v>
      </c>
      <c r="H2675">
        <v>23.341850000000001</v>
      </c>
      <c r="I2675">
        <v>266.35289999999998</v>
      </c>
      <c r="J2675">
        <v>-394.58179999999999</v>
      </c>
      <c r="K2675">
        <v>1.1097840000000001</v>
      </c>
      <c r="L2675">
        <v>285.70999999999998</v>
      </c>
      <c r="M2675">
        <v>-0.99986269999999999</v>
      </c>
      <c r="N2675">
        <v>-1.467067E-2</v>
      </c>
      <c r="O2675">
        <v>7.6999989999999999E-3</v>
      </c>
      <c r="P2675">
        <v>-0.99685670000000004</v>
      </c>
      <c r="Q2675">
        <v>-3.603396E-3</v>
      </c>
      <c r="R2675">
        <v>-7.9145030000000005E-2</v>
      </c>
      <c r="S2675">
        <v>-2.9735109999999998</v>
      </c>
      <c r="T2675">
        <v>0.55781389999999997</v>
      </c>
      <c r="U2675">
        <v>-0.48562620000000001</v>
      </c>
      <c r="V2675">
        <v>-8.6822070000000001E-2</v>
      </c>
      <c r="W2675">
        <v>1.098784E-2</v>
      </c>
      <c r="X2675">
        <v>0.99616320000000003</v>
      </c>
      <c r="Y2675">
        <v>-0.1660314</v>
      </c>
      <c r="Z2675">
        <v>1.5638389999999999E-2</v>
      </c>
      <c r="AA2675">
        <v>0.98599650000000005</v>
      </c>
      <c r="AB2675">
        <v>46</v>
      </c>
      <c r="AC2675">
        <v>-118.25109999999999</v>
      </c>
      <c r="AD2675">
        <v>22.232066</v>
      </c>
      <c r="AE2675">
        <v>-19.357099999999999</v>
      </c>
      <c r="AF2675">
        <v>-19.5926927160376</v>
      </c>
      <c r="AG2675">
        <v>22.232066</v>
      </c>
      <c r="AH2675">
        <v>114.168362215865</v>
      </c>
      <c r="AI2675">
        <v>79.135626190128093</v>
      </c>
      <c r="AJ2675">
        <v>99.737803356743996</v>
      </c>
      <c r="AK2675">
        <v>117.95148705101801</v>
      </c>
      <c r="AL2675">
        <v>89.370430449885603</v>
      </c>
      <c r="AM2675">
        <v>94.981110859029101</v>
      </c>
      <c r="AN2675">
        <v>0.999999962750594</v>
      </c>
    </row>
    <row r="2676" spans="1:40" x14ac:dyDescent="0.25">
      <c r="A2676" t="str">
        <f>"20190305134949987"</f>
        <v>20190305134949987</v>
      </c>
      <c r="B2676" t="str">
        <f>"1551764989973660"</f>
        <v>1551764989973660</v>
      </c>
      <c r="C2676" t="s">
        <v>40</v>
      </c>
      <c r="D2676">
        <v>3.7655409999999998</v>
      </c>
      <c r="E2676">
        <v>0.47221229999999997</v>
      </c>
      <c r="F2676" t="s">
        <v>76</v>
      </c>
      <c r="G2676">
        <v>-512.83259999999996</v>
      </c>
      <c r="H2676">
        <v>22.45966</v>
      </c>
      <c r="I2676">
        <v>266.7167</v>
      </c>
      <c r="J2676">
        <v>-394.8646</v>
      </c>
      <c r="K2676">
        <v>1.1097919999999999</v>
      </c>
      <c r="L2676">
        <v>285.71210000000002</v>
      </c>
      <c r="M2676">
        <v>-0.99986330000000001</v>
      </c>
      <c r="N2676">
        <v>-1.4668840000000001E-2</v>
      </c>
      <c r="O2676">
        <v>7.6367169999999899E-3</v>
      </c>
      <c r="P2676">
        <v>-0.99684209999999995</v>
      </c>
      <c r="Q2676">
        <v>-2.2698499999999999E-3</v>
      </c>
      <c r="R2676">
        <v>-7.9378290000000004E-2</v>
      </c>
      <c r="S2676">
        <v>-2.9735109999999998</v>
      </c>
      <c r="T2676">
        <v>0.53686080000000003</v>
      </c>
      <c r="U2676">
        <v>-0.47760010000000003</v>
      </c>
      <c r="V2676">
        <v>-8.6992669999999994E-2</v>
      </c>
      <c r="W2676">
        <v>1.231956E-2</v>
      </c>
      <c r="X2676">
        <v>0.99613280000000004</v>
      </c>
      <c r="Y2676">
        <v>-0.1636177</v>
      </c>
      <c r="Z2676">
        <v>1.4814290000000001E-2</v>
      </c>
      <c r="AA2676">
        <v>0.98641259999999997</v>
      </c>
      <c r="AB2676">
        <v>46</v>
      </c>
      <c r="AC2676">
        <v>-117.96799999999899</v>
      </c>
      <c r="AD2676">
        <v>21.349868000000001</v>
      </c>
      <c r="AE2676">
        <v>-18.9954</v>
      </c>
      <c r="AF2676">
        <v>-19.280287805286399</v>
      </c>
      <c r="AG2676">
        <v>21.349868000000001</v>
      </c>
      <c r="AH2676">
        <v>114.174346177576</v>
      </c>
      <c r="AI2676">
        <v>79.552961625479398</v>
      </c>
      <c r="AJ2676">
        <v>99.584944932443193</v>
      </c>
      <c r="AK2676">
        <v>117.74263325809</v>
      </c>
      <c r="AL2676">
        <v>89.294123368592594</v>
      </c>
      <c r="AM2676">
        <v>94.991000589220107</v>
      </c>
      <c r="AN2676">
        <v>1.00000002571408</v>
      </c>
    </row>
    <row r="2677" spans="1:40" x14ac:dyDescent="0.25">
      <c r="A2677" t="str">
        <f>"20190305134950000"</f>
        <v>20190305134950000</v>
      </c>
      <c r="B2677" t="str">
        <f>"1551764989993182"</f>
        <v>1551764989993182</v>
      </c>
      <c r="C2677" t="s">
        <v>40</v>
      </c>
      <c r="D2677">
        <v>3.7533609999999999</v>
      </c>
      <c r="E2677">
        <v>0.47328680000000001</v>
      </c>
      <c r="F2677" t="s">
        <v>76</v>
      </c>
      <c r="G2677">
        <v>-512.83249999999998</v>
      </c>
      <c r="H2677">
        <v>22.130479999999999</v>
      </c>
      <c r="I2677">
        <v>266.90230000000003</v>
      </c>
      <c r="J2677">
        <v>-395.11849999999998</v>
      </c>
      <c r="K2677">
        <v>1.1098030000000001</v>
      </c>
      <c r="L2677">
        <v>285.714</v>
      </c>
      <c r="M2677">
        <v>-0.99986370000000002</v>
      </c>
      <c r="N2677">
        <v>-1.466719E-2</v>
      </c>
      <c r="O2677">
        <v>7.5796359999999998E-3</v>
      </c>
      <c r="P2677">
        <v>-0.99681889999999995</v>
      </c>
      <c r="Q2677">
        <v>-1.0602249999999999E-3</v>
      </c>
      <c r="R2677">
        <v>-7.9692089999999993E-2</v>
      </c>
      <c r="S2677">
        <v>-2.972931</v>
      </c>
      <c r="T2677">
        <v>0.52974739999999998</v>
      </c>
      <c r="U2677">
        <v>-0.47402949999999999</v>
      </c>
      <c r="V2677">
        <v>-8.7250179999999997E-2</v>
      </c>
      <c r="W2677">
        <v>1.352681E-2</v>
      </c>
      <c r="X2677">
        <v>0.99609460000000005</v>
      </c>
      <c r="Y2677">
        <v>-0.1625191</v>
      </c>
      <c r="Z2677">
        <v>1.4512280000000001E-2</v>
      </c>
      <c r="AA2677">
        <v>0.98659870000000005</v>
      </c>
      <c r="AB2677">
        <v>46</v>
      </c>
      <c r="AC2677">
        <v>-117.714</v>
      </c>
      <c r="AD2677">
        <v>21.020676999999999</v>
      </c>
      <c r="AE2677">
        <v>-18.811699999999899</v>
      </c>
      <c r="AF2677">
        <v>-19.1092889188794</v>
      </c>
      <c r="AG2677">
        <v>21.020676999999999</v>
      </c>
      <c r="AH2677">
        <v>114.02253079019501</v>
      </c>
      <c r="AI2677">
        <v>79.695066540784893</v>
      </c>
      <c r="AJ2677">
        <v>99.513911427938893</v>
      </c>
      <c r="AK2677">
        <v>117.508175512704</v>
      </c>
      <c r="AL2677">
        <v>89.224947247674606</v>
      </c>
      <c r="AM2677">
        <v>95.005890660400595</v>
      </c>
      <c r="AN2677">
        <v>1.0000000103239799</v>
      </c>
    </row>
    <row r="2678" spans="1:40" x14ac:dyDescent="0.25">
      <c r="A2678" t="str">
        <f>"20190305134950011"</f>
        <v>20190305134950011</v>
      </c>
      <c r="B2678" t="str">
        <f>"1551764990002941"</f>
        <v>1551764990002941</v>
      </c>
      <c r="C2678" t="s">
        <v>40</v>
      </c>
      <c r="D2678">
        <v>3.7700670000000001</v>
      </c>
      <c r="E2678">
        <v>0.4736744</v>
      </c>
      <c r="F2678" t="s">
        <v>76</v>
      </c>
      <c r="G2678">
        <v>-512.83240000000001</v>
      </c>
      <c r="H2678">
        <v>21.85266</v>
      </c>
      <c r="I2678">
        <v>267.26710000000003</v>
      </c>
      <c r="J2678">
        <v>-395.37720000000002</v>
      </c>
      <c r="K2678">
        <v>1.1098170000000001</v>
      </c>
      <c r="L2678">
        <v>285.71589999999998</v>
      </c>
      <c r="M2678">
        <v>-0.99986430000000004</v>
      </c>
      <c r="N2678">
        <v>-1.466552E-2</v>
      </c>
      <c r="O2678">
        <v>7.5210659999999999E-3</v>
      </c>
      <c r="P2678">
        <v>-0.99684810000000001</v>
      </c>
      <c r="Q2678">
        <v>1.0139350000000001E-3</v>
      </c>
      <c r="R2678">
        <v>-7.9328919999999997E-2</v>
      </c>
      <c r="S2678">
        <v>-2.9729000000000001</v>
      </c>
      <c r="T2678">
        <v>0.52386860000000002</v>
      </c>
      <c r="U2678">
        <v>-0.4658813</v>
      </c>
      <c r="V2678">
        <v>-8.6829569999999995E-2</v>
      </c>
      <c r="W2678">
        <v>1.559987E-2</v>
      </c>
      <c r="X2678">
        <v>0.99610100000000001</v>
      </c>
      <c r="Y2678">
        <v>-0.15991469999999999</v>
      </c>
      <c r="Z2678">
        <v>1.4127549999999999E-2</v>
      </c>
      <c r="AA2678">
        <v>0.98702970000000001</v>
      </c>
      <c r="AB2678">
        <v>46</v>
      </c>
      <c r="AC2678">
        <v>-117.4552</v>
      </c>
      <c r="AD2678">
        <v>20.742843000000001</v>
      </c>
      <c r="AE2678">
        <v>-18.448799999999899</v>
      </c>
      <c r="AF2678">
        <v>-18.760733421771501</v>
      </c>
      <c r="AG2678">
        <v>20.742843000000001</v>
      </c>
      <c r="AH2678">
        <v>113.84787480643701</v>
      </c>
      <c r="AI2678">
        <v>79.808604192833798</v>
      </c>
      <c r="AJ2678">
        <v>99.357545135208994</v>
      </c>
      <c r="AK2678">
        <v>117.23296998791599</v>
      </c>
      <c r="AL2678">
        <v>89.1061570016535</v>
      </c>
      <c r="AM2678">
        <v>94.981848479240298</v>
      </c>
      <c r="AN2678">
        <v>0.99999996618569997</v>
      </c>
    </row>
    <row r="2679" spans="1:40" x14ac:dyDescent="0.25">
      <c r="A2679" t="str">
        <f>"20190305134950023"</f>
        <v>20190305134950023</v>
      </c>
      <c r="B2679" t="str">
        <f>"1551764990013676"</f>
        <v>1551764990013676</v>
      </c>
      <c r="C2679" t="s">
        <v>40</v>
      </c>
      <c r="D2679">
        <v>3.940833</v>
      </c>
      <c r="E2679">
        <v>0.4736744</v>
      </c>
      <c r="F2679" t="s">
        <v>76</v>
      </c>
      <c r="G2679">
        <v>-512.83249999999998</v>
      </c>
      <c r="H2679">
        <v>21.960509999999999</v>
      </c>
      <c r="I2679">
        <v>267.48410000000001</v>
      </c>
      <c r="J2679">
        <v>-395.62150000000003</v>
      </c>
      <c r="K2679">
        <v>1.1098269999999999</v>
      </c>
      <c r="L2679">
        <v>285.71769999999998</v>
      </c>
      <c r="M2679">
        <v>-0.99986459999999999</v>
      </c>
      <c r="N2679">
        <v>-1.466395E-2</v>
      </c>
      <c r="O2679">
        <v>7.4658260000000001E-3</v>
      </c>
      <c r="P2679">
        <v>-0.99683960000000005</v>
      </c>
      <c r="Q2679">
        <v>2.4862640000000002E-3</v>
      </c>
      <c r="R2679">
        <v>-7.9401639999999996E-2</v>
      </c>
      <c r="S2679">
        <v>-2.9722599999999999</v>
      </c>
      <c r="T2679">
        <v>0.52763740000000003</v>
      </c>
      <c r="U2679">
        <v>-0.46136470000000002</v>
      </c>
      <c r="V2679">
        <v>-8.6846950000000006E-2</v>
      </c>
      <c r="W2679">
        <v>1.7070720000000001E-2</v>
      </c>
      <c r="X2679">
        <v>0.99607540000000006</v>
      </c>
      <c r="Y2679">
        <v>-0.15841379999999999</v>
      </c>
      <c r="Z2679">
        <v>1.410963E-2</v>
      </c>
      <c r="AA2679">
        <v>0.98727200000000004</v>
      </c>
      <c r="AB2679">
        <v>46</v>
      </c>
      <c r="AC2679">
        <v>-117.210999999999</v>
      </c>
      <c r="AD2679">
        <v>20.850683</v>
      </c>
      <c r="AE2679">
        <v>-18.2335999999999</v>
      </c>
      <c r="AF2679">
        <v>-18.535565548358299</v>
      </c>
      <c r="AG2679">
        <v>20.850683</v>
      </c>
      <c r="AH2679">
        <v>113.562815278695</v>
      </c>
      <c r="AI2679">
        <v>79.7290545645658</v>
      </c>
      <c r="AJ2679">
        <v>99.269996071713393</v>
      </c>
      <c r="AK2679">
        <v>116.93943383558501</v>
      </c>
      <c r="AL2679">
        <v>89.021872283173195</v>
      </c>
      <c r="AM2679">
        <v>94.982968055830696</v>
      </c>
      <c r="AN2679">
        <v>1.0000000023453901</v>
      </c>
    </row>
    <row r="2680" spans="1:40" x14ac:dyDescent="0.25">
      <c r="A2680" t="str">
        <f>"20190305134950036"</f>
        <v>20190305134950036</v>
      </c>
      <c r="B2680" t="str">
        <f>"1551764990023437"</f>
        <v>1551764990023437</v>
      </c>
      <c r="C2680" t="s">
        <v>40</v>
      </c>
      <c r="D2680">
        <v>3.940528</v>
      </c>
      <c r="E2680">
        <v>0.47591169999999999</v>
      </c>
      <c r="F2680" t="s">
        <v>76</v>
      </c>
      <c r="G2680">
        <v>-512.83249999999998</v>
      </c>
      <c r="H2680">
        <v>22.103439999999999</v>
      </c>
      <c r="I2680">
        <v>267.51650000000001</v>
      </c>
      <c r="J2680">
        <v>-395.86020000000002</v>
      </c>
      <c r="K2680">
        <v>1.1098319999999999</v>
      </c>
      <c r="L2680">
        <v>285.71949999999998</v>
      </c>
      <c r="M2680">
        <v>-0.99986509999999995</v>
      </c>
      <c r="N2680">
        <v>-1.4662400000000001E-2</v>
      </c>
      <c r="O2680">
        <v>7.4110590000000002E-3</v>
      </c>
      <c r="P2680">
        <v>-0.99683929999999998</v>
      </c>
      <c r="Q2680">
        <v>3.9006959999999999E-3</v>
      </c>
      <c r="R2680">
        <v>-7.9349500000000003E-2</v>
      </c>
      <c r="S2680">
        <v>-2.9714659999999999</v>
      </c>
      <c r="T2680">
        <v>0.53221909999999995</v>
      </c>
      <c r="U2680">
        <v>-0.4614258</v>
      </c>
      <c r="V2680">
        <v>-8.6740750000000005E-2</v>
      </c>
      <c r="W2680">
        <v>1.8482889999999998E-2</v>
      </c>
      <c r="X2680">
        <v>0.99605949999999999</v>
      </c>
      <c r="Y2680">
        <v>-0.1583774</v>
      </c>
      <c r="Z2680">
        <v>1.42299E-2</v>
      </c>
      <c r="AA2680">
        <v>0.98727609999999999</v>
      </c>
      <c r="AB2680">
        <v>46</v>
      </c>
      <c r="AC2680">
        <v>-116.972299999999</v>
      </c>
      <c r="AD2680">
        <v>20.993607999999998</v>
      </c>
      <c r="AE2680">
        <v>-18.2029999999999</v>
      </c>
      <c r="AF2680">
        <v>-18.488038970478801</v>
      </c>
      <c r="AG2680">
        <v>20.993607999999998</v>
      </c>
      <c r="AH2680">
        <v>113.271807629837</v>
      </c>
      <c r="AI2680">
        <v>79.634174646542704</v>
      </c>
      <c r="AJ2680">
        <v>99.2699819252325</v>
      </c>
      <c r="AK2680">
        <v>116.67493974955499</v>
      </c>
      <c r="AL2680">
        <v>88.940948159832104</v>
      </c>
      <c r="AM2680">
        <v>94.976984348706196</v>
      </c>
      <c r="AN2680">
        <v>1.0000000512367799</v>
      </c>
    </row>
    <row r="2681" spans="1:40" x14ac:dyDescent="0.25">
      <c r="A2681" t="str">
        <f>"20190305134950049"</f>
        <v>20190305134950049</v>
      </c>
      <c r="B2681" t="str">
        <f>"1551764990042956"</f>
        <v>1551764990042956</v>
      </c>
      <c r="C2681" t="s">
        <v>40</v>
      </c>
      <c r="D2681">
        <v>3.7730899999999998</v>
      </c>
      <c r="E2681">
        <v>0.47503689999999998</v>
      </c>
      <c r="F2681" t="s">
        <v>54</v>
      </c>
      <c r="G2681">
        <v>-455.1311</v>
      </c>
      <c r="H2681">
        <v>0.6009004</v>
      </c>
      <c r="I2681">
        <v>277.18209999999999</v>
      </c>
      <c r="J2681">
        <v>-396.1499</v>
      </c>
      <c r="K2681">
        <v>1.1098399999999999</v>
      </c>
      <c r="L2681">
        <v>285.72160000000002</v>
      </c>
      <c r="M2681">
        <v>-0.99986569999999997</v>
      </c>
      <c r="N2681">
        <v>-1.466051E-2</v>
      </c>
      <c r="O2681">
        <v>7.3438919999999899E-3</v>
      </c>
      <c r="P2681">
        <v>-0.99684430000000002</v>
      </c>
      <c r="Q2681">
        <v>3.594833E-3</v>
      </c>
      <c r="R2681">
        <v>-7.9302239999999996E-2</v>
      </c>
      <c r="S2681">
        <v>-2.9754939999999999</v>
      </c>
      <c r="T2681">
        <v>-2.554584E-2</v>
      </c>
      <c r="U2681">
        <v>-0.42858889999999999</v>
      </c>
      <c r="V2681">
        <v>-8.662678E-2</v>
      </c>
      <c r="W2681">
        <v>1.8175859999999999E-2</v>
      </c>
      <c r="X2681">
        <v>0.99607500000000004</v>
      </c>
      <c r="Y2681">
        <v>-0.14981900000000001</v>
      </c>
      <c r="Z2681">
        <v>-1.6994060000000001E-3</v>
      </c>
      <c r="AA2681">
        <v>0.98871200000000004</v>
      </c>
      <c r="AB2681">
        <v>46</v>
      </c>
      <c r="AC2681">
        <v>-58.981200000000001</v>
      </c>
      <c r="AD2681">
        <v>-0.50893959999999905</v>
      </c>
      <c r="AE2681">
        <v>-8.5395000000000305</v>
      </c>
      <c r="AF2681">
        <v>-8.9718134278697903</v>
      </c>
      <c r="AG2681">
        <v>-0.50893959999999905</v>
      </c>
      <c r="AH2681">
        <v>58.912592840042102</v>
      </c>
      <c r="AI2681">
        <v>90.489318397646798</v>
      </c>
      <c r="AJ2681">
        <v>98.659056372717998</v>
      </c>
      <c r="AK2681">
        <v>59.594010192615301</v>
      </c>
      <c r="AL2681">
        <v>88.958542567204802</v>
      </c>
      <c r="AM2681">
        <v>94.970400835278099</v>
      </c>
      <c r="AN2681">
        <v>0.99999998326245298</v>
      </c>
    </row>
    <row r="2682" spans="1:40" x14ac:dyDescent="0.25">
      <c r="A2682" t="str">
        <f>"20190305134950072"</f>
        <v>20190305134950072</v>
      </c>
      <c r="B2682" t="str">
        <f>"1551764990063455"</f>
        <v>1551764990063455</v>
      </c>
      <c r="C2682" t="s">
        <v>40</v>
      </c>
      <c r="D2682">
        <v>3.7347410000000001</v>
      </c>
      <c r="E2682">
        <v>0.47565800000000003</v>
      </c>
      <c r="F2682" t="s">
        <v>76</v>
      </c>
      <c r="G2682">
        <v>-512.83330000000001</v>
      </c>
      <c r="H2682">
        <v>24.557539999999999</v>
      </c>
      <c r="I2682">
        <v>267.98320000000001</v>
      </c>
      <c r="J2682">
        <v>-396.6053</v>
      </c>
      <c r="K2682">
        <v>1.1098460000000001</v>
      </c>
      <c r="L2682">
        <v>285.72480000000002</v>
      </c>
      <c r="M2682">
        <v>-0.99986640000000004</v>
      </c>
      <c r="N2682">
        <v>-1.465754E-2</v>
      </c>
      <c r="O2682">
        <v>7.23078E-3</v>
      </c>
      <c r="P2682">
        <v>-0.99687159999999997</v>
      </c>
      <c r="Q2682">
        <v>4.0909010000000001E-3</v>
      </c>
      <c r="R2682">
        <v>-7.8932710000000003E-2</v>
      </c>
      <c r="S2682">
        <v>-2.9714360000000002</v>
      </c>
      <c r="T2682">
        <v>0.59711550000000002</v>
      </c>
      <c r="U2682">
        <v>-0.45172119999999999</v>
      </c>
      <c r="V2682">
        <v>-8.6144860000000004E-2</v>
      </c>
      <c r="W2682">
        <v>1.866835E-2</v>
      </c>
      <c r="X2682">
        <v>0.99610770000000004</v>
      </c>
      <c r="Y2682">
        <v>-0.15448529999999999</v>
      </c>
      <c r="Z2682">
        <v>1.5669490000000001E-2</v>
      </c>
      <c r="AA2682">
        <v>0.98787080000000005</v>
      </c>
      <c r="AB2682">
        <v>46</v>
      </c>
      <c r="AC2682">
        <v>-116.22799999999999</v>
      </c>
      <c r="AD2682">
        <v>23.447693999999998</v>
      </c>
      <c r="AE2682">
        <v>-17.741599999999998</v>
      </c>
      <c r="AF2682">
        <v>-17.8708875825189</v>
      </c>
      <c r="AG2682">
        <v>23.447693999999998</v>
      </c>
      <c r="AH2682">
        <v>111.65590179609499</v>
      </c>
      <c r="AI2682">
        <v>78.285147058875197</v>
      </c>
      <c r="AJ2682">
        <v>99.093250548756004</v>
      </c>
      <c r="AK2682">
        <v>115.48248084797901</v>
      </c>
      <c r="AL2682">
        <v>88.930320193417202</v>
      </c>
      <c r="AM2682">
        <v>94.942725533160896</v>
      </c>
      <c r="AN2682">
        <v>0.99999999709771603</v>
      </c>
    </row>
    <row r="2683" spans="1:40" x14ac:dyDescent="0.25">
      <c r="A2683" t="str">
        <f>"20190305134950087"</f>
        <v>20190305134950087</v>
      </c>
      <c r="B2683" t="str">
        <f>"1551764990082972"</f>
        <v>1551764990082972</v>
      </c>
      <c r="C2683" t="s">
        <v>40</v>
      </c>
      <c r="D2683">
        <v>3.877923</v>
      </c>
      <c r="E2683">
        <v>0.47574280000000002</v>
      </c>
      <c r="F2683" t="s">
        <v>76</v>
      </c>
      <c r="G2683">
        <v>-512.83280000000002</v>
      </c>
      <c r="H2683">
        <v>23.14996</v>
      </c>
      <c r="I2683">
        <v>268.34469999999999</v>
      </c>
      <c r="J2683">
        <v>-396.91739999999999</v>
      </c>
      <c r="K2683">
        <v>1.1098520000000001</v>
      </c>
      <c r="L2683">
        <v>285.72699999999998</v>
      </c>
      <c r="M2683">
        <v>-0.99986719999999896</v>
      </c>
      <c r="N2683">
        <v>-1.465553E-2</v>
      </c>
      <c r="O2683">
        <v>7.1472699999999998E-3</v>
      </c>
      <c r="P2683">
        <v>-0.99687219999999999</v>
      </c>
      <c r="Q2683">
        <v>4.1841830000000002E-3</v>
      </c>
      <c r="R2683">
        <v>-7.8922930000000002E-2</v>
      </c>
      <c r="S2683">
        <v>-2.9718629999999999</v>
      </c>
      <c r="T2683">
        <v>0.56355259999999996</v>
      </c>
      <c r="U2683">
        <v>-0.44439699999999999</v>
      </c>
      <c r="V2683">
        <v>-8.6052550000000005E-2</v>
      </c>
      <c r="W2683">
        <v>1.875893E-2</v>
      </c>
      <c r="X2683">
        <v>0.99611400000000005</v>
      </c>
      <c r="Y2683">
        <v>-0.15236649999999999</v>
      </c>
      <c r="Z2683">
        <v>1.454975E-2</v>
      </c>
      <c r="AA2683">
        <v>0.98821689999999995</v>
      </c>
      <c r="AB2683">
        <v>46</v>
      </c>
      <c r="AC2683">
        <v>-115.91540000000001</v>
      </c>
      <c r="AD2683">
        <v>22.040108</v>
      </c>
      <c r="AE2683">
        <v>-17.382300000000001</v>
      </c>
      <c r="AF2683">
        <v>-17.588528743744199</v>
      </c>
      <c r="AG2683">
        <v>22.040108</v>
      </c>
      <c r="AH2683">
        <v>111.83396703149999</v>
      </c>
      <c r="AI2683">
        <v>78.983136603187802</v>
      </c>
      <c r="AJ2683">
        <v>98.937899516665894</v>
      </c>
      <c r="AK2683">
        <v>115.334118482016</v>
      </c>
      <c r="AL2683">
        <v>88.925129457228493</v>
      </c>
      <c r="AM2683">
        <v>94.937424194423897</v>
      </c>
      <c r="AN2683">
        <v>1.0000000199061201</v>
      </c>
    </row>
    <row r="2684" spans="1:40" x14ac:dyDescent="0.25">
      <c r="A2684" t="str">
        <f>"20190305134950105"</f>
        <v>20190305134950105</v>
      </c>
      <c r="B2684" t="str">
        <f>"1551764990092731"</f>
        <v>1551764990092731</v>
      </c>
      <c r="C2684" t="s">
        <v>40</v>
      </c>
      <c r="D2684">
        <v>3.881732</v>
      </c>
      <c r="E2684">
        <v>0.47354570000000001</v>
      </c>
      <c r="F2684" t="s">
        <v>76</v>
      </c>
      <c r="G2684">
        <v>-512.83259999999996</v>
      </c>
      <c r="H2684">
        <v>22.359220000000001</v>
      </c>
      <c r="I2684">
        <v>268.4409</v>
      </c>
      <c r="J2684">
        <v>-397.28800000000001</v>
      </c>
      <c r="K2684">
        <v>1.109856</v>
      </c>
      <c r="L2684">
        <v>285.7296</v>
      </c>
      <c r="M2684">
        <v>-0.99986790000000003</v>
      </c>
      <c r="N2684">
        <v>-1.465314E-2</v>
      </c>
      <c r="O2684">
        <v>7.0399859999999998E-3</v>
      </c>
      <c r="P2684">
        <v>-0.99688710000000003</v>
      </c>
      <c r="Q2684">
        <v>3.346262E-3</v>
      </c>
      <c r="R2684">
        <v>-7.8773300000000004E-2</v>
      </c>
      <c r="S2684">
        <v>-2.9720149999999999</v>
      </c>
      <c r="T2684">
        <v>0.54482559999999902</v>
      </c>
      <c r="U2684">
        <v>-0.44320680000000001</v>
      </c>
      <c r="V2684">
        <v>-8.5795960000000004E-2</v>
      </c>
      <c r="W2684">
        <v>1.7917450000000001E-2</v>
      </c>
      <c r="X2684">
        <v>0.99615160000000003</v>
      </c>
      <c r="Y2684">
        <v>-0.15204670000000001</v>
      </c>
      <c r="Z2684">
        <v>1.399361E-2</v>
      </c>
      <c r="AA2684">
        <v>0.98827419999999999</v>
      </c>
      <c r="AB2684">
        <v>46</v>
      </c>
      <c r="AC2684">
        <v>-115.54459999999899</v>
      </c>
      <c r="AD2684">
        <v>21.249364</v>
      </c>
      <c r="AE2684">
        <v>-17.288699999999999</v>
      </c>
      <c r="AF2684">
        <v>-17.5221438143518</v>
      </c>
      <c r="AG2684">
        <v>21.249364</v>
      </c>
      <c r="AH2684">
        <v>111.72408365314899</v>
      </c>
      <c r="AI2684">
        <v>79.358306225995904</v>
      </c>
      <c r="AJ2684">
        <v>98.913323973319905</v>
      </c>
      <c r="AK2684">
        <v>115.06881359600099</v>
      </c>
      <c r="AL2684">
        <v>88.973350794509301</v>
      </c>
      <c r="AM2684">
        <v>94.922589424307802</v>
      </c>
      <c r="AN2684">
        <v>0.99999999597469202</v>
      </c>
    </row>
    <row r="2685" spans="1:40" x14ac:dyDescent="0.25">
      <c r="A2685" t="str">
        <f>"20190305134950120"</f>
        <v>20190305134950120</v>
      </c>
      <c r="B2685" t="str">
        <f>"1551764990113228"</f>
        <v>1551764990113228</v>
      </c>
      <c r="C2685" t="s">
        <v>40</v>
      </c>
      <c r="D2685">
        <v>3.8641670000000001</v>
      </c>
      <c r="E2685">
        <v>0.47344750000000002</v>
      </c>
      <c r="F2685" t="s">
        <v>54</v>
      </c>
      <c r="G2685">
        <v>-455.05930000000001</v>
      </c>
      <c r="H2685">
        <v>0.2802712</v>
      </c>
      <c r="I2685">
        <v>277.08010000000002</v>
      </c>
      <c r="J2685">
        <v>-397.58499999999998</v>
      </c>
      <c r="K2685">
        <v>1.109861</v>
      </c>
      <c r="L2685">
        <v>285.73160000000001</v>
      </c>
      <c r="M2685">
        <v>-0.99986850000000005</v>
      </c>
      <c r="N2685">
        <v>-1.4651239999999999E-2</v>
      </c>
      <c r="O2685">
        <v>6.9437609999999997E-3</v>
      </c>
      <c r="P2685">
        <v>-0.99689850000000002</v>
      </c>
      <c r="Q2685">
        <v>2.8749219999999998E-3</v>
      </c>
      <c r="R2685">
        <v>-7.8644160000000005E-2</v>
      </c>
      <c r="S2685">
        <v>-2.9743040000000001</v>
      </c>
      <c r="T2685">
        <v>-4.2706969999999997E-2</v>
      </c>
      <c r="U2685">
        <v>-0.4453125</v>
      </c>
      <c r="V2685">
        <v>-8.5571530000000007E-2</v>
      </c>
      <c r="W2685">
        <v>1.744308E-2</v>
      </c>
      <c r="X2685">
        <v>0.99617929999999999</v>
      </c>
      <c r="Y2685">
        <v>-0.15490200000000001</v>
      </c>
      <c r="Z2685">
        <v>-2.245085E-3</v>
      </c>
      <c r="AA2685">
        <v>0.98792729999999995</v>
      </c>
      <c r="AB2685">
        <v>46</v>
      </c>
      <c r="AC2685">
        <v>-57.474299999999999</v>
      </c>
      <c r="AD2685">
        <v>-0.82958979999999904</v>
      </c>
      <c r="AE2685">
        <v>-8.6514999999999898</v>
      </c>
      <c r="AF2685">
        <v>-9.0485786080454105</v>
      </c>
      <c r="AG2685">
        <v>-0.82958979999999904</v>
      </c>
      <c r="AH2685">
        <v>57.401139535325299</v>
      </c>
      <c r="AI2685">
        <v>90.817910810558701</v>
      </c>
      <c r="AJ2685">
        <v>98.958252272020601</v>
      </c>
      <c r="AK2685">
        <v>58.115882631309397</v>
      </c>
      <c r="AL2685">
        <v>89.000534419628806</v>
      </c>
      <c r="AM2685">
        <v>94.909639803306504</v>
      </c>
      <c r="AN2685">
        <v>0.999999972767458</v>
      </c>
    </row>
    <row r="2686" spans="1:40" x14ac:dyDescent="0.25">
      <c r="A2686" t="str">
        <f>"20190305134950140"</f>
        <v>20190305134950140</v>
      </c>
      <c r="B2686" t="str">
        <f>"1551764990132751"</f>
        <v>1551764990132751</v>
      </c>
      <c r="C2686" t="s">
        <v>40</v>
      </c>
      <c r="D2686">
        <v>3.6753399999999998</v>
      </c>
      <c r="E2686">
        <v>0.47344750000000002</v>
      </c>
      <c r="F2686" t="s">
        <v>54</v>
      </c>
      <c r="G2686">
        <v>-455.05860000000001</v>
      </c>
      <c r="H2686">
        <v>0.27686430000000001</v>
      </c>
      <c r="I2686">
        <v>277.1148</v>
      </c>
      <c r="J2686">
        <v>-397.98829999999998</v>
      </c>
      <c r="K2686">
        <v>1.1098669999999999</v>
      </c>
      <c r="L2686">
        <v>285.73430000000002</v>
      </c>
      <c r="M2686">
        <v>-0.99986960000000003</v>
      </c>
      <c r="N2686">
        <v>-1.4648649999999999E-2</v>
      </c>
      <c r="O2686">
        <v>6.796636E-3</v>
      </c>
      <c r="P2686">
        <v>-0.9968456</v>
      </c>
      <c r="Q2686">
        <v>-3.2315220000000001E-4</v>
      </c>
      <c r="R2686">
        <v>-7.9366469999999995E-2</v>
      </c>
      <c r="S2686">
        <v>-2.9742739999999999</v>
      </c>
      <c r="T2686">
        <v>-4.3104290000000003E-2</v>
      </c>
      <c r="U2686">
        <v>-0.44592290000000001</v>
      </c>
      <c r="V2686">
        <v>-8.6145920000000001E-2</v>
      </c>
      <c r="W2686">
        <v>1.423866E-2</v>
      </c>
      <c r="X2686">
        <v>0.99618079999999998</v>
      </c>
      <c r="Y2686">
        <v>-0.15495590000000001</v>
      </c>
      <c r="Z2686">
        <v>-2.2569349999999998E-3</v>
      </c>
      <c r="AA2686">
        <v>0.98791879999999999</v>
      </c>
      <c r="AB2686">
        <v>46</v>
      </c>
      <c r="AC2686">
        <v>-57.070300000000003</v>
      </c>
      <c r="AD2686">
        <v>-0.83300269999999998</v>
      </c>
      <c r="AE2686">
        <v>-8.6195000000000093</v>
      </c>
      <c r="AF2686">
        <v>-9.0053527869098495</v>
      </c>
      <c r="AG2686">
        <v>-0.83300269999999998</v>
      </c>
      <c r="AH2686">
        <v>56.998519191365098</v>
      </c>
      <c r="AI2686">
        <v>90.827030420604899</v>
      </c>
      <c r="AJ2686">
        <v>98.978105667400797</v>
      </c>
      <c r="AK2686">
        <v>57.711536648432102</v>
      </c>
      <c r="AL2686">
        <v>89.184157325710004</v>
      </c>
      <c r="AM2686">
        <v>94.942425145137506</v>
      </c>
      <c r="AN2686">
        <v>1.0000000226299399</v>
      </c>
    </row>
    <row r="2687" spans="1:40" x14ac:dyDescent="0.25">
      <c r="A2687" t="str">
        <f>"20190305134950152"</f>
        <v>20190305134950152</v>
      </c>
      <c r="B2687" t="str">
        <f>"1551764990143484"</f>
        <v>1551764990143484</v>
      </c>
      <c r="C2687" t="s">
        <v>40</v>
      </c>
      <c r="D2687">
        <v>3.8443480000000001</v>
      </c>
      <c r="E2687">
        <v>0.47351880000000002</v>
      </c>
      <c r="F2687" t="s">
        <v>54</v>
      </c>
      <c r="G2687">
        <v>-454.8227</v>
      </c>
      <c r="H2687">
        <v>0.10567360000000001</v>
      </c>
      <c r="I2687">
        <v>277.17239999999998</v>
      </c>
      <c r="J2687">
        <v>-398.24220000000003</v>
      </c>
      <c r="K2687">
        <v>1.109869</v>
      </c>
      <c r="L2687">
        <v>285.73599999999999</v>
      </c>
      <c r="M2687">
        <v>-0.99987040000000005</v>
      </c>
      <c r="N2687">
        <v>-1.464704E-2</v>
      </c>
      <c r="O2687">
        <v>6.6944559999999997E-3</v>
      </c>
      <c r="P2687">
        <v>-0.99678730000000004</v>
      </c>
      <c r="Q2687">
        <v>-2.8114659999999999E-3</v>
      </c>
      <c r="R2687">
        <v>-8.0046909999999999E-2</v>
      </c>
      <c r="S2687">
        <v>-2.973846</v>
      </c>
      <c r="T2687">
        <v>-5.2540660000000003E-2</v>
      </c>
      <c r="U2687">
        <v>-0.44799800000000001</v>
      </c>
      <c r="V2687">
        <v>-8.672299E-2</v>
      </c>
      <c r="W2687">
        <v>1.1745490000000001E-2</v>
      </c>
      <c r="X2687">
        <v>0.99616320000000003</v>
      </c>
      <c r="Y2687">
        <v>-0.15553839999999999</v>
      </c>
      <c r="Z2687">
        <v>-2.5320020000000002E-3</v>
      </c>
      <c r="AA2687">
        <v>0.9878266</v>
      </c>
      <c r="AB2687">
        <v>46</v>
      </c>
      <c r="AC2687">
        <v>-56.580499999999901</v>
      </c>
      <c r="AD2687">
        <v>-1.0041954</v>
      </c>
      <c r="AE2687">
        <v>-8.5635999999999992</v>
      </c>
      <c r="AF2687">
        <v>-8.9394715141499397</v>
      </c>
      <c r="AG2687">
        <v>-1.0041954</v>
      </c>
      <c r="AH2687">
        <v>56.504497065820097</v>
      </c>
      <c r="AI2687">
        <v>91.005645690099897</v>
      </c>
      <c r="AJ2687">
        <v>98.990145792995094</v>
      </c>
      <c r="AK2687">
        <v>57.216088192176798</v>
      </c>
      <c r="AL2687">
        <v>89.3270175050706</v>
      </c>
      <c r="AM2687">
        <v>94.975455042296005</v>
      </c>
      <c r="AN2687">
        <v>0.99999997728205903</v>
      </c>
    </row>
    <row r="2688" spans="1:40" x14ac:dyDescent="0.25">
      <c r="A2688" t="str">
        <f>"20190305134950165"</f>
        <v>20190305134950165</v>
      </c>
      <c r="B2688" t="str">
        <f>"1551764990153244"</f>
        <v>1551764990153244</v>
      </c>
      <c r="C2688" t="s">
        <v>40</v>
      </c>
      <c r="D2688">
        <v>3.6304310000000002</v>
      </c>
      <c r="E2688">
        <v>0.47351880000000002</v>
      </c>
      <c r="F2688" t="s">
        <v>74</v>
      </c>
      <c r="G2688">
        <v>-447.0575</v>
      </c>
      <c r="H2688">
        <v>8.0001139999999998E-2</v>
      </c>
      <c r="I2688">
        <v>278.35759999999999</v>
      </c>
      <c r="J2688">
        <v>-398.51159999999999</v>
      </c>
      <c r="K2688">
        <v>1.1098709999999901</v>
      </c>
      <c r="L2688">
        <v>285.73770000000002</v>
      </c>
      <c r="M2688">
        <v>-0.99987130000000002</v>
      </c>
      <c r="N2688">
        <v>-1.464534E-2</v>
      </c>
      <c r="O2688">
        <v>6.5739329999999997E-3</v>
      </c>
      <c r="P2688">
        <v>-0.99670510000000001</v>
      </c>
      <c r="Q2688">
        <v>-5.2069359999999997E-3</v>
      </c>
      <c r="R2688">
        <v>-8.0946039999999997E-2</v>
      </c>
      <c r="S2688">
        <v>-2.9734189999999998</v>
      </c>
      <c r="T2688">
        <v>-6.2731029999999993E-2</v>
      </c>
      <c r="U2688">
        <v>-0.44943240000000001</v>
      </c>
      <c r="V2688">
        <v>-8.7500880000000003E-2</v>
      </c>
      <c r="W2688">
        <v>9.3437920000000001E-3</v>
      </c>
      <c r="X2688">
        <v>0.99612060000000002</v>
      </c>
      <c r="Y2688">
        <v>-0.1558919</v>
      </c>
      <c r="Z2688">
        <v>-2.825433E-3</v>
      </c>
      <c r="AA2688">
        <v>0.98777009999999998</v>
      </c>
      <c r="AB2688">
        <v>46</v>
      </c>
      <c r="AC2688">
        <v>-48.545900000000003</v>
      </c>
      <c r="AD2688">
        <v>-1.02986985999999</v>
      </c>
      <c r="AE2688">
        <v>-7.3801000000000201</v>
      </c>
      <c r="AF2688">
        <v>-7.6957269499476597</v>
      </c>
      <c r="AG2688">
        <v>-1.02986985999999</v>
      </c>
      <c r="AH2688">
        <v>48.475005977462203</v>
      </c>
      <c r="AI2688">
        <v>91.202038319683297</v>
      </c>
      <c r="AJ2688">
        <v>99.020799954271595</v>
      </c>
      <c r="AK2688">
        <v>49.092881864193799</v>
      </c>
      <c r="AL2688">
        <v>89.464632352728898</v>
      </c>
      <c r="AM2688">
        <v>95.020070555787299</v>
      </c>
      <c r="AN2688">
        <v>0.99999998009703595</v>
      </c>
    </row>
    <row r="2689" spans="1:40" x14ac:dyDescent="0.25">
      <c r="A2689" t="str">
        <f>"20190305134950178"</f>
        <v>20190305134950178</v>
      </c>
      <c r="B2689" t="str">
        <f>"1551764990172764"</f>
        <v>1551764990172764</v>
      </c>
      <c r="C2689" t="s">
        <v>40</v>
      </c>
      <c r="D2689">
        <v>3.8336209999999999</v>
      </c>
      <c r="E2689">
        <v>0.47527170000000002</v>
      </c>
      <c r="F2689" t="s">
        <v>74</v>
      </c>
      <c r="G2689">
        <v>-442.39659999999998</v>
      </c>
      <c r="H2689">
        <v>8.0001000000000003E-2</v>
      </c>
      <c r="I2689">
        <v>279.0652</v>
      </c>
      <c r="J2689">
        <v>-398.78109999999998</v>
      </c>
      <c r="K2689">
        <v>1.1098680000000001</v>
      </c>
      <c r="L2689">
        <v>285.73930000000001</v>
      </c>
      <c r="M2689">
        <v>-0.99987199999999998</v>
      </c>
      <c r="N2689">
        <v>-1.464378E-2</v>
      </c>
      <c r="O2689">
        <v>6.4419430000000003E-3</v>
      </c>
      <c r="P2689">
        <v>-0.99658519999999995</v>
      </c>
      <c r="Q2689">
        <v>-8.2473530000000007E-3</v>
      </c>
      <c r="R2689">
        <v>-8.2157869999999994E-2</v>
      </c>
      <c r="S2689">
        <v>-2.9728089999999998</v>
      </c>
      <c r="T2689">
        <v>-6.9764259999999995E-2</v>
      </c>
      <c r="U2689">
        <v>-0.4519958</v>
      </c>
      <c r="V2689">
        <v>-8.8579720000000001E-2</v>
      </c>
      <c r="W2689">
        <v>6.2968950000000003E-3</v>
      </c>
      <c r="X2689">
        <v>0.99604919999999997</v>
      </c>
      <c r="Y2689">
        <v>-0.1566129</v>
      </c>
      <c r="Z2689">
        <v>-3.0370010000000001E-3</v>
      </c>
      <c r="AA2689">
        <v>0.98765539999999996</v>
      </c>
      <c r="AB2689">
        <v>46</v>
      </c>
      <c r="AC2689">
        <v>-43.615499999999997</v>
      </c>
      <c r="AD2689">
        <v>-1.0298670000000001</v>
      </c>
      <c r="AE2689">
        <v>-6.6741000000000099</v>
      </c>
      <c r="AF2689">
        <v>-6.9511732625009</v>
      </c>
      <c r="AG2689">
        <v>-1.0298670000000001</v>
      </c>
      <c r="AH2689">
        <v>43.547871606476903</v>
      </c>
      <c r="AI2689">
        <v>91.337810258587297</v>
      </c>
      <c r="AJ2689">
        <v>99.069126269918399</v>
      </c>
      <c r="AK2689">
        <v>44.111184037805998</v>
      </c>
      <c r="AL2689">
        <v>89.639212112957097</v>
      </c>
      <c r="AM2689">
        <v>95.082005640317206</v>
      </c>
      <c r="AN2689">
        <v>1.0000000132512701</v>
      </c>
    </row>
    <row r="2690" spans="1:40" x14ac:dyDescent="0.25">
      <c r="A2690" t="str">
        <f>"20190305134950198"</f>
        <v>20190305134950198</v>
      </c>
      <c r="B2690" t="str">
        <f>"1551764990193260"</f>
        <v>1551764990193260</v>
      </c>
      <c r="C2690" t="s">
        <v>40</v>
      </c>
      <c r="D2690">
        <v>3.8879090000000001</v>
      </c>
      <c r="E2690">
        <v>0.47940260000000001</v>
      </c>
      <c r="F2690" t="s">
        <v>78</v>
      </c>
      <c r="G2690">
        <v>-434.76569999999998</v>
      </c>
      <c r="H2690" s="1">
        <v>4.6995060000000002E-6</v>
      </c>
      <c r="I2690">
        <v>280.39400000000001</v>
      </c>
      <c r="J2690">
        <v>-399.0471</v>
      </c>
      <c r="K2690">
        <v>1.1098730000000001</v>
      </c>
      <c r="L2690">
        <v>285.74099999999999</v>
      </c>
      <c r="M2690">
        <v>-0.99987289999999995</v>
      </c>
      <c r="N2690">
        <v>-1.4642280000000001E-2</v>
      </c>
      <c r="O2690">
        <v>6.303024E-3</v>
      </c>
      <c r="P2690">
        <v>-0.99644319999999997</v>
      </c>
      <c r="Q2690">
        <v>-1.0881689999999999E-2</v>
      </c>
      <c r="R2690">
        <v>-8.3564269999999996E-2</v>
      </c>
      <c r="S2690">
        <v>-2.9731450000000001</v>
      </c>
      <c r="T2690">
        <v>-9.1699840000000005E-2</v>
      </c>
      <c r="U2690">
        <v>-0.4416504</v>
      </c>
      <c r="V2690">
        <v>-8.9845640000000004E-2</v>
      </c>
      <c r="W2690">
        <v>3.654774E-3</v>
      </c>
      <c r="X2690">
        <v>0.99594899999999997</v>
      </c>
      <c r="Y2690">
        <v>-0.15306020000000001</v>
      </c>
      <c r="Z2690">
        <v>-3.575651E-3</v>
      </c>
      <c r="AA2690">
        <v>0.98821040000000004</v>
      </c>
      <c r="AB2690">
        <v>46</v>
      </c>
      <c r="AC2690">
        <v>-35.718599999999903</v>
      </c>
      <c r="AD2690">
        <v>-1.109868300494</v>
      </c>
      <c r="AE2690">
        <v>-5.34699999999998</v>
      </c>
      <c r="AF2690">
        <v>-5.5667961429099302</v>
      </c>
      <c r="AG2690">
        <v>-1.109868300494</v>
      </c>
      <c r="AH2690">
        <v>35.650518169131999</v>
      </c>
      <c r="AI2690">
        <v>91.761814743113803</v>
      </c>
      <c r="AJ2690">
        <v>98.875015408780101</v>
      </c>
      <c r="AK2690">
        <v>36.099591031876898</v>
      </c>
      <c r="AL2690">
        <v>89.790596409276702</v>
      </c>
      <c r="AM2690">
        <v>95.154761440722098</v>
      </c>
      <c r="AN2690">
        <v>1.0000000035004999</v>
      </c>
    </row>
    <row r="2691" spans="1:40" x14ac:dyDescent="0.25">
      <c r="A2691" t="str">
        <f>"20190305134950210"</f>
        <v>20190305134950210</v>
      </c>
      <c r="B2691" t="str">
        <f>"1551764990203020"</f>
        <v>1551764990203020</v>
      </c>
      <c r="C2691" t="s">
        <v>40</v>
      </c>
      <c r="D2691">
        <v>3.9036230000000001</v>
      </c>
      <c r="E2691">
        <v>0.53263990000000005</v>
      </c>
      <c r="F2691" t="s">
        <v>78</v>
      </c>
      <c r="G2691">
        <v>-437.6379</v>
      </c>
      <c r="H2691" s="1">
        <v>5.9743419999999996E-6</v>
      </c>
      <c r="I2691">
        <v>280.38130000000001</v>
      </c>
      <c r="J2691">
        <v>-399.43819999999999</v>
      </c>
      <c r="K2691">
        <v>1.1098809999999999</v>
      </c>
      <c r="L2691">
        <v>285.74329999999998</v>
      </c>
      <c r="M2691">
        <v>-0.99987440000000005</v>
      </c>
      <c r="N2691">
        <v>-1.4639940000000001E-2</v>
      </c>
      <c r="O2691">
        <v>6.0726060000000004E-3</v>
      </c>
      <c r="P2691">
        <v>-0.99613059999999998</v>
      </c>
      <c r="Q2691">
        <v>-1.3887210000000001E-2</v>
      </c>
      <c r="R2691">
        <v>-8.6779419999999996E-2</v>
      </c>
      <c r="S2691">
        <v>-2.9751590000000001</v>
      </c>
      <c r="T2691">
        <v>-8.5565210000000003E-2</v>
      </c>
      <c r="U2691">
        <v>-0.41320800000000002</v>
      </c>
      <c r="V2691">
        <v>-9.2828229999999998E-2</v>
      </c>
      <c r="W2691">
        <v>6.3544909999999999E-4</v>
      </c>
      <c r="X2691">
        <v>0.99568190000000001</v>
      </c>
      <c r="Y2691">
        <v>-0.14348959999999999</v>
      </c>
      <c r="Z2691">
        <v>-3.194166E-3</v>
      </c>
      <c r="AA2691">
        <v>0.98964669999999999</v>
      </c>
      <c r="AB2691">
        <v>45</v>
      </c>
      <c r="AC2691">
        <v>-38.1997</v>
      </c>
      <c r="AD2691">
        <v>-1.1098750256579999</v>
      </c>
      <c r="AE2691">
        <v>-5.3619999999999601</v>
      </c>
      <c r="AF2691">
        <v>-5.5892705916432197</v>
      </c>
      <c r="AG2691">
        <v>-1.1098750256579999</v>
      </c>
      <c r="AH2691">
        <v>38.134860549608</v>
      </c>
      <c r="AI2691">
        <v>91.649450482112599</v>
      </c>
      <c r="AJ2691">
        <v>98.338240214840695</v>
      </c>
      <c r="AK2691">
        <v>38.558259263836497</v>
      </c>
      <c r="AL2691">
        <v>89.963591444751202</v>
      </c>
      <c r="AM2691">
        <v>95.326335398400104</v>
      </c>
      <c r="AN2691">
        <v>0.99999996503404998</v>
      </c>
    </row>
    <row r="2692" spans="1:40" x14ac:dyDescent="0.25">
      <c r="A2692" t="str">
        <f>"20190305134950223"</f>
        <v>20190305134950223</v>
      </c>
      <c r="B2692" t="str">
        <f>"1551764990212780"</f>
        <v>1551764990212780</v>
      </c>
      <c r="C2692" t="s">
        <v>40</v>
      </c>
      <c r="D2692">
        <v>3.744068</v>
      </c>
      <c r="E2692">
        <v>0.54269269999999903</v>
      </c>
      <c r="F2692" t="s">
        <v>47</v>
      </c>
      <c r="G2692">
        <v>0</v>
      </c>
      <c r="H2692">
        <v>0</v>
      </c>
      <c r="I2692">
        <v>0</v>
      </c>
      <c r="J2692">
        <v>-399.69150000000002</v>
      </c>
      <c r="K2692">
        <v>1.1098969999999999</v>
      </c>
      <c r="L2692">
        <v>285.74459999999999</v>
      </c>
      <c r="M2692">
        <v>-0.99987539999999997</v>
      </c>
      <c r="N2692">
        <v>-1.463837E-2</v>
      </c>
      <c r="O2692">
        <v>5.9060959999999996E-3</v>
      </c>
      <c r="P2692">
        <v>-0.99599439999999995</v>
      </c>
      <c r="Q2692">
        <v>-1.492743E-2</v>
      </c>
      <c r="R2692">
        <v>-8.8160890000000006E-2</v>
      </c>
      <c r="S2692">
        <v>-3.0145569999999999</v>
      </c>
      <c r="T2692">
        <v>0.24743709999999999</v>
      </c>
      <c r="U2692">
        <v>-6.7749019999999898E-3</v>
      </c>
      <c r="V2692">
        <v>-9.4042189999999998E-2</v>
      </c>
      <c r="W2692">
        <v>-4.1323800000000002E-4</v>
      </c>
      <c r="X2692">
        <v>0.99556820000000001</v>
      </c>
      <c r="Y2692">
        <v>-8.1041099999999994E-3</v>
      </c>
      <c r="Z2692">
        <v>8.4288709999999999E-4</v>
      </c>
      <c r="AA2692">
        <v>0.99996680000000004</v>
      </c>
      <c r="AB2692">
        <v>45</v>
      </c>
      <c r="AC2692">
        <v>-3.0145569999999999</v>
      </c>
      <c r="AD2692">
        <v>0.24743709999999999</v>
      </c>
      <c r="AE2692">
        <v>-6.7749019999999898E-3</v>
      </c>
      <c r="AF2692">
        <v>-2.4416455981712201E-2</v>
      </c>
      <c r="AG2692">
        <v>0.24743709999999999</v>
      </c>
      <c r="AH2692">
        <v>2.9942912087133799</v>
      </c>
      <c r="AI2692">
        <v>85.2761794545371</v>
      </c>
      <c r="AJ2692">
        <v>90.467198670751301</v>
      </c>
      <c r="AK2692">
        <v>3.0045966658367602</v>
      </c>
      <c r="AL2692">
        <v>90.023676792290303</v>
      </c>
      <c r="AM2692">
        <v>95.396194605436307</v>
      </c>
      <c r="AN2692">
        <v>1.0000000725584299</v>
      </c>
    </row>
    <row r="2693" spans="1:40" x14ac:dyDescent="0.25">
      <c r="A2693" t="str">
        <f>"20190305134950237"</f>
        <v>20190305134950237</v>
      </c>
      <c r="B2693" t="str">
        <f>"1551764990233276"</f>
        <v>1551764990233276</v>
      </c>
      <c r="C2693" t="s">
        <v>40</v>
      </c>
      <c r="D2693">
        <v>3.8196330000000001</v>
      </c>
      <c r="E2693">
        <v>0.54804339999999996</v>
      </c>
      <c r="F2693" t="s">
        <v>47</v>
      </c>
      <c r="G2693">
        <v>0</v>
      </c>
      <c r="H2693">
        <v>0</v>
      </c>
      <c r="I2693">
        <v>0</v>
      </c>
      <c r="J2693">
        <v>-399.952</v>
      </c>
      <c r="K2693">
        <v>1.109915</v>
      </c>
      <c r="L2693">
        <v>285.74610000000001</v>
      </c>
      <c r="M2693">
        <v>-0.9998766</v>
      </c>
      <c r="N2693">
        <v>-1.463675E-2</v>
      </c>
      <c r="O2693">
        <v>5.7248469999999999E-3</v>
      </c>
      <c r="P2693">
        <v>-0.9959266</v>
      </c>
      <c r="Q2693">
        <v>-1.5779649999999999E-2</v>
      </c>
      <c r="R2693">
        <v>-8.8776770000000005E-2</v>
      </c>
      <c r="S2693">
        <v>-3.0230709999999998</v>
      </c>
      <c r="T2693">
        <v>0.3373237</v>
      </c>
      <c r="U2693">
        <v>6.7016599999999996E-2</v>
      </c>
      <c r="V2693">
        <v>-9.4476480000000002E-2</v>
      </c>
      <c r="W2693">
        <v>-1.2726320000000001E-3</v>
      </c>
      <c r="X2693">
        <v>0.99552629999999998</v>
      </c>
      <c r="Y2693">
        <v>1.6395679999999999E-2</v>
      </c>
      <c r="Z2693" s="1">
        <v>-7.124094E-5</v>
      </c>
      <c r="AA2693">
        <v>0.99986560000000002</v>
      </c>
      <c r="AB2693">
        <v>45</v>
      </c>
      <c r="AC2693">
        <v>-3.0230709999999998</v>
      </c>
      <c r="AD2693">
        <v>0.3373237</v>
      </c>
      <c r="AE2693">
        <v>6.7016599999999996E-2</v>
      </c>
      <c r="AF2693">
        <v>4.9096045964370498E-2</v>
      </c>
      <c r="AG2693">
        <v>0.3373237</v>
      </c>
      <c r="AH2693">
        <v>2.9862423287727</v>
      </c>
      <c r="AI2693">
        <v>83.556093757959403</v>
      </c>
      <c r="AJ2693">
        <v>89.058099609202202</v>
      </c>
      <c r="AK2693">
        <v>3.00563486579206</v>
      </c>
      <c r="AL2693">
        <v>90.072916460739094</v>
      </c>
      <c r="AM2693">
        <v>95.421193100426294</v>
      </c>
      <c r="AN2693">
        <v>1.0000000194285401</v>
      </c>
    </row>
    <row r="2694" spans="1:40" x14ac:dyDescent="0.25">
      <c r="A2694" t="str">
        <f>"20190305134950250"</f>
        <v>20190305134950250</v>
      </c>
      <c r="B2694" t="str">
        <f>"1551764990243036"</f>
        <v>1551764990243036</v>
      </c>
      <c r="C2694" t="s">
        <v>40</v>
      </c>
      <c r="D2694">
        <v>3.7281870000000001</v>
      </c>
      <c r="E2694">
        <v>0.54932990000000004</v>
      </c>
      <c r="F2694" t="s">
        <v>47</v>
      </c>
      <c r="G2694">
        <v>0</v>
      </c>
      <c r="H2694">
        <v>0</v>
      </c>
      <c r="I2694">
        <v>0</v>
      </c>
      <c r="J2694">
        <v>-400.2389</v>
      </c>
      <c r="K2694">
        <v>1.1099319999999999</v>
      </c>
      <c r="L2694">
        <v>285.74759999999998</v>
      </c>
      <c r="M2694">
        <v>-0.99987780000000004</v>
      </c>
      <c r="N2694">
        <v>-1.4634960000000001E-2</v>
      </c>
      <c r="O2694">
        <v>5.5144690000000001E-3</v>
      </c>
      <c r="P2694">
        <v>-0.99592009999999997</v>
      </c>
      <c r="Q2694">
        <v>-1.5690320000000001E-2</v>
      </c>
      <c r="R2694">
        <v>-8.8867219999999997E-2</v>
      </c>
      <c r="S2694">
        <v>-3.0278930000000002</v>
      </c>
      <c r="T2694">
        <v>0.38334259999999998</v>
      </c>
      <c r="U2694">
        <v>0.1068115</v>
      </c>
      <c r="V2694">
        <v>-9.4357339999999998E-2</v>
      </c>
      <c r="W2694">
        <v>-1.1899440000000001E-3</v>
      </c>
      <c r="X2694">
        <v>0.99553769999999997</v>
      </c>
      <c r="Y2694">
        <v>2.9588099999999999E-2</v>
      </c>
      <c r="Z2694">
        <v>-8.7214270000000003E-4</v>
      </c>
      <c r="AA2694">
        <v>0.99956179999999994</v>
      </c>
      <c r="AB2694">
        <v>45</v>
      </c>
      <c r="AC2694">
        <v>-3.0278930000000002</v>
      </c>
      <c r="AD2694">
        <v>0.38334259999999998</v>
      </c>
      <c r="AE2694">
        <v>0.1068115</v>
      </c>
      <c r="AF2694">
        <v>8.8691048385588903E-2</v>
      </c>
      <c r="AG2694">
        <v>0.38334259999999998</v>
      </c>
      <c r="AH2694">
        <v>2.98071892233438</v>
      </c>
      <c r="AI2694">
        <v>82.674770927329206</v>
      </c>
      <c r="AJ2694">
        <v>88.295671614374697</v>
      </c>
      <c r="AK2694">
        <v>3.0065766155214999</v>
      </c>
      <c r="AL2694">
        <v>90.068178783929696</v>
      </c>
      <c r="AM2694">
        <v>95.414335700162397</v>
      </c>
      <c r="AN2694">
        <v>1.00000001784994</v>
      </c>
    </row>
    <row r="2695" spans="1:40" x14ac:dyDescent="0.25">
      <c r="A2695" t="str">
        <f>"20190305134950262"</f>
        <v>20190305134950262</v>
      </c>
      <c r="B2695" t="str">
        <f>"1551764990252796"</f>
        <v>1551764990252796</v>
      </c>
      <c r="C2695" t="s">
        <v>40</v>
      </c>
      <c r="D2695">
        <v>3.8633000000000002</v>
      </c>
      <c r="E2695">
        <v>0.54967390000000005</v>
      </c>
      <c r="F2695" t="s">
        <v>47</v>
      </c>
      <c r="G2695">
        <v>0</v>
      </c>
      <c r="H2695">
        <v>0</v>
      </c>
      <c r="I2695">
        <v>0</v>
      </c>
      <c r="J2695">
        <v>-400.49860000000001</v>
      </c>
      <c r="K2695">
        <v>1.109952</v>
      </c>
      <c r="L2695">
        <v>285.74880000000002</v>
      </c>
      <c r="M2695">
        <v>-0.99987890000000001</v>
      </c>
      <c r="N2695">
        <v>-1.463338E-2</v>
      </c>
      <c r="O2695">
        <v>5.3066779999999996E-3</v>
      </c>
      <c r="P2695">
        <v>-0.99595860000000003</v>
      </c>
      <c r="Q2695">
        <v>-1.5756630000000001E-2</v>
      </c>
      <c r="R2695">
        <v>-8.8423409999999994E-2</v>
      </c>
      <c r="S2695">
        <v>-3.028473</v>
      </c>
      <c r="T2695">
        <v>0.36590489999999998</v>
      </c>
      <c r="U2695">
        <v>0.1170349</v>
      </c>
      <c r="V2695">
        <v>-9.3706970000000001E-2</v>
      </c>
      <c r="W2695">
        <v>-1.261199E-3</v>
      </c>
      <c r="X2695">
        <v>0.99559900000000001</v>
      </c>
      <c r="Y2695">
        <v>3.3149320000000003E-2</v>
      </c>
      <c r="Z2695">
        <v>-1.0352670000000001E-3</v>
      </c>
      <c r="AA2695">
        <v>0.99944980000000005</v>
      </c>
      <c r="AB2695">
        <v>45</v>
      </c>
      <c r="AC2695">
        <v>-3.028473</v>
      </c>
      <c r="AD2695">
        <v>0.36590489999999998</v>
      </c>
      <c r="AE2695">
        <v>0.1170349</v>
      </c>
      <c r="AF2695">
        <v>9.9509935188420995E-2</v>
      </c>
      <c r="AG2695">
        <v>0.36590489999999998</v>
      </c>
      <c r="AH2695">
        <v>2.9855340785111801</v>
      </c>
      <c r="AI2695">
        <v>83.016556095273202</v>
      </c>
      <c r="AJ2695">
        <v>88.090998384305607</v>
      </c>
      <c r="AK2695">
        <v>3.0095186254610198</v>
      </c>
      <c r="AL2695">
        <v>90.072261400585205</v>
      </c>
      <c r="AM2695">
        <v>95.376907060869101</v>
      </c>
      <c r="AN2695">
        <v>0.99999997782524896</v>
      </c>
    </row>
    <row r="2696" spans="1:40" x14ac:dyDescent="0.25">
      <c r="A2696" t="str">
        <f>"20190305134950276"</f>
        <v>20190305134950276</v>
      </c>
      <c r="B2696" t="str">
        <f>"1551764990263532"</f>
        <v>1551764990263532</v>
      </c>
      <c r="C2696" t="s">
        <v>40</v>
      </c>
      <c r="D2696">
        <v>3.652596</v>
      </c>
      <c r="E2696">
        <v>0.5500813</v>
      </c>
      <c r="F2696" t="s">
        <v>47</v>
      </c>
      <c r="G2696">
        <v>0</v>
      </c>
      <c r="H2696">
        <v>0</v>
      </c>
      <c r="I2696">
        <v>0</v>
      </c>
      <c r="J2696">
        <v>-400.75819999999999</v>
      </c>
      <c r="K2696">
        <v>1.109977</v>
      </c>
      <c r="L2696">
        <v>285.75009999999997</v>
      </c>
      <c r="M2696">
        <v>-0.99988010000000005</v>
      </c>
      <c r="N2696">
        <v>-1.463179E-2</v>
      </c>
      <c r="O2696">
        <v>5.090247E-3</v>
      </c>
      <c r="P2696">
        <v>-0.99599919999999997</v>
      </c>
      <c r="Q2696">
        <v>-1.555745E-2</v>
      </c>
      <c r="R2696">
        <v>-8.7999220000000003E-2</v>
      </c>
      <c r="S2696">
        <v>-3.0278930000000002</v>
      </c>
      <c r="T2696">
        <v>0.30698350000000002</v>
      </c>
      <c r="U2696">
        <v>0.12219240000000001</v>
      </c>
      <c r="V2696">
        <v>-9.306797E-2</v>
      </c>
      <c r="W2696">
        <v>-1.066888E-3</v>
      </c>
      <c r="X2696">
        <v>0.99565919999999997</v>
      </c>
      <c r="Y2696">
        <v>3.5116069999999999E-2</v>
      </c>
      <c r="Z2696">
        <v>-9.2850140000000001E-4</v>
      </c>
      <c r="AA2696">
        <v>0.99938280000000002</v>
      </c>
      <c r="AB2696">
        <v>45</v>
      </c>
      <c r="AC2696">
        <v>-3.0278930000000002</v>
      </c>
      <c r="AD2696">
        <v>0.30698350000000002</v>
      </c>
      <c r="AE2696">
        <v>0.12219240000000001</v>
      </c>
      <c r="AF2696">
        <v>0.10569180980503901</v>
      </c>
      <c r="AG2696">
        <v>0.30698350000000002</v>
      </c>
      <c r="AH2696">
        <v>2.9977125639420801</v>
      </c>
      <c r="AI2696">
        <v>84.156561335989295</v>
      </c>
      <c r="AJ2696">
        <v>87.980731269864606</v>
      </c>
      <c r="AK2696">
        <v>3.0152429825717699</v>
      </c>
      <c r="AL2696">
        <v>90.0611281903589</v>
      </c>
      <c r="AM2696">
        <v>95.340132919545198</v>
      </c>
      <c r="AN2696">
        <v>1.00000001391728</v>
      </c>
    </row>
    <row r="2697" spans="1:40" x14ac:dyDescent="0.25">
      <c r="A2697" t="str">
        <f>"20190305134950290"</f>
        <v>20190305134950290</v>
      </c>
      <c r="B2697" t="str">
        <f>"1551764990283051"</f>
        <v>1551764990283051</v>
      </c>
      <c r="C2697" t="s">
        <v>40</v>
      </c>
      <c r="D2697">
        <v>3.6244900000000002</v>
      </c>
      <c r="E2697">
        <v>0.55041359999999995</v>
      </c>
      <c r="F2697" t="s">
        <v>47</v>
      </c>
      <c r="G2697">
        <v>0</v>
      </c>
      <c r="H2697">
        <v>0</v>
      </c>
      <c r="I2697">
        <v>0</v>
      </c>
      <c r="J2697">
        <v>-401.0444</v>
      </c>
      <c r="K2697">
        <v>1.1100049999999999</v>
      </c>
      <c r="L2697">
        <v>285.75139999999999</v>
      </c>
      <c r="M2697">
        <v>-0.99988129999999997</v>
      </c>
      <c r="N2697">
        <v>-1.4630020000000001E-2</v>
      </c>
      <c r="O2697">
        <v>4.8417720000000003E-3</v>
      </c>
      <c r="P2697">
        <v>-0.99606799999999995</v>
      </c>
      <c r="Q2697">
        <v>-1.5284239999999999E-2</v>
      </c>
      <c r="R2697">
        <v>-8.7263980000000005E-2</v>
      </c>
      <c r="S2697">
        <v>-3.028381</v>
      </c>
      <c r="T2697">
        <v>0.32836070000000001</v>
      </c>
      <c r="U2697">
        <v>0.1264343</v>
      </c>
      <c r="V2697">
        <v>-9.2085650000000005E-2</v>
      </c>
      <c r="W2697">
        <v>-7.983342E-4</v>
      </c>
      <c r="X2697">
        <v>0.99575080000000005</v>
      </c>
      <c r="Y2697">
        <v>3.6725710000000002E-2</v>
      </c>
      <c r="Z2697">
        <v>-1.1211280000000001E-3</v>
      </c>
      <c r="AA2697">
        <v>0.99932469999999995</v>
      </c>
      <c r="AB2697">
        <v>45</v>
      </c>
      <c r="AC2697">
        <v>-3.028381</v>
      </c>
      <c r="AD2697">
        <v>0.32836070000000001</v>
      </c>
      <c r="AE2697">
        <v>0.1264343</v>
      </c>
      <c r="AF2697">
        <v>0.110472004588276</v>
      </c>
      <c r="AG2697">
        <v>0.32836070000000001</v>
      </c>
      <c r="AH2697">
        <v>2.9938218387891502</v>
      </c>
      <c r="AI2697">
        <v>83.745072507996596</v>
      </c>
      <c r="AJ2697">
        <v>87.886744937592795</v>
      </c>
      <c r="AK2697">
        <v>3.0138005931901102</v>
      </c>
      <c r="AL2697">
        <v>90.045741183787996</v>
      </c>
      <c r="AM2697">
        <v>95.283605936863694</v>
      </c>
      <c r="AN2697">
        <v>1.00000002998702</v>
      </c>
    </row>
    <row r="2698" spans="1:40" x14ac:dyDescent="0.25">
      <c r="A2698" t="str">
        <f>"20190305134950306"</f>
        <v>20190305134950306</v>
      </c>
      <c r="B2698" t="str">
        <f>"1551764990303548"</f>
        <v>1551764990303548</v>
      </c>
      <c r="C2698" t="s">
        <v>40</v>
      </c>
      <c r="D2698">
        <v>3.6815370000000001</v>
      </c>
      <c r="E2698">
        <v>0.55021830000000005</v>
      </c>
      <c r="F2698" t="s">
        <v>47</v>
      </c>
      <c r="G2698">
        <v>0</v>
      </c>
      <c r="H2698">
        <v>0</v>
      </c>
      <c r="I2698">
        <v>0</v>
      </c>
      <c r="J2698">
        <v>-401.36720000000003</v>
      </c>
      <c r="K2698">
        <v>1.1100350000000001</v>
      </c>
      <c r="L2698">
        <v>285.7527</v>
      </c>
      <c r="M2698">
        <v>-0.99988279999999996</v>
      </c>
      <c r="N2698">
        <v>-1.462808E-2</v>
      </c>
      <c r="O2698">
        <v>4.5455269999999997E-3</v>
      </c>
      <c r="P2698">
        <v>-0.9962413</v>
      </c>
      <c r="Q2698">
        <v>-1.393433E-2</v>
      </c>
      <c r="R2698">
        <v>-8.549698E-2</v>
      </c>
      <c r="S2698">
        <v>-3.028778</v>
      </c>
      <c r="T2698">
        <v>0.36070530000000001</v>
      </c>
      <c r="U2698">
        <v>0.130249</v>
      </c>
      <c r="V2698">
        <v>-9.0025270000000004E-2</v>
      </c>
      <c r="W2698">
        <v>5.4914169999999997E-4</v>
      </c>
      <c r="X2698">
        <v>0.99593929999999997</v>
      </c>
      <c r="Y2698">
        <v>3.8226040000000003E-2</v>
      </c>
      <c r="Z2698">
        <v>-1.381202E-3</v>
      </c>
      <c r="AA2698">
        <v>0.99926820000000005</v>
      </c>
      <c r="AB2698">
        <v>45</v>
      </c>
      <c r="AC2698">
        <v>-3.028778</v>
      </c>
      <c r="AD2698">
        <v>0.36070530000000001</v>
      </c>
      <c r="AE2698">
        <v>0.130249</v>
      </c>
      <c r="AF2698">
        <v>0.114852831975747</v>
      </c>
      <c r="AG2698">
        <v>0.36070530000000001</v>
      </c>
      <c r="AH2698">
        <v>2.9870514679704998</v>
      </c>
      <c r="AI2698">
        <v>83.119547866165604</v>
      </c>
      <c r="AJ2698">
        <v>87.798048501928605</v>
      </c>
      <c r="AK2698">
        <v>3.0109427026706599</v>
      </c>
      <c r="AL2698">
        <v>89.968536495711305</v>
      </c>
      <c r="AM2698">
        <v>95.165061792639605</v>
      </c>
      <c r="AN2698">
        <v>0.99999997003983399</v>
      </c>
    </row>
    <row r="2699" spans="1:40" x14ac:dyDescent="0.25">
      <c r="A2699" t="str">
        <f>"20190305134950328"</f>
        <v>20190305134950328</v>
      </c>
      <c r="B2699" t="str">
        <f>"1551764990323068"</f>
        <v>1551764990323068</v>
      </c>
      <c r="C2699" t="s">
        <v>40</v>
      </c>
      <c r="D2699">
        <v>3.8131469999999998</v>
      </c>
      <c r="E2699">
        <v>0.55010329999999996</v>
      </c>
      <c r="F2699" t="s">
        <v>47</v>
      </c>
      <c r="G2699">
        <v>0</v>
      </c>
      <c r="H2699">
        <v>0</v>
      </c>
      <c r="I2699">
        <v>0</v>
      </c>
      <c r="J2699">
        <v>-401.82760000000002</v>
      </c>
      <c r="K2699">
        <v>1.1100719999999999</v>
      </c>
      <c r="L2699">
        <v>285.75450000000001</v>
      </c>
      <c r="M2699">
        <v>-0.99988469999999996</v>
      </c>
      <c r="N2699">
        <v>-1.462538E-2</v>
      </c>
      <c r="O2699">
        <v>4.1061079999999998E-3</v>
      </c>
      <c r="P2699">
        <v>-0.99641809999999997</v>
      </c>
      <c r="Q2699">
        <v>-1.292426E-2</v>
      </c>
      <c r="R2699">
        <v>-8.357009E-2</v>
      </c>
      <c r="S2699">
        <v>-3.0280149999999999</v>
      </c>
      <c r="T2699">
        <v>0.37347069999999999</v>
      </c>
      <c r="U2699">
        <v>0.13406370000000001</v>
      </c>
      <c r="V2699">
        <v>-8.7662760000000006E-2</v>
      </c>
      <c r="W2699">
        <v>1.5552669999999999E-3</v>
      </c>
      <c r="X2699">
        <v>0.99614899999999995</v>
      </c>
      <c r="Y2699">
        <v>3.9901430000000002E-2</v>
      </c>
      <c r="Z2699">
        <v>-1.593255E-3</v>
      </c>
      <c r="AA2699">
        <v>0.99920240000000005</v>
      </c>
      <c r="AB2699">
        <v>45</v>
      </c>
      <c r="AC2699">
        <v>-3.0280149999999999</v>
      </c>
      <c r="AD2699">
        <v>0.37347069999999999</v>
      </c>
      <c r="AE2699">
        <v>0.13406370000000001</v>
      </c>
      <c r="AF2699">
        <v>0.11980887225553501</v>
      </c>
      <c r="AG2699">
        <v>0.37347069999999999</v>
      </c>
      <c r="AH2699">
        <v>2.9832465271191202</v>
      </c>
      <c r="AI2699">
        <v>82.869990083161198</v>
      </c>
      <c r="AJ2699">
        <v>87.700204896767005</v>
      </c>
      <c r="AK2699">
        <v>3.0089191366997499</v>
      </c>
      <c r="AL2699">
        <v>89.910889729340695</v>
      </c>
      <c r="AM2699">
        <v>95.029167641845703</v>
      </c>
      <c r="AN2699">
        <v>1.0000000042736199</v>
      </c>
    </row>
    <row r="2700" spans="1:40" x14ac:dyDescent="0.25">
      <c r="A2700" t="str">
        <f>"20190305134950341"</f>
        <v>20190305134950341</v>
      </c>
      <c r="B2700" t="str">
        <f>"1551764990332829"</f>
        <v>1551764990332829</v>
      </c>
      <c r="C2700" t="s">
        <v>40</v>
      </c>
      <c r="D2700">
        <v>3.8185150000000001</v>
      </c>
      <c r="E2700">
        <v>0.54716430000000005</v>
      </c>
      <c r="F2700" t="s">
        <v>47</v>
      </c>
      <c r="G2700">
        <v>0</v>
      </c>
      <c r="H2700">
        <v>0</v>
      </c>
      <c r="I2700">
        <v>0</v>
      </c>
      <c r="J2700">
        <v>-402.06959999999998</v>
      </c>
      <c r="K2700">
        <v>1.110088</v>
      </c>
      <c r="L2700">
        <v>285.75529999999998</v>
      </c>
      <c r="M2700">
        <v>-0.99988560000000004</v>
      </c>
      <c r="N2700">
        <v>-1.462395E-2</v>
      </c>
      <c r="O2700">
        <v>3.8662570000000001E-3</v>
      </c>
      <c r="P2700">
        <v>-0.99652680000000005</v>
      </c>
      <c r="Q2700">
        <v>-1.220736E-2</v>
      </c>
      <c r="R2700">
        <v>-8.2373979999999999E-2</v>
      </c>
      <c r="S2700">
        <v>-3.027374</v>
      </c>
      <c r="T2700">
        <v>0.38454630000000001</v>
      </c>
      <c r="U2700">
        <v>0.138702399999999</v>
      </c>
      <c r="V2700">
        <v>-8.6229009999999995E-2</v>
      </c>
      <c r="W2700">
        <v>2.2709980000000002E-3</v>
      </c>
      <c r="X2700">
        <v>0.99627270000000001</v>
      </c>
      <c r="Y2700">
        <v>4.164851E-2</v>
      </c>
      <c r="Z2700">
        <v>-1.782292E-3</v>
      </c>
      <c r="AA2700">
        <v>0.99913070000000004</v>
      </c>
      <c r="AB2700">
        <v>45</v>
      </c>
      <c r="AC2700">
        <v>-3.027374</v>
      </c>
      <c r="AD2700">
        <v>0.38454630000000001</v>
      </c>
      <c r="AE2700">
        <v>0.138702399999999</v>
      </c>
      <c r="AF2700">
        <v>0.124983144554924</v>
      </c>
      <c r="AG2700">
        <v>0.38454630000000001</v>
      </c>
      <c r="AH2700">
        <v>2.97990801018824</v>
      </c>
      <c r="AI2700">
        <v>82.653214014922497</v>
      </c>
      <c r="AJ2700">
        <v>87.598311070241195</v>
      </c>
      <c r="AK2700">
        <v>3.00721605350373</v>
      </c>
      <c r="AL2700">
        <v>89.869881280467894</v>
      </c>
      <c r="AM2700">
        <v>94.946714515596796</v>
      </c>
      <c r="AN2700">
        <v>0.99999994618139099</v>
      </c>
    </row>
    <row r="2701" spans="1:40" x14ac:dyDescent="0.25">
      <c r="A2701" t="str">
        <f>"20190305134950354"</f>
        <v>20190305134950354</v>
      </c>
      <c r="B2701" t="str">
        <f>"1551764990342588"</f>
        <v>1551764990342588</v>
      </c>
      <c r="C2701" t="s">
        <v>40</v>
      </c>
      <c r="D2701">
        <v>3.7879499999999999</v>
      </c>
      <c r="E2701">
        <v>0.54968309999999998</v>
      </c>
      <c r="F2701" t="s">
        <v>74</v>
      </c>
      <c r="G2701">
        <v>-443.1549</v>
      </c>
      <c r="H2701" s="1">
        <v>1.5785090000000001E-8</v>
      </c>
      <c r="I2701">
        <v>287.50639999999999</v>
      </c>
      <c r="J2701">
        <v>-402.3331</v>
      </c>
      <c r="K2701">
        <v>1.110101</v>
      </c>
      <c r="L2701">
        <v>285.75619999999998</v>
      </c>
      <c r="M2701">
        <v>-0.99988670000000002</v>
      </c>
      <c r="N2701">
        <v>-1.4622349999999999E-2</v>
      </c>
      <c r="O2701">
        <v>3.6030390000000002E-3</v>
      </c>
      <c r="P2701">
        <v>-0.99663290000000004</v>
      </c>
      <c r="Q2701">
        <v>-1.175994E-2</v>
      </c>
      <c r="R2701">
        <v>-8.1146239999999994E-2</v>
      </c>
      <c r="S2701">
        <v>-3.0201419999999999</v>
      </c>
      <c r="T2701">
        <v>-8.1601499999999993E-2</v>
      </c>
      <c r="U2701">
        <v>0.12872310000000001</v>
      </c>
      <c r="V2701">
        <v>-8.4739990000000001E-2</v>
      </c>
      <c r="W2701">
        <v>2.7173169999999999E-3</v>
      </c>
      <c r="X2701">
        <v>0.99639940000000005</v>
      </c>
      <c r="Y2701">
        <v>3.896086E-2</v>
      </c>
      <c r="Z2701">
        <v>7.6645679999999897E-4</v>
      </c>
      <c r="AA2701">
        <v>0.99924049999999998</v>
      </c>
      <c r="AB2701">
        <v>45</v>
      </c>
      <c r="AC2701">
        <v>-40.821800000000003</v>
      </c>
      <c r="AD2701">
        <v>-1.1101009842149001</v>
      </c>
      <c r="AE2701">
        <v>1.7502</v>
      </c>
      <c r="AF2701">
        <v>1.6019079441417901</v>
      </c>
      <c r="AG2701">
        <v>-1.1101009842149001</v>
      </c>
      <c r="AH2701">
        <v>40.797726947166403</v>
      </c>
      <c r="AI2701">
        <v>91.557426826749804</v>
      </c>
      <c r="AJ2701">
        <v>87.751457068892705</v>
      </c>
      <c r="AK2701">
        <v>40.844252439140199</v>
      </c>
      <c r="AL2701">
        <v>89.844309013794302</v>
      </c>
      <c r="AM2701">
        <v>94.861091405422698</v>
      </c>
      <c r="AN2701">
        <v>1.0000000070186099</v>
      </c>
    </row>
    <row r="2702" spans="1:40" x14ac:dyDescent="0.25">
      <c r="A2702" t="str">
        <f>"20190305134950368"</f>
        <v>20190305134950368</v>
      </c>
      <c r="B2702" t="str">
        <f>"1551764990363238"</f>
        <v>1551764990363238</v>
      </c>
      <c r="C2702" t="s">
        <v>40</v>
      </c>
      <c r="D2702">
        <v>3.770896</v>
      </c>
      <c r="E2702">
        <v>0.55020780000000002</v>
      </c>
      <c r="F2702" t="s">
        <v>74</v>
      </c>
      <c r="G2702">
        <v>-462.97300000000001</v>
      </c>
      <c r="H2702" s="1">
        <v>-1.3782319999999999E-7</v>
      </c>
      <c r="I2702">
        <v>288.80529999999999</v>
      </c>
      <c r="J2702">
        <v>-402.61770000000001</v>
      </c>
      <c r="K2702">
        <v>1.110112</v>
      </c>
      <c r="L2702">
        <v>285.75700000000001</v>
      </c>
      <c r="M2702">
        <v>-0.99988779999999999</v>
      </c>
      <c r="N2702">
        <v>-1.4620569999999999E-2</v>
      </c>
      <c r="O2702">
        <v>3.3140280000000001E-3</v>
      </c>
      <c r="P2702">
        <v>-0.99674399999999996</v>
      </c>
      <c r="Q2702">
        <v>-1.163789E-2</v>
      </c>
      <c r="R2702">
        <v>-7.9791199999999896E-2</v>
      </c>
      <c r="S2702">
        <v>-3.0218509999999998</v>
      </c>
      <c r="T2702">
        <v>-5.5319309999999997E-2</v>
      </c>
      <c r="U2702">
        <v>0.151947</v>
      </c>
      <c r="V2702">
        <v>-8.3097820000000003E-2</v>
      </c>
      <c r="W2702">
        <v>2.83891E-3</v>
      </c>
      <c r="X2702">
        <v>0.99653729999999996</v>
      </c>
      <c r="Y2702">
        <v>4.6894770000000002E-2</v>
      </c>
      <c r="Z2702">
        <v>7.598336E-4</v>
      </c>
      <c r="AA2702">
        <v>0.99889950000000005</v>
      </c>
      <c r="AB2702">
        <v>45</v>
      </c>
      <c r="AC2702">
        <v>-60.3553</v>
      </c>
      <c r="AD2702">
        <v>-1.1101121378232</v>
      </c>
      <c r="AE2702">
        <v>3.0482999999999798</v>
      </c>
      <c r="AF2702">
        <v>2.84728197028392</v>
      </c>
      <c r="AG2702">
        <v>-1.1101121378232</v>
      </c>
      <c r="AH2702">
        <v>60.344709009280798</v>
      </c>
      <c r="AI2702">
        <v>91.052733673068502</v>
      </c>
      <c r="AJ2702">
        <v>87.298581097122906</v>
      </c>
      <c r="AK2702">
        <v>60.422042906472697</v>
      </c>
      <c r="AL2702">
        <v>89.837342211749203</v>
      </c>
      <c r="AM2702">
        <v>94.766670459392103</v>
      </c>
      <c r="AN2702">
        <v>0.99999994869501296</v>
      </c>
    </row>
    <row r="2703" spans="1:40" x14ac:dyDescent="0.25">
      <c r="A2703" t="str">
        <f>"20190305134950380"</f>
        <v>20190305134950380</v>
      </c>
      <c r="B2703" t="str">
        <f>"1551764990372998"</f>
        <v>1551764990372998</v>
      </c>
      <c r="C2703" t="s">
        <v>40</v>
      </c>
      <c r="D2703">
        <v>3.7826209999999998</v>
      </c>
      <c r="E2703">
        <v>0.54985509999999904</v>
      </c>
      <c r="F2703" t="s">
        <v>74</v>
      </c>
      <c r="G2703">
        <v>-467.82240000000002</v>
      </c>
      <c r="H2703" s="1">
        <v>2.4249639999999999E-6</v>
      </c>
      <c r="I2703">
        <v>289.21260000000001</v>
      </c>
      <c r="J2703">
        <v>-402.8716</v>
      </c>
      <c r="K2703">
        <v>1.110123</v>
      </c>
      <c r="L2703">
        <v>285.7577</v>
      </c>
      <c r="M2703">
        <v>-0.99988860000000002</v>
      </c>
      <c r="N2703">
        <v>-1.461896E-2</v>
      </c>
      <c r="O2703">
        <v>3.0529670000000002E-3</v>
      </c>
      <c r="P2703">
        <v>-0.99684620000000002</v>
      </c>
      <c r="Q2703">
        <v>-1.222611E-2</v>
      </c>
      <c r="R2703">
        <v>-7.8414250000000005E-2</v>
      </c>
      <c r="S2703">
        <v>-3.0220340000000001</v>
      </c>
      <c r="T2703">
        <v>-5.1450129999999997E-2</v>
      </c>
      <c r="U2703">
        <v>0.160156299999999</v>
      </c>
      <c r="V2703">
        <v>-8.1460329999999997E-2</v>
      </c>
      <c r="W2703">
        <v>2.250972E-3</v>
      </c>
      <c r="X2703">
        <v>0.99667410000000001</v>
      </c>
      <c r="Y2703">
        <v>4.9859250000000001E-2</v>
      </c>
      <c r="Z2703">
        <v>7.8153509999999904E-4</v>
      </c>
      <c r="AA2703">
        <v>0.99875590000000003</v>
      </c>
      <c r="AB2703">
        <v>45</v>
      </c>
      <c r="AC2703">
        <v>-64.950800000000001</v>
      </c>
      <c r="AD2703">
        <v>-1.1101205750359999</v>
      </c>
      <c r="AE2703">
        <v>3.4548999999999999</v>
      </c>
      <c r="AF2703">
        <v>3.2556217080113901</v>
      </c>
      <c r="AG2703">
        <v>-1.1101205750359999</v>
      </c>
      <c r="AH2703">
        <v>64.942128261393705</v>
      </c>
      <c r="AI2703">
        <v>90.978090505577399</v>
      </c>
      <c r="AJ2703">
        <v>87.130100861930103</v>
      </c>
      <c r="AK2703">
        <v>65.033156647329605</v>
      </c>
      <c r="AL2703">
        <v>89.8710287030258</v>
      </c>
      <c r="AM2703">
        <v>94.672522082628404</v>
      </c>
      <c r="AN2703">
        <v>1.00000005692473</v>
      </c>
    </row>
    <row r="2704" spans="1:40" x14ac:dyDescent="0.25">
      <c r="A2704" t="str">
        <f>"20190305134950392"</f>
        <v>20190305134950392</v>
      </c>
      <c r="B2704" t="str">
        <f>"1551764990382758"</f>
        <v>1551764990382758</v>
      </c>
      <c r="C2704" t="s">
        <v>40</v>
      </c>
      <c r="D2704">
        <v>3.7541099999999998</v>
      </c>
      <c r="E2704">
        <v>0.54976210000000003</v>
      </c>
      <c r="F2704" t="s">
        <v>74</v>
      </c>
      <c r="G2704">
        <v>-460.09469999999999</v>
      </c>
      <c r="H2704" s="1">
        <v>-1.670196E-6</v>
      </c>
      <c r="I2704">
        <v>288.82080000000002</v>
      </c>
      <c r="J2704">
        <v>-403.1157</v>
      </c>
      <c r="K2704">
        <v>1.110131</v>
      </c>
      <c r="L2704">
        <v>285.75819999999999</v>
      </c>
      <c r="M2704">
        <v>-0.99988929999999998</v>
      </c>
      <c r="N2704">
        <v>-1.4617389999999999E-2</v>
      </c>
      <c r="O2704">
        <v>2.8009850000000002E-3</v>
      </c>
      <c r="P2704">
        <v>-0.99694039999999995</v>
      </c>
      <c r="Q2704">
        <v>-1.265121E-2</v>
      </c>
      <c r="R2704">
        <v>-7.7137369999999997E-2</v>
      </c>
      <c r="S2704">
        <v>-3.0215450000000001</v>
      </c>
      <c r="T2704">
        <v>-5.8617830000000003E-2</v>
      </c>
      <c r="U2704">
        <v>0.1617432</v>
      </c>
      <c r="V2704">
        <v>-7.9931909999999995E-2</v>
      </c>
      <c r="W2704">
        <v>1.8261099999999999E-3</v>
      </c>
      <c r="X2704">
        <v>0.99679859999999998</v>
      </c>
      <c r="Y2704">
        <v>5.0639280000000002E-2</v>
      </c>
      <c r="Z2704">
        <v>8.4787679999999996E-4</v>
      </c>
      <c r="AA2704">
        <v>0.99871670000000001</v>
      </c>
      <c r="AB2704">
        <v>45</v>
      </c>
      <c r="AC2704">
        <v>-56.9789999999999</v>
      </c>
      <c r="AD2704">
        <v>-1.1101326701959999</v>
      </c>
      <c r="AE2704">
        <v>3.06260000000003</v>
      </c>
      <c r="AF2704">
        <v>2.9018752529184102</v>
      </c>
      <c r="AG2704">
        <v>-1.1101326701959999</v>
      </c>
      <c r="AH2704">
        <v>56.965794029119898</v>
      </c>
      <c r="AI2704">
        <v>91.114976664646804</v>
      </c>
      <c r="AJ2704">
        <v>87.083835759461607</v>
      </c>
      <c r="AK2704">
        <v>57.050459804431497</v>
      </c>
      <c r="AL2704">
        <v>89.895371540371102</v>
      </c>
      <c r="AM2704">
        <v>94.584659836913005</v>
      </c>
      <c r="AN2704">
        <v>0.99999994693796801</v>
      </c>
    </row>
    <row r="2705" spans="1:40" x14ac:dyDescent="0.25">
      <c r="A2705" t="str">
        <f>"20190305134950406"</f>
        <v>20190305134950406</v>
      </c>
      <c r="B2705" t="str">
        <f>"1551764990403254"</f>
        <v>1551764990403254</v>
      </c>
      <c r="C2705" t="s">
        <v>40</v>
      </c>
      <c r="D2705">
        <v>3.7910159999999999</v>
      </c>
      <c r="E2705">
        <v>0.54871639999999999</v>
      </c>
      <c r="F2705" t="s">
        <v>74</v>
      </c>
      <c r="G2705">
        <v>-459.0806</v>
      </c>
      <c r="H2705" s="1">
        <v>3.1122110000000001E-6</v>
      </c>
      <c r="I2705">
        <v>288.80869999999999</v>
      </c>
      <c r="J2705">
        <v>-403.38639999999998</v>
      </c>
      <c r="K2705">
        <v>1.110133</v>
      </c>
      <c r="L2705">
        <v>285.75880000000001</v>
      </c>
      <c r="M2705">
        <v>-0.9998901</v>
      </c>
      <c r="N2705">
        <v>-1.4615670000000001E-2</v>
      </c>
      <c r="O2705">
        <v>2.5198619999999999E-3</v>
      </c>
      <c r="P2705">
        <v>-0.99711810000000001</v>
      </c>
      <c r="Q2705">
        <v>-1.347135E-2</v>
      </c>
      <c r="R2705">
        <v>-7.4662399999999907E-2</v>
      </c>
      <c r="S2705">
        <v>-3.0211790000000001</v>
      </c>
      <c r="T2705">
        <v>-5.9928540000000002E-2</v>
      </c>
      <c r="U2705">
        <v>0.16467290000000001</v>
      </c>
      <c r="V2705">
        <v>-7.7176300000000003E-2</v>
      </c>
      <c r="W2705">
        <v>1.008812E-3</v>
      </c>
      <c r="X2705">
        <v>0.99701700000000004</v>
      </c>
      <c r="Y2705">
        <v>5.1891140000000002E-2</v>
      </c>
      <c r="Z2705">
        <v>8.8066809999999996E-4</v>
      </c>
      <c r="AA2705">
        <v>0.99865230000000005</v>
      </c>
      <c r="AB2705">
        <v>45</v>
      </c>
      <c r="AC2705">
        <v>-55.694200000000002</v>
      </c>
      <c r="AD2705">
        <v>-1.110129887789</v>
      </c>
      <c r="AE2705">
        <v>3.0498999999999801</v>
      </c>
      <c r="AF2705">
        <v>2.9083815678817801</v>
      </c>
      <c r="AG2705">
        <v>-1.110129887789</v>
      </c>
      <c r="AH2705">
        <v>55.679653441086799</v>
      </c>
      <c r="AI2705">
        <v>91.140645953701195</v>
      </c>
      <c r="AJ2705">
        <v>87.009918810601604</v>
      </c>
      <c r="AK2705">
        <v>55.766610790254198</v>
      </c>
      <c r="AL2705">
        <v>89.942199323085006</v>
      </c>
      <c r="AM2705">
        <v>94.426279699513202</v>
      </c>
      <c r="AN2705">
        <v>1.00000004863616</v>
      </c>
    </row>
    <row r="2706" spans="1:40" x14ac:dyDescent="0.25">
      <c r="A2706" t="str">
        <f>"20190305134950417"</f>
        <v>20190305134950417</v>
      </c>
      <c r="B2706" t="str">
        <f>"1551764990413014"</f>
        <v>1551764990413014</v>
      </c>
      <c r="C2706" t="s">
        <v>40</v>
      </c>
      <c r="D2706">
        <v>3.7383090000000001</v>
      </c>
      <c r="E2706">
        <v>0.54874239999999996</v>
      </c>
      <c r="F2706" t="s">
        <v>74</v>
      </c>
      <c r="G2706">
        <v>-453.81360000000001</v>
      </c>
      <c r="H2706" s="1">
        <v>3.2290470000000002E-7</v>
      </c>
      <c r="I2706">
        <v>288.49930000000001</v>
      </c>
      <c r="J2706">
        <v>-403.61200000000002</v>
      </c>
      <c r="K2706">
        <v>1.1101369999999999</v>
      </c>
      <c r="L2706">
        <v>285.75920000000002</v>
      </c>
      <c r="M2706">
        <v>-0.99989070000000002</v>
      </c>
      <c r="N2706">
        <v>-1.4614230000000001E-2</v>
      </c>
      <c r="O2706">
        <v>2.2850320000000002E-3</v>
      </c>
      <c r="P2706">
        <v>-0.99716320000000003</v>
      </c>
      <c r="Q2706">
        <v>-1.4688649999999999E-2</v>
      </c>
      <c r="R2706">
        <v>-7.3826420000000004E-2</v>
      </c>
      <c r="S2706">
        <v>-3.0200499999999999</v>
      </c>
      <c r="T2706">
        <v>-6.6485050000000004E-2</v>
      </c>
      <c r="U2706">
        <v>0.16412349999999901</v>
      </c>
      <c r="V2706">
        <v>-7.6104710000000006E-2</v>
      </c>
      <c r="W2706">
        <v>-2.0899659999999999E-4</v>
      </c>
      <c r="X2706">
        <v>0.99709979999999998</v>
      </c>
      <c r="Y2706">
        <v>5.1961670000000001E-2</v>
      </c>
      <c r="Z2706">
        <v>9.3464250000000002E-4</v>
      </c>
      <c r="AA2706">
        <v>0.9986486</v>
      </c>
      <c r="AB2706">
        <v>45</v>
      </c>
      <c r="AC2706">
        <v>-50.201599999999999</v>
      </c>
      <c r="AD2706">
        <v>-1.1101366770953001</v>
      </c>
      <c r="AE2706">
        <v>2.74009999999998</v>
      </c>
      <c r="AF2706">
        <v>2.62408894831397</v>
      </c>
      <c r="AG2706">
        <v>-1.1101366770953001</v>
      </c>
      <c r="AH2706">
        <v>50.183263567740099</v>
      </c>
      <c r="AI2706">
        <v>91.265542169944197</v>
      </c>
      <c r="AJ2706">
        <v>87.006722871982902</v>
      </c>
      <c r="AK2706">
        <v>50.264084479474697</v>
      </c>
      <c r="AL2706">
        <v>90.011974623309101</v>
      </c>
      <c r="AM2706">
        <v>94.364699090680105</v>
      </c>
      <c r="AN2706">
        <v>0.99999999086190094</v>
      </c>
    </row>
    <row r="2707" spans="1:40" x14ac:dyDescent="0.25">
      <c r="A2707" t="str">
        <f>"20190305134950430"</f>
        <v>20190305134950430</v>
      </c>
      <c r="B2707" t="str">
        <f>"1551764990422775"</f>
        <v>1551764990422775</v>
      </c>
      <c r="C2707" t="s">
        <v>40</v>
      </c>
      <c r="D2707">
        <v>3.748132</v>
      </c>
      <c r="E2707">
        <v>0.54877779999999998</v>
      </c>
      <c r="F2707" t="s">
        <v>74</v>
      </c>
      <c r="G2707">
        <v>-453.48930000000001</v>
      </c>
      <c r="H2707" s="1">
        <v>1.4976329999999999E-7</v>
      </c>
      <c r="I2707">
        <v>288.51119999999997</v>
      </c>
      <c r="J2707">
        <v>-403.87079999999997</v>
      </c>
      <c r="K2707">
        <v>1.110139</v>
      </c>
      <c r="L2707">
        <v>285.75959999999998</v>
      </c>
      <c r="M2707">
        <v>-0.99989119999999998</v>
      </c>
      <c r="N2707">
        <v>-1.461258E-2</v>
      </c>
      <c r="O2707">
        <v>2.015265E-3</v>
      </c>
      <c r="P2707">
        <v>-0.99720249999999999</v>
      </c>
      <c r="Q2707">
        <v>-1.53522E-2</v>
      </c>
      <c r="R2707">
        <v>-7.3155020000000001E-2</v>
      </c>
      <c r="S2707">
        <v>-3.0198969999999998</v>
      </c>
      <c r="T2707">
        <v>-6.7214969999999999E-2</v>
      </c>
      <c r="U2707">
        <v>0.166626</v>
      </c>
      <c r="V2707">
        <v>-7.5163250000000001E-2</v>
      </c>
      <c r="W2707">
        <v>-8.7343049999999997E-4</v>
      </c>
      <c r="X2707">
        <v>0.99717089999999997</v>
      </c>
      <c r="Y2707">
        <v>5.3058040000000001E-2</v>
      </c>
      <c r="Z2707">
        <v>9.6260919999999997E-4</v>
      </c>
      <c r="AA2707">
        <v>0.99859089999999995</v>
      </c>
      <c r="AB2707">
        <v>45</v>
      </c>
      <c r="AC2707">
        <v>-49.618499999999997</v>
      </c>
      <c r="AD2707">
        <v>-1.11013885023669</v>
      </c>
      <c r="AE2707">
        <v>2.7515999999999901</v>
      </c>
      <c r="AF2707">
        <v>2.6502667229989898</v>
      </c>
      <c r="AG2707">
        <v>-1.11013885023669</v>
      </c>
      <c r="AH2707">
        <v>49.599193122499202</v>
      </c>
      <c r="AI2707">
        <v>91.280365362431397</v>
      </c>
      <c r="AJ2707">
        <v>86.9413851783669</v>
      </c>
      <c r="AK2707">
        <v>49.682353812725196</v>
      </c>
      <c r="AL2707">
        <v>90.050043885688197</v>
      </c>
      <c r="AM2707">
        <v>94.310603789578707</v>
      </c>
      <c r="AN2707">
        <v>1.0000000404191001</v>
      </c>
    </row>
    <row r="2708" spans="1:40" x14ac:dyDescent="0.25">
      <c r="A2708" t="str">
        <f>"20190305134950443"</f>
        <v>20190305134950443</v>
      </c>
      <c r="B2708" t="str">
        <f>"1551764990433511"</f>
        <v>1551764990433511</v>
      </c>
      <c r="C2708" t="s">
        <v>40</v>
      </c>
      <c r="D2708">
        <v>3.7699500000000001</v>
      </c>
      <c r="E2708">
        <v>0.54867529999999998</v>
      </c>
      <c r="F2708" t="s">
        <v>74</v>
      </c>
      <c r="G2708">
        <v>-453.95280000000002</v>
      </c>
      <c r="H2708" s="1">
        <v>3.9424979999999999E-7</v>
      </c>
      <c r="I2708">
        <v>288.5616</v>
      </c>
      <c r="J2708">
        <v>-404.14760000000001</v>
      </c>
      <c r="K2708">
        <v>1.1101299999999901</v>
      </c>
      <c r="L2708">
        <v>285.76</v>
      </c>
      <c r="M2708">
        <v>-0.99989189999999994</v>
      </c>
      <c r="N2708">
        <v>-1.461083E-2</v>
      </c>
      <c r="O2708">
        <v>1.726319E-3</v>
      </c>
      <c r="P2708">
        <v>-0.99720929999999997</v>
      </c>
      <c r="Q2708">
        <v>-1.606513E-2</v>
      </c>
      <c r="R2708">
        <v>-7.2910299999999997E-2</v>
      </c>
      <c r="S2708">
        <v>-3.019714</v>
      </c>
      <c r="T2708">
        <v>-6.6936140000000005E-2</v>
      </c>
      <c r="U2708">
        <v>0.16894529999999999</v>
      </c>
      <c r="V2708">
        <v>-7.4630160000000001E-2</v>
      </c>
      <c r="W2708">
        <v>-1.5881929999999999E-3</v>
      </c>
      <c r="X2708">
        <v>0.99721000000000004</v>
      </c>
      <c r="Y2708">
        <v>5.4114240000000001E-2</v>
      </c>
      <c r="Z2708">
        <v>9.8192650000000011E-4</v>
      </c>
      <c r="AA2708">
        <v>0.99853429999999999</v>
      </c>
      <c r="AB2708">
        <v>45</v>
      </c>
      <c r="AC2708">
        <v>-49.805199999999999</v>
      </c>
      <c r="AD2708">
        <v>-1.1101296057501999</v>
      </c>
      <c r="AE2708">
        <v>2.8016000000000001</v>
      </c>
      <c r="AF2708">
        <v>2.7142627509377002</v>
      </c>
      <c r="AG2708">
        <v>-1.1101296057501999</v>
      </c>
      <c r="AH2708">
        <v>49.7853064834772</v>
      </c>
      <c r="AI2708">
        <v>91.275495407363294</v>
      </c>
      <c r="AJ2708">
        <v>86.879360551845707</v>
      </c>
      <c r="AK2708">
        <v>49.871598647691698</v>
      </c>
      <c r="AL2708">
        <v>90.090996795697194</v>
      </c>
      <c r="AM2708">
        <v>94.279977957337294</v>
      </c>
      <c r="AN2708">
        <v>0.99999998361931497</v>
      </c>
    </row>
    <row r="2709" spans="1:40" x14ac:dyDescent="0.25">
      <c r="A2709" t="str">
        <f>"20190305134950457"</f>
        <v>20190305134950457</v>
      </c>
      <c r="B2709" t="str">
        <f>"1551764990453031"</f>
        <v>1551764990453031</v>
      </c>
      <c r="C2709" t="s">
        <v>40</v>
      </c>
      <c r="D2709">
        <v>3.7355619999999998</v>
      </c>
      <c r="E2709">
        <v>0.54827590000000004</v>
      </c>
      <c r="F2709" t="s">
        <v>74</v>
      </c>
      <c r="G2709">
        <v>-453.36799999999999</v>
      </c>
      <c r="H2709" s="1">
        <v>8.5191739999999996E-8</v>
      </c>
      <c r="I2709">
        <v>288.51280000000003</v>
      </c>
      <c r="J2709">
        <v>-404.41480000000001</v>
      </c>
      <c r="K2709">
        <v>1.110133</v>
      </c>
      <c r="L2709">
        <v>285.76029999999997</v>
      </c>
      <c r="M2709">
        <v>-0.99989220000000001</v>
      </c>
      <c r="N2709">
        <v>-1.460916E-2</v>
      </c>
      <c r="O2709">
        <v>1.4474640000000001E-3</v>
      </c>
      <c r="P2709">
        <v>-0.99721090000000001</v>
      </c>
      <c r="Q2709">
        <v>-1.675314E-2</v>
      </c>
      <c r="R2709">
        <v>-7.2732690000000003E-2</v>
      </c>
      <c r="S2709">
        <v>-3.0196529999999999</v>
      </c>
      <c r="T2709">
        <v>-6.8106059999999996E-2</v>
      </c>
      <c r="U2709">
        <v>0.16888429999999999</v>
      </c>
      <c r="V2709">
        <v>-7.4173550000000005E-2</v>
      </c>
      <c r="W2709">
        <v>-2.2779499999999999E-3</v>
      </c>
      <c r="X2709">
        <v>0.99724270000000004</v>
      </c>
      <c r="Y2709">
        <v>5.4372990000000003E-2</v>
      </c>
      <c r="Z2709">
        <v>9.9871469999999996E-4</v>
      </c>
      <c r="AA2709">
        <v>0.99852019999999997</v>
      </c>
      <c r="AB2709">
        <v>45</v>
      </c>
      <c r="AC2709">
        <v>-48.953200000000002</v>
      </c>
      <c r="AD2709">
        <v>-1.1101329148082599</v>
      </c>
      <c r="AE2709">
        <v>2.7525000000000501</v>
      </c>
      <c r="AF2709">
        <v>2.6802575349055302</v>
      </c>
      <c r="AG2709">
        <v>-1.1101329148082599</v>
      </c>
      <c r="AH2709">
        <v>48.932048494920501</v>
      </c>
      <c r="AI2709">
        <v>91.297715249130903</v>
      </c>
      <c r="AJ2709">
        <v>86.864751384698494</v>
      </c>
      <c r="AK2709">
        <v>49.0179716578645</v>
      </c>
      <c r="AL2709">
        <v>90.130517039869503</v>
      </c>
      <c r="AM2709">
        <v>94.253749194278498</v>
      </c>
      <c r="AN2709">
        <v>0.99999995363954597</v>
      </c>
    </row>
    <row r="2710" spans="1:40" x14ac:dyDescent="0.25">
      <c r="A2710" t="str">
        <f>"20190305134950470"</f>
        <v>20190305134950470</v>
      </c>
      <c r="B2710" t="str">
        <f>"1551764990462791"</f>
        <v>1551764990462791</v>
      </c>
      <c r="C2710" t="s">
        <v>40</v>
      </c>
      <c r="D2710">
        <v>3.7646809999999999</v>
      </c>
      <c r="E2710">
        <v>0.54806949999999999</v>
      </c>
      <c r="F2710" t="s">
        <v>74</v>
      </c>
      <c r="G2710">
        <v>-452.23099999999999</v>
      </c>
      <c r="H2710" s="1">
        <v>-5.1454980000000003E-7</v>
      </c>
      <c r="I2710">
        <v>288.39080000000001</v>
      </c>
      <c r="J2710">
        <v>-404.6891</v>
      </c>
      <c r="K2710">
        <v>1.110134</v>
      </c>
      <c r="L2710">
        <v>285.7604</v>
      </c>
      <c r="M2710">
        <v>-0.99989280000000003</v>
      </c>
      <c r="N2710">
        <v>-1.4607459999999999E-2</v>
      </c>
      <c r="O2710">
        <v>1.16081E-3</v>
      </c>
      <c r="P2710">
        <v>-0.99719610000000003</v>
      </c>
      <c r="Q2710">
        <v>-1.7378080000000001E-2</v>
      </c>
      <c r="R2710">
        <v>-7.2788729999999996E-2</v>
      </c>
      <c r="S2710">
        <v>-3.0193180000000002</v>
      </c>
      <c r="T2710">
        <v>-7.0098519999999997E-2</v>
      </c>
      <c r="U2710">
        <v>0.16610720000000001</v>
      </c>
      <c r="V2710">
        <v>-7.3942339999999995E-2</v>
      </c>
      <c r="W2710">
        <v>-2.9051060000000002E-3</v>
      </c>
      <c r="X2710">
        <v>0.99725830000000004</v>
      </c>
      <c r="Y2710">
        <v>5.3749020000000002E-2</v>
      </c>
      <c r="Z2710">
        <v>1.006371E-3</v>
      </c>
      <c r="AA2710">
        <v>0.99855400000000005</v>
      </c>
      <c r="AB2710">
        <v>45</v>
      </c>
      <c r="AC2710">
        <v>-47.541899999999998</v>
      </c>
      <c r="AD2710">
        <v>-1.1101345145498001</v>
      </c>
      <c r="AE2710">
        <v>2.6303999999999998</v>
      </c>
      <c r="AF2710">
        <v>2.5738061420960898</v>
      </c>
      <c r="AG2710">
        <v>-1.1101345145498001</v>
      </c>
      <c r="AH2710">
        <v>47.5190908239178</v>
      </c>
      <c r="AI2710">
        <v>91.336334693299406</v>
      </c>
      <c r="AJ2710">
        <v>86.899682403573493</v>
      </c>
      <c r="AK2710">
        <v>47.601689774935899</v>
      </c>
      <c r="AL2710">
        <v>90.166450544788205</v>
      </c>
      <c r="AM2710">
        <v>94.240471975629902</v>
      </c>
      <c r="AN2710">
        <v>1.00000001310221</v>
      </c>
    </row>
    <row r="2711" spans="1:40" x14ac:dyDescent="0.25">
      <c r="A2711" t="str">
        <f>"20190305134950485"</f>
        <v>20190305134950485</v>
      </c>
      <c r="B2711" t="str">
        <f>"1551764990473526"</f>
        <v>1551764990473526</v>
      </c>
      <c r="C2711" t="s">
        <v>40</v>
      </c>
      <c r="D2711">
        <v>3.7281759999999999</v>
      </c>
      <c r="E2711">
        <v>0.54792089999999904</v>
      </c>
      <c r="F2711" t="s">
        <v>74</v>
      </c>
      <c r="G2711">
        <v>-451.15179999999998</v>
      </c>
      <c r="H2711" s="1">
        <v>-1.084488E-6</v>
      </c>
      <c r="I2711">
        <v>288.29079999999999</v>
      </c>
      <c r="J2711">
        <v>-404.97930000000002</v>
      </c>
      <c r="K2711">
        <v>1.1101350000000001</v>
      </c>
      <c r="L2711">
        <v>285.76060000000001</v>
      </c>
      <c r="M2711">
        <v>-0.99989300000000003</v>
      </c>
      <c r="N2711">
        <v>-1.460563E-2</v>
      </c>
      <c r="O2711">
        <v>8.5795390000000004E-4</v>
      </c>
      <c r="P2711">
        <v>-0.99714510000000001</v>
      </c>
      <c r="Q2711">
        <v>-1.8678719999999999E-2</v>
      </c>
      <c r="R2711">
        <v>-7.3165190000000005E-2</v>
      </c>
      <c r="S2711">
        <v>-3.019196</v>
      </c>
      <c r="T2711">
        <v>-7.213783E-2</v>
      </c>
      <c r="U2711">
        <v>0.16442870000000001</v>
      </c>
      <c r="V2711">
        <v>-7.4015239999999996E-2</v>
      </c>
      <c r="W2711">
        <v>-4.2088330000000004E-3</v>
      </c>
      <c r="X2711">
        <v>0.99724820000000003</v>
      </c>
      <c r="Y2711">
        <v>5.3499199999999997E-2</v>
      </c>
      <c r="Z2711">
        <v>1.0217010000000001E-3</v>
      </c>
      <c r="AA2711">
        <v>0.99856730000000005</v>
      </c>
      <c r="AB2711">
        <v>45</v>
      </c>
      <c r="AC2711">
        <v>-46.1724999999999</v>
      </c>
      <c r="AD2711">
        <v>-1.1101360844879999</v>
      </c>
      <c r="AE2711">
        <v>2.5301999999999798</v>
      </c>
      <c r="AF2711">
        <v>2.48914635743489</v>
      </c>
      <c r="AG2711">
        <v>-1.1101360844879999</v>
      </c>
      <c r="AH2711">
        <v>46.148056770396899</v>
      </c>
      <c r="AI2711">
        <v>91.376040088067697</v>
      </c>
      <c r="AJ2711">
        <v>86.912556579038693</v>
      </c>
      <c r="AK2711">
        <v>46.228469533379403</v>
      </c>
      <c r="AL2711">
        <v>90.241149086483901</v>
      </c>
      <c r="AM2711">
        <v>94.244680230852495</v>
      </c>
      <c r="AN2711">
        <v>0.999999971215359</v>
      </c>
    </row>
    <row r="2712" spans="1:40" x14ac:dyDescent="0.25">
      <c r="A2712" t="str">
        <f>"20190305134950501"</f>
        <v>20190305134950501</v>
      </c>
      <c r="B2712" t="str">
        <f>"1551764990493046"</f>
        <v>1551764990493046</v>
      </c>
      <c r="C2712" t="s">
        <v>40</v>
      </c>
      <c r="D2712">
        <v>3.7542849999999999</v>
      </c>
      <c r="E2712">
        <v>0.54759690000000005</v>
      </c>
      <c r="F2712" t="s">
        <v>74</v>
      </c>
      <c r="G2712">
        <v>-449.76429999999999</v>
      </c>
      <c r="H2712" s="1">
        <v>3.504243E-6</v>
      </c>
      <c r="I2712">
        <v>288.1626</v>
      </c>
      <c r="J2712">
        <v>-405.29349999999999</v>
      </c>
      <c r="K2712">
        <v>1.1101369999999999</v>
      </c>
      <c r="L2712">
        <v>285.76060000000001</v>
      </c>
      <c r="M2712">
        <v>-0.99989329999999998</v>
      </c>
      <c r="N2712">
        <v>-1.4603669999999999E-2</v>
      </c>
      <c r="O2712">
        <v>5.2995419999999998E-4</v>
      </c>
      <c r="P2712">
        <v>-0.99707000000000001</v>
      </c>
      <c r="Q2712">
        <v>-1.9655909999999999E-2</v>
      </c>
      <c r="R2712">
        <v>-7.3928489999999999E-2</v>
      </c>
      <c r="S2712">
        <v>-3.0190730000000001</v>
      </c>
      <c r="T2712">
        <v>-7.4836970000000003E-2</v>
      </c>
      <c r="U2712">
        <v>0.1619263</v>
      </c>
      <c r="V2712">
        <v>-7.4449989999999994E-2</v>
      </c>
      <c r="W2712">
        <v>-5.1900039999999998E-3</v>
      </c>
      <c r="X2712">
        <v>0.99721119999999996</v>
      </c>
      <c r="Y2712">
        <v>5.3002399999999998E-2</v>
      </c>
      <c r="Z2712">
        <v>1.038357E-3</v>
      </c>
      <c r="AA2712">
        <v>0.99859390000000003</v>
      </c>
      <c r="AB2712">
        <v>45</v>
      </c>
      <c r="AC2712">
        <v>-44.470799999999997</v>
      </c>
      <c r="AD2712">
        <v>-1.1101334957569999</v>
      </c>
      <c r="AE2712">
        <v>2.4019999999999802</v>
      </c>
      <c r="AF2712">
        <v>2.3769527473871301</v>
      </c>
      <c r="AG2712">
        <v>-1.1101334957569999</v>
      </c>
      <c r="AH2712">
        <v>44.444451339415501</v>
      </c>
      <c r="AI2712">
        <v>91.428795392872999</v>
      </c>
      <c r="AJ2712">
        <v>86.938656390093001</v>
      </c>
      <c r="AK2712">
        <v>44.521809886878799</v>
      </c>
      <c r="AL2712">
        <v>90.297366672555199</v>
      </c>
      <c r="AM2712">
        <v>94.269678494298205</v>
      </c>
      <c r="AN2712">
        <v>0.99999995727897895</v>
      </c>
    </row>
    <row r="2713" spans="1:40" x14ac:dyDescent="0.25">
      <c r="A2713" t="str">
        <f>"20190305134950520"</f>
        <v>20190305134950520</v>
      </c>
      <c r="B2713" t="str">
        <f>"1551764990513542"</f>
        <v>1551764990513542</v>
      </c>
      <c r="C2713" t="s">
        <v>40</v>
      </c>
      <c r="D2713">
        <v>3.7463160000000002</v>
      </c>
      <c r="E2713">
        <v>0.54737380000000002</v>
      </c>
      <c r="F2713" t="s">
        <v>74</v>
      </c>
      <c r="G2713">
        <v>-446.17649999999998</v>
      </c>
      <c r="H2713" s="1">
        <v>1.606952E-6</v>
      </c>
      <c r="I2713">
        <v>287.88940000000002</v>
      </c>
      <c r="J2713">
        <v>-405.66669999999999</v>
      </c>
      <c r="K2713">
        <v>1.110134</v>
      </c>
      <c r="L2713">
        <v>285.7604</v>
      </c>
      <c r="M2713">
        <v>-0.99989349999999999</v>
      </c>
      <c r="N2713">
        <v>-1.4601350000000001E-2</v>
      </c>
      <c r="O2713">
        <v>1.4003259999999999E-4</v>
      </c>
      <c r="P2713">
        <v>-0.99695279999999997</v>
      </c>
      <c r="Q2713">
        <v>-2.1385040000000001E-2</v>
      </c>
      <c r="R2713">
        <v>-7.5019790000000003E-2</v>
      </c>
      <c r="S2713">
        <v>-3.0188899999999999</v>
      </c>
      <c r="T2713">
        <v>-8.1974740000000004E-2</v>
      </c>
      <c r="U2713">
        <v>0.157196</v>
      </c>
      <c r="V2713">
        <v>-7.5150540000000002E-2</v>
      </c>
      <c r="W2713">
        <v>-6.9242919999999899E-3</v>
      </c>
      <c r="X2713">
        <v>0.99714820000000004</v>
      </c>
      <c r="Y2713">
        <v>5.1831189999999999E-2</v>
      </c>
      <c r="Z2713">
        <v>1.0801350000000001E-3</v>
      </c>
      <c r="AA2713">
        <v>0.99865530000000002</v>
      </c>
      <c r="AB2713">
        <v>45</v>
      </c>
      <c r="AC2713">
        <v>-40.509799999999899</v>
      </c>
      <c r="AD2713">
        <v>-1.110132393048</v>
      </c>
      <c r="AE2713">
        <v>2.1290000000000102</v>
      </c>
      <c r="AF2713">
        <v>2.1217376850698999</v>
      </c>
      <c r="AG2713">
        <v>-1.110132393048</v>
      </c>
      <c r="AH2713">
        <v>40.479781922354803</v>
      </c>
      <c r="AI2713">
        <v>91.568754368290797</v>
      </c>
      <c r="AJ2713">
        <v>86.999601651253002</v>
      </c>
      <c r="AK2713">
        <v>40.550547582193502</v>
      </c>
      <c r="AL2713">
        <v>90.396735861748596</v>
      </c>
      <c r="AM2713">
        <v>94.309975363590794</v>
      </c>
      <c r="AN2713">
        <v>1.00000004112261</v>
      </c>
    </row>
    <row r="2714" spans="1:40" x14ac:dyDescent="0.25">
      <c r="A2714" t="str">
        <f>"20190305134950539"</f>
        <v>20190305134950539</v>
      </c>
      <c r="B2714" t="str">
        <f>"1551764990533062"</f>
        <v>1551764990533062</v>
      </c>
      <c r="C2714" t="s">
        <v>40</v>
      </c>
      <c r="D2714">
        <v>3.7486480000000002</v>
      </c>
      <c r="E2714">
        <v>0.54714099999999999</v>
      </c>
      <c r="F2714" t="s">
        <v>74</v>
      </c>
      <c r="G2714">
        <v>-445.57530000000003</v>
      </c>
      <c r="H2714" s="1">
        <v>1.2922009999999999E-6</v>
      </c>
      <c r="I2714">
        <v>287.77159999999998</v>
      </c>
      <c r="J2714">
        <v>-406.08030000000002</v>
      </c>
      <c r="K2714">
        <v>1.110134</v>
      </c>
      <c r="L2714">
        <v>285.7602</v>
      </c>
      <c r="M2714">
        <v>-0.99989349999999999</v>
      </c>
      <c r="N2714">
        <v>-1.459878E-2</v>
      </c>
      <c r="O2714">
        <v>-2.9207579999999999E-4</v>
      </c>
      <c r="P2714">
        <v>-0.99678920000000004</v>
      </c>
      <c r="Q2714">
        <v>-2.2072720000000001E-2</v>
      </c>
      <c r="R2714">
        <v>-7.6970029999999995E-2</v>
      </c>
      <c r="S2714">
        <v>-3.0188290000000002</v>
      </c>
      <c r="T2714">
        <v>-8.3974359999999998E-2</v>
      </c>
      <c r="U2714">
        <v>0.15213009999999999</v>
      </c>
      <c r="V2714">
        <v>-7.6668749999999994E-2</v>
      </c>
      <c r="W2714">
        <v>-7.6190889999999999E-3</v>
      </c>
      <c r="X2714">
        <v>0.99702749999999996</v>
      </c>
      <c r="Y2714">
        <v>5.0591799999999999E-2</v>
      </c>
      <c r="Z2714">
        <v>1.076579E-3</v>
      </c>
      <c r="AA2714">
        <v>0.99871889999999997</v>
      </c>
      <c r="AB2714">
        <v>45</v>
      </c>
      <c r="AC2714">
        <v>-39.494999999999997</v>
      </c>
      <c r="AD2714">
        <v>-1.110132707799</v>
      </c>
      <c r="AE2714">
        <v>2.0113999999999801</v>
      </c>
      <c r="AF2714">
        <v>2.0213438043853</v>
      </c>
      <c r="AG2714">
        <v>-1.110132707799</v>
      </c>
      <c r="AH2714">
        <v>39.4633126504336</v>
      </c>
      <c r="AI2714">
        <v>91.609239994433494</v>
      </c>
      <c r="AJ2714">
        <v>87.067824830339106</v>
      </c>
      <c r="AK2714">
        <v>39.530637115411203</v>
      </c>
      <c r="AL2714">
        <v>90.436545870724501</v>
      </c>
      <c r="AM2714">
        <v>94.397238686188302</v>
      </c>
      <c r="AN2714">
        <v>0.99999999175000098</v>
      </c>
    </row>
    <row r="2715" spans="1:40" x14ac:dyDescent="0.25">
      <c r="A2715" t="str">
        <f>"20190305134950552"</f>
        <v>20190305134950552</v>
      </c>
      <c r="B2715" t="str">
        <f>"1551764990542822"</f>
        <v>1551764990542822</v>
      </c>
      <c r="C2715" t="s">
        <v>40</v>
      </c>
      <c r="D2715">
        <v>3.7505549999999999</v>
      </c>
      <c r="E2715">
        <v>0.54700649999999995</v>
      </c>
      <c r="F2715" t="s">
        <v>74</v>
      </c>
      <c r="G2715">
        <v>-446.30430000000001</v>
      </c>
      <c r="H2715" s="1">
        <v>1.683834E-6</v>
      </c>
      <c r="I2715">
        <v>287.68630000000002</v>
      </c>
      <c r="J2715">
        <v>-406.33229999999998</v>
      </c>
      <c r="K2715">
        <v>1.1101350000000001</v>
      </c>
      <c r="L2715">
        <v>285.75990000000002</v>
      </c>
      <c r="M2715">
        <v>-0.99989340000000004</v>
      </c>
      <c r="N2715">
        <v>-1.4597219999999999E-2</v>
      </c>
      <c r="O2715">
        <v>-5.5542199999999997E-4</v>
      </c>
      <c r="P2715">
        <v>-0.99673369999999994</v>
      </c>
      <c r="Q2715">
        <v>-2.1826330000000001E-2</v>
      </c>
      <c r="R2715">
        <v>-7.7756459999999999E-2</v>
      </c>
      <c r="S2715">
        <v>-3.0189509999999999</v>
      </c>
      <c r="T2715">
        <v>-8.3319309999999994E-2</v>
      </c>
      <c r="U2715">
        <v>0.14456179999999999</v>
      </c>
      <c r="V2715">
        <v>-7.7192800000000006E-2</v>
      </c>
      <c r="W2715">
        <v>-7.3758699999999996E-3</v>
      </c>
      <c r="X2715">
        <v>0.99698889999999996</v>
      </c>
      <c r="Y2715">
        <v>4.8356629999999998E-2</v>
      </c>
      <c r="Z2715">
        <v>1.027257E-3</v>
      </c>
      <c r="AA2715">
        <v>0.99882959999999998</v>
      </c>
      <c r="AB2715">
        <v>45</v>
      </c>
      <c r="AC2715">
        <v>-39.972000000000001</v>
      </c>
      <c r="AD2715">
        <v>-1.1101333161660001</v>
      </c>
      <c r="AE2715">
        <v>1.9263999999999999</v>
      </c>
      <c r="AF2715">
        <v>1.9471050200369</v>
      </c>
      <c r="AG2715">
        <v>-1.1101333161660001</v>
      </c>
      <c r="AH2715">
        <v>39.940188197575203</v>
      </c>
      <c r="AI2715">
        <v>91.590232637754696</v>
      </c>
      <c r="AJ2715">
        <v>87.209010480000003</v>
      </c>
      <c r="AK2715">
        <v>40.0030279753475</v>
      </c>
      <c r="AL2715">
        <v>90.422610053509899</v>
      </c>
      <c r="AM2715">
        <v>94.427346544041001</v>
      </c>
      <c r="AN2715">
        <v>0.99999999927665295</v>
      </c>
    </row>
    <row r="2716" spans="1:40" x14ac:dyDescent="0.25">
      <c r="A2716" t="str">
        <f>"20190305134950565"</f>
        <v>20190305134950565</v>
      </c>
      <c r="B2716" t="str">
        <f>"1551764990553559"</f>
        <v>1551764990553559</v>
      </c>
      <c r="C2716" t="s">
        <v>40</v>
      </c>
      <c r="D2716">
        <v>3.7335310000000002</v>
      </c>
      <c r="E2716">
        <v>0.54702729999999999</v>
      </c>
      <c r="F2716" t="s">
        <v>74</v>
      </c>
      <c r="G2716">
        <v>-447.44709999999998</v>
      </c>
      <c r="H2716" s="1">
        <v>2.2923320000000001E-6</v>
      </c>
      <c r="I2716">
        <v>287.67869999999999</v>
      </c>
      <c r="J2716">
        <v>-406.57319999999999</v>
      </c>
      <c r="K2716">
        <v>1.110136</v>
      </c>
      <c r="L2716">
        <v>285.75959999999998</v>
      </c>
      <c r="M2716">
        <v>-0.99989320000000004</v>
      </c>
      <c r="N2716">
        <v>-1.4595729999999999E-2</v>
      </c>
      <c r="O2716">
        <v>-8.0755240000000004E-4</v>
      </c>
      <c r="P2716">
        <v>-0.99665570000000003</v>
      </c>
      <c r="Q2716">
        <v>-2.1780770000000001E-2</v>
      </c>
      <c r="R2716">
        <v>-7.875907E-2</v>
      </c>
      <c r="S2716">
        <v>-3.0190730000000001</v>
      </c>
      <c r="T2716">
        <v>-8.151746E-2</v>
      </c>
      <c r="U2716">
        <v>0.14089969999999999</v>
      </c>
      <c r="V2716">
        <v>-7.7944390000000002E-2</v>
      </c>
      <c r="W2716">
        <v>-7.3338989999999996E-3</v>
      </c>
      <c r="X2716">
        <v>0.99693069999999895</v>
      </c>
      <c r="Y2716">
        <v>4.7399200000000002E-2</v>
      </c>
      <c r="Z2716">
        <v>9.9566949999999998E-4</v>
      </c>
      <c r="AA2716">
        <v>0.99887559999999997</v>
      </c>
      <c r="AB2716">
        <v>45</v>
      </c>
      <c r="AC2716">
        <v>-40.8738999999999</v>
      </c>
      <c r="AD2716">
        <v>-1.110133707668</v>
      </c>
      <c r="AE2716">
        <v>1.91910000000001</v>
      </c>
      <c r="AF2716">
        <v>1.9506749279917199</v>
      </c>
      <c r="AG2716">
        <v>-1.110133707668</v>
      </c>
      <c r="AH2716">
        <v>40.842275135742199</v>
      </c>
      <c r="AI2716">
        <v>91.555201057101897</v>
      </c>
      <c r="AJ2716">
        <v>87.265564356673195</v>
      </c>
      <c r="AK2716">
        <v>40.903899175839797</v>
      </c>
      <c r="AL2716">
        <v>90.420205240736493</v>
      </c>
      <c r="AM2716">
        <v>94.470539562432407</v>
      </c>
      <c r="AN2716">
        <v>0.99999996730475105</v>
      </c>
    </row>
    <row r="2717" spans="1:40" x14ac:dyDescent="0.25">
      <c r="A2717" t="str">
        <f>"20190305134950576"</f>
        <v>20190305134950576</v>
      </c>
      <c r="B2717" t="str">
        <f>"1551764990573077"</f>
        <v>1551764990573077</v>
      </c>
      <c r="C2717" t="s">
        <v>40</v>
      </c>
      <c r="D2717">
        <v>3.7548590000000002</v>
      </c>
      <c r="E2717">
        <v>0.54718739999999999</v>
      </c>
      <c r="F2717" t="s">
        <v>74</v>
      </c>
      <c r="G2717">
        <v>-447.911</v>
      </c>
      <c r="H2717" s="1">
        <v>2.5405449999999998E-6</v>
      </c>
      <c r="I2717">
        <v>287.64780000000002</v>
      </c>
      <c r="J2717">
        <v>-406.8116</v>
      </c>
      <c r="K2717">
        <v>1.110139</v>
      </c>
      <c r="L2717">
        <v>285.75920000000002</v>
      </c>
      <c r="M2717">
        <v>-0.99989300000000003</v>
      </c>
      <c r="N2717">
        <v>-1.459426E-2</v>
      </c>
      <c r="O2717">
        <v>-1.0576489999999999E-3</v>
      </c>
      <c r="P2717">
        <v>-0.99661089999999997</v>
      </c>
      <c r="Q2717">
        <v>-2.1667550000000001E-2</v>
      </c>
      <c r="R2717">
        <v>-7.9356670000000004E-2</v>
      </c>
      <c r="S2717">
        <v>-3.0191650000000001</v>
      </c>
      <c r="T2717">
        <v>-8.1080079999999999E-2</v>
      </c>
      <c r="U2717">
        <v>0.1379089</v>
      </c>
      <c r="V2717">
        <v>-7.8292909999999993E-2</v>
      </c>
      <c r="W2717">
        <v>-7.2231819999999999E-3</v>
      </c>
      <c r="X2717">
        <v>0.99690429999999997</v>
      </c>
      <c r="Y2717">
        <v>4.6660889999999997E-2</v>
      </c>
      <c r="Z2717">
        <v>9.798401999999999E-4</v>
      </c>
      <c r="AA2717">
        <v>0.99891030000000003</v>
      </c>
      <c r="AB2717">
        <v>45</v>
      </c>
      <c r="AC2717">
        <v>-41.099400000000003</v>
      </c>
      <c r="AD2717">
        <v>-1.1101364594550001</v>
      </c>
      <c r="AE2717">
        <v>1.8885999999999901</v>
      </c>
      <c r="AF2717">
        <v>1.93066667373613</v>
      </c>
      <c r="AG2717">
        <v>-1.1101364594550001</v>
      </c>
      <c r="AH2717">
        <v>41.067479832194799</v>
      </c>
      <c r="AI2717">
        <v>91.546735430535406</v>
      </c>
      <c r="AJ2717">
        <v>87.308389360331304</v>
      </c>
      <c r="AK2717">
        <v>41.127822414168897</v>
      </c>
      <c r="AL2717">
        <v>90.413861413686007</v>
      </c>
      <c r="AM2717">
        <v>94.490565957542202</v>
      </c>
      <c r="AN2717">
        <v>1.0000000687364701</v>
      </c>
    </row>
    <row r="2718" spans="1:40" x14ac:dyDescent="0.25">
      <c r="A2718" t="str">
        <f>"20190305134950588"</f>
        <v>20190305134950588</v>
      </c>
      <c r="B2718" t="str">
        <f>"1551764990582839"</f>
        <v>1551764990582839</v>
      </c>
      <c r="C2718" t="s">
        <v>40</v>
      </c>
      <c r="D2718">
        <v>3.7600820000000001</v>
      </c>
      <c r="E2718">
        <v>0.54738710000000002</v>
      </c>
      <c r="F2718" t="s">
        <v>74</v>
      </c>
      <c r="G2718">
        <v>-450.02089999999998</v>
      </c>
      <c r="H2718" s="1">
        <v>-1.6615619999999999E-6</v>
      </c>
      <c r="I2718">
        <v>287.7253</v>
      </c>
      <c r="J2718">
        <v>-407.05689999999998</v>
      </c>
      <c r="K2718">
        <v>1.1101379999999901</v>
      </c>
      <c r="L2718">
        <v>285.75880000000001</v>
      </c>
      <c r="M2718">
        <v>-0.99989280000000003</v>
      </c>
      <c r="N2718">
        <v>-1.459275E-2</v>
      </c>
      <c r="O2718">
        <v>-1.3152509999999999E-3</v>
      </c>
      <c r="P2718">
        <v>-0.99655110000000002</v>
      </c>
      <c r="Q2718">
        <v>-2.2062760000000001E-2</v>
      </c>
      <c r="R2718">
        <v>-7.9996590000000006E-2</v>
      </c>
      <c r="S2718">
        <v>-3.019409</v>
      </c>
      <c r="T2718">
        <v>-7.7575089999999999E-2</v>
      </c>
      <c r="U2718">
        <v>0.13739009999999999</v>
      </c>
      <c r="V2718">
        <v>-7.8675819999999994E-2</v>
      </c>
      <c r="W2718">
        <v>-7.6210919999999899E-3</v>
      </c>
      <c r="X2718">
        <v>0.99687110000000001</v>
      </c>
      <c r="Y2718">
        <v>4.6745050000000003E-2</v>
      </c>
      <c r="Z2718">
        <v>9.5601889999999998E-4</v>
      </c>
      <c r="AA2718">
        <v>0.99890639999999997</v>
      </c>
      <c r="AB2718">
        <v>45</v>
      </c>
      <c r="AC2718">
        <v>-42.963999999999999</v>
      </c>
      <c r="AD2718">
        <v>-1.1101396615619901</v>
      </c>
      <c r="AE2718">
        <v>1.9664999999999899</v>
      </c>
      <c r="AF2718">
        <v>2.0216658181832501</v>
      </c>
      <c r="AG2718">
        <v>-1.1101396615619901</v>
      </c>
      <c r="AH2718">
        <v>42.932772173770303</v>
      </c>
      <c r="AI2718">
        <v>91.4795641627435</v>
      </c>
      <c r="AJ2718">
        <v>87.303984544069706</v>
      </c>
      <c r="AK2718">
        <v>42.994679546118803</v>
      </c>
      <c r="AL2718">
        <v>90.436660643571102</v>
      </c>
      <c r="AM2718">
        <v>94.512587311352902</v>
      </c>
      <c r="AN2718">
        <v>0.99999997785557704</v>
      </c>
    </row>
    <row r="2719" spans="1:40" x14ac:dyDescent="0.25">
      <c r="A2719" t="str">
        <f>"20190305134950600"</f>
        <v>20190305134950600</v>
      </c>
      <c r="B2719" t="str">
        <f>"1551764990592598"</f>
        <v>1551764990592598</v>
      </c>
      <c r="C2719" t="s">
        <v>40</v>
      </c>
      <c r="D2719">
        <v>3.730016</v>
      </c>
      <c r="E2719">
        <v>0.54754230000000004</v>
      </c>
      <c r="F2719" t="s">
        <v>74</v>
      </c>
      <c r="G2719">
        <v>-451.49939999999998</v>
      </c>
      <c r="H2719" s="1">
        <v>-8.7691159999999996E-7</v>
      </c>
      <c r="I2719">
        <v>287.774</v>
      </c>
      <c r="J2719">
        <v>-407.28120000000001</v>
      </c>
      <c r="K2719">
        <v>1.110136</v>
      </c>
      <c r="L2719">
        <v>285.75830000000002</v>
      </c>
      <c r="M2719">
        <v>-0.99989249999999996</v>
      </c>
      <c r="N2719">
        <v>-1.4591349999999999E-2</v>
      </c>
      <c r="O2719">
        <v>-1.550559E-3</v>
      </c>
      <c r="P2719">
        <v>-0.99649520000000003</v>
      </c>
      <c r="Q2719">
        <v>-2.275452E-2</v>
      </c>
      <c r="R2719">
        <v>-8.0498219999999995E-2</v>
      </c>
      <c r="S2719">
        <v>-3.0197750000000001</v>
      </c>
      <c r="T2719">
        <v>-7.5431700000000004E-2</v>
      </c>
      <c r="U2719">
        <v>0.13693239999999901</v>
      </c>
      <c r="V2719">
        <v>-7.8941559999999994E-2</v>
      </c>
      <c r="W2719">
        <v>-8.3151909999999996E-3</v>
      </c>
      <c r="X2719">
        <v>0.99684459999999997</v>
      </c>
      <c r="Y2719">
        <v>4.6824560000000001E-2</v>
      </c>
      <c r="Z2719">
        <v>9.4241789999999995E-4</v>
      </c>
      <c r="AA2719">
        <v>0.99890270000000003</v>
      </c>
      <c r="AB2719">
        <v>45</v>
      </c>
      <c r="AC2719">
        <v>-44.218199999999896</v>
      </c>
      <c r="AD2719">
        <v>-1.1101368769116</v>
      </c>
      <c r="AE2719">
        <v>2.0156999999999798</v>
      </c>
      <c r="AF2719">
        <v>2.0829576166169601</v>
      </c>
      <c r="AG2719">
        <v>-1.1101368769116</v>
      </c>
      <c r="AH2719">
        <v>44.187227352675997</v>
      </c>
      <c r="AI2719">
        <v>91.437570897183605</v>
      </c>
      <c r="AJ2719">
        <v>87.301111525109206</v>
      </c>
      <c r="AK2719">
        <v>44.250222343341697</v>
      </c>
      <c r="AL2719">
        <v>90.476430824114303</v>
      </c>
      <c r="AM2719">
        <v>94.527885881518401</v>
      </c>
      <c r="AN2719">
        <v>1.0000000344228701</v>
      </c>
    </row>
    <row r="2720" spans="1:40" x14ac:dyDescent="0.25">
      <c r="A2720" t="str">
        <f>"20190305134950618"</f>
        <v>20190305134950618</v>
      </c>
      <c r="B2720" t="str">
        <f>"1551764990613094"</f>
        <v>1551764990613094</v>
      </c>
      <c r="C2720" t="s">
        <v>40</v>
      </c>
      <c r="D2720">
        <v>3.7722310000000001</v>
      </c>
      <c r="E2720">
        <v>0.54762339999999998</v>
      </c>
      <c r="F2720" t="s">
        <v>74</v>
      </c>
      <c r="G2720">
        <v>-452.42849999999999</v>
      </c>
      <c r="H2720" s="1">
        <v>-3.8360820000000001E-7</v>
      </c>
      <c r="I2720">
        <v>287.8</v>
      </c>
      <c r="J2720">
        <v>-407.65300000000002</v>
      </c>
      <c r="K2720">
        <v>1.1101289999999999</v>
      </c>
      <c r="L2720">
        <v>285.75740000000002</v>
      </c>
      <c r="M2720">
        <v>-0.9998918</v>
      </c>
      <c r="N2720">
        <v>-1.4589029999999999E-2</v>
      </c>
      <c r="O2720">
        <v>-1.941066E-3</v>
      </c>
      <c r="P2720">
        <v>-0.99642310000000001</v>
      </c>
      <c r="Q2720">
        <v>-2.4811329999999999E-2</v>
      </c>
      <c r="R2720">
        <v>-8.0783209999999994E-2</v>
      </c>
      <c r="S2720">
        <v>-3.0198969999999998</v>
      </c>
      <c r="T2720">
        <v>-7.4256779999999994E-2</v>
      </c>
      <c r="U2720">
        <v>0.1365662</v>
      </c>
      <c r="V2720">
        <v>-7.8835000000000002E-2</v>
      </c>
      <c r="W2720">
        <v>-1.037472E-2</v>
      </c>
      <c r="X2720">
        <v>0.99683370000000004</v>
      </c>
      <c r="Y2720">
        <v>4.7092410000000001E-2</v>
      </c>
      <c r="Z2720">
        <v>9.4178600000000001E-4</v>
      </c>
      <c r="AA2720">
        <v>0.9988901</v>
      </c>
      <c r="AB2720">
        <v>45</v>
      </c>
      <c r="AC2720">
        <v>-44.775499999999901</v>
      </c>
      <c r="AD2720">
        <v>-1.1101293836082</v>
      </c>
      <c r="AE2720">
        <v>2.04259999999999</v>
      </c>
      <c r="AF2720">
        <v>2.1282120885532798</v>
      </c>
      <c r="AG2720">
        <v>-1.1101293836082</v>
      </c>
      <c r="AH2720">
        <v>44.744003172578097</v>
      </c>
      <c r="AI2720">
        <v>91.419651666572406</v>
      </c>
      <c r="AJ2720">
        <v>87.276825242801806</v>
      </c>
      <c r="AK2720">
        <v>44.8083417886658</v>
      </c>
      <c r="AL2720">
        <v>90.594438328464904</v>
      </c>
      <c r="AM2720">
        <v>94.521848475862399</v>
      </c>
      <c r="AN2720">
        <v>1.00000000874788</v>
      </c>
    </row>
    <row r="2721" spans="1:40" x14ac:dyDescent="0.25">
      <c r="A2721" t="str">
        <f>"20190305134950630"</f>
        <v>20190305134950630</v>
      </c>
      <c r="B2721" t="str">
        <f>"1551764990622854"</f>
        <v>1551764990622854</v>
      </c>
      <c r="C2721" t="s">
        <v>40</v>
      </c>
      <c r="D2721">
        <v>3.6448619999999998</v>
      </c>
      <c r="E2721">
        <v>0.54751729999999998</v>
      </c>
      <c r="F2721" t="s">
        <v>74</v>
      </c>
      <c r="G2721">
        <v>-450.57409999999999</v>
      </c>
      <c r="H2721" s="1">
        <v>-1.36589499999999E-6</v>
      </c>
      <c r="I2721">
        <v>287.69630000000001</v>
      </c>
      <c r="J2721">
        <v>-407.892</v>
      </c>
      <c r="K2721">
        <v>1.1101259999999999</v>
      </c>
      <c r="L2721">
        <v>285.7568</v>
      </c>
      <c r="M2721">
        <v>-0.99989130000000004</v>
      </c>
      <c r="N2721">
        <v>-1.458754E-2</v>
      </c>
      <c r="O2721">
        <v>-2.191985E-3</v>
      </c>
      <c r="P2721">
        <v>-0.9964073</v>
      </c>
      <c r="Q2721">
        <v>-2.586041E-2</v>
      </c>
      <c r="R2721">
        <v>-8.0646830000000003E-2</v>
      </c>
      <c r="S2721">
        <v>-3.0198670000000001</v>
      </c>
      <c r="T2721">
        <v>-7.8107120000000002E-2</v>
      </c>
      <c r="U2721">
        <v>0.1364136</v>
      </c>
      <c r="V2721">
        <v>-7.844719E-2</v>
      </c>
      <c r="W2721">
        <v>-1.1424689999999999E-2</v>
      </c>
      <c r="X2721">
        <v>0.99685279999999998</v>
      </c>
      <c r="Y2721">
        <v>4.7291069999999998E-2</v>
      </c>
      <c r="Z2721">
        <v>9.8107719999999997E-4</v>
      </c>
      <c r="AA2721">
        <v>0.99888069999999896</v>
      </c>
      <c r="AB2721">
        <v>45</v>
      </c>
      <c r="AC2721">
        <v>-42.682099999999899</v>
      </c>
      <c r="AD2721">
        <v>-1.1101273658949999</v>
      </c>
      <c r="AE2721">
        <v>1.9395</v>
      </c>
      <c r="AF2721">
        <v>2.0316922443548799</v>
      </c>
      <c r="AG2721">
        <v>-1.1101273658949999</v>
      </c>
      <c r="AH2721">
        <v>42.648953977683703</v>
      </c>
      <c r="AI2721">
        <v>91.4893508003817</v>
      </c>
      <c r="AJ2721">
        <v>87.272630537395003</v>
      </c>
      <c r="AK2721">
        <v>42.711748167627903</v>
      </c>
      <c r="AL2721">
        <v>90.654600763170706</v>
      </c>
      <c r="AM2721">
        <v>94.4996100327579</v>
      </c>
      <c r="AN2721">
        <v>0.99999999501416603</v>
      </c>
    </row>
    <row r="2722" spans="1:40" x14ac:dyDescent="0.25">
      <c r="A2722" t="str">
        <f>"20190305134950642"</f>
        <v>20190305134950642</v>
      </c>
      <c r="B2722" t="str">
        <f>"1551764990633591"</f>
        <v>1551764990633591</v>
      </c>
      <c r="C2722" t="s">
        <v>40</v>
      </c>
      <c r="D2722">
        <v>3.7395070000000001</v>
      </c>
      <c r="E2722">
        <v>0.54759190000000002</v>
      </c>
      <c r="F2722" t="s">
        <v>74</v>
      </c>
      <c r="G2722">
        <v>-447.53660000000002</v>
      </c>
      <c r="H2722" s="1">
        <v>2.3459470000000001E-6</v>
      </c>
      <c r="I2722">
        <v>287.54140000000001</v>
      </c>
      <c r="J2722">
        <v>-408.1284</v>
      </c>
      <c r="K2722">
        <v>1.11012</v>
      </c>
      <c r="L2722">
        <v>285.7561</v>
      </c>
      <c r="M2722">
        <v>-0.99989079999999997</v>
      </c>
      <c r="N2722">
        <v>-1.458606E-2</v>
      </c>
      <c r="O2722">
        <v>-2.440518E-3</v>
      </c>
      <c r="P2722">
        <v>-0.99638640000000001</v>
      </c>
      <c r="Q2722">
        <v>-2.6595150000000001E-2</v>
      </c>
      <c r="R2722">
        <v>-8.0666849999999998E-2</v>
      </c>
      <c r="S2722">
        <v>-3.0196230000000002</v>
      </c>
      <c r="T2722">
        <v>-8.4555149999999996E-2</v>
      </c>
      <c r="U2722">
        <v>0.1359253</v>
      </c>
      <c r="V2722">
        <v>-7.8218330000000003E-2</v>
      </c>
      <c r="W2722">
        <v>-1.2160590000000001E-2</v>
      </c>
      <c r="X2722">
        <v>0.99686209999999997</v>
      </c>
      <c r="Y2722">
        <v>4.7378209999999997E-2</v>
      </c>
      <c r="Z2722">
        <v>1.041415E-3</v>
      </c>
      <c r="AA2722">
        <v>0.99887649999999994</v>
      </c>
      <c r="AB2722">
        <v>45</v>
      </c>
      <c r="AC2722">
        <v>-39.408200000000001</v>
      </c>
      <c r="AD2722">
        <v>-1.110117654053</v>
      </c>
      <c r="AE2722">
        <v>1.7853000000000001</v>
      </c>
      <c r="AF2722">
        <v>1.87999254062051</v>
      </c>
      <c r="AG2722">
        <v>-1.110117654053</v>
      </c>
      <c r="AH2722">
        <v>39.372545683829202</v>
      </c>
      <c r="AI2722">
        <v>91.613202336211998</v>
      </c>
      <c r="AJ2722">
        <v>87.266270545909407</v>
      </c>
      <c r="AK2722">
        <v>39.433032939197602</v>
      </c>
      <c r="AL2722">
        <v>90.696767645426704</v>
      </c>
      <c r="AM2722">
        <v>94.486494962740807</v>
      </c>
      <c r="AN2722">
        <v>1.00000001675677</v>
      </c>
    </row>
    <row r="2723" spans="1:40" x14ac:dyDescent="0.25">
      <c r="A2723" t="str">
        <f>"20190305134950662"</f>
        <v>20190305134950662</v>
      </c>
      <c r="B2723" t="str">
        <f>"1551764990653111"</f>
        <v>1551764990653111</v>
      </c>
      <c r="C2723" t="s">
        <v>40</v>
      </c>
      <c r="D2723">
        <v>3.740351</v>
      </c>
      <c r="E2723">
        <v>0.54763869999999903</v>
      </c>
      <c r="F2723" t="s">
        <v>74</v>
      </c>
      <c r="G2723">
        <v>-447.245</v>
      </c>
      <c r="H2723" s="1">
        <v>2.1914919999999999E-6</v>
      </c>
      <c r="I2723">
        <v>287.5256</v>
      </c>
      <c r="J2723">
        <v>-408.5367</v>
      </c>
      <c r="K2723">
        <v>1.110117</v>
      </c>
      <c r="L2723">
        <v>285.75470000000001</v>
      </c>
      <c r="M2723">
        <v>-0.99988969999999999</v>
      </c>
      <c r="N2723">
        <v>-1.4583540000000001E-2</v>
      </c>
      <c r="O2723">
        <v>-2.8697549999999999E-3</v>
      </c>
      <c r="P2723">
        <v>-0.99640010000000001</v>
      </c>
      <c r="Q2723">
        <v>-2.7448360000000002E-2</v>
      </c>
      <c r="R2723">
        <v>-8.0211329999999997E-2</v>
      </c>
      <c r="S2723">
        <v>-3.0196230000000002</v>
      </c>
      <c r="T2723">
        <v>-8.5695859999999999E-2</v>
      </c>
      <c r="U2723">
        <v>0.13659669999999999</v>
      </c>
      <c r="V2723">
        <v>-7.7333819999999998E-2</v>
      </c>
      <c r="W2723">
        <v>-1.301446E-2</v>
      </c>
      <c r="X2723">
        <v>0.99692029999999998</v>
      </c>
      <c r="Y2723">
        <v>4.8027559999999997E-2</v>
      </c>
      <c r="Z2723">
        <v>1.071086E-3</v>
      </c>
      <c r="AA2723">
        <v>0.99884550000000005</v>
      </c>
      <c r="AB2723">
        <v>45</v>
      </c>
      <c r="AC2723">
        <v>-38.708300000000001</v>
      </c>
      <c r="AD2723">
        <v>-1.1101148085079999</v>
      </c>
      <c r="AE2723">
        <v>1.7708999999999799</v>
      </c>
      <c r="AF2723">
        <v>1.8804444345449001</v>
      </c>
      <c r="AG2723">
        <v>-1.1101148085079999</v>
      </c>
      <c r="AH2723">
        <v>38.671317869467501</v>
      </c>
      <c r="AI2723">
        <v>91.642365229601197</v>
      </c>
      <c r="AJ2723">
        <v>87.216109072637906</v>
      </c>
      <c r="AK2723">
        <v>38.732922067936897</v>
      </c>
      <c r="AL2723">
        <v>90.745694689431303</v>
      </c>
      <c r="AM2723">
        <v>94.435706406708903</v>
      </c>
      <c r="AN2723">
        <v>0.99999999021848696</v>
      </c>
    </row>
    <row r="2724" spans="1:40" x14ac:dyDescent="0.25">
      <c r="A2724" t="str">
        <f>"20190305134950675"</f>
        <v>20190305134950675</v>
      </c>
      <c r="B2724" t="str">
        <f>"1551764990662870"</f>
        <v>1551764990662870</v>
      </c>
      <c r="C2724" t="s">
        <v>40</v>
      </c>
      <c r="D2724">
        <v>3.8034219999999999</v>
      </c>
      <c r="E2724">
        <v>0.547566199999999</v>
      </c>
      <c r="F2724" t="s">
        <v>74</v>
      </c>
      <c r="G2724">
        <v>-447.3691</v>
      </c>
      <c r="H2724" s="1">
        <v>2.2572140000000001E-6</v>
      </c>
      <c r="I2724">
        <v>287.53219999999999</v>
      </c>
      <c r="J2724">
        <v>-408.77890000000002</v>
      </c>
      <c r="K2724">
        <v>1.11012</v>
      </c>
      <c r="L2724">
        <v>285.75380000000001</v>
      </c>
      <c r="M2724">
        <v>-0.99988880000000002</v>
      </c>
      <c r="N2724">
        <v>-1.4582009999999999E-2</v>
      </c>
      <c r="O2724">
        <v>-3.1241250000000002E-3</v>
      </c>
      <c r="P2724">
        <v>-0.99638660000000001</v>
      </c>
      <c r="Q2724">
        <v>-2.773173E-2</v>
      </c>
      <c r="R2724">
        <v>-8.0280069999999995E-2</v>
      </c>
      <c r="S2724">
        <v>-3.0195620000000001</v>
      </c>
      <c r="T2724">
        <v>-8.6321350000000005E-2</v>
      </c>
      <c r="U2724">
        <v>0.13821410000000001</v>
      </c>
      <c r="V2724">
        <v>-7.7148620000000001E-2</v>
      </c>
      <c r="W2724">
        <v>-1.3299E-2</v>
      </c>
      <c r="X2724">
        <v>0.99693089999999995</v>
      </c>
      <c r="Y2724">
        <v>4.8815619999999997E-2</v>
      </c>
      <c r="Z2724">
        <v>1.097195E-3</v>
      </c>
      <c r="AA2724">
        <v>0.99880720000000001</v>
      </c>
      <c r="AB2724">
        <v>45</v>
      </c>
      <c r="AC2724">
        <v>-38.590199999999903</v>
      </c>
      <c r="AD2724">
        <v>-1.1101177427860001</v>
      </c>
      <c r="AE2724">
        <v>1.77839999999997</v>
      </c>
      <c r="AF2724">
        <v>1.89739792010914</v>
      </c>
      <c r="AG2724">
        <v>-1.1101177427860001</v>
      </c>
      <c r="AH2724">
        <v>38.552619243514798</v>
      </c>
      <c r="AI2724">
        <v>91.6473760669016</v>
      </c>
      <c r="AJ2724">
        <v>87.182415935559405</v>
      </c>
      <c r="AK2724">
        <v>38.6152422082979</v>
      </c>
      <c r="AL2724">
        <v>90.761999037410803</v>
      </c>
      <c r="AM2724">
        <v>94.425079100030501</v>
      </c>
      <c r="AN2724">
        <v>0.99999999617185698</v>
      </c>
    </row>
    <row r="2725" spans="1:40" x14ac:dyDescent="0.25">
      <c r="A2725" t="str">
        <f>"20190305134950689"</f>
        <v>20190305134950689</v>
      </c>
      <c r="B2725" t="str">
        <f>"1551764990683367"</f>
        <v>1551764990683367</v>
      </c>
      <c r="C2725" t="s">
        <v>40</v>
      </c>
      <c r="D2725">
        <v>3.8032439999999998</v>
      </c>
      <c r="E2725">
        <v>0.52459180000000005</v>
      </c>
      <c r="F2725" t="s">
        <v>74</v>
      </c>
      <c r="G2725">
        <v>-447.72559999999999</v>
      </c>
      <c r="H2725" s="1">
        <v>2.4471499999999999E-6</v>
      </c>
      <c r="I2725">
        <v>287.52670000000001</v>
      </c>
      <c r="J2725">
        <v>-409.05509999999998</v>
      </c>
      <c r="K2725">
        <v>1.1101219999999901</v>
      </c>
      <c r="L2725">
        <v>285.75279999999998</v>
      </c>
      <c r="M2725">
        <v>-0.999888</v>
      </c>
      <c r="N2725">
        <v>-1.4580249999999999E-2</v>
      </c>
      <c r="O2725">
        <v>-3.4143699999999999E-3</v>
      </c>
      <c r="P2725">
        <v>-0.99638369999999998</v>
      </c>
      <c r="Q2725">
        <v>-2.7426510000000001E-2</v>
      </c>
      <c r="R2725">
        <v>-8.0420920000000007E-2</v>
      </c>
      <c r="S2725">
        <v>-3.0195919999999998</v>
      </c>
      <c r="T2725">
        <v>-8.6069110000000004E-2</v>
      </c>
      <c r="U2725">
        <v>0.1374512</v>
      </c>
      <c r="V2725">
        <v>-7.7000600000000002E-2</v>
      </c>
      <c r="W2725">
        <v>-1.2995080000000001E-2</v>
      </c>
      <c r="X2725">
        <v>0.99694629999999995</v>
      </c>
      <c r="Y2725">
        <v>4.8853340000000002E-2</v>
      </c>
      <c r="Z2725">
        <v>1.0997050000000001E-3</v>
      </c>
      <c r="AA2725">
        <v>0.99880530000000001</v>
      </c>
      <c r="AB2725">
        <v>45</v>
      </c>
      <c r="AC2725">
        <v>-38.670499999999997</v>
      </c>
      <c r="AD2725">
        <v>-1.1101195528500001</v>
      </c>
      <c r="AE2725">
        <v>1.77390000000002</v>
      </c>
      <c r="AF2725">
        <v>1.90437297425406</v>
      </c>
      <c r="AG2725">
        <v>-1.1101195528500001</v>
      </c>
      <c r="AH2725">
        <v>38.632447000426403</v>
      </c>
      <c r="AI2725">
        <v>91.643970211322994</v>
      </c>
      <c r="AJ2725">
        <v>87.177908950898697</v>
      </c>
      <c r="AK2725">
        <v>38.695283473408502</v>
      </c>
      <c r="AL2725">
        <v>90.744584237128706</v>
      </c>
      <c r="AM2725">
        <v>94.4165546609362</v>
      </c>
      <c r="AN2725">
        <v>0.99999994479412602</v>
      </c>
    </row>
    <row r="2726" spans="1:40" x14ac:dyDescent="0.25">
      <c r="A2726" t="str">
        <f>"20190305134950704"</f>
        <v>20190305134950704</v>
      </c>
      <c r="B2726" t="str">
        <f>"1551764990693126"</f>
        <v>1551764990693126</v>
      </c>
      <c r="C2726" t="s">
        <v>40</v>
      </c>
      <c r="D2726">
        <v>3.8553570000000001</v>
      </c>
      <c r="E2726">
        <v>0.52186399999999999</v>
      </c>
      <c r="F2726" t="s">
        <v>74</v>
      </c>
      <c r="G2726">
        <v>-448.97980000000001</v>
      </c>
      <c r="H2726" s="1">
        <v>3.2186559999999998E-6</v>
      </c>
      <c r="I2726">
        <v>285.14580000000001</v>
      </c>
      <c r="J2726">
        <v>-409.3503</v>
      </c>
      <c r="K2726">
        <v>1.110123</v>
      </c>
      <c r="L2726">
        <v>285.75150000000002</v>
      </c>
      <c r="M2726">
        <v>-0.99988690000000002</v>
      </c>
      <c r="N2726">
        <v>-1.4578280000000001E-2</v>
      </c>
      <c r="O2726">
        <v>-3.717794E-3</v>
      </c>
      <c r="P2726">
        <v>-0.99636880000000005</v>
      </c>
      <c r="Q2726">
        <v>-2.7146569999999998E-2</v>
      </c>
      <c r="R2726">
        <v>-8.0701270000000006E-2</v>
      </c>
      <c r="S2726">
        <v>-3.0049739999999998</v>
      </c>
      <c r="T2726">
        <v>-8.355427E-2</v>
      </c>
      <c r="U2726">
        <v>-4.5684809999999999E-2</v>
      </c>
      <c r="V2726">
        <v>-7.6978999999999895E-2</v>
      </c>
      <c r="W2726">
        <v>-1.2716470000000001E-2</v>
      </c>
      <c r="X2726">
        <v>0.99695160000000005</v>
      </c>
      <c r="Y2726">
        <v>-1.1477009999999999E-2</v>
      </c>
      <c r="Z2726">
        <v>-1.9405900000000001E-4</v>
      </c>
      <c r="AA2726">
        <v>0.99993410000000005</v>
      </c>
      <c r="AB2726">
        <v>45</v>
      </c>
      <c r="AC2726">
        <v>-39.6295</v>
      </c>
      <c r="AD2726">
        <v>-1.110119781344</v>
      </c>
      <c r="AE2726">
        <v>-0.60570000000001301</v>
      </c>
      <c r="AF2726">
        <v>-0.45798655179064202</v>
      </c>
      <c r="AG2726">
        <v>-1.110119781344</v>
      </c>
      <c r="AH2726">
        <v>39.600411066009798</v>
      </c>
      <c r="AI2726">
        <v>91.605646835824999</v>
      </c>
      <c r="AJ2726">
        <v>90.662607431289402</v>
      </c>
      <c r="AK2726">
        <v>39.618615248485199</v>
      </c>
      <c r="AL2726">
        <v>90.728619711284907</v>
      </c>
      <c r="AM2726">
        <v>94.415297260808003</v>
      </c>
      <c r="AN2726">
        <v>0.99999998389640998</v>
      </c>
    </row>
    <row r="2727" spans="1:40" x14ac:dyDescent="0.25">
      <c r="A2727" t="str">
        <f>"20190305134950721"</f>
        <v>20190305134950721</v>
      </c>
      <c r="B2727" t="str">
        <f>"1551764990712646"</f>
        <v>1551764990712646</v>
      </c>
      <c r="C2727" t="s">
        <v>40</v>
      </c>
      <c r="D2727">
        <v>3.8088579999999999</v>
      </c>
      <c r="E2727">
        <v>0.52194390000000002</v>
      </c>
      <c r="F2727" t="s">
        <v>74</v>
      </c>
      <c r="G2727">
        <v>-450.18979999999999</v>
      </c>
      <c r="H2727" s="1">
        <v>-1.4448929999999999E-6</v>
      </c>
      <c r="I2727">
        <v>284.82479999999998</v>
      </c>
      <c r="J2727">
        <v>-409.68880000000001</v>
      </c>
      <c r="K2727">
        <v>1.11012</v>
      </c>
      <c r="L2727">
        <v>285.75</v>
      </c>
      <c r="M2727">
        <v>-0.99988560000000004</v>
      </c>
      <c r="N2727">
        <v>-1.457609E-2</v>
      </c>
      <c r="O2727">
        <v>-4.0514879999999998E-3</v>
      </c>
      <c r="P2727">
        <v>-0.99631780000000003</v>
      </c>
      <c r="Q2727">
        <v>-2.6333099999999901E-2</v>
      </c>
      <c r="R2727">
        <v>-8.1593009999999994E-2</v>
      </c>
      <c r="S2727">
        <v>-3.003174</v>
      </c>
      <c r="T2727">
        <v>-8.1634040000000005E-2</v>
      </c>
      <c r="U2727">
        <v>-6.8145750000000005E-2</v>
      </c>
      <c r="V2727">
        <v>-7.7539780000000003E-2</v>
      </c>
      <c r="W2727">
        <v>-1.1904609999999999E-2</v>
      </c>
      <c r="X2727">
        <v>0.99691819999999998</v>
      </c>
      <c r="Y2727">
        <v>-1.8624100000000001E-2</v>
      </c>
      <c r="Z2727">
        <v>-3.3779509999999998E-4</v>
      </c>
      <c r="AA2727">
        <v>0.99982649999999995</v>
      </c>
      <c r="AB2727">
        <v>45</v>
      </c>
      <c r="AC2727">
        <v>-40.500999999999898</v>
      </c>
      <c r="AD2727">
        <v>-1.1101214448929999</v>
      </c>
      <c r="AE2727">
        <v>-0.92520000000001701</v>
      </c>
      <c r="AF2727">
        <v>-0.76051459122591902</v>
      </c>
      <c r="AG2727">
        <v>-1.1101214448929999</v>
      </c>
      <c r="AH2727">
        <v>40.474024358087398</v>
      </c>
      <c r="AI2727">
        <v>91.5708374588244</v>
      </c>
      <c r="AJ2727">
        <v>91.076471881363503</v>
      </c>
      <c r="AK2727">
        <v>40.496387490798902</v>
      </c>
      <c r="AL2727">
        <v>90.682100009729595</v>
      </c>
      <c r="AM2727">
        <v>94.447481839562798</v>
      </c>
      <c r="AN2727">
        <v>1.00000001735647</v>
      </c>
    </row>
    <row r="2728" spans="1:40" x14ac:dyDescent="0.25">
      <c r="A2728" t="str">
        <f>"20190305134950741"</f>
        <v>20190305134950741</v>
      </c>
      <c r="B2728" t="str">
        <f>"1551764990733146"</f>
        <v>1551764990733146</v>
      </c>
      <c r="C2728" t="s">
        <v>40</v>
      </c>
      <c r="D2728">
        <v>3.8176950000000001</v>
      </c>
      <c r="E2728">
        <v>0.52109640000000002</v>
      </c>
      <c r="F2728" t="s">
        <v>74</v>
      </c>
      <c r="G2728">
        <v>-440.35390000000001</v>
      </c>
      <c r="H2728" s="1">
        <v>-1.366878E-6</v>
      </c>
      <c r="I2728">
        <v>285.03809999999999</v>
      </c>
      <c r="J2728">
        <v>-410.10109999999997</v>
      </c>
      <c r="K2728">
        <v>1.1100939999999999</v>
      </c>
      <c r="L2728">
        <v>285.74799999999999</v>
      </c>
      <c r="M2728">
        <v>-0.99988410000000005</v>
      </c>
      <c r="N2728">
        <v>-1.457344E-2</v>
      </c>
      <c r="O2728">
        <v>-4.4279590000000004E-3</v>
      </c>
      <c r="P2728">
        <v>-0.99621029999999999</v>
      </c>
      <c r="Q2728">
        <v>-2.6211109999999999E-2</v>
      </c>
      <c r="R2728">
        <v>-8.2935709999999996E-2</v>
      </c>
      <c r="S2728">
        <v>-3.0025330000000001</v>
      </c>
      <c r="T2728">
        <v>-0.108695899999999</v>
      </c>
      <c r="U2728">
        <v>-6.9702150000000004E-2</v>
      </c>
      <c r="V2728">
        <v>-7.8508170000000002E-2</v>
      </c>
      <c r="W2728">
        <v>-1.178335E-2</v>
      </c>
      <c r="X2728">
        <v>0.99684379999999995</v>
      </c>
      <c r="Y2728">
        <v>-1.8764530000000001E-2</v>
      </c>
      <c r="Z2728">
        <v>-3.8060660000000001E-4</v>
      </c>
      <c r="AA2728">
        <v>0.99982389999999999</v>
      </c>
      <c r="AB2728">
        <v>45</v>
      </c>
      <c r="AC2728">
        <v>-30.252800000000001</v>
      </c>
      <c r="AD2728">
        <v>-1.110095366878</v>
      </c>
      <c r="AE2728">
        <v>-0.70990000000000397</v>
      </c>
      <c r="AF2728">
        <v>-0.57514668849908002</v>
      </c>
      <c r="AG2728">
        <v>-1.110095366878</v>
      </c>
      <c r="AH2728">
        <v>30.214986592216601</v>
      </c>
      <c r="AI2728">
        <v>92.103713669485899</v>
      </c>
      <c r="AJ2728">
        <v>91.090501845188399</v>
      </c>
      <c r="AK2728">
        <v>30.240841922881099</v>
      </c>
      <c r="AL2728">
        <v>90.675151867663701</v>
      </c>
      <c r="AM2728">
        <v>94.503133860368095</v>
      </c>
      <c r="AN2728">
        <v>0.99999997084620496</v>
      </c>
    </row>
    <row r="2729" spans="1:40" x14ac:dyDescent="0.25">
      <c r="A2729" t="str">
        <f>"20190305134950753"</f>
        <v>20190305134950753</v>
      </c>
      <c r="B2729" t="str">
        <f>"1551764990742903"</f>
        <v>1551764990742903</v>
      </c>
      <c r="C2729" t="s">
        <v>40</v>
      </c>
      <c r="D2729">
        <v>3.8250730000000002</v>
      </c>
      <c r="E2729">
        <v>0.52079569999999997</v>
      </c>
      <c r="F2729" t="s">
        <v>74</v>
      </c>
      <c r="G2729">
        <v>-443.3965</v>
      </c>
      <c r="H2729" s="1">
        <v>2.6022409999999998E-7</v>
      </c>
      <c r="I2729">
        <v>284.85480000000001</v>
      </c>
      <c r="J2729">
        <v>-410.34339999999997</v>
      </c>
      <c r="K2729">
        <v>1.1100719999999999</v>
      </c>
      <c r="L2729">
        <v>285.74680000000001</v>
      </c>
      <c r="M2729">
        <v>-0.99988319999999997</v>
      </c>
      <c r="N2729">
        <v>-1.4571850000000001E-2</v>
      </c>
      <c r="O2729">
        <v>-4.6304689999999999E-3</v>
      </c>
      <c r="P2729">
        <v>-0.99616780000000005</v>
      </c>
      <c r="Q2729">
        <v>-2.6192900000000002E-2</v>
      </c>
      <c r="R2729">
        <v>-8.3449679999999998E-2</v>
      </c>
      <c r="S2729">
        <v>-3.002014</v>
      </c>
      <c r="T2729">
        <v>-0.1000894</v>
      </c>
      <c r="U2729">
        <v>-8.0535889999999999E-2</v>
      </c>
      <c r="V2729">
        <v>-7.8820959999999995E-2</v>
      </c>
      <c r="W2729">
        <v>-1.1763880000000001E-2</v>
      </c>
      <c r="X2729">
        <v>0.99681940000000002</v>
      </c>
      <c r="Y2729">
        <v>-2.217117E-2</v>
      </c>
      <c r="Z2729">
        <v>-4.4421899999999998E-4</v>
      </c>
      <c r="AA2729">
        <v>0.99975409999999998</v>
      </c>
      <c r="AB2729">
        <v>45</v>
      </c>
      <c r="AC2729">
        <v>-33.053100000000001</v>
      </c>
      <c r="AD2729">
        <v>-1.1100717397758999</v>
      </c>
      <c r="AE2729">
        <v>-0.89199999999999502</v>
      </c>
      <c r="AF2729">
        <v>-0.73809094256871199</v>
      </c>
      <c r="AG2729">
        <v>-1.1100717397758999</v>
      </c>
      <c r="AH2729">
        <v>33.019660010547497</v>
      </c>
      <c r="AI2729">
        <v>91.924993010395397</v>
      </c>
      <c r="AJ2729">
        <v>91.2805236197852</v>
      </c>
      <c r="AK2729">
        <v>33.046557834653598</v>
      </c>
      <c r="AL2729">
        <v>90.674036205371294</v>
      </c>
      <c r="AM2729">
        <v>94.521111091363494</v>
      </c>
      <c r="AN2729">
        <v>1.0000000244121601</v>
      </c>
    </row>
    <row r="2730" spans="1:40" x14ac:dyDescent="0.25">
      <c r="A2730" t="str">
        <f>"20190305134950765"</f>
        <v>20190305134950765</v>
      </c>
      <c r="B2730" t="str">
        <f>"1551764990752663"</f>
        <v>1551764990752663</v>
      </c>
      <c r="C2730" t="s">
        <v>40</v>
      </c>
      <c r="D2730">
        <v>3.8101720000000001</v>
      </c>
      <c r="E2730">
        <v>0.52073910000000001</v>
      </c>
      <c r="F2730" t="s">
        <v>74</v>
      </c>
      <c r="G2730">
        <v>-443.90949999999998</v>
      </c>
      <c r="H2730" s="1">
        <v>5.3554169999999996E-7</v>
      </c>
      <c r="I2730">
        <v>284.80259999999998</v>
      </c>
      <c r="J2730">
        <v>-410.5795</v>
      </c>
      <c r="K2730">
        <v>1.1100449999999999</v>
      </c>
      <c r="L2730">
        <v>285.74549999999999</v>
      </c>
      <c r="M2730">
        <v>-0.99988239999999995</v>
      </c>
      <c r="N2730">
        <v>-1.457025E-2</v>
      </c>
      <c r="O2730">
        <v>-4.8088159999999996E-3</v>
      </c>
      <c r="P2730">
        <v>-0.99609409999999998</v>
      </c>
      <c r="Q2730">
        <v>-2.6410179999999998E-2</v>
      </c>
      <c r="R2730">
        <v>-8.4258260000000001E-2</v>
      </c>
      <c r="S2730">
        <v>-3.001862</v>
      </c>
      <c r="T2730">
        <v>-9.927511E-2</v>
      </c>
      <c r="U2730">
        <v>-8.4442139999999999E-2</v>
      </c>
      <c r="V2730">
        <v>-7.9452919999999996E-2</v>
      </c>
      <c r="W2730">
        <v>-1.197982E-2</v>
      </c>
      <c r="X2730">
        <v>0.99676659999999995</v>
      </c>
      <c r="Y2730">
        <v>-2.3293540000000001E-2</v>
      </c>
      <c r="Z2730">
        <v>-4.6588789999999999E-4</v>
      </c>
      <c r="AA2730">
        <v>0.99972859999999997</v>
      </c>
      <c r="AB2730">
        <v>45</v>
      </c>
      <c r="AC2730">
        <v>-33.329999999999899</v>
      </c>
      <c r="AD2730">
        <v>-1.1100444644583001</v>
      </c>
      <c r="AE2730">
        <v>-0.94290000000000795</v>
      </c>
      <c r="AF2730">
        <v>-0.78172786144386996</v>
      </c>
      <c r="AG2730">
        <v>-1.1100444644583001</v>
      </c>
      <c r="AH2730">
        <v>33.297245463800401</v>
      </c>
      <c r="AI2730">
        <v>91.908861076033205</v>
      </c>
      <c r="AJ2730">
        <v>91.344900462496796</v>
      </c>
      <c r="AK2730">
        <v>33.324913392820797</v>
      </c>
      <c r="AL2730">
        <v>90.686409565928003</v>
      </c>
      <c r="AM2730">
        <v>94.557448141984494</v>
      </c>
      <c r="AN2730">
        <v>0.99999996872965802</v>
      </c>
    </row>
    <row r="2731" spans="1:40" x14ac:dyDescent="0.25">
      <c r="A2731" t="str">
        <f>"20190305134950778"</f>
        <v>20190305134950778</v>
      </c>
      <c r="B2731" t="str">
        <f>"1551764990773159"</f>
        <v>1551764990773159</v>
      </c>
      <c r="C2731" t="s">
        <v>40</v>
      </c>
      <c r="D2731">
        <v>3.8111959999999998</v>
      </c>
      <c r="E2731">
        <v>0.52064509999999997</v>
      </c>
      <c r="F2731" t="s">
        <v>74</v>
      </c>
      <c r="G2731">
        <v>-444.19709999999998</v>
      </c>
      <c r="H2731" s="1">
        <v>6.9016849999999995E-7</v>
      </c>
      <c r="I2731">
        <v>284.7654</v>
      </c>
      <c r="J2731">
        <v>-410.81950000000001</v>
      </c>
      <c r="K2731">
        <v>1.1100159999999999</v>
      </c>
      <c r="L2731">
        <v>285.74430000000001</v>
      </c>
      <c r="M2731">
        <v>-0.99988149999999998</v>
      </c>
      <c r="N2731">
        <v>-1.4568619999999999E-2</v>
      </c>
      <c r="O2731">
        <v>-4.9665619999999999E-3</v>
      </c>
      <c r="P2731">
        <v>-0.99601910000000005</v>
      </c>
      <c r="Q2731">
        <v>-2.7104909999999999E-2</v>
      </c>
      <c r="R2731">
        <v>-8.4920839999999997E-2</v>
      </c>
      <c r="S2731">
        <v>-3.00177</v>
      </c>
      <c r="T2731">
        <v>-9.9117759999999999E-2</v>
      </c>
      <c r="U2731">
        <v>-8.7524409999999997E-2</v>
      </c>
      <c r="V2731">
        <v>-7.9958409999999994E-2</v>
      </c>
      <c r="W2731">
        <v>-1.2672009999999999E-2</v>
      </c>
      <c r="X2731">
        <v>0.99671759999999998</v>
      </c>
      <c r="Y2731">
        <v>-2.4161749999999999E-2</v>
      </c>
      <c r="Z2731">
        <v>-4.8325519999999999E-4</v>
      </c>
      <c r="AA2731">
        <v>0.99970789999999998</v>
      </c>
      <c r="AB2731">
        <v>45</v>
      </c>
      <c r="AC2731">
        <v>-33.377599999999902</v>
      </c>
      <c r="AD2731">
        <v>-1.1100153098315</v>
      </c>
      <c r="AE2731">
        <v>-0.97890000000000998</v>
      </c>
      <c r="AF2731">
        <v>-0.81220089642334103</v>
      </c>
      <c r="AG2731">
        <v>-1.1100153098315</v>
      </c>
      <c r="AH2731">
        <v>33.345203063190297</v>
      </c>
      <c r="AI2731">
        <v>91.906027653299304</v>
      </c>
      <c r="AJ2731">
        <v>91.395297661288296</v>
      </c>
      <c r="AK2731">
        <v>33.373557970489202</v>
      </c>
      <c r="AL2731">
        <v>90.726072159749805</v>
      </c>
      <c r="AM2731">
        <v>94.586544429565905</v>
      </c>
      <c r="AN2731">
        <v>0.99999995065846203</v>
      </c>
    </row>
    <row r="2732" spans="1:40" x14ac:dyDescent="0.25">
      <c r="A2732" t="str">
        <f>"20190305134950790"</f>
        <v>20190305134950790</v>
      </c>
      <c r="B2732" t="str">
        <f>"1551764990782919"</f>
        <v>1551764990782919</v>
      </c>
      <c r="C2732" t="s">
        <v>40</v>
      </c>
      <c r="D2732">
        <v>3.8171580000000001</v>
      </c>
      <c r="E2732">
        <v>0.52069730000000003</v>
      </c>
      <c r="F2732" t="s">
        <v>74</v>
      </c>
      <c r="G2732">
        <v>-444.77159999999998</v>
      </c>
      <c r="H2732" s="1">
        <v>9.9777319999999998E-7</v>
      </c>
      <c r="I2732">
        <v>284.72280000000001</v>
      </c>
      <c r="J2732">
        <v>-411.07220000000001</v>
      </c>
      <c r="K2732">
        <v>1.109979</v>
      </c>
      <c r="L2732">
        <v>285.74290000000002</v>
      </c>
      <c r="M2732">
        <v>-0.99988089999999996</v>
      </c>
      <c r="N2732">
        <v>-1.4566910000000001E-2</v>
      </c>
      <c r="O2732">
        <v>-5.1182670000000001E-3</v>
      </c>
      <c r="P2732">
        <v>-0.9959732</v>
      </c>
      <c r="Q2732">
        <v>-2.7453680000000001E-2</v>
      </c>
      <c r="R2732">
        <v>-8.5345069999999995E-2</v>
      </c>
      <c r="S2732">
        <v>-3.001617</v>
      </c>
      <c r="T2732">
        <v>-9.8133440000000002E-2</v>
      </c>
      <c r="U2732">
        <v>-9.0301510000000001E-2</v>
      </c>
      <c r="V2732">
        <v>-8.0232750000000005E-2</v>
      </c>
      <c r="W2732">
        <v>-1.30168E-2</v>
      </c>
      <c r="X2732">
        <v>0.9966912</v>
      </c>
      <c r="Y2732">
        <v>-2.493538E-2</v>
      </c>
      <c r="Z2732">
        <v>-4.9643560000000003E-4</v>
      </c>
      <c r="AA2732">
        <v>0.99968889999999999</v>
      </c>
      <c r="AB2732">
        <v>45</v>
      </c>
      <c r="AC2732">
        <v>-33.699399999999898</v>
      </c>
      <c r="AD2732">
        <v>-1.1099780022268</v>
      </c>
      <c r="AE2732">
        <v>-1.02010000000001</v>
      </c>
      <c r="AF2732">
        <v>-0.84666812527376201</v>
      </c>
      <c r="AG2732">
        <v>-1.1099780022268</v>
      </c>
      <c r="AH2732">
        <v>33.667688004671</v>
      </c>
      <c r="AI2732">
        <v>91.887683811226793</v>
      </c>
      <c r="AJ2732">
        <v>91.440558909035104</v>
      </c>
      <c r="AK2732">
        <v>33.696618727398302</v>
      </c>
      <c r="AL2732">
        <v>90.745828736003105</v>
      </c>
      <c r="AM2732">
        <v>94.602334910926004</v>
      </c>
      <c r="AN2732">
        <v>1.0000000397061199</v>
      </c>
    </row>
    <row r="2733" spans="1:40" x14ac:dyDescent="0.25">
      <c r="A2733" t="str">
        <f>"20190305134950803"</f>
        <v>20190305134950803</v>
      </c>
      <c r="B2733" t="str">
        <f>"1551764990792679"</f>
        <v>1551764990792679</v>
      </c>
      <c r="C2733" t="s">
        <v>40</v>
      </c>
      <c r="D2733">
        <v>3.8239109999999998</v>
      </c>
      <c r="E2733">
        <v>0.52073469999999999</v>
      </c>
      <c r="F2733" t="s">
        <v>74</v>
      </c>
      <c r="G2733">
        <v>-445.28190000000001</v>
      </c>
      <c r="H2733" s="1">
        <v>1.2701600000000001E-6</v>
      </c>
      <c r="I2733">
        <v>284.70400000000001</v>
      </c>
      <c r="J2733">
        <v>-411.34379999999999</v>
      </c>
      <c r="K2733">
        <v>1.109937</v>
      </c>
      <c r="L2733">
        <v>285.7414</v>
      </c>
      <c r="M2733">
        <v>-0.99988030000000006</v>
      </c>
      <c r="N2733">
        <v>-1.4565069999999999E-2</v>
      </c>
      <c r="O2733">
        <v>-5.242175E-3</v>
      </c>
      <c r="P2733">
        <v>-0.9959211</v>
      </c>
      <c r="Q2733">
        <v>-2.7706229999999998E-2</v>
      </c>
      <c r="R2733">
        <v>-8.5871820000000001E-2</v>
      </c>
      <c r="S2733">
        <v>-3.0016780000000001</v>
      </c>
      <c r="T2733">
        <v>-9.7393270000000004E-2</v>
      </c>
      <c r="U2733">
        <v>-9.1156009999999996E-2</v>
      </c>
      <c r="V2733">
        <v>-8.0637420000000001E-2</v>
      </c>
      <c r="W2733">
        <v>-1.32642E-2</v>
      </c>
      <c r="X2733">
        <v>0.99665519999999996</v>
      </c>
      <c r="Y2733">
        <v>-2.5095329999999999E-2</v>
      </c>
      <c r="Z2733">
        <v>-4.9613190000000001E-4</v>
      </c>
      <c r="AA2733">
        <v>0.99968489999999999</v>
      </c>
      <c r="AB2733">
        <v>44</v>
      </c>
      <c r="AC2733">
        <v>-33.938099999999999</v>
      </c>
      <c r="AD2733">
        <v>-1.1099357298399899</v>
      </c>
      <c r="AE2733">
        <v>-1.0373999999999901</v>
      </c>
      <c r="AF2733">
        <v>-0.85853999495066802</v>
      </c>
      <c r="AG2733">
        <v>-1.1099357298399899</v>
      </c>
      <c r="AH2733">
        <v>33.906839554669098</v>
      </c>
      <c r="AI2733">
        <v>91.874299647457207</v>
      </c>
      <c r="AJ2733">
        <v>91.450451011808298</v>
      </c>
      <c r="AK2733">
        <v>33.9358632840448</v>
      </c>
      <c r="AL2733">
        <v>90.760004995809595</v>
      </c>
      <c r="AM2733">
        <v>94.625613589092296</v>
      </c>
      <c r="AN2733">
        <v>0.99999996009646697</v>
      </c>
    </row>
    <row r="2734" spans="1:40" x14ac:dyDescent="0.25">
      <c r="A2734" t="str">
        <f>"20190305134950816"</f>
        <v>20190305134950816</v>
      </c>
      <c r="B2734" t="str">
        <f>"1551764990803415"</f>
        <v>1551764990803415</v>
      </c>
      <c r="C2734" t="s">
        <v>40</v>
      </c>
      <c r="D2734">
        <v>3.8614259999999998</v>
      </c>
      <c r="E2734">
        <v>0.52077980000000001</v>
      </c>
      <c r="F2734" t="s">
        <v>74</v>
      </c>
      <c r="G2734">
        <v>-445.5369</v>
      </c>
      <c r="H2734" s="1">
        <v>1.406578E-6</v>
      </c>
      <c r="I2734">
        <v>284.68729999999999</v>
      </c>
      <c r="J2734">
        <v>-411.58479999999997</v>
      </c>
      <c r="K2734">
        <v>1.1099019999999999</v>
      </c>
      <c r="L2734">
        <v>285.74009999999998</v>
      </c>
      <c r="M2734">
        <v>-0.99987979999999999</v>
      </c>
      <c r="N2734">
        <v>-1.456346E-2</v>
      </c>
      <c r="O2734">
        <v>-5.3351869999999999E-3</v>
      </c>
      <c r="P2734">
        <v>-0.99585060000000003</v>
      </c>
      <c r="Q2734">
        <v>-2.8311469999999998E-2</v>
      </c>
      <c r="R2734">
        <v>-8.6488899999999994E-2</v>
      </c>
      <c r="S2734">
        <v>-3.0015869999999998</v>
      </c>
      <c r="T2734">
        <v>-9.7433919999999993E-2</v>
      </c>
      <c r="U2734">
        <v>-9.2529299999999995E-2</v>
      </c>
      <c r="V2734">
        <v>-8.1162830000000005E-2</v>
      </c>
      <c r="W2734">
        <v>-1.3865280000000001E-2</v>
      </c>
      <c r="X2734">
        <v>0.99660439999999995</v>
      </c>
      <c r="Y2734">
        <v>-2.545994E-2</v>
      </c>
      <c r="Z2734">
        <v>-5.0311659999999995E-4</v>
      </c>
      <c r="AA2734">
        <v>0.99967569999999994</v>
      </c>
      <c r="AB2734">
        <v>44</v>
      </c>
      <c r="AC2734">
        <v>-33.952100000000002</v>
      </c>
      <c r="AD2734">
        <v>-1.1099005934220001</v>
      </c>
      <c r="AE2734">
        <v>-1.05279999999999</v>
      </c>
      <c r="AF2734">
        <v>-0.87069544017705502</v>
      </c>
      <c r="AG2734">
        <v>-1.1099005934220001</v>
      </c>
      <c r="AH2734">
        <v>33.921019338770101</v>
      </c>
      <c r="AI2734">
        <v>91.873440851004801</v>
      </c>
      <c r="AJ2734">
        <v>91.470363302845797</v>
      </c>
      <c r="AK2734">
        <v>33.950339362928901</v>
      </c>
      <c r="AL2734">
        <v>90.794447489567105</v>
      </c>
      <c r="AM2734">
        <v>94.655856949310902</v>
      </c>
      <c r="AN2734">
        <v>0.99999999053122302</v>
      </c>
    </row>
    <row r="2735" spans="1:40" x14ac:dyDescent="0.25">
      <c r="A2735" t="str">
        <f>"20190305134950830"</f>
        <v>20190305134950830</v>
      </c>
      <c r="B2735" t="str">
        <f>"1551764990822934"</f>
        <v>1551764990822934</v>
      </c>
      <c r="C2735" t="s">
        <v>40</v>
      </c>
      <c r="D2735">
        <v>3.8009019999999998</v>
      </c>
      <c r="E2735">
        <v>0.52103940000000004</v>
      </c>
      <c r="F2735" t="s">
        <v>74</v>
      </c>
      <c r="G2735">
        <v>-445.9769</v>
      </c>
      <c r="H2735" s="1">
        <v>1.6418220000000001E-6</v>
      </c>
      <c r="I2735">
        <v>284.66199999999998</v>
      </c>
      <c r="J2735">
        <v>-411.88080000000002</v>
      </c>
      <c r="K2735">
        <v>1.109856</v>
      </c>
      <c r="L2735">
        <v>285.73849999999999</v>
      </c>
      <c r="M2735">
        <v>-0.99987919999999997</v>
      </c>
      <c r="N2735">
        <v>-1.45615E-2</v>
      </c>
      <c r="O2735">
        <v>-5.4272219999999998E-3</v>
      </c>
      <c r="P2735">
        <v>-0.99580679999999999</v>
      </c>
      <c r="Q2735">
        <v>-2.8544360000000001E-2</v>
      </c>
      <c r="R2735">
        <v>-8.6915439999999997E-2</v>
      </c>
      <c r="S2735">
        <v>-3.0015869999999998</v>
      </c>
      <c r="T2735">
        <v>-9.6867200000000001E-2</v>
      </c>
      <c r="U2735">
        <v>-9.408569E-2</v>
      </c>
      <c r="V2735">
        <v>-8.1499020000000005E-2</v>
      </c>
      <c r="W2735">
        <v>-1.409227E-2</v>
      </c>
      <c r="X2735">
        <v>0.99657379999999995</v>
      </c>
      <c r="Y2735">
        <v>-2.5885640000000001E-2</v>
      </c>
      <c r="Z2735">
        <v>-5.1002329999999996E-4</v>
      </c>
      <c r="AA2735">
        <v>0.99966480000000002</v>
      </c>
      <c r="AB2735">
        <v>44</v>
      </c>
      <c r="AC2735">
        <v>-34.0960999999999</v>
      </c>
      <c r="AD2735">
        <v>-1.109854358178</v>
      </c>
      <c r="AE2735">
        <v>-1.0764999999999501</v>
      </c>
      <c r="AF2735">
        <v>-0.89047484279504996</v>
      </c>
      <c r="AG2735">
        <v>-1.109854358178</v>
      </c>
      <c r="AH2735">
        <v>34.065382642889297</v>
      </c>
      <c r="AI2735">
        <v>91.865406722402597</v>
      </c>
      <c r="AJ2735">
        <v>91.497380336238095</v>
      </c>
      <c r="AK2735">
        <v>34.095087868320299</v>
      </c>
      <c r="AL2735">
        <v>90.807454313382095</v>
      </c>
      <c r="AM2735">
        <v>94.675199889593102</v>
      </c>
      <c r="AN2735">
        <v>1.00000001059057</v>
      </c>
    </row>
    <row r="2736" spans="1:40" x14ac:dyDescent="0.25">
      <c r="A2736" t="str">
        <f>"20190305134950844"</f>
        <v>20190305134950844</v>
      </c>
      <c r="B2736" t="str">
        <f>"1551764990832694"</f>
        <v>1551764990832694</v>
      </c>
      <c r="C2736" t="s">
        <v>40</v>
      </c>
      <c r="D2736">
        <v>3.8136079999999999</v>
      </c>
      <c r="E2736">
        <v>0.52115109999999998</v>
      </c>
      <c r="F2736" t="s">
        <v>74</v>
      </c>
      <c r="G2736">
        <v>-447.12119999999999</v>
      </c>
      <c r="H2736" s="1">
        <v>2.2515240000000002E-6</v>
      </c>
      <c r="I2736">
        <v>284.64400000000001</v>
      </c>
      <c r="J2736">
        <v>-412.14429999999999</v>
      </c>
      <c r="K2736">
        <v>1.109815</v>
      </c>
      <c r="L2736">
        <v>285.73700000000002</v>
      </c>
      <c r="M2736">
        <v>-0.99987899999999996</v>
      </c>
      <c r="N2736">
        <v>-1.4559799999999901E-2</v>
      </c>
      <c r="O2736">
        <v>-5.4777810000000001E-3</v>
      </c>
      <c r="P2736">
        <v>-0.99578800000000001</v>
      </c>
      <c r="Q2736">
        <v>-2.886845E-2</v>
      </c>
      <c r="R2736">
        <v>-8.7022180000000005E-2</v>
      </c>
      <c r="S2736">
        <v>-3.0018009999999999</v>
      </c>
      <c r="T2736">
        <v>-9.4538090000000005E-2</v>
      </c>
      <c r="U2736">
        <v>-9.32312E-2</v>
      </c>
      <c r="V2736">
        <v>-8.1556630000000005E-2</v>
      </c>
      <c r="W2736">
        <v>-1.4410920000000001E-2</v>
      </c>
      <c r="X2736">
        <v>0.99656449999999996</v>
      </c>
      <c r="Y2736">
        <v>-2.5549539999999999E-2</v>
      </c>
      <c r="Z2736">
        <v>-4.9555379999999998E-4</v>
      </c>
      <c r="AA2736">
        <v>0.99967340000000005</v>
      </c>
      <c r="AB2736">
        <v>44</v>
      </c>
      <c r="AC2736">
        <v>-34.976900000000001</v>
      </c>
      <c r="AD2736">
        <v>-1.1098127484760001</v>
      </c>
      <c r="AE2736">
        <v>-1.09300000000001</v>
      </c>
      <c r="AF2736">
        <v>-0.90046180228933703</v>
      </c>
      <c r="AG2736">
        <v>-1.1098127484760001</v>
      </c>
      <c r="AH2736">
        <v>34.947212964650198</v>
      </c>
      <c r="AI2736">
        <v>91.818318024204203</v>
      </c>
      <c r="AJ2736">
        <v>91.475976008497</v>
      </c>
      <c r="AK2736">
        <v>34.976423627790702</v>
      </c>
      <c r="AL2736">
        <v>90.825713492568596</v>
      </c>
      <c r="AM2736">
        <v>94.678533494227594</v>
      </c>
      <c r="AN2736">
        <v>0.99999998058622597</v>
      </c>
    </row>
    <row r="2737" spans="1:40" x14ac:dyDescent="0.25">
      <c r="A2737" t="str">
        <f>"20190305134950856"</f>
        <v>20190305134950856</v>
      </c>
      <c r="B2737" t="str">
        <f>"1551764990843430"</f>
        <v>1551764990843430</v>
      </c>
      <c r="C2737" t="s">
        <v>40</v>
      </c>
      <c r="D2737">
        <v>3.824363</v>
      </c>
      <c r="E2737">
        <v>0.52125909999999998</v>
      </c>
      <c r="F2737" t="s">
        <v>74</v>
      </c>
      <c r="G2737">
        <v>-447.30130000000003</v>
      </c>
      <c r="H2737" s="1">
        <v>2.3471599999999999E-6</v>
      </c>
      <c r="I2737">
        <v>284.6497</v>
      </c>
      <c r="J2737">
        <v>-412.37240000000003</v>
      </c>
      <c r="K2737">
        <v>1.109783</v>
      </c>
      <c r="L2737">
        <v>285.73570000000001</v>
      </c>
      <c r="M2737">
        <v>-0.99987899999999996</v>
      </c>
      <c r="N2737">
        <v>-1.4558339999999999E-2</v>
      </c>
      <c r="O2737">
        <v>-5.5071180000000001E-3</v>
      </c>
      <c r="P2737">
        <v>-0.99577919999999998</v>
      </c>
      <c r="Q2737">
        <v>-2.9348659999999999E-2</v>
      </c>
      <c r="R2737">
        <v>-8.6966130000000003E-2</v>
      </c>
      <c r="S2737">
        <v>-3.0018310000000001</v>
      </c>
      <c r="T2737">
        <v>-9.4759579999999996E-2</v>
      </c>
      <c r="U2737">
        <v>-9.2834470000000002E-2</v>
      </c>
      <c r="V2737">
        <v>-8.1471950000000001E-2</v>
      </c>
      <c r="W2737">
        <v>-1.4886430000000001E-2</v>
      </c>
      <c r="X2737">
        <v>0.99656440000000002</v>
      </c>
      <c r="Y2737">
        <v>-2.5387960000000001E-2</v>
      </c>
      <c r="Z2737">
        <v>-4.918384E-4</v>
      </c>
      <c r="AA2737">
        <v>0.9996775</v>
      </c>
      <c r="AB2737">
        <v>44</v>
      </c>
      <c r="AC2737">
        <v>-34.928899999999999</v>
      </c>
      <c r="AD2737">
        <v>-1.10978065284</v>
      </c>
      <c r="AE2737">
        <v>-1.0860000000000101</v>
      </c>
      <c r="AF2737">
        <v>-0.89270528220657297</v>
      </c>
      <c r="AG2737">
        <v>-1.10978065284</v>
      </c>
      <c r="AH2737">
        <v>34.899155055846997</v>
      </c>
      <c r="AI2737">
        <v>91.820776352721296</v>
      </c>
      <c r="AJ2737">
        <v>91.465281713549999</v>
      </c>
      <c r="AK2737">
        <v>34.928205786016903</v>
      </c>
      <c r="AL2737">
        <v>90.852961164378897</v>
      </c>
      <c r="AM2737">
        <v>94.673697784976397</v>
      </c>
      <c r="AN2737">
        <v>0.99999994389115199</v>
      </c>
    </row>
    <row r="2738" spans="1:40" x14ac:dyDescent="0.25">
      <c r="A2738" t="str">
        <f>"20190305134950866"</f>
        <v>20190305134950866</v>
      </c>
      <c r="B2738" t="str">
        <f>"1551764990862951"</f>
        <v>1551764990862951</v>
      </c>
      <c r="C2738" t="s">
        <v>40</v>
      </c>
      <c r="D2738">
        <v>3.8212999999999999</v>
      </c>
      <c r="E2738">
        <v>0.52137690000000003</v>
      </c>
      <c r="F2738" t="s">
        <v>74</v>
      </c>
      <c r="G2738">
        <v>-447.3494</v>
      </c>
      <c r="H2738" s="1">
        <v>2.3720619999999999E-6</v>
      </c>
      <c r="I2738">
        <v>284.66539999999998</v>
      </c>
      <c r="J2738">
        <v>-412.59969999999998</v>
      </c>
      <c r="K2738">
        <v>1.1097509999999999</v>
      </c>
      <c r="L2738">
        <v>285.73450000000003</v>
      </c>
      <c r="M2738">
        <v>-0.99987879999999996</v>
      </c>
      <c r="N2738">
        <v>-1.4556889999999999E-2</v>
      </c>
      <c r="O2738">
        <v>-5.5236E-3</v>
      </c>
      <c r="P2738">
        <v>-0.99579229999999996</v>
      </c>
      <c r="Q2738">
        <v>-2.9876030000000001E-2</v>
      </c>
      <c r="R2738">
        <v>-8.6632429999999996E-2</v>
      </c>
      <c r="S2738">
        <v>-3.0018919999999998</v>
      </c>
      <c r="T2738">
        <v>-9.5246549999999999E-2</v>
      </c>
      <c r="U2738">
        <v>-9.1857910000000001E-2</v>
      </c>
      <c r="V2738">
        <v>-8.1122990000000006E-2</v>
      </c>
      <c r="W2738">
        <v>-1.540886E-2</v>
      </c>
      <c r="X2738">
        <v>0.99658500000000005</v>
      </c>
      <c r="Y2738">
        <v>-2.5046059999999998E-2</v>
      </c>
      <c r="Z2738">
        <v>-4.8477889999999998E-4</v>
      </c>
      <c r="AA2738">
        <v>0.99968619999999997</v>
      </c>
      <c r="AB2738">
        <v>44</v>
      </c>
      <c r="AC2738">
        <v>-34.749699999999997</v>
      </c>
      <c r="AD2738">
        <v>-1.109748627938</v>
      </c>
      <c r="AE2738">
        <v>-1.0691000000000399</v>
      </c>
      <c r="AF2738">
        <v>-0.876227109630346</v>
      </c>
      <c r="AG2738">
        <v>-1.109748627938</v>
      </c>
      <c r="AH2738">
        <v>34.719699398254903</v>
      </c>
      <c r="AI2738">
        <v>91.830144135708096</v>
      </c>
      <c r="AJ2738">
        <v>91.445676709008694</v>
      </c>
      <c r="AK2738">
        <v>34.748479711636897</v>
      </c>
      <c r="AL2738">
        <v>90.882897570305403</v>
      </c>
      <c r="AM2738">
        <v>94.653671782604206</v>
      </c>
      <c r="AN2738">
        <v>1.00000001734901</v>
      </c>
    </row>
    <row r="2739" spans="1:40" x14ac:dyDescent="0.25">
      <c r="A2739" t="str">
        <f>"20190305134950879"</f>
        <v>20190305134950879</v>
      </c>
      <c r="B2739" t="str">
        <f>"1551764990873687"</f>
        <v>1551764990873687</v>
      </c>
      <c r="C2739" t="s">
        <v>40</v>
      </c>
      <c r="D2739">
        <v>3.8209490000000002</v>
      </c>
      <c r="E2739">
        <v>0.52152779999999999</v>
      </c>
      <c r="F2739" t="s">
        <v>74</v>
      </c>
      <c r="G2739">
        <v>-447.62209999999999</v>
      </c>
      <c r="H2739" s="1">
        <v>2.5163099999999998E-6</v>
      </c>
      <c r="I2739">
        <v>284.68520000000001</v>
      </c>
      <c r="J2739">
        <v>-412.82929999999999</v>
      </c>
      <c r="K2739">
        <v>1.1097220000000001</v>
      </c>
      <c r="L2739">
        <v>285.73320000000001</v>
      </c>
      <c r="M2739">
        <v>-0.99987879999999996</v>
      </c>
      <c r="N2739">
        <v>-1.4555439999999999E-2</v>
      </c>
      <c r="O2739">
        <v>-5.5218730000000001E-3</v>
      </c>
      <c r="P2739">
        <v>-0.99581710000000001</v>
      </c>
      <c r="Q2739">
        <v>-2.9957149999999998E-2</v>
      </c>
      <c r="R2739">
        <v>-8.6318710000000007E-2</v>
      </c>
      <c r="S2739">
        <v>-3.0019840000000002</v>
      </c>
      <c r="T2739">
        <v>-9.5123170000000007E-2</v>
      </c>
      <c r="U2739">
        <v>-8.9935299999999996E-2</v>
      </c>
      <c r="V2739">
        <v>-8.0811610000000006E-2</v>
      </c>
      <c r="W2739">
        <v>-1.54853E-2</v>
      </c>
      <c r="X2739">
        <v>0.99660910000000003</v>
      </c>
      <c r="Y2739">
        <v>-2.4407689999999999E-2</v>
      </c>
      <c r="Z2739">
        <v>-4.6973099999999998E-4</v>
      </c>
      <c r="AA2739">
        <v>0.99970199999999998</v>
      </c>
      <c r="AB2739">
        <v>44</v>
      </c>
      <c r="AC2739">
        <v>-34.7928</v>
      </c>
      <c r="AD2739">
        <v>-1.10971948369</v>
      </c>
      <c r="AE2739">
        <v>-1.048</v>
      </c>
      <c r="AF2739">
        <v>-0.85497326517948702</v>
      </c>
      <c r="AG2739">
        <v>-1.10971948369</v>
      </c>
      <c r="AH2739">
        <v>34.762725033225998</v>
      </c>
      <c r="AI2739">
        <v>91.827861771656899</v>
      </c>
      <c r="AJ2739">
        <v>91.408879369623406</v>
      </c>
      <c r="AK2739">
        <v>34.790940032605199</v>
      </c>
      <c r="AL2739">
        <v>90.887277793622204</v>
      </c>
      <c r="AM2739">
        <v>94.635775661894996</v>
      </c>
      <c r="AN2739">
        <v>1.0000000045148401</v>
      </c>
    </row>
    <row r="2740" spans="1:40" x14ac:dyDescent="0.25">
      <c r="A2740" t="str">
        <f>"20190305134950893"</f>
        <v>20190305134950893</v>
      </c>
      <c r="B2740" t="str">
        <f>"1551764990883447"</f>
        <v>1551764990883447</v>
      </c>
      <c r="C2740" t="s">
        <v>40</v>
      </c>
      <c r="D2740">
        <v>3.848201</v>
      </c>
      <c r="E2740">
        <v>0.52153499999999997</v>
      </c>
      <c r="F2740" t="s">
        <v>74</v>
      </c>
      <c r="G2740">
        <v>-448.17320000000001</v>
      </c>
      <c r="H2740" s="1">
        <v>2.8089540000000001E-6</v>
      </c>
      <c r="I2740">
        <v>284.69959999999998</v>
      </c>
      <c r="J2740">
        <v>-413.10300000000001</v>
      </c>
      <c r="K2740">
        <v>1.109688</v>
      </c>
      <c r="L2740">
        <v>285.73169999999999</v>
      </c>
      <c r="M2740">
        <v>-0.99987890000000001</v>
      </c>
      <c r="N2740">
        <v>-1.4553709999999999E-2</v>
      </c>
      <c r="O2740">
        <v>-5.5099370000000003E-3</v>
      </c>
      <c r="P2740">
        <v>-0.99584110000000003</v>
      </c>
      <c r="Q2740">
        <v>-3.044875E-2</v>
      </c>
      <c r="R2740">
        <v>-8.5869899999999999E-2</v>
      </c>
      <c r="S2740">
        <v>-3.0021360000000001</v>
      </c>
      <c r="T2740">
        <v>-9.4260220000000006E-2</v>
      </c>
      <c r="U2740">
        <v>-8.7799070000000007E-2</v>
      </c>
      <c r="V2740">
        <v>-8.0375710000000003E-2</v>
      </c>
      <c r="W2740">
        <v>-1.5971630000000001E-2</v>
      </c>
      <c r="X2740">
        <v>0.99663670000000004</v>
      </c>
      <c r="Y2740">
        <v>-2.3708119999999999E-2</v>
      </c>
      <c r="Z2740">
        <v>-4.5190049999999999E-4</v>
      </c>
      <c r="AA2740">
        <v>0.99971880000000002</v>
      </c>
      <c r="AB2740">
        <v>44</v>
      </c>
      <c r="AC2740">
        <v>-35.0702</v>
      </c>
      <c r="AD2740">
        <v>-1.1096851910459999</v>
      </c>
      <c r="AE2740">
        <v>-1.03210000000001</v>
      </c>
      <c r="AF2740">
        <v>-0.83799099280323996</v>
      </c>
      <c r="AG2740">
        <v>-1.1096851910459999</v>
      </c>
      <c r="AH2740">
        <v>35.040302761706002</v>
      </c>
      <c r="AI2740">
        <v>91.813365606881504</v>
      </c>
      <c r="AJ2740">
        <v>91.369970950213997</v>
      </c>
      <c r="AK2740">
        <v>35.067883422859602</v>
      </c>
      <c r="AL2740">
        <v>90.9151458744048</v>
      </c>
      <c r="AM2740">
        <v>94.610751135480996</v>
      </c>
      <c r="AN2740">
        <v>1.0000000297548699</v>
      </c>
    </row>
    <row r="2741" spans="1:40" x14ac:dyDescent="0.25">
      <c r="A2741" t="str">
        <f>"20190305134950910"</f>
        <v>20190305134950910</v>
      </c>
      <c r="B2741" t="str">
        <f>"1551764990902967"</f>
        <v>1551764990902967</v>
      </c>
      <c r="C2741" t="s">
        <v>40</v>
      </c>
      <c r="D2741">
        <v>3.6378789999999999</v>
      </c>
      <c r="E2741">
        <v>0.52460689999999999</v>
      </c>
      <c r="F2741" t="s">
        <v>74</v>
      </c>
      <c r="G2741">
        <v>-448.00779999999997</v>
      </c>
      <c r="H2741" s="1">
        <v>2.719801E-6</v>
      </c>
      <c r="I2741">
        <v>284.72579999999999</v>
      </c>
      <c r="J2741">
        <v>-413.44779999999997</v>
      </c>
      <c r="K2741">
        <v>1.109648</v>
      </c>
      <c r="L2741">
        <v>285.72980000000001</v>
      </c>
      <c r="M2741">
        <v>-0.99987919999999997</v>
      </c>
      <c r="N2741">
        <v>-1.455152E-2</v>
      </c>
      <c r="O2741">
        <v>-5.4747759999999998E-3</v>
      </c>
      <c r="P2741">
        <v>-0.99593129999999996</v>
      </c>
      <c r="Q2741">
        <v>-3.0888820000000001E-2</v>
      </c>
      <c r="R2741">
        <v>-8.4657270000000007E-2</v>
      </c>
      <c r="S2741">
        <v>-3.002167</v>
      </c>
      <c r="T2741">
        <v>-9.5443959999999994E-2</v>
      </c>
      <c r="U2741">
        <v>-8.6517330000000003E-2</v>
      </c>
      <c r="V2741">
        <v>-7.9199359999999996E-2</v>
      </c>
      <c r="W2741">
        <v>-1.640486E-2</v>
      </c>
      <c r="X2741">
        <v>0.99672380000000005</v>
      </c>
      <c r="Y2741">
        <v>-2.3316469999999999E-2</v>
      </c>
      <c r="Z2741">
        <v>-4.4589290000000001E-4</v>
      </c>
      <c r="AA2741">
        <v>0.99972799999999995</v>
      </c>
      <c r="AB2741">
        <v>44</v>
      </c>
      <c r="AC2741">
        <v>-34.56</v>
      </c>
      <c r="AD2741">
        <v>-1.109645280199</v>
      </c>
      <c r="AE2741">
        <v>-1.00400000000001</v>
      </c>
      <c r="AF2741">
        <v>-0.81391829984061004</v>
      </c>
      <c r="AG2741">
        <v>-1.109645280199</v>
      </c>
      <c r="AH2741">
        <v>34.529412497087201</v>
      </c>
      <c r="AI2741">
        <v>91.840126331600501</v>
      </c>
      <c r="AJ2741">
        <v>91.350311108867103</v>
      </c>
      <c r="AK2741">
        <v>34.556824261507103</v>
      </c>
      <c r="AL2741">
        <v>90.939971409455197</v>
      </c>
      <c r="AM2741">
        <v>94.543159089098793</v>
      </c>
      <c r="AN2741">
        <v>0.999999995771234</v>
      </c>
    </row>
    <row r="2742" spans="1:40" x14ac:dyDescent="0.25">
      <c r="A2742" t="str">
        <f>"20190305134950931"</f>
        <v>20190305134950931</v>
      </c>
      <c r="B2742" t="str">
        <f>"1551764990923463"</f>
        <v>1551764990923463</v>
      </c>
      <c r="C2742" t="s">
        <v>40</v>
      </c>
      <c r="D2742">
        <v>3.6485910000000001</v>
      </c>
      <c r="E2742">
        <v>0.52538209999999996</v>
      </c>
      <c r="F2742" t="s">
        <v>47</v>
      </c>
      <c r="G2742">
        <v>0</v>
      </c>
      <c r="H2742">
        <v>0</v>
      </c>
      <c r="I2742">
        <v>0</v>
      </c>
      <c r="J2742">
        <v>-413.86349999999999</v>
      </c>
      <c r="K2742">
        <v>1.1096079999999999</v>
      </c>
      <c r="L2742">
        <v>285.7276</v>
      </c>
      <c r="M2742">
        <v>-0.99987959999999998</v>
      </c>
      <c r="N2742">
        <v>-1.454885E-2</v>
      </c>
      <c r="O2742">
        <v>-5.4118040000000001E-3</v>
      </c>
      <c r="P2742">
        <v>-0.99598679999999995</v>
      </c>
      <c r="Q2742">
        <v>-3.1626870000000001E-2</v>
      </c>
      <c r="R2742">
        <v>-8.3727620000000003E-2</v>
      </c>
      <c r="S2742">
        <v>-3.0210880000000002</v>
      </c>
      <c r="T2742">
        <v>0.47990250000000001</v>
      </c>
      <c r="U2742">
        <v>-7.0739750000000004E-2</v>
      </c>
      <c r="V2742">
        <v>-7.8333360000000005E-2</v>
      </c>
      <c r="W2742">
        <v>-1.713688E-2</v>
      </c>
      <c r="X2742">
        <v>0.99677990000000005</v>
      </c>
      <c r="Y2742">
        <v>-1.7875249999999999E-2</v>
      </c>
      <c r="Z2742">
        <v>3.4754559999999998E-4</v>
      </c>
      <c r="AA2742">
        <v>0.99984010000000001</v>
      </c>
      <c r="AB2742">
        <v>44</v>
      </c>
      <c r="AC2742">
        <v>-3.0210880000000002</v>
      </c>
      <c r="AD2742">
        <v>0.47990250000000001</v>
      </c>
      <c r="AE2742">
        <v>-7.0739750000000004E-2</v>
      </c>
      <c r="AF2742">
        <v>-5.3049550745190702E-2</v>
      </c>
      <c r="AG2742">
        <v>0.47990250000000001</v>
      </c>
      <c r="AH2742">
        <v>2.9471013835585298</v>
      </c>
      <c r="AI2742">
        <v>80.752673629821103</v>
      </c>
      <c r="AJ2742">
        <v>91.031246211789494</v>
      </c>
      <c r="AK2742">
        <v>2.9863903343858298</v>
      </c>
      <c r="AL2742">
        <v>90.981918983598703</v>
      </c>
      <c r="AM2742">
        <v>94.493434933336502</v>
      </c>
      <c r="AN2742">
        <v>0.99999997849451605</v>
      </c>
    </row>
    <row r="2743" spans="1:40" x14ac:dyDescent="0.25">
      <c r="A2743" t="str">
        <f>"20190305134950943"</f>
        <v>20190305134950943</v>
      </c>
      <c r="B2743" t="str">
        <f>"1551764990933223"</f>
        <v>1551764990933223</v>
      </c>
      <c r="C2743" t="s">
        <v>40</v>
      </c>
      <c r="D2743">
        <v>3.6546460000000001</v>
      </c>
      <c r="E2743">
        <v>0.52551959999999998</v>
      </c>
      <c r="F2743" t="s">
        <v>47</v>
      </c>
      <c r="G2743">
        <v>0</v>
      </c>
      <c r="H2743">
        <v>0</v>
      </c>
      <c r="I2743">
        <v>0</v>
      </c>
      <c r="J2743">
        <v>-414.11430000000001</v>
      </c>
      <c r="K2743">
        <v>1.1095820000000001</v>
      </c>
      <c r="L2743">
        <v>285.72629999999998</v>
      </c>
      <c r="M2743">
        <v>-0.99987990000000004</v>
      </c>
      <c r="N2743">
        <v>-1.4547249999999999E-2</v>
      </c>
      <c r="O2743">
        <v>-5.3667080000000004E-3</v>
      </c>
      <c r="P2743">
        <v>-0.99601640000000002</v>
      </c>
      <c r="Q2743">
        <v>-3.1728510000000001E-2</v>
      </c>
      <c r="R2743">
        <v>-8.3336289999999993E-2</v>
      </c>
      <c r="S2743">
        <v>-3.0222470000000001</v>
      </c>
      <c r="T2743">
        <v>0.48450480000000001</v>
      </c>
      <c r="U2743">
        <v>-6.231689E-2</v>
      </c>
      <c r="V2743">
        <v>-7.7987689999999998E-2</v>
      </c>
      <c r="W2743">
        <v>-1.7235629999999998E-2</v>
      </c>
      <c r="X2743">
        <v>0.99680530000000001</v>
      </c>
      <c r="Y2743">
        <v>-1.515442E-2</v>
      </c>
      <c r="Z2743">
        <v>1.636939E-4</v>
      </c>
      <c r="AA2743">
        <v>0.99988509999999997</v>
      </c>
      <c r="AB2743">
        <v>44</v>
      </c>
      <c r="AC2743">
        <v>-3.0222470000000001</v>
      </c>
      <c r="AD2743">
        <v>0.48450480000000001</v>
      </c>
      <c r="AE2743">
        <v>-6.231689E-2</v>
      </c>
      <c r="AF2743">
        <v>-4.4940278051690298E-2</v>
      </c>
      <c r="AG2743">
        <v>0.48450480000000001</v>
      </c>
      <c r="AH2743">
        <v>2.94683589600811</v>
      </c>
      <c r="AI2743">
        <v>80.664299398916697</v>
      </c>
      <c r="AJ2743">
        <v>90.873712946555699</v>
      </c>
      <c r="AK2743">
        <v>2.9867384096730598</v>
      </c>
      <c r="AL2743">
        <v>90.9875777797713</v>
      </c>
      <c r="AM2743">
        <v>94.473573409375206</v>
      </c>
      <c r="AN2743">
        <v>0.99999997642056104</v>
      </c>
    </row>
    <row r="2744" spans="1:40" x14ac:dyDescent="0.25">
      <c r="A2744" t="str">
        <f>"20190305134950957"</f>
        <v>20190305134950957</v>
      </c>
      <c r="B2744" t="str">
        <f>"1551764990953718"</f>
        <v>1551764990953718</v>
      </c>
      <c r="C2744" t="s">
        <v>40</v>
      </c>
      <c r="D2744">
        <v>3.6405080000000001</v>
      </c>
      <c r="E2744">
        <v>0.52569399999999999</v>
      </c>
      <c r="F2744" t="s">
        <v>47</v>
      </c>
      <c r="G2744">
        <v>0</v>
      </c>
      <c r="H2744">
        <v>0</v>
      </c>
      <c r="I2744">
        <v>0</v>
      </c>
      <c r="J2744">
        <v>-414.36950000000002</v>
      </c>
      <c r="K2744">
        <v>1.1095619999999999</v>
      </c>
      <c r="L2744">
        <v>285.72489999999999</v>
      </c>
      <c r="M2744">
        <v>-0.9998802</v>
      </c>
      <c r="N2744">
        <v>-1.454561E-2</v>
      </c>
      <c r="O2744">
        <v>-5.3179439999999998E-3</v>
      </c>
      <c r="P2744">
        <v>-0.99603220000000003</v>
      </c>
      <c r="Q2744">
        <v>-3.1970390000000001E-2</v>
      </c>
      <c r="R2744">
        <v>-8.3054539999999996E-2</v>
      </c>
      <c r="S2744">
        <v>-3.0223689999999999</v>
      </c>
      <c r="T2744">
        <v>0.48492930000000001</v>
      </c>
      <c r="U2744">
        <v>-6.0241699999999898E-2</v>
      </c>
      <c r="V2744">
        <v>-7.7755409999999997E-2</v>
      </c>
      <c r="W2744">
        <v>-1.747516E-2</v>
      </c>
      <c r="X2744">
        <v>0.99681929999999996</v>
      </c>
      <c r="Y2744">
        <v>-1.4522500000000001E-2</v>
      </c>
      <c r="Z2744">
        <v>1.2674100000000001E-4</v>
      </c>
      <c r="AA2744">
        <v>0.99989459999999997</v>
      </c>
      <c r="AB2744">
        <v>44</v>
      </c>
      <c r="AC2744">
        <v>-3.0223689999999999</v>
      </c>
      <c r="AD2744">
        <v>0.48492930000000001</v>
      </c>
      <c r="AE2744">
        <v>-6.0241699999999898E-2</v>
      </c>
      <c r="AF2744">
        <v>-4.3058342819821703E-2</v>
      </c>
      <c r="AG2744">
        <v>0.48492930000000001</v>
      </c>
      <c r="AH2744">
        <v>2.9468164052411199</v>
      </c>
      <c r="AI2744">
        <v>80.656115888963996</v>
      </c>
      <c r="AJ2744">
        <v>90.837135885932497</v>
      </c>
      <c r="AK2744">
        <v>2.98676034744723</v>
      </c>
      <c r="AL2744">
        <v>91.001303881030907</v>
      </c>
      <c r="AM2744">
        <v>94.460240689222104</v>
      </c>
      <c r="AN2744">
        <v>1.0000000009268899</v>
      </c>
    </row>
    <row r="2745" spans="1:40" x14ac:dyDescent="0.25">
      <c r="A2745" t="str">
        <f>"20190305134950971"</f>
        <v>20190305134950971</v>
      </c>
      <c r="B2745" t="str">
        <f>"1551764990963479"</f>
        <v>1551764990963479</v>
      </c>
      <c r="C2745" t="s">
        <v>40</v>
      </c>
      <c r="D2745">
        <v>3.8972020000000001</v>
      </c>
      <c r="E2745">
        <v>0.52625699999999997</v>
      </c>
      <c r="F2745" t="s">
        <v>47</v>
      </c>
      <c r="G2745">
        <v>0</v>
      </c>
      <c r="H2745">
        <v>0</v>
      </c>
      <c r="I2745">
        <v>0</v>
      </c>
      <c r="J2745">
        <v>-414.65629999999999</v>
      </c>
      <c r="K2745">
        <v>1.109542</v>
      </c>
      <c r="L2745">
        <v>285.72340000000003</v>
      </c>
      <c r="M2745">
        <v>-0.9998804</v>
      </c>
      <c r="N2745">
        <v>-1.4543759999999999E-2</v>
      </c>
      <c r="O2745">
        <v>-5.2605919999999997E-3</v>
      </c>
      <c r="P2745">
        <v>-0.99607630000000003</v>
      </c>
      <c r="Q2745">
        <v>-3.2299179999999997E-2</v>
      </c>
      <c r="R2745">
        <v>-8.2395579999999996E-2</v>
      </c>
      <c r="S2745">
        <v>-3.0226139999999999</v>
      </c>
      <c r="T2745">
        <v>0.48363139999999999</v>
      </c>
      <c r="U2745">
        <v>-5.8013919999999997E-2</v>
      </c>
      <c r="V2745">
        <v>-7.7153669999999994E-2</v>
      </c>
      <c r="W2745">
        <v>-1.7801399999999998E-2</v>
      </c>
      <c r="X2745">
        <v>0.99686030000000003</v>
      </c>
      <c r="Y2745">
        <v>-1.384903E-2</v>
      </c>
      <c r="Z2745" s="1">
        <v>8.7261430000000007E-5</v>
      </c>
      <c r="AA2745">
        <v>0.99990409999999996</v>
      </c>
      <c r="AB2745">
        <v>44</v>
      </c>
      <c r="AC2745">
        <v>-3.0226139999999999</v>
      </c>
      <c r="AD2745">
        <v>0.48363139999999999</v>
      </c>
      <c r="AE2745">
        <v>-5.8013919999999997E-2</v>
      </c>
      <c r="AF2745">
        <v>-4.1059892833573801E-2</v>
      </c>
      <c r="AG2745">
        <v>0.48363139999999999</v>
      </c>
      <c r="AH2745">
        <v>2.9474464391289499</v>
      </c>
      <c r="AI2745">
        <v>80.682553363571401</v>
      </c>
      <c r="AJ2745">
        <v>90.798116760061404</v>
      </c>
      <c r="AK2745">
        <v>2.9871434109194301</v>
      </c>
      <c r="AL2745">
        <v>91.0199989469386</v>
      </c>
      <c r="AM2745">
        <v>94.425679776474894</v>
      </c>
      <c r="AN2745">
        <v>1.0000000181762501</v>
      </c>
    </row>
    <row r="2746" spans="1:40" x14ac:dyDescent="0.25">
      <c r="A2746" t="str">
        <f>"20190305134950983"</f>
        <v>20190305134950983</v>
      </c>
      <c r="B2746" t="str">
        <f>"1551764990973239"</f>
        <v>1551764990973239</v>
      </c>
      <c r="C2746" t="s">
        <v>40</v>
      </c>
      <c r="D2746">
        <v>3.6567069999999999</v>
      </c>
      <c r="E2746">
        <v>0.526632199999999</v>
      </c>
      <c r="F2746" t="s">
        <v>47</v>
      </c>
      <c r="G2746">
        <v>0</v>
      </c>
      <c r="H2746">
        <v>0</v>
      </c>
      <c r="I2746">
        <v>0</v>
      </c>
      <c r="J2746">
        <v>-414.90809999999999</v>
      </c>
      <c r="K2746">
        <v>1.109532</v>
      </c>
      <c r="L2746">
        <v>285.72210000000001</v>
      </c>
      <c r="M2746">
        <v>-0.99988080000000001</v>
      </c>
      <c r="N2746">
        <v>-1.454213E-2</v>
      </c>
      <c r="O2746">
        <v>-5.2106180000000002E-3</v>
      </c>
      <c r="P2746">
        <v>-0.99609380000000003</v>
      </c>
      <c r="Q2746">
        <v>-3.1922949999999999E-2</v>
      </c>
      <c r="R2746">
        <v>-8.2332840000000004E-2</v>
      </c>
      <c r="S2746">
        <v>-3.0232239999999999</v>
      </c>
      <c r="T2746">
        <v>0.48579630000000001</v>
      </c>
      <c r="U2746">
        <v>-5.2062990000000003E-2</v>
      </c>
      <c r="V2746">
        <v>-7.7141829999999995E-2</v>
      </c>
      <c r="W2746">
        <v>-1.7423939999999999E-2</v>
      </c>
      <c r="X2746">
        <v>0.99686790000000003</v>
      </c>
      <c r="Y2746">
        <v>-1.194811E-2</v>
      </c>
      <c r="Z2746" s="1">
        <v>-4.0738729999999999E-5</v>
      </c>
      <c r="AA2746">
        <v>0.99992859999999995</v>
      </c>
      <c r="AB2746">
        <v>44</v>
      </c>
      <c r="AC2746">
        <v>-3.0232239999999999</v>
      </c>
      <c r="AD2746">
        <v>0.48579630000000001</v>
      </c>
      <c r="AE2746">
        <v>-5.2062990000000003E-2</v>
      </c>
      <c r="AF2746">
        <v>-3.5394124076121303E-2</v>
      </c>
      <c r="AG2746">
        <v>0.48579630000000001</v>
      </c>
      <c r="AH2746">
        <v>2.9473736172315501</v>
      </c>
      <c r="AI2746">
        <v>80.641125280495601</v>
      </c>
      <c r="AJ2746">
        <v>90.688014727310602</v>
      </c>
      <c r="AK2746">
        <v>2.9873503357767399</v>
      </c>
      <c r="AL2746">
        <v>90.998368712457506</v>
      </c>
      <c r="AM2746">
        <v>94.424969707699304</v>
      </c>
      <c r="AN2746">
        <v>1.00000003283564</v>
      </c>
    </row>
    <row r="2747" spans="1:40" x14ac:dyDescent="0.25">
      <c r="A2747" t="str">
        <f>"20190305134950996"</f>
        <v>20190305134950996</v>
      </c>
      <c r="B2747" t="str">
        <f>"1551764990993734"</f>
        <v>1551764990993734</v>
      </c>
      <c r="C2747" t="s">
        <v>40</v>
      </c>
      <c r="D2747">
        <v>3.643313</v>
      </c>
      <c r="E2747">
        <v>0.52734199999999998</v>
      </c>
      <c r="F2747" t="s">
        <v>47</v>
      </c>
      <c r="G2747">
        <v>0</v>
      </c>
      <c r="H2747">
        <v>0</v>
      </c>
      <c r="I2747">
        <v>0</v>
      </c>
      <c r="J2747">
        <v>-415.1551</v>
      </c>
      <c r="K2747">
        <v>1.109524</v>
      </c>
      <c r="L2747">
        <v>285.7208</v>
      </c>
      <c r="M2747">
        <v>-0.99988109999999997</v>
      </c>
      <c r="N2747">
        <v>-1.4540519999999999E-2</v>
      </c>
      <c r="O2747">
        <v>-5.1630720000000003E-3</v>
      </c>
      <c r="P2747">
        <v>-0.99611190000000005</v>
      </c>
      <c r="Q2747">
        <v>-3.1721569999999998E-2</v>
      </c>
      <c r="R2747">
        <v>-8.2191040000000007E-2</v>
      </c>
      <c r="S2747">
        <v>-3.0234380000000001</v>
      </c>
      <c r="T2747">
        <v>0.48921320000000001</v>
      </c>
      <c r="U2747">
        <v>-4.9041750000000002E-2</v>
      </c>
      <c r="V2747">
        <v>-7.7047969999999993E-2</v>
      </c>
      <c r="W2747">
        <v>-1.7221730000000001E-2</v>
      </c>
      <c r="X2747">
        <v>0.99687859999999995</v>
      </c>
      <c r="Y2747">
        <v>-1.100491E-2</v>
      </c>
      <c r="Z2747">
        <v>-1.004657E-4</v>
      </c>
      <c r="AA2747">
        <v>0.99993940000000003</v>
      </c>
      <c r="AB2747">
        <v>44</v>
      </c>
      <c r="AC2747">
        <v>-3.0234380000000001</v>
      </c>
      <c r="AD2747">
        <v>0.48921320000000001</v>
      </c>
      <c r="AE2747">
        <v>-4.9041750000000002E-2</v>
      </c>
      <c r="AF2747">
        <v>-3.2576542215736602E-2</v>
      </c>
      <c r="AG2747">
        <v>0.48921320000000001</v>
      </c>
      <c r="AH2747">
        <v>2.9465267843007701</v>
      </c>
      <c r="AI2747">
        <v>80.573713911541503</v>
      </c>
      <c r="AJ2747">
        <v>90.633431315220307</v>
      </c>
      <c r="AK2747">
        <v>2.9870404879677799</v>
      </c>
      <c r="AL2747">
        <v>90.986781266001302</v>
      </c>
      <c r="AM2747">
        <v>94.419559853148598</v>
      </c>
      <c r="AN2747">
        <v>0.99999996040163597</v>
      </c>
    </row>
    <row r="2748" spans="1:40" x14ac:dyDescent="0.25">
      <c r="A2748" t="str">
        <f>"20190305134951009"</f>
        <v>20190305134951009</v>
      </c>
      <c r="B2748" t="str">
        <f>"1551764991003494"</f>
        <v>1551764991003494</v>
      </c>
      <c r="C2748" t="s">
        <v>40</v>
      </c>
      <c r="D2748">
        <v>3.625791</v>
      </c>
      <c r="E2748">
        <v>0.52713859999999901</v>
      </c>
      <c r="F2748" t="s">
        <v>47</v>
      </c>
      <c r="G2748">
        <v>0</v>
      </c>
      <c r="H2748">
        <v>0</v>
      </c>
      <c r="I2748">
        <v>0</v>
      </c>
      <c r="J2748">
        <v>-415.41489999999999</v>
      </c>
      <c r="K2748">
        <v>1.1095170000000001</v>
      </c>
      <c r="L2748">
        <v>285.71949999999998</v>
      </c>
      <c r="M2748">
        <v>-0.99988129999999997</v>
      </c>
      <c r="N2748">
        <v>-1.4538819999999999E-2</v>
      </c>
      <c r="O2748">
        <v>-5.1141169999999996E-3</v>
      </c>
      <c r="P2748">
        <v>-0.99608929999999996</v>
      </c>
      <c r="Q2748">
        <v>-3.1633130000000002E-2</v>
      </c>
      <c r="R2748">
        <v>-8.2492969999999999E-2</v>
      </c>
      <c r="S2748">
        <v>-3.0238649999999998</v>
      </c>
      <c r="T2748">
        <v>0.49509049999999999</v>
      </c>
      <c r="U2748">
        <v>-4.3853759999999999E-2</v>
      </c>
      <c r="V2748">
        <v>-7.739936E-2</v>
      </c>
      <c r="W2748">
        <v>-1.7133309999999999E-2</v>
      </c>
      <c r="X2748">
        <v>0.99685290000000004</v>
      </c>
      <c r="Y2748">
        <v>-9.3541040000000002E-3</v>
      </c>
      <c r="Z2748">
        <v>-2.133065E-4</v>
      </c>
      <c r="AA2748">
        <v>0.99995630000000002</v>
      </c>
      <c r="AB2748">
        <v>44</v>
      </c>
      <c r="AC2748">
        <v>-3.0238649999999998</v>
      </c>
      <c r="AD2748">
        <v>0.49509049999999999</v>
      </c>
      <c r="AE2748">
        <v>-4.3853759999999999E-2</v>
      </c>
      <c r="AF2748">
        <v>-2.7646204023610999E-2</v>
      </c>
      <c r="AG2748">
        <v>0.49509049999999999</v>
      </c>
      <c r="AH2748">
        <v>2.9451172826720899</v>
      </c>
      <c r="AI2748">
        <v>80.4578965980688</v>
      </c>
      <c r="AJ2748">
        <v>90.537827235315802</v>
      </c>
      <c r="AK2748">
        <v>2.98656905570272</v>
      </c>
      <c r="AL2748">
        <v>90.981714428004096</v>
      </c>
      <c r="AM2748">
        <v>94.439749586145396</v>
      </c>
      <c r="AN2748">
        <v>0.99999995773918604</v>
      </c>
    </row>
    <row r="2749" spans="1:40" x14ac:dyDescent="0.25">
      <c r="A2749" t="str">
        <f>"20190305134951021"</f>
        <v>20190305134951021</v>
      </c>
      <c r="B2749" t="str">
        <f>"1551764991013254"</f>
        <v>1551764991013254</v>
      </c>
      <c r="C2749" t="s">
        <v>40</v>
      </c>
      <c r="D2749">
        <v>3.6758850000000001</v>
      </c>
      <c r="E2749">
        <v>0.5271074</v>
      </c>
      <c r="F2749" t="s">
        <v>47</v>
      </c>
      <c r="G2749">
        <v>0</v>
      </c>
      <c r="H2749">
        <v>0</v>
      </c>
      <c r="I2749">
        <v>0</v>
      </c>
      <c r="J2749">
        <v>-415.6431</v>
      </c>
      <c r="K2749">
        <v>1.1095109999999999</v>
      </c>
      <c r="L2749">
        <v>285.7183</v>
      </c>
      <c r="M2749">
        <v>-0.99988140000000003</v>
      </c>
      <c r="N2749">
        <v>-1.4537329999999999E-2</v>
      </c>
      <c r="O2749">
        <v>-5.0757409999999999E-3</v>
      </c>
      <c r="P2749">
        <v>-0.99607809999999997</v>
      </c>
      <c r="Q2749">
        <v>-3.14983E-2</v>
      </c>
      <c r="R2749">
        <v>-8.2680729999999994E-2</v>
      </c>
      <c r="S2749">
        <v>-3.0236209999999999</v>
      </c>
      <c r="T2749">
        <v>0.49563220000000002</v>
      </c>
      <c r="U2749">
        <v>-4.6844480000000001E-2</v>
      </c>
      <c r="V2749">
        <v>-7.7625319999999998E-2</v>
      </c>
      <c r="W2749">
        <v>-1.6999050000000002E-2</v>
      </c>
      <c r="X2749">
        <v>0.99683770000000005</v>
      </c>
      <c r="Y2749">
        <v>-1.036946E-2</v>
      </c>
      <c r="Z2749">
        <v>-1.313346E-4</v>
      </c>
      <c r="AA2749">
        <v>0.99994620000000001</v>
      </c>
      <c r="AB2749">
        <v>44</v>
      </c>
      <c r="AC2749">
        <v>-3.0236209999999999</v>
      </c>
      <c r="AD2749">
        <v>0.49563220000000002</v>
      </c>
      <c r="AE2749">
        <v>-4.6844480000000001E-2</v>
      </c>
      <c r="AF2749">
        <v>-3.0671205558379201E-2</v>
      </c>
      <c r="AG2749">
        <v>0.49563220000000002</v>
      </c>
      <c r="AH2749">
        <v>2.9447149443910501</v>
      </c>
      <c r="AI2749">
        <v>80.446462862172993</v>
      </c>
      <c r="AJ2749">
        <v>90.596752867285204</v>
      </c>
      <c r="AK2749">
        <v>2.9862916977829199</v>
      </c>
      <c r="AL2749">
        <v>90.974020706340795</v>
      </c>
      <c r="AM2749">
        <v>94.452726583113702</v>
      </c>
      <c r="AN2749">
        <v>1.0000000290736399</v>
      </c>
    </row>
    <row r="2750" spans="1:40" x14ac:dyDescent="0.25">
      <c r="A2750" t="str">
        <f>"20190305134951033"</f>
        <v>20190305134951033</v>
      </c>
      <c r="B2750" t="str">
        <f>"1551764991023015"</f>
        <v>1551764991023015</v>
      </c>
      <c r="C2750" t="s">
        <v>40</v>
      </c>
      <c r="D2750">
        <v>3.6568860000000001</v>
      </c>
      <c r="E2750">
        <v>0.5270087</v>
      </c>
      <c r="F2750" t="s">
        <v>47</v>
      </c>
      <c r="G2750">
        <v>0</v>
      </c>
      <c r="H2750">
        <v>0</v>
      </c>
      <c r="I2750">
        <v>0</v>
      </c>
      <c r="J2750">
        <v>-415.87920000000003</v>
      </c>
      <c r="K2750">
        <v>1.109504</v>
      </c>
      <c r="L2750">
        <v>285.71719999999999</v>
      </c>
      <c r="M2750">
        <v>-0.99988169999999998</v>
      </c>
      <c r="N2750">
        <v>-1.453578E-2</v>
      </c>
      <c r="O2750">
        <v>-5.037494E-3</v>
      </c>
      <c r="P2750">
        <v>-0.99603960000000002</v>
      </c>
      <c r="Q2750">
        <v>-3.1749729999999997E-2</v>
      </c>
      <c r="R2750">
        <v>-8.3049010000000006E-2</v>
      </c>
      <c r="S2750">
        <v>-3.0235289999999999</v>
      </c>
      <c r="T2750">
        <v>0.49637589999999998</v>
      </c>
      <c r="U2750">
        <v>-4.7851560000000001E-2</v>
      </c>
      <c r="V2750">
        <v>-7.8032340000000006E-2</v>
      </c>
      <c r="W2750">
        <v>-1.7251539999999999E-2</v>
      </c>
      <c r="X2750">
        <v>0.99680159999999995</v>
      </c>
      <c r="Y2750">
        <v>-1.073591E-2</v>
      </c>
      <c r="Z2750" s="1">
        <v>-9.7303830000000004E-5</v>
      </c>
      <c r="AA2750">
        <v>0.99994240000000001</v>
      </c>
      <c r="AB2750">
        <v>44</v>
      </c>
      <c r="AC2750">
        <v>-3.0235289999999999</v>
      </c>
      <c r="AD2750">
        <v>0.49637589999999998</v>
      </c>
      <c r="AE2750">
        <v>-4.7851560000000001E-2</v>
      </c>
      <c r="AF2750">
        <v>-3.17624825984376E-2</v>
      </c>
      <c r="AG2750">
        <v>0.49637589999999998</v>
      </c>
      <c r="AH2750">
        <v>2.94439389024215</v>
      </c>
      <c r="AI2750">
        <v>80.431405571108101</v>
      </c>
      <c r="AJ2750">
        <v>90.618051008437007</v>
      </c>
      <c r="AK2750">
        <v>2.9861100566283398</v>
      </c>
      <c r="AL2750">
        <v>90.988489422670895</v>
      </c>
      <c r="AM2750">
        <v>94.476140789352598</v>
      </c>
      <c r="AN2750">
        <v>1.0000000457403999</v>
      </c>
    </row>
    <row r="2751" spans="1:40" x14ac:dyDescent="0.25">
      <c r="A2751" t="str">
        <f>"20190305134951054"</f>
        <v>20190305134951054</v>
      </c>
      <c r="B2751" t="str">
        <f>"1551764991043510"</f>
        <v>1551764991043510</v>
      </c>
      <c r="C2751" t="s">
        <v>40</v>
      </c>
      <c r="D2751">
        <v>3.6567820000000002</v>
      </c>
      <c r="E2751">
        <v>0.52691940000000004</v>
      </c>
      <c r="F2751" t="s">
        <v>47</v>
      </c>
      <c r="G2751">
        <v>0</v>
      </c>
      <c r="H2751">
        <v>0</v>
      </c>
      <c r="I2751">
        <v>0</v>
      </c>
      <c r="J2751">
        <v>-416.28820000000002</v>
      </c>
      <c r="K2751">
        <v>1.1094999999999999</v>
      </c>
      <c r="L2751">
        <v>285.71510000000001</v>
      </c>
      <c r="M2751">
        <v>-0.99988200000000005</v>
      </c>
      <c r="N2751">
        <v>-1.453312E-2</v>
      </c>
      <c r="O2751">
        <v>-4.9779020000000002E-3</v>
      </c>
      <c r="P2751">
        <v>-0.9959443</v>
      </c>
      <c r="Q2751">
        <v>-3.2737479999999999E-2</v>
      </c>
      <c r="R2751">
        <v>-8.3804240000000002E-2</v>
      </c>
      <c r="S2751">
        <v>-3.0235599999999998</v>
      </c>
      <c r="T2751">
        <v>0.49494139999999998</v>
      </c>
      <c r="U2751">
        <v>-4.9682619999999997E-2</v>
      </c>
      <c r="V2751">
        <v>-7.8847970000000003E-2</v>
      </c>
      <c r="W2751">
        <v>-1.8242149999999999E-2</v>
      </c>
      <c r="X2751">
        <v>0.99671969999999999</v>
      </c>
      <c r="Y2751">
        <v>-1.139222E-2</v>
      </c>
      <c r="Z2751" s="1">
        <v>-3.8321249999999998E-5</v>
      </c>
      <c r="AA2751">
        <v>0.99993509999999997</v>
      </c>
      <c r="AB2751">
        <v>44</v>
      </c>
      <c r="AC2751">
        <v>-3.0235599999999998</v>
      </c>
      <c r="AD2751">
        <v>0.49494139999999998</v>
      </c>
      <c r="AE2751">
        <v>-4.9682619999999997E-2</v>
      </c>
      <c r="AF2751">
        <v>-3.3725951735010501E-2</v>
      </c>
      <c r="AG2751">
        <v>0.49494139999999998</v>
      </c>
      <c r="AH2751">
        <v>2.9448800906543502</v>
      </c>
      <c r="AI2751">
        <v>80.460164742759005</v>
      </c>
      <c r="AJ2751">
        <v>90.656145636050795</v>
      </c>
      <c r="AK2751">
        <v>2.9863729133493599</v>
      </c>
      <c r="AL2751">
        <v>91.045256214413101</v>
      </c>
      <c r="AM2751">
        <v>94.523104453827401</v>
      </c>
      <c r="AN2751">
        <v>0.999999969388916</v>
      </c>
    </row>
    <row r="2752" spans="1:40" x14ac:dyDescent="0.25">
      <c r="A2752" t="str">
        <f>"20190305134951064"</f>
        <v>20190305134951064</v>
      </c>
      <c r="B2752" t="str">
        <f>"1551764991053270"</f>
        <v>1551764991053270</v>
      </c>
      <c r="C2752" t="s">
        <v>40</v>
      </c>
      <c r="D2752">
        <v>3.7014369999999999</v>
      </c>
      <c r="E2752">
        <v>0.52691940000000004</v>
      </c>
      <c r="F2752" t="s">
        <v>47</v>
      </c>
      <c r="G2752">
        <v>0</v>
      </c>
      <c r="H2752">
        <v>0</v>
      </c>
      <c r="I2752">
        <v>0</v>
      </c>
      <c r="J2752">
        <v>-416.51260000000002</v>
      </c>
      <c r="K2752">
        <v>1.109497</v>
      </c>
      <c r="L2752">
        <v>285.714</v>
      </c>
      <c r="M2752">
        <v>-0.9998821</v>
      </c>
      <c r="N2752">
        <v>-1.453167E-2</v>
      </c>
      <c r="O2752">
        <v>-4.9483009999999996E-3</v>
      </c>
      <c r="P2752">
        <v>-0.99589000000000005</v>
      </c>
      <c r="Q2752">
        <v>-3.2830230000000002E-2</v>
      </c>
      <c r="R2752">
        <v>-8.4413340000000003E-2</v>
      </c>
      <c r="S2752">
        <v>-3.023895</v>
      </c>
      <c r="T2752">
        <v>0.49162210000000001</v>
      </c>
      <c r="U2752">
        <v>-5.3039549999999998E-2</v>
      </c>
      <c r="V2752">
        <v>-7.9486600000000004E-2</v>
      </c>
      <c r="W2752">
        <v>-1.8336689999999999E-2</v>
      </c>
      <c r="X2752">
        <v>0.99666730000000003</v>
      </c>
      <c r="Y2752">
        <v>-1.251683E-2</v>
      </c>
      <c r="Z2752" s="1">
        <v>4.8710849999999998E-5</v>
      </c>
      <c r="AA2752">
        <v>0.99992170000000002</v>
      </c>
      <c r="AB2752">
        <v>44</v>
      </c>
      <c r="AC2752">
        <v>-3.023895</v>
      </c>
      <c r="AD2752">
        <v>0.49162210000000001</v>
      </c>
      <c r="AE2752">
        <v>-5.3039549999999998E-2</v>
      </c>
      <c r="AF2752">
        <v>-3.7094010855920997E-2</v>
      </c>
      <c r="AG2752">
        <v>0.49162210000000001</v>
      </c>
      <c r="AH2752">
        <v>2.94626874589874</v>
      </c>
      <c r="AI2752">
        <v>80.527491818102703</v>
      </c>
      <c r="AJ2752">
        <v>90.7213252300634</v>
      </c>
      <c r="AK2752">
        <v>2.9872341351004801</v>
      </c>
      <c r="AL2752">
        <v>91.050673799720499</v>
      </c>
      <c r="AM2752">
        <v>94.559824239333196</v>
      </c>
      <c r="AN2752">
        <v>1.0000000303345</v>
      </c>
    </row>
    <row r="2753" spans="1:40" x14ac:dyDescent="0.25">
      <c r="A2753" t="str">
        <f>"20190305134951077"</f>
        <v>20190305134951077</v>
      </c>
      <c r="B2753" t="str">
        <f>"1551764991073767"</f>
        <v>1551764991073767</v>
      </c>
      <c r="C2753" t="s">
        <v>40</v>
      </c>
      <c r="D2753">
        <v>3.687643</v>
      </c>
      <c r="E2753">
        <v>0.52675169999999905</v>
      </c>
      <c r="F2753" t="s">
        <v>47</v>
      </c>
      <c r="G2753">
        <v>0</v>
      </c>
      <c r="H2753">
        <v>0</v>
      </c>
      <c r="I2753">
        <v>0</v>
      </c>
      <c r="J2753">
        <v>-416.7364</v>
      </c>
      <c r="K2753">
        <v>1.109497</v>
      </c>
      <c r="L2753">
        <v>285.71289999999999</v>
      </c>
      <c r="M2753">
        <v>-0.9998823</v>
      </c>
      <c r="N2753">
        <v>-1.4530299999999999E-2</v>
      </c>
      <c r="O2753">
        <v>-4.9207340000000004E-3</v>
      </c>
      <c r="P2753">
        <v>-0.99582689999999996</v>
      </c>
      <c r="Q2753">
        <v>-3.3083939999999999E-2</v>
      </c>
      <c r="R2753">
        <v>-8.5055900000000004E-2</v>
      </c>
      <c r="S2753">
        <v>-3.023895</v>
      </c>
      <c r="T2753">
        <v>0.49149999999999999</v>
      </c>
      <c r="U2753">
        <v>-5.5297850000000003E-2</v>
      </c>
      <c r="V2753">
        <v>-8.0157270000000003E-2</v>
      </c>
      <c r="W2753">
        <v>-1.8592299999999999E-2</v>
      </c>
      <c r="X2753">
        <v>0.99660879999999996</v>
      </c>
      <c r="Y2753">
        <v>-1.32814E-2</v>
      </c>
      <c r="Z2753">
        <v>1.0966E-4</v>
      </c>
      <c r="AA2753">
        <v>0.99991180000000002</v>
      </c>
      <c r="AB2753">
        <v>44</v>
      </c>
      <c r="AC2753">
        <v>-3.023895</v>
      </c>
      <c r="AD2753">
        <v>0.49149999999999999</v>
      </c>
      <c r="AE2753">
        <v>-5.5297850000000003E-2</v>
      </c>
      <c r="AF2753">
        <v>-3.93759082995494E-2</v>
      </c>
      <c r="AG2753">
        <v>0.49149999999999999</v>
      </c>
      <c r="AH2753">
        <v>2.9463182485519601</v>
      </c>
      <c r="AI2753">
        <v>80.530051452298594</v>
      </c>
      <c r="AJ2753">
        <v>90.765680712761295</v>
      </c>
      <c r="AK2753">
        <v>2.9872920737525299</v>
      </c>
      <c r="AL2753">
        <v>91.065321723409795</v>
      </c>
      <c r="AM2753">
        <v>94.598402314840399</v>
      </c>
      <c r="AN2753">
        <v>0.99999998089529096</v>
      </c>
    </row>
    <row r="2754" spans="1:40" x14ac:dyDescent="0.25">
      <c r="A2754" t="str">
        <f>"20190305134951088"</f>
        <v>20190305134951088</v>
      </c>
      <c r="B2754" t="str">
        <f>"1551764991083527"</f>
        <v>1551764991083527</v>
      </c>
      <c r="C2754" t="s">
        <v>40</v>
      </c>
      <c r="D2754">
        <v>3.6575799999999998</v>
      </c>
      <c r="E2754">
        <v>0.52677430000000003</v>
      </c>
      <c r="F2754" t="s">
        <v>47</v>
      </c>
      <c r="G2754">
        <v>0</v>
      </c>
      <c r="H2754">
        <v>0</v>
      </c>
      <c r="I2754">
        <v>0</v>
      </c>
      <c r="J2754">
        <v>-416.96379999999999</v>
      </c>
      <c r="K2754">
        <v>1.10949599999999</v>
      </c>
      <c r="L2754">
        <v>285.71179999999998</v>
      </c>
      <c r="M2754">
        <v>-0.99988259999999995</v>
      </c>
      <c r="N2754">
        <v>-1.4528940000000001E-2</v>
      </c>
      <c r="O2754">
        <v>-4.8941239999999997E-3</v>
      </c>
      <c r="P2754">
        <v>-0.99577800000000005</v>
      </c>
      <c r="Q2754">
        <v>-3.308175E-2</v>
      </c>
      <c r="R2754">
        <v>-8.5628640000000006E-2</v>
      </c>
      <c r="S2754">
        <v>-3.0238040000000002</v>
      </c>
      <c r="T2754">
        <v>0.48909799999999998</v>
      </c>
      <c r="U2754">
        <v>-5.859375E-2</v>
      </c>
      <c r="V2754">
        <v>-8.0756499999999995E-2</v>
      </c>
      <c r="W2754">
        <v>-1.8591880000000002E-2</v>
      </c>
      <c r="X2754">
        <v>0.99656049999999996</v>
      </c>
      <c r="Y2754">
        <v>-1.4385530000000001E-2</v>
      </c>
      <c r="Z2754">
        <v>1.9364490000000001E-4</v>
      </c>
      <c r="AA2754">
        <v>0.99989649999999997</v>
      </c>
      <c r="AB2754">
        <v>44</v>
      </c>
      <c r="AC2754">
        <v>-3.0238040000000002</v>
      </c>
      <c r="AD2754">
        <v>0.48909799999999998</v>
      </c>
      <c r="AE2754">
        <v>-5.859375E-2</v>
      </c>
      <c r="AF2754">
        <v>-4.2676497787378899E-2</v>
      </c>
      <c r="AG2754">
        <v>0.48909799999999998</v>
      </c>
      <c r="AH2754">
        <v>2.94698215920114</v>
      </c>
      <c r="AI2754">
        <v>80.577728584082294</v>
      </c>
      <c r="AJ2754">
        <v>90.829666475480707</v>
      </c>
      <c r="AK2754">
        <v>2.9875980291393298</v>
      </c>
      <c r="AL2754">
        <v>91.065297581154098</v>
      </c>
      <c r="AM2754">
        <v>94.632852969076794</v>
      </c>
      <c r="AN2754">
        <v>1.0000000502272099</v>
      </c>
    </row>
    <row r="2755" spans="1:40" x14ac:dyDescent="0.25">
      <c r="A2755" t="str">
        <f>"20190305134951111"</f>
        <v>20190305134951111</v>
      </c>
      <c r="B2755" t="str">
        <f>"1551764991103046"</f>
        <v>1551764991103046</v>
      </c>
      <c r="C2755" t="s">
        <v>40</v>
      </c>
      <c r="D2755">
        <v>3.6970390000000002</v>
      </c>
      <c r="E2755">
        <v>0.52668590000000004</v>
      </c>
      <c r="F2755" t="s">
        <v>47</v>
      </c>
      <c r="G2755">
        <v>0</v>
      </c>
      <c r="H2755">
        <v>0</v>
      </c>
      <c r="I2755">
        <v>0</v>
      </c>
      <c r="J2755">
        <v>-417.40519999999998</v>
      </c>
      <c r="K2755">
        <v>1.1094999999999999</v>
      </c>
      <c r="L2755">
        <v>285.7097</v>
      </c>
      <c r="M2755">
        <v>-0.99988279999999996</v>
      </c>
      <c r="N2755">
        <v>-1.452612E-2</v>
      </c>
      <c r="O2755">
        <v>-4.8471119999999998E-3</v>
      </c>
      <c r="P2755">
        <v>-0.99568959999999995</v>
      </c>
      <c r="Q2755">
        <v>-3.2408289999999999E-2</v>
      </c>
      <c r="R2755">
        <v>-8.6902969999999996E-2</v>
      </c>
      <c r="S2755">
        <v>-3.0238040000000002</v>
      </c>
      <c r="T2755">
        <v>0.48877670000000001</v>
      </c>
      <c r="U2755">
        <v>-6.0272220000000001E-2</v>
      </c>
      <c r="V2755">
        <v>-8.2077999999999998E-2</v>
      </c>
      <c r="W2755">
        <v>-1.7922049999999998E-2</v>
      </c>
      <c r="X2755">
        <v>0.99646469999999998</v>
      </c>
      <c r="Y2755">
        <v>-1.497976E-2</v>
      </c>
      <c r="Z2755">
        <v>2.4503479999999999E-4</v>
      </c>
      <c r="AA2755">
        <v>0.99988779999999999</v>
      </c>
      <c r="AB2755">
        <v>44</v>
      </c>
      <c r="AC2755">
        <v>-3.0238040000000002</v>
      </c>
      <c r="AD2755">
        <v>0.48877670000000001</v>
      </c>
      <c r="AE2755">
        <v>-6.0272220000000001E-2</v>
      </c>
      <c r="AF2755">
        <v>-4.4452242328404001E-2</v>
      </c>
      <c r="AG2755">
        <v>0.48877670000000001</v>
      </c>
      <c r="AH2755">
        <v>2.9470883664936198</v>
      </c>
      <c r="AI2755">
        <v>80.584222950231904</v>
      </c>
      <c r="AJ2755">
        <v>90.864152150990193</v>
      </c>
      <c r="AK2755">
        <v>2.98767610430464</v>
      </c>
      <c r="AL2755">
        <v>91.026912857518397</v>
      </c>
      <c r="AM2755">
        <v>94.708777520257698</v>
      </c>
      <c r="AN2755">
        <v>0.99999994815314397</v>
      </c>
    </row>
    <row r="2756" spans="1:40" x14ac:dyDescent="0.25">
      <c r="A2756" t="str">
        <f>"20190305134951132"</f>
        <v>20190305134951132</v>
      </c>
      <c r="B2756" t="str">
        <f>"1551764991123542"</f>
        <v>1551764991123542</v>
      </c>
      <c r="C2756" t="s">
        <v>40</v>
      </c>
      <c r="D2756">
        <v>3.6746919999999998</v>
      </c>
      <c r="E2756">
        <v>0.52677750000000001</v>
      </c>
      <c r="F2756" t="s">
        <v>47</v>
      </c>
      <c r="G2756">
        <v>0</v>
      </c>
      <c r="H2756">
        <v>0</v>
      </c>
      <c r="I2756">
        <v>0</v>
      </c>
      <c r="J2756">
        <v>-417.82830000000001</v>
      </c>
      <c r="K2756">
        <v>1.109499</v>
      </c>
      <c r="L2756">
        <v>285.70760000000001</v>
      </c>
      <c r="M2756">
        <v>-0.99988290000000002</v>
      </c>
      <c r="N2756">
        <v>-1.452343E-2</v>
      </c>
      <c r="O2756">
        <v>-4.8063070000000001E-3</v>
      </c>
      <c r="P2756">
        <v>-0.99564549999999996</v>
      </c>
      <c r="Q2756">
        <v>-3.1289669999999999E-2</v>
      </c>
      <c r="R2756">
        <v>-8.7811819999999999E-2</v>
      </c>
      <c r="S2756">
        <v>-3.023285</v>
      </c>
      <c r="T2756">
        <v>0.4901508</v>
      </c>
      <c r="U2756">
        <v>-6.4880370000000007E-2</v>
      </c>
      <c r="V2756">
        <v>-8.3027970000000006E-2</v>
      </c>
      <c r="W2756">
        <v>-1.6806479999999999E-2</v>
      </c>
      <c r="X2756">
        <v>0.99640550000000006</v>
      </c>
      <c r="Y2756">
        <v>-1.6527670000000001E-2</v>
      </c>
      <c r="Z2756">
        <v>3.668112E-4</v>
      </c>
      <c r="AA2756">
        <v>0.99986330000000001</v>
      </c>
      <c r="AB2756">
        <v>44</v>
      </c>
      <c r="AC2756">
        <v>-3.023285</v>
      </c>
      <c r="AD2756">
        <v>0.4901508</v>
      </c>
      <c r="AE2756">
        <v>-6.4880370000000007E-2</v>
      </c>
      <c r="AF2756">
        <v>-4.9058365157286697E-2</v>
      </c>
      <c r="AG2756">
        <v>0.4901508</v>
      </c>
      <c r="AH2756">
        <v>2.9461589982026402</v>
      </c>
      <c r="AI2756">
        <v>80.555534270131105</v>
      </c>
      <c r="AJ2756">
        <v>90.953980258628803</v>
      </c>
      <c r="AK2756">
        <v>2.9870566403439498</v>
      </c>
      <c r="AL2756">
        <v>90.9629856993038</v>
      </c>
      <c r="AM2756">
        <v>94.763309239031202</v>
      </c>
      <c r="AN2756">
        <v>1.0000000110012801</v>
      </c>
    </row>
    <row r="2757" spans="1:40" x14ac:dyDescent="0.25">
      <c r="A2757" t="str">
        <f>"20190305134951144"</f>
        <v>20190305134951144</v>
      </c>
      <c r="B2757" t="str">
        <f>"1551764991133302"</f>
        <v>1551764991133302</v>
      </c>
      <c r="C2757" t="s">
        <v>40</v>
      </c>
      <c r="D2757">
        <v>3.6870129999999999</v>
      </c>
      <c r="E2757">
        <v>0.52677010000000002</v>
      </c>
      <c r="F2757" t="s">
        <v>47</v>
      </c>
      <c r="G2757">
        <v>0</v>
      </c>
      <c r="H2757">
        <v>0</v>
      </c>
      <c r="I2757">
        <v>0</v>
      </c>
      <c r="J2757">
        <v>-418.0557</v>
      </c>
      <c r="K2757">
        <v>1.109499</v>
      </c>
      <c r="L2757">
        <v>285.70659999999998</v>
      </c>
      <c r="M2757">
        <v>-0.99988319999999997</v>
      </c>
      <c r="N2757">
        <v>-1.452196E-2</v>
      </c>
      <c r="O2757">
        <v>-4.7855470000000002E-3</v>
      </c>
      <c r="P2757">
        <v>-0.99562309999999998</v>
      </c>
      <c r="Q2757">
        <v>-3.1463190000000002E-2</v>
      </c>
      <c r="R2757">
        <v>-8.8005410000000006E-2</v>
      </c>
      <c r="S2757">
        <v>-3.022675</v>
      </c>
      <c r="T2757">
        <v>0.4928362</v>
      </c>
      <c r="U2757">
        <v>-6.6772460000000006E-2</v>
      </c>
      <c r="V2757">
        <v>-8.3242010000000005E-2</v>
      </c>
      <c r="W2757">
        <v>-1.6981650000000001E-2</v>
      </c>
      <c r="X2757">
        <v>0.99638470000000001</v>
      </c>
      <c r="Y2757">
        <v>-1.7168760000000002E-2</v>
      </c>
      <c r="Z2757">
        <v>4.2083929999999999E-4</v>
      </c>
      <c r="AA2757">
        <v>0.99985250000000003</v>
      </c>
      <c r="AB2757">
        <v>44</v>
      </c>
      <c r="AC2757">
        <v>-3.022675</v>
      </c>
      <c r="AD2757">
        <v>0.4928362</v>
      </c>
      <c r="AE2757">
        <v>-6.6772460000000006E-2</v>
      </c>
      <c r="AF2757">
        <v>-5.09511861271294E-2</v>
      </c>
      <c r="AG2757">
        <v>0.4928362</v>
      </c>
      <c r="AH2757">
        <v>2.9447154695975102</v>
      </c>
      <c r="AI2757">
        <v>80.500263572338497</v>
      </c>
      <c r="AJ2757">
        <v>90.991266111728294</v>
      </c>
      <c r="AK2757">
        <v>2.9861066190417702</v>
      </c>
      <c r="AL2757">
        <v>90.973023605704697</v>
      </c>
      <c r="AM2757">
        <v>94.775631211349904</v>
      </c>
      <c r="AN2757">
        <v>1.0000000395298201</v>
      </c>
    </row>
    <row r="2758" spans="1:40" x14ac:dyDescent="0.25">
      <c r="A2758" t="str">
        <f>"20190305134951155"</f>
        <v>20190305134951155</v>
      </c>
      <c r="B2758" t="str">
        <f>"1551764991143064"</f>
        <v>1551764991143064</v>
      </c>
      <c r="C2758" t="s">
        <v>40</v>
      </c>
      <c r="D2758">
        <v>3.722048</v>
      </c>
      <c r="E2758">
        <v>0.52680709999999997</v>
      </c>
      <c r="F2758" t="s">
        <v>47</v>
      </c>
      <c r="G2758">
        <v>0</v>
      </c>
      <c r="H2758">
        <v>0</v>
      </c>
      <c r="I2758">
        <v>0</v>
      </c>
      <c r="J2758">
        <v>-418.274</v>
      </c>
      <c r="K2758">
        <v>1.10949599999999</v>
      </c>
      <c r="L2758">
        <v>285.70549999999997</v>
      </c>
      <c r="M2758">
        <v>-0.99988319999999997</v>
      </c>
      <c r="N2758">
        <v>-1.452057E-2</v>
      </c>
      <c r="O2758">
        <v>-4.7657430000000002E-3</v>
      </c>
      <c r="P2758">
        <v>-0.99557490000000004</v>
      </c>
      <c r="Q2758">
        <v>-3.231274E-2</v>
      </c>
      <c r="R2758">
        <v>-8.8240730000000003E-2</v>
      </c>
      <c r="S2758">
        <v>-3.0227970000000002</v>
      </c>
      <c r="T2758">
        <v>0.49187389999999998</v>
      </c>
      <c r="U2758">
        <v>-6.7108150000000005E-2</v>
      </c>
      <c r="V2758">
        <v>-8.3497799999999997E-2</v>
      </c>
      <c r="W2758">
        <v>-1.78330999999999E-2</v>
      </c>
      <c r="X2758">
        <v>0.99634840000000002</v>
      </c>
      <c r="Y2758">
        <v>-1.7297389999999999E-2</v>
      </c>
      <c r="Z2758">
        <v>4.3259059999999999E-4</v>
      </c>
      <c r="AA2758">
        <v>0.99985029999999997</v>
      </c>
      <c r="AB2758">
        <v>44</v>
      </c>
      <c r="AC2758">
        <v>-3.0227970000000002</v>
      </c>
      <c r="AD2758">
        <v>0.49187389999999998</v>
      </c>
      <c r="AE2758">
        <v>-6.7108150000000005E-2</v>
      </c>
      <c r="AF2758">
        <v>-5.1341237535379801E-2</v>
      </c>
      <c r="AG2758">
        <v>0.49187389999999998</v>
      </c>
      <c r="AH2758">
        <v>2.9451387586599602</v>
      </c>
      <c r="AI2758">
        <v>80.519834409092596</v>
      </c>
      <c r="AJ2758">
        <v>90.998709582098797</v>
      </c>
      <c r="AK2758">
        <v>2.9863720739274999</v>
      </c>
      <c r="AL2758">
        <v>91.021815511533205</v>
      </c>
      <c r="AM2758">
        <v>94.790411524554202</v>
      </c>
      <c r="AN2758">
        <v>1.0000000181215001</v>
      </c>
    </row>
    <row r="2759" spans="1:40" x14ac:dyDescent="0.25">
      <c r="A2759" t="str">
        <f>"20190305134951167"</f>
        <v>20190305134951167</v>
      </c>
      <c r="B2759" t="str">
        <f>"1551764991163559"</f>
        <v>1551764991163559</v>
      </c>
      <c r="C2759" t="s">
        <v>40</v>
      </c>
      <c r="D2759">
        <v>3.6695180000000001</v>
      </c>
      <c r="E2759">
        <v>0.52687659999999903</v>
      </c>
      <c r="F2759" t="s">
        <v>47</v>
      </c>
      <c r="G2759">
        <v>0</v>
      </c>
      <c r="H2759">
        <v>0</v>
      </c>
      <c r="I2759">
        <v>0</v>
      </c>
      <c r="J2759">
        <v>-418.51600000000002</v>
      </c>
      <c r="K2759">
        <v>1.109488</v>
      </c>
      <c r="L2759">
        <v>285.70440000000002</v>
      </c>
      <c r="M2759">
        <v>-0.99988330000000003</v>
      </c>
      <c r="N2759">
        <v>-1.4519020000000001E-2</v>
      </c>
      <c r="O2759">
        <v>-4.7443889999999999E-3</v>
      </c>
      <c r="P2759">
        <v>-0.99553080000000005</v>
      </c>
      <c r="Q2759">
        <v>-3.3107169999999998E-2</v>
      </c>
      <c r="R2759">
        <v>-8.8445499999999996E-2</v>
      </c>
      <c r="S2759">
        <v>-3.0232540000000001</v>
      </c>
      <c r="T2759">
        <v>0.48957800000000001</v>
      </c>
      <c r="U2759">
        <v>-6.7199709999999996E-2</v>
      </c>
      <c r="V2759">
        <v>-8.3723679999999995E-2</v>
      </c>
      <c r="W2759">
        <v>-1.8629509999999998E-2</v>
      </c>
      <c r="X2759">
        <v>0.99631479999999994</v>
      </c>
      <c r="Y2759">
        <v>-1.7346150000000001E-2</v>
      </c>
      <c r="Z2759">
        <v>4.3693790000000002E-4</v>
      </c>
      <c r="AA2759">
        <v>0.9998494</v>
      </c>
      <c r="AB2759">
        <v>44</v>
      </c>
      <c r="AC2759">
        <v>-3.0232540000000001</v>
      </c>
      <c r="AD2759">
        <v>0.48957800000000001</v>
      </c>
      <c r="AE2759">
        <v>-6.7199709999999996E-2</v>
      </c>
      <c r="AF2759">
        <v>-5.1503988047157397E-2</v>
      </c>
      <c r="AG2759">
        <v>0.48957800000000001</v>
      </c>
      <c r="AH2759">
        <v>2.9463136344021899</v>
      </c>
      <c r="AI2759">
        <v>80.566990032453006</v>
      </c>
      <c r="AJ2759">
        <v>91.0014753961499</v>
      </c>
      <c r="AK2759">
        <v>2.9871563921450499</v>
      </c>
      <c r="AL2759">
        <v>91.067454104944801</v>
      </c>
      <c r="AM2759">
        <v>94.803471324597993</v>
      </c>
      <c r="AN2759">
        <v>0.99999994696730898</v>
      </c>
    </row>
    <row r="2760" spans="1:40" x14ac:dyDescent="0.25">
      <c r="A2760" t="str">
        <f>"20190305134951180"</f>
        <v>20190305134951180</v>
      </c>
      <c r="B2760" t="str">
        <f>"1551764991173319"</f>
        <v>1551764991173319</v>
      </c>
      <c r="C2760" t="s">
        <v>40</v>
      </c>
      <c r="D2760">
        <v>3.7016529999999999</v>
      </c>
      <c r="E2760">
        <v>0.52694219999999903</v>
      </c>
      <c r="F2760" t="s">
        <v>47</v>
      </c>
      <c r="G2760">
        <v>0</v>
      </c>
      <c r="H2760">
        <v>0</v>
      </c>
      <c r="I2760">
        <v>0</v>
      </c>
      <c r="J2760">
        <v>-418.75439999999998</v>
      </c>
      <c r="K2760">
        <v>1.109483</v>
      </c>
      <c r="L2760">
        <v>285.70330000000001</v>
      </c>
      <c r="M2760">
        <v>-0.99988350000000004</v>
      </c>
      <c r="N2760">
        <v>-1.4517540000000001E-2</v>
      </c>
      <c r="O2760">
        <v>-4.7226830000000001E-3</v>
      </c>
      <c r="P2760">
        <v>-0.99548599999999998</v>
      </c>
      <c r="Q2760">
        <v>-3.4429809999999998E-2</v>
      </c>
      <c r="R2760">
        <v>-8.8445109999999993E-2</v>
      </c>
      <c r="S2760">
        <v>-3.0237430000000001</v>
      </c>
      <c r="T2760">
        <v>0.48702000000000001</v>
      </c>
      <c r="U2760">
        <v>-6.6955570000000006E-2</v>
      </c>
      <c r="V2760">
        <v>-8.374529E-2</v>
      </c>
      <c r="W2760">
        <v>-1.995417E-2</v>
      </c>
      <c r="X2760">
        <v>0.99628740000000005</v>
      </c>
      <c r="Y2760">
        <v>-1.7285539999999999E-2</v>
      </c>
      <c r="Z2760">
        <v>4.3298050000000003E-4</v>
      </c>
      <c r="AA2760">
        <v>0.99985049999999998</v>
      </c>
      <c r="AB2760">
        <v>44</v>
      </c>
      <c r="AC2760">
        <v>-3.0237430000000001</v>
      </c>
      <c r="AD2760">
        <v>0.48702000000000001</v>
      </c>
      <c r="AE2760">
        <v>-6.6955570000000006E-2</v>
      </c>
      <c r="AF2760">
        <v>-5.1341879493667301E-2</v>
      </c>
      <c r="AG2760">
        <v>0.48702000000000001</v>
      </c>
      <c r="AH2760">
        <v>2.94759637751249</v>
      </c>
      <c r="AI2760">
        <v>80.619398966912101</v>
      </c>
      <c r="AJ2760">
        <v>90.997889530661993</v>
      </c>
      <c r="AK2760">
        <v>2.9880008155478599</v>
      </c>
      <c r="AL2760">
        <v>91.143365593879494</v>
      </c>
      <c r="AM2760">
        <v>94.804836870566106</v>
      </c>
      <c r="AN2760">
        <v>1.0000000129481601</v>
      </c>
    </row>
    <row r="2761" spans="1:40" x14ac:dyDescent="0.25">
      <c r="A2761" t="str">
        <f>"20190305134951192"</f>
        <v>20190305134951192</v>
      </c>
      <c r="B2761" t="str">
        <f>"1551764991183079"</f>
        <v>1551764991183079</v>
      </c>
      <c r="C2761" t="s">
        <v>40</v>
      </c>
      <c r="D2761">
        <v>3.7028859999999999</v>
      </c>
      <c r="E2761">
        <v>0.52700919999999996</v>
      </c>
      <c r="F2761" t="s">
        <v>47</v>
      </c>
      <c r="G2761">
        <v>0</v>
      </c>
      <c r="H2761">
        <v>0</v>
      </c>
      <c r="I2761">
        <v>0</v>
      </c>
      <c r="J2761">
        <v>-419.00310000000002</v>
      </c>
      <c r="K2761">
        <v>1.1094790000000001</v>
      </c>
      <c r="L2761">
        <v>285.70209999999997</v>
      </c>
      <c r="M2761">
        <v>-0.99988370000000004</v>
      </c>
      <c r="N2761">
        <v>-1.4515989999999999E-2</v>
      </c>
      <c r="O2761">
        <v>-4.6996640000000001E-3</v>
      </c>
      <c r="P2761">
        <v>-0.99544999999999995</v>
      </c>
      <c r="Q2761">
        <v>-3.5681589999999999E-2</v>
      </c>
      <c r="R2761">
        <v>-8.8353319999999999E-2</v>
      </c>
      <c r="S2761">
        <v>-3.0244140000000002</v>
      </c>
      <c r="T2761">
        <v>0.48267939999999998</v>
      </c>
      <c r="U2761">
        <v>-6.622314E-2</v>
      </c>
      <c r="V2761">
        <v>-8.3677570000000007E-2</v>
      </c>
      <c r="W2761">
        <v>-2.120791E-2</v>
      </c>
      <c r="X2761">
        <v>0.99626720000000002</v>
      </c>
      <c r="Y2761">
        <v>-1.706643E-2</v>
      </c>
      <c r="Z2761">
        <v>4.15561E-4</v>
      </c>
      <c r="AA2761">
        <v>0.99985429999999997</v>
      </c>
      <c r="AB2761">
        <v>44</v>
      </c>
      <c r="AC2761">
        <v>-3.0244140000000002</v>
      </c>
      <c r="AD2761">
        <v>0.48267939999999998</v>
      </c>
      <c r="AE2761">
        <v>-6.622314E-2</v>
      </c>
      <c r="AF2761">
        <v>-5.0716045869385801E-2</v>
      </c>
      <c r="AG2761">
        <v>0.48267939999999998</v>
      </c>
      <c r="AH2761">
        <v>2.9496004742381099</v>
      </c>
      <c r="AI2761">
        <v>80.707709775427702</v>
      </c>
      <c r="AJ2761">
        <v>90.985058518557096</v>
      </c>
      <c r="AK2761">
        <v>2.9892631998736201</v>
      </c>
      <c r="AL2761">
        <v>91.215214815213699</v>
      </c>
      <c r="AM2761">
        <v>94.801066531820794</v>
      </c>
      <c r="AN2761">
        <v>1.00000002248175</v>
      </c>
    </row>
    <row r="2762" spans="1:40" x14ac:dyDescent="0.25">
      <c r="A2762" t="str">
        <f>"20190305134951204"</f>
        <v>20190305134951204</v>
      </c>
      <c r="B2762" t="str">
        <f>"1551764991192840"</f>
        <v>1551764991192840</v>
      </c>
      <c r="C2762" t="s">
        <v>40</v>
      </c>
      <c r="D2762">
        <v>3.9224519999999998</v>
      </c>
      <c r="E2762">
        <v>0.52700919999999996</v>
      </c>
      <c r="F2762" t="s">
        <v>47</v>
      </c>
      <c r="G2762">
        <v>0</v>
      </c>
      <c r="H2762">
        <v>0</v>
      </c>
      <c r="I2762">
        <v>0</v>
      </c>
      <c r="J2762">
        <v>-419.25110000000001</v>
      </c>
      <c r="K2762">
        <v>1.1094790000000001</v>
      </c>
      <c r="L2762">
        <v>285.70100000000002</v>
      </c>
      <c r="M2762">
        <v>-0.99988390000000005</v>
      </c>
      <c r="N2762">
        <v>-1.451445E-2</v>
      </c>
      <c r="O2762">
        <v>-4.6755620000000003E-3</v>
      </c>
      <c r="P2762">
        <v>-0.99543119999999996</v>
      </c>
      <c r="Q2762">
        <v>-3.6597299999999999E-2</v>
      </c>
      <c r="R2762">
        <v>-8.8193090000000002E-2</v>
      </c>
      <c r="S2762">
        <v>-3.0250849999999998</v>
      </c>
      <c r="T2762">
        <v>0.47887360000000001</v>
      </c>
      <c r="U2762">
        <v>-6.5216060000000006E-2</v>
      </c>
      <c r="V2762">
        <v>-8.3540989999999996E-2</v>
      </c>
      <c r="W2762">
        <v>-2.2125249999999999E-2</v>
      </c>
      <c r="X2762">
        <v>0.99625870000000005</v>
      </c>
      <c r="Y2762">
        <v>-1.6758350000000002E-2</v>
      </c>
      <c r="Z2762">
        <v>3.928782E-4</v>
      </c>
      <c r="AA2762">
        <v>0.99985950000000001</v>
      </c>
      <c r="AB2762">
        <v>44</v>
      </c>
      <c r="AC2762">
        <v>-3.0250849999999998</v>
      </c>
      <c r="AD2762">
        <v>0.47887360000000001</v>
      </c>
      <c r="AE2762">
        <v>-6.5216060000000006E-2</v>
      </c>
      <c r="AF2762">
        <v>-4.9821969816897099E-2</v>
      </c>
      <c r="AG2762">
        <v>0.47887360000000001</v>
      </c>
      <c r="AH2762">
        <v>2.9514308417624702</v>
      </c>
      <c r="AI2762">
        <v>80.785285377286101</v>
      </c>
      <c r="AJ2762">
        <v>90.967096182712893</v>
      </c>
      <c r="AK2762">
        <v>2.9904424701304801</v>
      </c>
      <c r="AL2762">
        <v>91.267786882612995</v>
      </c>
      <c r="AM2762">
        <v>94.793307393424598</v>
      </c>
      <c r="AN2762">
        <v>1.0000000105117099</v>
      </c>
    </row>
    <row r="2763" spans="1:40" x14ac:dyDescent="0.25">
      <c r="A2763" t="str">
        <f>"20190305134951222"</f>
        <v>20190305134951222</v>
      </c>
      <c r="B2763" t="str">
        <f>"1551764991213338"</f>
        <v>1551764991213338</v>
      </c>
      <c r="C2763" t="s">
        <v>40</v>
      </c>
      <c r="D2763">
        <v>3.9057400000000002</v>
      </c>
      <c r="E2763">
        <v>0.52714659999999902</v>
      </c>
      <c r="F2763" t="s">
        <v>47</v>
      </c>
      <c r="G2763">
        <v>0</v>
      </c>
      <c r="H2763">
        <v>0</v>
      </c>
      <c r="I2763">
        <v>0</v>
      </c>
      <c r="J2763">
        <v>-419.57569999999998</v>
      </c>
      <c r="K2763">
        <v>1.1094740000000001</v>
      </c>
      <c r="L2763">
        <v>285.6995</v>
      </c>
      <c r="M2763">
        <v>-0.999884</v>
      </c>
      <c r="N2763">
        <v>-1.451244E-2</v>
      </c>
      <c r="O2763">
        <v>-4.6416729999999998E-3</v>
      </c>
      <c r="P2763">
        <v>-0.99540870000000004</v>
      </c>
      <c r="Q2763">
        <v>-3.8066500000000003E-2</v>
      </c>
      <c r="R2763">
        <v>-8.7822650000000002E-2</v>
      </c>
      <c r="S2763">
        <v>-3.0255740000000002</v>
      </c>
      <c r="T2763">
        <v>0.4761069</v>
      </c>
      <c r="U2763">
        <v>-6.4727779999999999E-2</v>
      </c>
      <c r="V2763">
        <v>-8.3205180000000004E-2</v>
      </c>
      <c r="W2763">
        <v>-2.3596510000000001E-2</v>
      </c>
      <c r="X2763">
        <v>0.99625300000000006</v>
      </c>
      <c r="Y2763">
        <v>-1.6629990000000001E-2</v>
      </c>
      <c r="Z2763">
        <v>3.8617980000000001E-4</v>
      </c>
      <c r="AA2763">
        <v>0.99986169999999996</v>
      </c>
      <c r="AB2763">
        <v>44</v>
      </c>
      <c r="AC2763">
        <v>-3.0255740000000002</v>
      </c>
      <c r="AD2763">
        <v>0.4761069</v>
      </c>
      <c r="AE2763">
        <v>-6.4727779999999999E-2</v>
      </c>
      <c r="AF2763">
        <v>-4.9457745433133499E-2</v>
      </c>
      <c r="AG2763">
        <v>0.4761069</v>
      </c>
      <c r="AH2763">
        <v>2.95275784443889</v>
      </c>
      <c r="AI2763">
        <v>80.841646066474596</v>
      </c>
      <c r="AJ2763">
        <v>90.959596170673905</v>
      </c>
      <c r="AK2763">
        <v>2.9913045208915698</v>
      </c>
      <c r="AL2763">
        <v>91.352105970821299</v>
      </c>
      <c r="AM2763">
        <v>94.774156145533595</v>
      </c>
      <c r="AN2763">
        <v>0.99999996863600504</v>
      </c>
    </row>
    <row r="2764" spans="1:40" x14ac:dyDescent="0.25">
      <c r="A2764" t="str">
        <f>"20190305134951232"</f>
        <v>20190305134951232</v>
      </c>
      <c r="B2764" t="str">
        <f>"1551764991223095"</f>
        <v>1551764991223095</v>
      </c>
      <c r="C2764" t="s">
        <v>40</v>
      </c>
      <c r="D2764">
        <v>3.6975060000000002</v>
      </c>
      <c r="E2764">
        <v>0.52721319999999905</v>
      </c>
      <c r="F2764" t="s">
        <v>47</v>
      </c>
      <c r="G2764">
        <v>0</v>
      </c>
      <c r="H2764">
        <v>0</v>
      </c>
      <c r="I2764">
        <v>0</v>
      </c>
      <c r="J2764">
        <v>-419.79969999999997</v>
      </c>
      <c r="K2764">
        <v>1.109469</v>
      </c>
      <c r="L2764">
        <v>285.69850000000002</v>
      </c>
      <c r="M2764">
        <v>-0.9998842</v>
      </c>
      <c r="N2764">
        <v>-1.4511059999999999E-2</v>
      </c>
      <c r="O2764">
        <v>-4.6167309999999998E-3</v>
      </c>
      <c r="P2764">
        <v>-0.99542569999999997</v>
      </c>
      <c r="Q2764">
        <v>-3.9082829999999999E-2</v>
      </c>
      <c r="R2764">
        <v>-8.7181040000000001E-2</v>
      </c>
      <c r="S2764">
        <v>-3.0263979999999999</v>
      </c>
      <c r="T2764">
        <v>0.47188530000000001</v>
      </c>
      <c r="U2764">
        <v>-6.2072750000000003E-2</v>
      </c>
      <c r="V2764">
        <v>-8.2588419999999996E-2</v>
      </c>
      <c r="W2764">
        <v>-2.4613820000000002E-2</v>
      </c>
      <c r="X2764">
        <v>0.99627969999999999</v>
      </c>
      <c r="Y2764">
        <v>-1.578361E-2</v>
      </c>
      <c r="Z2764">
        <v>3.2584040000000001E-4</v>
      </c>
      <c r="AA2764">
        <v>0.99987539999999997</v>
      </c>
      <c r="AB2764">
        <v>44</v>
      </c>
      <c r="AC2764">
        <v>-3.0263979999999999</v>
      </c>
      <c r="AD2764">
        <v>0.47188530000000001</v>
      </c>
      <c r="AE2764">
        <v>-6.2072750000000003E-2</v>
      </c>
      <c r="AF2764">
        <v>-4.6957404966804499E-2</v>
      </c>
      <c r="AG2764">
        <v>0.47188530000000001</v>
      </c>
      <c r="AH2764">
        <v>2.9548443547379701</v>
      </c>
      <c r="AI2764">
        <v>80.927673226520696</v>
      </c>
      <c r="AJ2764">
        <v>90.910448857953199</v>
      </c>
      <c r="AK2764">
        <v>2.9926553251191801</v>
      </c>
      <c r="AL2764">
        <v>91.410410492889696</v>
      </c>
      <c r="AM2764">
        <v>94.738802967966294</v>
      </c>
      <c r="AN2764">
        <v>0.99999996394258805</v>
      </c>
    </row>
    <row r="2765" spans="1:40" x14ac:dyDescent="0.25">
      <c r="A2765" t="str">
        <f>"20190305134951245"</f>
        <v>20190305134951245</v>
      </c>
      <c r="B2765" t="str">
        <f>"1551764991233832"</f>
        <v>1551764991233832</v>
      </c>
      <c r="C2765" t="s">
        <v>40</v>
      </c>
      <c r="D2765">
        <v>3.6975410000000002</v>
      </c>
      <c r="E2765">
        <v>0.52729519999999996</v>
      </c>
      <c r="F2765" t="s">
        <v>47</v>
      </c>
      <c r="G2765">
        <v>0</v>
      </c>
      <c r="H2765">
        <v>0</v>
      </c>
      <c r="I2765">
        <v>0</v>
      </c>
      <c r="J2765">
        <v>-420.03890000000001</v>
      </c>
      <c r="K2765">
        <v>1.1094710000000001</v>
      </c>
      <c r="L2765">
        <v>285.69740000000002</v>
      </c>
      <c r="M2765">
        <v>-0.9998842</v>
      </c>
      <c r="N2765">
        <v>-1.4509559999999999E-2</v>
      </c>
      <c r="O2765">
        <v>-4.5876049999999998E-3</v>
      </c>
      <c r="P2765">
        <v>-0.99539230000000001</v>
      </c>
      <c r="Q2765">
        <v>-3.965759E-2</v>
      </c>
      <c r="R2765">
        <v>-8.7299790000000002E-2</v>
      </c>
      <c r="S2765">
        <v>-3.0269780000000002</v>
      </c>
      <c r="T2765">
        <v>0.46881469999999997</v>
      </c>
      <c r="U2765">
        <v>-5.9204100000000003E-2</v>
      </c>
      <c r="V2765">
        <v>-8.2736399999999904E-2</v>
      </c>
      <c r="W2765">
        <v>-2.519016E-2</v>
      </c>
      <c r="X2765">
        <v>0.9962531</v>
      </c>
      <c r="Y2765">
        <v>-1.487261E-2</v>
      </c>
      <c r="Z2765">
        <v>2.6393409999999999E-4</v>
      </c>
      <c r="AA2765">
        <v>0.99988940000000004</v>
      </c>
      <c r="AB2765">
        <v>44</v>
      </c>
      <c r="AC2765">
        <v>-3.0269780000000002</v>
      </c>
      <c r="AD2765">
        <v>0.46881469999999997</v>
      </c>
      <c r="AE2765">
        <v>-5.9204100000000003E-2</v>
      </c>
      <c r="AF2765">
        <v>-4.4254294061068698E-2</v>
      </c>
      <c r="AG2765">
        <v>0.46881469999999997</v>
      </c>
      <c r="AH2765">
        <v>2.9563300988711898</v>
      </c>
      <c r="AI2765">
        <v>80.990065047767004</v>
      </c>
      <c r="AJ2765">
        <v>90.857615632771299</v>
      </c>
      <c r="AK2765">
        <v>2.9935987237722199</v>
      </c>
      <c r="AL2765">
        <v>91.4434424665872</v>
      </c>
      <c r="AM2765">
        <v>94.747381244833093</v>
      </c>
      <c r="AN2765">
        <v>1.00000004765269</v>
      </c>
    </row>
    <row r="2766" spans="1:40" x14ac:dyDescent="0.25">
      <c r="A2766" t="str">
        <f>"20190305134951257"</f>
        <v>20190305134951257</v>
      </c>
      <c r="B2766" t="str">
        <f>"1551764991253351"</f>
        <v>1551764991253351</v>
      </c>
      <c r="C2766" t="s">
        <v>40</v>
      </c>
      <c r="D2766">
        <v>3.7206109999999999</v>
      </c>
      <c r="E2766">
        <v>0.52737959999999995</v>
      </c>
      <c r="F2766" t="s">
        <v>47</v>
      </c>
      <c r="G2766">
        <v>0</v>
      </c>
      <c r="H2766">
        <v>0</v>
      </c>
      <c r="I2766">
        <v>0</v>
      </c>
      <c r="J2766">
        <v>-420.26459999999997</v>
      </c>
      <c r="K2766">
        <v>1.109472</v>
      </c>
      <c r="L2766">
        <v>285.69639999999998</v>
      </c>
      <c r="M2766">
        <v>-0.99988440000000001</v>
      </c>
      <c r="N2766">
        <v>-1.4508170000000001E-2</v>
      </c>
      <c r="O2766">
        <v>-4.5579920000000003E-3</v>
      </c>
      <c r="P2766">
        <v>-0.99537589999999998</v>
      </c>
      <c r="Q2766">
        <v>-4.0086490000000002E-2</v>
      </c>
      <c r="R2766">
        <v>-8.7295090000000006E-2</v>
      </c>
      <c r="S2766">
        <v>-3.027374</v>
      </c>
      <c r="T2766">
        <v>0.46729759999999998</v>
      </c>
      <c r="U2766">
        <v>-5.8990479999999998E-2</v>
      </c>
      <c r="V2766">
        <v>-8.2761639999999997E-2</v>
      </c>
      <c r="W2766">
        <v>-2.5620199999999999E-2</v>
      </c>
      <c r="X2766">
        <v>0.99624000000000001</v>
      </c>
      <c r="Y2766">
        <v>-1.482989E-2</v>
      </c>
      <c r="Z2766">
        <v>2.6449820000000001E-4</v>
      </c>
      <c r="AA2766">
        <v>0.99988999999999995</v>
      </c>
      <c r="AB2766">
        <v>44</v>
      </c>
      <c r="AC2766">
        <v>-3.027374</v>
      </c>
      <c r="AD2766">
        <v>0.46729759999999998</v>
      </c>
      <c r="AE2766">
        <v>-5.8990479999999998E-2</v>
      </c>
      <c r="AF2766">
        <v>-4.4138416696912201E-2</v>
      </c>
      <c r="AG2766">
        <v>0.46729759999999998</v>
      </c>
      <c r="AH2766">
        <v>2.9571798104074398</v>
      </c>
      <c r="AI2766">
        <v>81.0212783508629</v>
      </c>
      <c r="AJ2766">
        <v>90.855124604555002</v>
      </c>
      <c r="AK2766">
        <v>2.9941990043876001</v>
      </c>
      <c r="AL2766">
        <v>91.468089952252498</v>
      </c>
      <c r="AM2766">
        <v>94.748885042162897</v>
      </c>
      <c r="AN2766">
        <v>1.0000000106517599</v>
      </c>
    </row>
    <row r="2767" spans="1:40" x14ac:dyDescent="0.25">
      <c r="A2767" t="str">
        <f>"20190305134951278"</f>
        <v>20190305134951278</v>
      </c>
      <c r="B2767" t="str">
        <f>"1551764991273623"</f>
        <v>1551764991273623</v>
      </c>
      <c r="C2767" t="s">
        <v>40</v>
      </c>
      <c r="D2767">
        <v>3.7136480000000001</v>
      </c>
      <c r="E2767">
        <v>0.52744869999999899</v>
      </c>
      <c r="F2767" t="s">
        <v>47</v>
      </c>
      <c r="G2767">
        <v>0</v>
      </c>
      <c r="H2767">
        <v>0</v>
      </c>
      <c r="I2767">
        <v>0</v>
      </c>
      <c r="J2767">
        <v>-420.67559999999997</v>
      </c>
      <c r="K2767">
        <v>1.1094630000000001</v>
      </c>
      <c r="L2767">
        <v>285.69459999999998</v>
      </c>
      <c r="M2767">
        <v>-0.99988480000000002</v>
      </c>
      <c r="N2767">
        <v>-1.450564E-2</v>
      </c>
      <c r="O2767">
        <v>-4.4969570000000002E-3</v>
      </c>
      <c r="P2767">
        <v>-0.9953033</v>
      </c>
      <c r="Q2767">
        <v>-4.082446E-2</v>
      </c>
      <c r="R2767">
        <v>-8.7778369999999994E-2</v>
      </c>
      <c r="S2767">
        <v>-3.0276179999999999</v>
      </c>
      <c r="T2767">
        <v>0.46688160000000001</v>
      </c>
      <c r="U2767">
        <v>-5.859375E-2</v>
      </c>
      <c r="V2767">
        <v>-8.3306309999999995E-2</v>
      </c>
      <c r="W2767">
        <v>-2.6360390000000001E-2</v>
      </c>
      <c r="X2767">
        <v>0.99617529999999999</v>
      </c>
      <c r="Y2767">
        <v>-1.4758490000000001E-2</v>
      </c>
      <c r="Z2767">
        <v>2.6939219999999999E-4</v>
      </c>
      <c r="AA2767">
        <v>0.99989099999999997</v>
      </c>
      <c r="AB2767">
        <v>44</v>
      </c>
      <c r="AC2767">
        <v>-3.0276179999999999</v>
      </c>
      <c r="AD2767">
        <v>0.46688160000000001</v>
      </c>
      <c r="AE2767">
        <v>-5.859375E-2</v>
      </c>
      <c r="AF2767">
        <v>-4.3932339809553501E-2</v>
      </c>
      <c r="AG2767">
        <v>0.46688160000000001</v>
      </c>
      <c r="AH2767">
        <v>2.9575468486502698</v>
      </c>
      <c r="AI2767">
        <v>81.030227190079103</v>
      </c>
      <c r="AJ2767">
        <v>90.851027108759197</v>
      </c>
      <c r="AK2767">
        <v>2.99449358671226</v>
      </c>
      <c r="AL2767">
        <v>91.510514032915296</v>
      </c>
      <c r="AM2767">
        <v>94.780303023053406</v>
      </c>
      <c r="AN2767">
        <v>1.00000001988842</v>
      </c>
    </row>
    <row r="2768" spans="1:40" x14ac:dyDescent="0.25">
      <c r="A2768" t="str">
        <f>"20190305134951290"</f>
        <v>20190305134951290</v>
      </c>
      <c r="B2768" t="str">
        <f>"1551764991283380"</f>
        <v>1551764991283380</v>
      </c>
      <c r="C2768" t="s">
        <v>40</v>
      </c>
      <c r="D2768">
        <v>3.899985</v>
      </c>
      <c r="E2768">
        <v>0.52744869999999899</v>
      </c>
      <c r="F2768" t="s">
        <v>47</v>
      </c>
      <c r="G2768">
        <v>0</v>
      </c>
      <c r="H2768">
        <v>0</v>
      </c>
      <c r="I2768">
        <v>0</v>
      </c>
      <c r="J2768">
        <v>-420.91140000000001</v>
      </c>
      <c r="K2768">
        <v>1.1094580000000001</v>
      </c>
      <c r="L2768">
        <v>285.69349999999997</v>
      </c>
      <c r="M2768">
        <v>-0.99988500000000002</v>
      </c>
      <c r="N2768">
        <v>-1.45042E-2</v>
      </c>
      <c r="O2768">
        <v>-4.4577710000000001E-3</v>
      </c>
      <c r="P2768">
        <v>-0.99521170000000003</v>
      </c>
      <c r="Q2768">
        <v>-4.2119700000000003E-2</v>
      </c>
      <c r="R2768">
        <v>-8.8205270000000002E-2</v>
      </c>
      <c r="S2768">
        <v>-3.027863</v>
      </c>
      <c r="T2768">
        <v>0.46591440000000001</v>
      </c>
      <c r="U2768">
        <v>-6.1370849999999998E-2</v>
      </c>
      <c r="V2768">
        <v>-8.3773169999999994E-2</v>
      </c>
      <c r="W2768">
        <v>-2.7657279999999999E-2</v>
      </c>
      <c r="X2768">
        <v>0.99610100000000001</v>
      </c>
      <c r="Y2768">
        <v>-1.5702689999999998E-2</v>
      </c>
      <c r="Z2768">
        <v>3.4035260000000003E-4</v>
      </c>
      <c r="AA2768">
        <v>0.9998766</v>
      </c>
      <c r="AB2768">
        <v>44</v>
      </c>
      <c r="AC2768">
        <v>-3.027863</v>
      </c>
      <c r="AD2768">
        <v>0.46591440000000001</v>
      </c>
      <c r="AE2768">
        <v>-6.1370849999999998E-2</v>
      </c>
      <c r="AF2768">
        <v>-4.6764480553952797E-2</v>
      </c>
      <c r="AG2768">
        <v>0.46591440000000001</v>
      </c>
      <c r="AH2768">
        <v>2.9580943565389601</v>
      </c>
      <c r="AI2768">
        <v>81.050266757339998</v>
      </c>
      <c r="AJ2768">
        <v>90.905712888510294</v>
      </c>
      <c r="AK2768">
        <v>2.9949266046026</v>
      </c>
      <c r="AL2768">
        <v>91.584847452347702</v>
      </c>
      <c r="AM2768">
        <v>94.807324186892799</v>
      </c>
      <c r="AN2768">
        <v>1.0000000356749199</v>
      </c>
    </row>
    <row r="2769" spans="1:40" x14ac:dyDescent="0.25">
      <c r="A2769" t="str">
        <f>"20190305134951303"</f>
        <v>20190305134951303</v>
      </c>
      <c r="B2769" t="str">
        <f>"1551764991293142"</f>
        <v>1551764991293142</v>
      </c>
      <c r="C2769" t="s">
        <v>40</v>
      </c>
      <c r="D2769">
        <v>3.6898170000000001</v>
      </c>
      <c r="E2769">
        <v>0.5274605</v>
      </c>
      <c r="F2769" t="s">
        <v>47</v>
      </c>
      <c r="G2769">
        <v>0</v>
      </c>
      <c r="H2769">
        <v>0</v>
      </c>
      <c r="I2769">
        <v>0</v>
      </c>
      <c r="J2769">
        <v>-421.17849999999999</v>
      </c>
      <c r="K2769">
        <v>1.109453</v>
      </c>
      <c r="L2769">
        <v>285.69240000000002</v>
      </c>
      <c r="M2769">
        <v>-0.99988509999999997</v>
      </c>
      <c r="N2769">
        <v>-1.4502569999999999E-2</v>
      </c>
      <c r="O2769">
        <v>-4.4061500000000002E-3</v>
      </c>
      <c r="P2769">
        <v>-0.99510940000000003</v>
      </c>
      <c r="Q2769">
        <v>-4.2805389999999999E-2</v>
      </c>
      <c r="R2769">
        <v>-8.9023309999999994E-2</v>
      </c>
      <c r="S2769">
        <v>-3.0283509999999998</v>
      </c>
      <c r="T2769">
        <v>0.46221950000000001</v>
      </c>
      <c r="U2769">
        <v>-6.3323969999999993E-2</v>
      </c>
      <c r="V2769">
        <v>-8.4643549999999998E-2</v>
      </c>
      <c r="W2769">
        <v>-2.8344479999999998E-2</v>
      </c>
      <c r="X2769">
        <v>0.996008</v>
      </c>
      <c r="Y2769">
        <v>-1.6389629999999999E-2</v>
      </c>
      <c r="Z2769">
        <v>3.919064E-4</v>
      </c>
      <c r="AA2769">
        <v>0.99986560000000002</v>
      </c>
      <c r="AB2769">
        <v>44</v>
      </c>
      <c r="AC2769">
        <v>-3.0283509999999998</v>
      </c>
      <c r="AD2769">
        <v>0.46221950000000001</v>
      </c>
      <c r="AE2769">
        <v>-6.3323969999999993E-2</v>
      </c>
      <c r="AF2769">
        <v>-4.8841266594805602E-2</v>
      </c>
      <c r="AG2769">
        <v>0.46221950000000001</v>
      </c>
      <c r="AH2769">
        <v>2.95968159713179</v>
      </c>
      <c r="AI2769">
        <v>81.124890592787096</v>
      </c>
      <c r="AJ2769">
        <v>90.945420772182899</v>
      </c>
      <c r="AK2769">
        <v>2.9959551885673101</v>
      </c>
      <c r="AL2769">
        <v>91.624236714481597</v>
      </c>
      <c r="AM2769">
        <v>94.857484575673297</v>
      </c>
      <c r="AN2769">
        <v>0.99999993808353405</v>
      </c>
    </row>
    <row r="2770" spans="1:40" x14ac:dyDescent="0.25">
      <c r="A2770" t="str">
        <f>"20190305134951322"</f>
        <v>20190305134951322</v>
      </c>
      <c r="B2770" t="str">
        <f>"1551764991313635"</f>
        <v>1551764991313635</v>
      </c>
      <c r="C2770" t="s">
        <v>40</v>
      </c>
      <c r="D2770">
        <v>3.688412</v>
      </c>
      <c r="E2770">
        <v>0.52745149999999996</v>
      </c>
      <c r="F2770" t="s">
        <v>47</v>
      </c>
      <c r="G2770">
        <v>0</v>
      </c>
      <c r="H2770">
        <v>0</v>
      </c>
      <c r="I2770">
        <v>0</v>
      </c>
      <c r="J2770">
        <v>-421.53899999999999</v>
      </c>
      <c r="K2770">
        <v>1.1094440000000001</v>
      </c>
      <c r="L2770">
        <v>285.6909</v>
      </c>
      <c r="M2770">
        <v>-0.99988560000000004</v>
      </c>
      <c r="N2770">
        <v>-1.450036E-2</v>
      </c>
      <c r="O2770">
        <v>-4.3290769999999998E-3</v>
      </c>
      <c r="P2770">
        <v>-0.99499769999999998</v>
      </c>
      <c r="Q2770">
        <v>-4.3365250000000001E-2</v>
      </c>
      <c r="R2770">
        <v>-8.9994790000000005E-2</v>
      </c>
      <c r="S2770">
        <v>-3.0286559999999998</v>
      </c>
      <c r="T2770">
        <v>0.46053359999999899</v>
      </c>
      <c r="U2770">
        <v>-6.6040039999999994E-2</v>
      </c>
      <c r="V2770">
        <v>-8.5693619999999998E-2</v>
      </c>
      <c r="W2770">
        <v>-2.890585E-2</v>
      </c>
      <c r="X2770">
        <v>0.99590210000000001</v>
      </c>
      <c r="Y2770">
        <v>-1.7350730000000002E-2</v>
      </c>
      <c r="Z2770">
        <v>4.6820310000000002E-4</v>
      </c>
      <c r="AA2770">
        <v>0.9998494</v>
      </c>
      <c r="AB2770">
        <v>44</v>
      </c>
      <c r="AC2770">
        <v>-3.0286559999999998</v>
      </c>
      <c r="AD2770">
        <v>0.46053359999999899</v>
      </c>
      <c r="AE2770">
        <v>-6.6040039999999994E-2</v>
      </c>
      <c r="AF2770">
        <v>-5.1731205610922801E-2</v>
      </c>
      <c r="AG2770">
        <v>0.46053359999999899</v>
      </c>
      <c r="AH2770">
        <v>2.9604939441215898</v>
      </c>
      <c r="AI2770">
        <v>81.159280906587796</v>
      </c>
      <c r="AJ2770">
        <v>91.001075561283002</v>
      </c>
      <c r="AK2770">
        <v>2.9965466302968702</v>
      </c>
      <c r="AL2770">
        <v>91.656413983619302</v>
      </c>
      <c r="AM2770">
        <v>94.917972148179203</v>
      </c>
      <c r="AN2770">
        <v>0.99999996872866803</v>
      </c>
    </row>
    <row r="2771" spans="1:40" x14ac:dyDescent="0.25">
      <c r="A2771" t="str">
        <f>"20190305134951336"</f>
        <v>20190305134951336</v>
      </c>
      <c r="B2771" t="str">
        <f>"1551764991323395"</f>
        <v>1551764991323395</v>
      </c>
      <c r="C2771" t="s">
        <v>40</v>
      </c>
      <c r="D2771">
        <v>3.703722</v>
      </c>
      <c r="E2771">
        <v>0.52746029999999999</v>
      </c>
      <c r="F2771" t="s">
        <v>47</v>
      </c>
      <c r="G2771">
        <v>0</v>
      </c>
      <c r="H2771">
        <v>0</v>
      </c>
      <c r="I2771">
        <v>0</v>
      </c>
      <c r="J2771">
        <v>-421.79329999999999</v>
      </c>
      <c r="K2771">
        <v>1.1094360000000001</v>
      </c>
      <c r="L2771">
        <v>285.68979999999999</v>
      </c>
      <c r="M2771">
        <v>-0.99988580000000005</v>
      </c>
      <c r="N2771">
        <v>-1.4498779999999999E-2</v>
      </c>
      <c r="O2771">
        <v>-4.2690979999999998E-3</v>
      </c>
      <c r="P2771">
        <v>-0.99492729999999996</v>
      </c>
      <c r="Q2771">
        <v>-4.405328E-2</v>
      </c>
      <c r="R2771">
        <v>-9.0438249999999998E-2</v>
      </c>
      <c r="S2771">
        <v>-3.02887</v>
      </c>
      <c r="T2771">
        <v>0.45972439999999998</v>
      </c>
      <c r="U2771">
        <v>-6.9488530000000007E-2</v>
      </c>
      <c r="V2771">
        <v>-8.619715E-2</v>
      </c>
      <c r="W2771">
        <v>-2.9594769999999999E-2</v>
      </c>
      <c r="X2771">
        <v>0.99583849999999996</v>
      </c>
      <c r="Y2771">
        <v>-1.853438E-2</v>
      </c>
      <c r="Z2771">
        <v>5.5762179999999995E-4</v>
      </c>
      <c r="AA2771">
        <v>0.99982800000000005</v>
      </c>
      <c r="AB2771">
        <v>44</v>
      </c>
      <c r="AC2771">
        <v>-3.02887</v>
      </c>
      <c r="AD2771">
        <v>0.45972439999999998</v>
      </c>
      <c r="AE2771">
        <v>-6.9488530000000007E-2</v>
      </c>
      <c r="AF2771">
        <v>-5.5283085140996002E-2</v>
      </c>
      <c r="AG2771">
        <v>0.45972439999999998</v>
      </c>
      <c r="AH2771">
        <v>2.96096203559572</v>
      </c>
      <c r="AI2771">
        <v>81.176131132892294</v>
      </c>
      <c r="AJ2771">
        <v>91.069625155981498</v>
      </c>
      <c r="AK2771">
        <v>2.9969482677712702</v>
      </c>
      <c r="AL2771">
        <v>91.695902938307498</v>
      </c>
      <c r="AM2771">
        <v>94.947041210410106</v>
      </c>
      <c r="AN2771">
        <v>1.0000000585808599</v>
      </c>
    </row>
    <row r="2772" spans="1:40" x14ac:dyDescent="0.25">
      <c r="A2772" t="str">
        <f>"20190305134951347"</f>
        <v>20190305134951347</v>
      </c>
      <c r="B2772" t="str">
        <f>"1551764991342916"</f>
        <v>1551764991342916</v>
      </c>
      <c r="C2772" t="s">
        <v>40</v>
      </c>
      <c r="D2772">
        <v>3.7205699999999999</v>
      </c>
      <c r="E2772">
        <v>0.52751429999999999</v>
      </c>
      <c r="F2772" t="s">
        <v>47</v>
      </c>
      <c r="G2772">
        <v>0</v>
      </c>
      <c r="H2772">
        <v>0</v>
      </c>
      <c r="I2772">
        <v>0</v>
      </c>
      <c r="J2772">
        <v>-422.03250000000003</v>
      </c>
      <c r="K2772">
        <v>1.109426</v>
      </c>
      <c r="L2772">
        <v>285.68880000000001</v>
      </c>
      <c r="M2772">
        <v>-0.9998861</v>
      </c>
      <c r="N2772">
        <v>-1.4497299999999901E-2</v>
      </c>
      <c r="O2772">
        <v>-4.2087690000000002E-3</v>
      </c>
      <c r="P2772">
        <v>-0.99484870000000003</v>
      </c>
      <c r="Q2772">
        <v>-4.4878969999999997E-2</v>
      </c>
      <c r="R2772">
        <v>-9.0896240000000003E-2</v>
      </c>
      <c r="S2772">
        <v>-3.0291440000000001</v>
      </c>
      <c r="T2772">
        <v>0.45779560000000002</v>
      </c>
      <c r="U2772">
        <v>-7.0556640000000004E-2</v>
      </c>
      <c r="V2772">
        <v>-8.6716849999999998E-2</v>
      </c>
      <c r="W2772">
        <v>-3.0421429999999999E-2</v>
      </c>
      <c r="X2772">
        <v>0.9957684</v>
      </c>
      <c r="Y2772">
        <v>-1.8941260000000001E-2</v>
      </c>
      <c r="Z2772">
        <v>5.919826E-4</v>
      </c>
      <c r="AA2772">
        <v>0.99982040000000005</v>
      </c>
      <c r="AB2772">
        <v>44</v>
      </c>
      <c r="AC2772">
        <v>-3.0291440000000001</v>
      </c>
      <c r="AD2772">
        <v>0.45779560000000002</v>
      </c>
      <c r="AE2772">
        <v>-7.0556640000000004E-2</v>
      </c>
      <c r="AF2772">
        <v>-5.6515570921618498E-2</v>
      </c>
      <c r="AG2772">
        <v>0.45779560000000002</v>
      </c>
      <c r="AH2772">
        <v>2.9618021394718701</v>
      </c>
      <c r="AI2772">
        <v>81.215093845618597</v>
      </c>
      <c r="AJ2772">
        <v>91.093155660964001</v>
      </c>
      <c r="AK2772">
        <v>2.99750608581803</v>
      </c>
      <c r="AL2772">
        <v>91.743288523680704</v>
      </c>
      <c r="AM2772">
        <v>94.977067159783005</v>
      </c>
      <c r="AN2772">
        <v>0.99999999095786296</v>
      </c>
    </row>
    <row r="2773" spans="1:40" x14ac:dyDescent="0.25">
      <c r="A2773" t="str">
        <f>"20190305134951359"</f>
        <v>20190305134951359</v>
      </c>
      <c r="B2773" t="str">
        <f>"1551764991353652"</f>
        <v>1551764991353652</v>
      </c>
      <c r="C2773" t="s">
        <v>40</v>
      </c>
      <c r="D2773">
        <v>3.7273499999999999</v>
      </c>
      <c r="E2773">
        <v>0.52751429999999999</v>
      </c>
      <c r="F2773" t="s">
        <v>47</v>
      </c>
      <c r="G2773">
        <v>0</v>
      </c>
      <c r="H2773">
        <v>0</v>
      </c>
      <c r="I2773">
        <v>0</v>
      </c>
      <c r="J2773">
        <v>-422.25420000000003</v>
      </c>
      <c r="K2773">
        <v>1.109416</v>
      </c>
      <c r="L2773">
        <v>285.68790000000001</v>
      </c>
      <c r="M2773">
        <v>-0.99988639999999995</v>
      </c>
      <c r="N2773">
        <v>-1.4495950000000001E-2</v>
      </c>
      <c r="O2773">
        <v>-4.1480930000000003E-3</v>
      </c>
      <c r="P2773">
        <v>-0.99472110000000002</v>
      </c>
      <c r="Q2773">
        <v>-4.6300689999999999E-2</v>
      </c>
      <c r="R2773">
        <v>-9.1577969999999995E-2</v>
      </c>
      <c r="S2773">
        <v>-3.0296630000000002</v>
      </c>
      <c r="T2773">
        <v>0.45614579999999999</v>
      </c>
      <c r="U2773">
        <v>-7.1075440000000004E-2</v>
      </c>
      <c r="V2773">
        <v>-8.7459819999999994E-2</v>
      </c>
      <c r="W2773">
        <v>-3.1844629999999999E-2</v>
      </c>
      <c r="X2773">
        <v>0.99565890000000001</v>
      </c>
      <c r="Y2773">
        <v>-1.916708E-2</v>
      </c>
      <c r="Z2773">
        <v>6.1426519999999997E-4</v>
      </c>
      <c r="AA2773">
        <v>0.99981609999999999</v>
      </c>
      <c r="AB2773">
        <v>44</v>
      </c>
      <c r="AC2773">
        <v>-3.0296630000000002</v>
      </c>
      <c r="AD2773">
        <v>0.45614579999999999</v>
      </c>
      <c r="AE2773">
        <v>-7.1075440000000004E-2</v>
      </c>
      <c r="AF2773">
        <v>-5.7210044453154398E-2</v>
      </c>
      <c r="AG2773">
        <v>0.45614579999999999</v>
      </c>
      <c r="AH2773">
        <v>2.96280697021793</v>
      </c>
      <c r="AI2773">
        <v>81.249222121080805</v>
      </c>
      <c r="AJ2773">
        <v>91.106210031871299</v>
      </c>
      <c r="AK2773">
        <v>2.9982606829320102</v>
      </c>
      <c r="AL2773">
        <v>91.824871465101495</v>
      </c>
      <c r="AM2773">
        <v>95.020041802933207</v>
      </c>
      <c r="AN2773">
        <v>0.99999997286173903</v>
      </c>
    </row>
    <row r="2774" spans="1:40" x14ac:dyDescent="0.25">
      <c r="A2774" t="str">
        <f>"20190305134951372"</f>
        <v>20190305134951372</v>
      </c>
      <c r="B2774" t="str">
        <f>"1551764991363412"</f>
        <v>1551764991363412</v>
      </c>
      <c r="C2774" t="s">
        <v>40</v>
      </c>
      <c r="D2774">
        <v>3.7339280000000001</v>
      </c>
      <c r="E2774">
        <v>0.52751419999999904</v>
      </c>
      <c r="F2774" t="s">
        <v>47</v>
      </c>
      <c r="G2774">
        <v>0</v>
      </c>
      <c r="H2774">
        <v>0</v>
      </c>
      <c r="I2774">
        <v>0</v>
      </c>
      <c r="J2774">
        <v>-422.51179999999999</v>
      </c>
      <c r="K2774">
        <v>1.109405</v>
      </c>
      <c r="L2774">
        <v>285.68700000000001</v>
      </c>
      <c r="M2774">
        <v>-0.99988659999999996</v>
      </c>
      <c r="N2774">
        <v>-1.4494399999999999E-2</v>
      </c>
      <c r="O2774">
        <v>-4.0751210000000001E-3</v>
      </c>
      <c r="P2774">
        <v>-0.99457660000000003</v>
      </c>
      <c r="Q2774">
        <v>-4.8374979999999998E-2</v>
      </c>
      <c r="R2774">
        <v>-9.2071550000000002E-2</v>
      </c>
      <c r="S2774">
        <v>-3.0302120000000001</v>
      </c>
      <c r="T2774">
        <v>0.4517041</v>
      </c>
      <c r="U2774">
        <v>-7.2967530000000003E-2</v>
      </c>
      <c r="V2774">
        <v>-8.8028270000000006E-2</v>
      </c>
      <c r="W2774">
        <v>-3.3920640000000002E-2</v>
      </c>
      <c r="X2774">
        <v>0.99554030000000004</v>
      </c>
      <c r="Y2774">
        <v>-1.985493E-2</v>
      </c>
      <c r="Z2774">
        <v>6.6414289999999895E-4</v>
      </c>
      <c r="AA2774">
        <v>0.99980259999999999</v>
      </c>
      <c r="AB2774">
        <v>44</v>
      </c>
      <c r="AC2774">
        <v>-3.0302120000000001</v>
      </c>
      <c r="AD2774">
        <v>0.4517041</v>
      </c>
      <c r="AE2774">
        <v>-7.2967530000000003E-2</v>
      </c>
      <c r="AF2774">
        <v>-5.9300204061321603E-2</v>
      </c>
      <c r="AG2774">
        <v>0.4517041</v>
      </c>
      <c r="AH2774">
        <v>2.9646452479486398</v>
      </c>
      <c r="AI2774">
        <v>81.338541027917003</v>
      </c>
      <c r="AJ2774">
        <v>91.145903846790603</v>
      </c>
      <c r="AK2774">
        <v>2.9994457078505299</v>
      </c>
      <c r="AL2774">
        <v>91.9438823340287</v>
      </c>
      <c r="AM2774">
        <v>95.053100296282807</v>
      </c>
      <c r="AN2774">
        <v>1.0000000375306399</v>
      </c>
    </row>
    <row r="2775" spans="1:40" x14ac:dyDescent="0.25">
      <c r="A2775" t="str">
        <f>"20190305134951387"</f>
        <v>20190305134951387</v>
      </c>
      <c r="B2775" t="str">
        <f>"1551764991382932"</f>
        <v>1551764991382932</v>
      </c>
      <c r="C2775" t="s">
        <v>40</v>
      </c>
      <c r="D2775">
        <v>3.7500149999999999</v>
      </c>
      <c r="E2775">
        <v>0.52725140000000004</v>
      </c>
      <c r="F2775" t="s">
        <v>47</v>
      </c>
      <c r="G2775">
        <v>0</v>
      </c>
      <c r="H2775">
        <v>0</v>
      </c>
      <c r="I2775">
        <v>0</v>
      </c>
      <c r="J2775">
        <v>-422.81639999999999</v>
      </c>
      <c r="K2775">
        <v>1.1093900000000001</v>
      </c>
      <c r="L2775">
        <v>285.68579999999997</v>
      </c>
      <c r="M2775">
        <v>-0.99988719999999998</v>
      </c>
      <c r="N2775">
        <v>-1.4492619999999999E-2</v>
      </c>
      <c r="O2775">
        <v>-3.9834190000000002E-3</v>
      </c>
      <c r="P2775">
        <v>-0.99441210000000002</v>
      </c>
      <c r="Q2775">
        <v>-5.0390940000000002E-2</v>
      </c>
      <c r="R2775">
        <v>-9.2766550000000003E-2</v>
      </c>
      <c r="S2775">
        <v>-3.0311279999999998</v>
      </c>
      <c r="T2775">
        <v>0.4456793</v>
      </c>
      <c r="U2775">
        <v>-7.4188229999999994E-2</v>
      </c>
      <c r="V2775">
        <v>-8.881617E-2</v>
      </c>
      <c r="W2775">
        <v>-3.5938610000000003E-2</v>
      </c>
      <c r="X2775">
        <v>0.99539949999999999</v>
      </c>
      <c r="Y2775">
        <v>-2.0340159999999999E-2</v>
      </c>
      <c r="Z2775">
        <v>6.9914469999999998E-4</v>
      </c>
      <c r="AA2775">
        <v>0.99979289999999998</v>
      </c>
      <c r="AB2775">
        <v>44</v>
      </c>
      <c r="AC2775">
        <v>-3.0311279999999998</v>
      </c>
      <c r="AD2775">
        <v>0.4456793</v>
      </c>
      <c r="AE2775">
        <v>-7.4188229999999994E-2</v>
      </c>
      <c r="AF2775">
        <v>-6.07985038366958E-2</v>
      </c>
      <c r="AG2775">
        <v>0.4456793</v>
      </c>
      <c r="AH2775">
        <v>2.9672879928979601</v>
      </c>
      <c r="AI2775">
        <v>81.459932667061295</v>
      </c>
      <c r="AJ2775">
        <v>91.173802582466394</v>
      </c>
      <c r="AK2775">
        <v>3.0011871866502502</v>
      </c>
      <c r="AL2775">
        <v>92.059574126823307</v>
      </c>
      <c r="AM2775">
        <v>95.098808276602298</v>
      </c>
      <c r="AN2775">
        <v>1.00000003017122</v>
      </c>
    </row>
    <row r="2776" spans="1:40" x14ac:dyDescent="0.25">
      <c r="A2776" t="str">
        <f>"20190305134951400"</f>
        <v>20190305134951400</v>
      </c>
      <c r="B2776" t="str">
        <f>"1551764991393667"</f>
        <v>1551764991393667</v>
      </c>
      <c r="C2776" t="s">
        <v>40</v>
      </c>
      <c r="D2776">
        <v>3.641991</v>
      </c>
      <c r="E2776">
        <v>0.52725140000000004</v>
      </c>
      <c r="F2776" t="s">
        <v>47</v>
      </c>
      <c r="G2776">
        <v>0</v>
      </c>
      <c r="H2776">
        <v>0</v>
      </c>
      <c r="I2776">
        <v>0</v>
      </c>
      <c r="J2776">
        <v>-423.05900000000003</v>
      </c>
      <c r="K2776">
        <v>1.109381</v>
      </c>
      <c r="L2776">
        <v>285.68490000000003</v>
      </c>
      <c r="M2776">
        <v>-0.99988739999999998</v>
      </c>
      <c r="N2776">
        <v>-1.4491199999999999E-2</v>
      </c>
      <c r="O2776">
        <v>-3.906901E-3</v>
      </c>
      <c r="P2776">
        <v>-0.99419639999999998</v>
      </c>
      <c r="Q2776">
        <v>-5.2448410000000001E-2</v>
      </c>
      <c r="R2776">
        <v>-9.3929260000000001E-2</v>
      </c>
      <c r="S2776">
        <v>-3.0318909999999999</v>
      </c>
      <c r="T2776">
        <v>0.440778</v>
      </c>
      <c r="U2776">
        <v>-7.8369140000000004E-2</v>
      </c>
      <c r="V2776">
        <v>-9.005755E-2</v>
      </c>
      <c r="W2776">
        <v>-3.7998749999999998E-2</v>
      </c>
      <c r="X2776">
        <v>0.99521139999999997</v>
      </c>
      <c r="Y2776">
        <v>-2.1777339999999999E-2</v>
      </c>
      <c r="Z2776">
        <v>7.9469779999999997E-4</v>
      </c>
      <c r="AA2776">
        <v>0.9997625</v>
      </c>
      <c r="AB2776">
        <v>44</v>
      </c>
      <c r="AC2776">
        <v>-3.0318909999999999</v>
      </c>
      <c r="AD2776">
        <v>0.440778</v>
      </c>
      <c r="AE2776">
        <v>-7.8369140000000004E-2</v>
      </c>
      <c r="AF2776">
        <v>-6.5146025400532201E-2</v>
      </c>
      <c r="AG2776">
        <v>0.440778</v>
      </c>
      <c r="AH2776">
        <v>2.96945503797002</v>
      </c>
      <c r="AI2776">
        <v>81.558820056205505</v>
      </c>
      <c r="AJ2776">
        <v>91.256794122658405</v>
      </c>
      <c r="AK2776">
        <v>3.0026975326254601</v>
      </c>
      <c r="AL2776">
        <v>92.177692281966998</v>
      </c>
      <c r="AM2776">
        <v>95.170662393672799</v>
      </c>
      <c r="AN2776">
        <v>0.99999999900176195</v>
      </c>
    </row>
    <row r="2777" spans="1:40" x14ac:dyDescent="0.25">
      <c r="A2777" t="str">
        <f>"20190305134951413"</f>
        <v>20190305134951413</v>
      </c>
      <c r="B2777" t="str">
        <f>"1551764991403428"</f>
        <v>1551764991403428</v>
      </c>
      <c r="C2777" t="s">
        <v>40</v>
      </c>
      <c r="D2777">
        <v>3.7228789999999998</v>
      </c>
      <c r="E2777">
        <v>0.52691509999999997</v>
      </c>
      <c r="F2777" t="s">
        <v>47</v>
      </c>
      <c r="G2777">
        <v>0</v>
      </c>
      <c r="H2777">
        <v>0</v>
      </c>
      <c r="I2777">
        <v>0</v>
      </c>
      <c r="J2777">
        <v>-423.30040000000002</v>
      </c>
      <c r="K2777">
        <v>1.109381</v>
      </c>
      <c r="L2777">
        <v>285.68400000000003</v>
      </c>
      <c r="M2777">
        <v>-0.99988759999999999</v>
      </c>
      <c r="N2777">
        <v>-1.4489800000000001E-2</v>
      </c>
      <c r="O2777">
        <v>-3.8290770000000002E-3</v>
      </c>
      <c r="P2777">
        <v>-0.99419179999999996</v>
      </c>
      <c r="Q2777">
        <v>-5.2488489999999999E-2</v>
      </c>
      <c r="R2777">
        <v>-9.3954620000000003E-2</v>
      </c>
      <c r="S2777">
        <v>-3.032715</v>
      </c>
      <c r="T2777">
        <v>0.43449850000000001</v>
      </c>
      <c r="U2777">
        <v>-8.1787109999999996E-2</v>
      </c>
      <c r="V2777">
        <v>-9.0160850000000001E-2</v>
      </c>
      <c r="W2777">
        <v>-3.8039160000000002E-2</v>
      </c>
      <c r="X2777">
        <v>0.99520050000000004</v>
      </c>
      <c r="Y2777">
        <v>-2.2967169999999999E-2</v>
      </c>
      <c r="Z2777">
        <v>8.685489E-4</v>
      </c>
      <c r="AA2777">
        <v>0.99973579999999995</v>
      </c>
      <c r="AB2777">
        <v>43</v>
      </c>
      <c r="AC2777">
        <v>-3.032715</v>
      </c>
      <c r="AD2777">
        <v>0.43449850000000001</v>
      </c>
      <c r="AE2777">
        <v>-8.1787109999999996E-2</v>
      </c>
      <c r="AF2777">
        <v>-6.8762370789959504E-2</v>
      </c>
      <c r="AG2777">
        <v>0.43449850000000001</v>
      </c>
      <c r="AH2777">
        <v>2.9720448388548699</v>
      </c>
      <c r="AI2777">
        <v>81.684752108804801</v>
      </c>
      <c r="AJ2777">
        <v>91.325380704025505</v>
      </c>
      <c r="AK2777">
        <v>3.00442469273283</v>
      </c>
      <c r="AL2777">
        <v>92.180009286368502</v>
      </c>
      <c r="AM2777">
        <v>95.176617556610793</v>
      </c>
      <c r="AN2777">
        <v>0.99999999588323896</v>
      </c>
    </row>
    <row r="2778" spans="1:40" x14ac:dyDescent="0.25">
      <c r="A2778" t="str">
        <f>"20190305134951425"</f>
        <v>20190305134951425</v>
      </c>
      <c r="B2778" t="str">
        <f>"1551764991413188"</f>
        <v>1551764991413188</v>
      </c>
      <c r="C2778" t="s">
        <v>40</v>
      </c>
      <c r="D2778">
        <v>3.732577</v>
      </c>
      <c r="E2778">
        <v>0.52663859999999996</v>
      </c>
      <c r="F2778" t="s">
        <v>47</v>
      </c>
      <c r="G2778">
        <v>0</v>
      </c>
      <c r="H2778">
        <v>0</v>
      </c>
      <c r="I2778">
        <v>0</v>
      </c>
      <c r="J2778">
        <v>-423.55130000000003</v>
      </c>
      <c r="K2778">
        <v>1.1093839999999999</v>
      </c>
      <c r="L2778">
        <v>285.68310000000002</v>
      </c>
      <c r="M2778">
        <v>-0.999888</v>
      </c>
      <c r="N2778">
        <v>-1.448837E-2</v>
      </c>
      <c r="O2778">
        <v>-3.7461349999999998E-3</v>
      </c>
      <c r="P2778">
        <v>-0.99429149999999999</v>
      </c>
      <c r="Q2778">
        <v>-5.091536E-2</v>
      </c>
      <c r="R2778">
        <v>-9.3765150000000005E-2</v>
      </c>
      <c r="S2778">
        <v>-3.0324710000000001</v>
      </c>
      <c r="T2778">
        <v>0.4341333</v>
      </c>
      <c r="U2778">
        <v>-8.4533689999999995E-2</v>
      </c>
      <c r="V2778">
        <v>-9.0053199999999903E-2</v>
      </c>
      <c r="W2778">
        <v>-3.6465240000000003E-2</v>
      </c>
      <c r="X2778">
        <v>0.99526919999999997</v>
      </c>
      <c r="Y2778">
        <v>-2.3947340000000001E-2</v>
      </c>
      <c r="Z2778">
        <v>9.4340030000000005E-4</v>
      </c>
      <c r="AA2778">
        <v>0.99971279999999996</v>
      </c>
      <c r="AB2778">
        <v>43</v>
      </c>
      <c r="AC2778">
        <v>-3.0324710000000001</v>
      </c>
      <c r="AD2778">
        <v>0.4341333</v>
      </c>
      <c r="AE2778">
        <v>-8.4533689999999995E-2</v>
      </c>
      <c r="AF2778">
        <v>-7.1703420926854694E-2</v>
      </c>
      <c r="AG2778">
        <v>0.4341333</v>
      </c>
      <c r="AH2778">
        <v>2.9719038546909999</v>
      </c>
      <c r="AI2778">
        <v>81.691446612714302</v>
      </c>
      <c r="AJ2778">
        <v>91.382112848832506</v>
      </c>
      <c r="AK2778">
        <v>3.0043011873426901</v>
      </c>
      <c r="AL2778">
        <v>92.089767581322207</v>
      </c>
      <c r="AM2778">
        <v>95.170115348664694</v>
      </c>
      <c r="AN2778">
        <v>1.00000003651356</v>
      </c>
    </row>
    <row r="2779" spans="1:40" x14ac:dyDescent="0.25">
      <c r="A2779" t="str">
        <f>"20190305134951446"</f>
        <v>20190305134951446</v>
      </c>
      <c r="B2779" t="str">
        <f>"1551764991433684"</f>
        <v>1551764991433684</v>
      </c>
      <c r="C2779" t="s">
        <v>40</v>
      </c>
      <c r="D2779">
        <v>3.7475849999999999</v>
      </c>
      <c r="E2779">
        <v>0.52620299999999998</v>
      </c>
      <c r="F2779" t="s">
        <v>47</v>
      </c>
      <c r="G2779">
        <v>0</v>
      </c>
      <c r="H2779">
        <v>0</v>
      </c>
      <c r="I2779">
        <v>0</v>
      </c>
      <c r="J2779">
        <v>-423.94009999999997</v>
      </c>
      <c r="K2779">
        <v>1.1093949999999999</v>
      </c>
      <c r="L2779">
        <v>285.68180000000001</v>
      </c>
      <c r="M2779">
        <v>-0.99988860000000002</v>
      </c>
      <c r="N2779">
        <v>-1.448613E-2</v>
      </c>
      <c r="O2779">
        <v>-3.6151199999999999E-3</v>
      </c>
      <c r="P2779">
        <v>-0.99452390000000002</v>
      </c>
      <c r="Q2779">
        <v>-4.7251849999999998E-2</v>
      </c>
      <c r="R2779">
        <v>-9.3219239999999995E-2</v>
      </c>
      <c r="S2779">
        <v>-3.031647</v>
      </c>
      <c r="T2779">
        <v>0.43921959999999999</v>
      </c>
      <c r="U2779">
        <v>-8.5632319999999998E-2</v>
      </c>
      <c r="V2779">
        <v>-8.9635569999999998E-2</v>
      </c>
      <c r="W2779">
        <v>-3.2799879999999997E-2</v>
      </c>
      <c r="X2779">
        <v>0.99543440000000005</v>
      </c>
      <c r="Y2779">
        <v>-2.4437110000000001E-2</v>
      </c>
      <c r="Z2779">
        <v>1.009809E-3</v>
      </c>
      <c r="AA2779">
        <v>0.99970079999999995</v>
      </c>
      <c r="AB2779">
        <v>43</v>
      </c>
      <c r="AC2779">
        <v>-3.031647</v>
      </c>
      <c r="AD2779">
        <v>0.43921959999999999</v>
      </c>
      <c r="AE2779">
        <v>-8.5632319999999998E-2</v>
      </c>
      <c r="AF2779">
        <v>-7.3136944726611197E-2</v>
      </c>
      <c r="AG2779">
        <v>0.43921959999999999</v>
      </c>
      <c r="AH2779">
        <v>2.9696543370198398</v>
      </c>
      <c r="AI2779">
        <v>81.589311984839995</v>
      </c>
      <c r="AJ2779">
        <v>91.410801010688601</v>
      </c>
      <c r="AK2779">
        <v>3.0028502711738501</v>
      </c>
      <c r="AL2779">
        <v>91.879631811867696</v>
      </c>
      <c r="AM2779">
        <v>95.145418030536106</v>
      </c>
      <c r="AN2779">
        <v>1.0000000061202901</v>
      </c>
    </row>
    <row r="2780" spans="1:40" x14ac:dyDescent="0.25">
      <c r="A2780" t="str">
        <f>"20190305134951468"</f>
        <v>20190305134951468</v>
      </c>
      <c r="B2780" t="str">
        <f>"1551764991463470"</f>
        <v>1551764991463470</v>
      </c>
      <c r="C2780" t="s">
        <v>40</v>
      </c>
      <c r="D2780">
        <v>3.9329540000000001</v>
      </c>
      <c r="E2780">
        <v>0.52586339999999998</v>
      </c>
      <c r="F2780" t="s">
        <v>47</v>
      </c>
      <c r="G2780">
        <v>0</v>
      </c>
      <c r="H2780">
        <v>0</v>
      </c>
      <c r="I2780">
        <v>0</v>
      </c>
      <c r="J2780">
        <v>-424.37119999999999</v>
      </c>
      <c r="K2780">
        <v>1.1094079999999999</v>
      </c>
      <c r="L2780">
        <v>285.68029999999999</v>
      </c>
      <c r="M2780">
        <v>-0.99988909999999998</v>
      </c>
      <c r="N2780">
        <v>-1.4483630000000001E-2</v>
      </c>
      <c r="O2780">
        <v>-3.4676659999999999E-3</v>
      </c>
      <c r="P2780">
        <v>-0.99475939999999996</v>
      </c>
      <c r="Q2780">
        <v>-4.4149679999999997E-2</v>
      </c>
      <c r="R2780">
        <v>-9.2219490000000001E-2</v>
      </c>
      <c r="S2780">
        <v>-3.029846</v>
      </c>
      <c r="T2780">
        <v>0.45129750000000002</v>
      </c>
      <c r="U2780">
        <v>-8.6334229999999998E-2</v>
      </c>
      <c r="V2780">
        <v>-8.8781700000000005E-2</v>
      </c>
      <c r="W2780">
        <v>-2.969639E-2</v>
      </c>
      <c r="X2780">
        <v>0.9956083</v>
      </c>
      <c r="Y2780">
        <v>-2.4815609999999998E-2</v>
      </c>
      <c r="Z2780">
        <v>1.093517E-3</v>
      </c>
      <c r="AA2780">
        <v>0.99969140000000001</v>
      </c>
      <c r="AB2780">
        <v>43</v>
      </c>
      <c r="AC2780">
        <v>-3.029846</v>
      </c>
      <c r="AD2780">
        <v>0.45129750000000002</v>
      </c>
      <c r="AE2780">
        <v>-8.6334229999999998E-2</v>
      </c>
      <c r="AF2780">
        <v>-7.4181634486623793E-2</v>
      </c>
      <c r="AG2780">
        <v>0.45129750000000002</v>
      </c>
      <c r="AH2780">
        <v>2.9644112500216702</v>
      </c>
      <c r="AI2780">
        <v>81.346509828822406</v>
      </c>
      <c r="AJ2780">
        <v>91.433474428586905</v>
      </c>
      <c r="AK2780">
        <v>2.99948435696145</v>
      </c>
      <c r="AL2780">
        <v>91.701728035144598</v>
      </c>
      <c r="AM2780">
        <v>95.095776542577497</v>
      </c>
      <c r="AN2780">
        <v>0.99999997643140504</v>
      </c>
    </row>
    <row r="2781" spans="1:40" x14ac:dyDescent="0.25">
      <c r="A2781" t="str">
        <f>"20190305134951482"</f>
        <v>20190305134951482</v>
      </c>
      <c r="B2781" t="str">
        <f>"1551764991473231"</f>
        <v>1551764991473231</v>
      </c>
      <c r="C2781" t="s">
        <v>40</v>
      </c>
      <c r="D2781">
        <v>3.939743</v>
      </c>
      <c r="E2781">
        <v>0.50803489999999996</v>
      </c>
      <c r="F2781" t="s">
        <v>47</v>
      </c>
      <c r="G2781">
        <v>0</v>
      </c>
      <c r="H2781">
        <v>0</v>
      </c>
      <c r="I2781">
        <v>0</v>
      </c>
      <c r="J2781">
        <v>-424.63350000000003</v>
      </c>
      <c r="K2781">
        <v>1.109413</v>
      </c>
      <c r="L2781">
        <v>285.67939999999999</v>
      </c>
      <c r="M2781">
        <v>-0.99988949999999999</v>
      </c>
      <c r="N2781">
        <v>-1.4482109999999999E-2</v>
      </c>
      <c r="O2781">
        <v>-3.37725E-3</v>
      </c>
      <c r="P2781">
        <v>-0.99486459999999999</v>
      </c>
      <c r="Q2781">
        <v>-4.3147390000000001E-2</v>
      </c>
      <c r="R2781">
        <v>-9.1559979999999999E-2</v>
      </c>
      <c r="S2781">
        <v>-3.0284420000000001</v>
      </c>
      <c r="T2781">
        <v>0.46250380000000002</v>
      </c>
      <c r="U2781">
        <v>-8.5571289999999994E-2</v>
      </c>
      <c r="V2781">
        <v>-8.8211250000000005E-2</v>
      </c>
      <c r="W2781">
        <v>-2.8693969999999999E-2</v>
      </c>
      <c r="X2781">
        <v>0.99568840000000003</v>
      </c>
      <c r="Y2781">
        <v>-2.4656839999999999E-2</v>
      </c>
      <c r="Z2781">
        <v>1.1307730000000001E-3</v>
      </c>
      <c r="AA2781">
        <v>0.99969540000000001</v>
      </c>
      <c r="AB2781">
        <v>43</v>
      </c>
      <c r="AC2781">
        <v>-3.0284420000000001</v>
      </c>
      <c r="AD2781">
        <v>0.46250380000000002</v>
      </c>
      <c r="AE2781">
        <v>-8.5571289999999994E-2</v>
      </c>
      <c r="AF2781">
        <v>-7.3626082634109205E-2</v>
      </c>
      <c r="AG2781">
        <v>0.46250380000000002</v>
      </c>
      <c r="AH2781">
        <v>2.9597376402250699</v>
      </c>
      <c r="AI2781">
        <v>81.121197319128299</v>
      </c>
      <c r="AJ2781">
        <v>91.424989134452801</v>
      </c>
      <c r="AK2781">
        <v>2.99656093948105</v>
      </c>
      <c r="AL2781">
        <v>91.644269098468698</v>
      </c>
      <c r="AM2781">
        <v>95.062800131811301</v>
      </c>
      <c r="AN2781">
        <v>0.99999997921774098</v>
      </c>
    </row>
    <row r="2782" spans="1:40" x14ac:dyDescent="0.25">
      <c r="A2782" t="str">
        <f>"20190305134951502"</f>
        <v>20190305134951502</v>
      </c>
      <c r="B2782" t="str">
        <f>"1551764991493726"</f>
        <v>1551764991493726</v>
      </c>
      <c r="C2782" t="s">
        <v>40</v>
      </c>
      <c r="D2782">
        <v>3.707843</v>
      </c>
      <c r="E2782">
        <v>0.50810109999999997</v>
      </c>
      <c r="F2782" t="s">
        <v>74</v>
      </c>
      <c r="G2782">
        <v>-444.52120000000002</v>
      </c>
      <c r="H2782" s="1">
        <v>8.8374589999999996E-7</v>
      </c>
      <c r="I2782">
        <v>284.2824</v>
      </c>
      <c r="J2782">
        <v>-425.01859999999999</v>
      </c>
      <c r="K2782">
        <v>1.109423</v>
      </c>
      <c r="L2782">
        <v>285.67829999999998</v>
      </c>
      <c r="M2782">
        <v>-0.99988999999999995</v>
      </c>
      <c r="N2782">
        <v>-1.4479870000000001E-2</v>
      </c>
      <c r="O2782">
        <v>-3.2441420000000002E-3</v>
      </c>
      <c r="P2782">
        <v>-0.99502040000000003</v>
      </c>
      <c r="Q2782">
        <v>-4.193264E-2</v>
      </c>
      <c r="R2782">
        <v>-9.0423089999999998E-2</v>
      </c>
      <c r="S2782">
        <v>-2.9889220000000001</v>
      </c>
      <c r="T2782">
        <v>-0.16673399999999999</v>
      </c>
      <c r="U2782">
        <v>-0.20996090000000001</v>
      </c>
      <c r="V2782">
        <v>-8.7206199999999998E-2</v>
      </c>
      <c r="W2782">
        <v>-2.7479199999999999E-2</v>
      </c>
      <c r="X2782">
        <v>0.99581120000000001</v>
      </c>
      <c r="Y2782">
        <v>-6.670943E-2</v>
      </c>
      <c r="Z2782">
        <v>-2.2072839999999999E-3</v>
      </c>
      <c r="AA2782">
        <v>0.99777000000000005</v>
      </c>
      <c r="AB2782">
        <v>43</v>
      </c>
      <c r="AC2782">
        <v>-19.502600000000001</v>
      </c>
      <c r="AD2782">
        <v>-1.1094221162541</v>
      </c>
      <c r="AE2782">
        <v>-1.3958999999999799</v>
      </c>
      <c r="AF2782">
        <v>-1.32834022084992</v>
      </c>
      <c r="AG2782">
        <v>-1.1094221162541</v>
      </c>
      <c r="AH2782">
        <v>19.444424856864099</v>
      </c>
      <c r="AI2782">
        <v>93.257953511970001</v>
      </c>
      <c r="AJ2782">
        <v>93.908072510315606</v>
      </c>
      <c r="AK2782">
        <v>19.521295120677699</v>
      </c>
      <c r="AL2782">
        <v>91.574640417628103</v>
      </c>
      <c r="AM2782">
        <v>95.004796855634197</v>
      </c>
      <c r="AN2782">
        <v>0.99999998689825997</v>
      </c>
    </row>
    <row r="2783" spans="1:40" x14ac:dyDescent="0.25">
      <c r="A2783" t="str">
        <f>"20190305134951523"</f>
        <v>20190305134951523</v>
      </c>
      <c r="B2783" t="str">
        <f>"1551764991513247"</f>
        <v>1551764991513247</v>
      </c>
      <c r="C2783" t="s">
        <v>40</v>
      </c>
      <c r="D2783">
        <v>3.7105600000000001</v>
      </c>
      <c r="E2783">
        <v>0.51511399999999996</v>
      </c>
      <c r="F2783" t="s">
        <v>74</v>
      </c>
      <c r="G2783">
        <v>-445.15030000000002</v>
      </c>
      <c r="H2783" s="1">
        <v>1.218169E-6</v>
      </c>
      <c r="I2783">
        <v>284.29039999999998</v>
      </c>
      <c r="J2783">
        <v>-425.44589999999999</v>
      </c>
      <c r="K2783">
        <v>1.1094349999999999</v>
      </c>
      <c r="L2783">
        <v>285.67700000000002</v>
      </c>
      <c r="M2783">
        <v>-0.99989039999999996</v>
      </c>
      <c r="N2783">
        <v>-1.447738E-2</v>
      </c>
      <c r="O2783">
        <v>-3.0961370000000001E-3</v>
      </c>
      <c r="P2783">
        <v>-0.99512560000000005</v>
      </c>
      <c r="Q2783">
        <v>-4.1256699999999903E-2</v>
      </c>
      <c r="R2783">
        <v>-8.95706E-2</v>
      </c>
      <c r="S2783">
        <v>-2.9893190000000001</v>
      </c>
      <c r="T2783">
        <v>-0.16473670000000001</v>
      </c>
      <c r="U2783">
        <v>-0.2060852</v>
      </c>
      <c r="V2783">
        <v>-8.6500740000000007E-2</v>
      </c>
      <c r="W2783">
        <v>-2.6804120000000001E-2</v>
      </c>
      <c r="X2783">
        <v>0.99589119999999998</v>
      </c>
      <c r="Y2783">
        <v>-6.5565209999999999E-2</v>
      </c>
      <c r="Z2783">
        <v>-2.1532029999999998E-3</v>
      </c>
      <c r="AA2783">
        <v>0.99784589999999995</v>
      </c>
      <c r="AB2783">
        <v>43</v>
      </c>
      <c r="AC2783">
        <v>-19.7044</v>
      </c>
      <c r="AD2783">
        <v>-1.1094337818310001</v>
      </c>
      <c r="AE2783">
        <v>-1.38660000000004</v>
      </c>
      <c r="AF2783">
        <v>-1.32141103995922</v>
      </c>
      <c r="AG2783">
        <v>-1.1094337818310001</v>
      </c>
      <c r="AH2783">
        <v>19.646623741776398</v>
      </c>
      <c r="AI2783">
        <v>93.224757538192307</v>
      </c>
      <c r="AJ2783">
        <v>93.847857972974595</v>
      </c>
      <c r="AK2783">
        <v>19.7222411227458</v>
      </c>
      <c r="AL2783">
        <v>91.535946813605904</v>
      </c>
      <c r="AM2783">
        <v>94.964116587990603</v>
      </c>
      <c r="AN2783">
        <v>1.00000006055347</v>
      </c>
    </row>
    <row r="2784" spans="1:40" x14ac:dyDescent="0.25">
      <c r="A2784" t="str">
        <f>"20190305134951538"</f>
        <v>20190305134951538</v>
      </c>
      <c r="B2784" t="str">
        <f>"1551764991533742"</f>
        <v>1551764991533742</v>
      </c>
      <c r="C2784" t="s">
        <v>40</v>
      </c>
      <c r="D2784">
        <v>3.7570359999999998</v>
      </c>
      <c r="E2784">
        <v>0.51489220000000002</v>
      </c>
      <c r="F2784" t="s">
        <v>76</v>
      </c>
      <c r="G2784">
        <v>-551.06870000000004</v>
      </c>
      <c r="H2784">
        <v>20.819659999999999</v>
      </c>
      <c r="I2784">
        <v>278.88350000000003</v>
      </c>
      <c r="J2784">
        <v>-425.72899999999998</v>
      </c>
      <c r="K2784">
        <v>1.109432</v>
      </c>
      <c r="L2784">
        <v>285.67619999999999</v>
      </c>
      <c r="M2784">
        <v>-0.99989070000000002</v>
      </c>
      <c r="N2784">
        <v>-1.4475729999999999E-2</v>
      </c>
      <c r="O2784">
        <v>-2.99811E-3</v>
      </c>
      <c r="P2784">
        <v>-0.99519659999999999</v>
      </c>
      <c r="Q2784">
        <v>-4.1171949999999999E-2</v>
      </c>
      <c r="R2784">
        <v>-8.8817919999999995E-2</v>
      </c>
      <c r="S2784">
        <v>-3.0196839999999998</v>
      </c>
      <c r="T2784">
        <v>0.47378969999999998</v>
      </c>
      <c r="U2784">
        <v>-0.16329959999999999</v>
      </c>
      <c r="V2784">
        <v>-8.5845110000000002E-2</v>
      </c>
      <c r="W2784">
        <v>-2.6720049999999999E-2</v>
      </c>
      <c r="X2784">
        <v>0.99595009999999995</v>
      </c>
      <c r="Y2784">
        <v>-5.0490519999999997E-2</v>
      </c>
      <c r="Z2784">
        <v>3.0560660000000001E-3</v>
      </c>
      <c r="AA2784">
        <v>0.99871989999999999</v>
      </c>
      <c r="AB2784">
        <v>43</v>
      </c>
      <c r="AC2784">
        <v>-125.33969999999999</v>
      </c>
      <c r="AD2784">
        <v>19.710228000000001</v>
      </c>
      <c r="AE2784">
        <v>-6.79269999999996</v>
      </c>
      <c r="AF2784">
        <v>-6.2624377517639997</v>
      </c>
      <c r="AG2784">
        <v>19.710228000000001</v>
      </c>
      <c r="AH2784">
        <v>122.34294877763099</v>
      </c>
      <c r="AI2784">
        <v>80.859690240586403</v>
      </c>
      <c r="AJ2784">
        <v>92.930274005811896</v>
      </c>
      <c r="AK2784">
        <v>124.078637685996</v>
      </c>
      <c r="AL2784">
        <v>91.531128366185399</v>
      </c>
      <c r="AM2784">
        <v>94.926387162857395</v>
      </c>
      <c r="AN2784">
        <v>0.99999997283646103</v>
      </c>
    </row>
    <row r="2785" spans="1:40" x14ac:dyDescent="0.25">
      <c r="A2785" t="str">
        <f>"20190305134951557"</f>
        <v>20190305134951557</v>
      </c>
      <c r="B2785" t="str">
        <f>"1551764991543503"</f>
        <v>1551764991543503</v>
      </c>
      <c r="C2785" t="s">
        <v>40</v>
      </c>
      <c r="D2785">
        <v>3.7273610000000001</v>
      </c>
      <c r="E2785">
        <v>0.51478659999999998</v>
      </c>
      <c r="F2785" t="s">
        <v>76</v>
      </c>
      <c r="G2785">
        <v>-551.06859999999995</v>
      </c>
      <c r="H2785">
        <v>20.387329999999999</v>
      </c>
      <c r="I2785">
        <v>278.92090000000002</v>
      </c>
      <c r="J2785">
        <v>-426.08699999999999</v>
      </c>
      <c r="K2785">
        <v>1.109442</v>
      </c>
      <c r="L2785">
        <v>285.67520000000002</v>
      </c>
      <c r="M2785">
        <v>-0.99989119999999998</v>
      </c>
      <c r="N2785">
        <v>-1.447362E-2</v>
      </c>
      <c r="O2785">
        <v>-2.8745670000000002E-3</v>
      </c>
      <c r="P2785">
        <v>-0.99526939999999997</v>
      </c>
      <c r="Q2785">
        <v>-4.1306990000000002E-2</v>
      </c>
      <c r="R2785">
        <v>-8.7937150000000006E-2</v>
      </c>
      <c r="S2785">
        <v>-3.0191349999999999</v>
      </c>
      <c r="T2785">
        <v>0.46435999999999999</v>
      </c>
      <c r="U2785">
        <v>-0.16271969999999999</v>
      </c>
      <c r="V2785">
        <v>-8.5087319999999994E-2</v>
      </c>
      <c r="W2785">
        <v>-2.6856250000000002E-2</v>
      </c>
      <c r="X2785">
        <v>0.99601150000000005</v>
      </c>
      <c r="Y2785">
        <v>-5.0452339999999998E-2</v>
      </c>
      <c r="Z2785">
        <v>3.0066469999999999E-3</v>
      </c>
      <c r="AA2785">
        <v>0.998722</v>
      </c>
      <c r="AB2785">
        <v>43</v>
      </c>
      <c r="AC2785">
        <v>-124.98159999999901</v>
      </c>
      <c r="AD2785">
        <v>19.277888000000001</v>
      </c>
      <c r="AE2785">
        <v>-6.7542999999999997</v>
      </c>
      <c r="AF2785">
        <v>-6.2467774062905903</v>
      </c>
      <c r="AG2785">
        <v>19.277888000000001</v>
      </c>
      <c r="AH2785">
        <v>122.103893309659</v>
      </c>
      <c r="AI2785">
        <v>81.039667598730901</v>
      </c>
      <c r="AJ2785">
        <v>92.928671682272494</v>
      </c>
      <c r="AK2785">
        <v>123.774068185064</v>
      </c>
      <c r="AL2785">
        <v>91.538934797148997</v>
      </c>
      <c r="AM2785">
        <v>94.882811558349204</v>
      </c>
      <c r="AN2785">
        <v>1.0000000091605401</v>
      </c>
    </row>
    <row r="2786" spans="1:40" x14ac:dyDescent="0.25">
      <c r="A2786" t="str">
        <f>"20190305134951568"</f>
        <v>20190305134951568</v>
      </c>
      <c r="B2786" t="str">
        <f>"1551764991563530"</f>
        <v>1551764991563530</v>
      </c>
      <c r="C2786" t="s">
        <v>40</v>
      </c>
      <c r="D2786">
        <v>3.6922790000000001</v>
      </c>
      <c r="E2786">
        <v>0.51410719999999999</v>
      </c>
      <c r="F2786" t="s">
        <v>76</v>
      </c>
      <c r="G2786">
        <v>-551.06859999999995</v>
      </c>
      <c r="H2786">
        <v>20.320599999999999</v>
      </c>
      <c r="I2786">
        <v>279.03949999999998</v>
      </c>
      <c r="J2786">
        <v>-426.31779999999998</v>
      </c>
      <c r="K2786">
        <v>1.1094469999999901</v>
      </c>
      <c r="L2786">
        <v>285.67469999999997</v>
      </c>
      <c r="M2786">
        <v>-0.99989139999999999</v>
      </c>
      <c r="N2786">
        <v>-1.4472240000000001E-2</v>
      </c>
      <c r="O2786">
        <v>-2.794791E-3</v>
      </c>
      <c r="P2786">
        <v>-0.99527480000000002</v>
      </c>
      <c r="Q2786">
        <v>-4.091699E-2</v>
      </c>
      <c r="R2786">
        <v>-8.8058139999999993E-2</v>
      </c>
      <c r="S2786">
        <v>-3.0193479999999999</v>
      </c>
      <c r="T2786">
        <v>0.4641111</v>
      </c>
      <c r="U2786">
        <v>-0.1603088</v>
      </c>
      <c r="V2786">
        <v>-8.5287650000000007E-2</v>
      </c>
      <c r="W2786">
        <v>-2.6467359999999999E-2</v>
      </c>
      <c r="X2786">
        <v>0.99600480000000002</v>
      </c>
      <c r="Y2786">
        <v>-4.9740050000000001E-2</v>
      </c>
      <c r="Z2786">
        <v>2.9688449999999999E-3</v>
      </c>
      <c r="AA2786">
        <v>0.99875780000000003</v>
      </c>
      <c r="AB2786">
        <v>43</v>
      </c>
      <c r="AC2786">
        <v>-124.750799999999</v>
      </c>
      <c r="AD2786">
        <v>19.211152999999999</v>
      </c>
      <c r="AE2786">
        <v>-6.6351999999999904</v>
      </c>
      <c r="AF2786">
        <v>-6.1412570780912299</v>
      </c>
      <c r="AG2786">
        <v>19.211152999999999</v>
      </c>
      <c r="AH2786">
        <v>121.886494024896</v>
      </c>
      <c r="AI2786">
        <v>81.054169970868003</v>
      </c>
      <c r="AJ2786">
        <v>92.884411517214801</v>
      </c>
      <c r="AK2786">
        <v>123.543922811968</v>
      </c>
      <c r="AL2786">
        <v>91.516645081606598</v>
      </c>
      <c r="AM2786">
        <v>94.894284660772996</v>
      </c>
      <c r="AN2786">
        <v>1.0000000330054599</v>
      </c>
    </row>
    <row r="2787" spans="1:40" x14ac:dyDescent="0.25">
      <c r="A2787" t="str">
        <f>"20190305134951581"</f>
        <v>20190305134951581</v>
      </c>
      <c r="B2787" t="str">
        <f>"1551764991573290"</f>
        <v>1551764991573290</v>
      </c>
      <c r="C2787" t="s">
        <v>40</v>
      </c>
      <c r="D2787">
        <v>3.7218650000000002</v>
      </c>
      <c r="E2787">
        <v>0.51379909999999995</v>
      </c>
      <c r="F2787" t="s">
        <v>76</v>
      </c>
      <c r="G2787">
        <v>-551.06849999999997</v>
      </c>
      <c r="H2787">
        <v>20.08165</v>
      </c>
      <c r="I2787">
        <v>278.83359999999999</v>
      </c>
      <c r="J2787">
        <v>-426.54989999999998</v>
      </c>
      <c r="K2787">
        <v>1.109451</v>
      </c>
      <c r="L2787">
        <v>285.67410000000001</v>
      </c>
      <c r="M2787">
        <v>-0.99989159999999999</v>
      </c>
      <c r="N2787">
        <v>-1.447083E-2</v>
      </c>
      <c r="O2787">
        <v>-2.7146610000000002E-3</v>
      </c>
      <c r="P2787">
        <v>-0.99523720000000004</v>
      </c>
      <c r="Q2787">
        <v>-4.0731459999999997E-2</v>
      </c>
      <c r="R2787">
        <v>-8.8565989999999997E-2</v>
      </c>
      <c r="S2787">
        <v>-3.018494</v>
      </c>
      <c r="T2787">
        <v>0.45905659999999998</v>
      </c>
      <c r="U2787">
        <v>-0.16552729999999999</v>
      </c>
      <c r="V2787">
        <v>-8.5875530000000005E-2</v>
      </c>
      <c r="W2787">
        <v>-2.6283419999999998E-2</v>
      </c>
      <c r="X2787">
        <v>0.99595909999999999</v>
      </c>
      <c r="Y2787">
        <v>-5.154777E-2</v>
      </c>
      <c r="Z2787">
        <v>3.0700649999999999E-3</v>
      </c>
      <c r="AA2787">
        <v>0.99866580000000005</v>
      </c>
      <c r="AB2787">
        <v>43</v>
      </c>
      <c r="AC2787">
        <v>-124.51860000000001</v>
      </c>
      <c r="AD2787">
        <v>18.972199</v>
      </c>
      <c r="AE2787">
        <v>-6.8405000000000102</v>
      </c>
      <c r="AF2787">
        <v>-6.3553193933555399</v>
      </c>
      <c r="AG2787">
        <v>18.972199</v>
      </c>
      <c r="AH2787">
        <v>121.719508116223</v>
      </c>
      <c r="AI2787">
        <v>81.152557629080704</v>
      </c>
      <c r="AJ2787">
        <v>92.988860432372704</v>
      </c>
      <c r="AK2787">
        <v>123.353042425157</v>
      </c>
      <c r="AL2787">
        <v>91.506102513161906</v>
      </c>
      <c r="AM2787">
        <v>94.928079963776099</v>
      </c>
      <c r="AN2787">
        <v>0.99999997684624298</v>
      </c>
    </row>
    <row r="2788" spans="1:40" x14ac:dyDescent="0.25">
      <c r="A2788" t="str">
        <f>"20190305134951601"</f>
        <v>20190305134951601</v>
      </c>
      <c r="B2788" t="str">
        <f>"1551764991593786"</f>
        <v>1551764991593786</v>
      </c>
      <c r="C2788" t="s">
        <v>40</v>
      </c>
      <c r="D2788">
        <v>3.7274560000000001</v>
      </c>
      <c r="E2788">
        <v>0.51369549999999997</v>
      </c>
      <c r="F2788" t="s">
        <v>76</v>
      </c>
      <c r="G2788">
        <v>-551.06849999999997</v>
      </c>
      <c r="H2788">
        <v>19.981110000000001</v>
      </c>
      <c r="I2788">
        <v>278.6721</v>
      </c>
      <c r="J2788">
        <v>-426.95359999999999</v>
      </c>
      <c r="K2788">
        <v>1.1094599999999999</v>
      </c>
      <c r="L2788">
        <v>285.67309999999998</v>
      </c>
      <c r="M2788">
        <v>-0.99989220000000001</v>
      </c>
      <c r="N2788">
        <v>-1.4468389999999999E-2</v>
      </c>
      <c r="O2788">
        <v>-2.5752739999999998E-3</v>
      </c>
      <c r="P2788">
        <v>-0.99516150000000003</v>
      </c>
      <c r="Q2788">
        <v>-3.9598059999999997E-2</v>
      </c>
      <c r="R2788">
        <v>-8.9921089999999995E-2</v>
      </c>
      <c r="S2788">
        <v>-3.0179749999999999</v>
      </c>
      <c r="T2788">
        <v>0.45739649999999998</v>
      </c>
      <c r="U2788">
        <v>-0.16970829999999901</v>
      </c>
      <c r="V2788">
        <v>-8.7369210000000003E-2</v>
      </c>
      <c r="W2788">
        <v>-2.5152830000000001E-2</v>
      </c>
      <c r="X2788">
        <v>0.99585840000000003</v>
      </c>
      <c r="Y2788">
        <v>-5.306172E-2</v>
      </c>
      <c r="Z2788">
        <v>3.1840940000000002E-3</v>
      </c>
      <c r="AA2788">
        <v>0.99858619999999998</v>
      </c>
      <c r="AB2788">
        <v>43</v>
      </c>
      <c r="AC2788">
        <v>-124.114899999999</v>
      </c>
      <c r="AD2788">
        <v>18.871649999999999</v>
      </c>
      <c r="AE2788">
        <v>-7.0009999999999701</v>
      </c>
      <c r="AF2788">
        <v>-6.5308056995114798</v>
      </c>
      <c r="AG2788">
        <v>18.871649999999999</v>
      </c>
      <c r="AH2788">
        <v>121.336226280096</v>
      </c>
      <c r="AI2788">
        <v>81.172086946708802</v>
      </c>
      <c r="AJ2788">
        <v>93.080917363123902</v>
      </c>
      <c r="AK2788">
        <v>122.96857486651599</v>
      </c>
      <c r="AL2788">
        <v>91.441303008498494</v>
      </c>
      <c r="AM2788">
        <v>95.013867975642199</v>
      </c>
      <c r="AN2788">
        <v>0.99999999828179598</v>
      </c>
    </row>
    <row r="2789" spans="1:40" x14ac:dyDescent="0.25">
      <c r="A2789" t="str">
        <f>"20190305134951614"</f>
        <v>20190305134951614</v>
      </c>
      <c r="B2789" t="str">
        <f>"1551764991603546"</f>
        <v>1551764991603546</v>
      </c>
      <c r="C2789" t="s">
        <v>40</v>
      </c>
      <c r="D2789">
        <v>3.9597989999999998</v>
      </c>
      <c r="E2789">
        <v>0.51369549999999997</v>
      </c>
      <c r="F2789" t="s">
        <v>76</v>
      </c>
      <c r="G2789">
        <v>-551.06849999999997</v>
      </c>
      <c r="H2789">
        <v>20.04008</v>
      </c>
      <c r="I2789">
        <v>278.4683</v>
      </c>
      <c r="J2789">
        <v>-427.19779999999997</v>
      </c>
      <c r="K2789">
        <v>1.1094649999999999</v>
      </c>
      <c r="L2789">
        <v>285.67250000000001</v>
      </c>
      <c r="M2789">
        <v>-0.99989220000000001</v>
      </c>
      <c r="N2789">
        <v>-1.4466919999999999E-2</v>
      </c>
      <c r="O2789">
        <v>-2.490618E-3</v>
      </c>
      <c r="P2789">
        <v>-0.99512540000000005</v>
      </c>
      <c r="Q2789">
        <v>-3.9126010000000003E-2</v>
      </c>
      <c r="R2789">
        <v>-9.0523019999999996E-2</v>
      </c>
      <c r="S2789">
        <v>-3.0171199999999998</v>
      </c>
      <c r="T2789">
        <v>0.46018740000000002</v>
      </c>
      <c r="U2789">
        <v>-0.1751404</v>
      </c>
      <c r="V2789">
        <v>-8.8055449999999993E-2</v>
      </c>
      <c r="W2789">
        <v>-2.468246E-2</v>
      </c>
      <c r="X2789">
        <v>0.99580970000000002</v>
      </c>
      <c r="Y2789">
        <v>-5.4926620000000002E-2</v>
      </c>
      <c r="Z2789">
        <v>3.3484460000000001E-3</v>
      </c>
      <c r="AA2789">
        <v>0.99848479999999995</v>
      </c>
      <c r="AB2789">
        <v>43</v>
      </c>
      <c r="AC2789">
        <v>-123.8707</v>
      </c>
      <c r="AD2789">
        <v>18.930615</v>
      </c>
      <c r="AE2789">
        <v>-7.2042000000000099</v>
      </c>
      <c r="AF2789">
        <v>-6.7387727903111401</v>
      </c>
      <c r="AG2789">
        <v>18.930615</v>
      </c>
      <c r="AH2789">
        <v>121.070119481134</v>
      </c>
      <c r="AI2789">
        <v>81.126661844506003</v>
      </c>
      <c r="AJ2789">
        <v>93.185800587709295</v>
      </c>
      <c r="AK2789">
        <v>122.726334069643</v>
      </c>
      <c r="AL2789">
        <v>91.414344458618203</v>
      </c>
      <c r="AM2789">
        <v>95.0532920603588</v>
      </c>
      <c r="AN2789">
        <v>0.99999997236022098</v>
      </c>
    </row>
    <row r="2790" spans="1:40" x14ac:dyDescent="0.25">
      <c r="A2790" t="str">
        <f>"20190305134951628"</f>
        <v>20190305134951628</v>
      </c>
      <c r="B2790" t="str">
        <f>"1551764991623065"</f>
        <v>1551764991623065</v>
      </c>
      <c r="C2790" t="s">
        <v>40</v>
      </c>
      <c r="D2790">
        <v>3.7576079999999998</v>
      </c>
      <c r="E2790">
        <v>0.51352509999999996</v>
      </c>
      <c r="F2790" t="s">
        <v>76</v>
      </c>
      <c r="G2790">
        <v>-551.06849999999997</v>
      </c>
      <c r="H2790">
        <v>20.068300000000001</v>
      </c>
      <c r="I2790">
        <v>278.3931</v>
      </c>
      <c r="J2790">
        <v>-427.47699999999998</v>
      </c>
      <c r="K2790">
        <v>1.109467</v>
      </c>
      <c r="L2790">
        <v>285.67189999999999</v>
      </c>
      <c r="M2790">
        <v>-0.99989249999999996</v>
      </c>
      <c r="N2790">
        <v>-1.4465240000000001E-2</v>
      </c>
      <c r="O2790">
        <v>-2.393802E-3</v>
      </c>
      <c r="P2790">
        <v>-0.99506190000000005</v>
      </c>
      <c r="Q2790">
        <v>-3.8656089999999997E-2</v>
      </c>
      <c r="R2790">
        <v>-9.1420500000000002E-2</v>
      </c>
      <c r="S2790">
        <v>-3.0166629999999999</v>
      </c>
      <c r="T2790">
        <v>0.46171190000000001</v>
      </c>
      <c r="U2790">
        <v>-0.17727660000000001</v>
      </c>
      <c r="V2790">
        <v>-8.9049320000000001E-2</v>
      </c>
      <c r="W2790">
        <v>-2.4214679999999999E-2</v>
      </c>
      <c r="X2790">
        <v>0.99573279999999997</v>
      </c>
      <c r="Y2790">
        <v>-5.5723090000000003E-2</v>
      </c>
      <c r="Z2790">
        <v>3.4322210000000001E-3</v>
      </c>
      <c r="AA2790">
        <v>0.99844040000000001</v>
      </c>
      <c r="AB2790">
        <v>43</v>
      </c>
      <c r="AC2790">
        <v>-123.5915</v>
      </c>
      <c r="AD2790">
        <v>18.958832999999998</v>
      </c>
      <c r="AE2790">
        <v>-7.2787999999999897</v>
      </c>
      <c r="AF2790">
        <v>-6.8228978663733999</v>
      </c>
      <c r="AG2790">
        <v>18.958832999999998</v>
      </c>
      <c r="AH2790">
        <v>120.776369675815</v>
      </c>
      <c r="AI2790">
        <v>81.092786726814197</v>
      </c>
      <c r="AJ2790">
        <v>93.233316171758105</v>
      </c>
      <c r="AK2790">
        <v>122.44558283615601</v>
      </c>
      <c r="AL2790">
        <v>91.387534626639194</v>
      </c>
      <c r="AM2790">
        <v>95.110420141448103</v>
      </c>
      <c r="AN2790">
        <v>0.99999997055790102</v>
      </c>
    </row>
    <row r="2791" spans="1:40" x14ac:dyDescent="0.25">
      <c r="A2791" t="str">
        <f>"20190305134951646"</f>
        <v>20190305134951646</v>
      </c>
      <c r="B2791" t="str">
        <f>"1551764991643562"</f>
        <v>1551764991643562</v>
      </c>
      <c r="C2791" t="s">
        <v>40</v>
      </c>
      <c r="D2791">
        <v>3.9494060000000002</v>
      </c>
      <c r="E2791">
        <v>0.5134474</v>
      </c>
      <c r="F2791" t="s">
        <v>76</v>
      </c>
      <c r="G2791">
        <v>-551.06849999999997</v>
      </c>
      <c r="H2791">
        <v>19.923259999999999</v>
      </c>
      <c r="I2791">
        <v>278.24619999999999</v>
      </c>
      <c r="J2791">
        <v>-427.8091</v>
      </c>
      <c r="K2791">
        <v>1.109469</v>
      </c>
      <c r="L2791">
        <v>285.6712</v>
      </c>
      <c r="M2791">
        <v>-0.99989300000000003</v>
      </c>
      <c r="N2791">
        <v>-1.4463230000000001E-2</v>
      </c>
      <c r="O2791">
        <v>-2.276826E-3</v>
      </c>
      <c r="P2791">
        <v>-0.99496189999999995</v>
      </c>
      <c r="Q2791">
        <v>-3.869968E-2</v>
      </c>
      <c r="R2791">
        <v>-9.2485059999999994E-2</v>
      </c>
      <c r="S2791">
        <v>-3.0161129999999998</v>
      </c>
      <c r="T2791">
        <v>0.45913100000000001</v>
      </c>
      <c r="U2791">
        <v>-0.1812134</v>
      </c>
      <c r="V2791">
        <v>-9.0229989999999996E-2</v>
      </c>
      <c r="W2791">
        <v>-2.4260980000000001E-2</v>
      </c>
      <c r="X2791">
        <v>0.99562539999999999</v>
      </c>
      <c r="Y2791">
        <v>-5.7139130000000003E-2</v>
      </c>
      <c r="Z2791">
        <v>3.5275699999999998E-3</v>
      </c>
      <c r="AA2791">
        <v>0.99836000000000003</v>
      </c>
      <c r="AB2791">
        <v>43</v>
      </c>
      <c r="AC2791">
        <v>-123.259399999999</v>
      </c>
      <c r="AD2791">
        <v>18.813790999999998</v>
      </c>
      <c r="AE2791">
        <v>-7.4250000000000096</v>
      </c>
      <c r="AF2791">
        <v>-6.9822296885644297</v>
      </c>
      <c r="AG2791">
        <v>18.813790999999998</v>
      </c>
      <c r="AH2791">
        <v>120.47925012455801</v>
      </c>
      <c r="AI2791">
        <v>81.139121375558304</v>
      </c>
      <c r="AJ2791">
        <v>93.316797832107099</v>
      </c>
      <c r="AK2791">
        <v>122.139100921004</v>
      </c>
      <c r="AL2791">
        <v>91.390188171497201</v>
      </c>
      <c r="AM2791">
        <v>95.178366790658202</v>
      </c>
      <c r="AN2791">
        <v>0.99999999168555997</v>
      </c>
    </row>
    <row r="2792" spans="1:40" x14ac:dyDescent="0.25">
      <c r="A2792" t="str">
        <f>"20190305134951658"</f>
        <v>20190305134951658</v>
      </c>
      <c r="B2792" t="str">
        <f>"1551764991653322"</f>
        <v>1551764991653322</v>
      </c>
      <c r="C2792" t="s">
        <v>40</v>
      </c>
      <c r="D2792">
        <v>3.7505190000000002</v>
      </c>
      <c r="E2792">
        <v>0.51339599999999996</v>
      </c>
      <c r="F2792" t="s">
        <v>76</v>
      </c>
      <c r="G2792">
        <v>-551.0684</v>
      </c>
      <c r="H2792">
        <v>19.767939999999999</v>
      </c>
      <c r="I2792">
        <v>278.11880000000002</v>
      </c>
      <c r="J2792">
        <v>-428.04349999999999</v>
      </c>
      <c r="K2792">
        <v>1.109469</v>
      </c>
      <c r="L2792">
        <v>285.67070000000001</v>
      </c>
      <c r="M2792">
        <v>-0.99989300000000003</v>
      </c>
      <c r="N2792">
        <v>-1.446181E-2</v>
      </c>
      <c r="O2792">
        <v>-2.1919119999999999E-3</v>
      </c>
      <c r="P2792">
        <v>-0.99488560000000004</v>
      </c>
      <c r="Q2792">
        <v>-3.8798029999999997E-2</v>
      </c>
      <c r="R2792">
        <v>-9.3260010000000004E-2</v>
      </c>
      <c r="S2792">
        <v>-3.0158079999999998</v>
      </c>
      <c r="T2792">
        <v>0.45652189999999998</v>
      </c>
      <c r="U2792">
        <v>-0.1847839</v>
      </c>
      <c r="V2792">
        <v>-9.1089980000000001E-2</v>
      </c>
      <c r="W2792">
        <v>-2.4361130000000002E-2</v>
      </c>
      <c r="X2792">
        <v>0.99554469999999995</v>
      </c>
      <c r="Y2792">
        <v>-5.840012E-2</v>
      </c>
      <c r="Z2792">
        <v>3.6051680000000002E-3</v>
      </c>
      <c r="AA2792">
        <v>0.99828669999999997</v>
      </c>
      <c r="AB2792">
        <v>43</v>
      </c>
      <c r="AC2792">
        <v>-123.0249</v>
      </c>
      <c r="AD2792">
        <v>18.658470999999999</v>
      </c>
      <c r="AE2792">
        <v>-7.5518999999999803</v>
      </c>
      <c r="AF2792">
        <v>-7.1190559183705702</v>
      </c>
      <c r="AG2792">
        <v>18.658470999999999</v>
      </c>
      <c r="AH2792">
        <v>120.28475290715301</v>
      </c>
      <c r="AI2792">
        <v>81.197760627055104</v>
      </c>
      <c r="AJ2792">
        <v>93.387100885405005</v>
      </c>
      <c r="AK2792">
        <v>121.931297373405</v>
      </c>
      <c r="AL2792">
        <v>91.395927959738501</v>
      </c>
      <c r="AM2792">
        <v>95.227871500480404</v>
      </c>
      <c r="AN2792">
        <v>1.0000000494046799</v>
      </c>
    </row>
    <row r="2793" spans="1:40" x14ac:dyDescent="0.25">
      <c r="A2793" t="str">
        <f>"20190305134951668"</f>
        <v>20190305134951668</v>
      </c>
      <c r="B2793" t="str">
        <f>"1551764991663083"</f>
        <v>1551764991663083</v>
      </c>
      <c r="C2793" t="s">
        <v>40</v>
      </c>
      <c r="D2793">
        <v>3.7689620000000001</v>
      </c>
      <c r="E2793">
        <v>0.51327239999999996</v>
      </c>
      <c r="F2793" t="s">
        <v>76</v>
      </c>
      <c r="G2793">
        <v>-550.60749999999996</v>
      </c>
      <c r="H2793">
        <v>19.57602</v>
      </c>
      <c r="I2793">
        <v>278.05</v>
      </c>
      <c r="J2793">
        <v>-428.26139999999998</v>
      </c>
      <c r="K2793">
        <v>1.1094679999999999</v>
      </c>
      <c r="L2793">
        <v>285.6703</v>
      </c>
      <c r="M2793">
        <v>-0.99989320000000004</v>
      </c>
      <c r="N2793">
        <v>-1.4460489999999999E-2</v>
      </c>
      <c r="O2793">
        <v>-2.1123589999999999E-3</v>
      </c>
      <c r="P2793">
        <v>-0.99479660000000003</v>
      </c>
      <c r="Q2793">
        <v>-3.9153510000000002E-2</v>
      </c>
      <c r="R2793">
        <v>-9.4059699999999996E-2</v>
      </c>
      <c r="S2793">
        <v>-3.0155639999999999</v>
      </c>
      <c r="T2793">
        <v>0.45435229999999999</v>
      </c>
      <c r="U2793">
        <v>-0.1875</v>
      </c>
      <c r="V2793">
        <v>-9.1969239999999994E-2</v>
      </c>
      <c r="W2793">
        <v>-2.4718380000000002E-2</v>
      </c>
      <c r="X2793">
        <v>0.99545499999999998</v>
      </c>
      <c r="Y2793">
        <v>-5.9374830000000003E-2</v>
      </c>
      <c r="Z2793">
        <v>3.665251E-3</v>
      </c>
      <c r="AA2793">
        <v>0.99822900000000003</v>
      </c>
      <c r="AB2793">
        <v>43</v>
      </c>
      <c r="AC2793">
        <v>-122.346099999999</v>
      </c>
      <c r="AD2793">
        <v>18.466552</v>
      </c>
      <c r="AE2793">
        <v>-7.6202999999999799</v>
      </c>
      <c r="AF2793">
        <v>-7.1984557870754502</v>
      </c>
      <c r="AG2793">
        <v>18.466552</v>
      </c>
      <c r="AH2793">
        <v>119.646671563778</v>
      </c>
      <c r="AI2793">
        <v>81.241656483138001</v>
      </c>
      <c r="AJ2793">
        <v>93.443009027717494</v>
      </c>
      <c r="AK2793">
        <v>121.277192104607</v>
      </c>
      <c r="AL2793">
        <v>91.416403114550306</v>
      </c>
      <c r="AM2793">
        <v>95.278523598151494</v>
      </c>
      <c r="AN2793">
        <v>0.99999999822050101</v>
      </c>
    </row>
    <row r="2794" spans="1:40" x14ac:dyDescent="0.25">
      <c r="A2794" t="str">
        <f>"20190305134951680"</f>
        <v>20190305134951680</v>
      </c>
      <c r="B2794" t="str">
        <f>"1551764991673819"</f>
        <v>1551764991673819</v>
      </c>
      <c r="C2794" t="s">
        <v>40</v>
      </c>
      <c r="D2794">
        <v>3.7778800000000001</v>
      </c>
      <c r="E2794">
        <v>0.51319929999999903</v>
      </c>
      <c r="F2794" t="s">
        <v>76</v>
      </c>
      <c r="G2794">
        <v>-548.69470000000001</v>
      </c>
      <c r="H2794">
        <v>19.169160000000002</v>
      </c>
      <c r="I2794">
        <v>278.05</v>
      </c>
      <c r="J2794">
        <v>-428.483</v>
      </c>
      <c r="K2794">
        <v>1.1094679999999999</v>
      </c>
      <c r="L2794">
        <v>285.66989999999998</v>
      </c>
      <c r="M2794">
        <v>-0.99989349999999999</v>
      </c>
      <c r="N2794">
        <v>-1.445916E-2</v>
      </c>
      <c r="O2794">
        <v>-2.0270660000000001E-3</v>
      </c>
      <c r="P2794">
        <v>-0.99465479999999995</v>
      </c>
      <c r="Q2794">
        <v>-3.9664209999999998E-2</v>
      </c>
      <c r="R2794">
        <v>-9.5334569999999993E-2</v>
      </c>
      <c r="S2794">
        <v>-3.0154109999999998</v>
      </c>
      <c r="T2794">
        <v>0.45218039999999998</v>
      </c>
      <c r="U2794">
        <v>-0.19079589999999999</v>
      </c>
      <c r="V2794">
        <v>-9.3330270000000007E-2</v>
      </c>
      <c r="W2794">
        <v>-2.5231119999999999E-2</v>
      </c>
      <c r="X2794">
        <v>0.99531539999999996</v>
      </c>
      <c r="Y2794">
        <v>-6.0542760000000001E-2</v>
      </c>
      <c r="Z2794">
        <v>3.7382880000000002E-3</v>
      </c>
      <c r="AA2794">
        <v>0.99815860000000001</v>
      </c>
      <c r="AB2794">
        <v>43</v>
      </c>
      <c r="AC2794">
        <v>-120.21169999999999</v>
      </c>
      <c r="AD2794">
        <v>18.059691999999998</v>
      </c>
      <c r="AE2794">
        <v>-7.6198999999999701</v>
      </c>
      <c r="AF2794">
        <v>-7.2140147395093104</v>
      </c>
      <c r="AG2794">
        <v>18.059691999999998</v>
      </c>
      <c r="AH2794">
        <v>117.583683840113</v>
      </c>
      <c r="AI2794">
        <v>81.284304401000497</v>
      </c>
      <c r="AJ2794">
        <v>93.510820086606998</v>
      </c>
      <c r="AK2794">
        <v>119.181026968257</v>
      </c>
      <c r="AL2794">
        <v>91.445790193171206</v>
      </c>
      <c r="AM2794">
        <v>95.356935005263907</v>
      </c>
      <c r="AN2794">
        <v>0.99999994709594198</v>
      </c>
    </row>
    <row r="2795" spans="1:40" x14ac:dyDescent="0.25">
      <c r="A2795" t="str">
        <f>"20190305134951694"</f>
        <v>20190305134951694</v>
      </c>
      <c r="B2795" t="str">
        <f>"1551764991683578"</f>
        <v>1551764991683578</v>
      </c>
      <c r="C2795" t="s">
        <v>40</v>
      </c>
      <c r="D2795">
        <v>3.9541680000000001</v>
      </c>
      <c r="E2795">
        <v>0.51319929999999903</v>
      </c>
      <c r="F2795" t="s">
        <v>76</v>
      </c>
      <c r="G2795">
        <v>-546.13879999999995</v>
      </c>
      <c r="H2795">
        <v>18.627320000000001</v>
      </c>
      <c r="I2795">
        <v>278.05</v>
      </c>
      <c r="J2795">
        <v>-428.72550000000001</v>
      </c>
      <c r="K2795">
        <v>1.1094679999999999</v>
      </c>
      <c r="L2795">
        <v>285.6694</v>
      </c>
      <c r="M2795">
        <v>-0.99989380000000005</v>
      </c>
      <c r="N2795">
        <v>-1.44577E-2</v>
      </c>
      <c r="O2795">
        <v>-1.9316240000000001E-3</v>
      </c>
      <c r="P2795">
        <v>-0.99452459999999998</v>
      </c>
      <c r="Q2795">
        <v>-4.0144430000000002E-2</v>
      </c>
      <c r="R2795">
        <v>-9.6487729999999994E-2</v>
      </c>
      <c r="S2795">
        <v>-3.0152890000000001</v>
      </c>
      <c r="T2795">
        <v>0.44894980000000001</v>
      </c>
      <c r="U2795">
        <v>-0.19528200000000001</v>
      </c>
      <c r="V2795">
        <v>-9.4578670000000004E-2</v>
      </c>
      <c r="W2795">
        <v>-2.571319E-2</v>
      </c>
      <c r="X2795">
        <v>0.99518530000000005</v>
      </c>
      <c r="Y2795">
        <v>-6.2111430000000002E-2</v>
      </c>
      <c r="Z2795">
        <v>3.8286850000000001E-3</v>
      </c>
      <c r="AA2795">
        <v>0.99806189999999995</v>
      </c>
      <c r="AB2795">
        <v>43</v>
      </c>
      <c r="AC2795">
        <v>-117.413299999999</v>
      </c>
      <c r="AD2795">
        <v>17.517851999999898</v>
      </c>
      <c r="AE2795">
        <v>-7.6193999999999802</v>
      </c>
      <c r="AF2795">
        <v>-7.2322483180409902</v>
      </c>
      <c r="AG2795">
        <v>17.517851999999898</v>
      </c>
      <c r="AH2795">
        <v>114.88125601364899</v>
      </c>
      <c r="AI2795">
        <v>81.346819151721306</v>
      </c>
      <c r="AJ2795">
        <v>93.602251528817902</v>
      </c>
      <c r="AK2795">
        <v>116.43403084022</v>
      </c>
      <c r="AL2795">
        <v>91.473419603520398</v>
      </c>
      <c r="AM2795">
        <v>95.428870374896306</v>
      </c>
      <c r="AN2795">
        <v>1.00000003714751</v>
      </c>
    </row>
    <row r="2796" spans="1:40" x14ac:dyDescent="0.25">
      <c r="A2796" t="str">
        <f>"20190305134951708"</f>
        <v>20190305134951708</v>
      </c>
      <c r="B2796" t="str">
        <f>"1551764991703098"</f>
        <v>1551764991703098</v>
      </c>
      <c r="C2796" t="s">
        <v>40</v>
      </c>
      <c r="D2796">
        <v>3.9381059999999999</v>
      </c>
      <c r="E2796">
        <v>0.51321859999999997</v>
      </c>
      <c r="F2796" t="s">
        <v>76</v>
      </c>
      <c r="G2796">
        <v>-544.10050000000001</v>
      </c>
      <c r="H2796">
        <v>18.2334</v>
      </c>
      <c r="I2796">
        <v>278.05</v>
      </c>
      <c r="J2796">
        <v>-429.02760000000001</v>
      </c>
      <c r="K2796">
        <v>1.109464</v>
      </c>
      <c r="L2796">
        <v>285.66890000000001</v>
      </c>
      <c r="M2796">
        <v>-0.99989399999999995</v>
      </c>
      <c r="N2796">
        <v>-1.4455869999999999E-2</v>
      </c>
      <c r="O2796">
        <v>-1.806333E-3</v>
      </c>
      <c r="P2796">
        <v>-0.99441829999999998</v>
      </c>
      <c r="Q2796">
        <v>-3.981759E-2</v>
      </c>
      <c r="R2796">
        <v>-9.7709050000000006E-2</v>
      </c>
      <c r="S2796">
        <v>-3.015228</v>
      </c>
      <c r="T2796">
        <v>0.447521</v>
      </c>
      <c r="U2796">
        <v>-0.1991272</v>
      </c>
      <c r="V2796">
        <v>-9.5925170000000004E-2</v>
      </c>
      <c r="W2796">
        <v>-2.5387650000000001E-2</v>
      </c>
      <c r="X2796">
        <v>0.99506470000000002</v>
      </c>
      <c r="Y2796">
        <v>-6.3493850000000004E-2</v>
      </c>
      <c r="Z2796">
        <v>3.9272320000000001E-3</v>
      </c>
      <c r="AA2796">
        <v>0.99797449999999999</v>
      </c>
      <c r="AB2796">
        <v>43</v>
      </c>
      <c r="AC2796">
        <v>-115.0729</v>
      </c>
      <c r="AD2796">
        <v>17.123935999999901</v>
      </c>
      <c r="AE2796">
        <v>-7.6188999999999902</v>
      </c>
      <c r="AF2796">
        <v>-7.2511357148141196</v>
      </c>
      <c r="AG2796">
        <v>17.123935999999901</v>
      </c>
      <c r="AH2796">
        <v>112.603831084701</v>
      </c>
      <c r="AI2796">
        <v>81.370745557912997</v>
      </c>
      <c r="AJ2796">
        <v>93.6844806048056</v>
      </c>
      <c r="AK2796">
        <v>114.129010020409</v>
      </c>
      <c r="AL2796">
        <v>91.454761551118594</v>
      </c>
      <c r="AM2796">
        <v>95.506351827559399</v>
      </c>
      <c r="AN2796">
        <v>0.99999996409906999</v>
      </c>
    </row>
    <row r="2797" spans="1:40" x14ac:dyDescent="0.25">
      <c r="A2797" t="str">
        <f>"20190305134951724"</f>
        <v>20190305134951724</v>
      </c>
      <c r="B2797" t="str">
        <f>"1551764991713835"</f>
        <v>1551764991713835</v>
      </c>
      <c r="C2797" t="s">
        <v>40</v>
      </c>
      <c r="D2797">
        <v>3.7791929999999998</v>
      </c>
      <c r="E2797">
        <v>0.51322400000000001</v>
      </c>
      <c r="F2797" t="s">
        <v>76</v>
      </c>
      <c r="G2797">
        <v>-542.21069999999997</v>
      </c>
      <c r="H2797">
        <v>17.871670000000002</v>
      </c>
      <c r="I2797">
        <v>278.05</v>
      </c>
      <c r="J2797">
        <v>-429.31549999999999</v>
      </c>
      <c r="K2797">
        <v>1.1094569999999999</v>
      </c>
      <c r="L2797">
        <v>285.66849999999999</v>
      </c>
      <c r="M2797">
        <v>-0.99989430000000001</v>
      </c>
      <c r="N2797">
        <v>-1.4454099999999999E-2</v>
      </c>
      <c r="O2797">
        <v>-1.6779179999999901E-3</v>
      </c>
      <c r="P2797">
        <v>-0.99422379999999999</v>
      </c>
      <c r="Q2797">
        <v>-4.0146910000000001E-2</v>
      </c>
      <c r="R2797">
        <v>-9.9536669999999994E-2</v>
      </c>
      <c r="S2797">
        <v>-3.0148009999999998</v>
      </c>
      <c r="T2797">
        <v>0.44648789999999999</v>
      </c>
      <c r="U2797">
        <v>-0.20294190000000001</v>
      </c>
      <c r="V2797">
        <v>-9.7881410000000002E-2</v>
      </c>
      <c r="W2797">
        <v>-2.5718689999999999E-2</v>
      </c>
      <c r="X2797">
        <v>0.99486569999999996</v>
      </c>
      <c r="Y2797">
        <v>-6.4876030000000001E-2</v>
      </c>
      <c r="Z2797">
        <v>4.0300040000000002E-3</v>
      </c>
      <c r="AA2797">
        <v>0.99788520000000003</v>
      </c>
      <c r="AB2797">
        <v>43</v>
      </c>
      <c r="AC2797">
        <v>-112.8952</v>
      </c>
      <c r="AD2797">
        <v>16.762212999999999</v>
      </c>
      <c r="AE2797">
        <v>-7.6184999999999796</v>
      </c>
      <c r="AF2797">
        <v>-7.2695101591307596</v>
      </c>
      <c r="AG2797">
        <v>16.762212999999999</v>
      </c>
      <c r="AH2797">
        <v>110.483254356109</v>
      </c>
      <c r="AI2797">
        <v>81.3913686668796</v>
      </c>
      <c r="AJ2797">
        <v>93.764486679616994</v>
      </c>
      <c r="AK2797">
        <v>111.98378032433</v>
      </c>
      <c r="AL2797">
        <v>91.473734902219803</v>
      </c>
      <c r="AM2797">
        <v>95.619050347900796</v>
      </c>
      <c r="AN2797">
        <v>0.99999999123769701</v>
      </c>
    </row>
    <row r="2798" spans="1:40" x14ac:dyDescent="0.25">
      <c r="A2798" t="str">
        <f>"20190305134951747"</f>
        <v>20190305134951747</v>
      </c>
      <c r="B2798" t="str">
        <f>"1551764991743114"</f>
        <v>1551764991743114</v>
      </c>
      <c r="C2798" t="s">
        <v>40</v>
      </c>
      <c r="D2798">
        <v>3.7933690000000002</v>
      </c>
      <c r="E2798">
        <v>0.51337479999999902</v>
      </c>
      <c r="F2798" t="s">
        <v>76</v>
      </c>
      <c r="G2798">
        <v>-539.15890000000002</v>
      </c>
      <c r="H2798">
        <v>17.285989999999899</v>
      </c>
      <c r="I2798">
        <v>278.05</v>
      </c>
      <c r="J2798">
        <v>-429.74419999999998</v>
      </c>
      <c r="K2798">
        <v>1.10944</v>
      </c>
      <c r="L2798">
        <v>285.66800000000001</v>
      </c>
      <c r="M2798">
        <v>-0.99989450000000002</v>
      </c>
      <c r="N2798">
        <v>-1.4451459999999999E-2</v>
      </c>
      <c r="O2798">
        <v>-1.470697E-3</v>
      </c>
      <c r="P2798">
        <v>-0.99403459999999999</v>
      </c>
      <c r="Q2798">
        <v>-4.1063219999999998E-2</v>
      </c>
      <c r="R2798">
        <v>-0.1010394</v>
      </c>
      <c r="S2798">
        <v>-3.0144350000000002</v>
      </c>
      <c r="T2798">
        <v>0.4439343</v>
      </c>
      <c r="U2798">
        <v>-0.20907590000000001</v>
      </c>
      <c r="V2798">
        <v>-9.9591869999999999E-2</v>
      </c>
      <c r="W2798">
        <v>-2.6635820000000001E-2</v>
      </c>
      <c r="X2798">
        <v>0.99467179999999999</v>
      </c>
      <c r="Y2798">
        <v>-6.7095089999999996E-2</v>
      </c>
      <c r="Z2798">
        <v>4.1842030000000001E-3</v>
      </c>
      <c r="AA2798">
        <v>0.99773780000000001</v>
      </c>
      <c r="AB2798">
        <v>43</v>
      </c>
      <c r="AC2798">
        <v>-109.4147</v>
      </c>
      <c r="AD2798">
        <v>16.176549999999999</v>
      </c>
      <c r="AE2798">
        <v>-7.6179999999999897</v>
      </c>
      <c r="AF2798">
        <v>-7.2982987945553397</v>
      </c>
      <c r="AG2798">
        <v>16.176549999999999</v>
      </c>
      <c r="AH2798">
        <v>107.096118900535</v>
      </c>
      <c r="AI2798">
        <v>81.430153628265401</v>
      </c>
      <c r="AJ2798">
        <v>93.898518460558194</v>
      </c>
      <c r="AK2798">
        <v>108.556550326338</v>
      </c>
      <c r="AL2798">
        <v>91.526300584930695</v>
      </c>
      <c r="AM2798">
        <v>95.717704415972193</v>
      </c>
      <c r="AN2798">
        <v>0.99999999859620403</v>
      </c>
    </row>
    <row r="2799" spans="1:40" x14ac:dyDescent="0.25">
      <c r="A2799" t="str">
        <f>"20190305134951759"</f>
        <v>20190305134951759</v>
      </c>
      <c r="B2799" t="str">
        <f>"1551764991752875"</f>
        <v>1551764991752875</v>
      </c>
      <c r="C2799" t="s">
        <v>40</v>
      </c>
      <c r="D2799">
        <v>3.7877200000000002</v>
      </c>
      <c r="E2799">
        <v>0.51351429999999998</v>
      </c>
      <c r="F2799" t="s">
        <v>76</v>
      </c>
      <c r="G2799">
        <v>-537.9873</v>
      </c>
      <c r="H2799">
        <v>16.809270000000001</v>
      </c>
      <c r="I2799">
        <v>278.05</v>
      </c>
      <c r="J2799">
        <v>-429.99360000000001</v>
      </c>
      <c r="K2799">
        <v>1.109426</v>
      </c>
      <c r="L2799">
        <v>285.6678</v>
      </c>
      <c r="M2799">
        <v>-0.99989470000000003</v>
      </c>
      <c r="N2799">
        <v>-1.44499E-2</v>
      </c>
      <c r="O2799">
        <v>-1.3356710000000001E-3</v>
      </c>
      <c r="P2799">
        <v>-0.99395710000000004</v>
      </c>
      <c r="Q2799">
        <v>-4.1819750000000003E-2</v>
      </c>
      <c r="R2799">
        <v>-0.1014907</v>
      </c>
      <c r="S2799">
        <v>-3.014526</v>
      </c>
      <c r="T2799">
        <v>0.4372356</v>
      </c>
      <c r="U2799">
        <v>-0.21215819999999999</v>
      </c>
      <c r="V2799">
        <v>-0.1001789</v>
      </c>
      <c r="W2799">
        <v>-2.7391970000000002E-2</v>
      </c>
      <c r="X2799">
        <v>0.99459229999999998</v>
      </c>
      <c r="Y2799">
        <v>-6.8250329999999998E-2</v>
      </c>
      <c r="Z2799">
        <v>4.2101739999999997E-3</v>
      </c>
      <c r="AA2799">
        <v>0.99765930000000003</v>
      </c>
      <c r="AB2799">
        <v>43</v>
      </c>
      <c r="AC2799">
        <v>-107.9937</v>
      </c>
      <c r="AD2799">
        <v>15.699844000000001</v>
      </c>
      <c r="AE2799">
        <v>-7.6177999999999804</v>
      </c>
      <c r="AF2799">
        <v>-7.31960320206794</v>
      </c>
      <c r="AG2799">
        <v>15.699844000000001</v>
      </c>
      <c r="AH2799">
        <v>105.779247346944</v>
      </c>
      <c r="AI2799">
        <v>81.5775936253156</v>
      </c>
      <c r="AJ2799">
        <v>93.958384400576804</v>
      </c>
      <c r="AK2799">
        <v>107.188202998026</v>
      </c>
      <c r="AL2799">
        <v>91.569640623522304</v>
      </c>
      <c r="AM2799">
        <v>95.751637959659604</v>
      </c>
      <c r="AN2799">
        <v>0.99999998762248998</v>
      </c>
    </row>
    <row r="2800" spans="1:40" x14ac:dyDescent="0.25">
      <c r="A2800" t="str">
        <f>"20190305134951773"</f>
        <v>20190305134951773</v>
      </c>
      <c r="B2800" t="str">
        <f>"1551764991763610"</f>
        <v>1551764991763610</v>
      </c>
      <c r="C2800" t="s">
        <v>40</v>
      </c>
      <c r="D2800">
        <v>3.770035</v>
      </c>
      <c r="E2800">
        <v>0.51359409999999905</v>
      </c>
      <c r="F2800" t="s">
        <v>76</v>
      </c>
      <c r="G2800">
        <v>-537.8682</v>
      </c>
      <c r="H2800">
        <v>16.650729999999999</v>
      </c>
      <c r="I2800">
        <v>278.05</v>
      </c>
      <c r="J2800">
        <v>-430.24220000000003</v>
      </c>
      <c r="K2800">
        <v>1.109407</v>
      </c>
      <c r="L2800">
        <v>285.66750000000002</v>
      </c>
      <c r="M2800">
        <v>-0.99989490000000003</v>
      </c>
      <c r="N2800">
        <v>-1.444836E-2</v>
      </c>
      <c r="O2800">
        <v>-1.1934700000000001E-3</v>
      </c>
      <c r="P2800">
        <v>-0.99385690000000004</v>
      </c>
      <c r="Q2800">
        <v>-4.2692149999999998E-2</v>
      </c>
      <c r="R2800">
        <v>-0.1021085</v>
      </c>
      <c r="S2800">
        <v>-3.0147400000000002</v>
      </c>
      <c r="T2800">
        <v>0.43432969999999999</v>
      </c>
      <c r="U2800">
        <v>-0.21289060000000001</v>
      </c>
      <c r="V2800">
        <v>-0.1009395</v>
      </c>
      <c r="W2800">
        <v>-2.826381E-2</v>
      </c>
      <c r="X2800">
        <v>0.99449100000000001</v>
      </c>
      <c r="Y2800">
        <v>-6.8631910000000004E-2</v>
      </c>
      <c r="Z2800">
        <v>4.2257400000000004E-3</v>
      </c>
      <c r="AA2800">
        <v>0.99763310000000005</v>
      </c>
      <c r="AB2800">
        <v>43</v>
      </c>
      <c r="AC2800">
        <v>-107.625999999999</v>
      </c>
      <c r="AD2800">
        <v>15.541322999999901</v>
      </c>
      <c r="AE2800">
        <v>-7.6174999999999997</v>
      </c>
      <c r="AF2800">
        <v>-7.3368103085475598</v>
      </c>
      <c r="AG2800">
        <v>15.541322999999901</v>
      </c>
      <c r="AH2800">
        <v>105.44722085045299</v>
      </c>
      <c r="AI2800">
        <v>81.635764650079906</v>
      </c>
      <c r="AJ2800">
        <v>93.980113248174405</v>
      </c>
      <c r="AK2800">
        <v>106.838559945266</v>
      </c>
      <c r="AL2800">
        <v>91.619612731316707</v>
      </c>
      <c r="AM2800">
        <v>95.795596966328802</v>
      </c>
      <c r="AN2800">
        <v>0.99999998734848305</v>
      </c>
    </row>
    <row r="2801" spans="1:40" x14ac:dyDescent="0.25">
      <c r="A2801" t="str">
        <f>"20190305134951786"</f>
        <v>20190305134951786</v>
      </c>
      <c r="B2801" t="str">
        <f>"1551764991773370"</f>
        <v>1551764991773370</v>
      </c>
      <c r="C2801" t="s">
        <v>40</v>
      </c>
      <c r="D2801">
        <v>3.8810470000000001</v>
      </c>
      <c r="E2801">
        <v>0.51359409999999905</v>
      </c>
      <c r="F2801" t="s">
        <v>76</v>
      </c>
      <c r="G2801">
        <v>-537.44929999999999</v>
      </c>
      <c r="H2801">
        <v>16.427610000000001</v>
      </c>
      <c r="I2801">
        <v>278.05</v>
      </c>
      <c r="J2801">
        <v>-430.49340000000001</v>
      </c>
      <c r="K2801">
        <v>1.10938799999999</v>
      </c>
      <c r="L2801">
        <v>285.66730000000001</v>
      </c>
      <c r="M2801">
        <v>-0.99989519999999998</v>
      </c>
      <c r="N2801">
        <v>-1.4446820000000001E-2</v>
      </c>
      <c r="O2801">
        <v>-1.036082E-3</v>
      </c>
      <c r="P2801">
        <v>-0.99377629999999995</v>
      </c>
      <c r="Q2801">
        <v>-4.3735209999999997E-2</v>
      </c>
      <c r="R2801">
        <v>-0.10245070000000001</v>
      </c>
      <c r="S2801">
        <v>-3.0150760000000001</v>
      </c>
      <c r="T2801">
        <v>0.43080839999999998</v>
      </c>
      <c r="U2801">
        <v>-0.21423339999999999</v>
      </c>
      <c r="V2801">
        <v>-0.10144010000000001</v>
      </c>
      <c r="W2801">
        <v>-2.9305439999999999E-2</v>
      </c>
      <c r="X2801">
        <v>0.99440989999999996</v>
      </c>
      <c r="Y2801">
        <v>-6.9226590000000005E-2</v>
      </c>
      <c r="Z2801">
        <v>4.2496840000000001E-3</v>
      </c>
      <c r="AA2801">
        <v>0.99759189999999998</v>
      </c>
      <c r="AB2801">
        <v>43</v>
      </c>
      <c r="AC2801">
        <v>-106.9559</v>
      </c>
      <c r="AD2801">
        <v>15.318222</v>
      </c>
      <c r="AE2801">
        <v>-7.6173000000000002</v>
      </c>
      <c r="AF2801">
        <v>-7.3563378330827298</v>
      </c>
      <c r="AG2801">
        <v>15.318222</v>
      </c>
      <c r="AH2801">
        <v>104.824431568793</v>
      </c>
      <c r="AI2801">
        <v>81.706203275565798</v>
      </c>
      <c r="AJ2801">
        <v>94.014304804338195</v>
      </c>
      <c r="AK2801">
        <v>106.192867393608</v>
      </c>
      <c r="AL2801">
        <v>91.679318496586305</v>
      </c>
      <c r="AM2801">
        <v>95.824614309920506</v>
      </c>
      <c r="AN2801">
        <v>0.99999997595980605</v>
      </c>
    </row>
    <row r="2802" spans="1:40" x14ac:dyDescent="0.25">
      <c r="A2802" t="str">
        <f>"20190305134951798"</f>
        <v>20190305134951798</v>
      </c>
      <c r="B2802" t="str">
        <f>"1551764991783131"</f>
        <v>1551764991783131</v>
      </c>
      <c r="C2802" t="s">
        <v>40</v>
      </c>
      <c r="D2802">
        <v>3.8738100000000002</v>
      </c>
      <c r="E2802">
        <v>0.52889410000000003</v>
      </c>
      <c r="F2802" t="s">
        <v>76</v>
      </c>
      <c r="G2802">
        <v>-537.16279999999995</v>
      </c>
      <c r="H2802">
        <v>16.23771</v>
      </c>
      <c r="I2802">
        <v>278.05</v>
      </c>
      <c r="J2802">
        <v>-430.73880000000003</v>
      </c>
      <c r="K2802">
        <v>1.1093660000000001</v>
      </c>
      <c r="L2802">
        <v>285.66719999999998</v>
      </c>
      <c r="M2802">
        <v>-0.99989530000000004</v>
      </c>
      <c r="N2802">
        <v>-1.4445329999999999E-2</v>
      </c>
      <c r="O2802">
        <v>-8.6865990000000001E-4</v>
      </c>
      <c r="P2802">
        <v>-0.99372340000000003</v>
      </c>
      <c r="Q2802">
        <v>-4.4194770000000001E-2</v>
      </c>
      <c r="R2802">
        <v>-0.1027657</v>
      </c>
      <c r="S2802">
        <v>-3.0154109999999998</v>
      </c>
      <c r="T2802">
        <v>0.4276607</v>
      </c>
      <c r="U2802">
        <v>-0.215332</v>
      </c>
      <c r="V2802">
        <v>-0.10192329999999999</v>
      </c>
      <c r="W2802">
        <v>-2.9762830000000001E-2</v>
      </c>
      <c r="X2802">
        <v>0.99434690000000003</v>
      </c>
      <c r="Y2802">
        <v>-6.9750259999999994E-2</v>
      </c>
      <c r="Z2802">
        <v>4.273794E-3</v>
      </c>
      <c r="AA2802">
        <v>0.99755530000000003</v>
      </c>
      <c r="AB2802">
        <v>43</v>
      </c>
      <c r="AC2802">
        <v>-106.423999999999</v>
      </c>
      <c r="AD2802">
        <v>15.128344</v>
      </c>
      <c r="AE2802">
        <v>-7.6171999999999596</v>
      </c>
      <c r="AF2802">
        <v>-7.3764444943262797</v>
      </c>
      <c r="AG2802">
        <v>15.128344</v>
      </c>
      <c r="AH2802">
        <v>104.333055847343</v>
      </c>
      <c r="AI2802">
        <v>81.769846995152506</v>
      </c>
      <c r="AJ2802">
        <v>94.044135715096601</v>
      </c>
      <c r="AK2802">
        <v>105.68190605777799</v>
      </c>
      <c r="AL2802">
        <v>91.7055364589242</v>
      </c>
      <c r="AM2802">
        <v>95.852535387135802</v>
      </c>
      <c r="AN2802">
        <v>0.99999997133605401</v>
      </c>
    </row>
    <row r="2803" spans="1:40" x14ac:dyDescent="0.25">
      <c r="A2803" t="str">
        <f>"20190305134951812"</f>
        <v>20190305134951812</v>
      </c>
      <c r="B2803" t="str">
        <f>"1551764991803627"</f>
        <v>1551764991803627</v>
      </c>
      <c r="C2803" t="s">
        <v>40</v>
      </c>
      <c r="D2803">
        <v>4.1042489999999896</v>
      </c>
      <c r="E2803">
        <v>0.56397249999999999</v>
      </c>
      <c r="F2803" t="s">
        <v>47</v>
      </c>
      <c r="G2803">
        <v>0</v>
      </c>
      <c r="H2803">
        <v>0</v>
      </c>
      <c r="I2803">
        <v>0</v>
      </c>
      <c r="J2803">
        <v>-430.99419999999998</v>
      </c>
      <c r="K2803">
        <v>1.109348</v>
      </c>
      <c r="L2803">
        <v>285.6671</v>
      </c>
      <c r="M2803">
        <v>-0.99989550000000005</v>
      </c>
      <c r="N2803">
        <v>-1.4443799999999901E-2</v>
      </c>
      <c r="O2803">
        <v>-6.8439529999999996E-4</v>
      </c>
      <c r="P2803">
        <v>-0.99369909999999995</v>
      </c>
      <c r="Q2803">
        <v>-4.4429530000000002E-2</v>
      </c>
      <c r="R2803">
        <v>-0.1028994</v>
      </c>
      <c r="S2803">
        <v>-3.0240480000000001</v>
      </c>
      <c r="T2803">
        <v>0.3279802</v>
      </c>
      <c r="U2803">
        <v>-9.1918949999999999E-2</v>
      </c>
      <c r="V2803">
        <v>-0.1022417</v>
      </c>
      <c r="W2803">
        <v>-2.9994670000000001E-2</v>
      </c>
      <c r="X2803">
        <v>0.99430730000000001</v>
      </c>
      <c r="Y2803">
        <v>-2.9553010000000001E-2</v>
      </c>
      <c r="Z2803">
        <v>1.2996959999999999E-3</v>
      </c>
      <c r="AA2803">
        <v>0.99956239999999996</v>
      </c>
      <c r="AB2803">
        <v>43</v>
      </c>
      <c r="AC2803">
        <v>-3.0240480000000001</v>
      </c>
      <c r="AD2803">
        <v>0.3279802</v>
      </c>
      <c r="AE2803">
        <v>-9.1918949999999999E-2</v>
      </c>
      <c r="AF2803">
        <v>-8.8805415058781201E-2</v>
      </c>
      <c r="AG2803">
        <v>0.3279802</v>
      </c>
      <c r="AH2803">
        <v>2.9889832678567201</v>
      </c>
      <c r="AI2803">
        <v>83.740744657213398</v>
      </c>
      <c r="AJ2803">
        <v>91.701809157748102</v>
      </c>
      <c r="AK2803">
        <v>3.0082350953446499</v>
      </c>
      <c r="AL2803">
        <v>91.718825751936606</v>
      </c>
      <c r="AM2803">
        <v>95.870922904927397</v>
      </c>
      <c r="AN2803">
        <v>1.0000000261402899</v>
      </c>
    </row>
    <row r="2804" spans="1:40" x14ac:dyDescent="0.25">
      <c r="A2804" t="str">
        <f>"20190305134951824"</f>
        <v>20190305134951824</v>
      </c>
      <c r="B2804" t="str">
        <f>"1551764991813387"</f>
        <v>1551764991813387</v>
      </c>
      <c r="C2804" t="s">
        <v>40</v>
      </c>
      <c r="D2804">
        <v>3.8855209999999998</v>
      </c>
      <c r="E2804">
        <v>0.56593629999999995</v>
      </c>
      <c r="F2804" t="s">
        <v>41</v>
      </c>
      <c r="G2804">
        <v>-432.05529999999999</v>
      </c>
      <c r="H2804">
        <v>1.024694</v>
      </c>
      <c r="I2804">
        <v>285.73840000000001</v>
      </c>
      <c r="J2804">
        <v>-431.23450000000003</v>
      </c>
      <c r="K2804">
        <v>1.109335</v>
      </c>
      <c r="L2804">
        <v>285.6671</v>
      </c>
      <c r="M2804">
        <v>-0.9998958</v>
      </c>
      <c r="N2804">
        <v>-1.444237E-2</v>
      </c>
      <c r="O2804">
        <v>-4.9187699999999896E-4</v>
      </c>
      <c r="P2804">
        <v>-0.99379629999999997</v>
      </c>
      <c r="Q2804">
        <v>-4.2440489999999997E-2</v>
      </c>
      <c r="R2804">
        <v>-0.10280019999999999</v>
      </c>
      <c r="S2804">
        <v>-3.0291440000000001</v>
      </c>
      <c r="T2804">
        <v>-0.24179880000000001</v>
      </c>
      <c r="U2804">
        <v>0.20190430000000001</v>
      </c>
      <c r="V2804">
        <v>-0.10233390000000001</v>
      </c>
      <c r="W2804">
        <v>-2.8000790000000001E-2</v>
      </c>
      <c r="X2804">
        <v>0.99435589999999996</v>
      </c>
      <c r="Y2804">
        <v>6.6746230000000004E-2</v>
      </c>
      <c r="Z2804">
        <v>3.1723340000000002E-3</v>
      </c>
      <c r="AA2804">
        <v>0.99776489999999995</v>
      </c>
      <c r="AB2804">
        <v>43</v>
      </c>
      <c r="AC2804">
        <v>-0.820799999999962</v>
      </c>
      <c r="AD2804">
        <v>-8.4640999999999897E-2</v>
      </c>
      <c r="AE2804">
        <v>7.1300000000007899E-2</v>
      </c>
      <c r="AF2804">
        <v>7.0954899415786907E-2</v>
      </c>
      <c r="AG2804">
        <v>-8.4640999999999897E-2</v>
      </c>
      <c r="AH2804">
        <v>0.81219284431620398</v>
      </c>
      <c r="AI2804">
        <v>95.927072044797001</v>
      </c>
      <c r="AJ2804">
        <v>85.007194665735199</v>
      </c>
      <c r="AK2804">
        <v>0.81966817248844703</v>
      </c>
      <c r="AL2804">
        <v>91.604536866360405</v>
      </c>
      <c r="AM2804">
        <v>95.875894989343806</v>
      </c>
      <c r="AN2804">
        <v>0.99999996359732102</v>
      </c>
    </row>
    <row r="2805" spans="1:40" x14ac:dyDescent="0.25">
      <c r="A2805" t="str">
        <f>"20190305134951839"</f>
        <v>20190305134951839</v>
      </c>
      <c r="B2805" t="str">
        <f>"1551764991832907"</f>
        <v>1551764991832907</v>
      </c>
      <c r="C2805" t="s">
        <v>40</v>
      </c>
      <c r="D2805">
        <v>3.8785099999999999</v>
      </c>
      <c r="E2805">
        <v>0.56917989999999996</v>
      </c>
      <c r="F2805" t="s">
        <v>74</v>
      </c>
      <c r="G2805">
        <v>-449.79199999999997</v>
      </c>
      <c r="H2805" s="1">
        <v>3.5702059999999999E-6</v>
      </c>
      <c r="I2805">
        <v>286.99099999999999</v>
      </c>
      <c r="J2805">
        <v>-431.50189999999998</v>
      </c>
      <c r="K2805">
        <v>1.1093090000000001</v>
      </c>
      <c r="L2805">
        <v>285.66719999999998</v>
      </c>
      <c r="M2805">
        <v>-0.99989570000000005</v>
      </c>
      <c r="N2805">
        <v>-1.444081E-2</v>
      </c>
      <c r="O2805">
        <v>-2.6055639999999998E-4</v>
      </c>
      <c r="P2805">
        <v>-0.99389179999999999</v>
      </c>
      <c r="Q2805">
        <v>-4.1272129999999997E-2</v>
      </c>
      <c r="R2805">
        <v>-0.1023526</v>
      </c>
      <c r="S2805">
        <v>-3.0333860000000001</v>
      </c>
      <c r="T2805">
        <v>-0.1813302</v>
      </c>
      <c r="U2805">
        <v>0.21640010000000001</v>
      </c>
      <c r="V2805">
        <v>-0.1021167</v>
      </c>
      <c r="W2805">
        <v>-2.682704E-2</v>
      </c>
      <c r="X2805">
        <v>0.99441060000000003</v>
      </c>
      <c r="Y2805">
        <v>7.1260959999999998E-2</v>
      </c>
      <c r="Z2805">
        <v>2.6528979999999999E-3</v>
      </c>
      <c r="AA2805">
        <v>0.99745419999999996</v>
      </c>
      <c r="AB2805">
        <v>43</v>
      </c>
      <c r="AC2805">
        <v>-18.290099999999899</v>
      </c>
      <c r="AD2805">
        <v>-1.1093054297939999</v>
      </c>
      <c r="AE2805">
        <v>1.3238000000000001</v>
      </c>
      <c r="AF2805">
        <v>1.3237221252314599</v>
      </c>
      <c r="AG2805">
        <v>-1.1093054297939999</v>
      </c>
      <c r="AH2805">
        <v>18.223070283046301</v>
      </c>
      <c r="AI2805">
        <v>93.474374817468103</v>
      </c>
      <c r="AJ2805">
        <v>85.845337104971193</v>
      </c>
      <c r="AK2805">
        <v>18.304728606080001</v>
      </c>
      <c r="AL2805">
        <v>91.537260635298594</v>
      </c>
      <c r="AM2805">
        <v>95.863190309193101</v>
      </c>
      <c r="AN2805">
        <v>0.999999975943205</v>
      </c>
    </row>
    <row r="2806" spans="1:40" x14ac:dyDescent="0.25">
      <c r="A2806" t="str">
        <f>"20190305134951852"</f>
        <v>20190305134951852</v>
      </c>
      <c r="B2806" t="str">
        <f>"1551764991843643"</f>
        <v>1551764991843643</v>
      </c>
      <c r="C2806" t="s">
        <v>40</v>
      </c>
      <c r="D2806">
        <v>4.0715680000000001</v>
      </c>
      <c r="E2806">
        <v>0.57000660000000003</v>
      </c>
      <c r="F2806" t="s">
        <v>41</v>
      </c>
      <c r="G2806">
        <v>-432.44099999999997</v>
      </c>
      <c r="H2806">
        <v>1.031749</v>
      </c>
      <c r="I2806">
        <v>285.74349999999998</v>
      </c>
      <c r="J2806">
        <v>-431.76150000000001</v>
      </c>
      <c r="K2806">
        <v>1.1092839999999999</v>
      </c>
      <c r="L2806">
        <v>285.66730000000001</v>
      </c>
      <c r="M2806">
        <v>-0.99989589999999995</v>
      </c>
      <c r="N2806">
        <v>-1.443931E-2</v>
      </c>
      <c r="O2806" s="1">
        <v>-2.136084E-5</v>
      </c>
      <c r="P2806">
        <v>-0.99393279999999995</v>
      </c>
      <c r="Q2806">
        <v>-4.0611590000000003E-2</v>
      </c>
      <c r="R2806">
        <v>-0.1022183</v>
      </c>
      <c r="S2806">
        <v>-3.033264</v>
      </c>
      <c r="T2806">
        <v>-0.25056030000000001</v>
      </c>
      <c r="U2806">
        <v>0.2453613</v>
      </c>
      <c r="V2806">
        <v>-0.1022214</v>
      </c>
      <c r="W2806">
        <v>-2.6161360000000002E-2</v>
      </c>
      <c r="X2806">
        <v>0.99441760000000001</v>
      </c>
      <c r="Y2806">
        <v>8.0328339999999998E-2</v>
      </c>
      <c r="Z2806">
        <v>3.8902369999999999E-3</v>
      </c>
      <c r="AA2806">
        <v>0.9967608</v>
      </c>
      <c r="AB2806">
        <v>43</v>
      </c>
      <c r="AC2806">
        <v>-0.67949999999996102</v>
      </c>
      <c r="AD2806">
        <v>-7.7534999999999896E-2</v>
      </c>
      <c r="AE2806">
        <v>7.6199999999971596E-2</v>
      </c>
      <c r="AF2806">
        <v>7.5246955734012494E-2</v>
      </c>
      <c r="AG2806">
        <v>-7.7534999999999896E-2</v>
      </c>
      <c r="AH2806">
        <v>0.67087198708834594</v>
      </c>
      <c r="AI2806">
        <v>96.551898759259601</v>
      </c>
      <c r="AJ2806">
        <v>83.600286311794306</v>
      </c>
      <c r="AK2806">
        <v>0.67951674271654405</v>
      </c>
      <c r="AL2806">
        <v>91.499106553843205</v>
      </c>
      <c r="AM2806">
        <v>95.869118853568196</v>
      </c>
      <c r="AN2806">
        <v>0.99999999728238398</v>
      </c>
    </row>
    <row r="2807" spans="1:40" x14ac:dyDescent="0.25">
      <c r="A2807" t="str">
        <f>"20190305134951869"</f>
        <v>20190305134951869</v>
      </c>
      <c r="B2807" t="str">
        <f>"1551764991863179"</f>
        <v>1551764991863179</v>
      </c>
      <c r="C2807" t="s">
        <v>40</v>
      </c>
      <c r="D2807">
        <v>3.8753660000000001</v>
      </c>
      <c r="E2807">
        <v>0.57006069999999998</v>
      </c>
      <c r="F2807" t="s">
        <v>41</v>
      </c>
      <c r="G2807">
        <v>-432.80849999999998</v>
      </c>
      <c r="H2807">
        <v>1.002267</v>
      </c>
      <c r="I2807">
        <v>285.75529999999998</v>
      </c>
      <c r="J2807">
        <v>-432.10660000000001</v>
      </c>
      <c r="K2807">
        <v>1.1092500000000001</v>
      </c>
      <c r="L2807">
        <v>285.66759999999999</v>
      </c>
      <c r="M2807">
        <v>-0.9998958</v>
      </c>
      <c r="N2807">
        <v>-1.443735E-2</v>
      </c>
      <c r="O2807">
        <v>3.290074E-4</v>
      </c>
      <c r="P2807">
        <v>-0.99403490000000005</v>
      </c>
      <c r="Q2807">
        <v>-4.060561E-2</v>
      </c>
      <c r="R2807">
        <v>-0.1012226</v>
      </c>
      <c r="S2807">
        <v>-3.0317690000000002</v>
      </c>
      <c r="T2807">
        <v>-0.30991790000000002</v>
      </c>
      <c r="U2807">
        <v>0.2539978</v>
      </c>
      <c r="V2807">
        <v>-0.101576</v>
      </c>
      <c r="W2807">
        <v>-2.6147730000000001E-2</v>
      </c>
      <c r="X2807">
        <v>0.99448409999999998</v>
      </c>
      <c r="Y2807">
        <v>8.2670729999999998E-2</v>
      </c>
      <c r="Z2807">
        <v>4.7780039999999998E-3</v>
      </c>
      <c r="AA2807">
        <v>0.99656549999999999</v>
      </c>
      <c r="AB2807">
        <v>43</v>
      </c>
      <c r="AC2807">
        <v>-0.701899999999966</v>
      </c>
      <c r="AD2807">
        <v>-0.10698299999999999</v>
      </c>
      <c r="AE2807">
        <v>8.7699999999983902E-2</v>
      </c>
      <c r="AF2807">
        <v>8.5512975354064796E-2</v>
      </c>
      <c r="AG2807">
        <v>-0.10698299999999999</v>
      </c>
      <c r="AH2807">
        <v>0.68623162177721597</v>
      </c>
      <c r="AI2807">
        <v>98.794100774399695</v>
      </c>
      <c r="AJ2807">
        <v>82.896850384202807</v>
      </c>
      <c r="AK2807">
        <v>0.69976543925082002</v>
      </c>
      <c r="AL2807">
        <v>91.498325331524697</v>
      </c>
      <c r="AM2807">
        <v>95.831931665748101</v>
      </c>
      <c r="AN2807">
        <v>1.00000000635648</v>
      </c>
    </row>
    <row r="2808" spans="1:40" x14ac:dyDescent="0.25">
      <c r="A2808" t="str">
        <f>"20190305134951884"</f>
        <v>20190305134951884</v>
      </c>
      <c r="B2808" t="str">
        <f>"1551764991872923"</f>
        <v>1551764991872923</v>
      </c>
      <c r="C2808" t="s">
        <v>40</v>
      </c>
      <c r="D2808">
        <v>3.884998</v>
      </c>
      <c r="E2808">
        <v>0.56990339999999995</v>
      </c>
      <c r="F2808" t="s">
        <v>41</v>
      </c>
      <c r="G2808">
        <v>-433.1875</v>
      </c>
      <c r="H2808">
        <v>0.99671220000000005</v>
      </c>
      <c r="I2808">
        <v>285.7593</v>
      </c>
      <c r="J2808">
        <v>-432.38690000000003</v>
      </c>
      <c r="K2808">
        <v>1.1092200000000001</v>
      </c>
      <c r="L2808">
        <v>285.66789999999997</v>
      </c>
      <c r="M2808">
        <v>-0.9998956</v>
      </c>
      <c r="N2808">
        <v>-1.44358E-2</v>
      </c>
      <c r="O2808">
        <v>6.4334169999999999E-4</v>
      </c>
      <c r="P2808">
        <v>-0.99410860000000001</v>
      </c>
      <c r="Q2808">
        <v>-4.0845800000000002E-2</v>
      </c>
      <c r="R2808">
        <v>-0.1003983</v>
      </c>
      <c r="S2808">
        <v>-3.0313110000000001</v>
      </c>
      <c r="T2808">
        <v>-0.31563479999999999</v>
      </c>
      <c r="U2808">
        <v>0.25729370000000001</v>
      </c>
      <c r="V2808">
        <v>-0.10106660000000001</v>
      </c>
      <c r="W2808">
        <v>-2.6381470000000001E-2</v>
      </c>
      <c r="X2808">
        <v>0.99452980000000002</v>
      </c>
      <c r="Y2808">
        <v>8.342542E-2</v>
      </c>
      <c r="Z2808">
        <v>4.8715779999999997E-3</v>
      </c>
      <c r="AA2808">
        <v>0.99650209999999995</v>
      </c>
      <c r="AB2808">
        <v>43</v>
      </c>
      <c r="AC2808">
        <v>-0.800599999999974</v>
      </c>
      <c r="AD2808">
        <v>-0.11250780000000001</v>
      </c>
      <c r="AE2808">
        <v>9.1400000000021395E-2</v>
      </c>
      <c r="AF2808">
        <v>8.91469991401974E-2</v>
      </c>
      <c r="AG2808">
        <v>-0.11250780000000001</v>
      </c>
      <c r="AH2808">
        <v>0.78534872516557697</v>
      </c>
      <c r="AI2808">
        <v>98.101302638532403</v>
      </c>
      <c r="AJ2808">
        <v>83.523925447950603</v>
      </c>
      <c r="AK2808">
        <v>0.79835945077123005</v>
      </c>
      <c r="AL2808">
        <v>91.511722306394404</v>
      </c>
      <c r="AM2808">
        <v>95.802619994890705</v>
      </c>
      <c r="AN2808">
        <v>0.99999998134148005</v>
      </c>
    </row>
    <row r="2809" spans="1:40" x14ac:dyDescent="0.25">
      <c r="A2809" t="str">
        <f>"20190305134951899"</f>
        <v>20190305134951899</v>
      </c>
      <c r="B2809" t="str">
        <f>"1551764991883659"</f>
        <v>1551764991883659</v>
      </c>
      <c r="C2809" t="s">
        <v>40</v>
      </c>
      <c r="D2809">
        <v>4.0527430000000004</v>
      </c>
      <c r="E2809">
        <v>0.57041949999999997</v>
      </c>
      <c r="F2809" t="s">
        <v>41</v>
      </c>
      <c r="G2809">
        <v>-433.2045</v>
      </c>
      <c r="H2809">
        <v>1.0312790000000001</v>
      </c>
      <c r="I2809">
        <v>285.7373</v>
      </c>
      <c r="J2809">
        <v>-432.66160000000002</v>
      </c>
      <c r="K2809">
        <v>1.109191</v>
      </c>
      <c r="L2809">
        <v>285.66840000000002</v>
      </c>
      <c r="M2809">
        <v>-0.99989530000000004</v>
      </c>
      <c r="N2809">
        <v>-1.4434280000000001E-2</v>
      </c>
      <c r="O2809">
        <v>9.6958560000000001E-4</v>
      </c>
      <c r="P2809">
        <v>-0.99417750000000005</v>
      </c>
      <c r="Q2809">
        <v>-4.0739789999999998E-2</v>
      </c>
      <c r="R2809">
        <v>-9.9755789999999997E-2</v>
      </c>
      <c r="S2809">
        <v>-3.0319210000000001</v>
      </c>
      <c r="T2809">
        <v>-0.28906110000000002</v>
      </c>
      <c r="U2809">
        <v>0.25762940000000001</v>
      </c>
      <c r="V2809">
        <v>-0.1007506</v>
      </c>
      <c r="W2809">
        <v>-2.6269049999999999E-2</v>
      </c>
      <c r="X2809">
        <v>0.99456480000000003</v>
      </c>
      <c r="Y2809">
        <v>8.3271869999999998E-2</v>
      </c>
      <c r="Z2809">
        <v>4.4790170000000001E-3</v>
      </c>
      <c r="AA2809">
        <v>0.99651679999999998</v>
      </c>
      <c r="AB2809">
        <v>43</v>
      </c>
      <c r="AC2809">
        <v>-0.54289999999997396</v>
      </c>
      <c r="AD2809">
        <v>-7.7911999999999898E-2</v>
      </c>
      <c r="AE2809">
        <v>6.8899999999985001E-2</v>
      </c>
      <c r="AF2809">
        <v>6.7015201389447193E-2</v>
      </c>
      <c r="AG2809">
        <v>-7.7911999999999898E-2</v>
      </c>
      <c r="AH2809">
        <v>0.53217986438229803</v>
      </c>
      <c r="AI2809">
        <v>98.2646674967243</v>
      </c>
      <c r="AJ2809">
        <v>82.822758472359297</v>
      </c>
      <c r="AK2809">
        <v>0.54201173881681597</v>
      </c>
      <c r="AL2809">
        <v>91.505278938024404</v>
      </c>
      <c r="AM2809">
        <v>95.784398265211905</v>
      </c>
      <c r="AN2809">
        <v>0.99999994389364899</v>
      </c>
    </row>
    <row r="2810" spans="1:40" x14ac:dyDescent="0.25">
      <c r="A2810" t="str">
        <f>"20190305134951914"</f>
        <v>20190305134951914</v>
      </c>
      <c r="B2810" t="str">
        <f>"1551764991903178"</f>
        <v>1551764991903178</v>
      </c>
      <c r="C2810" t="s">
        <v>40</v>
      </c>
      <c r="D2810">
        <v>3.8400240000000001</v>
      </c>
      <c r="E2810">
        <v>0.57040840000000004</v>
      </c>
      <c r="F2810" t="s">
        <v>41</v>
      </c>
      <c r="G2810">
        <v>-433.57679999999999</v>
      </c>
      <c r="H2810">
        <v>1.0127900000000001</v>
      </c>
      <c r="I2810">
        <v>285.74869999999999</v>
      </c>
      <c r="J2810">
        <v>-432.94920000000002</v>
      </c>
      <c r="K2810">
        <v>1.109165</v>
      </c>
      <c r="L2810">
        <v>285.66890000000001</v>
      </c>
      <c r="M2810">
        <v>-0.99989510000000004</v>
      </c>
      <c r="N2810">
        <v>-1.443272E-2</v>
      </c>
      <c r="O2810">
        <v>1.3301859999999999E-3</v>
      </c>
      <c r="P2810">
        <v>-0.99427399999999999</v>
      </c>
      <c r="Q2810">
        <v>-4.0276579999999999E-2</v>
      </c>
      <c r="R2810">
        <v>-9.8982559999999997E-2</v>
      </c>
      <c r="S2810">
        <v>-3.0310670000000002</v>
      </c>
      <c r="T2810">
        <v>-0.31933089999999997</v>
      </c>
      <c r="U2810">
        <v>0.26452639999999999</v>
      </c>
      <c r="V2810">
        <v>-0.1003378</v>
      </c>
      <c r="W2810">
        <v>-2.5798890000000001E-2</v>
      </c>
      <c r="X2810">
        <v>0.99461889999999997</v>
      </c>
      <c r="Y2810">
        <v>8.5089189999999995E-2</v>
      </c>
      <c r="Z2810">
        <v>4.9581850000000004E-3</v>
      </c>
      <c r="AA2810">
        <v>0.99636100000000005</v>
      </c>
      <c r="AB2810">
        <v>43</v>
      </c>
      <c r="AC2810">
        <v>-0.62759999999997196</v>
      </c>
      <c r="AD2810">
        <v>-9.6375000000000099E-2</v>
      </c>
      <c r="AE2810">
        <v>7.9799999999977403E-2</v>
      </c>
      <c r="AF2810">
        <v>7.7174125886689607E-2</v>
      </c>
      <c r="AG2810">
        <v>-9.6375000000000099E-2</v>
      </c>
      <c r="AH2810">
        <v>0.61346951710959097</v>
      </c>
      <c r="AI2810">
        <v>98.859390603265993</v>
      </c>
      <c r="AJ2810">
        <v>82.829887860631402</v>
      </c>
      <c r="AK2810">
        <v>0.62577059275268798</v>
      </c>
      <c r="AL2810">
        <v>91.478331526383499</v>
      </c>
      <c r="AM2810">
        <v>95.760546653293105</v>
      </c>
      <c r="AN2810">
        <v>1.00000000653564</v>
      </c>
    </row>
    <row r="2811" spans="1:40" x14ac:dyDescent="0.25">
      <c r="A2811" t="str">
        <f>"20190305134951928"</f>
        <v>20190305134951928</v>
      </c>
      <c r="B2811" t="str">
        <f>"1551764991923674"</f>
        <v>1551764991923674</v>
      </c>
      <c r="C2811" t="s">
        <v>40</v>
      </c>
      <c r="D2811">
        <v>3.8852199999999999</v>
      </c>
      <c r="E2811">
        <v>0.57044189999999995</v>
      </c>
      <c r="F2811" t="s">
        <v>41</v>
      </c>
      <c r="G2811">
        <v>-433.95389999999998</v>
      </c>
      <c r="H2811">
        <v>1.004613</v>
      </c>
      <c r="I2811">
        <v>285.75749999999999</v>
      </c>
      <c r="J2811">
        <v>-433.22109999999998</v>
      </c>
      <c r="K2811">
        <v>1.109143</v>
      </c>
      <c r="L2811">
        <v>285.6696</v>
      </c>
      <c r="M2811">
        <v>-0.99989459999999997</v>
      </c>
      <c r="N2811">
        <v>-1.443123E-2</v>
      </c>
      <c r="O2811">
        <v>1.6923699999999999E-3</v>
      </c>
      <c r="P2811">
        <v>-0.99436009999999997</v>
      </c>
      <c r="Q2811">
        <v>-3.9608020000000001E-2</v>
      </c>
      <c r="R2811">
        <v>-9.8382590000000006E-2</v>
      </c>
      <c r="S2811">
        <v>-3.0310060000000001</v>
      </c>
      <c r="T2811">
        <v>-0.31542330000000002</v>
      </c>
      <c r="U2811">
        <v>0.266571</v>
      </c>
      <c r="V2811">
        <v>-0.1000986</v>
      </c>
      <c r="W2811">
        <v>-2.5123650000000001E-2</v>
      </c>
      <c r="X2811">
        <v>0.99466030000000005</v>
      </c>
      <c r="Y2811">
        <v>8.540855E-2</v>
      </c>
      <c r="Z2811">
        <v>4.8919970000000004E-3</v>
      </c>
      <c r="AA2811">
        <v>0.99633400000000005</v>
      </c>
      <c r="AB2811">
        <v>43</v>
      </c>
      <c r="AC2811">
        <v>-0.73279999999999701</v>
      </c>
      <c r="AD2811">
        <v>-0.10453</v>
      </c>
      <c r="AE2811">
        <v>8.78999999999905E-2</v>
      </c>
      <c r="AF2811">
        <v>8.4955464526610402E-2</v>
      </c>
      <c r="AG2811">
        <v>-0.10453</v>
      </c>
      <c r="AH2811">
        <v>0.71853471993583395</v>
      </c>
      <c r="AI2811">
        <v>98.220661524036004</v>
      </c>
      <c r="AJ2811">
        <v>83.256977182511804</v>
      </c>
      <c r="AK2811">
        <v>0.73105136317922204</v>
      </c>
      <c r="AL2811">
        <v>91.439630557932901</v>
      </c>
      <c r="AM2811">
        <v>95.746668247421496</v>
      </c>
      <c r="AN2811">
        <v>1.00000001995368</v>
      </c>
    </row>
    <row r="2812" spans="1:40" x14ac:dyDescent="0.25">
      <c r="A2812" t="str">
        <f>"20190305134951949"</f>
        <v>20190305134951949</v>
      </c>
      <c r="B2812" t="str">
        <f>"1551764991933434"</f>
        <v>1551764991933434</v>
      </c>
      <c r="C2812" t="s">
        <v>40</v>
      </c>
      <c r="D2812">
        <v>3.8904700000000001</v>
      </c>
      <c r="E2812">
        <v>0.57022109999999904</v>
      </c>
      <c r="F2812" t="s">
        <v>41</v>
      </c>
      <c r="G2812">
        <v>-433.96699999999998</v>
      </c>
      <c r="H2812">
        <v>1.031164</v>
      </c>
      <c r="I2812">
        <v>285.73599999999999</v>
      </c>
      <c r="J2812">
        <v>-433.59440000000001</v>
      </c>
      <c r="K2812">
        <v>1.109105</v>
      </c>
      <c r="L2812">
        <v>285.67070000000001</v>
      </c>
      <c r="M2812">
        <v>-0.99989349999999999</v>
      </c>
      <c r="N2812">
        <v>-1.442918E-2</v>
      </c>
      <c r="O2812">
        <v>2.2246000000000002E-3</v>
      </c>
      <c r="P2812">
        <v>-0.9943805</v>
      </c>
      <c r="Q2812">
        <v>-3.9651039999999999E-2</v>
      </c>
      <c r="R2812">
        <v>-9.8160289999999997E-2</v>
      </c>
      <c r="S2812">
        <v>-3.0310359999999998</v>
      </c>
      <c r="T2812">
        <v>-0.31690449999999998</v>
      </c>
      <c r="U2812">
        <v>0.26895140000000001</v>
      </c>
      <c r="V2812">
        <v>-0.1004086</v>
      </c>
      <c r="W2812">
        <v>-2.5158150000000001E-2</v>
      </c>
      <c r="X2812">
        <v>0.99462810000000001</v>
      </c>
      <c r="Y2812">
        <v>8.5649939999999994E-2</v>
      </c>
      <c r="Z2812">
        <v>4.8781709999999997E-3</v>
      </c>
      <c r="AA2812">
        <v>0.99631329999999996</v>
      </c>
      <c r="AB2812">
        <v>43</v>
      </c>
      <c r="AC2812">
        <v>-0.37259999999997701</v>
      </c>
      <c r="AD2812">
        <v>-7.7940999999999996E-2</v>
      </c>
      <c r="AE2812">
        <v>6.5299999999979194E-2</v>
      </c>
      <c r="AF2812">
        <v>6.1845348294711999E-2</v>
      </c>
      <c r="AG2812">
        <v>-7.7940999999999996E-2</v>
      </c>
      <c r="AH2812">
        <v>0.35756468136957498</v>
      </c>
      <c r="AI2812">
        <v>102.122281094518</v>
      </c>
      <c r="AJ2812">
        <v>80.187054328300107</v>
      </c>
      <c r="AK2812">
        <v>0.37114976485189899</v>
      </c>
      <c r="AL2812">
        <v>91.441608004897006</v>
      </c>
      <c r="AM2812">
        <v>95.7645310627816</v>
      </c>
      <c r="AN2812">
        <v>0.99999993838749401</v>
      </c>
    </row>
    <row r="2813" spans="1:40" x14ac:dyDescent="0.25">
      <c r="A2813" t="str">
        <f>"20190305134951971"</f>
        <v>20190305134951971</v>
      </c>
      <c r="B2813" t="str">
        <f>"1551764991963694"</f>
        <v>1551764991963694</v>
      </c>
      <c r="C2813" t="s">
        <v>40</v>
      </c>
      <c r="D2813">
        <v>3.9841129999999998</v>
      </c>
      <c r="E2813">
        <v>0.57138619999999996</v>
      </c>
      <c r="F2813" t="s">
        <v>41</v>
      </c>
      <c r="G2813">
        <v>-434.34949999999998</v>
      </c>
      <c r="H2813">
        <v>1.034422</v>
      </c>
      <c r="I2813">
        <v>285.73790000000002</v>
      </c>
      <c r="J2813">
        <v>-434.02390000000003</v>
      </c>
      <c r="K2813">
        <v>1.109067</v>
      </c>
      <c r="L2813">
        <v>285.67219999999998</v>
      </c>
      <c r="M2813">
        <v>-0.99989189999999994</v>
      </c>
      <c r="N2813">
        <v>-1.442687E-2</v>
      </c>
      <c r="O2813">
        <v>2.8787930000000002E-3</v>
      </c>
      <c r="P2813">
        <v>-0.99442759999999997</v>
      </c>
      <c r="Q2813">
        <v>-3.9739570000000002E-2</v>
      </c>
      <c r="R2813">
        <v>-9.7645659999999995E-2</v>
      </c>
      <c r="S2813">
        <v>-3.0314030000000001</v>
      </c>
      <c r="T2813">
        <v>-0.29998819999999998</v>
      </c>
      <c r="U2813">
        <v>0.26733400000000002</v>
      </c>
      <c r="V2813">
        <v>-0.1005479</v>
      </c>
      <c r="W2813">
        <v>-2.5237119999999998E-2</v>
      </c>
      <c r="X2813">
        <v>0.9946121</v>
      </c>
      <c r="Y2813">
        <v>8.45191E-2</v>
      </c>
      <c r="Z2813">
        <v>4.5341139999999997E-3</v>
      </c>
      <c r="AA2813">
        <v>0.99641159999999995</v>
      </c>
      <c r="AB2813">
        <v>43</v>
      </c>
      <c r="AC2813">
        <v>-0.32559999999995098</v>
      </c>
      <c r="AD2813">
        <v>-7.4645000000000003E-2</v>
      </c>
      <c r="AE2813">
        <v>6.5700000000049302E-2</v>
      </c>
      <c r="AF2813">
        <v>6.1648957199134199E-2</v>
      </c>
      <c r="AG2813">
        <v>-7.4645000000000003E-2</v>
      </c>
      <c r="AH2813">
        <v>0.31012610788015799</v>
      </c>
      <c r="AI2813">
        <v>103.282811457854</v>
      </c>
      <c r="AJ2813">
        <v>78.756924268369303</v>
      </c>
      <c r="AK2813">
        <v>0.32488563024183797</v>
      </c>
      <c r="AL2813">
        <v>91.446133985018406</v>
      </c>
      <c r="AM2813">
        <v>95.772566640336606</v>
      </c>
      <c r="AN2813">
        <v>1.00000001094335</v>
      </c>
    </row>
    <row r="2814" spans="1:40" x14ac:dyDescent="0.25">
      <c r="A2814" t="str">
        <f>"20190305134951985"</f>
        <v>20190305134951985</v>
      </c>
      <c r="B2814" t="str">
        <f>"1551764991973450"</f>
        <v>1551764991973450</v>
      </c>
      <c r="C2814" t="s">
        <v>40</v>
      </c>
      <c r="D2814">
        <v>3.9564629999999998</v>
      </c>
      <c r="E2814">
        <v>0.57236140000000002</v>
      </c>
      <c r="F2814" t="s">
        <v>41</v>
      </c>
      <c r="G2814">
        <v>-435.09620000000001</v>
      </c>
      <c r="H2814">
        <v>1.0054829999999999</v>
      </c>
      <c r="I2814">
        <v>285.77089999999998</v>
      </c>
      <c r="J2814">
        <v>-434.298</v>
      </c>
      <c r="K2814">
        <v>1.1090390000000001</v>
      </c>
      <c r="L2814">
        <v>285.67329999999998</v>
      </c>
      <c r="M2814">
        <v>-0.99989059999999996</v>
      </c>
      <c r="N2814">
        <v>-1.442538E-2</v>
      </c>
      <c r="O2814">
        <v>3.3181629999999998E-3</v>
      </c>
      <c r="P2814">
        <v>-0.99448879999999995</v>
      </c>
      <c r="Q2814">
        <v>-3.982132E-2</v>
      </c>
      <c r="R2814">
        <v>-9.6987160000000003E-2</v>
      </c>
      <c r="S2814">
        <v>-3.0323790000000002</v>
      </c>
      <c r="T2814">
        <v>-0.29297699999999999</v>
      </c>
      <c r="U2814">
        <v>0.27786250000000001</v>
      </c>
      <c r="V2814">
        <v>-0.1003281</v>
      </c>
      <c r="W2814">
        <v>-2.5313309999999999E-2</v>
      </c>
      <c r="X2814">
        <v>0.99463239999999997</v>
      </c>
      <c r="Y2814">
        <v>8.7490499999999999E-2</v>
      </c>
      <c r="Z2814">
        <v>4.5705069999999997E-3</v>
      </c>
      <c r="AA2814">
        <v>0.99615480000000001</v>
      </c>
      <c r="AB2814">
        <v>43</v>
      </c>
      <c r="AC2814">
        <v>-0.79820000000000801</v>
      </c>
      <c r="AD2814">
        <v>-0.103555999999999</v>
      </c>
      <c r="AE2814">
        <v>9.7599999999999895E-2</v>
      </c>
      <c r="AF2814">
        <v>9.3401682452425694E-2</v>
      </c>
      <c r="AG2814">
        <v>-0.103555999999999</v>
      </c>
      <c r="AH2814">
        <v>0.78549309470973905</v>
      </c>
      <c r="AI2814">
        <v>97.458370484632596</v>
      </c>
      <c r="AJ2814">
        <v>83.218893961223699</v>
      </c>
      <c r="AK2814">
        <v>0.79777636042792499</v>
      </c>
      <c r="AL2814">
        <v>91.450500687022995</v>
      </c>
      <c r="AM2814">
        <v>95.759915852306506</v>
      </c>
      <c r="AN2814">
        <v>1.0000000512212599</v>
      </c>
    </row>
    <row r="2815" spans="1:40" x14ac:dyDescent="0.25">
      <c r="A2815" t="str">
        <f>"20190305134951998"</f>
        <v>20190305134951998</v>
      </c>
      <c r="B2815" t="str">
        <f>"1551764991992971"</f>
        <v>1551764991992971</v>
      </c>
      <c r="C2815" t="s">
        <v>40</v>
      </c>
      <c r="D2815">
        <v>3.8975019999999998</v>
      </c>
      <c r="E2815">
        <v>0.57380520000000002</v>
      </c>
      <c r="F2815" t="s">
        <v>41</v>
      </c>
      <c r="G2815">
        <v>-435.11</v>
      </c>
      <c r="H2815">
        <v>1.0334639999999999</v>
      </c>
      <c r="I2815">
        <v>285.75069999999999</v>
      </c>
      <c r="J2815">
        <v>-434.53930000000003</v>
      </c>
      <c r="K2815">
        <v>1.1090150000000001</v>
      </c>
      <c r="L2815">
        <v>285.67450000000002</v>
      </c>
      <c r="M2815">
        <v>-0.99988909999999998</v>
      </c>
      <c r="N2815">
        <v>-1.4424029999999999E-2</v>
      </c>
      <c r="O2815">
        <v>3.7139989999999999E-3</v>
      </c>
      <c r="P2815">
        <v>-0.99456860000000002</v>
      </c>
      <c r="Q2815">
        <v>-4.0183389999999999E-2</v>
      </c>
      <c r="R2815">
        <v>-9.6014779999999994E-2</v>
      </c>
      <c r="S2815">
        <v>-3.033325</v>
      </c>
      <c r="T2815">
        <v>-0.28242080000000003</v>
      </c>
      <c r="U2815">
        <v>0.28717039999999999</v>
      </c>
      <c r="V2815">
        <v>-9.9751870000000006E-2</v>
      </c>
      <c r="W2815">
        <v>-2.5671220000000002E-2</v>
      </c>
      <c r="X2815">
        <v>0.99468109999999998</v>
      </c>
      <c r="Y2815">
        <v>9.0116440000000006E-2</v>
      </c>
      <c r="Z2815">
        <v>4.5389640000000004E-3</v>
      </c>
      <c r="AA2815">
        <v>0.9959209</v>
      </c>
      <c r="AB2815">
        <v>43</v>
      </c>
      <c r="AC2815">
        <v>-0.570699999999987</v>
      </c>
      <c r="AD2815">
        <v>-7.5550999999999896E-2</v>
      </c>
      <c r="AE2815">
        <v>7.6199999999971596E-2</v>
      </c>
      <c r="AF2815">
        <v>7.2825738737170506E-2</v>
      </c>
      <c r="AG2815">
        <v>-7.5550999999999896E-2</v>
      </c>
      <c r="AH2815">
        <v>0.56131421882149202</v>
      </c>
      <c r="AI2815">
        <v>97.602782000388103</v>
      </c>
      <c r="AJ2815">
        <v>82.607654168422101</v>
      </c>
      <c r="AK2815">
        <v>0.57103869752828196</v>
      </c>
      <c r="AL2815">
        <v>91.4710142061043</v>
      </c>
      <c r="AM2815">
        <v>95.726776035245507</v>
      </c>
      <c r="AN2815">
        <v>0.99999996890099696</v>
      </c>
    </row>
    <row r="2816" spans="1:40" x14ac:dyDescent="0.25">
      <c r="A2816" t="str">
        <f>"20190305134952011"</f>
        <v>20190305134952011</v>
      </c>
      <c r="B2816" t="str">
        <f>"1551764992003707"</f>
        <v>1551764992003707</v>
      </c>
      <c r="C2816" t="s">
        <v>40</v>
      </c>
      <c r="D2816">
        <v>4.1653900000000004</v>
      </c>
      <c r="E2816">
        <v>0.57380520000000002</v>
      </c>
      <c r="F2816" t="s">
        <v>41</v>
      </c>
      <c r="G2816">
        <v>-435.48559999999998</v>
      </c>
      <c r="H2816">
        <v>1.024451</v>
      </c>
      <c r="I2816">
        <v>285.76850000000002</v>
      </c>
      <c r="J2816">
        <v>-434.79129999999998</v>
      </c>
      <c r="K2816">
        <v>1.1089880000000001</v>
      </c>
      <c r="L2816">
        <v>285.67570000000001</v>
      </c>
      <c r="M2816">
        <v>-0.99988750000000004</v>
      </c>
      <c r="N2816">
        <v>-1.4422590000000001E-2</v>
      </c>
      <c r="O2816">
        <v>4.1338470000000004E-3</v>
      </c>
      <c r="P2816">
        <v>-0.99464819999999998</v>
      </c>
      <c r="Q2816">
        <v>-4.0449440000000003E-2</v>
      </c>
      <c r="R2816">
        <v>-9.5074140000000001E-2</v>
      </c>
      <c r="S2816">
        <v>-3.0345149999999999</v>
      </c>
      <c r="T2816">
        <v>-0.27103519999999998</v>
      </c>
      <c r="U2816">
        <v>0.30139159999999998</v>
      </c>
      <c r="V2816">
        <v>-9.923042E-2</v>
      </c>
      <c r="W2816">
        <v>-2.5933290000000001E-2</v>
      </c>
      <c r="X2816">
        <v>0.99472649999999996</v>
      </c>
      <c r="Y2816">
        <v>9.4299010000000003E-2</v>
      </c>
      <c r="Z2816">
        <v>4.5677449999999998E-3</v>
      </c>
      <c r="AA2816">
        <v>0.99553349999999996</v>
      </c>
      <c r="AB2816">
        <v>43</v>
      </c>
      <c r="AC2816">
        <v>-0.69429999999999803</v>
      </c>
      <c r="AD2816">
        <v>-8.4536999999999807E-2</v>
      </c>
      <c r="AE2816">
        <v>9.2800000000011096E-2</v>
      </c>
      <c r="AF2816">
        <v>8.8637773283447102E-2</v>
      </c>
      <c r="AG2816">
        <v>-8.4536999999999807E-2</v>
      </c>
      <c r="AH2816">
        <v>0.68470502868266603</v>
      </c>
      <c r="AI2816">
        <v>96.980727561321601</v>
      </c>
      <c r="AJ2816">
        <v>82.623856199364795</v>
      </c>
      <c r="AK2816">
        <v>0.69557468004879097</v>
      </c>
      <c r="AL2816">
        <v>91.486034650116096</v>
      </c>
      <c r="AM2816">
        <v>95.696778612312201</v>
      </c>
      <c r="AN2816">
        <v>1.0000000107929199</v>
      </c>
    </row>
    <row r="2817" spans="1:40" x14ac:dyDescent="0.25">
      <c r="A2817" t="str">
        <f>"20190305134952023"</f>
        <v>20190305134952023</v>
      </c>
      <c r="B2817" t="str">
        <f>"1551764992013467"</f>
        <v>1551764992013467</v>
      </c>
      <c r="C2817" t="s">
        <v>40</v>
      </c>
      <c r="D2817">
        <v>3.88009</v>
      </c>
      <c r="E2817">
        <v>0.57455540000000005</v>
      </c>
      <c r="F2817" t="s">
        <v>41</v>
      </c>
      <c r="G2817">
        <v>-435.85969999999998</v>
      </c>
      <c r="H2817">
        <v>1.013117</v>
      </c>
      <c r="I2817">
        <v>285.78309999999999</v>
      </c>
      <c r="J2817">
        <v>-435.03449999999998</v>
      </c>
      <c r="K2817">
        <v>1.108968</v>
      </c>
      <c r="L2817">
        <v>285.67700000000002</v>
      </c>
      <c r="M2817">
        <v>-0.99988569999999999</v>
      </c>
      <c r="N2817">
        <v>-1.442119E-2</v>
      </c>
      <c r="O2817">
        <v>4.5491009999999998E-3</v>
      </c>
      <c r="P2817">
        <v>-0.99473509999999998</v>
      </c>
      <c r="Q2817">
        <v>-4.0351350000000001E-2</v>
      </c>
      <c r="R2817">
        <v>-9.4200519999999996E-2</v>
      </c>
      <c r="S2817">
        <v>-3.034119</v>
      </c>
      <c r="T2817">
        <v>-0.27234029999999998</v>
      </c>
      <c r="U2817">
        <v>0.30407709999999999</v>
      </c>
      <c r="V2817">
        <v>-9.8771499999999998E-2</v>
      </c>
      <c r="W2817">
        <v>-2.5832020000000001E-2</v>
      </c>
      <c r="X2817">
        <v>0.99477479999999996</v>
      </c>
      <c r="Y2817">
        <v>9.4766039999999996E-2</v>
      </c>
      <c r="Z2817">
        <v>4.5795030000000004E-3</v>
      </c>
      <c r="AA2817">
        <v>0.99548910000000002</v>
      </c>
      <c r="AB2817">
        <v>42</v>
      </c>
      <c r="AC2817">
        <v>-0.82519999999999505</v>
      </c>
      <c r="AD2817">
        <v>-9.5850999999999895E-2</v>
      </c>
      <c r="AE2817">
        <v>0.106099999999969</v>
      </c>
      <c r="AF2817">
        <v>0.101004013791142</v>
      </c>
      <c r="AG2817">
        <v>-9.5850999999999895E-2</v>
      </c>
      <c r="AH2817">
        <v>0.81485892253249403</v>
      </c>
      <c r="AI2817">
        <v>96.6583209739604</v>
      </c>
      <c r="AJ2817">
        <v>82.934070471443903</v>
      </c>
      <c r="AK2817">
        <v>0.82667060467500497</v>
      </c>
      <c r="AL2817">
        <v>91.480230374220199</v>
      </c>
      <c r="AM2817">
        <v>95.6703307682656</v>
      </c>
      <c r="AN2817">
        <v>1.0000000025922799</v>
      </c>
    </row>
    <row r="2818" spans="1:40" x14ac:dyDescent="0.25">
      <c r="A2818" t="str">
        <f>"20190305134952037"</f>
        <v>20190305134952037</v>
      </c>
      <c r="B2818" t="str">
        <f>"1551764992023227"</f>
        <v>1551764992023227</v>
      </c>
      <c r="C2818" t="s">
        <v>40</v>
      </c>
      <c r="D2818">
        <v>4.166499</v>
      </c>
      <c r="E2818">
        <v>0.57455540000000005</v>
      </c>
      <c r="F2818" t="s">
        <v>41</v>
      </c>
      <c r="G2818">
        <v>-435.87110000000001</v>
      </c>
      <c r="H2818">
        <v>1.03616</v>
      </c>
      <c r="I2818">
        <v>285.76339999999999</v>
      </c>
      <c r="J2818">
        <v>-435.2869</v>
      </c>
      <c r="K2818">
        <v>1.108948</v>
      </c>
      <c r="L2818">
        <v>285.67860000000002</v>
      </c>
      <c r="M2818">
        <v>-0.99988359999999998</v>
      </c>
      <c r="N2818">
        <v>-1.441972E-2</v>
      </c>
      <c r="O2818">
        <v>4.9842990000000002E-3</v>
      </c>
      <c r="P2818">
        <v>-0.99494269999999996</v>
      </c>
      <c r="Q2818">
        <v>-4.004974E-2</v>
      </c>
      <c r="R2818">
        <v>-9.2113970000000003E-2</v>
      </c>
      <c r="S2818">
        <v>-3.034729</v>
      </c>
      <c r="T2818">
        <v>-0.26423259999999998</v>
      </c>
      <c r="U2818">
        <v>0.3123474</v>
      </c>
      <c r="V2818">
        <v>-9.7119520000000001E-2</v>
      </c>
      <c r="W2818">
        <v>-2.552809E-2</v>
      </c>
      <c r="X2818">
        <v>0.99494530000000003</v>
      </c>
      <c r="Y2818">
        <v>9.7012500000000002E-2</v>
      </c>
      <c r="Z2818">
        <v>4.5468359999999899E-3</v>
      </c>
      <c r="AA2818">
        <v>0.99527279999999996</v>
      </c>
      <c r="AB2818">
        <v>42</v>
      </c>
      <c r="AC2818">
        <v>-0.58420000000000905</v>
      </c>
      <c r="AD2818">
        <v>-7.2788000000000005E-2</v>
      </c>
      <c r="AE2818">
        <v>8.4799999999972897E-2</v>
      </c>
      <c r="AF2818">
        <v>8.0660501866094803E-2</v>
      </c>
      <c r="AG2818">
        <v>-7.2788000000000005E-2</v>
      </c>
      <c r="AH2818">
        <v>0.57586041507821895</v>
      </c>
      <c r="AI2818">
        <v>97.134984559756205</v>
      </c>
      <c r="AJ2818">
        <v>82.026482040512306</v>
      </c>
      <c r="AK2818">
        <v>0.58601998870290195</v>
      </c>
      <c r="AL2818">
        <v>91.462810701683907</v>
      </c>
      <c r="AM2818">
        <v>95.575146152430094</v>
      </c>
      <c r="AN2818">
        <v>1.0000000172680801</v>
      </c>
    </row>
    <row r="2819" spans="1:40" x14ac:dyDescent="0.25">
      <c r="A2819" t="str">
        <f>"20190305134952051"</f>
        <v>20190305134952051</v>
      </c>
      <c r="B2819" t="str">
        <f>"1551764992043723"</f>
        <v>1551764992043723</v>
      </c>
      <c r="C2819" t="s">
        <v>40</v>
      </c>
      <c r="D2819">
        <v>3.8583729999999998</v>
      </c>
      <c r="E2819">
        <v>0.57597290000000001</v>
      </c>
      <c r="F2819" t="s">
        <v>41</v>
      </c>
      <c r="G2819">
        <v>-436.24529999999999</v>
      </c>
      <c r="H2819">
        <v>1.0255259999999999</v>
      </c>
      <c r="I2819">
        <v>285.77940000000001</v>
      </c>
      <c r="J2819">
        <v>-435.55029999999999</v>
      </c>
      <c r="K2819">
        <v>1.108932</v>
      </c>
      <c r="L2819">
        <v>285.68020000000001</v>
      </c>
      <c r="M2819">
        <v>-0.99988129999999997</v>
      </c>
      <c r="N2819">
        <v>-1.4418169999999999E-2</v>
      </c>
      <c r="O2819">
        <v>5.4427210000000002E-3</v>
      </c>
      <c r="P2819">
        <v>-0.9950871</v>
      </c>
      <c r="Q2819">
        <v>-3.9847599999999997E-2</v>
      </c>
      <c r="R2819">
        <v>-9.0631310000000007E-2</v>
      </c>
      <c r="S2819">
        <v>-3.0341490000000002</v>
      </c>
      <c r="T2819">
        <v>-0.26410009999999901</v>
      </c>
      <c r="U2819">
        <v>0.31863399999999997</v>
      </c>
      <c r="V2819">
        <v>-9.6093780000000004E-2</v>
      </c>
      <c r="W2819">
        <v>-2.5323950000000001E-2</v>
      </c>
      <c r="X2819">
        <v>0.99505010000000005</v>
      </c>
      <c r="Y2819">
        <v>9.8610100000000006E-2</v>
      </c>
      <c r="Z2819">
        <v>4.5929020000000003E-3</v>
      </c>
      <c r="AA2819">
        <v>0.99511550000000004</v>
      </c>
      <c r="AB2819">
        <v>42</v>
      </c>
      <c r="AC2819">
        <v>-0.69499999999999296</v>
      </c>
      <c r="AD2819">
        <v>-8.3405999999999994E-2</v>
      </c>
      <c r="AE2819">
        <v>9.9199999999996097E-2</v>
      </c>
      <c r="AF2819">
        <v>9.4087447317692599E-2</v>
      </c>
      <c r="AG2819">
        <v>-8.3405999999999994E-2</v>
      </c>
      <c r="AH2819">
        <v>0.68584924635970601</v>
      </c>
      <c r="AI2819">
        <v>96.869962772610194</v>
      </c>
      <c r="AJ2819">
        <v>82.188701605335297</v>
      </c>
      <c r="AK2819">
        <v>0.69727913873206904</v>
      </c>
      <c r="AL2819">
        <v>91.451110570487202</v>
      </c>
      <c r="AM2819">
        <v>95.516051270194794</v>
      </c>
      <c r="AN2819">
        <v>1.0000000092541499</v>
      </c>
    </row>
    <row r="2820" spans="1:40" x14ac:dyDescent="0.25">
      <c r="A2820" t="str">
        <f>"20190305134952064"</f>
        <v>20190305134952064</v>
      </c>
      <c r="B2820" t="str">
        <f>"1551764992053482"</f>
        <v>1551764992053482</v>
      </c>
      <c r="C2820" t="s">
        <v>40</v>
      </c>
      <c r="D2820">
        <v>3.8718219999999999</v>
      </c>
      <c r="E2820">
        <v>0.57656280000000004</v>
      </c>
      <c r="F2820" t="s">
        <v>41</v>
      </c>
      <c r="G2820">
        <v>-436.6223</v>
      </c>
      <c r="H2820">
        <v>1.0209459999999999</v>
      </c>
      <c r="I2820">
        <v>285.79849999999999</v>
      </c>
      <c r="J2820">
        <v>-435.80399999999997</v>
      </c>
      <c r="K2820">
        <v>1.1089199999999999</v>
      </c>
      <c r="L2820">
        <v>285.68189999999998</v>
      </c>
      <c r="M2820">
        <v>-0.99987879999999996</v>
      </c>
      <c r="N2820">
        <v>-1.4416689999999999E-2</v>
      </c>
      <c r="O2820">
        <v>5.8888730000000002E-3</v>
      </c>
      <c r="P2820">
        <v>-0.99519179999999996</v>
      </c>
      <c r="Q2820">
        <v>-4.018327E-2</v>
      </c>
      <c r="R2820">
        <v>-8.9323570000000005E-2</v>
      </c>
      <c r="S2820">
        <v>-3.0352169999999998</v>
      </c>
      <c r="T2820">
        <v>-0.24921370000000001</v>
      </c>
      <c r="U2820">
        <v>0.33404539999999999</v>
      </c>
      <c r="V2820">
        <v>-9.5232220000000006E-2</v>
      </c>
      <c r="W2820">
        <v>-2.5658569999999999E-2</v>
      </c>
      <c r="X2820">
        <v>0.99512429999999996</v>
      </c>
      <c r="Y2820">
        <v>0.1031493</v>
      </c>
      <c r="Z2820">
        <v>4.565469E-3</v>
      </c>
      <c r="AA2820">
        <v>0.99465539999999997</v>
      </c>
      <c r="AB2820">
        <v>42</v>
      </c>
      <c r="AC2820">
        <v>-0.81829999999996506</v>
      </c>
      <c r="AD2820">
        <v>-8.7974000000000205E-2</v>
      </c>
      <c r="AE2820">
        <v>0.11660000000000501</v>
      </c>
      <c r="AF2820">
        <v>0.11052656485031601</v>
      </c>
      <c r="AG2820">
        <v>-8.7974000000000205E-2</v>
      </c>
      <c r="AH2820">
        <v>0.80979909802600503</v>
      </c>
      <c r="AI2820">
        <v>96.1435990008913</v>
      </c>
      <c r="AJ2820">
        <v>82.227928577682505</v>
      </c>
      <c r="AK2820">
        <v>0.82202805632006404</v>
      </c>
      <c r="AL2820">
        <v>91.470289195803005</v>
      </c>
      <c r="AM2820">
        <v>95.466491122318402</v>
      </c>
      <c r="AN2820">
        <v>0.99999995519552998</v>
      </c>
    </row>
    <row r="2821" spans="1:40" x14ac:dyDescent="0.25">
      <c r="A2821" t="str">
        <f>"20190305134952076"</f>
        <v>20190305134952076</v>
      </c>
      <c r="B2821" t="str">
        <f>"1551764992063243"</f>
        <v>1551764992063243</v>
      </c>
      <c r="C2821" t="s">
        <v>40</v>
      </c>
      <c r="D2821">
        <v>4.1289089999999904</v>
      </c>
      <c r="E2821">
        <v>0.57656280000000004</v>
      </c>
      <c r="F2821" t="s">
        <v>41</v>
      </c>
      <c r="G2821">
        <v>-436.63310000000001</v>
      </c>
      <c r="H2821">
        <v>1.042297</v>
      </c>
      <c r="I2821">
        <v>285.7758</v>
      </c>
      <c r="J2821">
        <v>-436.03609999999998</v>
      </c>
      <c r="K2821">
        <v>1.1089059999999999</v>
      </c>
      <c r="L2821">
        <v>285.68360000000001</v>
      </c>
      <c r="M2821">
        <v>-0.9998764</v>
      </c>
      <c r="N2821">
        <v>-1.4415320000000001E-2</v>
      </c>
      <c r="O2821">
        <v>6.2984499999999997E-3</v>
      </c>
      <c r="P2821">
        <v>-0.99533059999999995</v>
      </c>
      <c r="Q2821">
        <v>-4.0139750000000002E-2</v>
      </c>
      <c r="R2821">
        <v>-8.7785269999999999E-2</v>
      </c>
      <c r="S2821">
        <v>-3.0353699999999999</v>
      </c>
      <c r="T2821">
        <v>-0.24400189999999999</v>
      </c>
      <c r="U2821">
        <v>0.34255980000000003</v>
      </c>
      <c r="V2821">
        <v>-9.4102930000000001E-2</v>
      </c>
      <c r="W2821">
        <v>-2.5614499999999998E-2</v>
      </c>
      <c r="X2821">
        <v>0.99523289999999998</v>
      </c>
      <c r="Y2821">
        <v>0.105499</v>
      </c>
      <c r="Z2821">
        <v>4.5709959999999999E-3</v>
      </c>
      <c r="AA2821">
        <v>0.99440890000000004</v>
      </c>
      <c r="AB2821">
        <v>42</v>
      </c>
      <c r="AC2821">
        <v>-0.59700000000003595</v>
      </c>
      <c r="AD2821">
        <v>-6.6608999999999904E-2</v>
      </c>
      <c r="AE2821">
        <v>9.2199999999991095E-2</v>
      </c>
      <c r="AF2821">
        <v>8.7375253300108494E-2</v>
      </c>
      <c r="AG2821">
        <v>-6.6608999999999904E-2</v>
      </c>
      <c r="AH2821">
        <v>0.59039066406007301</v>
      </c>
      <c r="AI2821">
        <v>96.368215658822706</v>
      </c>
      <c r="AJ2821">
        <v>81.581580711070401</v>
      </c>
      <c r="AK2821">
        <v>0.60052671046303296</v>
      </c>
      <c r="AL2821">
        <v>91.467763282600501</v>
      </c>
      <c r="AM2821">
        <v>95.401467728377995</v>
      </c>
      <c r="AN2821">
        <v>0.99999999464362199</v>
      </c>
    </row>
    <row r="2822" spans="1:40" x14ac:dyDescent="0.25">
      <c r="A2822" t="str">
        <f>"20190305134952092"</f>
        <v>20190305134952092</v>
      </c>
      <c r="B2822" t="str">
        <f>"1551764992083739"</f>
        <v>1551764992083739</v>
      </c>
      <c r="C2822" t="s">
        <v>40</v>
      </c>
      <c r="D2822">
        <v>3.8501180000000002</v>
      </c>
      <c r="E2822">
        <v>0.59855019999999903</v>
      </c>
      <c r="F2822" t="s">
        <v>41</v>
      </c>
      <c r="G2822">
        <v>-437.00599999999997</v>
      </c>
      <c r="H2822">
        <v>1.030877</v>
      </c>
      <c r="I2822">
        <v>285.79480000000001</v>
      </c>
      <c r="J2822">
        <v>-436.34030000000001</v>
      </c>
      <c r="K2822">
        <v>1.1088929999999999</v>
      </c>
      <c r="L2822">
        <v>285.68599999999998</v>
      </c>
      <c r="M2822">
        <v>-0.99987269999999995</v>
      </c>
      <c r="N2822">
        <v>-1.4413530000000001E-2</v>
      </c>
      <c r="O2822">
        <v>6.8378669999999897E-3</v>
      </c>
      <c r="P2822">
        <v>-0.99553469999999999</v>
      </c>
      <c r="Q2822">
        <v>-4.0649350000000001E-2</v>
      </c>
      <c r="R2822">
        <v>-8.519612E-2</v>
      </c>
      <c r="S2822">
        <v>-3.0348510000000002</v>
      </c>
      <c r="T2822">
        <v>-0.244195</v>
      </c>
      <c r="U2822">
        <v>0.34707640000000001</v>
      </c>
      <c r="V2822">
        <v>-9.2053780000000002E-2</v>
      </c>
      <c r="W2822">
        <v>-2.6124519999999998E-2</v>
      </c>
      <c r="X2822">
        <v>0.9954113</v>
      </c>
      <c r="Y2822">
        <v>0.10643950000000001</v>
      </c>
      <c r="Z2822">
        <v>4.5832269999999996E-3</v>
      </c>
      <c r="AA2822">
        <v>0.99430859999999999</v>
      </c>
      <c r="AB2822">
        <v>42</v>
      </c>
      <c r="AC2822">
        <v>-0.66569999999995799</v>
      </c>
      <c r="AD2822">
        <v>-7.8016000000000002E-2</v>
      </c>
      <c r="AE2822">
        <v>0.10880000000003</v>
      </c>
      <c r="AF2822">
        <v>0.102868927502955</v>
      </c>
      <c r="AG2822">
        <v>-7.8016000000000002E-2</v>
      </c>
      <c r="AH2822">
        <v>0.65763127601482496</v>
      </c>
      <c r="AI2822">
        <v>96.684942005058204</v>
      </c>
      <c r="AJ2822">
        <v>81.109642166994703</v>
      </c>
      <c r="AK2822">
        <v>0.67018460717513895</v>
      </c>
      <c r="AL2822">
        <v>91.496995017788606</v>
      </c>
      <c r="AM2822">
        <v>95.283578912683296</v>
      </c>
      <c r="AN2822">
        <v>1.0000000225626</v>
      </c>
    </row>
    <row r="2823" spans="1:40" x14ac:dyDescent="0.25">
      <c r="A2823" t="str">
        <f>"20190305134952108"</f>
        <v>20190305134952108</v>
      </c>
      <c r="B2823" t="str">
        <f>"1551764992093498"</f>
        <v>1551764992093498</v>
      </c>
      <c r="C2823" t="s">
        <v>40</v>
      </c>
      <c r="D2823">
        <v>4.0767749999999996</v>
      </c>
      <c r="E2823">
        <v>0.59827129999999995</v>
      </c>
      <c r="F2823" t="s">
        <v>41</v>
      </c>
      <c r="G2823">
        <v>-437.31540000000001</v>
      </c>
      <c r="H2823">
        <v>0.87932069999999996</v>
      </c>
      <c r="I2823">
        <v>285.85939999999999</v>
      </c>
      <c r="J2823">
        <v>-436.62939999999998</v>
      </c>
      <c r="K2823">
        <v>1.1088819999999999</v>
      </c>
      <c r="L2823">
        <v>285.6884</v>
      </c>
      <c r="M2823">
        <v>-0.99986920000000001</v>
      </c>
      <c r="N2823">
        <v>-1.4411820000000001E-2</v>
      </c>
      <c r="O2823">
        <v>7.3510279999999999E-3</v>
      </c>
      <c r="P2823">
        <v>-0.99564490000000005</v>
      </c>
      <c r="Q2823">
        <v>-4.0822079999999997E-2</v>
      </c>
      <c r="R2823">
        <v>-8.3815870000000001E-2</v>
      </c>
      <c r="S2823">
        <v>-3.0303339999999999</v>
      </c>
      <c r="T2823">
        <v>-0.71350630000000004</v>
      </c>
      <c r="U2823">
        <v>0.5381165</v>
      </c>
      <c r="V2823">
        <v>-9.1185680000000005E-2</v>
      </c>
      <c r="W2823">
        <v>-2.6297250000000001E-2</v>
      </c>
      <c r="X2823">
        <v>0.9954866</v>
      </c>
      <c r="Y2823">
        <v>0.16316530000000001</v>
      </c>
      <c r="Z2823">
        <v>1.8419290000000001E-2</v>
      </c>
      <c r="AA2823">
        <v>0.98642680000000005</v>
      </c>
      <c r="AB2823">
        <v>42</v>
      </c>
      <c r="AC2823">
        <v>-0.68600000000003503</v>
      </c>
      <c r="AD2823">
        <v>-0.229561299999999</v>
      </c>
      <c r="AE2823">
        <v>0.17099999999999199</v>
      </c>
      <c r="AF2823">
        <v>0.15012427499178899</v>
      </c>
      <c r="AG2823">
        <v>-0.229561299999999</v>
      </c>
      <c r="AH2823">
        <v>0.62169282667635595</v>
      </c>
      <c r="AI2823">
        <v>109.74485421898299</v>
      </c>
      <c r="AJ2823">
        <v>76.424297911962896</v>
      </c>
      <c r="AK2823">
        <v>0.67951281013704101</v>
      </c>
      <c r="AL2823">
        <v>91.506895194821894</v>
      </c>
      <c r="AM2823">
        <v>95.233637209689803</v>
      </c>
      <c r="AN2823">
        <v>0.99999997218709202</v>
      </c>
    </row>
    <row r="2824" spans="1:40" x14ac:dyDescent="0.25">
      <c r="A2824" t="str">
        <f>"20190305134952122"</f>
        <v>20190305134952122</v>
      </c>
      <c r="B2824" t="str">
        <f>"1551764992113019"</f>
        <v>1551764992113019</v>
      </c>
      <c r="C2824" t="s">
        <v>40</v>
      </c>
      <c r="D2824">
        <v>3.7420930000000001</v>
      </c>
      <c r="E2824">
        <v>0.58775069999999996</v>
      </c>
      <c r="F2824" t="s">
        <v>41</v>
      </c>
      <c r="G2824">
        <v>-437.34199999999998</v>
      </c>
      <c r="H2824">
        <v>0.94326469999999996</v>
      </c>
      <c r="I2824">
        <v>285.81549999999999</v>
      </c>
      <c r="J2824">
        <v>-436.9</v>
      </c>
      <c r="K2824">
        <v>1.1088739999999999</v>
      </c>
      <c r="L2824">
        <v>285.69069999999999</v>
      </c>
      <c r="M2824">
        <v>-0.99986569999999997</v>
      </c>
      <c r="N2824">
        <v>-1.441023E-2</v>
      </c>
      <c r="O2824">
        <v>7.8317899999999999E-3</v>
      </c>
      <c r="P2824">
        <v>-0.99577839999999995</v>
      </c>
      <c r="Q2824">
        <v>-4.0868439999999999E-2</v>
      </c>
      <c r="R2824">
        <v>-8.2193479999999999E-2</v>
      </c>
      <c r="S2824">
        <v>-3.0296630000000002</v>
      </c>
      <c r="T2824">
        <v>-0.704152</v>
      </c>
      <c r="U2824">
        <v>0.53970340000000006</v>
      </c>
      <c r="V2824">
        <v>-9.0043399999999996E-2</v>
      </c>
      <c r="W2824">
        <v>-2.634417E-2</v>
      </c>
      <c r="X2824">
        <v>0.99558939999999996</v>
      </c>
      <c r="Y2824">
        <v>0.16334489999999999</v>
      </c>
      <c r="Z2824">
        <v>1.812219E-2</v>
      </c>
      <c r="AA2824">
        <v>0.98640260000000002</v>
      </c>
      <c r="AB2824">
        <v>42</v>
      </c>
      <c r="AC2824">
        <v>-0.442000000000007</v>
      </c>
      <c r="AD2824">
        <v>-0.16560929999999899</v>
      </c>
      <c r="AE2824">
        <v>0.124799999999993</v>
      </c>
      <c r="AF2824">
        <v>0.10737339810748001</v>
      </c>
      <c r="AG2824">
        <v>-0.16560929999999899</v>
      </c>
      <c r="AH2824">
        <v>0.39199631723110301</v>
      </c>
      <c r="AI2824">
        <v>112.169283042282</v>
      </c>
      <c r="AJ2824">
        <v>74.681597064988594</v>
      </c>
      <c r="AK2824">
        <v>0.43888107681966099</v>
      </c>
      <c r="AL2824">
        <v>91.509584340229495</v>
      </c>
      <c r="AM2824">
        <v>95.167902141169904</v>
      </c>
      <c r="AN2824">
        <v>1.0000000412844501</v>
      </c>
    </row>
    <row r="2825" spans="1:40" x14ac:dyDescent="0.25">
      <c r="A2825" t="str">
        <f>"20190305134952138"</f>
        <v>20190305134952138</v>
      </c>
      <c r="B2825" t="str">
        <f>"1551764992133514"</f>
        <v>1551764992133514</v>
      </c>
      <c r="C2825" t="s">
        <v>40</v>
      </c>
      <c r="D2825">
        <v>3.7286190000000001</v>
      </c>
      <c r="E2825">
        <v>0.58781830000000002</v>
      </c>
      <c r="F2825" t="s">
        <v>62</v>
      </c>
      <c r="G2825">
        <v>-485.86509999999998</v>
      </c>
      <c r="H2825" s="1">
        <v>4.6696829999999997E-6</v>
      </c>
      <c r="I2825">
        <v>292.9203</v>
      </c>
      <c r="J2825">
        <v>-437.19920000000002</v>
      </c>
      <c r="K2825">
        <v>1.108868</v>
      </c>
      <c r="L2825">
        <v>285.69349999999997</v>
      </c>
      <c r="M2825">
        <v>-0.99986129999999995</v>
      </c>
      <c r="N2825">
        <v>-1.440846E-2</v>
      </c>
      <c r="O2825">
        <v>8.3634509999999992E-3</v>
      </c>
      <c r="P2825">
        <v>-0.99600869999999997</v>
      </c>
      <c r="Q2825">
        <v>-4.0588689999999997E-2</v>
      </c>
      <c r="R2825">
        <v>-7.9495560000000007E-2</v>
      </c>
      <c r="S2825">
        <v>-3.0470579999999998</v>
      </c>
      <c r="T2825">
        <v>-6.9004060000000006E-2</v>
      </c>
      <c r="U2825">
        <v>0.44989010000000001</v>
      </c>
      <c r="V2825">
        <v>-8.7876679999999999E-2</v>
      </c>
      <c r="W2825">
        <v>-2.6065870000000001E-2</v>
      </c>
      <c r="X2825">
        <v>0.99579019999999996</v>
      </c>
      <c r="Y2825">
        <v>0.1377275</v>
      </c>
      <c r="Z2825">
        <v>2.4802719999999999E-3</v>
      </c>
      <c r="AA2825">
        <v>0.99046710000000004</v>
      </c>
      <c r="AB2825">
        <v>42</v>
      </c>
      <c r="AC2825">
        <v>-48.665899999999901</v>
      </c>
      <c r="AD2825">
        <v>-1.1088633303169999</v>
      </c>
      <c r="AE2825">
        <v>7.2268000000000203</v>
      </c>
      <c r="AF2825">
        <v>6.81602780223339</v>
      </c>
      <c r="AG2825">
        <v>-1.1088633303169999</v>
      </c>
      <c r="AH2825">
        <v>48.699907009739398</v>
      </c>
      <c r="AI2825">
        <v>91.291773626512196</v>
      </c>
      <c r="AJ2825">
        <v>82.032650296746098</v>
      </c>
      <c r="AK2825">
        <v>49.187079153405698</v>
      </c>
      <c r="AL2825">
        <v>91.493633611796696</v>
      </c>
      <c r="AM2825">
        <v>95.043184081758298</v>
      </c>
      <c r="AN2825">
        <v>0.99999993144135702</v>
      </c>
    </row>
    <row r="2826" spans="1:40" x14ac:dyDescent="0.25">
      <c r="A2826" t="str">
        <f>"20190305134952159"</f>
        <v>20190305134952159</v>
      </c>
      <c r="B2826" t="str">
        <f>"1551764992153034"</f>
        <v>1551764992153034</v>
      </c>
      <c r="C2826" t="s">
        <v>40</v>
      </c>
      <c r="D2826">
        <v>3.768869</v>
      </c>
      <c r="E2826">
        <v>0.5879219</v>
      </c>
      <c r="F2826" t="s">
        <v>62</v>
      </c>
      <c r="G2826">
        <v>-487.04160000000002</v>
      </c>
      <c r="H2826" s="1">
        <v>5.0296820000000002E-6</v>
      </c>
      <c r="I2826">
        <v>293.20069999999998</v>
      </c>
      <c r="J2826">
        <v>-437.61200000000002</v>
      </c>
      <c r="K2826">
        <v>1.108865</v>
      </c>
      <c r="L2826">
        <v>285.69760000000002</v>
      </c>
      <c r="M2826">
        <v>-0.99985489999999999</v>
      </c>
      <c r="N2826">
        <v>-1.440603E-2</v>
      </c>
      <c r="O2826">
        <v>9.0964089999999997E-3</v>
      </c>
      <c r="P2826">
        <v>-0.99621470000000001</v>
      </c>
      <c r="Q2826">
        <v>-4.0205110000000002E-2</v>
      </c>
      <c r="R2826">
        <v>-7.7071039999999993E-2</v>
      </c>
      <c r="S2826">
        <v>-3.0458980000000002</v>
      </c>
      <c r="T2826">
        <v>-6.7763329999999997E-2</v>
      </c>
      <c r="U2826">
        <v>0.45877079999999998</v>
      </c>
      <c r="V2826">
        <v>-8.6183209999999996E-2</v>
      </c>
      <c r="W2826">
        <v>-2.5683850000000001E-2</v>
      </c>
      <c r="X2826">
        <v>0.99594819999999995</v>
      </c>
      <c r="Y2826">
        <v>0.13988120000000001</v>
      </c>
      <c r="Z2826">
        <v>2.4897130000000002E-3</v>
      </c>
      <c r="AA2826">
        <v>0.99016519999999997</v>
      </c>
      <c r="AB2826">
        <v>42</v>
      </c>
      <c r="AC2826">
        <v>-49.429600000000001</v>
      </c>
      <c r="AD2826">
        <v>-1.108859970318</v>
      </c>
      <c r="AE2826">
        <v>7.5030999999999599</v>
      </c>
      <c r="AF2826">
        <v>7.0496432152105397</v>
      </c>
      <c r="AG2826">
        <v>-1.108859970318</v>
      </c>
      <c r="AH2826">
        <v>49.471477325494703</v>
      </c>
      <c r="AI2826">
        <v>91.271182691447706</v>
      </c>
      <c r="AJ2826">
        <v>81.890000189825997</v>
      </c>
      <c r="AK2826">
        <v>49.983538376774398</v>
      </c>
      <c r="AL2826">
        <v>91.471738027853405</v>
      </c>
      <c r="AM2826">
        <v>94.945703024734399</v>
      </c>
      <c r="AN2826">
        <v>1.0000000114599801</v>
      </c>
    </row>
    <row r="2827" spans="1:40" x14ac:dyDescent="0.25">
      <c r="A2827" t="str">
        <f>"20190305134952175"</f>
        <v>20190305134952175</v>
      </c>
      <c r="B2827" t="str">
        <f>"1551764992163771"</f>
        <v>1551764992163771</v>
      </c>
      <c r="C2827" t="s">
        <v>40</v>
      </c>
      <c r="D2827">
        <v>3.7160660000000001</v>
      </c>
      <c r="E2827">
        <v>0.58748469999999997</v>
      </c>
      <c r="F2827" t="s">
        <v>62</v>
      </c>
      <c r="G2827">
        <v>-491.21379999999999</v>
      </c>
      <c r="H2827" s="1">
        <v>5.7062499999999998E-6</v>
      </c>
      <c r="I2827">
        <v>293.91570000000002</v>
      </c>
      <c r="J2827">
        <v>-437.8929</v>
      </c>
      <c r="K2827">
        <v>1.1088639999999901</v>
      </c>
      <c r="L2827">
        <v>285.70060000000001</v>
      </c>
      <c r="M2827">
        <v>-0.99985020000000002</v>
      </c>
      <c r="N2827">
        <v>-1.4404399999999901E-2</v>
      </c>
      <c r="O2827">
        <v>9.5948289999999992E-3</v>
      </c>
      <c r="P2827">
        <v>-0.99633539999999998</v>
      </c>
      <c r="Q2827">
        <v>-3.9942869999999998E-2</v>
      </c>
      <c r="R2827">
        <v>-7.563338E-2</v>
      </c>
      <c r="S2827">
        <v>-3.045013</v>
      </c>
      <c r="T2827">
        <v>-6.2992220000000002E-2</v>
      </c>
      <c r="U2827">
        <v>0.46685789999999999</v>
      </c>
      <c r="V2827">
        <v>-8.5242949999999998E-2</v>
      </c>
      <c r="W2827">
        <v>-2.5422759999999999E-2</v>
      </c>
      <c r="X2827">
        <v>0.99603580000000003</v>
      </c>
      <c r="Y2827">
        <v>0.142005399999999</v>
      </c>
      <c r="Z2827">
        <v>2.429236E-3</v>
      </c>
      <c r="AA2827">
        <v>0.98986289999999999</v>
      </c>
      <c r="AB2827">
        <v>42</v>
      </c>
      <c r="AC2827">
        <v>-53.320900000000002</v>
      </c>
      <c r="AD2827">
        <v>-1.10885829374999</v>
      </c>
      <c r="AE2827">
        <v>8.2150999999999996</v>
      </c>
      <c r="AF2827">
        <v>7.6998110243087101</v>
      </c>
      <c r="AG2827">
        <v>-1.10885829374999</v>
      </c>
      <c r="AH2827">
        <v>53.374727905338197</v>
      </c>
      <c r="AI2827">
        <v>91.177956312582793</v>
      </c>
      <c r="AJ2827">
        <v>81.791171552655499</v>
      </c>
      <c r="AK2827">
        <v>53.938652518343197</v>
      </c>
      <c r="AL2827">
        <v>91.456773808930805</v>
      </c>
      <c r="AM2827">
        <v>94.891580465346905</v>
      </c>
      <c r="AN2827">
        <v>0.99999999606617995</v>
      </c>
    </row>
    <row r="2828" spans="1:40" x14ac:dyDescent="0.25">
      <c r="A2828" t="str">
        <f>"20190305134952193"</f>
        <v>20190305134952193</v>
      </c>
      <c r="B2828" t="str">
        <f>"1551764992183291"</f>
        <v>1551764992183291</v>
      </c>
      <c r="C2828" t="s">
        <v>40</v>
      </c>
      <c r="D2828">
        <v>4.0230639999999998</v>
      </c>
      <c r="E2828">
        <v>0.58796939999999998</v>
      </c>
      <c r="F2828" t="s">
        <v>62</v>
      </c>
      <c r="G2828">
        <v>-489.23390000000001</v>
      </c>
      <c r="H2828" s="1">
        <v>5.6546E-6</v>
      </c>
      <c r="I2828">
        <v>293.59339999999997</v>
      </c>
      <c r="J2828">
        <v>-438.23540000000003</v>
      </c>
      <c r="K2828">
        <v>1.108862</v>
      </c>
      <c r="L2828">
        <v>285.70429999999999</v>
      </c>
      <c r="M2828">
        <v>-0.99984430000000002</v>
      </c>
      <c r="N2828">
        <v>-1.44025E-2</v>
      </c>
      <c r="O2828">
        <v>1.020214E-2</v>
      </c>
      <c r="P2828">
        <v>-0.996479</v>
      </c>
      <c r="Q2828">
        <v>-3.9763050000000001E-2</v>
      </c>
      <c r="R2828">
        <v>-7.3815729999999996E-2</v>
      </c>
      <c r="S2828">
        <v>-3.0439449999999999</v>
      </c>
      <c r="T2828">
        <v>-6.5742850000000005E-2</v>
      </c>
      <c r="U2828">
        <v>0.4679565</v>
      </c>
      <c r="V2828">
        <v>-8.4031670000000003E-2</v>
      </c>
      <c r="W2828">
        <v>-2.524465E-2</v>
      </c>
      <c r="X2828">
        <v>0.99614329999999995</v>
      </c>
      <c r="Y2828">
        <v>0.14180179999999901</v>
      </c>
      <c r="Z2828">
        <v>2.4766800000000002E-3</v>
      </c>
      <c r="AA2828">
        <v>0.98989190000000005</v>
      </c>
      <c r="AB2828">
        <v>42</v>
      </c>
      <c r="AC2828">
        <v>-50.9984999999999</v>
      </c>
      <c r="AD2828">
        <v>-1.1088563454</v>
      </c>
      <c r="AE2828">
        <v>7.8890999999999796</v>
      </c>
      <c r="AF2828">
        <v>7.3649411315739197</v>
      </c>
      <c r="AG2828">
        <v>-1.1088563454</v>
      </c>
      <c r="AH2828">
        <v>51.052767999789303</v>
      </c>
      <c r="AI2828">
        <v>91.231512984795998</v>
      </c>
      <c r="AJ2828">
        <v>81.791067264195405</v>
      </c>
      <c r="AK2828">
        <v>51.593187929285698</v>
      </c>
      <c r="AL2828">
        <v>91.446565511867902</v>
      </c>
      <c r="AM2828">
        <v>94.821884571790804</v>
      </c>
      <c r="AN2828">
        <v>1.0000000440257399</v>
      </c>
    </row>
    <row r="2829" spans="1:40" x14ac:dyDescent="0.25">
      <c r="A2829" t="str">
        <f>"20190305134952206"</f>
        <v>20190305134952206</v>
      </c>
      <c r="B2829" t="str">
        <f>"1551764992193051"</f>
        <v>1551764992193051</v>
      </c>
      <c r="C2829" t="s">
        <v>40</v>
      </c>
      <c r="D2829">
        <v>4.002948</v>
      </c>
      <c r="E2829">
        <v>0.60173369999999904</v>
      </c>
      <c r="F2829" t="s">
        <v>62</v>
      </c>
      <c r="G2829">
        <v>-487.27449999999999</v>
      </c>
      <c r="H2829" s="1">
        <v>5.1513879999999899E-6</v>
      </c>
      <c r="I2829">
        <v>293.399</v>
      </c>
      <c r="J2829">
        <v>-438.49759999999998</v>
      </c>
      <c r="K2829">
        <v>1.1088579999999999</v>
      </c>
      <c r="L2829">
        <v>285.70740000000001</v>
      </c>
      <c r="M2829">
        <v>-0.99983940000000004</v>
      </c>
      <c r="N2829">
        <v>-1.4400939999999999E-2</v>
      </c>
      <c r="O2829">
        <v>1.0667690000000001E-2</v>
      </c>
      <c r="P2829">
        <v>-0.99655510000000003</v>
      </c>
      <c r="Q2829">
        <v>-3.9589270000000003E-2</v>
      </c>
      <c r="R2829">
        <v>-7.2873030000000005E-2</v>
      </c>
      <c r="S2829">
        <v>-3.0432429999999999</v>
      </c>
      <c r="T2829">
        <v>-6.8812970000000001E-2</v>
      </c>
      <c r="U2829">
        <v>0.4775085</v>
      </c>
      <c r="V2829">
        <v>-8.3553219999999997E-2</v>
      </c>
      <c r="W2829">
        <v>-2.5072130000000001E-2</v>
      </c>
      <c r="X2829">
        <v>0.99618790000000002</v>
      </c>
      <c r="Y2829">
        <v>0.14440339999999999</v>
      </c>
      <c r="Z2829">
        <v>2.5818989999999999E-3</v>
      </c>
      <c r="AA2829">
        <v>0.98951549999999999</v>
      </c>
      <c r="AB2829">
        <v>42</v>
      </c>
      <c r="AC2829">
        <v>-48.776899999999998</v>
      </c>
      <c r="AD2829">
        <v>-1.108852848612</v>
      </c>
      <c r="AE2829">
        <v>7.6915999999999896</v>
      </c>
      <c r="AF2829">
        <v>7.1671573441980696</v>
      </c>
      <c r="AG2829">
        <v>-1.108852848612</v>
      </c>
      <c r="AH2829">
        <v>48.831560381381003</v>
      </c>
      <c r="AI2829">
        <v>91.287047889343199</v>
      </c>
      <c r="AJ2829">
        <v>81.650141213090194</v>
      </c>
      <c r="AK2829">
        <v>49.367185339219297</v>
      </c>
      <c r="AL2829">
        <v>91.436677717337204</v>
      </c>
      <c r="AM2829">
        <v>94.794344966666699</v>
      </c>
      <c r="AN2829">
        <v>1.00000004219075</v>
      </c>
    </row>
    <row r="2830" spans="1:40" x14ac:dyDescent="0.25">
      <c r="A2830" t="str">
        <f>"20190305134952220"</f>
        <v>20190305134952220</v>
      </c>
      <c r="B2830" t="str">
        <f>"1551764992213547"</f>
        <v>1551764992213547</v>
      </c>
      <c r="C2830" t="s">
        <v>40</v>
      </c>
      <c r="D2830">
        <v>3.690026</v>
      </c>
      <c r="E2830">
        <v>0.59206759999999903</v>
      </c>
      <c r="F2830" t="s">
        <v>41</v>
      </c>
      <c r="G2830">
        <v>-439.22879999999998</v>
      </c>
      <c r="H2830">
        <v>0.93887710000000002</v>
      </c>
      <c r="I2830">
        <v>285.85210000000001</v>
      </c>
      <c r="J2830">
        <v>-438.7319</v>
      </c>
      <c r="K2830">
        <v>1.1088549999999999</v>
      </c>
      <c r="L2830">
        <v>285.71030000000002</v>
      </c>
      <c r="M2830">
        <v>-0.99983500000000003</v>
      </c>
      <c r="N2830">
        <v>-1.439943E-2</v>
      </c>
      <c r="O2830">
        <v>1.108423E-2</v>
      </c>
      <c r="P2830">
        <v>-0.99661690000000003</v>
      </c>
      <c r="Q2830">
        <v>-3.9729109999999998E-2</v>
      </c>
      <c r="R2830">
        <v>-7.1947159999999996E-2</v>
      </c>
      <c r="S2830">
        <v>-3.026154</v>
      </c>
      <c r="T2830">
        <v>-0.70347179999999998</v>
      </c>
      <c r="U2830">
        <v>0.59869380000000005</v>
      </c>
      <c r="V2830">
        <v>-8.3043699999999998E-2</v>
      </c>
      <c r="W2830">
        <v>-2.5213550000000001E-2</v>
      </c>
      <c r="X2830">
        <v>0.99622690000000003</v>
      </c>
      <c r="Y2830">
        <v>0.1785602</v>
      </c>
      <c r="Z2830">
        <v>1.9245229999999999E-2</v>
      </c>
      <c r="AA2830">
        <v>0.98374070000000002</v>
      </c>
      <c r="AB2830">
        <v>42</v>
      </c>
      <c r="AC2830">
        <v>-0.49689999999998202</v>
      </c>
      <c r="AD2830">
        <v>-0.16997789999999899</v>
      </c>
      <c r="AE2830">
        <v>0.14179999999998899</v>
      </c>
      <c r="AF2830">
        <v>0.12297634089071401</v>
      </c>
      <c r="AG2830">
        <v>-0.16997789999999899</v>
      </c>
      <c r="AH2830">
        <v>0.449773729248367</v>
      </c>
      <c r="AI2830">
        <v>110.028733512695</v>
      </c>
      <c r="AJ2830">
        <v>74.708039133954301</v>
      </c>
      <c r="AK2830">
        <v>0.496298372382242</v>
      </c>
      <c r="AL2830">
        <v>91.444783098260601</v>
      </c>
      <c r="AM2830">
        <v>94.765057692141497</v>
      </c>
      <c r="AN2830">
        <v>1.0000000077484501</v>
      </c>
    </row>
    <row r="2831" spans="1:40" x14ac:dyDescent="0.25">
      <c r="A2831" t="str">
        <f>"20190305134952233"</f>
        <v>20190305134952233</v>
      </c>
      <c r="B2831" t="str">
        <f>"1551764992223307"</f>
        <v>1551764992223307</v>
      </c>
      <c r="C2831" t="s">
        <v>40</v>
      </c>
      <c r="D2831">
        <v>3.9649239999999999</v>
      </c>
      <c r="E2831">
        <v>0.59206759999999903</v>
      </c>
      <c r="F2831" t="s">
        <v>62</v>
      </c>
      <c r="G2831">
        <v>-473.72660000000002</v>
      </c>
      <c r="H2831">
        <v>8.0001069999999994E-2</v>
      </c>
      <c r="I2831">
        <v>291.64389999999997</v>
      </c>
      <c r="J2831">
        <v>-438.98399999999998</v>
      </c>
      <c r="K2831">
        <v>1.108854</v>
      </c>
      <c r="L2831">
        <v>285.7133</v>
      </c>
      <c r="M2831">
        <v>-0.99983</v>
      </c>
      <c r="N2831">
        <v>-1.4397750000000001E-2</v>
      </c>
      <c r="O2831">
        <v>1.153265E-2</v>
      </c>
      <c r="P2831">
        <v>-0.9966815</v>
      </c>
      <c r="Q2831">
        <v>-3.9974139999999998E-2</v>
      </c>
      <c r="R2831">
        <v>-7.0911639999999998E-2</v>
      </c>
      <c r="S2831">
        <v>-3.0438839999999998</v>
      </c>
      <c r="T2831">
        <v>-8.9491009999999996E-2</v>
      </c>
      <c r="U2831">
        <v>0.5161133</v>
      </c>
      <c r="V2831">
        <v>-8.2456020000000005E-2</v>
      </c>
      <c r="W2831">
        <v>-2.5460489999999999E-2</v>
      </c>
      <c r="X2831">
        <v>0.99626939999999997</v>
      </c>
      <c r="Y2831">
        <v>0.15569179999999999</v>
      </c>
      <c r="Z2831">
        <v>3.229553E-3</v>
      </c>
      <c r="AA2831">
        <v>0.98780040000000002</v>
      </c>
      <c r="AB2831">
        <v>42</v>
      </c>
      <c r="AC2831">
        <v>-34.742599999999896</v>
      </c>
      <c r="AD2831">
        <v>-1.02885293</v>
      </c>
      <c r="AE2831">
        <v>5.9305999999999699</v>
      </c>
      <c r="AF2831">
        <v>5.5247819429118499</v>
      </c>
      <c r="AG2831">
        <v>-1.02885293</v>
      </c>
      <c r="AH2831">
        <v>34.779055218320302</v>
      </c>
      <c r="AI2831">
        <v>91.673489612562605</v>
      </c>
      <c r="AJ2831">
        <v>80.973772721705004</v>
      </c>
      <c r="AK2831">
        <v>35.2301637201315</v>
      </c>
      <c r="AL2831">
        <v>91.458936310024001</v>
      </c>
      <c r="AM2831">
        <v>94.731289256209195</v>
      </c>
      <c r="AN2831">
        <v>0.99999997458081902</v>
      </c>
    </row>
    <row r="2832" spans="1:40" x14ac:dyDescent="0.25">
      <c r="A2832" t="str">
        <f>"20190305134952245"</f>
        <v>20190305134952245</v>
      </c>
      <c r="B2832" t="str">
        <f>"1551764992233066"</f>
        <v>1551764992233066</v>
      </c>
      <c r="C2832" t="s">
        <v>40</v>
      </c>
      <c r="D2832">
        <v>3.6614200000000001</v>
      </c>
      <c r="E2832">
        <v>0.59137700000000004</v>
      </c>
      <c r="F2832" t="s">
        <v>62</v>
      </c>
      <c r="G2832">
        <v>-473.59449999999998</v>
      </c>
      <c r="H2832">
        <v>8.0001059999999999E-2</v>
      </c>
      <c r="I2832">
        <v>291.61939999999998</v>
      </c>
      <c r="J2832">
        <v>-439.2321</v>
      </c>
      <c r="K2832">
        <v>1.1088480000000001</v>
      </c>
      <c r="L2832">
        <v>285.71660000000003</v>
      </c>
      <c r="M2832">
        <v>-0.99982470000000001</v>
      </c>
      <c r="N2832">
        <v>-1.4395989999999999E-2</v>
      </c>
      <c r="O2832">
        <v>1.1973910000000001E-2</v>
      </c>
      <c r="P2832">
        <v>-0.99673429999999996</v>
      </c>
      <c r="Q2832">
        <v>-4.003251E-2</v>
      </c>
      <c r="R2832">
        <v>-7.0129769999999994E-2</v>
      </c>
      <c r="S2832">
        <v>-3.043304</v>
      </c>
      <c r="T2832">
        <v>-9.0466980000000002E-2</v>
      </c>
      <c r="U2832">
        <v>0.51931759999999905</v>
      </c>
      <c r="V2832">
        <v>-8.2114339999999994E-2</v>
      </c>
      <c r="W2832">
        <v>-2.5520649999999999E-2</v>
      </c>
      <c r="X2832">
        <v>0.99629610000000002</v>
      </c>
      <c r="Y2832">
        <v>0.15629560000000001</v>
      </c>
      <c r="Z2832">
        <v>3.2573649999999999E-3</v>
      </c>
      <c r="AA2832">
        <v>0.9877049</v>
      </c>
      <c r="AB2832">
        <v>42</v>
      </c>
      <c r="AC2832">
        <v>-34.362399999999901</v>
      </c>
      <c r="AD2832">
        <v>-1.02884694</v>
      </c>
      <c r="AE2832">
        <v>5.9027999999999503</v>
      </c>
      <c r="AF2832">
        <v>5.4861046770108599</v>
      </c>
      <c r="AG2832">
        <v>-1.02884694</v>
      </c>
      <c r="AH2832">
        <v>34.400667828098499</v>
      </c>
      <c r="AI2832">
        <v>91.691713029346602</v>
      </c>
      <c r="AJ2832">
        <v>80.938960439276599</v>
      </c>
      <c r="AK2832">
        <v>34.850564092597402</v>
      </c>
      <c r="AL2832">
        <v>91.462384316721199</v>
      </c>
      <c r="AM2832">
        <v>94.711646562316005</v>
      </c>
      <c r="AN2832">
        <v>0.99999999364263403</v>
      </c>
    </row>
    <row r="2833" spans="1:40" x14ac:dyDescent="0.25">
      <c r="A2833" t="str">
        <f>"20190305134952258"</f>
        <v>20190305134952258</v>
      </c>
      <c r="B2833" t="str">
        <f>"1551764992253608"</f>
        <v>1551764992253608</v>
      </c>
      <c r="C2833" t="s">
        <v>40</v>
      </c>
      <c r="D2833">
        <v>3.6837110000000002</v>
      </c>
      <c r="E2833">
        <v>0.59071070000000003</v>
      </c>
      <c r="F2833" t="s">
        <v>62</v>
      </c>
      <c r="G2833">
        <v>-474.23660000000001</v>
      </c>
      <c r="H2833">
        <v>8.000119E-2</v>
      </c>
      <c r="I2833">
        <v>291.65620000000001</v>
      </c>
      <c r="J2833">
        <v>-439.47190000000001</v>
      </c>
      <c r="K2833">
        <v>1.1088469999999999</v>
      </c>
      <c r="L2833">
        <v>285.71980000000002</v>
      </c>
      <c r="M2833">
        <v>-0.99981949999999997</v>
      </c>
      <c r="N2833">
        <v>-1.4394530000000001E-2</v>
      </c>
      <c r="O2833">
        <v>1.2400690000000001E-2</v>
      </c>
      <c r="P2833">
        <v>-0.99674799999999997</v>
      </c>
      <c r="Q2833">
        <v>-4.0633240000000001E-2</v>
      </c>
      <c r="R2833">
        <v>-6.9586750000000003E-2</v>
      </c>
      <c r="S2833">
        <v>-3.0425719999999998</v>
      </c>
      <c r="T2833">
        <v>-8.9426640000000002E-2</v>
      </c>
      <c r="U2833">
        <v>0.51626590000000006</v>
      </c>
      <c r="V2833">
        <v>-8.1997600000000004E-2</v>
      </c>
      <c r="W2833">
        <v>-2.612302E-2</v>
      </c>
      <c r="X2833">
        <v>0.99629009999999996</v>
      </c>
      <c r="Y2833">
        <v>0.15495320000000001</v>
      </c>
      <c r="Z2833">
        <v>3.1996640000000001E-3</v>
      </c>
      <c r="AA2833">
        <v>0.98791660000000003</v>
      </c>
      <c r="AB2833">
        <v>42</v>
      </c>
      <c r="AC2833">
        <v>-34.764699999999998</v>
      </c>
      <c r="AD2833">
        <v>-1.02884581</v>
      </c>
      <c r="AE2833">
        <v>5.9363999999999901</v>
      </c>
      <c r="AF2833">
        <v>5.5001117906038397</v>
      </c>
      <c r="AG2833">
        <v>-1.02884581</v>
      </c>
      <c r="AH2833">
        <v>34.8060286927386</v>
      </c>
      <c r="AI2833">
        <v>91.672396781105604</v>
      </c>
      <c r="AJ2833">
        <v>81.020269646927801</v>
      </c>
      <c r="AK2833">
        <v>35.252934441967099</v>
      </c>
      <c r="AL2833">
        <v>91.496909092083797</v>
      </c>
      <c r="AM2833">
        <v>94.705006428013107</v>
      </c>
      <c r="AN2833">
        <v>0.99999999096884495</v>
      </c>
    </row>
    <row r="2834" spans="1:40" x14ac:dyDescent="0.25">
      <c r="A2834" t="str">
        <f>"20190305134952271"</f>
        <v>20190305134952271</v>
      </c>
      <c r="B2834" t="str">
        <f>"1551764992263368"</f>
        <v>1551764992263368</v>
      </c>
      <c r="C2834" t="s">
        <v>40</v>
      </c>
      <c r="D2834">
        <v>3.9260640000000002</v>
      </c>
      <c r="E2834">
        <v>0.59071070000000003</v>
      </c>
      <c r="F2834" t="s">
        <v>62</v>
      </c>
      <c r="G2834">
        <v>-474.74029999999999</v>
      </c>
      <c r="H2834">
        <v>8.0001290000000003E-2</v>
      </c>
      <c r="I2834">
        <v>291.66120000000001</v>
      </c>
      <c r="J2834">
        <v>-439.71469999999999</v>
      </c>
      <c r="K2834">
        <v>1.108843</v>
      </c>
      <c r="L2834">
        <v>285.72309999999999</v>
      </c>
      <c r="M2834">
        <v>-0.99981410000000004</v>
      </c>
      <c r="N2834">
        <v>-1.439317E-2</v>
      </c>
      <c r="O2834">
        <v>1.2832700000000001E-2</v>
      </c>
      <c r="P2834">
        <v>-0.99679050000000002</v>
      </c>
      <c r="Q2834">
        <v>-4.077923E-2</v>
      </c>
      <c r="R2834">
        <v>-6.8891579999999994E-2</v>
      </c>
      <c r="S2834">
        <v>-3.0419619999999998</v>
      </c>
      <c r="T2834">
        <v>-8.8739750000000006E-2</v>
      </c>
      <c r="U2834">
        <v>0.5124512</v>
      </c>
      <c r="V2834">
        <v>-8.1733630000000002E-2</v>
      </c>
      <c r="W2834">
        <v>-2.6270499999999999E-2</v>
      </c>
      <c r="X2834">
        <v>0.99630790000000002</v>
      </c>
      <c r="Y2834">
        <v>0.15335660000000001</v>
      </c>
      <c r="Z2834">
        <v>3.1444099999999998E-3</v>
      </c>
      <c r="AA2834">
        <v>0.98816590000000004</v>
      </c>
      <c r="AB2834">
        <v>42</v>
      </c>
      <c r="AC2834">
        <v>-35.025599999999997</v>
      </c>
      <c r="AD2834">
        <v>-1.02884171</v>
      </c>
      <c r="AE2834">
        <v>5.9381000000000101</v>
      </c>
      <c r="AF2834">
        <v>5.4834922374703901</v>
      </c>
      <c r="AG2834">
        <v>-1.02884171</v>
      </c>
      <c r="AH2834">
        <v>35.069511398871903</v>
      </c>
      <c r="AI2834">
        <v>91.660255025240303</v>
      </c>
      <c r="AJ2834">
        <v>81.1131512463365</v>
      </c>
      <c r="AK2834">
        <v>35.510531284933499</v>
      </c>
      <c r="AL2834">
        <v>91.505361993449199</v>
      </c>
      <c r="AM2834">
        <v>94.689844138361707</v>
      </c>
      <c r="AN2834">
        <v>0.99999997852281797</v>
      </c>
    </row>
    <row r="2835" spans="1:40" x14ac:dyDescent="0.25">
      <c r="A2835" t="str">
        <f>"20190305134952285"</f>
        <v>20190305134952285</v>
      </c>
      <c r="B2835" t="str">
        <f>"1551764992273128"</f>
        <v>1551764992273128</v>
      </c>
      <c r="C2835" t="s">
        <v>40</v>
      </c>
      <c r="D2835">
        <v>3.9544579999999998</v>
      </c>
      <c r="E2835">
        <v>0.59617249999999999</v>
      </c>
      <c r="F2835" t="s">
        <v>62</v>
      </c>
      <c r="G2835">
        <v>-474.72989999999999</v>
      </c>
      <c r="H2835">
        <v>8.0001290000000003E-2</v>
      </c>
      <c r="I2835">
        <v>291.6465</v>
      </c>
      <c r="J2835">
        <v>-439.9769</v>
      </c>
      <c r="K2835">
        <v>1.1088420000000001</v>
      </c>
      <c r="L2835">
        <v>285.7269</v>
      </c>
      <c r="M2835">
        <v>-0.99980809999999998</v>
      </c>
      <c r="N2835">
        <v>-1.439174E-2</v>
      </c>
      <c r="O2835">
        <v>1.3299460000000001E-2</v>
      </c>
      <c r="P2835">
        <v>-0.99681419999999998</v>
      </c>
      <c r="Q2835">
        <v>-4.0745709999999997E-2</v>
      </c>
      <c r="R2835">
        <v>-6.8566230000000006E-2</v>
      </c>
      <c r="S2835">
        <v>-3.041534</v>
      </c>
      <c r="T2835">
        <v>-8.9368340000000004E-2</v>
      </c>
      <c r="U2835">
        <v>0.51452640000000005</v>
      </c>
      <c r="V2835">
        <v>-8.1873840000000003E-2</v>
      </c>
      <c r="W2835">
        <v>-2.6238129999999998E-2</v>
      </c>
      <c r="X2835">
        <v>0.99629719999999999</v>
      </c>
      <c r="Y2835">
        <v>0.15357229999999999</v>
      </c>
      <c r="Z2835">
        <v>3.155363E-3</v>
      </c>
      <c r="AA2835">
        <v>0.98813240000000002</v>
      </c>
      <c r="AB2835">
        <v>42</v>
      </c>
      <c r="AC2835">
        <v>-34.752999999999901</v>
      </c>
      <c r="AD2835">
        <v>-1.0288407100000001</v>
      </c>
      <c r="AE2835">
        <v>5.9196</v>
      </c>
      <c r="AF2835">
        <v>5.4521887284025796</v>
      </c>
      <c r="AG2835">
        <v>-1.0288407100000001</v>
      </c>
      <c r="AH2835">
        <v>34.799022779100902</v>
      </c>
      <c r="AI2835">
        <v>91.673070374077199</v>
      </c>
      <c r="AJ2835">
        <v>81.095488717253204</v>
      </c>
      <c r="AK2835">
        <v>35.23857065088</v>
      </c>
      <c r="AL2835">
        <v>91.503506750533802</v>
      </c>
      <c r="AM2835">
        <v>94.697903583342907</v>
      </c>
      <c r="AN2835">
        <v>0.99999993793503905</v>
      </c>
    </row>
    <row r="2836" spans="1:40" x14ac:dyDescent="0.25">
      <c r="A2836" t="str">
        <f>"20190305134952297"</f>
        <v>20190305134952297</v>
      </c>
      <c r="B2836" t="str">
        <f>"1551764992293624"</f>
        <v>1551764992293624</v>
      </c>
      <c r="C2836" t="s">
        <v>40</v>
      </c>
      <c r="D2836">
        <v>3.649092</v>
      </c>
      <c r="E2836">
        <v>0.58726909999999999</v>
      </c>
      <c r="F2836" t="s">
        <v>41</v>
      </c>
      <c r="G2836">
        <v>-440.73230000000001</v>
      </c>
      <c r="H2836">
        <v>0.93506900000000004</v>
      </c>
      <c r="I2836">
        <v>285.86860000000001</v>
      </c>
      <c r="J2836">
        <v>-440.19760000000002</v>
      </c>
      <c r="K2836">
        <v>1.1088420000000001</v>
      </c>
      <c r="L2836">
        <v>285.73009999999999</v>
      </c>
      <c r="M2836">
        <v>-0.99980270000000004</v>
      </c>
      <c r="N2836">
        <v>-1.439058E-2</v>
      </c>
      <c r="O2836">
        <v>1.3692599999999999E-2</v>
      </c>
      <c r="P2836">
        <v>-0.99681819999999999</v>
      </c>
      <c r="Q2836">
        <v>-4.0671619999999999E-2</v>
      </c>
      <c r="R2836">
        <v>-6.8553950000000002E-2</v>
      </c>
      <c r="S2836">
        <v>-3.0201419999999999</v>
      </c>
      <c r="T2836">
        <v>-0.69471959999999999</v>
      </c>
      <c r="U2836">
        <v>0.56649780000000005</v>
      </c>
      <c r="V2836">
        <v>-8.2253110000000004E-2</v>
      </c>
      <c r="W2836">
        <v>-2.6164730000000001E-2</v>
      </c>
      <c r="X2836">
        <v>0.99626800000000004</v>
      </c>
      <c r="Y2836">
        <v>0.16670299999999999</v>
      </c>
      <c r="Z2836">
        <v>1.7105390000000002E-2</v>
      </c>
      <c r="AA2836">
        <v>0.98585880000000004</v>
      </c>
      <c r="AB2836">
        <v>42</v>
      </c>
      <c r="AC2836">
        <v>-0.53469999999998596</v>
      </c>
      <c r="AD2836">
        <v>-0.17377300000000001</v>
      </c>
      <c r="AE2836">
        <v>0.138500000000021</v>
      </c>
      <c r="AF2836">
        <v>0.119351557406984</v>
      </c>
      <c r="AG2836">
        <v>-0.17377300000000001</v>
      </c>
      <c r="AH2836">
        <v>0.48822281458712302</v>
      </c>
      <c r="AI2836">
        <v>109.07274560386401</v>
      </c>
      <c r="AJ2836">
        <v>76.262823337282299</v>
      </c>
      <c r="AK2836">
        <v>0.53179259722926298</v>
      </c>
      <c r="AL2836">
        <v>91.4992996314122</v>
      </c>
      <c r="AM2836">
        <v>94.719705635934403</v>
      </c>
      <c r="AN2836">
        <v>1.0000000475123201</v>
      </c>
    </row>
    <row r="2837" spans="1:40" x14ac:dyDescent="0.25">
      <c r="A2837" t="str">
        <f>"20190305134952311"</f>
        <v>20190305134952311</v>
      </c>
      <c r="B2837" t="str">
        <f>"1551764992303385"</f>
        <v>1551764992303385</v>
      </c>
      <c r="C2837" t="s">
        <v>40</v>
      </c>
      <c r="D2837">
        <v>3.9371309999999999</v>
      </c>
      <c r="E2837">
        <v>0.58726909999999999</v>
      </c>
      <c r="F2837" t="s">
        <v>62</v>
      </c>
      <c r="G2837">
        <v>-474.43150000000003</v>
      </c>
      <c r="H2837">
        <v>8.0001260000000005E-2</v>
      </c>
      <c r="I2837">
        <v>291.23079999999999</v>
      </c>
      <c r="J2837">
        <v>-440.4502</v>
      </c>
      <c r="K2837">
        <v>1.108843</v>
      </c>
      <c r="L2837">
        <v>285.73390000000001</v>
      </c>
      <c r="M2837">
        <v>-0.99979660000000004</v>
      </c>
      <c r="N2837">
        <v>-1.4389290000000001E-2</v>
      </c>
      <c r="O2837">
        <v>1.4142429999999999E-2</v>
      </c>
      <c r="P2837">
        <v>-0.99683730000000004</v>
      </c>
      <c r="Q2837">
        <v>-4.073222E-2</v>
      </c>
      <c r="R2837">
        <v>-6.8241070000000001E-2</v>
      </c>
      <c r="S2837">
        <v>-3.0394290000000002</v>
      </c>
      <c r="T2837">
        <v>-9.1344830000000002E-2</v>
      </c>
      <c r="U2837">
        <v>0.4883728</v>
      </c>
      <c r="V2837">
        <v>-8.238885E-2</v>
      </c>
      <c r="W2837">
        <v>-2.6226470000000002E-2</v>
      </c>
      <c r="X2837">
        <v>0.99625509999999995</v>
      </c>
      <c r="Y2837">
        <v>0.14457059999999999</v>
      </c>
      <c r="Z2837">
        <v>2.9854040000000001E-3</v>
      </c>
      <c r="AA2837">
        <v>0.98948999999999998</v>
      </c>
      <c r="AB2837">
        <v>42</v>
      </c>
      <c r="AC2837">
        <v>-33.981299999999997</v>
      </c>
      <c r="AD2837">
        <v>-1.0288417400000001</v>
      </c>
      <c r="AE2837">
        <v>5.4968999999999797</v>
      </c>
      <c r="AF2837">
        <v>5.0112457379931001</v>
      </c>
      <c r="AG2837">
        <v>-1.0288417400000001</v>
      </c>
      <c r="AH2837">
        <v>34.025253535472501</v>
      </c>
      <c r="AI2837">
        <v>91.713485593892599</v>
      </c>
      <c r="AJ2837">
        <v>81.621699506340093</v>
      </c>
      <c r="AK2837">
        <v>34.407687764883299</v>
      </c>
      <c r="AL2837">
        <v>91.502838377512902</v>
      </c>
      <c r="AM2837">
        <v>94.727520096722898</v>
      </c>
      <c r="AN2837">
        <v>0.99999998730449602</v>
      </c>
    </row>
    <row r="2838" spans="1:40" x14ac:dyDescent="0.25">
      <c r="A2838" t="str">
        <f>"20190305134952326"</f>
        <v>20190305134952326</v>
      </c>
      <c r="B2838" t="str">
        <f>"1551764992313145"</f>
        <v>1551764992313145</v>
      </c>
      <c r="C2838" t="s">
        <v>40</v>
      </c>
      <c r="D2838">
        <v>3.6609210000000001</v>
      </c>
      <c r="E2838">
        <v>0.58714820000000001</v>
      </c>
      <c r="F2838" t="s">
        <v>62</v>
      </c>
      <c r="G2838">
        <v>-474.4529</v>
      </c>
      <c r="H2838">
        <v>8.0001260000000005E-2</v>
      </c>
      <c r="I2838">
        <v>291.20929999999998</v>
      </c>
      <c r="J2838">
        <v>-440.76369999999997</v>
      </c>
      <c r="K2838">
        <v>1.1088480000000001</v>
      </c>
      <c r="L2838">
        <v>285.73880000000003</v>
      </c>
      <c r="M2838">
        <v>-0.99978860000000003</v>
      </c>
      <c r="N2838">
        <v>-1.4387520000000001E-2</v>
      </c>
      <c r="O2838">
        <v>1.470139E-2</v>
      </c>
      <c r="P2838">
        <v>-0.99680089999999999</v>
      </c>
      <c r="Q2838">
        <v>-4.0321509999999998E-2</v>
      </c>
      <c r="R2838">
        <v>-6.9009719999999997E-2</v>
      </c>
      <c r="S2838">
        <v>-3.0392760000000001</v>
      </c>
      <c r="T2838">
        <v>-9.1961379999999995E-2</v>
      </c>
      <c r="U2838">
        <v>0.48941040000000002</v>
      </c>
      <c r="V2838">
        <v>-8.3712209999999995E-2</v>
      </c>
      <c r="W2838">
        <v>-2.581613E-2</v>
      </c>
      <c r="X2838">
        <v>0.99615549999999997</v>
      </c>
      <c r="Y2838">
        <v>0.1443536</v>
      </c>
      <c r="Z2838">
        <v>2.9834039999999998E-3</v>
      </c>
      <c r="AA2838">
        <v>0.98952169999999895</v>
      </c>
      <c r="AB2838">
        <v>42</v>
      </c>
      <c r="AC2838">
        <v>-33.6892</v>
      </c>
      <c r="AD2838">
        <v>-1.0288467400000001</v>
      </c>
      <c r="AE2838">
        <v>5.4704999999999497</v>
      </c>
      <c r="AF2838">
        <v>4.9700631701142903</v>
      </c>
      <c r="AG2838">
        <v>-1.0288467400000001</v>
      </c>
      <c r="AH2838">
        <v>33.7353356271609</v>
      </c>
      <c r="AI2838">
        <v>91.728199415299898</v>
      </c>
      <c r="AJ2838">
        <v>81.6191784359265</v>
      </c>
      <c r="AK2838">
        <v>34.114995579752403</v>
      </c>
      <c r="AL2838">
        <v>91.479319654122406</v>
      </c>
      <c r="AM2838">
        <v>94.803580783586298</v>
      </c>
      <c r="AN2838">
        <v>0.99999999342575496</v>
      </c>
    </row>
    <row r="2839" spans="1:40" x14ac:dyDescent="0.25">
      <c r="A2839" t="str">
        <f>"20190305134952345"</f>
        <v>20190305134952345</v>
      </c>
      <c r="B2839" t="str">
        <f>"1551764992333640"</f>
        <v>1551764992333640</v>
      </c>
      <c r="C2839" t="s">
        <v>40</v>
      </c>
      <c r="D2839">
        <v>3.8797139999999999</v>
      </c>
      <c r="E2839">
        <v>0.59797159999999905</v>
      </c>
      <c r="F2839" t="s">
        <v>62</v>
      </c>
      <c r="G2839">
        <v>-475.79520000000002</v>
      </c>
      <c r="H2839">
        <v>8.0001399999999903E-2</v>
      </c>
      <c r="I2839">
        <v>291.34050000000002</v>
      </c>
      <c r="J2839">
        <v>-441.08589999999998</v>
      </c>
      <c r="K2839">
        <v>1.1088549999999999</v>
      </c>
      <c r="L2839">
        <v>285.74400000000003</v>
      </c>
      <c r="M2839">
        <v>-0.99977990000000005</v>
      </c>
      <c r="N2839">
        <v>-1.438593E-2</v>
      </c>
      <c r="O2839">
        <v>1.5276069999999999E-2</v>
      </c>
      <c r="P2839">
        <v>-0.99679859999999998</v>
      </c>
      <c r="Q2839">
        <v>-4.0153170000000002E-2</v>
      </c>
      <c r="R2839">
        <v>-6.9138580000000005E-2</v>
      </c>
      <c r="S2839">
        <v>-3.0396730000000001</v>
      </c>
      <c r="T2839">
        <v>-8.9272619999999997E-2</v>
      </c>
      <c r="U2839">
        <v>0.48605350000000003</v>
      </c>
      <c r="V2839">
        <v>-8.4413660000000001E-2</v>
      </c>
      <c r="W2839">
        <v>-2.564868E-2</v>
      </c>
      <c r="X2839">
        <v>0.99610069999999995</v>
      </c>
      <c r="Y2839">
        <v>0.14270459999999999</v>
      </c>
      <c r="Z2839">
        <v>2.8880780000000001E-3</v>
      </c>
      <c r="AA2839">
        <v>0.98976109999999995</v>
      </c>
      <c r="AB2839">
        <v>42</v>
      </c>
      <c r="AC2839">
        <v>-34.709299999999999</v>
      </c>
      <c r="AD2839">
        <v>-1.0288535999999999</v>
      </c>
      <c r="AE2839">
        <v>5.59649999999999</v>
      </c>
      <c r="AF2839">
        <v>5.0612359387664902</v>
      </c>
      <c r="AG2839">
        <v>-1.0288535999999999</v>
      </c>
      <c r="AH2839">
        <v>34.760981667688803</v>
      </c>
      <c r="AI2839">
        <v>91.677662927478195</v>
      </c>
      <c r="AJ2839">
        <v>81.715886345457903</v>
      </c>
      <c r="AK2839">
        <v>35.142573830889098</v>
      </c>
      <c r="AL2839">
        <v>91.4697221959876</v>
      </c>
      <c r="AM2839">
        <v>94.843905940438404</v>
      </c>
      <c r="AN2839">
        <v>1.00000006266041</v>
      </c>
    </row>
    <row r="2840" spans="1:40" x14ac:dyDescent="0.25">
      <c r="A2840" t="str">
        <f>"20190305134952361"</f>
        <v>20190305134952361</v>
      </c>
      <c r="B2840" t="str">
        <f>"1551764992353160"</f>
        <v>1551764992353160</v>
      </c>
      <c r="C2840" t="s">
        <v>40</v>
      </c>
      <c r="D2840">
        <v>3.9116089999999999</v>
      </c>
      <c r="E2840">
        <v>0.59837209999999996</v>
      </c>
      <c r="F2840" t="s">
        <v>41</v>
      </c>
      <c r="G2840">
        <v>-441.85649999999998</v>
      </c>
      <c r="H2840">
        <v>0.93078369999999999</v>
      </c>
      <c r="I2840">
        <v>285.89190000000002</v>
      </c>
      <c r="J2840">
        <v>-441.3981</v>
      </c>
      <c r="K2840">
        <v>1.1088690000000001</v>
      </c>
      <c r="L2840">
        <v>285.74930000000001</v>
      </c>
      <c r="M2840">
        <v>-0.99977139999999998</v>
      </c>
      <c r="N2840">
        <v>-1.438408E-2</v>
      </c>
      <c r="O2840">
        <v>1.5831560000000001E-2</v>
      </c>
      <c r="P2840">
        <v>-0.99675329999999995</v>
      </c>
      <c r="Q2840">
        <v>-3.875721E-2</v>
      </c>
      <c r="R2840">
        <v>-7.0575739999999998E-2</v>
      </c>
      <c r="S2840">
        <v>-3.0216059999999998</v>
      </c>
      <c r="T2840">
        <v>-0.6982273</v>
      </c>
      <c r="U2840">
        <v>0.57806400000000002</v>
      </c>
      <c r="V2840">
        <v>-8.6399530000000002E-2</v>
      </c>
      <c r="W2840">
        <v>-2.4252369999999999E-2</v>
      </c>
      <c r="X2840">
        <v>0.9959654</v>
      </c>
      <c r="Y2840">
        <v>0.1681281</v>
      </c>
      <c r="Z2840">
        <v>1.688825E-2</v>
      </c>
      <c r="AA2840">
        <v>0.98562050000000001</v>
      </c>
      <c r="AB2840">
        <v>42</v>
      </c>
      <c r="AC2840">
        <v>-0.45839999999998299</v>
      </c>
      <c r="AD2840">
        <v>-0.1780853</v>
      </c>
      <c r="AE2840">
        <v>0.14260000000001499</v>
      </c>
      <c r="AF2840">
        <v>0.118954797123243</v>
      </c>
      <c r="AG2840">
        <v>-0.1780853</v>
      </c>
      <c r="AH2840">
        <v>0.40488416866786803</v>
      </c>
      <c r="AI2840">
        <v>112.880042501888</v>
      </c>
      <c r="AJ2840">
        <v>73.627234268217606</v>
      </c>
      <c r="AK2840">
        <v>0.45803472343545398</v>
      </c>
      <c r="AL2840">
        <v>91.389694604791202</v>
      </c>
      <c r="AM2840">
        <v>94.957969748955094</v>
      </c>
      <c r="AN2840">
        <v>1.0000000671159901</v>
      </c>
    </row>
    <row r="2841" spans="1:40" x14ac:dyDescent="0.25">
      <c r="A2841" t="str">
        <f>"20190305134952377"</f>
        <v>20190305134952377</v>
      </c>
      <c r="B2841" t="str">
        <f>"1551764992362920"</f>
        <v>1551764992362920</v>
      </c>
      <c r="C2841" t="s">
        <v>40</v>
      </c>
      <c r="D2841">
        <v>3.9080400000000002</v>
      </c>
      <c r="E2841">
        <v>0.59837719999999905</v>
      </c>
      <c r="F2841" t="s">
        <v>41</v>
      </c>
      <c r="G2841">
        <v>-442.22629999999998</v>
      </c>
      <c r="H2841">
        <v>0.919404</v>
      </c>
      <c r="I2841">
        <v>285.90750000000003</v>
      </c>
      <c r="J2841">
        <v>-441.69490000000002</v>
      </c>
      <c r="K2841">
        <v>1.108881</v>
      </c>
      <c r="L2841">
        <v>285.75439999999998</v>
      </c>
      <c r="M2841">
        <v>-0.9997627</v>
      </c>
      <c r="N2841">
        <v>-1.4382199999999999E-2</v>
      </c>
      <c r="O2841">
        <v>1.6356929999999999E-2</v>
      </c>
      <c r="P2841">
        <v>-0.99675480000000005</v>
      </c>
      <c r="Q2841">
        <v>-3.8114660000000002E-2</v>
      </c>
      <c r="R2841">
        <v>-7.0900420000000006E-2</v>
      </c>
      <c r="S2841">
        <v>-3.0237120000000002</v>
      </c>
      <c r="T2841">
        <v>-0.69162109999999899</v>
      </c>
      <c r="U2841">
        <v>0.57684329999999995</v>
      </c>
      <c r="V2841">
        <v>-8.7246190000000001E-2</v>
      </c>
      <c r="W2841">
        <v>-2.3611139999999999E-2</v>
      </c>
      <c r="X2841">
        <v>0.99590690000000004</v>
      </c>
      <c r="Y2841">
        <v>0.1672158</v>
      </c>
      <c r="Z2841">
        <v>1.6516800000000002E-2</v>
      </c>
      <c r="AA2841">
        <v>0.98578200000000005</v>
      </c>
      <c r="AB2841">
        <v>42</v>
      </c>
      <c r="AC2841">
        <v>-0.53139999999996201</v>
      </c>
      <c r="AD2841">
        <v>-0.18947699999999901</v>
      </c>
      <c r="AE2841">
        <v>0.153100000000051</v>
      </c>
      <c r="AF2841">
        <v>0.12921742464264299</v>
      </c>
      <c r="AG2841">
        <v>-0.18947699999999901</v>
      </c>
      <c r="AH2841">
        <v>0.477749354726685</v>
      </c>
      <c r="AI2841">
        <v>110.94919401840799</v>
      </c>
      <c r="AJ2841">
        <v>74.865266358983007</v>
      </c>
      <c r="AK2841">
        <v>0.52994633907787403</v>
      </c>
      <c r="AL2841">
        <v>91.352944441844699</v>
      </c>
      <c r="AM2841">
        <v>95.006601531157898</v>
      </c>
      <c r="AN2841">
        <v>0.99999996853461204</v>
      </c>
    </row>
    <row r="2842" spans="1:40" x14ac:dyDescent="0.25">
      <c r="A2842" t="str">
        <f>"20190305134952391"</f>
        <v>20190305134952391</v>
      </c>
      <c r="B2842" t="str">
        <f>"1551764992383416"</f>
        <v>1551764992383416</v>
      </c>
      <c r="C2842" t="s">
        <v>40</v>
      </c>
      <c r="D2842">
        <v>3.8350029999999999</v>
      </c>
      <c r="E2842">
        <v>0.59837719999999905</v>
      </c>
      <c r="F2842" t="s">
        <v>41</v>
      </c>
      <c r="G2842">
        <v>-442.59460000000001</v>
      </c>
      <c r="H2842">
        <v>0.90396829999999995</v>
      </c>
      <c r="I2842">
        <v>285.92610000000002</v>
      </c>
      <c r="J2842">
        <v>-441.95209999999997</v>
      </c>
      <c r="K2842">
        <v>1.108889</v>
      </c>
      <c r="L2842">
        <v>285.75900000000001</v>
      </c>
      <c r="M2842">
        <v>-0.99975539999999996</v>
      </c>
      <c r="N2842">
        <v>-1.438062E-2</v>
      </c>
      <c r="O2842">
        <v>1.6808610000000002E-2</v>
      </c>
      <c r="P2842">
        <v>-0.99675230000000004</v>
      </c>
      <c r="Q2842">
        <v>-3.7385000000000002E-2</v>
      </c>
      <c r="R2842">
        <v>-7.1325169999999993E-2</v>
      </c>
      <c r="S2842">
        <v>-3.024384</v>
      </c>
      <c r="T2842">
        <v>-0.68881179999999997</v>
      </c>
      <c r="U2842">
        <v>0.57592769999999904</v>
      </c>
      <c r="V2842">
        <v>-8.8119059999999999E-2</v>
      </c>
      <c r="W2842">
        <v>-2.2882699999999999E-2</v>
      </c>
      <c r="X2842">
        <v>0.99584709999999999</v>
      </c>
      <c r="Y2842">
        <v>0.16650400000000001</v>
      </c>
      <c r="Z2842">
        <v>1.627522E-2</v>
      </c>
      <c r="AA2842">
        <v>0.98590650000000002</v>
      </c>
      <c r="AB2842">
        <v>42</v>
      </c>
      <c r="AC2842">
        <v>-0.64250000000004004</v>
      </c>
      <c r="AD2842">
        <v>-0.20492070000000001</v>
      </c>
      <c r="AE2842">
        <v>0.167100000000004</v>
      </c>
      <c r="AF2842">
        <v>0.142681125899737</v>
      </c>
      <c r="AG2842">
        <v>-0.20492070000000001</v>
      </c>
      <c r="AH2842">
        <v>0.58908991267579702</v>
      </c>
      <c r="AI2842">
        <v>108.67959669173401</v>
      </c>
      <c r="AJ2842">
        <v>76.384814682169306</v>
      </c>
      <c r="AK2842">
        <v>0.63982600931259803</v>
      </c>
      <c r="AL2842">
        <v>91.311196556706804</v>
      </c>
      <c r="AM2842">
        <v>95.056734632287601</v>
      </c>
      <c r="AN2842">
        <v>1.00000001663649</v>
      </c>
    </row>
    <row r="2843" spans="1:40" x14ac:dyDescent="0.25">
      <c r="A2843" t="str">
        <f>"20190305134952403"</f>
        <v>20190305134952403</v>
      </c>
      <c r="B2843" t="str">
        <f>"1551764992393176"</f>
        <v>1551764992393176</v>
      </c>
      <c r="C2843" t="s">
        <v>40</v>
      </c>
      <c r="D2843">
        <v>3.7966440000000001</v>
      </c>
      <c r="E2843">
        <v>0.53322389999999997</v>
      </c>
      <c r="F2843" t="s">
        <v>41</v>
      </c>
      <c r="G2843">
        <v>-442.95920000000001</v>
      </c>
      <c r="H2843">
        <v>0.88037359999999898</v>
      </c>
      <c r="I2843">
        <v>285.95060000000001</v>
      </c>
      <c r="J2843">
        <v>-442.20710000000003</v>
      </c>
      <c r="K2843">
        <v>1.1088990000000001</v>
      </c>
      <c r="L2843">
        <v>285.7636</v>
      </c>
      <c r="M2843">
        <v>-0.99974799999999997</v>
      </c>
      <c r="N2843">
        <v>-1.4379090000000001E-2</v>
      </c>
      <c r="O2843">
        <v>1.7246529999999999E-2</v>
      </c>
      <c r="P2843">
        <v>-0.99673630000000002</v>
      </c>
      <c r="Q2843">
        <v>-3.6844170000000002E-2</v>
      </c>
      <c r="R2843">
        <v>-7.1831989999999998E-2</v>
      </c>
      <c r="S2843">
        <v>-3.0251160000000001</v>
      </c>
      <c r="T2843">
        <v>-0.68637539999999997</v>
      </c>
      <c r="U2843">
        <v>0.57501219999999997</v>
      </c>
      <c r="V2843">
        <v>-8.9059369999999999E-2</v>
      </c>
      <c r="W2843">
        <v>-2.23439E-2</v>
      </c>
      <c r="X2843">
        <v>0.99577559999999998</v>
      </c>
      <c r="Y2843">
        <v>0.165797</v>
      </c>
      <c r="Z2843">
        <v>1.6046060000000001E-2</v>
      </c>
      <c r="AA2843">
        <v>0.9860293</v>
      </c>
      <c r="AB2843">
        <v>42</v>
      </c>
      <c r="AC2843">
        <v>-0.752099999999984</v>
      </c>
      <c r="AD2843">
        <v>-0.22852539999999999</v>
      </c>
      <c r="AE2843">
        <v>0.18700000000001099</v>
      </c>
      <c r="AF2843">
        <v>0.160080794090394</v>
      </c>
      <c r="AG2843">
        <v>-0.22852539999999999</v>
      </c>
      <c r="AH2843">
        <v>0.69480100356748498</v>
      </c>
      <c r="AI2843">
        <v>107.77121652884</v>
      </c>
      <c r="AJ2843">
        <v>77.025576816359205</v>
      </c>
      <c r="AK2843">
        <v>0.74873102890167098</v>
      </c>
      <c r="AL2843">
        <v>91.2803178012893</v>
      </c>
      <c r="AM2843">
        <v>95.110775327683001</v>
      </c>
      <c r="AN2843">
        <v>0.99999993340368099</v>
      </c>
    </row>
    <row r="2844" spans="1:40" x14ac:dyDescent="0.25">
      <c r="A2844" t="str">
        <f>"20190305134952417"</f>
        <v>20190305134952417</v>
      </c>
      <c r="B2844" t="str">
        <f>"1551764992413672"</f>
        <v>1551764992413672</v>
      </c>
      <c r="C2844" t="s">
        <v>40</v>
      </c>
      <c r="D2844">
        <v>3.659284</v>
      </c>
      <c r="E2844">
        <v>0.51806549999999996</v>
      </c>
      <c r="F2844" t="s">
        <v>62</v>
      </c>
      <c r="G2844">
        <v>-472.81529999999998</v>
      </c>
      <c r="H2844" s="1">
        <v>5.509194E-6</v>
      </c>
      <c r="I2844">
        <v>286.25839999999999</v>
      </c>
      <c r="J2844">
        <v>-442.43270000000001</v>
      </c>
      <c r="K2844">
        <v>1.108911</v>
      </c>
      <c r="L2844">
        <v>285.76780000000002</v>
      </c>
      <c r="M2844">
        <v>-0.99974130000000005</v>
      </c>
      <c r="N2844">
        <v>-1.437774E-2</v>
      </c>
      <c r="O2844">
        <v>1.762522E-2</v>
      </c>
      <c r="P2844">
        <v>-0.99669339999999995</v>
      </c>
      <c r="Q2844">
        <v>-3.604984E-2</v>
      </c>
      <c r="R2844">
        <v>-7.2818809999999998E-2</v>
      </c>
      <c r="S2844">
        <v>-3.0093380000000001</v>
      </c>
      <c r="T2844">
        <v>-0.109024</v>
      </c>
      <c r="U2844">
        <v>4.8645019999999997E-2</v>
      </c>
      <c r="V2844">
        <v>-9.0420749999999994E-2</v>
      </c>
      <c r="W2844">
        <v>-2.155162E-2</v>
      </c>
      <c r="X2844">
        <v>0.99567039999999996</v>
      </c>
      <c r="Y2844">
        <v>-1.4591329999999901E-3</v>
      </c>
      <c r="Z2844">
        <v>-4.2177829999999998E-4</v>
      </c>
      <c r="AA2844">
        <v>0.99999890000000002</v>
      </c>
      <c r="AB2844">
        <v>42</v>
      </c>
      <c r="AC2844">
        <v>-30.382599999999901</v>
      </c>
      <c r="AD2844">
        <v>-1.1089054908060001</v>
      </c>
      <c r="AE2844">
        <v>0.490599999999972</v>
      </c>
      <c r="AF2844">
        <v>-4.4971689803274401E-2</v>
      </c>
      <c r="AG2844">
        <v>-1.1089054908060001</v>
      </c>
      <c r="AH2844">
        <v>30.346113590778</v>
      </c>
      <c r="AI2844">
        <v>92.092764772356205</v>
      </c>
      <c r="AJ2844">
        <v>90.084909921966897</v>
      </c>
      <c r="AK2844">
        <v>30.366400904697699</v>
      </c>
      <c r="AL2844">
        <v>91.234912520722304</v>
      </c>
      <c r="AM2844">
        <v>95.189021690120796</v>
      </c>
      <c r="AN2844">
        <v>0.999999964895672</v>
      </c>
    </row>
    <row r="2845" spans="1:40" x14ac:dyDescent="0.25">
      <c r="A2845" t="str">
        <f>"20190305134952433"</f>
        <v>20190305134952433</v>
      </c>
      <c r="B2845" t="str">
        <f>"1551764992423433"</f>
        <v>1551764992423433</v>
      </c>
      <c r="C2845" t="s">
        <v>40</v>
      </c>
      <c r="D2845">
        <v>3.8965230000000002</v>
      </c>
      <c r="E2845">
        <v>0.50578639999999997</v>
      </c>
      <c r="F2845" t="s">
        <v>74</v>
      </c>
      <c r="G2845">
        <v>-464.79270000000002</v>
      </c>
      <c r="H2845" s="1">
        <v>9.8752480000000004E-7</v>
      </c>
      <c r="I2845">
        <v>285.21420000000001</v>
      </c>
      <c r="J2845">
        <v>-442.74220000000003</v>
      </c>
      <c r="K2845">
        <v>1.1089310000000001</v>
      </c>
      <c r="L2845">
        <v>285.77370000000002</v>
      </c>
      <c r="M2845">
        <v>-0.99973239999999997</v>
      </c>
      <c r="N2845">
        <v>-1.4375890000000001E-2</v>
      </c>
      <c r="O2845">
        <v>1.81253E-2</v>
      </c>
      <c r="P2845">
        <v>-0.99671359999999998</v>
      </c>
      <c r="Q2845">
        <v>-3.5702129999999999E-2</v>
      </c>
      <c r="R2845">
        <v>-7.2715189999999999E-2</v>
      </c>
      <c r="S2845">
        <v>-2.9991460000000001</v>
      </c>
      <c r="T2845">
        <v>-0.14873810000000001</v>
      </c>
      <c r="U2845">
        <v>-7.4249270000000006E-2</v>
      </c>
      <c r="V2845">
        <v>-9.0813569999999996E-2</v>
      </c>
      <c r="W2845">
        <v>-2.1209570000000001E-2</v>
      </c>
      <c r="X2845">
        <v>0.99564200000000003</v>
      </c>
      <c r="Y2845">
        <v>-4.2787720000000001E-2</v>
      </c>
      <c r="Z2845">
        <v>-2.0058430000000002E-3</v>
      </c>
      <c r="AA2845">
        <v>0.99908209999999997</v>
      </c>
      <c r="AB2845">
        <v>42</v>
      </c>
      <c r="AC2845">
        <v>-22.0505</v>
      </c>
      <c r="AD2845">
        <v>-1.1089300124752</v>
      </c>
      <c r="AE2845">
        <v>-0.55950000000001399</v>
      </c>
      <c r="AF2845">
        <v>-0.95670321736421504</v>
      </c>
      <c r="AG2845">
        <v>-1.1089300124752</v>
      </c>
      <c r="AH2845">
        <v>21.9811771976693</v>
      </c>
      <c r="AI2845">
        <v>92.885343509342405</v>
      </c>
      <c r="AJ2845">
        <v>92.492154220762401</v>
      </c>
      <c r="AK2845">
        <v>22.029915065973899</v>
      </c>
      <c r="AL2845">
        <v>91.215310009863501</v>
      </c>
      <c r="AM2845">
        <v>95.211588623593499</v>
      </c>
      <c r="AN2845">
        <v>0.99999997125986395</v>
      </c>
    </row>
    <row r="2846" spans="1:40" x14ac:dyDescent="0.25">
      <c r="A2846" t="str">
        <f>"20190305134952450"</f>
        <v>20190305134952450</v>
      </c>
      <c r="B2846" t="str">
        <f>"1551764992442953"</f>
        <v>1551764992442953</v>
      </c>
      <c r="C2846" t="s">
        <v>40</v>
      </c>
      <c r="D2846">
        <v>3.7879879999999999</v>
      </c>
      <c r="E2846">
        <v>0.49859569999999998</v>
      </c>
      <c r="F2846" t="s">
        <v>74</v>
      </c>
      <c r="G2846">
        <v>-469.11360000000002</v>
      </c>
      <c r="H2846" s="1">
        <v>3.3286109999999999E-6</v>
      </c>
      <c r="I2846">
        <v>284.26</v>
      </c>
      <c r="J2846">
        <v>-443.06810000000002</v>
      </c>
      <c r="K2846">
        <v>1.1089629999999999</v>
      </c>
      <c r="L2846">
        <v>285.77999999999997</v>
      </c>
      <c r="M2846">
        <v>-0.99972360000000005</v>
      </c>
      <c r="N2846">
        <v>-1.437392E-2</v>
      </c>
      <c r="O2846">
        <v>1.8613020000000001E-2</v>
      </c>
      <c r="P2846">
        <v>-0.99671750000000003</v>
      </c>
      <c r="Q2846">
        <v>-3.5790549999999997E-2</v>
      </c>
      <c r="R2846">
        <v>-7.2620950000000004E-2</v>
      </c>
      <c r="S2846">
        <v>-2.9928279999999998</v>
      </c>
      <c r="T2846">
        <v>-0.12584960000000001</v>
      </c>
      <c r="U2846">
        <v>-0.171783399999999</v>
      </c>
      <c r="V2846">
        <v>-9.1203640000000002E-2</v>
      </c>
      <c r="W2846">
        <v>-2.130686E-2</v>
      </c>
      <c r="X2846">
        <v>0.9956043</v>
      </c>
      <c r="Y2846">
        <v>-7.5781699999999994E-2</v>
      </c>
      <c r="Z2846">
        <v>-2.6512839999999998E-3</v>
      </c>
      <c r="AA2846">
        <v>0.99712089999999998</v>
      </c>
      <c r="AB2846">
        <v>42</v>
      </c>
      <c r="AC2846">
        <v>-26.045500000000001</v>
      </c>
      <c r="AD2846">
        <v>-1.108959671389</v>
      </c>
      <c r="AE2846">
        <v>-1.51999999999998</v>
      </c>
      <c r="AF2846">
        <v>-2.00095688821879</v>
      </c>
      <c r="AG2846">
        <v>-1.108959671389</v>
      </c>
      <c r="AH2846">
        <v>25.965779562744</v>
      </c>
      <c r="AI2846">
        <v>92.438310605493299</v>
      </c>
      <c r="AJ2846">
        <v>94.406578634885093</v>
      </c>
      <c r="AK2846">
        <v>26.066363925992601</v>
      </c>
      <c r="AL2846">
        <v>91.220885536160296</v>
      </c>
      <c r="AM2846">
        <v>95.234046902047197</v>
      </c>
      <c r="AN2846">
        <v>1.00000000420539</v>
      </c>
    </row>
    <row r="2847" spans="1:40" x14ac:dyDescent="0.25">
      <c r="A2847" t="str">
        <f>"20190305134952473"</f>
        <v>20190305134952473</v>
      </c>
      <c r="B2847" t="str">
        <f>"1551764992463449"</f>
        <v>1551764992463449</v>
      </c>
      <c r="C2847" t="s">
        <v>40</v>
      </c>
      <c r="D2847">
        <v>3.8090600000000001</v>
      </c>
      <c r="E2847">
        <v>0.49379719999999999</v>
      </c>
      <c r="F2847" t="s">
        <v>62</v>
      </c>
      <c r="G2847">
        <v>-476.71769999999998</v>
      </c>
      <c r="H2847" s="1">
        <v>3.5113530000000001E-6</v>
      </c>
      <c r="I2847">
        <v>283.20080000000002</v>
      </c>
      <c r="J2847">
        <v>-443.47919999999999</v>
      </c>
      <c r="K2847">
        <v>1.1090199999999999</v>
      </c>
      <c r="L2847">
        <v>285.78809999999999</v>
      </c>
      <c r="M2847">
        <v>-0.99971350000000003</v>
      </c>
      <c r="N2847">
        <v>-1.4371139999999999E-2</v>
      </c>
      <c r="O2847">
        <v>1.91454E-2</v>
      </c>
      <c r="P2847">
        <v>-0.99671540000000003</v>
      </c>
      <c r="Q2847">
        <v>-3.625602E-2</v>
      </c>
      <c r="R2847">
        <v>-7.2414270000000003E-2</v>
      </c>
      <c r="S2847">
        <v>-2.9896850000000001</v>
      </c>
      <c r="T2847">
        <v>-9.8528500000000005E-2</v>
      </c>
      <c r="U2847">
        <v>-0.22915650000000001</v>
      </c>
      <c r="V2847">
        <v>-9.1524069999999999E-2</v>
      </c>
      <c r="W2847">
        <v>-2.1788979999999999E-2</v>
      </c>
      <c r="X2847">
        <v>0.99556449999999996</v>
      </c>
      <c r="Y2847">
        <v>-9.5424850000000006E-2</v>
      </c>
      <c r="Z2847">
        <v>-2.6119569999999998E-3</v>
      </c>
      <c r="AA2847">
        <v>0.99543320000000002</v>
      </c>
      <c r="AB2847">
        <v>42</v>
      </c>
      <c r="AC2847">
        <v>-33.238499999999902</v>
      </c>
      <c r="AD2847">
        <v>-1.109016488647</v>
      </c>
      <c r="AE2847">
        <v>-2.5872999999999702</v>
      </c>
      <c r="AF2847">
        <v>-3.2196929878287701</v>
      </c>
      <c r="AG2847">
        <v>-1.109016488647</v>
      </c>
      <c r="AH2847">
        <v>33.146188654614598</v>
      </c>
      <c r="AI2847">
        <v>91.907336408901799</v>
      </c>
      <c r="AJ2847">
        <v>95.548085312059399</v>
      </c>
      <c r="AK2847">
        <v>33.320656698739697</v>
      </c>
      <c r="AL2847">
        <v>91.248515342595994</v>
      </c>
      <c r="AM2847">
        <v>95.252542053024698</v>
      </c>
      <c r="AN2847">
        <v>1.0000000443495201</v>
      </c>
    </row>
    <row r="2848" spans="1:40" x14ac:dyDescent="0.25">
      <c r="A2848" t="str">
        <f>"20190305134952489"</f>
        <v>20190305134952489</v>
      </c>
      <c r="B2848" t="str">
        <f>"1551764992482969"</f>
        <v>1551764992482969</v>
      </c>
      <c r="C2848" t="s">
        <v>40</v>
      </c>
      <c r="D2848">
        <v>3.8202250000000002</v>
      </c>
      <c r="E2848">
        <v>0.49031049999999998</v>
      </c>
      <c r="F2848" t="s">
        <v>62</v>
      </c>
      <c r="G2848">
        <v>-477.82889999999998</v>
      </c>
      <c r="H2848" s="1">
        <v>2.9764660000000001E-6</v>
      </c>
      <c r="I2848">
        <v>282.71949999999998</v>
      </c>
      <c r="J2848">
        <v>-443.79750000000001</v>
      </c>
      <c r="K2848">
        <v>1.1090799999999901</v>
      </c>
      <c r="L2848">
        <v>285.79450000000003</v>
      </c>
      <c r="M2848">
        <v>-0.99970689999999995</v>
      </c>
      <c r="N2848">
        <v>-1.436893E-2</v>
      </c>
      <c r="O2848">
        <v>1.9491499999999998E-2</v>
      </c>
      <c r="P2848">
        <v>-0.99674079999999998</v>
      </c>
      <c r="Q2848">
        <v>-3.6355709999999999E-2</v>
      </c>
      <c r="R2848">
        <v>-7.2016590000000005E-2</v>
      </c>
      <c r="S2848">
        <v>-2.9870299999999999</v>
      </c>
      <c r="T2848">
        <v>-9.6439479999999994E-2</v>
      </c>
      <c r="U2848">
        <v>-0.26684570000000002</v>
      </c>
      <c r="V2848">
        <v>-9.1468770000000005E-2</v>
      </c>
      <c r="W2848">
        <v>-2.1904960000000001E-2</v>
      </c>
      <c r="X2848">
        <v>0.99556699999999998</v>
      </c>
      <c r="Y2848">
        <v>-0.1082955</v>
      </c>
      <c r="Z2848">
        <v>-2.872772E-3</v>
      </c>
      <c r="AA2848">
        <v>0.99411459999999996</v>
      </c>
      <c r="AB2848">
        <v>42</v>
      </c>
      <c r="AC2848">
        <v>-34.031399999999898</v>
      </c>
      <c r="AD2848">
        <v>-1.109077023534</v>
      </c>
      <c r="AE2848">
        <v>-3.0750000000000401</v>
      </c>
      <c r="AF2848">
        <v>-3.7338735138619499</v>
      </c>
      <c r="AG2848">
        <v>-1.109077023534</v>
      </c>
      <c r="AH2848">
        <v>33.929246645927499</v>
      </c>
      <c r="AI2848">
        <v>91.860987028271893</v>
      </c>
      <c r="AJ2848">
        <v>96.280062141884997</v>
      </c>
      <c r="AK2848">
        <v>34.152095707611103</v>
      </c>
      <c r="AL2848">
        <v>91.255162139697404</v>
      </c>
      <c r="AM2848">
        <v>95.249373027856706</v>
      </c>
      <c r="AN2848">
        <v>1.0000000073234501</v>
      </c>
    </row>
    <row r="2849" spans="1:40" x14ac:dyDescent="0.25">
      <c r="A2849" t="str">
        <f>"20190305134952503"</f>
        <v>20190305134952503</v>
      </c>
      <c r="B2849" t="str">
        <f>"1551764992493705"</f>
        <v>1551764992493705</v>
      </c>
      <c r="C2849" t="s">
        <v>40</v>
      </c>
      <c r="D2849">
        <v>3.7868119999999998</v>
      </c>
      <c r="E2849">
        <v>0.48910160000000003</v>
      </c>
      <c r="F2849" t="s">
        <v>62</v>
      </c>
      <c r="G2849">
        <v>-483.59100000000001</v>
      </c>
      <c r="H2849" s="1">
        <v>2.6037589999999999E-6</v>
      </c>
      <c r="I2849">
        <v>281.8827</v>
      </c>
      <c r="J2849">
        <v>-444.05540000000002</v>
      </c>
      <c r="K2849">
        <v>1.1091409999999999</v>
      </c>
      <c r="L2849">
        <v>285.79969999999997</v>
      </c>
      <c r="M2849">
        <v>-0.99970270000000006</v>
      </c>
      <c r="N2849">
        <v>-1.436714E-2</v>
      </c>
      <c r="O2849">
        <v>1.9703020000000002E-2</v>
      </c>
      <c r="P2849">
        <v>-0.9967608</v>
      </c>
      <c r="Q2849">
        <v>-3.644679E-2</v>
      </c>
      <c r="R2849">
        <v>-7.169122E-2</v>
      </c>
      <c r="S2849">
        <v>-2.985535</v>
      </c>
      <c r="T2849">
        <v>-8.3209160000000004E-2</v>
      </c>
      <c r="U2849">
        <v>-0.29348750000000001</v>
      </c>
      <c r="V2849">
        <v>-9.1350829999999994E-2</v>
      </c>
      <c r="W2849">
        <v>-2.201179E-2</v>
      </c>
      <c r="X2849">
        <v>0.99557549999999995</v>
      </c>
      <c r="Y2849">
        <v>-0.11735279999999999</v>
      </c>
      <c r="Z2849">
        <v>-2.7419269999999999E-3</v>
      </c>
      <c r="AA2849">
        <v>0.99308649999999998</v>
      </c>
      <c r="AB2849">
        <v>42</v>
      </c>
      <c r="AC2849">
        <v>-39.535599999999903</v>
      </c>
      <c r="AD2849">
        <v>-1.109138396241</v>
      </c>
      <c r="AE2849">
        <v>-3.9169999999999701</v>
      </c>
      <c r="AF2849">
        <v>-4.6916339499075503</v>
      </c>
      <c r="AG2849">
        <v>-1.109138396241</v>
      </c>
      <c r="AH2849">
        <v>39.420015533530297</v>
      </c>
      <c r="AI2849">
        <v>91.600384439478603</v>
      </c>
      <c r="AJ2849">
        <v>96.787218888997501</v>
      </c>
      <c r="AK2849">
        <v>39.713716040754903</v>
      </c>
      <c r="AL2849">
        <v>91.261284489539705</v>
      </c>
      <c r="AM2849">
        <v>95.242597706267404</v>
      </c>
      <c r="AN2849">
        <v>1.00000003462047</v>
      </c>
    </row>
    <row r="2850" spans="1:40" x14ac:dyDescent="0.25">
      <c r="A2850" t="str">
        <f>"20190305134952517"</f>
        <v>20190305134952517</v>
      </c>
      <c r="B2850" t="str">
        <f>"1551764992513224"</f>
        <v>1551764992513224</v>
      </c>
      <c r="C2850" t="s">
        <v>40</v>
      </c>
      <c r="D2850">
        <v>3.7962690000000001</v>
      </c>
      <c r="E2850">
        <v>0.48728139999999998</v>
      </c>
      <c r="F2850" t="s">
        <v>62</v>
      </c>
      <c r="G2850">
        <v>-485.15429999999998</v>
      </c>
      <c r="H2850" s="1">
        <v>2.8596640000000002E-6</v>
      </c>
      <c r="I2850">
        <v>281.63799999999998</v>
      </c>
      <c r="J2850">
        <v>-444.2962</v>
      </c>
      <c r="K2850">
        <v>1.109205</v>
      </c>
      <c r="L2850">
        <v>285.80459999999999</v>
      </c>
      <c r="M2850">
        <v>-0.99969969999999997</v>
      </c>
      <c r="N2850">
        <v>-1.436544E-2</v>
      </c>
      <c r="O2850">
        <v>1.9857260000000002E-2</v>
      </c>
      <c r="P2850">
        <v>-0.99676330000000002</v>
      </c>
      <c r="Q2850">
        <v>-3.6583770000000002E-2</v>
      </c>
      <c r="R2850">
        <v>-7.1584220000000004E-2</v>
      </c>
      <c r="S2850">
        <v>-2.985077</v>
      </c>
      <c r="T2850">
        <v>-8.0558299999999999E-2</v>
      </c>
      <c r="U2850">
        <v>-0.30227659999999901</v>
      </c>
      <c r="V2850">
        <v>-9.139419E-2</v>
      </c>
      <c r="W2850">
        <v>-2.2164989999999999E-2</v>
      </c>
      <c r="X2850">
        <v>0.99556809999999996</v>
      </c>
      <c r="Y2850">
        <v>-0.1204175</v>
      </c>
      <c r="Z2850">
        <v>-2.7379000000000001E-3</v>
      </c>
      <c r="AA2850">
        <v>0.99271960000000004</v>
      </c>
      <c r="AB2850">
        <v>42</v>
      </c>
      <c r="AC2850">
        <v>-40.858099999999901</v>
      </c>
      <c r="AD2850">
        <v>-1.109202140336</v>
      </c>
      <c r="AE2850">
        <v>-4.1666000000000096</v>
      </c>
      <c r="AF2850">
        <v>-4.9735640876543004</v>
      </c>
      <c r="AG2850">
        <v>-1.109202140336</v>
      </c>
      <c r="AH2850">
        <v>40.737581939644002</v>
      </c>
      <c r="AI2850">
        <v>91.548173322043496</v>
      </c>
      <c r="AJ2850">
        <v>96.960671381920605</v>
      </c>
      <c r="AK2850">
        <v>41.055051472520901</v>
      </c>
      <c r="AL2850">
        <v>91.270064371915097</v>
      </c>
      <c r="AM2850">
        <v>95.245111017140601</v>
      </c>
      <c r="AN2850">
        <v>1.00000001324253</v>
      </c>
    </row>
    <row r="2851" spans="1:40" x14ac:dyDescent="0.25">
      <c r="A2851" t="str">
        <f>"20190305134952532"</f>
        <v>20190305134952532</v>
      </c>
      <c r="B2851" t="str">
        <f>"1551764992522985"</f>
        <v>1551764992522985</v>
      </c>
      <c r="C2851" t="s">
        <v>40</v>
      </c>
      <c r="D2851">
        <v>3.777628</v>
      </c>
      <c r="E2851">
        <v>0.48667369999999999</v>
      </c>
      <c r="F2851" t="s">
        <v>62</v>
      </c>
      <c r="G2851">
        <v>-486.45679999999999</v>
      </c>
      <c r="H2851" s="1">
        <v>3.0641660000000001E-6</v>
      </c>
      <c r="I2851">
        <v>281.33440000000002</v>
      </c>
      <c r="J2851">
        <v>-444.589</v>
      </c>
      <c r="K2851">
        <v>1.109286</v>
      </c>
      <c r="L2851">
        <v>285.81049999999999</v>
      </c>
      <c r="M2851">
        <v>-0.99969719999999995</v>
      </c>
      <c r="N2851">
        <v>-1.436338E-2</v>
      </c>
      <c r="O2851">
        <v>1.997964E-2</v>
      </c>
      <c r="P2851">
        <v>-0.99675340000000001</v>
      </c>
      <c r="Q2851">
        <v>-3.7273470000000003E-2</v>
      </c>
      <c r="R2851">
        <v>-7.1369279999999993E-2</v>
      </c>
      <c r="S2851">
        <v>-2.9841609999999998</v>
      </c>
      <c r="T2851">
        <v>-7.8510170000000004E-2</v>
      </c>
      <c r="U2851">
        <v>-0.31640629999999997</v>
      </c>
      <c r="V2851">
        <v>-9.1296840000000004E-2</v>
      </c>
      <c r="W2851">
        <v>-2.287672E-2</v>
      </c>
      <c r="X2851">
        <v>0.99556089999999997</v>
      </c>
      <c r="Y2851">
        <v>-0.12521889999999999</v>
      </c>
      <c r="Z2851">
        <v>-2.782479E-3</v>
      </c>
      <c r="AA2851">
        <v>0.99212520000000004</v>
      </c>
      <c r="AB2851">
        <v>42</v>
      </c>
      <c r="AC2851">
        <v>-41.867799999999903</v>
      </c>
      <c r="AD2851">
        <v>-1.109282935834</v>
      </c>
      <c r="AE2851">
        <v>-4.4760999999999704</v>
      </c>
      <c r="AF2851">
        <v>-5.3081121306091203</v>
      </c>
      <c r="AG2851">
        <v>-1.109282935834</v>
      </c>
      <c r="AH2851">
        <v>41.7410306067964</v>
      </c>
      <c r="AI2851">
        <v>91.510141633108006</v>
      </c>
      <c r="AJ2851">
        <v>97.247274556291998</v>
      </c>
      <c r="AK2851">
        <v>42.091806793488502</v>
      </c>
      <c r="AL2851">
        <v>91.3108538843547</v>
      </c>
      <c r="AM2851">
        <v>95.239592896352093</v>
      </c>
      <c r="AN2851">
        <v>0.99999998146037605</v>
      </c>
    </row>
    <row r="2852" spans="1:40" x14ac:dyDescent="0.25">
      <c r="A2852" t="str">
        <f>"20190305134952551"</f>
        <v>20190305134952551</v>
      </c>
      <c r="B2852" t="str">
        <f>"1551764992543480"</f>
        <v>1551764992543480</v>
      </c>
      <c r="C2852" t="s">
        <v>40</v>
      </c>
      <c r="D2852">
        <v>3.7771650000000001</v>
      </c>
      <c r="E2852">
        <v>0.48548590000000003</v>
      </c>
      <c r="F2852" t="s">
        <v>62</v>
      </c>
      <c r="G2852">
        <v>-486.62139999999999</v>
      </c>
      <c r="H2852" s="1">
        <v>3.0896539999999998E-6</v>
      </c>
      <c r="I2852">
        <v>281.29199999999997</v>
      </c>
      <c r="J2852">
        <v>-444.94499999999999</v>
      </c>
      <c r="K2852">
        <v>1.1093999999999999</v>
      </c>
      <c r="L2852">
        <v>285.8177</v>
      </c>
      <c r="M2852">
        <v>-0.99969680000000005</v>
      </c>
      <c r="N2852">
        <v>-1.436115E-2</v>
      </c>
      <c r="O2852">
        <v>2.0006590000000001E-2</v>
      </c>
      <c r="P2852">
        <v>-0.99669079999999999</v>
      </c>
      <c r="Q2852">
        <v>-3.8605199999999999E-2</v>
      </c>
      <c r="R2852">
        <v>-7.1536820000000001E-2</v>
      </c>
      <c r="S2852">
        <v>-2.9838559999999998</v>
      </c>
      <c r="T2852">
        <v>-7.8747269999999994E-2</v>
      </c>
      <c r="U2852">
        <v>-0.32077030000000001</v>
      </c>
      <c r="V2852">
        <v>-9.1484250000000003E-2</v>
      </c>
      <c r="W2852">
        <v>-2.4238200000000001E-2</v>
      </c>
      <c r="X2852">
        <v>0.99551149999999999</v>
      </c>
      <c r="Y2852">
        <v>-0.12668969999999999</v>
      </c>
      <c r="Z2852">
        <v>-2.8193390000000001E-3</v>
      </c>
      <c r="AA2852">
        <v>0.9919384</v>
      </c>
      <c r="AB2852">
        <v>42</v>
      </c>
      <c r="AC2852">
        <v>-41.676400000000001</v>
      </c>
      <c r="AD2852">
        <v>-1.109396910346</v>
      </c>
      <c r="AE2852">
        <v>-4.5256999999999703</v>
      </c>
      <c r="AF2852">
        <v>-5.3549323316184099</v>
      </c>
      <c r="AG2852">
        <v>-1.109396910346</v>
      </c>
      <c r="AH2852">
        <v>41.548405956986699</v>
      </c>
      <c r="AI2852">
        <v>91.516967558924506</v>
      </c>
      <c r="AJ2852">
        <v>97.344034033677602</v>
      </c>
      <c r="AK2852">
        <v>41.906754817659902</v>
      </c>
      <c r="AL2852">
        <v>91.388882574701896</v>
      </c>
      <c r="AM2852">
        <v>95.250547524478705</v>
      </c>
      <c r="AN2852">
        <v>1.0000000024847699</v>
      </c>
    </row>
    <row r="2853" spans="1:40" x14ac:dyDescent="0.25">
      <c r="A2853" t="str">
        <f>"20190305134952572"</f>
        <v>20190305134952572</v>
      </c>
      <c r="B2853" t="str">
        <f>"1551764992563000"</f>
        <v>1551764992563000</v>
      </c>
      <c r="C2853" t="s">
        <v>40</v>
      </c>
      <c r="D2853">
        <v>3.8413979999999999</v>
      </c>
      <c r="E2853">
        <v>0.48452460000000003</v>
      </c>
      <c r="F2853" t="s">
        <v>62</v>
      </c>
      <c r="G2853">
        <v>-485.8553</v>
      </c>
      <c r="H2853" s="1">
        <v>2.9530150000000001E-6</v>
      </c>
      <c r="I2853">
        <v>281.28339999999997</v>
      </c>
      <c r="J2853">
        <v>-445.34899999999999</v>
      </c>
      <c r="K2853">
        <v>1.10954</v>
      </c>
      <c r="L2853">
        <v>285.82569999999998</v>
      </c>
      <c r="M2853">
        <v>-0.99969920000000001</v>
      </c>
      <c r="N2853">
        <v>-1.4358879999999999E-2</v>
      </c>
      <c r="O2853">
        <v>1.9881159999999998E-2</v>
      </c>
      <c r="P2853">
        <v>-0.99655130000000003</v>
      </c>
      <c r="Q2853">
        <v>-3.990088E-2</v>
      </c>
      <c r="R2853">
        <v>-7.2754899999999997E-2</v>
      </c>
      <c r="S2853">
        <v>-2.983063</v>
      </c>
      <c r="T2853">
        <v>-8.0894110000000005E-2</v>
      </c>
      <c r="U2853">
        <v>-0.33062740000000002</v>
      </c>
      <c r="V2853">
        <v>-9.2566759999999998E-2</v>
      </c>
      <c r="W2853">
        <v>-2.5570079999999999E-2</v>
      </c>
      <c r="X2853">
        <v>0.99537810000000004</v>
      </c>
      <c r="Y2853">
        <v>-0.12982669999999999</v>
      </c>
      <c r="Z2853">
        <v>-2.9428359999999999E-3</v>
      </c>
      <c r="AA2853">
        <v>0.99153230000000003</v>
      </c>
      <c r="AB2853">
        <v>42</v>
      </c>
      <c r="AC2853">
        <v>-40.506300000000003</v>
      </c>
      <c r="AD2853">
        <v>-1.1095370469850001</v>
      </c>
      <c r="AE2853">
        <v>-4.5423000000000098</v>
      </c>
      <c r="AF2853">
        <v>-5.34283834160144</v>
      </c>
      <c r="AG2853">
        <v>-1.1095370469850001</v>
      </c>
      <c r="AH2853">
        <v>40.378057115807898</v>
      </c>
      <c r="AI2853">
        <v>91.560423810968999</v>
      </c>
      <c r="AJ2853">
        <v>97.537609512512304</v>
      </c>
      <c r="AK2853">
        <v>40.745116154584302</v>
      </c>
      <c r="AL2853">
        <v>91.465217365257402</v>
      </c>
      <c r="AM2853">
        <v>95.313030418008296</v>
      </c>
      <c r="AN2853">
        <v>0.99999999800385697</v>
      </c>
    </row>
    <row r="2854" spans="1:40" x14ac:dyDescent="0.25">
      <c r="A2854" t="str">
        <f>"20190305134952587"</f>
        <v>20190305134952587</v>
      </c>
      <c r="B2854" t="str">
        <f>"1551764992583496"</f>
        <v>1551764992583496</v>
      </c>
      <c r="C2854" t="s">
        <v>40</v>
      </c>
      <c r="D2854">
        <v>3.8352040000000001</v>
      </c>
      <c r="E2854">
        <v>0.48371960000000003</v>
      </c>
      <c r="F2854" t="s">
        <v>62</v>
      </c>
      <c r="G2854">
        <v>-484.78919999999999</v>
      </c>
      <c r="H2854" s="1">
        <v>2.7653750000000002E-6</v>
      </c>
      <c r="I2854">
        <v>281.30029999999999</v>
      </c>
      <c r="J2854">
        <v>-445.62139999999999</v>
      </c>
      <c r="K2854">
        <v>1.109634</v>
      </c>
      <c r="L2854">
        <v>285.83100000000002</v>
      </c>
      <c r="M2854">
        <v>-0.9997026</v>
      </c>
      <c r="N2854">
        <v>-1.4357440000000001E-2</v>
      </c>
      <c r="O2854">
        <v>1.971359E-2</v>
      </c>
      <c r="P2854">
        <v>-0.99643519999999997</v>
      </c>
      <c r="Q2854">
        <v>-4.0407899999999997E-2</v>
      </c>
      <c r="R2854">
        <v>-7.4056209999999997E-2</v>
      </c>
      <c r="S2854">
        <v>-2.982056</v>
      </c>
      <c r="T2854">
        <v>-8.3891629999999995E-2</v>
      </c>
      <c r="U2854">
        <v>-0.3421631</v>
      </c>
      <c r="V2854">
        <v>-9.3692200000000003E-2</v>
      </c>
      <c r="W2854">
        <v>-2.6102569999999999E-2</v>
      </c>
      <c r="X2854">
        <v>0.995259</v>
      </c>
      <c r="Y2854">
        <v>-0.13347679999999901</v>
      </c>
      <c r="Z2854">
        <v>-3.1034080000000002E-3</v>
      </c>
      <c r="AA2854">
        <v>0.99104709999999996</v>
      </c>
      <c r="AB2854">
        <v>42</v>
      </c>
      <c r="AC2854">
        <v>-39.1678</v>
      </c>
      <c r="AD2854">
        <v>-1.1096312346249999</v>
      </c>
      <c r="AE2854">
        <v>-4.5306999999999604</v>
      </c>
      <c r="AF2854">
        <v>-5.2978409836691602</v>
      </c>
      <c r="AG2854">
        <v>-1.1096312346249999</v>
      </c>
      <c r="AH2854">
        <v>39.039941594923498</v>
      </c>
      <c r="AI2854">
        <v>91.613299078458198</v>
      </c>
      <c r="AJ2854">
        <v>97.728007526416306</v>
      </c>
      <c r="AK2854">
        <v>39.413391636601602</v>
      </c>
      <c r="AL2854">
        <v>91.495736943099004</v>
      </c>
      <c r="AM2854">
        <v>95.377890327120994</v>
      </c>
      <c r="AN2854">
        <v>1.00000002479122</v>
      </c>
    </row>
    <row r="2855" spans="1:40" x14ac:dyDescent="0.25">
      <c r="A2855" t="str">
        <f>"20190305134952600"</f>
        <v>20190305134952600</v>
      </c>
      <c r="B2855" t="str">
        <f>"1551764992593256"</f>
        <v>1551764992593256</v>
      </c>
      <c r="C2855" t="s">
        <v>40</v>
      </c>
      <c r="D2855">
        <v>3.8368120000000001</v>
      </c>
      <c r="E2855">
        <v>0.4834271</v>
      </c>
      <c r="F2855" t="s">
        <v>62</v>
      </c>
      <c r="G2855">
        <v>-484.79050000000001</v>
      </c>
      <c r="H2855" s="1">
        <v>2.7567510000000001E-6</v>
      </c>
      <c r="I2855">
        <v>281.19900000000001</v>
      </c>
      <c r="J2855">
        <v>-445.85019999999997</v>
      </c>
      <c r="K2855">
        <v>1.109723</v>
      </c>
      <c r="L2855">
        <v>285.83539999999999</v>
      </c>
      <c r="M2855">
        <v>-0.99970669999999995</v>
      </c>
      <c r="N2855">
        <v>-1.4356290000000001E-2</v>
      </c>
      <c r="O2855">
        <v>1.9504770000000001E-2</v>
      </c>
      <c r="P2855">
        <v>-0.996336</v>
      </c>
      <c r="Q2855">
        <v>-4.0611050000000003E-2</v>
      </c>
      <c r="R2855">
        <v>-7.5268860000000007E-2</v>
      </c>
      <c r="S2855">
        <v>-2.9811100000000001</v>
      </c>
      <c r="T2855">
        <v>-8.4452630000000001E-2</v>
      </c>
      <c r="U2855">
        <v>-0.35253909999999899</v>
      </c>
      <c r="V2855">
        <v>-9.4689620000000002E-2</v>
      </c>
      <c r="W2855">
        <v>-2.6327679999999999E-2</v>
      </c>
      <c r="X2855">
        <v>0.99515869999999995</v>
      </c>
      <c r="Y2855">
        <v>-0.13670499999999999</v>
      </c>
      <c r="Z2855">
        <v>-3.1860059999999999E-3</v>
      </c>
      <c r="AA2855">
        <v>0.99060669999999995</v>
      </c>
      <c r="AB2855">
        <v>42</v>
      </c>
      <c r="AC2855">
        <v>-38.940300000000001</v>
      </c>
      <c r="AD2855">
        <v>-1.1097202432490001</v>
      </c>
      <c r="AE2855">
        <v>-4.6363999999999796</v>
      </c>
      <c r="AF2855">
        <v>-5.3908008121945397</v>
      </c>
      <c r="AG2855">
        <v>-1.1097202432490001</v>
      </c>
      <c r="AH2855">
        <v>38.811369892137499</v>
      </c>
      <c r="AI2855">
        <v>91.622227214240496</v>
      </c>
      <c r="AJ2855">
        <v>97.907644663648796</v>
      </c>
      <c r="AK2855">
        <v>39.199676597127102</v>
      </c>
      <c r="AL2855">
        <v>91.508639185059593</v>
      </c>
      <c r="AM2855">
        <v>95.435345262984498</v>
      </c>
      <c r="AN2855">
        <v>1.0000000545278001</v>
      </c>
    </row>
    <row r="2856" spans="1:40" x14ac:dyDescent="0.25">
      <c r="A2856" t="str">
        <f>"20190305134952618"</f>
        <v>20190305134952618</v>
      </c>
      <c r="B2856" t="str">
        <f>"1551764992612776"</f>
        <v>1551764992612776</v>
      </c>
      <c r="C2856" t="s">
        <v>40</v>
      </c>
      <c r="D2856">
        <v>3.8282080000000001</v>
      </c>
      <c r="E2856">
        <v>0.48287770000000002</v>
      </c>
      <c r="F2856" t="s">
        <v>62</v>
      </c>
      <c r="G2856">
        <v>-484.96440000000001</v>
      </c>
      <c r="H2856" s="1">
        <v>2.7817139999999999E-6</v>
      </c>
      <c r="I2856">
        <v>281.13159999999999</v>
      </c>
      <c r="J2856">
        <v>-446.17899999999997</v>
      </c>
      <c r="K2856">
        <v>1.1098619999999999</v>
      </c>
      <c r="L2856">
        <v>285.84160000000003</v>
      </c>
      <c r="M2856">
        <v>-0.99971399999999999</v>
      </c>
      <c r="N2856">
        <v>-1.435466E-2</v>
      </c>
      <c r="O2856">
        <v>1.9130169999999998E-2</v>
      </c>
      <c r="P2856">
        <v>-0.99617610000000001</v>
      </c>
      <c r="Q2856">
        <v>-4.0173109999999998E-2</v>
      </c>
      <c r="R2856">
        <v>-7.7583979999999997E-2</v>
      </c>
      <c r="S2856">
        <v>-2.980499</v>
      </c>
      <c r="T2856">
        <v>-8.4560389999999999E-2</v>
      </c>
      <c r="U2856">
        <v>-0.358429</v>
      </c>
      <c r="V2856">
        <v>-9.6620849999999994E-2</v>
      </c>
      <c r="W2856">
        <v>-2.5923439999999999E-2</v>
      </c>
      <c r="X2856">
        <v>0.99498359999999997</v>
      </c>
      <c r="Y2856">
        <v>-0.138286299999999</v>
      </c>
      <c r="Z2856">
        <v>-3.217962E-3</v>
      </c>
      <c r="AA2856">
        <v>0.99038709999999996</v>
      </c>
      <c r="AB2856">
        <v>42</v>
      </c>
      <c r="AC2856">
        <v>-38.785399999999903</v>
      </c>
      <c r="AD2856">
        <v>-1.1098592182860001</v>
      </c>
      <c r="AE2856">
        <v>-4.7100000000000302</v>
      </c>
      <c r="AF2856">
        <v>-5.4467903783477301</v>
      </c>
      <c r="AG2856">
        <v>-1.1098592182860001</v>
      </c>
      <c r="AH2856">
        <v>38.656994599910703</v>
      </c>
      <c r="AI2856">
        <v>91.628458501876594</v>
      </c>
      <c r="AJ2856">
        <v>98.020207897352606</v>
      </c>
      <c r="AK2856">
        <v>39.0546097715443</v>
      </c>
      <c r="AL2856">
        <v>91.4854701295219</v>
      </c>
      <c r="AM2856">
        <v>95.546486796202601</v>
      </c>
      <c r="AN2856">
        <v>0.99999998883255803</v>
      </c>
    </row>
    <row r="2857" spans="1:40" x14ac:dyDescent="0.25">
      <c r="A2857" t="str">
        <f>"20190305134952633"</f>
        <v>20190305134952633</v>
      </c>
      <c r="B2857" t="str">
        <f>"1551764992623512"</f>
        <v>1551764992623512</v>
      </c>
      <c r="C2857" t="s">
        <v>40</v>
      </c>
      <c r="D2857">
        <v>3.8374779999999999</v>
      </c>
      <c r="E2857">
        <v>0.482651</v>
      </c>
      <c r="F2857" t="s">
        <v>62</v>
      </c>
      <c r="G2857">
        <v>-486.36239999999998</v>
      </c>
      <c r="H2857" s="1">
        <v>3.0053069999999998E-6</v>
      </c>
      <c r="I2857">
        <v>280.85270000000003</v>
      </c>
      <c r="J2857">
        <v>-446.46339999999998</v>
      </c>
      <c r="K2857">
        <v>1.109979</v>
      </c>
      <c r="L2857">
        <v>285.8467</v>
      </c>
      <c r="M2857">
        <v>-0.99972169999999905</v>
      </c>
      <c r="N2857">
        <v>-1.4353309999999999E-2</v>
      </c>
      <c r="O2857">
        <v>1.8728870000000002E-2</v>
      </c>
      <c r="P2857">
        <v>-0.99610069999999995</v>
      </c>
      <c r="Q2857">
        <v>-3.9614829999999997E-2</v>
      </c>
      <c r="R2857">
        <v>-7.8830769999999994E-2</v>
      </c>
      <c r="S2857">
        <v>-2.9794309999999999</v>
      </c>
      <c r="T2857">
        <v>-8.229148E-2</v>
      </c>
      <c r="U2857">
        <v>-0.3699036</v>
      </c>
      <c r="V2857">
        <v>-9.746001E-2</v>
      </c>
      <c r="W2857">
        <v>-2.539458E-2</v>
      </c>
      <c r="X2857">
        <v>0.99491540000000001</v>
      </c>
      <c r="Y2857">
        <v>-0.14169010000000001</v>
      </c>
      <c r="Z2857">
        <v>-3.217597E-3</v>
      </c>
      <c r="AA2857">
        <v>0.98990579999999995</v>
      </c>
      <c r="AB2857">
        <v>42</v>
      </c>
      <c r="AC2857">
        <v>-39.899000000000001</v>
      </c>
      <c r="AD2857">
        <v>-1.1099759946929999</v>
      </c>
      <c r="AE2857">
        <v>-4.9939999999999696</v>
      </c>
      <c r="AF2857">
        <v>-5.7360930671392003</v>
      </c>
      <c r="AG2857">
        <v>-1.1099759946929999</v>
      </c>
      <c r="AH2857">
        <v>39.768155520319397</v>
      </c>
      <c r="AI2857">
        <v>91.582409924030898</v>
      </c>
      <c r="AJ2857">
        <v>98.207641810697297</v>
      </c>
      <c r="AK2857">
        <v>40.195037055238402</v>
      </c>
      <c r="AL2857">
        <v>91.455158692946696</v>
      </c>
      <c r="AM2857">
        <v>95.594735261212307</v>
      </c>
      <c r="AN2857">
        <v>0.99999999569986797</v>
      </c>
    </row>
    <row r="2858" spans="1:40" x14ac:dyDescent="0.25">
      <c r="A2858" t="str">
        <f>"20190305134952644"</f>
        <v>20190305134952644</v>
      </c>
      <c r="B2858" t="str">
        <f>"1551764992633273"</f>
        <v>1551764992633273</v>
      </c>
      <c r="C2858" t="s">
        <v>40</v>
      </c>
      <c r="D2858">
        <v>3.8290540000000002</v>
      </c>
      <c r="E2858">
        <v>0.48239929999999998</v>
      </c>
      <c r="F2858" t="s">
        <v>62</v>
      </c>
      <c r="G2858">
        <v>-487.43009999999998</v>
      </c>
      <c r="H2858" s="1">
        <v>3.1799499999999999E-6</v>
      </c>
      <c r="I2858">
        <v>280.6841</v>
      </c>
      <c r="J2858">
        <v>-446.69650000000001</v>
      </c>
      <c r="K2858">
        <v>1.11008</v>
      </c>
      <c r="L2858">
        <v>285.85079999999999</v>
      </c>
      <c r="M2858">
        <v>-0.99972879999999997</v>
      </c>
      <c r="N2858">
        <v>-1.435234E-2</v>
      </c>
      <c r="O2858">
        <v>1.8343060000000001E-2</v>
      </c>
      <c r="P2858">
        <v>-0.99600659999999996</v>
      </c>
      <c r="Q2858">
        <v>-3.9464359999999997E-2</v>
      </c>
      <c r="R2858">
        <v>-8.0083139999999997E-2</v>
      </c>
      <c r="S2858">
        <v>-2.9788510000000001</v>
      </c>
      <c r="T2858">
        <v>-8.0710770000000001E-2</v>
      </c>
      <c r="U2858">
        <v>-0.37539670000000003</v>
      </c>
      <c r="V2858">
        <v>-9.8320859999999996E-2</v>
      </c>
      <c r="W2858">
        <v>-2.5269590000000001E-2</v>
      </c>
      <c r="X2858">
        <v>0.99483390000000005</v>
      </c>
      <c r="Y2858">
        <v>-0.1431307</v>
      </c>
      <c r="Z2858">
        <v>-3.195477E-3</v>
      </c>
      <c r="AA2858">
        <v>0.98969859999999998</v>
      </c>
      <c r="AB2858">
        <v>41</v>
      </c>
      <c r="AC2858">
        <v>-40.733599999999903</v>
      </c>
      <c r="AD2858">
        <v>-1.11007682005</v>
      </c>
      <c r="AE2858">
        <v>-5.1666999999999899</v>
      </c>
      <c r="AF2858">
        <v>-5.9087674944158497</v>
      </c>
      <c r="AG2858">
        <v>-1.11007682005</v>
      </c>
      <c r="AH2858">
        <v>40.6022854392534</v>
      </c>
      <c r="AI2858">
        <v>91.5497742732951</v>
      </c>
      <c r="AJ2858">
        <v>98.280011595081007</v>
      </c>
      <c r="AK2858">
        <v>41.0449922248755</v>
      </c>
      <c r="AL2858">
        <v>91.4479949649334</v>
      </c>
      <c r="AM2858">
        <v>95.644294453402395</v>
      </c>
      <c r="AN2858">
        <v>1.0000000161395499</v>
      </c>
    </row>
    <row r="2859" spans="1:40" x14ac:dyDescent="0.25">
      <c r="A2859" t="str">
        <f>"20190305134952663"</f>
        <v>20190305134952663</v>
      </c>
      <c r="B2859" t="str">
        <f>"1551764992652793"</f>
        <v>1551764992652793</v>
      </c>
      <c r="C2859" t="s">
        <v>40</v>
      </c>
      <c r="D2859">
        <v>3.838546</v>
      </c>
      <c r="E2859">
        <v>0.481985</v>
      </c>
      <c r="F2859" t="s">
        <v>62</v>
      </c>
      <c r="G2859">
        <v>-488.14890000000003</v>
      </c>
      <c r="H2859" s="1">
        <v>3.2956170000000001E-6</v>
      </c>
      <c r="I2859">
        <v>280.54860000000002</v>
      </c>
      <c r="J2859">
        <v>-447.01639999999998</v>
      </c>
      <c r="K2859">
        <v>1.110214</v>
      </c>
      <c r="L2859">
        <v>285.8562</v>
      </c>
      <c r="M2859">
        <v>-0.99973959999999995</v>
      </c>
      <c r="N2859">
        <v>-1.435112E-2</v>
      </c>
      <c r="O2859">
        <v>1.774384E-2</v>
      </c>
      <c r="P2859">
        <v>-0.99594959999999999</v>
      </c>
      <c r="Q2859">
        <v>-3.7456379999999997E-2</v>
      </c>
      <c r="R2859">
        <v>-8.1745070000000003E-2</v>
      </c>
      <c r="S2859">
        <v>-2.9782410000000001</v>
      </c>
      <c r="T2859">
        <v>-7.9755899999999894E-2</v>
      </c>
      <c r="U2859">
        <v>-0.38095089999999998</v>
      </c>
      <c r="V2859">
        <v>-9.9379640000000005E-2</v>
      </c>
      <c r="W2859">
        <v>-2.3295179999999999E-2</v>
      </c>
      <c r="X2859">
        <v>0.99477680000000002</v>
      </c>
      <c r="Y2859">
        <v>-0.14437990000000001</v>
      </c>
      <c r="Z2859">
        <v>-3.1853089999999999E-3</v>
      </c>
      <c r="AA2859">
        <v>0.98951719999999999</v>
      </c>
      <c r="AB2859">
        <v>41</v>
      </c>
      <c r="AC2859">
        <v>-41.1325</v>
      </c>
      <c r="AD2859">
        <v>-1.1102107043830001</v>
      </c>
      <c r="AE2859">
        <v>-5.3075999999999697</v>
      </c>
      <c r="AF2859">
        <v>-6.0323651588767504</v>
      </c>
      <c r="AG2859">
        <v>-1.1102107043830001</v>
      </c>
      <c r="AH2859">
        <v>41.002454270209803</v>
      </c>
      <c r="AI2859">
        <v>91.534491021328193</v>
      </c>
      <c r="AJ2859">
        <v>98.369432059689998</v>
      </c>
      <c r="AK2859">
        <v>41.458693339260002</v>
      </c>
      <c r="AL2859">
        <v>91.334836337213204</v>
      </c>
      <c r="AM2859">
        <v>95.705002219154494</v>
      </c>
      <c r="AN2859">
        <v>0.99999993003799803</v>
      </c>
    </row>
    <row r="2860" spans="1:40" x14ac:dyDescent="0.25">
      <c r="A2860" t="str">
        <f>"20190305134952678"</f>
        <v>20190305134952678</v>
      </c>
      <c r="B2860" t="str">
        <f>"1551764992673289"</f>
        <v>1551764992673289</v>
      </c>
      <c r="C2860" t="s">
        <v>40</v>
      </c>
      <c r="D2860">
        <v>3.8685</v>
      </c>
      <c r="E2860">
        <v>0.4815893</v>
      </c>
      <c r="F2860" t="s">
        <v>62</v>
      </c>
      <c r="G2860">
        <v>-491.935</v>
      </c>
      <c r="H2860" s="1">
        <v>3.2163949999999999E-6</v>
      </c>
      <c r="I2860">
        <v>279.98399999999998</v>
      </c>
      <c r="J2860">
        <v>-447.2955</v>
      </c>
      <c r="K2860">
        <v>1.110322</v>
      </c>
      <c r="L2860">
        <v>285.86070000000001</v>
      </c>
      <c r="M2860">
        <v>-0.99974980000000002</v>
      </c>
      <c r="N2860">
        <v>-1.435002E-2</v>
      </c>
      <c r="O2860">
        <v>1.715933E-2</v>
      </c>
      <c r="P2860">
        <v>-0.99593759999999998</v>
      </c>
      <c r="Q2860">
        <v>-3.6257820000000003E-2</v>
      </c>
      <c r="R2860">
        <v>-8.2424419999999998E-2</v>
      </c>
      <c r="S2860">
        <v>-2.977509</v>
      </c>
      <c r="T2860">
        <v>-7.3592309999999994E-2</v>
      </c>
      <c r="U2860">
        <v>-0.38925169999999998</v>
      </c>
      <c r="V2860">
        <v>-9.9473339999999993E-2</v>
      </c>
      <c r="W2860">
        <v>-2.212335E-2</v>
      </c>
      <c r="X2860">
        <v>0.99479419999999996</v>
      </c>
      <c r="Y2860">
        <v>-0.14655399999999999</v>
      </c>
      <c r="Z2860">
        <v>-3.036684E-3</v>
      </c>
      <c r="AA2860">
        <v>0.98919800000000002</v>
      </c>
      <c r="AB2860">
        <v>41</v>
      </c>
      <c r="AC2860">
        <v>-44.639499999999998</v>
      </c>
      <c r="AD2860">
        <v>-1.1103187836049999</v>
      </c>
      <c r="AE2860">
        <v>-5.8766999999999703</v>
      </c>
      <c r="AF2860">
        <v>-6.6378606993335403</v>
      </c>
      <c r="AG2860">
        <v>-1.1103187836049999</v>
      </c>
      <c r="AH2860">
        <v>44.505010955656203</v>
      </c>
      <c r="AI2860">
        <v>91.413499713066997</v>
      </c>
      <c r="AJ2860">
        <v>98.483052252874103</v>
      </c>
      <c r="AK2860">
        <v>45.010998685077702</v>
      </c>
      <c r="AL2860">
        <v>91.267678078094093</v>
      </c>
      <c r="AM2860">
        <v>95.710246423118207</v>
      </c>
      <c r="AN2860">
        <v>0.99999994416980698</v>
      </c>
    </row>
    <row r="2861" spans="1:40" x14ac:dyDescent="0.25">
      <c r="A2861" t="str">
        <f>"20190305134952690"</f>
        <v>20190305134952690</v>
      </c>
      <c r="B2861" t="str">
        <f>"1551764992683048"</f>
        <v>1551764992683048</v>
      </c>
      <c r="C2861" t="s">
        <v>40</v>
      </c>
      <c r="D2861">
        <v>3.8789009999999999</v>
      </c>
      <c r="E2861">
        <v>0.48142439999999997</v>
      </c>
      <c r="F2861" t="s">
        <v>62</v>
      </c>
      <c r="G2861">
        <v>-494.4153</v>
      </c>
      <c r="H2861" s="1">
        <v>2.7443909999999999E-6</v>
      </c>
      <c r="I2861">
        <v>279.61759999999998</v>
      </c>
      <c r="J2861">
        <v>-447.5299</v>
      </c>
      <c r="K2861">
        <v>1.1104160000000001</v>
      </c>
      <c r="L2861">
        <v>285.86439999999999</v>
      </c>
      <c r="M2861">
        <v>-0.9997587</v>
      </c>
      <c r="N2861">
        <v>-1.434904E-2</v>
      </c>
      <c r="O2861">
        <v>1.6633470000000001E-2</v>
      </c>
      <c r="P2861">
        <v>-0.99590579999999995</v>
      </c>
      <c r="Q2861">
        <v>-3.5151590000000003E-2</v>
      </c>
      <c r="R2861">
        <v>-8.3285380000000006E-2</v>
      </c>
      <c r="S2861">
        <v>-2.9770509999999999</v>
      </c>
      <c r="T2861">
        <v>-7.0150379999999998E-2</v>
      </c>
      <c r="U2861">
        <v>-0.3944397</v>
      </c>
      <c r="V2861">
        <v>-9.9807259999999995E-2</v>
      </c>
      <c r="W2861">
        <v>-2.1039720000000001E-2</v>
      </c>
      <c r="X2861">
        <v>0.99478429999999995</v>
      </c>
      <c r="Y2861">
        <v>-0.14775260000000001</v>
      </c>
      <c r="Z2861">
        <v>-2.9506469999999998E-3</v>
      </c>
      <c r="AA2861">
        <v>0.98901989999999995</v>
      </c>
      <c r="AB2861">
        <v>41</v>
      </c>
      <c r="AC2861">
        <v>-46.885399999999997</v>
      </c>
      <c r="AD2861">
        <v>-1.1104132556090001</v>
      </c>
      <c r="AE2861">
        <v>-6.2468000000000004</v>
      </c>
      <c r="AF2861">
        <v>-7.0220127607565397</v>
      </c>
      <c r="AG2861">
        <v>-1.1104132556090001</v>
      </c>
      <c r="AH2861">
        <v>46.749230818746902</v>
      </c>
      <c r="AI2861">
        <v>91.345575773271904</v>
      </c>
      <c r="AJ2861">
        <v>98.542305828212506</v>
      </c>
      <c r="AK2861">
        <v>47.286702813316701</v>
      </c>
      <c r="AL2861">
        <v>91.2055761372673</v>
      </c>
      <c r="AM2861">
        <v>95.729344357951305</v>
      </c>
      <c r="AN2861">
        <v>0.99999998124643696</v>
      </c>
    </row>
    <row r="2862" spans="1:40" x14ac:dyDescent="0.25">
      <c r="A2862" t="str">
        <f>"20190305134952707"</f>
        <v>20190305134952707</v>
      </c>
      <c r="B2862" t="str">
        <f>"1551764992703546"</f>
        <v>1551764992703546</v>
      </c>
      <c r="C2862" t="s">
        <v>40</v>
      </c>
      <c r="D2862">
        <v>3.8628010000000002</v>
      </c>
      <c r="E2862">
        <v>0.4811551</v>
      </c>
      <c r="F2862" t="s">
        <v>62</v>
      </c>
      <c r="G2862">
        <v>-496.89150000000001</v>
      </c>
      <c r="H2862" s="1">
        <v>2.2422349999999998E-6</v>
      </c>
      <c r="I2862">
        <v>279.25959999999998</v>
      </c>
      <c r="J2862">
        <v>-447.83690000000001</v>
      </c>
      <c r="K2862">
        <v>1.1105309999999999</v>
      </c>
      <c r="L2862">
        <v>285.8689</v>
      </c>
      <c r="M2862">
        <v>-0.99977130000000003</v>
      </c>
      <c r="N2862">
        <v>-1.434772E-2</v>
      </c>
      <c r="O2862">
        <v>1.5866290000000002E-2</v>
      </c>
      <c r="P2862">
        <v>-0.99588810000000005</v>
      </c>
      <c r="Q2862">
        <v>-3.3545779999999997E-2</v>
      </c>
      <c r="R2862">
        <v>-8.4154039999999999E-2</v>
      </c>
      <c r="S2862">
        <v>-2.9766539999999999</v>
      </c>
      <c r="T2862">
        <v>-6.6961290000000007E-2</v>
      </c>
      <c r="U2862">
        <v>-0.3982849</v>
      </c>
      <c r="V2862">
        <v>-9.9910070000000004E-2</v>
      </c>
      <c r="W2862">
        <v>-1.9460760000000001E-2</v>
      </c>
      <c r="X2862">
        <v>0.99480610000000003</v>
      </c>
      <c r="Y2862">
        <v>-0.14827079999999901</v>
      </c>
      <c r="Z2862">
        <v>-2.8575639999999999E-3</v>
      </c>
      <c r="AA2862">
        <v>0.98894269999999995</v>
      </c>
      <c r="AB2862">
        <v>41</v>
      </c>
      <c r="AC2862">
        <v>-49.054599999999901</v>
      </c>
      <c r="AD2862">
        <v>-1.110528757765</v>
      </c>
      <c r="AE2862">
        <v>-6.6093000000000099</v>
      </c>
      <c r="AF2862">
        <v>-7.3831459508321897</v>
      </c>
      <c r="AG2862">
        <v>-1.110528757765</v>
      </c>
      <c r="AH2862">
        <v>48.918923704474999</v>
      </c>
      <c r="AI2862">
        <v>91.285913575420395</v>
      </c>
      <c r="AJ2862">
        <v>98.582656652321006</v>
      </c>
      <c r="AK2862">
        <v>49.485404056725201</v>
      </c>
      <c r="AL2862">
        <v>91.115089851043706</v>
      </c>
      <c r="AM2862">
        <v>95.735081906227094</v>
      </c>
      <c r="AN2862">
        <v>0.99999995993219504</v>
      </c>
    </row>
    <row r="2863" spans="1:40" x14ac:dyDescent="0.25">
      <c r="A2863" t="str">
        <f>"20190305134952723"</f>
        <v>20190305134952723</v>
      </c>
      <c r="B2863" t="str">
        <f>"1551764992713304"</f>
        <v>1551764992713304</v>
      </c>
      <c r="C2863" t="s">
        <v>40</v>
      </c>
      <c r="D2863">
        <v>3.8364669999999998</v>
      </c>
      <c r="E2863">
        <v>0.48098560000000001</v>
      </c>
      <c r="F2863" t="s">
        <v>62</v>
      </c>
      <c r="G2863">
        <v>-499.95769999999999</v>
      </c>
      <c r="H2863">
        <v>9.4822029999999998E-3</v>
      </c>
      <c r="I2863">
        <v>278.81099999999998</v>
      </c>
      <c r="J2863">
        <v>-448.12560000000002</v>
      </c>
      <c r="K2863">
        <v>1.110622</v>
      </c>
      <c r="L2863">
        <v>285.87279999999998</v>
      </c>
      <c r="M2863">
        <v>-0.99978330000000004</v>
      </c>
      <c r="N2863">
        <v>-1.434641E-2</v>
      </c>
      <c r="O2863">
        <v>1.508487E-2</v>
      </c>
      <c r="P2863">
        <v>-0.99579430000000002</v>
      </c>
      <c r="Q2863">
        <v>-3.3737400000000001E-2</v>
      </c>
      <c r="R2863">
        <v>-8.5180350000000002E-2</v>
      </c>
      <c r="S2863">
        <v>-2.9761959999999998</v>
      </c>
      <c r="T2863">
        <v>-6.2871930000000006E-2</v>
      </c>
      <c r="U2863">
        <v>-0.40301510000000001</v>
      </c>
      <c r="V2863">
        <v>-0.10015300000000001</v>
      </c>
      <c r="W2863">
        <v>-1.967727E-2</v>
      </c>
      <c r="X2863">
        <v>0.99477740000000003</v>
      </c>
      <c r="Y2863">
        <v>-0.14906730000000001</v>
      </c>
      <c r="Z2863">
        <v>-2.7434650000000001E-3</v>
      </c>
      <c r="AA2863">
        <v>0.98882320000000001</v>
      </c>
      <c r="AB2863">
        <v>41</v>
      </c>
      <c r="AC2863">
        <v>-51.832099999999897</v>
      </c>
      <c r="AD2863">
        <v>-1.1011397970000001</v>
      </c>
      <c r="AE2863">
        <v>-7.0617999999999999</v>
      </c>
      <c r="AF2863">
        <v>-7.8394836203975604</v>
      </c>
      <c r="AG2863">
        <v>-1.1011397970000001</v>
      </c>
      <c r="AH2863">
        <v>51.696757145289901</v>
      </c>
      <c r="AI2863">
        <v>91.206425970547897</v>
      </c>
      <c r="AJ2863">
        <v>98.622843806240695</v>
      </c>
      <c r="AK2863">
        <v>52.299375824440801</v>
      </c>
      <c r="AL2863">
        <v>91.127497351346904</v>
      </c>
      <c r="AM2863">
        <v>95.749098136838697</v>
      </c>
      <c r="AN2863">
        <v>0.99999994695720495</v>
      </c>
    </row>
    <row r="2864" spans="1:40" x14ac:dyDescent="0.25">
      <c r="A2864" t="str">
        <f>"20190305134952741"</f>
        <v>20190305134952741</v>
      </c>
      <c r="B2864" t="str">
        <f>"1551764992732826"</f>
        <v>1551764992732826</v>
      </c>
      <c r="C2864" t="s">
        <v>40</v>
      </c>
      <c r="D2864">
        <v>3.8746909999999999</v>
      </c>
      <c r="E2864">
        <v>0.48073850000000001</v>
      </c>
      <c r="F2864" t="s">
        <v>62</v>
      </c>
      <c r="G2864">
        <v>-499.84769999999997</v>
      </c>
      <c r="H2864" s="1">
        <v>1.6351879999999999E-6</v>
      </c>
      <c r="I2864">
        <v>278.7903</v>
      </c>
      <c r="J2864">
        <v>-448.46620000000001</v>
      </c>
      <c r="K2864">
        <v>1.110716</v>
      </c>
      <c r="L2864">
        <v>285.87720000000002</v>
      </c>
      <c r="M2864">
        <v>-0.99979779999999996</v>
      </c>
      <c r="N2864">
        <v>-1.434501E-2</v>
      </c>
      <c r="O2864">
        <v>1.409966E-2</v>
      </c>
      <c r="P2864">
        <v>-0.99565840000000005</v>
      </c>
      <c r="Q2864">
        <v>-3.5280319999999997E-2</v>
      </c>
      <c r="R2864">
        <v>-8.6140339999999996E-2</v>
      </c>
      <c r="S2864">
        <v>-2.9756469999999999</v>
      </c>
      <c r="T2864">
        <v>-6.3895579999999993E-2</v>
      </c>
      <c r="U2864">
        <v>-0.40747070000000002</v>
      </c>
      <c r="V2864">
        <v>-0.1001223</v>
      </c>
      <c r="W2864">
        <v>-2.1247519999999999E-2</v>
      </c>
      <c r="X2864">
        <v>0.99474819999999997</v>
      </c>
      <c r="Y2864">
        <v>-0.14956910000000001</v>
      </c>
      <c r="Z2864">
        <v>-2.7763290000000001E-3</v>
      </c>
      <c r="AA2864">
        <v>0.98874740000000005</v>
      </c>
      <c r="AB2864">
        <v>41</v>
      </c>
      <c r="AC2864">
        <v>-51.381499999999903</v>
      </c>
      <c r="AD2864">
        <v>-1.1107143648119999</v>
      </c>
      <c r="AE2864">
        <v>-7.0869000000000097</v>
      </c>
      <c r="AF2864">
        <v>-7.8071513968185497</v>
      </c>
      <c r="AG2864">
        <v>-1.1107143648119999</v>
      </c>
      <c r="AH2864">
        <v>51.252955078601197</v>
      </c>
      <c r="AI2864">
        <v>91.227322620644799</v>
      </c>
      <c r="AJ2864">
        <v>98.6610515024433</v>
      </c>
      <c r="AK2864">
        <v>51.856057540292802</v>
      </c>
      <c r="AL2864">
        <v>91.217484892555106</v>
      </c>
      <c r="AM2864">
        <v>95.7475152386058</v>
      </c>
      <c r="AN2864">
        <v>0.99999995673333897</v>
      </c>
    </row>
    <row r="2865" spans="1:40" x14ac:dyDescent="0.25">
      <c r="A2865" t="str">
        <f>"20190305134952763"</f>
        <v>20190305134952763</v>
      </c>
      <c r="B2865" t="str">
        <f>"1551764992753320"</f>
        <v>1551764992753320</v>
      </c>
      <c r="C2865" t="s">
        <v>40</v>
      </c>
      <c r="D2865">
        <v>3.865847</v>
      </c>
      <c r="E2865">
        <v>0.48049029999999998</v>
      </c>
      <c r="F2865" t="s">
        <v>62</v>
      </c>
      <c r="G2865">
        <v>-496.29349999999999</v>
      </c>
      <c r="H2865" s="1">
        <v>2.3460699999999999E-6</v>
      </c>
      <c r="I2865">
        <v>279.24700000000001</v>
      </c>
      <c r="J2865">
        <v>-448.86180000000002</v>
      </c>
      <c r="K2865">
        <v>1.110822</v>
      </c>
      <c r="L2865">
        <v>285.88170000000002</v>
      </c>
      <c r="M2865">
        <v>-0.99981430000000004</v>
      </c>
      <c r="N2865">
        <v>-1.4343359999999999E-2</v>
      </c>
      <c r="O2865">
        <v>1.287343E-2</v>
      </c>
      <c r="P2865">
        <v>-0.99551140000000005</v>
      </c>
      <c r="Q2865">
        <v>-3.638752E-2</v>
      </c>
      <c r="R2865">
        <v>-8.7367749999999994E-2</v>
      </c>
      <c r="S2865">
        <v>-2.9749759999999998</v>
      </c>
      <c r="T2865">
        <v>-6.9089059999999994E-2</v>
      </c>
      <c r="U2865">
        <v>-0.41241460000000002</v>
      </c>
      <c r="V2865">
        <v>-0.10011879999999999</v>
      </c>
      <c r="W2865">
        <v>-2.238445E-2</v>
      </c>
      <c r="X2865">
        <v>0.99472369999999999</v>
      </c>
      <c r="Y2865">
        <v>-0.14999100000000001</v>
      </c>
      <c r="Z2865">
        <v>-2.9280560000000001E-3</v>
      </c>
      <c r="AA2865">
        <v>0.98868299999999998</v>
      </c>
      <c r="AB2865">
        <v>41</v>
      </c>
      <c r="AC2865">
        <v>-47.4316999999999</v>
      </c>
      <c r="AD2865">
        <v>-1.1108196539299999</v>
      </c>
      <c r="AE2865">
        <v>-6.6346999999999996</v>
      </c>
      <c r="AF2865">
        <v>-7.2409263696469699</v>
      </c>
      <c r="AG2865">
        <v>-1.1108196539299999</v>
      </c>
      <c r="AH2865">
        <v>47.316894906390402</v>
      </c>
      <c r="AI2865">
        <v>91.329368598764106</v>
      </c>
      <c r="AJ2865">
        <v>98.700501665439205</v>
      </c>
      <c r="AK2865">
        <v>47.880616940225401</v>
      </c>
      <c r="AL2865">
        <v>91.282641591679194</v>
      </c>
      <c r="AM2865">
        <v>95.747456274803994</v>
      </c>
      <c r="AN2865">
        <v>1.00000003852846</v>
      </c>
    </row>
    <row r="2866" spans="1:40" x14ac:dyDescent="0.25">
      <c r="A2866" t="str">
        <f>"20190305134952777"</f>
        <v>20190305134952777</v>
      </c>
      <c r="B2866" t="str">
        <f>"1551764992772841"</f>
        <v>1551764992772841</v>
      </c>
      <c r="C2866" t="s">
        <v>40</v>
      </c>
      <c r="D2866">
        <v>3.8436889999999999</v>
      </c>
      <c r="E2866">
        <v>0.48025139999999999</v>
      </c>
      <c r="F2866" t="s">
        <v>62</v>
      </c>
      <c r="G2866">
        <v>-493.95030000000003</v>
      </c>
      <c r="H2866" s="1">
        <v>2.8145840000000001E-6</v>
      </c>
      <c r="I2866">
        <v>279.54719999999998</v>
      </c>
      <c r="J2866">
        <v>-449.1259</v>
      </c>
      <c r="K2866">
        <v>1.110895</v>
      </c>
      <c r="L2866">
        <v>285.8845</v>
      </c>
      <c r="M2866">
        <v>-0.99982499999999996</v>
      </c>
      <c r="N2866">
        <v>-1.4342260000000001E-2</v>
      </c>
      <c r="O2866">
        <v>1.201175E-2</v>
      </c>
      <c r="P2866">
        <v>-0.99540969999999995</v>
      </c>
      <c r="Q2866">
        <v>-3.650904E-2</v>
      </c>
      <c r="R2866">
        <v>-8.8468749999999999E-2</v>
      </c>
      <c r="S2866">
        <v>-2.9741819999999999</v>
      </c>
      <c r="T2866">
        <v>-7.3273060000000001E-2</v>
      </c>
      <c r="U2866">
        <v>-0.41784670000000002</v>
      </c>
      <c r="V2866">
        <v>-0.10035760000000001</v>
      </c>
      <c r="W2866">
        <v>-2.2525360000000001E-2</v>
      </c>
      <c r="X2866">
        <v>0.99469640000000004</v>
      </c>
      <c r="Y2866">
        <v>-0.15093899999999999</v>
      </c>
      <c r="Z2866">
        <v>-3.0610310000000001E-3</v>
      </c>
      <c r="AA2866">
        <v>0.98853829999999998</v>
      </c>
      <c r="AB2866">
        <v>41</v>
      </c>
      <c r="AC2866">
        <v>-44.824399999999997</v>
      </c>
      <c r="AD2866">
        <v>-1.1108921854160001</v>
      </c>
      <c r="AE2866">
        <v>-6.3373000000000204</v>
      </c>
      <c r="AF2866">
        <v>-6.87117995513713</v>
      </c>
      <c r="AG2866">
        <v>-1.1108921854160001</v>
      </c>
      <c r="AH2866">
        <v>44.718107712348299</v>
      </c>
      <c r="AI2866">
        <v>91.406554657443294</v>
      </c>
      <c r="AJ2866">
        <v>98.735486805237798</v>
      </c>
      <c r="AK2866">
        <v>45.256561433638403</v>
      </c>
      <c r="AL2866">
        <v>91.290717246330502</v>
      </c>
      <c r="AM2866">
        <v>95.761229863540706</v>
      </c>
      <c r="AN2866">
        <v>0.99999998394692402</v>
      </c>
    </row>
    <row r="2867" spans="1:40" x14ac:dyDescent="0.25">
      <c r="A2867" t="str">
        <f>"20190305134952790"</f>
        <v>20190305134952790</v>
      </c>
      <c r="B2867" t="str">
        <f>"1551764992783577"</f>
        <v>1551764992783577</v>
      </c>
      <c r="C2867" t="s">
        <v>40</v>
      </c>
      <c r="D2867">
        <v>3.8871950000000002</v>
      </c>
      <c r="E2867">
        <v>0.48015150000000001</v>
      </c>
      <c r="F2867" t="s">
        <v>62</v>
      </c>
      <c r="G2867">
        <v>-493.38029999999998</v>
      </c>
      <c r="H2867" s="1">
        <v>2.9225770000000002E-6</v>
      </c>
      <c r="I2867">
        <v>279.58620000000002</v>
      </c>
      <c r="J2867">
        <v>-449.3655</v>
      </c>
      <c r="K2867">
        <v>1.1109560000000001</v>
      </c>
      <c r="L2867">
        <v>285.88679999999999</v>
      </c>
      <c r="M2867">
        <v>-0.99983440000000001</v>
      </c>
      <c r="N2867">
        <v>-1.434128E-2</v>
      </c>
      <c r="O2867">
        <v>1.121056E-2</v>
      </c>
      <c r="P2867">
        <v>-0.99532200000000004</v>
      </c>
      <c r="Q2867">
        <v>-3.6533360000000001E-2</v>
      </c>
      <c r="R2867">
        <v>-8.9442969999999997E-2</v>
      </c>
      <c r="S2867">
        <v>-2.9735109999999998</v>
      </c>
      <c r="T2867">
        <v>-7.4642299999999995E-2</v>
      </c>
      <c r="U2867">
        <v>-0.42318729999999899</v>
      </c>
      <c r="V2867">
        <v>-0.1005301</v>
      </c>
      <c r="W2867">
        <v>-2.2566470000000002E-2</v>
      </c>
      <c r="X2867">
        <v>0.99467810000000001</v>
      </c>
      <c r="Y2867">
        <v>-0.15191550000000001</v>
      </c>
      <c r="Z2867">
        <v>-3.1120570000000001E-3</v>
      </c>
      <c r="AA2867">
        <v>0.98838859999999995</v>
      </c>
      <c r="AB2867">
        <v>41</v>
      </c>
      <c r="AC2867">
        <v>-44.014799999999902</v>
      </c>
      <c r="AD2867">
        <v>-1.1109530774230001</v>
      </c>
      <c r="AE2867">
        <v>-6.30059999999997</v>
      </c>
      <c r="AF2867">
        <v>-6.7894466825741704</v>
      </c>
      <c r="AG2867">
        <v>-1.1109530774230001</v>
      </c>
      <c r="AH2867">
        <v>43.913978062345201</v>
      </c>
      <c r="AI2867">
        <v>91.432173294283302</v>
      </c>
      <c r="AJ2867">
        <v>98.788791496547901</v>
      </c>
      <c r="AK2867">
        <v>44.449614984337998</v>
      </c>
      <c r="AL2867">
        <v>91.2930732092413</v>
      </c>
      <c r="AM2867">
        <v>95.771171246740806</v>
      </c>
      <c r="AN2867">
        <v>1.00000003459693</v>
      </c>
    </row>
    <row r="2868" spans="1:40" x14ac:dyDescent="0.25">
      <c r="A2868" t="str">
        <f>"20190305134952803"</f>
        <v>20190305134952803</v>
      </c>
      <c r="B2868" t="str">
        <f>"1551764992793337"</f>
        <v>1551764992793337</v>
      </c>
      <c r="C2868" t="s">
        <v>40</v>
      </c>
      <c r="D2868">
        <v>3.8532929999999999</v>
      </c>
      <c r="E2868">
        <v>0.48004530000000001</v>
      </c>
      <c r="F2868" t="s">
        <v>62</v>
      </c>
      <c r="G2868">
        <v>-493.04739999999998</v>
      </c>
      <c r="H2868" s="1">
        <v>2.9869409999999998E-6</v>
      </c>
      <c r="I2868">
        <v>279.6164</v>
      </c>
      <c r="J2868">
        <v>-449.6019</v>
      </c>
      <c r="K2868">
        <v>1.111011</v>
      </c>
      <c r="L2868">
        <v>285.8888</v>
      </c>
      <c r="M2868">
        <v>-0.99984329999999999</v>
      </c>
      <c r="N2868">
        <v>-1.434038E-2</v>
      </c>
      <c r="O2868">
        <v>1.0389209999999999E-2</v>
      </c>
      <c r="P2868">
        <v>-0.99524000000000001</v>
      </c>
      <c r="Q2868">
        <v>-3.6129969999999997E-2</v>
      </c>
      <c r="R2868">
        <v>-9.0511339999999996E-2</v>
      </c>
      <c r="S2868">
        <v>-2.972931</v>
      </c>
      <c r="T2868">
        <v>-7.5610040000000003E-2</v>
      </c>
      <c r="U2868">
        <v>-0.42675780000000002</v>
      </c>
      <c r="V2868">
        <v>-0.10077949999999999</v>
      </c>
      <c r="W2868">
        <v>-2.2178630000000001E-2</v>
      </c>
      <c r="X2868">
        <v>0.99466160000000003</v>
      </c>
      <c r="Y2868">
        <v>-0.15229189999999901</v>
      </c>
      <c r="Z2868">
        <v>-3.1389709999999999E-3</v>
      </c>
      <c r="AA2868">
        <v>0.9883305</v>
      </c>
      <c r="AB2868">
        <v>41</v>
      </c>
      <c r="AC2868">
        <v>-43.445499999999903</v>
      </c>
      <c r="AD2868">
        <v>-1.1110080130590001</v>
      </c>
      <c r="AE2868">
        <v>-6.2724000000000002</v>
      </c>
      <c r="AF2868">
        <v>-6.7191679232787802</v>
      </c>
      <c r="AG2868">
        <v>-1.1110080130590001</v>
      </c>
      <c r="AH2868">
        <v>43.350212766933602</v>
      </c>
      <c r="AI2868">
        <v>91.450776980415995</v>
      </c>
      <c r="AJ2868">
        <v>98.810584485196202</v>
      </c>
      <c r="AK2868">
        <v>43.881915447308302</v>
      </c>
      <c r="AL2868">
        <v>91.270846033200797</v>
      </c>
      <c r="AM2868">
        <v>95.785486970641102</v>
      </c>
      <c r="AN2868">
        <v>1.00000004888174</v>
      </c>
    </row>
    <row r="2869" spans="1:40" x14ac:dyDescent="0.25">
      <c r="A2869" t="str">
        <f>"20190305134952815"</f>
        <v>20190305134952815</v>
      </c>
      <c r="B2869" t="str">
        <f>"1551764992803098"</f>
        <v>1551764992803098</v>
      </c>
      <c r="C2869" t="s">
        <v>40</v>
      </c>
      <c r="D2869">
        <v>3.8541850000000002</v>
      </c>
      <c r="E2869">
        <v>0.4799387</v>
      </c>
      <c r="F2869" t="s">
        <v>62</v>
      </c>
      <c r="G2869">
        <v>-493.55889999999999</v>
      </c>
      <c r="H2869" s="1">
        <v>2.8786869999999999E-6</v>
      </c>
      <c r="I2869">
        <v>279.51690000000002</v>
      </c>
      <c r="J2869">
        <v>-449.82600000000002</v>
      </c>
      <c r="K2869">
        <v>1.1110599999999999</v>
      </c>
      <c r="L2869">
        <v>285.89060000000001</v>
      </c>
      <c r="M2869">
        <v>-0.99985119999999905</v>
      </c>
      <c r="N2869">
        <v>-1.433954E-2</v>
      </c>
      <c r="O2869">
        <v>9.5984820000000002E-3</v>
      </c>
      <c r="P2869">
        <v>-0.99513859999999998</v>
      </c>
      <c r="Q2869">
        <v>-3.627387E-2</v>
      </c>
      <c r="R2869">
        <v>-9.1561429999999999E-2</v>
      </c>
      <c r="S2869">
        <v>-2.9724119999999998</v>
      </c>
      <c r="T2869">
        <v>-7.5127360000000004E-2</v>
      </c>
      <c r="U2869">
        <v>-0.43087769999999997</v>
      </c>
      <c r="V2869">
        <v>-0.1010395</v>
      </c>
      <c r="W2869">
        <v>-2.2337010000000001E-2</v>
      </c>
      <c r="X2869">
        <v>0.99463159999999895</v>
      </c>
      <c r="Y2869">
        <v>-0.15287700000000001</v>
      </c>
      <c r="Z2869">
        <v>-3.128189E-3</v>
      </c>
      <c r="AA2869">
        <v>0.98824020000000001</v>
      </c>
      <c r="AB2869">
        <v>41</v>
      </c>
      <c r="AC2869">
        <v>-43.732900000000001</v>
      </c>
      <c r="AD2869">
        <v>-1.1110571213129901</v>
      </c>
      <c r="AE2869">
        <v>-6.3736999999999799</v>
      </c>
      <c r="AF2869">
        <v>-6.7889281939643196</v>
      </c>
      <c r="AG2869">
        <v>-1.1110571213129901</v>
      </c>
      <c r="AH2869">
        <v>43.642118312768403</v>
      </c>
      <c r="AI2869">
        <v>91.441018371844194</v>
      </c>
      <c r="AJ2869">
        <v>98.842012263318693</v>
      </c>
      <c r="AK2869">
        <v>44.180974239770897</v>
      </c>
      <c r="AL2869">
        <v>91.279922886474793</v>
      </c>
      <c r="AM2869">
        <v>95.800485005038993</v>
      </c>
      <c r="AN2869">
        <v>0.99999997114727401</v>
      </c>
    </row>
    <row r="2870" spans="1:40" x14ac:dyDescent="0.25">
      <c r="A2870" t="str">
        <f>"20190305134952828"</f>
        <v>20190305134952828</v>
      </c>
      <c r="B2870" t="str">
        <f>"1551764992823593"</f>
        <v>1551764992823593</v>
      </c>
      <c r="C2870" t="s">
        <v>40</v>
      </c>
      <c r="D2870">
        <v>3.8621050000000001</v>
      </c>
      <c r="E2870">
        <v>0.47977009999999998</v>
      </c>
      <c r="F2870" t="s">
        <v>62</v>
      </c>
      <c r="G2870">
        <v>-493.11529999999999</v>
      </c>
      <c r="H2870" s="1">
        <v>2.9645650000000001E-6</v>
      </c>
      <c r="I2870">
        <v>279.55779999999999</v>
      </c>
      <c r="J2870">
        <v>-450.07389999999998</v>
      </c>
      <c r="K2870">
        <v>1.1111150000000001</v>
      </c>
      <c r="L2870">
        <v>285.89229999999998</v>
      </c>
      <c r="M2870">
        <v>-0.99985939999999995</v>
      </c>
      <c r="N2870">
        <v>-1.433864E-2</v>
      </c>
      <c r="O2870">
        <v>8.7078740000000009E-3</v>
      </c>
      <c r="P2870">
        <v>-0.9950118</v>
      </c>
      <c r="Q2870">
        <v>-3.65797E-2</v>
      </c>
      <c r="R2870">
        <v>-9.2811889999999994E-2</v>
      </c>
      <c r="S2870">
        <v>-2.9718629999999999</v>
      </c>
      <c r="T2870">
        <v>-7.6275350000000006E-2</v>
      </c>
      <c r="U2870">
        <v>-0.43475340000000001</v>
      </c>
      <c r="V2870">
        <v>-0.1013988</v>
      </c>
      <c r="W2870">
        <v>-2.265847E-2</v>
      </c>
      <c r="X2870">
        <v>0.99458780000000002</v>
      </c>
      <c r="Y2870">
        <v>-0.15328259999999999</v>
      </c>
      <c r="Z2870">
        <v>-3.1595500000000001E-3</v>
      </c>
      <c r="AA2870">
        <v>0.98817739999999998</v>
      </c>
      <c r="AB2870">
        <v>41</v>
      </c>
      <c r="AC2870">
        <v>-43.041400000000003</v>
      </c>
      <c r="AD2870">
        <v>-1.1111120354349999</v>
      </c>
      <c r="AE2870">
        <v>-6.3344999999999896</v>
      </c>
      <c r="AF2870">
        <v>-6.7047239761772497</v>
      </c>
      <c r="AG2870">
        <v>-1.1111120354349999</v>
      </c>
      <c r="AH2870">
        <v>42.956582201959399</v>
      </c>
      <c r="AI2870">
        <v>91.463961434583396</v>
      </c>
      <c r="AJ2870">
        <v>98.871229694523294</v>
      </c>
      <c r="AK2870">
        <v>43.4908708584423</v>
      </c>
      <c r="AL2870">
        <v>91.298345804249493</v>
      </c>
      <c r="AM2870">
        <v>95.821224925836603</v>
      </c>
      <c r="AN2870">
        <v>1.0000000074065101</v>
      </c>
    </row>
    <row r="2871" spans="1:40" x14ac:dyDescent="0.25">
      <c r="A2871" t="str">
        <f>"20190305134952841"</f>
        <v>20190305134952841</v>
      </c>
      <c r="B2871" t="str">
        <f>"1551764992833353"</f>
        <v>1551764992833353</v>
      </c>
      <c r="C2871" t="s">
        <v>40</v>
      </c>
      <c r="D2871">
        <v>3.8639019999999999</v>
      </c>
      <c r="E2871">
        <v>0.47966789999999998</v>
      </c>
      <c r="F2871" t="s">
        <v>62</v>
      </c>
      <c r="G2871">
        <v>-492.10570000000001</v>
      </c>
      <c r="H2871" s="1">
        <v>3.1585400000000002E-6</v>
      </c>
      <c r="I2871">
        <v>279.66860000000003</v>
      </c>
      <c r="J2871">
        <v>-450.29829999999998</v>
      </c>
      <c r="K2871">
        <v>1.1111530000000001</v>
      </c>
      <c r="L2871">
        <v>285.89359999999999</v>
      </c>
      <c r="M2871">
        <v>-0.99986620000000004</v>
      </c>
      <c r="N2871">
        <v>-1.4337809999999999E-2</v>
      </c>
      <c r="O2871">
        <v>7.8813719999999993E-3</v>
      </c>
      <c r="P2871">
        <v>-0.99486490000000005</v>
      </c>
      <c r="Q2871">
        <v>-3.7168319999999998E-2</v>
      </c>
      <c r="R2871">
        <v>-9.4142480000000001E-2</v>
      </c>
      <c r="S2871">
        <v>-2.97113</v>
      </c>
      <c r="T2871">
        <v>-7.8541990000000006E-2</v>
      </c>
      <c r="U2871">
        <v>-0.43994139999999998</v>
      </c>
      <c r="V2871">
        <v>-0.10190200000000001</v>
      </c>
      <c r="W2871">
        <v>-2.3261029999999999E-2</v>
      </c>
      <c r="X2871">
        <v>0.99452249999999998</v>
      </c>
      <c r="Y2871">
        <v>-0.15418519999999999</v>
      </c>
      <c r="Z2871">
        <v>-3.2330689999999999E-3</v>
      </c>
      <c r="AA2871">
        <v>0.98803669999999999</v>
      </c>
      <c r="AB2871">
        <v>41</v>
      </c>
      <c r="AC2871">
        <v>-41.807400000000001</v>
      </c>
      <c r="AD2871">
        <v>-1.1111498414600001</v>
      </c>
      <c r="AE2871">
        <v>-6.2249999999999597</v>
      </c>
      <c r="AF2871">
        <v>-6.5498138352368303</v>
      </c>
      <c r="AG2871">
        <v>-1.1111498414600001</v>
      </c>
      <c r="AH2871">
        <v>41.728197994237497</v>
      </c>
      <c r="AI2871">
        <v>91.506885777416699</v>
      </c>
      <c r="AJ2871">
        <v>98.920574238185395</v>
      </c>
      <c r="AK2871">
        <v>42.253724369488701</v>
      </c>
      <c r="AL2871">
        <v>91.332878998522801</v>
      </c>
      <c r="AM2871">
        <v>95.850294823076695</v>
      </c>
      <c r="AN2871">
        <v>1.0000000480634501</v>
      </c>
    </row>
    <row r="2872" spans="1:40" x14ac:dyDescent="0.25">
      <c r="A2872" t="str">
        <f>"20190305134952855"</f>
        <v>20190305134952855</v>
      </c>
      <c r="B2872" t="str">
        <f>"1551764992852872"</f>
        <v>1551764992852872</v>
      </c>
      <c r="C2872" t="s">
        <v>40</v>
      </c>
      <c r="D2872">
        <v>3.8652259999999998</v>
      </c>
      <c r="E2872">
        <v>0.47947070000000003</v>
      </c>
      <c r="F2872" t="s">
        <v>62</v>
      </c>
      <c r="G2872">
        <v>-491.0847</v>
      </c>
      <c r="H2872" s="1">
        <v>3.3502749999999999E-6</v>
      </c>
      <c r="I2872">
        <v>279.79020000000003</v>
      </c>
      <c r="J2872">
        <v>-450.5718</v>
      </c>
      <c r="K2872">
        <v>1.1112</v>
      </c>
      <c r="L2872">
        <v>285.89499999999998</v>
      </c>
      <c r="M2872">
        <v>-0.99987369999999998</v>
      </c>
      <c r="N2872">
        <v>-1.4336730000000001E-2</v>
      </c>
      <c r="O2872">
        <v>6.8640790000000004E-3</v>
      </c>
      <c r="P2872">
        <v>-0.99471869999999996</v>
      </c>
      <c r="Q2872">
        <v>-3.7225090000000002E-2</v>
      </c>
      <c r="R2872">
        <v>-9.5650840000000001E-2</v>
      </c>
      <c r="S2872">
        <v>-2.9703369999999998</v>
      </c>
      <c r="T2872">
        <v>-8.0921290000000007E-2</v>
      </c>
      <c r="U2872">
        <v>-0.44448850000000001</v>
      </c>
      <c r="V2872">
        <v>-0.1023955</v>
      </c>
      <c r="W2872">
        <v>-2.3333219999999998E-2</v>
      </c>
      <c r="X2872">
        <v>0.99447010000000002</v>
      </c>
      <c r="Y2872">
        <v>-0.15469349999999901</v>
      </c>
      <c r="Z2872">
        <v>-3.298629E-3</v>
      </c>
      <c r="AA2872">
        <v>0.98795699999999997</v>
      </c>
      <c r="AB2872">
        <v>41</v>
      </c>
      <c r="AC2872">
        <v>-40.512900000000002</v>
      </c>
      <c r="AD2872">
        <v>-1.1111966497250001</v>
      </c>
      <c r="AE2872">
        <v>-6.1047999999999503</v>
      </c>
      <c r="AF2872">
        <v>-6.3780767341701896</v>
      </c>
      <c r="AG2872">
        <v>-1.1111966497250001</v>
      </c>
      <c r="AH2872">
        <v>40.440289227979598</v>
      </c>
      <c r="AI2872">
        <v>91.554738624069401</v>
      </c>
      <c r="AJ2872">
        <v>98.9626291539101</v>
      </c>
      <c r="AK2872">
        <v>40.955239147927898</v>
      </c>
      <c r="AL2872">
        <v>91.337016329487994</v>
      </c>
      <c r="AM2872">
        <v>95.878736787721493</v>
      </c>
      <c r="AN2872">
        <v>1.00000002868491</v>
      </c>
    </row>
    <row r="2873" spans="1:40" x14ac:dyDescent="0.25">
      <c r="A2873" t="str">
        <f>"20190305134952869"</f>
        <v>20190305134952869</v>
      </c>
      <c r="B2873" t="str">
        <f>"1551764992863609"</f>
        <v>1551764992863609</v>
      </c>
      <c r="C2873" t="s">
        <v>40</v>
      </c>
      <c r="D2873">
        <v>3.8783650000000001</v>
      </c>
      <c r="E2873">
        <v>0.47937030000000003</v>
      </c>
      <c r="F2873" t="s">
        <v>62</v>
      </c>
      <c r="G2873">
        <v>-490.49970000000002</v>
      </c>
      <c r="H2873" s="1">
        <v>3.4579220000000001E-6</v>
      </c>
      <c r="I2873">
        <v>279.83460000000002</v>
      </c>
      <c r="J2873">
        <v>-450.80650000000003</v>
      </c>
      <c r="K2873">
        <v>1.1112379999999999</v>
      </c>
      <c r="L2873">
        <v>285.89589999999998</v>
      </c>
      <c r="M2873">
        <v>-0.99987950000000003</v>
      </c>
      <c r="N2873">
        <v>-1.4335769999999999E-2</v>
      </c>
      <c r="O2873">
        <v>5.9809299999999998E-3</v>
      </c>
      <c r="P2873">
        <v>-0.99460409999999999</v>
      </c>
      <c r="Q2873">
        <v>-3.7300659999999999E-2</v>
      </c>
      <c r="R2873">
        <v>-9.6809099999999995E-2</v>
      </c>
      <c r="S2873">
        <v>-2.969452</v>
      </c>
      <c r="T2873">
        <v>-8.2640050000000007E-2</v>
      </c>
      <c r="U2873">
        <v>-0.45071410000000001</v>
      </c>
      <c r="V2873">
        <v>-0.10267220000000001</v>
      </c>
      <c r="W2873">
        <v>-2.3420509999999999E-2</v>
      </c>
      <c r="X2873">
        <v>0.99443950000000003</v>
      </c>
      <c r="Y2873">
        <v>-0.15588540000000001</v>
      </c>
      <c r="Z2873">
        <v>-3.3607490000000001E-3</v>
      </c>
      <c r="AA2873">
        <v>0.98776940000000002</v>
      </c>
      <c r="AB2873">
        <v>41</v>
      </c>
      <c r="AC2873">
        <v>-39.693199999999898</v>
      </c>
      <c r="AD2873">
        <v>-1.1112345420780001</v>
      </c>
      <c r="AE2873">
        <v>-6.0612999999999504</v>
      </c>
      <c r="AF2873">
        <v>-6.29379779986784</v>
      </c>
      <c r="AG2873">
        <v>-1.1112345420780001</v>
      </c>
      <c r="AH2873">
        <v>39.625884761705798</v>
      </c>
      <c r="AI2873">
        <v>91.586457137972303</v>
      </c>
      <c r="AJ2873">
        <v>99.024928365481998</v>
      </c>
      <c r="AK2873">
        <v>40.137980468642397</v>
      </c>
      <c r="AL2873">
        <v>91.342019070074898</v>
      </c>
      <c r="AM2873">
        <v>95.894691103599797</v>
      </c>
      <c r="AN2873">
        <v>1.0000000100508699</v>
      </c>
    </row>
    <row r="2874" spans="1:40" x14ac:dyDescent="0.25">
      <c r="A2874" t="str">
        <f>"20190305134952882"</f>
        <v>20190305134952882</v>
      </c>
      <c r="B2874" t="str">
        <f>"1551764992873369"</f>
        <v>1551764992873369</v>
      </c>
      <c r="C2874" t="s">
        <v>40</v>
      </c>
      <c r="D2874">
        <v>3.8578199999999998</v>
      </c>
      <c r="E2874">
        <v>0.47927049999999999</v>
      </c>
      <c r="F2874" t="s">
        <v>62</v>
      </c>
      <c r="G2874">
        <v>-490.1979</v>
      </c>
      <c r="H2874" s="1">
        <v>3.5138480000000002E-6</v>
      </c>
      <c r="I2874">
        <v>279.86189999999999</v>
      </c>
      <c r="J2874">
        <v>-451.05009999999999</v>
      </c>
      <c r="K2874">
        <v>1.1112740000000001</v>
      </c>
      <c r="L2874">
        <v>285.89670000000001</v>
      </c>
      <c r="M2874">
        <v>-0.99988460000000001</v>
      </c>
      <c r="N2874">
        <v>-1.433478E-2</v>
      </c>
      <c r="O2874">
        <v>5.0524609999999899E-3</v>
      </c>
      <c r="P2874">
        <v>-0.99445930000000005</v>
      </c>
      <c r="Q2874">
        <v>-3.7534640000000001E-2</v>
      </c>
      <c r="R2874">
        <v>-9.8195980000000002E-2</v>
      </c>
      <c r="S2874">
        <v>-2.9688720000000002</v>
      </c>
      <c r="T2874">
        <v>-8.375204E-2</v>
      </c>
      <c r="U2874">
        <v>-0.45477289999999998</v>
      </c>
      <c r="V2874">
        <v>-0.1031325</v>
      </c>
      <c r="W2874">
        <v>-2.366615E-2</v>
      </c>
      <c r="X2874">
        <v>0.99438599999999999</v>
      </c>
      <c r="Y2874">
        <v>-0.15631429999999999</v>
      </c>
      <c r="Z2874">
        <v>-3.3885479999999999E-3</v>
      </c>
      <c r="AA2874">
        <v>0.98770150000000001</v>
      </c>
      <c r="AB2874">
        <v>41</v>
      </c>
      <c r="AC2874">
        <v>-39.147799999999997</v>
      </c>
      <c r="AD2874">
        <v>-1.111270486152</v>
      </c>
      <c r="AE2874">
        <v>-6.0348000000000104</v>
      </c>
      <c r="AF2874">
        <v>-6.22763427514478</v>
      </c>
      <c r="AG2874">
        <v>-1.111270486152</v>
      </c>
      <c r="AH2874">
        <v>39.086042214080003</v>
      </c>
      <c r="AI2874">
        <v>91.608284346224707</v>
      </c>
      <c r="AJ2874">
        <v>99.052921917890401</v>
      </c>
      <c r="AK2874">
        <v>39.594659320660803</v>
      </c>
      <c r="AL2874">
        <v>91.356097177893602</v>
      </c>
      <c r="AM2874">
        <v>95.921247147951703</v>
      </c>
      <c r="AN2874">
        <v>0.99999995810403497</v>
      </c>
    </row>
    <row r="2875" spans="1:40" x14ac:dyDescent="0.25">
      <c r="A2875" t="str">
        <f>"20190305134952894"</f>
        <v>20190305134952894</v>
      </c>
      <c r="B2875" t="str">
        <f>"1551764992883129"</f>
        <v>1551764992883129</v>
      </c>
      <c r="C2875" t="s">
        <v>40</v>
      </c>
      <c r="D2875">
        <v>3.8471340000000001</v>
      </c>
      <c r="E2875">
        <v>0.47919420000000001</v>
      </c>
      <c r="F2875" t="s">
        <v>62</v>
      </c>
      <c r="G2875">
        <v>-489.80410000000001</v>
      </c>
      <c r="H2875" s="1">
        <v>3.5319040000000001E-6</v>
      </c>
      <c r="I2875">
        <v>279.89299999999997</v>
      </c>
      <c r="J2875">
        <v>-451.28320000000002</v>
      </c>
      <c r="K2875">
        <v>1.111302</v>
      </c>
      <c r="L2875">
        <v>285.8972</v>
      </c>
      <c r="M2875">
        <v>-0.99988869999999996</v>
      </c>
      <c r="N2875">
        <v>-1.43337E-2</v>
      </c>
      <c r="O2875">
        <v>4.1599609999999898E-3</v>
      </c>
      <c r="P2875">
        <v>-0.99431959999999997</v>
      </c>
      <c r="Q2875">
        <v>-3.7329359999999999E-2</v>
      </c>
      <c r="R2875">
        <v>-9.967587E-2</v>
      </c>
      <c r="S2875">
        <v>-2.9680789999999999</v>
      </c>
      <c r="T2875">
        <v>-8.5109710000000005E-2</v>
      </c>
      <c r="U2875">
        <v>-0.4598083</v>
      </c>
      <c r="V2875">
        <v>-0.1037233</v>
      </c>
      <c r="W2875">
        <v>-2.3472159999999999E-2</v>
      </c>
      <c r="X2875">
        <v>0.99432920000000002</v>
      </c>
      <c r="Y2875">
        <v>-0.157106</v>
      </c>
      <c r="Z2875">
        <v>-3.4310310000000002E-3</v>
      </c>
      <c r="AA2875">
        <v>0.9875758</v>
      </c>
      <c r="AB2875">
        <v>41</v>
      </c>
      <c r="AC2875">
        <v>-38.520899999999898</v>
      </c>
      <c r="AD2875">
        <v>-1.1112984680959901</v>
      </c>
      <c r="AE2875">
        <v>-6.0042000000000204</v>
      </c>
      <c r="AF2875">
        <v>-6.1594051800835796</v>
      </c>
      <c r="AG2875">
        <v>-1.1112984680959901</v>
      </c>
      <c r="AH2875">
        <v>38.464333100456599</v>
      </c>
      <c r="AI2875">
        <v>91.634102711417896</v>
      </c>
      <c r="AJ2875">
        <v>99.097701270145294</v>
      </c>
      <c r="AK2875">
        <v>38.9702216739976</v>
      </c>
      <c r="AL2875">
        <v>91.3449792087047</v>
      </c>
      <c r="AM2875">
        <v>95.955261991844594</v>
      </c>
      <c r="AN2875">
        <v>1.0000000116152901</v>
      </c>
    </row>
    <row r="2876" spans="1:40" x14ac:dyDescent="0.25">
      <c r="A2876" t="str">
        <f>"20190305134952908"</f>
        <v>20190305134952908</v>
      </c>
      <c r="B2876" t="str">
        <f>"1551764992903624"</f>
        <v>1551764992903624</v>
      </c>
      <c r="C2876" t="s">
        <v>40</v>
      </c>
      <c r="D2876">
        <v>3.8573919999999999</v>
      </c>
      <c r="E2876">
        <v>0.47922680000000001</v>
      </c>
      <c r="F2876" t="s">
        <v>62</v>
      </c>
      <c r="G2876">
        <v>-490.0865</v>
      </c>
      <c r="H2876" s="1">
        <v>3.5299989999999998E-6</v>
      </c>
      <c r="I2876">
        <v>279.82060000000001</v>
      </c>
      <c r="J2876">
        <v>-451.5444</v>
      </c>
      <c r="K2876">
        <v>1.1113329999999999</v>
      </c>
      <c r="L2876">
        <v>285.89749999999998</v>
      </c>
      <c r="M2876">
        <v>-0.99989240000000001</v>
      </c>
      <c r="N2876">
        <v>-1.43322999999999E-2</v>
      </c>
      <c r="O2876">
        <v>3.1538120000000002E-3</v>
      </c>
      <c r="P2876">
        <v>-0.99410180000000004</v>
      </c>
      <c r="Q2876">
        <v>-3.6897119999999999E-2</v>
      </c>
      <c r="R2876">
        <v>-0.1019824</v>
      </c>
      <c r="S2876">
        <v>-2.9673769999999999</v>
      </c>
      <c r="T2876">
        <v>-8.4983589999999998E-2</v>
      </c>
      <c r="U2876">
        <v>-0.46469120000000003</v>
      </c>
      <c r="V2876">
        <v>-0.105029</v>
      </c>
      <c r="W2876">
        <v>-2.3055220000000001E-2</v>
      </c>
      <c r="X2876">
        <v>0.99420189999999997</v>
      </c>
      <c r="Y2876">
        <v>-0.15773409999999999</v>
      </c>
      <c r="Z2876">
        <v>-3.4269980000000001E-3</v>
      </c>
      <c r="AA2876">
        <v>0.98747569999999996</v>
      </c>
      <c r="AB2876">
        <v>41</v>
      </c>
      <c r="AC2876">
        <v>-38.542099999999998</v>
      </c>
      <c r="AD2876">
        <v>-1.1113294700009999</v>
      </c>
      <c r="AE2876">
        <v>-6.0768999999999602</v>
      </c>
      <c r="AF2876">
        <v>-6.1934124273363498</v>
      </c>
      <c r="AG2876">
        <v>-1.1113294700009999</v>
      </c>
      <c r="AH2876">
        <v>38.491514969888698</v>
      </c>
      <c r="AI2876">
        <v>91.632798143666705</v>
      </c>
      <c r="AJ2876">
        <v>99.1407341499974</v>
      </c>
      <c r="AK2876">
        <v>39.0024375566854</v>
      </c>
      <c r="AL2876">
        <v>91.321083820555899</v>
      </c>
      <c r="AM2876">
        <v>96.030446096066896</v>
      </c>
      <c r="AN2876">
        <v>1.0000000259869199</v>
      </c>
    </row>
    <row r="2877" spans="1:40" x14ac:dyDescent="0.25">
      <c r="A2877" t="str">
        <f>"20190305134952925"</f>
        <v>20190305134952925</v>
      </c>
      <c r="B2877" t="str">
        <f>"1551764992913385"</f>
        <v>1551764992913385</v>
      </c>
      <c r="C2877" t="s">
        <v>40</v>
      </c>
      <c r="D2877">
        <v>3.8168419999999998</v>
      </c>
      <c r="E2877">
        <v>0.47916029999999998</v>
      </c>
      <c r="F2877" t="s">
        <v>62</v>
      </c>
      <c r="G2877">
        <v>-489.60489999999999</v>
      </c>
      <c r="H2877" s="1">
        <v>3.4926120000000001E-6</v>
      </c>
      <c r="I2877">
        <v>279.8476</v>
      </c>
      <c r="J2877">
        <v>-451.8304</v>
      </c>
      <c r="K2877">
        <v>1.1113630000000001</v>
      </c>
      <c r="L2877">
        <v>285.89749999999998</v>
      </c>
      <c r="M2877">
        <v>-0.99989519999999998</v>
      </c>
      <c r="N2877">
        <v>-1.433095E-2</v>
      </c>
      <c r="O2877">
        <v>2.0455080000000001E-3</v>
      </c>
      <c r="P2877">
        <v>-0.99399289999999996</v>
      </c>
      <c r="Q2877">
        <v>-3.6464530000000002E-2</v>
      </c>
      <c r="R2877">
        <v>-0.1031919</v>
      </c>
      <c r="S2877">
        <v>-2.9662169999999999</v>
      </c>
      <c r="T2877">
        <v>-8.6610560000000003E-2</v>
      </c>
      <c r="U2877">
        <v>-0.47149659999999899</v>
      </c>
      <c r="V2877">
        <v>-0.1051372</v>
      </c>
      <c r="W2877">
        <v>-2.2630810000000001E-2</v>
      </c>
      <c r="X2877">
        <v>0.99420019999999998</v>
      </c>
      <c r="Y2877">
        <v>-0.1589052</v>
      </c>
      <c r="Z2877">
        <v>-3.481348E-3</v>
      </c>
      <c r="AA2877">
        <v>0.98728769999999999</v>
      </c>
      <c r="AB2877">
        <v>41</v>
      </c>
      <c r="AC2877">
        <v>-37.774499999999897</v>
      </c>
      <c r="AD2877">
        <v>-1.1113595073879901</v>
      </c>
      <c r="AE2877">
        <v>-6.0498999999999796</v>
      </c>
      <c r="AF2877">
        <v>-6.12199671390412</v>
      </c>
      <c r="AG2877">
        <v>-1.1113595073879901</v>
      </c>
      <c r="AH2877">
        <v>37.730202493182802</v>
      </c>
      <c r="AI2877">
        <v>91.665416143229194</v>
      </c>
      <c r="AJ2877">
        <v>99.216331764242994</v>
      </c>
      <c r="AK2877">
        <v>38.2397979060597</v>
      </c>
      <c r="AL2877">
        <v>91.296760591813594</v>
      </c>
      <c r="AM2877">
        <v>96.036623007966</v>
      </c>
      <c r="AN2877">
        <v>1.00000001103256</v>
      </c>
    </row>
    <row r="2878" spans="1:40" x14ac:dyDescent="0.25">
      <c r="A2878" t="str">
        <f>"20190305134952941"</f>
        <v>20190305134952941</v>
      </c>
      <c r="B2878" t="str">
        <f>"1551764992932905"</f>
        <v>1551764992932905</v>
      </c>
      <c r="C2878" t="s">
        <v>40</v>
      </c>
      <c r="D2878">
        <v>3.8523689999999999</v>
      </c>
      <c r="E2878">
        <v>0.47901929999999998</v>
      </c>
      <c r="F2878" t="s">
        <v>62</v>
      </c>
      <c r="G2878">
        <v>-490.36860000000001</v>
      </c>
      <c r="H2878" s="1">
        <v>3.471167E-6</v>
      </c>
      <c r="I2878">
        <v>279.7201</v>
      </c>
      <c r="J2878">
        <v>-452.14640000000003</v>
      </c>
      <c r="K2878">
        <v>1.1113919999999999</v>
      </c>
      <c r="L2878">
        <v>285.8972</v>
      </c>
      <c r="M2878">
        <v>-0.99989689999999998</v>
      </c>
      <c r="N2878">
        <v>-1.4329420000000001E-2</v>
      </c>
      <c r="O2878">
        <v>8.1779279999999997E-4</v>
      </c>
      <c r="P2878">
        <v>-0.99379600000000001</v>
      </c>
      <c r="Q2878">
        <v>-3.5709949999999997E-2</v>
      </c>
      <c r="R2878">
        <v>-0.1053282</v>
      </c>
      <c r="S2878">
        <v>-2.9656370000000001</v>
      </c>
      <c r="T2878">
        <v>-8.5522650000000006E-2</v>
      </c>
      <c r="U2878">
        <v>-0.47537230000000003</v>
      </c>
      <c r="V2878">
        <v>-0.1060552</v>
      </c>
      <c r="W2878">
        <v>-2.188855E-2</v>
      </c>
      <c r="X2878">
        <v>0.99411930000000004</v>
      </c>
      <c r="Y2878">
        <v>-0.15898329999999999</v>
      </c>
      <c r="Z2878">
        <v>-3.4358539999999999E-3</v>
      </c>
      <c r="AA2878">
        <v>0.98727529999999997</v>
      </c>
      <c r="AB2878">
        <v>41</v>
      </c>
      <c r="AC2878">
        <v>-38.222200000000001</v>
      </c>
      <c r="AD2878">
        <v>-1.1113885288330001</v>
      </c>
      <c r="AE2878">
        <v>-6.1770999999999896</v>
      </c>
      <c r="AF2878">
        <v>-6.2032477928930998</v>
      </c>
      <c r="AG2878">
        <v>-1.1113885288330001</v>
      </c>
      <c r="AH2878">
        <v>38.185671854797903</v>
      </c>
      <c r="AI2878">
        <v>91.645555340393997</v>
      </c>
      <c r="AJ2878">
        <v>99.227073791561494</v>
      </c>
      <c r="AK2878">
        <v>38.702209273429801</v>
      </c>
      <c r="AL2878">
        <v>91.254221701733897</v>
      </c>
      <c r="AM2878">
        <v>96.089428992654007</v>
      </c>
      <c r="AN2878">
        <v>0.99999999835031605</v>
      </c>
    </row>
    <row r="2879" spans="1:40" x14ac:dyDescent="0.25">
      <c r="A2879" t="str">
        <f>"20190305134952964"</f>
        <v>20190305134952964</v>
      </c>
      <c r="B2879" t="str">
        <f>"1551764992953401"</f>
        <v>1551764992953401</v>
      </c>
      <c r="C2879" t="s">
        <v>40</v>
      </c>
      <c r="D2879">
        <v>3.8432089999999999</v>
      </c>
      <c r="E2879">
        <v>0.47894619999999999</v>
      </c>
      <c r="F2879" t="s">
        <v>62</v>
      </c>
      <c r="G2879">
        <v>-491.5933</v>
      </c>
      <c r="H2879" s="1">
        <v>3.2190640000000001E-6</v>
      </c>
      <c r="I2879">
        <v>279.46980000000002</v>
      </c>
      <c r="J2879">
        <v>-452.54939999999999</v>
      </c>
      <c r="K2879">
        <v>1.111418</v>
      </c>
      <c r="L2879">
        <v>285.89609999999999</v>
      </c>
      <c r="M2879">
        <v>-0.99989720000000004</v>
      </c>
      <c r="N2879">
        <v>-1.432744E-2</v>
      </c>
      <c r="O2879">
        <v>-7.5181839999999896E-4</v>
      </c>
      <c r="P2879">
        <v>-0.99354039999999999</v>
      </c>
      <c r="Q2879">
        <v>-3.5133110000000002E-2</v>
      </c>
      <c r="R2879">
        <v>-0.1079032</v>
      </c>
      <c r="S2879">
        <v>-2.9645389999999998</v>
      </c>
      <c r="T2879">
        <v>-8.352387E-2</v>
      </c>
      <c r="U2879">
        <v>-0.48303220000000002</v>
      </c>
      <c r="V2879">
        <v>-0.1070714</v>
      </c>
      <c r="W2879">
        <v>-2.1325500000000001E-2</v>
      </c>
      <c r="X2879">
        <v>0.99402259999999998</v>
      </c>
      <c r="Y2879">
        <v>-0.15997990000000001</v>
      </c>
      <c r="Z2879">
        <v>-3.3820819999999998E-3</v>
      </c>
      <c r="AA2879">
        <v>0.98711450000000001</v>
      </c>
      <c r="AB2879">
        <v>41</v>
      </c>
      <c r="AC2879">
        <v>-39.043900000000001</v>
      </c>
      <c r="AD2879">
        <v>-1.111414780936</v>
      </c>
      <c r="AE2879">
        <v>-6.4262999999999604</v>
      </c>
      <c r="AF2879">
        <v>-6.3918985047975596</v>
      </c>
      <c r="AG2879">
        <v>-1.111414780936</v>
      </c>
      <c r="AH2879">
        <v>39.017938531576</v>
      </c>
      <c r="AI2879">
        <v>91.610161407348798</v>
      </c>
      <c r="AJ2879">
        <v>99.303526633580006</v>
      </c>
      <c r="AK2879">
        <v>39.553648840085003</v>
      </c>
      <c r="AL2879">
        <v>91.221953782870003</v>
      </c>
      <c r="AM2879">
        <v>96.147925490163303</v>
      </c>
      <c r="AN2879">
        <v>0.99999999547948404</v>
      </c>
    </row>
    <row r="2880" spans="1:40" x14ac:dyDescent="0.25">
      <c r="A2880" t="str">
        <f>"20190305134952979"</f>
        <v>20190305134952979</v>
      </c>
      <c r="B2880" t="str">
        <f>"1551764992972921"</f>
        <v>1551764992972921</v>
      </c>
      <c r="C2880" t="s">
        <v>40</v>
      </c>
      <c r="D2880">
        <v>3.8644989999999999</v>
      </c>
      <c r="E2880">
        <v>0.47889399999999999</v>
      </c>
      <c r="F2880" t="s">
        <v>62</v>
      </c>
      <c r="G2880">
        <v>-492.40469999999999</v>
      </c>
      <c r="H2880" s="1">
        <v>3.0434310000000002E-6</v>
      </c>
      <c r="I2880">
        <v>279.28980000000001</v>
      </c>
      <c r="J2880">
        <v>-452.8218</v>
      </c>
      <c r="K2880">
        <v>1.1114299999999999</v>
      </c>
      <c r="L2880">
        <v>285.89510000000001</v>
      </c>
      <c r="M2880">
        <v>-0.9998958</v>
      </c>
      <c r="N2880">
        <v>-1.432611E-2</v>
      </c>
      <c r="O2880">
        <v>-1.8138539999999999E-3</v>
      </c>
      <c r="P2880">
        <v>-0.99334719999999999</v>
      </c>
      <c r="Q2880">
        <v>-3.5331099999999997E-2</v>
      </c>
      <c r="R2880">
        <v>-0.1096061</v>
      </c>
      <c r="S2880">
        <v>-2.963257</v>
      </c>
      <c r="T2880">
        <v>-8.2634089999999993E-2</v>
      </c>
      <c r="U2880">
        <v>-0.49118040000000002</v>
      </c>
      <c r="V2880">
        <v>-0.1077169</v>
      </c>
      <c r="W2880">
        <v>-2.1532010000000001E-2</v>
      </c>
      <c r="X2880">
        <v>0.99394839999999995</v>
      </c>
      <c r="Y2880">
        <v>-0.1616427</v>
      </c>
      <c r="Z2880">
        <v>-3.3797829999999999E-3</v>
      </c>
      <c r="AA2880">
        <v>0.98684360000000004</v>
      </c>
      <c r="AB2880">
        <v>41</v>
      </c>
      <c r="AC2880">
        <v>-39.582900000000002</v>
      </c>
      <c r="AD2880">
        <v>-1.11142695656899</v>
      </c>
      <c r="AE2880">
        <v>-6.6052999999999997</v>
      </c>
      <c r="AF2880">
        <v>-6.5284765593433303</v>
      </c>
      <c r="AG2880">
        <v>-1.11142695656899</v>
      </c>
      <c r="AH2880">
        <v>39.564469592766301</v>
      </c>
      <c r="AI2880">
        <v>91.587645908356905</v>
      </c>
      <c r="AJ2880">
        <v>99.369863119544704</v>
      </c>
      <c r="AK2880">
        <v>40.114879162507897</v>
      </c>
      <c r="AL2880">
        <v>91.233788658766002</v>
      </c>
      <c r="AM2880">
        <v>96.185161144649001</v>
      </c>
      <c r="AN2880">
        <v>0.99999998993140504</v>
      </c>
    </row>
    <row r="2881" spans="1:40" x14ac:dyDescent="0.25">
      <c r="A2881" t="str">
        <f>"20190305134952998"</f>
        <v>20190305134952998</v>
      </c>
      <c r="B2881" t="str">
        <f>"1551764992993420"</f>
        <v>1551764992993420</v>
      </c>
      <c r="C2881" t="s">
        <v>40</v>
      </c>
      <c r="D2881">
        <v>3.878314</v>
      </c>
      <c r="E2881">
        <v>0.4788443</v>
      </c>
      <c r="F2881" t="s">
        <v>62</v>
      </c>
      <c r="G2881">
        <v>-492.0686</v>
      </c>
      <c r="H2881" s="1">
        <v>3.1071470000000001E-6</v>
      </c>
      <c r="I2881">
        <v>279.31310000000002</v>
      </c>
      <c r="J2881">
        <v>-453.16809999999998</v>
      </c>
      <c r="K2881">
        <v>1.1114389999999901</v>
      </c>
      <c r="L2881">
        <v>285.89319999999998</v>
      </c>
      <c r="M2881">
        <v>-0.99989240000000001</v>
      </c>
      <c r="N2881">
        <v>-1.4324419999999999E-2</v>
      </c>
      <c r="O2881">
        <v>-3.1649740000000001E-3</v>
      </c>
      <c r="P2881">
        <v>-0.99310949999999998</v>
      </c>
      <c r="Q2881">
        <v>-3.563152E-2</v>
      </c>
      <c r="R2881">
        <v>-0.1116434</v>
      </c>
      <c r="S2881">
        <v>-2.9622799999999998</v>
      </c>
      <c r="T2881">
        <v>-8.3888530000000003E-2</v>
      </c>
      <c r="U2881">
        <v>-0.49679570000000001</v>
      </c>
      <c r="V2881">
        <v>-0.10841050000000001</v>
      </c>
      <c r="W2881">
        <v>-2.1841900000000001E-2</v>
      </c>
      <c r="X2881">
        <v>0.99386620000000003</v>
      </c>
      <c r="Y2881">
        <v>-0.16217909999999999</v>
      </c>
      <c r="Z2881">
        <v>-3.4060549999999998E-3</v>
      </c>
      <c r="AA2881">
        <v>0.98675550000000001</v>
      </c>
      <c r="AB2881">
        <v>41</v>
      </c>
      <c r="AC2881">
        <v>-38.900500000000001</v>
      </c>
      <c r="AD2881">
        <v>-1.1114358928529999</v>
      </c>
      <c r="AE2881">
        <v>-6.5800999999999599</v>
      </c>
      <c r="AF2881">
        <v>-6.4518151132890802</v>
      </c>
      <c r="AG2881">
        <v>-1.1114358928529999</v>
      </c>
      <c r="AH2881">
        <v>38.890269431043301</v>
      </c>
      <c r="AI2881">
        <v>91.614936603938403</v>
      </c>
      <c r="AJ2881">
        <v>99.419461803575004</v>
      </c>
      <c r="AK2881">
        <v>39.437472845241103</v>
      </c>
      <c r="AL2881">
        <v>91.251548257074603</v>
      </c>
      <c r="AM2881">
        <v>96.225187151533603</v>
      </c>
      <c r="AN2881">
        <v>0.99999996430414895</v>
      </c>
    </row>
    <row r="2882" spans="1:40" x14ac:dyDescent="0.25">
      <c r="A2882" t="str">
        <f>"20190305134953013"</f>
        <v>20190305134953013</v>
      </c>
      <c r="B2882" t="str">
        <f>"1551764993003177"</f>
        <v>1551764993003177</v>
      </c>
      <c r="C2882" t="s">
        <v>40</v>
      </c>
      <c r="D2882">
        <v>3.8538709999999998</v>
      </c>
      <c r="E2882">
        <v>0.47882560000000002</v>
      </c>
      <c r="F2882" t="s">
        <v>62</v>
      </c>
      <c r="G2882">
        <v>-491.6549</v>
      </c>
      <c r="H2882" s="1">
        <v>3.187562E-6</v>
      </c>
      <c r="I2882">
        <v>279.35309999999998</v>
      </c>
      <c r="J2882">
        <v>-453.46469999999999</v>
      </c>
      <c r="K2882">
        <v>1.1114489999999999</v>
      </c>
      <c r="L2882">
        <v>285.89139999999998</v>
      </c>
      <c r="M2882">
        <v>-0.9998882</v>
      </c>
      <c r="N2882">
        <v>-1.4322959999999999E-2</v>
      </c>
      <c r="O2882">
        <v>-4.3225360000000001E-3</v>
      </c>
      <c r="P2882">
        <v>-0.99290369999999994</v>
      </c>
      <c r="Q2882">
        <v>-3.605146E-2</v>
      </c>
      <c r="R2882">
        <v>-0.113326</v>
      </c>
      <c r="S2882">
        <v>-2.961182</v>
      </c>
      <c r="T2882">
        <v>-8.5514069999999998E-2</v>
      </c>
      <c r="U2882">
        <v>-0.50320429999999905</v>
      </c>
      <c r="V2882">
        <v>-0.1089417</v>
      </c>
      <c r="W2882">
        <v>-2.226918E-2</v>
      </c>
      <c r="X2882">
        <v>0.99379870000000003</v>
      </c>
      <c r="Y2882">
        <v>-0.16316910000000001</v>
      </c>
      <c r="Z2882">
        <v>-3.4536219999999999E-3</v>
      </c>
      <c r="AA2882">
        <v>0.98659209999999997</v>
      </c>
      <c r="AB2882">
        <v>41</v>
      </c>
      <c r="AC2882">
        <v>-38.190199999999997</v>
      </c>
      <c r="AD2882">
        <v>-1.111445812438</v>
      </c>
      <c r="AE2882">
        <v>-6.5382999999999898</v>
      </c>
      <c r="AF2882">
        <v>-6.36790357917004</v>
      </c>
      <c r="AG2882">
        <v>-1.111445812438</v>
      </c>
      <c r="AH2882">
        <v>38.186685761848899</v>
      </c>
      <c r="AI2882">
        <v>91.644461450328095</v>
      </c>
      <c r="AJ2882">
        <v>99.467367343044202</v>
      </c>
      <c r="AK2882">
        <v>38.7299429028986</v>
      </c>
      <c r="AL2882">
        <v>91.276035467423895</v>
      </c>
      <c r="AM2882">
        <v>96.255870186665504</v>
      </c>
      <c r="AN2882">
        <v>1.00000003324922</v>
      </c>
    </row>
    <row r="2883" spans="1:40" x14ac:dyDescent="0.25">
      <c r="A2883" t="str">
        <f>"20190305134953027"</f>
        <v>20190305134953027</v>
      </c>
      <c r="B2883" t="str">
        <f>"1551764993023673"</f>
        <v>1551764993023673</v>
      </c>
      <c r="C2883" t="s">
        <v>40</v>
      </c>
      <c r="D2883">
        <v>3.8642799999999999</v>
      </c>
      <c r="E2883">
        <v>0.47878949999999998</v>
      </c>
      <c r="F2883" t="s">
        <v>62</v>
      </c>
      <c r="G2883">
        <v>-491.12360000000001</v>
      </c>
      <c r="H2883" s="1">
        <v>3.2945579999999999E-6</v>
      </c>
      <c r="I2883">
        <v>279.42540000000002</v>
      </c>
      <c r="J2883">
        <v>-453.71440000000001</v>
      </c>
      <c r="K2883">
        <v>1.1114539999999999</v>
      </c>
      <c r="L2883">
        <v>285.88959999999997</v>
      </c>
      <c r="M2883">
        <v>-0.99988359999999998</v>
      </c>
      <c r="N2883">
        <v>-1.432171E-2</v>
      </c>
      <c r="O2883">
        <v>-5.2976469999999999E-3</v>
      </c>
      <c r="P2883">
        <v>-0.992703</v>
      </c>
      <c r="Q2883">
        <v>-3.6195239999999997E-2</v>
      </c>
      <c r="R2883">
        <v>-0.1150267</v>
      </c>
      <c r="S2883">
        <v>-2.9602360000000001</v>
      </c>
      <c r="T2883">
        <v>-8.7366940000000004E-2</v>
      </c>
      <c r="U2883">
        <v>-0.50827029999999995</v>
      </c>
      <c r="V2883">
        <v>-0.1096739</v>
      </c>
      <c r="W2883">
        <v>-2.2420280000000001E-2</v>
      </c>
      <c r="X2883">
        <v>0.99371469999999995</v>
      </c>
      <c r="Y2883">
        <v>-0.1638956</v>
      </c>
      <c r="Z2883">
        <v>-3.5032380000000001E-3</v>
      </c>
      <c r="AA2883">
        <v>0.98647149999999995</v>
      </c>
      <c r="AB2883">
        <v>41</v>
      </c>
      <c r="AC2883">
        <v>-37.409199999999998</v>
      </c>
      <c r="AD2883">
        <v>-1.111450705442</v>
      </c>
      <c r="AE2883">
        <v>-6.4641999999999404</v>
      </c>
      <c r="AF2883">
        <v>-6.2605421581589704</v>
      </c>
      <c r="AG2883">
        <v>-1.111450705442</v>
      </c>
      <c r="AH2883">
        <v>37.410857590927797</v>
      </c>
      <c r="AI2883">
        <v>91.678392027012904</v>
      </c>
      <c r="AJ2883">
        <v>99.500166323474602</v>
      </c>
      <c r="AK2883">
        <v>37.947357964335197</v>
      </c>
      <c r="AL2883">
        <v>91.284695103866298</v>
      </c>
      <c r="AM2883">
        <v>96.298107411702702</v>
      </c>
      <c r="AN2883">
        <v>0.99999996914628797</v>
      </c>
    </row>
    <row r="2884" spans="1:40" x14ac:dyDescent="0.25">
      <c r="A2884" t="str">
        <f>"20190305134953042"</f>
        <v>20190305134953042</v>
      </c>
      <c r="B2884" t="str">
        <f>"1551764993033433"</f>
        <v>1551764993033433</v>
      </c>
      <c r="C2884" t="s">
        <v>40</v>
      </c>
      <c r="D2884">
        <v>3.8769749999999998</v>
      </c>
      <c r="E2884">
        <v>0.47876950000000001</v>
      </c>
      <c r="F2884" t="s">
        <v>62</v>
      </c>
      <c r="G2884">
        <v>-490.83730000000003</v>
      </c>
      <c r="H2884" s="1">
        <v>3.3488680000000002E-6</v>
      </c>
      <c r="I2884">
        <v>279.44540000000001</v>
      </c>
      <c r="J2884">
        <v>-453.97320000000002</v>
      </c>
      <c r="K2884">
        <v>1.1114550000000001</v>
      </c>
      <c r="L2884">
        <v>285.88740000000001</v>
      </c>
      <c r="M2884">
        <v>-0.99987760000000003</v>
      </c>
      <c r="N2884">
        <v>-1.43204E-2</v>
      </c>
      <c r="O2884">
        <v>-6.3086210000000004E-3</v>
      </c>
      <c r="P2884">
        <v>-0.99243419999999904</v>
      </c>
      <c r="Q2884">
        <v>-3.6482939999999998E-2</v>
      </c>
      <c r="R2884">
        <v>-0.11723169999999999</v>
      </c>
      <c r="S2884">
        <v>-2.9592900000000002</v>
      </c>
      <c r="T2884">
        <v>-8.8600520000000002E-2</v>
      </c>
      <c r="U2884">
        <v>-0.5137024</v>
      </c>
      <c r="V2884">
        <v>-0.1108743</v>
      </c>
      <c r="W2884">
        <v>-2.2717970000000001E-2</v>
      </c>
      <c r="X2884">
        <v>0.99357470000000003</v>
      </c>
      <c r="Y2884">
        <v>-0.1647062</v>
      </c>
      <c r="Z2884">
        <v>-3.5375950000000001E-3</v>
      </c>
      <c r="AA2884">
        <v>0.9863364</v>
      </c>
      <c r="AB2884">
        <v>41</v>
      </c>
      <c r="AC2884">
        <v>-36.864100000000001</v>
      </c>
      <c r="AD2884">
        <v>-1.1114516511319901</v>
      </c>
      <c r="AE2884">
        <v>-6.4420000000000002</v>
      </c>
      <c r="AF2884">
        <v>-6.2038140192510802</v>
      </c>
      <c r="AG2884">
        <v>-1.1114516511319901</v>
      </c>
      <c r="AH2884">
        <v>36.871486815966499</v>
      </c>
      <c r="AI2884">
        <v>91.702678712581701</v>
      </c>
      <c r="AJ2884">
        <v>99.550847574360603</v>
      </c>
      <c r="AK2884">
        <v>37.406271842810703</v>
      </c>
      <c r="AL2884">
        <v>91.301755854934697</v>
      </c>
      <c r="AM2884">
        <v>96.367368018125106</v>
      </c>
      <c r="AN2884">
        <v>0.99999995052074897</v>
      </c>
    </row>
    <row r="2885" spans="1:40" x14ac:dyDescent="0.25">
      <c r="A2885" t="str">
        <f>"20190305134953057"</f>
        <v>20190305134953057</v>
      </c>
      <c r="B2885" t="str">
        <f>"1551764993052954"</f>
        <v>1551764993052954</v>
      </c>
      <c r="C2885" t="s">
        <v>40</v>
      </c>
      <c r="D2885">
        <v>3.8619219999999999</v>
      </c>
      <c r="E2885">
        <v>0.47879119999999997</v>
      </c>
      <c r="F2885" t="s">
        <v>62</v>
      </c>
      <c r="G2885">
        <v>-490.51170000000002</v>
      </c>
      <c r="H2885" s="1">
        <v>3.409174E-6</v>
      </c>
      <c r="I2885">
        <v>279.45999999999998</v>
      </c>
      <c r="J2885">
        <v>-454.25740000000002</v>
      </c>
      <c r="K2885">
        <v>1.1114599999999999</v>
      </c>
      <c r="L2885">
        <v>285.88470000000001</v>
      </c>
      <c r="M2885">
        <v>-0.99986989999999998</v>
      </c>
      <c r="N2885">
        <v>-1.431902E-2</v>
      </c>
      <c r="O2885">
        <v>-7.4238129999999996E-3</v>
      </c>
      <c r="P2885">
        <v>-0.99219179999999996</v>
      </c>
      <c r="Q2885">
        <v>-3.6804089999999998E-2</v>
      </c>
      <c r="R2885">
        <v>-0.1191685</v>
      </c>
      <c r="S2885">
        <v>-2.9580989999999998</v>
      </c>
      <c r="T2885">
        <v>-8.9981320000000004E-2</v>
      </c>
      <c r="U2885">
        <v>-0.52035520000000002</v>
      </c>
      <c r="V2885">
        <v>-0.11170339999999999</v>
      </c>
      <c r="W2885">
        <v>-2.3047499999999999E-2</v>
      </c>
      <c r="X2885">
        <v>0.99347430000000003</v>
      </c>
      <c r="Y2885">
        <v>-0.1658221</v>
      </c>
      <c r="Z2885">
        <v>-3.580457E-3</v>
      </c>
      <c r="AA2885">
        <v>0.98614919999999995</v>
      </c>
      <c r="AB2885">
        <v>41</v>
      </c>
      <c r="AC2885">
        <v>-36.254300000000001</v>
      </c>
      <c r="AD2885">
        <v>-1.1114565908259999</v>
      </c>
      <c r="AE2885">
        <v>-6.4247000000000298</v>
      </c>
      <c r="AF2885">
        <v>-6.1497462237534304</v>
      </c>
      <c r="AG2885">
        <v>-1.1114565908259999</v>
      </c>
      <c r="AH2885">
        <v>36.267952264416998</v>
      </c>
      <c r="AI2885">
        <v>91.730631672427606</v>
      </c>
      <c r="AJ2885">
        <v>99.623775284327706</v>
      </c>
      <c r="AK2885">
        <v>36.802433015004503</v>
      </c>
      <c r="AL2885">
        <v>91.320641399652899</v>
      </c>
      <c r="AM2885">
        <v>96.415229595883204</v>
      </c>
      <c r="AN2885">
        <v>1.00000001079414</v>
      </c>
    </row>
    <row r="2886" spans="1:40" x14ac:dyDescent="0.25">
      <c r="A2886" t="str">
        <f>"20190305134953071"</f>
        <v>20190305134953071</v>
      </c>
      <c r="B2886" t="str">
        <f>"1551764993063690"</f>
        <v>1551764993063690</v>
      </c>
      <c r="C2886" t="s">
        <v>40</v>
      </c>
      <c r="D2886">
        <v>3.8540709999999998</v>
      </c>
      <c r="E2886">
        <v>0.47880879999999998</v>
      </c>
      <c r="F2886" t="s">
        <v>62</v>
      </c>
      <c r="G2886">
        <v>-490.27519999999998</v>
      </c>
      <c r="H2886" s="1">
        <v>3.454395E-6</v>
      </c>
      <c r="I2886">
        <v>279.4785</v>
      </c>
      <c r="J2886">
        <v>-454.50830000000002</v>
      </c>
      <c r="K2886">
        <v>1.1114660000000001</v>
      </c>
      <c r="L2886">
        <v>285.88209999999998</v>
      </c>
      <c r="M2886">
        <v>-0.99986229999999998</v>
      </c>
      <c r="N2886">
        <v>-1.431785E-2</v>
      </c>
      <c r="O2886">
        <v>-8.4130160000000006E-3</v>
      </c>
      <c r="P2886">
        <v>-0.9919692</v>
      </c>
      <c r="Q2886">
        <v>-3.7136660000000002E-2</v>
      </c>
      <c r="R2886">
        <v>-0.12090529999999999</v>
      </c>
      <c r="S2886">
        <v>-2.957001</v>
      </c>
      <c r="T2886">
        <v>-9.1248750000000003E-2</v>
      </c>
      <c r="U2886">
        <v>-0.52593990000000002</v>
      </c>
      <c r="V2886">
        <v>-0.1124576</v>
      </c>
      <c r="W2886">
        <v>-2.3387950000000001E-2</v>
      </c>
      <c r="X2886">
        <v>0.99338130000000002</v>
      </c>
      <c r="Y2886">
        <v>-0.16671179999999999</v>
      </c>
      <c r="Z2886">
        <v>-3.616911E-3</v>
      </c>
      <c r="AA2886">
        <v>0.98599899999999996</v>
      </c>
      <c r="AB2886">
        <v>41</v>
      </c>
      <c r="AC2886">
        <v>-35.7668999999999</v>
      </c>
      <c r="AD2886">
        <v>-1.111462545605</v>
      </c>
      <c r="AE2886">
        <v>-6.4035999999999804</v>
      </c>
      <c r="AF2886">
        <v>-6.0967304882551403</v>
      </c>
      <c r="AG2886">
        <v>-1.111462545605</v>
      </c>
      <c r="AH2886">
        <v>35.786028995594002</v>
      </c>
      <c r="AI2886">
        <v>91.753700456904895</v>
      </c>
      <c r="AJ2886">
        <v>99.668437569050496</v>
      </c>
      <c r="AK2886">
        <v>36.318663837071398</v>
      </c>
      <c r="AL2886">
        <v>91.340152944637694</v>
      </c>
      <c r="AM2886">
        <v>96.458778771750005</v>
      </c>
      <c r="AN2886">
        <v>1.0000000575963199</v>
      </c>
    </row>
    <row r="2887" spans="1:40" x14ac:dyDescent="0.25">
      <c r="A2887" t="str">
        <f>"20190305134953084"</f>
        <v>20190305134953084</v>
      </c>
      <c r="B2887" t="str">
        <f>"1551764993073449"</f>
        <v>1551764993073449</v>
      </c>
      <c r="C2887" t="s">
        <v>40</v>
      </c>
      <c r="D2887">
        <v>3.867537</v>
      </c>
      <c r="E2887">
        <v>0.47883029999999999</v>
      </c>
      <c r="F2887" t="s">
        <v>62</v>
      </c>
      <c r="G2887">
        <v>-490.03199999999998</v>
      </c>
      <c r="H2887" s="1">
        <v>3.4871719999999999E-6</v>
      </c>
      <c r="I2887">
        <v>279.49970000000002</v>
      </c>
      <c r="J2887">
        <v>-454.74099999999999</v>
      </c>
      <c r="K2887">
        <v>1.1114679999999999</v>
      </c>
      <c r="L2887">
        <v>285.8793</v>
      </c>
      <c r="M2887">
        <v>-0.99985380000000001</v>
      </c>
      <c r="N2887">
        <v>-1.431676E-2</v>
      </c>
      <c r="O2887">
        <v>-9.3406310000000003E-3</v>
      </c>
      <c r="P2887">
        <v>-0.99173330000000004</v>
      </c>
      <c r="Q2887">
        <v>-3.7476009999999997E-2</v>
      </c>
      <c r="R2887">
        <v>-0.122721</v>
      </c>
      <c r="S2887">
        <v>-2.9560550000000001</v>
      </c>
      <c r="T2887">
        <v>-9.2488650000000006E-2</v>
      </c>
      <c r="U2887">
        <v>-0.53109740000000005</v>
      </c>
      <c r="V2887">
        <v>-0.11335240000000001</v>
      </c>
      <c r="W2887">
        <v>-2.3736440000000001E-2</v>
      </c>
      <c r="X2887">
        <v>0.99327129999999997</v>
      </c>
      <c r="Y2887">
        <v>-0.16751540000000001</v>
      </c>
      <c r="Z2887">
        <v>-3.6511999999999998E-3</v>
      </c>
      <c r="AA2887">
        <v>0.98586269999999998</v>
      </c>
      <c r="AB2887">
        <v>41</v>
      </c>
      <c r="AC2887">
        <v>-35.290999999999997</v>
      </c>
      <c r="AD2887">
        <v>-1.1114645128280001</v>
      </c>
      <c r="AE2887">
        <v>-6.3795999999999804</v>
      </c>
      <c r="AF2887">
        <v>-6.0438424892253204</v>
      </c>
      <c r="AG2887">
        <v>-1.1114645128280001</v>
      </c>
      <c r="AH2887">
        <v>35.315135473666302</v>
      </c>
      <c r="AI2887">
        <v>91.776844552997503</v>
      </c>
      <c r="AJ2887">
        <v>99.711531962629493</v>
      </c>
      <c r="AK2887">
        <v>35.845811176778298</v>
      </c>
      <c r="AL2887">
        <v>91.360125531862593</v>
      </c>
      <c r="AM2887">
        <v>96.510445162067896</v>
      </c>
      <c r="AN2887">
        <v>1.0000000302866601</v>
      </c>
    </row>
    <row r="2888" spans="1:40" x14ac:dyDescent="0.25">
      <c r="A2888" t="str">
        <f>"20190305134953096"</f>
        <v>20190305134953096</v>
      </c>
      <c r="B2888" t="str">
        <f>"1551764993092969"</f>
        <v>1551764993092969</v>
      </c>
      <c r="C2888" t="s">
        <v>40</v>
      </c>
      <c r="D2888">
        <v>3.8545069999999999</v>
      </c>
      <c r="E2888">
        <v>0.47885430000000001</v>
      </c>
      <c r="F2888" t="s">
        <v>62</v>
      </c>
      <c r="G2888">
        <v>-489.77010000000001</v>
      </c>
      <c r="H2888" s="1">
        <v>3.467529E-6</v>
      </c>
      <c r="I2888">
        <v>279.5197</v>
      </c>
      <c r="J2888">
        <v>-454.96870000000001</v>
      </c>
      <c r="K2888">
        <v>1.11148</v>
      </c>
      <c r="L2888">
        <v>285.87650000000002</v>
      </c>
      <c r="M2888">
        <v>-0.99984499999999998</v>
      </c>
      <c r="N2888">
        <v>-1.431575E-2</v>
      </c>
      <c r="O2888">
        <v>-1.025649E-2</v>
      </c>
      <c r="P2888">
        <v>-0.99150400000000005</v>
      </c>
      <c r="Q2888">
        <v>-3.7766969999999997E-2</v>
      </c>
      <c r="R2888">
        <v>-0.1244745</v>
      </c>
      <c r="S2888">
        <v>-2.9550480000000001</v>
      </c>
      <c r="T2888">
        <v>-9.3762869999999998E-2</v>
      </c>
      <c r="U2888">
        <v>-0.53649899999999995</v>
      </c>
      <c r="V2888">
        <v>-0.11419650000000001</v>
      </c>
      <c r="W2888">
        <v>-2.4036720000000001E-2</v>
      </c>
      <c r="X2888">
        <v>0.99316729999999998</v>
      </c>
      <c r="Y2888">
        <v>-0.1684127</v>
      </c>
      <c r="Z2888">
        <v>-3.6883010000000002E-3</v>
      </c>
      <c r="AA2888">
        <v>0.98570970000000002</v>
      </c>
      <c r="AB2888">
        <v>41</v>
      </c>
      <c r="AC2888">
        <v>-34.801400000000001</v>
      </c>
      <c r="AD2888">
        <v>-1.1114765324709901</v>
      </c>
      <c r="AE2888">
        <v>-6.3568000000000202</v>
      </c>
      <c r="AF2888">
        <v>-5.9935726517144596</v>
      </c>
      <c r="AG2888">
        <v>-1.1114765324709901</v>
      </c>
      <c r="AH2888">
        <v>34.830393744017698</v>
      </c>
      <c r="AI2888">
        <v>91.801294897015794</v>
      </c>
      <c r="AJ2888">
        <v>99.763766853971305</v>
      </c>
      <c r="AK2888">
        <v>35.3597882003968</v>
      </c>
      <c r="AL2888">
        <v>91.377335335710498</v>
      </c>
      <c r="AM2888">
        <v>96.559186365209996</v>
      </c>
      <c r="AN2888">
        <v>0.99999994515494695</v>
      </c>
    </row>
    <row r="2889" spans="1:40" x14ac:dyDescent="0.25">
      <c r="A2889" t="str">
        <f>"20190305134953109"</f>
        <v>20190305134953109</v>
      </c>
      <c r="B2889" t="str">
        <f>"1551764993103705"</f>
        <v>1551764993103705</v>
      </c>
      <c r="C2889" t="s">
        <v>40</v>
      </c>
      <c r="D2889">
        <v>3.872312</v>
      </c>
      <c r="E2889">
        <v>0.47884929999999898</v>
      </c>
      <c r="F2889" t="s">
        <v>62</v>
      </c>
      <c r="G2889">
        <v>-489.48669999999998</v>
      </c>
      <c r="H2889" s="1">
        <v>3.4286979999999998E-6</v>
      </c>
      <c r="I2889">
        <v>279.5521</v>
      </c>
      <c r="J2889">
        <v>-455.20069999999998</v>
      </c>
      <c r="K2889">
        <v>1.1114790000000001</v>
      </c>
      <c r="L2889">
        <v>285.8734</v>
      </c>
      <c r="M2889">
        <v>-0.99983480000000002</v>
      </c>
      <c r="N2889">
        <v>-1.4314739999999999E-2</v>
      </c>
      <c r="O2889">
        <v>-1.119671E-2</v>
      </c>
      <c r="P2889">
        <v>-0.99122739999999998</v>
      </c>
      <c r="Q2889">
        <v>-3.7759710000000002E-2</v>
      </c>
      <c r="R2889">
        <v>-0.12665870000000001</v>
      </c>
      <c r="S2889">
        <v>-2.954132</v>
      </c>
      <c r="T2889">
        <v>-9.5122810000000002E-2</v>
      </c>
      <c r="U2889">
        <v>-0.54125979999999996</v>
      </c>
      <c r="V2889">
        <v>-0.115449499999999</v>
      </c>
      <c r="W2889">
        <v>-2.4041670000000001E-2</v>
      </c>
      <c r="X2889">
        <v>0.99302239999999997</v>
      </c>
      <c r="Y2889">
        <v>-0.16907359999999999</v>
      </c>
      <c r="Z2889">
        <v>-3.721158E-3</v>
      </c>
      <c r="AA2889">
        <v>0.98559640000000004</v>
      </c>
      <c r="AB2889">
        <v>41</v>
      </c>
      <c r="AC2889">
        <v>-34.286000000000001</v>
      </c>
      <c r="AD2889">
        <v>-1.1114755713019999</v>
      </c>
      <c r="AE2889">
        <v>-6.3212999999999999</v>
      </c>
      <c r="AF2889">
        <v>-5.9309459168507104</v>
      </c>
      <c r="AG2889">
        <v>-1.1114755713019999</v>
      </c>
      <c r="AH2889">
        <v>34.319754020246897</v>
      </c>
      <c r="AI2889">
        <v>91.827851514777805</v>
      </c>
      <c r="AJ2889">
        <v>99.804693112909803</v>
      </c>
      <c r="AK2889">
        <v>34.846190802216299</v>
      </c>
      <c r="AL2889">
        <v>91.377618903992797</v>
      </c>
      <c r="AM2889">
        <v>96.631477319931193</v>
      </c>
      <c r="AN2889">
        <v>1.00000003792419</v>
      </c>
    </row>
    <row r="2890" spans="1:40" x14ac:dyDescent="0.25">
      <c r="A2890" t="str">
        <f>"20190305134953132"</f>
        <v>20190305134953132</v>
      </c>
      <c r="B2890" t="str">
        <f>"1551764993123225"</f>
        <v>1551764993123225</v>
      </c>
      <c r="C2890" t="s">
        <v>40</v>
      </c>
      <c r="D2890">
        <v>3.8901150000000002</v>
      </c>
      <c r="E2890">
        <v>0.47886889999999999</v>
      </c>
      <c r="F2890" t="s">
        <v>62</v>
      </c>
      <c r="G2890">
        <v>-489.67219999999998</v>
      </c>
      <c r="H2890" s="1">
        <v>3.435693E-6</v>
      </c>
      <c r="I2890">
        <v>279.47879999999998</v>
      </c>
      <c r="J2890">
        <v>-455.59719999999999</v>
      </c>
      <c r="K2890">
        <v>1.111505</v>
      </c>
      <c r="L2890">
        <v>285.86759999999998</v>
      </c>
      <c r="M2890">
        <v>-0.99981500000000001</v>
      </c>
      <c r="N2890">
        <v>-1.431313E-2</v>
      </c>
      <c r="O2890">
        <v>-1.2855149999999999E-2</v>
      </c>
      <c r="P2890">
        <v>-0.99088750000000003</v>
      </c>
      <c r="Q2890">
        <v>-3.749454E-2</v>
      </c>
      <c r="R2890">
        <v>-0.12936919999999999</v>
      </c>
      <c r="S2890">
        <v>-2.9529420000000002</v>
      </c>
      <c r="T2890">
        <v>-9.5212699999999997E-2</v>
      </c>
      <c r="U2890">
        <v>-0.54779049999999996</v>
      </c>
      <c r="V2890">
        <v>-0.11651640000000001</v>
      </c>
      <c r="W2890">
        <v>-2.379452E-2</v>
      </c>
      <c r="X2890">
        <v>0.99290369999999994</v>
      </c>
      <c r="Y2890">
        <v>-0.16961689999999999</v>
      </c>
      <c r="Z2890">
        <v>-3.7070710000000002E-3</v>
      </c>
      <c r="AA2890">
        <v>0.98550309999999997</v>
      </c>
      <c r="AB2890">
        <v>41</v>
      </c>
      <c r="AC2890">
        <v>-34.074999999999903</v>
      </c>
      <c r="AD2890">
        <v>-1.1115015643070001</v>
      </c>
      <c r="AE2890">
        <v>-6.3887999999999998</v>
      </c>
      <c r="AF2890">
        <v>-5.9440780835825198</v>
      </c>
      <c r="AG2890">
        <v>-1.1115015643070001</v>
      </c>
      <c r="AH2890">
        <v>34.119250565589098</v>
      </c>
      <c r="AI2890">
        <v>91.838195216690906</v>
      </c>
      <c r="AJ2890">
        <v>99.882587347358793</v>
      </c>
      <c r="AK2890">
        <v>34.650984966500403</v>
      </c>
      <c r="AL2890">
        <v>91.363454246547207</v>
      </c>
      <c r="AM2890">
        <v>96.693000033197805</v>
      </c>
      <c r="AN2890">
        <v>1.00000000406234</v>
      </c>
    </row>
    <row r="2891" spans="1:40" x14ac:dyDescent="0.25">
      <c r="A2891" t="str">
        <f>"20190305134953154"</f>
        <v>20190305134953154</v>
      </c>
      <c r="B2891" t="str">
        <f>"1551764993143722"</f>
        <v>1551764993143722</v>
      </c>
      <c r="C2891" t="s">
        <v>40</v>
      </c>
      <c r="D2891">
        <v>3.9096009999999999</v>
      </c>
      <c r="E2891">
        <v>0.47896270000000002</v>
      </c>
      <c r="F2891" t="s">
        <v>62</v>
      </c>
      <c r="G2891">
        <v>-490.28410000000002</v>
      </c>
      <c r="H2891" s="1">
        <v>3.4075049999999999E-6</v>
      </c>
      <c r="I2891">
        <v>279.33760000000001</v>
      </c>
      <c r="J2891">
        <v>-456.01679999999999</v>
      </c>
      <c r="K2891">
        <v>1.111556</v>
      </c>
      <c r="L2891">
        <v>285.8605</v>
      </c>
      <c r="M2891">
        <v>-0.99978959999999995</v>
      </c>
      <c r="N2891">
        <v>-1.431209E-2</v>
      </c>
      <c r="O2891">
        <v>-1.4696870000000001E-2</v>
      </c>
      <c r="P2891">
        <v>-0.99050800000000006</v>
      </c>
      <c r="Q2891">
        <v>-3.8127870000000001E-2</v>
      </c>
      <c r="R2891">
        <v>-0.13206219999999999</v>
      </c>
      <c r="S2891">
        <v>-2.951508</v>
      </c>
      <c r="T2891">
        <v>-9.4577670000000003E-2</v>
      </c>
      <c r="U2891">
        <v>-0.5556335</v>
      </c>
      <c r="V2891">
        <v>-0.11738</v>
      </c>
      <c r="W2891">
        <v>-2.4451130000000001E-2</v>
      </c>
      <c r="X2891">
        <v>0.99278599999999995</v>
      </c>
      <c r="Y2891">
        <v>-0.17041879999999901</v>
      </c>
      <c r="Z2891">
        <v>-3.678653E-3</v>
      </c>
      <c r="AA2891">
        <v>0.98536489999999999</v>
      </c>
      <c r="AB2891">
        <v>41</v>
      </c>
      <c r="AC2891">
        <v>-34.267299999999999</v>
      </c>
      <c r="AD2891">
        <v>-1.111552592495</v>
      </c>
      <c r="AE2891">
        <v>-6.5228999999999902</v>
      </c>
      <c r="AF2891">
        <v>-6.0124166503183503</v>
      </c>
      <c r="AG2891">
        <v>-1.111552592495</v>
      </c>
      <c r="AH2891">
        <v>34.324620610806399</v>
      </c>
      <c r="AI2891">
        <v>91.826994680355497</v>
      </c>
      <c r="AJ2891">
        <v>99.935328218367502</v>
      </c>
      <c r="AK2891">
        <v>34.864943470751598</v>
      </c>
      <c r="AL2891">
        <v>91.401086210612604</v>
      </c>
      <c r="AM2891">
        <v>96.742944367694193</v>
      </c>
      <c r="AN2891">
        <v>0.99999998197713802</v>
      </c>
    </row>
    <row r="2892" spans="1:40" x14ac:dyDescent="0.25">
      <c r="A2892" t="str">
        <f>"20190305134953176"</f>
        <v>20190305134953176</v>
      </c>
      <c r="B2892" t="str">
        <f>"1551764993173001"</f>
        <v>1551764993173001</v>
      </c>
      <c r="C2892" t="s">
        <v>40</v>
      </c>
      <c r="D2892">
        <v>3.9038520000000001</v>
      </c>
      <c r="E2892">
        <v>0.47895599999999999</v>
      </c>
      <c r="F2892" t="s">
        <v>62</v>
      </c>
      <c r="G2892">
        <v>-489.94409999999999</v>
      </c>
      <c r="H2892" s="1">
        <v>3.450375E-6</v>
      </c>
      <c r="I2892">
        <v>279.38389999999998</v>
      </c>
      <c r="J2892">
        <v>-456.41860000000003</v>
      </c>
      <c r="K2892">
        <v>1.1116299999999999</v>
      </c>
      <c r="L2892">
        <v>285.85300000000001</v>
      </c>
      <c r="M2892">
        <v>-0.99976069999999995</v>
      </c>
      <c r="N2892">
        <v>-1.431164E-2</v>
      </c>
      <c r="O2892">
        <v>-1.6542620000000001E-2</v>
      </c>
      <c r="P2892">
        <v>-0.99007540000000005</v>
      </c>
      <c r="Q2892">
        <v>-3.8681399999999998E-2</v>
      </c>
      <c r="R2892">
        <v>-0.1351106</v>
      </c>
      <c r="S2892">
        <v>-2.9499819999999999</v>
      </c>
      <c r="T2892">
        <v>-9.6649650000000004E-2</v>
      </c>
      <c r="U2892">
        <v>-0.56314090000000006</v>
      </c>
      <c r="V2892">
        <v>-0.1185963</v>
      </c>
      <c r="W2892">
        <v>-2.5032349999999998E-2</v>
      </c>
      <c r="X2892">
        <v>0.99262700000000004</v>
      </c>
      <c r="Y2892">
        <v>-0.17110819999999999</v>
      </c>
      <c r="Z2892">
        <v>-3.7110329999999999E-3</v>
      </c>
      <c r="AA2892">
        <v>0.98524529999999999</v>
      </c>
      <c r="AB2892">
        <v>41</v>
      </c>
      <c r="AC2892">
        <v>-33.525499999999901</v>
      </c>
      <c r="AD2892">
        <v>-1.111626549625</v>
      </c>
      <c r="AE2892">
        <v>-6.4691000000000196</v>
      </c>
      <c r="AF2892">
        <v>-5.9072966517507499</v>
      </c>
      <c r="AG2892">
        <v>-1.111626549625</v>
      </c>
      <c r="AH2892">
        <v>33.592331685102401</v>
      </c>
      <c r="AI2892">
        <v>91.866699212413707</v>
      </c>
      <c r="AJ2892">
        <v>99.973633763557203</v>
      </c>
      <c r="AK2892">
        <v>34.125893619941301</v>
      </c>
      <c r="AL2892">
        <v>91.434397791769499</v>
      </c>
      <c r="AM2892">
        <v>96.813242880253199</v>
      </c>
      <c r="AN2892">
        <v>1.0000000310246</v>
      </c>
    </row>
    <row r="2893" spans="1:40" x14ac:dyDescent="0.25">
      <c r="A2893" t="str">
        <f>"20190305134953192"</f>
        <v>20190305134953192</v>
      </c>
      <c r="B2893" t="str">
        <f>"1551764993183737"</f>
        <v>1551764993183737</v>
      </c>
      <c r="C2893" t="s">
        <v>40</v>
      </c>
      <c r="D2893">
        <v>3.8938410000000001</v>
      </c>
      <c r="E2893">
        <v>0.47898619999999997</v>
      </c>
      <c r="F2893" t="s">
        <v>62</v>
      </c>
      <c r="G2893">
        <v>-489.67469999999997</v>
      </c>
      <c r="H2893" s="1">
        <v>3.4084560000000001E-6</v>
      </c>
      <c r="I2893">
        <v>279.40050000000002</v>
      </c>
      <c r="J2893">
        <v>-456.7115</v>
      </c>
      <c r="K2893">
        <v>1.111686</v>
      </c>
      <c r="L2893">
        <v>285.84699999999998</v>
      </c>
      <c r="M2893">
        <v>-0.99973670000000003</v>
      </c>
      <c r="N2893">
        <v>-1.431145E-2</v>
      </c>
      <c r="O2893">
        <v>-1.7944080000000001E-2</v>
      </c>
      <c r="P2893">
        <v>-0.98980029999999997</v>
      </c>
      <c r="Q2893">
        <v>-3.9166159999999998E-2</v>
      </c>
      <c r="R2893">
        <v>-0.13697319999999999</v>
      </c>
      <c r="S2893">
        <v>-2.9481809999999999</v>
      </c>
      <c r="T2893">
        <v>-9.8546739999999994E-2</v>
      </c>
      <c r="U2893">
        <v>-0.57202149999999996</v>
      </c>
      <c r="V2893">
        <v>-0.11906659999999999</v>
      </c>
      <c r="W2893">
        <v>-2.5536619999999999E-2</v>
      </c>
      <c r="X2893">
        <v>0.99255780000000005</v>
      </c>
      <c r="Y2893">
        <v>-0.17269419999999999</v>
      </c>
      <c r="Z2893">
        <v>-3.7672439999999999E-3</v>
      </c>
      <c r="AA2893">
        <v>0.98496830000000002</v>
      </c>
      <c r="AB2893">
        <v>41</v>
      </c>
      <c r="AC2893">
        <v>-32.963199999999901</v>
      </c>
      <c r="AD2893">
        <v>-1.1116825915439901</v>
      </c>
      <c r="AE2893">
        <v>-6.4464999999999497</v>
      </c>
      <c r="AF2893">
        <v>-5.8475012585609702</v>
      </c>
      <c r="AG2893">
        <v>-1.1116825915439901</v>
      </c>
      <c r="AH2893">
        <v>33.037388285364202</v>
      </c>
      <c r="AI2893">
        <v>91.897756637875204</v>
      </c>
      <c r="AJ2893">
        <v>100.03719824316001</v>
      </c>
      <c r="AK2893">
        <v>33.569303446320298</v>
      </c>
      <c r="AL2893">
        <v>91.463299648208306</v>
      </c>
      <c r="AM2893">
        <v>96.840478043687995</v>
      </c>
      <c r="AN2893">
        <v>0.99999998026871195</v>
      </c>
    </row>
    <row r="2894" spans="1:40" x14ac:dyDescent="0.25">
      <c r="A2894" t="str">
        <f>"20190305134953210"</f>
        <v>20190305134953210</v>
      </c>
      <c r="B2894" t="str">
        <f>"1551764993203260"</f>
        <v>1551764993203260</v>
      </c>
      <c r="C2894" t="s">
        <v>40</v>
      </c>
      <c r="D2894">
        <v>3.889729</v>
      </c>
      <c r="E2894">
        <v>0.47905999999999999</v>
      </c>
      <c r="F2894" t="s">
        <v>62</v>
      </c>
      <c r="G2894">
        <v>-489.41669999999999</v>
      </c>
      <c r="H2894" s="1">
        <v>3.3764540000000002E-6</v>
      </c>
      <c r="I2894">
        <v>279.43939999999998</v>
      </c>
      <c r="J2894">
        <v>-457.024</v>
      </c>
      <c r="K2894">
        <v>1.1117680000000001</v>
      </c>
      <c r="L2894">
        <v>285.84010000000001</v>
      </c>
      <c r="M2894">
        <v>-0.99970740000000002</v>
      </c>
      <c r="N2894">
        <v>-1.431137E-2</v>
      </c>
      <c r="O2894">
        <v>-1.9508190000000002E-2</v>
      </c>
      <c r="P2894">
        <v>-0.98943899999999996</v>
      </c>
      <c r="Q2894">
        <v>-3.965453E-2</v>
      </c>
      <c r="R2894">
        <v>-0.1394204</v>
      </c>
      <c r="S2894">
        <v>-2.9470830000000001</v>
      </c>
      <c r="T2894">
        <v>-0.100174</v>
      </c>
      <c r="U2894">
        <v>-0.57739259999999903</v>
      </c>
      <c r="V2894">
        <v>-0.1199619</v>
      </c>
      <c r="W2894">
        <v>-2.6051000000000001E-2</v>
      </c>
      <c r="X2894">
        <v>0.9924366</v>
      </c>
      <c r="Y2894">
        <v>-0.17294770000000001</v>
      </c>
      <c r="Z2894">
        <v>-3.780945E-3</v>
      </c>
      <c r="AA2894">
        <v>0.98492380000000002</v>
      </c>
      <c r="AB2894">
        <v>41</v>
      </c>
      <c r="AC2894">
        <v>-32.392699999999898</v>
      </c>
      <c r="AD2894">
        <v>-1.1117646235459999</v>
      </c>
      <c r="AE2894">
        <v>-6.40070000000002</v>
      </c>
      <c r="AF2894">
        <v>-5.7609629051031197</v>
      </c>
      <c r="AG2894">
        <v>-1.1117646235459999</v>
      </c>
      <c r="AH2894">
        <v>32.474596787410299</v>
      </c>
      <c r="AI2894">
        <v>91.9306293952434</v>
      </c>
      <c r="AJ2894">
        <v>100.059562401767</v>
      </c>
      <c r="AK2894">
        <v>33.000365917320103</v>
      </c>
      <c r="AL2894">
        <v>91.492781293625896</v>
      </c>
      <c r="AM2894">
        <v>96.892254482841295</v>
      </c>
      <c r="AN2894">
        <v>0.99999995853608403</v>
      </c>
    </row>
    <row r="2895" spans="1:40" x14ac:dyDescent="0.25">
      <c r="A2895" t="str">
        <f>"20190305134953224"</f>
        <v>20190305134953224</v>
      </c>
      <c r="B2895" t="str">
        <f>"1551764993213016"</f>
        <v>1551764993213016</v>
      </c>
      <c r="C2895" t="s">
        <v>40</v>
      </c>
      <c r="D2895">
        <v>3.9087890000000001</v>
      </c>
      <c r="E2895">
        <v>0.47906850000000001</v>
      </c>
      <c r="F2895" t="s">
        <v>62</v>
      </c>
      <c r="G2895">
        <v>-489.11369999999999</v>
      </c>
      <c r="H2895" s="1">
        <v>3.3362150000000001E-6</v>
      </c>
      <c r="I2895">
        <v>279.4776</v>
      </c>
      <c r="J2895">
        <v>-457.2996</v>
      </c>
      <c r="K2895">
        <v>1.11185</v>
      </c>
      <c r="L2895">
        <v>285.83350000000002</v>
      </c>
      <c r="M2895">
        <v>-0.9996777</v>
      </c>
      <c r="N2895">
        <v>-1.431172E-2</v>
      </c>
      <c r="O2895">
        <v>-2.0972879999999999E-2</v>
      </c>
      <c r="P2895">
        <v>-0.98914590000000002</v>
      </c>
      <c r="Q2895">
        <v>-3.9766360000000001E-2</v>
      </c>
      <c r="R2895">
        <v>-0.14145479999999899</v>
      </c>
      <c r="S2895">
        <v>-2.9456790000000002</v>
      </c>
      <c r="T2895">
        <v>-0.1020548</v>
      </c>
      <c r="U2895">
        <v>-0.58404540000000005</v>
      </c>
      <c r="V2895">
        <v>-0.1205425</v>
      </c>
      <c r="W2895">
        <v>-2.6187430000000001E-2</v>
      </c>
      <c r="X2895">
        <v>0.99236270000000004</v>
      </c>
      <c r="Y2895">
        <v>-0.17372979999999999</v>
      </c>
      <c r="Z2895">
        <v>-3.8137650000000002E-3</v>
      </c>
      <c r="AA2895">
        <v>0.98478600000000005</v>
      </c>
      <c r="AB2895">
        <v>41</v>
      </c>
      <c r="AC2895">
        <v>-31.8141</v>
      </c>
      <c r="AD2895">
        <v>-1.111846663785</v>
      </c>
      <c r="AE2895">
        <v>-6.3559000000000099</v>
      </c>
      <c r="AF2895">
        <v>-5.6805283323958298</v>
      </c>
      <c r="AG2895">
        <v>-1.111846663785</v>
      </c>
      <c r="AH2895">
        <v>31.902946014939001</v>
      </c>
      <c r="AI2895">
        <v>91.965118826177999</v>
      </c>
      <c r="AJ2895">
        <v>100.096080076148</v>
      </c>
      <c r="AK2895">
        <v>32.423796347297703</v>
      </c>
      <c r="AL2895">
        <v>91.500600759557202</v>
      </c>
      <c r="AM2895">
        <v>96.925799634890794</v>
      </c>
      <c r="AN2895">
        <v>1.00000000207377</v>
      </c>
    </row>
    <row r="2896" spans="1:40" x14ac:dyDescent="0.25">
      <c r="A2896" t="str">
        <f>"20190305134953239"</f>
        <v>20190305134953239</v>
      </c>
      <c r="B2896" t="str">
        <f>"1551764993233513"</f>
        <v>1551764993233513</v>
      </c>
      <c r="C2896" t="s">
        <v>40</v>
      </c>
      <c r="D2896">
        <v>3.9021159999999999</v>
      </c>
      <c r="E2896">
        <v>0.47912339999999998</v>
      </c>
      <c r="F2896" t="s">
        <v>62</v>
      </c>
      <c r="G2896">
        <v>-489.25720000000001</v>
      </c>
      <c r="H2896" s="1">
        <v>3.3441089999999999E-6</v>
      </c>
      <c r="I2896">
        <v>279.42790000000002</v>
      </c>
      <c r="J2896">
        <v>-457.55119999999999</v>
      </c>
      <c r="K2896">
        <v>1.111934</v>
      </c>
      <c r="L2896">
        <v>285.82709999999997</v>
      </c>
      <c r="M2896">
        <v>-0.99964739999999996</v>
      </c>
      <c r="N2896">
        <v>-1.431237E-2</v>
      </c>
      <c r="O2896">
        <v>-2.2367379999999999E-2</v>
      </c>
      <c r="P2896">
        <v>-0.98886510000000005</v>
      </c>
      <c r="Q2896">
        <v>-3.9904229999999999E-2</v>
      </c>
      <c r="R2896">
        <v>-0.14336570000000001</v>
      </c>
      <c r="S2896">
        <v>-2.9444270000000001</v>
      </c>
      <c r="T2896">
        <v>-0.10244060000000001</v>
      </c>
      <c r="U2896">
        <v>-0.59017940000000002</v>
      </c>
      <c r="V2896">
        <v>-0.1210706</v>
      </c>
      <c r="W2896">
        <v>-2.6349560000000001E-2</v>
      </c>
      <c r="X2896">
        <v>0.99229409999999896</v>
      </c>
      <c r="Y2896">
        <v>-0.1744078</v>
      </c>
      <c r="Z2896">
        <v>-3.8114640000000001E-3</v>
      </c>
      <c r="AA2896">
        <v>0.98466609999999999</v>
      </c>
      <c r="AB2896">
        <v>41</v>
      </c>
      <c r="AC2896">
        <v>-31.706</v>
      </c>
      <c r="AD2896">
        <v>-1.111930655891</v>
      </c>
      <c r="AE2896">
        <v>-6.3991999999999498</v>
      </c>
      <c r="AF2896">
        <v>-5.6816315682943799</v>
      </c>
      <c r="AG2896">
        <v>-1.111930655891</v>
      </c>
      <c r="AH2896">
        <v>31.803629608536099</v>
      </c>
      <c r="AI2896">
        <v>91.971198335679901</v>
      </c>
      <c r="AJ2896">
        <v>100.12888264579</v>
      </c>
      <c r="AK2896">
        <v>32.326276979236297</v>
      </c>
      <c r="AL2896">
        <v>91.509893356418203</v>
      </c>
      <c r="AM2896">
        <v>96.9563213015456</v>
      </c>
      <c r="AN2896">
        <v>0.99999998519568101</v>
      </c>
    </row>
    <row r="2897" spans="1:40" x14ac:dyDescent="0.25">
      <c r="A2897" t="str">
        <f>"20190305134953253"</f>
        <v>20190305134953253</v>
      </c>
      <c r="B2897" t="str">
        <f>"1551764993243272"</f>
        <v>1551764993243272</v>
      </c>
      <c r="C2897" t="s">
        <v>40</v>
      </c>
      <c r="D2897">
        <v>3.8725239999999999</v>
      </c>
      <c r="E2897">
        <v>0.4791531</v>
      </c>
      <c r="F2897" t="s">
        <v>62</v>
      </c>
      <c r="G2897">
        <v>-489.42520000000002</v>
      </c>
      <c r="H2897" s="1">
        <v>3.3567500000000001E-6</v>
      </c>
      <c r="I2897">
        <v>279.37939999999998</v>
      </c>
      <c r="J2897">
        <v>-457.79750000000001</v>
      </c>
      <c r="K2897">
        <v>1.1120209999999999</v>
      </c>
      <c r="L2897">
        <v>285.82049999999998</v>
      </c>
      <c r="M2897">
        <v>-0.99961469999999997</v>
      </c>
      <c r="N2897">
        <v>-1.431319E-2</v>
      </c>
      <c r="O2897">
        <v>-2.378276E-2</v>
      </c>
      <c r="P2897">
        <v>-0.98862870000000003</v>
      </c>
      <c r="Q2897">
        <v>-3.9171169999999998E-2</v>
      </c>
      <c r="R2897">
        <v>-0.1451877</v>
      </c>
      <c r="S2897">
        <v>-2.9433289999999999</v>
      </c>
      <c r="T2897">
        <v>-0.1026787</v>
      </c>
      <c r="U2897">
        <v>-0.59539790000000004</v>
      </c>
      <c r="V2897">
        <v>-0.1214925</v>
      </c>
      <c r="W2897">
        <v>-2.564108E-2</v>
      </c>
      <c r="X2897">
        <v>0.99226110000000001</v>
      </c>
      <c r="Y2897">
        <v>-0.17476159999999999</v>
      </c>
      <c r="Z2897">
        <v>-3.7972919999999999E-3</v>
      </c>
      <c r="AA2897">
        <v>0.98460349999999996</v>
      </c>
      <c r="AB2897">
        <v>41</v>
      </c>
      <c r="AC2897">
        <v>-31.627700000000001</v>
      </c>
      <c r="AD2897">
        <v>-1.11201764325</v>
      </c>
      <c r="AE2897">
        <v>-6.4410999999999996</v>
      </c>
      <c r="AF2897">
        <v>-5.6802644183612303</v>
      </c>
      <c r="AG2897">
        <v>-1.11201764325</v>
      </c>
      <c r="AH2897">
        <v>31.734287490957701</v>
      </c>
      <c r="AI2897">
        <v>91.975537795439806</v>
      </c>
      <c r="AJ2897">
        <v>100.148163679547</v>
      </c>
      <c r="AK2897">
        <v>32.257820596874801</v>
      </c>
      <c r="AL2897">
        <v>91.469286709326497</v>
      </c>
      <c r="AM2897">
        <v>96.980553410387202</v>
      </c>
      <c r="AN2897">
        <v>0.99999999155651298</v>
      </c>
    </row>
    <row r="2898" spans="1:40" x14ac:dyDescent="0.25">
      <c r="A2898" t="str">
        <f>"20190305134953264"</f>
        <v>20190305134953264</v>
      </c>
      <c r="B2898" t="str">
        <f>"1551764993253035"</f>
        <v>1551764993253035</v>
      </c>
      <c r="C2898" t="s">
        <v>40</v>
      </c>
      <c r="D2898">
        <v>3.7263869999999999</v>
      </c>
      <c r="E2898">
        <v>0.4791531</v>
      </c>
      <c r="F2898" t="s">
        <v>62</v>
      </c>
      <c r="G2898">
        <v>-490.42070000000001</v>
      </c>
      <c r="H2898" s="1">
        <v>3.3337829999999999E-6</v>
      </c>
      <c r="I2898">
        <v>279.16329999999999</v>
      </c>
      <c r="J2898">
        <v>-458.02030000000002</v>
      </c>
      <c r="K2898">
        <v>1.1121219999999901</v>
      </c>
      <c r="L2898">
        <v>285.8141</v>
      </c>
      <c r="M2898">
        <v>-0.99958150000000001</v>
      </c>
      <c r="N2898">
        <v>-1.4314199999999999E-2</v>
      </c>
      <c r="O2898">
        <v>-2.5139370000000001E-2</v>
      </c>
      <c r="P2898">
        <v>-0.98836889999999999</v>
      </c>
      <c r="Q2898">
        <v>-3.732456E-2</v>
      </c>
      <c r="R2898">
        <v>-0.14742330000000001</v>
      </c>
      <c r="S2898">
        <v>-2.942383</v>
      </c>
      <c r="T2898">
        <v>-0.1002961</v>
      </c>
      <c r="U2898">
        <v>-0.60043329999999995</v>
      </c>
      <c r="V2898">
        <v>-0.12239360000000001</v>
      </c>
      <c r="W2898">
        <v>-2.3823179999999999E-2</v>
      </c>
      <c r="X2898">
        <v>0.99219570000000001</v>
      </c>
      <c r="Y2898">
        <v>-0.1751103</v>
      </c>
      <c r="Z2898">
        <v>-3.728894E-3</v>
      </c>
      <c r="AA2898">
        <v>0.98454180000000002</v>
      </c>
      <c r="AB2898">
        <v>41</v>
      </c>
      <c r="AC2898">
        <v>-32.400399999999898</v>
      </c>
      <c r="AD2898">
        <v>-1.11211866621699</v>
      </c>
      <c r="AE2898">
        <v>-6.6508000000000003</v>
      </c>
      <c r="AF2898">
        <v>-5.8275004529672998</v>
      </c>
      <c r="AG2898">
        <v>-1.11211866621699</v>
      </c>
      <c r="AH2898">
        <v>32.520606879346403</v>
      </c>
      <c r="AI2898">
        <v>91.927915831122107</v>
      </c>
      <c r="AJ2898">
        <v>100.159241154025</v>
      </c>
      <c r="AK2898">
        <v>33.057320539603197</v>
      </c>
      <c r="AL2898">
        <v>91.365096784487093</v>
      </c>
      <c r="AM2898">
        <v>97.032270016784594</v>
      </c>
      <c r="AN2898">
        <v>1.0000000221623799</v>
      </c>
    </row>
    <row r="2899" spans="1:40" x14ac:dyDescent="0.25">
      <c r="A2899" t="str">
        <f>"20190305134953280"</f>
        <v>20190305134953280</v>
      </c>
      <c r="B2899" t="str">
        <f>"1551764993273061"</f>
        <v>1551764993273061</v>
      </c>
      <c r="C2899" t="s">
        <v>40</v>
      </c>
      <c r="D2899">
        <v>3.793498</v>
      </c>
      <c r="E2899">
        <v>0.47918139999999998</v>
      </c>
      <c r="F2899" t="s">
        <v>62</v>
      </c>
      <c r="G2899">
        <v>-492.59769999999997</v>
      </c>
      <c r="H2899" s="1">
        <v>2.9011430000000002E-6</v>
      </c>
      <c r="I2899">
        <v>278.67630000000003</v>
      </c>
      <c r="J2899">
        <v>-458.29199999999997</v>
      </c>
      <c r="K2899">
        <v>1.112252</v>
      </c>
      <c r="L2899">
        <v>285.80590000000001</v>
      </c>
      <c r="M2899">
        <v>-0.99953590000000003</v>
      </c>
      <c r="N2899">
        <v>-1.437221E-2</v>
      </c>
      <c r="O2899">
        <v>-2.6862560000000001E-2</v>
      </c>
      <c r="P2899">
        <v>-0.98809329999999995</v>
      </c>
      <c r="Q2899">
        <v>-3.6542779999999997E-2</v>
      </c>
      <c r="R2899">
        <v>-0.14945369999999999</v>
      </c>
      <c r="S2899">
        <v>-2.9411619999999998</v>
      </c>
      <c r="T2899">
        <v>-9.4597100000000003E-2</v>
      </c>
      <c r="U2899">
        <v>-0.6071472</v>
      </c>
      <c r="V2899">
        <v>-0.1227191</v>
      </c>
      <c r="W2899">
        <v>-2.3017530000000001E-2</v>
      </c>
      <c r="X2899">
        <v>0.99217449999999996</v>
      </c>
      <c r="Y2899">
        <v>-0.1756615</v>
      </c>
      <c r="Z2899">
        <v>-3.598984E-3</v>
      </c>
      <c r="AA2899">
        <v>0.98444399999999999</v>
      </c>
      <c r="AB2899">
        <v>41</v>
      </c>
      <c r="AC2899">
        <v>-34.305700000000002</v>
      </c>
      <c r="AD2899">
        <v>-1.112249098857</v>
      </c>
      <c r="AE2899">
        <v>-7.1295999999999804</v>
      </c>
      <c r="AF2899">
        <v>-6.1991460804734597</v>
      </c>
      <c r="AG2899">
        <v>-1.112249098857</v>
      </c>
      <c r="AH2899">
        <v>34.450143324171698</v>
      </c>
      <c r="AI2899">
        <v>91.819984516106004</v>
      </c>
      <c r="AJ2899">
        <v>100.20094555065801</v>
      </c>
      <c r="AK2899">
        <v>35.021120559469999</v>
      </c>
      <c r="AL2899">
        <v>91.318923788810395</v>
      </c>
      <c r="AM2899">
        <v>97.050933152175602</v>
      </c>
      <c r="AN2899">
        <v>1.00000001132118</v>
      </c>
    </row>
    <row r="2900" spans="1:40" x14ac:dyDescent="0.25">
      <c r="A2900" t="str">
        <f>"20190305134953293"</f>
        <v>20190305134953293</v>
      </c>
      <c r="B2900" t="str">
        <f>"1551764993283797"</f>
        <v>1551764993283797</v>
      </c>
      <c r="C2900" t="s">
        <v>40</v>
      </c>
      <c r="D2900">
        <v>3.7046190000000001</v>
      </c>
      <c r="E2900">
        <v>0.4825663</v>
      </c>
      <c r="F2900" t="s">
        <v>62</v>
      </c>
      <c r="G2900">
        <v>-493.82600000000002</v>
      </c>
      <c r="H2900" s="1">
        <v>2.6341980000000001E-6</v>
      </c>
      <c r="I2900">
        <v>278.39769999999999</v>
      </c>
      <c r="J2900">
        <v>-458.53219999999999</v>
      </c>
      <c r="K2900">
        <v>1.112382</v>
      </c>
      <c r="L2900">
        <v>285.79820000000001</v>
      </c>
      <c r="M2900">
        <v>-0.99949069999999995</v>
      </c>
      <c r="N2900">
        <v>-1.4474239999999999E-2</v>
      </c>
      <c r="O2900">
        <v>-2.8442169999999999E-2</v>
      </c>
      <c r="P2900">
        <v>-0.98786260000000004</v>
      </c>
      <c r="Q2900">
        <v>-3.5603160000000002E-2</v>
      </c>
      <c r="R2900">
        <v>-0.15119579999999999</v>
      </c>
      <c r="S2900">
        <v>-2.9400629999999999</v>
      </c>
      <c r="T2900">
        <v>-9.2026709999999998E-2</v>
      </c>
      <c r="U2900">
        <v>-0.61294559999999998</v>
      </c>
      <c r="V2900">
        <v>-0.1229007</v>
      </c>
      <c r="W2900">
        <v>-2.2007059999999998E-2</v>
      </c>
      <c r="X2900">
        <v>0.99217489999999997</v>
      </c>
      <c r="Y2900">
        <v>-0.176044899999999</v>
      </c>
      <c r="Z2900">
        <v>-3.541116E-3</v>
      </c>
      <c r="AA2900">
        <v>0.98437580000000002</v>
      </c>
      <c r="AB2900">
        <v>40</v>
      </c>
      <c r="AC2900">
        <v>-35.293799999999898</v>
      </c>
      <c r="AD2900">
        <v>-1.112379365802</v>
      </c>
      <c r="AE2900">
        <v>-7.4005000000000196</v>
      </c>
      <c r="AF2900">
        <v>-6.3874901689681103</v>
      </c>
      <c r="AG2900">
        <v>-1.112379365802</v>
      </c>
      <c r="AH2900">
        <v>35.456289147087404</v>
      </c>
      <c r="AI2900">
        <v>91.768515529876396</v>
      </c>
      <c r="AJ2900">
        <v>100.21236025643201</v>
      </c>
      <c r="AK2900">
        <v>36.0442208765011</v>
      </c>
      <c r="AL2900">
        <v>91.2610135058449</v>
      </c>
      <c r="AM2900">
        <v>97.061259065742803</v>
      </c>
      <c r="AN2900">
        <v>0.99999996247017098</v>
      </c>
    </row>
    <row r="2901" spans="1:40" x14ac:dyDescent="0.25">
      <c r="A2901" t="str">
        <f>"20190305134953308"</f>
        <v>20190305134953308</v>
      </c>
      <c r="B2901" t="str">
        <f>"1551764993303317"</f>
        <v>1551764993303317</v>
      </c>
      <c r="C2901" t="s">
        <v>40</v>
      </c>
      <c r="D2901">
        <v>3.7350620000000001</v>
      </c>
      <c r="E2901">
        <v>0.48231390000000002</v>
      </c>
      <c r="F2901" t="s">
        <v>76</v>
      </c>
      <c r="G2901">
        <v>-512.82780000000002</v>
      </c>
      <c r="H2901">
        <v>7.9996649999999896</v>
      </c>
      <c r="I2901">
        <v>274.77</v>
      </c>
      <c r="J2901">
        <v>-458.79219999999998</v>
      </c>
      <c r="K2901">
        <v>1.1125430000000001</v>
      </c>
      <c r="L2901">
        <v>285.7894</v>
      </c>
      <c r="M2901">
        <v>-0.99943550000000003</v>
      </c>
      <c r="N2901">
        <v>-1.466279E-2</v>
      </c>
      <c r="O2901">
        <v>-3.0230010000000002E-2</v>
      </c>
      <c r="P2901">
        <v>-0.98758970000000001</v>
      </c>
      <c r="Q2901">
        <v>-3.4882169999999997E-2</v>
      </c>
      <c r="R2901">
        <v>-0.15313499999999999</v>
      </c>
      <c r="S2901">
        <v>-2.958405</v>
      </c>
      <c r="T2901">
        <v>0.3752702</v>
      </c>
      <c r="U2901">
        <v>-0.60089110000000001</v>
      </c>
      <c r="V2901">
        <v>-0.1230724</v>
      </c>
      <c r="W2901">
        <v>-2.1133389999999998E-2</v>
      </c>
      <c r="X2901">
        <v>0.99217270000000002</v>
      </c>
      <c r="Y2901">
        <v>-0.168479399999999</v>
      </c>
      <c r="Z2901">
        <v>5.0696680000000003E-3</v>
      </c>
      <c r="AA2901">
        <v>0.98569209999999996</v>
      </c>
      <c r="AB2901">
        <v>40</v>
      </c>
      <c r="AC2901">
        <v>-54.035600000000002</v>
      </c>
      <c r="AD2901">
        <v>6.8871219999999997</v>
      </c>
      <c r="AE2901">
        <v>-11.019399999999999</v>
      </c>
      <c r="AF2901">
        <v>-9.2366336687887003</v>
      </c>
      <c r="AG2901">
        <v>6.8871219999999997</v>
      </c>
      <c r="AH2901">
        <v>53.509503648204003</v>
      </c>
      <c r="AI2901">
        <v>82.771618139494393</v>
      </c>
      <c r="AJ2901">
        <v>99.793696461434294</v>
      </c>
      <c r="AK2901">
        <v>54.735864217635601</v>
      </c>
      <c r="AL2901">
        <v>91.210944141864104</v>
      </c>
      <c r="AM2901">
        <v>97.071039814450501</v>
      </c>
      <c r="AN2901">
        <v>1.0000000512199601</v>
      </c>
    </row>
    <row r="2902" spans="1:40" x14ac:dyDescent="0.25">
      <c r="A2902" t="str">
        <f>"20190305134953320"</f>
        <v>20190305134953320</v>
      </c>
      <c r="B2902" t="str">
        <f>"1551764993313077"</f>
        <v>1551764993313077</v>
      </c>
      <c r="C2902" t="s">
        <v>40</v>
      </c>
      <c r="D2902">
        <v>3.7510279999999998</v>
      </c>
      <c r="E2902">
        <v>0.48245070000000001</v>
      </c>
      <c r="F2902" t="s">
        <v>76</v>
      </c>
      <c r="G2902">
        <v>-512.82799999999997</v>
      </c>
      <c r="H2902">
        <v>8.4960780000000007</v>
      </c>
      <c r="I2902">
        <v>274.6626</v>
      </c>
      <c r="J2902">
        <v>-459.01990000000001</v>
      </c>
      <c r="K2902">
        <v>1.1127049999999901</v>
      </c>
      <c r="L2902">
        <v>285.78120000000001</v>
      </c>
      <c r="M2902">
        <v>-0.99938039999999995</v>
      </c>
      <c r="N2902">
        <v>-1.4916560000000001E-2</v>
      </c>
      <c r="O2902">
        <v>-3.187922E-2</v>
      </c>
      <c r="P2902">
        <v>-0.98733820000000005</v>
      </c>
      <c r="Q2902">
        <v>-3.4408960000000002E-2</v>
      </c>
      <c r="R2902">
        <v>-0.15485299999999999</v>
      </c>
      <c r="S2902">
        <v>-2.9575809999999998</v>
      </c>
      <c r="T2902">
        <v>0.40413189999999999</v>
      </c>
      <c r="U2902">
        <v>-0.60900880000000002</v>
      </c>
      <c r="V2902">
        <v>-0.1231603</v>
      </c>
      <c r="W2902">
        <v>-2.043886E-2</v>
      </c>
      <c r="X2902">
        <v>0.99217630000000001</v>
      </c>
      <c r="Y2902">
        <v>-0.16936579999999901</v>
      </c>
      <c r="Z2902">
        <v>5.3622820000000003E-3</v>
      </c>
      <c r="AA2902">
        <v>0.98553869999999999</v>
      </c>
      <c r="AB2902">
        <v>40</v>
      </c>
      <c r="AC2902">
        <v>-53.808099999999897</v>
      </c>
      <c r="AD2902">
        <v>7.3833729999999997</v>
      </c>
      <c r="AE2902">
        <v>-11.118600000000001</v>
      </c>
      <c r="AF2902">
        <v>-9.2307133894293791</v>
      </c>
      <c r="AG2902">
        <v>7.3833729999999997</v>
      </c>
      <c r="AH2902">
        <v>53.175032256755202</v>
      </c>
      <c r="AI2902">
        <v>82.210039977638004</v>
      </c>
      <c r="AJ2902">
        <v>99.847902597643795</v>
      </c>
      <c r="AK2902">
        <v>54.472968728001902</v>
      </c>
      <c r="AL2902">
        <v>91.171141956060595</v>
      </c>
      <c r="AM2902">
        <v>97.076013456578394</v>
      </c>
      <c r="AN2902">
        <v>1.0000000083879399</v>
      </c>
    </row>
    <row r="2903" spans="1:40" x14ac:dyDescent="0.25">
      <c r="A2903" t="str">
        <f>"20190305134953332"</f>
        <v>20190305134953332</v>
      </c>
      <c r="B2903" t="str">
        <f>"1551764993323813"</f>
        <v>1551764993323813</v>
      </c>
      <c r="C2903" t="s">
        <v>40</v>
      </c>
      <c r="D2903">
        <v>3.8935960000000001</v>
      </c>
      <c r="E2903">
        <v>0.48245070000000001</v>
      </c>
      <c r="F2903" t="s">
        <v>76</v>
      </c>
      <c r="G2903">
        <v>-512.82799999999997</v>
      </c>
      <c r="H2903">
        <v>8.6143719999999995</v>
      </c>
      <c r="I2903">
        <v>274.62169999999998</v>
      </c>
      <c r="J2903">
        <v>-459.22710000000001</v>
      </c>
      <c r="K2903">
        <v>1.112852</v>
      </c>
      <c r="L2903">
        <v>285.77339999999998</v>
      </c>
      <c r="M2903">
        <v>-0.99932650000000001</v>
      </c>
      <c r="N2903">
        <v>-1.517309E-2</v>
      </c>
      <c r="O2903">
        <v>-3.3415170000000001E-2</v>
      </c>
      <c r="P2903">
        <v>-0.9871048</v>
      </c>
      <c r="Q2903">
        <v>-3.5030470000000001E-2</v>
      </c>
      <c r="R2903">
        <v>-0.15619649999999999</v>
      </c>
      <c r="S2903">
        <v>-2.9566650000000001</v>
      </c>
      <c r="T2903">
        <v>0.41220699999999999</v>
      </c>
      <c r="U2903">
        <v>-0.61318969999999995</v>
      </c>
      <c r="V2903">
        <v>-0.122979</v>
      </c>
      <c r="W2903">
        <v>-2.0832509999999999E-2</v>
      </c>
      <c r="X2903">
        <v>0.99219060000000003</v>
      </c>
      <c r="Y2903">
        <v>-0.16922619999999999</v>
      </c>
      <c r="Z2903">
        <v>5.2319920000000004E-3</v>
      </c>
      <c r="AA2903">
        <v>0.98556330000000003</v>
      </c>
      <c r="AB2903">
        <v>40</v>
      </c>
      <c r="AC2903">
        <v>-53.600899999999903</v>
      </c>
      <c r="AD2903">
        <v>7.5015199999999904</v>
      </c>
      <c r="AE2903">
        <v>-11.1517</v>
      </c>
      <c r="AF2903">
        <v>-9.1818047592183092</v>
      </c>
      <c r="AG2903">
        <v>7.5015199999999904</v>
      </c>
      <c r="AH2903">
        <v>52.949575956798597</v>
      </c>
      <c r="AI2903">
        <v>82.053446094867695</v>
      </c>
      <c r="AJ2903">
        <v>99.837638102379401</v>
      </c>
      <c r="AK2903">
        <v>54.260813990868101</v>
      </c>
      <c r="AL2903">
        <v>91.193701244635207</v>
      </c>
      <c r="AM2903">
        <v>97.065601659341695</v>
      </c>
      <c r="AN2903">
        <v>1.0000000073211299</v>
      </c>
    </row>
    <row r="2904" spans="1:40" x14ac:dyDescent="0.25">
      <c r="A2904" t="str">
        <f>"20190305134953355"</f>
        <v>20190305134953355</v>
      </c>
      <c r="B2904" t="str">
        <f>"1551764993343332"</f>
        <v>1551764993343332</v>
      </c>
      <c r="C2904" t="s">
        <v>40</v>
      </c>
      <c r="D2904">
        <v>3.7442769999999999</v>
      </c>
      <c r="E2904">
        <v>0.48332839999999999</v>
      </c>
      <c r="F2904" t="s">
        <v>76</v>
      </c>
      <c r="G2904">
        <v>-512.82799999999997</v>
      </c>
      <c r="H2904">
        <v>8.5539660000000008</v>
      </c>
      <c r="I2904">
        <v>274.5829</v>
      </c>
      <c r="J2904">
        <v>-459.62869999999998</v>
      </c>
      <c r="K2904">
        <v>1.1131580000000001</v>
      </c>
      <c r="L2904">
        <v>285.75700000000001</v>
      </c>
      <c r="M2904">
        <v>-0.99920580000000003</v>
      </c>
      <c r="N2904">
        <v>-1.5772680000000001E-2</v>
      </c>
      <c r="O2904">
        <v>-3.6591749999999999E-2</v>
      </c>
      <c r="P2904">
        <v>-0.98646750000000005</v>
      </c>
      <c r="Q2904">
        <v>-3.7226589999999997E-2</v>
      </c>
      <c r="R2904">
        <v>-0.15967500000000001</v>
      </c>
      <c r="S2904">
        <v>-2.9561160000000002</v>
      </c>
      <c r="T2904">
        <v>0.41038419999999998</v>
      </c>
      <c r="U2904">
        <v>-0.61715699999999996</v>
      </c>
      <c r="V2904">
        <v>-0.12330339999999999</v>
      </c>
      <c r="W2904">
        <v>-2.2497690000000001E-2</v>
      </c>
      <c r="X2904">
        <v>0.99211389999999999</v>
      </c>
      <c r="Y2904">
        <v>-0.16746759999999999</v>
      </c>
      <c r="Z2904">
        <v>4.5413999999999897E-3</v>
      </c>
      <c r="AA2904">
        <v>0.9858671</v>
      </c>
      <c r="AB2904">
        <v>40</v>
      </c>
      <c r="AC2904">
        <v>-53.199300000000001</v>
      </c>
      <c r="AD2904">
        <v>7.4408079999999996</v>
      </c>
      <c r="AE2904">
        <v>-11.174099999999999</v>
      </c>
      <c r="AF2904">
        <v>-9.05015266419875</v>
      </c>
      <c r="AG2904">
        <v>7.4408079999999996</v>
      </c>
      <c r="AH2904">
        <v>52.587313720190799</v>
      </c>
      <c r="AI2904">
        <v>82.0616125793766</v>
      </c>
      <c r="AJ2904">
        <v>99.764814874573204</v>
      </c>
      <c r="AK2904">
        <v>53.876678175662803</v>
      </c>
      <c r="AL2904">
        <v>91.289131536505494</v>
      </c>
      <c r="AM2904">
        <v>97.084592629253507</v>
      </c>
      <c r="AN2904">
        <v>0.99999993254005004</v>
      </c>
    </row>
    <row r="2905" spans="1:40" x14ac:dyDescent="0.25">
      <c r="A2905" t="str">
        <f>"20190305134953378"</f>
        <v>20190305134953378</v>
      </c>
      <c r="B2905" t="str">
        <f>"1551764993373121"</f>
        <v>1551764993373121</v>
      </c>
      <c r="C2905" t="s">
        <v>40</v>
      </c>
      <c r="D2905">
        <v>3.7418740000000001</v>
      </c>
      <c r="E2905">
        <v>0.48341610000000002</v>
      </c>
      <c r="F2905" t="s">
        <v>76</v>
      </c>
      <c r="G2905">
        <v>-512.8279</v>
      </c>
      <c r="H2905">
        <v>8.3194909999999993</v>
      </c>
      <c r="I2905">
        <v>274.58600000000001</v>
      </c>
      <c r="J2905">
        <v>-460.02550000000002</v>
      </c>
      <c r="K2905">
        <v>1.113486</v>
      </c>
      <c r="L2905">
        <v>285.73939999999999</v>
      </c>
      <c r="M2905">
        <v>-0.99906759999999994</v>
      </c>
      <c r="N2905">
        <v>-1.6425390000000002E-2</v>
      </c>
      <c r="O2905">
        <v>-3.9929470000000002E-2</v>
      </c>
      <c r="P2905">
        <v>-0.98576649999999999</v>
      </c>
      <c r="Q2905">
        <v>-4.0412499999999997E-2</v>
      </c>
      <c r="R2905">
        <v>-0.1631909</v>
      </c>
      <c r="S2905">
        <v>-2.9557799999999999</v>
      </c>
      <c r="T2905">
        <v>0.400391</v>
      </c>
      <c r="U2905">
        <v>-0.62066650000000001</v>
      </c>
      <c r="V2905">
        <v>-0.1234987</v>
      </c>
      <c r="W2905">
        <v>-2.5104370000000001E-2</v>
      </c>
      <c r="X2905">
        <v>0.9920272</v>
      </c>
      <c r="Y2905">
        <v>-0.1654322</v>
      </c>
      <c r="Z2905">
        <v>3.6897029999999999E-3</v>
      </c>
      <c r="AA2905">
        <v>0.98621429999999999</v>
      </c>
      <c r="AB2905">
        <v>40</v>
      </c>
      <c r="AC2905">
        <v>-52.802399999999899</v>
      </c>
      <c r="AD2905">
        <v>7.2060050000000002</v>
      </c>
      <c r="AE2905">
        <v>-11.1533999999999</v>
      </c>
      <c r="AF2905">
        <v>-8.8775694456852001</v>
      </c>
      <c r="AG2905">
        <v>7.2060050000000002</v>
      </c>
      <c r="AH2905">
        <v>52.2737057780339</v>
      </c>
      <c r="AI2905">
        <v>82.260606559684206</v>
      </c>
      <c r="AJ2905">
        <v>99.638499512612597</v>
      </c>
      <c r="AK2905">
        <v>53.509607203673603</v>
      </c>
      <c r="AL2905">
        <v>91.438525486419806</v>
      </c>
      <c r="AM2905">
        <v>97.096313425448997</v>
      </c>
      <c r="AN2905">
        <v>1.0000000619173099</v>
      </c>
    </row>
    <row r="2906" spans="1:40" x14ac:dyDescent="0.25">
      <c r="A2906" t="str">
        <f>"20190305134953394"</f>
        <v>20190305134953394</v>
      </c>
      <c r="B2906" t="str">
        <f>"1551764993383858"</f>
        <v>1551764993383858</v>
      </c>
      <c r="C2906" t="s">
        <v>40</v>
      </c>
      <c r="D2906">
        <v>3.7629030000000001</v>
      </c>
      <c r="E2906">
        <v>0.4832977</v>
      </c>
      <c r="F2906" t="s">
        <v>76</v>
      </c>
      <c r="G2906">
        <v>-512.8279</v>
      </c>
      <c r="H2906">
        <v>8.1650539999999996</v>
      </c>
      <c r="I2906">
        <v>274.46640000000002</v>
      </c>
      <c r="J2906">
        <v>-460.3261</v>
      </c>
      <c r="K2906">
        <v>1.1137349999999999</v>
      </c>
      <c r="L2906">
        <v>285.7251</v>
      </c>
      <c r="M2906">
        <v>-0.9989498</v>
      </c>
      <c r="N2906">
        <v>-1.694182E-2</v>
      </c>
      <c r="O2906">
        <v>-4.2571459999999998E-2</v>
      </c>
      <c r="P2906">
        <v>-0.98524</v>
      </c>
      <c r="Q2906">
        <v>-4.2140030000000002E-2</v>
      </c>
      <c r="R2906">
        <v>-0.16591110000000001</v>
      </c>
      <c r="S2906">
        <v>-2.9550779999999999</v>
      </c>
      <c r="T2906">
        <v>0.39464339999999998</v>
      </c>
      <c r="U2906">
        <v>-0.6308899</v>
      </c>
      <c r="V2906">
        <v>-0.12359580000000001</v>
      </c>
      <c r="W2906">
        <v>-2.6371439999999999E-2</v>
      </c>
      <c r="X2906">
        <v>0.99198220000000004</v>
      </c>
      <c r="Y2906">
        <v>-0.16619579999999901</v>
      </c>
      <c r="Z2906">
        <v>3.1969849999999998E-3</v>
      </c>
      <c r="AA2906">
        <v>0.98608759999999995</v>
      </c>
      <c r="AB2906">
        <v>40</v>
      </c>
      <c r="AC2906">
        <v>-52.501800000000003</v>
      </c>
      <c r="AD2906">
        <v>7.0513190000000003</v>
      </c>
      <c r="AE2906">
        <v>-11.2586999999999</v>
      </c>
      <c r="AF2906">
        <v>-8.8602942749152103</v>
      </c>
      <c r="AG2906">
        <v>7.0513190000000003</v>
      </c>
      <c r="AH2906">
        <v>52.036186993790103</v>
      </c>
      <c r="AI2906">
        <v>82.391170453968897</v>
      </c>
      <c r="AJ2906">
        <v>99.663179194647597</v>
      </c>
      <c r="AK2906">
        <v>53.2540202344438</v>
      </c>
      <c r="AL2906">
        <v>91.511147356352097</v>
      </c>
      <c r="AM2906">
        <v>97.102154778912407</v>
      </c>
      <c r="AN2906">
        <v>1.0000000298710701</v>
      </c>
    </row>
    <row r="2907" spans="1:40" x14ac:dyDescent="0.25">
      <c r="A2907" t="str">
        <f>"20190305134953410"</f>
        <v>20190305134953410</v>
      </c>
      <c r="B2907" t="str">
        <f>"1551764993403377"</f>
        <v>1551764993403377</v>
      </c>
      <c r="C2907" t="s">
        <v>40</v>
      </c>
      <c r="D2907">
        <v>3.7333090000000002</v>
      </c>
      <c r="E2907">
        <v>0.48310550000000002</v>
      </c>
      <c r="F2907" t="s">
        <v>76</v>
      </c>
      <c r="G2907">
        <v>-512.82780000000002</v>
      </c>
      <c r="H2907">
        <v>8.0230689999999996</v>
      </c>
      <c r="I2907">
        <v>274.34190000000001</v>
      </c>
      <c r="J2907">
        <v>-460.60910000000001</v>
      </c>
      <c r="K2907">
        <v>1.11396299999999</v>
      </c>
      <c r="L2907">
        <v>285.71080000000001</v>
      </c>
      <c r="M2907">
        <v>-0.99882800000000005</v>
      </c>
      <c r="N2907">
        <v>-1.7439179999999999E-2</v>
      </c>
      <c r="O2907">
        <v>-4.5151730000000001E-2</v>
      </c>
      <c r="P2907">
        <v>-0.98453250000000003</v>
      </c>
      <c r="Q2907">
        <v>-4.3919800000000002E-2</v>
      </c>
      <c r="R2907">
        <v>-0.16960939999999999</v>
      </c>
      <c r="S2907">
        <v>-2.953735</v>
      </c>
      <c r="T2907">
        <v>0.38872079999999998</v>
      </c>
      <c r="U2907">
        <v>-0.64041139999999996</v>
      </c>
      <c r="V2907">
        <v>-0.12473919999999999</v>
      </c>
      <c r="W2907">
        <v>-2.771788E-2</v>
      </c>
      <c r="X2907">
        <v>0.99180230000000003</v>
      </c>
      <c r="Y2907">
        <v>-0.16683609999999999</v>
      </c>
      <c r="Z2907">
        <v>2.7134049999999999E-3</v>
      </c>
      <c r="AA2907">
        <v>0.98598090000000005</v>
      </c>
      <c r="AB2907">
        <v>40</v>
      </c>
      <c r="AC2907">
        <v>-52.218699999999998</v>
      </c>
      <c r="AD2907">
        <v>6.9091060000000004</v>
      </c>
      <c r="AE2907">
        <v>-11.368899999999901</v>
      </c>
      <c r="AF2907">
        <v>-8.8512396944320599</v>
      </c>
      <c r="AG2907">
        <v>6.9091060000000004</v>
      </c>
      <c r="AH2907">
        <v>51.812835180558501</v>
      </c>
      <c r="AI2907">
        <v>82.511787497950195</v>
      </c>
      <c r="AJ2907">
        <v>99.694315726585799</v>
      </c>
      <c r="AK2907">
        <v>53.015564500392202</v>
      </c>
      <c r="AL2907">
        <v>91.588321003560907</v>
      </c>
      <c r="AM2907">
        <v>97.1684640201848</v>
      </c>
      <c r="AN2907">
        <v>0.99999997558681097</v>
      </c>
    </row>
    <row r="2908" spans="1:40" x14ac:dyDescent="0.25">
      <c r="A2908" t="str">
        <f>"20190305134953425"</f>
        <v>20190305134953425</v>
      </c>
      <c r="B2908" t="str">
        <f>"1551764993423874"</f>
        <v>1551764993423874</v>
      </c>
      <c r="C2908" t="s">
        <v>40</v>
      </c>
      <c r="D2908">
        <v>3.7380460000000002</v>
      </c>
      <c r="E2908">
        <v>0.48310249999999999</v>
      </c>
      <c r="F2908" t="s">
        <v>76</v>
      </c>
      <c r="G2908">
        <v>-512.82780000000002</v>
      </c>
      <c r="H2908">
        <v>7.8938189999999997</v>
      </c>
      <c r="I2908">
        <v>274.13810000000001</v>
      </c>
      <c r="J2908">
        <v>-460.88470000000001</v>
      </c>
      <c r="K2908">
        <v>1.1141730000000001</v>
      </c>
      <c r="L2908">
        <v>285.69580000000002</v>
      </c>
      <c r="M2908">
        <v>-0.99869680000000005</v>
      </c>
      <c r="N2908">
        <v>-1.793057E-2</v>
      </c>
      <c r="O2908">
        <v>-4.7782949999999998E-2</v>
      </c>
      <c r="P2908">
        <v>-0.98393240000000004</v>
      </c>
      <c r="Q2908">
        <v>-4.4644759999999999E-2</v>
      </c>
      <c r="R2908">
        <v>-0.17286899999999999</v>
      </c>
      <c r="S2908">
        <v>-2.9515380000000002</v>
      </c>
      <c r="T2908">
        <v>0.38321860000000002</v>
      </c>
      <c r="U2908">
        <v>-0.65411379999999997</v>
      </c>
      <c r="V2908">
        <v>-0.12539939999999999</v>
      </c>
      <c r="W2908">
        <v>-2.800708E-2</v>
      </c>
      <c r="X2908">
        <v>0.99171100000000001</v>
      </c>
      <c r="Y2908">
        <v>-0.1688035</v>
      </c>
      <c r="Z2908">
        <v>2.307393E-3</v>
      </c>
      <c r="AA2908">
        <v>0.98564700000000005</v>
      </c>
      <c r="AB2908">
        <v>39</v>
      </c>
      <c r="AC2908">
        <v>-51.943100000000001</v>
      </c>
      <c r="AD2908">
        <v>6.7796459999999996</v>
      </c>
      <c r="AE2908">
        <v>-11.557700000000001</v>
      </c>
      <c r="AF2908">
        <v>-8.9173537907379092</v>
      </c>
      <c r="AG2908">
        <v>6.7796459999999996</v>
      </c>
      <c r="AH2908">
        <v>51.598550699802601</v>
      </c>
      <c r="AI2908">
        <v>82.622788744224295</v>
      </c>
      <c r="AJ2908">
        <v>99.805107028257595</v>
      </c>
      <c r="AK2908">
        <v>52.8005040964062</v>
      </c>
      <c r="AL2908">
        <v>91.604897248625605</v>
      </c>
      <c r="AM2908">
        <v>97.206662782678293</v>
      </c>
      <c r="AN2908">
        <v>1.0000000567857401</v>
      </c>
    </row>
    <row r="2909" spans="1:40" x14ac:dyDescent="0.25">
      <c r="A2909" t="str">
        <f>"20190305134953440"</f>
        <v>20190305134953440</v>
      </c>
      <c r="B2909" t="str">
        <f>"1551764993433633"</f>
        <v>1551764993433633</v>
      </c>
      <c r="C2909" t="s">
        <v>40</v>
      </c>
      <c r="D2909">
        <v>3.7575609999999999</v>
      </c>
      <c r="E2909">
        <v>0.48314570000000001</v>
      </c>
      <c r="F2909" t="s">
        <v>76</v>
      </c>
      <c r="G2909">
        <v>-512.82780000000002</v>
      </c>
      <c r="H2909">
        <v>7.8593679999999901</v>
      </c>
      <c r="I2909">
        <v>273.9941</v>
      </c>
      <c r="J2909">
        <v>-461.1198</v>
      </c>
      <c r="K2909">
        <v>1.1143419999999999</v>
      </c>
      <c r="L2909">
        <v>285.6823</v>
      </c>
      <c r="M2909">
        <v>-0.99857530000000005</v>
      </c>
      <c r="N2909">
        <v>-1.834713E-2</v>
      </c>
      <c r="O2909">
        <v>-5.0110010000000003E-2</v>
      </c>
      <c r="P2909">
        <v>-0.98335859999999997</v>
      </c>
      <c r="Q2909">
        <v>-4.5212240000000001E-2</v>
      </c>
      <c r="R2909">
        <v>-0.17596039999999999</v>
      </c>
      <c r="S2909">
        <v>-2.949646</v>
      </c>
      <c r="T2909">
        <v>0.38303700000000002</v>
      </c>
      <c r="U2909">
        <v>-0.66448969999999996</v>
      </c>
      <c r="V2909">
        <v>-0.12619629999999901</v>
      </c>
      <c r="W2909">
        <v>-2.8206459999999999E-2</v>
      </c>
      <c r="X2909">
        <v>0.99160420000000005</v>
      </c>
      <c r="Y2909">
        <v>-0.1699666</v>
      </c>
      <c r="Z2909">
        <v>1.976046E-3</v>
      </c>
      <c r="AA2909">
        <v>0.98544779999999998</v>
      </c>
      <c r="AB2909">
        <v>39</v>
      </c>
      <c r="AC2909">
        <v>-51.707999999999998</v>
      </c>
      <c r="AD2909">
        <v>6.7450259999999904</v>
      </c>
      <c r="AE2909">
        <v>-11.688199999999901</v>
      </c>
      <c r="AF2909">
        <v>-8.9373043544829898</v>
      </c>
      <c r="AG2909">
        <v>6.7450259999999904</v>
      </c>
      <c r="AH2909">
        <v>51.3967693418425</v>
      </c>
      <c r="AI2909">
        <v>82.632856205948698</v>
      </c>
      <c r="AJ2909">
        <v>99.864438985143806</v>
      </c>
      <c r="AK2909">
        <v>52.602268807000101</v>
      </c>
      <c r="AL2909">
        <v>91.616325487297502</v>
      </c>
      <c r="AM2909">
        <v>97.252747073486702</v>
      </c>
      <c r="AN2909">
        <v>0.99999999998852995</v>
      </c>
    </row>
    <row r="2910" spans="1:40" x14ac:dyDescent="0.25">
      <c r="A2910" t="str">
        <f>"20190305134953454"</f>
        <v>20190305134953454</v>
      </c>
      <c r="B2910" t="str">
        <f>"1551764993443395"</f>
        <v>1551764993443395</v>
      </c>
      <c r="C2910" t="s">
        <v>40</v>
      </c>
      <c r="D2910">
        <v>3.7637309999999999</v>
      </c>
      <c r="E2910">
        <v>0.483209</v>
      </c>
      <c r="F2910" t="s">
        <v>76</v>
      </c>
      <c r="G2910">
        <v>-512.82780000000002</v>
      </c>
      <c r="H2910">
        <v>7.8204119999999904</v>
      </c>
      <c r="I2910">
        <v>273.87009999999998</v>
      </c>
      <c r="J2910">
        <v>-461.36520000000002</v>
      </c>
      <c r="K2910">
        <v>1.1145099999999999</v>
      </c>
      <c r="L2910">
        <v>285.66770000000002</v>
      </c>
      <c r="M2910">
        <v>-0.99843899999999997</v>
      </c>
      <c r="N2910">
        <v>-1.8775300000000002E-2</v>
      </c>
      <c r="O2910">
        <v>-5.2603410000000003E-2</v>
      </c>
      <c r="P2910">
        <v>-0.98272119999999996</v>
      </c>
      <c r="Q2910">
        <v>-4.5403110000000003E-2</v>
      </c>
      <c r="R2910">
        <v>-0.17943719999999999</v>
      </c>
      <c r="S2910">
        <v>-2.9478149999999999</v>
      </c>
      <c r="T2910">
        <v>0.38230910000000001</v>
      </c>
      <c r="U2910">
        <v>-0.67340089999999997</v>
      </c>
      <c r="V2910">
        <v>-0.12722059999999999</v>
      </c>
      <c r="W2910">
        <v>-2.8021040000000001E-2</v>
      </c>
      <c r="X2910">
        <v>0.99147859999999999</v>
      </c>
      <c r="Y2910">
        <v>-0.17050279999999901</v>
      </c>
      <c r="Z2910">
        <v>1.576799E-3</v>
      </c>
      <c r="AA2910">
        <v>0.98535589999999995</v>
      </c>
      <c r="AB2910">
        <v>39</v>
      </c>
      <c r="AC2910">
        <v>-51.462600000000002</v>
      </c>
      <c r="AD2910">
        <v>6.7059019999999903</v>
      </c>
      <c r="AE2910">
        <v>-11.797599999999999</v>
      </c>
      <c r="AF2910">
        <v>-8.9296226640732108</v>
      </c>
      <c r="AG2910">
        <v>6.7059019999999903</v>
      </c>
      <c r="AH2910">
        <v>51.186293020771302</v>
      </c>
      <c r="AI2910">
        <v>82.646027442356399</v>
      </c>
      <c r="AJ2910">
        <v>99.895855222853797</v>
      </c>
      <c r="AK2910">
        <v>52.390303260857301</v>
      </c>
      <c r="AL2910">
        <v>91.605697443476998</v>
      </c>
      <c r="AM2910">
        <v>97.311897320066606</v>
      </c>
      <c r="AN2910">
        <v>1.0000000370025</v>
      </c>
    </row>
    <row r="2911" spans="1:40" x14ac:dyDescent="0.25">
      <c r="A2911" t="str">
        <f>"20190305134953466"</f>
        <v>20190305134953466</v>
      </c>
      <c r="B2911" t="str">
        <f>"1551764993453155"</f>
        <v>1551764993453155</v>
      </c>
      <c r="C2911" t="s">
        <v>40</v>
      </c>
      <c r="D2911">
        <v>3.7686829999999998</v>
      </c>
      <c r="E2911">
        <v>0.48327599999999998</v>
      </c>
      <c r="F2911" t="s">
        <v>76</v>
      </c>
      <c r="G2911">
        <v>-512.82780000000002</v>
      </c>
      <c r="H2911">
        <v>7.8021339999999997</v>
      </c>
      <c r="I2911">
        <v>273.73579999999998</v>
      </c>
      <c r="J2911">
        <v>-461.58580000000001</v>
      </c>
      <c r="K2911">
        <v>1.114655</v>
      </c>
      <c r="L2911">
        <v>285.65390000000002</v>
      </c>
      <c r="M2911">
        <v>-0.9983071</v>
      </c>
      <c r="N2911">
        <v>-1.914867E-2</v>
      </c>
      <c r="O2911">
        <v>-5.4922169999999999E-2</v>
      </c>
      <c r="P2911">
        <v>-0.98183279999999995</v>
      </c>
      <c r="Q2911">
        <v>-4.5309519999999999E-2</v>
      </c>
      <c r="R2911">
        <v>-0.18426039999999999</v>
      </c>
      <c r="S2911">
        <v>-2.9457399999999998</v>
      </c>
      <c r="T2911">
        <v>0.38280579999999997</v>
      </c>
      <c r="U2911">
        <v>-0.68298340000000002</v>
      </c>
      <c r="V2911">
        <v>-0.1297808</v>
      </c>
      <c r="W2911">
        <v>-2.7620120000000001E-2</v>
      </c>
      <c r="X2911">
        <v>0.99115790000000004</v>
      </c>
      <c r="Y2911">
        <v>-0.17143149999999999</v>
      </c>
      <c r="Z2911">
        <v>1.2432739999999999E-3</v>
      </c>
      <c r="AA2911">
        <v>0.9851953</v>
      </c>
      <c r="AB2911">
        <v>39</v>
      </c>
      <c r="AC2911">
        <v>-51.241999999999997</v>
      </c>
      <c r="AD2911">
        <v>6.6874789999999997</v>
      </c>
      <c r="AE2911">
        <v>-11.918100000000001</v>
      </c>
      <c r="AF2911">
        <v>-8.9407998469636905</v>
      </c>
      <c r="AG2911">
        <v>6.6874789999999997</v>
      </c>
      <c r="AH2911">
        <v>50.995324654032402</v>
      </c>
      <c r="AI2911">
        <v>82.639924663180594</v>
      </c>
      <c r="AJ2911">
        <v>99.944360874528101</v>
      </c>
      <c r="AK2911">
        <v>52.203289301049502</v>
      </c>
      <c r="AL2911">
        <v>91.582717655447695</v>
      </c>
      <c r="AM2911">
        <v>97.459788266187005</v>
      </c>
      <c r="AN2911">
        <v>0.99999995490493099</v>
      </c>
    </row>
    <row r="2912" spans="1:40" x14ac:dyDescent="0.25">
      <c r="A2912" t="str">
        <f>"20190305134953480"</f>
        <v>20190305134953480</v>
      </c>
      <c r="B2912" t="str">
        <f>"1551764993473182"</f>
        <v>1551764993473182</v>
      </c>
      <c r="C2912" t="s">
        <v>40</v>
      </c>
      <c r="D2912">
        <v>3.7640820000000001</v>
      </c>
      <c r="E2912">
        <v>0.48330630000000002</v>
      </c>
      <c r="F2912" t="s">
        <v>76</v>
      </c>
      <c r="G2912">
        <v>-512.82780000000002</v>
      </c>
      <c r="H2912">
        <v>7.7927470000000003</v>
      </c>
      <c r="I2912">
        <v>273.5163</v>
      </c>
      <c r="J2912">
        <v>-461.8057</v>
      </c>
      <c r="K2912">
        <v>1.1147879999999999</v>
      </c>
      <c r="L2912">
        <v>285.6395</v>
      </c>
      <c r="M2912">
        <v>-0.99816579999999999</v>
      </c>
      <c r="N2912">
        <v>-1.950315E-2</v>
      </c>
      <c r="O2912">
        <v>-5.7312630000000003E-2</v>
      </c>
      <c r="P2912">
        <v>-0.98109619999999997</v>
      </c>
      <c r="Q2912">
        <v>-4.5115679999999998E-2</v>
      </c>
      <c r="R2912">
        <v>-0.1881882</v>
      </c>
      <c r="S2912">
        <v>-2.9424130000000002</v>
      </c>
      <c r="T2912">
        <v>0.38347219999999999</v>
      </c>
      <c r="U2912">
        <v>-0.69696040000000004</v>
      </c>
      <c r="V2912">
        <v>-0.13137089999999901</v>
      </c>
      <c r="W2912">
        <v>-2.7125179999999999E-2</v>
      </c>
      <c r="X2912">
        <v>0.99096209999999996</v>
      </c>
      <c r="Y2912">
        <v>-0.1737658</v>
      </c>
      <c r="Z2912">
        <v>9.7774429999999989E-4</v>
      </c>
      <c r="AA2912">
        <v>0.98478650000000001</v>
      </c>
      <c r="AB2912">
        <v>39</v>
      </c>
      <c r="AC2912">
        <v>-51.022100000000002</v>
      </c>
      <c r="AD2912">
        <v>6.6779589999999898</v>
      </c>
      <c r="AE2912">
        <v>-12.123199999999899</v>
      </c>
      <c r="AF2912">
        <v>-9.03204306511482</v>
      </c>
      <c r="AG2912">
        <v>6.6779589999999898</v>
      </c>
      <c r="AH2912">
        <v>50.809270450368601</v>
      </c>
      <c r="AI2912">
        <v>82.626714233534798</v>
      </c>
      <c r="AJ2912">
        <v>100.079815176767</v>
      </c>
      <c r="AK2912">
        <v>52.0360923017329</v>
      </c>
      <c r="AL2912">
        <v>91.554349002365598</v>
      </c>
      <c r="AM2912">
        <v>97.551613515820605</v>
      </c>
      <c r="AN2912">
        <v>0.999999986196626</v>
      </c>
    </row>
    <row r="2913" spans="1:40" x14ac:dyDescent="0.25">
      <c r="A2913" t="str">
        <f>"20190305134953501"</f>
        <v>20190305134953501</v>
      </c>
      <c r="B2913" t="str">
        <f>"1551764993493677"</f>
        <v>1551764993493677</v>
      </c>
      <c r="C2913" t="s">
        <v>40</v>
      </c>
      <c r="D2913">
        <v>3.7401529999999998</v>
      </c>
      <c r="E2913">
        <v>0.48339989999999999</v>
      </c>
      <c r="F2913" t="s">
        <v>76</v>
      </c>
      <c r="G2913">
        <v>-512.82780000000002</v>
      </c>
      <c r="H2913">
        <v>7.7982009999999997</v>
      </c>
      <c r="I2913">
        <v>273.34179999999998</v>
      </c>
      <c r="J2913">
        <v>-462.16570000000002</v>
      </c>
      <c r="K2913">
        <v>1.114994</v>
      </c>
      <c r="L2913">
        <v>285.61470000000003</v>
      </c>
      <c r="M2913">
        <v>-0.99791510000000005</v>
      </c>
      <c r="N2913">
        <v>-2.005175E-2</v>
      </c>
      <c r="O2913">
        <v>-6.1346640000000001E-2</v>
      </c>
      <c r="P2913">
        <v>-0.9799464</v>
      </c>
      <c r="Q2913">
        <v>-4.42028E-2</v>
      </c>
      <c r="R2913">
        <v>-0.19429660000000001</v>
      </c>
      <c r="S2913">
        <v>-2.9396360000000001</v>
      </c>
      <c r="T2913">
        <v>0.38506829999999997</v>
      </c>
      <c r="U2913">
        <v>-0.70852660000000001</v>
      </c>
      <c r="V2913">
        <v>-0.13353960000000001</v>
      </c>
      <c r="W2913">
        <v>-2.5744360000000001E-2</v>
      </c>
      <c r="X2913">
        <v>0.99070910000000001</v>
      </c>
      <c r="Y2913">
        <v>-0.17370659999999999</v>
      </c>
      <c r="Z2913">
        <v>3.164113E-4</v>
      </c>
      <c r="AA2913">
        <v>0.98479740000000004</v>
      </c>
      <c r="AB2913">
        <v>39</v>
      </c>
      <c r="AC2913">
        <v>-50.662100000000002</v>
      </c>
      <c r="AD2913">
        <v>6.6832070000000003</v>
      </c>
      <c r="AE2913">
        <v>-12.2729</v>
      </c>
      <c r="AF2913">
        <v>-8.9933715405538592</v>
      </c>
      <c r="AG2913">
        <v>6.6832070000000003</v>
      </c>
      <c r="AH2913">
        <v>50.4897659649818</v>
      </c>
      <c r="AI2913">
        <v>82.575262511330706</v>
      </c>
      <c r="AJ2913">
        <v>100.09975189107099</v>
      </c>
      <c r="AK2913">
        <v>51.718105675574897</v>
      </c>
      <c r="AL2913">
        <v>91.475206072309007</v>
      </c>
      <c r="AM2913">
        <v>97.676739769150203</v>
      </c>
      <c r="AN2913">
        <v>1.00000005883138</v>
      </c>
    </row>
    <row r="2914" spans="1:40" x14ac:dyDescent="0.25">
      <c r="A2914" t="str">
        <f>"20190305134953521"</f>
        <v>20190305134953521</v>
      </c>
      <c r="B2914" t="str">
        <f>"1551764993513196"</f>
        <v>1551764993513196</v>
      </c>
      <c r="C2914" t="s">
        <v>40</v>
      </c>
      <c r="D2914">
        <v>3.7694079999999999</v>
      </c>
      <c r="E2914">
        <v>0.48353390000000002</v>
      </c>
      <c r="F2914" t="s">
        <v>76</v>
      </c>
      <c r="G2914">
        <v>-512.82780000000002</v>
      </c>
      <c r="H2914">
        <v>7.8259210000000001</v>
      </c>
      <c r="I2914">
        <v>273.08300000000003</v>
      </c>
      <c r="J2914">
        <v>-462.53500000000003</v>
      </c>
      <c r="K2914">
        <v>1.1151819999999999</v>
      </c>
      <c r="L2914">
        <v>285.58749999999998</v>
      </c>
      <c r="M2914">
        <v>-0.99763020000000002</v>
      </c>
      <c r="N2914">
        <v>-2.056736E-2</v>
      </c>
      <c r="O2914">
        <v>-6.5659499999999996E-2</v>
      </c>
      <c r="P2914">
        <v>-0.9788152</v>
      </c>
      <c r="Q2914">
        <v>-4.445644E-2</v>
      </c>
      <c r="R2914">
        <v>-0.1998616</v>
      </c>
      <c r="S2914">
        <v>-2.9349669999999999</v>
      </c>
      <c r="T2914">
        <v>0.38878259999999998</v>
      </c>
      <c r="U2914">
        <v>-0.72598269999999998</v>
      </c>
      <c r="V2914">
        <v>-0.13487950000000001</v>
      </c>
      <c r="W2914">
        <v>-2.55517E-2</v>
      </c>
      <c r="X2914">
        <v>0.99053250000000004</v>
      </c>
      <c r="Y2914">
        <v>-0.17536499999999999</v>
      </c>
      <c r="Z2914">
        <v>-2.8050779999999999E-4</v>
      </c>
      <c r="AA2914">
        <v>0.98450340000000003</v>
      </c>
      <c r="AB2914">
        <v>39</v>
      </c>
      <c r="AC2914">
        <v>-50.2928</v>
      </c>
      <c r="AD2914">
        <v>6.7107390000000002</v>
      </c>
      <c r="AE2914">
        <v>-12.5045</v>
      </c>
      <c r="AF2914">
        <v>-9.0233046618916202</v>
      </c>
      <c r="AG2914">
        <v>6.7107390000000002</v>
      </c>
      <c r="AH2914">
        <v>50.164289687222599</v>
      </c>
      <c r="AI2914">
        <v>82.499453005183597</v>
      </c>
      <c r="AJ2914">
        <v>100.19703974292599</v>
      </c>
      <c r="AK2914">
        <v>51.409240460942698</v>
      </c>
      <c r="AL2914">
        <v>91.464163919917198</v>
      </c>
      <c r="AM2914">
        <v>97.754199301919897</v>
      </c>
      <c r="AN2914">
        <v>1.0000000012246899</v>
      </c>
    </row>
    <row r="2915" spans="1:40" x14ac:dyDescent="0.25">
      <c r="A2915" t="str">
        <f>"20190305134953545"</f>
        <v>20190305134953545</v>
      </c>
      <c r="B2915" t="str">
        <f>"1551764993533692"</f>
        <v>1551764993533692</v>
      </c>
      <c r="C2915" t="s">
        <v>40</v>
      </c>
      <c r="D2915">
        <v>3.800335</v>
      </c>
      <c r="E2915">
        <v>0.48384830000000001</v>
      </c>
      <c r="F2915" t="s">
        <v>76</v>
      </c>
      <c r="G2915">
        <v>-512.82780000000002</v>
      </c>
      <c r="H2915">
        <v>7.7969780000000002</v>
      </c>
      <c r="I2915">
        <v>272.86529999999999</v>
      </c>
      <c r="J2915">
        <v>-462.91660000000002</v>
      </c>
      <c r="K2915">
        <v>1.1153519999999999</v>
      </c>
      <c r="L2915">
        <v>285.55759999999998</v>
      </c>
      <c r="M2915">
        <v>-0.99730410000000003</v>
      </c>
      <c r="N2915">
        <v>-2.1049760000000001E-2</v>
      </c>
      <c r="O2915">
        <v>-7.0295350000000006E-2</v>
      </c>
      <c r="P2915">
        <v>-0.97761410000000004</v>
      </c>
      <c r="Q2915">
        <v>-4.4811480000000001E-2</v>
      </c>
      <c r="R2915">
        <v>-0.20557919999999999</v>
      </c>
      <c r="S2915">
        <v>-2.9312130000000001</v>
      </c>
      <c r="T2915">
        <v>0.38943840000000002</v>
      </c>
      <c r="U2915">
        <v>-0.74148559999999997</v>
      </c>
      <c r="V2915">
        <v>-0.1360575</v>
      </c>
      <c r="W2915">
        <v>-2.548947E-2</v>
      </c>
      <c r="X2915">
        <v>0.99037299999999995</v>
      </c>
      <c r="Y2915">
        <v>-0.1760369</v>
      </c>
      <c r="Z2915">
        <v>-1.0080039999999901E-3</v>
      </c>
      <c r="AA2915">
        <v>0.98438300000000001</v>
      </c>
      <c r="AB2915">
        <v>38</v>
      </c>
      <c r="AC2915">
        <v>-49.911200000000001</v>
      </c>
      <c r="AD2915">
        <v>6.6816259999999996</v>
      </c>
      <c r="AE2915">
        <v>-12.6922999999999</v>
      </c>
      <c r="AF2915">
        <v>-9.00008927981313</v>
      </c>
      <c r="AG2915">
        <v>6.6816259999999996</v>
      </c>
      <c r="AH2915">
        <v>49.8411215558422</v>
      </c>
      <c r="AI2915">
        <v>82.484660021969901</v>
      </c>
      <c r="AJ2915">
        <v>100.235913683362</v>
      </c>
      <c r="AK2915">
        <v>51.0860365559192</v>
      </c>
      <c r="AL2915">
        <v>91.460597217729699</v>
      </c>
      <c r="AM2915">
        <v>97.822331736339905</v>
      </c>
      <c r="AN2915">
        <v>1.0000000177580599</v>
      </c>
    </row>
    <row r="2916" spans="1:40" x14ac:dyDescent="0.25">
      <c r="A2916" t="str">
        <f>"20190305134953568"</f>
        <v>20190305134953568</v>
      </c>
      <c r="B2916" t="str">
        <f>"1551764993562972"</f>
        <v>1551764993562972</v>
      </c>
      <c r="C2916" t="s">
        <v>40</v>
      </c>
      <c r="D2916">
        <v>3.7275429999999998</v>
      </c>
      <c r="E2916">
        <v>0.48432700000000001</v>
      </c>
      <c r="F2916" t="s">
        <v>76</v>
      </c>
      <c r="G2916">
        <v>-512.82770000000005</v>
      </c>
      <c r="H2916">
        <v>7.698277</v>
      </c>
      <c r="I2916">
        <v>272.67899999999997</v>
      </c>
      <c r="J2916">
        <v>-463.29270000000002</v>
      </c>
      <c r="K2916">
        <v>1.1155029999999999</v>
      </c>
      <c r="L2916">
        <v>285.52600000000001</v>
      </c>
      <c r="M2916">
        <v>-0.99694870000000002</v>
      </c>
      <c r="N2916">
        <v>-2.1483430000000001E-2</v>
      </c>
      <c r="O2916">
        <v>-7.5045429999999996E-2</v>
      </c>
      <c r="P2916">
        <v>-0.97643789999999997</v>
      </c>
      <c r="Q2916">
        <v>-4.5966170000000001E-2</v>
      </c>
      <c r="R2916">
        <v>-0.2108468</v>
      </c>
      <c r="S2916">
        <v>-2.9275820000000001</v>
      </c>
      <c r="T2916">
        <v>0.38613059999999899</v>
      </c>
      <c r="U2916">
        <v>-0.75540160000000001</v>
      </c>
      <c r="V2916">
        <v>-0.13666629999999999</v>
      </c>
      <c r="W2916">
        <v>-2.626498E-2</v>
      </c>
      <c r="X2916">
        <v>0.99026890000000001</v>
      </c>
      <c r="Y2916">
        <v>-0.17610110000000001</v>
      </c>
      <c r="Z2916">
        <v>-1.801977E-3</v>
      </c>
      <c r="AA2916">
        <v>0.98437039999999998</v>
      </c>
      <c r="AB2916">
        <v>38</v>
      </c>
      <c r="AC2916">
        <v>-49.534999999999997</v>
      </c>
      <c r="AD2916">
        <v>6.5827739999999997</v>
      </c>
      <c r="AE2916">
        <v>-12.8469999999999</v>
      </c>
      <c r="AF2916">
        <v>-8.9445169662501307</v>
      </c>
      <c r="AG2916">
        <v>6.5827739999999997</v>
      </c>
      <c r="AH2916">
        <v>49.539842840408397</v>
      </c>
      <c r="AI2916">
        <v>82.550041021461496</v>
      </c>
      <c r="AJ2916">
        <v>100.234604649682</v>
      </c>
      <c r="AK2916">
        <v>50.769413291340797</v>
      </c>
      <c r="AL2916">
        <v>91.505045563403598</v>
      </c>
      <c r="AM2916">
        <v>97.857712813582793</v>
      </c>
      <c r="AN2916">
        <v>1.00000001051865</v>
      </c>
    </row>
    <row r="2917" spans="1:40" x14ac:dyDescent="0.25">
      <c r="A2917" t="str">
        <f>"20190305134953589"</f>
        <v>20190305134953589</v>
      </c>
      <c r="B2917" t="str">
        <f>"1551764993583000"</f>
        <v>1551764993583000</v>
      </c>
      <c r="C2917" t="s">
        <v>40</v>
      </c>
      <c r="D2917">
        <v>3.7570939999999999</v>
      </c>
      <c r="E2917">
        <v>0.4845063</v>
      </c>
      <c r="F2917" t="s">
        <v>76</v>
      </c>
      <c r="G2917">
        <v>-511.0761</v>
      </c>
      <c r="H2917">
        <v>7.3196429999999904</v>
      </c>
      <c r="I2917">
        <v>273.00200000000001</v>
      </c>
      <c r="J2917">
        <v>-463.66809999999998</v>
      </c>
      <c r="K2917">
        <v>1.115658</v>
      </c>
      <c r="L2917">
        <v>285.49270000000001</v>
      </c>
      <c r="M2917">
        <v>-0.99655709999999997</v>
      </c>
      <c r="N2917">
        <v>-2.1904320000000001E-2</v>
      </c>
      <c r="O2917">
        <v>-7.9964969999999996E-2</v>
      </c>
      <c r="P2917">
        <v>-0.97494979999999998</v>
      </c>
      <c r="Q2917">
        <v>-4.6244889999999997E-2</v>
      </c>
      <c r="R2917">
        <v>-0.2175647</v>
      </c>
      <c r="S2917">
        <v>-2.924744</v>
      </c>
      <c r="T2917">
        <v>0.37974849999999999</v>
      </c>
      <c r="U2917">
        <v>-0.766571</v>
      </c>
      <c r="V2917">
        <v>-0.13858909999999999</v>
      </c>
      <c r="W2917">
        <v>-2.6194930000000002E-2</v>
      </c>
      <c r="X2917">
        <v>0.99000350000000004</v>
      </c>
      <c r="Y2917">
        <v>-0.1750815</v>
      </c>
      <c r="Z2917">
        <v>-2.678738E-3</v>
      </c>
      <c r="AA2917">
        <v>0.98455029999999999</v>
      </c>
      <c r="AB2917">
        <v>38</v>
      </c>
      <c r="AC2917">
        <v>-47.408000000000001</v>
      </c>
      <c r="AD2917">
        <v>6.2039849999999896</v>
      </c>
      <c r="AE2917">
        <v>-12.4907</v>
      </c>
      <c r="AF2917">
        <v>-8.5223192852034799</v>
      </c>
      <c r="AG2917">
        <v>6.2039849999999896</v>
      </c>
      <c r="AH2917">
        <v>47.494606330525599</v>
      </c>
      <c r="AI2917">
        <v>82.673584995201594</v>
      </c>
      <c r="AJ2917">
        <v>100.172760082591</v>
      </c>
      <c r="AK2917">
        <v>48.650354432118803</v>
      </c>
      <c r="AL2917">
        <v>91.501030596194596</v>
      </c>
      <c r="AM2917">
        <v>97.968963876522295</v>
      </c>
      <c r="AN2917">
        <v>1.0000000215043801</v>
      </c>
    </row>
    <row r="2918" spans="1:40" x14ac:dyDescent="0.25">
      <c r="A2918" t="str">
        <f>"20190305134953612"</f>
        <v>20190305134953612</v>
      </c>
      <c r="B2918" t="str">
        <f>"1551764993603499"</f>
        <v>1551764993603499</v>
      </c>
      <c r="C2918" t="s">
        <v>40</v>
      </c>
      <c r="D2918">
        <v>3.9729749999999999</v>
      </c>
      <c r="E2918">
        <v>0.48462820000000001</v>
      </c>
      <c r="F2918" t="s">
        <v>76</v>
      </c>
      <c r="G2918">
        <v>-511.0761</v>
      </c>
      <c r="H2918">
        <v>7.2664210000000002</v>
      </c>
      <c r="I2918">
        <v>272.75810000000001</v>
      </c>
      <c r="J2918">
        <v>-464.03160000000003</v>
      </c>
      <c r="K2918">
        <v>1.115828</v>
      </c>
      <c r="L2918">
        <v>285.45830000000001</v>
      </c>
      <c r="M2918">
        <v>-0.99613799999999997</v>
      </c>
      <c r="N2918">
        <v>-2.23485E-2</v>
      </c>
      <c r="O2918">
        <v>-8.491129E-2</v>
      </c>
      <c r="P2918">
        <v>-0.9735066</v>
      </c>
      <c r="Q2918">
        <v>-4.556412E-2</v>
      </c>
      <c r="R2918">
        <v>-0.22407340000000001</v>
      </c>
      <c r="S2918">
        <v>-2.920013</v>
      </c>
      <c r="T2918">
        <v>0.37884869999999998</v>
      </c>
      <c r="U2918">
        <v>-0.78436280000000003</v>
      </c>
      <c r="V2918">
        <v>-0.14028979999999999</v>
      </c>
      <c r="W2918">
        <v>-2.5137340000000001E-2</v>
      </c>
      <c r="X2918">
        <v>0.98979130000000004</v>
      </c>
      <c r="Y2918">
        <v>-0.1762454</v>
      </c>
      <c r="Z2918">
        <v>-3.425918E-3</v>
      </c>
      <c r="AA2918">
        <v>0.98434029999999995</v>
      </c>
      <c r="AB2918">
        <v>38</v>
      </c>
      <c r="AC2918">
        <v>-47.0444999999999</v>
      </c>
      <c r="AD2918">
        <v>6.1505929999999998</v>
      </c>
      <c r="AE2918">
        <v>-12.700199999999899</v>
      </c>
      <c r="AF2918">
        <v>-8.5229183248982903</v>
      </c>
      <c r="AG2918">
        <v>6.1505929999999998</v>
      </c>
      <c r="AH2918">
        <v>47.201173395811097</v>
      </c>
      <c r="AI2918">
        <v>82.692711176884899</v>
      </c>
      <c r="AJ2918">
        <v>100.235372005584</v>
      </c>
      <c r="AK2918">
        <v>48.357219739827499</v>
      </c>
      <c r="AL2918">
        <v>91.440415263103105</v>
      </c>
      <c r="AM2918">
        <v>98.067182487919595</v>
      </c>
      <c r="AN2918">
        <v>0.99999996570100202</v>
      </c>
    </row>
    <row r="2919" spans="1:40" x14ac:dyDescent="0.25">
      <c r="A2919" t="str">
        <f>"20190305134953634"</f>
        <v>20190305134953634</v>
      </c>
      <c r="B2919" t="str">
        <f>"1551764993623016"</f>
        <v>1551764993623016</v>
      </c>
      <c r="C2919" t="s">
        <v>40</v>
      </c>
      <c r="D2919">
        <v>3.7718250000000002</v>
      </c>
      <c r="E2919">
        <v>0.48481600000000002</v>
      </c>
      <c r="F2919" t="s">
        <v>76</v>
      </c>
      <c r="G2919">
        <v>-511.0761</v>
      </c>
      <c r="H2919">
        <v>7.2649860000000004</v>
      </c>
      <c r="I2919">
        <v>272.50869999999998</v>
      </c>
      <c r="J2919">
        <v>-464.40179999999998</v>
      </c>
      <c r="K2919">
        <v>1.1160159999999999</v>
      </c>
      <c r="L2919">
        <v>285.42110000000002</v>
      </c>
      <c r="M2919">
        <v>-0.99566869999999996</v>
      </c>
      <c r="N2919">
        <v>-2.283665E-2</v>
      </c>
      <c r="O2919">
        <v>-9.0124029999999994E-2</v>
      </c>
      <c r="P2919">
        <v>-0.97216460000000005</v>
      </c>
      <c r="Q2919">
        <v>-4.3910449999999997E-2</v>
      </c>
      <c r="R2919">
        <v>-0.23014799999999999</v>
      </c>
      <c r="S2919">
        <v>-2.914825</v>
      </c>
      <c r="T2919">
        <v>0.38099880000000003</v>
      </c>
      <c r="U2919">
        <v>-0.80233759999999998</v>
      </c>
      <c r="V2919">
        <v>-0.14129920000000001</v>
      </c>
      <c r="W2919">
        <v>-2.3056009999999998E-2</v>
      </c>
      <c r="X2919">
        <v>0.98969839999999998</v>
      </c>
      <c r="Y2919">
        <v>-0.17723849999999999</v>
      </c>
      <c r="Z2919">
        <v>-4.2329430000000003E-3</v>
      </c>
      <c r="AA2919">
        <v>0.9841588</v>
      </c>
      <c r="AB2919">
        <v>37</v>
      </c>
      <c r="AC2919">
        <v>-46.674300000000002</v>
      </c>
      <c r="AD2919">
        <v>6.1489699999999896</v>
      </c>
      <c r="AE2919">
        <v>-12.9124</v>
      </c>
      <c r="AF2919">
        <v>-8.5149737781994794</v>
      </c>
      <c r="AG2919">
        <v>6.1489699999999896</v>
      </c>
      <c r="AH2919">
        <v>46.892281859588699</v>
      </c>
      <c r="AI2919">
        <v>82.648321551680596</v>
      </c>
      <c r="AJ2919">
        <v>100.291959002165</v>
      </c>
      <c r="AK2919">
        <v>48.054143510247201</v>
      </c>
      <c r="AL2919">
        <v>91.321129152739601</v>
      </c>
      <c r="AM2919">
        <v>98.125206933247398</v>
      </c>
      <c r="AN2919">
        <v>0.99999998324015904</v>
      </c>
    </row>
    <row r="2920" spans="1:40" x14ac:dyDescent="0.25">
      <c r="A2920" t="str">
        <f>"20190305134953657"</f>
        <v>20190305134953657</v>
      </c>
      <c r="B2920" t="str">
        <f>"1551764993653272"</f>
        <v>1551764993653272</v>
      </c>
      <c r="C2920" t="s">
        <v>40</v>
      </c>
      <c r="D2920">
        <v>3.7813780000000001</v>
      </c>
      <c r="E2920">
        <v>0.48508020000000002</v>
      </c>
      <c r="F2920" t="s">
        <v>76</v>
      </c>
      <c r="G2920">
        <v>-511.0761</v>
      </c>
      <c r="H2920">
        <v>7.2981319999999998</v>
      </c>
      <c r="I2920">
        <v>272.29169999999999</v>
      </c>
      <c r="J2920">
        <v>-464.76479999999998</v>
      </c>
      <c r="K2920">
        <v>1.116204</v>
      </c>
      <c r="L2920">
        <v>285.38249999999999</v>
      </c>
      <c r="M2920">
        <v>-0.99516669999999996</v>
      </c>
      <c r="N2920">
        <v>-2.3310830000000001E-2</v>
      </c>
      <c r="O2920">
        <v>-9.5394309999999996E-2</v>
      </c>
      <c r="P2920">
        <v>-0.97087069999999998</v>
      </c>
      <c r="Q2920">
        <v>-4.2067800000000002E-2</v>
      </c>
      <c r="R2920">
        <v>-0.2358817</v>
      </c>
      <c r="S2920">
        <v>-2.9095759999999999</v>
      </c>
      <c r="T2920">
        <v>0.38538309999999998</v>
      </c>
      <c r="U2920">
        <v>-0.81845089999999998</v>
      </c>
      <c r="V2920">
        <v>-0.1419137</v>
      </c>
      <c r="W2920">
        <v>-2.0796140000000001E-2</v>
      </c>
      <c r="X2920">
        <v>0.9896606</v>
      </c>
      <c r="Y2920">
        <v>-0.17759639999999999</v>
      </c>
      <c r="Z2920">
        <v>-5.0965940000000003E-3</v>
      </c>
      <c r="AA2920">
        <v>0.98409020000000003</v>
      </c>
      <c r="AB2920">
        <v>37</v>
      </c>
      <c r="AC2920">
        <v>-46.311300000000003</v>
      </c>
      <c r="AD2920">
        <v>6.1819280000000001</v>
      </c>
      <c r="AE2920">
        <v>-13.0908</v>
      </c>
      <c r="AF2920">
        <v>-8.4722391752603698</v>
      </c>
      <c r="AG2920">
        <v>6.1819280000000001</v>
      </c>
      <c r="AH2920">
        <v>46.5805238184046</v>
      </c>
      <c r="AI2920">
        <v>82.560824679578104</v>
      </c>
      <c r="AJ2920">
        <v>100.308481592343</v>
      </c>
      <c r="AK2920">
        <v>47.746625740851599</v>
      </c>
      <c r="AL2920">
        <v>91.191616906133603</v>
      </c>
      <c r="AM2920">
        <v>98.160375465118307</v>
      </c>
      <c r="AN2920">
        <v>1.00000004043947</v>
      </c>
    </row>
    <row r="2921" spans="1:40" x14ac:dyDescent="0.25">
      <c r="A2921" t="str">
        <f>"20190305134953680"</f>
        <v>20190305134953680</v>
      </c>
      <c r="B2921" t="str">
        <f>"1551764993673298"</f>
        <v>1551764993673298</v>
      </c>
      <c r="C2921" t="s">
        <v>40</v>
      </c>
      <c r="D2921">
        <v>3.7867069999999998</v>
      </c>
      <c r="E2921">
        <v>0.48536800000000002</v>
      </c>
      <c r="F2921" t="s">
        <v>76</v>
      </c>
      <c r="G2921">
        <v>-511.0761</v>
      </c>
      <c r="H2921">
        <v>7.3440409999999998</v>
      </c>
      <c r="I2921">
        <v>272.10059999999999</v>
      </c>
      <c r="J2921">
        <v>-465.13569999999999</v>
      </c>
      <c r="K2921">
        <v>1.1163940000000001</v>
      </c>
      <c r="L2921">
        <v>285.34089999999998</v>
      </c>
      <c r="M2921">
        <v>-0.99460800000000005</v>
      </c>
      <c r="N2921">
        <v>-2.376081E-2</v>
      </c>
      <c r="O2921">
        <v>-0.1009467</v>
      </c>
      <c r="P2921">
        <v>-0.96935709999999997</v>
      </c>
      <c r="Q2921">
        <v>-4.2154949999999997E-2</v>
      </c>
      <c r="R2921">
        <v>-0.2420118</v>
      </c>
      <c r="S2921">
        <v>-2.904541</v>
      </c>
      <c r="T2921">
        <v>0.39059959999999999</v>
      </c>
      <c r="U2921">
        <v>-0.83300779999999996</v>
      </c>
      <c r="V2921">
        <v>-0.142640299999999</v>
      </c>
      <c r="W2921">
        <v>-2.049834E-2</v>
      </c>
      <c r="X2921">
        <v>0.98956230000000001</v>
      </c>
      <c r="Y2921">
        <v>-0.177177799999999</v>
      </c>
      <c r="Z2921">
        <v>-6.0639379999999996E-3</v>
      </c>
      <c r="AA2921">
        <v>0.98416020000000004</v>
      </c>
      <c r="AB2921">
        <v>37</v>
      </c>
      <c r="AC2921">
        <v>-45.940399999999997</v>
      </c>
      <c r="AD2921">
        <v>6.2276470000000002</v>
      </c>
      <c r="AE2921">
        <v>-13.2402999999999</v>
      </c>
      <c r="AF2921">
        <v>-8.3914093719136993</v>
      </c>
      <c r="AG2921">
        <v>6.2276470000000002</v>
      </c>
      <c r="AH2921">
        <v>46.257684349543297</v>
      </c>
      <c r="AI2921">
        <v>82.454105424221595</v>
      </c>
      <c r="AJ2921">
        <v>100.281969725742</v>
      </c>
      <c r="AK2921">
        <v>47.423334971147199</v>
      </c>
      <c r="AL2921">
        <v>91.174550643136399</v>
      </c>
      <c r="AM2921">
        <v>98.202393336527507</v>
      </c>
      <c r="AN2921">
        <v>0.99999999135406703</v>
      </c>
    </row>
    <row r="2922" spans="1:40" x14ac:dyDescent="0.25">
      <c r="A2922" t="str">
        <f>"20190305134953701"</f>
        <v>20190305134953701</v>
      </c>
      <c r="B2922" t="str">
        <f>"1551764993693798"</f>
        <v>1551764993693798</v>
      </c>
      <c r="C2922" t="s">
        <v>40</v>
      </c>
      <c r="D2922">
        <v>3.9712689999999999</v>
      </c>
      <c r="E2922">
        <v>0.48551250000000001</v>
      </c>
      <c r="F2922" t="s">
        <v>76</v>
      </c>
      <c r="G2922">
        <v>-511.0761</v>
      </c>
      <c r="H2922">
        <v>7.2967579999999996</v>
      </c>
      <c r="I2922">
        <v>271.89299999999997</v>
      </c>
      <c r="J2922">
        <v>-465.48140000000001</v>
      </c>
      <c r="K2922">
        <v>1.116544</v>
      </c>
      <c r="L2922">
        <v>285.29989999999998</v>
      </c>
      <c r="M2922">
        <v>-0.99403989999999998</v>
      </c>
      <c r="N2922">
        <v>-2.411454E-2</v>
      </c>
      <c r="O2922">
        <v>-0.1063161</v>
      </c>
      <c r="P2922">
        <v>-0.96771070000000003</v>
      </c>
      <c r="Q2922">
        <v>-4.4143309999999998E-2</v>
      </c>
      <c r="R2922">
        <v>-0.2481681</v>
      </c>
      <c r="S2922">
        <v>-2.8999329999999999</v>
      </c>
      <c r="T2922">
        <v>0.39013110000000001</v>
      </c>
      <c r="U2922">
        <v>-0.84887699999999999</v>
      </c>
      <c r="V2922">
        <v>-0.14356549999999901</v>
      </c>
      <c r="W2922">
        <v>-2.2200629999999999E-2</v>
      </c>
      <c r="X2922">
        <v>0.98939169999999999</v>
      </c>
      <c r="Y2922">
        <v>-0.17731479999999999</v>
      </c>
      <c r="Z2922">
        <v>-6.9462710000000004E-3</v>
      </c>
      <c r="AA2922">
        <v>0.9841297</v>
      </c>
      <c r="AB2922">
        <v>37</v>
      </c>
      <c r="AC2922">
        <v>-45.594699999999897</v>
      </c>
      <c r="AD2922">
        <v>6.1802140000000003</v>
      </c>
      <c r="AE2922">
        <v>-13.4069</v>
      </c>
      <c r="AF2922">
        <v>-8.3409575585617706</v>
      </c>
      <c r="AG2922">
        <v>6.1802140000000003</v>
      </c>
      <c r="AH2922">
        <v>45.984289818265303</v>
      </c>
      <c r="AI2922">
        <v>82.466884073033995</v>
      </c>
      <c r="AJ2922">
        <v>100.28093656375199</v>
      </c>
      <c r="AK2922">
        <v>47.1415053659696</v>
      </c>
      <c r="AL2922">
        <v>91.272107004023397</v>
      </c>
      <c r="AM2922">
        <v>98.256268956972704</v>
      </c>
      <c r="AN2922">
        <v>0.99999992839576501</v>
      </c>
    </row>
    <row r="2923" spans="1:40" x14ac:dyDescent="0.25">
      <c r="A2923" t="str">
        <f>"20190305134953723"</f>
        <v>20190305134953723</v>
      </c>
      <c r="B2923" t="str">
        <f>"1551764993713314"</f>
        <v>1551764993713314</v>
      </c>
      <c r="C2923" t="s">
        <v>40</v>
      </c>
      <c r="D2923">
        <v>3.9192710000000002</v>
      </c>
      <c r="E2923">
        <v>0.4887416</v>
      </c>
      <c r="F2923" t="s">
        <v>76</v>
      </c>
      <c r="G2923">
        <v>-511.0761</v>
      </c>
      <c r="H2923">
        <v>7.1687630000000002</v>
      </c>
      <c r="I2923">
        <v>271.65609999999998</v>
      </c>
      <c r="J2923">
        <v>-465.83460000000002</v>
      </c>
      <c r="K2923">
        <v>1.1166830000000001</v>
      </c>
      <c r="L2923">
        <v>285.25580000000002</v>
      </c>
      <c r="M2923">
        <v>-0.99340419999999996</v>
      </c>
      <c r="N2923">
        <v>-2.435708E-2</v>
      </c>
      <c r="O2923">
        <v>-0.1120487</v>
      </c>
      <c r="P2923">
        <v>-0.96574439999999995</v>
      </c>
      <c r="Q2923">
        <v>-4.7106389999999998E-2</v>
      </c>
      <c r="R2923">
        <v>-0.25518400000000002</v>
      </c>
      <c r="S2923">
        <v>-2.895416</v>
      </c>
      <c r="T2923">
        <v>0.38434030000000002</v>
      </c>
      <c r="U2923">
        <v>-0.86642459999999899</v>
      </c>
      <c r="V2923">
        <v>-0.145006</v>
      </c>
      <c r="W2923">
        <v>-2.5001869999999999E-2</v>
      </c>
      <c r="X2923">
        <v>0.98911479999999996</v>
      </c>
      <c r="Y2923">
        <v>-0.17761070000000001</v>
      </c>
      <c r="Z2923">
        <v>-7.8154799999999996E-3</v>
      </c>
      <c r="AA2923">
        <v>0.98406979999999999</v>
      </c>
      <c r="AB2923">
        <v>36</v>
      </c>
      <c r="AC2923">
        <v>-45.241499999999903</v>
      </c>
      <c r="AD2923">
        <v>6.0520800000000001</v>
      </c>
      <c r="AE2923">
        <v>-13.5997</v>
      </c>
      <c r="AF2923">
        <v>-8.3069182611671195</v>
      </c>
      <c r="AG2923">
        <v>6.0520800000000001</v>
      </c>
      <c r="AH2923">
        <v>45.730183361406603</v>
      </c>
      <c r="AI2923">
        <v>82.581123336764307</v>
      </c>
      <c r="AJ2923">
        <v>100.29555537660001</v>
      </c>
      <c r="AK2923">
        <v>46.870910313242099</v>
      </c>
      <c r="AL2923">
        <v>91.432650970691199</v>
      </c>
      <c r="AM2923">
        <v>98.340252656278906</v>
      </c>
      <c r="AN2923">
        <v>0.99999996055926699</v>
      </c>
    </row>
    <row r="2924" spans="1:40" x14ac:dyDescent="0.25">
      <c r="A2924" t="str">
        <f>"20190305134953746"</f>
        <v>20190305134953746</v>
      </c>
      <c r="B2924" t="str">
        <f>"1551764993733810"</f>
        <v>1551764993733810</v>
      </c>
      <c r="C2924" t="s">
        <v>40</v>
      </c>
      <c r="D2924">
        <v>3.8015439999999998</v>
      </c>
      <c r="E2924">
        <v>0.49077989999999999</v>
      </c>
      <c r="F2924" t="s">
        <v>62</v>
      </c>
      <c r="G2924">
        <v>-488.4341</v>
      </c>
      <c r="H2924" s="1">
        <v>2.8892499999999999E-6</v>
      </c>
      <c r="I2924">
        <v>278.55419999999998</v>
      </c>
      <c r="J2924">
        <v>-466.19729999999998</v>
      </c>
      <c r="K2924">
        <v>1.116816</v>
      </c>
      <c r="L2924">
        <v>285.2081</v>
      </c>
      <c r="M2924">
        <v>-0.99268500000000004</v>
      </c>
      <c r="N2924">
        <v>-2.4456220000000001E-2</v>
      </c>
      <c r="O2924">
        <v>-0.1182308</v>
      </c>
      <c r="P2924">
        <v>-0.96360199999999996</v>
      </c>
      <c r="Q2924">
        <v>-4.8074909999999998E-2</v>
      </c>
      <c r="R2924">
        <v>-0.26298339999999998</v>
      </c>
      <c r="S2924">
        <v>-2.8742679999999998</v>
      </c>
      <c r="T2924">
        <v>-0.14202239999999999</v>
      </c>
      <c r="U2924">
        <v>-0.85232540000000001</v>
      </c>
      <c r="V2924">
        <v>-0.1468265</v>
      </c>
      <c r="W2924">
        <v>-2.5960339999999998E-2</v>
      </c>
      <c r="X2924">
        <v>0.98882159999999997</v>
      </c>
      <c r="Y2924">
        <v>-0.16866320000000001</v>
      </c>
      <c r="Z2924">
        <v>-3.3515210000000001E-3</v>
      </c>
      <c r="AA2924">
        <v>0.98566810000000005</v>
      </c>
      <c r="AB2924">
        <v>36</v>
      </c>
      <c r="AC2924">
        <v>-22.236799999999999</v>
      </c>
      <c r="AD2924">
        <v>-1.1168131107499999</v>
      </c>
      <c r="AE2924">
        <v>-6.6539000000000197</v>
      </c>
      <c r="AF2924">
        <v>-3.9681546441467899</v>
      </c>
      <c r="AG2924">
        <v>-1.1168131107499999</v>
      </c>
      <c r="AH2924">
        <v>22.814852645102</v>
      </c>
      <c r="AI2924">
        <v>92.761070854305103</v>
      </c>
      <c r="AJ2924">
        <v>99.866670303419994</v>
      </c>
      <c r="AK2924">
        <v>23.184283987691401</v>
      </c>
      <c r="AL2924">
        <v>91.487584951936796</v>
      </c>
      <c r="AM2924">
        <v>98.445928890593706</v>
      </c>
      <c r="AN2924">
        <v>1.0000000584908599</v>
      </c>
    </row>
    <row r="2925" spans="1:40" x14ac:dyDescent="0.25">
      <c r="A2925" t="str">
        <f>"20190305134953771"</f>
        <v>20190305134953771</v>
      </c>
      <c r="B2925" t="str">
        <f>"1551764993763090"</f>
        <v>1551764993763090</v>
      </c>
      <c r="C2925" t="s">
        <v>40</v>
      </c>
      <c r="D2925">
        <v>3.9489489999999998</v>
      </c>
      <c r="E2925">
        <v>0.49165890000000001</v>
      </c>
      <c r="F2925" t="s">
        <v>76</v>
      </c>
      <c r="G2925">
        <v>-512.82680000000005</v>
      </c>
      <c r="H2925">
        <v>5.0424939999999996</v>
      </c>
      <c r="I2925">
        <v>271.1979</v>
      </c>
      <c r="J2925">
        <v>-466.57530000000003</v>
      </c>
      <c r="K2925">
        <v>1.1169340000000001</v>
      </c>
      <c r="L2925">
        <v>285.15570000000002</v>
      </c>
      <c r="M2925">
        <v>-0.99185380000000001</v>
      </c>
      <c r="N2925">
        <v>-2.4432579999999999E-2</v>
      </c>
      <c r="O2925">
        <v>-0.12501699999999999</v>
      </c>
      <c r="P2925">
        <v>-0.96135499999999996</v>
      </c>
      <c r="Q2925">
        <v>-4.671144E-2</v>
      </c>
      <c r="R2925">
        <v>-0.27132129999999999</v>
      </c>
      <c r="S2925">
        <v>-2.8885800000000001</v>
      </c>
      <c r="T2925">
        <v>0.2431895</v>
      </c>
      <c r="U2925">
        <v>-0.86788940000000003</v>
      </c>
      <c r="V2925">
        <v>-0.14862879999999901</v>
      </c>
      <c r="W2925">
        <v>-2.4708279999999999E-2</v>
      </c>
      <c r="X2925">
        <v>0.98858429999999997</v>
      </c>
      <c r="Y2925">
        <v>-0.1660256</v>
      </c>
      <c r="Z2925">
        <v>-8.4646099999999991E-3</v>
      </c>
      <c r="AA2925">
        <v>0.98608510000000005</v>
      </c>
      <c r="AB2925">
        <v>36</v>
      </c>
      <c r="AC2925">
        <v>-46.2515</v>
      </c>
      <c r="AD2925">
        <v>3.9255599999999999</v>
      </c>
      <c r="AE2925">
        <v>-13.957800000000001</v>
      </c>
      <c r="AF2925">
        <v>-8.0113859341491107</v>
      </c>
      <c r="AG2925">
        <v>3.9255599999999999</v>
      </c>
      <c r="AH2925">
        <v>47.321471319970598</v>
      </c>
      <c r="AI2925">
        <v>85.324111818828399</v>
      </c>
      <c r="AJ2925">
        <v>99.608896506808804</v>
      </c>
      <c r="AK2925">
        <v>48.155103299507999</v>
      </c>
      <c r="AL2925">
        <v>91.415824292115005</v>
      </c>
      <c r="AM2925">
        <v>98.550101997651794</v>
      </c>
      <c r="AN2925">
        <v>0.99999996874824304</v>
      </c>
    </row>
    <row r="2926" spans="1:40" x14ac:dyDescent="0.25">
      <c r="A2926" t="str">
        <f>"20190305134953790"</f>
        <v>20190305134953790</v>
      </c>
      <c r="B2926" t="str">
        <f>"1551764993783116"</f>
        <v>1551764993783116</v>
      </c>
      <c r="C2926" t="s">
        <v>40</v>
      </c>
      <c r="D2926">
        <v>3.7967430000000002</v>
      </c>
      <c r="E2926">
        <v>0.49201440000000002</v>
      </c>
      <c r="F2926" t="s">
        <v>76</v>
      </c>
      <c r="G2926">
        <v>-511.07560000000001</v>
      </c>
      <c r="H2926">
        <v>5.785069</v>
      </c>
      <c r="I2926">
        <v>271.48349999999999</v>
      </c>
      <c r="J2926">
        <v>-466.8922</v>
      </c>
      <c r="K2926">
        <v>1.1170359999999999</v>
      </c>
      <c r="L2926">
        <v>285.10930000000002</v>
      </c>
      <c r="M2926">
        <v>-0.99108450000000003</v>
      </c>
      <c r="N2926">
        <v>-2.4396640000000001E-2</v>
      </c>
      <c r="O2926">
        <v>-0.13098219999999999</v>
      </c>
      <c r="P2926">
        <v>-0.95947400000000005</v>
      </c>
      <c r="Q2926">
        <v>-4.5229079999999998E-2</v>
      </c>
      <c r="R2926">
        <v>-0.27814420000000001</v>
      </c>
      <c r="S2926">
        <v>-2.885132</v>
      </c>
      <c r="T2926">
        <v>0.30265720000000002</v>
      </c>
      <c r="U2926">
        <v>-0.88641360000000002</v>
      </c>
      <c r="V2926">
        <v>-0.14970849999999999</v>
      </c>
      <c r="W2926">
        <v>-2.332337E-2</v>
      </c>
      <c r="X2926">
        <v>0.98845510000000003</v>
      </c>
      <c r="Y2926">
        <v>-0.16628080000000001</v>
      </c>
      <c r="Z2926">
        <v>-1.001398E-2</v>
      </c>
      <c r="AA2926">
        <v>0.9860276</v>
      </c>
      <c r="AB2926">
        <v>36</v>
      </c>
      <c r="AC2926">
        <v>-44.183399999999999</v>
      </c>
      <c r="AD2926">
        <v>4.6680329999999897</v>
      </c>
      <c r="AE2926">
        <v>-13.6258</v>
      </c>
      <c r="AF2926">
        <v>-7.6414895927231203</v>
      </c>
      <c r="AG2926">
        <v>4.6680329999999897</v>
      </c>
      <c r="AH2926">
        <v>45.127809740876302</v>
      </c>
      <c r="AI2926">
        <v>84.176626400091394</v>
      </c>
      <c r="AJ2926">
        <v>99.610728274893503</v>
      </c>
      <c r="AK2926">
        <v>46.007630968063502</v>
      </c>
      <c r="AL2926">
        <v>91.336451784439205</v>
      </c>
      <c r="AM2926">
        <v>98.612394260309401</v>
      </c>
      <c r="AN2926">
        <v>1.0000000496382</v>
      </c>
    </row>
    <row r="2927" spans="1:40" x14ac:dyDescent="0.25">
      <c r="A2927" t="str">
        <f>"20190305134953812"</f>
        <v>20190305134953812</v>
      </c>
      <c r="B2927" t="str">
        <f>"1551764993803617"</f>
        <v>1551764993803617</v>
      </c>
      <c r="C2927" t="s">
        <v>40</v>
      </c>
      <c r="D2927">
        <v>4.0599639999999999</v>
      </c>
      <c r="E2927">
        <v>0.49037710000000001</v>
      </c>
      <c r="F2927" t="s">
        <v>76</v>
      </c>
      <c r="G2927">
        <v>-511.07569999999998</v>
      </c>
      <c r="H2927">
        <v>6.1301769999999998</v>
      </c>
      <c r="I2927">
        <v>271.25259999999997</v>
      </c>
      <c r="J2927">
        <v>-467.23059999999998</v>
      </c>
      <c r="K2927">
        <v>1.1171420000000001</v>
      </c>
      <c r="L2927">
        <v>285.0575</v>
      </c>
      <c r="M2927">
        <v>-0.99018980000000001</v>
      </c>
      <c r="N2927">
        <v>-2.44113E-2</v>
      </c>
      <c r="O2927">
        <v>-0.137579799999999</v>
      </c>
      <c r="P2927">
        <v>-0.95734160000000001</v>
      </c>
      <c r="Q2927">
        <v>-4.4988720000000003E-2</v>
      </c>
      <c r="R2927">
        <v>-0.28543489999999999</v>
      </c>
      <c r="S2927">
        <v>-2.8802490000000001</v>
      </c>
      <c r="T2927">
        <v>0.32680179999999998</v>
      </c>
      <c r="U2927">
        <v>-0.90328980000000003</v>
      </c>
      <c r="V2927">
        <v>-0.15064</v>
      </c>
      <c r="W2927">
        <v>-2.312407E-2</v>
      </c>
      <c r="X2927">
        <v>0.98831820000000004</v>
      </c>
      <c r="Y2927">
        <v>-0.16552229999999901</v>
      </c>
      <c r="Z2927">
        <v>-1.1307279999999999E-2</v>
      </c>
      <c r="AA2927">
        <v>0.98614120000000005</v>
      </c>
      <c r="AB2927">
        <v>35</v>
      </c>
      <c r="AC2927">
        <v>-43.845100000000002</v>
      </c>
      <c r="AD2927">
        <v>5.0130350000000004</v>
      </c>
      <c r="AE2927">
        <v>-13.8049</v>
      </c>
      <c r="AF2927">
        <v>-7.5497550702303897</v>
      </c>
      <c r="AG2927">
        <v>5.0130350000000004</v>
      </c>
      <c r="AH2927">
        <v>44.794987139841602</v>
      </c>
      <c r="AI2927">
        <v>83.702647908522295</v>
      </c>
      <c r="AJ2927">
        <v>99.566733421574497</v>
      </c>
      <c r="AK2927">
        <v>45.702518468792</v>
      </c>
      <c r="AL2927">
        <v>91.325029723496797</v>
      </c>
      <c r="AM2927">
        <v>98.666352506042799</v>
      </c>
      <c r="AN2927">
        <v>0.99999999833230202</v>
      </c>
    </row>
    <row r="2928" spans="1:40" x14ac:dyDescent="0.25">
      <c r="A2928" t="str">
        <f>"20190305134953834"</f>
        <v>20190305134953834</v>
      </c>
      <c r="B2928" t="str">
        <f>"1551764993823132"</f>
        <v>1551764993823132</v>
      </c>
      <c r="C2928" t="s">
        <v>40</v>
      </c>
      <c r="D2928">
        <v>3.7432270000000001</v>
      </c>
      <c r="E2928">
        <v>0.48077419999999998</v>
      </c>
      <c r="F2928" t="s">
        <v>76</v>
      </c>
      <c r="G2928">
        <v>-511.07569999999998</v>
      </c>
      <c r="H2928">
        <v>6.1502619999999997</v>
      </c>
      <c r="I2928">
        <v>270.74029999999999</v>
      </c>
      <c r="J2928">
        <v>-467.5754</v>
      </c>
      <c r="K2928">
        <v>1.1172690000000001</v>
      </c>
      <c r="L2928">
        <v>285.00220000000002</v>
      </c>
      <c r="M2928">
        <v>-0.98919610000000002</v>
      </c>
      <c r="N2928">
        <v>-2.445284E-2</v>
      </c>
      <c r="O2928">
        <v>-0.14454449999999999</v>
      </c>
      <c r="P2928">
        <v>-0.95507839999999999</v>
      </c>
      <c r="Q2928">
        <v>-4.5744050000000001E-2</v>
      </c>
      <c r="R2928">
        <v>-0.292801599999999</v>
      </c>
      <c r="S2928">
        <v>-2.86972</v>
      </c>
      <c r="T2928">
        <v>0.32942779999999999</v>
      </c>
      <c r="U2928">
        <v>-0.93707280000000004</v>
      </c>
      <c r="V2928">
        <v>-0.1512857</v>
      </c>
      <c r="W2928">
        <v>-2.3894640000000002E-2</v>
      </c>
      <c r="X2928">
        <v>0.98820129999999995</v>
      </c>
      <c r="Y2928">
        <v>-0.1701812</v>
      </c>
      <c r="Z2928">
        <v>-1.209908E-2</v>
      </c>
      <c r="AA2928">
        <v>0.98533850000000001</v>
      </c>
      <c r="AB2928">
        <v>35</v>
      </c>
      <c r="AC2928">
        <v>-43.500299999999903</v>
      </c>
      <c r="AD2928">
        <v>5.0329930000000003</v>
      </c>
      <c r="AE2928">
        <v>-14.261900000000001</v>
      </c>
      <c r="AF2928">
        <v>-7.7290033285804496</v>
      </c>
      <c r="AG2928">
        <v>5.0329930000000003</v>
      </c>
      <c r="AH2928">
        <v>44.5666055175097</v>
      </c>
      <c r="AI2928">
        <v>83.650758731477694</v>
      </c>
      <c r="AJ2928">
        <v>99.838712436647498</v>
      </c>
      <c r="AK2928">
        <v>45.5109968946471</v>
      </c>
      <c r="AL2928">
        <v>91.369192250610695</v>
      </c>
      <c r="AM2928">
        <v>98.703945963975201</v>
      </c>
      <c r="AN2928">
        <v>1.00000006308345</v>
      </c>
    </row>
    <row r="2929" spans="1:40" x14ac:dyDescent="0.25">
      <c r="A2929" t="str">
        <f>"20190305134953858"</f>
        <v>20190305134953858</v>
      </c>
      <c r="B2929" t="str">
        <f>"1551764993853402"</f>
        <v>1551764993853402</v>
      </c>
      <c r="C2929" t="s">
        <v>40</v>
      </c>
      <c r="D2929">
        <v>3.761863</v>
      </c>
      <c r="E2929">
        <v>0.43759969999999998</v>
      </c>
      <c r="F2929" t="s">
        <v>76</v>
      </c>
      <c r="G2929">
        <v>-511.07580000000002</v>
      </c>
      <c r="H2929">
        <v>6.3646929999999999</v>
      </c>
      <c r="I2929">
        <v>269.19470000000001</v>
      </c>
      <c r="J2929">
        <v>-467.91550000000001</v>
      </c>
      <c r="K2929">
        <v>1.1174269999999999</v>
      </c>
      <c r="L2929">
        <v>284.94499999999999</v>
      </c>
      <c r="M2929">
        <v>-0.98813490000000004</v>
      </c>
      <c r="N2929">
        <v>-2.451418E-2</v>
      </c>
      <c r="O2929">
        <v>-0.151619899999999</v>
      </c>
      <c r="P2929">
        <v>-0.95277009999999995</v>
      </c>
      <c r="Q2929">
        <v>-4.5895310000000002E-2</v>
      </c>
      <c r="R2929">
        <v>-0.30020469999999999</v>
      </c>
      <c r="S2929">
        <v>-2.8410030000000002</v>
      </c>
      <c r="T2929">
        <v>0.34271190000000001</v>
      </c>
      <c r="U2929">
        <v>-1.0323789999999999</v>
      </c>
      <c r="V2929">
        <v>-0.15187320000000001</v>
      </c>
      <c r="W2929">
        <v>-2.404995E-2</v>
      </c>
      <c r="X2929">
        <v>0.98810730000000002</v>
      </c>
      <c r="Y2929">
        <v>-0.19546740000000001</v>
      </c>
      <c r="Z2929">
        <v>-1.221096E-2</v>
      </c>
      <c r="AA2929">
        <v>0.98063420000000001</v>
      </c>
      <c r="AB2929">
        <v>35</v>
      </c>
      <c r="AC2929">
        <v>-43.160299999999999</v>
      </c>
      <c r="AD2929">
        <v>5.2472659999999998</v>
      </c>
      <c r="AE2929">
        <v>-15.7502999999999</v>
      </c>
      <c r="AF2929">
        <v>-8.9060039874784298</v>
      </c>
      <c r="AG2929">
        <v>5.2472659999999998</v>
      </c>
      <c r="AH2929">
        <v>44.469741750630597</v>
      </c>
      <c r="AI2929">
        <v>83.400286628544393</v>
      </c>
      <c r="AJ2929">
        <v>101.324867026397</v>
      </c>
      <c r="AK2929">
        <v>45.655324321129399</v>
      </c>
      <c r="AL2929">
        <v>91.378093567788298</v>
      </c>
      <c r="AM2929">
        <v>98.738044467325594</v>
      </c>
      <c r="AN2929">
        <v>0.99999995264326502</v>
      </c>
    </row>
    <row r="2930" spans="1:40" x14ac:dyDescent="0.25">
      <c r="A2930" t="str">
        <f>"20190305134953880"</f>
        <v>20190305134953880</v>
      </c>
      <c r="B2930" t="str">
        <f>"1551764993873884"</f>
        <v>1551764993873884</v>
      </c>
      <c r="C2930" t="s">
        <v>40</v>
      </c>
      <c r="D2930">
        <v>3.8741219999999998</v>
      </c>
      <c r="E2930">
        <v>0.44666610000000001</v>
      </c>
      <c r="F2930" t="s">
        <v>62</v>
      </c>
      <c r="G2930">
        <v>-480.31810000000002</v>
      </c>
      <c r="H2930" s="1">
        <v>1.622028E-6</v>
      </c>
      <c r="I2930">
        <v>278.64499999999998</v>
      </c>
      <c r="J2930">
        <v>-468.25779999999997</v>
      </c>
      <c r="K2930">
        <v>1.117607</v>
      </c>
      <c r="L2930">
        <v>284.88459999999998</v>
      </c>
      <c r="M2930">
        <v>-0.98698209999999997</v>
      </c>
      <c r="N2930">
        <v>-2.4582570000000002E-2</v>
      </c>
      <c r="O2930">
        <v>-0.1589402</v>
      </c>
      <c r="P2930">
        <v>-0.95035959999999997</v>
      </c>
      <c r="Q2930">
        <v>-4.616431E-2</v>
      </c>
      <c r="R2930">
        <v>-0.30770969999999997</v>
      </c>
      <c r="S2930">
        <v>-2.704132</v>
      </c>
      <c r="T2930">
        <v>-0.2436326</v>
      </c>
      <c r="U2930">
        <v>-1.37359599999999</v>
      </c>
      <c r="V2930">
        <v>-0.1523301</v>
      </c>
      <c r="W2930">
        <v>-2.432235E-2</v>
      </c>
      <c r="X2930">
        <v>0.98803039999999998</v>
      </c>
      <c r="Y2930">
        <v>-0.30434919999999999</v>
      </c>
      <c r="Z2930">
        <v>-7.2902430000000001E-3</v>
      </c>
      <c r="AA2930">
        <v>0.95253259999999995</v>
      </c>
      <c r="AB2930">
        <v>35</v>
      </c>
      <c r="AC2930">
        <v>-12.0603</v>
      </c>
      <c r="AD2930">
        <v>-1.1176053779719901</v>
      </c>
      <c r="AE2930">
        <v>-6.2395999999999896</v>
      </c>
      <c r="AF2930">
        <v>-4.2142413511554802</v>
      </c>
      <c r="AG2930">
        <v>-1.1176053779719901</v>
      </c>
      <c r="AH2930">
        <v>12.812130454420601</v>
      </c>
      <c r="AI2930">
        <v>94.736866728019095</v>
      </c>
      <c r="AJ2930">
        <v>108.207373752249</v>
      </c>
      <c r="AK2930">
        <v>13.5336454337977</v>
      </c>
      <c r="AL2930">
        <v>91.393705364969193</v>
      </c>
      <c r="AM2930">
        <v>98.764596270131605</v>
      </c>
      <c r="AN2930">
        <v>1.0000000536998399</v>
      </c>
    </row>
    <row r="2931" spans="1:40" x14ac:dyDescent="0.25">
      <c r="A2931" t="str">
        <f>"20190305134953902"</f>
        <v>20190305134953902</v>
      </c>
      <c r="B2931" t="str">
        <f>"1551764993893407"</f>
        <v>1551764993893407</v>
      </c>
      <c r="C2931" t="s">
        <v>40</v>
      </c>
      <c r="D2931">
        <v>3.696733</v>
      </c>
      <c r="E2931">
        <v>0.4457525</v>
      </c>
      <c r="F2931" t="s">
        <v>76</v>
      </c>
      <c r="G2931">
        <v>-511.0761</v>
      </c>
      <c r="H2931">
        <v>7.3366569999999998</v>
      </c>
      <c r="I2931">
        <v>264.02199999999999</v>
      </c>
      <c r="J2931">
        <v>-468.58609999999999</v>
      </c>
      <c r="K2931">
        <v>1.117785</v>
      </c>
      <c r="L2931">
        <v>284.82400000000001</v>
      </c>
      <c r="M2931">
        <v>-0.98578969999999999</v>
      </c>
      <c r="N2931">
        <v>-2.4636829999999998E-2</v>
      </c>
      <c r="O2931">
        <v>-0.1661676</v>
      </c>
      <c r="P2931">
        <v>-0.94777829999999996</v>
      </c>
      <c r="Q2931">
        <v>-4.6631890000000002E-2</v>
      </c>
      <c r="R2931">
        <v>-0.31550250000000002</v>
      </c>
      <c r="S2931">
        <v>-2.7433169999999998</v>
      </c>
      <c r="T2931">
        <v>0.39844980000000002</v>
      </c>
      <c r="U2931">
        <v>-1.3366389999999999</v>
      </c>
      <c r="V2931">
        <v>-0.15318899999999999</v>
      </c>
      <c r="W2931">
        <v>-2.4816319999999999E-2</v>
      </c>
      <c r="X2931">
        <v>0.98788520000000002</v>
      </c>
      <c r="Y2931">
        <v>-0.2825029</v>
      </c>
      <c r="Z2931">
        <v>-1.070689E-2</v>
      </c>
      <c r="AA2931">
        <v>0.95920669999999997</v>
      </c>
      <c r="AB2931">
        <v>35</v>
      </c>
      <c r="AC2931">
        <v>-42.49</v>
      </c>
      <c r="AD2931">
        <v>6.2188720000000002</v>
      </c>
      <c r="AE2931">
        <v>-20.802</v>
      </c>
      <c r="AF2931">
        <v>-13.221552633128001</v>
      </c>
      <c r="AG2931">
        <v>6.2188720000000002</v>
      </c>
      <c r="AH2931">
        <v>44.586149828299398</v>
      </c>
      <c r="AI2931">
        <v>82.383353328581407</v>
      </c>
      <c r="AJ2931">
        <v>106.517168178753</v>
      </c>
      <c r="AK2931">
        <v>46.9191707033971</v>
      </c>
      <c r="AL2931">
        <v>91.422016462356197</v>
      </c>
      <c r="AM2931">
        <v>98.814516005667599</v>
      </c>
      <c r="AN2931">
        <v>0.999999943919189</v>
      </c>
    </row>
    <row r="2932" spans="1:40" x14ac:dyDescent="0.25">
      <c r="A2932" t="str">
        <f>"20190305134953924"</f>
        <v>20190305134953924</v>
      </c>
      <c r="B2932" t="str">
        <f>"1551764993913901"</f>
        <v>1551764993913901</v>
      </c>
      <c r="C2932" t="s">
        <v>40</v>
      </c>
      <c r="D2932">
        <v>3.7105440000000001</v>
      </c>
      <c r="E2932">
        <v>0.4461947</v>
      </c>
      <c r="F2932" t="s">
        <v>76</v>
      </c>
      <c r="G2932">
        <v>-511.0761</v>
      </c>
      <c r="H2932">
        <v>7.213228</v>
      </c>
      <c r="I2932">
        <v>263.54950000000002</v>
      </c>
      <c r="J2932">
        <v>-468.91539999999998</v>
      </c>
      <c r="K2932">
        <v>1.117947</v>
      </c>
      <c r="L2932">
        <v>284.7604</v>
      </c>
      <c r="M2932">
        <v>-0.98450300000000002</v>
      </c>
      <c r="N2932">
        <v>-2.4678060000000002E-2</v>
      </c>
      <c r="O2932">
        <v>-0.17362279999999999</v>
      </c>
      <c r="P2932">
        <v>-0.94506270000000003</v>
      </c>
      <c r="Q2932">
        <v>-4.7171079999999997E-2</v>
      </c>
      <c r="R2932">
        <v>-0.32346799999999998</v>
      </c>
      <c r="S2932">
        <v>-2.7296140000000002</v>
      </c>
      <c r="T2932">
        <v>0.39158310000000002</v>
      </c>
      <c r="U2932">
        <v>-1.3666990000000001</v>
      </c>
      <c r="V2932">
        <v>-0.15401339999999999</v>
      </c>
      <c r="W2932">
        <v>-2.539071E-2</v>
      </c>
      <c r="X2932">
        <v>0.98774249999999997</v>
      </c>
      <c r="Y2932">
        <v>-0.28569850000000002</v>
      </c>
      <c r="Z2932">
        <v>-1.1647299999999999E-2</v>
      </c>
      <c r="AA2932">
        <v>0.95824880000000001</v>
      </c>
      <c r="AB2932">
        <v>34</v>
      </c>
      <c r="AC2932">
        <v>-42.160699999999999</v>
      </c>
      <c r="AD2932">
        <v>6.0952809999999999</v>
      </c>
      <c r="AE2932">
        <v>-21.210899999999899</v>
      </c>
      <c r="AF2932">
        <v>-13.343700475734799</v>
      </c>
      <c r="AG2932">
        <v>6.0952809999999999</v>
      </c>
      <c r="AH2932">
        <v>44.462188630807603</v>
      </c>
      <c r="AI2932">
        <v>82.519660022156401</v>
      </c>
      <c r="AJ2932">
        <v>106.70520712733401</v>
      </c>
      <c r="AK2932">
        <v>46.819792937352901</v>
      </c>
      <c r="AL2932">
        <v>91.454936835504498</v>
      </c>
      <c r="AM2932">
        <v>98.862461122963694</v>
      </c>
      <c r="AN2932">
        <v>1.0000000309200501</v>
      </c>
    </row>
    <row r="2933" spans="1:40" x14ac:dyDescent="0.25">
      <c r="A2933" t="str">
        <f>"20190305134953948"</f>
        <v>20190305134953948</v>
      </c>
      <c r="B2933" t="str">
        <f>"1551764993943183"</f>
        <v>1551764993943183</v>
      </c>
      <c r="C2933" t="s">
        <v>40</v>
      </c>
      <c r="D2933">
        <v>3.8200379999999998</v>
      </c>
      <c r="E2933">
        <v>0.44706279999999998</v>
      </c>
      <c r="F2933" t="s">
        <v>76</v>
      </c>
      <c r="G2933">
        <v>-511.0761</v>
      </c>
      <c r="H2933">
        <v>7.2722639999999998</v>
      </c>
      <c r="I2933">
        <v>263.25920000000002</v>
      </c>
      <c r="J2933">
        <v>-469.24869999999999</v>
      </c>
      <c r="K2933">
        <v>1.118085</v>
      </c>
      <c r="L2933">
        <v>284.69319999999999</v>
      </c>
      <c r="M2933">
        <v>-0.98310419999999998</v>
      </c>
      <c r="N2933">
        <v>-2.471282E-2</v>
      </c>
      <c r="O2933">
        <v>-0.18137139999999999</v>
      </c>
      <c r="P2933">
        <v>-0.94193300000000002</v>
      </c>
      <c r="Q2933">
        <v>-4.8543570000000001E-2</v>
      </c>
      <c r="R2933">
        <v>-0.33227370000000001</v>
      </c>
      <c r="S2933">
        <v>-2.7195130000000001</v>
      </c>
      <c r="T2933">
        <v>0.39697840000000001</v>
      </c>
      <c r="U2933">
        <v>-1.3869020000000001</v>
      </c>
      <c r="V2933">
        <v>-0.15543219999999999</v>
      </c>
      <c r="W2933">
        <v>-2.6808169999999999E-2</v>
      </c>
      <c r="X2933">
        <v>0.98748270000000005</v>
      </c>
      <c r="Y2933">
        <v>-0.28531869999999998</v>
      </c>
      <c r="Z2933">
        <v>-1.294611E-2</v>
      </c>
      <c r="AA2933">
        <v>0.95834520000000001</v>
      </c>
      <c r="AB2933">
        <v>34</v>
      </c>
      <c r="AC2933">
        <v>-41.827399999999997</v>
      </c>
      <c r="AD2933">
        <v>6.1541790000000001</v>
      </c>
      <c r="AE2933">
        <v>-21.433999999999902</v>
      </c>
      <c r="AF2933">
        <v>-13.262288987555101</v>
      </c>
      <c r="AG2933">
        <v>6.1541790000000001</v>
      </c>
      <c r="AH2933">
        <v>44.263033349853103</v>
      </c>
      <c r="AI2933">
        <v>82.413616609647093</v>
      </c>
      <c r="AJ2933">
        <v>106.67950376641301</v>
      </c>
      <c r="AK2933">
        <v>46.615215860099497</v>
      </c>
      <c r="AL2933">
        <v>91.536179092064202</v>
      </c>
      <c r="AM2933">
        <v>98.945104871075301</v>
      </c>
      <c r="AN2933">
        <v>0.99999996478743802</v>
      </c>
    </row>
    <row r="2934" spans="1:40" x14ac:dyDescent="0.25">
      <c r="A2934" t="str">
        <f>"20190305134953969"</f>
        <v>20190305134953969</v>
      </c>
      <c r="B2934" t="str">
        <f>"1551764993963676"</f>
        <v>1551764993963676</v>
      </c>
      <c r="C2934" t="s">
        <v>40</v>
      </c>
      <c r="D2934">
        <v>3.6927880000000002</v>
      </c>
      <c r="E2934">
        <v>0.44745259999999998</v>
      </c>
      <c r="F2934" t="s">
        <v>76</v>
      </c>
      <c r="G2934">
        <v>-511.0761</v>
      </c>
      <c r="H2934">
        <v>7.3511610000000003</v>
      </c>
      <c r="I2934">
        <v>262.97239999999999</v>
      </c>
      <c r="J2934">
        <v>-469.57850000000002</v>
      </c>
      <c r="K2934">
        <v>1.1181890000000001</v>
      </c>
      <c r="L2934">
        <v>284.62380000000002</v>
      </c>
      <c r="M2934">
        <v>-0.98161860000000001</v>
      </c>
      <c r="N2934">
        <v>-2.4713949999999998E-2</v>
      </c>
      <c r="O2934">
        <v>-0.18924569999999999</v>
      </c>
      <c r="P2934">
        <v>-0.93871530000000003</v>
      </c>
      <c r="Q2934">
        <v>-4.912068E-2</v>
      </c>
      <c r="R2934">
        <v>-0.34117599999999998</v>
      </c>
      <c r="S2934">
        <v>-2.709473</v>
      </c>
      <c r="T2934">
        <v>0.4037654</v>
      </c>
      <c r="U2934">
        <v>-1.4070129999999901</v>
      </c>
      <c r="V2934">
        <v>-0.1568532</v>
      </c>
      <c r="W2934">
        <v>-2.745071E-2</v>
      </c>
      <c r="X2934">
        <v>0.98724040000000002</v>
      </c>
      <c r="Y2934">
        <v>-0.28477239999999998</v>
      </c>
      <c r="Z2934">
        <v>-1.431315E-2</v>
      </c>
      <c r="AA2934">
        <v>0.95848829999999996</v>
      </c>
      <c r="AB2934">
        <v>34</v>
      </c>
      <c r="AC2934">
        <v>-41.497599999999899</v>
      </c>
      <c r="AD2934">
        <v>6.2329720000000002</v>
      </c>
      <c r="AE2934">
        <v>-21.651399999999999</v>
      </c>
      <c r="AF2934">
        <v>-13.170714581554799</v>
      </c>
      <c r="AG2934">
        <v>6.2329720000000002</v>
      </c>
      <c r="AH2934">
        <v>44.064558217482002</v>
      </c>
      <c r="AI2934">
        <v>82.281926993216501</v>
      </c>
      <c r="AJ2934">
        <v>106.641188228809</v>
      </c>
      <c r="AK2934">
        <v>46.411237361693097</v>
      </c>
      <c r="AL2934">
        <v>91.573007365045498</v>
      </c>
      <c r="AM2934">
        <v>99.027721721525594</v>
      </c>
      <c r="AN2934">
        <v>1.0000000376109499</v>
      </c>
    </row>
    <row r="2935" spans="1:40" x14ac:dyDescent="0.25">
      <c r="A2935" t="str">
        <f>"20190305134953991"</f>
        <v>20190305134953991</v>
      </c>
      <c r="B2935" t="str">
        <f>"1551764993983199"</f>
        <v>1551764993983199</v>
      </c>
      <c r="C2935" t="s">
        <v>40</v>
      </c>
      <c r="D2935">
        <v>3.6785700000000001</v>
      </c>
      <c r="E2935">
        <v>0.44773429999999997</v>
      </c>
      <c r="F2935" t="s">
        <v>76</v>
      </c>
      <c r="G2935">
        <v>-511.0761</v>
      </c>
      <c r="H2935">
        <v>7.3636669999999897</v>
      </c>
      <c r="I2935">
        <v>262.61369999999999</v>
      </c>
      <c r="J2935">
        <v>-469.89120000000003</v>
      </c>
      <c r="K2935">
        <v>1.118247</v>
      </c>
      <c r="L2935">
        <v>284.55500000000001</v>
      </c>
      <c r="M2935">
        <v>-0.9801185</v>
      </c>
      <c r="N2935">
        <v>-2.4662839999999998E-2</v>
      </c>
      <c r="O2935">
        <v>-0.19687460000000001</v>
      </c>
      <c r="P2935">
        <v>-0.93536520000000001</v>
      </c>
      <c r="Q2935">
        <v>-4.8410830000000002E-2</v>
      </c>
      <c r="R2935">
        <v>-0.35035490000000002</v>
      </c>
      <c r="S2935">
        <v>-2.6971440000000002</v>
      </c>
      <c r="T2935">
        <v>0.40592889999999998</v>
      </c>
      <c r="U2935">
        <v>-1.430542</v>
      </c>
      <c r="V2935">
        <v>-0.15884300000000001</v>
      </c>
      <c r="W2935">
        <v>-2.6856519999999998E-2</v>
      </c>
      <c r="X2935">
        <v>0.98693850000000005</v>
      </c>
      <c r="Y2935">
        <v>-0.28573120000000002</v>
      </c>
      <c r="Z2935">
        <v>-1.5494839999999999E-2</v>
      </c>
      <c r="AA2935">
        <v>0.95818449999999999</v>
      </c>
      <c r="AB2935">
        <v>34</v>
      </c>
      <c r="AC2935">
        <v>-41.184899999999899</v>
      </c>
      <c r="AD2935">
        <v>6.2454199999999904</v>
      </c>
      <c r="AE2935">
        <v>-21.941299999999998</v>
      </c>
      <c r="AF2935">
        <v>-13.165076949556401</v>
      </c>
      <c r="AG2935">
        <v>6.2454199999999904</v>
      </c>
      <c r="AH2935">
        <v>43.912798330046499</v>
      </c>
      <c r="AI2935">
        <v>82.242203341998902</v>
      </c>
      <c r="AJ2935">
        <v>106.688754623769</v>
      </c>
      <c r="AK2935">
        <v>46.267249531817598</v>
      </c>
      <c r="AL2935">
        <v>91.538950306628195</v>
      </c>
      <c r="AM2935">
        <v>99.143072496843203</v>
      </c>
      <c r="AN2935">
        <v>0.99999998704888005</v>
      </c>
    </row>
    <row r="2936" spans="1:40" x14ac:dyDescent="0.25">
      <c r="A2936" t="str">
        <f>"20190305134954002"</f>
        <v>20190305134954002</v>
      </c>
      <c r="B2936" t="str">
        <f>"1551764993993933"</f>
        <v>1551764993993933</v>
      </c>
      <c r="C2936" t="s">
        <v>40</v>
      </c>
      <c r="D2936">
        <v>3.6900230000000001</v>
      </c>
      <c r="E2936">
        <v>0.44796370000000002</v>
      </c>
      <c r="F2936" t="s">
        <v>76</v>
      </c>
      <c r="G2936">
        <v>-512.82770000000005</v>
      </c>
      <c r="H2936">
        <v>7.6746780000000001</v>
      </c>
      <c r="I2936">
        <v>261.25529999999998</v>
      </c>
      <c r="J2936">
        <v>-470.05650000000003</v>
      </c>
      <c r="K2936">
        <v>1.118258</v>
      </c>
      <c r="L2936">
        <v>284.51740000000001</v>
      </c>
      <c r="M2936">
        <v>-0.97929160000000004</v>
      </c>
      <c r="N2936">
        <v>-2.4619459999999999E-2</v>
      </c>
      <c r="O2936">
        <v>-0.20095250000000001</v>
      </c>
      <c r="P2936">
        <v>-0.93364780000000003</v>
      </c>
      <c r="Q2936">
        <v>-4.7890919999999997E-2</v>
      </c>
      <c r="R2936">
        <v>-0.35497640000000003</v>
      </c>
      <c r="S2936">
        <v>-2.6831049999999999</v>
      </c>
      <c r="T2936">
        <v>0.40971540000000001</v>
      </c>
      <c r="U2936">
        <v>-1.455994</v>
      </c>
      <c r="V2936">
        <v>-0.15961710000000001</v>
      </c>
      <c r="W2936">
        <v>-2.6402309999999998E-2</v>
      </c>
      <c r="X2936">
        <v>0.98682590000000003</v>
      </c>
      <c r="Y2936">
        <v>-0.29086499999999998</v>
      </c>
      <c r="Z2936">
        <v>-1.5912140000000002E-2</v>
      </c>
      <c r="AA2936">
        <v>0.95663180000000003</v>
      </c>
      <c r="AB2936">
        <v>33</v>
      </c>
      <c r="AC2936">
        <v>-42.7712</v>
      </c>
      <c r="AD2936">
        <v>6.5564200000000001</v>
      </c>
      <c r="AE2936">
        <v>-23.2621</v>
      </c>
      <c r="AF2936">
        <v>-13.936967229459</v>
      </c>
      <c r="AG2936">
        <v>6.5564200000000001</v>
      </c>
      <c r="AH2936">
        <v>45.744636553031</v>
      </c>
      <c r="AI2936">
        <v>82.193165798938793</v>
      </c>
      <c r="AJ2936">
        <v>106.944347203204</v>
      </c>
      <c r="AK2936">
        <v>48.267975637479502</v>
      </c>
      <c r="AL2936">
        <v>91.512916694784806</v>
      </c>
      <c r="AM2936">
        <v>99.187902420060993</v>
      </c>
      <c r="AN2936">
        <v>1.00000002874827</v>
      </c>
    </row>
    <row r="2937" spans="1:40" x14ac:dyDescent="0.25">
      <c r="A2937" t="str">
        <f>"20190305134954013"</f>
        <v>20190305134954013</v>
      </c>
      <c r="B2937" t="str">
        <f>"1551764994003693"</f>
        <v>1551764994003693</v>
      </c>
      <c r="C2937" t="s">
        <v>40</v>
      </c>
      <c r="D2937">
        <v>3.8609870000000002</v>
      </c>
      <c r="E2937">
        <v>0.44796370000000002</v>
      </c>
      <c r="F2937" t="s">
        <v>76</v>
      </c>
      <c r="G2937">
        <v>-512.82770000000005</v>
      </c>
      <c r="H2937">
        <v>7.7076710000000004</v>
      </c>
      <c r="I2937">
        <v>261.06689999999998</v>
      </c>
      <c r="J2937">
        <v>-470.2097</v>
      </c>
      <c r="K2937">
        <v>1.118266</v>
      </c>
      <c r="L2937">
        <v>284.48219999999998</v>
      </c>
      <c r="M2937">
        <v>-0.97850720000000002</v>
      </c>
      <c r="N2937">
        <v>-2.4574809999999999E-2</v>
      </c>
      <c r="O2937">
        <v>-0.20474339999999999</v>
      </c>
      <c r="P2937">
        <v>-0.93201120000000004</v>
      </c>
      <c r="Q2937">
        <v>-4.7478560000000003E-2</v>
      </c>
      <c r="R2937">
        <v>-0.35930610000000002</v>
      </c>
      <c r="S2937">
        <v>-2.676453</v>
      </c>
      <c r="T2937">
        <v>0.4123425</v>
      </c>
      <c r="U2937">
        <v>-1.467438</v>
      </c>
      <c r="V2937">
        <v>-0.16037709999999999</v>
      </c>
      <c r="W2937">
        <v>-2.6054310000000001E-2</v>
      </c>
      <c r="X2937">
        <v>0.98671189999999998</v>
      </c>
      <c r="Y2937">
        <v>-0.29134199999999999</v>
      </c>
      <c r="Z2937">
        <v>-1.653205E-2</v>
      </c>
      <c r="AA2937">
        <v>0.95647610000000005</v>
      </c>
      <c r="AB2937">
        <v>33</v>
      </c>
      <c r="AC2937">
        <v>-42.618000000000002</v>
      </c>
      <c r="AD2937">
        <v>6.5894050000000002</v>
      </c>
      <c r="AE2937">
        <v>-23.415299999999998</v>
      </c>
      <c r="AF2937">
        <v>-13.934689522157599</v>
      </c>
      <c r="AG2937">
        <v>6.5894050000000002</v>
      </c>
      <c r="AH2937">
        <v>45.671531834690803</v>
      </c>
      <c r="AI2937">
        <v>82.142924154423497</v>
      </c>
      <c r="AJ2937">
        <v>106.96729791239601</v>
      </c>
      <c r="AK2937">
        <v>48.202537801034197</v>
      </c>
      <c r="AL2937">
        <v>91.492970934032599</v>
      </c>
      <c r="AM2937">
        <v>99.23194642608</v>
      </c>
      <c r="AN2937">
        <v>1.0000000074377899</v>
      </c>
    </row>
    <row r="2938" spans="1:40" x14ac:dyDescent="0.25">
      <c r="A2938" t="str">
        <f>"20190305134954027"</f>
        <v>20190305134954027</v>
      </c>
      <c r="B2938" t="str">
        <f>"1551764994023214"</f>
        <v>1551764994023214</v>
      </c>
      <c r="C2938" t="s">
        <v>40</v>
      </c>
      <c r="D2938">
        <v>3.7149969999999999</v>
      </c>
      <c r="E2938">
        <v>0.44851039999999998</v>
      </c>
      <c r="F2938" t="s">
        <v>76</v>
      </c>
      <c r="G2938">
        <v>-512.82770000000005</v>
      </c>
      <c r="H2938">
        <v>7.7194059999999904</v>
      </c>
      <c r="I2938">
        <v>260.86059999999998</v>
      </c>
      <c r="J2938">
        <v>-470.39769999999999</v>
      </c>
      <c r="K2938">
        <v>1.11826</v>
      </c>
      <c r="L2938">
        <v>284.43799999999999</v>
      </c>
      <c r="M2938">
        <v>-0.97751710000000003</v>
      </c>
      <c r="N2938">
        <v>-2.4510170000000001E-2</v>
      </c>
      <c r="O2938">
        <v>-0.20942740000000001</v>
      </c>
      <c r="P2938">
        <v>-0.93011900000000003</v>
      </c>
      <c r="Q2938">
        <v>-4.6555350000000002E-2</v>
      </c>
      <c r="R2938">
        <v>-0.36429590000000001</v>
      </c>
      <c r="S2938">
        <v>-2.6695250000000001</v>
      </c>
      <c r="T2938">
        <v>0.41348800000000002</v>
      </c>
      <c r="U2938">
        <v>-1.479614</v>
      </c>
      <c r="V2938">
        <v>-0.16094429999999901</v>
      </c>
      <c r="W2938">
        <v>-2.520696E-2</v>
      </c>
      <c r="X2938">
        <v>0.98664149999999995</v>
      </c>
      <c r="Y2938">
        <v>-0.2912015</v>
      </c>
      <c r="Z2938">
        <v>-1.730162E-2</v>
      </c>
      <c r="AA2938">
        <v>0.95650520000000006</v>
      </c>
      <c r="AB2938">
        <v>33</v>
      </c>
      <c r="AC2938">
        <v>-42.43</v>
      </c>
      <c r="AD2938">
        <v>6.6011459999999902</v>
      </c>
      <c r="AE2938">
        <v>-23.577400000000001</v>
      </c>
      <c r="AF2938">
        <v>-13.9083423588524</v>
      </c>
      <c r="AG2938">
        <v>6.6011459999999902</v>
      </c>
      <c r="AH2938">
        <v>45.584710076282697</v>
      </c>
      <c r="AI2938">
        <v>82.114303847671707</v>
      </c>
      <c r="AJ2938">
        <v>106.96746203880799</v>
      </c>
      <c r="AK2938">
        <v>48.114269280777002</v>
      </c>
      <c r="AL2938">
        <v>91.444405476642501</v>
      </c>
      <c r="AM2938">
        <v>99.264681167418303</v>
      </c>
      <c r="AN2938">
        <v>0.99999995402858899</v>
      </c>
    </row>
    <row r="2939" spans="1:40" x14ac:dyDescent="0.25">
      <c r="A2939" t="str">
        <f>"20190305134954039"</f>
        <v>20190305134954039</v>
      </c>
      <c r="B2939" t="str">
        <f>"1551764994033949"</f>
        <v>1551764994033949</v>
      </c>
      <c r="C2939" t="s">
        <v>40</v>
      </c>
      <c r="D2939">
        <v>3.729279</v>
      </c>
      <c r="E2939">
        <v>0.44868429999999998</v>
      </c>
      <c r="F2939" t="s">
        <v>76</v>
      </c>
      <c r="G2939">
        <v>-512.82780000000002</v>
      </c>
      <c r="H2939">
        <v>7.7565109999999997</v>
      </c>
      <c r="I2939">
        <v>260.70030000000003</v>
      </c>
      <c r="J2939">
        <v>-470.5693</v>
      </c>
      <c r="K2939">
        <v>1.1182529999999999</v>
      </c>
      <c r="L2939">
        <v>284.39659999999998</v>
      </c>
      <c r="M2939">
        <v>-0.97658869999999998</v>
      </c>
      <c r="N2939">
        <v>-2.4445950000000001E-2</v>
      </c>
      <c r="O2939">
        <v>-0.21372169999999999</v>
      </c>
      <c r="P2939">
        <v>-0.92827559999999998</v>
      </c>
      <c r="Q2939">
        <v>-4.6871469999999998E-2</v>
      </c>
      <c r="R2939">
        <v>-0.36892720000000001</v>
      </c>
      <c r="S2939">
        <v>-2.662811</v>
      </c>
      <c r="T2939">
        <v>0.4166049</v>
      </c>
      <c r="U2939">
        <v>-1.489716</v>
      </c>
      <c r="V2939">
        <v>-0.16152230000000001</v>
      </c>
      <c r="W2939">
        <v>-2.5596190000000001E-2</v>
      </c>
      <c r="X2939">
        <v>0.98653709999999994</v>
      </c>
      <c r="Y2939">
        <v>-0.29083409999999998</v>
      </c>
      <c r="Z2939">
        <v>-1.8070180000000002E-2</v>
      </c>
      <c r="AA2939">
        <v>0.95660290000000003</v>
      </c>
      <c r="AB2939">
        <v>33</v>
      </c>
      <c r="AC2939">
        <v>-42.258499999999998</v>
      </c>
      <c r="AD2939">
        <v>6.6382580000000004</v>
      </c>
      <c r="AE2939">
        <v>-23.696299999999901</v>
      </c>
      <c r="AF2939">
        <v>-13.854110622504599</v>
      </c>
      <c r="AG2939">
        <v>6.6382580000000004</v>
      </c>
      <c r="AH2939">
        <v>45.493375977304602</v>
      </c>
      <c r="AI2939">
        <v>82.053548126242802</v>
      </c>
      <c r="AJ2939">
        <v>106.937080304829</v>
      </c>
      <c r="AK2939">
        <v>48.017185550879098</v>
      </c>
      <c r="AL2939">
        <v>91.466713795045706</v>
      </c>
      <c r="AM2939">
        <v>99.298340174011798</v>
      </c>
      <c r="AN2939">
        <v>1.0000000340080999</v>
      </c>
    </row>
    <row r="2940" spans="1:40" x14ac:dyDescent="0.25">
      <c r="A2940" t="str">
        <f>"20190305134954052"</f>
        <v>20190305134954052</v>
      </c>
      <c r="B2940" t="str">
        <f>"1551764994043709"</f>
        <v>1551764994043709</v>
      </c>
      <c r="C2940" t="s">
        <v>40</v>
      </c>
      <c r="D2940">
        <v>3.971489</v>
      </c>
      <c r="E2940">
        <v>0.44868429999999998</v>
      </c>
      <c r="F2940" t="s">
        <v>76</v>
      </c>
      <c r="G2940">
        <v>-512.82770000000005</v>
      </c>
      <c r="H2940">
        <v>7.7296940000000003</v>
      </c>
      <c r="I2940">
        <v>260.50920000000002</v>
      </c>
      <c r="J2940">
        <v>-470.75110000000001</v>
      </c>
      <c r="K2940">
        <v>1.1182350000000001</v>
      </c>
      <c r="L2940">
        <v>284.35219999999998</v>
      </c>
      <c r="M2940">
        <v>-0.97558149999999999</v>
      </c>
      <c r="N2940">
        <v>-2.4375850000000001E-2</v>
      </c>
      <c r="O2940">
        <v>-0.21828049999999999</v>
      </c>
      <c r="P2940">
        <v>-0.92617959999999999</v>
      </c>
      <c r="Q2940">
        <v>-4.692031E-2</v>
      </c>
      <c r="R2940">
        <v>-0.37415219999999999</v>
      </c>
      <c r="S2940">
        <v>-2.6560969999999999</v>
      </c>
      <c r="T2940">
        <v>0.41555619999999999</v>
      </c>
      <c r="U2940">
        <v>-1.501404</v>
      </c>
      <c r="V2940">
        <v>-0.16247229999999999</v>
      </c>
      <c r="W2940">
        <v>-2.5729450000000001E-2</v>
      </c>
      <c r="X2940">
        <v>0.98637759999999997</v>
      </c>
      <c r="Y2940">
        <v>-0.290643599999999</v>
      </c>
      <c r="Z2940">
        <v>-1.877819E-2</v>
      </c>
      <c r="AA2940">
        <v>0.95664709999999997</v>
      </c>
      <c r="AB2940">
        <v>33</v>
      </c>
      <c r="AC2940">
        <v>-42.076599999999999</v>
      </c>
      <c r="AD2940">
        <v>6.611459</v>
      </c>
      <c r="AE2940">
        <v>-23.8429999999999</v>
      </c>
      <c r="AF2940">
        <v>-13.822156236039699</v>
      </c>
      <c r="AG2940">
        <v>6.611459</v>
      </c>
      <c r="AH2940">
        <v>45.418555457755097</v>
      </c>
      <c r="AI2940">
        <v>82.071907947763705</v>
      </c>
      <c r="AJ2940">
        <v>106.92649429470001</v>
      </c>
      <c r="AK2940">
        <v>47.933376398824102</v>
      </c>
      <c r="AL2940">
        <v>91.474351579272906</v>
      </c>
      <c r="AM2940">
        <v>99.353550832602593</v>
      </c>
      <c r="AN2940">
        <v>1.00000001132317</v>
      </c>
    </row>
    <row r="2941" spans="1:40" x14ac:dyDescent="0.25">
      <c r="A2941" t="str">
        <f>"20190305134954065"</f>
        <v>20190305134954065</v>
      </c>
      <c r="B2941" t="str">
        <f>"1551764994053469"</f>
        <v>1551764994053469</v>
      </c>
      <c r="C2941" t="s">
        <v>40</v>
      </c>
      <c r="D2941">
        <v>3.9464959999999998</v>
      </c>
      <c r="E2941">
        <v>0.4483048</v>
      </c>
      <c r="F2941" t="s">
        <v>76</v>
      </c>
      <c r="G2941">
        <v>-512.82770000000005</v>
      </c>
      <c r="H2941">
        <v>7.7196220000000002</v>
      </c>
      <c r="I2941">
        <v>260.25749999999999</v>
      </c>
      <c r="J2941">
        <v>-470.94589999999999</v>
      </c>
      <c r="K2941">
        <v>1.1182080000000001</v>
      </c>
      <c r="L2941">
        <v>284.30340000000001</v>
      </c>
      <c r="M2941">
        <v>-0.97447260000000002</v>
      </c>
      <c r="N2941">
        <v>-2.4299069999999999E-2</v>
      </c>
      <c r="O2941">
        <v>-0.2231872</v>
      </c>
      <c r="P2941">
        <v>-0.92399849999999994</v>
      </c>
      <c r="Q2941">
        <v>-4.6884639999999998E-2</v>
      </c>
      <c r="R2941">
        <v>-0.37951119999999999</v>
      </c>
      <c r="S2941">
        <v>-2.6477050000000002</v>
      </c>
      <c r="T2941">
        <v>0.41540050000000001</v>
      </c>
      <c r="U2941">
        <v>-1.5161739999999999</v>
      </c>
      <c r="V2941">
        <v>-0.16322229999999999</v>
      </c>
      <c r="W2941">
        <v>-2.57766E-2</v>
      </c>
      <c r="X2941">
        <v>0.98625249999999998</v>
      </c>
      <c r="Y2941">
        <v>-0.29120449999999998</v>
      </c>
      <c r="Z2941">
        <v>-1.9515709999999999E-2</v>
      </c>
      <c r="AA2941">
        <v>0.95646169999999997</v>
      </c>
      <c r="AB2941">
        <v>33</v>
      </c>
      <c r="AC2941">
        <v>-41.881799999999998</v>
      </c>
      <c r="AD2941">
        <v>6.6014140000000001</v>
      </c>
      <c r="AE2941">
        <v>-24.0459</v>
      </c>
      <c r="AF2941">
        <v>-13.8303315492472</v>
      </c>
      <c r="AG2941">
        <v>6.6014140000000001</v>
      </c>
      <c r="AH2941">
        <v>45.3457649411463</v>
      </c>
      <c r="AI2941">
        <v>82.072714079213199</v>
      </c>
      <c r="AJ2941">
        <v>106.961559355083</v>
      </c>
      <c r="AK2941">
        <v>47.865385568897203</v>
      </c>
      <c r="AL2941">
        <v>91.477054028091203</v>
      </c>
      <c r="AM2941">
        <v>99.397130748652401</v>
      </c>
      <c r="AN2941">
        <v>0.999999973040549</v>
      </c>
    </row>
    <row r="2942" spans="1:40" x14ac:dyDescent="0.25">
      <c r="A2942" t="str">
        <f>"20190305134954078"</f>
        <v>20190305134954078</v>
      </c>
      <c r="B2942" t="str">
        <f>"1551764994073966"</f>
        <v>1551764994073966</v>
      </c>
      <c r="C2942" t="s">
        <v>40</v>
      </c>
      <c r="D2942">
        <v>3.8026909999999998</v>
      </c>
      <c r="E2942">
        <v>0.45257959999999903</v>
      </c>
      <c r="F2942" t="s">
        <v>62</v>
      </c>
      <c r="G2942">
        <v>-484.52420000000001</v>
      </c>
      <c r="H2942" s="1">
        <v>1.6018230000000001E-6</v>
      </c>
      <c r="I2942">
        <v>276.41199999999998</v>
      </c>
      <c r="J2942">
        <v>-471.12220000000002</v>
      </c>
      <c r="K2942">
        <v>1.1181859999999999</v>
      </c>
      <c r="L2942">
        <v>284.25830000000002</v>
      </c>
      <c r="M2942">
        <v>-0.97344520000000001</v>
      </c>
      <c r="N2942">
        <v>-2.4229779999999999E-2</v>
      </c>
      <c r="O2942">
        <v>-0.2276338</v>
      </c>
      <c r="P2942">
        <v>-0.92185600000000001</v>
      </c>
      <c r="Q2942">
        <v>-4.6834189999999998E-2</v>
      </c>
      <c r="R2942">
        <v>-0.38469170000000003</v>
      </c>
      <c r="S2942">
        <v>-2.6122740000000002</v>
      </c>
      <c r="T2942">
        <v>-0.2151266</v>
      </c>
      <c r="U2942">
        <v>-1.5181880000000001</v>
      </c>
      <c r="V2942">
        <v>-0.16425529999999999</v>
      </c>
      <c r="W2942">
        <v>-2.5807320000000002E-2</v>
      </c>
      <c r="X2942">
        <v>0.98608019999999996</v>
      </c>
      <c r="Y2942">
        <v>-0.2916861</v>
      </c>
      <c r="Z2942">
        <v>-3.1710589999999999E-3</v>
      </c>
      <c r="AA2942">
        <v>0.95650880000000005</v>
      </c>
      <c r="AB2942">
        <v>33</v>
      </c>
      <c r="AC2942">
        <v>-13.4019999999999</v>
      </c>
      <c r="AD2942">
        <v>-1.1181843981769899</v>
      </c>
      <c r="AE2942">
        <v>-7.8462999999999798</v>
      </c>
      <c r="AF2942">
        <v>-4.5648768624610598</v>
      </c>
      <c r="AG2942">
        <v>-1.1181843981769899</v>
      </c>
      <c r="AH2942">
        <v>14.7600327567498</v>
      </c>
      <c r="AI2942">
        <v>94.139580133390595</v>
      </c>
      <c r="AJ2942">
        <v>107.185416608311</v>
      </c>
      <c r="AK2942">
        <v>15.490222855016899</v>
      </c>
      <c r="AL2942">
        <v>91.478814713523306</v>
      </c>
      <c r="AM2942">
        <v>99.457154905446401</v>
      </c>
      <c r="AN2942">
        <v>0.99999999108785598</v>
      </c>
    </row>
    <row r="2943" spans="1:40" x14ac:dyDescent="0.25">
      <c r="A2943" t="str">
        <f>"20190305134954092"</f>
        <v>20190305134954092</v>
      </c>
      <c r="B2943" t="str">
        <f>"1551764994083725"</f>
        <v>1551764994083725</v>
      </c>
      <c r="C2943" t="s">
        <v>40</v>
      </c>
      <c r="D2943">
        <v>3.7399979999999999</v>
      </c>
      <c r="E2943">
        <v>0.45292789999999999</v>
      </c>
      <c r="F2943" t="s">
        <v>76</v>
      </c>
      <c r="G2943">
        <v>-511.07580000000002</v>
      </c>
      <c r="H2943">
        <v>6.4485609999999998</v>
      </c>
      <c r="I2943">
        <v>261.31330000000003</v>
      </c>
      <c r="J2943">
        <v>-471.31509999999997</v>
      </c>
      <c r="K2943">
        <v>1.118155</v>
      </c>
      <c r="L2943">
        <v>284.2081</v>
      </c>
      <c r="M2943">
        <v>-0.97229520000000003</v>
      </c>
      <c r="N2943">
        <v>-2.4153290000000001E-2</v>
      </c>
      <c r="O2943">
        <v>-0.23250580000000001</v>
      </c>
      <c r="P2943">
        <v>-0.91937760000000002</v>
      </c>
      <c r="Q2943">
        <v>-4.5663660000000002E-2</v>
      </c>
      <c r="R2943">
        <v>-0.39071719999999999</v>
      </c>
      <c r="S2943">
        <v>-2.639618</v>
      </c>
      <c r="T2943">
        <v>0.35216550000000002</v>
      </c>
      <c r="U2943">
        <v>-1.5159</v>
      </c>
      <c r="V2943">
        <v>-0.1657769</v>
      </c>
      <c r="W2943">
        <v>-2.4732819999999999E-2</v>
      </c>
      <c r="X2943">
        <v>0.98585310000000004</v>
      </c>
      <c r="Y2943">
        <v>-0.28334310000000001</v>
      </c>
      <c r="Z2943">
        <v>-1.9586900000000001E-2</v>
      </c>
      <c r="AA2943">
        <v>0.95881859999999997</v>
      </c>
      <c r="AB2943">
        <v>33</v>
      </c>
      <c r="AC2943">
        <v>-39.7607</v>
      </c>
      <c r="AD2943">
        <v>5.330406</v>
      </c>
      <c r="AE2943">
        <v>-22.894799999999901</v>
      </c>
      <c r="AF2943">
        <v>-12.84631504225</v>
      </c>
      <c r="AG2943">
        <v>5.330406</v>
      </c>
      <c r="AH2943">
        <v>43.4092273573714</v>
      </c>
      <c r="AI2943">
        <v>83.284541946439603</v>
      </c>
      <c r="AJ2943">
        <v>106.48533592109</v>
      </c>
      <c r="AK2943">
        <v>45.582914102254698</v>
      </c>
      <c r="AL2943">
        <v>91.417230696444406</v>
      </c>
      <c r="AM2943">
        <v>99.545316244300594</v>
      </c>
      <c r="AN2943">
        <v>1.00000001386918</v>
      </c>
    </row>
    <row r="2944" spans="1:40" x14ac:dyDescent="0.25">
      <c r="A2944" t="str">
        <f>"20190305134954106"</f>
        <v>20190305134954106</v>
      </c>
      <c r="B2944" t="str">
        <f>"1551764994093485"</f>
        <v>1551764994093485</v>
      </c>
      <c r="C2944" t="s">
        <v>40</v>
      </c>
      <c r="D2944">
        <v>3.8193600000000001</v>
      </c>
      <c r="E2944">
        <v>0.45317239999999998</v>
      </c>
      <c r="F2944" t="s">
        <v>76</v>
      </c>
      <c r="G2944">
        <v>-511.07600000000002</v>
      </c>
      <c r="H2944">
        <v>7.0650329999999997</v>
      </c>
      <c r="I2944">
        <v>261.06240000000003</v>
      </c>
      <c r="J2944">
        <v>-471.50700000000001</v>
      </c>
      <c r="K2944">
        <v>1.1181239999999999</v>
      </c>
      <c r="L2944">
        <v>284.15710000000001</v>
      </c>
      <c r="M2944">
        <v>-0.97112359999999998</v>
      </c>
      <c r="N2944">
        <v>-2.4073029999999999E-2</v>
      </c>
      <c r="O2944">
        <v>-0.2373593</v>
      </c>
      <c r="P2944">
        <v>-0.91716279999999994</v>
      </c>
      <c r="Q2944">
        <v>-4.5175300000000002E-2</v>
      </c>
      <c r="R2944">
        <v>-0.39594400000000002</v>
      </c>
      <c r="S2944">
        <v>-2.6316220000000001</v>
      </c>
      <c r="T2944">
        <v>0.39360440000000002</v>
      </c>
      <c r="U2944">
        <v>-1.5319210000000001</v>
      </c>
      <c r="V2944">
        <v>-0.16646720000000001</v>
      </c>
      <c r="W2944">
        <v>-2.432759E-2</v>
      </c>
      <c r="X2944">
        <v>0.98574689999999998</v>
      </c>
      <c r="Y2944">
        <v>-0.28425099999999998</v>
      </c>
      <c r="Z2944">
        <v>-2.149475E-2</v>
      </c>
      <c r="AA2944">
        <v>0.9585089</v>
      </c>
      <c r="AB2944">
        <v>33</v>
      </c>
      <c r="AC2944">
        <v>-39.569000000000003</v>
      </c>
      <c r="AD2944">
        <v>5.9469089999999998</v>
      </c>
      <c r="AE2944">
        <v>-23.0946999999999</v>
      </c>
      <c r="AF2944">
        <v>-12.8234636597633</v>
      </c>
      <c r="AG2944">
        <v>5.9469089999999998</v>
      </c>
      <c r="AH2944">
        <v>43.193130041549402</v>
      </c>
      <c r="AI2944">
        <v>82.4811149563089</v>
      </c>
      <c r="AJ2944">
        <v>106.53545126066</v>
      </c>
      <c r="AK2944">
        <v>45.4472598698068</v>
      </c>
      <c r="AL2944">
        <v>91.394005681071903</v>
      </c>
      <c r="AM2944">
        <v>99.585340800311201</v>
      </c>
      <c r="AN2944">
        <v>1.0000000555853199</v>
      </c>
    </row>
    <row r="2945" spans="1:40" x14ac:dyDescent="0.25">
      <c r="A2945" t="str">
        <f>"20190305134954119"</f>
        <v>20190305134954119</v>
      </c>
      <c r="B2945" t="str">
        <f>"1551764994113005"</f>
        <v>1551764994113005</v>
      </c>
      <c r="C2945" t="s">
        <v>40</v>
      </c>
      <c r="D2945">
        <v>3.8211599999999999</v>
      </c>
      <c r="E2945">
        <v>0.45403179999999999</v>
      </c>
      <c r="F2945" t="s">
        <v>76</v>
      </c>
      <c r="G2945">
        <v>-511.07600000000002</v>
      </c>
      <c r="H2945">
        <v>6.8468929999999997</v>
      </c>
      <c r="I2945">
        <v>260.85770000000002</v>
      </c>
      <c r="J2945">
        <v>-471.68400000000003</v>
      </c>
      <c r="K2945">
        <v>1.1180950000000001</v>
      </c>
      <c r="L2945">
        <v>284.10899999999998</v>
      </c>
      <c r="M2945">
        <v>-0.97001769999999998</v>
      </c>
      <c r="N2945">
        <v>-2.3989369999999999E-2</v>
      </c>
      <c r="O2945">
        <v>-0.24184749999999999</v>
      </c>
      <c r="P2945">
        <v>-0.91518639999999996</v>
      </c>
      <c r="Q2945">
        <v>-4.497346E-2</v>
      </c>
      <c r="R2945">
        <v>-0.40051360000000003</v>
      </c>
      <c r="S2945">
        <v>-2.6228940000000001</v>
      </c>
      <c r="T2945">
        <v>0.37974370000000002</v>
      </c>
      <c r="U2945">
        <v>-1.5444340000000001</v>
      </c>
      <c r="V2945">
        <v>-0.16682629999999901</v>
      </c>
      <c r="W2945">
        <v>-2.4207579999999999E-2</v>
      </c>
      <c r="X2945">
        <v>0.98568909999999998</v>
      </c>
      <c r="Y2945">
        <v>-0.28463319999999998</v>
      </c>
      <c r="Z2945">
        <v>-2.16966E-2</v>
      </c>
      <c r="AA2945">
        <v>0.95839099999999999</v>
      </c>
      <c r="AB2945">
        <v>33</v>
      </c>
      <c r="AC2945">
        <v>-39.391999999999904</v>
      </c>
      <c r="AD2945">
        <v>5.7287979999999896</v>
      </c>
      <c r="AE2945">
        <v>-23.251300000000001</v>
      </c>
      <c r="AF2945">
        <v>-12.8298263638434</v>
      </c>
      <c r="AG2945">
        <v>5.7287979999999896</v>
      </c>
      <c r="AH2945">
        <v>43.169695077333699</v>
      </c>
      <c r="AI2945">
        <v>82.750606792850405</v>
      </c>
      <c r="AJ2945">
        <v>106.55169677347</v>
      </c>
      <c r="AK2945">
        <v>45.398746063312601</v>
      </c>
      <c r="AL2945">
        <v>91.387127650397503</v>
      </c>
      <c r="AM2945">
        <v>99.606186022404103</v>
      </c>
      <c r="AN2945">
        <v>1.0000000115799701</v>
      </c>
    </row>
    <row r="2946" spans="1:40" x14ac:dyDescent="0.25">
      <c r="A2946" t="str">
        <f>"20190305134954133"</f>
        <v>20190305134954133</v>
      </c>
      <c r="B2946" t="str">
        <f>"1551764994123740"</f>
        <v>1551764994123740</v>
      </c>
      <c r="C2946" t="s">
        <v>40</v>
      </c>
      <c r="D2946">
        <v>3.7647439999999999</v>
      </c>
      <c r="E2946">
        <v>0.45423390000000002</v>
      </c>
      <c r="F2946" t="s">
        <v>76</v>
      </c>
      <c r="G2946">
        <v>-511.07600000000002</v>
      </c>
      <c r="H2946">
        <v>6.8865740000000004</v>
      </c>
      <c r="I2946">
        <v>260.77050000000003</v>
      </c>
      <c r="J2946">
        <v>-471.87470000000002</v>
      </c>
      <c r="K2946">
        <v>1.1180639999999999</v>
      </c>
      <c r="L2946">
        <v>284.0564</v>
      </c>
      <c r="M2946">
        <v>-0.96880010000000005</v>
      </c>
      <c r="N2946">
        <v>-2.3892529999999999E-2</v>
      </c>
      <c r="O2946">
        <v>-0.24668950000000001</v>
      </c>
      <c r="P2946">
        <v>-0.91298440000000003</v>
      </c>
      <c r="Q2946">
        <v>-4.5095919999999998E-2</v>
      </c>
      <c r="R2946">
        <v>-0.40549479999999999</v>
      </c>
      <c r="S2946">
        <v>-2.6180729999999999</v>
      </c>
      <c r="T2946">
        <v>0.38338879999999997</v>
      </c>
      <c r="U2946">
        <v>-1.5511170000000001</v>
      </c>
      <c r="V2946">
        <v>-0.1672729</v>
      </c>
      <c r="W2946">
        <v>-2.4427500000000001E-2</v>
      </c>
      <c r="X2946">
        <v>0.98560800000000004</v>
      </c>
      <c r="Y2946">
        <v>-0.28248909999999899</v>
      </c>
      <c r="Z2946">
        <v>-2.2634270000000001E-2</v>
      </c>
      <c r="AA2946">
        <v>0.95900339999999995</v>
      </c>
      <c r="AB2946">
        <v>32</v>
      </c>
      <c r="AC2946">
        <v>-39.201299999999897</v>
      </c>
      <c r="AD2946">
        <v>5.76851</v>
      </c>
      <c r="AE2946">
        <v>-23.285899999999899</v>
      </c>
      <c r="AF2946">
        <v>-12.689407856398899</v>
      </c>
      <c r="AG2946">
        <v>5.76851</v>
      </c>
      <c r="AH2946">
        <v>43.046102716103299</v>
      </c>
      <c r="AI2946">
        <v>82.675416309141497</v>
      </c>
      <c r="AJ2946">
        <v>106.424802670624</v>
      </c>
      <c r="AK2946">
        <v>45.246698646547202</v>
      </c>
      <c r="AL2946">
        <v>91.399731842729693</v>
      </c>
      <c r="AM2946">
        <v>99.632198698313502</v>
      </c>
      <c r="AN2946">
        <v>1.00000002774732</v>
      </c>
    </row>
    <row r="2947" spans="1:40" x14ac:dyDescent="0.25">
      <c r="A2947" t="str">
        <f>"20190305134954146"</f>
        <v>20190305134954146</v>
      </c>
      <c r="B2947" t="str">
        <f>"1551764994133501"</f>
        <v>1551764994133501</v>
      </c>
      <c r="C2947" t="s">
        <v>40</v>
      </c>
      <c r="D2947">
        <v>3.8103349999999998</v>
      </c>
      <c r="E2947">
        <v>0.45461299999999999</v>
      </c>
      <c r="F2947" t="s">
        <v>76</v>
      </c>
      <c r="G2947">
        <v>-511.07600000000002</v>
      </c>
      <c r="H2947">
        <v>6.8655739999999996</v>
      </c>
      <c r="I2947">
        <v>260.57549999999998</v>
      </c>
      <c r="J2947">
        <v>-472.06270000000001</v>
      </c>
      <c r="K2947">
        <v>1.118031</v>
      </c>
      <c r="L2947">
        <v>284.0034</v>
      </c>
      <c r="M2947">
        <v>-0.96757130000000002</v>
      </c>
      <c r="N2947">
        <v>-2.3788190000000001E-2</v>
      </c>
      <c r="O2947">
        <v>-0.25147570000000002</v>
      </c>
      <c r="P2947">
        <v>-0.91080380000000005</v>
      </c>
      <c r="Q2947">
        <v>-4.6142910000000002E-2</v>
      </c>
      <c r="R2947">
        <v>-0.41025279999999997</v>
      </c>
      <c r="S2947">
        <v>-2.610382</v>
      </c>
      <c r="T2947">
        <v>0.3827257</v>
      </c>
      <c r="U2947">
        <v>-1.5635680000000001</v>
      </c>
      <c r="V2947">
        <v>-0.16753779999999999</v>
      </c>
      <c r="W2947">
        <v>-2.557829E-2</v>
      </c>
      <c r="X2947">
        <v>0.98553380000000002</v>
      </c>
      <c r="Y2947">
        <v>-0.28240120000000002</v>
      </c>
      <c r="Z2947">
        <v>-2.330722E-2</v>
      </c>
      <c r="AA2947">
        <v>0.95901320000000001</v>
      </c>
      <c r="AB2947">
        <v>32</v>
      </c>
      <c r="AC2947">
        <v>-39.013299999999902</v>
      </c>
      <c r="AD2947">
        <v>5.7475430000000003</v>
      </c>
      <c r="AE2947">
        <v>-23.427900000000001</v>
      </c>
      <c r="AF2947">
        <v>-12.6589742881257</v>
      </c>
      <c r="AG2947">
        <v>5.7475430000000003</v>
      </c>
      <c r="AH2947">
        <v>42.966659487665503</v>
      </c>
      <c r="AI2947">
        <v>82.688083273335295</v>
      </c>
      <c r="AJ2947">
        <v>106.416196000252</v>
      </c>
      <c r="AK2947">
        <v>45.159912622737401</v>
      </c>
      <c r="AL2947">
        <v>91.465687889451601</v>
      </c>
      <c r="AM2947">
        <v>99.647878855711596</v>
      </c>
      <c r="AN2947">
        <v>1.0000000171453001</v>
      </c>
    </row>
    <row r="2948" spans="1:40" x14ac:dyDescent="0.25">
      <c r="A2948" t="str">
        <f>"20190305134954160"</f>
        <v>20190305134954160</v>
      </c>
      <c r="B2948" t="str">
        <f>"1551764994153020"</f>
        <v>1551764994153020</v>
      </c>
      <c r="C2948" t="s">
        <v>40</v>
      </c>
      <c r="D2948">
        <v>3.8309630000000001</v>
      </c>
      <c r="E2948">
        <v>0.45523960000000002</v>
      </c>
      <c r="F2948" t="s">
        <v>76</v>
      </c>
      <c r="G2948">
        <v>-511.07600000000002</v>
      </c>
      <c r="H2948">
        <v>6.7931530000000002</v>
      </c>
      <c r="I2948">
        <v>260.41050000000001</v>
      </c>
      <c r="J2948">
        <v>-472.24220000000003</v>
      </c>
      <c r="K2948">
        <v>1.117999</v>
      </c>
      <c r="L2948">
        <v>283.95170000000002</v>
      </c>
      <c r="M2948">
        <v>-0.96636840000000002</v>
      </c>
      <c r="N2948">
        <v>-2.368309E-2</v>
      </c>
      <c r="O2948">
        <v>-0.2560693</v>
      </c>
      <c r="P2948">
        <v>-0.90818719999999997</v>
      </c>
      <c r="Q2948">
        <v>-4.872365E-2</v>
      </c>
      <c r="R2948">
        <v>-0.41571900000000001</v>
      </c>
      <c r="S2948">
        <v>-2.6036990000000002</v>
      </c>
      <c r="T2948">
        <v>0.37875389999999998</v>
      </c>
      <c r="U2948">
        <v>-1.574554</v>
      </c>
      <c r="V2948">
        <v>-0.16876739999999901</v>
      </c>
      <c r="W2948">
        <v>-2.828688E-2</v>
      </c>
      <c r="X2948">
        <v>0.98524990000000001</v>
      </c>
      <c r="Y2948">
        <v>-0.28193380000000001</v>
      </c>
      <c r="Z2948">
        <v>-2.3841419999999999E-2</v>
      </c>
      <c r="AA2948">
        <v>0.95913760000000003</v>
      </c>
      <c r="AB2948">
        <v>32</v>
      </c>
      <c r="AC2948">
        <v>-38.833799999999897</v>
      </c>
      <c r="AD2948">
        <v>5.675154</v>
      </c>
      <c r="AE2948">
        <v>-23.5412</v>
      </c>
      <c r="AF2948">
        <v>-12.6119507641982</v>
      </c>
      <c r="AG2948">
        <v>5.675154</v>
      </c>
      <c r="AH2948">
        <v>42.8981847455603</v>
      </c>
      <c r="AI2948">
        <v>82.766579951007003</v>
      </c>
      <c r="AJ2948">
        <v>106.383194080832</v>
      </c>
      <c r="AK2948">
        <v>45.072418722168699</v>
      </c>
      <c r="AL2948">
        <v>91.620935095048594</v>
      </c>
      <c r="AM2948">
        <v>99.720088335449901</v>
      </c>
      <c r="AN2948">
        <v>0.99999997416645103</v>
      </c>
    </row>
    <row r="2949" spans="1:40" x14ac:dyDescent="0.25">
      <c r="A2949" t="str">
        <f>"20190305134954183"</f>
        <v>20190305134954183</v>
      </c>
      <c r="B2949" t="str">
        <f>"1551764994173517"</f>
        <v>1551764994173517</v>
      </c>
      <c r="C2949" t="s">
        <v>40</v>
      </c>
      <c r="D2949">
        <v>3.840633</v>
      </c>
      <c r="E2949">
        <v>0.45560430000000002</v>
      </c>
      <c r="F2949" t="s">
        <v>76</v>
      </c>
      <c r="G2949">
        <v>-511.07589999999999</v>
      </c>
      <c r="H2949">
        <v>6.672485</v>
      </c>
      <c r="I2949">
        <v>260.23970000000003</v>
      </c>
      <c r="J2949">
        <v>-472.54700000000003</v>
      </c>
      <c r="K2949">
        <v>1.117972</v>
      </c>
      <c r="L2949">
        <v>283.86189999999999</v>
      </c>
      <c r="M2949">
        <v>-0.96425810000000001</v>
      </c>
      <c r="N2949">
        <v>-2.3501899999999999E-2</v>
      </c>
      <c r="O2949">
        <v>-0.26392080000000001</v>
      </c>
      <c r="P2949">
        <v>-0.90390769999999998</v>
      </c>
      <c r="Q2949">
        <v>-5.0946819999999997E-2</v>
      </c>
      <c r="R2949">
        <v>-0.42468270000000002</v>
      </c>
      <c r="S2949">
        <v>-2.5972900000000001</v>
      </c>
      <c r="T2949">
        <v>0.37150100000000003</v>
      </c>
      <c r="U2949">
        <v>-1.585907</v>
      </c>
      <c r="V2949">
        <v>-0.1704917</v>
      </c>
      <c r="W2949">
        <v>-3.0722969999999999E-2</v>
      </c>
      <c r="X2949">
        <v>0.98487999999999998</v>
      </c>
      <c r="Y2949">
        <v>-0.278308</v>
      </c>
      <c r="Z2949">
        <v>-2.4843069999999998E-2</v>
      </c>
      <c r="AA2949">
        <v>0.96017059999999999</v>
      </c>
      <c r="AB2949">
        <v>32</v>
      </c>
      <c r="AC2949">
        <v>-38.5289</v>
      </c>
      <c r="AD2949">
        <v>5.554513</v>
      </c>
      <c r="AE2949">
        <v>-23.6221999999999</v>
      </c>
      <c r="AF2949">
        <v>-12.4251152392156</v>
      </c>
      <c r="AG2949">
        <v>5.554513</v>
      </c>
      <c r="AH2949">
        <v>42.752382852591602</v>
      </c>
      <c r="AI2949">
        <v>82.888484703286906</v>
      </c>
      <c r="AJ2949">
        <v>106.205437440252</v>
      </c>
      <c r="AK2949">
        <v>44.8664946585927</v>
      </c>
      <c r="AL2949">
        <v>91.7605736142268</v>
      </c>
      <c r="AM2949">
        <v>99.821091152732507</v>
      </c>
      <c r="AN2949">
        <v>0.99999996752725495</v>
      </c>
    </row>
    <row r="2950" spans="1:40" x14ac:dyDescent="0.25">
      <c r="A2950" t="str">
        <f>"20190305134954197"</f>
        <v>20190305134954197</v>
      </c>
      <c r="B2950" t="str">
        <f>"1551764994183276"</f>
        <v>1551764994183276</v>
      </c>
      <c r="C2950" t="s">
        <v>40</v>
      </c>
      <c r="D2950">
        <v>3.8292739999999998</v>
      </c>
      <c r="E2950">
        <v>0.45580340000000003</v>
      </c>
      <c r="F2950" t="s">
        <v>76</v>
      </c>
      <c r="G2950">
        <v>-511.07589999999999</v>
      </c>
      <c r="H2950">
        <v>6.5399729999999998</v>
      </c>
      <c r="I2950">
        <v>259.86680000000001</v>
      </c>
      <c r="J2950">
        <v>-472.75009999999997</v>
      </c>
      <c r="K2950">
        <v>1.1179680000000001</v>
      </c>
      <c r="L2950">
        <v>283.8005</v>
      </c>
      <c r="M2950">
        <v>-0.96279700000000001</v>
      </c>
      <c r="N2950">
        <v>-2.33843E-2</v>
      </c>
      <c r="O2950">
        <v>-0.26921209999999901</v>
      </c>
      <c r="P2950">
        <v>-0.90121719999999905</v>
      </c>
      <c r="Q2950">
        <v>-5.1002680000000002E-2</v>
      </c>
      <c r="R2950">
        <v>-0.43035610000000002</v>
      </c>
      <c r="S2950">
        <v>-2.5834959999999998</v>
      </c>
      <c r="T2950">
        <v>0.36356769999999999</v>
      </c>
      <c r="U2950">
        <v>-1.608948</v>
      </c>
      <c r="V2950">
        <v>-0.1712717</v>
      </c>
      <c r="W2950">
        <v>-3.0911600000000001E-2</v>
      </c>
      <c r="X2950">
        <v>0.98473880000000003</v>
      </c>
      <c r="Y2950">
        <v>-0.28151229999999999</v>
      </c>
      <c r="Z2950">
        <v>-2.508349E-2</v>
      </c>
      <c r="AA2950">
        <v>0.95922969999999996</v>
      </c>
      <c r="AB2950">
        <v>32</v>
      </c>
      <c r="AC2950">
        <v>-38.325800000000001</v>
      </c>
      <c r="AD2950">
        <v>5.4220050000000004</v>
      </c>
      <c r="AE2950">
        <v>-23.933699999999899</v>
      </c>
      <c r="AF2950">
        <v>-12.5483234840398</v>
      </c>
      <c r="AG2950">
        <v>5.4220050000000004</v>
      </c>
      <c r="AH2950">
        <v>42.739656045739203</v>
      </c>
      <c r="AI2950">
        <v>83.059907329137801</v>
      </c>
      <c r="AJ2950">
        <v>106.36219011467099</v>
      </c>
      <c r="AK2950">
        <v>44.872449892871103</v>
      </c>
      <c r="AL2950">
        <v>91.771386372223404</v>
      </c>
      <c r="AM2950">
        <v>99.8665286012845</v>
      </c>
      <c r="AN2950">
        <v>1.0000000132304401</v>
      </c>
    </row>
    <row r="2951" spans="1:40" x14ac:dyDescent="0.25">
      <c r="A2951" t="str">
        <f>"20190305134954211"</f>
        <v>20190305134954211</v>
      </c>
      <c r="B2951" t="str">
        <f>"1551764994203772"</f>
        <v>1551764994203772</v>
      </c>
      <c r="C2951" t="s">
        <v>40</v>
      </c>
      <c r="D2951">
        <v>4.0223329999999997</v>
      </c>
      <c r="E2951">
        <v>0.45565270000000002</v>
      </c>
      <c r="F2951" t="s">
        <v>76</v>
      </c>
      <c r="G2951">
        <v>-511.07589999999999</v>
      </c>
      <c r="H2951">
        <v>6.4692970000000001</v>
      </c>
      <c r="I2951">
        <v>259.6284</v>
      </c>
      <c r="J2951">
        <v>-472.93709999999999</v>
      </c>
      <c r="K2951">
        <v>1.1179730000000001</v>
      </c>
      <c r="L2951">
        <v>283.74299999999999</v>
      </c>
      <c r="M2951">
        <v>-0.96141089999999996</v>
      </c>
      <c r="N2951">
        <v>-2.3279419999999999E-2</v>
      </c>
      <c r="O2951">
        <v>-0.2741305</v>
      </c>
      <c r="P2951">
        <v>-0.89862999999999904</v>
      </c>
      <c r="Q2951">
        <v>-5.0580890000000003E-2</v>
      </c>
      <c r="R2951">
        <v>-0.43578260000000002</v>
      </c>
      <c r="S2951">
        <v>-2.573944</v>
      </c>
      <c r="T2951">
        <v>0.35939650000000001</v>
      </c>
      <c r="U2951">
        <v>-1.623383</v>
      </c>
      <c r="V2951">
        <v>-0.1721733</v>
      </c>
      <c r="W2951">
        <v>-3.0614619999999999E-2</v>
      </c>
      <c r="X2951">
        <v>0.98459079999999999</v>
      </c>
      <c r="Y2951">
        <v>-0.28208719999999998</v>
      </c>
      <c r="Z2951">
        <v>-2.5549519999999999E-2</v>
      </c>
      <c r="AA2951">
        <v>0.95904849999999997</v>
      </c>
      <c r="AB2951">
        <v>32</v>
      </c>
      <c r="AC2951">
        <v>-38.138800000000003</v>
      </c>
      <c r="AD2951">
        <v>5.351324</v>
      </c>
      <c r="AE2951">
        <v>-24.114599999999999</v>
      </c>
      <c r="AF2951">
        <v>-12.5558856363118</v>
      </c>
      <c r="AG2951">
        <v>5.351324</v>
      </c>
      <c r="AH2951">
        <v>42.688926195839898</v>
      </c>
      <c r="AI2951">
        <v>83.142415944642394</v>
      </c>
      <c r="AJ2951">
        <v>106.38993453036601</v>
      </c>
      <c r="AK2951">
        <v>44.817757110535901</v>
      </c>
      <c r="AL2951">
        <v>91.754362687177505</v>
      </c>
      <c r="AM2951">
        <v>99.918900032398696</v>
      </c>
      <c r="AN2951">
        <v>0.999999971817636</v>
      </c>
    </row>
    <row r="2952" spans="1:40" x14ac:dyDescent="0.25">
      <c r="A2952" t="str">
        <f>"20190305134954223"</f>
        <v>20190305134954223</v>
      </c>
      <c r="B2952" t="str">
        <f>"1551764994213533"</f>
        <v>1551764994213533</v>
      </c>
      <c r="C2952" t="s">
        <v>40</v>
      </c>
      <c r="D2952">
        <v>3.8382559999999999</v>
      </c>
      <c r="E2952">
        <v>0.45565270000000002</v>
      </c>
      <c r="F2952" t="s">
        <v>62</v>
      </c>
      <c r="G2952">
        <v>-484.95710000000003</v>
      </c>
      <c r="H2952" s="1">
        <v>1.5772779999999999E-6</v>
      </c>
      <c r="I2952">
        <v>276.05459999999999</v>
      </c>
      <c r="J2952">
        <v>-473.10160000000002</v>
      </c>
      <c r="K2952">
        <v>1.1179920000000001</v>
      </c>
      <c r="L2952">
        <v>283.69119999999998</v>
      </c>
      <c r="M2952">
        <v>-0.96014980000000005</v>
      </c>
      <c r="N2952">
        <v>-2.3192500000000001E-2</v>
      </c>
      <c r="O2952">
        <v>-0.2785223</v>
      </c>
      <c r="P2952">
        <v>-0.89641749999999998</v>
      </c>
      <c r="Q2952">
        <v>-4.9991189999999998E-2</v>
      </c>
      <c r="R2952">
        <v>-0.4403821</v>
      </c>
      <c r="S2952">
        <v>-2.537903</v>
      </c>
      <c r="T2952">
        <v>-0.2360487</v>
      </c>
      <c r="U2952">
        <v>-1.6233219999999999</v>
      </c>
      <c r="V2952">
        <v>-0.17271619999999999</v>
      </c>
      <c r="W2952">
        <v>-3.0128780000000001E-2</v>
      </c>
      <c r="X2952">
        <v>0.98451069999999996</v>
      </c>
      <c r="Y2952">
        <v>-0.28212969999999998</v>
      </c>
      <c r="Z2952">
        <v>1.303911E-3</v>
      </c>
      <c r="AA2952">
        <v>0.95937539999999999</v>
      </c>
      <c r="AB2952">
        <v>32</v>
      </c>
      <c r="AC2952">
        <v>-11.855499999999999</v>
      </c>
      <c r="AD2952">
        <v>-1.1179904227220001</v>
      </c>
      <c r="AE2952">
        <v>-7.6365999999999801</v>
      </c>
      <c r="AF2952">
        <v>-4.0061640211291403</v>
      </c>
      <c r="AG2952">
        <v>-1.1179904227220001</v>
      </c>
      <c r="AH2952">
        <v>13.4292499962093</v>
      </c>
      <c r="AI2952">
        <v>94.561185146900499</v>
      </c>
      <c r="AJ2952">
        <v>106.610699105188</v>
      </c>
      <c r="AK2952">
        <v>14.0585919711106</v>
      </c>
      <c r="AL2952">
        <v>91.726513253546102</v>
      </c>
      <c r="AM2952">
        <v>99.950345777110499</v>
      </c>
      <c r="AN2952">
        <v>0.99999997377060801</v>
      </c>
    </row>
    <row r="2953" spans="1:40" x14ac:dyDescent="0.25">
      <c r="A2953" t="str">
        <f>"20190305134954237"</f>
        <v>20190305134954237</v>
      </c>
      <c r="B2953" t="str">
        <f>"1551764994233052"</f>
        <v>1551764994233052</v>
      </c>
      <c r="C2953" t="s">
        <v>40</v>
      </c>
      <c r="D2953">
        <v>3.8854850000000001</v>
      </c>
      <c r="E2953">
        <v>0.46036060000000001</v>
      </c>
      <c r="F2953" t="s">
        <v>62</v>
      </c>
      <c r="G2953">
        <v>-485.18169999999998</v>
      </c>
      <c r="H2953" s="1">
        <v>1.5657749999999901E-6</v>
      </c>
      <c r="I2953">
        <v>275.87619999999998</v>
      </c>
      <c r="J2953">
        <v>-473.28469999999999</v>
      </c>
      <c r="K2953">
        <v>1.1180289999999999</v>
      </c>
      <c r="L2953">
        <v>283.6327</v>
      </c>
      <c r="M2953">
        <v>-0.95870429999999995</v>
      </c>
      <c r="N2953">
        <v>-2.310044E-2</v>
      </c>
      <c r="O2953">
        <v>-0.28346480000000002</v>
      </c>
      <c r="P2953">
        <v>-0.89342710000000003</v>
      </c>
      <c r="Q2953">
        <v>-4.810938E-2</v>
      </c>
      <c r="R2953">
        <v>-0.44662400000000002</v>
      </c>
      <c r="S2953">
        <v>-2.529633</v>
      </c>
      <c r="T2953">
        <v>-0.23411309999999999</v>
      </c>
      <c r="U2953">
        <v>-1.6365050000000001</v>
      </c>
      <c r="V2953">
        <v>-0.17450969999999999</v>
      </c>
      <c r="W2953">
        <v>-2.8385509999999999E-2</v>
      </c>
      <c r="X2953">
        <v>0.98424630000000002</v>
      </c>
      <c r="Y2953">
        <v>-0.28215980000000002</v>
      </c>
      <c r="Z2953">
        <v>1.5408049999999999E-3</v>
      </c>
      <c r="AA2953">
        <v>0.95936619999999995</v>
      </c>
      <c r="AB2953">
        <v>32</v>
      </c>
      <c r="AC2953">
        <v>-11.896999999999901</v>
      </c>
      <c r="AD2953">
        <v>-1.1180274342250001</v>
      </c>
      <c r="AE2953">
        <v>-7.7565000000000097</v>
      </c>
      <c r="AF2953">
        <v>-4.0398584092509999</v>
      </c>
      <c r="AG2953">
        <v>-1.1180274342250001</v>
      </c>
      <c r="AH2953">
        <v>13.5242198756528</v>
      </c>
      <c r="AI2953">
        <v>94.528948356938301</v>
      </c>
      <c r="AJ2953">
        <v>106.631561900023</v>
      </c>
      <c r="AK2953">
        <v>14.158918198629401</v>
      </c>
      <c r="AL2953">
        <v>91.6265882826482</v>
      </c>
      <c r="AM2953">
        <v>100.05421960064901</v>
      </c>
      <c r="AN2953">
        <v>1.00000007581786</v>
      </c>
    </row>
    <row r="2954" spans="1:40" x14ac:dyDescent="0.25">
      <c r="A2954" t="str">
        <f>"20190305134954249"</f>
        <v>20190305134954249</v>
      </c>
      <c r="B2954" t="str">
        <f>"1551764994243789"</f>
        <v>1551764994243789</v>
      </c>
      <c r="C2954" t="s">
        <v>40</v>
      </c>
      <c r="D2954">
        <v>3.8607170000000002</v>
      </c>
      <c r="E2954">
        <v>0.4606248</v>
      </c>
      <c r="F2954" t="s">
        <v>76</v>
      </c>
      <c r="G2954">
        <v>-511.07580000000002</v>
      </c>
      <c r="H2954">
        <v>6.3346489999999998</v>
      </c>
      <c r="I2954">
        <v>259.47809999999998</v>
      </c>
      <c r="J2954">
        <v>-473.44080000000002</v>
      </c>
      <c r="K2954">
        <v>1.1180589999999999</v>
      </c>
      <c r="L2954">
        <v>283.58210000000003</v>
      </c>
      <c r="M2954">
        <v>-0.9574397</v>
      </c>
      <c r="N2954">
        <v>-2.3024699999999999E-2</v>
      </c>
      <c r="O2954">
        <v>-0.28771409999999997</v>
      </c>
      <c r="P2954">
        <v>-0.89115580000000005</v>
      </c>
      <c r="Q2954">
        <v>-4.7607999999999998E-2</v>
      </c>
      <c r="R2954">
        <v>-0.45119290000000001</v>
      </c>
      <c r="S2954">
        <v>-2.5591740000000001</v>
      </c>
      <c r="T2954">
        <v>0.3532672</v>
      </c>
      <c r="U2954">
        <v>-1.6357120000000001</v>
      </c>
      <c r="V2954">
        <v>-0.17518139999999999</v>
      </c>
      <c r="W2954">
        <v>-2.7984910000000002E-2</v>
      </c>
      <c r="X2954">
        <v>0.98413839999999997</v>
      </c>
      <c r="Y2954">
        <v>-0.27440330000000002</v>
      </c>
      <c r="Z2954">
        <v>-2.7505470000000001E-2</v>
      </c>
      <c r="AA2954">
        <v>0.96122129999999995</v>
      </c>
      <c r="AB2954">
        <v>31</v>
      </c>
      <c r="AC2954">
        <v>-37.634999999999899</v>
      </c>
      <c r="AD2954">
        <v>5.2165900000000001</v>
      </c>
      <c r="AE2954">
        <v>-24.103999999999999</v>
      </c>
      <c r="AF2954">
        <v>-12.0885565643714</v>
      </c>
      <c r="AG2954">
        <v>5.2165900000000001</v>
      </c>
      <c r="AH2954">
        <v>42.402000028129798</v>
      </c>
      <c r="AI2954">
        <v>83.252545357932107</v>
      </c>
      <c r="AJ2954">
        <v>105.912533972194</v>
      </c>
      <c r="AK2954">
        <v>44.399049735592598</v>
      </c>
      <c r="AL2954">
        <v>91.603626539368506</v>
      </c>
      <c r="AM2954">
        <v>100.093208715432</v>
      </c>
      <c r="AN2954">
        <v>1.00000003422411</v>
      </c>
    </row>
    <row r="2955" spans="1:40" x14ac:dyDescent="0.25">
      <c r="A2955" t="str">
        <f>"20190305134954261"</f>
        <v>20190305134954261</v>
      </c>
      <c r="B2955" t="str">
        <f>"1551764994253549"</f>
        <v>1551764994253549</v>
      </c>
      <c r="C2955" t="s">
        <v>40</v>
      </c>
      <c r="D2955">
        <v>4.0475180000000002</v>
      </c>
      <c r="E2955">
        <v>0.4606248</v>
      </c>
      <c r="F2955" t="s">
        <v>76</v>
      </c>
      <c r="G2955">
        <v>-511.07580000000002</v>
      </c>
      <c r="H2955">
        <v>6.4518180000000003</v>
      </c>
      <c r="I2955">
        <v>259.28590000000003</v>
      </c>
      <c r="J2955">
        <v>-473.59440000000001</v>
      </c>
      <c r="K2955">
        <v>1.1181030000000001</v>
      </c>
      <c r="L2955">
        <v>283.53100000000001</v>
      </c>
      <c r="M2955">
        <v>-0.95614429999999995</v>
      </c>
      <c r="N2955">
        <v>-2.295732E-2</v>
      </c>
      <c r="O2955">
        <v>-0.29199580000000003</v>
      </c>
      <c r="P2955">
        <v>-0.88871880000000003</v>
      </c>
      <c r="Q2955">
        <v>-4.7573900000000002E-2</v>
      </c>
      <c r="R2955">
        <v>-0.4559781</v>
      </c>
      <c r="S2955">
        <v>-2.551666</v>
      </c>
      <c r="T2955">
        <v>0.36163390000000001</v>
      </c>
      <c r="U2955">
        <v>-1.64727799999999</v>
      </c>
      <c r="V2955">
        <v>-0.1760641</v>
      </c>
      <c r="W2955">
        <v>-2.8054909999999999E-2</v>
      </c>
      <c r="X2955">
        <v>0.98397880000000004</v>
      </c>
      <c r="Y2955">
        <v>-0.27452389999999999</v>
      </c>
      <c r="Z2955">
        <v>-2.8512340000000001E-2</v>
      </c>
      <c r="AA2955">
        <v>0.9611575</v>
      </c>
      <c r="AB2955">
        <v>31</v>
      </c>
      <c r="AC2955">
        <v>-37.481400000000001</v>
      </c>
      <c r="AD2955">
        <v>5.3337149999999998</v>
      </c>
      <c r="AE2955">
        <v>-24.245099999999901</v>
      </c>
      <c r="AF2955">
        <v>-12.068332101230901</v>
      </c>
      <c r="AG2955">
        <v>5.3337149999999998</v>
      </c>
      <c r="AH2955">
        <v>42.324156209455801</v>
      </c>
      <c r="AI2955">
        <v>83.090012805584493</v>
      </c>
      <c r="AJ2955">
        <v>105.914998265355</v>
      </c>
      <c r="AK2955">
        <v>44.333140586351902</v>
      </c>
      <c r="AL2955">
        <v>91.6076389351919</v>
      </c>
      <c r="AM2955">
        <v>100.14462380367399</v>
      </c>
      <c r="AN2955">
        <v>0.99999996206667796</v>
      </c>
    </row>
    <row r="2956" spans="1:40" x14ac:dyDescent="0.25">
      <c r="A2956" t="str">
        <f>"20190305134954275"</f>
        <v>20190305134954275</v>
      </c>
      <c r="B2956" t="str">
        <f>"1551764994263309"</f>
        <v>1551764994263309</v>
      </c>
      <c r="C2956" t="s">
        <v>40</v>
      </c>
      <c r="D2956">
        <v>3.8191980000000001</v>
      </c>
      <c r="E2956">
        <v>0.46150849999999999</v>
      </c>
      <c r="F2956" t="s">
        <v>76</v>
      </c>
      <c r="G2956">
        <v>-511.07580000000002</v>
      </c>
      <c r="H2956">
        <v>6.4476969999999998</v>
      </c>
      <c r="I2956">
        <v>259.04660000000001</v>
      </c>
      <c r="J2956">
        <v>-473.76580000000001</v>
      </c>
      <c r="K2956">
        <v>1.118155</v>
      </c>
      <c r="L2956">
        <v>283.47340000000003</v>
      </c>
      <c r="M2956">
        <v>-0.95465679999999997</v>
      </c>
      <c r="N2956">
        <v>-2.2885119999999998E-2</v>
      </c>
      <c r="O2956">
        <v>-0.2968285</v>
      </c>
      <c r="P2956">
        <v>-0.88592389999999999</v>
      </c>
      <c r="Q2956">
        <v>-4.7868910000000001E-2</v>
      </c>
      <c r="R2956">
        <v>-0.4613546</v>
      </c>
      <c r="S2956">
        <v>-2.542786</v>
      </c>
      <c r="T2956">
        <v>0.36156899999999997</v>
      </c>
      <c r="U2956">
        <v>-1.661041</v>
      </c>
      <c r="V2956">
        <v>-0.17704249999999999</v>
      </c>
      <c r="W2956">
        <v>-2.8466789999999999E-2</v>
      </c>
      <c r="X2956">
        <v>0.98379139999999998</v>
      </c>
      <c r="Y2956">
        <v>-0.27488010000000002</v>
      </c>
      <c r="Z2956">
        <v>-2.9163580000000001E-2</v>
      </c>
      <c r="AA2956">
        <v>0.96103609999999995</v>
      </c>
      <c r="AB2956">
        <v>31</v>
      </c>
      <c r="AC2956">
        <v>-37.31</v>
      </c>
      <c r="AD2956">
        <v>5.329542</v>
      </c>
      <c r="AE2956">
        <v>-24.4268</v>
      </c>
      <c r="AF2956">
        <v>-12.0752768079559</v>
      </c>
      <c r="AG2956">
        <v>5.329542</v>
      </c>
      <c r="AH2956">
        <v>42.2762178772646</v>
      </c>
      <c r="AI2956">
        <v>83.088493950892797</v>
      </c>
      <c r="AJ2956">
        <v>105.94083168313399</v>
      </c>
      <c r="AK2956">
        <v>44.288767491593902</v>
      </c>
      <c r="AL2956">
        <v>91.631247351929602</v>
      </c>
      <c r="AM2956">
        <v>100.201719932941</v>
      </c>
      <c r="AN2956">
        <v>0.99999996182655604</v>
      </c>
    </row>
    <row r="2957" spans="1:40" x14ac:dyDescent="0.25">
      <c r="A2957" t="str">
        <f>"20190305134954286"</f>
        <v>20190305134954286</v>
      </c>
      <c r="B2957" t="str">
        <f>"1551764994273068"</f>
        <v>1551764994273068</v>
      </c>
      <c r="C2957" t="s">
        <v>40</v>
      </c>
      <c r="D2957">
        <v>3.8933249999999999</v>
      </c>
      <c r="E2957">
        <v>0.46148689999999998</v>
      </c>
      <c r="F2957" t="s">
        <v>76</v>
      </c>
      <c r="G2957">
        <v>-512.82770000000005</v>
      </c>
      <c r="H2957">
        <v>7.7120009999999999</v>
      </c>
      <c r="I2957">
        <v>257.74209999999999</v>
      </c>
      <c r="J2957">
        <v>-473.92840000000001</v>
      </c>
      <c r="K2957">
        <v>1.1182190000000001</v>
      </c>
      <c r="L2957">
        <v>283.4178</v>
      </c>
      <c r="M2957">
        <v>-0.95319659999999995</v>
      </c>
      <c r="N2957">
        <v>-2.2821899999999999E-2</v>
      </c>
      <c r="O2957">
        <v>-0.3014888</v>
      </c>
      <c r="P2957">
        <v>-0.88316629999999996</v>
      </c>
      <c r="Q2957">
        <v>-4.8293120000000002E-2</v>
      </c>
      <c r="R2957">
        <v>-0.46656720000000002</v>
      </c>
      <c r="S2957">
        <v>-2.5386350000000002</v>
      </c>
      <c r="T2957">
        <v>0.42853780000000002</v>
      </c>
      <c r="U2957">
        <v>-1.672272</v>
      </c>
      <c r="V2957">
        <v>-0.17802770000000001</v>
      </c>
      <c r="W2957">
        <v>-2.900347E-2</v>
      </c>
      <c r="X2957">
        <v>0.98359790000000002</v>
      </c>
      <c r="Y2957">
        <v>-0.27416360000000001</v>
      </c>
      <c r="Z2957">
        <v>-3.3478620000000001E-2</v>
      </c>
      <c r="AA2957">
        <v>0.96110019999999996</v>
      </c>
      <c r="AB2957">
        <v>31</v>
      </c>
      <c r="AC2957">
        <v>-38.899299999999997</v>
      </c>
      <c r="AD2957">
        <v>6.593782</v>
      </c>
      <c r="AE2957">
        <v>-25.675699999999999</v>
      </c>
      <c r="AF2957">
        <v>-12.4994451218974</v>
      </c>
      <c r="AG2957">
        <v>6.593782</v>
      </c>
      <c r="AH2957">
        <v>43.951650497628698</v>
      </c>
      <c r="AI2957">
        <v>81.788810169168599</v>
      </c>
      <c r="AJ2957">
        <v>105.87526439324201</v>
      </c>
      <c r="AK2957">
        <v>46.167755748840101</v>
      </c>
      <c r="AL2957">
        <v>91.662009581548901</v>
      </c>
      <c r="AM2957">
        <v>100.25926315105499</v>
      </c>
      <c r="AN2957">
        <v>0.99999994606186904</v>
      </c>
    </row>
    <row r="2958" spans="1:40" x14ac:dyDescent="0.25">
      <c r="A2958" t="str">
        <f>"20190305134954299"</f>
        <v>20190305134954299</v>
      </c>
      <c r="B2958" t="str">
        <f>"1551764994293565"</f>
        <v>1551764994293565</v>
      </c>
      <c r="C2958" t="s">
        <v>40</v>
      </c>
      <c r="D2958">
        <v>3.8142290000000001</v>
      </c>
      <c r="E2958">
        <v>0.4612117</v>
      </c>
      <c r="F2958" t="s">
        <v>76</v>
      </c>
      <c r="G2958">
        <v>-511.0761</v>
      </c>
      <c r="H2958">
        <v>7.139195</v>
      </c>
      <c r="I2958">
        <v>258.61880000000002</v>
      </c>
      <c r="J2958">
        <v>-474.07580000000002</v>
      </c>
      <c r="K2958">
        <v>1.118282</v>
      </c>
      <c r="L2958">
        <v>283.36630000000002</v>
      </c>
      <c r="M2958">
        <v>-0.95181939999999998</v>
      </c>
      <c r="N2958">
        <v>-2.2771280000000001E-2</v>
      </c>
      <c r="O2958">
        <v>-0.3058131</v>
      </c>
      <c r="P2958">
        <v>-0.88060479999999997</v>
      </c>
      <c r="Q2958">
        <v>-4.8342889999999999E-2</v>
      </c>
      <c r="R2958">
        <v>-0.4713793</v>
      </c>
      <c r="S2958">
        <v>-2.5278019999999999</v>
      </c>
      <c r="T2958">
        <v>0.40971459999999998</v>
      </c>
      <c r="U2958">
        <v>-1.6875</v>
      </c>
      <c r="V2958">
        <v>-0.17892269999999999</v>
      </c>
      <c r="W2958">
        <v>-2.9151980000000001E-2</v>
      </c>
      <c r="X2958">
        <v>0.98343119999999995</v>
      </c>
      <c r="Y2958">
        <v>-0.27566600000000002</v>
      </c>
      <c r="Z2958">
        <v>-3.3052369999999998E-2</v>
      </c>
      <c r="AA2958">
        <v>0.96068509999999996</v>
      </c>
      <c r="AB2958">
        <v>31</v>
      </c>
      <c r="AC2958">
        <v>-37.000299999999903</v>
      </c>
      <c r="AD2958">
        <v>6.0209130000000002</v>
      </c>
      <c r="AE2958">
        <v>-24.747499999999999</v>
      </c>
      <c r="AF2958">
        <v>-12.023179139448899</v>
      </c>
      <c r="AG2958">
        <v>6.0209130000000002</v>
      </c>
      <c r="AH2958">
        <v>42.027890405930201</v>
      </c>
      <c r="AI2958">
        <v>82.157726862265207</v>
      </c>
      <c r="AJ2958">
        <v>105.964565182648</v>
      </c>
      <c r="AK2958">
        <v>44.1265430545577</v>
      </c>
      <c r="AL2958">
        <v>91.670522007709707</v>
      </c>
      <c r="AM2958">
        <v>100.31144628728801</v>
      </c>
      <c r="AN2958">
        <v>1.00000004782332</v>
      </c>
    </row>
    <row r="2959" spans="1:40" x14ac:dyDescent="0.25">
      <c r="A2959" t="str">
        <f>"20190305134954311"</f>
        <v>20190305134954311</v>
      </c>
      <c r="B2959" t="str">
        <f>"1551764994303326"</f>
        <v>1551764994303326</v>
      </c>
      <c r="C2959" t="s">
        <v>40</v>
      </c>
      <c r="D2959">
        <v>3.8757030000000001</v>
      </c>
      <c r="E2959">
        <v>0.4613584</v>
      </c>
      <c r="F2959" t="s">
        <v>76</v>
      </c>
      <c r="G2959">
        <v>-511.07600000000002</v>
      </c>
      <c r="H2959">
        <v>6.9729140000000003</v>
      </c>
      <c r="I2959">
        <v>258.33589999999998</v>
      </c>
      <c r="J2959">
        <v>-474.2328</v>
      </c>
      <c r="K2959">
        <v>1.118358</v>
      </c>
      <c r="L2959">
        <v>283.3109</v>
      </c>
      <c r="M2959">
        <v>-0.9503161</v>
      </c>
      <c r="N2959">
        <v>-2.2719630000000001E-2</v>
      </c>
      <c r="O2959">
        <v>-0.31045669999999997</v>
      </c>
      <c r="P2959">
        <v>-0.87790599999999996</v>
      </c>
      <c r="Q2959">
        <v>-4.8740110000000003E-2</v>
      </c>
      <c r="R2959">
        <v>-0.47634609999999999</v>
      </c>
      <c r="S2959">
        <v>-2.51709</v>
      </c>
      <c r="T2959">
        <v>0.39828859999999999</v>
      </c>
      <c r="U2959">
        <v>-1.7027890000000001</v>
      </c>
      <c r="V2959">
        <v>-0.17966889999999999</v>
      </c>
      <c r="W2959">
        <v>-2.9649689999999999E-2</v>
      </c>
      <c r="X2959">
        <v>0.98328020000000005</v>
      </c>
      <c r="Y2959">
        <v>-0.27686509999999998</v>
      </c>
      <c r="Z2959">
        <v>-3.3064339999999998E-2</v>
      </c>
      <c r="AA2959">
        <v>0.96033979999999997</v>
      </c>
      <c r="AB2959">
        <v>31</v>
      </c>
      <c r="AC2959">
        <v>-36.843199999999896</v>
      </c>
      <c r="AD2959">
        <v>5.8545559999999996</v>
      </c>
      <c r="AE2959">
        <v>-24.975000000000001</v>
      </c>
      <c r="AF2959">
        <v>-12.089934240201099</v>
      </c>
      <c r="AG2959">
        <v>5.8545559999999996</v>
      </c>
      <c r="AH2959">
        <v>42.049883201631999</v>
      </c>
      <c r="AI2959">
        <v>82.378633968354393</v>
      </c>
      <c r="AJ2959">
        <v>106.04068939099299</v>
      </c>
      <c r="AK2959">
        <v>44.143346193513899</v>
      </c>
      <c r="AL2959">
        <v>91.699051129330499</v>
      </c>
      <c r="AM2959">
        <v>100.355077713404</v>
      </c>
      <c r="AN2959">
        <v>0.99999998472817297</v>
      </c>
    </row>
    <row r="2960" spans="1:40" x14ac:dyDescent="0.25">
      <c r="A2960" t="str">
        <f>"20190305134954321"</f>
        <v>20190305134954321</v>
      </c>
      <c r="B2960" t="str">
        <f>"1551764994313085"</f>
        <v>1551764994313085</v>
      </c>
      <c r="C2960" t="s">
        <v>40</v>
      </c>
      <c r="D2960">
        <v>3.892001</v>
      </c>
      <c r="E2960">
        <v>0.46134730000000002</v>
      </c>
      <c r="F2960" t="s">
        <v>76</v>
      </c>
      <c r="G2960">
        <v>-511.07600000000002</v>
      </c>
      <c r="H2960">
        <v>6.8928619999999903</v>
      </c>
      <c r="I2960">
        <v>258.1003</v>
      </c>
      <c r="J2960">
        <v>-474.38389999999998</v>
      </c>
      <c r="K2960">
        <v>1.1184350000000001</v>
      </c>
      <c r="L2960">
        <v>283.25630000000001</v>
      </c>
      <c r="M2960">
        <v>-0.94880089999999995</v>
      </c>
      <c r="N2960">
        <v>-2.267651E-2</v>
      </c>
      <c r="O2960">
        <v>-0.3150599</v>
      </c>
      <c r="P2960">
        <v>-0.87529889999999999</v>
      </c>
      <c r="Q2960">
        <v>-4.8973900000000001E-2</v>
      </c>
      <c r="R2960">
        <v>-0.48109609999999903</v>
      </c>
      <c r="S2960">
        <v>-2.5079039999999999</v>
      </c>
      <c r="T2960">
        <v>0.39307140000000002</v>
      </c>
      <c r="U2960">
        <v>-1.716064</v>
      </c>
      <c r="V2960">
        <v>-0.1802232</v>
      </c>
      <c r="W2960">
        <v>-2.9974150000000001E-2</v>
      </c>
      <c r="X2960">
        <v>0.98316899999999996</v>
      </c>
      <c r="Y2960">
        <v>-0.2773274</v>
      </c>
      <c r="Z2960">
        <v>-3.3442489999999998E-2</v>
      </c>
      <c r="AA2960">
        <v>0.96019330000000003</v>
      </c>
      <c r="AB2960">
        <v>31</v>
      </c>
      <c r="AC2960">
        <v>-36.692099999999897</v>
      </c>
      <c r="AD2960">
        <v>5.7744269999999904</v>
      </c>
      <c r="AE2960">
        <v>-25.155999999999999</v>
      </c>
      <c r="AF2960">
        <v>-12.1070148774151</v>
      </c>
      <c r="AG2960">
        <v>5.7744269999999904</v>
      </c>
      <c r="AH2960">
        <v>42.041823872511202</v>
      </c>
      <c r="AI2960">
        <v>82.481229879406499</v>
      </c>
      <c r="AJ2960">
        <v>106.065103825177</v>
      </c>
      <c r="AK2960">
        <v>44.129794594440803</v>
      </c>
      <c r="AL2960">
        <v>91.717649443451094</v>
      </c>
      <c r="AM2960">
        <v>100.387479279616</v>
      </c>
      <c r="AN2960">
        <v>1.0000000670237199</v>
      </c>
    </row>
    <row r="2961" spans="1:40" x14ac:dyDescent="0.25">
      <c r="A2961" t="str">
        <f>"20190305134954333"</f>
        <v>20190305134954333</v>
      </c>
      <c r="B2961" t="str">
        <f>"1551764994323822"</f>
        <v>1551764994323822</v>
      </c>
      <c r="C2961" t="s">
        <v>40</v>
      </c>
      <c r="D2961">
        <v>3.9210020000000001</v>
      </c>
      <c r="E2961">
        <v>0.46140239999999999</v>
      </c>
      <c r="F2961" t="s">
        <v>76</v>
      </c>
      <c r="G2961">
        <v>-511.07600000000002</v>
      </c>
      <c r="H2961">
        <v>6.7968640000000002</v>
      </c>
      <c r="I2961">
        <v>257.85930000000002</v>
      </c>
      <c r="J2961">
        <v>-474.51979999999998</v>
      </c>
      <c r="K2961">
        <v>1.1185069999999999</v>
      </c>
      <c r="L2961">
        <v>283.20659999999998</v>
      </c>
      <c r="M2961">
        <v>-0.94740310000000005</v>
      </c>
      <c r="N2961">
        <v>-2.2639599999999999E-2</v>
      </c>
      <c r="O2961">
        <v>-0.31924130000000001</v>
      </c>
      <c r="P2961">
        <v>-0.87286989999999998</v>
      </c>
      <c r="Q2961">
        <v>-4.9620770000000002E-2</v>
      </c>
      <c r="R2961">
        <v>-0.48542380000000002</v>
      </c>
      <c r="S2961">
        <v>-2.4985050000000002</v>
      </c>
      <c r="T2961">
        <v>0.38666899999999998</v>
      </c>
      <c r="U2961">
        <v>-1.7293700000000001</v>
      </c>
      <c r="V2961">
        <v>-0.18074799999999999</v>
      </c>
      <c r="W2961">
        <v>-3.070229E-2</v>
      </c>
      <c r="X2961">
        <v>0.98305010000000004</v>
      </c>
      <c r="Y2961">
        <v>-0.27824330000000003</v>
      </c>
      <c r="Z2961">
        <v>-3.3648530000000003E-2</v>
      </c>
      <c r="AA2961">
        <v>0.95992109999999997</v>
      </c>
      <c r="AB2961">
        <v>31</v>
      </c>
      <c r="AC2961">
        <v>-36.556199999999897</v>
      </c>
      <c r="AD2961">
        <v>5.6783570000000001</v>
      </c>
      <c r="AE2961">
        <v>-25.347299999999901</v>
      </c>
      <c r="AF2961">
        <v>-12.1490653216865</v>
      </c>
      <c r="AG2961">
        <v>5.6783570000000001</v>
      </c>
      <c r="AH2961">
        <v>42.051120254844903</v>
      </c>
      <c r="AI2961">
        <v>82.608364232263298</v>
      </c>
      <c r="AJ2961">
        <v>106.114630419552</v>
      </c>
      <c r="AK2961">
        <v>44.137741685517597</v>
      </c>
      <c r="AL2961">
        <v>91.759388148176299</v>
      </c>
      <c r="AM2961">
        <v>100.418298151035</v>
      </c>
      <c r="AN2961">
        <v>0.99999998461262696</v>
      </c>
    </row>
    <row r="2962" spans="1:40" x14ac:dyDescent="0.25">
      <c r="A2962" t="str">
        <f>"20190305134954345"</f>
        <v>20190305134954345</v>
      </c>
      <c r="B2962" t="str">
        <f>"1551764994333581"</f>
        <v>1551764994333581</v>
      </c>
      <c r="C2962" t="s">
        <v>40</v>
      </c>
      <c r="D2962">
        <v>3.9129119999999999</v>
      </c>
      <c r="E2962">
        <v>0.46142300000000003</v>
      </c>
      <c r="F2962" t="s">
        <v>76</v>
      </c>
      <c r="G2962">
        <v>-511.07589999999999</v>
      </c>
      <c r="H2962">
        <v>6.6817719999999996</v>
      </c>
      <c r="I2962">
        <v>257.63839999999999</v>
      </c>
      <c r="J2962">
        <v>-474.67559999999997</v>
      </c>
      <c r="K2962">
        <v>1.118595</v>
      </c>
      <c r="L2962">
        <v>283.14859999999999</v>
      </c>
      <c r="M2962">
        <v>-0.94574139999999995</v>
      </c>
      <c r="N2962">
        <v>-2.26021E-2</v>
      </c>
      <c r="O2962">
        <v>-0.32413330000000001</v>
      </c>
      <c r="P2962">
        <v>-0.87000949999999899</v>
      </c>
      <c r="Q2962">
        <v>-4.997886E-2</v>
      </c>
      <c r="R2962">
        <v>-0.49049569999999998</v>
      </c>
      <c r="S2962">
        <v>-2.4899900000000001</v>
      </c>
      <c r="T2962">
        <v>0.37894030000000001</v>
      </c>
      <c r="U2962">
        <v>-1.741547</v>
      </c>
      <c r="V2962">
        <v>-0.18138109999999999</v>
      </c>
      <c r="W2962">
        <v>-3.115012E-2</v>
      </c>
      <c r="X2962">
        <v>0.9829194</v>
      </c>
      <c r="Y2962">
        <v>-0.27798430000000002</v>
      </c>
      <c r="Z2962">
        <v>-3.3923179999999997E-2</v>
      </c>
      <c r="AA2962">
        <v>0.95998640000000002</v>
      </c>
      <c r="AB2962">
        <v>31</v>
      </c>
      <c r="AC2962">
        <v>-36.400300000000001</v>
      </c>
      <c r="AD2962">
        <v>5.5631769999999996</v>
      </c>
      <c r="AE2962">
        <v>-25.510200000000001</v>
      </c>
      <c r="AF2962">
        <v>-12.140479482894699</v>
      </c>
      <c r="AG2962">
        <v>5.5631769999999996</v>
      </c>
      <c r="AH2962">
        <v>42.046255732680599</v>
      </c>
      <c r="AI2962">
        <v>82.7555324573257</v>
      </c>
      <c r="AJ2962">
        <v>106.105599165169</v>
      </c>
      <c r="AK2962">
        <v>44.116071918813098</v>
      </c>
      <c r="AL2962">
        <v>91.7850591870491</v>
      </c>
      <c r="AM2962">
        <v>100.455346250329</v>
      </c>
      <c r="AN2962">
        <v>0.99999999015479202</v>
      </c>
    </row>
    <row r="2963" spans="1:40" x14ac:dyDescent="0.25">
      <c r="A2963" t="str">
        <f>"20190305134954371"</f>
        <v>20190305134954371</v>
      </c>
      <c r="B2963" t="str">
        <f>"1551764994363837"</f>
        <v>1551764994363837</v>
      </c>
      <c r="C2963" t="s">
        <v>40</v>
      </c>
      <c r="D2963">
        <v>4.1164180000000004</v>
      </c>
      <c r="E2963">
        <v>0.4615802</v>
      </c>
      <c r="F2963" t="s">
        <v>76</v>
      </c>
      <c r="G2963">
        <v>-511.07589999999999</v>
      </c>
      <c r="H2963">
        <v>6.6016830000000004</v>
      </c>
      <c r="I2963">
        <v>257.38279999999997</v>
      </c>
      <c r="J2963">
        <v>-474.9914</v>
      </c>
      <c r="K2963">
        <v>1.1187769999999999</v>
      </c>
      <c r="L2963">
        <v>283.02800000000002</v>
      </c>
      <c r="M2963">
        <v>-0.94218460000000004</v>
      </c>
      <c r="N2963">
        <v>-2.2536629999999998E-2</v>
      </c>
      <c r="O2963">
        <v>-0.33433610000000002</v>
      </c>
      <c r="P2963">
        <v>-0.86415540000000002</v>
      </c>
      <c r="Q2963">
        <v>-5.0433209999999999E-2</v>
      </c>
      <c r="R2963">
        <v>-0.50069209999999997</v>
      </c>
      <c r="S2963">
        <v>-2.4800110000000002</v>
      </c>
      <c r="T2963">
        <v>0.37357560000000001</v>
      </c>
      <c r="U2963">
        <v>-1.755463</v>
      </c>
      <c r="V2963">
        <v>-0.1823003</v>
      </c>
      <c r="W2963">
        <v>-3.1771510000000003E-2</v>
      </c>
      <c r="X2963">
        <v>0.98272939999999998</v>
      </c>
      <c r="Y2963">
        <v>-0.27309689999999998</v>
      </c>
      <c r="Z2963">
        <v>-3.5335060000000001E-2</v>
      </c>
      <c r="AA2963">
        <v>0.96133729999999995</v>
      </c>
      <c r="AB2963">
        <v>31</v>
      </c>
      <c r="AC2963">
        <v>-36.084499999999899</v>
      </c>
      <c r="AD2963">
        <v>5.4829059999999998</v>
      </c>
      <c r="AE2963">
        <v>-25.645199999999999</v>
      </c>
      <c r="AF2963">
        <v>-11.918408006665601</v>
      </c>
      <c r="AG2963">
        <v>5.4829059999999998</v>
      </c>
      <c r="AH2963">
        <v>41.939839455118403</v>
      </c>
      <c r="AI2963">
        <v>82.832482320475407</v>
      </c>
      <c r="AJ2963">
        <v>105.86401923726901</v>
      </c>
      <c r="AK2963">
        <v>43.943837351092697</v>
      </c>
      <c r="AL2963">
        <v>91.820679916576694</v>
      </c>
      <c r="AM2963">
        <v>100.50914077093699</v>
      </c>
      <c r="AN2963">
        <v>0.99999995092606297</v>
      </c>
    </row>
    <row r="2964" spans="1:40" x14ac:dyDescent="0.25">
      <c r="A2964" t="str">
        <f>"20190305134954384"</f>
        <v>20190305134954384</v>
      </c>
      <c r="B2964" t="str">
        <f>"1551764994373597"</f>
        <v>1551764994373597</v>
      </c>
      <c r="C2964" t="s">
        <v>40</v>
      </c>
      <c r="D2964">
        <v>3.9131300000000002</v>
      </c>
      <c r="E2964">
        <v>0.46176299999999998</v>
      </c>
      <c r="F2964" t="s">
        <v>76</v>
      </c>
      <c r="G2964">
        <v>-511.07589999999999</v>
      </c>
      <c r="H2964">
        <v>6.4637169999999999</v>
      </c>
      <c r="I2964">
        <v>256.86290000000002</v>
      </c>
      <c r="J2964">
        <v>-475.15550000000002</v>
      </c>
      <c r="K2964">
        <v>1.118876</v>
      </c>
      <c r="L2964">
        <v>282.9633</v>
      </c>
      <c r="M2964">
        <v>-0.94021540000000003</v>
      </c>
      <c r="N2964">
        <v>-2.2509970000000001E-2</v>
      </c>
      <c r="O2964">
        <v>-0.33983590000000002</v>
      </c>
      <c r="P2964">
        <v>-0.85938250000000005</v>
      </c>
      <c r="Q2964">
        <v>-5.157639E-2</v>
      </c>
      <c r="R2964">
        <v>-0.50872569999999995</v>
      </c>
      <c r="S2964">
        <v>-2.4595340000000001</v>
      </c>
      <c r="T2964">
        <v>0.36431740000000001</v>
      </c>
      <c r="U2964">
        <v>-1.78341699999999</v>
      </c>
      <c r="V2964">
        <v>-0.1857065</v>
      </c>
      <c r="W2964">
        <v>-3.3067579999999999E-2</v>
      </c>
      <c r="X2964">
        <v>0.9820487</v>
      </c>
      <c r="Y2964">
        <v>-0.27840860000000001</v>
      </c>
      <c r="Z2964">
        <v>-3.526485E-2</v>
      </c>
      <c r="AA2964">
        <v>0.95981510000000003</v>
      </c>
      <c r="AB2964">
        <v>30</v>
      </c>
      <c r="AC2964">
        <v>-35.920399999999901</v>
      </c>
      <c r="AD2964">
        <v>5.3448409999999997</v>
      </c>
      <c r="AE2964">
        <v>-26.100399999999901</v>
      </c>
      <c r="AF2964">
        <v>-12.1598834940431</v>
      </c>
      <c r="AG2964">
        <v>5.3448409999999997</v>
      </c>
      <c r="AH2964">
        <v>42.0443440234381</v>
      </c>
      <c r="AI2964">
        <v>83.037565526578902</v>
      </c>
      <c r="AJ2964">
        <v>106.130698153898</v>
      </c>
      <c r="AK2964">
        <v>44.092595254364497</v>
      </c>
      <c r="AL2964">
        <v>91.894978211231702</v>
      </c>
      <c r="AM2964">
        <v>100.70825080887199</v>
      </c>
      <c r="AN2964">
        <v>1.0000000090804899</v>
      </c>
    </row>
    <row r="2965" spans="1:40" x14ac:dyDescent="0.25">
      <c r="A2965" t="str">
        <f>"20190305134954397"</f>
        <v>20190305134954397</v>
      </c>
      <c r="B2965" t="str">
        <f>"1551764994393117"</f>
        <v>1551764994393117</v>
      </c>
      <c r="C2965" t="s">
        <v>40</v>
      </c>
      <c r="D2965">
        <v>3.9035980000000001</v>
      </c>
      <c r="E2965">
        <v>0.46222350000000001</v>
      </c>
      <c r="F2965" t="s">
        <v>76</v>
      </c>
      <c r="G2965">
        <v>-511.07580000000002</v>
      </c>
      <c r="H2965">
        <v>6.3691319999999996</v>
      </c>
      <c r="I2965">
        <v>256.41449999999998</v>
      </c>
      <c r="J2965">
        <v>-475.31950000000001</v>
      </c>
      <c r="K2965">
        <v>1.1189789999999999</v>
      </c>
      <c r="L2965">
        <v>282.89760000000001</v>
      </c>
      <c r="M2965">
        <v>-0.9381796</v>
      </c>
      <c r="N2965">
        <v>-2.2491549999999999E-2</v>
      </c>
      <c r="O2965">
        <v>-0.34541729999999998</v>
      </c>
      <c r="P2965">
        <v>-0.85556369999999904</v>
      </c>
      <c r="Q2965">
        <v>-5.1658570000000001E-2</v>
      </c>
      <c r="R2965">
        <v>-0.51511390000000001</v>
      </c>
      <c r="S2965">
        <v>-2.443298</v>
      </c>
      <c r="T2965">
        <v>0.357126</v>
      </c>
      <c r="U2965">
        <v>-1.805847</v>
      </c>
      <c r="V2965">
        <v>-0.1871765</v>
      </c>
      <c r="W2965">
        <v>-3.324717E-2</v>
      </c>
      <c r="X2965">
        <v>0.98176350000000001</v>
      </c>
      <c r="Y2965">
        <v>-0.28144150000000001</v>
      </c>
      <c r="Z2965">
        <v>-3.5435710000000002E-2</v>
      </c>
      <c r="AA2965">
        <v>0.95892390000000005</v>
      </c>
      <c r="AB2965">
        <v>30</v>
      </c>
      <c r="AC2965">
        <v>-35.756300000000003</v>
      </c>
      <c r="AD2965">
        <v>5.2501529999999903</v>
      </c>
      <c r="AE2965">
        <v>-26.4831</v>
      </c>
      <c r="AF2965">
        <v>-12.3266080878499</v>
      </c>
      <c r="AG2965">
        <v>5.2501529999999903</v>
      </c>
      <c r="AH2965">
        <v>42.117981304068202</v>
      </c>
      <c r="AI2965">
        <v>83.177839438809102</v>
      </c>
      <c r="AJ2965">
        <v>106.313093149514</v>
      </c>
      <c r="AK2965">
        <v>44.1976664837036</v>
      </c>
      <c r="AL2965">
        <v>91.905273651467596</v>
      </c>
      <c r="AM2965">
        <v>100.79409265293</v>
      </c>
      <c r="AN2965">
        <v>0.99999999319875399</v>
      </c>
    </row>
    <row r="2966" spans="1:40" x14ac:dyDescent="0.25">
      <c r="A2966" t="str">
        <f>"20190305134954410"</f>
        <v>20190305134954410</v>
      </c>
      <c r="B2966" t="str">
        <f>"1551764994403852"</f>
        <v>1551764994403852</v>
      </c>
      <c r="C2966" t="s">
        <v>40</v>
      </c>
      <c r="D2966">
        <v>3.9585689999999998</v>
      </c>
      <c r="E2966">
        <v>0.46244479999999999</v>
      </c>
      <c r="F2966" t="s">
        <v>76</v>
      </c>
      <c r="G2966">
        <v>-511.07580000000002</v>
      </c>
      <c r="H2966">
        <v>6.3214180000000004</v>
      </c>
      <c r="I2966">
        <v>256.11869999999999</v>
      </c>
      <c r="J2966">
        <v>-475.47609999999997</v>
      </c>
      <c r="K2966">
        <v>1.119073</v>
      </c>
      <c r="L2966">
        <v>282.834</v>
      </c>
      <c r="M2966">
        <v>-0.93617510000000004</v>
      </c>
      <c r="N2966">
        <v>-2.247942E-2</v>
      </c>
      <c r="O2966">
        <v>-0.35081479999999998</v>
      </c>
      <c r="P2966">
        <v>-0.85169150000000005</v>
      </c>
      <c r="Q2966">
        <v>-5.1598110000000003E-2</v>
      </c>
      <c r="R2966">
        <v>-0.52149729999999905</v>
      </c>
      <c r="S2966">
        <v>-2.4314580000000001</v>
      </c>
      <c r="T2966">
        <v>0.35377320000000001</v>
      </c>
      <c r="U2966">
        <v>-1.8209839999999999</v>
      </c>
      <c r="V2966">
        <v>-0.1888543</v>
      </c>
      <c r="W2966">
        <v>-3.3280440000000001E-2</v>
      </c>
      <c r="X2966">
        <v>0.98144100000000001</v>
      </c>
      <c r="Y2966">
        <v>-0.28200219999999998</v>
      </c>
      <c r="Z2966">
        <v>-3.5951530000000002E-2</v>
      </c>
      <c r="AA2966">
        <v>0.95873989999999998</v>
      </c>
      <c r="AB2966">
        <v>30</v>
      </c>
      <c r="AC2966">
        <v>-35.599699999999999</v>
      </c>
      <c r="AD2966">
        <v>5.2023449999999896</v>
      </c>
      <c r="AE2966">
        <v>-26.715299999999999</v>
      </c>
      <c r="AF2966">
        <v>-12.3556618663194</v>
      </c>
      <c r="AG2966">
        <v>5.2023449999999896</v>
      </c>
      <c r="AH2966">
        <v>42.134832330856497</v>
      </c>
      <c r="AI2966">
        <v>83.243097419333296</v>
      </c>
      <c r="AJ2966">
        <v>106.343302129642</v>
      </c>
      <c r="AK2966">
        <v>44.216183340528602</v>
      </c>
      <c r="AL2966">
        <v>91.907180952427595</v>
      </c>
      <c r="AM2966">
        <v>100.892037471788</v>
      </c>
      <c r="AN2966">
        <v>0.99999998539804102</v>
      </c>
    </row>
    <row r="2967" spans="1:40" x14ac:dyDescent="0.25">
      <c r="A2967" t="str">
        <f>"20190305134954422"</f>
        <v>20190305134954422</v>
      </c>
      <c r="B2967" t="str">
        <f>"1551764994413613"</f>
        <v>1551764994413613</v>
      </c>
      <c r="C2967" t="s">
        <v>40</v>
      </c>
      <c r="D2967">
        <v>3.9459059999999999</v>
      </c>
      <c r="E2967">
        <v>0.46268369999999998</v>
      </c>
      <c r="F2967" t="s">
        <v>76</v>
      </c>
      <c r="G2967">
        <v>-511.07580000000002</v>
      </c>
      <c r="H2967">
        <v>6.2937320000000003</v>
      </c>
      <c r="I2967">
        <v>255.79660000000001</v>
      </c>
      <c r="J2967">
        <v>-475.62860000000001</v>
      </c>
      <c r="K2967">
        <v>1.1191690000000001</v>
      </c>
      <c r="L2967">
        <v>282.7704</v>
      </c>
      <c r="M2967">
        <v>-0.93412550000000005</v>
      </c>
      <c r="N2967">
        <v>-2.2474319999999999E-2</v>
      </c>
      <c r="O2967">
        <v>-0.35623640000000001</v>
      </c>
      <c r="P2967">
        <v>-0.84766319999999995</v>
      </c>
      <c r="Q2967">
        <v>-5.1497580000000001E-2</v>
      </c>
      <c r="R2967">
        <v>-0.52802950000000004</v>
      </c>
      <c r="S2967">
        <v>-2.4188839999999998</v>
      </c>
      <c r="T2967">
        <v>0.35160520000000001</v>
      </c>
      <c r="U2967">
        <v>-1.837097</v>
      </c>
      <c r="V2967">
        <v>-0.19069929999999999</v>
      </c>
      <c r="W2967">
        <v>-3.3272030000000001E-2</v>
      </c>
      <c r="X2967">
        <v>0.98108450000000003</v>
      </c>
      <c r="Y2967">
        <v>-0.28291650000000002</v>
      </c>
      <c r="Z2967">
        <v>-3.6530819999999999E-2</v>
      </c>
      <c r="AA2967">
        <v>0.95844859999999998</v>
      </c>
      <c r="AB2967">
        <v>30</v>
      </c>
      <c r="AC2967">
        <v>-35.447200000000002</v>
      </c>
      <c r="AD2967">
        <v>5.174563</v>
      </c>
      <c r="AE2967">
        <v>-26.973799999999901</v>
      </c>
      <c r="AF2967">
        <v>-12.405095741812101</v>
      </c>
      <c r="AG2967">
        <v>5.174563</v>
      </c>
      <c r="AH2967">
        <v>42.162971313883098</v>
      </c>
      <c r="AI2967">
        <v>83.285052338318906</v>
      </c>
      <c r="AJ2967">
        <v>106.39482050727401</v>
      </c>
      <c r="AK2967">
        <v>44.253572201798796</v>
      </c>
      <c r="AL2967">
        <v>91.906698755100507</v>
      </c>
      <c r="AM2967">
        <v>100.999763175431</v>
      </c>
      <c r="AN2967">
        <v>1.00000002357053</v>
      </c>
    </row>
    <row r="2968" spans="1:40" x14ac:dyDescent="0.25">
      <c r="A2968" t="str">
        <f>"20190305134954436"</f>
        <v>20190305134954436</v>
      </c>
      <c r="B2968" t="str">
        <f>"1551764994423373"</f>
        <v>1551764994423373</v>
      </c>
      <c r="C2968" t="s">
        <v>40</v>
      </c>
      <c r="D2968">
        <v>3.9552969999999998</v>
      </c>
      <c r="E2968">
        <v>0.46285900000000002</v>
      </c>
      <c r="F2968" t="s">
        <v>76</v>
      </c>
      <c r="G2968">
        <v>-511.07580000000002</v>
      </c>
      <c r="H2968">
        <v>6.2738950000000004</v>
      </c>
      <c r="I2968">
        <v>255.46440000000001</v>
      </c>
      <c r="J2968">
        <v>-475.77749999999997</v>
      </c>
      <c r="K2968">
        <v>1.119267</v>
      </c>
      <c r="L2968">
        <v>282.70740000000001</v>
      </c>
      <c r="M2968">
        <v>-0.93206219999999995</v>
      </c>
      <c r="N2968">
        <v>-2.2474480000000002E-2</v>
      </c>
      <c r="O2968">
        <v>-0.36160110000000001</v>
      </c>
      <c r="P2968">
        <v>-0.84347249999999996</v>
      </c>
      <c r="Q2968">
        <v>-5.172583E-2</v>
      </c>
      <c r="R2968">
        <v>-0.53467629999999999</v>
      </c>
      <c r="S2968">
        <v>-2.4059140000000001</v>
      </c>
      <c r="T2968">
        <v>0.3498713</v>
      </c>
      <c r="U2968">
        <v>-1.8533329999999999</v>
      </c>
      <c r="V2968">
        <v>-0.19276090000000001</v>
      </c>
      <c r="W2968">
        <v>-3.3593680000000001E-2</v>
      </c>
      <c r="X2968">
        <v>0.98067059999999995</v>
      </c>
      <c r="Y2968">
        <v>-0.28398559999999901</v>
      </c>
      <c r="Z2968">
        <v>-3.7123589999999998E-2</v>
      </c>
      <c r="AA2968">
        <v>0.95810960000000001</v>
      </c>
      <c r="AB2968">
        <v>30</v>
      </c>
      <c r="AC2968">
        <v>-35.298299999999998</v>
      </c>
      <c r="AD2968">
        <v>5.1546279999999998</v>
      </c>
      <c r="AE2968">
        <v>-27.242999999999899</v>
      </c>
      <c r="AF2968">
        <v>-12.4648704444585</v>
      </c>
      <c r="AG2968">
        <v>5.1546279999999998</v>
      </c>
      <c r="AH2968">
        <v>42.198154707135501</v>
      </c>
      <c r="AI2968">
        <v>83.318317327872293</v>
      </c>
      <c r="AJ2968">
        <v>106.456560436209</v>
      </c>
      <c r="AK2968">
        <v>44.301551278740298</v>
      </c>
      <c r="AL2968">
        <v>91.925138174974194</v>
      </c>
      <c r="AM2968">
        <v>101.120307038341</v>
      </c>
      <c r="AN2968">
        <v>1.00000006280455</v>
      </c>
    </row>
    <row r="2969" spans="1:40" x14ac:dyDescent="0.25">
      <c r="A2969" t="str">
        <f>"20190305134954448"</f>
        <v>20190305134954448</v>
      </c>
      <c r="B2969" t="str">
        <f>"1551764994443870"</f>
        <v>1551764994443870</v>
      </c>
      <c r="C2969" t="s">
        <v>40</v>
      </c>
      <c r="D2969">
        <v>3.9333770000000001</v>
      </c>
      <c r="E2969">
        <v>0.46326319999999999</v>
      </c>
      <c r="F2969" t="s">
        <v>76</v>
      </c>
      <c r="G2969">
        <v>-511.07580000000002</v>
      </c>
      <c r="H2969">
        <v>6.2439470000000004</v>
      </c>
      <c r="I2969">
        <v>255.10140000000001</v>
      </c>
      <c r="J2969">
        <v>-475.93610000000001</v>
      </c>
      <c r="K2969">
        <v>1.1193679999999999</v>
      </c>
      <c r="L2969">
        <v>282.63929999999999</v>
      </c>
      <c r="M2969">
        <v>-0.92979040000000002</v>
      </c>
      <c r="N2969">
        <v>-2.2481370000000001E-2</v>
      </c>
      <c r="O2969">
        <v>-0.36740270000000003</v>
      </c>
      <c r="P2969">
        <v>-0.83888680000000004</v>
      </c>
      <c r="Q2969">
        <v>-5.1556070000000002E-2</v>
      </c>
      <c r="R2969">
        <v>-0.54185919999999999</v>
      </c>
      <c r="S2969">
        <v>-2.3921199999999998</v>
      </c>
      <c r="T2969">
        <v>0.34729670000000001</v>
      </c>
      <c r="U2969">
        <v>-1.870819</v>
      </c>
      <c r="V2969">
        <v>-0.19501099999999999</v>
      </c>
      <c r="W2969">
        <v>-3.3519880000000002E-2</v>
      </c>
      <c r="X2969">
        <v>0.98022810000000005</v>
      </c>
      <c r="Y2969">
        <v>-0.28506169999999997</v>
      </c>
      <c r="Z2969">
        <v>-3.7710689999999998E-2</v>
      </c>
      <c r="AA2969">
        <v>0.95776709999999998</v>
      </c>
      <c r="AB2969">
        <v>30</v>
      </c>
      <c r="AC2969">
        <v>-35.139699999999998</v>
      </c>
      <c r="AD2969">
        <v>5.1245789999999998</v>
      </c>
      <c r="AE2969">
        <v>-27.537899999999901</v>
      </c>
      <c r="AF2969">
        <v>-12.532139271491401</v>
      </c>
      <c r="AG2969">
        <v>5.1245789999999998</v>
      </c>
      <c r="AH2969">
        <v>42.244259081113498</v>
      </c>
      <c r="AI2969">
        <v>83.366377499887093</v>
      </c>
      <c r="AJ2969">
        <v>106.523463220823</v>
      </c>
      <c r="AK2969">
        <v>44.360942843446601</v>
      </c>
      <c r="AL2969">
        <v>91.920907484172801</v>
      </c>
      <c r="AM2969">
        <v>101.25177158629999</v>
      </c>
      <c r="AN2969">
        <v>1.0000000002529099</v>
      </c>
    </row>
    <row r="2970" spans="1:40" x14ac:dyDescent="0.25">
      <c r="A2970" t="str">
        <f>"20190305134954461"</f>
        <v>20190305134954461</v>
      </c>
      <c r="B2970" t="str">
        <f>"1551764994453629"</f>
        <v>1551764994453629</v>
      </c>
      <c r="C2970" t="s">
        <v>40</v>
      </c>
      <c r="D2970">
        <v>3.9531559999999999</v>
      </c>
      <c r="E2970">
        <v>0.46353480000000002</v>
      </c>
      <c r="F2970" t="s">
        <v>76</v>
      </c>
      <c r="G2970">
        <v>-511.07580000000002</v>
      </c>
      <c r="H2970">
        <v>6.1951150000000004</v>
      </c>
      <c r="I2970">
        <v>254.7406</v>
      </c>
      <c r="J2970">
        <v>-476.084</v>
      </c>
      <c r="K2970">
        <v>1.1194759999999999</v>
      </c>
      <c r="L2970">
        <v>282.57409999999999</v>
      </c>
      <c r="M2970">
        <v>-0.92756870000000002</v>
      </c>
      <c r="N2970">
        <v>-2.2496490000000001E-2</v>
      </c>
      <c r="O2970">
        <v>-0.3729748</v>
      </c>
      <c r="P2970">
        <v>-0.83359280000000002</v>
      </c>
      <c r="Q2970">
        <v>-5.051638E-2</v>
      </c>
      <c r="R2970">
        <v>-0.55006499999999903</v>
      </c>
      <c r="S2970">
        <v>-2.3778380000000001</v>
      </c>
      <c r="T2970">
        <v>0.34347</v>
      </c>
      <c r="U2970">
        <v>-1.887848</v>
      </c>
      <c r="V2970">
        <v>-0.1987324</v>
      </c>
      <c r="W2970">
        <v>-3.26047E-2</v>
      </c>
      <c r="X2970">
        <v>0.97951129999999997</v>
      </c>
      <c r="Y2970">
        <v>-0.2863328</v>
      </c>
      <c r="Z2970">
        <v>-3.8160230000000003E-2</v>
      </c>
      <c r="AA2970">
        <v>0.95737000000000005</v>
      </c>
      <c r="AB2970">
        <v>30</v>
      </c>
      <c r="AC2970">
        <v>-34.991799999999998</v>
      </c>
      <c r="AD2970">
        <v>5.0756389999999998</v>
      </c>
      <c r="AE2970">
        <v>-27.833499999999901</v>
      </c>
      <c r="AF2970">
        <v>-12.6071909915521</v>
      </c>
      <c r="AG2970">
        <v>5.0756389999999998</v>
      </c>
      <c r="AH2970">
        <v>42.304177379997299</v>
      </c>
      <c r="AI2970">
        <v>83.440803133079996</v>
      </c>
      <c r="AJ2970">
        <v>106.59473591813401</v>
      </c>
      <c r="AK2970">
        <v>44.4336224018937</v>
      </c>
      <c r="AL2970">
        <v>91.868442829760596</v>
      </c>
      <c r="AM2970">
        <v>101.469023396731</v>
      </c>
      <c r="AN2970">
        <v>1.0000000100497699</v>
      </c>
    </row>
    <row r="2971" spans="1:40" x14ac:dyDescent="0.25">
      <c r="A2971" t="str">
        <f>"20190305134954473"</f>
        <v>20190305134954473</v>
      </c>
      <c r="B2971" t="str">
        <f>"1551764994463390"</f>
        <v>1551764994463390</v>
      </c>
      <c r="C2971" t="s">
        <v>40</v>
      </c>
      <c r="D2971">
        <v>4.1041869999999996</v>
      </c>
      <c r="E2971">
        <v>0.46353480000000002</v>
      </c>
      <c r="F2971" t="s">
        <v>76</v>
      </c>
      <c r="G2971">
        <v>-511.07580000000002</v>
      </c>
      <c r="H2971">
        <v>6.2330800000000002</v>
      </c>
      <c r="I2971">
        <v>254.27209999999999</v>
      </c>
      <c r="J2971">
        <v>-476.22919999999999</v>
      </c>
      <c r="K2971">
        <v>1.1195820000000001</v>
      </c>
      <c r="L2971">
        <v>282.5093</v>
      </c>
      <c r="M2971">
        <v>-0.92532420000000004</v>
      </c>
      <c r="N2971">
        <v>-2.2513160000000001E-2</v>
      </c>
      <c r="O2971">
        <v>-0.37850810000000001</v>
      </c>
      <c r="P2971">
        <v>-0.82947320000000002</v>
      </c>
      <c r="Q2971">
        <v>-5.0013490000000001E-2</v>
      </c>
      <c r="R2971">
        <v>-0.55630329999999995</v>
      </c>
      <c r="S2971">
        <v>-2.3601679999999998</v>
      </c>
      <c r="T2971">
        <v>0.34491189999999999</v>
      </c>
      <c r="U2971">
        <v>-1.908936</v>
      </c>
      <c r="V2971">
        <v>-0.20022029999999999</v>
      </c>
      <c r="W2971">
        <v>-3.2170980000000002E-2</v>
      </c>
      <c r="X2971">
        <v>0.97922260000000005</v>
      </c>
      <c r="Y2971">
        <v>-0.28932059999999998</v>
      </c>
      <c r="Z2971">
        <v>-3.893104E-2</v>
      </c>
      <c r="AA2971">
        <v>0.95644030000000002</v>
      </c>
      <c r="AB2971">
        <v>30</v>
      </c>
      <c r="AC2971">
        <v>-34.846600000000002</v>
      </c>
      <c r="AD2971">
        <v>5.1134979999999999</v>
      </c>
      <c r="AE2971">
        <v>-28.237200000000001</v>
      </c>
      <c r="AF2971">
        <v>-12.7760557246177</v>
      </c>
      <c r="AG2971">
        <v>5.1134979999999999</v>
      </c>
      <c r="AH2971">
        <v>42.392262530610203</v>
      </c>
      <c r="AI2971">
        <v>83.411962122945695</v>
      </c>
      <c r="AJ2971">
        <v>106.771602183756</v>
      </c>
      <c r="AK2971">
        <v>44.569938121324803</v>
      </c>
      <c r="AL2971">
        <v>91.843579441289506</v>
      </c>
      <c r="AM2971">
        <v>101.55590557966499</v>
      </c>
      <c r="AN2971">
        <v>1.0000000204185</v>
      </c>
    </row>
    <row r="2972" spans="1:40" x14ac:dyDescent="0.25">
      <c r="A2972" t="str">
        <f>"20190305134954486"</f>
        <v>20190305134954486</v>
      </c>
      <c r="B2972" t="str">
        <f>"1551764994473150"</f>
        <v>1551764994473150</v>
      </c>
      <c r="C2972" t="s">
        <v>40</v>
      </c>
      <c r="D2972">
        <v>3.9371659999999999</v>
      </c>
      <c r="E2972">
        <v>0.4638139</v>
      </c>
      <c r="F2972" t="s">
        <v>76</v>
      </c>
      <c r="G2972">
        <v>-511.07580000000002</v>
      </c>
      <c r="H2972">
        <v>6.2660780000000003</v>
      </c>
      <c r="I2972">
        <v>253.8913</v>
      </c>
      <c r="J2972">
        <v>-476.39069999999998</v>
      </c>
      <c r="K2972">
        <v>1.1197079999999999</v>
      </c>
      <c r="L2972">
        <v>282.43579999999997</v>
      </c>
      <c r="M2972">
        <v>-0.92272290000000001</v>
      </c>
      <c r="N2972">
        <v>-2.2536049999999998E-2</v>
      </c>
      <c r="O2972">
        <v>-0.3848046</v>
      </c>
      <c r="P2972">
        <v>-0.82515879999999997</v>
      </c>
      <c r="Q2972">
        <v>-4.9409830000000002E-2</v>
      </c>
      <c r="R2972">
        <v>-0.56273600000000001</v>
      </c>
      <c r="S2972">
        <v>-2.3456419999999998</v>
      </c>
      <c r="T2972">
        <v>0.34643089999999999</v>
      </c>
      <c r="U2972">
        <v>-1.926361</v>
      </c>
      <c r="V2972">
        <v>-0.2011501</v>
      </c>
      <c r="W2972">
        <v>-3.1625250000000001E-2</v>
      </c>
      <c r="X2972">
        <v>0.97904979999999997</v>
      </c>
      <c r="Y2972">
        <v>-0.28999930000000002</v>
      </c>
      <c r="Z2972">
        <v>-3.9925450000000001E-2</v>
      </c>
      <c r="AA2972">
        <v>0.95619370000000004</v>
      </c>
      <c r="AB2972">
        <v>29</v>
      </c>
      <c r="AC2972">
        <v>-34.685099999999998</v>
      </c>
      <c r="AD2972">
        <v>5.1463700000000001</v>
      </c>
      <c r="AE2972">
        <v>-28.5444999999999</v>
      </c>
      <c r="AF2972">
        <v>-12.8266228539559</v>
      </c>
      <c r="AG2972">
        <v>5.1463700000000001</v>
      </c>
      <c r="AH2972">
        <v>42.442632710838303</v>
      </c>
      <c r="AI2972">
        <v>83.379298856137694</v>
      </c>
      <c r="AJ2972">
        <v>106.81538503958301</v>
      </c>
      <c r="AK2972">
        <v>44.636133898912497</v>
      </c>
      <c r="AL2972">
        <v>91.812295505968194</v>
      </c>
      <c r="AM2972">
        <v>101.610109793931</v>
      </c>
      <c r="AN2972">
        <v>1.0000000150238</v>
      </c>
    </row>
    <row r="2973" spans="1:40" x14ac:dyDescent="0.25">
      <c r="A2973" t="str">
        <f>"20190305134954498"</f>
        <v>20190305134954498</v>
      </c>
      <c r="B2973" t="str">
        <f>"1551764994493644"</f>
        <v>1551764994493644</v>
      </c>
      <c r="C2973" t="s">
        <v>40</v>
      </c>
      <c r="D2973">
        <v>3.9066350000000001</v>
      </c>
      <c r="E2973">
        <v>0.46421780000000001</v>
      </c>
      <c r="F2973" t="s">
        <v>76</v>
      </c>
      <c r="G2973">
        <v>-511.07580000000002</v>
      </c>
      <c r="H2973">
        <v>6.2733970000000001</v>
      </c>
      <c r="I2973">
        <v>253.53039999999999</v>
      </c>
      <c r="J2973">
        <v>-476.5188</v>
      </c>
      <c r="K2973">
        <v>1.1198090000000001</v>
      </c>
      <c r="L2973">
        <v>282.37619999999998</v>
      </c>
      <c r="M2973">
        <v>-0.92057650000000002</v>
      </c>
      <c r="N2973">
        <v>-2.2561600000000001E-2</v>
      </c>
      <c r="O2973">
        <v>-0.38990999999999998</v>
      </c>
      <c r="P2973">
        <v>-0.82182429999999995</v>
      </c>
      <c r="Q2973">
        <v>-4.8999830000000001E-2</v>
      </c>
      <c r="R2973">
        <v>-0.56762999999999997</v>
      </c>
      <c r="S2973">
        <v>-2.3313600000000001</v>
      </c>
      <c r="T2973">
        <v>0.34640919999999997</v>
      </c>
      <c r="U2973">
        <v>-1.942871</v>
      </c>
      <c r="V2973">
        <v>-0.20153760000000001</v>
      </c>
      <c r="W2973">
        <v>-3.124532E-2</v>
      </c>
      <c r="X2973">
        <v>0.97898229999999997</v>
      </c>
      <c r="Y2973">
        <v>-0.29160560000000002</v>
      </c>
      <c r="Z2973">
        <v>-4.0593009999999999E-2</v>
      </c>
      <c r="AA2973">
        <v>0.95567690000000005</v>
      </c>
      <c r="AB2973">
        <v>29</v>
      </c>
      <c r="AC2973">
        <v>-34.557000000000002</v>
      </c>
      <c r="AD2973">
        <v>5.1535880000000001</v>
      </c>
      <c r="AE2973">
        <v>-28.845800000000001</v>
      </c>
      <c r="AF2973">
        <v>-12.914696140785599</v>
      </c>
      <c r="AG2973">
        <v>5.1535880000000001</v>
      </c>
      <c r="AH2973">
        <v>42.513345497466098</v>
      </c>
      <c r="AI2973">
        <v>83.383881169400397</v>
      </c>
      <c r="AJ2973">
        <v>106.897722579584</v>
      </c>
      <c r="AK2973">
        <v>44.729558359875298</v>
      </c>
      <c r="AL2973">
        <v>91.790516368000496</v>
      </c>
      <c r="AM2973">
        <v>101.632646982336</v>
      </c>
      <c r="AN2973">
        <v>1.0000000089744701</v>
      </c>
    </row>
    <row r="2974" spans="1:40" x14ac:dyDescent="0.25">
      <c r="A2974" t="str">
        <f>"20190305134954510"</f>
        <v>20190305134954510</v>
      </c>
      <c r="B2974" t="str">
        <f>"1551764994503405"</f>
        <v>1551764994503405</v>
      </c>
      <c r="C2974" t="s">
        <v>40</v>
      </c>
      <c r="D2974">
        <v>4.0893699999999997</v>
      </c>
      <c r="E2974">
        <v>0.46421780000000001</v>
      </c>
      <c r="F2974" t="s">
        <v>76</v>
      </c>
      <c r="G2974">
        <v>-511.07580000000002</v>
      </c>
      <c r="H2974">
        <v>6.2584770000000001</v>
      </c>
      <c r="I2974">
        <v>253.27809999999999</v>
      </c>
      <c r="J2974">
        <v>-476.66300000000001</v>
      </c>
      <c r="K2974">
        <v>1.119918</v>
      </c>
      <c r="L2974">
        <v>282.30849999999998</v>
      </c>
      <c r="M2974">
        <v>-0.918103</v>
      </c>
      <c r="N2974">
        <v>-2.2592609999999999E-2</v>
      </c>
      <c r="O2974">
        <v>-0.39569749999999998</v>
      </c>
      <c r="P2974">
        <v>-0.81810309999999997</v>
      </c>
      <c r="Q2974">
        <v>-4.8844600000000002E-2</v>
      </c>
      <c r="R2974">
        <v>-0.57299350000000004</v>
      </c>
      <c r="S2974">
        <v>-2.3211059999999999</v>
      </c>
      <c r="T2974">
        <v>0.34515489999999999</v>
      </c>
      <c r="U2974">
        <v>-1.954437</v>
      </c>
      <c r="V2974">
        <v>-0.20177</v>
      </c>
      <c r="W2974">
        <v>-3.1116970000000001E-2</v>
      </c>
      <c r="X2974">
        <v>0.97893850000000004</v>
      </c>
      <c r="Y2974">
        <v>-0.29049009999999997</v>
      </c>
      <c r="Z2974">
        <v>-4.1378650000000003E-2</v>
      </c>
      <c r="AA2974">
        <v>0.95598289999999997</v>
      </c>
      <c r="AB2974">
        <v>29</v>
      </c>
      <c r="AC2974">
        <v>-34.412799999999997</v>
      </c>
      <c r="AD2974">
        <v>5.1385589999999999</v>
      </c>
      <c r="AE2974">
        <v>-29.030399999999901</v>
      </c>
      <c r="AF2974">
        <v>-12.871495632359601</v>
      </c>
      <c r="AG2974">
        <v>5.1385589999999999</v>
      </c>
      <c r="AH2974">
        <v>42.5386201248091</v>
      </c>
      <c r="AI2974">
        <v>83.404719434417302</v>
      </c>
      <c r="AJ2974">
        <v>106.834962656394</v>
      </c>
      <c r="AK2974">
        <v>44.739405343982298</v>
      </c>
      <c r="AL2974">
        <v>91.783158906116498</v>
      </c>
      <c r="AM2974">
        <v>101.646201608038</v>
      </c>
      <c r="AN2974">
        <v>0.99999999275211504</v>
      </c>
    </row>
    <row r="2975" spans="1:40" x14ac:dyDescent="0.25">
      <c r="A2975" t="str">
        <f>"20190305134954520"</f>
        <v>20190305134954520</v>
      </c>
      <c r="B2975" t="str">
        <f>"1551764994513165"</f>
        <v>1551764994513165</v>
      </c>
      <c r="C2975" t="s">
        <v>40</v>
      </c>
      <c r="D2975">
        <v>3.894317</v>
      </c>
      <c r="E2975">
        <v>0.46464670000000002</v>
      </c>
      <c r="F2975" t="s">
        <v>76</v>
      </c>
      <c r="G2975">
        <v>-511.07580000000002</v>
      </c>
      <c r="H2975">
        <v>6.2683600000000004</v>
      </c>
      <c r="I2975">
        <v>252.94370000000001</v>
      </c>
      <c r="J2975">
        <v>-476.79239999999999</v>
      </c>
      <c r="K2975">
        <v>1.1200209999999999</v>
      </c>
      <c r="L2975">
        <v>282.24599999999998</v>
      </c>
      <c r="M2975">
        <v>-0.91577430000000004</v>
      </c>
      <c r="N2975">
        <v>-2.262662E-2</v>
      </c>
      <c r="O2975">
        <v>-0.40105540000000001</v>
      </c>
      <c r="P2975">
        <v>-0.8147219</v>
      </c>
      <c r="Q2975">
        <v>-4.8635110000000002E-2</v>
      </c>
      <c r="R2975">
        <v>-0.57780859999999901</v>
      </c>
      <c r="S2975">
        <v>-2.3081670000000001</v>
      </c>
      <c r="T2975">
        <v>0.34532400000000002</v>
      </c>
      <c r="U2975">
        <v>-1.9695739999999999</v>
      </c>
      <c r="V2975">
        <v>-0.201817</v>
      </c>
      <c r="W2975">
        <v>-3.0921089999999998E-2</v>
      </c>
      <c r="X2975">
        <v>0.97893509999999995</v>
      </c>
      <c r="Y2975">
        <v>-0.291211</v>
      </c>
      <c r="Z2975">
        <v>-4.213857E-2</v>
      </c>
      <c r="AA2975">
        <v>0.95573039999999998</v>
      </c>
      <c r="AB2975">
        <v>29</v>
      </c>
      <c r="AC2975">
        <v>-34.2834</v>
      </c>
      <c r="AD2975">
        <v>5.148339</v>
      </c>
      <c r="AE2975">
        <v>-29.302299999999899</v>
      </c>
      <c r="AF2975">
        <v>-12.9197402779513</v>
      </c>
      <c r="AG2975">
        <v>5.148339</v>
      </c>
      <c r="AH2975">
        <v>42.603571546537097</v>
      </c>
      <c r="AI2975">
        <v>83.403480344809694</v>
      </c>
      <c r="AJ2975">
        <v>106.870182288571</v>
      </c>
      <c r="AK2975">
        <v>44.816173328716403</v>
      </c>
      <c r="AL2975">
        <v>91.771930263879895</v>
      </c>
      <c r="AM2975">
        <v>101.64887967569901</v>
      </c>
      <c r="AN2975">
        <v>1.00000007265389</v>
      </c>
    </row>
    <row r="2976" spans="1:40" x14ac:dyDescent="0.25">
      <c r="A2976" t="str">
        <f>"20190305134954532"</f>
        <v>20190305134954532</v>
      </c>
      <c r="B2976" t="str">
        <f>"1551764994523901"</f>
        <v>1551764994523901</v>
      </c>
      <c r="C2976" t="s">
        <v>40</v>
      </c>
      <c r="D2976">
        <v>4.0956739999999998</v>
      </c>
      <c r="E2976">
        <v>0.46464670000000002</v>
      </c>
      <c r="F2976" t="s">
        <v>76</v>
      </c>
      <c r="G2976">
        <v>-511.07580000000002</v>
      </c>
      <c r="H2976">
        <v>6.2540190000000004</v>
      </c>
      <c r="I2976">
        <v>252.6969</v>
      </c>
      <c r="J2976">
        <v>-476.9135</v>
      </c>
      <c r="K2976">
        <v>1.1201110000000001</v>
      </c>
      <c r="L2976">
        <v>282.18709999999999</v>
      </c>
      <c r="M2976">
        <v>-0.91355090000000005</v>
      </c>
      <c r="N2976">
        <v>-2.2658379999999999E-2</v>
      </c>
      <c r="O2976">
        <v>-0.40609309999999998</v>
      </c>
      <c r="P2976">
        <v>-0.81142569999999903</v>
      </c>
      <c r="Q2976">
        <v>-4.8498819999999998E-2</v>
      </c>
      <c r="R2976">
        <v>-0.58243999999999996</v>
      </c>
      <c r="S2976">
        <v>-2.298035</v>
      </c>
      <c r="T2976">
        <v>0.34413850000000001</v>
      </c>
      <c r="U2976">
        <v>-1.9806820000000001</v>
      </c>
      <c r="V2976">
        <v>-0.20199420000000001</v>
      </c>
      <c r="W2976">
        <v>-3.080078E-2</v>
      </c>
      <c r="X2976">
        <v>0.9789023</v>
      </c>
      <c r="Y2976">
        <v>-0.29070759999999901</v>
      </c>
      <c r="Z2976">
        <v>-4.279235E-2</v>
      </c>
      <c r="AA2976">
        <v>0.95585450000000005</v>
      </c>
      <c r="AB2976">
        <v>29</v>
      </c>
      <c r="AC2976">
        <v>-34.162300000000002</v>
      </c>
      <c r="AD2976">
        <v>5.1339079999999999</v>
      </c>
      <c r="AE2976">
        <v>-29.490199999999898</v>
      </c>
      <c r="AF2976">
        <v>-12.9040891025428</v>
      </c>
      <c r="AG2976">
        <v>5.1339079999999999</v>
      </c>
      <c r="AH2976">
        <v>42.644002727565997</v>
      </c>
      <c r="AI2976">
        <v>83.426807408563903</v>
      </c>
      <c r="AJ2976">
        <v>106.835832158523</v>
      </c>
      <c r="AK2976">
        <v>44.848450313778798</v>
      </c>
      <c r="AL2976">
        <v>91.765033801465805</v>
      </c>
      <c r="AM2976">
        <v>101.65920773031699</v>
      </c>
      <c r="AN2976">
        <v>1.0000000289137601</v>
      </c>
    </row>
    <row r="2977" spans="1:40" x14ac:dyDescent="0.25">
      <c r="A2977" t="str">
        <f>"20190305134954543"</f>
        <v>20190305134954543</v>
      </c>
      <c r="B2977" t="str">
        <f>"1551764994533661"</f>
        <v>1551764994533661</v>
      </c>
      <c r="C2977" t="s">
        <v>40</v>
      </c>
      <c r="D2977">
        <v>4.0725259999999999</v>
      </c>
      <c r="E2977">
        <v>0.47296309999999903</v>
      </c>
      <c r="F2977" t="s">
        <v>76</v>
      </c>
      <c r="G2977">
        <v>-511.07580000000002</v>
      </c>
      <c r="H2977">
        <v>6.2627119999999996</v>
      </c>
      <c r="I2977">
        <v>252.38939999999999</v>
      </c>
      <c r="J2977">
        <v>-477.04090000000002</v>
      </c>
      <c r="K2977">
        <v>1.120201</v>
      </c>
      <c r="L2977">
        <v>282.12369999999999</v>
      </c>
      <c r="M2977">
        <v>-0.91112099999999996</v>
      </c>
      <c r="N2977">
        <v>-2.2694300000000001E-2</v>
      </c>
      <c r="O2977">
        <v>-0.41151399999999999</v>
      </c>
      <c r="P2977">
        <v>-0.80775160000000001</v>
      </c>
      <c r="Q2977">
        <v>-4.8209000000000002E-2</v>
      </c>
      <c r="R2977">
        <v>-0.58754899999999999</v>
      </c>
      <c r="S2977">
        <v>-2.2863159999999998</v>
      </c>
      <c r="T2977">
        <v>0.34417209999999998</v>
      </c>
      <c r="U2977">
        <v>-1.994202</v>
      </c>
      <c r="V2977">
        <v>-0.20234779999999999</v>
      </c>
      <c r="W2977">
        <v>-3.0528090000000001E-2</v>
      </c>
      <c r="X2977">
        <v>0.97883779999999998</v>
      </c>
      <c r="Y2977">
        <v>-0.29069990000000001</v>
      </c>
      <c r="Z2977">
        <v>-4.3581979999999999E-2</v>
      </c>
      <c r="AA2977">
        <v>0.95582120000000004</v>
      </c>
      <c r="AB2977">
        <v>29</v>
      </c>
      <c r="AC2977">
        <v>-34.034899999999901</v>
      </c>
      <c r="AD2977">
        <v>5.1425109999999998</v>
      </c>
      <c r="AE2977">
        <v>-29.734299999999902</v>
      </c>
      <c r="AF2977">
        <v>-12.9217712151558</v>
      </c>
      <c r="AG2977">
        <v>5.1425109999999998</v>
      </c>
      <c r="AH2977">
        <v>42.704212489941703</v>
      </c>
      <c r="AI2977">
        <v>83.425068235744305</v>
      </c>
      <c r="AJ2977">
        <v>106.835171639366</v>
      </c>
      <c r="AK2977">
        <v>44.9117730122965</v>
      </c>
      <c r="AL2977">
        <v>91.749402484733295</v>
      </c>
      <c r="AM2977">
        <v>101.67980593682699</v>
      </c>
      <c r="AN2977">
        <v>1.0000000175763599</v>
      </c>
    </row>
    <row r="2978" spans="1:40" x14ac:dyDescent="0.25">
      <c r="A2978" t="str">
        <f>"20190305134954556"</f>
        <v>20190305134954556</v>
      </c>
      <c r="B2978" t="str">
        <f>"1551764994543421"</f>
        <v>1551764994543421</v>
      </c>
      <c r="C2978" t="s">
        <v>40</v>
      </c>
      <c r="D2978">
        <v>4.029992</v>
      </c>
      <c r="E2978">
        <v>0.47229910000000003</v>
      </c>
      <c r="F2978" t="s">
        <v>62</v>
      </c>
      <c r="G2978">
        <v>-487.51319999999998</v>
      </c>
      <c r="H2978" s="1">
        <v>1.0836159999999999E-6</v>
      </c>
      <c r="I2978">
        <v>273.29509999999999</v>
      </c>
      <c r="J2978">
        <v>-477.1721</v>
      </c>
      <c r="K2978">
        <v>1.1202939999999999</v>
      </c>
      <c r="L2978">
        <v>282.05759999999998</v>
      </c>
      <c r="M2978">
        <v>-0.90854539999999995</v>
      </c>
      <c r="N2978">
        <v>-2.2731359999999999E-2</v>
      </c>
      <c r="O2978">
        <v>-0.41716730000000002</v>
      </c>
      <c r="P2978">
        <v>-0.80390410000000001</v>
      </c>
      <c r="Q2978">
        <v>-4.8293490000000001E-2</v>
      </c>
      <c r="R2978">
        <v>-0.59279530000000002</v>
      </c>
      <c r="S2978">
        <v>-2.2931520000000001</v>
      </c>
      <c r="T2978">
        <v>-0.2452927</v>
      </c>
      <c r="U2978">
        <v>-1.9332279999999999</v>
      </c>
      <c r="V2978">
        <v>-0.20263239999999999</v>
      </c>
      <c r="W2978">
        <v>-3.0627740000000001E-2</v>
      </c>
      <c r="X2978">
        <v>0.97877579999999997</v>
      </c>
      <c r="Y2978">
        <v>-0.26633319999999999</v>
      </c>
      <c r="Z2978">
        <v>1.171613E-2</v>
      </c>
      <c r="AA2978">
        <v>0.96380980000000005</v>
      </c>
      <c r="AB2978">
        <v>29</v>
      </c>
      <c r="AC2978">
        <v>-10.3410999999999</v>
      </c>
      <c r="AD2978">
        <v>-1.1202929163840001</v>
      </c>
      <c r="AE2978">
        <v>-8.7624999999999797</v>
      </c>
      <c r="AF2978">
        <v>-3.6233504904582698</v>
      </c>
      <c r="AG2978">
        <v>-1.1202929163840001</v>
      </c>
      <c r="AH2978">
        <v>12.965587652727301</v>
      </c>
      <c r="AI2978">
        <v>94.757004092306502</v>
      </c>
      <c r="AJ2978">
        <v>105.61350025229601</v>
      </c>
      <c r="AK2978">
        <v>13.5088929293173</v>
      </c>
      <c r="AL2978">
        <v>91.755114698160398</v>
      </c>
      <c r="AM2978">
        <v>101.696501655178</v>
      </c>
      <c r="AN2978">
        <v>1.0000000073264499</v>
      </c>
    </row>
    <row r="2979" spans="1:40" x14ac:dyDescent="0.25">
      <c r="A2979" t="str">
        <f>"20190305134954568"</f>
        <v>20190305134954568</v>
      </c>
      <c r="B2979" t="str">
        <f>"1551764994563918"</f>
        <v>1551764994563918</v>
      </c>
      <c r="C2979" t="s">
        <v>40</v>
      </c>
      <c r="D2979">
        <v>4.0047439999999996</v>
      </c>
      <c r="E2979">
        <v>0.446218</v>
      </c>
      <c r="F2979" t="s">
        <v>62</v>
      </c>
      <c r="G2979">
        <v>-487.46730000000002</v>
      </c>
      <c r="H2979" s="1">
        <v>1.0567180000000001E-6</v>
      </c>
      <c r="I2979">
        <v>273.23050000000001</v>
      </c>
      <c r="J2979">
        <v>-477.31849999999997</v>
      </c>
      <c r="K2979">
        <v>1.1203920000000001</v>
      </c>
      <c r="L2979">
        <v>281.98250000000002</v>
      </c>
      <c r="M2979">
        <v>-0.90557710000000002</v>
      </c>
      <c r="N2979">
        <v>-2.277293E-2</v>
      </c>
      <c r="O2979">
        <v>-0.42357030000000001</v>
      </c>
      <c r="P2979">
        <v>-0.79947939999999995</v>
      </c>
      <c r="Q2979">
        <v>-4.7988210000000003E-2</v>
      </c>
      <c r="R2979">
        <v>-0.59877360000000002</v>
      </c>
      <c r="S2979">
        <v>-2.277161</v>
      </c>
      <c r="T2979">
        <v>-0.24779370000000001</v>
      </c>
      <c r="U2979">
        <v>-1.952423</v>
      </c>
      <c r="V2979">
        <v>-0.20301449999999999</v>
      </c>
      <c r="W2979">
        <v>-3.033949E-2</v>
      </c>
      <c r="X2979">
        <v>0.97870559999999995</v>
      </c>
      <c r="Y2979">
        <v>-0.26756039999999998</v>
      </c>
      <c r="Z2979">
        <v>1.229836E-2</v>
      </c>
      <c r="AA2979">
        <v>0.96346259999999995</v>
      </c>
      <c r="AB2979">
        <v>29</v>
      </c>
      <c r="AC2979">
        <v>-10.1488</v>
      </c>
      <c r="AD2979">
        <v>-1.1203909432820001</v>
      </c>
      <c r="AE2979">
        <v>-8.7520000000000095</v>
      </c>
      <c r="AF2979">
        <v>-3.6026403247469498</v>
      </c>
      <c r="AG2979">
        <v>-1.1203909432820001</v>
      </c>
      <c r="AH2979">
        <v>12.8114071950405</v>
      </c>
      <c r="AI2979">
        <v>94.812229824831107</v>
      </c>
      <c r="AJ2979">
        <v>105.706283984756</v>
      </c>
      <c r="AK2979">
        <v>13.355390203674901</v>
      </c>
      <c r="AL2979">
        <v>91.738591503353106</v>
      </c>
      <c r="AM2979">
        <v>101.718765427035</v>
      </c>
      <c r="AN2979">
        <v>1.0000000116675301</v>
      </c>
    </row>
    <row r="2980" spans="1:40" x14ac:dyDescent="0.25">
      <c r="A2980" t="str">
        <f>"20190305134954582"</f>
        <v>20190305134954582</v>
      </c>
      <c r="B2980" t="str">
        <f>"1551764994573678"</f>
        <v>1551764994573678</v>
      </c>
      <c r="C2980" t="s">
        <v>40</v>
      </c>
      <c r="D2980">
        <v>3.8243680000000002</v>
      </c>
      <c r="E2980">
        <v>0.446218</v>
      </c>
      <c r="F2980" t="s">
        <v>76</v>
      </c>
      <c r="G2980">
        <v>-511.07560000000001</v>
      </c>
      <c r="H2980">
        <v>5.7977069999999999</v>
      </c>
      <c r="I2980">
        <v>248.19980000000001</v>
      </c>
      <c r="J2980">
        <v>-477.47059999999999</v>
      </c>
      <c r="K2980">
        <v>1.1204970000000001</v>
      </c>
      <c r="L2980">
        <v>281.90249999999997</v>
      </c>
      <c r="M2980">
        <v>-0.90235169999999998</v>
      </c>
      <c r="N2980">
        <v>-2.2817489999999999E-2</v>
      </c>
      <c r="O2980">
        <v>-0.43039620000000001</v>
      </c>
      <c r="P2980">
        <v>-0.79485969999999995</v>
      </c>
      <c r="Q2980">
        <v>-4.7961030000000002E-2</v>
      </c>
      <c r="R2980">
        <v>-0.60489510000000002</v>
      </c>
      <c r="S2980">
        <v>-2.15509</v>
      </c>
      <c r="T2980">
        <v>0.29860759999999997</v>
      </c>
      <c r="U2980">
        <v>-2.1567080000000001</v>
      </c>
      <c r="V2980">
        <v>-0.20313220000000001</v>
      </c>
      <c r="W2980">
        <v>-3.0320130000000001E-2</v>
      </c>
      <c r="X2980">
        <v>0.97868169999999999</v>
      </c>
      <c r="Y2980">
        <v>-0.33560299999999998</v>
      </c>
      <c r="Z2980">
        <v>-4.0149629999999999E-2</v>
      </c>
      <c r="AA2980">
        <v>0.94114750000000003</v>
      </c>
      <c r="AB2980">
        <v>29</v>
      </c>
      <c r="AC2980">
        <v>-33.604999999999997</v>
      </c>
      <c r="AD2980">
        <v>4.6772099999999996</v>
      </c>
      <c r="AE2980">
        <v>-33.702699999999901</v>
      </c>
      <c r="AF2980">
        <v>-15.7997871817374</v>
      </c>
      <c r="AG2980">
        <v>4.6772099999999996</v>
      </c>
      <c r="AH2980">
        <v>44.411799217127999</v>
      </c>
      <c r="AI2980">
        <v>84.333508199846804</v>
      </c>
      <c r="AJ2980">
        <v>109.583347368544</v>
      </c>
      <c r="AK2980">
        <v>47.370006101696703</v>
      </c>
      <c r="AL2980">
        <v>91.737481879014993</v>
      </c>
      <c r="AM2980">
        <v>101.725649872109</v>
      </c>
      <c r="AN2980">
        <v>0.99999993543747101</v>
      </c>
    </row>
    <row r="2981" spans="1:40" x14ac:dyDescent="0.25">
      <c r="A2981" t="str">
        <f>"20190305134954595"</f>
        <v>20190305134954595</v>
      </c>
      <c r="B2981" t="str">
        <f>"1551764994583513"</f>
        <v>1551764994583513</v>
      </c>
      <c r="C2981" t="s">
        <v>40</v>
      </c>
      <c r="D2981">
        <v>3.9725519999999999</v>
      </c>
      <c r="E2981">
        <v>0.446218</v>
      </c>
      <c r="F2981" t="s">
        <v>76</v>
      </c>
      <c r="G2981">
        <v>-511.07569999999998</v>
      </c>
      <c r="H2981">
        <v>5.8170970000000004</v>
      </c>
      <c r="I2981">
        <v>247.7602</v>
      </c>
      <c r="J2981">
        <v>-477.61189999999999</v>
      </c>
      <c r="K2981">
        <v>1.120592</v>
      </c>
      <c r="L2981">
        <v>281.827</v>
      </c>
      <c r="M2981">
        <v>-0.89925650000000001</v>
      </c>
      <c r="N2981">
        <v>-2.2859029999999999E-2</v>
      </c>
      <c r="O2981">
        <v>-0.4368244</v>
      </c>
      <c r="P2981">
        <v>-0.79003619999999997</v>
      </c>
      <c r="Q2981">
        <v>-4.851279E-2</v>
      </c>
      <c r="R2981">
        <v>-0.61113809999999902</v>
      </c>
      <c r="S2981">
        <v>-2.1387019999999999</v>
      </c>
      <c r="T2981">
        <v>0.29890559999999899</v>
      </c>
      <c r="U2981">
        <v>-2.172882</v>
      </c>
      <c r="V2981">
        <v>-0.20385329999999999</v>
      </c>
      <c r="W2981">
        <v>-3.089687E-2</v>
      </c>
      <c r="X2981">
        <v>0.97851379999999999</v>
      </c>
      <c r="Y2981">
        <v>-0.3360243</v>
      </c>
      <c r="Z2981">
        <v>-4.0999649999999999E-2</v>
      </c>
      <c r="AA2981">
        <v>0.94096049999999998</v>
      </c>
      <c r="AB2981">
        <v>29</v>
      </c>
      <c r="AC2981">
        <v>-33.4637999999999</v>
      </c>
      <c r="AD2981">
        <v>4.6965050000000002</v>
      </c>
      <c r="AE2981">
        <v>-34.066800000000001</v>
      </c>
      <c r="AF2981">
        <v>-15.8676885950502</v>
      </c>
      <c r="AG2981">
        <v>4.6965050000000002</v>
      </c>
      <c r="AH2981">
        <v>44.554537455978902</v>
      </c>
      <c r="AI2981">
        <v>84.329078137961702</v>
      </c>
      <c r="AJ2981">
        <v>109.60288899541</v>
      </c>
      <c r="AK2981">
        <v>47.528386344170499</v>
      </c>
      <c r="AL2981">
        <v>91.770541988959593</v>
      </c>
      <c r="AM2981">
        <v>101.76807895628301</v>
      </c>
      <c r="AN2981">
        <v>1.00000002064356</v>
      </c>
    </row>
    <row r="2982" spans="1:40" x14ac:dyDescent="0.25">
      <c r="A2982" t="str">
        <f>"20190305134954606"</f>
        <v>20190305134954606</v>
      </c>
      <c r="B2982" t="str">
        <f>"1551764994603034"</f>
        <v>1551764994603034</v>
      </c>
      <c r="C2982" t="s">
        <v>40</v>
      </c>
      <c r="D2982">
        <v>3.9508429999999999</v>
      </c>
      <c r="E2982">
        <v>0.446218</v>
      </c>
      <c r="F2982" t="s">
        <v>76</v>
      </c>
      <c r="G2982">
        <v>-511.07560000000001</v>
      </c>
      <c r="H2982">
        <v>5.8136169999999998</v>
      </c>
      <c r="I2982">
        <v>247.30289999999999</v>
      </c>
      <c r="J2982">
        <v>-477.74299999999999</v>
      </c>
      <c r="K2982">
        <v>1.120681</v>
      </c>
      <c r="L2982">
        <v>281.75580000000002</v>
      </c>
      <c r="M2982">
        <v>-0.8962869</v>
      </c>
      <c r="N2982">
        <v>-2.2898100000000001E-2</v>
      </c>
      <c r="O2982">
        <v>-0.44288319999999998</v>
      </c>
      <c r="P2982">
        <v>-0.78534440000000005</v>
      </c>
      <c r="Q2982">
        <v>-4.9061790000000001E-2</v>
      </c>
      <c r="R2982">
        <v>-0.61711199999999999</v>
      </c>
      <c r="S2982">
        <v>-2.1220699999999999</v>
      </c>
      <c r="T2982">
        <v>0.29760720000000002</v>
      </c>
      <c r="U2982">
        <v>-2.1893009999999999</v>
      </c>
      <c r="V2982">
        <v>-0.20466609999999999</v>
      </c>
      <c r="W2982">
        <v>-3.1473040000000001E-2</v>
      </c>
      <c r="X2982">
        <v>0.97832569999999996</v>
      </c>
      <c r="Y2982">
        <v>-0.33690330000000002</v>
      </c>
      <c r="Z2982">
        <v>-4.1636640000000003E-2</v>
      </c>
      <c r="AA2982">
        <v>0.94061819999999896</v>
      </c>
      <c r="AB2982">
        <v>28</v>
      </c>
      <c r="AC2982">
        <v>-33.3325999999999</v>
      </c>
      <c r="AD2982">
        <v>4.6929360000000004</v>
      </c>
      <c r="AE2982">
        <v>-34.4529</v>
      </c>
      <c r="AF2982">
        <v>-15.9684264550888</v>
      </c>
      <c r="AG2982">
        <v>4.6929360000000004</v>
      </c>
      <c r="AH2982">
        <v>44.717466397828503</v>
      </c>
      <c r="AI2982">
        <v>84.355567386121095</v>
      </c>
      <c r="AJ2982">
        <v>109.651440818823</v>
      </c>
      <c r="AK2982">
        <v>47.714422272438703</v>
      </c>
      <c r="AL2982">
        <v>91.803570253251394</v>
      </c>
      <c r="AM2982">
        <v>101.815891856946</v>
      </c>
      <c r="AN2982">
        <v>0.99999997000827001</v>
      </c>
    </row>
    <row r="2983" spans="1:40" x14ac:dyDescent="0.25">
      <c r="A2983" t="str">
        <f>"20190305134954618"</f>
        <v>20190305134954618</v>
      </c>
      <c r="B2983" t="str">
        <f>"1551764994613769"</f>
        <v>1551764994613769</v>
      </c>
      <c r="C2983" t="s">
        <v>40</v>
      </c>
      <c r="D2983">
        <v>3.9196589999999998</v>
      </c>
      <c r="E2983">
        <v>0.37550709999999998</v>
      </c>
      <c r="F2983" t="s">
        <v>76</v>
      </c>
      <c r="G2983">
        <v>-511.07560000000001</v>
      </c>
      <c r="H2983">
        <v>5.8058259999999997</v>
      </c>
      <c r="I2983">
        <v>246.83969999999999</v>
      </c>
      <c r="J2983">
        <v>-477.86430000000001</v>
      </c>
      <c r="K2983">
        <v>1.1207609999999999</v>
      </c>
      <c r="L2983">
        <v>281.6884</v>
      </c>
      <c r="M2983">
        <v>-0.89343249999999996</v>
      </c>
      <c r="N2983">
        <v>-2.2935839999999999E-2</v>
      </c>
      <c r="O2983">
        <v>-0.44861190000000001</v>
      </c>
      <c r="P2983">
        <v>-0.78062679999999995</v>
      </c>
      <c r="Q2983">
        <v>-4.9323850000000002E-2</v>
      </c>
      <c r="R2983">
        <v>-0.62304850000000001</v>
      </c>
      <c r="S2983">
        <v>-2.1054379999999999</v>
      </c>
      <c r="T2983">
        <v>0.29593740000000002</v>
      </c>
      <c r="U2983">
        <v>-2.205444</v>
      </c>
      <c r="V2983">
        <v>-0.20581440000000001</v>
      </c>
      <c r="W2983">
        <v>-3.1769480000000003E-2</v>
      </c>
      <c r="X2983">
        <v>0.97807520000000003</v>
      </c>
      <c r="Y2983">
        <v>-0.338043599999999</v>
      </c>
      <c r="Z2983">
        <v>-4.2182699999999997E-2</v>
      </c>
      <c r="AA2983">
        <v>0.94018469999999998</v>
      </c>
      <c r="AB2983">
        <v>28</v>
      </c>
      <c r="AC2983">
        <v>-33.211299999999902</v>
      </c>
      <c r="AD2983">
        <v>4.6850649999999998</v>
      </c>
      <c r="AE2983">
        <v>-34.848700000000001</v>
      </c>
      <c r="AF2983">
        <v>-16.087867536354</v>
      </c>
      <c r="AG2983">
        <v>4.6850649999999998</v>
      </c>
      <c r="AH2983">
        <v>44.892305676550997</v>
      </c>
      <c r="AI2983">
        <v>84.389024940679505</v>
      </c>
      <c r="AJ2983">
        <v>109.715943589855</v>
      </c>
      <c r="AK2983">
        <v>47.9175168897387</v>
      </c>
      <c r="AL2983">
        <v>91.820563490837799</v>
      </c>
      <c r="AM2983">
        <v>101.883263463456</v>
      </c>
      <c r="AN2983">
        <v>0.99999998198093498</v>
      </c>
    </row>
    <row r="2984" spans="1:40" x14ac:dyDescent="0.25">
      <c r="A2984" t="str">
        <f>"20190305134954629"</f>
        <v>20190305134954629</v>
      </c>
      <c r="B2984" t="str">
        <f>"1551764994623529"</f>
        <v>1551764994623529</v>
      </c>
      <c r="C2984" t="s">
        <v>40</v>
      </c>
      <c r="D2984">
        <v>3.913748</v>
      </c>
      <c r="E2984">
        <v>0.37689220000000001</v>
      </c>
      <c r="F2984" t="s">
        <v>42</v>
      </c>
      <c r="G2984">
        <v>-497.53660000000002</v>
      </c>
      <c r="H2984" s="1">
        <v>-2.8183120000000001E-6</v>
      </c>
      <c r="I2984">
        <v>251.48419999999999</v>
      </c>
      <c r="J2984">
        <v>-477.98829999999998</v>
      </c>
      <c r="K2984">
        <v>1.1208389999999999</v>
      </c>
      <c r="L2984">
        <v>281.6189</v>
      </c>
      <c r="M2984">
        <v>-0.89045169999999996</v>
      </c>
      <c r="N2984">
        <v>-2.2974189999999999E-2</v>
      </c>
      <c r="O2984">
        <v>-0.45449790000000001</v>
      </c>
      <c r="P2984">
        <v>-0.77569589999999999</v>
      </c>
      <c r="Q2984">
        <v>-4.9672880000000003E-2</v>
      </c>
      <c r="R2984">
        <v>-0.62914939999999997</v>
      </c>
      <c r="S2984">
        <v>-1.724091</v>
      </c>
      <c r="T2984">
        <v>-9.8223920000000006E-2</v>
      </c>
      <c r="U2984">
        <v>-2.6470950000000002</v>
      </c>
      <c r="V2984">
        <v>-0.2070224</v>
      </c>
      <c r="W2984">
        <v>-3.2155309999999999E-2</v>
      </c>
      <c r="X2984">
        <v>0.9778076</v>
      </c>
      <c r="Y2984">
        <v>-0.49781510000000001</v>
      </c>
      <c r="Z2984">
        <v>-9.1541379999999992E-3</v>
      </c>
      <c r="AA2984">
        <v>0.86723490000000003</v>
      </c>
      <c r="AB2984">
        <v>28</v>
      </c>
      <c r="AC2984">
        <v>-19.548300000000001</v>
      </c>
      <c r="AD2984">
        <v>-1.1208418183119999</v>
      </c>
      <c r="AE2984">
        <v>-30.134699999999999</v>
      </c>
      <c r="AF2984">
        <v>-17.936104630520799</v>
      </c>
      <c r="AG2984">
        <v>-1.1208418183119999</v>
      </c>
      <c r="AH2984">
        <v>31.0809172939117</v>
      </c>
      <c r="AI2984">
        <v>91.789014421730698</v>
      </c>
      <c r="AJ2984">
        <v>119.98828632373301</v>
      </c>
      <c r="AK2984">
        <v>35.9024171265619</v>
      </c>
      <c r="AL2984">
        <v>91.842681244006698</v>
      </c>
      <c r="AM2984">
        <v>101.954187375464</v>
      </c>
      <c r="AN2984">
        <v>0.99999997034035704</v>
      </c>
    </row>
    <row r="2985" spans="1:40" x14ac:dyDescent="0.25">
      <c r="A2985" t="str">
        <f>"20190305134954640"</f>
        <v>20190305134954640</v>
      </c>
      <c r="B2985" t="str">
        <f>"1551764994633289"</f>
        <v>1551764994633289</v>
      </c>
      <c r="C2985" t="s">
        <v>40</v>
      </c>
      <c r="D2985">
        <v>4.0859889999999996</v>
      </c>
      <c r="E2985">
        <v>0.37667060000000002</v>
      </c>
      <c r="F2985" t="s">
        <v>42</v>
      </c>
      <c r="G2985">
        <v>-495.51319999999998</v>
      </c>
      <c r="H2985" s="1">
        <v>-3.5118520000000002E-6</v>
      </c>
      <c r="I2985">
        <v>254.43279999999999</v>
      </c>
      <c r="J2985">
        <v>-478.09469999999999</v>
      </c>
      <c r="K2985">
        <v>1.120906</v>
      </c>
      <c r="L2985">
        <v>281.55759999999998</v>
      </c>
      <c r="M2985">
        <v>-0.88777600000000001</v>
      </c>
      <c r="N2985">
        <v>-2.3007799999999998E-2</v>
      </c>
      <c r="O2985">
        <v>-0.45970050000000001</v>
      </c>
      <c r="P2985">
        <v>-0.77095970000000003</v>
      </c>
      <c r="Q2985">
        <v>-5.0084299999999998E-2</v>
      </c>
      <c r="R2985">
        <v>-0.63491169999999997</v>
      </c>
      <c r="S2985">
        <v>-1.7095340000000001</v>
      </c>
      <c r="T2985">
        <v>-0.109337</v>
      </c>
      <c r="U2985">
        <v>-2.6519780000000002</v>
      </c>
      <c r="V2985">
        <v>-0.20858189999999999</v>
      </c>
      <c r="W2985">
        <v>-3.261389E-2</v>
      </c>
      <c r="X2985">
        <v>0.97746100000000002</v>
      </c>
      <c r="Y2985">
        <v>-0.49677559999999898</v>
      </c>
      <c r="Z2985">
        <v>-8.2706659999999994E-3</v>
      </c>
      <c r="AA2985">
        <v>0.86783960000000004</v>
      </c>
      <c r="AB2985">
        <v>28</v>
      </c>
      <c r="AC2985">
        <v>-17.418499999999899</v>
      </c>
      <c r="AD2985">
        <v>-1.1209095118520001</v>
      </c>
      <c r="AE2985">
        <v>-27.1248</v>
      </c>
      <c r="AF2985">
        <v>-16.058292260657701</v>
      </c>
      <c r="AG2985">
        <v>-1.1209095118520001</v>
      </c>
      <c r="AH2985">
        <v>27.9066630180575</v>
      </c>
      <c r="AI2985">
        <v>91.993891958159296</v>
      </c>
      <c r="AJ2985">
        <v>119.91735398999</v>
      </c>
      <c r="AK2985">
        <v>32.216564516811502</v>
      </c>
      <c r="AL2985">
        <v>91.868969600891802</v>
      </c>
      <c r="AM2985">
        <v>102.04576447591199</v>
      </c>
      <c r="AN2985">
        <v>1.00000004067477</v>
      </c>
    </row>
    <row r="2986" spans="1:40" x14ac:dyDescent="0.25">
      <c r="A2986" t="str">
        <f>"20190305134954650"</f>
        <v>20190305134954650</v>
      </c>
      <c r="B2986" t="str">
        <f>"1551764994643049"</f>
        <v>1551764994643049</v>
      </c>
      <c r="C2986" t="s">
        <v>40</v>
      </c>
      <c r="D2986">
        <v>3.9331390000000002</v>
      </c>
      <c r="E2986">
        <v>0.37766139999999998</v>
      </c>
      <c r="F2986" t="s">
        <v>41</v>
      </c>
      <c r="G2986">
        <v>-478.61470000000003</v>
      </c>
      <c r="H2986">
        <v>1.0704579999999999</v>
      </c>
      <c r="I2986">
        <v>280.73630000000003</v>
      </c>
      <c r="J2986">
        <v>-478.21159999999998</v>
      </c>
      <c r="K2986">
        <v>1.1209800000000001</v>
      </c>
      <c r="L2986">
        <v>281.48989999999998</v>
      </c>
      <c r="M2986">
        <v>-0.88479129999999995</v>
      </c>
      <c r="N2986">
        <v>-2.3043850000000001E-2</v>
      </c>
      <c r="O2986">
        <v>-0.46541719999999998</v>
      </c>
      <c r="P2986">
        <v>-0.76581469999999996</v>
      </c>
      <c r="Q2986">
        <v>-5.0336499999999999E-2</v>
      </c>
      <c r="R2986">
        <v>-0.64108809999999905</v>
      </c>
      <c r="S2986">
        <v>-1.6870419999999999</v>
      </c>
      <c r="T2986">
        <v>-0.1636589</v>
      </c>
      <c r="U2986">
        <v>-2.6636660000000001</v>
      </c>
      <c r="V2986">
        <v>-0.21012749999999999</v>
      </c>
      <c r="W2986">
        <v>-3.2914440000000003E-2</v>
      </c>
      <c r="X2986">
        <v>0.97711979999999998</v>
      </c>
      <c r="Y2986">
        <v>-0.49786770000000002</v>
      </c>
      <c r="Z2986">
        <v>-4.263144E-3</v>
      </c>
      <c r="AA2986">
        <v>0.86724249999999903</v>
      </c>
      <c r="AB2986">
        <v>28</v>
      </c>
      <c r="AC2986">
        <v>-0.40310000000005097</v>
      </c>
      <c r="AD2986">
        <v>-5.05219999999999E-2</v>
      </c>
      <c r="AE2986">
        <v>-0.75359999999994898</v>
      </c>
      <c r="AF2986">
        <v>-0.47762724370517901</v>
      </c>
      <c r="AG2986">
        <v>-5.05219999999999E-2</v>
      </c>
      <c r="AH2986">
        <v>0.70512160415778202</v>
      </c>
      <c r="AI2986">
        <v>93.394911062738601</v>
      </c>
      <c r="AJ2986">
        <v>124.11248013514501</v>
      </c>
      <c r="AK2986">
        <v>0.85315692171103596</v>
      </c>
      <c r="AL2986">
        <v>91.886199145407801</v>
      </c>
      <c r="AM2986">
        <v>102.13649993383601</v>
      </c>
      <c r="AN2986">
        <v>1.0000000150844</v>
      </c>
    </row>
    <row r="2987" spans="1:40" x14ac:dyDescent="0.25">
      <c r="A2987" t="str">
        <f>"20190305134954661"</f>
        <v>20190305134954661</v>
      </c>
      <c r="B2987" t="str">
        <f>"1551764994653785"</f>
        <v>1551764994653785</v>
      </c>
      <c r="C2987" t="s">
        <v>40</v>
      </c>
      <c r="D2987">
        <v>4.2349110000000003</v>
      </c>
      <c r="E2987">
        <v>0.37707740000000001</v>
      </c>
      <c r="F2987" t="s">
        <v>41</v>
      </c>
      <c r="G2987">
        <v>-478.78550000000001</v>
      </c>
      <c r="H2987">
        <v>1.0655950000000001</v>
      </c>
      <c r="I2987">
        <v>280.5727</v>
      </c>
      <c r="J2987">
        <v>-478.32760000000002</v>
      </c>
      <c r="K2987">
        <v>1.1210560000000001</v>
      </c>
      <c r="L2987">
        <v>281.42090000000002</v>
      </c>
      <c r="M2987">
        <v>-0.88169809999999904</v>
      </c>
      <c r="N2987">
        <v>-2.3080839999999998E-2</v>
      </c>
      <c r="O2987">
        <v>-0.47124949999999999</v>
      </c>
      <c r="P2987">
        <v>-0.76033569999999995</v>
      </c>
      <c r="Q2987">
        <v>-5.1067910000000001E-2</v>
      </c>
      <c r="R2987">
        <v>-0.64751999999999998</v>
      </c>
      <c r="S2987">
        <v>-1.6709590000000001</v>
      </c>
      <c r="T2987">
        <v>-0.16123080000000001</v>
      </c>
      <c r="U2987">
        <v>-2.6708980000000002</v>
      </c>
      <c r="V2987">
        <v>-0.2119084</v>
      </c>
      <c r="W2987">
        <v>-3.3702160000000002E-2</v>
      </c>
      <c r="X2987">
        <v>0.97670820000000003</v>
      </c>
      <c r="Y2987">
        <v>-0.49696170000000001</v>
      </c>
      <c r="Z2987">
        <v>-4.1948259999999996E-3</v>
      </c>
      <c r="AA2987">
        <v>0.86776229999999999</v>
      </c>
      <c r="AB2987">
        <v>28</v>
      </c>
      <c r="AC2987">
        <v>-0.45789999999999498</v>
      </c>
      <c r="AD2987">
        <v>-5.5460999999999899E-2</v>
      </c>
      <c r="AE2987">
        <v>-0.84820000000001905</v>
      </c>
      <c r="AF2987">
        <v>-0.53045674243397001</v>
      </c>
      <c r="AG2987">
        <v>-5.5460999999999899E-2</v>
      </c>
      <c r="AH2987">
        <v>0.80100553334035496</v>
      </c>
      <c r="AI2987">
        <v>93.303916761229104</v>
      </c>
      <c r="AJ2987">
        <v>123.514061297734</v>
      </c>
      <c r="AK2987">
        <v>0.96232538289111202</v>
      </c>
      <c r="AL2987">
        <v>91.931357347129406</v>
      </c>
      <c r="AM2987">
        <v>102.241275080924</v>
      </c>
      <c r="AN2987">
        <v>0.99999995676323195</v>
      </c>
    </row>
    <row r="2988" spans="1:40" x14ac:dyDescent="0.25">
      <c r="A2988" t="str">
        <f>"20190305134954673"</f>
        <v>20190305134954673</v>
      </c>
      <c r="B2988" t="str">
        <f>"1551764994663545"</f>
        <v>1551764994663545</v>
      </c>
      <c r="C2988" t="s">
        <v>40</v>
      </c>
      <c r="D2988">
        <v>3.9221879999999998</v>
      </c>
      <c r="E2988">
        <v>0.37770310000000001</v>
      </c>
      <c r="F2988" t="s">
        <v>41</v>
      </c>
      <c r="G2988">
        <v>-478.82119999999998</v>
      </c>
      <c r="H2988">
        <v>1.0699669999999999</v>
      </c>
      <c r="I2988">
        <v>280.61450000000002</v>
      </c>
      <c r="J2988">
        <v>-478.44290000000001</v>
      </c>
      <c r="K2988">
        <v>1.1211279999999999</v>
      </c>
      <c r="L2988">
        <v>281.35180000000003</v>
      </c>
      <c r="M2988">
        <v>-0.8785617</v>
      </c>
      <c r="N2988">
        <v>-2.3118719999999999E-2</v>
      </c>
      <c r="O2988">
        <v>-0.47706900000000002</v>
      </c>
      <c r="P2988">
        <v>-0.75552390000000003</v>
      </c>
      <c r="Q2988">
        <v>-5.1525410000000001E-2</v>
      </c>
      <c r="R2988">
        <v>-0.65309240000000002</v>
      </c>
      <c r="S2988">
        <v>-1.6448670000000001</v>
      </c>
      <c r="T2988">
        <v>-0.1702487</v>
      </c>
      <c r="U2988">
        <v>-2.688202</v>
      </c>
      <c r="V2988">
        <v>-0.2126277</v>
      </c>
      <c r="W2988">
        <v>-3.4183079999999998E-2</v>
      </c>
      <c r="X2988">
        <v>0.97653520000000005</v>
      </c>
      <c r="Y2988">
        <v>-0.49979249999999997</v>
      </c>
      <c r="Z2988">
        <v>-3.423822E-3</v>
      </c>
      <c r="AA2988">
        <v>0.86613839999999997</v>
      </c>
      <c r="AB2988">
        <v>28</v>
      </c>
      <c r="AC2988">
        <v>-0.378299999999967</v>
      </c>
      <c r="AD2988">
        <v>-5.1160999999999998E-2</v>
      </c>
      <c r="AE2988">
        <v>-0.73730000000000395</v>
      </c>
      <c r="AF2988">
        <v>-0.46563848820709502</v>
      </c>
      <c r="AG2988">
        <v>-5.1160999999999998E-2</v>
      </c>
      <c r="AH2988">
        <v>0.68168750931731403</v>
      </c>
      <c r="AI2988">
        <v>93.546240840138594</v>
      </c>
      <c r="AJ2988">
        <v>124.33570780127</v>
      </c>
      <c r="AK2988">
        <v>0.82712424095781001</v>
      </c>
      <c r="AL2988">
        <v>91.958927818538399</v>
      </c>
      <c r="AM2988">
        <v>102.283677345098</v>
      </c>
      <c r="AN2988">
        <v>1.0000000093023</v>
      </c>
    </row>
    <row r="2989" spans="1:40" x14ac:dyDescent="0.25">
      <c r="A2989" t="str">
        <f>"20190305134954684"</f>
        <v>20190305134954684</v>
      </c>
      <c r="B2989" t="str">
        <f>"1551764994673305"</f>
        <v>1551764994673305</v>
      </c>
      <c r="C2989" t="s">
        <v>40</v>
      </c>
      <c r="D2989">
        <v>3.9301059999999999</v>
      </c>
      <c r="E2989">
        <v>0.37835869999999999</v>
      </c>
      <c r="F2989" t="s">
        <v>41</v>
      </c>
      <c r="G2989">
        <v>-478.98790000000002</v>
      </c>
      <c r="H2989">
        <v>1.0629959999999901</v>
      </c>
      <c r="I2989">
        <v>280.44889999999998</v>
      </c>
      <c r="J2989">
        <v>-478.56020000000001</v>
      </c>
      <c r="K2989">
        <v>1.1212</v>
      </c>
      <c r="L2989">
        <v>281.2799</v>
      </c>
      <c r="M2989">
        <v>-0.87525399999999998</v>
      </c>
      <c r="N2989">
        <v>-2.31624E-2</v>
      </c>
      <c r="O2989">
        <v>-0.4831087</v>
      </c>
      <c r="P2989">
        <v>-0.7495058</v>
      </c>
      <c r="Q2989">
        <v>-5.2308479999999997E-2</v>
      </c>
      <c r="R2989">
        <v>-0.65992799999999996</v>
      </c>
      <c r="S2989">
        <v>-1.627991</v>
      </c>
      <c r="T2989">
        <v>-0.17362920000000001</v>
      </c>
      <c r="U2989">
        <v>-2.696564</v>
      </c>
      <c r="V2989">
        <v>-0.21476990000000001</v>
      </c>
      <c r="W2989">
        <v>-3.5025939999999998E-2</v>
      </c>
      <c r="X2989">
        <v>0.97603640000000003</v>
      </c>
      <c r="Y2989">
        <v>-0.49897350000000001</v>
      </c>
      <c r="Z2989">
        <v>-2.8923299999999998E-3</v>
      </c>
      <c r="AA2989">
        <v>0.86661239999999995</v>
      </c>
      <c r="AB2989">
        <v>28</v>
      </c>
      <c r="AC2989">
        <v>-0.42770000000001501</v>
      </c>
      <c r="AD2989">
        <v>-5.8204000000000103E-2</v>
      </c>
      <c r="AE2989">
        <v>-0.83100000000001695</v>
      </c>
      <c r="AF2989">
        <v>-0.51883795634462104</v>
      </c>
      <c r="AG2989">
        <v>-5.8204000000000103E-2</v>
      </c>
      <c r="AH2989">
        <v>0.77301957753193196</v>
      </c>
      <c r="AI2989">
        <v>93.577364203689399</v>
      </c>
      <c r="AJ2989">
        <v>123.8688588269</v>
      </c>
      <c r="AK2989">
        <v>0.93281284178955703</v>
      </c>
      <c r="AL2989">
        <v>92.007249118808005</v>
      </c>
      <c r="AM2989">
        <v>102.40976414271699</v>
      </c>
      <c r="AN2989">
        <v>0.99999999027192599</v>
      </c>
    </row>
    <row r="2990" spans="1:40" x14ac:dyDescent="0.25">
      <c r="A2990" t="str">
        <f>"20190305134954697"</f>
        <v>20190305134954697</v>
      </c>
      <c r="B2990" t="str">
        <f>"1551764994693830"</f>
        <v>1551764994693830</v>
      </c>
      <c r="C2990" t="s">
        <v>40</v>
      </c>
      <c r="D2990">
        <v>3.903321</v>
      </c>
      <c r="E2990">
        <v>0.37951659999999998</v>
      </c>
      <c r="F2990" t="s">
        <v>41</v>
      </c>
      <c r="G2990">
        <v>-479.02690000000001</v>
      </c>
      <c r="H2990">
        <v>1.069472</v>
      </c>
      <c r="I2990">
        <v>280.49329999999998</v>
      </c>
      <c r="J2990">
        <v>-478.67469999999997</v>
      </c>
      <c r="K2990">
        <v>1.1212679999999999</v>
      </c>
      <c r="L2990">
        <v>281.20859999999999</v>
      </c>
      <c r="M2990">
        <v>-0.87193189999999998</v>
      </c>
      <c r="N2990">
        <v>-2.3206379999999999E-2</v>
      </c>
      <c r="O2990">
        <v>-0.48907719999999999</v>
      </c>
      <c r="P2990">
        <v>-0.7435676</v>
      </c>
      <c r="Q2990">
        <v>-5.3058380000000002E-2</v>
      </c>
      <c r="R2990">
        <v>-0.66655299999999995</v>
      </c>
      <c r="S2990">
        <v>-1.6067199999999999</v>
      </c>
      <c r="T2990">
        <v>-0.17807220000000001</v>
      </c>
      <c r="U2990">
        <v>-2.7070620000000001</v>
      </c>
      <c r="V2990">
        <v>-0.21676119999999999</v>
      </c>
      <c r="W2990">
        <v>-3.5829630000000001E-2</v>
      </c>
      <c r="X2990">
        <v>0.97556690000000001</v>
      </c>
      <c r="Y2990">
        <v>-0.49953930000000002</v>
      </c>
      <c r="Z2990">
        <v>-2.3191409999999998E-3</v>
      </c>
      <c r="AA2990">
        <v>0.86628809999999901</v>
      </c>
      <c r="AB2990">
        <v>28</v>
      </c>
      <c r="AC2990">
        <v>-0.35220000000003798</v>
      </c>
      <c r="AD2990">
        <v>-5.1795999999999898E-2</v>
      </c>
      <c r="AE2990">
        <v>-0.71530000000001304</v>
      </c>
      <c r="AF2990">
        <v>-0.44966373645452701</v>
      </c>
      <c r="AG2990">
        <v>-5.1795999999999898E-2</v>
      </c>
      <c r="AH2990">
        <v>0.65434668147615305</v>
      </c>
      <c r="AI2990">
        <v>93.7325627598278</v>
      </c>
      <c r="AJ2990">
        <v>124.49665297758401</v>
      </c>
      <c r="AK2990">
        <v>0.79564431818313197</v>
      </c>
      <c r="AL2990">
        <v>92.053326115471904</v>
      </c>
      <c r="AM2990">
        <v>102.527047847373</v>
      </c>
      <c r="AN2990">
        <v>0.99999997829349296</v>
      </c>
    </row>
    <row r="2991" spans="1:40" x14ac:dyDescent="0.25">
      <c r="A2991" t="str">
        <f>"20190305134954708"</f>
        <v>20190305134954708</v>
      </c>
      <c r="B2991" t="str">
        <f>"1551764994703590"</f>
        <v>1551764994703590</v>
      </c>
      <c r="C2991" t="s">
        <v>40</v>
      </c>
      <c r="D2991">
        <v>3.9132359999999999</v>
      </c>
      <c r="E2991">
        <v>0.38002259999999999</v>
      </c>
      <c r="F2991" t="s">
        <v>41</v>
      </c>
      <c r="G2991">
        <v>-479.19080000000002</v>
      </c>
      <c r="H2991">
        <v>1.064816</v>
      </c>
      <c r="I2991">
        <v>280.327</v>
      </c>
      <c r="J2991">
        <v>-478.8064</v>
      </c>
      <c r="K2991">
        <v>1.121343</v>
      </c>
      <c r="L2991">
        <v>281.12549999999999</v>
      </c>
      <c r="M2991">
        <v>-0.86799839999999995</v>
      </c>
      <c r="N2991">
        <v>-2.325845E-2</v>
      </c>
      <c r="O2991">
        <v>-0.49602249999999998</v>
      </c>
      <c r="P2991">
        <v>-0.73667309999999997</v>
      </c>
      <c r="Q2991">
        <v>-5.3763320000000003E-2</v>
      </c>
      <c r="R2991">
        <v>-0.67410870000000001</v>
      </c>
      <c r="S2991">
        <v>-1.5888979999999999</v>
      </c>
      <c r="T2991">
        <v>-0.1737937</v>
      </c>
      <c r="U2991">
        <v>-2.7144170000000001</v>
      </c>
      <c r="V2991">
        <v>-0.21893029999999999</v>
      </c>
      <c r="W2991">
        <v>-3.6590959999999999E-2</v>
      </c>
      <c r="X2991">
        <v>0.97505410000000003</v>
      </c>
      <c r="Y2991">
        <v>-0.49790430000000002</v>
      </c>
      <c r="Z2991">
        <v>-2.3178880000000002E-3</v>
      </c>
      <c r="AA2991">
        <v>0.86722889999999997</v>
      </c>
      <c r="AB2991">
        <v>28</v>
      </c>
      <c r="AC2991">
        <v>-0.384400000000027</v>
      </c>
      <c r="AD2991">
        <v>-5.6527000000000001E-2</v>
      </c>
      <c r="AE2991">
        <v>-0.79849999999999</v>
      </c>
      <c r="AF2991">
        <v>-0.50052508530298601</v>
      </c>
      <c r="AG2991">
        <v>-5.6527000000000001E-2</v>
      </c>
      <c r="AH2991">
        <v>0.726972101109149</v>
      </c>
      <c r="AI2991">
        <v>93.664487646165597</v>
      </c>
      <c r="AJ2991">
        <v>124.547667555413</v>
      </c>
      <c r="AK2991">
        <v>0.88442585813487695</v>
      </c>
      <c r="AL2991">
        <v>92.0969758272213</v>
      </c>
      <c r="AM2991">
        <v>102.65482796961101</v>
      </c>
      <c r="AN2991">
        <v>0.99999993626930805</v>
      </c>
    </row>
    <row r="2992" spans="1:40" x14ac:dyDescent="0.25">
      <c r="A2992" t="str">
        <f>"20190305134954717"</f>
        <v>20190305134954717</v>
      </c>
      <c r="B2992" t="str">
        <f>"1551764994713350"</f>
        <v>1551764994713350</v>
      </c>
      <c r="C2992" t="s">
        <v>40</v>
      </c>
      <c r="D2992">
        <v>3.9211670000000001</v>
      </c>
      <c r="E2992">
        <v>0.38054300000000002</v>
      </c>
      <c r="F2992" t="s">
        <v>41</v>
      </c>
      <c r="G2992">
        <v>-479.23559999999998</v>
      </c>
      <c r="H2992">
        <v>1.0752569999999999</v>
      </c>
      <c r="I2992">
        <v>280.37670000000003</v>
      </c>
      <c r="J2992">
        <v>-478.89760000000001</v>
      </c>
      <c r="K2992">
        <v>1.1213919999999999</v>
      </c>
      <c r="L2992">
        <v>281.06630000000001</v>
      </c>
      <c r="M2992">
        <v>-0.86516380000000004</v>
      </c>
      <c r="N2992">
        <v>-2.3294990000000002E-2</v>
      </c>
      <c r="O2992">
        <v>-0.50094810000000001</v>
      </c>
      <c r="P2992">
        <v>-0.73137909999999995</v>
      </c>
      <c r="Q2992">
        <v>-5.4185270000000001E-2</v>
      </c>
      <c r="R2992">
        <v>-0.67981519999999995</v>
      </c>
      <c r="S2992">
        <v>-1.5635680000000001</v>
      </c>
      <c r="T2992">
        <v>-0.1679224</v>
      </c>
      <c r="U2992">
        <v>-2.7282099999999998</v>
      </c>
      <c r="V2992">
        <v>-0.2209652</v>
      </c>
      <c r="W2992">
        <v>-3.7067950000000002E-2</v>
      </c>
      <c r="X2992">
        <v>0.97457700000000003</v>
      </c>
      <c r="Y2992">
        <v>-0.50094439999999996</v>
      </c>
      <c r="Z2992">
        <v>-2.7526650000000001E-3</v>
      </c>
      <c r="AA2992">
        <v>0.86547510000000005</v>
      </c>
      <c r="AB2992">
        <v>28</v>
      </c>
      <c r="AC2992">
        <v>-0.337999999999965</v>
      </c>
      <c r="AD2992">
        <v>-4.6135000000000002E-2</v>
      </c>
      <c r="AE2992">
        <v>-0.689599999999984</v>
      </c>
      <c r="AF2992">
        <v>-0.425875574391055</v>
      </c>
      <c r="AG2992">
        <v>-4.6135000000000002E-2</v>
      </c>
      <c r="AH2992">
        <v>0.63575798193213295</v>
      </c>
      <c r="AI2992">
        <v>93.450187845156094</v>
      </c>
      <c r="AJ2992">
        <v>123.81696747560601</v>
      </c>
      <c r="AK2992">
        <v>0.76660723625487004</v>
      </c>
      <c r="AL2992">
        <v>92.124323781228</v>
      </c>
      <c r="AM2992">
        <v>102.77465795913599</v>
      </c>
      <c r="AN2992">
        <v>0.999999990728621</v>
      </c>
    </row>
    <row r="2993" spans="1:40" x14ac:dyDescent="0.25">
      <c r="A2993" t="str">
        <f>"20190305134954728"</f>
        <v>20190305134954728</v>
      </c>
      <c r="B2993" t="str">
        <f>"1551764994723110"</f>
        <v>1551764994723110</v>
      </c>
      <c r="C2993" t="s">
        <v>40</v>
      </c>
      <c r="D2993">
        <v>3.8948900000000002</v>
      </c>
      <c r="E2993">
        <v>0.38110490000000002</v>
      </c>
      <c r="F2993" t="s">
        <v>41</v>
      </c>
      <c r="G2993">
        <v>-479.38709999999998</v>
      </c>
      <c r="H2993">
        <v>1.069445</v>
      </c>
      <c r="I2993">
        <v>280.19920000000002</v>
      </c>
      <c r="J2993">
        <v>-479.0181</v>
      </c>
      <c r="K2993">
        <v>1.1214580000000001</v>
      </c>
      <c r="L2993">
        <v>280.98790000000002</v>
      </c>
      <c r="M2993">
        <v>-0.86135799999999996</v>
      </c>
      <c r="N2993">
        <v>-2.3342470000000001E-2</v>
      </c>
      <c r="O2993">
        <v>-0.50746190000000002</v>
      </c>
      <c r="P2993">
        <v>-0.72476909999999894</v>
      </c>
      <c r="Q2993">
        <v>-5.4514760000000002E-2</v>
      </c>
      <c r="R2993">
        <v>-0.68683179999999999</v>
      </c>
      <c r="S2993">
        <v>-1.54541</v>
      </c>
      <c r="T2993">
        <v>-0.16402130000000001</v>
      </c>
      <c r="U2993">
        <v>-2.7373050000000001</v>
      </c>
      <c r="V2993">
        <v>-0.22299840000000001</v>
      </c>
      <c r="W2993">
        <v>-3.7451449999999997E-2</v>
      </c>
      <c r="X2993">
        <v>0.97409920000000005</v>
      </c>
      <c r="Y2993">
        <v>-0.50001839999999997</v>
      </c>
      <c r="Z2993">
        <v>-2.8132410000000002E-3</v>
      </c>
      <c r="AA2993">
        <v>0.86601019999999895</v>
      </c>
      <c r="AB2993">
        <v>27</v>
      </c>
      <c r="AC2993">
        <v>-0.36899999999997102</v>
      </c>
      <c r="AD2993">
        <v>-5.2012999999999997E-2</v>
      </c>
      <c r="AE2993">
        <v>-0.78870000000000495</v>
      </c>
      <c r="AF2993">
        <v>-0.49048363342028001</v>
      </c>
      <c r="AG2993">
        <v>-5.2012999999999997E-2</v>
      </c>
      <c r="AH2993">
        <v>0.71571824946757401</v>
      </c>
      <c r="AI2993">
        <v>93.430580234216094</v>
      </c>
      <c r="AJ2993">
        <v>124.422945357156</v>
      </c>
      <c r="AK2993">
        <v>0.86921352925681505</v>
      </c>
      <c r="AL2993">
        <v>92.146311801428197</v>
      </c>
      <c r="AM2993">
        <v>102.89440557060701</v>
      </c>
      <c r="AN2993">
        <v>1.0000000744751401</v>
      </c>
    </row>
    <row r="2994" spans="1:40" x14ac:dyDescent="0.25">
      <c r="A2994" t="str">
        <f>"20190305134954740"</f>
        <v>20190305134954740</v>
      </c>
      <c r="B2994" t="str">
        <f>"1551764994732871"</f>
        <v>1551764994732871</v>
      </c>
      <c r="C2994" t="s">
        <v>40</v>
      </c>
      <c r="D2994">
        <v>3.9120810000000001</v>
      </c>
      <c r="E2994">
        <v>0.38169750000000002</v>
      </c>
      <c r="F2994" t="s">
        <v>41</v>
      </c>
      <c r="G2994">
        <v>-479.4298</v>
      </c>
      <c r="H2994">
        <v>1.078443</v>
      </c>
      <c r="I2994">
        <v>280.2441</v>
      </c>
      <c r="J2994">
        <v>-479.12849999999997</v>
      </c>
      <c r="K2994">
        <v>1.121516</v>
      </c>
      <c r="L2994">
        <v>280.91399999999999</v>
      </c>
      <c r="M2994">
        <v>-0.85770970000000002</v>
      </c>
      <c r="N2994">
        <v>-2.3376629999999999E-2</v>
      </c>
      <c r="O2994">
        <v>-0.51360260000000002</v>
      </c>
      <c r="P2994">
        <v>-0.71828819999999904</v>
      </c>
      <c r="Q2994">
        <v>-5.4979840000000002E-2</v>
      </c>
      <c r="R2994">
        <v>-0.69357000000000002</v>
      </c>
      <c r="S2994">
        <v>-1.5219419999999999</v>
      </c>
      <c r="T2994">
        <v>-0.15900909999999999</v>
      </c>
      <c r="U2994">
        <v>-2.7492679999999998</v>
      </c>
      <c r="V2994">
        <v>-0.2251331</v>
      </c>
      <c r="W2994">
        <v>-3.798671E-2</v>
      </c>
      <c r="X2994">
        <v>0.97358719999999999</v>
      </c>
      <c r="Y2994">
        <v>-0.5011061</v>
      </c>
      <c r="Z2994">
        <v>-3.0777449999999998E-3</v>
      </c>
      <c r="AA2994">
        <v>0.86538029999999999</v>
      </c>
      <c r="AB2994">
        <v>27</v>
      </c>
      <c r="AC2994">
        <v>-0.30130000000002599</v>
      </c>
      <c r="AD2994">
        <v>-4.3072999999999903E-2</v>
      </c>
      <c r="AE2994">
        <v>-0.66989999999998395</v>
      </c>
      <c r="AF2994">
        <v>-0.41850694414181999</v>
      </c>
      <c r="AG2994">
        <v>-4.3072999999999903E-2</v>
      </c>
      <c r="AH2994">
        <v>0.60058981206149997</v>
      </c>
      <c r="AI2994">
        <v>93.367465569305097</v>
      </c>
      <c r="AJ2994">
        <v>124.869808902104</v>
      </c>
      <c r="AK2994">
        <v>0.73328812071108396</v>
      </c>
      <c r="AL2994">
        <v>92.177002006779603</v>
      </c>
      <c r="AM2994">
        <v>103.020267890957</v>
      </c>
      <c r="AN2994">
        <v>0.99999996942803604</v>
      </c>
    </row>
    <row r="2995" spans="1:40" x14ac:dyDescent="0.25">
      <c r="A2995" t="str">
        <f>"20190305134954752"</f>
        <v>20190305134954752</v>
      </c>
      <c r="B2995" t="str">
        <f>"1551764994743607"</f>
        <v>1551764994743607</v>
      </c>
      <c r="C2995" t="s">
        <v>40</v>
      </c>
      <c r="D2995">
        <v>3.911454</v>
      </c>
      <c r="E2995">
        <v>0.38222630000000002</v>
      </c>
      <c r="F2995" t="s">
        <v>41</v>
      </c>
      <c r="G2995">
        <v>-479.5849</v>
      </c>
      <c r="H2995">
        <v>1.073871</v>
      </c>
      <c r="I2995">
        <v>280.0745</v>
      </c>
      <c r="J2995">
        <v>-479.23379999999997</v>
      </c>
      <c r="K2995">
        <v>1.121577</v>
      </c>
      <c r="L2995">
        <v>280.84300000000002</v>
      </c>
      <c r="M2995">
        <v>-0.85416250000000005</v>
      </c>
      <c r="N2995">
        <v>-2.340571E-2</v>
      </c>
      <c r="O2995">
        <v>-0.51947940000000004</v>
      </c>
      <c r="P2995">
        <v>-0.71195839999999999</v>
      </c>
      <c r="Q2995">
        <v>-5.5901220000000001E-2</v>
      </c>
      <c r="R2995">
        <v>-0.69999299999999998</v>
      </c>
      <c r="S2995">
        <v>-1.499695</v>
      </c>
      <c r="T2995">
        <v>-0.15654860000000001</v>
      </c>
      <c r="U2995">
        <v>-2.7598880000000001</v>
      </c>
      <c r="V2995">
        <v>-0.2271967</v>
      </c>
      <c r="W2995">
        <v>-3.8981540000000002E-2</v>
      </c>
      <c r="X2995">
        <v>0.97306839999999994</v>
      </c>
      <c r="Y2995">
        <v>-0.50195529999999999</v>
      </c>
      <c r="Z2995">
        <v>-3.1224429999999999E-3</v>
      </c>
      <c r="AA2995">
        <v>0.86488799999999899</v>
      </c>
      <c r="AB2995">
        <v>27</v>
      </c>
      <c r="AC2995">
        <v>-0.35110000000003</v>
      </c>
      <c r="AD2995">
        <v>-4.7705999999999998E-2</v>
      </c>
      <c r="AE2995">
        <v>-0.76850000000001695</v>
      </c>
      <c r="AF2995">
        <v>-0.47265762634188602</v>
      </c>
      <c r="AG2995">
        <v>-4.7705999999999998E-2</v>
      </c>
      <c r="AH2995">
        <v>0.697085488449118</v>
      </c>
      <c r="AI2995">
        <v>93.241952159422198</v>
      </c>
      <c r="AJ2995">
        <v>124.13916629065599</v>
      </c>
      <c r="AK2995">
        <v>0.84356936429762097</v>
      </c>
      <c r="AL2995">
        <v>92.234043745358093</v>
      </c>
      <c r="AM2995">
        <v>103.142253411071</v>
      </c>
      <c r="AN2995">
        <v>1.00000000601511</v>
      </c>
    </row>
    <row r="2996" spans="1:40" x14ac:dyDescent="0.25">
      <c r="A2996" t="str">
        <f>"20190305134954764"</f>
        <v>20190305134954764</v>
      </c>
      <c r="B2996" t="str">
        <f>"1551764994753366"</f>
        <v>1551764994753366</v>
      </c>
      <c r="C2996" t="s">
        <v>40</v>
      </c>
      <c r="D2996">
        <v>3.9372579999999999</v>
      </c>
      <c r="E2996">
        <v>0.38279269999999999</v>
      </c>
      <c r="F2996" t="s">
        <v>41</v>
      </c>
      <c r="G2996">
        <v>-479.73559999999998</v>
      </c>
      <c r="H2996">
        <v>1.068608</v>
      </c>
      <c r="I2996">
        <v>279.90230000000003</v>
      </c>
      <c r="J2996">
        <v>-479.35719999999998</v>
      </c>
      <c r="K2996">
        <v>1.1216489999999999</v>
      </c>
      <c r="L2996">
        <v>280.75760000000002</v>
      </c>
      <c r="M2996">
        <v>-0.8498367</v>
      </c>
      <c r="N2996">
        <v>-2.3424480000000001E-2</v>
      </c>
      <c r="O2996">
        <v>-0.52652540000000003</v>
      </c>
      <c r="P2996">
        <v>-0.70480500000000001</v>
      </c>
      <c r="Q2996">
        <v>-5.6953110000000001E-2</v>
      </c>
      <c r="R2996">
        <v>-0.7071115</v>
      </c>
      <c r="S2996">
        <v>-1.4774780000000001</v>
      </c>
      <c r="T2996">
        <v>-0.15598689999999901</v>
      </c>
      <c r="U2996">
        <v>-2.770508</v>
      </c>
      <c r="V2996">
        <v>-0.2289331</v>
      </c>
      <c r="W2996">
        <v>-4.0117229999999997E-2</v>
      </c>
      <c r="X2996">
        <v>0.97261520000000001</v>
      </c>
      <c r="Y2996">
        <v>-0.501583</v>
      </c>
      <c r="Z2996">
        <v>-2.898486E-3</v>
      </c>
      <c r="AA2996">
        <v>0.86510469999999895</v>
      </c>
      <c r="AB2996">
        <v>27</v>
      </c>
      <c r="AC2996">
        <v>-0.37839999999999901</v>
      </c>
      <c r="AD2996">
        <v>-5.3040999999999797E-2</v>
      </c>
      <c r="AE2996">
        <v>-0.85529999999999895</v>
      </c>
      <c r="AF2996">
        <v>-0.52608088616485504</v>
      </c>
      <c r="AG2996">
        <v>-5.3040999999999797E-2</v>
      </c>
      <c r="AH2996">
        <v>0.76965179486280999</v>
      </c>
      <c r="AI2996">
        <v>93.256306472493904</v>
      </c>
      <c r="AJ2996">
        <v>124.35381841256699</v>
      </c>
      <c r="AK2996">
        <v>0.93377638211969405</v>
      </c>
      <c r="AL2996">
        <v>92.299164859614194</v>
      </c>
      <c r="AM2996">
        <v>103.24512289942</v>
      </c>
      <c r="AN2996">
        <v>1.0000000418447601</v>
      </c>
    </row>
    <row r="2997" spans="1:40" x14ac:dyDescent="0.25">
      <c r="A2997" t="str">
        <f>"20190305134954776"</f>
        <v>20190305134954776</v>
      </c>
      <c r="B2997" t="str">
        <f>"1551764994773862"</f>
        <v>1551764994773862</v>
      </c>
      <c r="C2997" t="s">
        <v>40</v>
      </c>
      <c r="D2997">
        <v>3.9370069999999999</v>
      </c>
      <c r="E2997">
        <v>0.38381399999999999</v>
      </c>
      <c r="F2997" t="s">
        <v>41</v>
      </c>
      <c r="G2997">
        <v>-479.7801</v>
      </c>
      <c r="H2997">
        <v>1.0766629999999999</v>
      </c>
      <c r="I2997">
        <v>279.94819999999999</v>
      </c>
      <c r="J2997">
        <v>-479.47109999999998</v>
      </c>
      <c r="K2997">
        <v>1.121713</v>
      </c>
      <c r="L2997">
        <v>280.67750000000001</v>
      </c>
      <c r="M2997">
        <v>-0.84571919999999901</v>
      </c>
      <c r="N2997">
        <v>-2.343398E-2</v>
      </c>
      <c r="O2997">
        <v>-0.53311350000000002</v>
      </c>
      <c r="P2997">
        <v>-0.6978934</v>
      </c>
      <c r="Q2997">
        <v>-5.8390329999999997E-2</v>
      </c>
      <c r="R2997">
        <v>-0.7138177</v>
      </c>
      <c r="S2997">
        <v>-1.452942</v>
      </c>
      <c r="T2997">
        <v>-0.1545783</v>
      </c>
      <c r="U2997">
        <v>-2.7820429999999998</v>
      </c>
      <c r="V2997">
        <v>-0.23068939999999999</v>
      </c>
      <c r="W2997">
        <v>-4.1645210000000002E-2</v>
      </c>
      <c r="X2997">
        <v>0.97213579999999999</v>
      </c>
      <c r="Y2997">
        <v>-0.50233159999999999</v>
      </c>
      <c r="Z2997">
        <v>-2.8113610000000001E-3</v>
      </c>
      <c r="AA2997">
        <v>0.86467050000000001</v>
      </c>
      <c r="AB2997">
        <v>27</v>
      </c>
      <c r="AC2997">
        <v>-0.30900000000002498</v>
      </c>
      <c r="AD2997">
        <v>-4.505E-2</v>
      </c>
      <c r="AE2997">
        <v>-0.72930000000002304</v>
      </c>
      <c r="AF2997">
        <v>-0.45071702149394099</v>
      </c>
      <c r="AG2997">
        <v>-4.505E-2</v>
      </c>
      <c r="AH2997">
        <v>0.648208502868033</v>
      </c>
      <c r="AI2997">
        <v>93.265811988243399</v>
      </c>
      <c r="AJ2997">
        <v>124.811940830106</v>
      </c>
      <c r="AK2997">
        <v>0.79079049005080104</v>
      </c>
      <c r="AL2997">
        <v>92.386785094726505</v>
      </c>
      <c r="AM2997">
        <v>103.34945851661099</v>
      </c>
      <c r="AN2997">
        <v>0.99999996821497095</v>
      </c>
    </row>
    <row r="2998" spans="1:40" x14ac:dyDescent="0.25">
      <c r="A2998" t="str">
        <f>"20190305134954789"</f>
        <v>20190305134954789</v>
      </c>
      <c r="B2998" t="str">
        <f>"1551764994783622"</f>
        <v>1551764994783622</v>
      </c>
      <c r="C2998" t="s">
        <v>40</v>
      </c>
      <c r="D2998">
        <v>4.1202759999999996</v>
      </c>
      <c r="E2998">
        <v>0.38381399999999999</v>
      </c>
      <c r="F2998" t="s">
        <v>41</v>
      </c>
      <c r="G2998">
        <v>-479.93200000000002</v>
      </c>
      <c r="H2998">
        <v>1.0726560000000001</v>
      </c>
      <c r="I2998">
        <v>279.77940000000001</v>
      </c>
      <c r="J2998">
        <v>-479.59449999999998</v>
      </c>
      <c r="K2998">
        <v>1.1217779999999999</v>
      </c>
      <c r="L2998">
        <v>280.58949999999999</v>
      </c>
      <c r="M2998">
        <v>-0.84113419999999905</v>
      </c>
      <c r="N2998">
        <v>-2.3436729999999999E-2</v>
      </c>
      <c r="O2998">
        <v>-0.54031859999999998</v>
      </c>
      <c r="P2998">
        <v>-0.69058750000000002</v>
      </c>
      <c r="Q2998">
        <v>-5.940289E-2</v>
      </c>
      <c r="R2998">
        <v>-0.72080559999999905</v>
      </c>
      <c r="S2998">
        <v>-1.431702</v>
      </c>
      <c r="T2998">
        <v>-0.1523825</v>
      </c>
      <c r="U2998">
        <v>-2.7904969999999998</v>
      </c>
      <c r="V2998">
        <v>-0.2321783</v>
      </c>
      <c r="W2998">
        <v>-4.274969E-2</v>
      </c>
      <c r="X2998">
        <v>0.97173330000000002</v>
      </c>
      <c r="Y2998">
        <v>-0.50122920000000004</v>
      </c>
      <c r="Z2998">
        <v>-2.704611E-3</v>
      </c>
      <c r="AA2998">
        <v>0.86531039999999904</v>
      </c>
      <c r="AB2998">
        <v>27</v>
      </c>
      <c r="AC2998">
        <v>-0.33749999999997699</v>
      </c>
      <c r="AD2998">
        <v>-4.9122000000000103E-2</v>
      </c>
      <c r="AE2998">
        <v>-0.81009999999997695</v>
      </c>
      <c r="AF2998">
        <v>-0.49762327377721799</v>
      </c>
      <c r="AG2998">
        <v>-4.9122000000000103E-2</v>
      </c>
      <c r="AH2998">
        <v>0.71953872799497998</v>
      </c>
      <c r="AI2998">
        <v>93.213724345282998</v>
      </c>
      <c r="AJ2998">
        <v>124.66721109618101</v>
      </c>
      <c r="AK2998">
        <v>0.87622935044050598</v>
      </c>
      <c r="AL2998">
        <v>92.450123596823403</v>
      </c>
      <c r="AM2998">
        <v>103.437866718631</v>
      </c>
      <c r="AN2998">
        <v>0.99999995265743602</v>
      </c>
    </row>
    <row r="2999" spans="1:40" x14ac:dyDescent="0.25">
      <c r="A2999" t="str">
        <f>"20190305134954801"</f>
        <v>20190305134954801</v>
      </c>
      <c r="B2999" t="str">
        <f>"1551764994793381"</f>
        <v>1551764994793381</v>
      </c>
      <c r="C2999" t="s">
        <v>40</v>
      </c>
      <c r="D2999">
        <v>3.9340310000000001</v>
      </c>
      <c r="E2999">
        <v>0.38447140000000002</v>
      </c>
      <c r="F2999" t="s">
        <v>41</v>
      </c>
      <c r="G2999">
        <v>-479.9778</v>
      </c>
      <c r="H2999">
        <v>1.0794600000000001</v>
      </c>
      <c r="I2999">
        <v>279.82389999999998</v>
      </c>
      <c r="J2999">
        <v>-479.70080000000002</v>
      </c>
      <c r="K2999">
        <v>1.121826</v>
      </c>
      <c r="L2999">
        <v>280.51139999999998</v>
      </c>
      <c r="M2999">
        <v>-0.8370069</v>
      </c>
      <c r="N2999">
        <v>-2.3428870000000001E-2</v>
      </c>
      <c r="O2999">
        <v>-0.54669049999999997</v>
      </c>
      <c r="P2999">
        <v>-0.68404659999999995</v>
      </c>
      <c r="Q2999">
        <v>-6.0374299999999999E-2</v>
      </c>
      <c r="R2999">
        <v>-0.72693569999999996</v>
      </c>
      <c r="S2999">
        <v>-1.403564</v>
      </c>
      <c r="T2999">
        <v>-0.154978</v>
      </c>
      <c r="U2999">
        <v>-2.8045650000000002</v>
      </c>
      <c r="V2999">
        <v>-0.23347689999999999</v>
      </c>
      <c r="W2999">
        <v>-4.3808350000000003E-2</v>
      </c>
      <c r="X2999">
        <v>0.97137499999999999</v>
      </c>
      <c r="Y2999">
        <v>-0.50332489999999996</v>
      </c>
      <c r="Z2999">
        <v>-2.2709750000000002E-3</v>
      </c>
      <c r="AA2999">
        <v>0.86409429999999998</v>
      </c>
      <c r="AB2999">
        <v>27</v>
      </c>
      <c r="AC2999">
        <v>-0.27699999999998598</v>
      </c>
      <c r="AD2999">
        <v>-4.2365999999999897E-2</v>
      </c>
      <c r="AE2999">
        <v>-0.6875</v>
      </c>
      <c r="AF2999">
        <v>-0.42274426882836602</v>
      </c>
      <c r="AG2999">
        <v>-4.2365999999999897E-2</v>
      </c>
      <c r="AH2999">
        <v>0.605888020095668</v>
      </c>
      <c r="AI2999">
        <v>93.282031750202293</v>
      </c>
      <c r="AJ2999">
        <v>124.904511638522</v>
      </c>
      <c r="AK2999">
        <v>0.74000532949342901</v>
      </c>
      <c r="AL2999">
        <v>92.510837089367996</v>
      </c>
      <c r="AM2999">
        <v>103.515078932173</v>
      </c>
      <c r="AN2999">
        <v>1.0000000124941599</v>
      </c>
    </row>
    <row r="3000" spans="1:40" x14ac:dyDescent="0.25">
      <c r="A3000" t="str">
        <f>"20190305134954812"</f>
        <v>20190305134954812</v>
      </c>
      <c r="B3000" t="str">
        <f>"1551764994803142"</f>
        <v>1551764994803142</v>
      </c>
      <c r="C3000" t="s">
        <v>40</v>
      </c>
      <c r="D3000">
        <v>3.9182100000000002</v>
      </c>
      <c r="E3000">
        <v>0.38514219999999999</v>
      </c>
      <c r="F3000" t="s">
        <v>41</v>
      </c>
      <c r="G3000">
        <v>-480.12310000000002</v>
      </c>
      <c r="H3000">
        <v>1.074648</v>
      </c>
      <c r="I3000">
        <v>279.65190000000001</v>
      </c>
      <c r="J3000">
        <v>-479.81700000000001</v>
      </c>
      <c r="K3000">
        <v>1.1218790000000001</v>
      </c>
      <c r="L3000">
        <v>280.42520000000002</v>
      </c>
      <c r="M3000">
        <v>-0.83239099999999999</v>
      </c>
      <c r="N3000">
        <v>-2.3415689999999999E-2</v>
      </c>
      <c r="O3000">
        <v>-0.55369409999999997</v>
      </c>
      <c r="P3000">
        <v>-0.67703840000000004</v>
      </c>
      <c r="Q3000">
        <v>-6.1145659999999998E-2</v>
      </c>
      <c r="R3000">
        <v>-0.73340360000000004</v>
      </c>
      <c r="S3000">
        <v>-1.38208</v>
      </c>
      <c r="T3000">
        <v>-0.1544092</v>
      </c>
      <c r="U3000">
        <v>-2.8134769999999998</v>
      </c>
      <c r="V3000">
        <v>-0.23456689999999999</v>
      </c>
      <c r="W3000">
        <v>-4.4668100000000002E-2</v>
      </c>
      <c r="X3000">
        <v>0.97107319999999997</v>
      </c>
      <c r="Y3000">
        <v>-0.50247869999999994</v>
      </c>
      <c r="Z3000">
        <v>-2.007759E-3</v>
      </c>
      <c r="AA3000">
        <v>0.86458729999999995</v>
      </c>
      <c r="AB3000">
        <v>27</v>
      </c>
      <c r="AC3000">
        <v>-0.30610000000007098</v>
      </c>
      <c r="AD3000">
        <v>-4.7231000000000002E-2</v>
      </c>
      <c r="AE3000">
        <v>-0.77330000000000598</v>
      </c>
      <c r="AF3000">
        <v>-0.47280734760653198</v>
      </c>
      <c r="AG3000">
        <v>-4.7231000000000002E-2</v>
      </c>
      <c r="AH3000">
        <v>0.68095761116930098</v>
      </c>
      <c r="AI3000">
        <v>93.260792353802699</v>
      </c>
      <c r="AJ3000">
        <v>124.77329659900199</v>
      </c>
      <c r="AK3000">
        <v>0.83034981996814095</v>
      </c>
      <c r="AL3000">
        <v>92.5601454032752</v>
      </c>
      <c r="AM3000">
        <v>103.579907778682</v>
      </c>
      <c r="AN3000">
        <v>1.00000001474573</v>
      </c>
    </row>
    <row r="3001" spans="1:40" x14ac:dyDescent="0.25">
      <c r="A3001" t="str">
        <f>"20190305134954823"</f>
        <v>20190305134954823</v>
      </c>
      <c r="B3001" t="str">
        <f>"1551764994813878"</f>
        <v>1551764994813878</v>
      </c>
      <c r="C3001" t="s">
        <v>40</v>
      </c>
      <c r="D3001">
        <v>4.0573870000000003</v>
      </c>
      <c r="E3001">
        <v>0.38641540000000002</v>
      </c>
      <c r="F3001" t="s">
        <v>41</v>
      </c>
      <c r="G3001">
        <v>-480.2706</v>
      </c>
      <c r="H3001">
        <v>1.0705800000000001</v>
      </c>
      <c r="I3001">
        <v>279.48360000000002</v>
      </c>
      <c r="J3001">
        <v>-479.9203</v>
      </c>
      <c r="K3001">
        <v>1.1219220000000001</v>
      </c>
      <c r="L3001">
        <v>280.34690000000001</v>
      </c>
      <c r="M3001">
        <v>-0.82813930000000002</v>
      </c>
      <c r="N3001">
        <v>-2.339594E-2</v>
      </c>
      <c r="O3001">
        <v>-0.56003380000000003</v>
      </c>
      <c r="P3001">
        <v>-0.67039740000000003</v>
      </c>
      <c r="Q3001">
        <v>-6.171128E-2</v>
      </c>
      <c r="R3001">
        <v>-0.73943149999999902</v>
      </c>
      <c r="S3001">
        <v>-1.3590089999999999</v>
      </c>
      <c r="T3001">
        <v>-0.15371580000000001</v>
      </c>
      <c r="U3001">
        <v>-2.8231510000000002</v>
      </c>
      <c r="V3001">
        <v>-0.23584459999999999</v>
      </c>
      <c r="W3001">
        <v>-4.5328680000000003E-2</v>
      </c>
      <c r="X3001">
        <v>0.97073299999999996</v>
      </c>
      <c r="Y3001">
        <v>-0.50277419999999995</v>
      </c>
      <c r="Z3001">
        <v>-1.8233469999999999E-3</v>
      </c>
      <c r="AA3001">
        <v>0.86441579999999996</v>
      </c>
      <c r="AB3001">
        <v>27</v>
      </c>
      <c r="AC3001">
        <v>-0.350300000000004</v>
      </c>
      <c r="AD3001">
        <v>-5.1341999999999999E-2</v>
      </c>
      <c r="AE3001">
        <v>-0.86329999999998097</v>
      </c>
      <c r="AF3001">
        <v>-0.517323820238758</v>
      </c>
      <c r="AG3001">
        <v>-5.1341999999999999E-2</v>
      </c>
      <c r="AH3001">
        <v>0.77144342751119299</v>
      </c>
      <c r="AI3001">
        <v>93.163817949024605</v>
      </c>
      <c r="AJ3001">
        <v>123.84549055355799</v>
      </c>
      <c r="AK3001">
        <v>0.93026066121310302</v>
      </c>
      <c r="AL3001">
        <v>92.598032366440606</v>
      </c>
      <c r="AM3001">
        <v>103.655722687319</v>
      </c>
      <c r="AN3001">
        <v>0.99999996093434995</v>
      </c>
    </row>
    <row r="3002" spans="1:40" x14ac:dyDescent="0.25">
      <c r="A3002" t="str">
        <f>"20190305134954834"</f>
        <v>20190305134954834</v>
      </c>
      <c r="B3002" t="str">
        <f>"1551764994823639"</f>
        <v>1551764994823639</v>
      </c>
      <c r="C3002" t="s">
        <v>40</v>
      </c>
      <c r="D3002">
        <v>3.9150680000000002</v>
      </c>
      <c r="E3002">
        <v>0.38703199999999999</v>
      </c>
      <c r="F3002" t="s">
        <v>41</v>
      </c>
      <c r="G3002">
        <v>-480.31139999999999</v>
      </c>
      <c r="H3002">
        <v>1.0756380000000001</v>
      </c>
      <c r="I3002">
        <v>279.5224</v>
      </c>
      <c r="J3002">
        <v>-480.0136</v>
      </c>
      <c r="K3002">
        <v>1.121961</v>
      </c>
      <c r="L3002">
        <v>280.27510000000001</v>
      </c>
      <c r="M3002">
        <v>-0.82419619999999905</v>
      </c>
      <c r="N3002">
        <v>-2.3369460000000002E-2</v>
      </c>
      <c r="O3002">
        <v>-0.56582200000000005</v>
      </c>
      <c r="P3002">
        <v>-0.66426200000000002</v>
      </c>
      <c r="Q3002">
        <v>-6.175448E-2</v>
      </c>
      <c r="R3002">
        <v>-0.74494450000000001</v>
      </c>
      <c r="S3002">
        <v>-1.3405149999999999</v>
      </c>
      <c r="T3002">
        <v>-0.15867410000000001</v>
      </c>
      <c r="U3002">
        <v>-2.8286129999999998</v>
      </c>
      <c r="V3002">
        <v>-0.23705619999999999</v>
      </c>
      <c r="W3002">
        <v>-4.546687E-2</v>
      </c>
      <c r="X3002">
        <v>0.97043140000000006</v>
      </c>
      <c r="Y3002">
        <v>-0.50195970000000001</v>
      </c>
      <c r="Z3002">
        <v>-9.8635210000000005E-4</v>
      </c>
      <c r="AA3002">
        <v>0.86489039999999995</v>
      </c>
      <c r="AB3002">
        <v>27</v>
      </c>
      <c r="AC3002">
        <v>-0.29779999999999501</v>
      </c>
      <c r="AD3002">
        <v>-4.63230000000001E-2</v>
      </c>
      <c r="AE3002">
        <v>-0.75270000000000403</v>
      </c>
      <c r="AF3002">
        <v>-0.45051873759820898</v>
      </c>
      <c r="AG3002">
        <v>-4.63230000000001E-2</v>
      </c>
      <c r="AH3002">
        <v>0.66933126810495402</v>
      </c>
      <c r="AI3002">
        <v>93.285956547625901</v>
      </c>
      <c r="AJ3002">
        <v>123.94401749836901</v>
      </c>
      <c r="AK3002">
        <v>0.80815672967504804</v>
      </c>
      <c r="AL3002">
        <v>92.605958165959706</v>
      </c>
      <c r="AM3002">
        <v>103.72733365166501</v>
      </c>
      <c r="AN3002">
        <v>0.99999999016599805</v>
      </c>
    </row>
    <row r="3003" spans="1:40" x14ac:dyDescent="0.25">
      <c r="A3003" t="str">
        <f>"20190305134954846"</f>
        <v>20190305134954846</v>
      </c>
      <c r="B3003" t="str">
        <f>"1551764994833398"</f>
        <v>1551764994833398</v>
      </c>
      <c r="C3003" t="s">
        <v>40</v>
      </c>
      <c r="D3003">
        <v>3.8945120000000002</v>
      </c>
      <c r="E3003">
        <v>0.38764939999999998</v>
      </c>
      <c r="F3003" t="s">
        <v>41</v>
      </c>
      <c r="G3003">
        <v>-480.44709999999998</v>
      </c>
      <c r="H3003">
        <v>1.0709569999999999</v>
      </c>
      <c r="I3003">
        <v>279.34480000000002</v>
      </c>
      <c r="J3003">
        <v>-480.1164</v>
      </c>
      <c r="K3003">
        <v>1.122001</v>
      </c>
      <c r="L3003">
        <v>280.19470000000001</v>
      </c>
      <c r="M3003">
        <v>-0.81972099999999903</v>
      </c>
      <c r="N3003">
        <v>-2.3329039999999999E-2</v>
      </c>
      <c r="O3003">
        <v>-0.57228780000000001</v>
      </c>
      <c r="P3003">
        <v>-0.65738699999999906</v>
      </c>
      <c r="Q3003">
        <v>-6.1528760000000002E-2</v>
      </c>
      <c r="R3003">
        <v>-0.75103710000000001</v>
      </c>
      <c r="S3003">
        <v>-1.321075</v>
      </c>
      <c r="T3003">
        <v>-0.15545870000000001</v>
      </c>
      <c r="U3003">
        <v>-2.8362430000000001</v>
      </c>
      <c r="V3003">
        <v>-0.2383547</v>
      </c>
      <c r="W3003">
        <v>-4.5354709999999999E-2</v>
      </c>
      <c r="X3003">
        <v>0.97011849999999999</v>
      </c>
      <c r="Y3003">
        <v>-0.50093509999999997</v>
      </c>
      <c r="Z3003">
        <v>-1.003604E-3</v>
      </c>
      <c r="AA3003">
        <v>0.86548419999999904</v>
      </c>
      <c r="AB3003">
        <v>26</v>
      </c>
      <c r="AC3003">
        <v>-0.33069999999997801</v>
      </c>
      <c r="AD3003">
        <v>-5.1043999999999999E-2</v>
      </c>
      <c r="AE3003">
        <v>-0.84989999999999</v>
      </c>
      <c r="AF3003">
        <v>-0.50597831135151605</v>
      </c>
      <c r="AG3003">
        <v>-5.1043999999999999E-2</v>
      </c>
      <c r="AH3003">
        <v>0.75530911141152102</v>
      </c>
      <c r="AI3003">
        <v>93.213576295911693</v>
      </c>
      <c r="AJ3003">
        <v>123.817959782919</v>
      </c>
      <c r="AK3003">
        <v>0.91055554211447998</v>
      </c>
      <c r="AL3003">
        <v>92.599525317705897</v>
      </c>
      <c r="AM3003">
        <v>103.80394026818701</v>
      </c>
      <c r="AN3003">
        <v>0.99999995838676103</v>
      </c>
    </row>
    <row r="3004" spans="1:40" x14ac:dyDescent="0.25">
      <c r="A3004" t="str">
        <f>"20190305134954856"</f>
        <v>20190305134954856</v>
      </c>
      <c r="B3004" t="str">
        <f>"1551764994852918"</f>
        <v>1551764994852918</v>
      </c>
      <c r="C3004" t="s">
        <v>40</v>
      </c>
      <c r="D3004">
        <v>3.9232429999999998</v>
      </c>
      <c r="E3004">
        <v>0.38888689999999998</v>
      </c>
      <c r="F3004" t="s">
        <v>41</v>
      </c>
      <c r="G3004">
        <v>-480.48790000000002</v>
      </c>
      <c r="H3004">
        <v>1.0788719999999901</v>
      </c>
      <c r="I3004">
        <v>279.38130000000001</v>
      </c>
      <c r="J3004">
        <v>-480.21089999999998</v>
      </c>
      <c r="K3004">
        <v>1.122037</v>
      </c>
      <c r="L3004">
        <v>280.11930000000001</v>
      </c>
      <c r="M3004">
        <v>-0.81547389999999997</v>
      </c>
      <c r="N3004">
        <v>-2.328183E-2</v>
      </c>
      <c r="O3004">
        <v>-0.57832550000000005</v>
      </c>
      <c r="P3004">
        <v>-0.65072869999999905</v>
      </c>
      <c r="Q3004">
        <v>-6.1038170000000003E-2</v>
      </c>
      <c r="R3004">
        <v>-0.756853</v>
      </c>
      <c r="S3004">
        <v>-1.2990109999999999</v>
      </c>
      <c r="T3004">
        <v>-0.15081069999999999</v>
      </c>
      <c r="U3004">
        <v>-2.8450929999999999</v>
      </c>
      <c r="V3004">
        <v>-0.23979519999999999</v>
      </c>
      <c r="W3004">
        <v>-4.4985919999999999E-2</v>
      </c>
      <c r="X3004">
        <v>0.96978059999999999</v>
      </c>
      <c r="Y3004">
        <v>-0.50113569999999996</v>
      </c>
      <c r="Z3004">
        <v>-1.2572620000000001E-3</v>
      </c>
      <c r="AA3004">
        <v>0.86536780000000002</v>
      </c>
      <c r="AB3004">
        <v>26</v>
      </c>
      <c r="AC3004">
        <v>-0.27700000000004299</v>
      </c>
      <c r="AD3004">
        <v>-4.31650000000003E-2</v>
      </c>
      <c r="AE3004">
        <v>-0.73799999999999899</v>
      </c>
      <c r="AF3004">
        <v>-0.44042266006718001</v>
      </c>
      <c r="AG3004">
        <v>-4.31650000000003E-2</v>
      </c>
      <c r="AH3004">
        <v>0.65091561675203102</v>
      </c>
      <c r="AI3004">
        <v>93.1437092386968</v>
      </c>
      <c r="AJ3004">
        <v>124.08307612446499</v>
      </c>
      <c r="AK3004">
        <v>0.787100042470668</v>
      </c>
      <c r="AL3004">
        <v>92.578373660114494</v>
      </c>
      <c r="AM3004">
        <v>103.888796366047</v>
      </c>
      <c r="AN3004">
        <v>0.99999994153882099</v>
      </c>
    </row>
    <row r="3005" spans="1:40" x14ac:dyDescent="0.25">
      <c r="A3005" t="str">
        <f>"20190305134954867"</f>
        <v>20190305134954867</v>
      </c>
      <c r="B3005" t="str">
        <f>"1551764994863654"</f>
        <v>1551764994863654</v>
      </c>
      <c r="C3005" t="s">
        <v>40</v>
      </c>
      <c r="D3005">
        <v>3.8856410000000001</v>
      </c>
      <c r="E3005">
        <v>0.3894764</v>
      </c>
      <c r="F3005" t="s">
        <v>41</v>
      </c>
      <c r="G3005">
        <v>-480.62189999999998</v>
      </c>
      <c r="H3005">
        <v>1.076552</v>
      </c>
      <c r="I3005">
        <v>279.20530000000002</v>
      </c>
      <c r="J3005">
        <v>-480.30619999999999</v>
      </c>
      <c r="K3005">
        <v>1.122072</v>
      </c>
      <c r="L3005">
        <v>280.04239999999999</v>
      </c>
      <c r="M3005">
        <v>-0.81109849999999994</v>
      </c>
      <c r="N3005">
        <v>-2.3227859999999999E-2</v>
      </c>
      <c r="O3005">
        <v>-0.58444839999999998</v>
      </c>
      <c r="P3005">
        <v>-0.643818</v>
      </c>
      <c r="Q3005">
        <v>-6.1100740000000001E-2</v>
      </c>
      <c r="R3005">
        <v>-0.76273579999999996</v>
      </c>
      <c r="S3005">
        <v>-1.2813110000000001</v>
      </c>
      <c r="T3005">
        <v>-0.14181070000000001</v>
      </c>
      <c r="U3005">
        <v>-2.8506469999999999</v>
      </c>
      <c r="V3005">
        <v>-0.24129990000000001</v>
      </c>
      <c r="W3005">
        <v>-4.5180320000000003E-2</v>
      </c>
      <c r="X3005">
        <v>0.96939830000000005</v>
      </c>
      <c r="Y3005">
        <v>-0.4997586</v>
      </c>
      <c r="Z3005">
        <v>-1.971324E-3</v>
      </c>
      <c r="AA3005">
        <v>0.86616249999999995</v>
      </c>
      <c r="AB3005">
        <v>26</v>
      </c>
      <c r="AC3005">
        <v>-0.31569999999999199</v>
      </c>
      <c r="AD3005">
        <v>-4.5519999999999998E-2</v>
      </c>
      <c r="AE3005">
        <v>-0.83709999999996398</v>
      </c>
      <c r="AF3005">
        <v>-0.49331648745668799</v>
      </c>
      <c r="AG3005">
        <v>-4.5519999999999998E-2</v>
      </c>
      <c r="AH3005">
        <v>0.74358162932227501</v>
      </c>
      <c r="AI3005">
        <v>92.920230397243799</v>
      </c>
      <c r="AJ3005">
        <v>123.56160285511901</v>
      </c>
      <c r="AK3005">
        <v>0.89350258346698297</v>
      </c>
      <c r="AL3005">
        <v>92.589523187974294</v>
      </c>
      <c r="AM3005">
        <v>103.977837556368</v>
      </c>
      <c r="AN3005">
        <v>0.99999998354910102</v>
      </c>
    </row>
    <row r="3006" spans="1:40" x14ac:dyDescent="0.25">
      <c r="A3006" t="str">
        <f>"20190305134954877"</f>
        <v>20190305134954877</v>
      </c>
      <c r="B3006" t="str">
        <f>"1551764994873414"</f>
        <v>1551764994873414</v>
      </c>
      <c r="C3006" t="s">
        <v>40</v>
      </c>
      <c r="D3006">
        <v>3.9121139999999999</v>
      </c>
      <c r="E3006">
        <v>0.39004060000000002</v>
      </c>
      <c r="F3006" t="s">
        <v>41</v>
      </c>
      <c r="G3006">
        <v>-480.68079999999998</v>
      </c>
      <c r="H3006">
        <v>1.0808629999999999</v>
      </c>
      <c r="I3006">
        <v>279.19209999999998</v>
      </c>
      <c r="J3006">
        <v>-480.39499999999998</v>
      </c>
      <c r="K3006">
        <v>1.1220969999999999</v>
      </c>
      <c r="L3006">
        <v>279.96910000000003</v>
      </c>
      <c r="M3006">
        <v>-0.80687790000000004</v>
      </c>
      <c r="N3006">
        <v>-2.316754E-2</v>
      </c>
      <c r="O3006">
        <v>-0.59026389999999995</v>
      </c>
      <c r="P3006">
        <v>-0.63713149999999996</v>
      </c>
      <c r="Q3006">
        <v>-6.0922839999999999E-2</v>
      </c>
      <c r="R3006">
        <v>-0.76834389999999997</v>
      </c>
      <c r="S3006">
        <v>-1.259125</v>
      </c>
      <c r="T3006">
        <v>-0.138519899999999</v>
      </c>
      <c r="U3006">
        <v>-2.8593139999999999</v>
      </c>
      <c r="V3006">
        <v>-0.24280599999999999</v>
      </c>
      <c r="W3006">
        <v>-4.5138400000000002E-2</v>
      </c>
      <c r="X3006">
        <v>0.96902410000000005</v>
      </c>
      <c r="Y3006">
        <v>-0.50014409999999998</v>
      </c>
      <c r="Z3006">
        <v>-2.1170490000000002E-3</v>
      </c>
      <c r="AA3006">
        <v>0.86593960000000003</v>
      </c>
      <c r="AB3006">
        <v>26</v>
      </c>
      <c r="AC3006">
        <v>-0.285799999999994</v>
      </c>
      <c r="AD3006">
        <v>-4.1233999999999903E-2</v>
      </c>
      <c r="AE3006">
        <v>-0.77700000000004299</v>
      </c>
      <c r="AF3006">
        <v>-0.45723547177535201</v>
      </c>
      <c r="AG3006">
        <v>-4.1233999999999903E-2</v>
      </c>
      <c r="AH3006">
        <v>0.68771977511369597</v>
      </c>
      <c r="AI3006">
        <v>92.858368138665895</v>
      </c>
      <c r="AJ3006">
        <v>123.61823430868399</v>
      </c>
      <c r="AK3006">
        <v>0.82687544919900802</v>
      </c>
      <c r="AL3006">
        <v>92.587118937315594</v>
      </c>
      <c r="AM3006">
        <v>104.066845060565</v>
      </c>
      <c r="AN3006">
        <v>0.99999996758568399</v>
      </c>
    </row>
    <row r="3007" spans="1:40" x14ac:dyDescent="0.25">
      <c r="A3007" t="str">
        <f>"20190305134954888"</f>
        <v>20190305134954888</v>
      </c>
      <c r="B3007" t="str">
        <f>"1551764994883173"</f>
        <v>1551764994883173</v>
      </c>
      <c r="C3007" t="s">
        <v>40</v>
      </c>
      <c r="D3007">
        <v>3.942056</v>
      </c>
      <c r="E3007">
        <v>0.39004060000000002</v>
      </c>
      <c r="F3007" t="s">
        <v>41</v>
      </c>
      <c r="G3007">
        <v>-480.78800000000001</v>
      </c>
      <c r="H3007">
        <v>1.0794629999999901</v>
      </c>
      <c r="I3007">
        <v>279.05880000000002</v>
      </c>
      <c r="J3007">
        <v>-480.49340000000001</v>
      </c>
      <c r="K3007">
        <v>1.122125</v>
      </c>
      <c r="L3007">
        <v>279.88709999999998</v>
      </c>
      <c r="M3007">
        <v>-0.80211339999999998</v>
      </c>
      <c r="N3007">
        <v>-2.3096149999999999E-2</v>
      </c>
      <c r="O3007">
        <v>-0.59672519999999996</v>
      </c>
      <c r="P3007">
        <v>-0.6295598</v>
      </c>
      <c r="Q3007">
        <v>-6.1045219999999997E-2</v>
      </c>
      <c r="R3007">
        <v>-0.77455019999999997</v>
      </c>
      <c r="S3007">
        <v>-1.237854</v>
      </c>
      <c r="T3007">
        <v>-0.1343058</v>
      </c>
      <c r="U3007">
        <v>-2.8673709999999999</v>
      </c>
      <c r="V3007">
        <v>-0.2445136</v>
      </c>
      <c r="W3007">
        <v>-4.541808E-2</v>
      </c>
      <c r="X3007">
        <v>0.96858160000000004</v>
      </c>
      <c r="Y3007">
        <v>-0.49950909999999898</v>
      </c>
      <c r="Z3007">
        <v>-2.3237290000000001E-3</v>
      </c>
      <c r="AA3007">
        <v>0.86630549999999995</v>
      </c>
      <c r="AB3007">
        <v>26</v>
      </c>
      <c r="AC3007">
        <v>-0.29460000000000203</v>
      </c>
      <c r="AD3007">
        <v>-4.26620000000002E-2</v>
      </c>
      <c r="AE3007">
        <v>-0.82829999999995596</v>
      </c>
      <c r="AF3007">
        <v>-0.48757737446645799</v>
      </c>
      <c r="AG3007">
        <v>-4.26620000000002E-2</v>
      </c>
      <c r="AH3007">
        <v>0.72904806381274601</v>
      </c>
      <c r="AI3007">
        <v>92.784774057241805</v>
      </c>
      <c r="AJ3007">
        <v>123.77406426581901</v>
      </c>
      <c r="AK3007">
        <v>0.87810182876743803</v>
      </c>
      <c r="AL3007">
        <v>92.603159764404495</v>
      </c>
      <c r="AM3007">
        <v>104.168016128003</v>
      </c>
      <c r="AN3007">
        <v>1.0000000092171999</v>
      </c>
    </row>
    <row r="3008" spans="1:40" x14ac:dyDescent="0.25">
      <c r="A3008" t="str">
        <f>"20190305134954899"</f>
        <v>20190305134954899</v>
      </c>
      <c r="B3008" t="str">
        <f>"1551764994893911"</f>
        <v>1551764994893911</v>
      </c>
      <c r="C3008" t="s">
        <v>40</v>
      </c>
      <c r="D3008">
        <v>3.895248</v>
      </c>
      <c r="E3008">
        <v>0.40901850000000001</v>
      </c>
      <c r="F3008" t="s">
        <v>41</v>
      </c>
      <c r="G3008">
        <v>-480.86739999999998</v>
      </c>
      <c r="H3008">
        <v>1.080659</v>
      </c>
      <c r="I3008">
        <v>278.99680000000001</v>
      </c>
      <c r="J3008">
        <v>-480.58479999999997</v>
      </c>
      <c r="K3008">
        <v>1.122153</v>
      </c>
      <c r="L3008">
        <v>279.80880000000002</v>
      </c>
      <c r="M3008">
        <v>-0.79749979999999998</v>
      </c>
      <c r="N3008">
        <v>-2.3016709999999999E-2</v>
      </c>
      <c r="O3008">
        <v>-0.60287990000000002</v>
      </c>
      <c r="P3008">
        <v>-0.62225240000000004</v>
      </c>
      <c r="Q3008">
        <v>-6.1720730000000001E-2</v>
      </c>
      <c r="R3008">
        <v>-0.78037990000000002</v>
      </c>
      <c r="S3008">
        <v>-1.2095640000000001</v>
      </c>
      <c r="T3008">
        <v>-0.13410649999999999</v>
      </c>
      <c r="U3008">
        <v>-2.8795169999999999</v>
      </c>
      <c r="V3008">
        <v>-0.24609220000000001</v>
      </c>
      <c r="W3008">
        <v>-4.6254789999999997E-2</v>
      </c>
      <c r="X3008">
        <v>0.96814210000000001</v>
      </c>
      <c r="Y3008">
        <v>-0.50138459999999996</v>
      </c>
      <c r="Z3008">
        <v>-2.1411049999999999E-3</v>
      </c>
      <c r="AA3008">
        <v>0.86522189999999999</v>
      </c>
      <c r="AB3008">
        <v>26</v>
      </c>
      <c r="AC3008">
        <v>-0.28260000000000202</v>
      </c>
      <c r="AD3008">
        <v>-4.1493999999999899E-2</v>
      </c>
      <c r="AE3008">
        <v>-0.81200000000001105</v>
      </c>
      <c r="AF3008">
        <v>-0.476213269483861</v>
      </c>
      <c r="AG3008">
        <v>-4.1493999999999899E-2</v>
      </c>
      <c r="AH3008">
        <v>0.71343967614461101</v>
      </c>
      <c r="AI3008">
        <v>92.769471712067499</v>
      </c>
      <c r="AJ3008">
        <v>123.722681491477</v>
      </c>
      <c r="AK3008">
        <v>0.85877645610824505</v>
      </c>
      <c r="AL3008">
        <v>92.651150178367899</v>
      </c>
      <c r="AM3008">
        <v>104.26197622558099</v>
      </c>
      <c r="AN3008">
        <v>1.0000000011455901</v>
      </c>
    </row>
    <row r="3009" spans="1:40" x14ac:dyDescent="0.25">
      <c r="A3009" t="str">
        <f>"20190305134954910"</f>
        <v>20190305134954910</v>
      </c>
      <c r="B3009" t="str">
        <f>"1551764994903670"</f>
        <v>1551764994903670</v>
      </c>
      <c r="C3009" t="s">
        <v>40</v>
      </c>
      <c r="D3009">
        <v>3.9362149999999998</v>
      </c>
      <c r="E3009">
        <v>0.40908549999999999</v>
      </c>
      <c r="F3009" t="s">
        <v>42</v>
      </c>
      <c r="G3009">
        <v>-501.60770000000002</v>
      </c>
      <c r="H3009">
        <v>7.9985420000000002E-2</v>
      </c>
      <c r="I3009">
        <v>234.61250000000001</v>
      </c>
      <c r="J3009">
        <v>-480.67759999999998</v>
      </c>
      <c r="K3009">
        <v>1.122182</v>
      </c>
      <c r="L3009">
        <v>279.72910000000002</v>
      </c>
      <c r="M3009">
        <v>-0.79275699999999905</v>
      </c>
      <c r="N3009">
        <v>-2.2933459999999999E-2</v>
      </c>
      <c r="O3009">
        <v>-0.60910589999999998</v>
      </c>
      <c r="P3009">
        <v>-0.61489890000000003</v>
      </c>
      <c r="Q3009">
        <v>-6.1966720000000003E-2</v>
      </c>
      <c r="R3009">
        <v>-0.78616750000000002</v>
      </c>
      <c r="S3009">
        <v>-1.302673</v>
      </c>
      <c r="T3009">
        <v>-6.4577460000000003E-2</v>
      </c>
      <c r="U3009">
        <v>-2.8005680000000002</v>
      </c>
      <c r="V3009">
        <v>-0.2475686</v>
      </c>
      <c r="W3009">
        <v>-4.6662339999999997E-2</v>
      </c>
      <c r="X3009">
        <v>0.96774610000000005</v>
      </c>
      <c r="Y3009">
        <v>-0.46177869999999999</v>
      </c>
      <c r="Z3009">
        <v>-9.7462599999999996E-3</v>
      </c>
      <c r="AA3009">
        <v>0.886941599999999</v>
      </c>
      <c r="AB3009">
        <v>26</v>
      </c>
      <c r="AC3009">
        <v>-20.930099999999999</v>
      </c>
      <c r="AD3009">
        <v>-1.0421965799999999</v>
      </c>
      <c r="AE3009">
        <v>-45.116599999999998</v>
      </c>
      <c r="AF3009">
        <v>-23.013807480479102</v>
      </c>
      <c r="AG3009">
        <v>-1.0421965799999999</v>
      </c>
      <c r="AH3009">
        <v>44.065524272525899</v>
      </c>
      <c r="AI3009">
        <v>91.200982383293194</v>
      </c>
      <c r="AJ3009">
        <v>117.576414575847</v>
      </c>
      <c r="AK3009">
        <v>49.724158493357102</v>
      </c>
      <c r="AL3009">
        <v>92.674526184161294</v>
      </c>
      <c r="AM3009">
        <v>104.34964568378101</v>
      </c>
      <c r="AN3009">
        <v>1.00000004987272</v>
      </c>
    </row>
    <row r="3010" spans="1:40" x14ac:dyDescent="0.25">
      <c r="A3010" t="str">
        <f>"20190305134954920"</f>
        <v>20190305134954920</v>
      </c>
      <c r="B3010" t="str">
        <f>"1551764994913430"</f>
        <v>1551764994913430</v>
      </c>
      <c r="C3010" t="s">
        <v>40</v>
      </c>
      <c r="D3010">
        <v>3.9535300000000002</v>
      </c>
      <c r="E3010">
        <v>0.40930889999999998</v>
      </c>
      <c r="F3010" t="s">
        <v>62</v>
      </c>
      <c r="G3010">
        <v>-504.71039999999999</v>
      </c>
      <c r="H3010">
        <v>8.0000009999999996E-2</v>
      </c>
      <c r="I3010">
        <v>226.82300000000001</v>
      </c>
      <c r="J3010">
        <v>-480.76929999999999</v>
      </c>
      <c r="K3010">
        <v>1.122209</v>
      </c>
      <c r="L3010">
        <v>279.64760000000001</v>
      </c>
      <c r="M3010">
        <v>-0.78785319999999903</v>
      </c>
      <c r="N3010">
        <v>-2.2841159999999999E-2</v>
      </c>
      <c r="O3010">
        <v>-0.61543950000000003</v>
      </c>
      <c r="P3010">
        <v>-0.60738179999999997</v>
      </c>
      <c r="Q3010">
        <v>-6.2404630000000003E-2</v>
      </c>
      <c r="R3010">
        <v>-0.79195539999999998</v>
      </c>
      <c r="S3010">
        <v>-1.2775270000000001</v>
      </c>
      <c r="T3010">
        <v>-5.5399660000000003E-2</v>
      </c>
      <c r="U3010">
        <v>-2.8123469999999999</v>
      </c>
      <c r="V3010">
        <v>-0.24898390000000001</v>
      </c>
      <c r="W3010">
        <v>-4.727013E-2</v>
      </c>
      <c r="X3010">
        <v>0.96735340000000003</v>
      </c>
      <c r="Y3010">
        <v>-0.46267809999999998</v>
      </c>
      <c r="Z3010">
        <v>-1.0905150000000001E-2</v>
      </c>
      <c r="AA3010">
        <v>0.88645929999999995</v>
      </c>
      <c r="AB3010">
        <v>26</v>
      </c>
      <c r="AC3010">
        <v>-23.941099999999999</v>
      </c>
      <c r="AD3010">
        <v>-1.04220899</v>
      </c>
      <c r="AE3010">
        <v>-52.824599999999997</v>
      </c>
      <c r="AF3010">
        <v>-26.882064054125699</v>
      </c>
      <c r="AG3010">
        <v>-1.04220899</v>
      </c>
      <c r="AH3010">
        <v>51.369231250199697</v>
      </c>
      <c r="AI3010">
        <v>91.029835316649695</v>
      </c>
      <c r="AJ3010">
        <v>117.62353994561499</v>
      </c>
      <c r="AK3010">
        <v>57.987321774896998</v>
      </c>
      <c r="AL3010">
        <v>92.709388526053502</v>
      </c>
      <c r="AM3010">
        <v>104.43387704687601</v>
      </c>
      <c r="AN3010">
        <v>1.00000002407049</v>
      </c>
    </row>
    <row r="3011" spans="1:40" x14ac:dyDescent="0.25">
      <c r="A3011" t="str">
        <f>"20190305134954930"</f>
        <v>20190305134954930</v>
      </c>
      <c r="B3011" t="str">
        <f>"1551764994923191"</f>
        <v>1551764994923191</v>
      </c>
      <c r="C3011" t="s">
        <v>40</v>
      </c>
      <c r="D3011">
        <v>3.9645769999999998</v>
      </c>
      <c r="E3011">
        <v>0.40877469999999999</v>
      </c>
      <c r="F3011" t="s">
        <v>43</v>
      </c>
      <c r="G3011">
        <v>-510.8646</v>
      </c>
      <c r="H3011">
        <v>-0.05</v>
      </c>
      <c r="I3011">
        <v>211.78020000000001</v>
      </c>
      <c r="J3011">
        <v>-480.85410000000002</v>
      </c>
      <c r="K3011">
        <v>1.1222350000000001</v>
      </c>
      <c r="L3011">
        <v>279.57209999999998</v>
      </c>
      <c r="M3011">
        <v>-0.78326399999999996</v>
      </c>
      <c r="N3011">
        <v>-2.275512E-2</v>
      </c>
      <c r="O3011">
        <v>-0.62127279999999996</v>
      </c>
      <c r="P3011">
        <v>-0.60041020000000001</v>
      </c>
      <c r="Q3011">
        <v>-6.2993499999999994E-2</v>
      </c>
      <c r="R3011">
        <v>-0.79720749999999996</v>
      </c>
      <c r="S3011">
        <v>-1.2522279999999999</v>
      </c>
      <c r="T3011">
        <v>-4.8774240000000003E-2</v>
      </c>
      <c r="U3011">
        <v>-2.8238829999999999</v>
      </c>
      <c r="V3011">
        <v>-0.2502257</v>
      </c>
      <c r="W3011">
        <v>-4.8014759999999997E-2</v>
      </c>
      <c r="X3011">
        <v>0.96699619999999997</v>
      </c>
      <c r="Y3011">
        <v>-0.46409850000000002</v>
      </c>
      <c r="Z3011">
        <v>-1.176425E-2</v>
      </c>
      <c r="AA3011">
        <v>0.88570550000000003</v>
      </c>
      <c r="AB3011">
        <v>26</v>
      </c>
      <c r="AC3011">
        <v>-30.010499999999901</v>
      </c>
      <c r="AD3011">
        <v>-1.1722349999999999</v>
      </c>
      <c r="AE3011">
        <v>-67.791899999999899</v>
      </c>
      <c r="AF3011">
        <v>-34.454553964268101</v>
      </c>
      <c r="AG3011">
        <v>-1.1722349999999999</v>
      </c>
      <c r="AH3011">
        <v>65.623991706403004</v>
      </c>
      <c r="AI3011">
        <v>90.906090592750502</v>
      </c>
      <c r="AJ3011">
        <v>117.700813147932</v>
      </c>
      <c r="AK3011">
        <v>74.128258520310197</v>
      </c>
      <c r="AL3011">
        <v>92.752101293585199</v>
      </c>
      <c r="AM3011">
        <v>104.507968063403</v>
      </c>
      <c r="AN3011">
        <v>0.99999998446639304</v>
      </c>
    </row>
    <row r="3012" spans="1:40" x14ac:dyDescent="0.25">
      <c r="A3012" t="str">
        <f>"20190305134954941"</f>
        <v>20190305134954941</v>
      </c>
      <c r="B3012" t="str">
        <f>"1551764994932951"</f>
        <v>1551764994932951</v>
      </c>
      <c r="C3012" t="s">
        <v>40</v>
      </c>
      <c r="D3012">
        <v>4.0046010000000001</v>
      </c>
      <c r="E3012">
        <v>0.40858220000000001</v>
      </c>
      <c r="F3012" t="s">
        <v>42</v>
      </c>
      <c r="G3012">
        <v>-499.97039999999998</v>
      </c>
      <c r="H3012">
        <v>6.2654249999999995E-2</v>
      </c>
      <c r="I3012">
        <v>235.2636</v>
      </c>
      <c r="J3012">
        <v>-480.94490000000002</v>
      </c>
      <c r="K3012">
        <v>1.122263</v>
      </c>
      <c r="L3012">
        <v>279.48899999999998</v>
      </c>
      <c r="M3012">
        <v>-0.77815800000000002</v>
      </c>
      <c r="N3012">
        <v>-2.2662419999999999E-2</v>
      </c>
      <c r="O3012">
        <v>-0.62765979999999999</v>
      </c>
      <c r="P3012">
        <v>-0.59276680000000004</v>
      </c>
      <c r="Q3012">
        <v>-6.373711E-2</v>
      </c>
      <c r="R3012">
        <v>-0.80284849999999996</v>
      </c>
      <c r="S3012">
        <v>-1.223633</v>
      </c>
      <c r="T3012">
        <v>-6.7823530000000007E-2</v>
      </c>
      <c r="U3012">
        <v>-2.836182</v>
      </c>
      <c r="V3012">
        <v>-0.25147740000000002</v>
      </c>
      <c r="W3012">
        <v>-4.8922090000000001E-2</v>
      </c>
      <c r="X3012">
        <v>0.96662599999999999</v>
      </c>
      <c r="Y3012">
        <v>-0.46571259999999998</v>
      </c>
      <c r="Z3012">
        <v>-9.0281649999999995E-3</v>
      </c>
      <c r="AA3012">
        <v>0.88488999999999995</v>
      </c>
      <c r="AB3012">
        <v>26</v>
      </c>
      <c r="AC3012">
        <v>-19.025499999999901</v>
      </c>
      <c r="AD3012">
        <v>-1.05960875</v>
      </c>
      <c r="AE3012">
        <v>-44.2254</v>
      </c>
      <c r="AF3012">
        <v>-22.467693819067101</v>
      </c>
      <c r="AG3012">
        <v>-1.05960875</v>
      </c>
      <c r="AH3012">
        <v>42.553665870472102</v>
      </c>
      <c r="AI3012">
        <v>91.261435703873204</v>
      </c>
      <c r="AJ3012">
        <v>117.83337822459301</v>
      </c>
      <c r="AK3012">
        <v>48.132468410275898</v>
      </c>
      <c r="AL3012">
        <v>92.804148493972306</v>
      </c>
      <c r="AM3012">
        <v>104.582801597611</v>
      </c>
      <c r="AN3012">
        <v>1.0000000387383601</v>
      </c>
    </row>
    <row r="3013" spans="1:40" x14ac:dyDescent="0.25">
      <c r="A3013" t="str">
        <f>"20190305134954952"</f>
        <v>20190305134954952</v>
      </c>
      <c r="B3013" t="str">
        <f>"1551764994943685"</f>
        <v>1551764994943685</v>
      </c>
      <c r="C3013" t="s">
        <v>40</v>
      </c>
      <c r="D3013">
        <v>3.9985580000000001</v>
      </c>
      <c r="E3013">
        <v>0.40866229999999998</v>
      </c>
      <c r="F3013" t="s">
        <v>42</v>
      </c>
      <c r="G3013">
        <v>-497.67809999999997</v>
      </c>
      <c r="H3013" s="1">
        <v>-5.6575649999999999E-6</v>
      </c>
      <c r="I3013">
        <v>239.6096</v>
      </c>
      <c r="J3013">
        <v>-481.03199999999998</v>
      </c>
      <c r="K3013">
        <v>1.122288</v>
      </c>
      <c r="L3013">
        <v>279.4085</v>
      </c>
      <c r="M3013">
        <v>-0.77317060000000004</v>
      </c>
      <c r="N3013">
        <v>-2.257404E-2</v>
      </c>
      <c r="O3013">
        <v>-0.63379619999999903</v>
      </c>
      <c r="P3013">
        <v>-0.58542069999999902</v>
      </c>
      <c r="Q3013">
        <v>-6.3871999999999998E-2</v>
      </c>
      <c r="R3013">
        <v>-0.80820959999999997</v>
      </c>
      <c r="S3013">
        <v>-1.1950379999999901</v>
      </c>
      <c r="T3013">
        <v>-8.0149650000000003E-2</v>
      </c>
      <c r="U3013">
        <v>-2.8480829999999999</v>
      </c>
      <c r="V3013">
        <v>-0.25262410000000002</v>
      </c>
      <c r="W3013">
        <v>-4.9210539999999997E-2</v>
      </c>
      <c r="X3013">
        <v>0.96631230000000001</v>
      </c>
      <c r="Y3013">
        <v>-0.46754459999999998</v>
      </c>
      <c r="Z3013">
        <v>-7.1784910000000004E-3</v>
      </c>
      <c r="AA3013">
        <v>0.88394030000000001</v>
      </c>
      <c r="AB3013">
        <v>26</v>
      </c>
      <c r="AC3013">
        <v>-16.646099999999901</v>
      </c>
      <c r="AD3013">
        <v>-1.122293657565</v>
      </c>
      <c r="AE3013">
        <v>-39.798900000000003</v>
      </c>
      <c r="AF3013">
        <v>-20.212579036299299</v>
      </c>
      <c r="AG3013">
        <v>-1.122293657565</v>
      </c>
      <c r="AH3013">
        <v>38.078605594996098</v>
      </c>
      <c r="AI3013">
        <v>91.491236215271002</v>
      </c>
      <c r="AJ3013">
        <v>117.959896920277</v>
      </c>
      <c r="AK3013">
        <v>43.125260560508202</v>
      </c>
      <c r="AL3013">
        <v>92.820695395859801</v>
      </c>
      <c r="AM3013">
        <v>104.650994122326</v>
      </c>
      <c r="AN3013">
        <v>1.0000000371395901</v>
      </c>
    </row>
    <row r="3014" spans="1:40" x14ac:dyDescent="0.25">
      <c r="A3014" t="str">
        <f>"20190305134954963"</f>
        <v>20190305134954963</v>
      </c>
      <c r="B3014" t="str">
        <f>"1551764994953446"</f>
        <v>1551764994953446</v>
      </c>
      <c r="C3014" t="s">
        <v>40</v>
      </c>
      <c r="D3014">
        <v>4.0318009999999997</v>
      </c>
      <c r="E3014">
        <v>0.40894649999999999</v>
      </c>
      <c r="F3014" t="s">
        <v>42</v>
      </c>
      <c r="G3014">
        <v>-495.77550000000002</v>
      </c>
      <c r="H3014" s="1">
        <v>-3.1600319999999999E-6</v>
      </c>
      <c r="I3014">
        <v>243.37309999999999</v>
      </c>
      <c r="J3014">
        <v>-481.11900000000003</v>
      </c>
      <c r="K3014">
        <v>1.122314</v>
      </c>
      <c r="L3014">
        <v>279.32619999999997</v>
      </c>
      <c r="M3014">
        <v>-0.76801949999999997</v>
      </c>
      <c r="N3014">
        <v>-2.248843E-2</v>
      </c>
      <c r="O3014">
        <v>-0.64003160000000003</v>
      </c>
      <c r="P3014">
        <v>-0.57822069999999903</v>
      </c>
      <c r="Q3014">
        <v>-6.4525609999999997E-2</v>
      </c>
      <c r="R3014">
        <v>-0.81332499999999996</v>
      </c>
      <c r="S3014">
        <v>-1.169281</v>
      </c>
      <c r="T3014">
        <v>-8.9007139999999998E-2</v>
      </c>
      <c r="U3014">
        <v>-2.85791</v>
      </c>
      <c r="V3014">
        <v>-0.253320399999999</v>
      </c>
      <c r="W3014">
        <v>-5.0000019999999999E-2</v>
      </c>
      <c r="X3014">
        <v>0.96608939999999999</v>
      </c>
      <c r="Y3014">
        <v>-0.46825339999999999</v>
      </c>
      <c r="Z3014">
        <v>-5.7493249999999996E-3</v>
      </c>
      <c r="AA3014">
        <v>0.88357549999999996</v>
      </c>
      <c r="AB3014">
        <v>26</v>
      </c>
      <c r="AC3014">
        <v>-14.6564999999999</v>
      </c>
      <c r="AD3014">
        <v>-1.1223171600319899</v>
      </c>
      <c r="AE3014">
        <v>-35.9530999999999</v>
      </c>
      <c r="AF3014">
        <v>-18.221443940137199</v>
      </c>
      <c r="AG3014">
        <v>-1.1223171600319899</v>
      </c>
      <c r="AH3014">
        <v>34.247647145055502</v>
      </c>
      <c r="AI3014">
        <v>91.657143307010998</v>
      </c>
      <c r="AJ3014">
        <v>118.015188412702</v>
      </c>
      <c r="AK3014">
        <v>38.8095600341397</v>
      </c>
      <c r="AL3014">
        <v>92.865985193271101</v>
      </c>
      <c r="AM3014">
        <v>104.69287458560299</v>
      </c>
      <c r="AN3014">
        <v>0.99999997792425899</v>
      </c>
    </row>
    <row r="3015" spans="1:40" x14ac:dyDescent="0.25">
      <c r="A3015" t="str">
        <f>"20190305134954975"</f>
        <v>20190305134954975</v>
      </c>
      <c r="B3015" t="str">
        <f>"1551764994963206"</f>
        <v>1551764994963206</v>
      </c>
      <c r="C3015" t="s">
        <v>40</v>
      </c>
      <c r="D3015">
        <v>4.0115669999999897</v>
      </c>
      <c r="E3015">
        <v>0.40939999999999999</v>
      </c>
      <c r="F3015" t="s">
        <v>42</v>
      </c>
      <c r="G3015">
        <v>-494.03649999999999</v>
      </c>
      <c r="H3015" s="1">
        <v>-4.1238420000000001E-6</v>
      </c>
      <c r="I3015">
        <v>247.0009</v>
      </c>
      <c r="J3015">
        <v>-481.21300000000002</v>
      </c>
      <c r="K3015">
        <v>1.122344</v>
      </c>
      <c r="L3015">
        <v>279.23599999999999</v>
      </c>
      <c r="M3015">
        <v>-0.76231389999999999</v>
      </c>
      <c r="N3015">
        <v>-2.2398520000000002E-2</v>
      </c>
      <c r="O3015">
        <v>-0.646819699999999</v>
      </c>
      <c r="P3015">
        <v>-0.5703859</v>
      </c>
      <c r="Q3015">
        <v>-6.5575610000000006E-2</v>
      </c>
      <c r="R3015">
        <v>-0.81875500000000001</v>
      </c>
      <c r="S3015">
        <v>-1.145416</v>
      </c>
      <c r="T3015">
        <v>-9.9518540000000003E-2</v>
      </c>
      <c r="U3015">
        <v>-2.8663639999999999</v>
      </c>
      <c r="V3015">
        <v>-0.25392320000000002</v>
      </c>
      <c r="W3015">
        <v>-5.1190329999999999E-2</v>
      </c>
      <c r="X3015">
        <v>0.96586879999999997</v>
      </c>
      <c r="Y3015">
        <v>-0.46762550000000003</v>
      </c>
      <c r="Z3015">
        <v>-3.9812349999999996E-3</v>
      </c>
      <c r="AA3015">
        <v>0.88391769999999903</v>
      </c>
      <c r="AB3015">
        <v>26</v>
      </c>
      <c r="AC3015">
        <v>-12.8234999999999</v>
      </c>
      <c r="AD3015">
        <v>-1.1223481238419999</v>
      </c>
      <c r="AE3015">
        <v>-32.235099999999903</v>
      </c>
      <c r="AF3015">
        <v>-16.265833891300701</v>
      </c>
      <c r="AG3015">
        <v>-1.1223481238419999</v>
      </c>
      <c r="AH3015">
        <v>30.601488381406799</v>
      </c>
      <c r="AI3015">
        <v>91.854905578684495</v>
      </c>
      <c r="AJ3015">
        <v>117.99231276170801</v>
      </c>
      <c r="AK3015">
        <v>34.674026426820603</v>
      </c>
      <c r="AL3015">
        <v>92.934272361655005</v>
      </c>
      <c r="AM3015">
        <v>104.729536978732</v>
      </c>
      <c r="AN3015">
        <v>0.99999999009859397</v>
      </c>
    </row>
    <row r="3016" spans="1:40" x14ac:dyDescent="0.25">
      <c r="A3016" t="str">
        <f>"20190305134954986"</f>
        <v>20190305134954986</v>
      </c>
      <c r="B3016" t="str">
        <f>"1551764994983702"</f>
        <v>1551764994983702</v>
      </c>
      <c r="C3016" t="s">
        <v>40</v>
      </c>
      <c r="D3016">
        <v>4.0591499999999998</v>
      </c>
      <c r="E3016">
        <v>0.41069309999999998</v>
      </c>
      <c r="F3016" t="s">
        <v>42</v>
      </c>
      <c r="G3016">
        <v>-492.77449999999999</v>
      </c>
      <c r="H3016" s="1">
        <v>-4.7804430000000001E-6</v>
      </c>
      <c r="I3016">
        <v>249.5882</v>
      </c>
      <c r="J3016">
        <v>-481.30790000000002</v>
      </c>
      <c r="K3016">
        <v>1.122379</v>
      </c>
      <c r="L3016">
        <v>279.14339999999999</v>
      </c>
      <c r="M3016">
        <v>-0.75638839999999996</v>
      </c>
      <c r="N3016">
        <v>-2.2310779999999999E-2</v>
      </c>
      <c r="O3016">
        <v>-0.65374209999999899</v>
      </c>
      <c r="P3016">
        <v>-0.562357</v>
      </c>
      <c r="Q3016">
        <v>-6.6466860000000003E-2</v>
      </c>
      <c r="R3016">
        <v>-0.82421900000000003</v>
      </c>
      <c r="S3016">
        <v>-1.120941</v>
      </c>
      <c r="T3016">
        <v>-0.1088175</v>
      </c>
      <c r="U3016">
        <v>-2.8745120000000002</v>
      </c>
      <c r="V3016">
        <v>-0.25447019999999998</v>
      </c>
      <c r="W3016">
        <v>-5.2218489999999999E-2</v>
      </c>
      <c r="X3016">
        <v>0.96566980000000002</v>
      </c>
      <c r="Y3016">
        <v>-0.46692230000000001</v>
      </c>
      <c r="Z3016">
        <v>-2.3300009999999999E-3</v>
      </c>
      <c r="AA3016">
        <v>0.88429530000000001</v>
      </c>
      <c r="AB3016">
        <v>26</v>
      </c>
      <c r="AC3016">
        <v>-11.4665999999999</v>
      </c>
      <c r="AD3016">
        <v>-1.1223837804429999</v>
      </c>
      <c r="AE3016">
        <v>-29.5551999999999</v>
      </c>
      <c r="AF3016">
        <v>-14.8441045823366</v>
      </c>
      <c r="AG3016">
        <v>-1.1223837804429999</v>
      </c>
      <c r="AH3016">
        <v>27.966597225362399</v>
      </c>
      <c r="AI3016">
        <v>92.030227807567201</v>
      </c>
      <c r="AJ3016">
        <v>117.95845911820599</v>
      </c>
      <c r="AK3016">
        <v>31.681820442764899</v>
      </c>
      <c r="AL3016">
        <v>92.993260440479204</v>
      </c>
      <c r="AM3016">
        <v>104.76279218153999</v>
      </c>
      <c r="AN3016">
        <v>1.0000000080089799</v>
      </c>
    </row>
    <row r="3017" spans="1:40" x14ac:dyDescent="0.25">
      <c r="A3017" t="str">
        <f>"20190305134955010"</f>
        <v>20190305134955010</v>
      </c>
      <c r="B3017" t="str">
        <f>"1551764995003222"</f>
        <v>1551764995003222</v>
      </c>
      <c r="C3017" t="s">
        <v>40</v>
      </c>
      <c r="D3017">
        <v>3.9979680000000002</v>
      </c>
      <c r="E3017">
        <v>0.42163800000000001</v>
      </c>
      <c r="F3017" t="s">
        <v>42</v>
      </c>
      <c r="G3017">
        <v>-491.13529999999997</v>
      </c>
      <c r="H3017" s="1">
        <v>-1.9585340000000001E-6</v>
      </c>
      <c r="I3017">
        <v>253.4503</v>
      </c>
      <c r="J3017">
        <v>-481.48</v>
      </c>
      <c r="K3017">
        <v>1.122457</v>
      </c>
      <c r="L3017">
        <v>278.97030000000001</v>
      </c>
      <c r="M3017">
        <v>-0.7451373</v>
      </c>
      <c r="N3017">
        <v>-2.2164340000000001E-2</v>
      </c>
      <c r="O3017">
        <v>-0.66654259999999999</v>
      </c>
      <c r="P3017">
        <v>-0.54822340000000003</v>
      </c>
      <c r="Q3017">
        <v>-6.7348140000000001E-2</v>
      </c>
      <c r="R3017">
        <v>-0.83361559999999901</v>
      </c>
      <c r="S3017">
        <v>-1.100983</v>
      </c>
      <c r="T3017">
        <v>-0.12574150000000001</v>
      </c>
      <c r="U3017">
        <v>-2.8784179999999999</v>
      </c>
      <c r="V3017">
        <v>-0.25437779999999999</v>
      </c>
      <c r="W3017">
        <v>-5.3301960000000002E-2</v>
      </c>
      <c r="X3017">
        <v>0.96563489999999996</v>
      </c>
      <c r="Y3017">
        <v>-0.45753529999999998</v>
      </c>
      <c r="Z3017">
        <v>1.0480999999999999E-3</v>
      </c>
      <c r="AA3017">
        <v>0.88919090000000001</v>
      </c>
      <c r="AB3017">
        <v>26</v>
      </c>
      <c r="AC3017">
        <v>-9.6552999999999507</v>
      </c>
      <c r="AD3017">
        <v>-1.1224589585339999</v>
      </c>
      <c r="AE3017">
        <v>-25.52</v>
      </c>
      <c r="AF3017">
        <v>-12.5620681530998</v>
      </c>
      <c r="AG3017">
        <v>-1.1224589585339999</v>
      </c>
      <c r="AH3017">
        <v>24.169737600141499</v>
      </c>
      <c r="AI3017">
        <v>92.359667707151999</v>
      </c>
      <c r="AJ3017">
        <v>117.462869836881</v>
      </c>
      <c r="AK3017">
        <v>27.2624592811509</v>
      </c>
      <c r="AL3017">
        <v>93.055425424339305</v>
      </c>
      <c r="AM3017">
        <v>104.75817579256901</v>
      </c>
      <c r="AN3017">
        <v>0.99999996208534503</v>
      </c>
    </row>
    <row r="3018" spans="1:40" x14ac:dyDescent="0.25">
      <c r="A3018" t="str">
        <f>"20190305134955021"</f>
        <v>20190305134955021</v>
      </c>
      <c r="B3018" t="str">
        <f>"1551764995012983"</f>
        <v>1551764995012983</v>
      </c>
      <c r="C3018" t="s">
        <v>40</v>
      </c>
      <c r="D3018">
        <v>4.0174010000000004</v>
      </c>
      <c r="E3018">
        <v>0.42208689999999999</v>
      </c>
      <c r="F3018" t="s">
        <v>42</v>
      </c>
      <c r="G3018">
        <v>-487.17559999999997</v>
      </c>
      <c r="H3018" s="1">
        <v>-2.604821E-6</v>
      </c>
      <c r="I3018">
        <v>264.53680000000003</v>
      </c>
      <c r="J3018">
        <v>-481.57029999999997</v>
      </c>
      <c r="K3018">
        <v>1.122512</v>
      </c>
      <c r="L3018">
        <v>278.87610000000001</v>
      </c>
      <c r="M3018">
        <v>-0.73891370000000001</v>
      </c>
      <c r="N3018">
        <v>-2.2097720000000001E-2</v>
      </c>
      <c r="O3018">
        <v>-0.67343790000000003</v>
      </c>
      <c r="P3018">
        <v>-0.54055900000000001</v>
      </c>
      <c r="Q3018">
        <v>-6.7298979999999994E-2</v>
      </c>
      <c r="R3018">
        <v>-0.83861030000000003</v>
      </c>
      <c r="S3018">
        <v>-1.121918</v>
      </c>
      <c r="T3018">
        <v>-0.2211002</v>
      </c>
      <c r="U3018">
        <v>-2.8430789999999999</v>
      </c>
      <c r="V3018">
        <v>-0.2542527</v>
      </c>
      <c r="W3018">
        <v>-5.3349689999999998E-2</v>
      </c>
      <c r="X3018">
        <v>0.9656652</v>
      </c>
      <c r="Y3018">
        <v>-0.43965860000000001</v>
      </c>
      <c r="Z3018">
        <v>1.76218E-2</v>
      </c>
      <c r="AA3018">
        <v>0.89799209999999996</v>
      </c>
      <c r="AB3018">
        <v>25</v>
      </c>
      <c r="AC3018">
        <v>-5.6052999999999997</v>
      </c>
      <c r="AD3018">
        <v>-1.122514604821</v>
      </c>
      <c r="AE3018">
        <v>-14.3392999999999</v>
      </c>
      <c r="AF3018">
        <v>-6.7862736778755197</v>
      </c>
      <c r="AG3018">
        <v>-1.122514604821</v>
      </c>
      <c r="AH3018">
        <v>13.728848352123499</v>
      </c>
      <c r="AI3018">
        <v>94.192133006952503</v>
      </c>
      <c r="AJ3018">
        <v>116.303535788033</v>
      </c>
      <c r="AK3018">
        <v>15.3556122165372</v>
      </c>
      <c r="AL3018">
        <v>93.0581640804415</v>
      </c>
      <c r="AM3018">
        <v>104.75079179556801</v>
      </c>
      <c r="AN3018">
        <v>0.99999995168571199</v>
      </c>
    </row>
    <row r="3019" spans="1:40" x14ac:dyDescent="0.25">
      <c r="A3019" t="str">
        <f>"20190305134955032"</f>
        <v>20190305134955032</v>
      </c>
      <c r="B3019" t="str">
        <f>"1551764995023718"</f>
        <v>1551764995023718</v>
      </c>
      <c r="C3019" t="s">
        <v>40</v>
      </c>
      <c r="D3019">
        <v>4.0392159999999997</v>
      </c>
      <c r="E3019">
        <v>0.42307339999999999</v>
      </c>
      <c r="F3019" t="s">
        <v>41</v>
      </c>
      <c r="G3019">
        <v>-481.93200000000002</v>
      </c>
      <c r="H3019">
        <v>1.0491060000000001</v>
      </c>
      <c r="I3019">
        <v>277.93729999999999</v>
      </c>
      <c r="J3019">
        <v>-481.65260000000001</v>
      </c>
      <c r="K3019">
        <v>1.1225639999999999</v>
      </c>
      <c r="L3019">
        <v>278.78960000000001</v>
      </c>
      <c r="M3019">
        <v>-0.73313890000000004</v>
      </c>
      <c r="N3019">
        <v>-2.203871E-2</v>
      </c>
      <c r="O3019">
        <v>-0.67972180000000004</v>
      </c>
      <c r="P3019">
        <v>-0.5336573</v>
      </c>
      <c r="Q3019">
        <v>-6.6933909999999999E-2</v>
      </c>
      <c r="R3019">
        <v>-0.84304829999999997</v>
      </c>
      <c r="S3019">
        <v>-1.098633</v>
      </c>
      <c r="T3019">
        <v>-0.22292709999999999</v>
      </c>
      <c r="U3019">
        <v>-2.851318</v>
      </c>
      <c r="V3019">
        <v>-0.25396010000000002</v>
      </c>
      <c r="W3019">
        <v>-5.3065220000000003E-2</v>
      </c>
      <c r="X3019">
        <v>0.96575789999999995</v>
      </c>
      <c r="Y3019">
        <v>-0.43925320000000001</v>
      </c>
      <c r="Z3019">
        <v>1.844256E-2</v>
      </c>
      <c r="AA3019">
        <v>0.89817400000000003</v>
      </c>
      <c r="AB3019">
        <v>25</v>
      </c>
      <c r="AC3019">
        <v>-0.27939999999995202</v>
      </c>
      <c r="AD3019">
        <v>-7.3457999999999996E-2</v>
      </c>
      <c r="AE3019">
        <v>-0.85230000000001305</v>
      </c>
      <c r="AF3019">
        <v>-0.432147019015866</v>
      </c>
      <c r="AG3019">
        <v>-7.3457999999999996E-2</v>
      </c>
      <c r="AH3019">
        <v>0.77913032837416196</v>
      </c>
      <c r="AI3019">
        <v>94.713313450869194</v>
      </c>
      <c r="AJ3019">
        <v>119.015075238222</v>
      </c>
      <c r="AK3019">
        <v>0.89397493947018902</v>
      </c>
      <c r="AL3019">
        <v>93.041841925157001</v>
      </c>
      <c r="AM3019">
        <v>104.73320244975901</v>
      </c>
      <c r="AN3019">
        <v>0.99999998568903403</v>
      </c>
    </row>
    <row r="3020" spans="1:40" x14ac:dyDescent="0.25">
      <c r="A3020" t="str">
        <f>"20190305134955042"</f>
        <v>20190305134955042</v>
      </c>
      <c r="B3020" t="str">
        <f>"1551764995033478"</f>
        <v>1551764995033478</v>
      </c>
      <c r="C3020" t="s">
        <v>40</v>
      </c>
      <c r="D3020">
        <v>4.0311000000000003</v>
      </c>
      <c r="E3020">
        <v>0.42411539999999998</v>
      </c>
      <c r="F3020" t="s">
        <v>41</v>
      </c>
      <c r="G3020">
        <v>-482.01409999999998</v>
      </c>
      <c r="H3020">
        <v>1.0486580000000001</v>
      </c>
      <c r="I3020">
        <v>277.83499999999998</v>
      </c>
      <c r="J3020">
        <v>-481.73250000000002</v>
      </c>
      <c r="K3020">
        <v>1.1226210000000001</v>
      </c>
      <c r="L3020">
        <v>278.70319999999998</v>
      </c>
      <c r="M3020">
        <v>-0.72731020000000002</v>
      </c>
      <c r="N3020">
        <v>-2.1988710000000002E-2</v>
      </c>
      <c r="O3020">
        <v>-0.68595669999999898</v>
      </c>
      <c r="P3020">
        <v>-0.52692729999999999</v>
      </c>
      <c r="Q3020">
        <v>-6.6624890000000006E-2</v>
      </c>
      <c r="R3020">
        <v>-0.84729509999999897</v>
      </c>
      <c r="S3020">
        <v>-1.0820920000000001</v>
      </c>
      <c r="T3020">
        <v>-0.221161</v>
      </c>
      <c r="U3020">
        <v>-2.8559570000000001</v>
      </c>
      <c r="V3020">
        <v>-0.25342399999999998</v>
      </c>
      <c r="W3020">
        <v>-5.2821689999999998E-2</v>
      </c>
      <c r="X3020">
        <v>0.96591199999999999</v>
      </c>
      <c r="Y3020">
        <v>-0.43662960000000001</v>
      </c>
      <c r="Z3020">
        <v>1.875653E-2</v>
      </c>
      <c r="AA3020">
        <v>0.89944579999999996</v>
      </c>
      <c r="AB3020">
        <v>25</v>
      </c>
      <c r="AC3020">
        <v>-0.28159999999996899</v>
      </c>
      <c r="AD3020">
        <v>-7.3962999999999696E-2</v>
      </c>
      <c r="AE3020">
        <v>-0.86820000000000097</v>
      </c>
      <c r="AF3020">
        <v>-0.43553124816101502</v>
      </c>
      <c r="AG3020">
        <v>-7.3962999999999696E-2</v>
      </c>
      <c r="AH3020">
        <v>0.79532893524833903</v>
      </c>
      <c r="AI3020">
        <v>94.663141866667104</v>
      </c>
      <c r="AJ3020">
        <v>118.705618583796</v>
      </c>
      <c r="AK3020">
        <v>0.90978355048711901</v>
      </c>
      <c r="AL3020">
        <v>93.027869276298901</v>
      </c>
      <c r="AM3020">
        <v>104.70120599571401</v>
      </c>
      <c r="AN3020">
        <v>0.99999992322722497</v>
      </c>
    </row>
    <row r="3021" spans="1:40" x14ac:dyDescent="0.25">
      <c r="A3021" t="str">
        <f>"20190305134955052"</f>
        <v>20190305134955052</v>
      </c>
      <c r="B3021" t="str">
        <f>"1551764995043238"</f>
        <v>1551764995043238</v>
      </c>
      <c r="C3021" t="s">
        <v>40</v>
      </c>
      <c r="D3021">
        <v>4.0610580000000001</v>
      </c>
      <c r="E3021">
        <v>0.4250217</v>
      </c>
      <c r="F3021" t="s">
        <v>42</v>
      </c>
      <c r="G3021">
        <v>-487.19209999999998</v>
      </c>
      <c r="H3021" s="1">
        <v>-2.393206E-6</v>
      </c>
      <c r="I3021">
        <v>264.05040000000002</v>
      </c>
      <c r="J3021">
        <v>-481.80869999999999</v>
      </c>
      <c r="K3021">
        <v>1.122676</v>
      </c>
      <c r="L3021">
        <v>278.61989999999997</v>
      </c>
      <c r="M3021">
        <v>-0.72163949999999999</v>
      </c>
      <c r="N3021">
        <v>-2.194362E-2</v>
      </c>
      <c r="O3021">
        <v>-0.69192119999999901</v>
      </c>
      <c r="P3021">
        <v>-0.52036289999999996</v>
      </c>
      <c r="Q3021">
        <v>-6.6380549999999997E-2</v>
      </c>
      <c r="R3021">
        <v>-0.8513617</v>
      </c>
      <c r="S3021">
        <v>-1.0658570000000001</v>
      </c>
      <c r="T3021">
        <v>-0.21916640000000001</v>
      </c>
      <c r="U3021">
        <v>-2.8606259999999999</v>
      </c>
      <c r="V3021">
        <v>-0.2529516</v>
      </c>
      <c r="W3021">
        <v>-5.2638869999999997E-2</v>
      </c>
      <c r="X3021">
        <v>0.96604590000000001</v>
      </c>
      <c r="Y3021">
        <v>-0.43419990000000003</v>
      </c>
      <c r="Z3021">
        <v>1.898845E-2</v>
      </c>
      <c r="AA3021">
        <v>0.90061639999999998</v>
      </c>
      <c r="AB3021">
        <v>25</v>
      </c>
      <c r="AC3021">
        <v>-5.3833999999999902</v>
      </c>
      <c r="AD3021">
        <v>-1.122678393206</v>
      </c>
      <c r="AE3021">
        <v>-14.5694999999999</v>
      </c>
      <c r="AF3021">
        <v>-6.7553799270700496</v>
      </c>
      <c r="AG3021">
        <v>-1.122678393206</v>
      </c>
      <c r="AH3021">
        <v>13.896581320621999</v>
      </c>
      <c r="AI3021">
        <v>94.155695232697497</v>
      </c>
      <c r="AJ3021">
        <v>115.92522613292201</v>
      </c>
      <c r="AK3021">
        <v>15.492273465643899</v>
      </c>
      <c r="AL3021">
        <v>93.017379570576693</v>
      </c>
      <c r="AM3021">
        <v>104.673039549169</v>
      </c>
      <c r="AN3021">
        <v>1.0000000217421201</v>
      </c>
    </row>
    <row r="3022" spans="1:40" x14ac:dyDescent="0.25">
      <c r="A3022" t="str">
        <f>"20190305134955063"</f>
        <v>20190305134955063</v>
      </c>
      <c r="B3022" t="str">
        <f>"1551764995052998"</f>
        <v>1551764995052998</v>
      </c>
      <c r="C3022" t="s">
        <v>40</v>
      </c>
      <c r="D3022">
        <v>4.0554079999999999</v>
      </c>
      <c r="E3022">
        <v>0.42592089999999999</v>
      </c>
      <c r="F3022" t="s">
        <v>41</v>
      </c>
      <c r="G3022">
        <v>-482.15980000000002</v>
      </c>
      <c r="H3022">
        <v>1.0497179999999999</v>
      </c>
      <c r="I3022">
        <v>277.66269999999997</v>
      </c>
      <c r="J3022">
        <v>-481.887</v>
      </c>
      <c r="K3022">
        <v>1.1227320000000001</v>
      </c>
      <c r="L3022">
        <v>278.5324</v>
      </c>
      <c r="M3022">
        <v>-0.71562329999999996</v>
      </c>
      <c r="N3022">
        <v>-2.1903280000000001E-2</v>
      </c>
      <c r="O3022">
        <v>-0.69814290000000001</v>
      </c>
      <c r="P3022">
        <v>-0.51359969999999999</v>
      </c>
      <c r="Q3022">
        <v>-6.6112539999999997E-2</v>
      </c>
      <c r="R3022">
        <v>-0.8554794</v>
      </c>
      <c r="S3022">
        <v>-1.050262</v>
      </c>
      <c r="T3022">
        <v>-0.21827959999999999</v>
      </c>
      <c r="U3022">
        <v>-2.8647770000000001</v>
      </c>
      <c r="V3022">
        <v>-0.25225979999999998</v>
      </c>
      <c r="W3022">
        <v>-5.242165E-2</v>
      </c>
      <c r="X3022">
        <v>0.96623859999999995</v>
      </c>
      <c r="Y3022">
        <v>-0.43115710000000002</v>
      </c>
      <c r="Z3022">
        <v>1.9443970000000001E-2</v>
      </c>
      <c r="AA3022">
        <v>0.90206730000000002</v>
      </c>
      <c r="AB3022">
        <v>25</v>
      </c>
      <c r="AC3022">
        <v>-0.27280000000007398</v>
      </c>
      <c r="AD3022">
        <v>-7.3014000000000107E-2</v>
      </c>
      <c r="AE3022">
        <v>-0.86970000000002201</v>
      </c>
      <c r="AF3022">
        <v>-0.42927330266549901</v>
      </c>
      <c r="AG3022">
        <v>-7.3014000000000107E-2</v>
      </c>
      <c r="AH3022">
        <v>0.79747227321152803</v>
      </c>
      <c r="AI3022">
        <v>94.609148436753699</v>
      </c>
      <c r="AJ3022">
        <v>118.293244710441</v>
      </c>
      <c r="AK3022">
        <v>0.90860807784132502</v>
      </c>
      <c r="AL3022">
        <v>93.004916537156305</v>
      </c>
      <c r="AM3022">
        <v>104.631841678258</v>
      </c>
      <c r="AN3022">
        <v>1.00000003410736</v>
      </c>
    </row>
    <row r="3023" spans="1:40" x14ac:dyDescent="0.25">
      <c r="A3023" t="str">
        <f>"20190305134955075"</f>
        <v>20190305134955075</v>
      </c>
      <c r="B3023" t="str">
        <f>"1551764995063734"</f>
        <v>1551764995063734</v>
      </c>
      <c r="C3023" t="s">
        <v>40</v>
      </c>
      <c r="D3023">
        <v>4.018751</v>
      </c>
      <c r="E3023">
        <v>0.42592089999999999</v>
      </c>
      <c r="F3023" t="s">
        <v>42</v>
      </c>
      <c r="G3023">
        <v>-487.18810000000002</v>
      </c>
      <c r="H3023" s="1">
        <v>-2.2961590000000001E-6</v>
      </c>
      <c r="I3023">
        <v>263.82249999999999</v>
      </c>
      <c r="J3023">
        <v>-481.96749999999997</v>
      </c>
      <c r="K3023">
        <v>1.1227860000000001</v>
      </c>
      <c r="L3023">
        <v>278.44080000000002</v>
      </c>
      <c r="M3023">
        <v>-0.70926089999999997</v>
      </c>
      <c r="N3023">
        <v>-2.186542E-2</v>
      </c>
      <c r="O3023">
        <v>-0.70460710000000004</v>
      </c>
      <c r="P3023">
        <v>-0.50662240000000003</v>
      </c>
      <c r="Q3023">
        <v>-6.5715999999999997E-2</v>
      </c>
      <c r="R3023">
        <v>-0.85966019999999899</v>
      </c>
      <c r="S3023">
        <v>-1.0339659999999999</v>
      </c>
      <c r="T3023">
        <v>-0.21898719999999999</v>
      </c>
      <c r="U3023">
        <v>-2.8691409999999999</v>
      </c>
      <c r="V3023">
        <v>-0.25138110000000002</v>
      </c>
      <c r="W3023">
        <v>-5.2067670000000003E-2</v>
      </c>
      <c r="X3023">
        <v>0.96648670000000003</v>
      </c>
      <c r="Y3023">
        <v>-0.4279538</v>
      </c>
      <c r="Z3023">
        <v>2.019926E-2</v>
      </c>
      <c r="AA3023">
        <v>0.90357480000000001</v>
      </c>
      <c r="AB3023">
        <v>25</v>
      </c>
      <c r="AC3023">
        <v>-5.2206000000000401</v>
      </c>
      <c r="AD3023">
        <v>-1.1227882961589899</v>
      </c>
      <c r="AE3023">
        <v>-14.6183</v>
      </c>
      <c r="AF3023">
        <v>-6.65648864073931</v>
      </c>
      <c r="AG3023">
        <v>-1.1227882961589899</v>
      </c>
      <c r="AH3023">
        <v>13.933372215305001</v>
      </c>
      <c r="AI3023">
        <v>94.158726179613197</v>
      </c>
      <c r="AJ3023">
        <v>115.535536193049</v>
      </c>
      <c r="AK3023">
        <v>15.482517749788499</v>
      </c>
      <c r="AL3023">
        <v>92.984607282303998</v>
      </c>
      <c r="AM3023">
        <v>104.579466763944</v>
      </c>
      <c r="AN3023">
        <v>1.0000000204866599</v>
      </c>
    </row>
    <row r="3024" spans="1:40" x14ac:dyDescent="0.25">
      <c r="A3024" t="str">
        <f>"20190305134955086"</f>
        <v>20190305134955086</v>
      </c>
      <c r="B3024" t="str">
        <f>"1551764995083255"</f>
        <v>1551764995083255</v>
      </c>
      <c r="C3024" t="s">
        <v>40</v>
      </c>
      <c r="D3024">
        <v>4.0722950000000004</v>
      </c>
      <c r="E3024">
        <v>0.43238959999999999</v>
      </c>
      <c r="F3024" t="s">
        <v>41</v>
      </c>
      <c r="G3024">
        <v>-482.31450000000001</v>
      </c>
      <c r="H3024">
        <v>1.0481510000000001</v>
      </c>
      <c r="I3024">
        <v>277.45319999999998</v>
      </c>
      <c r="J3024">
        <v>-482.04719999999998</v>
      </c>
      <c r="K3024">
        <v>1.122843</v>
      </c>
      <c r="L3024">
        <v>278.34859999999998</v>
      </c>
      <c r="M3024">
        <v>-0.70279689999999995</v>
      </c>
      <c r="N3024">
        <v>-2.1831489999999999E-2</v>
      </c>
      <c r="O3024">
        <v>-0.71105560000000001</v>
      </c>
      <c r="P3024">
        <v>-0.49957990000000002</v>
      </c>
      <c r="Q3024">
        <v>-6.5579799999999994E-2</v>
      </c>
      <c r="R3024">
        <v>-0.8637821</v>
      </c>
      <c r="S3024">
        <v>-1.010284</v>
      </c>
      <c r="T3024">
        <v>-0.2173841</v>
      </c>
      <c r="U3024">
        <v>-2.877777</v>
      </c>
      <c r="V3024">
        <v>-0.25045780000000001</v>
      </c>
      <c r="W3024">
        <v>-5.1968640000000003E-2</v>
      </c>
      <c r="X3024">
        <v>0.96673169999999997</v>
      </c>
      <c r="Y3024">
        <v>-0.42717909999999998</v>
      </c>
      <c r="Z3024">
        <v>2.0423239999999999E-2</v>
      </c>
      <c r="AA3024">
        <v>0.90393630000000003</v>
      </c>
      <c r="AB3024">
        <v>25</v>
      </c>
      <c r="AC3024">
        <v>-0.26730000000003401</v>
      </c>
      <c r="AD3024">
        <v>-7.4691999999999897E-2</v>
      </c>
      <c r="AE3024">
        <v>-0.89539999999999498</v>
      </c>
      <c r="AF3024">
        <v>-0.43653479168861398</v>
      </c>
      <c r="AG3024">
        <v>-7.4691999999999897E-2</v>
      </c>
      <c r="AH3024">
        <v>0.81949744626552201</v>
      </c>
      <c r="AI3024">
        <v>94.599112124442499</v>
      </c>
      <c r="AJ3024">
        <v>118.04360193128601</v>
      </c>
      <c r="AK3024">
        <v>0.93151359821224999</v>
      </c>
      <c r="AL3024">
        <v>92.978925607137299</v>
      </c>
      <c r="AM3024">
        <v>104.524661406902</v>
      </c>
      <c r="AN3024">
        <v>1.00000001445458</v>
      </c>
    </row>
    <row r="3025" spans="1:40" x14ac:dyDescent="0.25">
      <c r="A3025" t="str">
        <f>"20190305134955099"</f>
        <v>20190305134955099</v>
      </c>
      <c r="B3025" t="str">
        <f>"1551764995093015"</f>
        <v>1551764995093015</v>
      </c>
      <c r="C3025" t="s">
        <v>40</v>
      </c>
      <c r="D3025">
        <v>4.2932959999999998</v>
      </c>
      <c r="E3025">
        <v>0.43238959999999999</v>
      </c>
      <c r="F3025" t="s">
        <v>42</v>
      </c>
      <c r="G3025">
        <v>-486.00060000000002</v>
      </c>
      <c r="H3025" s="1">
        <v>-4.0324450000000003E-6</v>
      </c>
      <c r="I3025">
        <v>267.37880000000001</v>
      </c>
      <c r="J3025">
        <v>-482.13189999999997</v>
      </c>
      <c r="K3025">
        <v>1.12290499999999</v>
      </c>
      <c r="L3025">
        <v>278.24770000000001</v>
      </c>
      <c r="M3025">
        <v>-0.69565639999999995</v>
      </c>
      <c r="N3025">
        <v>-2.1801029999999999E-2</v>
      </c>
      <c r="O3025">
        <v>-0.71804389999999996</v>
      </c>
      <c r="P3025">
        <v>-0.49155399999999999</v>
      </c>
      <c r="Q3025">
        <v>-6.5591510000000006E-2</v>
      </c>
      <c r="R3025">
        <v>-0.86837389999999903</v>
      </c>
      <c r="S3025">
        <v>-1.029175</v>
      </c>
      <c r="T3025">
        <v>-0.29230630000000002</v>
      </c>
      <c r="U3025">
        <v>-2.8557130000000002</v>
      </c>
      <c r="V3025">
        <v>-0.24974669999999999</v>
      </c>
      <c r="W3025">
        <v>-5.2023319999999998E-2</v>
      </c>
      <c r="X3025">
        <v>0.96691269999999996</v>
      </c>
      <c r="Y3025">
        <v>-0.4106148</v>
      </c>
      <c r="Z3025">
        <v>3.5699399999999999E-2</v>
      </c>
      <c r="AA3025">
        <v>0.91110970000000002</v>
      </c>
      <c r="AB3025">
        <v>25</v>
      </c>
      <c r="AC3025">
        <v>-3.86870000000004</v>
      </c>
      <c r="AD3025">
        <v>-1.12290903244499</v>
      </c>
      <c r="AE3025">
        <v>-10.868899999999901</v>
      </c>
      <c r="AF3025">
        <v>-4.7393616530519003</v>
      </c>
      <c r="AG3025">
        <v>-1.12290903244499</v>
      </c>
      <c r="AH3025">
        <v>10.399606602192501</v>
      </c>
      <c r="AI3025">
        <v>95.611534885293295</v>
      </c>
      <c r="AJ3025">
        <v>114.499944696342</v>
      </c>
      <c r="AK3025">
        <v>11.483653210278099</v>
      </c>
      <c r="AL3025">
        <v>92.982062813099802</v>
      </c>
      <c r="AM3025">
        <v>104.482562627238</v>
      </c>
      <c r="AN3025">
        <v>1.000000004703</v>
      </c>
    </row>
    <row r="3026" spans="1:40" x14ac:dyDescent="0.25">
      <c r="A3026" t="str">
        <f>"20190305134955111"</f>
        <v>20190305134955111</v>
      </c>
      <c r="B3026" t="str">
        <f>"1551764995103751"</f>
        <v>1551764995103751</v>
      </c>
      <c r="C3026" t="s">
        <v>40</v>
      </c>
      <c r="D3026">
        <v>4.0729499999999996</v>
      </c>
      <c r="E3026">
        <v>0.43372929999999998</v>
      </c>
      <c r="F3026" t="s">
        <v>42</v>
      </c>
      <c r="G3026">
        <v>-485.99</v>
      </c>
      <c r="H3026" s="1">
        <v>-3.9682319999999996E-6</v>
      </c>
      <c r="I3026">
        <v>267.22480000000002</v>
      </c>
      <c r="J3026">
        <v>-482.21019999999999</v>
      </c>
      <c r="K3026">
        <v>1.12296</v>
      </c>
      <c r="L3026">
        <v>278.15350000000001</v>
      </c>
      <c r="M3026">
        <v>-0.68891349999999996</v>
      </c>
      <c r="N3026">
        <v>-2.1774209999999999E-2</v>
      </c>
      <c r="O3026">
        <v>-0.72451690000000002</v>
      </c>
      <c r="P3026">
        <v>-0.48413489999999998</v>
      </c>
      <c r="Q3026">
        <v>-6.5496780000000004E-2</v>
      </c>
      <c r="R3026">
        <v>-0.87253899999999995</v>
      </c>
      <c r="S3026">
        <v>-1.0028079999999999</v>
      </c>
      <c r="T3026">
        <v>-0.29187109999999999</v>
      </c>
      <c r="U3026">
        <v>-2.8651430000000002</v>
      </c>
      <c r="V3026">
        <v>-0.2489488</v>
      </c>
      <c r="W3026">
        <v>-5.1961340000000002E-2</v>
      </c>
      <c r="X3026">
        <v>0.96712180000000003</v>
      </c>
      <c r="Y3026">
        <v>-0.4105086</v>
      </c>
      <c r="Z3026">
        <v>3.6294960000000001E-2</v>
      </c>
      <c r="AA3026">
        <v>0.91113409999999995</v>
      </c>
      <c r="AB3026">
        <v>25</v>
      </c>
      <c r="AC3026">
        <v>-3.7798000000000198</v>
      </c>
      <c r="AD3026">
        <v>-1.1229639682320001</v>
      </c>
      <c r="AE3026">
        <v>-10.9286999999999</v>
      </c>
      <c r="AF3026">
        <v>-4.7467710488453001</v>
      </c>
      <c r="AG3026">
        <v>-1.1229639682320001</v>
      </c>
      <c r="AH3026">
        <v>10.426153314038899</v>
      </c>
      <c r="AI3026">
        <v>95.598553560706307</v>
      </c>
      <c r="AJ3026">
        <v>114.47860627796101</v>
      </c>
      <c r="AK3026">
        <v>11.510758289180901</v>
      </c>
      <c r="AL3026">
        <v>92.978506732888604</v>
      </c>
      <c r="AM3026">
        <v>104.43523892230201</v>
      </c>
      <c r="AN3026">
        <v>1.0000000309556301</v>
      </c>
    </row>
    <row r="3027" spans="1:40" x14ac:dyDescent="0.25">
      <c r="A3027" t="str">
        <f>"20190305134955122"</f>
        <v>20190305134955122</v>
      </c>
      <c r="B3027" t="str">
        <f>"1551764995113510"</f>
        <v>1551764995113510</v>
      </c>
      <c r="C3027" t="s">
        <v>40</v>
      </c>
      <c r="D3027">
        <v>4.074592</v>
      </c>
      <c r="E3027">
        <v>0.43475049999999998</v>
      </c>
      <c r="F3027" t="s">
        <v>42</v>
      </c>
      <c r="G3027">
        <v>-486.1164</v>
      </c>
      <c r="H3027" s="1">
        <v>-3.7646930000000002E-6</v>
      </c>
      <c r="I3027">
        <v>266.80259999999998</v>
      </c>
      <c r="J3027">
        <v>-482.28890000000001</v>
      </c>
      <c r="K3027">
        <v>1.123014</v>
      </c>
      <c r="L3027">
        <v>278.05560000000003</v>
      </c>
      <c r="M3027">
        <v>-0.68183389999999999</v>
      </c>
      <c r="N3027">
        <v>-2.1754470000000001E-2</v>
      </c>
      <c r="O3027">
        <v>-0.73118380000000005</v>
      </c>
      <c r="P3027">
        <v>-0.4761357</v>
      </c>
      <c r="Q3027">
        <v>-6.5742099999999998E-2</v>
      </c>
      <c r="R3027">
        <v>-0.876911199999999</v>
      </c>
      <c r="S3027">
        <v>-0.98733519999999997</v>
      </c>
      <c r="T3027">
        <v>-0.28384490000000001</v>
      </c>
      <c r="U3027">
        <v>-2.86911</v>
      </c>
      <c r="V3027">
        <v>-0.248359</v>
      </c>
      <c r="W3027">
        <v>-5.2239689999999998E-2</v>
      </c>
      <c r="X3027">
        <v>0.96725839999999996</v>
      </c>
      <c r="Y3027">
        <v>-0.40643940000000001</v>
      </c>
      <c r="Z3027">
        <v>3.5657500000000002E-2</v>
      </c>
      <c r="AA3027">
        <v>0.91298170000000001</v>
      </c>
      <c r="AB3027">
        <v>25</v>
      </c>
      <c r="AC3027">
        <v>-3.8274999999999801</v>
      </c>
      <c r="AD3027">
        <v>-1.123017764693</v>
      </c>
      <c r="AE3027">
        <v>-11.253</v>
      </c>
      <c r="AF3027">
        <v>-4.8320886419663696</v>
      </c>
      <c r="AG3027">
        <v>-1.123017764693</v>
      </c>
      <c r="AH3027">
        <v>10.744381027414599</v>
      </c>
      <c r="AI3027">
        <v>95.4452598548353</v>
      </c>
      <c r="AJ3027">
        <v>114.21495982935301</v>
      </c>
      <c r="AK3027">
        <v>11.834355631207901</v>
      </c>
      <c r="AL3027">
        <v>92.994476809425805</v>
      </c>
      <c r="AM3027">
        <v>104.400514241911</v>
      </c>
      <c r="AN3027">
        <v>0.99999999523142702</v>
      </c>
    </row>
    <row r="3028" spans="1:40" x14ac:dyDescent="0.25">
      <c r="A3028" t="str">
        <f>"20190305134955132"</f>
        <v>20190305134955132</v>
      </c>
      <c r="B3028" t="str">
        <f>"1551764995123269"</f>
        <v>1551764995123269</v>
      </c>
      <c r="C3028" t="s">
        <v>40</v>
      </c>
      <c r="D3028">
        <v>4.0908049999999996</v>
      </c>
      <c r="E3028">
        <v>0.43436619999999998</v>
      </c>
      <c r="F3028" t="s">
        <v>42</v>
      </c>
      <c r="G3028">
        <v>-486.19589999999999</v>
      </c>
      <c r="H3028" s="1">
        <v>-3.604824E-6</v>
      </c>
      <c r="I3028">
        <v>266.46280000000002</v>
      </c>
      <c r="J3028">
        <v>-482.35410000000002</v>
      </c>
      <c r="K3028">
        <v>1.123059</v>
      </c>
      <c r="L3028">
        <v>277.97370000000001</v>
      </c>
      <c r="M3028">
        <v>-0.67585459999999997</v>
      </c>
      <c r="N3028">
        <v>-2.1738810000000001E-2</v>
      </c>
      <c r="O3028">
        <v>-0.7367146</v>
      </c>
      <c r="P3028">
        <v>-0.46896199999999999</v>
      </c>
      <c r="Q3028">
        <v>-6.5667020000000006E-2</v>
      </c>
      <c r="R3028">
        <v>-0.88077380000000005</v>
      </c>
      <c r="S3028">
        <v>-0.96868900000000002</v>
      </c>
      <c r="T3028">
        <v>-0.27843820000000002</v>
      </c>
      <c r="U3028">
        <v>-2.874298</v>
      </c>
      <c r="V3028">
        <v>-0.24837380000000001</v>
      </c>
      <c r="W3028">
        <v>-5.2208289999999997E-2</v>
      </c>
      <c r="X3028">
        <v>0.96725629999999996</v>
      </c>
      <c r="Y3028">
        <v>-0.40482459999999998</v>
      </c>
      <c r="Z3028">
        <v>3.5254170000000001E-2</v>
      </c>
      <c r="AA3028">
        <v>0.91371449999999999</v>
      </c>
      <c r="AB3028">
        <v>25</v>
      </c>
      <c r="AC3028">
        <v>-3.8417999999999699</v>
      </c>
      <c r="AD3028">
        <v>-1.123062604824</v>
      </c>
      <c r="AE3028">
        <v>-11.5108999999999</v>
      </c>
      <c r="AF3028">
        <v>-4.9085124943077902</v>
      </c>
      <c r="AG3028">
        <v>-1.123062604824</v>
      </c>
      <c r="AH3028">
        <v>10.9852744023438</v>
      </c>
      <c r="AI3028">
        <v>95.332504104042201</v>
      </c>
      <c r="AJ3028">
        <v>114.076360835369</v>
      </c>
      <c r="AK3028">
        <v>12.084329448336</v>
      </c>
      <c r="AL3028">
        <v>92.992675249319205</v>
      </c>
      <c r="AM3028">
        <v>104.401366662995</v>
      </c>
      <c r="AN3028">
        <v>0.99999999998042699</v>
      </c>
    </row>
    <row r="3029" spans="1:40" x14ac:dyDescent="0.25">
      <c r="A3029" t="str">
        <f>"20190305134955142"</f>
        <v>20190305134955142</v>
      </c>
      <c r="B3029" t="str">
        <f>"1551764995133031"</f>
        <v>1551764995133031</v>
      </c>
      <c r="C3029" t="s">
        <v>40</v>
      </c>
      <c r="D3029">
        <v>4.0371940000000004</v>
      </c>
      <c r="E3029">
        <v>0.43436619999999998</v>
      </c>
      <c r="F3029" t="s">
        <v>42</v>
      </c>
      <c r="G3029">
        <v>-486.3066</v>
      </c>
      <c r="H3029" s="1">
        <v>-3.3350540000000001E-6</v>
      </c>
      <c r="I3029">
        <v>265.87970000000001</v>
      </c>
      <c r="J3029">
        <v>-482.42590000000001</v>
      </c>
      <c r="K3029">
        <v>1.1230990000000001</v>
      </c>
      <c r="L3029">
        <v>277.88080000000002</v>
      </c>
      <c r="M3029">
        <v>-0.66902069999999902</v>
      </c>
      <c r="N3029">
        <v>-2.1726869999999999E-2</v>
      </c>
      <c r="O3029">
        <v>-0.74292639999999999</v>
      </c>
      <c r="P3029">
        <v>-0.46070430000000001</v>
      </c>
      <c r="Q3029">
        <v>-6.5540189999999998E-2</v>
      </c>
      <c r="R3029">
        <v>-0.8851308</v>
      </c>
      <c r="S3029">
        <v>-0.94262699999999999</v>
      </c>
      <c r="T3029">
        <v>-0.26783590000000002</v>
      </c>
      <c r="U3029">
        <v>-2.8842469999999998</v>
      </c>
      <c r="V3029">
        <v>-0.24848819999999999</v>
      </c>
      <c r="W3029">
        <v>-5.212601E-2</v>
      </c>
      <c r="X3029">
        <v>0.96723130000000002</v>
      </c>
      <c r="Y3029">
        <v>-0.4047808</v>
      </c>
      <c r="Z3029">
        <v>3.3755529999999999E-2</v>
      </c>
      <c r="AA3029">
        <v>0.91379049999999995</v>
      </c>
      <c r="AB3029">
        <v>25</v>
      </c>
      <c r="AC3029">
        <v>-3.8806999999999898</v>
      </c>
      <c r="AD3029">
        <v>-1.1231023350539999</v>
      </c>
      <c r="AE3029">
        <v>-12.001099999999999</v>
      </c>
      <c r="AF3029">
        <v>-5.10663449728579</v>
      </c>
      <c r="AG3029">
        <v>-1.1231023350539999</v>
      </c>
      <c r="AH3029">
        <v>11.4243375790806</v>
      </c>
      <c r="AI3029">
        <v>95.128536787771196</v>
      </c>
      <c r="AJ3029">
        <v>114.08445771044801</v>
      </c>
      <c r="AK3029">
        <v>12.564018619242299</v>
      </c>
      <c r="AL3029">
        <v>92.987954682897296</v>
      </c>
      <c r="AM3029">
        <v>104.40808071844999</v>
      </c>
      <c r="AN3029">
        <v>0.99999994707872297</v>
      </c>
    </row>
    <row r="3030" spans="1:40" x14ac:dyDescent="0.25">
      <c r="A3030" t="str">
        <f>"20190305134955154"</f>
        <v>20190305134955154</v>
      </c>
      <c r="B3030" t="str">
        <f>"1551764995143766"</f>
        <v>1551764995143766</v>
      </c>
      <c r="C3030" t="s">
        <v>40</v>
      </c>
      <c r="D3030">
        <v>4.0104920000000002</v>
      </c>
      <c r="E3030">
        <v>0.4008757</v>
      </c>
      <c r="F3030" t="s">
        <v>42</v>
      </c>
      <c r="G3030">
        <v>-486.27440000000001</v>
      </c>
      <c r="H3030" s="1">
        <v>-3.2728190000000001E-6</v>
      </c>
      <c r="I3030">
        <v>265.72129999999999</v>
      </c>
      <c r="J3030">
        <v>-482.49489999999997</v>
      </c>
      <c r="K3030">
        <v>1.1231469999999999</v>
      </c>
      <c r="L3030">
        <v>277.79050000000001</v>
      </c>
      <c r="M3030">
        <v>-0.66231269999999998</v>
      </c>
      <c r="N3030">
        <v>-2.1717029999999998E-2</v>
      </c>
      <c r="O3030">
        <v>-0.74891280000000005</v>
      </c>
      <c r="P3030">
        <v>-0.45255260000000003</v>
      </c>
      <c r="Q3030">
        <v>-6.512395E-2</v>
      </c>
      <c r="R3030">
        <v>-0.889356699999999</v>
      </c>
      <c r="S3030">
        <v>-0.91561890000000001</v>
      </c>
      <c r="T3030">
        <v>-0.26720759999999899</v>
      </c>
      <c r="U3030">
        <v>-2.8929749999999999</v>
      </c>
      <c r="V3030">
        <v>-0.24870349999999999</v>
      </c>
      <c r="W3030">
        <v>-5.1753220000000003E-2</v>
      </c>
      <c r="X3030">
        <v>0.96719599999999994</v>
      </c>
      <c r="Y3030">
        <v>-0.40511320000000001</v>
      </c>
      <c r="Z3030">
        <v>3.4176900000000003E-2</v>
      </c>
      <c r="AA3030">
        <v>0.91362750000000004</v>
      </c>
      <c r="AB3030">
        <v>25</v>
      </c>
      <c r="AC3030">
        <v>-3.77950000000004</v>
      </c>
      <c r="AD3030">
        <v>-1.1231502728189999</v>
      </c>
      <c r="AE3030">
        <v>-12.0692</v>
      </c>
      <c r="AF3030">
        <v>-5.1238760850143201</v>
      </c>
      <c r="AG3030">
        <v>-1.1231502728189999</v>
      </c>
      <c r="AH3030">
        <v>11.454374929479499</v>
      </c>
      <c r="AI3030">
        <v>95.114745107097207</v>
      </c>
      <c r="AJ3030">
        <v>114.10036081931101</v>
      </c>
      <c r="AK3030">
        <v>12.598344244185601</v>
      </c>
      <c r="AL3030">
        <v>92.9665664669443</v>
      </c>
      <c r="AM3030">
        <v>104.420548486065</v>
      </c>
      <c r="AN3030">
        <v>0.99999996455430795</v>
      </c>
    </row>
    <row r="3031" spans="1:40" x14ac:dyDescent="0.25">
      <c r="A3031" t="str">
        <f>"20190305134955165"</f>
        <v>20190305134955165</v>
      </c>
      <c r="B3031" t="str">
        <f>"1551764995153526"</f>
        <v>1551764995153526</v>
      </c>
      <c r="C3031" t="s">
        <v>40</v>
      </c>
      <c r="D3031">
        <v>4.1502129999999999</v>
      </c>
      <c r="E3031">
        <v>0.4009933</v>
      </c>
      <c r="F3031" t="s">
        <v>41</v>
      </c>
      <c r="G3031">
        <v>-482.70839999999998</v>
      </c>
      <c r="H3031">
        <v>1.0820609999999999</v>
      </c>
      <c r="I3031">
        <v>276.8023</v>
      </c>
      <c r="J3031">
        <v>-482.56560000000002</v>
      </c>
      <c r="K3031">
        <v>1.1231880000000001</v>
      </c>
      <c r="L3031">
        <v>277.69549999999998</v>
      </c>
      <c r="M3031">
        <v>-0.65519869999999902</v>
      </c>
      <c r="N3031">
        <v>-2.171039E-2</v>
      </c>
      <c r="O3031">
        <v>-0.755144699999999</v>
      </c>
      <c r="P3031">
        <v>-0.4437528</v>
      </c>
      <c r="Q3031">
        <v>-6.4693230000000004E-2</v>
      </c>
      <c r="R3031">
        <v>-0.89381129999999998</v>
      </c>
      <c r="S3031">
        <v>-0.65502930000000004</v>
      </c>
      <c r="T3031">
        <v>-0.12600890000000001</v>
      </c>
      <c r="U3031">
        <v>-3.0306700000000002</v>
      </c>
      <c r="V3031">
        <v>-0.2491275</v>
      </c>
      <c r="W3031">
        <v>-5.1369489999999997E-2</v>
      </c>
      <c r="X3031">
        <v>0.96710739999999995</v>
      </c>
      <c r="Y3031">
        <v>-0.48059730000000001</v>
      </c>
      <c r="Z3031">
        <v>3.822106E-3</v>
      </c>
      <c r="AA3031">
        <v>0.87693299999999996</v>
      </c>
      <c r="AB3031">
        <v>24</v>
      </c>
      <c r="AC3031">
        <v>-0.14279999999996501</v>
      </c>
      <c r="AD3031">
        <v>-4.1126999999999601E-2</v>
      </c>
      <c r="AE3031">
        <v>-0.89319999999997801</v>
      </c>
      <c r="AF3031">
        <v>-0.47651623116050301</v>
      </c>
      <c r="AG3031">
        <v>-4.1126999999999601E-2</v>
      </c>
      <c r="AH3031">
        <v>0.76665374337637204</v>
      </c>
      <c r="AI3031">
        <v>92.608657567211395</v>
      </c>
      <c r="AJ3031">
        <v>121.863157717786</v>
      </c>
      <c r="AK3031">
        <v>0.90361336362485001</v>
      </c>
      <c r="AL3031">
        <v>92.944550881059001</v>
      </c>
      <c r="AM3031">
        <v>104.445373496448</v>
      </c>
      <c r="AN3031">
        <v>1.00000002944693</v>
      </c>
    </row>
    <row r="3032" spans="1:40" x14ac:dyDescent="0.25">
      <c r="A3032" t="str">
        <f>"20190305134955177"</f>
        <v>20190305134955177</v>
      </c>
      <c r="B3032" t="str">
        <f>"1551764995173046"</f>
        <v>1551764995173046</v>
      </c>
      <c r="C3032" t="s">
        <v>40</v>
      </c>
      <c r="D3032">
        <v>4.0207179999999996</v>
      </c>
      <c r="E3032">
        <v>0.39875620000000001</v>
      </c>
      <c r="F3032" t="s">
        <v>41</v>
      </c>
      <c r="G3032">
        <v>-482.7457</v>
      </c>
      <c r="H3032">
        <v>1.0834349999999999</v>
      </c>
      <c r="I3032">
        <v>276.82159999999999</v>
      </c>
      <c r="J3032">
        <v>-482.63600000000002</v>
      </c>
      <c r="K3032">
        <v>1.123229</v>
      </c>
      <c r="L3032">
        <v>277.59890000000001</v>
      </c>
      <c r="M3032">
        <v>-0.6478971</v>
      </c>
      <c r="N3032">
        <v>-2.1706099999999999E-2</v>
      </c>
      <c r="O3032">
        <v>-0.7614187</v>
      </c>
      <c r="P3032">
        <v>-0.43476429999999999</v>
      </c>
      <c r="Q3032">
        <v>-6.4208370000000001E-2</v>
      </c>
      <c r="R3032">
        <v>-0.89825250000000001</v>
      </c>
      <c r="S3032">
        <v>-0.62576290000000001</v>
      </c>
      <c r="T3032">
        <v>-0.1381069</v>
      </c>
      <c r="U3032">
        <v>-3.0357669999999999</v>
      </c>
      <c r="V3032">
        <v>-0.2495482</v>
      </c>
      <c r="W3032">
        <v>-5.0927350000000003E-2</v>
      </c>
      <c r="X3032">
        <v>0.9670223</v>
      </c>
      <c r="Y3032">
        <v>-0.48052509999999998</v>
      </c>
      <c r="Z3032">
        <v>6.3930539999999996E-3</v>
      </c>
      <c r="AA3032">
        <v>0.87695769999999995</v>
      </c>
      <c r="AB3032">
        <v>24</v>
      </c>
      <c r="AC3032">
        <v>-0.10970000000003199</v>
      </c>
      <c r="AD3032">
        <v>-3.97940000000001E-2</v>
      </c>
      <c r="AE3032">
        <v>-0.77730000000002497</v>
      </c>
      <c r="AF3032">
        <v>-0.41910473107636498</v>
      </c>
      <c r="AG3032">
        <v>-3.97940000000001E-2</v>
      </c>
      <c r="AH3032">
        <v>0.66138161900272097</v>
      </c>
      <c r="AI3032">
        <v>92.9094448001198</v>
      </c>
      <c r="AJ3032">
        <v>122.3616439308</v>
      </c>
      <c r="AK3032">
        <v>0.78400126530590097</v>
      </c>
      <c r="AL3032">
        <v>92.919184968627107</v>
      </c>
      <c r="AM3032">
        <v>104.469964023841</v>
      </c>
      <c r="AN3032">
        <v>1.00000001389927</v>
      </c>
    </row>
    <row r="3033" spans="1:40" x14ac:dyDescent="0.25">
      <c r="A3033" t="str">
        <f>"20190305134955189"</f>
        <v>20190305134955189</v>
      </c>
      <c r="B3033" t="str">
        <f>"1551764995183315"</f>
        <v>1551764995183315</v>
      </c>
      <c r="C3033" t="s">
        <v>40</v>
      </c>
      <c r="D3033">
        <v>4.0090349999999999</v>
      </c>
      <c r="E3033">
        <v>0.39863140000000002</v>
      </c>
      <c r="F3033" t="s">
        <v>42</v>
      </c>
      <c r="G3033">
        <v>-490.35149999999999</v>
      </c>
      <c r="H3033" s="1">
        <v>-3.283838E-6</v>
      </c>
      <c r="I3033">
        <v>237.0258</v>
      </c>
      <c r="J3033">
        <v>-482.7149</v>
      </c>
      <c r="K3033">
        <v>1.123273</v>
      </c>
      <c r="L3033">
        <v>277.4889</v>
      </c>
      <c r="M3033">
        <v>-0.63950669999999898</v>
      </c>
      <c r="N3033">
        <v>-2.1702869999999999E-2</v>
      </c>
      <c r="O3033">
        <v>-0.76847929999999998</v>
      </c>
      <c r="P3033">
        <v>-0.42484640000000001</v>
      </c>
      <c r="Q3033">
        <v>-6.4501619999999996E-2</v>
      </c>
      <c r="R3033">
        <v>-0.90296489999999996</v>
      </c>
      <c r="S3033">
        <v>-0.58053589999999999</v>
      </c>
      <c r="T3033">
        <v>-8.4514859999999997E-2</v>
      </c>
      <c r="U3033">
        <v>-3.052826</v>
      </c>
      <c r="V3033">
        <v>-0.24956310000000001</v>
      </c>
      <c r="W3033">
        <v>-5.1250509999999999E-2</v>
      </c>
      <c r="X3033">
        <v>0.96700140000000001</v>
      </c>
      <c r="Y3033">
        <v>-0.48450219999999999</v>
      </c>
      <c r="Z3033">
        <v>-3.8663880000000001E-3</v>
      </c>
      <c r="AA3033">
        <v>0.87478149999999999</v>
      </c>
      <c r="AB3033">
        <v>24</v>
      </c>
      <c r="AC3033">
        <v>-7.6365999999999801</v>
      </c>
      <c r="AD3033">
        <v>-1.1232762838379999</v>
      </c>
      <c r="AE3033">
        <v>-40.463099999999997</v>
      </c>
      <c r="AF3033">
        <v>-19.997684419542502</v>
      </c>
      <c r="AG3033">
        <v>-1.1232762838379999</v>
      </c>
      <c r="AH3033">
        <v>35.9604234370371</v>
      </c>
      <c r="AI3033">
        <v>91.563742604507397</v>
      </c>
      <c r="AJ3033">
        <v>119.07854890747301</v>
      </c>
      <c r="AK3033">
        <v>41.162132907861498</v>
      </c>
      <c r="AL3033">
        <v>92.937724831553894</v>
      </c>
      <c r="AM3033">
        <v>104.471091349471</v>
      </c>
      <c r="AN3033">
        <v>1.00000003162941</v>
      </c>
    </row>
    <row r="3034" spans="1:40" x14ac:dyDescent="0.25">
      <c r="A3034" t="str">
        <f>"20190305134955201"</f>
        <v>20190305134955201</v>
      </c>
      <c r="B3034" t="str">
        <f>"1551764995193076"</f>
        <v>1551764995193076</v>
      </c>
      <c r="C3034" t="s">
        <v>40</v>
      </c>
      <c r="D3034">
        <v>4.0175720000000004</v>
      </c>
      <c r="E3034">
        <v>0.39884839999999999</v>
      </c>
      <c r="F3034" t="s">
        <v>42</v>
      </c>
      <c r="G3034">
        <v>-491.07780000000002</v>
      </c>
      <c r="H3034" s="1">
        <v>-7.3179749999999996E-7</v>
      </c>
      <c r="I3034">
        <v>230.62649999999999</v>
      </c>
      <c r="J3034">
        <v>-482.78390000000002</v>
      </c>
      <c r="K3034">
        <v>1.123302</v>
      </c>
      <c r="L3034">
        <v>277.38889999999998</v>
      </c>
      <c r="M3034">
        <v>-0.6318127</v>
      </c>
      <c r="N3034">
        <v>-2.1703710000000001E-2</v>
      </c>
      <c r="O3034">
        <v>-0.77481730000000004</v>
      </c>
      <c r="P3034">
        <v>-0.41588799999999998</v>
      </c>
      <c r="Q3034">
        <v>-6.5176670000000006E-2</v>
      </c>
      <c r="R3034">
        <v>-0.90707740000000003</v>
      </c>
      <c r="S3034">
        <v>-0.54611209999999999</v>
      </c>
      <c r="T3034">
        <v>-7.3352100000000003E-2</v>
      </c>
      <c r="U3034">
        <v>-3.0602109999999998</v>
      </c>
      <c r="V3034">
        <v>-0.24943750000000001</v>
      </c>
      <c r="W3034">
        <v>-5.1940060000000003E-2</v>
      </c>
      <c r="X3034">
        <v>0.966997</v>
      </c>
      <c r="Y3034">
        <v>-0.4857127</v>
      </c>
      <c r="Z3034">
        <v>-5.9572080000000003E-3</v>
      </c>
      <c r="AA3034">
        <v>0.87409820000000005</v>
      </c>
      <c r="AB3034">
        <v>24</v>
      </c>
      <c r="AC3034">
        <v>-8.2939000000000007</v>
      </c>
      <c r="AD3034">
        <v>-1.1233027317975</v>
      </c>
      <c r="AE3034">
        <v>-46.7623999999999</v>
      </c>
      <c r="AF3034">
        <v>-23.111336565001199</v>
      </c>
      <c r="AG3034">
        <v>-1.1233027317975</v>
      </c>
      <c r="AH3034">
        <v>41.459081649405903</v>
      </c>
      <c r="AI3034">
        <v>91.355685099784793</v>
      </c>
      <c r="AJ3034">
        <v>119.13745108716201</v>
      </c>
      <c r="AK3034">
        <v>47.478954685840897</v>
      </c>
      <c r="AL3034">
        <v>92.977285871310897</v>
      </c>
      <c r="AM3034">
        <v>104.464176977178</v>
      </c>
      <c r="AN3034">
        <v>1.00000001712402</v>
      </c>
    </row>
    <row r="3035" spans="1:40" x14ac:dyDescent="0.25">
      <c r="A3035" t="str">
        <f>"20190305134955214"</f>
        <v>20190305134955214</v>
      </c>
      <c r="B3035" t="str">
        <f>"1551764995203811"</f>
        <v>1551764995203811</v>
      </c>
      <c r="C3035" t="s">
        <v>40</v>
      </c>
      <c r="D3035">
        <v>4.0084019999999896</v>
      </c>
      <c r="E3035">
        <v>0.39938420000000002</v>
      </c>
      <c r="F3035" t="s">
        <v>62</v>
      </c>
      <c r="G3035">
        <v>-491.51830000000001</v>
      </c>
      <c r="H3035" s="1">
        <v>5.0727970000000001E-6</v>
      </c>
      <c r="I3035">
        <v>225.69739999999999</v>
      </c>
      <c r="J3035">
        <v>-482.863</v>
      </c>
      <c r="K3035">
        <v>1.1233280000000001</v>
      </c>
      <c r="L3035">
        <v>277.27280000000002</v>
      </c>
      <c r="M3035">
        <v>-0.62279669999999998</v>
      </c>
      <c r="N3035">
        <v>-2.170528E-2</v>
      </c>
      <c r="O3035">
        <v>-0.78208259999999996</v>
      </c>
      <c r="P3035">
        <v>-0.40566960000000002</v>
      </c>
      <c r="Q3035">
        <v>-6.6412689999999996E-2</v>
      </c>
      <c r="R3035">
        <v>-0.91160390000000002</v>
      </c>
      <c r="S3035">
        <v>-0.51791379999999998</v>
      </c>
      <c r="T3035">
        <v>-6.6607479999999997E-2</v>
      </c>
      <c r="U3035">
        <v>-3.0651250000000001</v>
      </c>
      <c r="V3035">
        <v>-0.24900659999999999</v>
      </c>
      <c r="W3035">
        <v>-5.3180190000000002E-2</v>
      </c>
      <c r="X3035">
        <v>0.96704069999999998</v>
      </c>
      <c r="Y3035">
        <v>-0.48365550000000002</v>
      </c>
      <c r="Z3035">
        <v>-7.1518880000000003E-3</v>
      </c>
      <c r="AA3035">
        <v>0.87522919999999904</v>
      </c>
      <c r="AB3035">
        <v>24</v>
      </c>
      <c r="AC3035">
        <v>-8.6552999999999507</v>
      </c>
      <c r="AD3035">
        <v>-1.1233229272030001</v>
      </c>
      <c r="AE3035">
        <v>-51.575400000000002</v>
      </c>
      <c r="AF3035">
        <v>-25.346108562592299</v>
      </c>
      <c r="AG3035">
        <v>-1.1233229272030001</v>
      </c>
      <c r="AH3035">
        <v>45.716396628652603</v>
      </c>
      <c r="AI3035">
        <v>91.231082486329996</v>
      </c>
      <c r="AJ3035">
        <v>119.004885483527</v>
      </c>
      <c r="AK3035">
        <v>52.284567458990999</v>
      </c>
      <c r="AL3035">
        <v>93.048438285999296</v>
      </c>
      <c r="AM3035">
        <v>104.439610606249</v>
      </c>
      <c r="AN3035">
        <v>1.00000006745424</v>
      </c>
    </row>
    <row r="3036" spans="1:40" x14ac:dyDescent="0.25">
      <c r="A3036" t="str">
        <f>"20190305134955226"</f>
        <v>20190305134955226</v>
      </c>
      <c r="B3036" t="str">
        <f>"1551764995223331"</f>
        <v>1551764995223331</v>
      </c>
      <c r="C3036" t="s">
        <v>40</v>
      </c>
      <c r="D3036">
        <v>4.0419999999999998</v>
      </c>
      <c r="E3036">
        <v>0.40016160000000001</v>
      </c>
      <c r="F3036" t="s">
        <v>62</v>
      </c>
      <c r="G3036">
        <v>-491.11489999999998</v>
      </c>
      <c r="H3036" s="1">
        <v>5.0289689999999998E-6</v>
      </c>
      <c r="I3036">
        <v>225.2672</v>
      </c>
      <c r="J3036">
        <v>-482.93079999999998</v>
      </c>
      <c r="K3036">
        <v>1.123345</v>
      </c>
      <c r="L3036">
        <v>277.1705</v>
      </c>
      <c r="M3036">
        <v>-0.61479019999999995</v>
      </c>
      <c r="N3036">
        <v>-2.170824E-2</v>
      </c>
      <c r="O3036">
        <v>-0.78839209999999904</v>
      </c>
      <c r="P3036">
        <v>-0.39697270000000001</v>
      </c>
      <c r="Q3036">
        <v>-6.7741620000000002E-2</v>
      </c>
      <c r="R3036">
        <v>-0.91532740000000001</v>
      </c>
      <c r="S3036">
        <v>-0.48703000000000002</v>
      </c>
      <c r="T3036">
        <v>-6.6298480000000007E-2</v>
      </c>
      <c r="U3036">
        <v>-3.069366</v>
      </c>
      <c r="V3036">
        <v>-0.2482502</v>
      </c>
      <c r="W3036">
        <v>-5.4494040000000001E-2</v>
      </c>
      <c r="X3036">
        <v>0.96716199999999997</v>
      </c>
      <c r="Y3036">
        <v>-0.48350799999999999</v>
      </c>
      <c r="Z3036">
        <v>-7.1240829999999998E-3</v>
      </c>
      <c r="AA3036">
        <v>0.87531099999999995</v>
      </c>
      <c r="AB3036">
        <v>24</v>
      </c>
      <c r="AC3036">
        <v>-8.1841000000000008</v>
      </c>
      <c r="AD3036">
        <v>-1.1233399710309999</v>
      </c>
      <c r="AE3036">
        <v>-51.903300000000002</v>
      </c>
      <c r="AF3036">
        <v>-25.451723749353501</v>
      </c>
      <c r="AG3036">
        <v>-1.1233399710309999</v>
      </c>
      <c r="AH3036">
        <v>45.941481753507098</v>
      </c>
      <c r="AI3036">
        <v>91.225288123145006</v>
      </c>
      <c r="AJ3036">
        <v>118.986589146113</v>
      </c>
      <c r="AK3036">
        <v>52.532579226721303</v>
      </c>
      <c r="AL3036">
        <v>93.1238257384489</v>
      </c>
      <c r="AM3036">
        <v>104.395843020073</v>
      </c>
      <c r="AN3036">
        <v>1.00000004821977</v>
      </c>
    </row>
    <row r="3037" spans="1:40" x14ac:dyDescent="0.25">
      <c r="A3037" t="str">
        <f>"20190305134955236"</f>
        <v>20190305134955236</v>
      </c>
      <c r="B3037" t="str">
        <f>"1551764995233091"</f>
        <v>1551764995233091</v>
      </c>
      <c r="C3037" t="s">
        <v>40</v>
      </c>
      <c r="D3037">
        <v>4.1600349999999997</v>
      </c>
      <c r="E3037">
        <v>0.40199269999999998</v>
      </c>
      <c r="F3037" t="s">
        <v>42</v>
      </c>
      <c r="G3037">
        <v>-489.65159999999997</v>
      </c>
      <c r="H3037" s="1">
        <v>-1.353477E-6</v>
      </c>
      <c r="I3037">
        <v>232.6437</v>
      </c>
      <c r="J3037">
        <v>-482.98509999999999</v>
      </c>
      <c r="K3037">
        <v>1.123351</v>
      </c>
      <c r="L3037">
        <v>277.08620000000002</v>
      </c>
      <c r="M3037">
        <v>-0.60815859999999899</v>
      </c>
      <c r="N3037">
        <v>-2.171097E-2</v>
      </c>
      <c r="O3037">
        <v>-0.79351870000000002</v>
      </c>
      <c r="P3037">
        <v>-0.3900921</v>
      </c>
      <c r="Q3037">
        <v>-6.8608769999999999E-2</v>
      </c>
      <c r="R3037">
        <v>-0.91821649999999999</v>
      </c>
      <c r="S3037">
        <v>-0.463501</v>
      </c>
      <c r="T3037">
        <v>-7.7471849999999995E-2</v>
      </c>
      <c r="U3037">
        <v>-3.0708009999999999</v>
      </c>
      <c r="V3037">
        <v>-0.24733430000000001</v>
      </c>
      <c r="W3037">
        <v>-5.533341E-2</v>
      </c>
      <c r="X3037">
        <v>0.96734889999999996</v>
      </c>
      <c r="Y3037">
        <v>-0.48275560000000001</v>
      </c>
      <c r="Z3037">
        <v>-4.7420179999999998E-3</v>
      </c>
      <c r="AA3037">
        <v>0.87574229999999997</v>
      </c>
      <c r="AB3037">
        <v>24</v>
      </c>
      <c r="AC3037">
        <v>-6.6664999999999797</v>
      </c>
      <c r="AD3037">
        <v>-1.123352353477</v>
      </c>
      <c r="AE3037">
        <v>-44.442500000000003</v>
      </c>
      <c r="AF3037">
        <v>-21.7296417355569</v>
      </c>
      <c r="AG3037">
        <v>-1.123352353477</v>
      </c>
      <c r="AH3037">
        <v>39.304951609995001</v>
      </c>
      <c r="AI3037">
        <v>91.432811474281294</v>
      </c>
      <c r="AJ3037">
        <v>118.93589923443101</v>
      </c>
      <c r="AK3037">
        <v>44.9256994550977</v>
      </c>
      <c r="AL3037">
        <v>93.171991025919198</v>
      </c>
      <c r="AM3037">
        <v>104.342269085119</v>
      </c>
      <c r="AN3037">
        <v>0.99999996827496296</v>
      </c>
    </row>
    <row r="3038" spans="1:40" x14ac:dyDescent="0.25">
      <c r="A3038" t="str">
        <f>"20190305134955246"</f>
        <v>20190305134955246</v>
      </c>
      <c r="B3038" t="str">
        <f>"1551764995243827"</f>
        <v>1551764995243827</v>
      </c>
      <c r="C3038" t="s">
        <v>40</v>
      </c>
      <c r="D3038">
        <v>3.9969929999999998</v>
      </c>
      <c r="E3038">
        <v>0.402779</v>
      </c>
      <c r="F3038" t="s">
        <v>42</v>
      </c>
      <c r="G3038">
        <v>-488.83089999999999</v>
      </c>
      <c r="H3038" s="1">
        <v>-3.6106179999999999E-6</v>
      </c>
      <c r="I3038">
        <v>237.5658</v>
      </c>
      <c r="J3038">
        <v>-483.04700000000003</v>
      </c>
      <c r="K3038">
        <v>1.1233569999999999</v>
      </c>
      <c r="L3038">
        <v>276.98899999999998</v>
      </c>
      <c r="M3038">
        <v>-0.60045729999999997</v>
      </c>
      <c r="N3038">
        <v>-2.171435E-2</v>
      </c>
      <c r="O3038">
        <v>-0.79936209999999996</v>
      </c>
      <c r="P3038">
        <v>-0.38210379999999999</v>
      </c>
      <c r="Q3038">
        <v>-6.9567649999999995E-2</v>
      </c>
      <c r="R3038">
        <v>-0.92149749999999997</v>
      </c>
      <c r="S3038">
        <v>-0.45379639999999999</v>
      </c>
      <c r="T3038">
        <v>-8.720398E-2</v>
      </c>
      <c r="U3038">
        <v>-3.0679020000000001</v>
      </c>
      <c r="V3038">
        <v>-0.24630850000000001</v>
      </c>
      <c r="W3038">
        <v>-5.625865E-2</v>
      </c>
      <c r="X3038">
        <v>0.96755729999999995</v>
      </c>
      <c r="Y3038">
        <v>-0.47684609999999999</v>
      </c>
      <c r="Z3038">
        <v>-2.4812390000000001E-3</v>
      </c>
      <c r="AA3038">
        <v>0.87898330000000002</v>
      </c>
      <c r="AB3038">
        <v>24</v>
      </c>
      <c r="AC3038">
        <v>-5.7839000000000098</v>
      </c>
      <c r="AD3038">
        <v>-1.1233606106180001</v>
      </c>
      <c r="AE3038">
        <v>-39.423200000000001</v>
      </c>
      <c r="AF3038">
        <v>-19.037875530905001</v>
      </c>
      <c r="AG3038">
        <v>-1.1233606106180001</v>
      </c>
      <c r="AH3038">
        <v>34.966850309565899</v>
      </c>
      <c r="AI3038">
        <v>91.616200958751605</v>
      </c>
      <c r="AJ3038">
        <v>118.56630209233199</v>
      </c>
      <c r="AK3038">
        <v>39.829427115680602</v>
      </c>
      <c r="AL3038">
        <v>93.225085919010397</v>
      </c>
      <c r="AM3038">
        <v>104.282274029183</v>
      </c>
      <c r="AN3038">
        <v>1.00000002082768</v>
      </c>
    </row>
    <row r="3039" spans="1:40" x14ac:dyDescent="0.25">
      <c r="A3039" t="str">
        <f>"20190305134955257"</f>
        <v>20190305134955257</v>
      </c>
      <c r="B3039" t="str">
        <f>"1551764995253586"</f>
        <v>1551764995253586</v>
      </c>
      <c r="C3039" t="s">
        <v>40</v>
      </c>
      <c r="D3039">
        <v>3.9436580000000001</v>
      </c>
      <c r="E3039">
        <v>0.40309590000000001</v>
      </c>
      <c r="F3039" t="s">
        <v>42</v>
      </c>
      <c r="G3039">
        <v>-488.6712</v>
      </c>
      <c r="H3039" s="1">
        <v>-3.4623580000000002E-6</v>
      </c>
      <c r="I3039">
        <v>237.1542</v>
      </c>
      <c r="J3039">
        <v>-483.10059999999999</v>
      </c>
      <c r="K3039">
        <v>1.123356</v>
      </c>
      <c r="L3039">
        <v>276.90219999999999</v>
      </c>
      <c r="M3039">
        <v>-0.59354130000000005</v>
      </c>
      <c r="N3039">
        <v>-2.171681E-2</v>
      </c>
      <c r="O3039">
        <v>-0.80451039999999996</v>
      </c>
      <c r="P3039">
        <v>-0.37527549999999998</v>
      </c>
      <c r="Q3039">
        <v>-6.9967959999999996E-2</v>
      </c>
      <c r="R3039">
        <v>-0.92426889999999995</v>
      </c>
      <c r="S3039">
        <v>-0.4333496</v>
      </c>
      <c r="T3039">
        <v>-8.6555720000000003E-2</v>
      </c>
      <c r="U3039">
        <v>-3.0693049999999999</v>
      </c>
      <c r="V3039">
        <v>-0.24509449999999999</v>
      </c>
      <c r="W3039">
        <v>-5.6612820000000001E-2</v>
      </c>
      <c r="X3039">
        <v>0.96784479999999995</v>
      </c>
      <c r="Y3039">
        <v>-0.4750624</v>
      </c>
      <c r="Z3039">
        <v>-2.4589429999999999E-3</v>
      </c>
      <c r="AA3039">
        <v>0.87994869999999903</v>
      </c>
      <c r="AB3039">
        <v>24</v>
      </c>
      <c r="AC3039">
        <v>-5.5706000000000104</v>
      </c>
      <c r="AD3039">
        <v>-1.1233594623579899</v>
      </c>
      <c r="AE3039">
        <v>-39.747999999999898</v>
      </c>
      <c r="AF3039">
        <v>-19.100021029565401</v>
      </c>
      <c r="AG3039">
        <v>-1.1233594623579899</v>
      </c>
      <c r="AH3039">
        <v>35.264761088241698</v>
      </c>
      <c r="AI3039">
        <v>91.604459992256295</v>
      </c>
      <c r="AJ3039">
        <v>118.440762242182</v>
      </c>
      <c r="AK3039">
        <v>40.120769115537598</v>
      </c>
      <c r="AL3039">
        <v>93.245411016980995</v>
      </c>
      <c r="AM3039">
        <v>104.21068822264699</v>
      </c>
      <c r="AN3039">
        <v>0.99999994110281898</v>
      </c>
    </row>
    <row r="3040" spans="1:40" x14ac:dyDescent="0.25">
      <c r="A3040" t="str">
        <f>"20190305134955267"</f>
        <v>20190305134955267</v>
      </c>
      <c r="B3040" t="str">
        <f>"1551764995263346"</f>
        <v>1551764995263346</v>
      </c>
      <c r="C3040" t="s">
        <v>40</v>
      </c>
      <c r="D3040">
        <v>4.0188969999999999</v>
      </c>
      <c r="E3040">
        <v>0.40385140000000003</v>
      </c>
      <c r="F3040" t="s">
        <v>42</v>
      </c>
      <c r="G3040">
        <v>-488.1198</v>
      </c>
      <c r="H3040" s="1">
        <v>-4.5927250000000001E-6</v>
      </c>
      <c r="I3040">
        <v>239.56110000000001</v>
      </c>
      <c r="J3040">
        <v>-483.15609999999998</v>
      </c>
      <c r="K3040">
        <v>1.123354</v>
      </c>
      <c r="L3040">
        <v>276.81139999999999</v>
      </c>
      <c r="M3040">
        <v>-0.58627359999999995</v>
      </c>
      <c r="N3040">
        <v>-2.1719249999999999E-2</v>
      </c>
      <c r="O3040">
        <v>-0.80982200000000004</v>
      </c>
      <c r="P3040">
        <v>-0.36785079999999998</v>
      </c>
      <c r="Q3040">
        <v>-6.9554489999999997E-2</v>
      </c>
      <c r="R3040">
        <v>-0.92728010000000005</v>
      </c>
      <c r="S3040">
        <v>-0.41281129999999999</v>
      </c>
      <c r="T3040">
        <v>-9.2393160000000002E-2</v>
      </c>
      <c r="U3040">
        <v>-3.0711979999999999</v>
      </c>
      <c r="V3040">
        <v>-0.2441759</v>
      </c>
      <c r="W3040">
        <v>-5.6160639999999998E-2</v>
      </c>
      <c r="X3040">
        <v>0.9681033</v>
      </c>
      <c r="Y3040">
        <v>-0.47297729999999999</v>
      </c>
      <c r="Z3040">
        <v>-1.0476190000000001E-3</v>
      </c>
      <c r="AA3040">
        <v>0.88107400000000002</v>
      </c>
      <c r="AB3040">
        <v>24</v>
      </c>
      <c r="AC3040">
        <v>-4.96370000000001</v>
      </c>
      <c r="AD3040">
        <v>-1.123358592725</v>
      </c>
      <c r="AE3040">
        <v>-37.250299999999903</v>
      </c>
      <c r="AF3040">
        <v>-17.807444834316598</v>
      </c>
      <c r="AG3040">
        <v>-1.123358592725</v>
      </c>
      <c r="AH3040">
        <v>33.054463935901097</v>
      </c>
      <c r="AI3040">
        <v>91.713751080837199</v>
      </c>
      <c r="AJ3040">
        <v>118.31269689262</v>
      </c>
      <c r="AK3040">
        <v>37.562808895832902</v>
      </c>
      <c r="AL3040">
        <v>93.219461716510196</v>
      </c>
      <c r="AM3040">
        <v>104.15594455143599</v>
      </c>
      <c r="AN3040">
        <v>0.99999994354845301</v>
      </c>
    </row>
    <row r="3041" spans="1:40" x14ac:dyDescent="0.25">
      <c r="A3041" t="str">
        <f>"20190305134955278"</f>
        <v>20190305134955278</v>
      </c>
      <c r="B3041" t="str">
        <f>"1551764995273107"</f>
        <v>1551764995273107</v>
      </c>
      <c r="C3041" t="s">
        <v>40</v>
      </c>
      <c r="D3041">
        <v>4.0012939999999997</v>
      </c>
      <c r="E3041">
        <v>0.40469650000000001</v>
      </c>
      <c r="F3041" t="s">
        <v>42</v>
      </c>
      <c r="G3041">
        <v>-488.0634</v>
      </c>
      <c r="H3041" s="1">
        <v>-4.177485E-6</v>
      </c>
      <c r="I3041">
        <v>238.56989999999999</v>
      </c>
      <c r="J3041">
        <v>-483.21159999999998</v>
      </c>
      <c r="K3041">
        <v>1.123353</v>
      </c>
      <c r="L3041">
        <v>276.71749999999997</v>
      </c>
      <c r="M3041">
        <v>-0.57872889999999999</v>
      </c>
      <c r="N3041">
        <v>-2.1720219999999998E-2</v>
      </c>
      <c r="O3041">
        <v>-0.81523080000000003</v>
      </c>
      <c r="P3041">
        <v>-0.35997499999999999</v>
      </c>
      <c r="Q3041">
        <v>-6.8982409999999994E-2</v>
      </c>
      <c r="R3041">
        <v>-0.93040860000000003</v>
      </c>
      <c r="S3041">
        <v>-0.39422610000000002</v>
      </c>
      <c r="T3041">
        <v>-9.0243340000000005E-2</v>
      </c>
      <c r="U3041">
        <v>-3.0720830000000001</v>
      </c>
      <c r="V3041">
        <v>-0.2434413</v>
      </c>
      <c r="W3041">
        <v>-5.5552020000000001E-2</v>
      </c>
      <c r="X3041">
        <v>0.9683235</v>
      </c>
      <c r="Y3041">
        <v>-0.47007490000000002</v>
      </c>
      <c r="Z3041">
        <v>-1.310224E-3</v>
      </c>
      <c r="AA3041">
        <v>0.88262559999999901</v>
      </c>
      <c r="AB3041">
        <v>24</v>
      </c>
      <c r="AC3041">
        <v>-4.8518000000000203</v>
      </c>
      <c r="AD3041">
        <v>-1.123357177485</v>
      </c>
      <c r="AE3041">
        <v>-38.147599999999898</v>
      </c>
      <c r="AF3041">
        <v>-18.110601580421001</v>
      </c>
      <c r="AG3041">
        <v>-1.123357177485</v>
      </c>
      <c r="AH3041">
        <v>33.886056478625598</v>
      </c>
      <c r="AI3041">
        <v>91.674694362174193</v>
      </c>
      <c r="AJ3041">
        <v>118.12253679865999</v>
      </c>
      <c r="AK3041">
        <v>38.438530729276799</v>
      </c>
      <c r="AL3041">
        <v>93.184535500966405</v>
      </c>
      <c r="AM3041">
        <v>104.11197975871499</v>
      </c>
      <c r="AN3041">
        <v>1.0000000470620001</v>
      </c>
    </row>
    <row r="3042" spans="1:40" x14ac:dyDescent="0.25">
      <c r="A3042" t="str">
        <f>"20190305134955290"</f>
        <v>20190305134955290</v>
      </c>
      <c r="B3042" t="str">
        <f>"1551764995283375"</f>
        <v>1551764995283375</v>
      </c>
      <c r="C3042" t="s">
        <v>40</v>
      </c>
      <c r="D3042">
        <v>4.0141299999999998</v>
      </c>
      <c r="E3042">
        <v>0.4054738</v>
      </c>
      <c r="F3042" t="s">
        <v>42</v>
      </c>
      <c r="G3042">
        <v>-488.12200000000001</v>
      </c>
      <c r="H3042" s="1">
        <v>-3.2111550000000001E-6</v>
      </c>
      <c r="I3042">
        <v>236.3415</v>
      </c>
      <c r="J3042">
        <v>-483.27330000000001</v>
      </c>
      <c r="K3042">
        <v>1.1233420000000001</v>
      </c>
      <c r="L3042">
        <v>276.6123</v>
      </c>
      <c r="M3042">
        <v>-0.57022259999999902</v>
      </c>
      <c r="N3042">
        <v>-2.1721109999999998E-2</v>
      </c>
      <c r="O3042">
        <v>-0.82120309999999896</v>
      </c>
      <c r="P3042">
        <v>-0.35134490000000002</v>
      </c>
      <c r="Q3042">
        <v>-6.7655969999999996E-2</v>
      </c>
      <c r="R3042">
        <v>-0.93379849999999998</v>
      </c>
      <c r="S3042">
        <v>-0.37377929999999998</v>
      </c>
      <c r="T3042">
        <v>-8.5510849999999999E-2</v>
      </c>
      <c r="U3042">
        <v>-3.0734560000000002</v>
      </c>
      <c r="V3042">
        <v>-0.24244099999999999</v>
      </c>
      <c r="W3042">
        <v>-5.4175260000000003E-2</v>
      </c>
      <c r="X3042">
        <v>0.96865239999999997</v>
      </c>
      <c r="Y3042">
        <v>-0.46674139999999997</v>
      </c>
      <c r="Z3042">
        <v>-2.1321209999999998E-3</v>
      </c>
      <c r="AA3042">
        <v>0.88439129999999999</v>
      </c>
      <c r="AB3042">
        <v>24</v>
      </c>
      <c r="AC3042">
        <v>-4.8486999999999503</v>
      </c>
      <c r="AD3042">
        <v>-1.123345211155</v>
      </c>
      <c r="AE3042">
        <v>-40.270800000000001</v>
      </c>
      <c r="AF3042">
        <v>-18.9714796422838</v>
      </c>
      <c r="AG3042">
        <v>-1.123345211155</v>
      </c>
      <c r="AH3042">
        <v>35.8163269509975</v>
      </c>
      <c r="AI3042">
        <v>91.587603674479297</v>
      </c>
      <c r="AJ3042">
        <v>117.90963319459</v>
      </c>
      <c r="AK3042">
        <v>40.546124605710098</v>
      </c>
      <c r="AL3042">
        <v>93.105534011905803</v>
      </c>
      <c r="AM3042">
        <v>104.051713277056</v>
      </c>
      <c r="AN3042">
        <v>1.00000003465141</v>
      </c>
    </row>
    <row r="3043" spans="1:40" x14ac:dyDescent="0.25">
      <c r="A3043" t="str">
        <f>"20190305134955300"</f>
        <v>20190305134955300</v>
      </c>
      <c r="B3043" t="str">
        <f>"1551764995293135"</f>
        <v>1551764995293135</v>
      </c>
      <c r="C3043" t="s">
        <v>40</v>
      </c>
      <c r="D3043">
        <v>4.0182699999999896</v>
      </c>
      <c r="E3043">
        <v>0.40630179999999999</v>
      </c>
      <c r="F3043" t="s">
        <v>42</v>
      </c>
      <c r="G3043">
        <v>-488.19349999999997</v>
      </c>
      <c r="H3043" s="1">
        <v>-1.9846220000000002E-6</v>
      </c>
      <c r="I3043">
        <v>233.512</v>
      </c>
      <c r="J3043">
        <v>-483.32859999999999</v>
      </c>
      <c r="K3043">
        <v>1.1233200000000001</v>
      </c>
      <c r="L3043">
        <v>276.51389999999998</v>
      </c>
      <c r="M3043">
        <v>-0.56225669999999905</v>
      </c>
      <c r="N3043">
        <v>-2.1719240000000001E-2</v>
      </c>
      <c r="O3043">
        <v>-0.82667749999999995</v>
      </c>
      <c r="P3043">
        <v>-0.34345389999999998</v>
      </c>
      <c r="Q3043">
        <v>-6.6460560000000002E-2</v>
      </c>
      <c r="R3043">
        <v>-0.93681530000000002</v>
      </c>
      <c r="S3043">
        <v>-0.35101320000000003</v>
      </c>
      <c r="T3043">
        <v>-8.0140710000000004E-2</v>
      </c>
      <c r="U3043">
        <v>-3.0748289999999998</v>
      </c>
      <c r="V3043">
        <v>-0.24133930000000001</v>
      </c>
      <c r="W3043">
        <v>-5.2922230000000001E-2</v>
      </c>
      <c r="X3043">
        <v>0.96899669999999904</v>
      </c>
      <c r="Y3043">
        <v>-0.4647097</v>
      </c>
      <c r="Z3043">
        <v>-3.152522E-3</v>
      </c>
      <c r="AA3043">
        <v>0.88545750000000001</v>
      </c>
      <c r="AB3043">
        <v>24</v>
      </c>
      <c r="AC3043">
        <v>-4.8648999999999702</v>
      </c>
      <c r="AD3043">
        <v>-1.1233219846219999</v>
      </c>
      <c r="AE3043">
        <v>-43.0018999999999</v>
      </c>
      <c r="AF3043">
        <v>-20.147583946629901</v>
      </c>
      <c r="AG3043">
        <v>-1.1233219846219999</v>
      </c>
      <c r="AH3043">
        <v>38.267275320653397</v>
      </c>
      <c r="AI3043">
        <v>91.487895774440602</v>
      </c>
      <c r="AJ3043">
        <v>117.766644953648</v>
      </c>
      <c r="AK3043">
        <v>43.261661452541603</v>
      </c>
      <c r="AL3043">
        <v>93.033637592225105</v>
      </c>
      <c r="AM3043">
        <v>103.985597021625</v>
      </c>
      <c r="AN3043">
        <v>1.0000000123817701</v>
      </c>
    </row>
    <row r="3044" spans="1:40" x14ac:dyDescent="0.25">
      <c r="A3044" t="str">
        <f>"20190305134955311"</f>
        <v>20190305134955311</v>
      </c>
      <c r="B3044" t="str">
        <f>"1551764995303872"</f>
        <v>1551764995303872</v>
      </c>
      <c r="C3044" t="s">
        <v>40</v>
      </c>
      <c r="D3044">
        <v>4.0522109999999998</v>
      </c>
      <c r="E3044">
        <v>0.4072114</v>
      </c>
      <c r="F3044" t="s">
        <v>42</v>
      </c>
      <c r="G3044">
        <v>-488.20499999999998</v>
      </c>
      <c r="H3044" s="1">
        <v>-1.016609E-6</v>
      </c>
      <c r="I3044">
        <v>231.232</v>
      </c>
      <c r="J3044">
        <v>-483.37900000000002</v>
      </c>
      <c r="K3044">
        <v>1.1233010000000001</v>
      </c>
      <c r="L3044">
        <v>276.4237</v>
      </c>
      <c r="M3044">
        <v>-0.55491049999999997</v>
      </c>
      <c r="N3044">
        <v>-2.1717609999999998E-2</v>
      </c>
      <c r="O3044">
        <v>-0.83162659999999999</v>
      </c>
      <c r="P3044">
        <v>-0.33637879999999998</v>
      </c>
      <c r="Q3044">
        <v>-6.5829929999999995E-2</v>
      </c>
      <c r="R3044">
        <v>-0.93942300000000001</v>
      </c>
      <c r="S3044">
        <v>-0.33120729999999998</v>
      </c>
      <c r="T3044">
        <v>-7.6295500000000002E-2</v>
      </c>
      <c r="U3044">
        <v>-3.0755309999999998</v>
      </c>
      <c r="V3044">
        <v>-0.2401123</v>
      </c>
      <c r="W3044">
        <v>-5.223096E-2</v>
      </c>
      <c r="X3044">
        <v>0.96933899999999995</v>
      </c>
      <c r="Y3044">
        <v>-0.46252929999999998</v>
      </c>
      <c r="Z3044">
        <v>-3.8653580000000002E-3</v>
      </c>
      <c r="AA3044">
        <v>0.88659549999999998</v>
      </c>
      <c r="AB3044">
        <v>24</v>
      </c>
      <c r="AC3044">
        <v>-4.8259999999999597</v>
      </c>
      <c r="AD3044">
        <v>-1.123302016609</v>
      </c>
      <c r="AE3044">
        <v>-45.191699999999997</v>
      </c>
      <c r="AF3044">
        <v>-21.0560242571263</v>
      </c>
      <c r="AG3044">
        <v>-1.123302016609</v>
      </c>
      <c r="AH3044">
        <v>40.245528485325501</v>
      </c>
      <c r="AI3044">
        <v>91.4166900989309</v>
      </c>
      <c r="AJ3044">
        <v>117.61807680181001</v>
      </c>
      <c r="AK3044">
        <v>45.434794244063198</v>
      </c>
      <c r="AL3044">
        <v>92.993975789254804</v>
      </c>
      <c r="AM3044">
        <v>103.912539484758</v>
      </c>
      <c r="AN3044">
        <v>1.0000000433573999</v>
      </c>
    </row>
    <row r="3045" spans="1:40" x14ac:dyDescent="0.25">
      <c r="A3045" t="str">
        <f>"20190305134955322"</f>
        <v>20190305134955322</v>
      </c>
      <c r="B3045" t="str">
        <f>"1551764995313631"</f>
        <v>1551764995313631</v>
      </c>
      <c r="C3045" t="s">
        <v>40</v>
      </c>
      <c r="D3045">
        <v>4.0589170000000001</v>
      </c>
      <c r="E3045">
        <v>0.4080356</v>
      </c>
      <c r="F3045" t="s">
        <v>62</v>
      </c>
      <c r="G3045">
        <v>-488.19009999999997</v>
      </c>
      <c r="H3045" s="1">
        <v>6.0833989999999998E-6</v>
      </c>
      <c r="I3045">
        <v>229.36099999999999</v>
      </c>
      <c r="J3045">
        <v>-483.43400000000003</v>
      </c>
      <c r="K3045">
        <v>1.1232660000000001</v>
      </c>
      <c r="L3045">
        <v>276.32150000000001</v>
      </c>
      <c r="M3045">
        <v>-0.54658339999999905</v>
      </c>
      <c r="N3045">
        <v>-2.1713099999999999E-2</v>
      </c>
      <c r="O3045">
        <v>-0.83712299999999995</v>
      </c>
      <c r="P3045">
        <v>-0.32874419999999999</v>
      </c>
      <c r="Q3045">
        <v>-6.5167619999999996E-2</v>
      </c>
      <c r="R3045">
        <v>-0.94216809999999995</v>
      </c>
      <c r="S3045">
        <v>-0.314422599999999</v>
      </c>
      <c r="T3045">
        <v>-7.3411229999999994E-2</v>
      </c>
      <c r="U3045">
        <v>-3.0757140000000001</v>
      </c>
      <c r="V3045">
        <v>-0.23835870000000001</v>
      </c>
      <c r="W3045">
        <v>-5.1483710000000002E-2</v>
      </c>
      <c r="X3045">
        <v>0.9698116</v>
      </c>
      <c r="Y3045">
        <v>-0.45847710000000003</v>
      </c>
      <c r="Z3045">
        <v>-4.3369749999999999E-3</v>
      </c>
      <c r="AA3045">
        <v>0.88869560000000003</v>
      </c>
      <c r="AB3045">
        <v>23</v>
      </c>
      <c r="AC3045">
        <v>-4.7560999999999396</v>
      </c>
      <c r="AD3045">
        <v>-1.12325991660099</v>
      </c>
      <c r="AE3045">
        <v>-46.960500000000003</v>
      </c>
      <c r="AF3045">
        <v>-21.6792278585284</v>
      </c>
      <c r="AG3045">
        <v>-1.12325991660099</v>
      </c>
      <c r="AH3045">
        <v>41.897480153649298</v>
      </c>
      <c r="AI3045">
        <v>91.364011367767802</v>
      </c>
      <c r="AJ3045">
        <v>117.35863283270599</v>
      </c>
      <c r="AK3045">
        <v>47.187386838091399</v>
      </c>
      <c r="AL3045">
        <v>92.951103989801396</v>
      </c>
      <c r="AM3045">
        <v>103.80836426350101</v>
      </c>
      <c r="AN3045">
        <v>0.999999990877807</v>
      </c>
    </row>
    <row r="3046" spans="1:40" x14ac:dyDescent="0.25">
      <c r="A3046" t="str">
        <f>"20190305134955333"</f>
        <v>20190305134955333</v>
      </c>
      <c r="B3046" t="str">
        <f>"1551764995323391"</f>
        <v>1551764995323391</v>
      </c>
      <c r="C3046" t="s">
        <v>40</v>
      </c>
      <c r="D3046">
        <v>4.2050689999999999</v>
      </c>
      <c r="E3046">
        <v>0.40854629999999997</v>
      </c>
      <c r="F3046" t="s">
        <v>62</v>
      </c>
      <c r="G3046">
        <v>-488.20850000000002</v>
      </c>
      <c r="H3046" s="1">
        <v>5.263275E-6</v>
      </c>
      <c r="I3046">
        <v>226.6977</v>
      </c>
      <c r="J3046">
        <v>-483.48430000000002</v>
      </c>
      <c r="K3046">
        <v>1.123232</v>
      </c>
      <c r="L3046">
        <v>276.22660000000002</v>
      </c>
      <c r="M3046">
        <v>-0.53882019999999997</v>
      </c>
      <c r="N3046">
        <v>-2.1708310000000001E-2</v>
      </c>
      <c r="O3046">
        <v>-0.84214120000000003</v>
      </c>
      <c r="P3046">
        <v>-0.32201950000000001</v>
      </c>
      <c r="Q3046">
        <v>-6.4633679999999999E-2</v>
      </c>
      <c r="R3046">
        <v>-0.94452420000000004</v>
      </c>
      <c r="S3046">
        <v>-0.29595949999999999</v>
      </c>
      <c r="T3046">
        <v>-6.9627289999999994E-2</v>
      </c>
      <c r="U3046">
        <v>-3.0760190000000001</v>
      </c>
      <c r="V3046">
        <v>-0.23634959999999999</v>
      </c>
      <c r="W3046">
        <v>-5.0856180000000001E-2</v>
      </c>
      <c r="X3046">
        <v>0.97033630000000004</v>
      </c>
      <c r="Y3046">
        <v>-0.45555950000000001</v>
      </c>
      <c r="Z3046">
        <v>-5.0576140000000002E-3</v>
      </c>
      <c r="AA3046">
        <v>0.89019099999999995</v>
      </c>
      <c r="AB3046">
        <v>23</v>
      </c>
      <c r="AC3046">
        <v>-4.72419999999999</v>
      </c>
      <c r="AD3046">
        <v>-1.123226736725</v>
      </c>
      <c r="AE3046">
        <v>-49.5289</v>
      </c>
      <c r="AF3046">
        <v>-22.702507386127099</v>
      </c>
      <c r="AG3046">
        <v>-1.123226736725</v>
      </c>
      <c r="AH3046">
        <v>44.243697973322902</v>
      </c>
      <c r="AI3046">
        <v>91.293934187479394</v>
      </c>
      <c r="AJ3046">
        <v>117.163452020465</v>
      </c>
      <c r="AK3046">
        <v>49.741032259834199</v>
      </c>
      <c r="AL3046">
        <v>92.915101949174499</v>
      </c>
      <c r="AM3046">
        <v>103.689248602955</v>
      </c>
      <c r="AN3046">
        <v>1.00000000978102</v>
      </c>
    </row>
    <row r="3047" spans="1:40" x14ac:dyDescent="0.25">
      <c r="A3047" t="str">
        <f>"20190305134955344"</f>
        <v>20190305134955344</v>
      </c>
      <c r="B3047" t="str">
        <f>"1551764995333152"</f>
        <v>1551764995333152</v>
      </c>
      <c r="C3047" t="s">
        <v>40</v>
      </c>
      <c r="D3047">
        <v>4.0345750000000002</v>
      </c>
      <c r="E3047">
        <v>0.40939959999999997</v>
      </c>
      <c r="F3047" t="s">
        <v>62</v>
      </c>
      <c r="G3047">
        <v>-488.2946</v>
      </c>
      <c r="H3047" s="1">
        <v>4.1919630000000003E-6</v>
      </c>
      <c r="I3047">
        <v>222.92750000000001</v>
      </c>
      <c r="J3047">
        <v>-483.53739999999999</v>
      </c>
      <c r="K3047">
        <v>1.123183</v>
      </c>
      <c r="L3047">
        <v>276.12380000000002</v>
      </c>
      <c r="M3047">
        <v>-0.53039859999999905</v>
      </c>
      <c r="N3047">
        <v>-2.170095E-2</v>
      </c>
      <c r="O3047">
        <v>-0.84747079999999997</v>
      </c>
      <c r="P3047">
        <v>-0.31471259999999901</v>
      </c>
      <c r="Q3047">
        <v>-6.4821359999999995E-2</v>
      </c>
      <c r="R3047">
        <v>-0.94697129999999996</v>
      </c>
      <c r="S3047">
        <v>-0.27771000000000001</v>
      </c>
      <c r="T3047">
        <v>-6.4846630000000002E-2</v>
      </c>
      <c r="U3047">
        <v>-3.0770870000000001</v>
      </c>
      <c r="V3047">
        <v>-0.23417099999999999</v>
      </c>
      <c r="W3047">
        <v>-5.0941720000000003E-2</v>
      </c>
      <c r="X3047">
        <v>0.9708599</v>
      </c>
      <c r="Y3047">
        <v>-0.45195809999999997</v>
      </c>
      <c r="Z3047">
        <v>-6.0179040000000001E-3</v>
      </c>
      <c r="AA3047">
        <v>0.89201889999999995</v>
      </c>
      <c r="AB3047">
        <v>23</v>
      </c>
      <c r="AC3047">
        <v>-4.7572000000000099</v>
      </c>
      <c r="AD3047">
        <v>-1.123178808037</v>
      </c>
      <c r="AE3047">
        <v>-53.196300000000001</v>
      </c>
      <c r="AF3047">
        <v>-24.1786537938228</v>
      </c>
      <c r="AG3047">
        <v>-1.123178808037</v>
      </c>
      <c r="AH3047">
        <v>47.595678351695597</v>
      </c>
      <c r="AI3047">
        <v>91.205281236529999</v>
      </c>
      <c r="AJ3047">
        <v>116.93061660211799</v>
      </c>
      <c r="AK3047">
        <v>53.396792297613104</v>
      </c>
      <c r="AL3047">
        <v>92.9200093298018</v>
      </c>
      <c r="AM3047">
        <v>103.56070314647801</v>
      </c>
      <c r="AN3047">
        <v>1.0000000307527801</v>
      </c>
    </row>
    <row r="3048" spans="1:40" x14ac:dyDescent="0.25">
      <c r="A3048" t="str">
        <f>"20190305134955355"</f>
        <v>20190305134955355</v>
      </c>
      <c r="B3048" t="str">
        <f>"1551764995343889"</f>
        <v>1551764995343889</v>
      </c>
      <c r="C3048" t="s">
        <v>40</v>
      </c>
      <c r="D3048">
        <v>4.0289599999999997</v>
      </c>
      <c r="E3048">
        <v>0.410221</v>
      </c>
      <c r="F3048" t="s">
        <v>62</v>
      </c>
      <c r="G3048">
        <v>-488.07960000000003</v>
      </c>
      <c r="H3048" s="1">
        <v>4.024563E-6</v>
      </c>
      <c r="I3048">
        <v>222.541</v>
      </c>
      <c r="J3048">
        <v>-483.58620000000002</v>
      </c>
      <c r="K3048">
        <v>1.123129</v>
      </c>
      <c r="L3048">
        <v>276.02670000000001</v>
      </c>
      <c r="M3048">
        <v>-0.52244089999999999</v>
      </c>
      <c r="N3048">
        <v>-2.1692079999999999E-2</v>
      </c>
      <c r="O3048">
        <v>-0.85239959999999904</v>
      </c>
      <c r="P3048">
        <v>-0.30775019999999997</v>
      </c>
      <c r="Q3048">
        <v>-6.4941570000000004E-2</v>
      </c>
      <c r="R3048">
        <v>-0.9492486</v>
      </c>
      <c r="S3048">
        <v>-0.2608337</v>
      </c>
      <c r="T3048">
        <v>-6.4497349999999995E-2</v>
      </c>
      <c r="U3048">
        <v>-3.0769350000000002</v>
      </c>
      <c r="V3048">
        <v>-0.23221240000000001</v>
      </c>
      <c r="W3048">
        <v>-5.0967760000000001E-2</v>
      </c>
      <c r="X3048">
        <v>0.97132879999999999</v>
      </c>
      <c r="Y3048">
        <v>-0.44845750000000001</v>
      </c>
      <c r="Z3048">
        <v>-5.9597549999999997E-3</v>
      </c>
      <c r="AA3048">
        <v>0.89378429999999998</v>
      </c>
      <c r="AB3048">
        <v>23</v>
      </c>
      <c r="AC3048">
        <v>-4.4934000000000003</v>
      </c>
      <c r="AD3048">
        <v>-1.1231249754369901</v>
      </c>
      <c r="AE3048">
        <v>-53.485700000000001</v>
      </c>
      <c r="AF3048">
        <v>-24.108062845792901</v>
      </c>
      <c r="AG3048">
        <v>-1.1231249754369901</v>
      </c>
      <c r="AH3048">
        <v>47.929019293265199</v>
      </c>
      <c r="AI3048">
        <v>91.199257660261694</v>
      </c>
      <c r="AJ3048">
        <v>116.70217285805801</v>
      </c>
      <c r="AK3048">
        <v>53.662379692866203</v>
      </c>
      <c r="AL3048">
        <v>92.921503417025207</v>
      </c>
      <c r="AM3048">
        <v>103.445162418802</v>
      </c>
      <c r="AN3048">
        <v>0.99999997449130795</v>
      </c>
    </row>
    <row r="3049" spans="1:40" x14ac:dyDescent="0.25">
      <c r="A3049" t="str">
        <f>"20190305134955367"</f>
        <v>20190305134955367</v>
      </c>
      <c r="B3049" t="str">
        <f>"1551764995363407"</f>
        <v>1551764995363407</v>
      </c>
      <c r="C3049" t="s">
        <v>40</v>
      </c>
      <c r="D3049">
        <v>4.0366239999999998</v>
      </c>
      <c r="E3049">
        <v>0.43529899999999999</v>
      </c>
      <c r="F3049" t="s">
        <v>62</v>
      </c>
      <c r="G3049">
        <v>-487.86799999999999</v>
      </c>
      <c r="H3049" s="1">
        <v>3.8105120000000001E-6</v>
      </c>
      <c r="I3049">
        <v>222.00149999999999</v>
      </c>
      <c r="J3049">
        <v>-483.64010000000002</v>
      </c>
      <c r="K3049">
        <v>1.1230549999999999</v>
      </c>
      <c r="L3049">
        <v>275.91759999999999</v>
      </c>
      <c r="M3049">
        <v>-0.51347920000000002</v>
      </c>
      <c r="N3049">
        <v>-2.1680709999999999E-2</v>
      </c>
      <c r="O3049">
        <v>-0.85782809999999898</v>
      </c>
      <c r="P3049">
        <v>-0.29998590000000003</v>
      </c>
      <c r="Q3049">
        <v>-6.4939860000000002E-2</v>
      </c>
      <c r="R3049">
        <v>-0.95173070000000004</v>
      </c>
      <c r="S3049">
        <v>-0.243866</v>
      </c>
      <c r="T3049">
        <v>-6.3967350000000006E-2</v>
      </c>
      <c r="U3049">
        <v>-3.0769959999999998</v>
      </c>
      <c r="V3049">
        <v>-0.2299793</v>
      </c>
      <c r="W3049">
        <v>-5.0857399999999997E-2</v>
      </c>
      <c r="X3049">
        <v>0.9718658</v>
      </c>
      <c r="Y3049">
        <v>-0.4439864</v>
      </c>
      <c r="Z3049">
        <v>-5.9249849999999998E-3</v>
      </c>
      <c r="AA3049">
        <v>0.89601399999999998</v>
      </c>
      <c r="AB3049">
        <v>23</v>
      </c>
      <c r="AC3049">
        <v>-4.2279000000000302</v>
      </c>
      <c r="AD3049">
        <v>-1.123051189488</v>
      </c>
      <c r="AE3049">
        <v>-53.9161</v>
      </c>
      <c r="AF3049">
        <v>-24.053268565255301</v>
      </c>
      <c r="AG3049">
        <v>-1.123051189488</v>
      </c>
      <c r="AH3049">
        <v>48.412192593250701</v>
      </c>
      <c r="AI3049">
        <v>91.190137963771505</v>
      </c>
      <c r="AJ3049">
        <v>116.420171373977</v>
      </c>
      <c r="AK3049">
        <v>54.0699673047109</v>
      </c>
      <c r="AL3049">
        <v>92.915171842546599</v>
      </c>
      <c r="AM3049">
        <v>103.31339727990201</v>
      </c>
      <c r="AN3049">
        <v>1.00000004338644</v>
      </c>
    </row>
    <row r="3050" spans="1:40" x14ac:dyDescent="0.25">
      <c r="A3050" t="str">
        <f>"20190305134955381"</f>
        <v>20190305134955381</v>
      </c>
      <c r="B3050" t="str">
        <f>"1551764995373167"</f>
        <v>1551764995373167</v>
      </c>
      <c r="C3050" t="s">
        <v>40</v>
      </c>
      <c r="D3050">
        <v>4.0497389999999998</v>
      </c>
      <c r="E3050">
        <v>0.43499969999999999</v>
      </c>
      <c r="F3050" t="s">
        <v>42</v>
      </c>
      <c r="G3050">
        <v>-487.93720000000002</v>
      </c>
      <c r="H3050" s="1">
        <v>-2.335334E-6</v>
      </c>
      <c r="I3050">
        <v>244.2235</v>
      </c>
      <c r="J3050">
        <v>-483.69839999999999</v>
      </c>
      <c r="K3050">
        <v>1.1229579999999999</v>
      </c>
      <c r="L3050">
        <v>275.79489999999998</v>
      </c>
      <c r="M3050">
        <v>-0.50343170000000004</v>
      </c>
      <c r="N3050">
        <v>-2.1661969999999999E-2</v>
      </c>
      <c r="O3050">
        <v>-0.86376350000000002</v>
      </c>
      <c r="P3050">
        <v>-0.29102240000000001</v>
      </c>
      <c r="Q3050">
        <v>-6.4413520000000002E-2</v>
      </c>
      <c r="R3050">
        <v>-0.95454539999999999</v>
      </c>
      <c r="S3050">
        <v>-0.40890500000000002</v>
      </c>
      <c r="T3050">
        <v>-0.10686850000000001</v>
      </c>
      <c r="U3050">
        <v>-3.0159609999999999</v>
      </c>
      <c r="V3050">
        <v>-0.22782369999999999</v>
      </c>
      <c r="W3050">
        <v>-5.0217970000000001E-2</v>
      </c>
      <c r="X3050">
        <v>0.97240660000000001</v>
      </c>
      <c r="Y3050">
        <v>-0.3826521</v>
      </c>
      <c r="Z3050">
        <v>5.9234459999999997E-3</v>
      </c>
      <c r="AA3050">
        <v>0.92387350000000001</v>
      </c>
      <c r="AB3050">
        <v>23</v>
      </c>
      <c r="AC3050">
        <v>-4.2388000000000199</v>
      </c>
      <c r="AD3050">
        <v>-1.1229603353340001</v>
      </c>
      <c r="AE3050">
        <v>-31.571399999999901</v>
      </c>
      <c r="AF3050">
        <v>-12.220406427621199</v>
      </c>
      <c r="AG3050">
        <v>-1.1229603353340001</v>
      </c>
      <c r="AH3050">
        <v>29.374563894503101</v>
      </c>
      <c r="AI3050">
        <v>92.021496112809899</v>
      </c>
      <c r="AJ3050">
        <v>112.588287980258</v>
      </c>
      <c r="AK3050">
        <v>31.8349552718898</v>
      </c>
      <c r="AL3050">
        <v>92.878488339253593</v>
      </c>
      <c r="AM3050">
        <v>103.185913516905</v>
      </c>
      <c r="AN3050">
        <v>1.0000000392580799</v>
      </c>
    </row>
    <row r="3051" spans="1:40" x14ac:dyDescent="0.25">
      <c r="A3051" t="str">
        <f>"20190305134955394"</f>
        <v>20190305134955394</v>
      </c>
      <c r="B3051" t="str">
        <f>"1551764995383438"</f>
        <v>1551764995383438</v>
      </c>
      <c r="C3051" t="s">
        <v>40</v>
      </c>
      <c r="D3051">
        <v>4.0646870000000002</v>
      </c>
      <c r="E3051">
        <v>0.43562980000000001</v>
      </c>
      <c r="F3051" t="s">
        <v>42</v>
      </c>
      <c r="G3051">
        <v>-488.37270000000001</v>
      </c>
      <c r="H3051" s="1">
        <v>-4.0858010000000002E-6</v>
      </c>
      <c r="I3051">
        <v>238.48400000000001</v>
      </c>
      <c r="J3051">
        <v>-483.75130000000001</v>
      </c>
      <c r="K3051">
        <v>1.1228629999999999</v>
      </c>
      <c r="L3051">
        <v>275.68099999999998</v>
      </c>
      <c r="M3051">
        <v>-0.49411640000000001</v>
      </c>
      <c r="N3051">
        <v>-2.164189E-2</v>
      </c>
      <c r="O3051">
        <v>-0.86912670000000003</v>
      </c>
      <c r="P3051">
        <v>-0.28293869999999999</v>
      </c>
      <c r="Q3051">
        <v>-6.4157850000000002E-2</v>
      </c>
      <c r="R3051">
        <v>-0.95699040000000002</v>
      </c>
      <c r="S3051">
        <v>-0.3785095</v>
      </c>
      <c r="T3051">
        <v>-9.0934399999999999E-2</v>
      </c>
      <c r="U3051">
        <v>-3.0213320000000001</v>
      </c>
      <c r="V3051">
        <v>-0.2256244</v>
      </c>
      <c r="W3051">
        <v>-4.984889E-2</v>
      </c>
      <c r="X3051">
        <v>0.97293819999999998</v>
      </c>
      <c r="Y3051">
        <v>-0.38210270000000002</v>
      </c>
      <c r="Z3051">
        <v>2.0845849999999999E-3</v>
      </c>
      <c r="AA3051">
        <v>0.92411750000000004</v>
      </c>
      <c r="AB3051">
        <v>23</v>
      </c>
      <c r="AC3051">
        <v>-4.6213999999999897</v>
      </c>
      <c r="AD3051">
        <v>-1.1228670858009999</v>
      </c>
      <c r="AE3051">
        <v>-37.196999999999903</v>
      </c>
      <c r="AF3051">
        <v>-14.3535450910792</v>
      </c>
      <c r="AG3051">
        <v>-1.1228670858009999</v>
      </c>
      <c r="AH3051">
        <v>34.589472671066503</v>
      </c>
      <c r="AI3051">
        <v>91.717419088501401</v>
      </c>
      <c r="AJ3051">
        <v>112.536915320227</v>
      </c>
      <c r="AK3051">
        <v>37.466207532074499</v>
      </c>
      <c r="AL3051">
        <v>92.857315174864198</v>
      </c>
      <c r="AM3051">
        <v>103.056115779438</v>
      </c>
      <c r="AN3051">
        <v>1.0000000113644101</v>
      </c>
    </row>
    <row r="3052" spans="1:40" x14ac:dyDescent="0.25">
      <c r="A3052" t="str">
        <f>"20190305134955406"</f>
        <v>20190305134955406</v>
      </c>
      <c r="B3052" t="str">
        <f>"1551764995403933"</f>
        <v>1551764995403933</v>
      </c>
      <c r="C3052" t="s">
        <v>40</v>
      </c>
      <c r="D3052">
        <v>4.0978979999999998</v>
      </c>
      <c r="E3052">
        <v>0.4373727</v>
      </c>
      <c r="F3052" t="s">
        <v>42</v>
      </c>
      <c r="G3052">
        <v>-487.9599</v>
      </c>
      <c r="H3052" s="1">
        <v>-6.9163679999999995E-7</v>
      </c>
      <c r="I3052">
        <v>240.08539999999999</v>
      </c>
      <c r="J3052">
        <v>-483.80360000000002</v>
      </c>
      <c r="K3052">
        <v>1.1227510000000001</v>
      </c>
      <c r="L3052">
        <v>275.56540000000001</v>
      </c>
      <c r="M3052">
        <v>-0.48468889999999998</v>
      </c>
      <c r="N3052">
        <v>-2.1616349999999999E-2</v>
      </c>
      <c r="O3052">
        <v>-0.87441950000000002</v>
      </c>
      <c r="P3052">
        <v>-0.27484429999999999</v>
      </c>
      <c r="Q3052">
        <v>-6.3403699999999993E-2</v>
      </c>
      <c r="R3052">
        <v>-0.95939600000000003</v>
      </c>
      <c r="S3052">
        <v>-0.35739140000000003</v>
      </c>
      <c r="T3052">
        <v>-9.5353129999999994E-2</v>
      </c>
      <c r="U3052">
        <v>-3.0227659999999998</v>
      </c>
      <c r="V3052">
        <v>-0.22338569999999999</v>
      </c>
      <c r="W3052">
        <v>-4.8976249999999999E-2</v>
      </c>
      <c r="X3052">
        <v>0.97349889999999994</v>
      </c>
      <c r="Y3052">
        <v>-0.3785192</v>
      </c>
      <c r="Z3052">
        <v>3.4385840000000002E-3</v>
      </c>
      <c r="AA3052">
        <v>0.9255871</v>
      </c>
      <c r="AB3052">
        <v>23</v>
      </c>
      <c r="AC3052">
        <v>-4.1562999999999803</v>
      </c>
      <c r="AD3052">
        <v>-1.1227516916368001</v>
      </c>
      <c r="AE3052">
        <v>-35.479999999999997</v>
      </c>
      <c r="AF3052">
        <v>-13.5521945247792</v>
      </c>
      <c r="AG3052">
        <v>-1.1227516916368001</v>
      </c>
      <c r="AH3052">
        <v>33.014024918145601</v>
      </c>
      <c r="AI3052">
        <v>91.801974655904004</v>
      </c>
      <c r="AJ3052">
        <v>112.318056928269</v>
      </c>
      <c r="AK3052">
        <v>35.705019102284098</v>
      </c>
      <c r="AL3052">
        <v>92.807255533358799</v>
      </c>
      <c r="AM3052">
        <v>102.923747195007</v>
      </c>
      <c r="AN3052">
        <v>0.99999997616488001</v>
      </c>
    </row>
    <row r="3053" spans="1:40" x14ac:dyDescent="0.25">
      <c r="A3053" t="str">
        <f>"20190305134955419"</f>
        <v>20190305134955419</v>
      </c>
      <c r="B3053" t="str">
        <f>"1551764995413693"</f>
        <v>1551764995413693</v>
      </c>
      <c r="C3053" t="s">
        <v>40</v>
      </c>
      <c r="D3053">
        <v>4.0357599999999998</v>
      </c>
      <c r="E3053">
        <v>0.43830859999999999</v>
      </c>
      <c r="F3053" t="s">
        <v>42</v>
      </c>
      <c r="G3053">
        <v>-487.58690000000001</v>
      </c>
      <c r="H3053" s="1">
        <v>-1.6550620000000001E-6</v>
      </c>
      <c r="I3053">
        <v>242.49299999999999</v>
      </c>
      <c r="J3053">
        <v>-483.85359999999997</v>
      </c>
      <c r="K3053">
        <v>1.12262</v>
      </c>
      <c r="L3053">
        <v>275.45089999999999</v>
      </c>
      <c r="M3053">
        <v>-0.4754177</v>
      </c>
      <c r="N3053">
        <v>-2.158378E-2</v>
      </c>
      <c r="O3053">
        <v>-0.87949560000000004</v>
      </c>
      <c r="P3053">
        <v>-0.26664870000000002</v>
      </c>
      <c r="Q3053">
        <v>-6.2586520000000007E-2</v>
      </c>
      <c r="R3053">
        <v>-0.9617597</v>
      </c>
      <c r="S3053">
        <v>-0.34561160000000002</v>
      </c>
      <c r="T3053">
        <v>-0.102564</v>
      </c>
      <c r="U3053">
        <v>-3.0211790000000001</v>
      </c>
      <c r="V3053">
        <v>-0.221466</v>
      </c>
      <c r="W3053">
        <v>-4.8050660000000002E-2</v>
      </c>
      <c r="X3053">
        <v>0.9739835</v>
      </c>
      <c r="Y3053">
        <v>-0.37222420000000001</v>
      </c>
      <c r="Z3053">
        <v>5.5951100000000004E-3</v>
      </c>
      <c r="AA3053">
        <v>0.92812600000000001</v>
      </c>
      <c r="AB3053">
        <v>23</v>
      </c>
      <c r="AC3053">
        <v>-3.7333000000000398</v>
      </c>
      <c r="AD3053">
        <v>-1.1226216550620001</v>
      </c>
      <c r="AE3053">
        <v>-32.957899999999903</v>
      </c>
      <c r="AF3053">
        <v>-12.3740567970532</v>
      </c>
      <c r="AG3053">
        <v>-1.1226216550620001</v>
      </c>
      <c r="AH3053">
        <v>30.733161006027501</v>
      </c>
      <c r="AI3053">
        <v>91.940702967454101</v>
      </c>
      <c r="AJ3053">
        <v>111.93113746259699</v>
      </c>
      <c r="AK3053">
        <v>33.149732222440697</v>
      </c>
      <c r="AL3053">
        <v>92.754160665610797</v>
      </c>
      <c r="AM3053">
        <v>102.81020159635599</v>
      </c>
      <c r="AN3053">
        <v>0.99999995667734098</v>
      </c>
    </row>
    <row r="3054" spans="1:40" x14ac:dyDescent="0.25">
      <c r="A3054" t="str">
        <f>"20190305134955435"</f>
        <v>20190305134955435</v>
      </c>
      <c r="B3054" t="str">
        <f>"1551764995423453"</f>
        <v>1551764995423453</v>
      </c>
      <c r="C3054" t="s">
        <v>40</v>
      </c>
      <c r="D3054">
        <v>4.0669129999999996</v>
      </c>
      <c r="E3054">
        <v>0.43926399999999999</v>
      </c>
      <c r="F3054" t="s">
        <v>42</v>
      </c>
      <c r="G3054">
        <v>-487.41030000000001</v>
      </c>
      <c r="H3054" s="1">
        <v>-1.706725E-6</v>
      </c>
      <c r="I3054">
        <v>242.54040000000001</v>
      </c>
      <c r="J3054">
        <v>-483.9117</v>
      </c>
      <c r="K3054">
        <v>1.122447</v>
      </c>
      <c r="L3054">
        <v>275.31439999999998</v>
      </c>
      <c r="M3054">
        <v>-0.46441470000000001</v>
      </c>
      <c r="N3054">
        <v>-2.1539920000000001E-2</v>
      </c>
      <c r="O3054">
        <v>-0.88535609999999998</v>
      </c>
      <c r="P3054">
        <v>-0.25839719999999999</v>
      </c>
      <c r="Q3054">
        <v>-6.012634E-2</v>
      </c>
      <c r="R3054">
        <v>-0.96416619999999997</v>
      </c>
      <c r="S3054">
        <v>-0.32659909999999998</v>
      </c>
      <c r="T3054">
        <v>-0.1030856</v>
      </c>
      <c r="U3054">
        <v>-3.0220340000000001</v>
      </c>
      <c r="V3054">
        <v>-0.2178359</v>
      </c>
      <c r="W3054">
        <v>-4.5410449999999998E-2</v>
      </c>
      <c r="X3054">
        <v>0.97492840000000003</v>
      </c>
      <c r="Y3054">
        <v>-0.36644650000000001</v>
      </c>
      <c r="Z3054">
        <v>6.0569780000000002E-3</v>
      </c>
      <c r="AA3054">
        <v>0.93041940000000001</v>
      </c>
      <c r="AB3054">
        <v>23</v>
      </c>
      <c r="AC3054">
        <v>-3.4986000000000099</v>
      </c>
      <c r="AD3054">
        <v>-1.122448706725</v>
      </c>
      <c r="AE3054">
        <v>-32.773999999999901</v>
      </c>
      <c r="AF3054">
        <v>-12.1119849288318</v>
      </c>
      <c r="AG3054">
        <v>-1.122448706725</v>
      </c>
      <c r="AH3054">
        <v>30.613064097533901</v>
      </c>
      <c r="AI3054">
        <v>91.952694827418497</v>
      </c>
      <c r="AJ3054">
        <v>111.5861089906</v>
      </c>
      <c r="AK3054">
        <v>32.941156073447097</v>
      </c>
      <c r="AL3054">
        <v>92.602722204708201</v>
      </c>
      <c r="AM3054">
        <v>102.595162962317</v>
      </c>
      <c r="AN3054">
        <v>0.99999998671228596</v>
      </c>
    </row>
    <row r="3055" spans="1:40" x14ac:dyDescent="0.25">
      <c r="A3055" t="str">
        <f>"20190305134955446"</f>
        <v>20190305134955446</v>
      </c>
      <c r="B3055" t="str">
        <f>"1551764995433214"</f>
        <v>1551764995433214</v>
      </c>
      <c r="C3055" t="s">
        <v>40</v>
      </c>
      <c r="D3055">
        <v>4.3051000000000004</v>
      </c>
      <c r="E3055">
        <v>0.43926399999999999</v>
      </c>
      <c r="F3055" t="s">
        <v>42</v>
      </c>
      <c r="G3055">
        <v>-487.52609999999999</v>
      </c>
      <c r="H3055" s="1">
        <v>-7.3888529999999997E-7</v>
      </c>
      <c r="I3055">
        <v>239.88499999999999</v>
      </c>
      <c r="J3055">
        <v>-483.95940000000002</v>
      </c>
      <c r="K3055">
        <v>1.1222760000000001</v>
      </c>
      <c r="L3055">
        <v>275.19900000000001</v>
      </c>
      <c r="M3055">
        <v>-0.45520159999999998</v>
      </c>
      <c r="N3055">
        <v>-2.1496299999999999E-2</v>
      </c>
      <c r="O3055">
        <v>-0.89012899999999995</v>
      </c>
      <c r="P3055">
        <v>-0.24992249999999999</v>
      </c>
      <c r="Q3055">
        <v>-5.9190140000000002E-2</v>
      </c>
      <c r="R3055">
        <v>-0.96645519999999996</v>
      </c>
      <c r="S3055">
        <v>-0.30838009999999999</v>
      </c>
      <c r="T3055">
        <v>-9.576809E-2</v>
      </c>
      <c r="U3055">
        <v>-3.0228579999999998</v>
      </c>
      <c r="V3055">
        <v>-0.21635009999999999</v>
      </c>
      <c r="W3055">
        <v>-4.437373E-2</v>
      </c>
      <c r="X3055">
        <v>0.97530689999999998</v>
      </c>
      <c r="Y3055">
        <v>-0.36237459999999999</v>
      </c>
      <c r="Z3055">
        <v>4.3857779999999999E-3</v>
      </c>
      <c r="AA3055">
        <v>0.93202220000000002</v>
      </c>
      <c r="AB3055">
        <v>23</v>
      </c>
      <c r="AC3055">
        <v>-3.56669999999996</v>
      </c>
      <c r="AD3055">
        <v>-1.1222767388853001</v>
      </c>
      <c r="AE3055">
        <v>-35.314</v>
      </c>
      <c r="AF3055">
        <v>-12.890259067153099</v>
      </c>
      <c r="AG3055">
        <v>-1.1222767388853001</v>
      </c>
      <c r="AH3055">
        <v>33.032195332975597</v>
      </c>
      <c r="AI3055">
        <v>91.812845612320203</v>
      </c>
      <c r="AJ3055">
        <v>111.317379779828</v>
      </c>
      <c r="AK3055">
        <v>35.475966687503004</v>
      </c>
      <c r="AL3055">
        <v>92.543262614872205</v>
      </c>
      <c r="AM3055">
        <v>102.50726595163</v>
      </c>
      <c r="AN3055">
        <v>0.99999997143586605</v>
      </c>
    </row>
    <row r="3056" spans="1:40" x14ac:dyDescent="0.25">
      <c r="A3056" t="str">
        <f>"20190305134955459"</f>
        <v>20190305134955459</v>
      </c>
      <c r="B3056" t="str">
        <f>"1551764995453710"</f>
        <v>1551764995453710</v>
      </c>
      <c r="C3056" t="s">
        <v>40</v>
      </c>
      <c r="D3056">
        <v>4.1207820000000002</v>
      </c>
      <c r="E3056">
        <v>0.4555767</v>
      </c>
      <c r="F3056" t="s">
        <v>42</v>
      </c>
      <c r="G3056">
        <v>-487.35629999999998</v>
      </c>
      <c r="H3056" s="1">
        <v>-4.3660290000000004E-6</v>
      </c>
      <c r="I3056">
        <v>238.71690000000001</v>
      </c>
      <c r="J3056">
        <v>-484.00389999999999</v>
      </c>
      <c r="K3056">
        <v>1.1220829999999999</v>
      </c>
      <c r="L3056">
        <v>275.08780000000002</v>
      </c>
      <c r="M3056">
        <v>-0.44644739999999999</v>
      </c>
      <c r="N3056">
        <v>-2.144064E-2</v>
      </c>
      <c r="O3056">
        <v>-0.89455289999999998</v>
      </c>
      <c r="P3056">
        <v>-0.24181559999999999</v>
      </c>
      <c r="Q3056">
        <v>-5.8534950000000002E-2</v>
      </c>
      <c r="R3056">
        <v>-0.9685551</v>
      </c>
      <c r="S3056">
        <v>-0.28170780000000001</v>
      </c>
      <c r="T3056">
        <v>-9.3073249999999996E-2</v>
      </c>
      <c r="U3056">
        <v>-3.0255429999999999</v>
      </c>
      <c r="V3056">
        <v>-0.2150107</v>
      </c>
      <c r="W3056">
        <v>-4.3627579999999999E-2</v>
      </c>
      <c r="X3056">
        <v>0.97563670000000002</v>
      </c>
      <c r="Y3056">
        <v>-0.36145880000000002</v>
      </c>
      <c r="Z3056">
        <v>3.8641029999999998E-3</v>
      </c>
      <c r="AA3056">
        <v>0.93238010000000004</v>
      </c>
      <c r="AB3056">
        <v>23</v>
      </c>
      <c r="AC3056">
        <v>-3.3523999999999798</v>
      </c>
      <c r="AD3056">
        <v>-1.1220873660289901</v>
      </c>
      <c r="AE3056">
        <v>-36.370899999999999</v>
      </c>
      <c r="AF3056">
        <v>-13.2293538231176</v>
      </c>
      <c r="AG3056">
        <v>-1.1220873660289901</v>
      </c>
      <c r="AH3056">
        <v>34.008095363972103</v>
      </c>
      <c r="AI3056">
        <v>91.761290815653396</v>
      </c>
      <c r="AJ3056">
        <v>111.256334770119</v>
      </c>
      <c r="AK3056">
        <v>36.507881791734498</v>
      </c>
      <c r="AL3056">
        <v>92.500469929184106</v>
      </c>
      <c r="AM3056">
        <v>102.428177637697</v>
      </c>
      <c r="AN3056">
        <v>0.99999996861901697</v>
      </c>
    </row>
    <row r="3057" spans="1:40" x14ac:dyDescent="0.25">
      <c r="A3057" t="str">
        <f>"20190305134955472"</f>
        <v>20190305134955472</v>
      </c>
      <c r="B3057" t="str">
        <f>"1551764995463470"</f>
        <v>1551764995463470</v>
      </c>
      <c r="C3057" t="s">
        <v>40</v>
      </c>
      <c r="D3057">
        <v>4.2033829999999996</v>
      </c>
      <c r="E3057">
        <v>0.45748169999999999</v>
      </c>
      <c r="F3057" t="s">
        <v>42</v>
      </c>
      <c r="G3057">
        <v>-486.68049999999999</v>
      </c>
      <c r="H3057" s="1">
        <v>-2.5129749999999999E-6</v>
      </c>
      <c r="I3057">
        <v>254.11799999999999</v>
      </c>
      <c r="J3057">
        <v>-484.05020000000002</v>
      </c>
      <c r="K3057">
        <v>1.121864</v>
      </c>
      <c r="L3057">
        <v>274.9699</v>
      </c>
      <c r="M3057">
        <v>-0.43723079999999998</v>
      </c>
      <c r="N3057">
        <v>-2.1376249999999999E-2</v>
      </c>
      <c r="O3057">
        <v>-0.89909519999999998</v>
      </c>
      <c r="P3057">
        <v>-0.23286229999999999</v>
      </c>
      <c r="Q3057">
        <v>-5.8741960000000003E-2</v>
      </c>
      <c r="R3057">
        <v>-0.97073430000000005</v>
      </c>
      <c r="S3057">
        <v>-0.38195800000000002</v>
      </c>
      <c r="T3057">
        <v>-0.16012219999999999</v>
      </c>
      <c r="U3057">
        <v>-2.9924010000000001</v>
      </c>
      <c r="V3057">
        <v>-0.21400359999999999</v>
      </c>
      <c r="W3057">
        <v>-4.3750949999999997E-2</v>
      </c>
      <c r="X3057">
        <v>0.97585259999999996</v>
      </c>
      <c r="Y3057">
        <v>-0.31970150000000003</v>
      </c>
      <c r="Z3057">
        <v>2.312289E-2</v>
      </c>
      <c r="AA3057">
        <v>0.94723610000000003</v>
      </c>
      <c r="AB3057">
        <v>23</v>
      </c>
      <c r="AC3057">
        <v>-2.6302999999999699</v>
      </c>
      <c r="AD3057">
        <v>-1.1218665129750001</v>
      </c>
      <c r="AE3057">
        <v>-20.851900000000001</v>
      </c>
      <c r="AF3057">
        <v>-6.7345577471263498</v>
      </c>
      <c r="AG3057">
        <v>-1.1218665129750001</v>
      </c>
      <c r="AH3057">
        <v>19.845893584240301</v>
      </c>
      <c r="AI3057">
        <v>93.064160664914894</v>
      </c>
      <c r="AJ3057">
        <v>108.74426484521101</v>
      </c>
      <c r="AK3057">
        <v>20.987433017863399</v>
      </c>
      <c r="AL3057">
        <v>92.507545207614996</v>
      </c>
      <c r="AM3057">
        <v>102.369108405381</v>
      </c>
      <c r="AN3057">
        <v>0.99999999168281095</v>
      </c>
    </row>
    <row r="3058" spans="1:40" x14ac:dyDescent="0.25">
      <c r="A3058" t="str">
        <f>"20190305134955482"</f>
        <v>20190305134955482</v>
      </c>
      <c r="B3058" t="str">
        <f>"1551764995473230"</f>
        <v>1551764995473230</v>
      </c>
      <c r="C3058" t="s">
        <v>40</v>
      </c>
      <c r="D3058">
        <v>4.1094210000000002</v>
      </c>
      <c r="E3058">
        <v>0.45704230000000001</v>
      </c>
      <c r="F3058" t="s">
        <v>42</v>
      </c>
      <c r="G3058">
        <v>-486.40899999999999</v>
      </c>
      <c r="H3058" s="1">
        <v>-3.2931330000000001E-6</v>
      </c>
      <c r="I3058">
        <v>255.82429999999999</v>
      </c>
      <c r="J3058">
        <v>-484.08949999999999</v>
      </c>
      <c r="K3058">
        <v>1.1216250000000001</v>
      </c>
      <c r="L3058">
        <v>274.8664</v>
      </c>
      <c r="M3058">
        <v>-0.42933080000000001</v>
      </c>
      <c r="N3058">
        <v>-2.1305049999999999E-2</v>
      </c>
      <c r="O3058">
        <v>-0.90289600000000003</v>
      </c>
      <c r="P3058">
        <v>-0.22551399999999999</v>
      </c>
      <c r="Q3058">
        <v>-5.9898279999999998E-2</v>
      </c>
      <c r="R3058">
        <v>-0.97239710000000001</v>
      </c>
      <c r="S3058">
        <v>-0.36856080000000002</v>
      </c>
      <c r="T3058">
        <v>-0.17528920000000001</v>
      </c>
      <c r="U3058">
        <v>-2.9914550000000002</v>
      </c>
      <c r="V3058">
        <v>-0.21279000000000001</v>
      </c>
      <c r="W3058">
        <v>-4.4821050000000001E-2</v>
      </c>
      <c r="X3058">
        <v>0.97606939999999998</v>
      </c>
      <c r="Y3058">
        <v>-0.31552920000000001</v>
      </c>
      <c r="Z3058">
        <v>2.7699930000000001E-2</v>
      </c>
      <c r="AA3058">
        <v>0.94851149999999995</v>
      </c>
      <c r="AB3058">
        <v>23</v>
      </c>
      <c r="AC3058">
        <v>-2.3195000000000001</v>
      </c>
      <c r="AD3058">
        <v>-1.1216282931329999</v>
      </c>
      <c r="AE3058">
        <v>-19.042100000000001</v>
      </c>
      <c r="AF3058">
        <v>-6.0617494437918999</v>
      </c>
      <c r="AG3058">
        <v>-1.1216282931329999</v>
      </c>
      <c r="AH3058">
        <v>18.131011850547601</v>
      </c>
      <c r="AI3058">
        <v>93.357709849635398</v>
      </c>
      <c r="AJ3058">
        <v>108.48635121586101</v>
      </c>
      <c r="AK3058">
        <v>19.150364149852699</v>
      </c>
      <c r="AL3058">
        <v>92.568917636478602</v>
      </c>
      <c r="AM3058">
        <v>102.298456417106</v>
      </c>
      <c r="AN3058">
        <v>0.99999999211973101</v>
      </c>
    </row>
    <row r="3059" spans="1:40" x14ac:dyDescent="0.25">
      <c r="A3059" t="str">
        <f>"20190305134955495"</f>
        <v>20190305134955495</v>
      </c>
      <c r="B3059" t="str">
        <f>"1551764995482990"</f>
        <v>1551764995482990</v>
      </c>
      <c r="C3059" t="s">
        <v>40</v>
      </c>
      <c r="D3059">
        <v>4.1426189999999998</v>
      </c>
      <c r="E3059">
        <v>0.45698670000000002</v>
      </c>
      <c r="F3059" t="s">
        <v>42</v>
      </c>
      <c r="G3059">
        <v>-486.38069999999999</v>
      </c>
      <c r="H3059" s="1">
        <v>-2.880947E-6</v>
      </c>
      <c r="I3059">
        <v>254.8518</v>
      </c>
      <c r="J3059">
        <v>-484.13099999999997</v>
      </c>
      <c r="K3059">
        <v>1.121345</v>
      </c>
      <c r="L3059">
        <v>274.75490000000002</v>
      </c>
      <c r="M3059">
        <v>-0.42094599999999999</v>
      </c>
      <c r="N3059">
        <v>-2.121963E-2</v>
      </c>
      <c r="O3059">
        <v>-0.90683760000000002</v>
      </c>
      <c r="P3059">
        <v>-0.2181534</v>
      </c>
      <c r="Q3059">
        <v>-6.1498320000000002E-2</v>
      </c>
      <c r="R3059">
        <v>-0.97397489999999998</v>
      </c>
      <c r="S3059">
        <v>-0.34289550000000002</v>
      </c>
      <c r="T3059">
        <v>-0.16785839999999999</v>
      </c>
      <c r="U3059">
        <v>-2.9952999999999999</v>
      </c>
      <c r="V3059">
        <v>-0.2110718</v>
      </c>
      <c r="W3059">
        <v>-4.6315389999999998E-2</v>
      </c>
      <c r="X3059">
        <v>0.97637269999999998</v>
      </c>
      <c r="Y3059">
        <v>-0.31490439999999997</v>
      </c>
      <c r="Z3059">
        <v>2.597356E-2</v>
      </c>
      <c r="AA3059">
        <v>0.94876799999999994</v>
      </c>
      <c r="AB3059">
        <v>23</v>
      </c>
      <c r="AC3059">
        <v>-2.24970000000001</v>
      </c>
      <c r="AD3059">
        <v>-1.1213478809469899</v>
      </c>
      <c r="AE3059">
        <v>-19.903099999999998</v>
      </c>
      <c r="AF3059">
        <v>-6.3196374590828599</v>
      </c>
      <c r="AG3059">
        <v>-1.1213478809469899</v>
      </c>
      <c r="AH3059">
        <v>18.940793376505301</v>
      </c>
      <c r="AI3059">
        <v>93.214316070923203</v>
      </c>
      <c r="AJ3059">
        <v>108.45139020827401</v>
      </c>
      <c r="AK3059">
        <v>19.998722269580501</v>
      </c>
      <c r="AL3059">
        <v>92.654625938618494</v>
      </c>
      <c r="AM3059">
        <v>102.198461106487</v>
      </c>
      <c r="AN3059">
        <v>1.0000000347056901</v>
      </c>
    </row>
    <row r="3060" spans="1:40" x14ac:dyDescent="0.25">
      <c r="A3060" t="str">
        <f>"20190305134955512"</f>
        <v>20190305134955512</v>
      </c>
      <c r="B3060" t="str">
        <f>"1551764995503486"</f>
        <v>1551764995503486</v>
      </c>
      <c r="C3060" t="s">
        <v>40</v>
      </c>
      <c r="D3060">
        <v>4.1961219999999999</v>
      </c>
      <c r="E3060">
        <v>0.45865119999999998</v>
      </c>
      <c r="F3060" t="s">
        <v>42</v>
      </c>
      <c r="G3060">
        <v>-486.2869</v>
      </c>
      <c r="H3060" s="1">
        <v>-2.754367E-6</v>
      </c>
      <c r="I3060">
        <v>254.518</v>
      </c>
      <c r="J3060">
        <v>-484.1875</v>
      </c>
      <c r="K3060">
        <v>1.12090499999999</v>
      </c>
      <c r="L3060">
        <v>274.5992</v>
      </c>
      <c r="M3060">
        <v>-0.40952889999999997</v>
      </c>
      <c r="N3060">
        <v>-2.1082900000000002E-2</v>
      </c>
      <c r="O3060">
        <v>-0.91205360000000002</v>
      </c>
      <c r="P3060">
        <v>-0.20990829999999999</v>
      </c>
      <c r="Q3060">
        <v>-6.5327629999999998E-2</v>
      </c>
      <c r="R3060">
        <v>-0.97553630000000002</v>
      </c>
      <c r="S3060">
        <v>-0.31939699999999999</v>
      </c>
      <c r="T3060">
        <v>-0.16612839999999901</v>
      </c>
      <c r="U3060">
        <v>-2.9981080000000002</v>
      </c>
      <c r="V3060">
        <v>-0.2069204</v>
      </c>
      <c r="W3060">
        <v>-4.9946379999999999E-2</v>
      </c>
      <c r="X3060">
        <v>0.97708200000000001</v>
      </c>
      <c r="Y3060">
        <v>-0.31044159999999998</v>
      </c>
      <c r="Z3060">
        <v>2.601622E-2</v>
      </c>
      <c r="AA3060">
        <v>0.95023639999999998</v>
      </c>
      <c r="AB3060">
        <v>23</v>
      </c>
      <c r="AC3060">
        <v>-2.0994000000000002</v>
      </c>
      <c r="AD3060">
        <v>-1.1209077543670001</v>
      </c>
      <c r="AE3060">
        <v>-20.0811999999999</v>
      </c>
      <c r="AF3060">
        <v>-6.2910790697854297</v>
      </c>
      <c r="AG3060">
        <v>-1.1209077543670001</v>
      </c>
      <c r="AH3060">
        <v>19.1202274873053</v>
      </c>
      <c r="AI3060">
        <v>93.187355352228295</v>
      </c>
      <c r="AJ3060">
        <v>108.212623012278</v>
      </c>
      <c r="AK3060">
        <v>20.159791894322701</v>
      </c>
      <c r="AL3060">
        <v>92.862908043384806</v>
      </c>
      <c r="AM3060">
        <v>101.95708472637</v>
      </c>
      <c r="AN3060">
        <v>0.99999996376763101</v>
      </c>
    </row>
    <row r="3061" spans="1:40" x14ac:dyDescent="0.25">
      <c r="A3061" t="str">
        <f>"20190305134955523"</f>
        <v>20190305134955523</v>
      </c>
      <c r="B3061" t="str">
        <f>"1551764995513246"</f>
        <v>1551764995513246</v>
      </c>
      <c r="C3061" t="s">
        <v>40</v>
      </c>
      <c r="D3061">
        <v>4.0657740000000002</v>
      </c>
      <c r="E3061">
        <v>0.45899820000000002</v>
      </c>
      <c r="F3061" t="s">
        <v>42</v>
      </c>
      <c r="G3061">
        <v>-486.09320000000002</v>
      </c>
      <c r="H3061" s="1">
        <v>-3.4305079999999998E-6</v>
      </c>
      <c r="I3061">
        <v>256.01389999999998</v>
      </c>
      <c r="J3061">
        <v>-484.22519999999997</v>
      </c>
      <c r="K3061">
        <v>1.1205620000000001</v>
      </c>
      <c r="L3061">
        <v>274.49209999999999</v>
      </c>
      <c r="M3061">
        <v>-0.40195530000000002</v>
      </c>
      <c r="N3061">
        <v>-2.097446E-2</v>
      </c>
      <c r="O3061">
        <v>-0.91541910000000004</v>
      </c>
      <c r="P3061">
        <v>-0.20457049999999999</v>
      </c>
      <c r="Q3061">
        <v>-6.5788949999999999E-2</v>
      </c>
      <c r="R3061">
        <v>-0.97663840000000002</v>
      </c>
      <c r="S3061">
        <v>-0.30731199999999997</v>
      </c>
      <c r="T3061">
        <v>-0.1807581</v>
      </c>
      <c r="U3061">
        <v>-2.9970699999999999</v>
      </c>
      <c r="V3061">
        <v>-0.2041809</v>
      </c>
      <c r="W3061">
        <v>-5.0269319999999999E-2</v>
      </c>
      <c r="X3061">
        <v>0.9776416</v>
      </c>
      <c r="Y3061">
        <v>-0.30631570000000002</v>
      </c>
      <c r="Z3061">
        <v>3.0556630000000001E-2</v>
      </c>
      <c r="AA3061">
        <v>0.95143940000000005</v>
      </c>
      <c r="AB3061">
        <v>22</v>
      </c>
      <c r="AC3061">
        <v>-1.8680000000000501</v>
      </c>
      <c r="AD3061">
        <v>-1.1205654305079999</v>
      </c>
      <c r="AE3061">
        <v>-18.478200000000001</v>
      </c>
      <c r="AF3061">
        <v>-5.6979229903782702</v>
      </c>
      <c r="AG3061">
        <v>-1.1205654305079999</v>
      </c>
      <c r="AH3061">
        <v>17.605944617922098</v>
      </c>
      <c r="AI3061">
        <v>93.465296490018403</v>
      </c>
      <c r="AJ3061">
        <v>107.933464177598</v>
      </c>
      <c r="AK3061">
        <v>18.538912567291302</v>
      </c>
      <c r="AL3061">
        <v>92.881434394177603</v>
      </c>
      <c r="AM3061">
        <v>101.796682797928</v>
      </c>
      <c r="AN3061">
        <v>0.99999997125431495</v>
      </c>
    </row>
    <row r="3062" spans="1:40" x14ac:dyDescent="0.25">
      <c r="A3062" t="str">
        <f>"20190305134955536"</f>
        <v>20190305134955536</v>
      </c>
      <c r="B3062" t="str">
        <f>"1551764995533742"</f>
        <v>1551764995533742</v>
      </c>
      <c r="C3062" t="s">
        <v>40</v>
      </c>
      <c r="D3062">
        <v>4.0732339999999896</v>
      </c>
      <c r="E3062">
        <v>0.45998480000000003</v>
      </c>
      <c r="F3062" t="s">
        <v>42</v>
      </c>
      <c r="G3062">
        <v>-486.10520000000002</v>
      </c>
      <c r="H3062" s="1">
        <v>-3.126206E-6</v>
      </c>
      <c r="I3062">
        <v>255.30959999999999</v>
      </c>
      <c r="J3062">
        <v>-484.26440000000002</v>
      </c>
      <c r="K3062">
        <v>1.1201829999999999</v>
      </c>
      <c r="L3062">
        <v>274.37860000000001</v>
      </c>
      <c r="M3062">
        <v>-0.39413799999999999</v>
      </c>
      <c r="N3062">
        <v>-2.0844290000000001E-2</v>
      </c>
      <c r="O3062">
        <v>-0.91881489999999999</v>
      </c>
      <c r="P3062">
        <v>-0.19905999999999999</v>
      </c>
      <c r="Q3062">
        <v>-6.6247459999999994E-2</v>
      </c>
      <c r="R3062">
        <v>-0.9777458</v>
      </c>
      <c r="S3062">
        <v>-0.2938538</v>
      </c>
      <c r="T3062">
        <v>-0.1751566</v>
      </c>
      <c r="U3062">
        <v>-2.9984440000000001</v>
      </c>
      <c r="V3062">
        <v>-0.20138200000000001</v>
      </c>
      <c r="W3062">
        <v>-5.0595599999999998E-2</v>
      </c>
      <c r="X3062">
        <v>0.97820510000000005</v>
      </c>
      <c r="Y3062">
        <v>-0.30248049999999999</v>
      </c>
      <c r="Z3062">
        <v>2.93917E-2</v>
      </c>
      <c r="AA3062">
        <v>0.9527023</v>
      </c>
      <c r="AB3062">
        <v>22</v>
      </c>
      <c r="AC3062">
        <v>-1.8408</v>
      </c>
      <c r="AD3062">
        <v>-1.120186126206</v>
      </c>
      <c r="AE3062">
        <v>-19.068999999999999</v>
      </c>
      <c r="AF3062">
        <v>-5.8058784219547004</v>
      </c>
      <c r="AG3062">
        <v>-1.120186126206</v>
      </c>
      <c r="AH3062">
        <v>18.188190114024898</v>
      </c>
      <c r="AI3062">
        <v>93.357804820455797</v>
      </c>
      <c r="AJ3062">
        <v>107.703678072155</v>
      </c>
      <c r="AK3062">
        <v>19.1252006742878</v>
      </c>
      <c r="AL3062">
        <v>92.900152826641602</v>
      </c>
      <c r="AM3062">
        <v>101.632894099278</v>
      </c>
      <c r="AN3062">
        <v>0.99999992116468195</v>
      </c>
    </row>
    <row r="3063" spans="1:40" x14ac:dyDescent="0.25">
      <c r="A3063" t="str">
        <f>"20190305134955548"</f>
        <v>20190305134955548</v>
      </c>
      <c r="B3063" t="str">
        <f>"1551764995543502"</f>
        <v>1551764995543502</v>
      </c>
      <c r="C3063" t="s">
        <v>40</v>
      </c>
      <c r="D3063">
        <v>4.0826159999999998</v>
      </c>
      <c r="E3063">
        <v>0.46053840000000001</v>
      </c>
      <c r="F3063" t="s">
        <v>42</v>
      </c>
      <c r="G3063">
        <v>-486.1816</v>
      </c>
      <c r="H3063" s="1">
        <v>-2.6297899999999999E-6</v>
      </c>
      <c r="I3063">
        <v>254.1841</v>
      </c>
      <c r="J3063">
        <v>-484.30110000000002</v>
      </c>
      <c r="K3063">
        <v>1.119815</v>
      </c>
      <c r="L3063">
        <v>274.27109999999999</v>
      </c>
      <c r="M3063">
        <v>-0.3868857</v>
      </c>
      <c r="N3063">
        <v>-2.0710269999999999E-2</v>
      </c>
      <c r="O3063">
        <v>-0.92189520000000003</v>
      </c>
      <c r="P3063">
        <v>-0.1942856</v>
      </c>
      <c r="Q3063">
        <v>-6.6073480000000004E-2</v>
      </c>
      <c r="R3063">
        <v>-0.97871719999999895</v>
      </c>
      <c r="S3063">
        <v>-0.28472900000000001</v>
      </c>
      <c r="T3063">
        <v>-0.16635800000000001</v>
      </c>
      <c r="U3063">
        <v>-2.9990839999999999</v>
      </c>
      <c r="V3063">
        <v>-0.1985006</v>
      </c>
      <c r="W3063">
        <v>-5.02979E-2</v>
      </c>
      <c r="X3063">
        <v>0.97880929999999999</v>
      </c>
      <c r="Y3063">
        <v>-0.29786879999999999</v>
      </c>
      <c r="Z3063">
        <v>2.7293709999999999E-2</v>
      </c>
      <c r="AA3063">
        <v>0.95421650000000002</v>
      </c>
      <c r="AB3063">
        <v>22</v>
      </c>
      <c r="AC3063">
        <v>-1.8804999999999801</v>
      </c>
      <c r="AD3063">
        <v>-1.11981762979</v>
      </c>
      <c r="AE3063">
        <v>-20.0869999999999</v>
      </c>
      <c r="AF3063">
        <v>-6.0204953041450198</v>
      </c>
      <c r="AG3063">
        <v>-1.11981762979</v>
      </c>
      <c r="AH3063">
        <v>19.190649943605301</v>
      </c>
      <c r="AI3063">
        <v>93.186748593224195</v>
      </c>
      <c r="AJ3063">
        <v>107.417696926788</v>
      </c>
      <c r="AK3063">
        <v>20.144016493470701</v>
      </c>
      <c r="AL3063">
        <v>92.883073880430601</v>
      </c>
      <c r="AM3063">
        <v>101.4639986632</v>
      </c>
      <c r="AN3063">
        <v>1.00000000635562</v>
      </c>
    </row>
    <row r="3064" spans="1:40" x14ac:dyDescent="0.25">
      <c r="A3064" t="str">
        <f>"20190305134955560"</f>
        <v>20190305134955560</v>
      </c>
      <c r="B3064" t="str">
        <f>"1551764995553262"</f>
        <v>1551764995553262</v>
      </c>
      <c r="C3064" t="s">
        <v>40</v>
      </c>
      <c r="D3064">
        <v>4.0713010000000001</v>
      </c>
      <c r="E3064">
        <v>0.46119870000000002</v>
      </c>
      <c r="F3064" t="s">
        <v>42</v>
      </c>
      <c r="G3064">
        <v>-486.21910000000003</v>
      </c>
      <c r="H3064" s="1">
        <v>-2.246578E-6</v>
      </c>
      <c r="I3064">
        <v>253.29349999999999</v>
      </c>
      <c r="J3064">
        <v>-484.33510000000001</v>
      </c>
      <c r="K3064">
        <v>1.119435</v>
      </c>
      <c r="L3064">
        <v>274.16840000000002</v>
      </c>
      <c r="M3064">
        <v>-0.38033289999999997</v>
      </c>
      <c r="N3064">
        <v>-2.054748E-2</v>
      </c>
      <c r="O3064">
        <v>-0.92462149999999999</v>
      </c>
      <c r="P3064">
        <v>-0.1906804</v>
      </c>
      <c r="Q3064">
        <v>-6.5387849999999997E-2</v>
      </c>
      <c r="R3064">
        <v>-0.97947229999999996</v>
      </c>
      <c r="S3064">
        <v>-0.27429199999999998</v>
      </c>
      <c r="T3064">
        <v>-0.16014489999999901</v>
      </c>
      <c r="U3064">
        <v>-3</v>
      </c>
      <c r="V3064">
        <v>-0.19523450000000001</v>
      </c>
      <c r="W3064">
        <v>-4.9505699999999903E-2</v>
      </c>
      <c r="X3064">
        <v>0.9795064</v>
      </c>
      <c r="Y3064">
        <v>-0.29441859999999997</v>
      </c>
      <c r="Z3064">
        <v>2.5893739999999998E-2</v>
      </c>
      <c r="AA3064">
        <v>0.95532570000000006</v>
      </c>
      <c r="AB3064">
        <v>22</v>
      </c>
      <c r="AC3064">
        <v>-1.8840000000000101</v>
      </c>
      <c r="AD3064">
        <v>-1.119437246578</v>
      </c>
      <c r="AE3064">
        <v>-20.8749</v>
      </c>
      <c r="AF3064">
        <v>-6.18110065074326</v>
      </c>
      <c r="AG3064">
        <v>-1.119437246578</v>
      </c>
      <c r="AH3064">
        <v>19.9652023382049</v>
      </c>
      <c r="AI3064">
        <v>93.0659048496982</v>
      </c>
      <c r="AJ3064">
        <v>107.202194918313</v>
      </c>
      <c r="AK3064">
        <v>20.930084792210199</v>
      </c>
      <c r="AL3064">
        <v>92.837627401784204</v>
      </c>
      <c r="AM3064">
        <v>101.272424692732</v>
      </c>
      <c r="AN3064">
        <v>1.0000000559818401</v>
      </c>
    </row>
    <row r="3065" spans="1:40" x14ac:dyDescent="0.25">
      <c r="A3065" t="str">
        <f>"20190305134955570"</f>
        <v>20190305134955570</v>
      </c>
      <c r="B3065" t="str">
        <f>"1551764995563022"</f>
        <v>1551764995563022</v>
      </c>
      <c r="C3065" t="s">
        <v>40</v>
      </c>
      <c r="D3065">
        <v>4.0703050000000003</v>
      </c>
      <c r="E3065">
        <v>0.46199620000000002</v>
      </c>
      <c r="F3065" t="s">
        <v>42</v>
      </c>
      <c r="G3065">
        <v>-486.29829999999998</v>
      </c>
      <c r="H3065" s="1">
        <v>-1.854876E-6</v>
      </c>
      <c r="I3065">
        <v>252.2045</v>
      </c>
      <c r="J3065">
        <v>-484.36950000000002</v>
      </c>
      <c r="K3065">
        <v>1.1190389999999999</v>
      </c>
      <c r="L3065">
        <v>274.06439999999998</v>
      </c>
      <c r="M3065">
        <v>-0.37378800000000001</v>
      </c>
      <c r="N3065">
        <v>-2.037779E-2</v>
      </c>
      <c r="O3065">
        <v>-0.92729030000000001</v>
      </c>
      <c r="P3065">
        <v>-0.1871283</v>
      </c>
      <c r="Q3065">
        <v>-6.4364370000000004E-2</v>
      </c>
      <c r="R3065">
        <v>-0.9802246</v>
      </c>
      <c r="S3065">
        <v>-0.2681885</v>
      </c>
      <c r="T3065">
        <v>-0.15292320000000001</v>
      </c>
      <c r="U3065">
        <v>-3.0004270000000002</v>
      </c>
      <c r="V3065">
        <v>-0.1919535</v>
      </c>
      <c r="W3065">
        <v>-4.838216E-2</v>
      </c>
      <c r="X3065">
        <v>0.98021069999999999</v>
      </c>
      <c r="Y3065">
        <v>-0.28961009999999998</v>
      </c>
      <c r="Z3065">
        <v>2.4207670000000001E-2</v>
      </c>
      <c r="AA3065">
        <v>0.95683850000000004</v>
      </c>
      <c r="AB3065">
        <v>22</v>
      </c>
      <c r="AC3065">
        <v>-1.9287999999999601</v>
      </c>
      <c r="AD3065">
        <v>-1.11904085487599</v>
      </c>
      <c r="AE3065">
        <v>-21.8598999999999</v>
      </c>
      <c r="AF3065">
        <v>-6.3671795382004301</v>
      </c>
      <c r="AG3065">
        <v>-1.11904085487599</v>
      </c>
      <c r="AH3065">
        <v>20.941340748290202</v>
      </c>
      <c r="AI3065">
        <v>92.926754243751404</v>
      </c>
      <c r="AJ3065">
        <v>106.911806259911</v>
      </c>
      <c r="AK3065">
        <v>21.9165001777783</v>
      </c>
      <c r="AL3065">
        <v>92.773176219684899</v>
      </c>
      <c r="AM3065">
        <v>101.079949913796</v>
      </c>
      <c r="AN3065">
        <v>0.99999999798150196</v>
      </c>
    </row>
    <row r="3066" spans="1:40" x14ac:dyDescent="0.25">
      <c r="A3066" t="str">
        <f>"20190305134955581"</f>
        <v>20190305134955581</v>
      </c>
      <c r="B3066" t="str">
        <f>"1551764995573758"</f>
        <v>1551764995573758</v>
      </c>
      <c r="C3066" t="s">
        <v>40</v>
      </c>
      <c r="D3066">
        <v>4.0729800000000003</v>
      </c>
      <c r="E3066">
        <v>0.46284570000000003</v>
      </c>
      <c r="F3066" t="s">
        <v>42</v>
      </c>
      <c r="G3066">
        <v>-486.41039999999998</v>
      </c>
      <c r="H3066" s="1">
        <v>-1.365651E-6</v>
      </c>
      <c r="I3066">
        <v>250.8545</v>
      </c>
      <c r="J3066">
        <v>-484.40359999999998</v>
      </c>
      <c r="K3066">
        <v>1.1185879999999999</v>
      </c>
      <c r="L3066">
        <v>273.95870000000002</v>
      </c>
      <c r="M3066">
        <v>-0.36762820000000002</v>
      </c>
      <c r="N3066">
        <v>-2.0154269999999998E-2</v>
      </c>
      <c r="O3066">
        <v>-0.92975439999999998</v>
      </c>
      <c r="P3066">
        <v>-0.1836856</v>
      </c>
      <c r="Q3066">
        <v>-6.3271910000000001E-2</v>
      </c>
      <c r="R3066">
        <v>-0.98094680000000001</v>
      </c>
      <c r="S3066">
        <v>-0.26385500000000001</v>
      </c>
      <c r="T3066">
        <v>-0.14467260000000001</v>
      </c>
      <c r="U3066">
        <v>-3.0006409999999999</v>
      </c>
      <c r="V3066">
        <v>-0.1889875</v>
      </c>
      <c r="W3066">
        <v>-4.723666E-2</v>
      </c>
      <c r="X3066">
        <v>0.98084269999999996</v>
      </c>
      <c r="Y3066">
        <v>-0.28464450000000002</v>
      </c>
      <c r="Z3066">
        <v>2.224406E-2</v>
      </c>
      <c r="AA3066">
        <v>0.95837499999999998</v>
      </c>
      <c r="AB3066">
        <v>22</v>
      </c>
      <c r="AC3066">
        <v>-2.0067999999999899</v>
      </c>
      <c r="AD3066">
        <v>-1.118589365651</v>
      </c>
      <c r="AE3066">
        <v>-23.104199999999999</v>
      </c>
      <c r="AF3066">
        <v>-6.6138841500807404</v>
      </c>
      <c r="AG3066">
        <v>-1.118589365651</v>
      </c>
      <c r="AH3066">
        <v>22.1719205724199</v>
      </c>
      <c r="AI3066">
        <v>92.767843044614693</v>
      </c>
      <c r="AJ3066">
        <v>106.60984266350501</v>
      </c>
      <c r="AK3066">
        <v>23.164385758947599</v>
      </c>
      <c r="AL3066">
        <v>92.707468784976001</v>
      </c>
      <c r="AM3066">
        <v>100.90602492271699</v>
      </c>
      <c r="AN3066">
        <v>0.99999998967374704</v>
      </c>
    </row>
    <row r="3067" spans="1:40" x14ac:dyDescent="0.25">
      <c r="A3067" t="str">
        <f>"20190305134955596"</f>
        <v>20190305134955596</v>
      </c>
      <c r="B3067" t="str">
        <f>"1551764995583517"</f>
        <v>1551764995583517</v>
      </c>
      <c r="C3067" t="s">
        <v>40</v>
      </c>
      <c r="D3067">
        <v>4.0689279999999997</v>
      </c>
      <c r="E3067">
        <v>0.4635379</v>
      </c>
      <c r="F3067" t="s">
        <v>42</v>
      </c>
      <c r="G3067">
        <v>-486.52429999999998</v>
      </c>
      <c r="H3067" s="1">
        <v>-4.8334850000000002E-6</v>
      </c>
      <c r="I3067">
        <v>249.46260000000001</v>
      </c>
      <c r="J3067">
        <v>-484.44290000000001</v>
      </c>
      <c r="K3067">
        <v>1.1180559999999999</v>
      </c>
      <c r="L3067">
        <v>273.83589999999998</v>
      </c>
      <c r="M3067">
        <v>-0.36073549999999999</v>
      </c>
      <c r="N3067">
        <v>-1.9885259999999998E-2</v>
      </c>
      <c r="O3067">
        <v>-0.93245619999999996</v>
      </c>
      <c r="P3067">
        <v>-0.17959919999999999</v>
      </c>
      <c r="Q3067">
        <v>-6.1616450000000003E-2</v>
      </c>
      <c r="R3067">
        <v>-0.98180840000000003</v>
      </c>
      <c r="S3067">
        <v>-0.25979609999999997</v>
      </c>
      <c r="T3067">
        <v>-0.13702879999999901</v>
      </c>
      <c r="U3067">
        <v>-3.0007929999999998</v>
      </c>
      <c r="V3067">
        <v>-0.18593460000000001</v>
      </c>
      <c r="W3067">
        <v>-4.5541329999999998E-2</v>
      </c>
      <c r="X3067">
        <v>0.9815062</v>
      </c>
      <c r="Y3067">
        <v>-0.2788448</v>
      </c>
      <c r="Z3067">
        <v>2.0499300000000002E-2</v>
      </c>
      <c r="AA3067">
        <v>0.96011740000000001</v>
      </c>
      <c r="AB3067">
        <v>22</v>
      </c>
      <c r="AC3067">
        <v>-2.0813999999999702</v>
      </c>
      <c r="AD3067">
        <v>-1.118060833485</v>
      </c>
      <c r="AE3067">
        <v>-24.373299999999901</v>
      </c>
      <c r="AF3067">
        <v>-6.8385689076383702</v>
      </c>
      <c r="AG3067">
        <v>-1.118060833485</v>
      </c>
      <c r="AH3067">
        <v>23.4335581292877</v>
      </c>
      <c r="AI3067">
        <v>92.6223992609644</v>
      </c>
      <c r="AJ3067">
        <v>106.268724490175</v>
      </c>
      <c r="AK3067">
        <v>24.436606379172101</v>
      </c>
      <c r="AL3067">
        <v>92.610228665656194</v>
      </c>
      <c r="AM3067">
        <v>100.726887191969</v>
      </c>
      <c r="AN3067">
        <v>1.0000000544268799</v>
      </c>
    </row>
    <row r="3068" spans="1:40" x14ac:dyDescent="0.25">
      <c r="A3068" t="str">
        <f>"20190305134955607"</f>
        <v>20190305134955607</v>
      </c>
      <c r="B3068" t="str">
        <f>"1551764995604014"</f>
        <v>1551764995604014</v>
      </c>
      <c r="C3068" t="s">
        <v>40</v>
      </c>
      <c r="D3068">
        <v>4.0910580000000003</v>
      </c>
      <c r="E3068">
        <v>0.46494560000000001</v>
      </c>
      <c r="F3068" t="s">
        <v>42</v>
      </c>
      <c r="G3068">
        <v>-486.65910000000002</v>
      </c>
      <c r="H3068" s="1">
        <v>-3.9783849999999997E-6</v>
      </c>
      <c r="I3068">
        <v>247.52510000000001</v>
      </c>
      <c r="J3068">
        <v>-484.48079999999999</v>
      </c>
      <c r="K3068">
        <v>1.117518</v>
      </c>
      <c r="L3068">
        <v>273.71600000000001</v>
      </c>
      <c r="M3068">
        <v>-0.35435830000000001</v>
      </c>
      <c r="N3068">
        <v>-1.9606370000000001E-2</v>
      </c>
      <c r="O3068">
        <v>-0.93490430000000002</v>
      </c>
      <c r="P3068">
        <v>-0.1760437</v>
      </c>
      <c r="Q3068">
        <v>-6.0203E-2</v>
      </c>
      <c r="R3068">
        <v>-0.98253990000000002</v>
      </c>
      <c r="S3068">
        <v>-0.25280760000000002</v>
      </c>
      <c r="T3068">
        <v>-0.1275384</v>
      </c>
      <c r="U3068">
        <v>-3.001312</v>
      </c>
      <c r="V3068">
        <v>-0.1828911</v>
      </c>
      <c r="W3068">
        <v>-4.4106029999999997E-2</v>
      </c>
      <c r="X3068">
        <v>0.98214330000000005</v>
      </c>
      <c r="Y3068">
        <v>-0.27452700000000002</v>
      </c>
      <c r="Z3068">
        <v>1.8165379999999998E-2</v>
      </c>
      <c r="AA3068">
        <v>0.96140780000000003</v>
      </c>
      <c r="AB3068">
        <v>22</v>
      </c>
      <c r="AC3068">
        <v>-2.1783000000000299</v>
      </c>
      <c r="AD3068">
        <v>-1.1175219783849999</v>
      </c>
      <c r="AE3068">
        <v>-26.190899999999999</v>
      </c>
      <c r="AF3068">
        <v>-7.2327751934307898</v>
      </c>
      <c r="AG3068">
        <v>-1.1175219783849999</v>
      </c>
      <c r="AH3068">
        <v>25.217141863268999</v>
      </c>
      <c r="AI3068">
        <v>92.4392338126884</v>
      </c>
      <c r="AJ3068">
        <v>106.003938787812</v>
      </c>
      <c r="AK3068">
        <v>26.257687181530599</v>
      </c>
      <c r="AL3068">
        <v>92.527909483320101</v>
      </c>
      <c r="AM3068">
        <v>100.548586625257</v>
      </c>
      <c r="AN3068">
        <v>0.99999997903823001</v>
      </c>
    </row>
    <row r="3069" spans="1:40" x14ac:dyDescent="0.25">
      <c r="A3069" t="str">
        <f>"20190305134955625"</f>
        <v>20190305134955625</v>
      </c>
      <c r="B3069" t="str">
        <f>"1551764995613773"</f>
        <v>1551764995613773</v>
      </c>
      <c r="C3069" t="s">
        <v>40</v>
      </c>
      <c r="D3069">
        <v>3.9056410000000001</v>
      </c>
      <c r="E3069">
        <v>0.46494560000000001</v>
      </c>
      <c r="F3069" t="s">
        <v>42</v>
      </c>
      <c r="G3069">
        <v>-486.92759999999998</v>
      </c>
      <c r="H3069" s="1">
        <v>-2.7017989999999999E-6</v>
      </c>
      <c r="I3069">
        <v>244.66030000000001</v>
      </c>
      <c r="J3069">
        <v>-484.52850000000001</v>
      </c>
      <c r="K3069">
        <v>1.1168089999999999</v>
      </c>
      <c r="L3069">
        <v>273.56290000000001</v>
      </c>
      <c r="M3069">
        <v>-0.34696250000000001</v>
      </c>
      <c r="N3069">
        <v>-1.9241419999999999E-2</v>
      </c>
      <c r="O3069">
        <v>-0.9376816</v>
      </c>
      <c r="P3069">
        <v>-0.17401739999999999</v>
      </c>
      <c r="Q3069">
        <v>-5.8682289999999998E-2</v>
      </c>
      <c r="R3069">
        <v>-0.9829928</v>
      </c>
      <c r="S3069">
        <v>-0.2527161</v>
      </c>
      <c r="T3069">
        <v>-0.1154205</v>
      </c>
      <c r="U3069">
        <v>-3.0009459999999999</v>
      </c>
      <c r="V3069">
        <v>-0.17728089999999999</v>
      </c>
      <c r="W3069">
        <v>-4.2536060000000001E-2</v>
      </c>
      <c r="X3069">
        <v>0.98324069999999997</v>
      </c>
      <c r="Y3069">
        <v>-0.26695679999999999</v>
      </c>
      <c r="Z3069">
        <v>1.5164820000000001E-2</v>
      </c>
      <c r="AA3069">
        <v>0.96358920000000003</v>
      </c>
      <c r="AB3069">
        <v>22</v>
      </c>
      <c r="AC3069">
        <v>-2.39909999999997</v>
      </c>
      <c r="AD3069">
        <v>-1.116811701799</v>
      </c>
      <c r="AE3069">
        <v>-28.9026</v>
      </c>
      <c r="AF3069">
        <v>-7.7684471665389401</v>
      </c>
      <c r="AG3069">
        <v>-1.116811701799</v>
      </c>
      <c r="AH3069">
        <v>27.897637841019399</v>
      </c>
      <c r="AI3069">
        <v>92.208528508498404</v>
      </c>
      <c r="AJ3069">
        <v>105.560528228758</v>
      </c>
      <c r="AK3069">
        <v>28.980583790967</v>
      </c>
      <c r="AL3069">
        <v>92.437872107593705</v>
      </c>
      <c r="AM3069">
        <v>100.22076898608501</v>
      </c>
      <c r="AN3069">
        <v>1.00000005402081</v>
      </c>
    </row>
    <row r="3070" spans="1:40" x14ac:dyDescent="0.25">
      <c r="A3070" t="str">
        <f>"20190305134955636"</f>
        <v>20190305134955636</v>
      </c>
      <c r="B3070" t="str">
        <f>"1551764995623534"</f>
        <v>1551764995623534</v>
      </c>
      <c r="C3070" t="s">
        <v>40</v>
      </c>
      <c r="D3070">
        <v>3.8922560000000002</v>
      </c>
      <c r="E3070">
        <v>0.48036430000000002</v>
      </c>
      <c r="F3070" t="s">
        <v>42</v>
      </c>
      <c r="G3070">
        <v>-486.96949999999998</v>
      </c>
      <c r="H3070" s="1">
        <v>-2.3158879999999998E-6</v>
      </c>
      <c r="I3070">
        <v>243.77809999999999</v>
      </c>
      <c r="J3070">
        <v>-484.56060000000002</v>
      </c>
      <c r="K3070">
        <v>1.1163050000000001</v>
      </c>
      <c r="L3070">
        <v>273.45909999999998</v>
      </c>
      <c r="M3070">
        <v>-0.34233150000000001</v>
      </c>
      <c r="N3070">
        <v>-1.8988290000000001E-2</v>
      </c>
      <c r="O3070">
        <v>-0.93938739999999998</v>
      </c>
      <c r="P3070">
        <v>-0.17210610000000001</v>
      </c>
      <c r="Q3070">
        <v>-5.9219899999999999E-2</v>
      </c>
      <c r="R3070">
        <v>-0.98329679999999997</v>
      </c>
      <c r="S3070">
        <v>-0.2460022</v>
      </c>
      <c r="T3070">
        <v>-0.11254980000000001</v>
      </c>
      <c r="U3070">
        <v>-3.0016479999999999</v>
      </c>
      <c r="V3070">
        <v>-0.17436740000000001</v>
      </c>
      <c r="W3070">
        <v>-4.3068670000000003E-2</v>
      </c>
      <c r="X3070">
        <v>0.98373829999999995</v>
      </c>
      <c r="Y3070">
        <v>-0.26436470000000001</v>
      </c>
      <c r="Z3070">
        <v>1.4657959999999999E-2</v>
      </c>
      <c r="AA3070">
        <v>0.96431140000000004</v>
      </c>
      <c r="AB3070">
        <v>22</v>
      </c>
      <c r="AC3070">
        <v>-2.4088999999999601</v>
      </c>
      <c r="AD3070">
        <v>-1.1163073158879999</v>
      </c>
      <c r="AE3070">
        <v>-29.680999999999901</v>
      </c>
      <c r="AF3070">
        <v>-7.8881897236683898</v>
      </c>
      <c r="AG3070">
        <v>-1.1163073158879999</v>
      </c>
      <c r="AH3070">
        <v>28.671483789846999</v>
      </c>
      <c r="AI3070">
        <v>92.149850350440104</v>
      </c>
      <c r="AJ3070">
        <v>105.38281239061</v>
      </c>
      <c r="AK3070">
        <v>29.7577496100016</v>
      </c>
      <c r="AL3070">
        <v>92.468416606803203</v>
      </c>
      <c r="AM3070">
        <v>100.051270254272</v>
      </c>
      <c r="AN3070">
        <v>0.99999997170260901</v>
      </c>
    </row>
    <row r="3071" spans="1:40" x14ac:dyDescent="0.25">
      <c r="A3071" t="str">
        <f>"20190305134955658"</f>
        <v>20190305134955658</v>
      </c>
      <c r="B3071" t="str">
        <f>"1551764995653790"</f>
        <v>1551764995653790</v>
      </c>
      <c r="C3071" t="s">
        <v>40</v>
      </c>
      <c r="D3071">
        <v>3.920013</v>
      </c>
      <c r="E3071">
        <v>0.48169810000000002</v>
      </c>
      <c r="F3071" t="s">
        <v>47</v>
      </c>
      <c r="G3071">
        <v>0</v>
      </c>
      <c r="H3071">
        <v>0</v>
      </c>
      <c r="I3071">
        <v>0</v>
      </c>
      <c r="J3071">
        <v>-484.62569999999999</v>
      </c>
      <c r="K3071">
        <v>1.1152500000000001</v>
      </c>
      <c r="L3071">
        <v>273.24779999999998</v>
      </c>
      <c r="M3071">
        <v>-0.33394970000000002</v>
      </c>
      <c r="N3071">
        <v>-1.8452920000000001E-2</v>
      </c>
      <c r="O3071">
        <v>-0.94241050000000004</v>
      </c>
      <c r="P3071">
        <v>-0.16824129999999901</v>
      </c>
      <c r="Q3071">
        <v>-6.2670470000000006E-2</v>
      </c>
      <c r="R3071">
        <v>-0.98375199999999996</v>
      </c>
      <c r="S3071">
        <v>-0.3520508</v>
      </c>
      <c r="T3071">
        <v>0.49646390000000001</v>
      </c>
      <c r="U3071">
        <v>-3.0192869999999998</v>
      </c>
      <c r="V3071">
        <v>-0.16945079999999901</v>
      </c>
      <c r="W3071">
        <v>-4.6559830000000003E-2</v>
      </c>
      <c r="X3071">
        <v>0.98443820000000004</v>
      </c>
      <c r="Y3071">
        <v>-0.22450000000000001</v>
      </c>
      <c r="Z3071">
        <v>-0.16372310000000001</v>
      </c>
      <c r="AA3071">
        <v>0.96062199999999998</v>
      </c>
      <c r="AB3071">
        <v>22</v>
      </c>
      <c r="AC3071">
        <v>-0.3520508</v>
      </c>
      <c r="AD3071">
        <v>0.49646390000000001</v>
      </c>
      <c r="AE3071">
        <v>-3.0192869999999998</v>
      </c>
      <c r="AF3071">
        <v>-0.65904865397422796</v>
      </c>
      <c r="AG3071">
        <v>0.49646390000000001</v>
      </c>
      <c r="AH3071">
        <v>2.8864824820399</v>
      </c>
      <c r="AI3071">
        <v>80.481141707872496</v>
      </c>
      <c r="AJ3071">
        <v>102.861441843374</v>
      </c>
      <c r="AK3071">
        <v>3.0020997071102902</v>
      </c>
      <c r="AL3071">
        <v>92.668646588688006</v>
      </c>
      <c r="AM3071">
        <v>99.766584597750693</v>
      </c>
      <c r="AN3071">
        <v>0.99999998050475403</v>
      </c>
    </row>
    <row r="3072" spans="1:40" x14ac:dyDescent="0.25">
      <c r="A3072" t="str">
        <f>"20190305134955670"</f>
        <v>20190305134955670</v>
      </c>
      <c r="B3072" t="str">
        <f>"1551764995663550"</f>
        <v>1551764995663550</v>
      </c>
      <c r="C3072" t="s">
        <v>40</v>
      </c>
      <c r="D3072">
        <v>3.907905</v>
      </c>
      <c r="E3072">
        <v>0.48213489999999998</v>
      </c>
      <c r="F3072" t="s">
        <v>47</v>
      </c>
      <c r="G3072">
        <v>0</v>
      </c>
      <c r="H3072">
        <v>0</v>
      </c>
      <c r="I3072">
        <v>0</v>
      </c>
      <c r="J3072">
        <v>-484.6583</v>
      </c>
      <c r="K3072">
        <v>1.114719</v>
      </c>
      <c r="L3072">
        <v>273.1413</v>
      </c>
      <c r="M3072">
        <v>-0.33011560000000001</v>
      </c>
      <c r="N3072">
        <v>-1.8176459999999998E-2</v>
      </c>
      <c r="O3072">
        <v>-0.94376579999999999</v>
      </c>
      <c r="P3072">
        <v>-0.1663867</v>
      </c>
      <c r="Q3072">
        <v>-6.4330680000000001E-2</v>
      </c>
      <c r="R3072">
        <v>-0.98395999999999995</v>
      </c>
      <c r="S3072">
        <v>-0.3475647</v>
      </c>
      <c r="T3072">
        <v>0.4898304</v>
      </c>
      <c r="U3072">
        <v>-3.0213619999999999</v>
      </c>
      <c r="V3072">
        <v>-0.16730390000000001</v>
      </c>
      <c r="W3072">
        <v>-4.8260860000000003E-2</v>
      </c>
      <c r="X3072">
        <v>0.98472340000000003</v>
      </c>
      <c r="Y3072">
        <v>-0.2219691</v>
      </c>
      <c r="Z3072">
        <v>-0.16184979999999999</v>
      </c>
      <c r="AA3072">
        <v>0.96152709999999997</v>
      </c>
      <c r="AB3072">
        <v>22</v>
      </c>
      <c r="AC3072">
        <v>-0.3475647</v>
      </c>
      <c r="AD3072">
        <v>0.4898304</v>
      </c>
      <c r="AE3072">
        <v>-3.0213619999999999</v>
      </c>
      <c r="AF3072">
        <v>-0.65256175483737899</v>
      </c>
      <c r="AG3072">
        <v>0.4898304</v>
      </c>
      <c r="AH3072">
        <v>2.89167278581305</v>
      </c>
      <c r="AI3072">
        <v>80.617330688858004</v>
      </c>
      <c r="AJ3072">
        <v>102.716878146338</v>
      </c>
      <c r="AK3072">
        <v>3.00458685427005</v>
      </c>
      <c r="AL3072">
        <v>92.766218273801499</v>
      </c>
      <c r="AM3072">
        <v>99.642442328557607</v>
      </c>
      <c r="AN3072">
        <v>0.99999994003535297</v>
      </c>
    </row>
    <row r="3073" spans="1:40" x14ac:dyDescent="0.25">
      <c r="A3073" t="str">
        <f>"20190305134955682"</f>
        <v>20190305134955682</v>
      </c>
      <c r="B3073" t="str">
        <f>"1551764995673310"</f>
        <v>1551764995673310</v>
      </c>
      <c r="C3073" t="s">
        <v>40</v>
      </c>
      <c r="D3073">
        <v>3.9237739999999999</v>
      </c>
      <c r="E3073">
        <v>0.48269689999999998</v>
      </c>
      <c r="F3073" t="s">
        <v>47</v>
      </c>
      <c r="G3073">
        <v>0</v>
      </c>
      <c r="H3073">
        <v>0</v>
      </c>
      <c r="I3073">
        <v>0</v>
      </c>
      <c r="J3073">
        <v>-484.6927</v>
      </c>
      <c r="K3073">
        <v>1.114196</v>
      </c>
      <c r="L3073">
        <v>273.02859999999998</v>
      </c>
      <c r="M3073">
        <v>-0.32667089999999999</v>
      </c>
      <c r="N3073">
        <v>-1.7887380000000001E-2</v>
      </c>
      <c r="O3073">
        <v>-0.9449689</v>
      </c>
      <c r="P3073">
        <v>-0.16469890000000001</v>
      </c>
      <c r="Q3073">
        <v>-6.5852350000000004E-2</v>
      </c>
      <c r="R3073">
        <v>-0.9841434</v>
      </c>
      <c r="S3073">
        <v>-0.34368900000000002</v>
      </c>
      <c r="T3073">
        <v>0.48553230000000003</v>
      </c>
      <c r="U3073">
        <v>-3.0224609999999998</v>
      </c>
      <c r="V3073">
        <v>-0.16540729999999901</v>
      </c>
      <c r="W3073">
        <v>-4.9845210000000001E-2</v>
      </c>
      <c r="X3073">
        <v>0.98496490000000003</v>
      </c>
      <c r="Y3073">
        <v>-0.2196321</v>
      </c>
      <c r="Z3073">
        <v>-0.16062750000000001</v>
      </c>
      <c r="AA3073">
        <v>0.96226840000000002</v>
      </c>
      <c r="AB3073">
        <v>22</v>
      </c>
      <c r="AC3073">
        <v>-0.34368900000000002</v>
      </c>
      <c r="AD3073">
        <v>0.48553230000000003</v>
      </c>
      <c r="AE3073">
        <v>-3.0224609999999998</v>
      </c>
      <c r="AF3073">
        <v>-0.64621745503978001</v>
      </c>
      <c r="AG3073">
        <v>0.48553230000000003</v>
      </c>
      <c r="AH3073">
        <v>2.8951229186537502</v>
      </c>
      <c r="AI3073">
        <v>80.704306576725799</v>
      </c>
      <c r="AJ3073">
        <v>102.582673329575</v>
      </c>
      <c r="AK3073">
        <v>3.0058402032802101</v>
      </c>
      <c r="AL3073">
        <v>92.8571041335058</v>
      </c>
      <c r="AM3073">
        <v>99.532856416231994</v>
      </c>
      <c r="AN3073">
        <v>0.99999998704262205</v>
      </c>
    </row>
    <row r="3074" spans="1:40" x14ac:dyDescent="0.25">
      <c r="A3074" t="str">
        <f>"20190305134955691"</f>
        <v>20190305134955691</v>
      </c>
      <c r="B3074" t="str">
        <f>"1551764995684047"</f>
        <v>1551764995684047</v>
      </c>
      <c r="C3074" t="s">
        <v>40</v>
      </c>
      <c r="D3074">
        <v>3.9559289999999998</v>
      </c>
      <c r="E3074">
        <v>0.48322110000000001</v>
      </c>
      <c r="F3074" t="s">
        <v>47</v>
      </c>
      <c r="G3074">
        <v>0</v>
      </c>
      <c r="H3074">
        <v>0</v>
      </c>
      <c r="I3074">
        <v>0</v>
      </c>
      <c r="J3074">
        <v>-484.72070000000002</v>
      </c>
      <c r="K3074">
        <v>1.113774</v>
      </c>
      <c r="L3074">
        <v>272.93729999999999</v>
      </c>
      <c r="M3074">
        <v>-0.32398719999999998</v>
      </c>
      <c r="N3074">
        <v>-1.7657840000000001E-2</v>
      </c>
      <c r="O3074">
        <v>-0.94589670000000003</v>
      </c>
      <c r="P3074">
        <v>-0.164212</v>
      </c>
      <c r="Q3074">
        <v>-6.6918249999999999E-2</v>
      </c>
      <c r="R3074">
        <v>-0.98415280000000005</v>
      </c>
      <c r="S3074">
        <v>-0.34188839999999998</v>
      </c>
      <c r="T3074">
        <v>0.47911130000000002</v>
      </c>
      <c r="U3074">
        <v>-3.0231629999999998</v>
      </c>
      <c r="V3074">
        <v>-0.16311229999999999</v>
      </c>
      <c r="W3074">
        <v>-5.0953770000000002E-2</v>
      </c>
      <c r="X3074">
        <v>0.98529089999999997</v>
      </c>
      <c r="Y3074">
        <v>-0.2174064</v>
      </c>
      <c r="Z3074">
        <v>-0.15878979999999901</v>
      </c>
      <c r="AA3074">
        <v>0.96307849999999995</v>
      </c>
      <c r="AB3074">
        <v>22</v>
      </c>
      <c r="AC3074">
        <v>-0.34188839999999998</v>
      </c>
      <c r="AD3074">
        <v>0.47911130000000002</v>
      </c>
      <c r="AE3074">
        <v>-3.0231629999999998</v>
      </c>
      <c r="AF3074">
        <v>-0.64029865210293502</v>
      </c>
      <c r="AG3074">
        <v>0.47911130000000002</v>
      </c>
      <c r="AH3074">
        <v>2.89894022142719</v>
      </c>
      <c r="AI3074">
        <v>80.832557988761394</v>
      </c>
      <c r="AJ3074">
        <v>102.45513921049201</v>
      </c>
      <c r="AK3074">
        <v>3.0072220418653601</v>
      </c>
      <c r="AL3074">
        <v>92.920700634107504</v>
      </c>
      <c r="AM3074">
        <v>99.399912227184203</v>
      </c>
      <c r="AN3074">
        <v>1.00000003335565</v>
      </c>
    </row>
    <row r="3075" spans="1:40" x14ac:dyDescent="0.25">
      <c r="A3075" t="str">
        <f>"20190305134955703"</f>
        <v>20190305134955703</v>
      </c>
      <c r="B3075" t="str">
        <f>"1551764995693806"</f>
        <v>1551764995693806</v>
      </c>
      <c r="C3075" t="s">
        <v>40</v>
      </c>
      <c r="D3075">
        <v>3.9117099999999998</v>
      </c>
      <c r="E3075">
        <v>0.48380519999999999</v>
      </c>
      <c r="F3075" t="s">
        <v>47</v>
      </c>
      <c r="G3075">
        <v>0</v>
      </c>
      <c r="H3075">
        <v>0</v>
      </c>
      <c r="I3075">
        <v>0</v>
      </c>
      <c r="J3075">
        <v>-484.75380000000001</v>
      </c>
      <c r="K3075">
        <v>1.113307</v>
      </c>
      <c r="L3075">
        <v>272.82929999999999</v>
      </c>
      <c r="M3075">
        <v>-0.3212816</v>
      </c>
      <c r="N3075">
        <v>-1.739431E-2</v>
      </c>
      <c r="O3075">
        <v>-0.946824</v>
      </c>
      <c r="P3075">
        <v>-0.16408149999999999</v>
      </c>
      <c r="Q3075">
        <v>-6.8137470000000006E-2</v>
      </c>
      <c r="R3075">
        <v>-0.98409080000000004</v>
      </c>
      <c r="S3075">
        <v>-0.34457399999999999</v>
      </c>
      <c r="T3075">
        <v>0.47725129999999999</v>
      </c>
      <c r="U3075">
        <v>-3.023285</v>
      </c>
      <c r="V3075">
        <v>-0.16044340000000001</v>
      </c>
      <c r="W3075">
        <v>-5.2229989999999997E-2</v>
      </c>
      <c r="X3075">
        <v>0.98566220000000004</v>
      </c>
      <c r="Y3075">
        <v>-0.21375279999999999</v>
      </c>
      <c r="Z3075">
        <v>-0.15826299999999999</v>
      </c>
      <c r="AA3075">
        <v>0.96398260000000002</v>
      </c>
      <c r="AB3075">
        <v>22</v>
      </c>
      <c r="AC3075">
        <v>-0.34457399999999999</v>
      </c>
      <c r="AD3075">
        <v>0.47725129999999999</v>
      </c>
      <c r="AE3075">
        <v>-3.023285</v>
      </c>
      <c r="AF3075">
        <v>-0.62968244233952297</v>
      </c>
      <c r="AG3075">
        <v>0.47725129999999999</v>
      </c>
      <c r="AH3075">
        <v>2.9022784420489298</v>
      </c>
      <c r="AI3075">
        <v>80.870542036222105</v>
      </c>
      <c r="AJ3075">
        <v>102.241252376221</v>
      </c>
      <c r="AK3075">
        <v>3.0079044095057799</v>
      </c>
      <c r="AL3075">
        <v>92.993920222911896</v>
      </c>
      <c r="AM3075">
        <v>99.245363140356503</v>
      </c>
      <c r="AN3075">
        <v>1.0000000144839001</v>
      </c>
    </row>
    <row r="3076" spans="1:40" x14ac:dyDescent="0.25">
      <c r="A3076" t="str">
        <f>"20190305134955715"</f>
        <v>20190305134955715</v>
      </c>
      <c r="B3076" t="str">
        <f>"1551764995703566"</f>
        <v>1551764995703566</v>
      </c>
      <c r="C3076" t="s">
        <v>40</v>
      </c>
      <c r="D3076">
        <v>3.9489869999999998</v>
      </c>
      <c r="E3076">
        <v>0.48433379999999998</v>
      </c>
      <c r="F3076" t="s">
        <v>47</v>
      </c>
      <c r="G3076">
        <v>0</v>
      </c>
      <c r="H3076">
        <v>0</v>
      </c>
      <c r="I3076">
        <v>0</v>
      </c>
      <c r="J3076">
        <v>-484.78559999999999</v>
      </c>
      <c r="K3076">
        <v>1.11286</v>
      </c>
      <c r="L3076">
        <v>272.72579999999999</v>
      </c>
      <c r="M3076">
        <v>-0.31893929999999998</v>
      </c>
      <c r="N3076">
        <v>-1.7147539999999999E-2</v>
      </c>
      <c r="O3076">
        <v>-0.94762020000000002</v>
      </c>
      <c r="P3076">
        <v>-0.16494329999999999</v>
      </c>
      <c r="Q3076">
        <v>-6.9321980000000005E-2</v>
      </c>
      <c r="R3076">
        <v>-0.98386410000000002</v>
      </c>
      <c r="S3076">
        <v>-0.34896850000000001</v>
      </c>
      <c r="T3076">
        <v>0.476109</v>
      </c>
      <c r="U3076">
        <v>-3.023285</v>
      </c>
      <c r="V3076">
        <v>-0.157161</v>
      </c>
      <c r="W3076">
        <v>-5.3464009999999999E-2</v>
      </c>
      <c r="X3076">
        <v>0.98612480000000002</v>
      </c>
      <c r="Y3076">
        <v>-0.20993580000000001</v>
      </c>
      <c r="Z3076">
        <v>-0.15792870000000001</v>
      </c>
      <c r="AA3076">
        <v>0.96487590000000001</v>
      </c>
      <c r="AB3076">
        <v>22</v>
      </c>
      <c r="AC3076">
        <v>-0.34896850000000001</v>
      </c>
      <c r="AD3076">
        <v>0.476109</v>
      </c>
      <c r="AE3076">
        <v>-3.023285</v>
      </c>
      <c r="AF3076">
        <v>-0.61851037512625395</v>
      </c>
      <c r="AG3076">
        <v>0.476109</v>
      </c>
      <c r="AH3076">
        <v>2.9055520883326</v>
      </c>
      <c r="AI3076">
        <v>80.894598497345896</v>
      </c>
      <c r="AJ3076">
        <v>102.017285086917</v>
      </c>
      <c r="AK3076">
        <v>3.0085657383600202</v>
      </c>
      <c r="AL3076">
        <v>93.064723191803907</v>
      </c>
      <c r="AM3076">
        <v>99.055207918492201</v>
      </c>
      <c r="AN3076">
        <v>1.0000000507306499</v>
      </c>
    </row>
    <row r="3077" spans="1:40" x14ac:dyDescent="0.25">
      <c r="A3077" t="str">
        <f>"20190305134955726"</f>
        <v>20190305134955726</v>
      </c>
      <c r="B3077" t="str">
        <f>"1551764995723087"</f>
        <v>1551764995723087</v>
      </c>
      <c r="C3077" t="s">
        <v>40</v>
      </c>
      <c r="D3077">
        <v>3.9740229999999999</v>
      </c>
      <c r="E3077">
        <v>0.48488179999999997</v>
      </c>
      <c r="F3077" t="s">
        <v>47</v>
      </c>
      <c r="G3077">
        <v>0</v>
      </c>
      <c r="H3077">
        <v>0</v>
      </c>
      <c r="I3077">
        <v>0</v>
      </c>
      <c r="J3077">
        <v>-484.82139999999998</v>
      </c>
      <c r="K3077">
        <v>1.112374</v>
      </c>
      <c r="L3077">
        <v>272.6096</v>
      </c>
      <c r="M3077">
        <v>-0.3166969</v>
      </c>
      <c r="N3077">
        <v>-1.6877389999999999E-2</v>
      </c>
      <c r="O3077">
        <v>-0.94837680000000002</v>
      </c>
      <c r="P3077">
        <v>-0.1666967</v>
      </c>
      <c r="Q3077">
        <v>-7.1002839999999998E-2</v>
      </c>
      <c r="R3077">
        <v>-0.98344860000000001</v>
      </c>
      <c r="S3077">
        <v>-0.356018099999999</v>
      </c>
      <c r="T3077">
        <v>0.4730721</v>
      </c>
      <c r="U3077">
        <v>-3.0228579999999998</v>
      </c>
      <c r="V3077">
        <v>-0.15308389999999999</v>
      </c>
      <c r="W3077">
        <v>-5.5201699999999902E-2</v>
      </c>
      <c r="X3077">
        <v>0.98667020000000005</v>
      </c>
      <c r="Y3077">
        <v>-0.20535580000000001</v>
      </c>
      <c r="Z3077">
        <v>-0.15703439999999999</v>
      </c>
      <c r="AA3077">
        <v>0.96600680000000005</v>
      </c>
      <c r="AB3077">
        <v>22</v>
      </c>
      <c r="AC3077">
        <v>-0.356018099999999</v>
      </c>
      <c r="AD3077">
        <v>0.4730721</v>
      </c>
      <c r="AE3077">
        <v>-3.0228579999999998</v>
      </c>
      <c r="AF3077">
        <v>-0.60515999680962995</v>
      </c>
      <c r="AG3077">
        <v>0.4730721</v>
      </c>
      <c r="AH3077">
        <v>2.9096937711425999</v>
      </c>
      <c r="AI3077">
        <v>80.955618290266301</v>
      </c>
      <c r="AJ3077">
        <v>101.748920776228</v>
      </c>
      <c r="AK3077">
        <v>3.0093742996448798</v>
      </c>
      <c r="AL3077">
        <v>93.164432959459802</v>
      </c>
      <c r="AM3077">
        <v>98.819239983963797</v>
      </c>
      <c r="AN3077">
        <v>0.99999999584507004</v>
      </c>
    </row>
    <row r="3078" spans="1:40" x14ac:dyDescent="0.25">
      <c r="A3078" t="str">
        <f>"20190305134955737"</f>
        <v>20190305134955737</v>
      </c>
      <c r="B3078" t="str">
        <f>"1551764995723087"</f>
        <v>1551764995723087</v>
      </c>
      <c r="C3078" t="s">
        <v>40</v>
      </c>
      <c r="D3078">
        <v>3.9740229999999999</v>
      </c>
      <c r="E3078">
        <v>0.48488179999999997</v>
      </c>
      <c r="F3078" t="s">
        <v>47</v>
      </c>
      <c r="G3078">
        <v>0</v>
      </c>
      <c r="H3078">
        <v>0</v>
      </c>
      <c r="I3078">
        <v>0</v>
      </c>
      <c r="J3078">
        <v>-484.85140000000001</v>
      </c>
      <c r="K3078">
        <v>1.1119669999999999</v>
      </c>
      <c r="L3078">
        <v>272.51249999999999</v>
      </c>
      <c r="M3078">
        <v>-0.31521729999999998</v>
      </c>
      <c r="N3078">
        <v>-1.6662449999999999E-2</v>
      </c>
      <c r="O3078">
        <v>-0.94887330000000003</v>
      </c>
      <c r="P3078">
        <v>-0.1692158</v>
      </c>
      <c r="Q3078">
        <v>-7.2454550000000006E-2</v>
      </c>
      <c r="R3078">
        <v>-0.98291249999999997</v>
      </c>
      <c r="S3078">
        <v>-0.36621090000000001</v>
      </c>
      <c r="T3078">
        <v>0.4704894</v>
      </c>
      <c r="U3078">
        <v>-3.0224000000000002</v>
      </c>
      <c r="V3078">
        <v>-0.14903060000000001</v>
      </c>
      <c r="W3078">
        <v>-5.6693390000000003E-2</v>
      </c>
      <c r="X3078">
        <v>0.98720600000000003</v>
      </c>
      <c r="Y3078">
        <v>-0.20057220000000001</v>
      </c>
      <c r="Z3078">
        <v>-0.15625439999999999</v>
      </c>
      <c r="AA3078">
        <v>0.96713769999999999</v>
      </c>
      <c r="AB3078">
        <v>22</v>
      </c>
      <c r="AC3078">
        <v>-0.36621090000000001</v>
      </c>
      <c r="AD3078">
        <v>0.4704894</v>
      </c>
      <c r="AE3078">
        <v>-3.0224000000000002</v>
      </c>
      <c r="AF3078">
        <v>-0.59119035605224401</v>
      </c>
      <c r="AG3078">
        <v>0.4704894</v>
      </c>
      <c r="AH3078">
        <v>2.9141301729263902</v>
      </c>
      <c r="AI3078">
        <v>81.008752739551198</v>
      </c>
      <c r="AJ3078">
        <v>101.46797366972601</v>
      </c>
      <c r="AK3078">
        <v>3.0104851730844802</v>
      </c>
      <c r="AL3078">
        <v>93.2500346594814</v>
      </c>
      <c r="AM3078">
        <v>98.584664094389495</v>
      </c>
      <c r="AN3078">
        <v>0.99999997332102497</v>
      </c>
    </row>
    <row r="3079" spans="1:40" x14ac:dyDescent="0.25">
      <c r="A3079" t="str">
        <f>"20190305134955748"</f>
        <v>20190305134955748</v>
      </c>
      <c r="B3079" t="str">
        <f>"1551764995743582"</f>
        <v>1551764995743582</v>
      </c>
      <c r="C3079" t="s">
        <v>40</v>
      </c>
      <c r="D3079">
        <v>3.95025</v>
      </c>
      <c r="E3079">
        <v>0.4937918</v>
      </c>
      <c r="F3079" t="s">
        <v>47</v>
      </c>
      <c r="G3079">
        <v>0</v>
      </c>
      <c r="H3079">
        <v>0</v>
      </c>
      <c r="I3079">
        <v>0</v>
      </c>
      <c r="J3079">
        <v>-484.8843</v>
      </c>
      <c r="K3079">
        <v>1.111532</v>
      </c>
      <c r="L3079">
        <v>272.40620000000001</v>
      </c>
      <c r="M3079">
        <v>-0.31376880000000001</v>
      </c>
      <c r="N3079">
        <v>-1.643242E-2</v>
      </c>
      <c r="O3079">
        <v>-0.94935749999999997</v>
      </c>
      <c r="P3079">
        <v>-0.17095009999999999</v>
      </c>
      <c r="Q3079">
        <v>-7.3016159999999997E-2</v>
      </c>
      <c r="R3079">
        <v>-0.98257090000000002</v>
      </c>
      <c r="S3079">
        <v>-0.37466430000000001</v>
      </c>
      <c r="T3079">
        <v>0.46616669999999999</v>
      </c>
      <c r="U3079">
        <v>-3.0220340000000001</v>
      </c>
      <c r="V3079">
        <v>-0.14582600000000001</v>
      </c>
      <c r="W3079">
        <v>-5.7309140000000001E-2</v>
      </c>
      <c r="X3079">
        <v>0.987649</v>
      </c>
      <c r="Y3079">
        <v>-0.19635859999999999</v>
      </c>
      <c r="Z3079">
        <v>-0.1549394</v>
      </c>
      <c r="AA3079">
        <v>0.96821330000000005</v>
      </c>
      <c r="AB3079">
        <v>22</v>
      </c>
      <c r="AC3079">
        <v>-0.37466430000000001</v>
      </c>
      <c r="AD3079">
        <v>0.46616669999999999</v>
      </c>
      <c r="AE3079">
        <v>-3.0220340000000001</v>
      </c>
      <c r="AF3079">
        <v>-0.57903984951866905</v>
      </c>
      <c r="AG3079">
        <v>0.46616669999999999</v>
      </c>
      <c r="AH3079">
        <v>2.9185556369347401</v>
      </c>
      <c r="AI3079">
        <v>81.095772192437906</v>
      </c>
      <c r="AJ3079">
        <v>101.221728049623</v>
      </c>
      <c r="AK3079">
        <v>3.0117379609459798</v>
      </c>
      <c r="AL3079">
        <v>93.285371728263598</v>
      </c>
      <c r="AM3079">
        <v>98.399016916228106</v>
      </c>
      <c r="AN3079">
        <v>1.00000005350226</v>
      </c>
    </row>
    <row r="3080" spans="1:40" x14ac:dyDescent="0.25">
      <c r="A3080" t="str">
        <f>"20190305134955759"</f>
        <v>20190305134955759</v>
      </c>
      <c r="B3080" t="str">
        <f>"1551764995753343"</f>
        <v>1551764995753343</v>
      </c>
      <c r="C3080" t="s">
        <v>40</v>
      </c>
      <c r="D3080">
        <v>4.1510129999999998</v>
      </c>
      <c r="E3080">
        <v>0.4937918</v>
      </c>
      <c r="F3080" t="s">
        <v>47</v>
      </c>
      <c r="G3080">
        <v>0</v>
      </c>
      <c r="H3080">
        <v>0</v>
      </c>
      <c r="I3080">
        <v>0</v>
      </c>
      <c r="J3080">
        <v>-484.91460000000001</v>
      </c>
      <c r="K3080">
        <v>1.1111489999999999</v>
      </c>
      <c r="L3080">
        <v>272.30970000000002</v>
      </c>
      <c r="M3080">
        <v>-0.31290750000000001</v>
      </c>
      <c r="N3080">
        <v>-1.6241749999999999E-2</v>
      </c>
      <c r="O3080">
        <v>-0.94964490000000001</v>
      </c>
      <c r="P3080">
        <v>-0.17267650000000001</v>
      </c>
      <c r="Q3080">
        <v>-7.2852600000000003E-2</v>
      </c>
      <c r="R3080">
        <v>-0.98228099999999996</v>
      </c>
      <c r="S3080">
        <v>-0.45059199999999999</v>
      </c>
      <c r="T3080">
        <v>0.4912724</v>
      </c>
      <c r="U3080">
        <v>-3.0113219999999998</v>
      </c>
      <c r="V3080">
        <v>-0.14325280000000001</v>
      </c>
      <c r="W3080">
        <v>-5.7184569999999997E-2</v>
      </c>
      <c r="X3080">
        <v>0.98803260000000004</v>
      </c>
      <c r="Y3080">
        <v>-0.17120099999999999</v>
      </c>
      <c r="Z3080">
        <v>-0.16270299999999999</v>
      </c>
      <c r="AA3080">
        <v>0.97170880000000004</v>
      </c>
      <c r="AB3080">
        <v>22</v>
      </c>
      <c r="AC3080">
        <v>-0.45059199999999999</v>
      </c>
      <c r="AD3080">
        <v>0.4912724</v>
      </c>
      <c r="AE3080">
        <v>-3.0113219999999998</v>
      </c>
      <c r="AF3080">
        <v>-0.50137854064758203</v>
      </c>
      <c r="AG3080">
        <v>0.4912724</v>
      </c>
      <c r="AH3080">
        <v>2.9249326137399998</v>
      </c>
      <c r="AI3080">
        <v>80.600178894699098</v>
      </c>
      <c r="AJ3080">
        <v>99.7268463158467</v>
      </c>
      <c r="AK3080">
        <v>3.0079826806256</v>
      </c>
      <c r="AL3080">
        <v>93.2782230772265</v>
      </c>
      <c r="AM3080">
        <v>98.249709826170303</v>
      </c>
      <c r="AN3080">
        <v>0.99999992920834002</v>
      </c>
    </row>
    <row r="3081" spans="1:40" x14ac:dyDescent="0.25">
      <c r="A3081" t="str">
        <f>"20190305134955770"</f>
        <v>20190305134955770</v>
      </c>
      <c r="B3081" t="str">
        <f>"1551764995764079"</f>
        <v>1551764995764079</v>
      </c>
      <c r="C3081" t="s">
        <v>40</v>
      </c>
      <c r="D3081">
        <v>3.96008</v>
      </c>
      <c r="E3081">
        <v>0.49440149999999999</v>
      </c>
      <c r="F3081" t="s">
        <v>47</v>
      </c>
      <c r="G3081">
        <v>0</v>
      </c>
      <c r="H3081">
        <v>0</v>
      </c>
      <c r="I3081">
        <v>0</v>
      </c>
      <c r="J3081">
        <v>-484.95069999999998</v>
      </c>
      <c r="K3081">
        <v>1.1107049999999901</v>
      </c>
      <c r="L3081">
        <v>272.19490000000002</v>
      </c>
      <c r="M3081">
        <v>-0.31201420000000002</v>
      </c>
      <c r="N3081">
        <v>-1.6021190000000001E-2</v>
      </c>
      <c r="O3081">
        <v>-0.94994250000000002</v>
      </c>
      <c r="P3081">
        <v>-0.17389939999999901</v>
      </c>
      <c r="Q3081">
        <v>-7.1737560000000006E-2</v>
      </c>
      <c r="R3081">
        <v>-0.98214710000000005</v>
      </c>
      <c r="S3081">
        <v>-0.45651249999999999</v>
      </c>
      <c r="T3081">
        <v>0.49184489999999997</v>
      </c>
      <c r="U3081">
        <v>-3.010345</v>
      </c>
      <c r="V3081">
        <v>-0.14118429999999901</v>
      </c>
      <c r="W3081">
        <v>-5.611998E-2</v>
      </c>
      <c r="X3081">
        <v>0.98839140000000003</v>
      </c>
      <c r="Y3081">
        <v>-0.16835420000000001</v>
      </c>
      <c r="Z3081">
        <v>-0.162789299999999</v>
      </c>
      <c r="AA3081">
        <v>0.97219160000000004</v>
      </c>
      <c r="AB3081">
        <v>22</v>
      </c>
      <c r="AC3081">
        <v>-0.45651249999999999</v>
      </c>
      <c r="AD3081">
        <v>0.49184489999999997</v>
      </c>
      <c r="AE3081">
        <v>-3.010345</v>
      </c>
      <c r="AF3081">
        <v>-0.49281482040214802</v>
      </c>
      <c r="AG3081">
        <v>0.49184489999999997</v>
      </c>
      <c r="AH3081">
        <v>2.9261221879358001</v>
      </c>
      <c r="AI3081">
        <v>80.588605325527595</v>
      </c>
      <c r="AJ3081">
        <v>99.559986832796497</v>
      </c>
      <c r="AK3081">
        <v>3.0078179651691301</v>
      </c>
      <c r="AL3081">
        <v>93.217128178772796</v>
      </c>
      <c r="AM3081">
        <v>98.129280240152696</v>
      </c>
      <c r="AN3081">
        <v>1.0000000091578201</v>
      </c>
    </row>
    <row r="3082" spans="1:40" x14ac:dyDescent="0.25">
      <c r="A3082" t="str">
        <f>"20190305134955781"</f>
        <v>20190305134955781</v>
      </c>
      <c r="B3082" t="str">
        <f>"1551764995773838"</f>
        <v>1551764995773838</v>
      </c>
      <c r="C3082" t="s">
        <v>40</v>
      </c>
      <c r="D3082">
        <v>3.9645160000000002</v>
      </c>
      <c r="E3082">
        <v>0.49485829999999997</v>
      </c>
      <c r="F3082" t="s">
        <v>47</v>
      </c>
      <c r="G3082">
        <v>0</v>
      </c>
      <c r="H3082">
        <v>0</v>
      </c>
      <c r="I3082">
        <v>0</v>
      </c>
      <c r="J3082">
        <v>-484.983</v>
      </c>
      <c r="K3082">
        <v>1.1103369999999999</v>
      </c>
      <c r="L3082">
        <v>272.09339999999997</v>
      </c>
      <c r="M3082">
        <v>-0.31165979999999999</v>
      </c>
      <c r="N3082">
        <v>-1.5845930000000001E-2</v>
      </c>
      <c r="O3082">
        <v>-0.95006179999999996</v>
      </c>
      <c r="P3082">
        <v>-0.1748729</v>
      </c>
      <c r="Q3082">
        <v>-7.0622589999999999E-2</v>
      </c>
      <c r="R3082">
        <v>-0.98205509999999996</v>
      </c>
      <c r="S3082">
        <v>-0.464447</v>
      </c>
      <c r="T3082">
        <v>0.49776629999999999</v>
      </c>
      <c r="U3082">
        <v>-3.008667</v>
      </c>
      <c r="V3082">
        <v>-0.13991400000000001</v>
      </c>
      <c r="W3082">
        <v>-5.5041630000000001E-2</v>
      </c>
      <c r="X3082">
        <v>0.98863259999999997</v>
      </c>
      <c r="Y3082">
        <v>-0.1654408</v>
      </c>
      <c r="Z3082">
        <v>-0.16446050000000001</v>
      </c>
      <c r="AA3082">
        <v>0.97241040000000001</v>
      </c>
      <c r="AB3082">
        <v>22</v>
      </c>
      <c r="AC3082">
        <v>-0.464447</v>
      </c>
      <c r="AD3082">
        <v>0.49776629999999999</v>
      </c>
      <c r="AE3082">
        <v>-3.008667</v>
      </c>
      <c r="AF3082">
        <v>-0.48356159150294997</v>
      </c>
      <c r="AG3082">
        <v>0.49776629999999999</v>
      </c>
      <c r="AH3082">
        <v>2.9253376830379798</v>
      </c>
      <c r="AI3082">
        <v>80.470122006688101</v>
      </c>
      <c r="AJ3082">
        <v>99.386179853400904</v>
      </c>
      <c r="AK3082">
        <v>3.00652684371761</v>
      </c>
      <c r="AL3082">
        <v>93.1552477624749</v>
      </c>
      <c r="AM3082">
        <v>98.055162175792901</v>
      </c>
      <c r="AN3082">
        <v>0.999999963105907</v>
      </c>
    </row>
    <row r="3083" spans="1:40" x14ac:dyDescent="0.25">
      <c r="A3083" t="str">
        <f>"20190305134955793"</f>
        <v>20190305134955793</v>
      </c>
      <c r="B3083" t="str">
        <f>"1551764995783599"</f>
        <v>1551764995783599</v>
      </c>
      <c r="C3083" t="s">
        <v>40</v>
      </c>
      <c r="D3083">
        <v>3.970097</v>
      </c>
      <c r="E3083">
        <v>0.49530429999999998</v>
      </c>
      <c r="F3083" t="s">
        <v>47</v>
      </c>
      <c r="G3083">
        <v>0</v>
      </c>
      <c r="H3083">
        <v>0</v>
      </c>
      <c r="I3083">
        <v>0</v>
      </c>
      <c r="J3083">
        <v>-485.01650000000001</v>
      </c>
      <c r="K3083">
        <v>1.109964</v>
      </c>
      <c r="L3083">
        <v>271.98880000000003</v>
      </c>
      <c r="M3083">
        <v>-0.31141980000000002</v>
      </c>
      <c r="N3083">
        <v>-1.5670779999999999E-2</v>
      </c>
      <c r="O3083">
        <v>-0.95014339999999997</v>
      </c>
      <c r="P3083">
        <v>-0.1760322</v>
      </c>
      <c r="Q3083">
        <v>-7.0073679999999999E-2</v>
      </c>
      <c r="R3083">
        <v>-0.98188730000000002</v>
      </c>
      <c r="S3083">
        <v>-0.4693909</v>
      </c>
      <c r="T3083">
        <v>0.50098679999999995</v>
      </c>
      <c r="U3083">
        <v>-3.0072939999999999</v>
      </c>
      <c r="V3083">
        <v>-0.1385605</v>
      </c>
      <c r="W3083">
        <v>-5.4532709999999998E-2</v>
      </c>
      <c r="X3083">
        <v>0.98885140000000005</v>
      </c>
      <c r="Y3083">
        <v>-0.16358310000000001</v>
      </c>
      <c r="Z3083">
        <v>-0.16531979999999999</v>
      </c>
      <c r="AA3083">
        <v>0.97257899999999997</v>
      </c>
      <c r="AB3083">
        <v>22</v>
      </c>
      <c r="AC3083">
        <v>-0.4693909</v>
      </c>
      <c r="AD3083">
        <v>0.50098679999999995</v>
      </c>
      <c r="AE3083">
        <v>-3.0072939999999999</v>
      </c>
      <c r="AF3083">
        <v>-0.47766140256546902</v>
      </c>
      <c r="AG3083">
        <v>0.50098679999999995</v>
      </c>
      <c r="AH3083">
        <v>2.9246702206164499</v>
      </c>
      <c r="AI3083">
        <v>80.404475995855904</v>
      </c>
      <c r="AJ3083">
        <v>99.2757354445434</v>
      </c>
      <c r="AK3083">
        <v>3.0054690297249298</v>
      </c>
      <c r="AL3083">
        <v>93.126044941796593</v>
      </c>
      <c r="AM3083">
        <v>97.976503732382994</v>
      </c>
      <c r="AN3083">
        <v>0.99999995995107605</v>
      </c>
    </row>
    <row r="3084" spans="1:40" x14ac:dyDescent="0.25">
      <c r="A3084" t="str">
        <f>"20190305134955805"</f>
        <v>20190305134955805</v>
      </c>
      <c r="B3084" t="str">
        <f>"1551764995793358"</f>
        <v>1551764995793358</v>
      </c>
      <c r="C3084" t="s">
        <v>40</v>
      </c>
      <c r="D3084">
        <v>3.9659610000000001</v>
      </c>
      <c r="E3084">
        <v>0.4953843</v>
      </c>
      <c r="F3084" t="s">
        <v>47</v>
      </c>
      <c r="G3084">
        <v>0</v>
      </c>
      <c r="H3084">
        <v>0</v>
      </c>
      <c r="I3084">
        <v>0</v>
      </c>
      <c r="J3084">
        <v>-485.05520000000001</v>
      </c>
      <c r="K3084">
        <v>1.1095790000000001</v>
      </c>
      <c r="L3084">
        <v>271.86930000000001</v>
      </c>
      <c r="M3084">
        <v>-0.31149710000000003</v>
      </c>
      <c r="N3084">
        <v>-1.5486059999999999E-2</v>
      </c>
      <c r="O3084">
        <v>-0.95012110000000005</v>
      </c>
      <c r="P3084">
        <v>-0.17744660000000001</v>
      </c>
      <c r="Q3084">
        <v>-7.0108439999999994E-2</v>
      </c>
      <c r="R3084">
        <v>-0.98163029999999996</v>
      </c>
      <c r="S3084">
        <v>-0.47518919999999998</v>
      </c>
      <c r="T3084">
        <v>0.50532929999999998</v>
      </c>
      <c r="U3084">
        <v>-3.0062259999999998</v>
      </c>
      <c r="V3084">
        <v>-0.1372688</v>
      </c>
      <c r="W3084">
        <v>-5.4615280000000002E-2</v>
      </c>
      <c r="X3084">
        <v>0.98902699999999999</v>
      </c>
      <c r="Y3084">
        <v>-0.1618078</v>
      </c>
      <c r="Z3084">
        <v>-0.16645199999999999</v>
      </c>
      <c r="AA3084">
        <v>0.97268290000000002</v>
      </c>
      <c r="AB3084">
        <v>22</v>
      </c>
      <c r="AC3084">
        <v>-0.47518919999999998</v>
      </c>
      <c r="AD3084">
        <v>0.50532929999999998</v>
      </c>
      <c r="AE3084">
        <v>-3.0062259999999998</v>
      </c>
      <c r="AF3084">
        <v>-0.47199016043785202</v>
      </c>
      <c r="AG3084">
        <v>0.50532929999999998</v>
      </c>
      <c r="AH3084">
        <v>2.9240515309831898</v>
      </c>
      <c r="AI3084">
        <v>80.317998257422204</v>
      </c>
      <c r="AJ3084">
        <v>99.169392970367696</v>
      </c>
      <c r="AK3084">
        <v>3.00469794968375</v>
      </c>
      <c r="AL3084">
        <v>93.130782854114898</v>
      </c>
      <c r="AM3084">
        <v>97.901702987358306</v>
      </c>
      <c r="AN3084">
        <v>0.99999997949595898</v>
      </c>
    </row>
    <row r="3085" spans="1:40" x14ac:dyDescent="0.25">
      <c r="A3085" t="str">
        <f>"20190305134955818"</f>
        <v>20190305134955818</v>
      </c>
      <c r="B3085" t="str">
        <f>"1551764995813854"</f>
        <v>1551764995813854</v>
      </c>
      <c r="C3085" t="s">
        <v>40</v>
      </c>
      <c r="D3085">
        <v>4.1682069999999998</v>
      </c>
      <c r="E3085">
        <v>0.49570829999999999</v>
      </c>
      <c r="F3085" t="s">
        <v>47</v>
      </c>
      <c r="G3085">
        <v>0</v>
      </c>
      <c r="H3085">
        <v>0</v>
      </c>
      <c r="I3085">
        <v>0</v>
      </c>
      <c r="J3085">
        <v>-485.09320000000002</v>
      </c>
      <c r="K3085">
        <v>1.109237</v>
      </c>
      <c r="L3085">
        <v>271.75319999999999</v>
      </c>
      <c r="M3085">
        <v>-0.31187120000000002</v>
      </c>
      <c r="N3085">
        <v>-1.531829E-2</v>
      </c>
      <c r="O3085">
        <v>-0.95000119999999999</v>
      </c>
      <c r="P3085">
        <v>-0.1798111</v>
      </c>
      <c r="Q3085">
        <v>-7.0540080000000005E-2</v>
      </c>
      <c r="R3085">
        <v>-0.9811687</v>
      </c>
      <c r="S3085">
        <v>-0.47979739999999999</v>
      </c>
      <c r="T3085">
        <v>0.50558950000000003</v>
      </c>
      <c r="U3085">
        <v>-3.005493</v>
      </c>
      <c r="V3085">
        <v>-0.13531379999999901</v>
      </c>
      <c r="W3085">
        <v>-5.509824E-2</v>
      </c>
      <c r="X3085">
        <v>0.98926959999999997</v>
      </c>
      <c r="Y3085">
        <v>-0.1606996</v>
      </c>
      <c r="Z3085">
        <v>-0.16636689999999901</v>
      </c>
      <c r="AA3085">
        <v>0.97288110000000005</v>
      </c>
      <c r="AB3085">
        <v>22</v>
      </c>
      <c r="AC3085">
        <v>-0.47979739999999999</v>
      </c>
      <c r="AD3085">
        <v>0.50558950000000003</v>
      </c>
      <c r="AE3085">
        <v>-3.005493</v>
      </c>
      <c r="AF3085">
        <v>-0.46864262765297698</v>
      </c>
      <c r="AG3085">
        <v>0.50558950000000003</v>
      </c>
      <c r="AH3085">
        <v>2.9245060264845799</v>
      </c>
      <c r="AI3085">
        <v>80.312841550189106</v>
      </c>
      <c r="AJ3085">
        <v>99.104062025300607</v>
      </c>
      <c r="AK3085">
        <v>3.0046600729380999</v>
      </c>
      <c r="AL3085">
        <v>93.158496117986104</v>
      </c>
      <c r="AM3085">
        <v>97.788670602131603</v>
      </c>
      <c r="AN3085">
        <v>0.99999999100284798</v>
      </c>
    </row>
    <row r="3086" spans="1:40" x14ac:dyDescent="0.25">
      <c r="A3086" t="str">
        <f>"20190305134955831"</f>
        <v>20190305134955831</v>
      </c>
      <c r="B3086" t="str">
        <f>"1551764995823614"</f>
        <v>1551764995823614</v>
      </c>
      <c r="C3086" t="s">
        <v>40</v>
      </c>
      <c r="D3086">
        <v>4.1531159999999998</v>
      </c>
      <c r="E3086">
        <v>0.49702210000000002</v>
      </c>
      <c r="F3086" t="s">
        <v>47</v>
      </c>
      <c r="G3086">
        <v>0</v>
      </c>
      <c r="H3086">
        <v>0</v>
      </c>
      <c r="I3086">
        <v>0</v>
      </c>
      <c r="J3086">
        <v>-485.1343</v>
      </c>
      <c r="K3086">
        <v>1.1088979999999999</v>
      </c>
      <c r="L3086">
        <v>271.62900000000002</v>
      </c>
      <c r="M3086">
        <v>-0.3124807</v>
      </c>
      <c r="N3086">
        <v>-1.51467999999999E-2</v>
      </c>
      <c r="O3086">
        <v>-0.94980330000000002</v>
      </c>
      <c r="P3086">
        <v>-0.18295610000000001</v>
      </c>
      <c r="Q3086">
        <v>-7.1218610000000002E-2</v>
      </c>
      <c r="R3086">
        <v>-0.98053800000000002</v>
      </c>
      <c r="S3086">
        <v>-0.49005130000000002</v>
      </c>
      <c r="T3086">
        <v>0.50566599999999995</v>
      </c>
      <c r="U3086">
        <v>-3.004181</v>
      </c>
      <c r="V3086">
        <v>-0.1328107</v>
      </c>
      <c r="W3086">
        <v>-5.5837020000000001E-2</v>
      </c>
      <c r="X3086">
        <v>0.98956730000000004</v>
      </c>
      <c r="Y3086">
        <v>-0.15802160000000001</v>
      </c>
      <c r="Z3086">
        <v>-0.1662295</v>
      </c>
      <c r="AA3086">
        <v>0.97334319999999996</v>
      </c>
      <c r="AB3086">
        <v>22</v>
      </c>
      <c r="AC3086">
        <v>-0.49005130000000002</v>
      </c>
      <c r="AD3086">
        <v>0.50566599999999995</v>
      </c>
      <c r="AE3086">
        <v>-3.004181</v>
      </c>
      <c r="AF3086">
        <v>-0.46063808809353002</v>
      </c>
      <c r="AG3086">
        <v>0.50566599999999995</v>
      </c>
      <c r="AH3086">
        <v>2.92610441314336</v>
      </c>
      <c r="AI3086">
        <v>80.312439833056104</v>
      </c>
      <c r="AJ3086">
        <v>98.946290938727302</v>
      </c>
      <c r="AK3086">
        <v>3.0049912792511599</v>
      </c>
      <c r="AL3086">
        <v>93.200890499549701</v>
      </c>
      <c r="AM3086">
        <v>97.644039254721207</v>
      </c>
      <c r="AN3086">
        <v>0.99999994803312797</v>
      </c>
    </row>
    <row r="3087" spans="1:40" x14ac:dyDescent="0.25">
      <c r="A3087" t="str">
        <f>"20190305134955848"</f>
        <v>20190305134955848</v>
      </c>
      <c r="B3087" t="str">
        <f>"1551764995843135"</f>
        <v>1551764995843135</v>
      </c>
      <c r="C3087" t="s">
        <v>40</v>
      </c>
      <c r="D3087">
        <v>3.9762430000000002</v>
      </c>
      <c r="E3087">
        <v>0.50114999999999998</v>
      </c>
      <c r="F3087" t="s">
        <v>43</v>
      </c>
      <c r="G3087">
        <v>-513.40740000000005</v>
      </c>
      <c r="H3087">
        <v>-0.05</v>
      </c>
      <c r="I3087">
        <v>111.0895</v>
      </c>
      <c r="J3087">
        <v>-485.18669999999997</v>
      </c>
      <c r="K3087">
        <v>1.1085430000000001</v>
      </c>
      <c r="L3087">
        <v>271.47250000000003</v>
      </c>
      <c r="M3087">
        <v>-0.3137414</v>
      </c>
      <c r="N3087">
        <v>-1.4951890000000001E-2</v>
      </c>
      <c r="O3087">
        <v>-0.94939079999999998</v>
      </c>
      <c r="P3087">
        <v>-0.18880910000000001</v>
      </c>
      <c r="Q3087">
        <v>-7.1562000000000001E-2</v>
      </c>
      <c r="R3087">
        <v>-0.97940309999999997</v>
      </c>
      <c r="S3087">
        <v>-0.52142330000000003</v>
      </c>
      <c r="T3087">
        <v>-2.1372800000000001E-2</v>
      </c>
      <c r="U3087">
        <v>-2.9607239999999999</v>
      </c>
      <c r="V3087">
        <v>-0.12826080000000001</v>
      </c>
      <c r="W3087">
        <v>-5.6262689999999997E-2</v>
      </c>
      <c r="X3087">
        <v>0.9901432</v>
      </c>
      <c r="Y3087">
        <v>-0.14431769999999999</v>
      </c>
      <c r="Z3087">
        <v>-7.9491869999999999E-3</v>
      </c>
      <c r="AA3087">
        <v>0.98949949999999998</v>
      </c>
      <c r="AB3087">
        <v>22</v>
      </c>
      <c r="AC3087">
        <v>-28.220700000000001</v>
      </c>
      <c r="AD3087">
        <v>-1.1585430000000001</v>
      </c>
      <c r="AE3087">
        <v>-160.38300000000001</v>
      </c>
      <c r="AF3087">
        <v>-23.527752021019602</v>
      </c>
      <c r="AG3087">
        <v>-1.1585430000000001</v>
      </c>
      <c r="AH3087">
        <v>161.12999485617499</v>
      </c>
      <c r="AI3087">
        <v>90.407633561007898</v>
      </c>
      <c r="AJ3087">
        <v>98.307460566681698</v>
      </c>
      <c r="AK3087">
        <v>162.842784855198</v>
      </c>
      <c r="AL3087">
        <v>93.225318022768306</v>
      </c>
      <c r="AM3087">
        <v>97.380858813864904</v>
      </c>
      <c r="AN3087">
        <v>0.99999993980445601</v>
      </c>
    </row>
    <row r="3088" spans="1:40" x14ac:dyDescent="0.25">
      <c r="A3088" t="str">
        <f>"20190305134955858"</f>
        <v>20190305134955858</v>
      </c>
      <c r="B3088" t="str">
        <f>"1551764995853871"</f>
        <v>1551764995853871</v>
      </c>
      <c r="C3088" t="s">
        <v>40</v>
      </c>
      <c r="D3088">
        <v>3.9636070000000001</v>
      </c>
      <c r="E3088">
        <v>0.49965850000000001</v>
      </c>
      <c r="F3088" t="s">
        <v>47</v>
      </c>
      <c r="G3088">
        <v>0</v>
      </c>
      <c r="H3088">
        <v>0</v>
      </c>
      <c r="I3088">
        <v>0</v>
      </c>
      <c r="J3088">
        <v>-485.22129999999999</v>
      </c>
      <c r="K3088">
        <v>1.1083480000000001</v>
      </c>
      <c r="L3088">
        <v>271.37079999999997</v>
      </c>
      <c r="M3088">
        <v>-0.31482149999999998</v>
      </c>
      <c r="N3088">
        <v>-1.4839720000000001E-2</v>
      </c>
      <c r="O3088">
        <v>-0.94903490000000001</v>
      </c>
      <c r="P3088">
        <v>-0.19121050000000001</v>
      </c>
      <c r="Q3088">
        <v>-7.0556949999999993E-2</v>
      </c>
      <c r="R3088">
        <v>-0.97900989999999999</v>
      </c>
      <c r="S3088">
        <v>-0.5632935</v>
      </c>
      <c r="T3088">
        <v>0.45568750000000002</v>
      </c>
      <c r="U3088">
        <v>-2.9877929999999999</v>
      </c>
      <c r="V3088">
        <v>-0.12700729999999999</v>
      </c>
      <c r="W3088">
        <v>-5.5306439999999998E-2</v>
      </c>
      <c r="X3088">
        <v>0.99035870000000004</v>
      </c>
      <c r="Y3088">
        <v>-0.13594300000000001</v>
      </c>
      <c r="Z3088">
        <v>-0.1517907</v>
      </c>
      <c r="AA3088">
        <v>0.97901950000000004</v>
      </c>
      <c r="AB3088">
        <v>22</v>
      </c>
      <c r="AC3088">
        <v>-0.5632935</v>
      </c>
      <c r="AD3088">
        <v>0.45568750000000002</v>
      </c>
      <c r="AE3088">
        <v>-2.9877929999999999</v>
      </c>
      <c r="AF3088">
        <v>-0.39715965941989401</v>
      </c>
      <c r="AG3088">
        <v>0.45568750000000002</v>
      </c>
      <c r="AH3088">
        <v>2.9469907089412501</v>
      </c>
      <c r="AI3088">
        <v>81.287616116476698</v>
      </c>
      <c r="AJ3088">
        <v>97.675385328548799</v>
      </c>
      <c r="AK3088">
        <v>3.0083452480247099</v>
      </c>
      <c r="AL3088">
        <v>93.170443270272898</v>
      </c>
      <c r="AM3088">
        <v>97.307935834546697</v>
      </c>
      <c r="AN3088">
        <v>1.00000000561222</v>
      </c>
    </row>
    <row r="3089" spans="1:40" x14ac:dyDescent="0.25">
      <c r="A3089" t="str">
        <f>"20190305134955871"</f>
        <v>20190305134955871</v>
      </c>
      <c r="B3089" t="str">
        <f>"1551764995863630"</f>
        <v>1551764995863630</v>
      </c>
      <c r="C3089" t="s">
        <v>40</v>
      </c>
      <c r="D3089">
        <v>3.9345240000000001</v>
      </c>
      <c r="E3089">
        <v>0.49915920000000003</v>
      </c>
      <c r="F3089" t="s">
        <v>47</v>
      </c>
      <c r="G3089">
        <v>0</v>
      </c>
      <c r="H3089">
        <v>0</v>
      </c>
      <c r="I3089">
        <v>0</v>
      </c>
      <c r="J3089">
        <v>-485.2604</v>
      </c>
      <c r="K3089">
        <v>1.1081379999999901</v>
      </c>
      <c r="L3089">
        <v>271.25650000000002</v>
      </c>
      <c r="M3089">
        <v>-0.31612499999999999</v>
      </c>
      <c r="N3089">
        <v>-1.471811E-2</v>
      </c>
      <c r="O3089">
        <v>-0.94860330000000004</v>
      </c>
      <c r="P3089">
        <v>-0.19294649999999999</v>
      </c>
      <c r="Q3089">
        <v>-6.9305210000000006E-2</v>
      </c>
      <c r="R3089">
        <v>-0.97875880000000004</v>
      </c>
      <c r="S3089">
        <v>-0.55780030000000003</v>
      </c>
      <c r="T3089">
        <v>0.47601320000000003</v>
      </c>
      <c r="U3089">
        <v>-2.989655</v>
      </c>
      <c r="V3089">
        <v>-0.12666379999999999</v>
      </c>
      <c r="W3089">
        <v>-5.4106319999999999E-2</v>
      </c>
      <c r="X3089">
        <v>0.99046900000000004</v>
      </c>
      <c r="Y3089">
        <v>-0.13933129999999999</v>
      </c>
      <c r="Z3089">
        <v>-0.15745819999999999</v>
      </c>
      <c r="AA3089">
        <v>0.97764700000000004</v>
      </c>
      <c r="AB3089">
        <v>22</v>
      </c>
      <c r="AC3089">
        <v>-0.55780030000000003</v>
      </c>
      <c r="AD3089">
        <v>0.47601320000000003</v>
      </c>
      <c r="AE3089">
        <v>-2.989655</v>
      </c>
      <c r="AF3089">
        <v>-0.40607055971661699</v>
      </c>
      <c r="AG3089">
        <v>0.47601320000000003</v>
      </c>
      <c r="AH3089">
        <v>2.9406177996231699</v>
      </c>
      <c r="AI3089">
        <v>80.889971654516103</v>
      </c>
      <c r="AJ3089">
        <v>97.862263502571096</v>
      </c>
      <c r="AK3089">
        <v>3.0064455607084302</v>
      </c>
      <c r="AL3089">
        <v>93.101578265890893</v>
      </c>
      <c r="AM3089">
        <v>97.287580909400802</v>
      </c>
      <c r="AN3089">
        <v>1.00000002602769</v>
      </c>
    </row>
    <row r="3090" spans="1:40" x14ac:dyDescent="0.25">
      <c r="A3090" t="str">
        <f>"20190305134955881"</f>
        <v>20190305134955881</v>
      </c>
      <c r="B3090" t="str">
        <f>"1551764995873392"</f>
        <v>1551764995873392</v>
      </c>
      <c r="C3090" t="s">
        <v>40</v>
      </c>
      <c r="D3090">
        <v>4.2122080000000004</v>
      </c>
      <c r="E3090">
        <v>0.49915920000000003</v>
      </c>
      <c r="F3090" t="s">
        <v>47</v>
      </c>
      <c r="G3090">
        <v>0</v>
      </c>
      <c r="H3090">
        <v>0</v>
      </c>
      <c r="I3090">
        <v>0</v>
      </c>
      <c r="J3090">
        <v>-485.29430000000002</v>
      </c>
      <c r="K3090">
        <v>1.1079760000000001</v>
      </c>
      <c r="L3090">
        <v>271.1585</v>
      </c>
      <c r="M3090">
        <v>-0.31746819999999998</v>
      </c>
      <c r="N3090">
        <v>-1.462692E-2</v>
      </c>
      <c r="O3090">
        <v>-0.9481562</v>
      </c>
      <c r="P3090">
        <v>-0.19408700000000001</v>
      </c>
      <c r="Q3090">
        <v>-6.7513320000000002E-2</v>
      </c>
      <c r="R3090">
        <v>-0.97865829999999998</v>
      </c>
      <c r="S3090">
        <v>-0.55889889999999998</v>
      </c>
      <c r="T3090">
        <v>0.48516379999999998</v>
      </c>
      <c r="U3090">
        <v>-2.9892880000000002</v>
      </c>
      <c r="V3090">
        <v>-0.12696479999999999</v>
      </c>
      <c r="W3090">
        <v>-5.234929E-2</v>
      </c>
      <c r="X3090">
        <v>0.99052479999999998</v>
      </c>
      <c r="Y3090">
        <v>-0.14044589999999901</v>
      </c>
      <c r="Z3090">
        <v>-0.15994659999999999</v>
      </c>
      <c r="AA3090">
        <v>0.97708340000000005</v>
      </c>
      <c r="AB3090">
        <v>22</v>
      </c>
      <c r="AC3090">
        <v>-0.55889889999999998</v>
      </c>
      <c r="AD3090">
        <v>0.48516379999999998</v>
      </c>
      <c r="AE3090">
        <v>-2.9892880000000002</v>
      </c>
      <c r="AF3090">
        <v>-0.40872248606863898</v>
      </c>
      <c r="AG3090">
        <v>0.48516379999999998</v>
      </c>
      <c r="AH3090">
        <v>2.9373066903577398</v>
      </c>
      <c r="AI3090">
        <v>80.708899303977901</v>
      </c>
      <c r="AJ3090">
        <v>97.921768050007898</v>
      </c>
      <c r="AK3090">
        <v>3.0050305450475698</v>
      </c>
      <c r="AL3090">
        <v>93.000765184870701</v>
      </c>
      <c r="AM3090">
        <v>97.304305006137795</v>
      </c>
      <c r="AN3090">
        <v>0.99999994400879</v>
      </c>
    </row>
    <row r="3091" spans="1:40" x14ac:dyDescent="0.25">
      <c r="A3091" t="str">
        <f>"20190305134955892"</f>
        <v>20190305134955892</v>
      </c>
      <c r="B3091" t="str">
        <f>"1551764995883150"</f>
        <v>1551764995883150</v>
      </c>
      <c r="C3091" t="s">
        <v>40</v>
      </c>
      <c r="D3091">
        <v>4.1887259999999999</v>
      </c>
      <c r="E3091">
        <v>0.49165429999999999</v>
      </c>
      <c r="F3091" t="s">
        <v>47</v>
      </c>
      <c r="G3091">
        <v>0</v>
      </c>
      <c r="H3091">
        <v>0</v>
      </c>
      <c r="I3091">
        <v>0</v>
      </c>
      <c r="J3091">
        <v>-485.32870000000003</v>
      </c>
      <c r="K3091">
        <v>1.1078129999999999</v>
      </c>
      <c r="L3091">
        <v>271.05990000000003</v>
      </c>
      <c r="M3091">
        <v>-0.31887189999999999</v>
      </c>
      <c r="N3091">
        <v>-1.4537799999999899E-2</v>
      </c>
      <c r="O3091">
        <v>-0.94768660000000005</v>
      </c>
      <c r="P3091">
        <v>-0.19498679999999999</v>
      </c>
      <c r="Q3091">
        <v>-6.5844390000000003E-2</v>
      </c>
      <c r="R3091">
        <v>-0.97859350000000001</v>
      </c>
      <c r="S3091">
        <v>-0.56112669999999998</v>
      </c>
      <c r="T3091">
        <v>0.49060890000000001</v>
      </c>
      <c r="U3091">
        <v>-2.9879760000000002</v>
      </c>
      <c r="V3091">
        <v>-0.1275683</v>
      </c>
      <c r="W3091">
        <v>-5.0713269999999998E-2</v>
      </c>
      <c r="X3091">
        <v>0.99053250000000004</v>
      </c>
      <c r="Y3091">
        <v>-0.14117869999999999</v>
      </c>
      <c r="Z3091">
        <v>-0.16138449999999999</v>
      </c>
      <c r="AA3091">
        <v>0.97674130000000003</v>
      </c>
      <c r="AB3091">
        <v>22</v>
      </c>
      <c r="AC3091">
        <v>-0.56112669999999998</v>
      </c>
      <c r="AD3091">
        <v>0.49060890000000001</v>
      </c>
      <c r="AE3091">
        <v>-2.9879760000000002</v>
      </c>
      <c r="AF3091">
        <v>-0.41036718027200197</v>
      </c>
      <c r="AG3091">
        <v>0.49060890000000001</v>
      </c>
      <c r="AH3091">
        <v>2.9344914888413598</v>
      </c>
      <c r="AI3091">
        <v>80.598497758768701</v>
      </c>
      <c r="AJ3091">
        <v>97.960770203739301</v>
      </c>
      <c r="AK3091">
        <v>3.0033878559863001</v>
      </c>
      <c r="AL3091">
        <v>92.906903054069105</v>
      </c>
      <c r="AM3091">
        <v>97.338590430195396</v>
      </c>
      <c r="AN3091">
        <v>1.00000007023761</v>
      </c>
    </row>
    <row r="3092" spans="1:40" x14ac:dyDescent="0.25">
      <c r="A3092" t="str">
        <f>"20190305134955902"</f>
        <v>20190305134955902</v>
      </c>
      <c r="B3092" t="str">
        <f>"1551764995893886"</f>
        <v>1551764995893886</v>
      </c>
      <c r="C3092" t="s">
        <v>40</v>
      </c>
      <c r="D3092">
        <v>3.932334</v>
      </c>
      <c r="E3092">
        <v>0.49165429999999999</v>
      </c>
      <c r="F3092" t="s">
        <v>42</v>
      </c>
      <c r="G3092">
        <v>-489.67500000000001</v>
      </c>
      <c r="H3092" s="1">
        <v>-2.9134599999999999E-6</v>
      </c>
      <c r="I3092">
        <v>246.28970000000001</v>
      </c>
      <c r="J3092">
        <v>-485.36450000000002</v>
      </c>
      <c r="K3092">
        <v>1.1076649999999999</v>
      </c>
      <c r="L3092">
        <v>270.95859999999999</v>
      </c>
      <c r="M3092">
        <v>-0.32047639999999999</v>
      </c>
      <c r="N3092">
        <v>-1.4455849999999999E-2</v>
      </c>
      <c r="O3092">
        <v>-0.9471463</v>
      </c>
      <c r="P3092">
        <v>-0.19624900000000001</v>
      </c>
      <c r="Q3092">
        <v>-6.5049560000000006E-2</v>
      </c>
      <c r="R3092">
        <v>-0.97839419999999999</v>
      </c>
      <c r="S3092">
        <v>-0.51821899999999999</v>
      </c>
      <c r="T3092">
        <v>-0.1320897</v>
      </c>
      <c r="U3092">
        <v>-2.9534609999999999</v>
      </c>
      <c r="V3092">
        <v>-0.12799929999999901</v>
      </c>
      <c r="W3092">
        <v>-4.9949220000000003E-2</v>
      </c>
      <c r="X3092">
        <v>0.99051560000000005</v>
      </c>
      <c r="Y3092">
        <v>-0.15198010000000001</v>
      </c>
      <c r="Z3092">
        <v>2.6571069999999999E-2</v>
      </c>
      <c r="AA3092">
        <v>0.98802630000000002</v>
      </c>
      <c r="AB3092">
        <v>22</v>
      </c>
      <c r="AC3092">
        <v>-4.3104999999999896</v>
      </c>
      <c r="AD3092">
        <v>-1.1076679134599901</v>
      </c>
      <c r="AE3092">
        <v>-24.668899999999901</v>
      </c>
      <c r="AF3092">
        <v>-3.8160595185233301</v>
      </c>
      <c r="AG3092">
        <v>-1.1076679134599901</v>
      </c>
      <c r="AH3092">
        <v>24.700729810144601</v>
      </c>
      <c r="AI3092">
        <v>92.537560550413701</v>
      </c>
      <c r="AJ3092">
        <v>98.782294660544693</v>
      </c>
      <c r="AK3092">
        <v>25.018299135016999</v>
      </c>
      <c r="AL3092">
        <v>92.863071007325303</v>
      </c>
      <c r="AM3092">
        <v>97.363237080003501</v>
      </c>
      <c r="AN3092">
        <v>0.99999994961122796</v>
      </c>
    </row>
    <row r="3093" spans="1:40" x14ac:dyDescent="0.25">
      <c r="A3093" t="str">
        <f>"20190305134955914"</f>
        <v>20190305134955914</v>
      </c>
      <c r="B3093" t="str">
        <f>"1551764995903646"</f>
        <v>1551764995903646</v>
      </c>
      <c r="C3093" t="s">
        <v>40</v>
      </c>
      <c r="D3093">
        <v>3.9092479999999998</v>
      </c>
      <c r="E3093">
        <v>0.4993359</v>
      </c>
      <c r="F3093" t="s">
        <v>42</v>
      </c>
      <c r="G3093">
        <v>-489.82690000000002</v>
      </c>
      <c r="H3093" s="1">
        <v>-2.6460320000000002E-6</v>
      </c>
      <c r="I3093">
        <v>245.72919999999999</v>
      </c>
      <c r="J3093">
        <v>-485.40120000000002</v>
      </c>
      <c r="K3093">
        <v>1.1075170000000001</v>
      </c>
      <c r="L3093">
        <v>270.85550000000001</v>
      </c>
      <c r="M3093">
        <v>-0.32218200000000002</v>
      </c>
      <c r="N3093">
        <v>-1.4376999999999999E-2</v>
      </c>
      <c r="O3093">
        <v>-0.94656850000000003</v>
      </c>
      <c r="P3093">
        <v>-0.1978192</v>
      </c>
      <c r="Q3093">
        <v>-6.450264E-2</v>
      </c>
      <c r="R3093">
        <v>-0.97811409999999999</v>
      </c>
      <c r="S3093">
        <v>-0.52227780000000001</v>
      </c>
      <c r="T3093">
        <v>-0.12964129999999999</v>
      </c>
      <c r="U3093">
        <v>-2.9528500000000002</v>
      </c>
      <c r="V3093">
        <v>-0.12821939999999901</v>
      </c>
      <c r="W3093">
        <v>-4.9433289999999998E-2</v>
      </c>
      <c r="X3093">
        <v>0.99051310000000004</v>
      </c>
      <c r="Y3093">
        <v>-0.15240609999999999</v>
      </c>
      <c r="Z3093">
        <v>2.5866320000000002E-2</v>
      </c>
      <c r="AA3093">
        <v>0.98797939999999995</v>
      </c>
      <c r="AB3093">
        <v>22</v>
      </c>
      <c r="AC3093">
        <v>-4.4257</v>
      </c>
      <c r="AD3093">
        <v>-1.107519646032</v>
      </c>
      <c r="AE3093">
        <v>-25.126300000000001</v>
      </c>
      <c r="AF3093">
        <v>-3.8990699172422101</v>
      </c>
      <c r="AG3093">
        <v>-1.107519646032</v>
      </c>
      <c r="AH3093">
        <v>25.164831478038799</v>
      </c>
      <c r="AI3093">
        <v>92.490319250642401</v>
      </c>
      <c r="AJ3093">
        <v>98.807444629578697</v>
      </c>
      <c r="AK3093">
        <v>25.489175924379801</v>
      </c>
      <c r="AL3093">
        <v>92.833473593981594</v>
      </c>
      <c r="AM3093">
        <v>97.375777576152899</v>
      </c>
      <c r="AN3093">
        <v>1.0000000329840899</v>
      </c>
    </row>
    <row r="3094" spans="1:40" x14ac:dyDescent="0.25">
      <c r="A3094" t="str">
        <f>"20190305134955925"</f>
        <v>20190305134955925</v>
      </c>
      <c r="B3094" t="str">
        <f>"1551764995913406"</f>
        <v>1551764995913406</v>
      </c>
      <c r="C3094" t="s">
        <v>40</v>
      </c>
      <c r="D3094">
        <v>3.8881920000000001</v>
      </c>
      <c r="E3094">
        <v>0.49953209999999998</v>
      </c>
      <c r="F3094" t="s">
        <v>47</v>
      </c>
      <c r="G3094">
        <v>0</v>
      </c>
      <c r="H3094">
        <v>0</v>
      </c>
      <c r="I3094">
        <v>0</v>
      </c>
      <c r="J3094">
        <v>-485.43740000000003</v>
      </c>
      <c r="K3094">
        <v>1.1073809999999999</v>
      </c>
      <c r="L3094">
        <v>270.75490000000002</v>
      </c>
      <c r="M3094">
        <v>-0.3239513</v>
      </c>
      <c r="N3094">
        <v>-1.43064E-2</v>
      </c>
      <c r="O3094">
        <v>-0.94596570000000002</v>
      </c>
      <c r="P3094">
        <v>-0.19918259999999999</v>
      </c>
      <c r="Q3094">
        <v>-6.4406630000000006E-2</v>
      </c>
      <c r="R3094">
        <v>-0.97784360000000003</v>
      </c>
      <c r="S3094">
        <v>-0.57440190000000002</v>
      </c>
      <c r="T3094">
        <v>0.5244181</v>
      </c>
      <c r="U3094">
        <v>-2.9855040000000002</v>
      </c>
      <c r="V3094">
        <v>-0.12870719999999999</v>
      </c>
      <c r="W3094">
        <v>-4.9364400000000003E-2</v>
      </c>
      <c r="X3094">
        <v>0.99045320000000003</v>
      </c>
      <c r="Y3094">
        <v>-0.142474499999999</v>
      </c>
      <c r="Z3094">
        <v>-0.17062189999999999</v>
      </c>
      <c r="AA3094">
        <v>0.97498169999999995</v>
      </c>
      <c r="AB3094">
        <v>22</v>
      </c>
      <c r="AC3094">
        <v>-0.57440190000000002</v>
      </c>
      <c r="AD3094">
        <v>0.5244181</v>
      </c>
      <c r="AE3094">
        <v>-2.9855040000000002</v>
      </c>
      <c r="AF3094">
        <v>-0.411590580364665</v>
      </c>
      <c r="AG3094">
        <v>0.5244181</v>
      </c>
      <c r="AH3094">
        <v>2.92358427741092</v>
      </c>
      <c r="AI3094">
        <v>79.927972974160596</v>
      </c>
      <c r="AJ3094">
        <v>98.0135984494231</v>
      </c>
      <c r="AK3094">
        <v>2.99862738208282</v>
      </c>
      <c r="AL3094">
        <v>92.829521857420204</v>
      </c>
      <c r="AM3094">
        <v>97.403970158419597</v>
      </c>
      <c r="AN3094">
        <v>0.99999996435471905</v>
      </c>
    </row>
    <row r="3095" spans="1:40" x14ac:dyDescent="0.25">
      <c r="A3095" t="str">
        <f>"20190305134955936"</f>
        <v>20190305134955936</v>
      </c>
      <c r="B3095" t="str">
        <f>"1551764995923166"</f>
        <v>1551764995923166</v>
      </c>
      <c r="C3095" t="s">
        <v>40</v>
      </c>
      <c r="D3095">
        <v>3.9707710000000001</v>
      </c>
      <c r="E3095">
        <v>0.50040770000000001</v>
      </c>
      <c r="F3095" t="s">
        <v>47</v>
      </c>
      <c r="G3095">
        <v>0</v>
      </c>
      <c r="H3095">
        <v>0</v>
      </c>
      <c r="I3095">
        <v>0</v>
      </c>
      <c r="J3095">
        <v>-485.47500000000002</v>
      </c>
      <c r="K3095">
        <v>1.107245</v>
      </c>
      <c r="L3095">
        <v>270.65159999999997</v>
      </c>
      <c r="M3095">
        <v>-0.32586229999999999</v>
      </c>
      <c r="N3095">
        <v>-1.4239470000000001E-2</v>
      </c>
      <c r="O3095">
        <v>-0.94531010000000004</v>
      </c>
      <c r="P3095">
        <v>-0.20048079999999999</v>
      </c>
      <c r="Q3095">
        <v>-6.5007679999999998E-2</v>
      </c>
      <c r="R3095">
        <v>-0.97753880000000004</v>
      </c>
      <c r="S3095">
        <v>-0.58032229999999996</v>
      </c>
      <c r="T3095">
        <v>0.52871539999999995</v>
      </c>
      <c r="U3095">
        <v>-2.9845280000000001</v>
      </c>
      <c r="V3095">
        <v>-0.12939829999999999</v>
      </c>
      <c r="W3095">
        <v>-4.999195E-2</v>
      </c>
      <c r="X3095">
        <v>0.99033170000000004</v>
      </c>
      <c r="Y3095">
        <v>-0.1425902</v>
      </c>
      <c r="Z3095">
        <v>-0.1716519</v>
      </c>
      <c r="AA3095">
        <v>0.97478390000000004</v>
      </c>
      <c r="AB3095">
        <v>22</v>
      </c>
      <c r="AC3095">
        <v>-0.58032229999999996</v>
      </c>
      <c r="AD3095">
        <v>0.52871539999999995</v>
      </c>
      <c r="AE3095">
        <v>-2.9845280000000001</v>
      </c>
      <c r="AF3095">
        <v>-0.41155823590172302</v>
      </c>
      <c r="AG3095">
        <v>0.52871539999999995</v>
      </c>
      <c r="AH3095">
        <v>2.9223441851449601</v>
      </c>
      <c r="AI3095">
        <v>79.842996923655306</v>
      </c>
      <c r="AJ3095">
        <v>98.016332990542097</v>
      </c>
      <c r="AK3095">
        <v>2.9981687231018599</v>
      </c>
      <c r="AL3095">
        <v>92.865522186760302</v>
      </c>
      <c r="AM3095">
        <v>97.444184487686698</v>
      </c>
      <c r="AN3095">
        <v>0.99999999556629104</v>
      </c>
    </row>
    <row r="3096" spans="1:40" x14ac:dyDescent="0.25">
      <c r="A3096" t="str">
        <f>"20190305134955947"</f>
        <v>20190305134955947</v>
      </c>
      <c r="B3096" t="str">
        <f>"1551764995943663"</f>
        <v>1551764995943663</v>
      </c>
      <c r="C3096" t="s">
        <v>40</v>
      </c>
      <c r="D3096">
        <v>3.9931739999999998</v>
      </c>
      <c r="E3096">
        <v>0.52813859999999901</v>
      </c>
      <c r="F3096" t="s">
        <v>47</v>
      </c>
      <c r="G3096">
        <v>0</v>
      </c>
      <c r="H3096">
        <v>0</v>
      </c>
      <c r="I3096">
        <v>0</v>
      </c>
      <c r="J3096">
        <v>-485.51490000000001</v>
      </c>
      <c r="K3096">
        <v>1.1071230000000001</v>
      </c>
      <c r="L3096">
        <v>270.54270000000002</v>
      </c>
      <c r="M3096">
        <v>-0.32794220000000002</v>
      </c>
      <c r="N3096">
        <v>-1.417292E-2</v>
      </c>
      <c r="O3096">
        <v>-0.94459170000000003</v>
      </c>
      <c r="P3096">
        <v>-0.2014764</v>
      </c>
      <c r="Q3096">
        <v>-6.597198E-2</v>
      </c>
      <c r="R3096">
        <v>-0.97726959999999996</v>
      </c>
      <c r="S3096">
        <v>-0.5910339</v>
      </c>
      <c r="T3096">
        <v>0.52705930000000001</v>
      </c>
      <c r="U3096">
        <v>-2.982758</v>
      </c>
      <c r="V3096">
        <v>-0.13056799999999999</v>
      </c>
      <c r="W3096">
        <v>-5.0981360000000003E-2</v>
      </c>
      <c r="X3096">
        <v>0.99012770000000005</v>
      </c>
      <c r="Y3096">
        <v>-0.1412658</v>
      </c>
      <c r="Z3096">
        <v>-0.17097209999999999</v>
      </c>
      <c r="AA3096">
        <v>0.97509619999999997</v>
      </c>
      <c r="AB3096">
        <v>22</v>
      </c>
      <c r="AC3096">
        <v>-0.5910339</v>
      </c>
      <c r="AD3096">
        <v>0.52705930000000001</v>
      </c>
      <c r="AE3096">
        <v>-2.982758</v>
      </c>
      <c r="AF3096">
        <v>-0.40768025852928702</v>
      </c>
      <c r="AG3096">
        <v>0.52705930000000001</v>
      </c>
      <c r="AH3096">
        <v>2.9237734865404601</v>
      </c>
      <c r="AI3096">
        <v>79.877099426828195</v>
      </c>
      <c r="AJ3096">
        <v>97.937933130906003</v>
      </c>
      <c r="AK3096">
        <v>2.9987407523005301</v>
      </c>
      <c r="AL3096">
        <v>92.922283632032205</v>
      </c>
      <c r="AM3096">
        <v>97.512241358156103</v>
      </c>
      <c r="AN3096">
        <v>0.99999998199936901</v>
      </c>
    </row>
    <row r="3097" spans="1:40" x14ac:dyDescent="0.25">
      <c r="A3097" t="str">
        <f>"20190305134955959"</f>
        <v>20190305134955959</v>
      </c>
      <c r="B3097" t="str">
        <f>"1551764995953422"</f>
        <v>1551764995953422</v>
      </c>
      <c r="C3097" t="s">
        <v>40</v>
      </c>
      <c r="D3097">
        <v>3.9803920000000002</v>
      </c>
      <c r="E3097">
        <v>0.53256309999999996</v>
      </c>
      <c r="F3097" t="s">
        <v>81</v>
      </c>
      <c r="G3097">
        <v>-511.93040000000002</v>
      </c>
      <c r="H3097">
        <v>15.64959</v>
      </c>
      <c r="I3097">
        <v>175.04859999999999</v>
      </c>
      <c r="J3097">
        <v>-485.5539</v>
      </c>
      <c r="K3097">
        <v>1.1070279999999999</v>
      </c>
      <c r="L3097">
        <v>270.43790000000001</v>
      </c>
      <c r="M3097">
        <v>-0.33006059999999998</v>
      </c>
      <c r="N3097">
        <v>-1.4116170000000001E-2</v>
      </c>
      <c r="O3097">
        <v>-0.94385430000000003</v>
      </c>
      <c r="P3097">
        <v>-0.2024466</v>
      </c>
      <c r="Q3097">
        <v>-6.74347E-2</v>
      </c>
      <c r="R3097">
        <v>-0.97696890000000003</v>
      </c>
      <c r="S3097">
        <v>-0.81124879999999999</v>
      </c>
      <c r="T3097">
        <v>0.4466137</v>
      </c>
      <c r="U3097">
        <v>-2.932709</v>
      </c>
      <c r="V3097">
        <v>-0.13179379999999999</v>
      </c>
      <c r="W3097">
        <v>-5.2468620000000001E-2</v>
      </c>
      <c r="X3097">
        <v>0.98988759999999998</v>
      </c>
      <c r="Y3097">
        <v>-6.9686639999999994E-2</v>
      </c>
      <c r="Z3097">
        <v>-0.14881529999999901</v>
      </c>
      <c r="AA3097">
        <v>0.98640649999999996</v>
      </c>
      <c r="AB3097">
        <v>22</v>
      </c>
      <c r="AC3097">
        <v>-26.3765</v>
      </c>
      <c r="AD3097">
        <v>14.542562</v>
      </c>
      <c r="AE3097">
        <v>-95.389300000000006</v>
      </c>
      <c r="AF3097">
        <v>-6.4500653673071904</v>
      </c>
      <c r="AG3097">
        <v>14.542562</v>
      </c>
      <c r="AH3097">
        <v>96.662183430677999</v>
      </c>
      <c r="AI3097">
        <v>81.462877515084202</v>
      </c>
      <c r="AJ3097">
        <v>93.817568213771807</v>
      </c>
      <c r="AK3097">
        <v>97.962580398601204</v>
      </c>
      <c r="AL3097">
        <v>93.007611497423298</v>
      </c>
      <c r="AM3097">
        <v>97.583768777347004</v>
      </c>
      <c r="AN3097">
        <v>1.0000000112184499</v>
      </c>
    </row>
    <row r="3098" spans="1:40" x14ac:dyDescent="0.25">
      <c r="A3098" t="str">
        <f>"20190305134955970"</f>
        <v>20190305134955970</v>
      </c>
      <c r="B3098" t="str">
        <f>"1551764995963182"</f>
        <v>1551764995963182</v>
      </c>
      <c r="C3098" t="s">
        <v>40</v>
      </c>
      <c r="D3098">
        <v>4.1926439999999996</v>
      </c>
      <c r="E3098">
        <v>0.53256309999999996</v>
      </c>
      <c r="F3098" t="s">
        <v>81</v>
      </c>
      <c r="G3098">
        <v>-511.0634</v>
      </c>
      <c r="H3098">
        <v>14.342529999999901</v>
      </c>
      <c r="I3098">
        <v>182.51159999999999</v>
      </c>
      <c r="J3098">
        <v>-485.59320000000002</v>
      </c>
      <c r="K3098">
        <v>1.1069329999999999</v>
      </c>
      <c r="L3098">
        <v>270.33249999999998</v>
      </c>
      <c r="M3098">
        <v>-0.33221800000000001</v>
      </c>
      <c r="N3098">
        <v>-1.406078E-2</v>
      </c>
      <c r="O3098">
        <v>-0.94309790000000004</v>
      </c>
      <c r="P3098">
        <v>-0.2031461</v>
      </c>
      <c r="Q3098">
        <v>-6.9512350000000001E-2</v>
      </c>
      <c r="R3098">
        <v>-0.97667800000000005</v>
      </c>
      <c r="S3098">
        <v>-0.84869380000000005</v>
      </c>
      <c r="T3098">
        <v>0.44034020000000001</v>
      </c>
      <c r="U3098">
        <v>-2.925262</v>
      </c>
      <c r="V3098">
        <v>-0.133324</v>
      </c>
      <c r="W3098">
        <v>-5.4570189999999998E-2</v>
      </c>
      <c r="X3098">
        <v>0.98956900000000003</v>
      </c>
      <c r="Y3098">
        <v>-5.9540280000000001E-2</v>
      </c>
      <c r="Z3098">
        <v>-0.14686270000000001</v>
      </c>
      <c r="AA3098">
        <v>0.98736330000000005</v>
      </c>
      <c r="AB3098">
        <v>22</v>
      </c>
      <c r="AC3098">
        <v>-25.470199999999899</v>
      </c>
      <c r="AD3098">
        <v>13.235597</v>
      </c>
      <c r="AE3098">
        <v>-87.820899999999995</v>
      </c>
      <c r="AF3098">
        <v>-5.0495058584243404</v>
      </c>
      <c r="AG3098">
        <v>13.235597</v>
      </c>
      <c r="AH3098">
        <v>89.420876802407307</v>
      </c>
      <c r="AI3098">
        <v>81.593717749792205</v>
      </c>
      <c r="AJ3098">
        <v>93.232001898572804</v>
      </c>
      <c r="AK3098">
        <v>90.536024572939894</v>
      </c>
      <c r="AL3098">
        <v>93.128195464107804</v>
      </c>
      <c r="AM3098">
        <v>97.673218353338797</v>
      </c>
      <c r="AN3098">
        <v>1.0000000001868099</v>
      </c>
    </row>
    <row r="3099" spans="1:40" x14ac:dyDescent="0.25">
      <c r="A3099" t="str">
        <f>"20190305134955981"</f>
        <v>20190305134955981</v>
      </c>
      <c r="B3099" t="str">
        <f>"1551764995973917"</f>
        <v>1551764995973917</v>
      </c>
      <c r="C3099" t="s">
        <v>40</v>
      </c>
      <c r="D3099">
        <v>3.9514649999999998</v>
      </c>
      <c r="E3099">
        <v>0.53541850000000002</v>
      </c>
      <c r="F3099" t="s">
        <v>81</v>
      </c>
      <c r="G3099">
        <v>-511.09300000000002</v>
      </c>
      <c r="H3099">
        <v>14.125159999999999</v>
      </c>
      <c r="I3099">
        <v>182.61779999999999</v>
      </c>
      <c r="J3099">
        <v>-485.63240000000002</v>
      </c>
      <c r="K3099">
        <v>1.1068739999999999</v>
      </c>
      <c r="L3099">
        <v>270.22930000000002</v>
      </c>
      <c r="M3099">
        <v>-0.33441969999999999</v>
      </c>
      <c r="N3099">
        <v>-1.401285E-2</v>
      </c>
      <c r="O3099">
        <v>-0.9423203</v>
      </c>
      <c r="P3099">
        <v>-0.2042117</v>
      </c>
      <c r="Q3099">
        <v>-7.152414E-2</v>
      </c>
      <c r="R3099">
        <v>-0.97631049999999997</v>
      </c>
      <c r="S3099">
        <v>-0.85052490000000003</v>
      </c>
      <c r="T3099">
        <v>0.4342105</v>
      </c>
      <c r="U3099">
        <v>-2.9256289999999998</v>
      </c>
      <c r="V3099">
        <v>-0.134527799999999</v>
      </c>
      <c r="W3099">
        <v>-5.6610189999999998E-2</v>
      </c>
      <c r="X3099">
        <v>0.98929140000000004</v>
      </c>
      <c r="Y3099">
        <v>-6.1247759999999998E-2</v>
      </c>
      <c r="Z3099">
        <v>-0.1447957</v>
      </c>
      <c r="AA3099">
        <v>0.98756409999999994</v>
      </c>
      <c r="AB3099">
        <v>22</v>
      </c>
      <c r="AC3099">
        <v>-25.460599999999999</v>
      </c>
      <c r="AD3099">
        <v>13.018286</v>
      </c>
      <c r="AE3099">
        <v>-87.611500000000007</v>
      </c>
      <c r="AF3099">
        <v>-5.20158768970406</v>
      </c>
      <c r="AG3099">
        <v>13.018286</v>
      </c>
      <c r="AH3099">
        <v>89.264138987055404</v>
      </c>
      <c r="AI3099">
        <v>81.716335158426006</v>
      </c>
      <c r="AJ3099">
        <v>93.334960492041304</v>
      </c>
      <c r="AK3099">
        <v>90.358280162759996</v>
      </c>
      <c r="AL3099">
        <v>93.245260030993705</v>
      </c>
      <c r="AM3099">
        <v>97.743810361183094</v>
      </c>
      <c r="AN3099">
        <v>0.99999995834931699</v>
      </c>
    </row>
    <row r="3100" spans="1:40" x14ac:dyDescent="0.25">
      <c r="A3100" t="str">
        <f>"20190305134955994"</f>
        <v>20190305134955994</v>
      </c>
      <c r="B3100" t="str">
        <f>"1551764995983679"</f>
        <v>1551764995983679</v>
      </c>
      <c r="C3100" t="s">
        <v>40</v>
      </c>
      <c r="D3100">
        <v>3.9037459999999999</v>
      </c>
      <c r="E3100">
        <v>0.5361475</v>
      </c>
      <c r="F3100" t="s">
        <v>81</v>
      </c>
      <c r="G3100">
        <v>-511.92759999999998</v>
      </c>
      <c r="H3100">
        <v>14.001289999999999</v>
      </c>
      <c r="I3100">
        <v>182.61779999999999</v>
      </c>
      <c r="J3100">
        <v>-485.67349999999999</v>
      </c>
      <c r="K3100">
        <v>1.1068279999999999</v>
      </c>
      <c r="L3100">
        <v>270.12150000000003</v>
      </c>
      <c r="M3100">
        <v>-0.33674140000000002</v>
      </c>
      <c r="N3100">
        <v>-1.396448E-2</v>
      </c>
      <c r="O3100">
        <v>-0.94149369999999999</v>
      </c>
      <c r="P3100">
        <v>-0.20570189999999999</v>
      </c>
      <c r="Q3100">
        <v>-7.3050829999999997E-2</v>
      </c>
      <c r="R3100">
        <v>-0.97588419999999998</v>
      </c>
      <c r="S3100">
        <v>-0.87667850000000003</v>
      </c>
      <c r="T3100">
        <v>0.42989579999999999</v>
      </c>
      <c r="U3100">
        <v>-2.9209290000000001</v>
      </c>
      <c r="V3100">
        <v>-0.13543359999999999</v>
      </c>
      <c r="W3100">
        <v>-5.8169940000000003E-2</v>
      </c>
      <c r="X3100">
        <v>0.98907730000000005</v>
      </c>
      <c r="Y3100">
        <v>-5.5082109999999997E-2</v>
      </c>
      <c r="Z3100">
        <v>-0.14334479999999999</v>
      </c>
      <c r="AA3100">
        <v>0.98813879999999998</v>
      </c>
      <c r="AB3100">
        <v>22</v>
      </c>
      <c r="AC3100">
        <v>-26.254099999999902</v>
      </c>
      <c r="AD3100">
        <v>12.894462000000001</v>
      </c>
      <c r="AE3100">
        <v>-87.503699999999995</v>
      </c>
      <c r="AF3100">
        <v>-4.6557622138081198</v>
      </c>
      <c r="AG3100">
        <v>12.894462000000001</v>
      </c>
      <c r="AH3100">
        <v>89.451909651115002</v>
      </c>
      <c r="AI3100">
        <v>81.808273614316604</v>
      </c>
      <c r="AJ3100">
        <v>92.979422580445899</v>
      </c>
      <c r="AK3100">
        <v>90.496339220391704</v>
      </c>
      <c r="AL3100">
        <v>93.334774686851503</v>
      </c>
      <c r="AM3100">
        <v>97.796978534449906</v>
      </c>
      <c r="AN3100">
        <v>0.99999995365192595</v>
      </c>
    </row>
    <row r="3101" spans="1:40" x14ac:dyDescent="0.25">
      <c r="A3101" t="str">
        <f>"20190305134956008"</f>
        <v>20190305134956008</v>
      </c>
      <c r="B3101" t="str">
        <f>"1551764996003198"</f>
        <v>1551764996003198</v>
      </c>
      <c r="C3101" t="s">
        <v>40</v>
      </c>
      <c r="D3101">
        <v>3.92292</v>
      </c>
      <c r="E3101">
        <v>0.53775069999999903</v>
      </c>
      <c r="F3101" t="s">
        <v>81</v>
      </c>
      <c r="G3101">
        <v>-511.92970000000003</v>
      </c>
      <c r="H3101">
        <v>13.634919999999999</v>
      </c>
      <c r="I3101">
        <v>183.7681</v>
      </c>
      <c r="J3101">
        <v>-485.72309999999999</v>
      </c>
      <c r="K3101">
        <v>1.106808</v>
      </c>
      <c r="L3101">
        <v>269.99239999999998</v>
      </c>
      <c r="M3101">
        <v>-0.33956750000000002</v>
      </c>
      <c r="N3101">
        <v>-1.391097E-2</v>
      </c>
      <c r="O3101">
        <v>-0.94047879999999995</v>
      </c>
      <c r="P3101">
        <v>-0.20797499999999999</v>
      </c>
      <c r="Q3101">
        <v>-7.3998640000000004E-2</v>
      </c>
      <c r="R3101">
        <v>-0.9753309</v>
      </c>
      <c r="S3101">
        <v>-0.88748169999999904</v>
      </c>
      <c r="T3101">
        <v>0.4234581</v>
      </c>
      <c r="U3101">
        <v>-2.918793</v>
      </c>
      <c r="V3101">
        <v>-0.13608399999999901</v>
      </c>
      <c r="W3101">
        <v>-5.9163640000000003E-2</v>
      </c>
      <c r="X3101">
        <v>0.98892910000000001</v>
      </c>
      <c r="Y3101">
        <v>-5.443696E-2</v>
      </c>
      <c r="Z3101">
        <v>-0.1411907</v>
      </c>
      <c r="AA3101">
        <v>0.98848460000000005</v>
      </c>
      <c r="AB3101">
        <v>22</v>
      </c>
      <c r="AC3101">
        <v>-26.206600000000002</v>
      </c>
      <c r="AD3101">
        <v>12.528112</v>
      </c>
      <c r="AE3101">
        <v>-86.2242999999999</v>
      </c>
      <c r="AF3101">
        <v>-4.5448336382191297</v>
      </c>
      <c r="AG3101">
        <v>12.528112</v>
      </c>
      <c r="AH3101">
        <v>88.293397023010897</v>
      </c>
      <c r="AI3101">
        <v>81.934644059665999</v>
      </c>
      <c r="AJ3101">
        <v>92.946654847200406</v>
      </c>
      <c r="AK3101">
        <v>89.293521942785205</v>
      </c>
      <c r="AL3101">
        <v>93.391807657546707</v>
      </c>
      <c r="AM3101">
        <v>97.835117954428597</v>
      </c>
      <c r="AN3101">
        <v>0.99999997809042895</v>
      </c>
    </row>
    <row r="3102" spans="1:40" x14ac:dyDescent="0.25">
      <c r="A3102" t="str">
        <f>"20190305134956027"</f>
        <v>20190305134956027</v>
      </c>
      <c r="B3102" t="str">
        <f>"1551764996023694"</f>
        <v>1551764996023694</v>
      </c>
      <c r="C3102" t="s">
        <v>40</v>
      </c>
      <c r="D3102">
        <v>3.9329719999999999</v>
      </c>
      <c r="E3102">
        <v>0.53833999999999904</v>
      </c>
      <c r="F3102" t="s">
        <v>81</v>
      </c>
      <c r="G3102">
        <v>-511.92959999999999</v>
      </c>
      <c r="H3102">
        <v>13.29851</v>
      </c>
      <c r="I3102">
        <v>185.84889999999999</v>
      </c>
      <c r="J3102">
        <v>-485.79180000000002</v>
      </c>
      <c r="K3102">
        <v>1.1068260000000001</v>
      </c>
      <c r="L3102">
        <v>269.81639999999999</v>
      </c>
      <c r="M3102">
        <v>-0.34345759999999997</v>
      </c>
      <c r="N3102">
        <v>-1.3844459999999999E-2</v>
      </c>
      <c r="O3102">
        <v>-0.93906630000000002</v>
      </c>
      <c r="P3102">
        <v>-0.21065639999999999</v>
      </c>
      <c r="Q3102">
        <v>-7.3862220000000006E-2</v>
      </c>
      <c r="R3102">
        <v>-0.97476600000000002</v>
      </c>
      <c r="S3102">
        <v>-0.9076843</v>
      </c>
      <c r="T3102">
        <v>0.42226960000000002</v>
      </c>
      <c r="U3102">
        <v>-2.9143680000000001</v>
      </c>
      <c r="V3102">
        <v>-0.13745479999999999</v>
      </c>
      <c r="W3102">
        <v>-5.9094319999999999E-2</v>
      </c>
      <c r="X3102">
        <v>0.9887437</v>
      </c>
      <c r="Y3102">
        <v>-5.186694E-2</v>
      </c>
      <c r="Z3102">
        <v>-0.14053579999999999</v>
      </c>
      <c r="AA3102">
        <v>0.98871609999999999</v>
      </c>
      <c r="AB3102">
        <v>22</v>
      </c>
      <c r="AC3102">
        <v>-26.137799999999899</v>
      </c>
      <c r="AD3102">
        <v>12.191684</v>
      </c>
      <c r="AE3102">
        <v>-83.967500000000001</v>
      </c>
      <c r="AF3102">
        <v>-4.2135776063865498</v>
      </c>
      <c r="AG3102">
        <v>12.191684</v>
      </c>
      <c r="AH3102">
        <v>86.180350194161207</v>
      </c>
      <c r="AI3102">
        <v>81.9574447832657</v>
      </c>
      <c r="AJ3102">
        <v>92.799108128120906</v>
      </c>
      <c r="AK3102">
        <v>87.140370406540896</v>
      </c>
      <c r="AL3102">
        <v>93.387828768159906</v>
      </c>
      <c r="AM3102">
        <v>97.914512667078597</v>
      </c>
      <c r="AN3102">
        <v>1.00000003249449</v>
      </c>
    </row>
    <row r="3103" spans="1:40" x14ac:dyDescent="0.25">
      <c r="A3103" t="str">
        <f>"20190305134956040"</f>
        <v>20190305134956040</v>
      </c>
      <c r="B3103" t="str">
        <f>"1551764996033454"</f>
        <v>1551764996033454</v>
      </c>
      <c r="C3103" t="s">
        <v>40</v>
      </c>
      <c r="D3103">
        <v>3.9007019999999999</v>
      </c>
      <c r="E3103">
        <v>0.53830749999999905</v>
      </c>
      <c r="F3103" t="s">
        <v>81</v>
      </c>
      <c r="G3103">
        <v>-511.92959999999999</v>
      </c>
      <c r="H3103">
        <v>13.14659</v>
      </c>
      <c r="I3103">
        <v>187.24639999999999</v>
      </c>
      <c r="J3103">
        <v>-485.83690000000001</v>
      </c>
      <c r="K3103">
        <v>1.1068659999999999</v>
      </c>
      <c r="L3103">
        <v>269.70209999999997</v>
      </c>
      <c r="M3103">
        <v>-0.34597480000000003</v>
      </c>
      <c r="N3103">
        <v>-1.3804759999999999E-2</v>
      </c>
      <c r="O3103">
        <v>-0.93814240000000004</v>
      </c>
      <c r="P3103">
        <v>-0.21249950000000001</v>
      </c>
      <c r="Q3103">
        <v>-7.3333090000000004E-2</v>
      </c>
      <c r="R3103">
        <v>-0.97440579999999999</v>
      </c>
      <c r="S3103">
        <v>-0.9213867</v>
      </c>
      <c r="T3103">
        <v>0.42441519999999999</v>
      </c>
      <c r="U3103">
        <v>-2.9106749999999999</v>
      </c>
      <c r="V3103">
        <v>-0.13823940000000001</v>
      </c>
      <c r="W3103">
        <v>-5.8614289999999999E-2</v>
      </c>
      <c r="X3103">
        <v>0.98866279999999995</v>
      </c>
      <c r="Y3103">
        <v>-4.9976060000000003E-2</v>
      </c>
      <c r="Z3103">
        <v>-0.14100379999999901</v>
      </c>
      <c r="AA3103">
        <v>0.98874680000000004</v>
      </c>
      <c r="AB3103">
        <v>22</v>
      </c>
      <c r="AC3103">
        <v>-26.092699999999901</v>
      </c>
      <c r="AD3103">
        <v>12.039724</v>
      </c>
      <c r="AE3103">
        <v>-82.455699999999894</v>
      </c>
      <c r="AF3103">
        <v>-3.9723292372860501</v>
      </c>
      <c r="AG3103">
        <v>12.039724</v>
      </c>
      <c r="AH3103">
        <v>84.748433890263897</v>
      </c>
      <c r="AI3103">
        <v>81.923172811772105</v>
      </c>
      <c r="AJ3103">
        <v>92.683604083381894</v>
      </c>
      <c r="AK3103">
        <v>85.691489661564404</v>
      </c>
      <c r="AL3103">
        <v>93.360277597124195</v>
      </c>
      <c r="AM3103">
        <v>97.959754770413596</v>
      </c>
      <c r="AN3103">
        <v>0.99999994940420001</v>
      </c>
    </row>
    <row r="3104" spans="1:40" x14ac:dyDescent="0.25">
      <c r="A3104" t="str">
        <f>"20190305134956051"</f>
        <v>20190305134956051</v>
      </c>
      <c r="B3104" t="str">
        <f>"1551764996043214"</f>
        <v>1551764996043214</v>
      </c>
      <c r="C3104" t="s">
        <v>40</v>
      </c>
      <c r="D3104">
        <v>3.932849</v>
      </c>
      <c r="E3104">
        <v>0.53854069999999898</v>
      </c>
      <c r="F3104" t="s">
        <v>81</v>
      </c>
      <c r="G3104">
        <v>-511.92950000000002</v>
      </c>
      <c r="H3104">
        <v>13.13932</v>
      </c>
      <c r="I3104">
        <v>187.83519999999999</v>
      </c>
      <c r="J3104">
        <v>-485.87990000000002</v>
      </c>
      <c r="K3104">
        <v>1.1069180000000001</v>
      </c>
      <c r="L3104">
        <v>269.59370000000001</v>
      </c>
      <c r="M3104">
        <v>-0.34835369999999999</v>
      </c>
      <c r="N3104">
        <v>-1.376848E-2</v>
      </c>
      <c r="O3104">
        <v>-0.93726240000000005</v>
      </c>
      <c r="P3104">
        <v>-0.214167</v>
      </c>
      <c r="Q3104">
        <v>-7.2704199999999997E-2</v>
      </c>
      <c r="R3104">
        <v>-0.97408799999999995</v>
      </c>
      <c r="S3104">
        <v>-0.92709350000000001</v>
      </c>
      <c r="T3104">
        <v>0.42752269999999998</v>
      </c>
      <c r="U3104">
        <v>-2.9087830000000001</v>
      </c>
      <c r="V3104">
        <v>-0.13905919999999999</v>
      </c>
      <c r="W3104">
        <v>-5.8033189999999998E-2</v>
      </c>
      <c r="X3104">
        <v>0.98858210000000002</v>
      </c>
      <c r="Y3104">
        <v>-5.0600689999999997E-2</v>
      </c>
      <c r="Z3104">
        <v>-0.14173749999999999</v>
      </c>
      <c r="AA3104">
        <v>0.98861010000000005</v>
      </c>
      <c r="AB3104">
        <v>22</v>
      </c>
      <c r="AC3104">
        <v>-26.049600000000002</v>
      </c>
      <c r="AD3104">
        <v>12.032401999999999</v>
      </c>
      <c r="AE3104">
        <v>-81.758499999999998</v>
      </c>
      <c r="AF3104">
        <v>-3.98754269396228</v>
      </c>
      <c r="AG3104">
        <v>12.032401999999999</v>
      </c>
      <c r="AH3104">
        <v>84.0588952809304</v>
      </c>
      <c r="AI3104">
        <v>81.862902090369801</v>
      </c>
      <c r="AJ3104">
        <v>92.715931743158606</v>
      </c>
      <c r="AK3104">
        <v>85.009276378970497</v>
      </c>
      <c r="AL3104">
        <v>93.326926274381805</v>
      </c>
      <c r="AM3104">
        <v>98.006993220677799</v>
      </c>
      <c r="AN3104">
        <v>0.99999994034331097</v>
      </c>
    </row>
    <row r="3105" spans="1:40" x14ac:dyDescent="0.25">
      <c r="A3105" t="str">
        <f>"20190305134956061"</f>
        <v>20190305134956061</v>
      </c>
      <c r="B3105" t="str">
        <f>"1551764996053950"</f>
        <v>1551764996053950</v>
      </c>
      <c r="C3105" t="s">
        <v>40</v>
      </c>
      <c r="D3105">
        <v>3.9318309999999999</v>
      </c>
      <c r="E3105">
        <v>0.5387594</v>
      </c>
      <c r="F3105" t="s">
        <v>81</v>
      </c>
      <c r="G3105">
        <v>-511.92959999999999</v>
      </c>
      <c r="H3105">
        <v>13.164569999999999</v>
      </c>
      <c r="I3105">
        <v>188.47</v>
      </c>
      <c r="J3105">
        <v>-485.92</v>
      </c>
      <c r="K3105">
        <v>1.1069830000000001</v>
      </c>
      <c r="L3105">
        <v>269.49329999999998</v>
      </c>
      <c r="M3105">
        <v>-0.35052159999999999</v>
      </c>
      <c r="N3105">
        <v>-1.3737360000000001E-2</v>
      </c>
      <c r="O3105">
        <v>-0.93645409999999996</v>
      </c>
      <c r="P3105">
        <v>-0.21559030000000001</v>
      </c>
      <c r="Q3105">
        <v>-7.2344919999999993E-2</v>
      </c>
      <c r="R3105">
        <v>-0.97380049999999996</v>
      </c>
      <c r="S3105">
        <v>-0.93341059999999998</v>
      </c>
      <c r="T3105">
        <v>0.43204819999999999</v>
      </c>
      <c r="U3105">
        <v>-2.9067989999999999</v>
      </c>
      <c r="V3105">
        <v>-0.13989889999999999</v>
      </c>
      <c r="W3105">
        <v>-5.7721380000000003E-2</v>
      </c>
      <c r="X3105">
        <v>0.98848190000000002</v>
      </c>
      <c r="Y3105">
        <v>-5.082623E-2</v>
      </c>
      <c r="Z3105">
        <v>-0.1429077</v>
      </c>
      <c r="AA3105">
        <v>0.98843009999999998</v>
      </c>
      <c r="AB3105">
        <v>22</v>
      </c>
      <c r="AC3105">
        <v>-26.009599999999899</v>
      </c>
      <c r="AD3105">
        <v>12.057587</v>
      </c>
      <c r="AE3105">
        <v>-81.023299999999907</v>
      </c>
      <c r="AF3105">
        <v>-3.9644063423651499</v>
      </c>
      <c r="AG3105">
        <v>12.057587</v>
      </c>
      <c r="AH3105">
        <v>83.326558094046703</v>
      </c>
      <c r="AI3105">
        <v>81.775466206343197</v>
      </c>
      <c r="AJ3105">
        <v>92.723892667364694</v>
      </c>
      <c r="AK3105">
        <v>84.287704949835401</v>
      </c>
      <c r="AL3105">
        <v>93.309030802286102</v>
      </c>
      <c r="AM3105">
        <v>98.055516053603199</v>
      </c>
      <c r="AN3105">
        <v>0.99999996327896101</v>
      </c>
    </row>
    <row r="3106" spans="1:40" x14ac:dyDescent="0.25">
      <c r="A3106" t="str">
        <f>"20190305134956072"</f>
        <v>20190305134956072</v>
      </c>
      <c r="B3106" t="str">
        <f>"1551764996063710"</f>
        <v>1551764996063710</v>
      </c>
      <c r="C3106" t="s">
        <v>40</v>
      </c>
      <c r="D3106">
        <v>4.1857369999999996</v>
      </c>
      <c r="E3106">
        <v>0.5387594</v>
      </c>
      <c r="F3106" t="s">
        <v>81</v>
      </c>
      <c r="G3106">
        <v>-511.92959999999999</v>
      </c>
      <c r="H3106">
        <v>13.174630000000001</v>
      </c>
      <c r="I3106">
        <v>189.0821</v>
      </c>
      <c r="J3106">
        <v>-485.95620000000002</v>
      </c>
      <c r="K3106">
        <v>1.107046</v>
      </c>
      <c r="L3106">
        <v>269.4033</v>
      </c>
      <c r="M3106">
        <v>-0.35244989999999998</v>
      </c>
      <c r="N3106">
        <v>-1.371022E-2</v>
      </c>
      <c r="O3106">
        <v>-0.93573030000000001</v>
      </c>
      <c r="P3106">
        <v>-0.21707270000000001</v>
      </c>
      <c r="Q3106">
        <v>-7.1775740000000005E-2</v>
      </c>
      <c r="R3106">
        <v>-0.97351299999999996</v>
      </c>
      <c r="S3106">
        <v>-0.93966669999999997</v>
      </c>
      <c r="T3106">
        <v>0.4359769</v>
      </c>
      <c r="U3106">
        <v>-2.9050600000000002</v>
      </c>
      <c r="V3106">
        <v>-0.14043149999999999</v>
      </c>
      <c r="W3106">
        <v>-5.7196049999999998E-2</v>
      </c>
      <c r="X3106">
        <v>0.98843689999999995</v>
      </c>
      <c r="Y3106">
        <v>-5.083406E-2</v>
      </c>
      <c r="Z3106">
        <v>-0.1439116</v>
      </c>
      <c r="AA3106">
        <v>0.9882841</v>
      </c>
      <c r="AB3106">
        <v>22</v>
      </c>
      <c r="AC3106">
        <v>-25.973399999999899</v>
      </c>
      <c r="AD3106">
        <v>12.067583999999901</v>
      </c>
      <c r="AE3106">
        <v>-80.321200000000005</v>
      </c>
      <c r="AF3106">
        <v>-3.9252626092115199</v>
      </c>
      <c r="AG3106">
        <v>12.067583999999901</v>
      </c>
      <c r="AH3106">
        <v>82.632575519429807</v>
      </c>
      <c r="AI3106">
        <v>81.700541327459504</v>
      </c>
      <c r="AJ3106">
        <v>92.719654390569602</v>
      </c>
      <c r="AK3106">
        <v>83.601296683260898</v>
      </c>
      <c r="AL3106">
        <v>93.278881843531906</v>
      </c>
      <c r="AM3106">
        <v>98.086142123593802</v>
      </c>
      <c r="AN3106">
        <v>0.99999994980472995</v>
      </c>
    </row>
    <row r="3107" spans="1:40" x14ac:dyDescent="0.25">
      <c r="A3107" t="str">
        <f>"20190305134956083"</f>
        <v>20190305134956083</v>
      </c>
      <c r="B3107" t="str">
        <f>"1551764996073471"</f>
        <v>1551764996073471</v>
      </c>
      <c r="C3107" t="s">
        <v>40</v>
      </c>
      <c r="D3107">
        <v>3.9368120000000002</v>
      </c>
      <c r="E3107">
        <v>0.53891750000000005</v>
      </c>
      <c r="F3107" t="s">
        <v>81</v>
      </c>
      <c r="G3107">
        <v>-511.92950000000002</v>
      </c>
      <c r="H3107">
        <v>13.1421299999999</v>
      </c>
      <c r="I3107">
        <v>189.5437</v>
      </c>
      <c r="J3107">
        <v>-485.99549999999999</v>
      </c>
      <c r="K3107">
        <v>1.1071230000000001</v>
      </c>
      <c r="L3107">
        <v>269.30599999999998</v>
      </c>
      <c r="M3107">
        <v>-0.35449560000000002</v>
      </c>
      <c r="N3107">
        <v>-1.368261E-2</v>
      </c>
      <c r="O3107">
        <v>-0.9349577</v>
      </c>
      <c r="P3107">
        <v>-0.2186707</v>
      </c>
      <c r="Q3107">
        <v>-7.1430229999999997E-2</v>
      </c>
      <c r="R3107">
        <v>-0.97318119999999997</v>
      </c>
      <c r="S3107">
        <v>-0.94427490000000003</v>
      </c>
      <c r="T3107">
        <v>0.43754080000000001</v>
      </c>
      <c r="U3107">
        <v>-2.9033199999999999</v>
      </c>
      <c r="V3107">
        <v>-0.14096649999999999</v>
      </c>
      <c r="W3107">
        <v>-5.6899610000000003E-2</v>
      </c>
      <c r="X3107">
        <v>0.98837790000000003</v>
      </c>
      <c r="Y3107">
        <v>-5.1444040000000003E-2</v>
      </c>
      <c r="Z3107">
        <v>-0.14421629999999999</v>
      </c>
      <c r="AA3107">
        <v>0.98820810000000003</v>
      </c>
      <c r="AB3107">
        <v>22</v>
      </c>
      <c r="AC3107">
        <v>-25.934000000000001</v>
      </c>
      <c r="AD3107">
        <v>12.035006999999901</v>
      </c>
      <c r="AE3107">
        <v>-79.762299999999897</v>
      </c>
      <c r="AF3107">
        <v>-3.9472937871796998</v>
      </c>
      <c r="AG3107">
        <v>12.035006999999901</v>
      </c>
      <c r="AH3107">
        <v>82.085566863054595</v>
      </c>
      <c r="AI3107">
        <v>81.668476804968805</v>
      </c>
      <c r="AJ3107">
        <v>92.7530928642026</v>
      </c>
      <c r="AK3107">
        <v>83.056985311058298</v>
      </c>
      <c r="AL3107">
        <v>93.261869223625396</v>
      </c>
      <c r="AM3107">
        <v>98.117016122802497</v>
      </c>
      <c r="AN3107">
        <v>0.99999999647440596</v>
      </c>
    </row>
    <row r="3108" spans="1:40" x14ac:dyDescent="0.25">
      <c r="A3108" t="str">
        <f>"20190305134956094"</f>
        <v>20190305134956094</v>
      </c>
      <c r="B3108" t="str">
        <f>"1551764996083231"</f>
        <v>1551764996083231</v>
      </c>
      <c r="C3108" t="s">
        <v>40</v>
      </c>
      <c r="D3108">
        <v>3.909135</v>
      </c>
      <c r="E3108">
        <v>0.53902629999999996</v>
      </c>
      <c r="F3108" t="s">
        <v>81</v>
      </c>
      <c r="G3108">
        <v>-511.92950000000002</v>
      </c>
      <c r="H3108">
        <v>13.11725</v>
      </c>
      <c r="I3108">
        <v>190.17670000000001</v>
      </c>
      <c r="J3108">
        <v>-486.03879999999998</v>
      </c>
      <c r="K3108">
        <v>1.10721</v>
      </c>
      <c r="L3108">
        <v>269.1995</v>
      </c>
      <c r="M3108">
        <v>-0.35669709999999899</v>
      </c>
      <c r="N3108">
        <v>-1.365361E-2</v>
      </c>
      <c r="O3108">
        <v>-0.93412039999999996</v>
      </c>
      <c r="P3108">
        <v>-0.22020390000000001</v>
      </c>
      <c r="Q3108">
        <v>-7.0874909999999999E-2</v>
      </c>
      <c r="R3108">
        <v>-0.97287570000000001</v>
      </c>
      <c r="S3108">
        <v>-0.9508972</v>
      </c>
      <c r="T3108">
        <v>0.4403628</v>
      </c>
      <c r="U3108">
        <v>-2.9013369999999998</v>
      </c>
      <c r="V3108">
        <v>-0.1417359</v>
      </c>
      <c r="W3108">
        <v>-5.6396799999999997E-2</v>
      </c>
      <c r="X3108">
        <v>0.98829670000000003</v>
      </c>
      <c r="Y3108">
        <v>-5.1595380000000003E-2</v>
      </c>
      <c r="Z3108">
        <v>-0.14487120000000001</v>
      </c>
      <c r="AA3108">
        <v>0.98810430000000005</v>
      </c>
      <c r="AB3108">
        <v>22</v>
      </c>
      <c r="AC3108">
        <v>-25.890699999999999</v>
      </c>
      <c r="AD3108">
        <v>12.01004</v>
      </c>
      <c r="AE3108">
        <v>-79.022799999999904</v>
      </c>
      <c r="AF3108">
        <v>-3.9207607509139</v>
      </c>
      <c r="AG3108">
        <v>12.01004</v>
      </c>
      <c r="AH3108">
        <v>81.362512565328998</v>
      </c>
      <c r="AI3108">
        <v>81.612716352275996</v>
      </c>
      <c r="AJ3108">
        <v>92.758879890388201</v>
      </c>
      <c r="AK3108">
        <v>82.337548400537301</v>
      </c>
      <c r="AL3108">
        <v>93.233013934033707</v>
      </c>
      <c r="AM3108">
        <v>98.161385377661205</v>
      </c>
      <c r="AN3108">
        <v>1.00000001581496</v>
      </c>
    </row>
    <row r="3109" spans="1:40" x14ac:dyDescent="0.25">
      <c r="A3109" t="str">
        <f>"20190305134956104"</f>
        <v>20190305134956104</v>
      </c>
      <c r="B3109" t="str">
        <f>"1551764996093967"</f>
        <v>1551764996093967</v>
      </c>
      <c r="C3109" t="s">
        <v>40</v>
      </c>
      <c r="D3109">
        <v>3.9045049999999999</v>
      </c>
      <c r="E3109">
        <v>0.53907850000000002</v>
      </c>
      <c r="F3109" t="s">
        <v>81</v>
      </c>
      <c r="G3109">
        <v>-511.92950000000002</v>
      </c>
      <c r="H3109">
        <v>13.112819999999999</v>
      </c>
      <c r="I3109">
        <v>190.7697</v>
      </c>
      <c r="J3109">
        <v>-486.0772</v>
      </c>
      <c r="K3109">
        <v>1.1073</v>
      </c>
      <c r="L3109">
        <v>269.10550000000001</v>
      </c>
      <c r="M3109">
        <v>-0.35860019999999998</v>
      </c>
      <c r="N3109">
        <v>-1.3629290000000001E-2</v>
      </c>
      <c r="O3109">
        <v>-0.93339190000000005</v>
      </c>
      <c r="P3109">
        <v>-0.22132750000000001</v>
      </c>
      <c r="Q3109">
        <v>-7.0221190000000003E-2</v>
      </c>
      <c r="R3109">
        <v>-0.97266830000000004</v>
      </c>
      <c r="S3109">
        <v>-0.95712280000000005</v>
      </c>
      <c r="T3109">
        <v>0.44381890000000002</v>
      </c>
      <c r="U3109">
        <v>-2.8993530000000001</v>
      </c>
      <c r="V3109">
        <v>-0.14261009999999999</v>
      </c>
      <c r="W3109">
        <v>-5.5788409999999997E-2</v>
      </c>
      <c r="X3109">
        <v>0.98820540000000001</v>
      </c>
      <c r="Y3109">
        <v>-5.156239E-2</v>
      </c>
      <c r="Z3109">
        <v>-0.14574139999999999</v>
      </c>
      <c r="AA3109">
        <v>0.98797809999999997</v>
      </c>
      <c r="AB3109">
        <v>22</v>
      </c>
      <c r="AC3109">
        <v>-25.8523</v>
      </c>
      <c r="AD3109">
        <v>12.005519999999899</v>
      </c>
      <c r="AE3109">
        <v>-78.335800000000006</v>
      </c>
      <c r="AF3109">
        <v>-3.8791104797000702</v>
      </c>
      <c r="AG3109">
        <v>12.005519999999899</v>
      </c>
      <c r="AH3109">
        <v>80.687254568018105</v>
      </c>
      <c r="AI3109">
        <v>81.546626845202894</v>
      </c>
      <c r="AJ3109">
        <v>92.752425569830393</v>
      </c>
      <c r="AK3109">
        <v>81.667698989920595</v>
      </c>
      <c r="AL3109">
        <v>93.198100997311499</v>
      </c>
      <c r="AM3109">
        <v>98.211787185049701</v>
      </c>
      <c r="AN3109">
        <v>0.99999994995074704</v>
      </c>
    </row>
    <row r="3110" spans="1:40" x14ac:dyDescent="0.25">
      <c r="A3110" t="str">
        <f>"20190305134956115"</f>
        <v>20190305134956115</v>
      </c>
      <c r="B3110" t="str">
        <f>"1551764996103726"</f>
        <v>1551764996103726</v>
      </c>
      <c r="C3110" t="s">
        <v>40</v>
      </c>
      <c r="D3110">
        <v>3.9743050000000002</v>
      </c>
      <c r="E3110">
        <v>0.53935679999999997</v>
      </c>
      <c r="F3110" t="s">
        <v>81</v>
      </c>
      <c r="G3110">
        <v>-511.92950000000002</v>
      </c>
      <c r="H3110">
        <v>13.13082</v>
      </c>
      <c r="I3110">
        <v>191.1738</v>
      </c>
      <c r="J3110">
        <v>-486.1146</v>
      </c>
      <c r="K3110">
        <v>1.107383</v>
      </c>
      <c r="L3110">
        <v>269.0145</v>
      </c>
      <c r="M3110">
        <v>-0.36040230000000001</v>
      </c>
      <c r="N3110">
        <v>-1.3606699999999999E-2</v>
      </c>
      <c r="O3110">
        <v>-0.93269769999999996</v>
      </c>
      <c r="P3110">
        <v>-0.22181679999999901</v>
      </c>
      <c r="Q3110">
        <v>-6.9323270000000006E-2</v>
      </c>
      <c r="R3110">
        <v>-0.97262119999999996</v>
      </c>
      <c r="S3110">
        <v>-0.96130369999999998</v>
      </c>
      <c r="T3110">
        <v>0.4470866</v>
      </c>
      <c r="U3110">
        <v>-2.8978269999999999</v>
      </c>
      <c r="V3110">
        <v>-0.14402719999999999</v>
      </c>
      <c r="W3110">
        <v>-5.4931359999999999E-2</v>
      </c>
      <c r="X3110">
        <v>0.98804800000000004</v>
      </c>
      <c r="Y3110">
        <v>-5.2096099999999999E-2</v>
      </c>
      <c r="Z3110">
        <v>-0.14655660000000001</v>
      </c>
      <c r="AA3110">
        <v>0.98782950000000003</v>
      </c>
      <c r="AB3110">
        <v>22</v>
      </c>
      <c r="AC3110">
        <v>-25.814900000000002</v>
      </c>
      <c r="AD3110">
        <v>12.023436999999999</v>
      </c>
      <c r="AE3110">
        <v>-77.840699999999998</v>
      </c>
      <c r="AF3110">
        <v>-3.8931562599183098</v>
      </c>
      <c r="AG3110">
        <v>12.023436999999999</v>
      </c>
      <c r="AH3110">
        <v>80.189542116144395</v>
      </c>
      <c r="AI3110">
        <v>81.482608995882401</v>
      </c>
      <c r="AJ3110">
        <v>92.779494792310203</v>
      </c>
      <c r="AK3110">
        <v>81.179322291788097</v>
      </c>
      <c r="AL3110">
        <v>93.148919848332099</v>
      </c>
      <c r="AM3110">
        <v>98.2935601460008</v>
      </c>
      <c r="AN3110">
        <v>1.0000000694776401</v>
      </c>
    </row>
    <row r="3111" spans="1:40" x14ac:dyDescent="0.25">
      <c r="A3111" t="str">
        <f>"20190305134956126"</f>
        <v>20190305134956126</v>
      </c>
      <c r="B3111" t="str">
        <f>"1551764996123246"</f>
        <v>1551764996123246</v>
      </c>
      <c r="C3111" t="s">
        <v>40</v>
      </c>
      <c r="D3111">
        <v>4.1730159999999996</v>
      </c>
      <c r="E3111">
        <v>0.53959599999999996</v>
      </c>
      <c r="F3111" t="s">
        <v>81</v>
      </c>
      <c r="G3111">
        <v>-511.92959999999999</v>
      </c>
      <c r="H3111">
        <v>13.17897</v>
      </c>
      <c r="I3111">
        <v>191.59100000000001</v>
      </c>
      <c r="J3111">
        <v>-486.15640000000002</v>
      </c>
      <c r="K3111">
        <v>1.107477</v>
      </c>
      <c r="L3111">
        <v>268.91309999999999</v>
      </c>
      <c r="M3111">
        <v>-0.36236970000000002</v>
      </c>
      <c r="N3111">
        <v>-1.3582530000000001E-2</v>
      </c>
      <c r="O3111">
        <v>-0.93193550000000003</v>
      </c>
      <c r="P3111">
        <v>-0.22180140000000001</v>
      </c>
      <c r="Q3111">
        <v>-6.7888649999999995E-2</v>
      </c>
      <c r="R3111">
        <v>-0.97272579999999997</v>
      </c>
      <c r="S3111">
        <v>-0.96572880000000005</v>
      </c>
      <c r="T3111">
        <v>0.4515922</v>
      </c>
      <c r="U3111">
        <v>-2.8963619999999999</v>
      </c>
      <c r="V3111">
        <v>-0.14614160000000001</v>
      </c>
      <c r="W3111">
        <v>-5.3539639999999999E-2</v>
      </c>
      <c r="X3111">
        <v>0.98781379999999996</v>
      </c>
      <c r="Y3111">
        <v>-5.2757760000000001E-2</v>
      </c>
      <c r="Z3111">
        <v>-0.1477096</v>
      </c>
      <c r="AA3111">
        <v>0.98762260000000002</v>
      </c>
      <c r="AB3111">
        <v>22</v>
      </c>
      <c r="AC3111">
        <v>-25.7731999999999</v>
      </c>
      <c r="AD3111">
        <v>12.071493</v>
      </c>
      <c r="AE3111">
        <v>-77.322100000000006</v>
      </c>
      <c r="AF3111">
        <v>-3.91472123854123</v>
      </c>
      <c r="AG3111">
        <v>12.071493</v>
      </c>
      <c r="AH3111">
        <v>79.658739205319705</v>
      </c>
      <c r="AI3111">
        <v>81.393185727869295</v>
      </c>
      <c r="AJ3111">
        <v>92.813460292374998</v>
      </c>
      <c r="AK3111">
        <v>80.663255063291899</v>
      </c>
      <c r="AL3111">
        <v>93.069062898113501</v>
      </c>
      <c r="AM3111">
        <v>98.4155500335753</v>
      </c>
      <c r="AN3111">
        <v>0.99999998188616401</v>
      </c>
    </row>
    <row r="3112" spans="1:40" x14ac:dyDescent="0.25">
      <c r="A3112" t="str">
        <f>"20190305134956137"</f>
        <v>20190305134956137</v>
      </c>
      <c r="B3112" t="str">
        <f>"1551764996133983"</f>
        <v>1551764996133983</v>
      </c>
      <c r="C3112" t="s">
        <v>40</v>
      </c>
      <c r="D3112">
        <v>3.9273579999999999</v>
      </c>
      <c r="E3112">
        <v>0.53965010000000002</v>
      </c>
      <c r="F3112" t="s">
        <v>81</v>
      </c>
      <c r="G3112">
        <v>-511.92959999999999</v>
      </c>
      <c r="H3112">
        <v>13.35942</v>
      </c>
      <c r="I3112">
        <v>191.7458</v>
      </c>
      <c r="J3112">
        <v>-486.19830000000002</v>
      </c>
      <c r="K3112">
        <v>1.107577</v>
      </c>
      <c r="L3112">
        <v>268.81180000000001</v>
      </c>
      <c r="M3112">
        <v>-0.36426770000000003</v>
      </c>
      <c r="N3112">
        <v>-1.355948E-2</v>
      </c>
      <c r="O3112">
        <v>-0.93119569999999996</v>
      </c>
      <c r="P3112">
        <v>-0.22117580000000001</v>
      </c>
      <c r="Q3112">
        <v>-6.6251790000000005E-2</v>
      </c>
      <c r="R3112">
        <v>-0.9729814</v>
      </c>
      <c r="S3112">
        <v>-0.96713260000000001</v>
      </c>
      <c r="T3112">
        <v>0.45974949999999998</v>
      </c>
      <c r="U3112">
        <v>-2.8956599999999999</v>
      </c>
      <c r="V3112">
        <v>-0.14880739999999901</v>
      </c>
      <c r="W3112">
        <v>-5.194327E-2</v>
      </c>
      <c r="X3112">
        <v>0.98750099999999996</v>
      </c>
      <c r="Y3112">
        <v>-5.4408020000000001E-2</v>
      </c>
      <c r="Z3112">
        <v>-0.1499154</v>
      </c>
      <c r="AA3112">
        <v>0.98720070000000004</v>
      </c>
      <c r="AB3112">
        <v>22</v>
      </c>
      <c r="AC3112">
        <v>-25.731299999999901</v>
      </c>
      <c r="AD3112">
        <v>12.251842999999999</v>
      </c>
      <c r="AE3112">
        <v>-77.066000000000003</v>
      </c>
      <c r="AF3112">
        <v>-4.0207279899069004</v>
      </c>
      <c r="AG3112">
        <v>12.251842999999999</v>
      </c>
      <c r="AH3112">
        <v>79.339931330647602</v>
      </c>
      <c r="AI3112">
        <v>81.232676968390905</v>
      </c>
      <c r="AJ3112">
        <v>92.901109599545507</v>
      </c>
      <c r="AK3112">
        <v>80.380959275299404</v>
      </c>
      <c r="AL3112">
        <v>92.977470134213902</v>
      </c>
      <c r="AM3112">
        <v>98.569475437390096</v>
      </c>
      <c r="AN3112">
        <v>0.99999998529702605</v>
      </c>
    </row>
    <row r="3113" spans="1:40" x14ac:dyDescent="0.25">
      <c r="A3113" t="str">
        <f>"20190305134956148"</f>
        <v>20190305134956148</v>
      </c>
      <c r="B3113" t="str">
        <f>"1551764996143743"</f>
        <v>1551764996143743</v>
      </c>
      <c r="C3113" t="s">
        <v>40</v>
      </c>
      <c r="D3113">
        <v>3.9458630000000001</v>
      </c>
      <c r="E3113">
        <v>0.53959309999999905</v>
      </c>
      <c r="F3113" t="s">
        <v>81</v>
      </c>
      <c r="G3113">
        <v>-511.92970000000003</v>
      </c>
      <c r="H3113">
        <v>13.520129999999901</v>
      </c>
      <c r="I3113">
        <v>191.60749999999999</v>
      </c>
      <c r="J3113">
        <v>-486.24220000000003</v>
      </c>
      <c r="K3113">
        <v>1.107677</v>
      </c>
      <c r="L3113">
        <v>268.70620000000002</v>
      </c>
      <c r="M3113">
        <v>-0.36621720000000002</v>
      </c>
      <c r="N3113">
        <v>-1.353616E-2</v>
      </c>
      <c r="O3113">
        <v>-0.93043109999999996</v>
      </c>
      <c r="P3113">
        <v>-0.22030340000000001</v>
      </c>
      <c r="Q3113">
        <v>-6.4799040000000002E-2</v>
      </c>
      <c r="R3113">
        <v>-0.97327699999999995</v>
      </c>
      <c r="S3113">
        <v>-0.9650879</v>
      </c>
      <c r="T3113">
        <v>0.46554760000000001</v>
      </c>
      <c r="U3113">
        <v>-2.8956300000000001</v>
      </c>
      <c r="V3113">
        <v>-0.15177289999999999</v>
      </c>
      <c r="W3113">
        <v>-5.0532960000000002E-2</v>
      </c>
      <c r="X3113">
        <v>0.98712279999999997</v>
      </c>
      <c r="Y3113">
        <v>-5.720716E-2</v>
      </c>
      <c r="Z3113">
        <v>-0.1514124</v>
      </c>
      <c r="AA3113">
        <v>0.98681379999999996</v>
      </c>
      <c r="AB3113">
        <v>22</v>
      </c>
      <c r="AC3113">
        <v>-25.6875</v>
      </c>
      <c r="AD3113">
        <v>12.4124529999999</v>
      </c>
      <c r="AE3113">
        <v>-77.098699999999994</v>
      </c>
      <c r="AF3113">
        <v>-4.2359942644655098</v>
      </c>
      <c r="AG3113">
        <v>12.4124529999999</v>
      </c>
      <c r="AH3113">
        <v>79.299638726864004</v>
      </c>
      <c r="AI3113">
        <v>81.116369303502907</v>
      </c>
      <c r="AJ3113">
        <v>93.057695397814996</v>
      </c>
      <c r="AK3113">
        <v>80.376895555233702</v>
      </c>
      <c r="AL3113">
        <v>92.896558970806097</v>
      </c>
      <c r="AM3113">
        <v>98.740937394169705</v>
      </c>
      <c r="AN3113">
        <v>1.0000000077503</v>
      </c>
    </row>
    <row r="3114" spans="1:40" x14ac:dyDescent="0.25">
      <c r="A3114" t="str">
        <f>"20190305134956161"</f>
        <v>20190305134956161</v>
      </c>
      <c r="B3114" t="str">
        <f>"1551764996153503"</f>
        <v>1551764996153503</v>
      </c>
      <c r="C3114" t="s">
        <v>40</v>
      </c>
      <c r="D3114">
        <v>4.1319220000000003</v>
      </c>
      <c r="E3114">
        <v>0.53959309999999905</v>
      </c>
      <c r="F3114" t="s">
        <v>81</v>
      </c>
      <c r="G3114">
        <v>-511.92970000000003</v>
      </c>
      <c r="H3114">
        <v>13.65344</v>
      </c>
      <c r="I3114">
        <v>191.3374</v>
      </c>
      <c r="J3114">
        <v>-486.2867</v>
      </c>
      <c r="K3114">
        <v>1.107777</v>
      </c>
      <c r="L3114">
        <v>268.59980000000002</v>
      </c>
      <c r="M3114">
        <v>-0.3680851</v>
      </c>
      <c r="N3114">
        <v>-1.351402E-2</v>
      </c>
      <c r="O3114">
        <v>-0.92969400000000002</v>
      </c>
      <c r="P3114">
        <v>-0.2194796</v>
      </c>
      <c r="Q3114">
        <v>-6.2965199999999999E-2</v>
      </c>
      <c r="R3114">
        <v>-0.97358339999999999</v>
      </c>
      <c r="S3114">
        <v>-0.96151730000000002</v>
      </c>
      <c r="T3114">
        <v>0.46960289999999999</v>
      </c>
      <c r="U3114">
        <v>-2.8959959999999998</v>
      </c>
      <c r="V3114">
        <v>-0.15461079999999999</v>
      </c>
      <c r="W3114">
        <v>-4.8742819999999999E-2</v>
      </c>
      <c r="X3114">
        <v>0.98677239999999999</v>
      </c>
      <c r="Y3114">
        <v>-6.0402730000000002E-2</v>
      </c>
      <c r="Z3114">
        <v>-0.152396799999999</v>
      </c>
      <c r="AA3114">
        <v>0.98647180000000001</v>
      </c>
      <c r="AB3114">
        <v>22</v>
      </c>
      <c r="AC3114">
        <v>-25.643000000000001</v>
      </c>
      <c r="AD3114">
        <v>12.545662999999999</v>
      </c>
      <c r="AE3114">
        <v>-77.2624</v>
      </c>
      <c r="AF3114">
        <v>-4.4927116712560604</v>
      </c>
      <c r="AG3114">
        <v>12.545662999999999</v>
      </c>
      <c r="AH3114">
        <v>79.391055215114406</v>
      </c>
      <c r="AI3114">
        <v>81.034278761230993</v>
      </c>
      <c r="AJ3114">
        <v>93.238893401648497</v>
      </c>
      <c r="AK3114">
        <v>80.501663128409604</v>
      </c>
      <c r="AL3114">
        <v>92.793864736007393</v>
      </c>
      <c r="AM3114">
        <v>98.9048946385128</v>
      </c>
      <c r="AN3114">
        <v>1.0000000656899699</v>
      </c>
    </row>
    <row r="3115" spans="1:40" x14ac:dyDescent="0.25">
      <c r="A3115" t="str">
        <f>"20190305134956172"</f>
        <v>20190305134956172</v>
      </c>
      <c r="B3115" t="str">
        <f>"1551764996163262"</f>
        <v>1551764996163262</v>
      </c>
      <c r="C3115" t="s">
        <v>40</v>
      </c>
      <c r="D3115">
        <v>3.9504350000000001</v>
      </c>
      <c r="E3115">
        <v>0.53953850000000003</v>
      </c>
      <c r="F3115" t="s">
        <v>81</v>
      </c>
      <c r="G3115">
        <v>-511.9298</v>
      </c>
      <c r="H3115">
        <v>13.82516</v>
      </c>
      <c r="I3115">
        <v>191.11240000000001</v>
      </c>
      <c r="J3115">
        <v>-486.32870000000003</v>
      </c>
      <c r="K3115">
        <v>1.107872</v>
      </c>
      <c r="L3115">
        <v>268.49959999999999</v>
      </c>
      <c r="M3115">
        <v>-0.36981429999999998</v>
      </c>
      <c r="N3115">
        <v>-1.349376E-2</v>
      </c>
      <c r="O3115">
        <v>-0.9290079</v>
      </c>
      <c r="P3115">
        <v>-0.21853610000000001</v>
      </c>
      <c r="Q3115">
        <v>-6.0996130000000003E-2</v>
      </c>
      <c r="R3115">
        <v>-0.97392089999999998</v>
      </c>
      <c r="S3115">
        <v>-0.95840449999999999</v>
      </c>
      <c r="T3115">
        <v>0.47530850000000002</v>
      </c>
      <c r="U3115">
        <v>-2.8960569999999999</v>
      </c>
      <c r="V3115">
        <v>-0.15742519999999999</v>
      </c>
      <c r="W3115">
        <v>-4.6815269999999999E-2</v>
      </c>
      <c r="X3115">
        <v>0.98642059999999998</v>
      </c>
      <c r="Y3115">
        <v>-6.3305319999999998E-2</v>
      </c>
      <c r="Z3115">
        <v>-0.153880399999999</v>
      </c>
      <c r="AA3115">
        <v>0.98605949999999998</v>
      </c>
      <c r="AB3115">
        <v>22</v>
      </c>
      <c r="AC3115">
        <v>-25.601099999999899</v>
      </c>
      <c r="AD3115">
        <v>12.717288</v>
      </c>
      <c r="AE3115">
        <v>-77.387199999999893</v>
      </c>
      <c r="AF3115">
        <v>-4.7207973019727696</v>
      </c>
      <c r="AG3115">
        <v>12.717288</v>
      </c>
      <c r="AH3115">
        <v>79.434806657777699</v>
      </c>
      <c r="AI3115">
        <v>80.920047571443206</v>
      </c>
      <c r="AJ3115">
        <v>93.4010782828354</v>
      </c>
      <c r="AK3115">
        <v>80.584761897022304</v>
      </c>
      <c r="AL3115">
        <v>92.683298196955505</v>
      </c>
      <c r="AM3115">
        <v>99.067502893577895</v>
      </c>
      <c r="AN3115">
        <v>0.99999998160228598</v>
      </c>
    </row>
    <row r="3116" spans="1:40" x14ac:dyDescent="0.25">
      <c r="A3116" t="str">
        <f>"20190305134956181"</f>
        <v>20190305134956181</v>
      </c>
      <c r="B3116" t="str">
        <f>"1551764996173998"</f>
        <v>1551764996173998</v>
      </c>
      <c r="C3116" t="s">
        <v>40</v>
      </c>
      <c r="D3116">
        <v>4.1290519999999997</v>
      </c>
      <c r="E3116">
        <v>0.53953850000000003</v>
      </c>
      <c r="F3116" t="s">
        <v>81</v>
      </c>
      <c r="G3116">
        <v>-511.9298</v>
      </c>
      <c r="H3116">
        <v>13.982419999999999</v>
      </c>
      <c r="I3116">
        <v>190.8595</v>
      </c>
      <c r="J3116">
        <v>-486.36770000000001</v>
      </c>
      <c r="K3116">
        <v>1.1079559999999999</v>
      </c>
      <c r="L3116">
        <v>268.40679999999998</v>
      </c>
      <c r="M3116">
        <v>-0.3713436</v>
      </c>
      <c r="N3116">
        <v>-1.347572E-2</v>
      </c>
      <c r="O3116">
        <v>-0.9283979</v>
      </c>
      <c r="P3116">
        <v>-0.21805150000000001</v>
      </c>
      <c r="Q3116">
        <v>-5.8765970000000001E-2</v>
      </c>
      <c r="R3116">
        <v>-0.9741668</v>
      </c>
      <c r="S3116">
        <v>-0.95498660000000002</v>
      </c>
      <c r="T3116">
        <v>0.48025129999999999</v>
      </c>
      <c r="U3116">
        <v>-2.8961489999999999</v>
      </c>
      <c r="V3116">
        <v>-0.15956779999999901</v>
      </c>
      <c r="W3116">
        <v>-4.462638E-2</v>
      </c>
      <c r="X3116">
        <v>0.98617770000000005</v>
      </c>
      <c r="Y3116">
        <v>-6.6080459999999994E-2</v>
      </c>
      <c r="Z3116">
        <v>-0.1551592</v>
      </c>
      <c r="AA3116">
        <v>0.98567689999999997</v>
      </c>
      <c r="AB3116">
        <v>22</v>
      </c>
      <c r="AC3116">
        <v>-25.562099999999901</v>
      </c>
      <c r="AD3116">
        <v>12.874464</v>
      </c>
      <c r="AE3116">
        <v>-77.547299999999893</v>
      </c>
      <c r="AF3116">
        <v>-4.9424752983228704</v>
      </c>
      <c r="AG3116">
        <v>12.874464</v>
      </c>
      <c r="AH3116">
        <v>79.517533117445893</v>
      </c>
      <c r="AI3116">
        <v>80.820618004464805</v>
      </c>
      <c r="AJ3116">
        <v>93.556689062650605</v>
      </c>
      <c r="AK3116">
        <v>80.704510149346206</v>
      </c>
      <c r="AL3116">
        <v>92.557752863774397</v>
      </c>
      <c r="AM3116">
        <v>99.191047218435898</v>
      </c>
      <c r="AN3116">
        <v>0.99999992628301404</v>
      </c>
    </row>
    <row r="3117" spans="1:40" x14ac:dyDescent="0.25">
      <c r="A3117" t="str">
        <f>"20190305134956194"</f>
        <v>20190305134956194</v>
      </c>
      <c r="B3117" t="str">
        <f>"1551764996183758"</f>
        <v>1551764996183758</v>
      </c>
      <c r="C3117" t="s">
        <v>40</v>
      </c>
      <c r="D3117">
        <v>4.1519680000000001</v>
      </c>
      <c r="E3117">
        <v>0.53499819999999998</v>
      </c>
      <c r="F3117" t="s">
        <v>81</v>
      </c>
      <c r="G3117">
        <v>-511.92989999999998</v>
      </c>
      <c r="H3117">
        <v>14.13292</v>
      </c>
      <c r="I3117">
        <v>190.90459999999999</v>
      </c>
      <c r="J3117">
        <v>-486.40980000000002</v>
      </c>
      <c r="K3117">
        <v>1.108047</v>
      </c>
      <c r="L3117">
        <v>268.3073</v>
      </c>
      <c r="M3117">
        <v>-0.37295060000000002</v>
      </c>
      <c r="N3117">
        <v>-1.345697E-2</v>
      </c>
      <c r="O3117">
        <v>-0.92775379999999996</v>
      </c>
      <c r="P3117">
        <v>-0.21778539999999999</v>
      </c>
      <c r="Q3117">
        <v>-5.7158819999999999E-2</v>
      </c>
      <c r="R3117">
        <v>-0.97432160000000001</v>
      </c>
      <c r="S3117">
        <v>-0.95489500000000005</v>
      </c>
      <c r="T3117">
        <v>0.48655700000000002</v>
      </c>
      <c r="U3117">
        <v>-2.8951419999999999</v>
      </c>
      <c r="V3117">
        <v>-0.1615607</v>
      </c>
      <c r="W3117">
        <v>-4.3065590000000001E-2</v>
      </c>
      <c r="X3117">
        <v>0.98592270000000004</v>
      </c>
      <c r="Y3117">
        <v>-6.7829799999999996E-2</v>
      </c>
      <c r="Z3117">
        <v>-0.15684870000000001</v>
      </c>
      <c r="AA3117">
        <v>0.98529060000000002</v>
      </c>
      <c r="AB3117">
        <v>22</v>
      </c>
      <c r="AC3117">
        <v>-25.5200999999999</v>
      </c>
      <c r="AD3117">
        <v>13.024872999999999</v>
      </c>
      <c r="AE3117">
        <v>-77.402699999999996</v>
      </c>
      <c r="AF3117">
        <v>-5.0621950796162096</v>
      </c>
      <c r="AG3117">
        <v>13.024872999999999</v>
      </c>
      <c r="AH3117">
        <v>79.310165812670604</v>
      </c>
      <c r="AI3117">
        <v>80.692342297679701</v>
      </c>
      <c r="AJ3117">
        <v>93.652110589607005</v>
      </c>
      <c r="AK3117">
        <v>80.531829340475895</v>
      </c>
      <c r="AL3117">
        <v>92.468239809158504</v>
      </c>
      <c r="AM3117">
        <v>99.306206577021101</v>
      </c>
      <c r="AN3117">
        <v>1.0000000376009099</v>
      </c>
    </row>
    <row r="3118" spans="1:40" x14ac:dyDescent="0.25">
      <c r="A3118" t="str">
        <f>"20190305134956216"</f>
        <v>20190305134956216</v>
      </c>
      <c r="B3118" t="str">
        <f>"1551764996203278"</f>
        <v>1551764996203278</v>
      </c>
      <c r="C3118" t="s">
        <v>40</v>
      </c>
      <c r="D3118">
        <v>3.909967</v>
      </c>
      <c r="E3118">
        <v>0.5351958</v>
      </c>
      <c r="F3118" t="s">
        <v>42</v>
      </c>
      <c r="G3118">
        <v>-496.5582</v>
      </c>
      <c r="H3118" s="1">
        <v>-4.5246690000000003E-6</v>
      </c>
      <c r="I3118">
        <v>236.86429999999999</v>
      </c>
      <c r="J3118">
        <v>-486.49650000000003</v>
      </c>
      <c r="K3118">
        <v>1.108217</v>
      </c>
      <c r="L3118">
        <v>268.1028</v>
      </c>
      <c r="M3118">
        <v>-0.37605909999999998</v>
      </c>
      <c r="N3118">
        <v>-1.3420959999999999E-2</v>
      </c>
      <c r="O3118">
        <v>-0.92649859999999995</v>
      </c>
      <c r="P3118">
        <v>-0.21637609999999999</v>
      </c>
      <c r="Q3118">
        <v>-5.6799450000000001E-2</v>
      </c>
      <c r="R3118">
        <v>-0.97465650000000004</v>
      </c>
      <c r="S3118">
        <v>-0.92514039999999997</v>
      </c>
      <c r="T3118">
        <v>-0.1010119</v>
      </c>
      <c r="U3118">
        <v>-2.8663940000000001</v>
      </c>
      <c r="V3118">
        <v>-0.16627420000000001</v>
      </c>
      <c r="W3118">
        <v>-4.2802779999999999E-2</v>
      </c>
      <c r="X3118">
        <v>0.98515019999999998</v>
      </c>
      <c r="Y3118">
        <v>-7.3340900000000001E-2</v>
      </c>
      <c r="Z3118">
        <v>1.7977839999999998E-2</v>
      </c>
      <c r="AA3118">
        <v>0.9971449</v>
      </c>
      <c r="AB3118">
        <v>22</v>
      </c>
      <c r="AC3118">
        <v>-10.061699999999901</v>
      </c>
      <c r="AD3118">
        <v>-1.1082215246689999</v>
      </c>
      <c r="AE3118">
        <v>-31.238499999999998</v>
      </c>
      <c r="AF3118">
        <v>-2.4228267638343599</v>
      </c>
      <c r="AG3118">
        <v>-1.1082215246689999</v>
      </c>
      <c r="AH3118">
        <v>32.691887137218899</v>
      </c>
      <c r="AI3118">
        <v>91.936218898623096</v>
      </c>
      <c r="AJ3118">
        <v>94.238496012722706</v>
      </c>
      <c r="AK3118">
        <v>32.800270259068803</v>
      </c>
      <c r="AL3118">
        <v>92.453167972708002</v>
      </c>
      <c r="AM3118">
        <v>99.580125251231294</v>
      </c>
      <c r="AN3118">
        <v>1.0000000520607</v>
      </c>
    </row>
    <row r="3119" spans="1:40" x14ac:dyDescent="0.25">
      <c r="A3119" t="str">
        <f>"20190305134956229"</f>
        <v>20190305134956229</v>
      </c>
      <c r="B3119" t="str">
        <f>"1551764996223775"</f>
        <v>1551764996223775</v>
      </c>
      <c r="C3119" t="s">
        <v>40</v>
      </c>
      <c r="D3119">
        <v>3.888833</v>
      </c>
      <c r="E3119">
        <v>0.53523149999999997</v>
      </c>
      <c r="F3119" t="s">
        <v>42</v>
      </c>
      <c r="G3119">
        <v>-496.77120000000002</v>
      </c>
      <c r="H3119" s="1">
        <v>-4.3274159999999999E-6</v>
      </c>
      <c r="I3119">
        <v>236.17359999999999</v>
      </c>
      <c r="J3119">
        <v>-486.54680000000002</v>
      </c>
      <c r="K3119">
        <v>1.108312</v>
      </c>
      <c r="L3119">
        <v>267.98480000000001</v>
      </c>
      <c r="M3119">
        <v>-0.37777060000000001</v>
      </c>
      <c r="N3119">
        <v>-1.3401359999999999E-2</v>
      </c>
      <c r="O3119">
        <v>-0.92580220000000002</v>
      </c>
      <c r="P3119">
        <v>-0.215166</v>
      </c>
      <c r="Q3119">
        <v>-5.8108939999999998E-2</v>
      </c>
      <c r="R3119">
        <v>-0.97484720000000002</v>
      </c>
      <c r="S3119">
        <v>-0.92269900000000005</v>
      </c>
      <c r="T3119">
        <v>-9.9521520000000002E-2</v>
      </c>
      <c r="U3119">
        <v>-2.86734</v>
      </c>
      <c r="V3119">
        <v>-0.1692796</v>
      </c>
      <c r="W3119">
        <v>-4.4169519999999997E-2</v>
      </c>
      <c r="X3119">
        <v>0.98457779999999995</v>
      </c>
      <c r="Y3119">
        <v>-7.6045600000000005E-2</v>
      </c>
      <c r="Z3119">
        <v>1.7503250000000001E-2</v>
      </c>
      <c r="AA3119">
        <v>0.99695069999999997</v>
      </c>
      <c r="AB3119">
        <v>22</v>
      </c>
      <c r="AC3119">
        <v>-10.224399999999999</v>
      </c>
      <c r="AD3119">
        <v>-1.1083163274159999</v>
      </c>
      <c r="AE3119">
        <v>-31.811199999999999</v>
      </c>
      <c r="AF3119">
        <v>-2.5489889332839599</v>
      </c>
      <c r="AG3119">
        <v>-1.1083163274159999</v>
      </c>
      <c r="AH3119">
        <v>33.279735192208598</v>
      </c>
      <c r="AI3119">
        <v>91.901852330084296</v>
      </c>
      <c r="AJ3119">
        <v>94.3798941447793</v>
      </c>
      <c r="AK3119">
        <v>33.395605760745603</v>
      </c>
      <c r="AL3119">
        <v>92.531550721191493</v>
      </c>
      <c r="AM3119">
        <v>99.755550131232496</v>
      </c>
      <c r="AN3119">
        <v>0.99999998686301494</v>
      </c>
    </row>
    <row r="3120" spans="1:40" x14ac:dyDescent="0.25">
      <c r="A3120" t="str">
        <f>"20190305134956241"</f>
        <v>20190305134956241</v>
      </c>
      <c r="B3120" t="str">
        <f>"1551764996233535"</f>
        <v>1551764996233535</v>
      </c>
      <c r="C3120" t="s">
        <v>40</v>
      </c>
      <c r="D3120">
        <v>3.9406150000000002</v>
      </c>
      <c r="E3120">
        <v>0.53752460000000002</v>
      </c>
      <c r="F3120" t="s">
        <v>42</v>
      </c>
      <c r="G3120">
        <v>-495.97669999999999</v>
      </c>
      <c r="H3120" s="1">
        <v>-4.9992289999999997E-6</v>
      </c>
      <c r="I3120">
        <v>238.56190000000001</v>
      </c>
      <c r="J3120">
        <v>-486.5908</v>
      </c>
      <c r="K3120">
        <v>1.1083970000000001</v>
      </c>
      <c r="L3120">
        <v>267.8818</v>
      </c>
      <c r="M3120">
        <v>-0.379164</v>
      </c>
      <c r="N3120">
        <v>-1.3387E-2</v>
      </c>
      <c r="O3120">
        <v>-0.92523259999999996</v>
      </c>
      <c r="P3120">
        <v>-0.21318219999999999</v>
      </c>
      <c r="Q3120">
        <v>-5.9074090000000003E-2</v>
      </c>
      <c r="R3120">
        <v>-0.97522500000000001</v>
      </c>
      <c r="S3120">
        <v>-0.91922000000000004</v>
      </c>
      <c r="T3120">
        <v>-0.1080372</v>
      </c>
      <c r="U3120">
        <v>-2.8681030000000001</v>
      </c>
      <c r="V3120">
        <v>-0.17273359999999999</v>
      </c>
      <c r="W3120">
        <v>-4.5182840000000002E-2</v>
      </c>
      <c r="X3120">
        <v>0.98393169999999996</v>
      </c>
      <c r="Y3120">
        <v>-7.8733490000000003E-2</v>
      </c>
      <c r="Z3120">
        <v>2.0053330000000001E-2</v>
      </c>
      <c r="AA3120">
        <v>0.99669399999999997</v>
      </c>
      <c r="AB3120">
        <v>22</v>
      </c>
      <c r="AC3120">
        <v>-9.3858999999999906</v>
      </c>
      <c r="AD3120">
        <v>-1.108401999229</v>
      </c>
      <c r="AE3120">
        <v>-29.319899999999901</v>
      </c>
      <c r="AF3120">
        <v>-2.42997809839511</v>
      </c>
      <c r="AG3120">
        <v>-1.108401999229</v>
      </c>
      <c r="AH3120">
        <v>30.6495435643108</v>
      </c>
      <c r="AI3120">
        <v>92.064653725650999</v>
      </c>
      <c r="AJ3120">
        <v>94.533081160212603</v>
      </c>
      <c r="AK3120">
        <v>30.765693056571301</v>
      </c>
      <c r="AL3120">
        <v>92.589667709580993</v>
      </c>
      <c r="AM3120">
        <v>99.957066925630897</v>
      </c>
      <c r="AN3120">
        <v>0.99999998793215705</v>
      </c>
    </row>
    <row r="3121" spans="1:40" x14ac:dyDescent="0.25">
      <c r="A3121" t="str">
        <f>"20190305134956251"</f>
        <v>20190305134956251</v>
      </c>
      <c r="B3121" t="str">
        <f>"1551764996243294"</f>
        <v>1551764996243294</v>
      </c>
      <c r="C3121" t="s">
        <v>40</v>
      </c>
      <c r="D3121">
        <v>4.588635</v>
      </c>
      <c r="E3121">
        <v>0.53752460000000002</v>
      </c>
      <c r="F3121" t="s">
        <v>81</v>
      </c>
      <c r="G3121">
        <v>-511.92950000000002</v>
      </c>
      <c r="H3121">
        <v>12.9411</v>
      </c>
      <c r="I3121">
        <v>188.44290000000001</v>
      </c>
      <c r="J3121">
        <v>-486.62950000000001</v>
      </c>
      <c r="K3121">
        <v>1.108463</v>
      </c>
      <c r="L3121">
        <v>267.79140000000001</v>
      </c>
      <c r="M3121">
        <v>-0.38037320000000002</v>
      </c>
      <c r="N3121">
        <v>-1.335805E-2</v>
      </c>
      <c r="O3121">
        <v>-0.92473669999999997</v>
      </c>
      <c r="P3121">
        <v>-0.2097511</v>
      </c>
      <c r="Q3121">
        <v>-6.1053179999999999E-2</v>
      </c>
      <c r="R3121">
        <v>-0.97584689999999996</v>
      </c>
      <c r="S3121">
        <v>-0.92507930000000005</v>
      </c>
      <c r="T3121">
        <v>0.43199340000000003</v>
      </c>
      <c r="U3121">
        <v>-2.9001769999999998</v>
      </c>
      <c r="V3121">
        <v>-0.177426799999999</v>
      </c>
      <c r="W3121">
        <v>-4.7219700000000003E-2</v>
      </c>
      <c r="X3121">
        <v>0.98300050000000005</v>
      </c>
      <c r="Y3121">
        <v>-8.4686819999999996E-2</v>
      </c>
      <c r="Z3121">
        <v>-0.14019519999999999</v>
      </c>
      <c r="AA3121">
        <v>0.98649560000000003</v>
      </c>
      <c r="AB3121">
        <v>22</v>
      </c>
      <c r="AC3121">
        <v>-25.3</v>
      </c>
      <c r="AD3121">
        <v>11.832637</v>
      </c>
      <c r="AE3121">
        <v>-79.348500000000001</v>
      </c>
      <c r="AF3121">
        <v>-6.6525255793159799</v>
      </c>
      <c r="AG3121">
        <v>11.832637</v>
      </c>
      <c r="AH3121">
        <v>81.364929372392197</v>
      </c>
      <c r="AI3121">
        <v>81.752806643625703</v>
      </c>
      <c r="AJ3121">
        <v>94.674196641922805</v>
      </c>
      <c r="AK3121">
        <v>82.489509191966903</v>
      </c>
      <c r="AL3121">
        <v>92.706495999457402</v>
      </c>
      <c r="AM3121">
        <v>100.231449730397</v>
      </c>
      <c r="AN3121">
        <v>0.99999997621328895</v>
      </c>
    </row>
    <row r="3122" spans="1:40" x14ac:dyDescent="0.25">
      <c r="A3122" t="str">
        <f>"20190305134956261"</f>
        <v>20190305134956261</v>
      </c>
      <c r="B3122" t="str">
        <f>"1551764996254031"</f>
        <v>1551764996254031</v>
      </c>
      <c r="C3122" t="s">
        <v>40</v>
      </c>
      <c r="D3122">
        <v>4.1030329999999999</v>
      </c>
      <c r="E3122">
        <v>0.48764049999999998</v>
      </c>
      <c r="F3122" t="s">
        <v>81</v>
      </c>
      <c r="G3122">
        <v>-511.92950000000002</v>
      </c>
      <c r="H3122">
        <v>12.924910000000001</v>
      </c>
      <c r="I3122">
        <v>187.363</v>
      </c>
      <c r="J3122">
        <v>-486.67290000000003</v>
      </c>
      <c r="K3122">
        <v>1.1085100000000001</v>
      </c>
      <c r="L3122">
        <v>267.69009999999997</v>
      </c>
      <c r="M3122">
        <v>-0.38164789999999998</v>
      </c>
      <c r="N3122">
        <v>-1.3231980000000001E-2</v>
      </c>
      <c r="O3122">
        <v>-0.92421310000000001</v>
      </c>
      <c r="P3122">
        <v>-0.20618520000000001</v>
      </c>
      <c r="Q3122">
        <v>-6.3317559999999995E-2</v>
      </c>
      <c r="R3122">
        <v>-0.97646239999999995</v>
      </c>
      <c r="S3122">
        <v>-0.91366579999999997</v>
      </c>
      <c r="T3122">
        <v>0.42672900000000002</v>
      </c>
      <c r="U3122">
        <v>-2.9045100000000001</v>
      </c>
      <c r="V3122">
        <v>-0.18231030000000001</v>
      </c>
      <c r="W3122">
        <v>-4.96423E-2</v>
      </c>
      <c r="X3122">
        <v>0.9819871</v>
      </c>
      <c r="Y3122">
        <v>-8.9926919999999994E-2</v>
      </c>
      <c r="Z3122">
        <v>-0.138311299999999</v>
      </c>
      <c r="AA3122">
        <v>0.98629770000000005</v>
      </c>
      <c r="AB3122">
        <v>22</v>
      </c>
      <c r="AC3122">
        <v>-25.256599999999899</v>
      </c>
      <c r="AD3122">
        <v>11.8164</v>
      </c>
      <c r="AE3122">
        <v>-80.327099999999902</v>
      </c>
      <c r="AF3122">
        <v>-7.1735624191658598</v>
      </c>
      <c r="AG3122">
        <v>11.8164</v>
      </c>
      <c r="AH3122">
        <v>82.265799221455197</v>
      </c>
      <c r="AI3122">
        <v>81.856607123945096</v>
      </c>
      <c r="AJ3122">
        <v>94.983575464253093</v>
      </c>
      <c r="AK3122">
        <v>83.419116683686099</v>
      </c>
      <c r="AL3122">
        <v>92.845463702450203</v>
      </c>
      <c r="AM3122">
        <v>100.51747165718599</v>
      </c>
      <c r="AN3122">
        <v>1.0000000340008901</v>
      </c>
    </row>
    <row r="3123" spans="1:40" x14ac:dyDescent="0.25">
      <c r="A3123" t="str">
        <f>"20190305134956272"</f>
        <v>20190305134956272</v>
      </c>
      <c r="B3123" t="str">
        <f>"1551764996263793"</f>
        <v>1551764996263793</v>
      </c>
      <c r="C3123" t="s">
        <v>40</v>
      </c>
      <c r="D3123">
        <v>3.9032809999999998</v>
      </c>
      <c r="E3123">
        <v>0.48764049999999998</v>
      </c>
      <c r="F3123" t="s">
        <v>47</v>
      </c>
      <c r="G3123">
        <v>0</v>
      </c>
      <c r="H3123">
        <v>0</v>
      </c>
      <c r="I3123">
        <v>0</v>
      </c>
      <c r="J3123">
        <v>-486.7106</v>
      </c>
      <c r="K3123">
        <v>1.10854599999999</v>
      </c>
      <c r="L3123">
        <v>267.60239999999999</v>
      </c>
      <c r="M3123">
        <v>-0.3827178</v>
      </c>
      <c r="N3123">
        <v>-1.3119520000000001E-2</v>
      </c>
      <c r="O3123">
        <v>-0.92377200000000004</v>
      </c>
      <c r="P3123">
        <v>-0.2023944</v>
      </c>
      <c r="Q3123">
        <v>-6.5333699999999995E-2</v>
      </c>
      <c r="R3123">
        <v>-0.97712209999999999</v>
      </c>
      <c r="S3123">
        <v>-0.51663210000000004</v>
      </c>
      <c r="T3123">
        <v>0.1567607</v>
      </c>
      <c r="U3123">
        <v>-2.9733890000000001</v>
      </c>
      <c r="V3123">
        <v>-0.187198</v>
      </c>
      <c r="W3123">
        <v>-5.1800550000000001E-2</v>
      </c>
      <c r="X3123">
        <v>0.98095549999999998</v>
      </c>
      <c r="Y3123">
        <v>-0.2193167</v>
      </c>
      <c r="Z3123">
        <v>-5.837966E-2</v>
      </c>
      <c r="AA3123">
        <v>0.97390560000000004</v>
      </c>
      <c r="AB3123">
        <v>22</v>
      </c>
      <c r="AC3123">
        <v>-0.51663210000000004</v>
      </c>
      <c r="AD3123">
        <v>0.1567607</v>
      </c>
      <c r="AE3123">
        <v>-2.9733890000000001</v>
      </c>
      <c r="AF3123">
        <v>-0.65899755867208998</v>
      </c>
      <c r="AG3123">
        <v>0.1567607</v>
      </c>
      <c r="AH3123">
        <v>2.93678794759367</v>
      </c>
      <c r="AI3123">
        <v>87.018550679902603</v>
      </c>
      <c r="AJ3123">
        <v>102.647330358158</v>
      </c>
      <c r="AK3123">
        <v>3.0138970036369401</v>
      </c>
      <c r="AL3123">
        <v>92.969281692630901</v>
      </c>
      <c r="AM3123">
        <v>100.803986125913</v>
      </c>
      <c r="AN3123">
        <v>1.00000004058227</v>
      </c>
    </row>
    <row r="3124" spans="1:40" x14ac:dyDescent="0.25">
      <c r="A3124" t="str">
        <f>"20190305134956284"</f>
        <v>20190305134956284</v>
      </c>
      <c r="B3124" t="str">
        <f>"1551764996273550"</f>
        <v>1551764996273550</v>
      </c>
      <c r="C3124" t="s">
        <v>40</v>
      </c>
      <c r="D3124">
        <v>4.0783399999999999</v>
      </c>
      <c r="E3124">
        <v>0.48764049999999998</v>
      </c>
      <c r="F3124" t="s">
        <v>47</v>
      </c>
      <c r="G3124">
        <v>0</v>
      </c>
      <c r="H3124">
        <v>0</v>
      </c>
      <c r="I3124">
        <v>0</v>
      </c>
      <c r="J3124">
        <v>-486.75839999999999</v>
      </c>
      <c r="K3124">
        <v>1.1086069999999999</v>
      </c>
      <c r="L3124">
        <v>267.49149999999997</v>
      </c>
      <c r="M3124">
        <v>-0.38396669999999999</v>
      </c>
      <c r="N3124">
        <v>-1.296633E-2</v>
      </c>
      <c r="O3124">
        <v>-0.92325599999999997</v>
      </c>
      <c r="P3124">
        <v>-0.19914119999999999</v>
      </c>
      <c r="Q3124">
        <v>-6.6404809999999995E-2</v>
      </c>
      <c r="R3124">
        <v>-0.9777188</v>
      </c>
      <c r="S3124">
        <v>-0.50466920000000004</v>
      </c>
      <c r="T3124">
        <v>0.15044089999999999</v>
      </c>
      <c r="U3124">
        <v>-2.9757690000000001</v>
      </c>
      <c r="V3124">
        <v>-0.1917461</v>
      </c>
      <c r="W3124">
        <v>-5.3067280000000001E-2</v>
      </c>
      <c r="X3124">
        <v>0.98000880000000001</v>
      </c>
      <c r="Y3124">
        <v>-0.2245434</v>
      </c>
      <c r="Z3124">
        <v>-5.6313809999999999E-2</v>
      </c>
      <c r="AA3124">
        <v>0.97283549999999996</v>
      </c>
      <c r="AB3124">
        <v>22</v>
      </c>
      <c r="AC3124">
        <v>-0.50466920000000004</v>
      </c>
      <c r="AD3124">
        <v>0.15044089999999999</v>
      </c>
      <c r="AE3124">
        <v>-2.9757690000000001</v>
      </c>
      <c r="AF3124">
        <v>-0.67503710830609398</v>
      </c>
      <c r="AG3124">
        <v>0.15044089999999999</v>
      </c>
      <c r="AH3124">
        <v>2.9341302361231998</v>
      </c>
      <c r="AI3124">
        <v>87.139456848347706</v>
      </c>
      <c r="AJ3124">
        <v>102.956235469921</v>
      </c>
      <c r="AK3124">
        <v>3.0145360844606599</v>
      </c>
      <c r="AL3124">
        <v>93.041960151799799</v>
      </c>
      <c r="AM3124">
        <v>101.070498077785</v>
      </c>
      <c r="AN3124">
        <v>0.99999997557462295</v>
      </c>
    </row>
    <row r="3125" spans="1:40" x14ac:dyDescent="0.25">
      <c r="A3125" t="str">
        <f>"20190305134956295"</f>
        <v>20190305134956295</v>
      </c>
      <c r="B3125" t="str">
        <f>"1551764996283310"</f>
        <v>1551764996283310</v>
      </c>
      <c r="C3125" t="s">
        <v>40</v>
      </c>
      <c r="D3125">
        <v>4.1540470000000003</v>
      </c>
      <c r="E3125">
        <v>0.39660400000000001</v>
      </c>
      <c r="F3125" t="s">
        <v>47</v>
      </c>
      <c r="G3125">
        <v>0</v>
      </c>
      <c r="H3125">
        <v>0</v>
      </c>
      <c r="I3125">
        <v>0</v>
      </c>
      <c r="J3125">
        <v>-486.79899999999998</v>
      </c>
      <c r="K3125">
        <v>1.1086800000000001</v>
      </c>
      <c r="L3125">
        <v>267.39710000000002</v>
      </c>
      <c r="M3125">
        <v>-0.38495030000000002</v>
      </c>
      <c r="N3125">
        <v>-1.287165E-2</v>
      </c>
      <c r="O3125">
        <v>-0.92284770000000005</v>
      </c>
      <c r="P3125">
        <v>-0.19614519999999999</v>
      </c>
      <c r="Q3125">
        <v>-6.6973249999999998E-2</v>
      </c>
      <c r="R3125">
        <v>-0.97828530000000002</v>
      </c>
      <c r="S3125">
        <v>-0.49444579999999999</v>
      </c>
      <c r="T3125">
        <v>0.14707909999999999</v>
      </c>
      <c r="U3125">
        <v>-2.9776609999999999</v>
      </c>
      <c r="V3125">
        <v>-0.19576099999999999</v>
      </c>
      <c r="W3125">
        <v>-5.3773809999999998E-2</v>
      </c>
      <c r="X3125">
        <v>0.97917619999999905</v>
      </c>
      <c r="Y3125">
        <v>-0.2289178</v>
      </c>
      <c r="Z3125">
        <v>-5.5183690000000001E-2</v>
      </c>
      <c r="AA3125">
        <v>0.97188030000000003</v>
      </c>
      <c r="AB3125">
        <v>22</v>
      </c>
      <c r="AC3125">
        <v>-0.49444579999999999</v>
      </c>
      <c r="AD3125">
        <v>0.14707909999999999</v>
      </c>
      <c r="AE3125">
        <v>-2.9776609999999999</v>
      </c>
      <c r="AF3125">
        <v>-0.68837596581126304</v>
      </c>
      <c r="AG3125">
        <v>0.14707909999999999</v>
      </c>
      <c r="AH3125">
        <v>2.93154725113037</v>
      </c>
      <c r="AI3125">
        <v>87.203744199321093</v>
      </c>
      <c r="AJ3125">
        <v>103.214592816264</v>
      </c>
      <c r="AK3125">
        <v>3.0148736321068901</v>
      </c>
      <c r="AL3125">
        <v>93.082499116419797</v>
      </c>
      <c r="AM3125">
        <v>101.30575539454</v>
      </c>
      <c r="AN3125">
        <v>1.0000000112046701</v>
      </c>
    </row>
    <row r="3126" spans="1:40" x14ac:dyDescent="0.25">
      <c r="A3126" t="str">
        <f>"20190305134956307"</f>
        <v>20190305134956307</v>
      </c>
      <c r="B3126" t="str">
        <f>"1551764996303209"</f>
        <v>1551764996303209</v>
      </c>
      <c r="C3126" t="s">
        <v>40</v>
      </c>
      <c r="D3126">
        <v>3.8081870000000002</v>
      </c>
      <c r="E3126">
        <v>0.39918009999999998</v>
      </c>
      <c r="F3126" t="s">
        <v>42</v>
      </c>
      <c r="G3126">
        <v>-484.25529999999998</v>
      </c>
      <c r="H3126" s="1">
        <v>-2.285208E-6</v>
      </c>
      <c r="I3126">
        <v>231.8717</v>
      </c>
      <c r="J3126">
        <v>-486.84280000000001</v>
      </c>
      <c r="K3126">
        <v>1.108781</v>
      </c>
      <c r="L3126">
        <v>267.29570000000001</v>
      </c>
      <c r="M3126">
        <v>-0.38593749999999999</v>
      </c>
      <c r="N3126">
        <v>-1.2801720000000001E-2</v>
      </c>
      <c r="O3126">
        <v>-0.92243620000000004</v>
      </c>
      <c r="P3126">
        <v>-0.19423270000000001</v>
      </c>
      <c r="Q3126">
        <v>-6.7147390000000001E-2</v>
      </c>
      <c r="R3126">
        <v>-0.97865480000000005</v>
      </c>
      <c r="S3126">
        <v>0.22228999999999999</v>
      </c>
      <c r="T3126">
        <v>-9.6886280000000005E-2</v>
      </c>
      <c r="U3126">
        <v>-3.1045229999999999</v>
      </c>
      <c r="V3126">
        <v>-0.19869990000000001</v>
      </c>
      <c r="W3126">
        <v>-5.4072019999999998E-2</v>
      </c>
      <c r="X3126">
        <v>0.97856759999999998</v>
      </c>
      <c r="Y3126">
        <v>-0.45072210000000001</v>
      </c>
      <c r="Z3126">
        <v>1.28605E-2</v>
      </c>
      <c r="AA3126">
        <v>0.89257169999999897</v>
      </c>
      <c r="AB3126">
        <v>22</v>
      </c>
      <c r="AC3126">
        <v>2.5875000000000301</v>
      </c>
      <c r="AD3126">
        <v>-1.108783285208</v>
      </c>
      <c r="AE3126">
        <v>-35.423999999999999</v>
      </c>
      <c r="AF3126">
        <v>-16.043933216382499</v>
      </c>
      <c r="AG3126">
        <v>-1.108783285208</v>
      </c>
      <c r="AH3126">
        <v>31.6495170260593</v>
      </c>
      <c r="AI3126">
        <v>91.789772985150293</v>
      </c>
      <c r="AJ3126">
        <v>116.881592343779</v>
      </c>
      <c r="AK3126">
        <v>35.501114368539497</v>
      </c>
      <c r="AL3126">
        <v>93.099610249228306</v>
      </c>
      <c r="AM3126">
        <v>101.477962726215</v>
      </c>
      <c r="AN3126">
        <v>0.99999999068832501</v>
      </c>
    </row>
    <row r="3127" spans="1:40" x14ac:dyDescent="0.25">
      <c r="A3127" t="str">
        <f>"20190305134956320"</f>
        <v>20190305134956320</v>
      </c>
      <c r="B3127" t="str">
        <f>"1551764996313945"</f>
        <v>1551764996313945</v>
      </c>
      <c r="C3127" t="s">
        <v>40</v>
      </c>
      <c r="D3127">
        <v>3.8062779999999998</v>
      </c>
      <c r="E3127">
        <v>0.43175789999999997</v>
      </c>
      <c r="F3127" t="s">
        <v>42</v>
      </c>
      <c r="G3127">
        <v>-484.47519999999997</v>
      </c>
      <c r="H3127" s="1">
        <v>-2.2965559999999998E-6</v>
      </c>
      <c r="I3127">
        <v>232.07689999999999</v>
      </c>
      <c r="J3127">
        <v>-486.89449999999999</v>
      </c>
      <c r="K3127">
        <v>1.108938</v>
      </c>
      <c r="L3127">
        <v>267.17570000000001</v>
      </c>
      <c r="M3127">
        <v>-0.38695649999999998</v>
      </c>
      <c r="N3127">
        <v>-1.2767300000000001E-2</v>
      </c>
      <c r="O3127">
        <v>-0.92200959999999998</v>
      </c>
      <c r="P3127">
        <v>-0.192909</v>
      </c>
      <c r="Q3127">
        <v>-6.7055749999999997E-2</v>
      </c>
      <c r="R3127">
        <v>-0.97892299999999999</v>
      </c>
      <c r="S3127">
        <v>0.20840449999999999</v>
      </c>
      <c r="T3127">
        <v>-9.759843E-2</v>
      </c>
      <c r="U3127">
        <v>-3.1000670000000001</v>
      </c>
      <c r="V3127">
        <v>-0.2010835</v>
      </c>
      <c r="W3127">
        <v>-5.4090340000000001E-2</v>
      </c>
      <c r="X3127">
        <v>0.97807960000000005</v>
      </c>
      <c r="Y3127">
        <v>-0.44781890000000002</v>
      </c>
      <c r="Z3127">
        <v>1.3141190000000001E-2</v>
      </c>
      <c r="AA3127">
        <v>0.89402769999999998</v>
      </c>
      <c r="AB3127">
        <v>22</v>
      </c>
      <c r="AC3127">
        <v>2.4193000000000202</v>
      </c>
      <c r="AD3127">
        <v>-1.108940296556</v>
      </c>
      <c r="AE3127">
        <v>-35.098799999999997</v>
      </c>
      <c r="AF3127">
        <v>-15.797919780378701</v>
      </c>
      <c r="AG3127">
        <v>-1.108940296556</v>
      </c>
      <c r="AH3127">
        <v>31.396634657908301</v>
      </c>
      <c r="AI3127">
        <v>91.807159542708106</v>
      </c>
      <c r="AJ3127">
        <v>116.710278344142</v>
      </c>
      <c r="AK3127">
        <v>35.164651083307703</v>
      </c>
      <c r="AL3127">
        <v>93.100661350997797</v>
      </c>
      <c r="AM3127">
        <v>101.617570091581</v>
      </c>
      <c r="AN3127">
        <v>1.0000000213948601</v>
      </c>
    </row>
    <row r="3128" spans="1:40" x14ac:dyDescent="0.25">
      <c r="A3128" t="str">
        <f>"20190305134956332"</f>
        <v>20190305134956332</v>
      </c>
      <c r="B3128" t="str">
        <f>"1551764996323705"</f>
        <v>1551764996323705</v>
      </c>
      <c r="C3128" t="s">
        <v>40</v>
      </c>
      <c r="D3128">
        <v>3.7753009999999998</v>
      </c>
      <c r="E3128">
        <v>0.4323922</v>
      </c>
      <c r="F3128" t="s">
        <v>47</v>
      </c>
      <c r="G3128">
        <v>0</v>
      </c>
      <c r="H3128">
        <v>0</v>
      </c>
      <c r="I3128">
        <v>0</v>
      </c>
      <c r="J3128">
        <v>-486.9425</v>
      </c>
      <c r="K3128">
        <v>1.1090949999999999</v>
      </c>
      <c r="L3128">
        <v>267.06439999999998</v>
      </c>
      <c r="M3128">
        <v>-0.38781729999999998</v>
      </c>
      <c r="N3128">
        <v>-1.2747680000000001E-2</v>
      </c>
      <c r="O3128">
        <v>-0.92164809999999997</v>
      </c>
      <c r="P3128">
        <v>-0.1912539</v>
      </c>
      <c r="Q3128">
        <v>-6.7003460000000001E-2</v>
      </c>
      <c r="R3128">
        <v>-0.97925119999999999</v>
      </c>
      <c r="S3128">
        <v>-3.1890870000000002E-2</v>
      </c>
      <c r="T3128">
        <v>0.54238359999999997</v>
      </c>
      <c r="U3128">
        <v>-3.0954280000000001</v>
      </c>
      <c r="V3128">
        <v>-0.2036288</v>
      </c>
      <c r="W3128">
        <v>-5.4133929999999997E-2</v>
      </c>
      <c r="X3128">
        <v>0.97755040000000004</v>
      </c>
      <c r="Y3128">
        <v>-0.3786525</v>
      </c>
      <c r="Z3128">
        <v>-0.1585299</v>
      </c>
      <c r="AA3128">
        <v>0.91186109999999998</v>
      </c>
      <c r="AB3128">
        <v>22</v>
      </c>
      <c r="AC3128">
        <v>-3.1890870000000002E-2</v>
      </c>
      <c r="AD3128">
        <v>0.54238359999999997</v>
      </c>
      <c r="AE3128">
        <v>-3.0954280000000001</v>
      </c>
      <c r="AF3128">
        <v>-1.1362807509767501</v>
      </c>
      <c r="AG3128">
        <v>0.54238359999999997</v>
      </c>
      <c r="AH3128">
        <v>2.7801479970040002</v>
      </c>
      <c r="AI3128">
        <v>79.763263135469501</v>
      </c>
      <c r="AJ3128">
        <v>112.230439630901</v>
      </c>
      <c r="AK3128">
        <v>3.0519726079758001</v>
      </c>
      <c r="AL3128">
        <v>93.103162674730896</v>
      </c>
      <c r="AM3128">
        <v>101.766742279616</v>
      </c>
      <c r="AN3128">
        <v>0.99999997755342196</v>
      </c>
    </row>
    <row r="3129" spans="1:40" x14ac:dyDescent="0.25">
      <c r="A3129" t="str">
        <f>"20190305134956343"</f>
        <v>20190305134956343</v>
      </c>
      <c r="B3129" t="str">
        <f>"1551764996333466"</f>
        <v>1551764996333466</v>
      </c>
      <c r="C3129" t="s">
        <v>40</v>
      </c>
      <c r="D3129">
        <v>3.8011309999999998</v>
      </c>
      <c r="E3129">
        <v>0.43304680000000001</v>
      </c>
      <c r="F3129" t="s">
        <v>47</v>
      </c>
      <c r="G3129">
        <v>0</v>
      </c>
      <c r="H3129">
        <v>0</v>
      </c>
      <c r="I3129">
        <v>0</v>
      </c>
      <c r="J3129">
        <v>-486.98480000000001</v>
      </c>
      <c r="K3129">
        <v>1.109245</v>
      </c>
      <c r="L3129">
        <v>266.96640000000002</v>
      </c>
      <c r="M3129">
        <v>-0.38844780000000001</v>
      </c>
      <c r="N3129">
        <v>-1.273056E-2</v>
      </c>
      <c r="O3129">
        <v>-0.92138279999999995</v>
      </c>
      <c r="P3129">
        <v>-0.1897556</v>
      </c>
      <c r="Q3129">
        <v>-6.7173499999999997E-2</v>
      </c>
      <c r="R3129">
        <v>-0.97953080000000003</v>
      </c>
      <c r="S3129">
        <v>-3.091431E-2</v>
      </c>
      <c r="T3129">
        <v>0.54997600000000002</v>
      </c>
      <c r="U3129">
        <v>-3.095154</v>
      </c>
      <c r="V3129">
        <v>-0.20576720000000001</v>
      </c>
      <c r="W3129">
        <v>-5.4394770000000002E-2</v>
      </c>
      <c r="X3129">
        <v>0.97708799999999996</v>
      </c>
      <c r="Y3129">
        <v>-0.37957439999999998</v>
      </c>
      <c r="Z3129">
        <v>-0.16040309999999999</v>
      </c>
      <c r="AA3129">
        <v>0.91114989999999996</v>
      </c>
      <c r="AB3129">
        <v>22</v>
      </c>
      <c r="AC3129">
        <v>-3.091431E-2</v>
      </c>
      <c r="AD3129">
        <v>0.54997600000000002</v>
      </c>
      <c r="AE3129">
        <v>-3.095154</v>
      </c>
      <c r="AF3129">
        <v>-1.13799019655878</v>
      </c>
      <c r="AG3129">
        <v>0.54997600000000002</v>
      </c>
      <c r="AH3129">
        <v>2.7764100307937101</v>
      </c>
      <c r="AI3129">
        <v>79.613546597513107</v>
      </c>
      <c r="AJ3129">
        <v>112.287658993831</v>
      </c>
      <c r="AK3129">
        <v>3.05056518486851</v>
      </c>
      <c r="AL3129">
        <v>93.118129858179302</v>
      </c>
      <c r="AM3129">
        <v>101.892277639837</v>
      </c>
      <c r="AN3129">
        <v>0.999999945671595</v>
      </c>
    </row>
    <row r="3130" spans="1:40" x14ac:dyDescent="0.25">
      <c r="A3130" t="str">
        <f>"20190305134956353"</f>
        <v>20190305134956353</v>
      </c>
      <c r="B3130" t="str">
        <f>"1551764996343226"</f>
        <v>1551764996343226</v>
      </c>
      <c r="C3130" t="s">
        <v>40</v>
      </c>
      <c r="D3130">
        <v>3.9806550000000001</v>
      </c>
      <c r="E3130">
        <v>0.43304680000000001</v>
      </c>
      <c r="F3130" t="s">
        <v>47</v>
      </c>
      <c r="G3130">
        <v>0</v>
      </c>
      <c r="H3130">
        <v>0</v>
      </c>
      <c r="I3130">
        <v>0</v>
      </c>
      <c r="J3130">
        <v>-487.02440000000001</v>
      </c>
      <c r="K3130">
        <v>1.1093839999999999</v>
      </c>
      <c r="L3130">
        <v>266.87430000000001</v>
      </c>
      <c r="M3130">
        <v>-0.38896979999999998</v>
      </c>
      <c r="N3130">
        <v>-1.270752E-2</v>
      </c>
      <c r="O3130">
        <v>-0.92116299999999995</v>
      </c>
      <c r="P3130">
        <v>-0.1881109</v>
      </c>
      <c r="Q3130">
        <v>-6.7614919999999995E-2</v>
      </c>
      <c r="R3130">
        <v>-0.97981770000000001</v>
      </c>
      <c r="S3130">
        <v>-3.048706E-2</v>
      </c>
      <c r="T3130">
        <v>0.55434430000000001</v>
      </c>
      <c r="U3130">
        <v>-3.0948180000000001</v>
      </c>
      <c r="V3130">
        <v>-0.2079299</v>
      </c>
      <c r="W3130">
        <v>-5.4929779999999997E-2</v>
      </c>
      <c r="X3130">
        <v>0.97660020000000003</v>
      </c>
      <c r="Y3130">
        <v>-0.3802237</v>
      </c>
      <c r="Z3130">
        <v>-0.16145190000000001</v>
      </c>
      <c r="AA3130">
        <v>0.9106938</v>
      </c>
      <c r="AB3130">
        <v>22</v>
      </c>
      <c r="AC3130">
        <v>-3.048706E-2</v>
      </c>
      <c r="AD3130">
        <v>0.55434430000000001</v>
      </c>
      <c r="AE3130">
        <v>-3.0948180000000001</v>
      </c>
      <c r="AF3130">
        <v>-1.13925366858482</v>
      </c>
      <c r="AG3130">
        <v>0.55434430000000001</v>
      </c>
      <c r="AH3130">
        <v>2.77393091812948</v>
      </c>
      <c r="AI3130">
        <v>79.526674765163307</v>
      </c>
      <c r="AJ3130">
        <v>112.327960256644</v>
      </c>
      <c r="AK3130">
        <v>3.04957198027545</v>
      </c>
      <c r="AL3130">
        <v>93.148829285410102</v>
      </c>
      <c r="AM3130">
        <v>102.01948327864299</v>
      </c>
      <c r="AN3130">
        <v>1.00000003734244</v>
      </c>
    </row>
    <row r="3131" spans="1:40" x14ac:dyDescent="0.25">
      <c r="A3131" t="str">
        <f>"20190305134956364"</f>
        <v>20190305134956364</v>
      </c>
      <c r="B3131" t="str">
        <f>"1551764996353961"</f>
        <v>1551764996353961</v>
      </c>
      <c r="C3131" t="s">
        <v>40</v>
      </c>
      <c r="D3131">
        <v>3.802845</v>
      </c>
      <c r="E3131">
        <v>0.43402940000000001</v>
      </c>
      <c r="F3131" t="s">
        <v>47</v>
      </c>
      <c r="G3131">
        <v>0</v>
      </c>
      <c r="H3131">
        <v>0</v>
      </c>
      <c r="I3131">
        <v>0</v>
      </c>
      <c r="J3131">
        <v>-487.06700000000001</v>
      </c>
      <c r="K3131">
        <v>1.109526</v>
      </c>
      <c r="L3131">
        <v>266.77510000000001</v>
      </c>
      <c r="M3131">
        <v>-0.38943220000000001</v>
      </c>
      <c r="N3131">
        <v>-1.267271E-2</v>
      </c>
      <c r="O3131">
        <v>-0.92096809999999996</v>
      </c>
      <c r="P3131">
        <v>-0.1861804</v>
      </c>
      <c r="Q3131">
        <v>-6.8235749999999998E-2</v>
      </c>
      <c r="R3131">
        <v>-0.9801434</v>
      </c>
      <c r="S3131">
        <v>-2.3010249999999999E-2</v>
      </c>
      <c r="T3131">
        <v>0.55158069999999904</v>
      </c>
      <c r="U3131">
        <v>-3.095459</v>
      </c>
      <c r="V3131">
        <v>-0.21030550000000001</v>
      </c>
      <c r="W3131">
        <v>-5.5662459999999997E-2</v>
      </c>
      <c r="X3131">
        <v>0.97604979999999997</v>
      </c>
      <c r="Y3131">
        <v>-0.38288499999999998</v>
      </c>
      <c r="Z3131">
        <v>-0.16052529999999901</v>
      </c>
      <c r="AA3131">
        <v>0.9097421</v>
      </c>
      <c r="AB3131">
        <v>22</v>
      </c>
      <c r="AC3131">
        <v>-2.3010249999999999E-2</v>
      </c>
      <c r="AD3131">
        <v>0.55158069999999904</v>
      </c>
      <c r="AE3131">
        <v>-3.095459</v>
      </c>
      <c r="AF3131">
        <v>-1.1479279106556799</v>
      </c>
      <c r="AG3131">
        <v>0.55158069999999904</v>
      </c>
      <c r="AH3131">
        <v>2.7719981939807101</v>
      </c>
      <c r="AI3131">
        <v>79.582906776303403</v>
      </c>
      <c r="AJ3131">
        <v>112.495212783236</v>
      </c>
      <c r="AK3131">
        <v>3.0505661350161102</v>
      </c>
      <c r="AL3131">
        <v>93.190873322848503</v>
      </c>
      <c r="AM3131">
        <v>102.159395296892</v>
      </c>
      <c r="AN3131">
        <v>0.99999996243177003</v>
      </c>
    </row>
    <row r="3132" spans="1:40" x14ac:dyDescent="0.25">
      <c r="A3132" t="str">
        <f>"20190305134956377"</f>
        <v>20190305134956377</v>
      </c>
      <c r="B3132" t="str">
        <f>"1551764996373481"</f>
        <v>1551764996373481</v>
      </c>
      <c r="C3132" t="s">
        <v>40</v>
      </c>
      <c r="D3132">
        <v>3.8311899999999999</v>
      </c>
      <c r="E3132">
        <v>0.43517899999999998</v>
      </c>
      <c r="F3132" t="s">
        <v>47</v>
      </c>
      <c r="G3132">
        <v>0</v>
      </c>
      <c r="H3132">
        <v>0</v>
      </c>
      <c r="I3132">
        <v>0</v>
      </c>
      <c r="J3132">
        <v>-487.1123</v>
      </c>
      <c r="K3132">
        <v>1.109675</v>
      </c>
      <c r="L3132">
        <v>266.66930000000002</v>
      </c>
      <c r="M3132">
        <v>-0.38979589999999997</v>
      </c>
      <c r="N3132">
        <v>-1.263336E-2</v>
      </c>
      <c r="O3132">
        <v>-0.92081480000000004</v>
      </c>
      <c r="P3132">
        <v>-0.1840205</v>
      </c>
      <c r="Q3132">
        <v>-6.8960080000000007E-2</v>
      </c>
      <c r="R3132">
        <v>-0.98050060000000006</v>
      </c>
      <c r="S3132">
        <v>-2.209473E-2</v>
      </c>
      <c r="T3132">
        <v>0.57183409999999901</v>
      </c>
      <c r="U3132">
        <v>-3.0963750000000001</v>
      </c>
      <c r="V3132">
        <v>-0.2127986</v>
      </c>
      <c r="W3132">
        <v>-5.6509249999999997E-2</v>
      </c>
      <c r="X3132">
        <v>0.97546060000000001</v>
      </c>
      <c r="Y3132">
        <v>-0.38352399999999998</v>
      </c>
      <c r="Z3132">
        <v>-0.1656319</v>
      </c>
      <c r="AA3132">
        <v>0.90855680000000005</v>
      </c>
      <c r="AB3132">
        <v>22</v>
      </c>
      <c r="AC3132">
        <v>-2.209473E-2</v>
      </c>
      <c r="AD3132">
        <v>0.57183409999999901</v>
      </c>
      <c r="AE3132">
        <v>-3.0963750000000001</v>
      </c>
      <c r="AF3132">
        <v>-1.14756651692246</v>
      </c>
      <c r="AG3132">
        <v>0.57183409999999901</v>
      </c>
      <c r="AH3132">
        <v>2.7657052937632098</v>
      </c>
      <c r="AI3132">
        <v>79.188287866170896</v>
      </c>
      <c r="AJ3132">
        <v>112.53489453236701</v>
      </c>
      <c r="AK3132">
        <v>3.0484469686439102</v>
      </c>
      <c r="AL3132">
        <v>93.2394673138716</v>
      </c>
      <c r="AM3132">
        <v>102.306380452925</v>
      </c>
      <c r="AN3132">
        <v>0.99999996082494003</v>
      </c>
    </row>
    <row r="3133" spans="1:40" x14ac:dyDescent="0.25">
      <c r="A3133" t="str">
        <f>"20190305134956388"</f>
        <v>20190305134956388</v>
      </c>
      <c r="B3133" t="str">
        <f>"1551764996383241"</f>
        <v>1551764996383241</v>
      </c>
      <c r="C3133" t="s">
        <v>40</v>
      </c>
      <c r="D3133">
        <v>3.816303</v>
      </c>
      <c r="E3133">
        <v>0.4357239</v>
      </c>
      <c r="F3133" t="s">
        <v>47</v>
      </c>
      <c r="G3133">
        <v>0</v>
      </c>
      <c r="H3133">
        <v>0</v>
      </c>
      <c r="I3133">
        <v>0</v>
      </c>
      <c r="J3133">
        <v>-487.15539999999999</v>
      </c>
      <c r="K3133">
        <v>1.109815</v>
      </c>
      <c r="L3133">
        <v>266.56880000000001</v>
      </c>
      <c r="M3133">
        <v>-0.39006990000000002</v>
      </c>
      <c r="N3133">
        <v>-1.259474E-2</v>
      </c>
      <c r="O3133">
        <v>-0.92069939999999995</v>
      </c>
      <c r="P3133">
        <v>-0.1823719</v>
      </c>
      <c r="Q3133">
        <v>-6.9599519999999998E-2</v>
      </c>
      <c r="R3133">
        <v>-0.98076350000000001</v>
      </c>
      <c r="S3133">
        <v>-2.3468019999999999E-2</v>
      </c>
      <c r="T3133">
        <v>0.58909149999999999</v>
      </c>
      <c r="U3133">
        <v>-3.0966490000000002</v>
      </c>
      <c r="V3133">
        <v>-0.21468899999999999</v>
      </c>
      <c r="W3133">
        <v>-5.7266289999999997E-2</v>
      </c>
      <c r="X3133">
        <v>0.97500220000000004</v>
      </c>
      <c r="Y3133">
        <v>-0.38339899999999999</v>
      </c>
      <c r="Z3133">
        <v>-0.17001229999999901</v>
      </c>
      <c r="AA3133">
        <v>0.9078001</v>
      </c>
      <c r="AB3133">
        <v>22</v>
      </c>
      <c r="AC3133">
        <v>-2.3468019999999999E-2</v>
      </c>
      <c r="AD3133">
        <v>0.58909149999999999</v>
      </c>
      <c r="AE3133">
        <v>-3.0966490000000002</v>
      </c>
      <c r="AF3133">
        <v>-1.1449631879956499</v>
      </c>
      <c r="AG3133">
        <v>0.58909149999999999</v>
      </c>
      <c r="AH3133">
        <v>2.7605656408082999</v>
      </c>
      <c r="AI3133">
        <v>78.849173417193796</v>
      </c>
      <c r="AJ3133">
        <v>112.52655868903101</v>
      </c>
      <c r="AK3133">
        <v>3.0460945741143202</v>
      </c>
      <c r="AL3133">
        <v>93.282912602243798</v>
      </c>
      <c r="AM3133">
        <v>102.417984770915</v>
      </c>
      <c r="AN3133">
        <v>1.0000000423480999</v>
      </c>
    </row>
    <row r="3134" spans="1:40" x14ac:dyDescent="0.25">
      <c r="A3134" t="str">
        <f>"20190305134956398"</f>
        <v>20190305134956398</v>
      </c>
      <c r="B3134" t="str">
        <f>"1551764996393976"</f>
        <v>1551764996393976</v>
      </c>
      <c r="C3134" t="s">
        <v>40</v>
      </c>
      <c r="D3134">
        <v>3.8358249999999998</v>
      </c>
      <c r="E3134">
        <v>0.43650990000000001</v>
      </c>
      <c r="F3134" t="s">
        <v>47</v>
      </c>
      <c r="G3134">
        <v>0</v>
      </c>
      <c r="H3134">
        <v>0</v>
      </c>
      <c r="I3134">
        <v>0</v>
      </c>
      <c r="J3134">
        <v>-487.19439999999997</v>
      </c>
      <c r="K3134">
        <v>1.109942</v>
      </c>
      <c r="L3134">
        <v>266.47730000000001</v>
      </c>
      <c r="M3134">
        <v>-0.39016119999999999</v>
      </c>
      <c r="N3134">
        <v>-1.2568889999999999E-2</v>
      </c>
      <c r="O3134">
        <v>-0.92066099999999995</v>
      </c>
      <c r="P3134">
        <v>-0.18079290000000001</v>
      </c>
      <c r="Q3134">
        <v>-6.9440310000000005E-2</v>
      </c>
      <c r="R3134">
        <v>-0.98106709999999997</v>
      </c>
      <c r="S3134">
        <v>-2.0996089999999999E-2</v>
      </c>
      <c r="T3134">
        <v>0.59533230000000004</v>
      </c>
      <c r="U3134">
        <v>-3.0971980000000001</v>
      </c>
      <c r="V3134">
        <v>-0.21634039999999999</v>
      </c>
      <c r="W3134">
        <v>-5.7204369999999997E-2</v>
      </c>
      <c r="X3134">
        <v>0.97464070000000003</v>
      </c>
      <c r="Y3134">
        <v>-0.3842161</v>
      </c>
      <c r="Z3134">
        <v>-0.17152700000000001</v>
      </c>
      <c r="AA3134">
        <v>0.90716949999999996</v>
      </c>
      <c r="AB3134">
        <v>22</v>
      </c>
      <c r="AC3134">
        <v>-2.0996089999999999E-2</v>
      </c>
      <c r="AD3134">
        <v>0.59533230000000004</v>
      </c>
      <c r="AE3134">
        <v>-3.0971980000000001</v>
      </c>
      <c r="AF3134">
        <v>-1.14680081869837</v>
      </c>
      <c r="AG3134">
        <v>0.59533230000000004</v>
      </c>
      <c r="AH3134">
        <v>2.7579913408713299</v>
      </c>
      <c r="AI3134">
        <v>78.7279010045104</v>
      </c>
      <c r="AJ3134">
        <v>112.57803748289599</v>
      </c>
      <c r="AK3134">
        <v>3.0456672342052999</v>
      </c>
      <c r="AL3134">
        <v>93.279359156964503</v>
      </c>
      <c r="AM3134">
        <v>102.51500236310901</v>
      </c>
      <c r="AN3134">
        <v>1.00000000135787</v>
      </c>
    </row>
    <row r="3135" spans="1:40" x14ac:dyDescent="0.25">
      <c r="A3135" t="str">
        <f>"20190305134956412"</f>
        <v>20190305134956412</v>
      </c>
      <c r="B3135" t="str">
        <f>"1551764996403736"</f>
        <v>1551764996403736</v>
      </c>
      <c r="C3135" t="s">
        <v>40</v>
      </c>
      <c r="D3135">
        <v>3.838578</v>
      </c>
      <c r="E3135">
        <v>0.43741409999999997</v>
      </c>
      <c r="F3135" t="s">
        <v>47</v>
      </c>
      <c r="G3135">
        <v>0</v>
      </c>
      <c r="H3135">
        <v>0</v>
      </c>
      <c r="I3135">
        <v>0</v>
      </c>
      <c r="J3135">
        <v>-487.24549999999999</v>
      </c>
      <c r="K3135">
        <v>1.1101129999999999</v>
      </c>
      <c r="L3135">
        <v>266.35750000000002</v>
      </c>
      <c r="M3135">
        <v>-0.39020850000000001</v>
      </c>
      <c r="N3135">
        <v>-1.253928E-2</v>
      </c>
      <c r="O3135">
        <v>-0.92064140000000005</v>
      </c>
      <c r="P3135">
        <v>-0.17891560000000001</v>
      </c>
      <c r="Q3135">
        <v>-6.9004830000000003E-2</v>
      </c>
      <c r="R3135">
        <v>-0.98144189999999998</v>
      </c>
      <c r="S3135">
        <v>-2.1514889999999998E-2</v>
      </c>
      <c r="T3135">
        <v>0.60786509999999905</v>
      </c>
      <c r="U3135">
        <v>-3.0969540000000002</v>
      </c>
      <c r="V3135">
        <v>-0.21824089999999999</v>
      </c>
      <c r="W3135">
        <v>-5.6892560000000002E-2</v>
      </c>
      <c r="X3135">
        <v>0.97423519999999997</v>
      </c>
      <c r="Y3135">
        <v>-0.38411220000000001</v>
      </c>
      <c r="Z3135">
        <v>-0.17473329999999901</v>
      </c>
      <c r="AA3135">
        <v>0.9066014</v>
      </c>
      <c r="AB3135">
        <v>22</v>
      </c>
      <c r="AC3135">
        <v>-2.1514889999999998E-2</v>
      </c>
      <c r="AD3135">
        <v>0.60786509999999905</v>
      </c>
      <c r="AE3135">
        <v>-3.0969540000000002</v>
      </c>
      <c r="AF3135">
        <v>-1.1446477839998801</v>
      </c>
      <c r="AG3135">
        <v>0.60786509999999905</v>
      </c>
      <c r="AH3135">
        <v>2.7537209569240599</v>
      </c>
      <c r="AI3135">
        <v>78.478959440635407</v>
      </c>
      <c r="AJ3135">
        <v>112.57134286322299</v>
      </c>
      <c r="AK3135">
        <v>3.0434680280588799</v>
      </c>
      <c r="AL3135">
        <v>93.261464492938401</v>
      </c>
      <c r="AM3135">
        <v>102.62652094198</v>
      </c>
      <c r="AN3135">
        <v>1.0000000393676001</v>
      </c>
    </row>
    <row r="3136" spans="1:40" x14ac:dyDescent="0.25">
      <c r="A3136" t="str">
        <f>"20190305134956425"</f>
        <v>20190305134956425</v>
      </c>
      <c r="B3136" t="str">
        <f>"1551764996413497"</f>
        <v>1551764996413497</v>
      </c>
      <c r="C3136" t="s">
        <v>40</v>
      </c>
      <c r="D3136">
        <v>4.0052810000000001</v>
      </c>
      <c r="E3136">
        <v>0.43741409999999997</v>
      </c>
      <c r="F3136" t="s">
        <v>47</v>
      </c>
      <c r="G3136">
        <v>0</v>
      </c>
      <c r="H3136">
        <v>0</v>
      </c>
      <c r="I3136">
        <v>0</v>
      </c>
      <c r="J3136">
        <v>-487.29410000000001</v>
      </c>
      <c r="K3136">
        <v>1.110277</v>
      </c>
      <c r="L3136">
        <v>266.24310000000003</v>
      </c>
      <c r="M3136">
        <v>-0.39007019999999998</v>
      </c>
      <c r="N3136">
        <v>-1.252152E-2</v>
      </c>
      <c r="O3136">
        <v>-0.92070030000000003</v>
      </c>
      <c r="P3136">
        <v>-0.1770129</v>
      </c>
      <c r="Q3136">
        <v>-6.8433279999999999E-2</v>
      </c>
      <c r="R3136">
        <v>-0.98182709999999995</v>
      </c>
      <c r="S3136">
        <v>-2.1545410000000001E-2</v>
      </c>
      <c r="T3136">
        <v>0.6211449</v>
      </c>
      <c r="U3136">
        <v>-3.0964969999999998</v>
      </c>
      <c r="V3136">
        <v>-0.219975</v>
      </c>
      <c r="W3136">
        <v>-5.6430470000000003E-2</v>
      </c>
      <c r="X3136">
        <v>0.97387190000000001</v>
      </c>
      <c r="Y3136">
        <v>-0.38396540000000001</v>
      </c>
      <c r="Z3136">
        <v>-0.17817179999999999</v>
      </c>
      <c r="AA3136">
        <v>0.90599419999999997</v>
      </c>
      <c r="AB3136">
        <v>22</v>
      </c>
      <c r="AC3136">
        <v>-2.1545410000000001E-2</v>
      </c>
      <c r="AD3136">
        <v>0.6211449</v>
      </c>
      <c r="AE3136">
        <v>-3.0964969999999998</v>
      </c>
      <c r="AF3136">
        <v>-1.14215063821989</v>
      </c>
      <c r="AG3136">
        <v>0.6211449</v>
      </c>
      <c r="AH3136">
        <v>2.7489637555514399</v>
      </c>
      <c r="AI3136">
        <v>78.213648601566703</v>
      </c>
      <c r="AJ3136">
        <v>112.562106062821</v>
      </c>
      <c r="AK3136">
        <v>3.0409095344185499</v>
      </c>
      <c r="AL3136">
        <v>93.234946411707597</v>
      </c>
      <c r="AM3136">
        <v>102.72818691816499</v>
      </c>
      <c r="AN3136">
        <v>0.99999993808951304</v>
      </c>
    </row>
    <row r="3137" spans="1:40" x14ac:dyDescent="0.25">
      <c r="A3137" t="str">
        <f>"20190305134956441"</f>
        <v>20190305134956441</v>
      </c>
      <c r="B3137" t="str">
        <f>"1551764996433994"</f>
        <v>1551764996433994</v>
      </c>
      <c r="C3137" t="s">
        <v>40</v>
      </c>
      <c r="D3137">
        <v>4.0306280000000001</v>
      </c>
      <c r="E3137">
        <v>0.43776490000000001</v>
      </c>
      <c r="F3137" t="s">
        <v>47</v>
      </c>
      <c r="G3137">
        <v>0</v>
      </c>
      <c r="H3137">
        <v>0</v>
      </c>
      <c r="I3137">
        <v>0</v>
      </c>
      <c r="J3137">
        <v>-487.35449999999997</v>
      </c>
      <c r="K3137">
        <v>1.110468</v>
      </c>
      <c r="L3137">
        <v>266.09989999999999</v>
      </c>
      <c r="M3137">
        <v>-0.389714</v>
      </c>
      <c r="N3137">
        <v>-1.2503729999999999E-2</v>
      </c>
      <c r="O3137">
        <v>-0.92085139999999999</v>
      </c>
      <c r="P3137">
        <v>-0.1717844</v>
      </c>
      <c r="Q3137">
        <v>-6.8741720000000006E-2</v>
      </c>
      <c r="R3137">
        <v>-0.98273379999999999</v>
      </c>
      <c r="S3137">
        <v>-1.5686039999999998E-2</v>
      </c>
      <c r="T3137">
        <v>0.62314019999999903</v>
      </c>
      <c r="U3137">
        <v>-3.0961609999999999</v>
      </c>
      <c r="V3137">
        <v>-0.22473940000000001</v>
      </c>
      <c r="W3137">
        <v>-5.688236E-2</v>
      </c>
      <c r="X3137">
        <v>0.97275719999999999</v>
      </c>
      <c r="Y3137">
        <v>-0.38532080000000002</v>
      </c>
      <c r="Z3137">
        <v>-0.178674</v>
      </c>
      <c r="AA3137">
        <v>0.9053196</v>
      </c>
      <c r="AB3137">
        <v>22</v>
      </c>
      <c r="AC3137">
        <v>-1.5686039999999998E-2</v>
      </c>
      <c r="AD3137">
        <v>0.62314019999999903</v>
      </c>
      <c r="AE3137">
        <v>-3.0961609999999999</v>
      </c>
      <c r="AF3137">
        <v>-1.1458523461505701</v>
      </c>
      <c r="AG3137">
        <v>0.62314019999999903</v>
      </c>
      <c r="AH3137">
        <v>2.7462035432890501</v>
      </c>
      <c r="AI3137">
        <v>78.172506215108598</v>
      </c>
      <c r="AJ3137">
        <v>112.64831819248199</v>
      </c>
      <c r="AK3137">
        <v>3.0402163096082702</v>
      </c>
      <c r="AL3137">
        <v>93.260879304007005</v>
      </c>
      <c r="AM3137">
        <v>103.008986265564</v>
      </c>
      <c r="AN3137">
        <v>0.99999998547168401</v>
      </c>
    </row>
    <row r="3138" spans="1:40" x14ac:dyDescent="0.25">
      <c r="A3138" t="str">
        <f>"20190305134956454"</f>
        <v>20190305134956454</v>
      </c>
      <c r="B3138" t="str">
        <f>"1551764996443754"</f>
        <v>1551764996443754</v>
      </c>
      <c r="C3138" t="s">
        <v>40</v>
      </c>
      <c r="D3138">
        <v>3.8745989999999999</v>
      </c>
      <c r="E3138">
        <v>0.43820019999999998</v>
      </c>
      <c r="F3138" t="s">
        <v>47</v>
      </c>
      <c r="G3138">
        <v>0</v>
      </c>
      <c r="H3138">
        <v>0</v>
      </c>
      <c r="I3138">
        <v>0</v>
      </c>
      <c r="J3138">
        <v>-487.40230000000003</v>
      </c>
      <c r="K3138">
        <v>1.1106180000000001</v>
      </c>
      <c r="L3138">
        <v>265.98610000000002</v>
      </c>
      <c r="M3138">
        <v>-0.38930550000000003</v>
      </c>
      <c r="N3138">
        <v>-1.249108E-2</v>
      </c>
      <c r="O3138">
        <v>-0.92102410000000001</v>
      </c>
      <c r="P3138">
        <v>-0.1687352</v>
      </c>
      <c r="Q3138">
        <v>-6.9282789999999997E-2</v>
      </c>
      <c r="R3138">
        <v>-0.98322379999999998</v>
      </c>
      <c r="S3138">
        <v>-2.4414060000000001E-3</v>
      </c>
      <c r="T3138">
        <v>0.61827109999999996</v>
      </c>
      <c r="U3138">
        <v>-3.0955810000000001</v>
      </c>
      <c r="V3138">
        <v>-0.22728499999999999</v>
      </c>
      <c r="W3138">
        <v>-5.7532470000000002E-2</v>
      </c>
      <c r="X3138">
        <v>0.97212730000000003</v>
      </c>
      <c r="Y3138">
        <v>-0.38878059999999998</v>
      </c>
      <c r="Z3138">
        <v>-0.17735409999999999</v>
      </c>
      <c r="AA3138">
        <v>0.90409910000000004</v>
      </c>
      <c r="AB3138">
        <v>22</v>
      </c>
      <c r="AC3138">
        <v>-2.4414060000000001E-3</v>
      </c>
      <c r="AD3138">
        <v>0.61827109999999996</v>
      </c>
      <c r="AE3138">
        <v>-3.0955810000000001</v>
      </c>
      <c r="AF3138">
        <v>-1.1568251154987199</v>
      </c>
      <c r="AG3138">
        <v>0.61827109999999996</v>
      </c>
      <c r="AH3138">
        <v>2.74286230247059</v>
      </c>
      <c r="AI3138">
        <v>78.266811200734907</v>
      </c>
      <c r="AJ3138">
        <v>112.867991853953</v>
      </c>
      <c r="AK3138">
        <v>3.04036134550782</v>
      </c>
      <c r="AL3138">
        <v>93.298189010833298</v>
      </c>
      <c r="AM3138">
        <v>103.159468640467</v>
      </c>
      <c r="AN3138">
        <v>0.99999997186729495</v>
      </c>
    </row>
    <row r="3139" spans="1:40" x14ac:dyDescent="0.25">
      <c r="A3139" t="str">
        <f>"20190305134956466"</f>
        <v>20190305134956466</v>
      </c>
      <c r="B3139" t="str">
        <f>"1551764996463273"</f>
        <v>1551764996463273</v>
      </c>
      <c r="C3139" t="s">
        <v>40</v>
      </c>
      <c r="D3139">
        <v>4.0488059999999999</v>
      </c>
      <c r="E3139">
        <v>0.438585</v>
      </c>
      <c r="F3139" t="s">
        <v>47</v>
      </c>
      <c r="G3139">
        <v>0</v>
      </c>
      <c r="H3139">
        <v>0</v>
      </c>
      <c r="I3139">
        <v>0</v>
      </c>
      <c r="J3139">
        <v>-487.4479</v>
      </c>
      <c r="K3139">
        <v>1.1107560000000001</v>
      </c>
      <c r="L3139">
        <v>265.87729999999999</v>
      </c>
      <c r="M3139">
        <v>-0.38878770000000001</v>
      </c>
      <c r="N3139">
        <v>-1.247916E-2</v>
      </c>
      <c r="O3139">
        <v>-0.92124300000000003</v>
      </c>
      <c r="P3139">
        <v>-0.1654803</v>
      </c>
      <c r="Q3139">
        <v>-7.0456969999999994E-2</v>
      </c>
      <c r="R3139">
        <v>-0.98369320000000005</v>
      </c>
      <c r="S3139">
        <v>4.3029790000000002E-3</v>
      </c>
      <c r="T3139">
        <v>0.61932299999999996</v>
      </c>
      <c r="U3139">
        <v>-3.0955810000000001</v>
      </c>
      <c r="V3139">
        <v>-0.2298972</v>
      </c>
      <c r="W3139">
        <v>-5.8813219999999999E-2</v>
      </c>
      <c r="X3139">
        <v>0.97143619999999997</v>
      </c>
      <c r="Y3139">
        <v>-0.39023099999999999</v>
      </c>
      <c r="Z3139">
        <v>-0.1776172</v>
      </c>
      <c r="AA3139">
        <v>0.90342230000000001</v>
      </c>
      <c r="AB3139">
        <v>22</v>
      </c>
      <c r="AC3139">
        <v>4.3029790000000002E-3</v>
      </c>
      <c r="AD3139">
        <v>0.61932299999999996</v>
      </c>
      <c r="AE3139">
        <v>-3.0955810000000001</v>
      </c>
      <c r="AF3139">
        <v>-1.1611065697623599</v>
      </c>
      <c r="AG3139">
        <v>0.61932299999999996</v>
      </c>
      <c r="AH3139">
        <v>2.7406326060869102</v>
      </c>
      <c r="AI3139">
        <v>78.245919055441206</v>
      </c>
      <c r="AJ3139">
        <v>112.96061047796999</v>
      </c>
      <c r="AK3139">
        <v>3.0401967907063301</v>
      </c>
      <c r="AL3139">
        <v>93.371694959577098</v>
      </c>
      <c r="AM3139">
        <v>103.31448971327301</v>
      </c>
      <c r="AN3139">
        <v>1.0000000040425201</v>
      </c>
    </row>
    <row r="3140" spans="1:40" x14ac:dyDescent="0.25">
      <c r="A3140" t="str">
        <f>"20190305134956479"</f>
        <v>20190305134956479</v>
      </c>
      <c r="B3140" t="str">
        <f>"1551764996474009"</f>
        <v>1551764996474009</v>
      </c>
      <c r="C3140" t="s">
        <v>40</v>
      </c>
      <c r="D3140">
        <v>3.8441049999999999</v>
      </c>
      <c r="E3140">
        <v>0.43900430000000001</v>
      </c>
      <c r="F3140" t="s">
        <v>47</v>
      </c>
      <c r="G3140">
        <v>0</v>
      </c>
      <c r="H3140">
        <v>0</v>
      </c>
      <c r="I3140">
        <v>0</v>
      </c>
      <c r="J3140">
        <v>-487.49560000000002</v>
      </c>
      <c r="K3140">
        <v>1.1109</v>
      </c>
      <c r="L3140">
        <v>265.76240000000001</v>
      </c>
      <c r="M3140">
        <v>-0.38810280000000003</v>
      </c>
      <c r="N3140">
        <v>-1.2467209999999999E-2</v>
      </c>
      <c r="O3140">
        <v>-0.92153200000000002</v>
      </c>
      <c r="P3140">
        <v>-0.16188959999999999</v>
      </c>
      <c r="Q3140">
        <v>-7.2011450000000005E-2</v>
      </c>
      <c r="R3140">
        <v>-0.98417809999999994</v>
      </c>
      <c r="S3140">
        <v>1.287842E-2</v>
      </c>
      <c r="T3140">
        <v>0.61102159999999905</v>
      </c>
      <c r="U3140">
        <v>-3.0956730000000001</v>
      </c>
      <c r="V3140">
        <v>-0.23264770000000001</v>
      </c>
      <c r="W3140">
        <v>-6.0478469999999999E-2</v>
      </c>
      <c r="X3140">
        <v>0.97067879999999995</v>
      </c>
      <c r="Y3140">
        <v>-0.39205129999999999</v>
      </c>
      <c r="Z3140">
        <v>-0.17547989999999999</v>
      </c>
      <c r="AA3140">
        <v>0.90305179999999996</v>
      </c>
      <c r="AB3140">
        <v>22</v>
      </c>
      <c r="AC3140">
        <v>1.287842E-2</v>
      </c>
      <c r="AD3140">
        <v>0.61102159999999905</v>
      </c>
      <c r="AE3140">
        <v>-3.0956730000000001</v>
      </c>
      <c r="AF3140">
        <v>-1.1679022608976399</v>
      </c>
      <c r="AG3140">
        <v>0.61102159999999905</v>
      </c>
      <c r="AH3140">
        <v>2.7411931841813901</v>
      </c>
      <c r="AI3140">
        <v>78.411192575617207</v>
      </c>
      <c r="AJ3140">
        <v>113.076728339759</v>
      </c>
      <c r="AK3140">
        <v>3.0416250853251001</v>
      </c>
      <c r="AL3140">
        <v>93.4672770760167</v>
      </c>
      <c r="AM3140">
        <v>103.47813945127</v>
      </c>
      <c r="AN3140">
        <v>0.99999996520913403</v>
      </c>
    </row>
    <row r="3141" spans="1:40" x14ac:dyDescent="0.25">
      <c r="A3141" t="str">
        <f>"20190305134956491"</f>
        <v>20190305134956491</v>
      </c>
      <c r="B3141" t="str">
        <f>"1551764996483769"</f>
        <v>1551764996483769</v>
      </c>
      <c r="C3141" t="s">
        <v>40</v>
      </c>
      <c r="D3141">
        <v>4.0953200000000001</v>
      </c>
      <c r="E3141">
        <v>0.43900430000000001</v>
      </c>
      <c r="F3141" t="s">
        <v>47</v>
      </c>
      <c r="G3141">
        <v>0</v>
      </c>
      <c r="H3141">
        <v>0</v>
      </c>
      <c r="I3141">
        <v>0</v>
      </c>
      <c r="J3141">
        <v>-487.54239999999999</v>
      </c>
      <c r="K3141">
        <v>1.1110359999999999</v>
      </c>
      <c r="L3141">
        <v>265.64949999999999</v>
      </c>
      <c r="M3141">
        <v>-0.387351</v>
      </c>
      <c r="N3141">
        <v>-1.245609E-2</v>
      </c>
      <c r="O3141">
        <v>-0.92184849999999996</v>
      </c>
      <c r="P3141">
        <v>-0.1582587</v>
      </c>
      <c r="Q3141">
        <v>-7.3554690000000006E-2</v>
      </c>
      <c r="R3141">
        <v>-0.98465449999999999</v>
      </c>
      <c r="S3141">
        <v>2.105713E-2</v>
      </c>
      <c r="T3141">
        <v>0.60398769999999902</v>
      </c>
      <c r="U3141">
        <v>-3.0958559999999999</v>
      </c>
      <c r="V3141">
        <v>-0.2353634</v>
      </c>
      <c r="W3141">
        <v>-6.2129910000000003E-2</v>
      </c>
      <c r="X3141">
        <v>0.96991959999999999</v>
      </c>
      <c r="Y3141">
        <v>-0.39368920000000002</v>
      </c>
      <c r="Z3141">
        <v>-0.1736761</v>
      </c>
      <c r="AA3141">
        <v>0.90268789999999999</v>
      </c>
      <c r="AB3141">
        <v>22</v>
      </c>
      <c r="AC3141">
        <v>2.105713E-2</v>
      </c>
      <c r="AD3141">
        <v>0.60398769999999902</v>
      </c>
      <c r="AE3141">
        <v>-3.0958559999999999</v>
      </c>
      <c r="AF3141">
        <v>-1.17400533559471</v>
      </c>
      <c r="AG3141">
        <v>0.60398769999999902</v>
      </c>
      <c r="AH3141">
        <v>2.7416259548740798</v>
      </c>
      <c r="AI3141">
        <v>78.551507060273906</v>
      </c>
      <c r="AJ3141">
        <v>113.181334942333</v>
      </c>
      <c r="AK3141">
        <v>3.0429595045276798</v>
      </c>
      <c r="AL3141">
        <v>93.562075658870896</v>
      </c>
      <c r="AM3141">
        <v>103.639903473308</v>
      </c>
      <c r="AN3141">
        <v>1.0000000431201601</v>
      </c>
    </row>
    <row r="3142" spans="1:40" x14ac:dyDescent="0.25">
      <c r="A3142" t="str">
        <f>"20190305134956507"</f>
        <v>20190305134956507</v>
      </c>
      <c r="B3142" t="str">
        <f>"1551764996503290"</f>
        <v>1551764996503290</v>
      </c>
      <c r="C3142" t="s">
        <v>40</v>
      </c>
      <c r="D3142">
        <v>4.1684939999999999</v>
      </c>
      <c r="E3142">
        <v>0.43931429999999999</v>
      </c>
      <c r="F3142" t="s">
        <v>47</v>
      </c>
      <c r="G3142">
        <v>0</v>
      </c>
      <c r="H3142">
        <v>0</v>
      </c>
      <c r="I3142">
        <v>0</v>
      </c>
      <c r="J3142">
        <v>-487.59859999999998</v>
      </c>
      <c r="K3142">
        <v>1.1111869999999999</v>
      </c>
      <c r="L3142">
        <v>265.51280000000003</v>
      </c>
      <c r="M3142">
        <v>-0.38626389999999999</v>
      </c>
      <c r="N3142">
        <v>-1.244549E-2</v>
      </c>
      <c r="O3142">
        <v>-0.92230460000000003</v>
      </c>
      <c r="P3142">
        <v>-0.151251</v>
      </c>
      <c r="Q3142">
        <v>-7.6827759999999995E-2</v>
      </c>
      <c r="R3142">
        <v>-0.98550550000000003</v>
      </c>
      <c r="S3142">
        <v>3.3599850000000001E-2</v>
      </c>
      <c r="T3142">
        <v>0.59854359999999995</v>
      </c>
      <c r="U3142">
        <v>-3.0968629999999999</v>
      </c>
      <c r="V3142">
        <v>-0.2409782</v>
      </c>
      <c r="W3142">
        <v>-6.5544290000000005E-2</v>
      </c>
      <c r="X3142">
        <v>0.96831480000000003</v>
      </c>
      <c r="Y3142">
        <v>-0.39626149999999999</v>
      </c>
      <c r="Z3142">
        <v>-0.172239</v>
      </c>
      <c r="AA3142">
        <v>0.90183729999999995</v>
      </c>
      <c r="AB3142">
        <v>22</v>
      </c>
      <c r="AC3142">
        <v>3.3599850000000001E-2</v>
      </c>
      <c r="AD3142">
        <v>0.59854359999999995</v>
      </c>
      <c r="AE3142">
        <v>-3.0968629999999999</v>
      </c>
      <c r="AF3142">
        <v>-1.183101021363</v>
      </c>
      <c r="AG3142">
        <v>0.59854359999999995</v>
      </c>
      <c r="AH3142">
        <v>2.7411102889550301</v>
      </c>
      <c r="AI3142">
        <v>78.663556927351493</v>
      </c>
      <c r="AJ3142">
        <v>113.345694187231</v>
      </c>
      <c r="AK3142">
        <v>3.0449413925503199</v>
      </c>
      <c r="AL3142">
        <v>93.758105122177398</v>
      </c>
      <c r="AM3142">
        <v>103.974940266226</v>
      </c>
      <c r="AN3142">
        <v>1.00000004936294</v>
      </c>
    </row>
    <row r="3143" spans="1:40" x14ac:dyDescent="0.25">
      <c r="A3143" t="str">
        <f>"20190305134956518"</f>
        <v>20190305134956518</v>
      </c>
      <c r="B3143" t="str">
        <f>"1551764996514027"</f>
        <v>1551764996514027</v>
      </c>
      <c r="C3143" t="s">
        <v>40</v>
      </c>
      <c r="D3143">
        <v>3.9021490000000001</v>
      </c>
      <c r="E3143">
        <v>0.43882199999999999</v>
      </c>
      <c r="F3143" t="s">
        <v>82</v>
      </c>
      <c r="G3143">
        <v>-484.08460000000002</v>
      </c>
      <c r="H3143">
        <v>38.695610000000002</v>
      </c>
      <c r="I3143">
        <v>65.675449999999998</v>
      </c>
      <c r="J3143">
        <v>-487.63780000000003</v>
      </c>
      <c r="K3143">
        <v>1.1112839999999999</v>
      </c>
      <c r="L3143">
        <v>265.4169</v>
      </c>
      <c r="M3143">
        <v>-0.38540200000000002</v>
      </c>
      <c r="N3143">
        <v>-1.243992E-2</v>
      </c>
      <c r="O3143">
        <v>-0.92266499999999996</v>
      </c>
      <c r="P3143">
        <v>-0.14717539999999901</v>
      </c>
      <c r="Q3143">
        <v>-7.7897129999999995E-2</v>
      </c>
      <c r="R3143">
        <v>-0.98603859999999999</v>
      </c>
      <c r="S3143">
        <v>5.4473880000000002E-2</v>
      </c>
      <c r="T3143">
        <v>0.58264369999999999</v>
      </c>
      <c r="U3143">
        <v>-3.097931</v>
      </c>
      <c r="V3143">
        <v>-0.24401999999999999</v>
      </c>
      <c r="W3143">
        <v>-6.6700690000000007E-2</v>
      </c>
      <c r="X3143">
        <v>0.96747360000000004</v>
      </c>
      <c r="Y3143">
        <v>-0.40148499999999998</v>
      </c>
      <c r="Z3143">
        <v>-0.16797110000000001</v>
      </c>
      <c r="AA3143">
        <v>0.90033079999999999</v>
      </c>
      <c r="AB3143">
        <v>22</v>
      </c>
      <c r="AC3143">
        <v>3.5531999999999999</v>
      </c>
      <c r="AD3143">
        <v>37.584325999999997</v>
      </c>
      <c r="AE3143">
        <v>-199.74144999999999</v>
      </c>
      <c r="AF3143">
        <v>-77.521512107881193</v>
      </c>
      <c r="AG3143">
        <v>37.584325999999997</v>
      </c>
      <c r="AH3143">
        <v>176.68542683053201</v>
      </c>
      <c r="AI3143">
        <v>78.977155168422797</v>
      </c>
      <c r="AJ3143">
        <v>113.689676136109</v>
      </c>
      <c r="AK3143">
        <v>196.570360061363</v>
      </c>
      <c r="AL3143">
        <v>93.824507645383605</v>
      </c>
      <c r="AM3143">
        <v>104.156107332237</v>
      </c>
      <c r="AN3143">
        <v>0.99999995457171698</v>
      </c>
    </row>
    <row r="3144" spans="1:40" x14ac:dyDescent="0.25">
      <c r="A3144" t="str">
        <f>"20190305134956530"</f>
        <v>20190305134956530</v>
      </c>
      <c r="B3144" t="str">
        <f>"1551764996523785"</f>
        <v>1551764996523785</v>
      </c>
      <c r="C3144" t="s">
        <v>40</v>
      </c>
      <c r="D3144">
        <v>3.9748589999999999</v>
      </c>
      <c r="E3144">
        <v>0.43841960000000002</v>
      </c>
      <c r="F3144" t="s">
        <v>82</v>
      </c>
      <c r="G3144">
        <v>-483.00599999999997</v>
      </c>
      <c r="H3144">
        <v>38.760829999999999</v>
      </c>
      <c r="I3144">
        <v>65.675449999999998</v>
      </c>
      <c r="J3144">
        <v>-487.68239999999997</v>
      </c>
      <c r="K3144">
        <v>1.1113930000000001</v>
      </c>
      <c r="L3144">
        <v>265.3073</v>
      </c>
      <c r="M3144">
        <v>-0.38437379999999999</v>
      </c>
      <c r="N3144">
        <v>-1.24341E-2</v>
      </c>
      <c r="O3144">
        <v>-0.92309390000000002</v>
      </c>
      <c r="P3144">
        <v>-0.14278650000000001</v>
      </c>
      <c r="Q3144">
        <v>-7.8822840000000005E-2</v>
      </c>
      <c r="R3144">
        <v>-0.98660990000000004</v>
      </c>
      <c r="S3144">
        <v>7.1868899999999999E-2</v>
      </c>
      <c r="T3144">
        <v>0.58419809999999905</v>
      </c>
      <c r="U3144">
        <v>-3.099335</v>
      </c>
      <c r="V3144">
        <v>-0.2471922</v>
      </c>
      <c r="W3144">
        <v>-6.7722630000000006E-2</v>
      </c>
      <c r="X3144">
        <v>0.96659700000000004</v>
      </c>
      <c r="Y3144">
        <v>-0.40550269999999999</v>
      </c>
      <c r="Z3144">
        <v>-0.168247799999999</v>
      </c>
      <c r="AA3144">
        <v>0.89847659999999996</v>
      </c>
      <c r="AB3144">
        <v>22</v>
      </c>
      <c r="AC3144">
        <v>4.6764000000000001</v>
      </c>
      <c r="AD3144">
        <v>37.649436999999999</v>
      </c>
      <c r="AE3144">
        <v>-199.63184999999999</v>
      </c>
      <c r="AF3144">
        <v>-78.273767438579398</v>
      </c>
      <c r="AG3144">
        <v>37.649436999999999</v>
      </c>
      <c r="AH3144">
        <v>176.230839608401</v>
      </c>
      <c r="AI3144">
        <v>78.9522689248532</v>
      </c>
      <c r="AJ3144">
        <v>113.948627869913</v>
      </c>
      <c r="AK3144">
        <v>196.47282663138901</v>
      </c>
      <c r="AL3144">
        <v>93.883192834153803</v>
      </c>
      <c r="AM3144">
        <v>104.34505919558499</v>
      </c>
      <c r="AN3144">
        <v>1.0000000493819701</v>
      </c>
    </row>
    <row r="3145" spans="1:40" x14ac:dyDescent="0.25">
      <c r="A3145" t="str">
        <f>"20190305134956541"</f>
        <v>20190305134956541</v>
      </c>
      <c r="B3145" t="str">
        <f>"1551764996533545"</f>
        <v>1551764996533545</v>
      </c>
      <c r="C3145" t="s">
        <v>40</v>
      </c>
      <c r="D3145">
        <v>4.1133170000000003</v>
      </c>
      <c r="E3145">
        <v>0.43841960000000002</v>
      </c>
      <c r="F3145" t="s">
        <v>82</v>
      </c>
      <c r="G3145">
        <v>-481.94319999999999</v>
      </c>
      <c r="H3145">
        <v>39.077840000000002</v>
      </c>
      <c r="I3145">
        <v>65.675449999999998</v>
      </c>
      <c r="J3145">
        <v>-487.72309999999999</v>
      </c>
      <c r="K3145">
        <v>1.1114759999999999</v>
      </c>
      <c r="L3145">
        <v>265.20609999999999</v>
      </c>
      <c r="M3145">
        <v>-0.38330039999999999</v>
      </c>
      <c r="N3145">
        <v>-1.243033E-2</v>
      </c>
      <c r="O3145">
        <v>-0.92354009999999997</v>
      </c>
      <c r="P3145">
        <v>-0.1383017</v>
      </c>
      <c r="Q3145">
        <v>-7.9368759999999997E-2</v>
      </c>
      <c r="R3145">
        <v>-0.98720490000000005</v>
      </c>
      <c r="S3145">
        <v>8.9141849999999995E-2</v>
      </c>
      <c r="T3145">
        <v>0.58970579999999995</v>
      </c>
      <c r="U3145">
        <v>-3.1007389999999999</v>
      </c>
      <c r="V3145">
        <v>-0.25042199999999998</v>
      </c>
      <c r="W3145">
        <v>-6.8352590000000005E-2</v>
      </c>
      <c r="X3145">
        <v>0.96572080000000005</v>
      </c>
      <c r="Y3145">
        <v>-0.40942050000000002</v>
      </c>
      <c r="Z3145">
        <v>-0.16954720000000001</v>
      </c>
      <c r="AA3145">
        <v>0.89645339999999996</v>
      </c>
      <c r="AB3145">
        <v>22</v>
      </c>
      <c r="AC3145">
        <v>5.7798999999999898</v>
      </c>
      <c r="AD3145">
        <v>37.966363999999999</v>
      </c>
      <c r="AE3145">
        <v>-199.53065000000001</v>
      </c>
      <c r="AF3145">
        <v>-78.9677696992254</v>
      </c>
      <c r="AG3145">
        <v>37.966363999999999</v>
      </c>
      <c r="AH3145">
        <v>175.716549436853</v>
      </c>
      <c r="AI3145">
        <v>78.851075978570506</v>
      </c>
      <c r="AJ3145">
        <v>114.199354676056</v>
      </c>
      <c r="AK3145">
        <v>196.35085737690201</v>
      </c>
      <c r="AL3145">
        <v>93.919371069583207</v>
      </c>
      <c r="AM3145">
        <v>104.537231394019</v>
      </c>
      <c r="AN3145">
        <v>0.99999995909817296</v>
      </c>
    </row>
    <row r="3146" spans="1:40" x14ac:dyDescent="0.25">
      <c r="A3146" t="str">
        <f>"20190305134956552"</f>
        <v>20190305134956552</v>
      </c>
      <c r="B3146" t="str">
        <f>"1551764996543305"</f>
        <v>1551764996543305</v>
      </c>
      <c r="C3146" t="s">
        <v>40</v>
      </c>
      <c r="D3146">
        <v>3.9125239999999999</v>
      </c>
      <c r="E3146">
        <v>0.43811099999999997</v>
      </c>
      <c r="F3146" t="s">
        <v>82</v>
      </c>
      <c r="G3146">
        <v>-481.08319999999998</v>
      </c>
      <c r="H3146">
        <v>38.944479999999999</v>
      </c>
      <c r="I3146">
        <v>65.675460000000001</v>
      </c>
      <c r="J3146">
        <v>-487.76060000000001</v>
      </c>
      <c r="K3146">
        <v>1.111553</v>
      </c>
      <c r="L3146">
        <v>265.11290000000002</v>
      </c>
      <c r="M3146">
        <v>-0.38228689999999999</v>
      </c>
      <c r="N3146">
        <v>-1.2426609999999999E-2</v>
      </c>
      <c r="O3146">
        <v>-0.92396040000000002</v>
      </c>
      <c r="P3146">
        <v>-0.13382620000000001</v>
      </c>
      <c r="Q3146">
        <v>-7.9353850000000004E-2</v>
      </c>
      <c r="R3146">
        <v>-0.9878228</v>
      </c>
      <c r="S3146">
        <v>0.1031799</v>
      </c>
      <c r="T3146">
        <v>0.58790209999999998</v>
      </c>
      <c r="U3146">
        <v>-3.1005859999999998</v>
      </c>
      <c r="V3146">
        <v>-0.25372109999999998</v>
      </c>
      <c r="W3146">
        <v>-6.8416030000000003E-2</v>
      </c>
      <c r="X3146">
        <v>0.96485480000000001</v>
      </c>
      <c r="Y3146">
        <v>-0.41247669999999997</v>
      </c>
      <c r="Z3146">
        <v>-0.16906840000000001</v>
      </c>
      <c r="AA3146">
        <v>0.89514179999999999</v>
      </c>
      <c r="AB3146">
        <v>22</v>
      </c>
      <c r="AC3146">
        <v>6.6774000000000298</v>
      </c>
      <c r="AD3146">
        <v>37.832926999999998</v>
      </c>
      <c r="AE3146">
        <v>-199.43744000000001</v>
      </c>
      <c r="AF3146">
        <v>-79.558573931801803</v>
      </c>
      <c r="AG3146">
        <v>37.832926999999998</v>
      </c>
      <c r="AH3146">
        <v>175.427825495707</v>
      </c>
      <c r="AI3146">
        <v>78.888155617889296</v>
      </c>
      <c r="AJ3146">
        <v>114.39484867524401</v>
      </c>
      <c r="AK3146">
        <v>196.305422771765</v>
      </c>
      <c r="AL3146">
        <v>93.923014410252705</v>
      </c>
      <c r="AM3146">
        <v>104.73311820871299</v>
      </c>
      <c r="AN3146">
        <v>0.99999996741460495</v>
      </c>
    </row>
    <row r="3147" spans="1:40" x14ac:dyDescent="0.25">
      <c r="A3147" t="str">
        <f>"20190305134956562"</f>
        <v>20190305134956562</v>
      </c>
      <c r="B3147" t="str">
        <f>"1551764996554042"</f>
        <v>1551764996554042</v>
      </c>
      <c r="C3147" t="s">
        <v>40</v>
      </c>
      <c r="D3147">
        <v>4.078157</v>
      </c>
      <c r="E3147">
        <v>0.43811099999999997</v>
      </c>
      <c r="F3147" t="s">
        <v>82</v>
      </c>
      <c r="G3147">
        <v>-479.94459999999998</v>
      </c>
      <c r="H3147">
        <v>39.544739999999997</v>
      </c>
      <c r="I3147">
        <v>64.450019999999995</v>
      </c>
      <c r="J3147">
        <v>-487.80040000000002</v>
      </c>
      <c r="K3147">
        <v>1.1116220000000001</v>
      </c>
      <c r="L3147">
        <v>265.01330000000002</v>
      </c>
      <c r="M3147">
        <v>-0.38111889999999998</v>
      </c>
      <c r="N3147">
        <v>-1.2422320000000001E-2</v>
      </c>
      <c r="O3147">
        <v>-0.92444280000000001</v>
      </c>
      <c r="P3147">
        <v>-0.12920860000000001</v>
      </c>
      <c r="Q3147">
        <v>-7.9269629999999994E-2</v>
      </c>
      <c r="R3147">
        <v>-0.98844430000000005</v>
      </c>
      <c r="S3147">
        <v>0.1207886</v>
      </c>
      <c r="T3147">
        <v>0.59395220000000004</v>
      </c>
      <c r="U3147">
        <v>-3.1010740000000001</v>
      </c>
      <c r="V3147">
        <v>-0.25699650000000002</v>
      </c>
      <c r="W3147">
        <v>-6.8405789999999994E-2</v>
      </c>
      <c r="X3147">
        <v>0.96398830000000002</v>
      </c>
      <c r="Y3147">
        <v>-0.416381</v>
      </c>
      <c r="Z3147">
        <v>-0.17055139999999999</v>
      </c>
      <c r="AA3147">
        <v>0.89305040000000002</v>
      </c>
      <c r="AB3147">
        <v>22</v>
      </c>
      <c r="AC3147">
        <v>7.8558000000000403</v>
      </c>
      <c r="AD3147">
        <v>38.433118</v>
      </c>
      <c r="AE3147">
        <v>-200.56327999999999</v>
      </c>
      <c r="AF3147">
        <v>-80.746622595032093</v>
      </c>
      <c r="AG3147">
        <v>38.433118</v>
      </c>
      <c r="AH3147">
        <v>175.977253026093</v>
      </c>
      <c r="AI3147">
        <v>78.772756895883305</v>
      </c>
      <c r="AJ3147">
        <v>114.647878508064</v>
      </c>
      <c r="AK3147">
        <v>197.395833801821</v>
      </c>
      <c r="AL3147">
        <v>93.922426204220997</v>
      </c>
      <c r="AM3147">
        <v>104.927696680306</v>
      </c>
      <c r="AN3147">
        <v>0.99999999782733195</v>
      </c>
    </row>
    <row r="3148" spans="1:40" x14ac:dyDescent="0.25">
      <c r="A3148" t="str">
        <f>"20190305134956574"</f>
        <v>20190305134956574</v>
      </c>
      <c r="B3148" t="str">
        <f>"1551764996563802"</f>
        <v>1551764996563802</v>
      </c>
      <c r="C3148" t="s">
        <v>40</v>
      </c>
      <c r="D3148">
        <v>4.0753009999999996</v>
      </c>
      <c r="E3148">
        <v>0.40136699999999997</v>
      </c>
      <c r="F3148" t="s">
        <v>82</v>
      </c>
      <c r="G3148">
        <v>-479.02530000000002</v>
      </c>
      <c r="H3148">
        <v>39.522239999999996</v>
      </c>
      <c r="I3148">
        <v>64.450009999999907</v>
      </c>
      <c r="J3148">
        <v>-487.84070000000003</v>
      </c>
      <c r="K3148">
        <v>1.1116999999999999</v>
      </c>
      <c r="L3148">
        <v>264.91199999999998</v>
      </c>
      <c r="M3148">
        <v>-0.3799884</v>
      </c>
      <c r="N3148">
        <v>-1.26611E-2</v>
      </c>
      <c r="O3148">
        <v>-0.92490490000000003</v>
      </c>
      <c r="P3148">
        <v>-0.12470390000000001</v>
      </c>
      <c r="Q3148">
        <v>-7.9933389999999993E-2</v>
      </c>
      <c r="R3148">
        <v>-0.9889694</v>
      </c>
      <c r="S3148">
        <v>0.13565060000000001</v>
      </c>
      <c r="T3148">
        <v>0.59378149999999996</v>
      </c>
      <c r="U3148">
        <v>-3.1004640000000001</v>
      </c>
      <c r="V3148">
        <v>-0.2601813</v>
      </c>
      <c r="W3148">
        <v>-6.887712E-2</v>
      </c>
      <c r="X3148">
        <v>0.96309999999999996</v>
      </c>
      <c r="Y3148">
        <v>-0.41955589999999998</v>
      </c>
      <c r="Z3148">
        <v>-0.1707552</v>
      </c>
      <c r="AA3148">
        <v>0.89152430000000005</v>
      </c>
      <c r="AB3148">
        <v>22</v>
      </c>
      <c r="AC3148">
        <v>8.8154000000000092</v>
      </c>
      <c r="AD3148">
        <v>38.410539999999997</v>
      </c>
      <c r="AE3148">
        <v>-200.46198999999999</v>
      </c>
      <c r="AF3148">
        <v>-81.352334088291599</v>
      </c>
      <c r="AG3148">
        <v>38.410539999999997</v>
      </c>
      <c r="AH3148">
        <v>175.637100657942</v>
      </c>
      <c r="AI3148">
        <v>78.7760598205778</v>
      </c>
      <c r="AJ3148">
        <v>114.85282792943001</v>
      </c>
      <c r="AK3148">
        <v>197.33718091690801</v>
      </c>
      <c r="AL3148">
        <v>93.949495307385305</v>
      </c>
      <c r="AM3148">
        <v>105.11757607973399</v>
      </c>
      <c r="AN3148">
        <v>0.99999998826459202</v>
      </c>
    </row>
    <row r="3149" spans="1:40" x14ac:dyDescent="0.25">
      <c r="A3149" t="str">
        <f>"20190305134956585"</f>
        <v>20190305134956585</v>
      </c>
      <c r="B3149" t="str">
        <f>"1551764996573561"</f>
        <v>1551764996573561</v>
      </c>
      <c r="C3149" t="s">
        <v>40</v>
      </c>
      <c r="D3149">
        <v>3.873154</v>
      </c>
      <c r="E3149">
        <v>0.40136699999999997</v>
      </c>
      <c r="F3149" t="s">
        <v>42</v>
      </c>
      <c r="G3149">
        <v>-475.7672</v>
      </c>
      <c r="H3149">
        <v>7.9985749999999994E-2</v>
      </c>
      <c r="I3149">
        <v>175.30629999999999</v>
      </c>
      <c r="J3149">
        <v>-487.8784</v>
      </c>
      <c r="K3149">
        <v>1.1117919999999999</v>
      </c>
      <c r="L3149">
        <v>264.8168</v>
      </c>
      <c r="M3149">
        <v>-0.37899620000000001</v>
      </c>
      <c r="N3149">
        <v>-1.317872E-2</v>
      </c>
      <c r="O3149">
        <v>-0.92530449999999997</v>
      </c>
      <c r="P3149">
        <v>-0.12063989999999999</v>
      </c>
      <c r="Q3149">
        <v>-8.1019800000000003E-2</v>
      </c>
      <c r="R3149">
        <v>-0.98938470000000001</v>
      </c>
      <c r="S3149">
        <v>0.41540529999999998</v>
      </c>
      <c r="T3149">
        <v>-3.5497550000000003E-2</v>
      </c>
      <c r="U3149">
        <v>-3.083008</v>
      </c>
      <c r="V3149">
        <v>-0.26307560000000002</v>
      </c>
      <c r="W3149">
        <v>-6.9459129999999994E-2</v>
      </c>
      <c r="X3149">
        <v>0.9622716</v>
      </c>
      <c r="Y3149">
        <v>-0.49912060000000003</v>
      </c>
      <c r="Z3149">
        <v>-4.1290099999999998E-3</v>
      </c>
      <c r="AA3149">
        <v>0.86652269999999898</v>
      </c>
      <c r="AB3149">
        <v>22</v>
      </c>
      <c r="AC3149">
        <v>12.111199999999901</v>
      </c>
      <c r="AD3149">
        <v>-1.03180625</v>
      </c>
      <c r="AE3149">
        <v>-89.510499999999993</v>
      </c>
      <c r="AF3149">
        <v>-45.128713234201498</v>
      </c>
      <c r="AG3149">
        <v>-1.03180625</v>
      </c>
      <c r="AH3149">
        <v>78.230947750417499</v>
      </c>
      <c r="AI3149">
        <v>90.654553468744695</v>
      </c>
      <c r="AJ3149">
        <v>119.979152360608</v>
      </c>
      <c r="AK3149">
        <v>90.320244509417194</v>
      </c>
      <c r="AL3149">
        <v>93.982922086040801</v>
      </c>
      <c r="AM3149">
        <v>105.290464702398</v>
      </c>
      <c r="AN3149">
        <v>0.99999998711113802</v>
      </c>
    </row>
    <row r="3150" spans="1:40" x14ac:dyDescent="0.25">
      <c r="A3150" t="str">
        <f>"20190305134956596"</f>
        <v>20190305134956596</v>
      </c>
      <c r="B3150" t="str">
        <f>"1551764996594058"</f>
        <v>1551764996594058</v>
      </c>
      <c r="C3150" t="s">
        <v>40</v>
      </c>
      <c r="D3150">
        <v>3.9151210000000001</v>
      </c>
      <c r="E3150">
        <v>0.43628339999999999</v>
      </c>
      <c r="F3150" t="s">
        <v>42</v>
      </c>
      <c r="G3150">
        <v>-476.7704</v>
      </c>
      <c r="H3150">
        <v>7.9985600000000004E-2</v>
      </c>
      <c r="I3150">
        <v>184.93709999999999</v>
      </c>
      <c r="J3150">
        <v>-487.91520000000003</v>
      </c>
      <c r="K3150">
        <v>1.1118709999999901</v>
      </c>
      <c r="L3150">
        <v>264.7235</v>
      </c>
      <c r="M3150">
        <v>-0.37805460000000002</v>
      </c>
      <c r="N3150">
        <v>-1.3844E-2</v>
      </c>
      <c r="O3150">
        <v>-0.92567980000000005</v>
      </c>
      <c r="P3150">
        <v>-0.1167533</v>
      </c>
      <c r="Q3150">
        <v>-8.2328739999999997E-2</v>
      </c>
      <c r="R3150">
        <v>-0.98974320000000005</v>
      </c>
      <c r="S3150">
        <v>0.42846679999999998</v>
      </c>
      <c r="T3150">
        <v>-3.9799569999999999E-2</v>
      </c>
      <c r="U3150">
        <v>-3.0811769999999998</v>
      </c>
      <c r="V3150">
        <v>-0.26584590000000002</v>
      </c>
      <c r="W3150">
        <v>-7.0098250000000001E-2</v>
      </c>
      <c r="X3150">
        <v>0.96146359999999997</v>
      </c>
      <c r="Y3150">
        <v>-0.50190140000000005</v>
      </c>
      <c r="Z3150">
        <v>-3.6836379999999999E-3</v>
      </c>
      <c r="AA3150">
        <v>0.86491700000000005</v>
      </c>
      <c r="AB3150">
        <v>22</v>
      </c>
      <c r="AC3150">
        <v>11.1448</v>
      </c>
      <c r="AD3150">
        <v>-1.03188539999999</v>
      </c>
      <c r="AE3150">
        <v>-79.7864</v>
      </c>
      <c r="AF3150">
        <v>-40.477370002135402</v>
      </c>
      <c r="AG3150">
        <v>-1.03188539999999</v>
      </c>
      <c r="AH3150">
        <v>69.638564450438096</v>
      </c>
      <c r="AI3150">
        <v>90.733967266876505</v>
      </c>
      <c r="AJ3150">
        <v>120.16726757645699</v>
      </c>
      <c r="AK3150">
        <v>80.554403532558894</v>
      </c>
      <c r="AL3150">
        <v>94.019630267152493</v>
      </c>
      <c r="AM3150">
        <v>105.456188952145</v>
      </c>
      <c r="AN3150">
        <v>1.0000000306624099</v>
      </c>
    </row>
    <row r="3151" spans="1:40" x14ac:dyDescent="0.25">
      <c r="A3151" t="str">
        <f>"20190305134956609"</f>
        <v>20190305134956609</v>
      </c>
      <c r="B3151" t="str">
        <f>"1551764996603817"</f>
        <v>1551764996603817</v>
      </c>
      <c r="C3151" t="s">
        <v>40</v>
      </c>
      <c r="D3151">
        <v>3.8888310000000001</v>
      </c>
      <c r="E3151">
        <v>0.43698720000000002</v>
      </c>
      <c r="F3151" t="s">
        <v>82</v>
      </c>
      <c r="G3151">
        <v>-475.35789999999997</v>
      </c>
      <c r="H3151">
        <v>44.168199999999999</v>
      </c>
      <c r="I3151">
        <v>64.450019999999995</v>
      </c>
      <c r="J3151">
        <v>-487.95890000000003</v>
      </c>
      <c r="K3151">
        <v>1.111964</v>
      </c>
      <c r="L3151">
        <v>264.61279999999999</v>
      </c>
      <c r="M3151">
        <v>-0.37696079999999998</v>
      </c>
      <c r="N3151">
        <v>-1.4749190000000001E-2</v>
      </c>
      <c r="O3151">
        <v>-0.92611180000000004</v>
      </c>
      <c r="P3151">
        <v>-0.1127425</v>
      </c>
      <c r="Q3151">
        <v>-8.4094680000000005E-2</v>
      </c>
      <c r="R3151">
        <v>-0.99005940000000003</v>
      </c>
      <c r="S3151">
        <v>0.19497680000000001</v>
      </c>
      <c r="T3151">
        <v>0.668543</v>
      </c>
      <c r="U3151">
        <v>-3.10968</v>
      </c>
      <c r="V3151">
        <v>-0.26856819999999998</v>
      </c>
      <c r="W3151">
        <v>-7.093679E-2</v>
      </c>
      <c r="X3151">
        <v>0.96064510000000003</v>
      </c>
      <c r="Y3151">
        <v>-0.4332028</v>
      </c>
      <c r="Z3151">
        <v>-0.1910066</v>
      </c>
      <c r="AA3151">
        <v>0.88082450000000001</v>
      </c>
      <c r="AB3151">
        <v>21</v>
      </c>
      <c r="AC3151">
        <v>12.601000000000001</v>
      </c>
      <c r="AD3151">
        <v>43.056235999999998</v>
      </c>
      <c r="AE3151">
        <v>-200.16278</v>
      </c>
      <c r="AF3151">
        <v>-83.294076355291494</v>
      </c>
      <c r="AG3151">
        <v>43.056235999999998</v>
      </c>
      <c r="AH3151">
        <v>172.684016623828</v>
      </c>
      <c r="AI3151">
        <v>77.342777663361801</v>
      </c>
      <c r="AJ3151">
        <v>115.750321519557</v>
      </c>
      <c r="AK3151">
        <v>196.49812266713201</v>
      </c>
      <c r="AL3151">
        <v>94.067795273497197</v>
      </c>
      <c r="AM3151">
        <v>105.619433776889</v>
      </c>
      <c r="AN3151">
        <v>0.99999995719037604</v>
      </c>
    </row>
    <row r="3152" spans="1:40" x14ac:dyDescent="0.25">
      <c r="A3152" t="str">
        <f>"20190305134956632"</f>
        <v>20190305134956632</v>
      </c>
      <c r="B3152" t="str">
        <f>"1551764996623337"</f>
        <v>1551764996623337</v>
      </c>
      <c r="C3152" t="s">
        <v>40</v>
      </c>
      <c r="D3152">
        <v>3.8579119999999998</v>
      </c>
      <c r="E3152">
        <v>0.43800070000000002</v>
      </c>
      <c r="F3152" t="s">
        <v>82</v>
      </c>
      <c r="G3152">
        <v>-474.87830000000002</v>
      </c>
      <c r="H3152">
        <v>44.242629999999998</v>
      </c>
      <c r="I3152">
        <v>64.450019999999995</v>
      </c>
      <c r="J3152">
        <v>-488.0052</v>
      </c>
      <c r="K3152">
        <v>1.1120620000000001</v>
      </c>
      <c r="L3152">
        <v>264.4948</v>
      </c>
      <c r="M3152">
        <v>-0.37583749999999999</v>
      </c>
      <c r="N3152">
        <v>-1.5850960000000001E-2</v>
      </c>
      <c r="O3152">
        <v>-0.92654990000000004</v>
      </c>
      <c r="P3152">
        <v>-0.1092234</v>
      </c>
      <c r="Q3152">
        <v>-8.6434330000000004E-2</v>
      </c>
      <c r="R3152">
        <v>-0.99025209999999997</v>
      </c>
      <c r="S3152">
        <v>0.20324710000000001</v>
      </c>
      <c r="T3152">
        <v>0.67017269999999995</v>
      </c>
      <c r="U3152">
        <v>-3.1101679999999998</v>
      </c>
      <c r="V3152">
        <v>-0.27076220000000001</v>
      </c>
      <c r="W3152">
        <v>-7.2151800000000002E-2</v>
      </c>
      <c r="X3152">
        <v>0.95993850000000003</v>
      </c>
      <c r="Y3152">
        <v>-0.43446570000000001</v>
      </c>
      <c r="Z3152">
        <v>-0.1925442</v>
      </c>
      <c r="AA3152">
        <v>0.87986719999999896</v>
      </c>
      <c r="AB3152">
        <v>21</v>
      </c>
      <c r="AC3152">
        <v>13.1268999999999</v>
      </c>
      <c r="AD3152">
        <v>43.130567999999997</v>
      </c>
      <c r="AE3152">
        <v>-200.04478</v>
      </c>
      <c r="AF3152">
        <v>-83.493461641906904</v>
      </c>
      <c r="AG3152">
        <v>43.130567999999997</v>
      </c>
      <c r="AH3152">
        <v>172.458174455278</v>
      </c>
      <c r="AI3152">
        <v>77.314166995243298</v>
      </c>
      <c r="AJ3152">
        <v>115.83336261191</v>
      </c>
      <c r="AK3152">
        <v>196.40067711033601</v>
      </c>
      <c r="AL3152">
        <v>94.137588952316406</v>
      </c>
      <c r="AM3152">
        <v>105.751743984619</v>
      </c>
      <c r="AN3152">
        <v>0.99999998748716401</v>
      </c>
    </row>
    <row r="3153" spans="1:40" x14ac:dyDescent="0.25">
      <c r="A3153" t="str">
        <f>"20190305134956644"</f>
        <v>20190305134956644</v>
      </c>
      <c r="B3153" t="str">
        <f>"1551764996633097"</f>
        <v>1551764996633097</v>
      </c>
      <c r="C3153" t="s">
        <v>40</v>
      </c>
      <c r="D3153">
        <v>4.0436199999999998</v>
      </c>
      <c r="E3153">
        <v>0.43800070000000002</v>
      </c>
      <c r="F3153" t="s">
        <v>82</v>
      </c>
      <c r="G3153">
        <v>-474.69589999999999</v>
      </c>
      <c r="H3153">
        <v>44.287689999999998</v>
      </c>
      <c r="I3153">
        <v>64.450009999999907</v>
      </c>
      <c r="J3153">
        <v>-488.07729999999998</v>
      </c>
      <c r="K3153">
        <v>1.1122730000000001</v>
      </c>
      <c r="L3153">
        <v>264.3107</v>
      </c>
      <c r="M3153">
        <v>-0.37411549999999999</v>
      </c>
      <c r="N3153">
        <v>-1.764085E-2</v>
      </c>
      <c r="O3153">
        <v>-0.92721439999999999</v>
      </c>
      <c r="P3153">
        <v>-0.10546750000000001</v>
      </c>
      <c r="Q3153">
        <v>-8.9256340000000003E-2</v>
      </c>
      <c r="R3153">
        <v>-0.99040910000000004</v>
      </c>
      <c r="S3153">
        <v>0.20697019999999999</v>
      </c>
      <c r="T3153">
        <v>0.67142550000000001</v>
      </c>
      <c r="U3153">
        <v>-3.1109010000000001</v>
      </c>
      <c r="V3153">
        <v>-0.2725532</v>
      </c>
      <c r="W3153">
        <v>-7.3190309999999995E-2</v>
      </c>
      <c r="X3153">
        <v>0.95935289999999995</v>
      </c>
      <c r="Y3153">
        <v>-0.43388280000000001</v>
      </c>
      <c r="Z3153">
        <v>-0.1948278</v>
      </c>
      <c r="AA3153">
        <v>0.87965210000000005</v>
      </c>
      <c r="AB3153">
        <v>21</v>
      </c>
      <c r="AC3153">
        <v>13.3813999999999</v>
      </c>
      <c r="AD3153">
        <v>43.175416999999896</v>
      </c>
      <c r="AE3153">
        <v>-199.86068999999901</v>
      </c>
      <c r="AF3153">
        <v>-83.320910970495106</v>
      </c>
      <c r="AG3153">
        <v>43.175416999999896</v>
      </c>
      <c r="AH3153">
        <v>172.329216475631</v>
      </c>
      <c r="AI3153">
        <v>77.289128615894398</v>
      </c>
      <c r="AJ3153">
        <v>115.803695453174</v>
      </c>
      <c r="AK3153">
        <v>196.22397837466701</v>
      </c>
      <c r="AL3153">
        <v>94.197248770622394</v>
      </c>
      <c r="AM3153">
        <v>105.859905772136</v>
      </c>
      <c r="AN3153">
        <v>1.0000000275232701</v>
      </c>
    </row>
    <row r="3154" spans="1:40" x14ac:dyDescent="0.25">
      <c r="A3154" t="str">
        <f>"20190305134956657"</f>
        <v>20190305134956657</v>
      </c>
      <c r="B3154" t="str">
        <f>"1551764996653594"</f>
        <v>1551764996653594</v>
      </c>
      <c r="C3154" t="s">
        <v>40</v>
      </c>
      <c r="D3154">
        <v>4.0321639999999999</v>
      </c>
      <c r="E3154">
        <v>0.41039750000000003</v>
      </c>
      <c r="F3154" t="s">
        <v>82</v>
      </c>
      <c r="G3154">
        <v>-474.03660000000002</v>
      </c>
      <c r="H3154">
        <v>43.664189999999998</v>
      </c>
      <c r="I3154">
        <v>64.450019999999995</v>
      </c>
      <c r="J3154">
        <v>-488.11590000000001</v>
      </c>
      <c r="K3154">
        <v>1.1124270000000001</v>
      </c>
      <c r="L3154">
        <v>264.21120000000002</v>
      </c>
      <c r="M3154">
        <v>-0.37305830000000001</v>
      </c>
      <c r="N3154">
        <v>-1.8564480000000001E-2</v>
      </c>
      <c r="O3154">
        <v>-0.92762239999999996</v>
      </c>
      <c r="P3154">
        <v>-0.1011469</v>
      </c>
      <c r="Q3154">
        <v>-9.0990829999999995E-2</v>
      </c>
      <c r="R3154">
        <v>-0.99070210000000003</v>
      </c>
      <c r="S3154">
        <v>0.21862789999999999</v>
      </c>
      <c r="T3154">
        <v>0.66258240000000002</v>
      </c>
      <c r="U3154">
        <v>-3.1120610000000002</v>
      </c>
      <c r="V3154">
        <v>-0.27558100000000002</v>
      </c>
      <c r="W3154">
        <v>-7.4071440000000002E-2</v>
      </c>
      <c r="X3154">
        <v>0.95841980000000004</v>
      </c>
      <c r="Y3154">
        <v>-0.43617840000000002</v>
      </c>
      <c r="Z3154">
        <v>-0.1934505</v>
      </c>
      <c r="AA3154">
        <v>0.87882039999999995</v>
      </c>
      <c r="AB3154">
        <v>20</v>
      </c>
      <c r="AC3154">
        <v>14.0792999999999</v>
      </c>
      <c r="AD3154">
        <v>42.551763000000001</v>
      </c>
      <c r="AE3154">
        <v>-199.76118</v>
      </c>
      <c r="AF3154">
        <v>-83.813700647371803</v>
      </c>
      <c r="AG3154">
        <v>42.551763000000001</v>
      </c>
      <c r="AH3154">
        <v>172.30204540611001</v>
      </c>
      <c r="AI3154">
        <v>77.478964433361199</v>
      </c>
      <c r="AJ3154">
        <v>115.939897985672</v>
      </c>
      <c r="AK3154">
        <v>196.273747102725</v>
      </c>
      <c r="AL3154">
        <v>94.247871374728504</v>
      </c>
      <c r="AM3154">
        <v>106.041892876739</v>
      </c>
      <c r="AN3154">
        <v>0.99999998940835599</v>
      </c>
    </row>
    <row r="3155" spans="1:40" x14ac:dyDescent="0.25">
      <c r="A3155" t="str">
        <f>"20190305134956668"</f>
        <v>20190305134956668</v>
      </c>
      <c r="B3155" t="str">
        <f>"1551764996663353"</f>
        <v>1551764996663353</v>
      </c>
      <c r="C3155" t="s">
        <v>40</v>
      </c>
      <c r="D3155">
        <v>3.8627950000000002</v>
      </c>
      <c r="E3155">
        <v>0.41039750000000003</v>
      </c>
      <c r="F3155" t="s">
        <v>83</v>
      </c>
      <c r="G3155">
        <v>-468.26659999999998</v>
      </c>
      <c r="H3155">
        <v>0.70645819999999904</v>
      </c>
      <c r="I3155">
        <v>119.395</v>
      </c>
      <c r="J3155">
        <v>-488.15100000000001</v>
      </c>
      <c r="K3155">
        <v>1.1125769999999999</v>
      </c>
      <c r="L3155">
        <v>264.12060000000002</v>
      </c>
      <c r="M3155">
        <v>-0.37201840000000003</v>
      </c>
      <c r="N3155">
        <v>-1.937301E-2</v>
      </c>
      <c r="O3155">
        <v>-0.9280233</v>
      </c>
      <c r="P3155">
        <v>-9.8882559999999994E-2</v>
      </c>
      <c r="Q3155">
        <v>-9.1349040000000006E-2</v>
      </c>
      <c r="R3155">
        <v>-0.99089769999999999</v>
      </c>
      <c r="S3155">
        <v>0.42083739999999997</v>
      </c>
      <c r="T3155">
        <v>-8.6066719999999992E-3</v>
      </c>
      <c r="U3155">
        <v>-3.0703740000000002</v>
      </c>
      <c r="V3155">
        <v>-0.27668320000000002</v>
      </c>
      <c r="W3155">
        <v>-7.3691010000000001E-2</v>
      </c>
      <c r="X3155">
        <v>0.95813159999999997</v>
      </c>
      <c r="Y3155">
        <v>-0.4945582</v>
      </c>
      <c r="Z3155">
        <v>-1.758581E-2</v>
      </c>
      <c r="AA3155">
        <v>0.86896659999999903</v>
      </c>
      <c r="AB3155">
        <v>20</v>
      </c>
      <c r="AC3155">
        <v>19.884399999999999</v>
      </c>
      <c r="AD3155">
        <v>-0.4061188</v>
      </c>
      <c r="AE3155">
        <v>-144.72559999999999</v>
      </c>
      <c r="AF3155">
        <v>-72.306775073230895</v>
      </c>
      <c r="AG3155">
        <v>-0.4061188</v>
      </c>
      <c r="AH3155">
        <v>126.934191910981</v>
      </c>
      <c r="AI3155">
        <v>90.159283838972897</v>
      </c>
      <c r="AJ3155">
        <v>119.667563301052</v>
      </c>
      <c r="AK3155">
        <v>146.08464577108799</v>
      </c>
      <c r="AL3155">
        <v>94.226014306405602</v>
      </c>
      <c r="AM3155">
        <v>106.107326184342</v>
      </c>
      <c r="AN3155">
        <v>1.0000000605178001</v>
      </c>
    </row>
    <row r="3156" spans="1:40" x14ac:dyDescent="0.25">
      <c r="A3156" t="str">
        <f>"20190305134956679"</f>
        <v>20190305134956679</v>
      </c>
      <c r="B3156" t="str">
        <f>"1551764996673113"</f>
        <v>1551764996673113</v>
      </c>
      <c r="C3156" t="s">
        <v>40</v>
      </c>
      <c r="D3156">
        <v>3.8919779999999999</v>
      </c>
      <c r="E3156">
        <v>0.44369160000000002</v>
      </c>
      <c r="F3156" t="s">
        <v>82</v>
      </c>
      <c r="G3156">
        <v>-473.87380000000002</v>
      </c>
      <c r="H3156">
        <v>0.78491750000000005</v>
      </c>
      <c r="I3156">
        <v>161.6859</v>
      </c>
      <c r="J3156">
        <v>-488.18680000000001</v>
      </c>
      <c r="K3156">
        <v>1.1126799999999999</v>
      </c>
      <c r="L3156">
        <v>264.02719999999999</v>
      </c>
      <c r="M3156">
        <v>-0.3705253</v>
      </c>
      <c r="N3156">
        <v>-1.957909E-2</v>
      </c>
      <c r="O3156">
        <v>-0.92861610000000006</v>
      </c>
      <c r="P3156">
        <v>-9.604335E-2</v>
      </c>
      <c r="Q3156">
        <v>-9.1442120000000002E-2</v>
      </c>
      <c r="R3156">
        <v>-0.9911681</v>
      </c>
      <c r="S3156">
        <v>0.42779539999999999</v>
      </c>
      <c r="T3156">
        <v>-9.8178390000000001E-3</v>
      </c>
      <c r="U3156">
        <v>-3.0693049999999999</v>
      </c>
      <c r="V3156">
        <v>-0.27785300000000002</v>
      </c>
      <c r="W3156">
        <v>-7.3713619999999994E-2</v>
      </c>
      <c r="X3156">
        <v>0.95779119999999995</v>
      </c>
      <c r="Y3156">
        <v>-0.4951313</v>
      </c>
      <c r="Z3156">
        <v>-1.7476869999999999E-2</v>
      </c>
      <c r="AA3156">
        <v>0.86864229999999998</v>
      </c>
      <c r="AB3156">
        <v>20</v>
      </c>
      <c r="AC3156">
        <v>14.312999999999899</v>
      </c>
      <c r="AD3156">
        <v>-0.32776249999999901</v>
      </c>
      <c r="AE3156">
        <v>-102.3413</v>
      </c>
      <c r="AF3156">
        <v>-51.220621233274699</v>
      </c>
      <c r="AG3156">
        <v>-0.32776249999999901</v>
      </c>
      <c r="AH3156">
        <v>89.748742397299196</v>
      </c>
      <c r="AI3156">
        <v>90.181730396777795</v>
      </c>
      <c r="AJ3156">
        <v>119.71389108864101</v>
      </c>
      <c r="AK3156">
        <v>103.33680965501</v>
      </c>
      <c r="AL3156">
        <v>94.227313616220897</v>
      </c>
      <c r="AM3156">
        <v>106.17732108915899</v>
      </c>
      <c r="AN3156">
        <v>0.99999998508997201</v>
      </c>
    </row>
    <row r="3157" spans="1:40" x14ac:dyDescent="0.25">
      <c r="A3157" t="str">
        <f>"20190305134956690"</f>
        <v>20190305134956690</v>
      </c>
      <c r="B3157" t="str">
        <f>"1551764996683849"</f>
        <v>1551764996683849</v>
      </c>
      <c r="C3157" t="s">
        <v>40</v>
      </c>
      <c r="D3157">
        <v>3.8574510000000002</v>
      </c>
      <c r="E3157">
        <v>0.44411400000000001</v>
      </c>
      <c r="F3157" t="s">
        <v>82</v>
      </c>
      <c r="G3157">
        <v>-475.00720000000001</v>
      </c>
      <c r="H3157">
        <v>45.580410000000001</v>
      </c>
      <c r="I3157">
        <v>64.450019999999995</v>
      </c>
      <c r="J3157">
        <v>-488.22390000000001</v>
      </c>
      <c r="K3157">
        <v>1.1127670000000001</v>
      </c>
      <c r="L3157">
        <v>263.93</v>
      </c>
      <c r="M3157">
        <v>-0.36889379999999999</v>
      </c>
      <c r="N3157">
        <v>-1.9609330000000001E-2</v>
      </c>
      <c r="O3157">
        <v>-0.9292648</v>
      </c>
      <c r="P3157">
        <v>-9.3111390000000002E-2</v>
      </c>
      <c r="Q3157">
        <v>-9.1876319999999997E-2</v>
      </c>
      <c r="R3157">
        <v>-0.99140779999999995</v>
      </c>
      <c r="S3157">
        <v>0.20541380000000001</v>
      </c>
      <c r="T3157">
        <v>0.69306429999999997</v>
      </c>
      <c r="U3157">
        <v>-3.1105649999999998</v>
      </c>
      <c r="V3157">
        <v>-0.27894740000000001</v>
      </c>
      <c r="W3157">
        <v>-7.4271149999999994E-2</v>
      </c>
      <c r="X3157">
        <v>0.95742989999999994</v>
      </c>
      <c r="Y3157">
        <v>-0.42835990000000002</v>
      </c>
      <c r="Z3157">
        <v>-0.203183</v>
      </c>
      <c r="AA3157">
        <v>0.88046829999999998</v>
      </c>
      <c r="AB3157">
        <v>20</v>
      </c>
      <c r="AC3157">
        <v>13.216699999999999</v>
      </c>
      <c r="AD3157">
        <v>44.467643000000002</v>
      </c>
      <c r="AE3157">
        <v>-199.47998000000001</v>
      </c>
      <c r="AF3157">
        <v>-81.836377600491502</v>
      </c>
      <c r="AG3157">
        <v>44.467643000000002</v>
      </c>
      <c r="AH3157">
        <v>172.01822587083601</v>
      </c>
      <c r="AI3157">
        <v>76.860458287786201</v>
      </c>
      <c r="AJ3157">
        <v>115.442417793147</v>
      </c>
      <c r="AK3157">
        <v>195.61399235355299</v>
      </c>
      <c r="AL3157">
        <v>94.259345754433497</v>
      </c>
      <c r="AM3157">
        <v>106.243493041965</v>
      </c>
      <c r="AN3157">
        <v>0.99999993455154401</v>
      </c>
    </row>
    <row r="3158" spans="1:40" x14ac:dyDescent="0.25">
      <c r="A3158" t="str">
        <f>"20190305134956702"</f>
        <v>20190305134956702</v>
      </c>
      <c r="B3158" t="str">
        <f>"1551764996693813"</f>
        <v>1551764996693813</v>
      </c>
      <c r="C3158" t="s">
        <v>40</v>
      </c>
      <c r="D3158">
        <v>3.8634909999999998</v>
      </c>
      <c r="E3158">
        <v>0.44442910000000002</v>
      </c>
      <c r="F3158" t="s">
        <v>82</v>
      </c>
      <c r="G3158">
        <v>-474.64640000000003</v>
      </c>
      <c r="H3158">
        <v>45.699240000000003</v>
      </c>
      <c r="I3158">
        <v>64.450019999999995</v>
      </c>
      <c r="J3158">
        <v>-488.2595</v>
      </c>
      <c r="K3158">
        <v>1.112778</v>
      </c>
      <c r="L3158">
        <v>263.83510000000001</v>
      </c>
      <c r="M3158">
        <v>-0.36723670000000003</v>
      </c>
      <c r="N3158">
        <v>-1.9110619999999998E-2</v>
      </c>
      <c r="O3158">
        <v>-0.92993119999999996</v>
      </c>
      <c r="P3158">
        <v>-9.0339340000000004E-2</v>
      </c>
      <c r="Q3158">
        <v>-9.2447390000000004E-2</v>
      </c>
      <c r="R3158">
        <v>-0.99161120000000003</v>
      </c>
      <c r="S3158">
        <v>0.21170040000000001</v>
      </c>
      <c r="T3158">
        <v>0.69519209999999998</v>
      </c>
      <c r="U3158">
        <v>-3.1102910000000001</v>
      </c>
      <c r="V3158">
        <v>-0.27984209999999998</v>
      </c>
      <c r="W3158">
        <v>-7.5502150000000004E-2</v>
      </c>
      <c r="X3158">
        <v>0.95707249999999999</v>
      </c>
      <c r="Y3158">
        <v>-0.42850280000000002</v>
      </c>
      <c r="Z3158">
        <v>-0.20344090000000001</v>
      </c>
      <c r="AA3158">
        <v>0.88033919999999999</v>
      </c>
      <c r="AB3158">
        <v>20</v>
      </c>
      <c r="AC3158">
        <v>13.6130999999999</v>
      </c>
      <c r="AD3158">
        <v>44.586461999999997</v>
      </c>
      <c r="AE3158">
        <v>-199.38507999999999</v>
      </c>
      <c r="AF3158">
        <v>-81.823768844281403</v>
      </c>
      <c r="AG3158">
        <v>44.586461999999997</v>
      </c>
      <c r="AH3158">
        <v>171.892386872299</v>
      </c>
      <c r="AI3158">
        <v>76.818621515858098</v>
      </c>
      <c r="AJ3158">
        <v>115.45526146431401</v>
      </c>
      <c r="AK3158">
        <v>195.52512474415099</v>
      </c>
      <c r="AL3158">
        <v>94.330075307083106</v>
      </c>
      <c r="AM3158">
        <v>106.298594517618</v>
      </c>
      <c r="AN3158">
        <v>0.99999997292164</v>
      </c>
    </row>
    <row r="3159" spans="1:40" x14ac:dyDescent="0.25">
      <c r="A3159" t="str">
        <f>"20190305134956720"</f>
        <v>20190305134956720</v>
      </c>
      <c r="B3159" t="str">
        <f>"1551764996713336"</f>
        <v>1551764996713336</v>
      </c>
      <c r="C3159" t="s">
        <v>40</v>
      </c>
      <c r="D3159">
        <v>4.0616459999999996</v>
      </c>
      <c r="E3159">
        <v>0.44456200000000001</v>
      </c>
      <c r="F3159" t="s">
        <v>82</v>
      </c>
      <c r="G3159">
        <v>-474.25259999999997</v>
      </c>
      <c r="H3159">
        <v>45.583109999999998</v>
      </c>
      <c r="I3159">
        <v>64.450019999999995</v>
      </c>
      <c r="J3159">
        <v>-488.31369999999998</v>
      </c>
      <c r="K3159">
        <v>1.1127739999999999</v>
      </c>
      <c r="L3159">
        <v>263.68900000000002</v>
      </c>
      <c r="M3159">
        <v>-0.36477769999999998</v>
      </c>
      <c r="N3159">
        <v>-1.838327E-2</v>
      </c>
      <c r="O3159">
        <v>-0.9309132</v>
      </c>
      <c r="P3159">
        <v>-8.571558E-2</v>
      </c>
      <c r="Q3159">
        <v>-9.4756580000000007E-2</v>
      </c>
      <c r="R3159">
        <v>-0.99180360000000001</v>
      </c>
      <c r="S3159">
        <v>0.21847530000000001</v>
      </c>
      <c r="T3159">
        <v>0.69363629999999998</v>
      </c>
      <c r="U3159">
        <v>-3.1099549999999998</v>
      </c>
      <c r="V3159">
        <v>-0.28161029999999998</v>
      </c>
      <c r="W3159">
        <v>-7.8749719999999995E-2</v>
      </c>
      <c r="X3159">
        <v>0.95629189999999997</v>
      </c>
      <c r="Y3159">
        <v>-0.42801359999999999</v>
      </c>
      <c r="Z3159">
        <v>-0.202681</v>
      </c>
      <c r="AA3159">
        <v>0.88075239999999999</v>
      </c>
      <c r="AB3159">
        <v>20</v>
      </c>
      <c r="AC3159">
        <v>14.0611</v>
      </c>
      <c r="AD3159">
        <v>44.470336000000003</v>
      </c>
      <c r="AE3159">
        <v>-199.23898</v>
      </c>
      <c r="AF3159">
        <v>-81.730562964253807</v>
      </c>
      <c r="AG3159">
        <v>44.470336000000003</v>
      </c>
      <c r="AH3159">
        <v>171.85627195093701</v>
      </c>
      <c r="AI3159">
        <v>76.846912948945501</v>
      </c>
      <c r="AJ3159">
        <v>115.434596808705</v>
      </c>
      <c r="AK3159">
        <v>195.427925116349</v>
      </c>
      <c r="AL3159">
        <v>94.516703050629303</v>
      </c>
      <c r="AM3159">
        <v>106.40872734993199</v>
      </c>
      <c r="AN3159">
        <v>1.0000000387358801</v>
      </c>
    </row>
    <row r="3160" spans="1:40" x14ac:dyDescent="0.25">
      <c r="A3160" t="str">
        <f>"20190305134956730"</f>
        <v>20190305134956730</v>
      </c>
      <c r="B3160" t="str">
        <f>"1551764996723093"</f>
        <v>1551764996723093</v>
      </c>
      <c r="C3160" t="s">
        <v>40</v>
      </c>
      <c r="D3160">
        <v>3.8879959999999998</v>
      </c>
      <c r="E3160">
        <v>0.44474320000000001</v>
      </c>
      <c r="F3160" t="s">
        <v>82</v>
      </c>
      <c r="G3160">
        <v>-473.55689999999998</v>
      </c>
      <c r="H3160">
        <v>44.920720000000003</v>
      </c>
      <c r="I3160">
        <v>64.450009999999907</v>
      </c>
      <c r="J3160">
        <v>-488.34780000000001</v>
      </c>
      <c r="K3160">
        <v>1.1127659999999999</v>
      </c>
      <c r="L3160">
        <v>263.59609999999998</v>
      </c>
      <c r="M3160">
        <v>-0.363261</v>
      </c>
      <c r="N3160">
        <v>-1.7973670000000001E-2</v>
      </c>
      <c r="O3160">
        <v>-0.93151430000000002</v>
      </c>
      <c r="P3160">
        <v>-8.349579E-2</v>
      </c>
      <c r="Q3160">
        <v>-9.6162830000000005E-2</v>
      </c>
      <c r="R3160">
        <v>-0.99185780000000001</v>
      </c>
      <c r="S3160">
        <v>0.23034669999999999</v>
      </c>
      <c r="T3160">
        <v>0.68382600000000004</v>
      </c>
      <c r="U3160">
        <v>-3.1100460000000001</v>
      </c>
      <c r="V3160">
        <v>-0.28209909999999999</v>
      </c>
      <c r="W3160">
        <v>-8.0663550000000001E-2</v>
      </c>
      <c r="X3160">
        <v>0.95598819999999995</v>
      </c>
      <c r="Y3160">
        <v>-0.42991370000000001</v>
      </c>
      <c r="Z3160">
        <v>-0.19986670000000001</v>
      </c>
      <c r="AA3160">
        <v>0.88047009999999903</v>
      </c>
      <c r="AB3160">
        <v>20</v>
      </c>
      <c r="AC3160">
        <v>14.790900000000001</v>
      </c>
      <c r="AD3160">
        <v>43.807953999999903</v>
      </c>
      <c r="AE3160">
        <v>-199.14608999999999</v>
      </c>
      <c r="AF3160">
        <v>-82.178950223082396</v>
      </c>
      <c r="AG3160">
        <v>43.807953999999903</v>
      </c>
      <c r="AH3160">
        <v>171.891219083875</v>
      </c>
      <c r="AI3160">
        <v>77.050923974065199</v>
      </c>
      <c r="AJ3160">
        <v>115.55185518536101</v>
      </c>
      <c r="AK3160">
        <v>195.49707898476299</v>
      </c>
      <c r="AL3160">
        <v>94.626707736775302</v>
      </c>
      <c r="AM3160">
        <v>106.440612254763</v>
      </c>
      <c r="AN3160">
        <v>0.99999997452932499</v>
      </c>
    </row>
    <row r="3161" spans="1:40" x14ac:dyDescent="0.25">
      <c r="A3161" t="str">
        <f>"20190305134956741"</f>
        <v>20190305134956741</v>
      </c>
      <c r="B3161" t="str">
        <f>"1551764996733829"</f>
        <v>1551764996733829</v>
      </c>
      <c r="C3161" t="s">
        <v>40</v>
      </c>
      <c r="D3161">
        <v>3.9127179999999999</v>
      </c>
      <c r="E3161">
        <v>0.4451715</v>
      </c>
      <c r="F3161" t="s">
        <v>82</v>
      </c>
      <c r="G3161">
        <v>-473.3263</v>
      </c>
      <c r="H3161">
        <v>44.454450000000001</v>
      </c>
      <c r="I3161">
        <v>64.450019999999995</v>
      </c>
      <c r="J3161">
        <v>-488.38229999999999</v>
      </c>
      <c r="K3161">
        <v>1.112741</v>
      </c>
      <c r="L3161">
        <v>263.50130000000001</v>
      </c>
      <c r="M3161">
        <v>-0.36175289999999999</v>
      </c>
      <c r="N3161">
        <v>-1.7814859999999998E-2</v>
      </c>
      <c r="O3161">
        <v>-0.93210389999999999</v>
      </c>
      <c r="P3161">
        <v>-8.1361269999999999E-2</v>
      </c>
      <c r="Q3161">
        <v>-9.7517779999999998E-2</v>
      </c>
      <c r="R3161">
        <v>-0.99190259999999997</v>
      </c>
      <c r="S3161">
        <v>0.23458860000000001</v>
      </c>
      <c r="T3161">
        <v>0.67686299999999999</v>
      </c>
      <c r="U3161">
        <v>-3.1100460000000001</v>
      </c>
      <c r="V3161">
        <v>-0.28254249999999997</v>
      </c>
      <c r="W3161">
        <v>-8.2204509999999995E-2</v>
      </c>
      <c r="X3161">
        <v>0.95572599999999996</v>
      </c>
      <c r="Y3161">
        <v>-0.42967159999999899</v>
      </c>
      <c r="Z3161">
        <v>-0.19813729999999999</v>
      </c>
      <c r="AA3161">
        <v>0.88097899999999996</v>
      </c>
      <c r="AB3161">
        <v>20</v>
      </c>
      <c r="AC3161">
        <v>15.0559999999999</v>
      </c>
      <c r="AD3161">
        <v>43.341709000000002</v>
      </c>
      <c r="AE3161">
        <v>-199.05127999999999</v>
      </c>
      <c r="AF3161">
        <v>-82.180652659400906</v>
      </c>
      <c r="AG3161">
        <v>43.341709000000002</v>
      </c>
      <c r="AH3161">
        <v>172.00967351901599</v>
      </c>
      <c r="AI3161">
        <v>77.191161525739105</v>
      </c>
      <c r="AJ3161">
        <v>115.536960642195</v>
      </c>
      <c r="AK3161">
        <v>195.49805931181001</v>
      </c>
      <c r="AL3161">
        <v>94.715292267869103</v>
      </c>
      <c r="AM3161">
        <v>106.469327491366</v>
      </c>
      <c r="AN3161">
        <v>1.0000000164232901</v>
      </c>
    </row>
    <row r="3162" spans="1:40" x14ac:dyDescent="0.25">
      <c r="A3162" t="str">
        <f>"20190305134956753"</f>
        <v>20190305134956753</v>
      </c>
      <c r="B3162" t="str">
        <f>"1551764996743589"</f>
        <v>1551764996743589</v>
      </c>
      <c r="C3162" t="s">
        <v>40</v>
      </c>
      <c r="D3162">
        <v>4.067876</v>
      </c>
      <c r="E3162">
        <v>0.4451715</v>
      </c>
      <c r="F3162" t="s">
        <v>82</v>
      </c>
      <c r="G3162">
        <v>-473.17009999999999</v>
      </c>
      <c r="H3162">
        <v>44.305129999999998</v>
      </c>
      <c r="I3162">
        <v>64.450009999999907</v>
      </c>
      <c r="J3162">
        <v>-488.41419999999999</v>
      </c>
      <c r="K3162">
        <v>1.1126959999999999</v>
      </c>
      <c r="L3162">
        <v>263.41300000000001</v>
      </c>
      <c r="M3162">
        <v>-0.3603054</v>
      </c>
      <c r="N3162">
        <v>-1.7700819999999999E-2</v>
      </c>
      <c r="O3162">
        <v>-0.93266649999999995</v>
      </c>
      <c r="P3162">
        <v>-7.9095769999999996E-2</v>
      </c>
      <c r="Q3162">
        <v>-9.8744449999999998E-2</v>
      </c>
      <c r="R3162">
        <v>-0.99196479999999998</v>
      </c>
      <c r="S3162">
        <v>0.23770140000000001</v>
      </c>
      <c r="T3162">
        <v>0.67491899999999905</v>
      </c>
      <c r="U3162">
        <v>-3.1103519999999998</v>
      </c>
      <c r="V3162">
        <v>-0.28318729999999998</v>
      </c>
      <c r="W3162">
        <v>-8.3550059999999995E-2</v>
      </c>
      <c r="X3162">
        <v>0.9554184</v>
      </c>
      <c r="Y3162">
        <v>-0.4291452</v>
      </c>
      <c r="Z3162">
        <v>-0.197713</v>
      </c>
      <c r="AA3162">
        <v>0.88133079999999997</v>
      </c>
      <c r="AB3162">
        <v>20</v>
      </c>
      <c r="AC3162">
        <v>15.2441</v>
      </c>
      <c r="AD3162">
        <v>43.192433999999999</v>
      </c>
      <c r="AE3162">
        <v>-198.96298999999999</v>
      </c>
      <c r="AF3162">
        <v>-82.073255873045596</v>
      </c>
      <c r="AG3162">
        <v>43.192433999999999</v>
      </c>
      <c r="AH3162">
        <v>172.04130075188601</v>
      </c>
      <c r="AI3162">
        <v>77.232680544206303</v>
      </c>
      <c r="AJ3162">
        <v>115.503734417259</v>
      </c>
      <c r="AK3162">
        <v>195.44772919849299</v>
      </c>
      <c r="AL3162">
        <v>94.792652877915302</v>
      </c>
      <c r="AM3162">
        <v>106.509894378889</v>
      </c>
      <c r="AN3162">
        <v>0.99999998923292599</v>
      </c>
    </row>
    <row r="3163" spans="1:40" x14ac:dyDescent="0.25">
      <c r="A3163" t="str">
        <f>"20190305134956766"</f>
        <v>20190305134956766</v>
      </c>
      <c r="B3163" t="str">
        <f>"1551764996763109"</f>
        <v>1551764996763109</v>
      </c>
      <c r="C3163" t="s">
        <v>40</v>
      </c>
      <c r="D3163">
        <v>3.687154</v>
      </c>
      <c r="E3163">
        <v>0.41418440000000001</v>
      </c>
      <c r="F3163" t="s">
        <v>82</v>
      </c>
      <c r="G3163">
        <v>-472.73020000000002</v>
      </c>
      <c r="H3163">
        <v>44.030639999999998</v>
      </c>
      <c r="I3163">
        <v>64.450019999999995</v>
      </c>
      <c r="J3163">
        <v>-488.4529</v>
      </c>
      <c r="K3163">
        <v>1.1125849999999999</v>
      </c>
      <c r="L3163">
        <v>263.30529999999999</v>
      </c>
      <c r="M3163">
        <v>-0.3584232</v>
      </c>
      <c r="N3163">
        <v>-1.765533E-2</v>
      </c>
      <c r="O3163">
        <v>-0.93339240000000001</v>
      </c>
      <c r="P3163">
        <v>-7.6556570000000004E-2</v>
      </c>
      <c r="Q3163">
        <v>-9.9332039999999996E-2</v>
      </c>
      <c r="R3163">
        <v>-0.99210520000000002</v>
      </c>
      <c r="S3163">
        <v>0.2452087</v>
      </c>
      <c r="T3163">
        <v>0.67099399999999998</v>
      </c>
      <c r="U3163">
        <v>-3.1106569999999998</v>
      </c>
      <c r="V3163">
        <v>-0.28369939999999999</v>
      </c>
      <c r="W3163">
        <v>-8.4120909999999993E-2</v>
      </c>
      <c r="X3163">
        <v>0.95521639999999997</v>
      </c>
      <c r="Y3163">
        <v>-0.429448</v>
      </c>
      <c r="Z3163">
        <v>-0.19685349999999999</v>
      </c>
      <c r="AA3163">
        <v>0.88137569999999998</v>
      </c>
      <c r="AB3163">
        <v>20</v>
      </c>
      <c r="AC3163">
        <v>15.7226999999999</v>
      </c>
      <c r="AD3163">
        <v>42.918054999999903</v>
      </c>
      <c r="AE3163">
        <v>-198.85527999999999</v>
      </c>
      <c r="AF3163">
        <v>-82.1598940079286</v>
      </c>
      <c r="AG3163">
        <v>42.918054999999903</v>
      </c>
      <c r="AH3163">
        <v>172.03876210667599</v>
      </c>
      <c r="AI3163">
        <v>77.313406643394899</v>
      </c>
      <c r="AJ3163">
        <v>115.52756295959099</v>
      </c>
      <c r="AK3163">
        <v>195.42145044895801</v>
      </c>
      <c r="AL3163">
        <v>94.825475555811806</v>
      </c>
      <c r="AM3163">
        <v>106.541426634339</v>
      </c>
      <c r="AN3163">
        <v>1.0000000239442699</v>
      </c>
    </row>
    <row r="3164" spans="1:40" x14ac:dyDescent="0.25">
      <c r="A3164" t="str">
        <f>"20190305134956778"</f>
        <v>20190305134956778</v>
      </c>
      <c r="B3164" t="str">
        <f>"1551764996773845"</f>
        <v>1551764996773845</v>
      </c>
      <c r="C3164" t="s">
        <v>40</v>
      </c>
      <c r="D3164">
        <v>3.6757849999999999</v>
      </c>
      <c r="E3164">
        <v>0.37511610000000001</v>
      </c>
      <c r="F3164" t="s">
        <v>82</v>
      </c>
      <c r="G3164">
        <v>-473.52499999999998</v>
      </c>
      <c r="H3164">
        <v>0.40200560000000002</v>
      </c>
      <c r="I3164">
        <v>165.53469999999999</v>
      </c>
      <c r="J3164">
        <v>-488.48930000000001</v>
      </c>
      <c r="K3164">
        <v>1.1124179999999999</v>
      </c>
      <c r="L3164">
        <v>263.2038</v>
      </c>
      <c r="M3164">
        <v>-0.35648159999999901</v>
      </c>
      <c r="N3164">
        <v>-1.7540670000000001E-2</v>
      </c>
      <c r="O3164">
        <v>-0.93413780000000002</v>
      </c>
      <c r="P3164">
        <v>-7.3791839999999997E-2</v>
      </c>
      <c r="Q3164">
        <v>-9.9737820000000005E-2</v>
      </c>
      <c r="R3164">
        <v>-0.99227379999999998</v>
      </c>
      <c r="S3164">
        <v>0.46685789999999999</v>
      </c>
      <c r="T3164">
        <v>-2.222288E-2</v>
      </c>
      <c r="U3164">
        <v>-3.057709</v>
      </c>
      <c r="V3164">
        <v>-0.284383099999999</v>
      </c>
      <c r="W3164">
        <v>-8.4549399999999997E-2</v>
      </c>
      <c r="X3164">
        <v>0.95497520000000002</v>
      </c>
      <c r="Y3164">
        <v>-0.4933478</v>
      </c>
      <c r="Z3164">
        <v>-1.2002479999999999E-2</v>
      </c>
      <c r="AA3164">
        <v>0.86974929999999995</v>
      </c>
      <c r="AB3164">
        <v>20</v>
      </c>
      <c r="AC3164">
        <v>14.9643</v>
      </c>
      <c r="AD3164">
        <v>-0.71041240000000005</v>
      </c>
      <c r="AE3164">
        <v>-97.6691</v>
      </c>
      <c r="AF3164">
        <v>-48.800935296029401</v>
      </c>
      <c r="AG3164">
        <v>-0.71041240000000005</v>
      </c>
      <c r="AH3164">
        <v>85.910667499659198</v>
      </c>
      <c r="AI3164">
        <v>90.411957494387494</v>
      </c>
      <c r="AJ3164">
        <v>119.59842867635901</v>
      </c>
      <c r="AK3164">
        <v>98.806268838481699</v>
      </c>
      <c r="AL3164">
        <v>94.8501141618502</v>
      </c>
      <c r="AM3164">
        <v>106.58306223253901</v>
      </c>
      <c r="AN3164">
        <v>0.99999999061050404</v>
      </c>
    </row>
    <row r="3165" spans="1:40" x14ac:dyDescent="0.25">
      <c r="A3165" t="str">
        <f>"20190305134956790"</f>
        <v>20190305134956790</v>
      </c>
      <c r="B3165" t="str">
        <f>"1551764996783605"</f>
        <v>1551764996783605</v>
      </c>
      <c r="C3165" t="s">
        <v>40</v>
      </c>
      <c r="D3165">
        <v>3.6822469999999998</v>
      </c>
      <c r="E3165">
        <v>0.37567030000000001</v>
      </c>
      <c r="F3165" t="s">
        <v>84</v>
      </c>
      <c r="G3165">
        <v>-470.15</v>
      </c>
      <c r="H3165">
        <v>8.0610210000000002</v>
      </c>
      <c r="I3165">
        <v>192.08519999999999</v>
      </c>
      <c r="J3165">
        <v>-488.52710000000002</v>
      </c>
      <c r="K3165">
        <v>1.112217</v>
      </c>
      <c r="L3165">
        <v>263.0976</v>
      </c>
      <c r="M3165">
        <v>-0.35436420000000002</v>
      </c>
      <c r="N3165">
        <v>-1.7375399999999999E-2</v>
      </c>
      <c r="O3165">
        <v>-0.93494639999999996</v>
      </c>
      <c r="P3165">
        <v>-7.0755029999999997E-2</v>
      </c>
      <c r="Q3165">
        <v>-0.10014000000000001</v>
      </c>
      <c r="R3165">
        <v>-0.99245459999999996</v>
      </c>
      <c r="S3165">
        <v>0.80291749999999995</v>
      </c>
      <c r="T3165">
        <v>0.30421890000000001</v>
      </c>
      <c r="U3165">
        <v>-3.1136469999999998</v>
      </c>
      <c r="V3165">
        <v>-0.28515559999999901</v>
      </c>
      <c r="W3165">
        <v>-8.5005549999999999E-2</v>
      </c>
      <c r="X3165">
        <v>0.95470429999999995</v>
      </c>
      <c r="Y3165">
        <v>-0.57571439999999996</v>
      </c>
      <c r="Z3165">
        <v>-9.5604590000000003E-2</v>
      </c>
      <c r="AA3165">
        <v>0.81204229999999999</v>
      </c>
      <c r="AB3165">
        <v>20</v>
      </c>
      <c r="AC3165">
        <v>18.377099999999999</v>
      </c>
      <c r="AD3165">
        <v>6.9488039999999902</v>
      </c>
      <c r="AE3165">
        <v>-71.0124</v>
      </c>
      <c r="AF3165">
        <v>-41.975535587231001</v>
      </c>
      <c r="AG3165">
        <v>6.9488039999999902</v>
      </c>
      <c r="AH3165">
        <v>59.356937465751798</v>
      </c>
      <c r="AI3165">
        <v>84.540096696793199</v>
      </c>
      <c r="AJ3165">
        <v>125.26686238155099</v>
      </c>
      <c r="AK3165">
        <v>73.0306613018018</v>
      </c>
      <c r="AL3165">
        <v>94.876344113593603</v>
      </c>
      <c r="AM3165">
        <v>106.630082364583</v>
      </c>
      <c r="AN3165">
        <v>0.99999998009032598</v>
      </c>
    </row>
    <row r="3166" spans="1:40" x14ac:dyDescent="0.25">
      <c r="A3166" t="str">
        <f>"20190305134956802"</f>
        <v>20190305134956802</v>
      </c>
      <c r="B3166" t="str">
        <f>"1551764996793723"</f>
        <v>1551764996793723</v>
      </c>
      <c r="C3166" t="s">
        <v>40</v>
      </c>
      <c r="D3166">
        <v>3.695201</v>
      </c>
      <c r="E3166">
        <v>0.37578250000000002</v>
      </c>
      <c r="F3166" t="s">
        <v>84</v>
      </c>
      <c r="G3166">
        <v>-470.15</v>
      </c>
      <c r="H3166">
        <v>8.2031229999999997</v>
      </c>
      <c r="I3166">
        <v>192.45</v>
      </c>
      <c r="J3166">
        <v>-488.56200000000001</v>
      </c>
      <c r="K3166">
        <v>1.112034</v>
      </c>
      <c r="L3166">
        <v>262.99950000000001</v>
      </c>
      <c r="M3166">
        <v>-0.35234690000000002</v>
      </c>
      <c r="N3166">
        <v>-1.7117469999999999E-2</v>
      </c>
      <c r="O3166">
        <v>-0.93571300000000002</v>
      </c>
      <c r="P3166">
        <v>-6.7911100000000002E-2</v>
      </c>
      <c r="Q3166">
        <v>-9.9921309999999999E-2</v>
      </c>
      <c r="R3166">
        <v>-0.99267519999999998</v>
      </c>
      <c r="S3166">
        <v>0.80950929999999999</v>
      </c>
      <c r="T3166">
        <v>0.31235299999999999</v>
      </c>
      <c r="U3166">
        <v>-3.1120000000000001</v>
      </c>
      <c r="V3166">
        <v>-0.28586339999999999</v>
      </c>
      <c r="W3166">
        <v>-8.4951100000000002E-2</v>
      </c>
      <c r="X3166">
        <v>0.9544975</v>
      </c>
      <c r="Y3166">
        <v>-0.575619199999999</v>
      </c>
      <c r="Z3166">
        <v>-9.7522440000000002E-2</v>
      </c>
      <c r="AA3166">
        <v>0.81188169999999904</v>
      </c>
      <c r="AB3166">
        <v>20</v>
      </c>
      <c r="AC3166">
        <v>18.4119999999999</v>
      </c>
      <c r="AD3166">
        <v>7.0910890000000002</v>
      </c>
      <c r="AE3166">
        <v>-70.549499999999995</v>
      </c>
      <c r="AF3166">
        <v>-41.698008877299998</v>
      </c>
      <c r="AG3166">
        <v>7.0910890000000002</v>
      </c>
      <c r="AH3166">
        <v>58.977552500609498</v>
      </c>
      <c r="AI3166">
        <v>84.3929747257136</v>
      </c>
      <c r="AJ3166">
        <v>125.2608802478</v>
      </c>
      <c r="AK3166">
        <v>72.576574640165106</v>
      </c>
      <c r="AL3166">
        <v>94.873212812334501</v>
      </c>
      <c r="AM3166">
        <v>106.672484341681</v>
      </c>
      <c r="AN3166">
        <v>1.0000000251785</v>
      </c>
    </row>
    <row r="3167" spans="1:40" x14ac:dyDescent="0.25">
      <c r="A3167" t="str">
        <f>"20190305134956816"</f>
        <v>20190305134956816</v>
      </c>
      <c r="B3167" t="str">
        <f>"1551764996803484"</f>
        <v>1551764996803484</v>
      </c>
      <c r="C3167" t="s">
        <v>40</v>
      </c>
      <c r="D3167">
        <v>3.6479780000000002</v>
      </c>
      <c r="E3167">
        <v>0.37615029999999999</v>
      </c>
      <c r="F3167" t="s">
        <v>84</v>
      </c>
      <c r="G3167">
        <v>-470.15</v>
      </c>
      <c r="H3167">
        <v>8.0600660000000008</v>
      </c>
      <c r="I3167">
        <v>193.02889999999999</v>
      </c>
      <c r="J3167">
        <v>-488.5992</v>
      </c>
      <c r="K3167">
        <v>1.1118790000000001</v>
      </c>
      <c r="L3167">
        <v>262.89449999999999</v>
      </c>
      <c r="M3167">
        <v>-0.35024519999999998</v>
      </c>
      <c r="N3167">
        <v>-1.6837339999999999E-2</v>
      </c>
      <c r="O3167">
        <v>-0.93650690000000003</v>
      </c>
      <c r="P3167">
        <v>-6.5000630000000004E-2</v>
      </c>
      <c r="Q3167">
        <v>-9.9813949999999999E-2</v>
      </c>
      <c r="R3167">
        <v>-0.99288089999999996</v>
      </c>
      <c r="S3167">
        <v>0.81814580000000003</v>
      </c>
      <c r="T3167">
        <v>0.30873869999999998</v>
      </c>
      <c r="U3167">
        <v>-3.1091609999999998</v>
      </c>
      <c r="V3167">
        <v>-0.28654049999999998</v>
      </c>
      <c r="W3167">
        <v>-8.5043800000000003E-2</v>
      </c>
      <c r="X3167">
        <v>0.95428619999999997</v>
      </c>
      <c r="Y3167">
        <v>-0.57609750000000004</v>
      </c>
      <c r="Z3167">
        <v>-9.6464839999999996E-2</v>
      </c>
      <c r="AA3167">
        <v>0.81166879999999997</v>
      </c>
      <c r="AB3167">
        <v>20</v>
      </c>
      <c r="AC3167">
        <v>18.449200000000001</v>
      </c>
      <c r="AD3167">
        <v>6.9481869999999999</v>
      </c>
      <c r="AE3167">
        <v>-69.865600000000001</v>
      </c>
      <c r="AF3167">
        <v>-41.371297281100397</v>
      </c>
      <c r="AG3167">
        <v>6.9481869999999999</v>
      </c>
      <c r="AH3167">
        <v>58.435938930175602</v>
      </c>
      <c r="AI3167">
        <v>84.457157966957197</v>
      </c>
      <c r="AJ3167">
        <v>125.297613702498</v>
      </c>
      <c r="AK3167">
        <v>71.934835093710802</v>
      </c>
      <c r="AL3167">
        <v>94.878543403902697</v>
      </c>
      <c r="AM3167">
        <v>106.713269535743</v>
      </c>
      <c r="AN3167">
        <v>1.0000000287845601</v>
      </c>
    </row>
    <row r="3168" spans="1:40" x14ac:dyDescent="0.25">
      <c r="A3168" t="str">
        <f>"20190305134956832"</f>
        <v>20190305134956832</v>
      </c>
      <c r="B3168" t="str">
        <f>"1551764996823004"</f>
        <v>1551764996823004</v>
      </c>
      <c r="C3168" t="s">
        <v>40</v>
      </c>
      <c r="D3168">
        <v>3.6615929999999999</v>
      </c>
      <c r="E3168">
        <v>0.37705100000000003</v>
      </c>
      <c r="F3168" t="s">
        <v>84</v>
      </c>
      <c r="G3168">
        <v>-470.15</v>
      </c>
      <c r="H3168">
        <v>8.2074079999999991</v>
      </c>
      <c r="I3168">
        <v>193.41239999999999</v>
      </c>
      <c r="J3168">
        <v>-488.65</v>
      </c>
      <c r="K3168">
        <v>1.1117330000000001</v>
      </c>
      <c r="L3168">
        <v>262.75009999999997</v>
      </c>
      <c r="M3168">
        <v>-0.34750629999999999</v>
      </c>
      <c r="N3168">
        <v>-1.6461610000000002E-2</v>
      </c>
      <c r="O3168">
        <v>-0.93753330000000001</v>
      </c>
      <c r="P3168">
        <v>-6.0902739999999997E-2</v>
      </c>
      <c r="Q3168">
        <v>-0.1000974</v>
      </c>
      <c r="R3168">
        <v>-0.99311210000000005</v>
      </c>
      <c r="S3168">
        <v>0.82510380000000005</v>
      </c>
      <c r="T3168">
        <v>0.317332</v>
      </c>
      <c r="U3168">
        <v>-3.1074220000000001</v>
      </c>
      <c r="V3168">
        <v>-0.28768860000000002</v>
      </c>
      <c r="W3168">
        <v>-8.5640960000000002E-2</v>
      </c>
      <c r="X3168">
        <v>0.95388720000000005</v>
      </c>
      <c r="Y3168">
        <v>-0.57546619999999904</v>
      </c>
      <c r="Z3168">
        <v>-9.8442089999999996E-2</v>
      </c>
      <c r="AA3168">
        <v>0.81187919999999902</v>
      </c>
      <c r="AB3168">
        <v>20</v>
      </c>
      <c r="AC3168">
        <v>18.5</v>
      </c>
      <c r="AD3168">
        <v>7.095675</v>
      </c>
      <c r="AE3168">
        <v>-69.337699999999899</v>
      </c>
      <c r="AF3168">
        <v>-41.043996991514</v>
      </c>
      <c r="AG3168">
        <v>7.095675</v>
      </c>
      <c r="AH3168">
        <v>58.018250802328801</v>
      </c>
      <c r="AI3168">
        <v>84.298324574251694</v>
      </c>
      <c r="AJ3168">
        <v>125.27682982861501</v>
      </c>
      <c r="AK3168">
        <v>71.421815427129502</v>
      </c>
      <c r="AL3168">
        <v>94.912883834922894</v>
      </c>
      <c r="AM3168">
        <v>106.78310295912</v>
      </c>
      <c r="AN3168">
        <v>0.99999994746175902</v>
      </c>
    </row>
    <row r="3169" spans="1:40" x14ac:dyDescent="0.25">
      <c r="A3169" t="str">
        <f>"20190305134956848"</f>
        <v>20190305134956848</v>
      </c>
      <c r="B3169" t="str">
        <f>"1551764996843500"</f>
        <v>1551764996843500</v>
      </c>
      <c r="C3169" t="s">
        <v>40</v>
      </c>
      <c r="D3169">
        <v>3.6394410000000001</v>
      </c>
      <c r="E3169">
        <v>0.37773040000000002</v>
      </c>
      <c r="F3169" t="s">
        <v>84</v>
      </c>
      <c r="G3169">
        <v>-470.15</v>
      </c>
      <c r="H3169">
        <v>8.3901610000000009</v>
      </c>
      <c r="I3169">
        <v>193.63550000000001</v>
      </c>
      <c r="J3169">
        <v>-488.69529999999997</v>
      </c>
      <c r="K3169">
        <v>1.111685</v>
      </c>
      <c r="L3169">
        <v>262.62079999999997</v>
      </c>
      <c r="M3169">
        <v>-0.34525609999999901</v>
      </c>
      <c r="N3169">
        <v>-1.6192970000000001E-2</v>
      </c>
      <c r="O3169">
        <v>-0.9383688</v>
      </c>
      <c r="P3169">
        <v>-5.8166370000000002E-2</v>
      </c>
      <c r="Q3169">
        <v>-0.10026599999999999</v>
      </c>
      <c r="R3169">
        <v>-0.99325909999999995</v>
      </c>
      <c r="S3169">
        <v>0.83105469999999904</v>
      </c>
      <c r="T3169">
        <v>0.32695970000000002</v>
      </c>
      <c r="U3169">
        <v>-3.1047359999999999</v>
      </c>
      <c r="V3169">
        <v>-0.28802169999999999</v>
      </c>
      <c r="W3169">
        <v>-8.6057410000000001E-2</v>
      </c>
      <c r="X3169">
        <v>0.95374919999999996</v>
      </c>
      <c r="Y3169">
        <v>-0.57506880000000005</v>
      </c>
      <c r="Z3169">
        <v>-0.1007917</v>
      </c>
      <c r="AA3169">
        <v>0.81187240000000005</v>
      </c>
      <c r="AB3169">
        <v>20</v>
      </c>
      <c r="AC3169">
        <v>18.545300000000001</v>
      </c>
      <c r="AD3169">
        <v>7.2784760000000004</v>
      </c>
      <c r="AE3169">
        <v>-68.985299999999896</v>
      </c>
      <c r="AF3169">
        <v>-40.801744976911898</v>
      </c>
      <c r="AG3169">
        <v>7.2784760000000004</v>
      </c>
      <c r="AH3169">
        <v>57.739001856467901</v>
      </c>
      <c r="AI3169">
        <v>84.122227981271095</v>
      </c>
      <c r="AJ3169">
        <v>125.247255395159</v>
      </c>
      <c r="AK3169">
        <v>71.074263565827707</v>
      </c>
      <c r="AL3169">
        <v>94.936833033739006</v>
      </c>
      <c r="AM3169">
        <v>106.80373487366499</v>
      </c>
      <c r="AN3169">
        <v>0.99999995699371802</v>
      </c>
    </row>
    <row r="3170" spans="1:40" x14ac:dyDescent="0.25">
      <c r="A3170" t="str">
        <f>"20190305134956864"</f>
        <v>20190305134956864</v>
      </c>
      <c r="B3170" t="str">
        <f>"1551764996853259"</f>
        <v>1551764996853259</v>
      </c>
      <c r="C3170" t="s">
        <v>40</v>
      </c>
      <c r="D3170">
        <v>3.978262</v>
      </c>
      <c r="E3170">
        <v>0.38001180000000001</v>
      </c>
      <c r="F3170" t="s">
        <v>84</v>
      </c>
      <c r="G3170">
        <v>-470.15</v>
      </c>
      <c r="H3170">
        <v>8.5892009999999992</v>
      </c>
      <c r="I3170">
        <v>193.66059999999999</v>
      </c>
      <c r="J3170">
        <v>-488.74110000000002</v>
      </c>
      <c r="K3170">
        <v>1.11168</v>
      </c>
      <c r="L3170">
        <v>262.48849999999999</v>
      </c>
      <c r="M3170">
        <v>-0.34311619999999998</v>
      </c>
      <c r="N3170">
        <v>-1.597788E-2</v>
      </c>
      <c r="O3170">
        <v>-0.93915720000000003</v>
      </c>
      <c r="P3170">
        <v>-5.5467549999999997E-2</v>
      </c>
      <c r="Q3170">
        <v>-0.1002976</v>
      </c>
      <c r="R3170">
        <v>-0.99341029999999997</v>
      </c>
      <c r="S3170">
        <v>0.83453369999999905</v>
      </c>
      <c r="T3170">
        <v>0.33648660000000002</v>
      </c>
      <c r="U3170">
        <v>-3.10318</v>
      </c>
      <c r="V3170">
        <v>-0.28843289999999999</v>
      </c>
      <c r="W3170">
        <v>-8.6305950000000006E-2</v>
      </c>
      <c r="X3170">
        <v>0.95360250000000002</v>
      </c>
      <c r="Y3170">
        <v>-0.57408990000000004</v>
      </c>
      <c r="Z3170">
        <v>-0.1031716</v>
      </c>
      <c r="AA3170">
        <v>0.81226619999999905</v>
      </c>
      <c r="AB3170">
        <v>20</v>
      </c>
      <c r="AC3170">
        <v>18.591100000000001</v>
      </c>
      <c r="AD3170">
        <v>7.4775209999999896</v>
      </c>
      <c r="AE3170">
        <v>-68.8279</v>
      </c>
      <c r="AF3170">
        <v>-40.634185046186602</v>
      </c>
      <c r="AG3170">
        <v>7.4775209999999896</v>
      </c>
      <c r="AH3170">
        <v>57.634743599961702</v>
      </c>
      <c r="AI3170">
        <v>83.947210372535594</v>
      </c>
      <c r="AJ3170">
        <v>125.18495940872999</v>
      </c>
      <c r="AK3170">
        <v>70.914131063607599</v>
      </c>
      <c r="AL3170">
        <v>94.951126336382004</v>
      </c>
      <c r="AM3170">
        <v>106.82881239468</v>
      </c>
      <c r="AN3170">
        <v>0.999999991407031</v>
      </c>
    </row>
    <row r="3171" spans="1:40" x14ac:dyDescent="0.25">
      <c r="A3171" t="str">
        <f>"20190305134956875"</f>
        <v>20190305134956875</v>
      </c>
      <c r="B3171" t="str">
        <f>"1551764996863995"</f>
        <v>1551764996863995</v>
      </c>
      <c r="C3171" t="s">
        <v>40</v>
      </c>
      <c r="D3171">
        <v>3.665063</v>
      </c>
      <c r="E3171">
        <v>0.3805346</v>
      </c>
      <c r="F3171" t="s">
        <v>84</v>
      </c>
      <c r="G3171">
        <v>-470.15</v>
      </c>
      <c r="H3171">
        <v>8.1314159999999998</v>
      </c>
      <c r="I3171">
        <v>192.51300000000001</v>
      </c>
      <c r="J3171">
        <v>-488.77370000000002</v>
      </c>
      <c r="K3171">
        <v>1.1116729999999999</v>
      </c>
      <c r="L3171">
        <v>262.3938</v>
      </c>
      <c r="M3171">
        <v>-0.34161710000000001</v>
      </c>
      <c r="N3171">
        <v>-1.5833110000000001E-2</v>
      </c>
      <c r="O3171">
        <v>-0.93970589999999998</v>
      </c>
      <c r="P3171">
        <v>-5.4014149999999997E-2</v>
      </c>
      <c r="Q3171">
        <v>-0.1006022</v>
      </c>
      <c r="R3171">
        <v>-0.99345950000000005</v>
      </c>
      <c r="S3171">
        <v>0.82287600000000005</v>
      </c>
      <c r="T3171">
        <v>0.31070639999999999</v>
      </c>
      <c r="U3171">
        <v>-3.097229</v>
      </c>
      <c r="V3171">
        <v>-0.28829060000000001</v>
      </c>
      <c r="W3171">
        <v>-8.6755589999999994E-2</v>
      </c>
      <c r="X3171">
        <v>0.95360480000000003</v>
      </c>
      <c r="Y3171">
        <v>-0.57047519999999996</v>
      </c>
      <c r="Z3171">
        <v>-9.6851519999999997E-2</v>
      </c>
      <c r="AA3171">
        <v>0.81558439999999999</v>
      </c>
      <c r="AB3171">
        <v>20</v>
      </c>
      <c r="AC3171">
        <v>18.623699999999999</v>
      </c>
      <c r="AD3171">
        <v>7.0197429999999903</v>
      </c>
      <c r="AE3171">
        <v>-69.880799999999994</v>
      </c>
      <c r="AF3171">
        <v>-40.992247198148597</v>
      </c>
      <c r="AG3171">
        <v>7.0197429999999903</v>
      </c>
      <c r="AH3171">
        <v>58.759050441901103</v>
      </c>
      <c r="AI3171">
        <v>84.404039706604806</v>
      </c>
      <c r="AJ3171">
        <v>124.900895843559</v>
      </c>
      <c r="AK3171">
        <v>71.987965181508301</v>
      </c>
      <c r="AL3171">
        <v>94.976985470546794</v>
      </c>
      <c r="AM3171">
        <v>106.820940541973</v>
      </c>
      <c r="AN3171">
        <v>1.00000005851382</v>
      </c>
    </row>
    <row r="3172" spans="1:40" x14ac:dyDescent="0.25">
      <c r="A3172" t="str">
        <f>"20190305134956886"</f>
        <v>20190305134956886</v>
      </c>
      <c r="B3172" t="str">
        <f>"1551764996883515"</f>
        <v>1551764996883515</v>
      </c>
      <c r="C3172" t="s">
        <v>40</v>
      </c>
      <c r="D3172">
        <v>3.6481970000000001</v>
      </c>
      <c r="E3172">
        <v>0.38148100000000001</v>
      </c>
      <c r="F3172" t="s">
        <v>84</v>
      </c>
      <c r="G3172">
        <v>-470.15</v>
      </c>
      <c r="H3172">
        <v>8.3718450000000004</v>
      </c>
      <c r="I3172">
        <v>192.34979999999999</v>
      </c>
      <c r="J3172">
        <v>-488.8066</v>
      </c>
      <c r="K3172">
        <v>1.1116779999999999</v>
      </c>
      <c r="L3172">
        <v>262.29750000000001</v>
      </c>
      <c r="M3172">
        <v>-0.34011529999999901</v>
      </c>
      <c r="N3172">
        <v>-1.5690840000000001E-2</v>
      </c>
      <c r="O3172">
        <v>-0.94025289999999995</v>
      </c>
      <c r="P3172">
        <v>-5.2448759999999997E-2</v>
      </c>
      <c r="Q3172">
        <v>-0.1006577</v>
      </c>
      <c r="R3172">
        <v>-0.99353789999999997</v>
      </c>
      <c r="S3172">
        <v>0.82345579999999996</v>
      </c>
      <c r="T3172">
        <v>0.32101200000000002</v>
      </c>
      <c r="U3172">
        <v>-3.0970149999999999</v>
      </c>
      <c r="V3172">
        <v>-0.28826380000000001</v>
      </c>
      <c r="W3172">
        <v>-8.6955169999999998E-2</v>
      </c>
      <c r="X3172">
        <v>0.95359470000000002</v>
      </c>
      <c r="Y3172">
        <v>-0.5692526</v>
      </c>
      <c r="Z3172">
        <v>-9.9464739999999996E-2</v>
      </c>
      <c r="AA3172">
        <v>0.81612390000000001</v>
      </c>
      <c r="AB3172">
        <v>20</v>
      </c>
      <c r="AC3172">
        <v>18.656600000000001</v>
      </c>
      <c r="AD3172">
        <v>7.260167</v>
      </c>
      <c r="AE3172">
        <v>-69.947699999999998</v>
      </c>
      <c r="AF3172">
        <v>-40.925672184401499</v>
      </c>
      <c r="AG3172">
        <v>7.260167</v>
      </c>
      <c r="AH3172">
        <v>58.838661874856399</v>
      </c>
      <c r="AI3172">
        <v>84.215845801184898</v>
      </c>
      <c r="AJ3172">
        <v>124.82083331594001</v>
      </c>
      <c r="AK3172">
        <v>72.038939469127797</v>
      </c>
      <c r="AL3172">
        <v>94.988464052469297</v>
      </c>
      <c r="AM3172">
        <v>106.819633224181</v>
      </c>
      <c r="AN3172">
        <v>1.0000000359241199</v>
      </c>
    </row>
    <row r="3173" spans="1:40" x14ac:dyDescent="0.25">
      <c r="A3173" t="str">
        <f>"20190305134956898"</f>
        <v>20190305134956898</v>
      </c>
      <c r="B3173" t="str">
        <f>"1551764996893276"</f>
        <v>1551764996893276</v>
      </c>
      <c r="C3173" t="s">
        <v>40</v>
      </c>
      <c r="D3173">
        <v>4.0326500000000003</v>
      </c>
      <c r="E3173">
        <v>0.38148100000000001</v>
      </c>
      <c r="F3173" t="s">
        <v>84</v>
      </c>
      <c r="G3173">
        <v>-470.15</v>
      </c>
      <c r="H3173">
        <v>8.7930010000000003</v>
      </c>
      <c r="I3173">
        <v>192.01609999999999</v>
      </c>
      <c r="J3173">
        <v>-488.8372</v>
      </c>
      <c r="K3173">
        <v>1.111675</v>
      </c>
      <c r="L3173">
        <v>262.20780000000002</v>
      </c>
      <c r="M3173">
        <v>-0.33870400000000001</v>
      </c>
      <c r="N3173">
        <v>-1.5557629999999999E-2</v>
      </c>
      <c r="O3173">
        <v>-0.94076420000000005</v>
      </c>
      <c r="P3173">
        <v>-5.1155150000000003E-2</v>
      </c>
      <c r="Q3173">
        <v>-0.101143</v>
      </c>
      <c r="R3173">
        <v>-0.99355570000000004</v>
      </c>
      <c r="S3173">
        <v>0.82217410000000002</v>
      </c>
      <c r="T3173">
        <v>0.33850570000000002</v>
      </c>
      <c r="U3173">
        <v>-3.0971980000000001</v>
      </c>
      <c r="V3173">
        <v>-0.28805409999999998</v>
      </c>
      <c r="W3173">
        <v>-8.7569240000000007E-2</v>
      </c>
      <c r="X3173">
        <v>0.95360180000000005</v>
      </c>
      <c r="Y3173">
        <v>-0.56757259999999998</v>
      </c>
      <c r="Z3173">
        <v>-0.1039375</v>
      </c>
      <c r="AA3173">
        <v>0.81673640000000003</v>
      </c>
      <c r="AB3173">
        <v>20</v>
      </c>
      <c r="AC3173">
        <v>18.687200000000001</v>
      </c>
      <c r="AD3173">
        <v>7.6813259999999897</v>
      </c>
      <c r="AE3173">
        <v>-70.191699999999997</v>
      </c>
      <c r="AF3173">
        <v>-40.902059702071902</v>
      </c>
      <c r="AG3173">
        <v>7.6813259999999897</v>
      </c>
      <c r="AH3173">
        <v>59.051270535881102</v>
      </c>
      <c r="AI3173">
        <v>83.896408027287507</v>
      </c>
      <c r="AJ3173">
        <v>124.708538930624</v>
      </c>
      <c r="AK3173">
        <v>72.242880679634794</v>
      </c>
      <c r="AL3173">
        <v>95.023782756247698</v>
      </c>
      <c r="AM3173">
        <v>106.807969774922</v>
      </c>
      <c r="AN3173">
        <v>0.99999996464211305</v>
      </c>
    </row>
    <row r="3174" spans="1:40" x14ac:dyDescent="0.25">
      <c r="A3174" t="str">
        <f>"20190305134956909"</f>
        <v>20190305134956909</v>
      </c>
      <c r="B3174" t="str">
        <f>"1551764996903036"</f>
        <v>1551764996903036</v>
      </c>
      <c r="C3174" t="s">
        <v>40</v>
      </c>
      <c r="D3174">
        <v>3.7056420000000001</v>
      </c>
      <c r="E3174">
        <v>0.38195079999999998</v>
      </c>
      <c r="F3174" t="s">
        <v>84</v>
      </c>
      <c r="G3174">
        <v>-470.15</v>
      </c>
      <c r="H3174">
        <v>8.7336030000000004</v>
      </c>
      <c r="I3174">
        <v>192.1823</v>
      </c>
      <c r="J3174">
        <v>-488.87099999999998</v>
      </c>
      <c r="K3174">
        <v>1.111666</v>
      </c>
      <c r="L3174">
        <v>262.108</v>
      </c>
      <c r="M3174">
        <v>-0.33712969999999998</v>
      </c>
      <c r="N3174">
        <v>-1.540947E-2</v>
      </c>
      <c r="O3174">
        <v>-0.94133219999999995</v>
      </c>
      <c r="P3174">
        <v>-4.980014E-2</v>
      </c>
      <c r="Q3174">
        <v>-0.10133399999999999</v>
      </c>
      <c r="R3174">
        <v>-0.99360539999999997</v>
      </c>
      <c r="S3174">
        <v>0.82629390000000003</v>
      </c>
      <c r="T3174">
        <v>0.33701979999999998</v>
      </c>
      <c r="U3174">
        <v>-3.0963129999999999</v>
      </c>
      <c r="V3174">
        <v>-0.28775050000000002</v>
      </c>
      <c r="W3174">
        <v>-8.7900279999999997E-2</v>
      </c>
      <c r="X3174">
        <v>0.95366309999999999</v>
      </c>
      <c r="Y3174">
        <v>-0.56727859999999997</v>
      </c>
      <c r="Z3174">
        <v>-0.1035152</v>
      </c>
      <c r="AA3174">
        <v>0.81699429999999995</v>
      </c>
      <c r="AB3174">
        <v>20</v>
      </c>
      <c r="AC3174">
        <v>18.721</v>
      </c>
      <c r="AD3174">
        <v>7.621937</v>
      </c>
      <c r="AE3174">
        <v>-69.925700000000006</v>
      </c>
      <c r="AF3174">
        <v>-40.749827028241</v>
      </c>
      <c r="AG3174">
        <v>7.621937</v>
      </c>
      <c r="AH3174">
        <v>58.866349542545997</v>
      </c>
      <c r="AI3174">
        <v>83.923204256847001</v>
      </c>
      <c r="AJ3174">
        <v>124.69265346956</v>
      </c>
      <c r="AK3174">
        <v>71.999232182911101</v>
      </c>
      <c r="AL3174">
        <v>95.042822898447099</v>
      </c>
      <c r="AM3174">
        <v>106.790233637981</v>
      </c>
      <c r="AN3174">
        <v>1.0000000588879601</v>
      </c>
    </row>
    <row r="3175" spans="1:40" x14ac:dyDescent="0.25">
      <c r="A3175" t="str">
        <f>"20190305134956920"</f>
        <v>20190305134956920</v>
      </c>
      <c r="B3175" t="str">
        <f>"1551764996913772"</f>
        <v>1551764996913772</v>
      </c>
      <c r="C3175" t="s">
        <v>40</v>
      </c>
      <c r="D3175">
        <v>3.7133750000000001</v>
      </c>
      <c r="E3175">
        <v>0.38210159999999999</v>
      </c>
      <c r="F3175" t="s">
        <v>84</v>
      </c>
      <c r="G3175">
        <v>-470.15</v>
      </c>
      <c r="H3175">
        <v>8.9818219999999993</v>
      </c>
      <c r="I3175">
        <v>192.04580000000001</v>
      </c>
      <c r="J3175">
        <v>-488.90269999999998</v>
      </c>
      <c r="K3175">
        <v>1.1116509999999999</v>
      </c>
      <c r="L3175">
        <v>262.0136</v>
      </c>
      <c r="M3175">
        <v>-0.33561360000000001</v>
      </c>
      <c r="N3175">
        <v>-1.5279930000000001E-2</v>
      </c>
      <c r="O3175">
        <v>-0.94187589999999999</v>
      </c>
      <c r="P3175">
        <v>-4.8492750000000001E-2</v>
      </c>
      <c r="Q3175">
        <v>-0.1018621</v>
      </c>
      <c r="R3175">
        <v>-0.99361580000000005</v>
      </c>
      <c r="S3175">
        <v>0.8273315</v>
      </c>
      <c r="T3175">
        <v>0.34780309999999998</v>
      </c>
      <c r="U3175">
        <v>-3.096222</v>
      </c>
      <c r="V3175">
        <v>-0.28745029999999999</v>
      </c>
      <c r="W3175">
        <v>-8.8543440000000001E-2</v>
      </c>
      <c r="X3175">
        <v>0.95369400000000004</v>
      </c>
      <c r="Y3175">
        <v>-0.56613800000000003</v>
      </c>
      <c r="Z3175">
        <v>-0.106271</v>
      </c>
      <c r="AA3175">
        <v>0.81743149999999998</v>
      </c>
      <c r="AB3175">
        <v>20</v>
      </c>
      <c r="AC3175">
        <v>18.752700000000001</v>
      </c>
      <c r="AD3175">
        <v>7.8701709999999903</v>
      </c>
      <c r="AE3175">
        <v>-69.967799999999897</v>
      </c>
      <c r="AF3175">
        <v>-40.669581405652401</v>
      </c>
      <c r="AG3175">
        <v>7.8701709999999903</v>
      </c>
      <c r="AH3175">
        <v>58.918776455075701</v>
      </c>
      <c r="AI3175">
        <v>83.726628645768599</v>
      </c>
      <c r="AJ3175">
        <v>124.615968443971</v>
      </c>
      <c r="AK3175">
        <v>72.023445226144304</v>
      </c>
      <c r="AL3175">
        <v>95.079818150910199</v>
      </c>
      <c r="AM3175">
        <v>106.77318833627101</v>
      </c>
      <c r="AN3175">
        <v>0.99999993068655901</v>
      </c>
    </row>
    <row r="3176" spans="1:40" x14ac:dyDescent="0.25">
      <c r="A3176" t="str">
        <f>"20190305134956932"</f>
        <v>20190305134956932</v>
      </c>
      <c r="B3176" t="str">
        <f>"1551764996923531"</f>
        <v>1551764996923531</v>
      </c>
      <c r="C3176" t="s">
        <v>40</v>
      </c>
      <c r="D3176">
        <v>4.1383260000000002</v>
      </c>
      <c r="E3176">
        <v>0.38377650000000002</v>
      </c>
      <c r="F3176" t="s">
        <v>84</v>
      </c>
      <c r="G3176">
        <v>-470.15</v>
      </c>
      <c r="H3176">
        <v>9.024362</v>
      </c>
      <c r="I3176">
        <v>192.11189999999999</v>
      </c>
      <c r="J3176">
        <v>-488.93200000000002</v>
      </c>
      <c r="K3176">
        <v>1.111637</v>
      </c>
      <c r="L3176">
        <v>261.92619999999999</v>
      </c>
      <c r="M3176">
        <v>-0.33420680000000003</v>
      </c>
      <c r="N3176">
        <v>-1.516348E-2</v>
      </c>
      <c r="O3176">
        <v>-0.94237760000000004</v>
      </c>
      <c r="P3176">
        <v>-4.7187229999999997E-2</v>
      </c>
      <c r="Q3176">
        <v>-0.10250430000000001</v>
      </c>
      <c r="R3176">
        <v>-0.99361239999999995</v>
      </c>
      <c r="S3176">
        <v>0.83050539999999995</v>
      </c>
      <c r="T3176">
        <v>0.3504313</v>
      </c>
      <c r="U3176">
        <v>-3.0957340000000002</v>
      </c>
      <c r="V3176">
        <v>-0.28725600000000001</v>
      </c>
      <c r="W3176">
        <v>-8.9289049999999995E-2</v>
      </c>
      <c r="X3176">
        <v>0.95368310000000001</v>
      </c>
      <c r="Y3176">
        <v>-0.56570240000000005</v>
      </c>
      <c r="Z3176">
        <v>-0.10692550000000001</v>
      </c>
      <c r="AA3176">
        <v>0.81764759999999903</v>
      </c>
      <c r="AB3176">
        <v>20</v>
      </c>
      <c r="AC3176">
        <v>18.781999999999901</v>
      </c>
      <c r="AD3176">
        <v>7.912725</v>
      </c>
      <c r="AE3176">
        <v>-69.814300000000003</v>
      </c>
      <c r="AF3176">
        <v>-40.551117982866899</v>
      </c>
      <c r="AG3176">
        <v>7.912725</v>
      </c>
      <c r="AH3176">
        <v>58.816656103803602</v>
      </c>
      <c r="AI3176">
        <v>83.6797294722776</v>
      </c>
      <c r="AJ3176">
        <v>124.58430457356501</v>
      </c>
      <c r="AK3176">
        <v>71.877697666377102</v>
      </c>
      <c r="AL3176">
        <v>95.122707990577993</v>
      </c>
      <c r="AM3176">
        <v>106.762667610533</v>
      </c>
      <c r="AN3176">
        <v>0.99999999960575603</v>
      </c>
    </row>
    <row r="3177" spans="1:40" x14ac:dyDescent="0.25">
      <c r="A3177" t="str">
        <f>"20190305134956944"</f>
        <v>20190305134956944</v>
      </c>
      <c r="B3177" t="str">
        <f>"1551764996933291"</f>
        <v>1551764996933291</v>
      </c>
      <c r="C3177" t="s">
        <v>40</v>
      </c>
      <c r="D3177">
        <v>4.1644069999999997</v>
      </c>
      <c r="E3177">
        <v>0.38517050000000003</v>
      </c>
      <c r="F3177" t="s">
        <v>84</v>
      </c>
      <c r="G3177">
        <v>-470.34609999999998</v>
      </c>
      <c r="H3177">
        <v>8.5437469999999998</v>
      </c>
      <c r="I3177">
        <v>191.8331</v>
      </c>
      <c r="J3177">
        <v>-488.96620000000001</v>
      </c>
      <c r="K3177">
        <v>1.111623</v>
      </c>
      <c r="L3177">
        <v>261.8236</v>
      </c>
      <c r="M3177">
        <v>-0.332542</v>
      </c>
      <c r="N3177">
        <v>-1.5043580000000001E-2</v>
      </c>
      <c r="O3177">
        <v>-0.94296849999999999</v>
      </c>
      <c r="P3177">
        <v>-4.5716859999999998E-2</v>
      </c>
      <c r="Q3177">
        <v>-0.1030915</v>
      </c>
      <c r="R3177">
        <v>-0.99362079999999997</v>
      </c>
      <c r="S3177">
        <v>0.81988530000000004</v>
      </c>
      <c r="T3177">
        <v>0.32785340000000002</v>
      </c>
      <c r="U3177">
        <v>-3.0920100000000001</v>
      </c>
      <c r="V3177">
        <v>-0.28696300000000002</v>
      </c>
      <c r="W3177">
        <v>-8.9977409999999994E-2</v>
      </c>
      <c r="X3177">
        <v>0.95370659999999896</v>
      </c>
      <c r="Y3177">
        <v>-0.56201389999999996</v>
      </c>
      <c r="Z3177">
        <v>-0.1013539</v>
      </c>
      <c r="AA3177">
        <v>0.82089449999999997</v>
      </c>
      <c r="AB3177">
        <v>20</v>
      </c>
      <c r="AC3177">
        <v>18.620100000000001</v>
      </c>
      <c r="AD3177">
        <v>7.432124</v>
      </c>
      <c r="AE3177">
        <v>-69.990499999999997</v>
      </c>
      <c r="AF3177">
        <v>-40.412009387674701</v>
      </c>
      <c r="AG3177">
        <v>7.432124</v>
      </c>
      <c r="AH3177">
        <v>59.190333652588301</v>
      </c>
      <c r="AI3177">
        <v>84.079654022189004</v>
      </c>
      <c r="AJ3177">
        <v>124.32318138277699</v>
      </c>
      <c r="AK3177">
        <v>72.0545804776186</v>
      </c>
      <c r="AL3177">
        <v>95.1623075671544</v>
      </c>
      <c r="AM3177">
        <v>106.746137919717</v>
      </c>
      <c r="AN3177">
        <v>0.99999998828143299</v>
      </c>
    </row>
    <row r="3178" spans="1:40" x14ac:dyDescent="0.25">
      <c r="A3178" t="str">
        <f>"20190305134956957"</f>
        <v>20190305134956957</v>
      </c>
      <c r="B3178" t="str">
        <f>"1551764996953788"</f>
        <v>1551764996953788</v>
      </c>
      <c r="C3178" t="s">
        <v>40</v>
      </c>
      <c r="D3178">
        <v>4.1364570000000001</v>
      </c>
      <c r="E3178">
        <v>0.38775120000000002</v>
      </c>
      <c r="F3178" t="s">
        <v>84</v>
      </c>
      <c r="G3178">
        <v>-470.34609999999998</v>
      </c>
      <c r="H3178">
        <v>8.1792859999999994</v>
      </c>
      <c r="I3178">
        <v>191.03749999999999</v>
      </c>
      <c r="J3178">
        <v>-489.00259999999997</v>
      </c>
      <c r="K3178">
        <v>1.111604</v>
      </c>
      <c r="L3178">
        <v>261.71359999999999</v>
      </c>
      <c r="M3178">
        <v>-0.33075359999999998</v>
      </c>
      <c r="N3178">
        <v>-1.492568E-2</v>
      </c>
      <c r="O3178">
        <v>-0.94359919999999997</v>
      </c>
      <c r="P3178">
        <v>-4.4029369999999998E-2</v>
      </c>
      <c r="Q3178">
        <v>-0.1037158</v>
      </c>
      <c r="R3178">
        <v>-0.99363210000000002</v>
      </c>
      <c r="S3178">
        <v>0.81246949999999996</v>
      </c>
      <c r="T3178">
        <v>0.30838929999999998</v>
      </c>
      <c r="U3178">
        <v>-3.088654</v>
      </c>
      <c r="V3178">
        <v>-0.286753599999999</v>
      </c>
      <c r="W3178">
        <v>-9.0701240000000002E-2</v>
      </c>
      <c r="X3178">
        <v>0.95370100000000002</v>
      </c>
      <c r="Y3178">
        <v>-0.55894119999999903</v>
      </c>
      <c r="Z3178">
        <v>-9.6498120000000007E-2</v>
      </c>
      <c r="AA3178">
        <v>0.82357329999999995</v>
      </c>
      <c r="AB3178">
        <v>20</v>
      </c>
      <c r="AC3178">
        <v>18.656499999999902</v>
      </c>
      <c r="AD3178">
        <v>7.0676819999999996</v>
      </c>
      <c r="AE3178">
        <v>-70.676099999999906</v>
      </c>
      <c r="AF3178">
        <v>-40.605582722699502</v>
      </c>
      <c r="AG3178">
        <v>7.0676819999999996</v>
      </c>
      <c r="AH3178">
        <v>59.965341733034698</v>
      </c>
      <c r="AI3178">
        <v>84.425986592257502</v>
      </c>
      <c r="AJ3178">
        <v>124.10392693615201</v>
      </c>
      <c r="AK3178">
        <v>72.764054905308498</v>
      </c>
      <c r="AL3178">
        <v>95.203950344607804</v>
      </c>
      <c r="AM3178">
        <v>106.734694277535</v>
      </c>
      <c r="AN3178">
        <v>0.99999996972574801</v>
      </c>
    </row>
    <row r="3179" spans="1:40" x14ac:dyDescent="0.25">
      <c r="A3179" t="str">
        <f>"20190305134956970"</f>
        <v>20190305134956970</v>
      </c>
      <c r="B3179" t="str">
        <f>"1551764996963547"</f>
        <v>1551764996963547</v>
      </c>
      <c r="C3179" t="s">
        <v>40</v>
      </c>
      <c r="D3179">
        <v>4.1217350000000001</v>
      </c>
      <c r="E3179">
        <v>0.38775120000000002</v>
      </c>
      <c r="F3179" t="s">
        <v>84</v>
      </c>
      <c r="G3179">
        <v>-470.15</v>
      </c>
      <c r="H3179">
        <v>7.6661720000000004</v>
      </c>
      <c r="I3179">
        <v>188.6027</v>
      </c>
      <c r="J3179">
        <v>-489.0376</v>
      </c>
      <c r="K3179">
        <v>1.1115889999999999</v>
      </c>
      <c r="L3179">
        <v>261.60750000000002</v>
      </c>
      <c r="M3179">
        <v>-0.3290225</v>
      </c>
      <c r="N3179">
        <v>-1.481969E-2</v>
      </c>
      <c r="O3179">
        <v>-0.94420590000000004</v>
      </c>
      <c r="P3179">
        <v>-4.301228E-2</v>
      </c>
      <c r="Q3179">
        <v>-0.10445699999999999</v>
      </c>
      <c r="R3179">
        <v>-0.99359889999999995</v>
      </c>
      <c r="S3179">
        <v>0.79507450000000002</v>
      </c>
      <c r="T3179">
        <v>0.2764276</v>
      </c>
      <c r="U3179">
        <v>-3.083313</v>
      </c>
      <c r="V3179">
        <v>-0.28595549999999997</v>
      </c>
      <c r="W3179">
        <v>-9.1526490000000002E-2</v>
      </c>
      <c r="X3179">
        <v>0.95386179999999998</v>
      </c>
      <c r="Y3179">
        <v>-0.55358779999999996</v>
      </c>
      <c r="Z3179">
        <v>-8.8474010000000006E-2</v>
      </c>
      <c r="AA3179">
        <v>0.82807790000000003</v>
      </c>
      <c r="AB3179">
        <v>20</v>
      </c>
      <c r="AC3179">
        <v>18.887599999999999</v>
      </c>
      <c r="AD3179">
        <v>6.554583</v>
      </c>
      <c r="AE3179">
        <v>-73.004800000000003</v>
      </c>
      <c r="AF3179">
        <v>-41.544716378341498</v>
      </c>
      <c r="AG3179">
        <v>6.554583</v>
      </c>
      <c r="AH3179">
        <v>62.253656467577699</v>
      </c>
      <c r="AI3179">
        <v>84.994936339236304</v>
      </c>
      <c r="AJ3179">
        <v>123.716997922779</v>
      </c>
      <c r="AK3179">
        <v>75.129513247750396</v>
      </c>
      <c r="AL3179">
        <v>95.251431080570896</v>
      </c>
      <c r="AM3179">
        <v>106.68805455259201</v>
      </c>
      <c r="AN3179">
        <v>0.99999998992560502</v>
      </c>
    </row>
    <row r="3180" spans="1:40" x14ac:dyDescent="0.25">
      <c r="A3180" t="str">
        <f>"20190305134956982"</f>
        <v>20190305134956982</v>
      </c>
      <c r="B3180" t="str">
        <f>"1551764996973307"</f>
        <v>1551764996973307</v>
      </c>
      <c r="C3180" t="s">
        <v>40</v>
      </c>
      <c r="D3180">
        <v>4.8456340000000004</v>
      </c>
      <c r="E3180">
        <v>0.41926079999999999</v>
      </c>
      <c r="F3180" t="s">
        <v>84</v>
      </c>
      <c r="G3180">
        <v>-470.15</v>
      </c>
      <c r="H3180">
        <v>7.6143669999999997</v>
      </c>
      <c r="I3180">
        <v>188.6711</v>
      </c>
      <c r="J3180">
        <v>-489.07049999999998</v>
      </c>
      <c r="K3180">
        <v>1.111578</v>
      </c>
      <c r="L3180">
        <v>261.50689999999997</v>
      </c>
      <c r="M3180">
        <v>-0.32737739999999999</v>
      </c>
      <c r="N3180">
        <v>-1.472885E-2</v>
      </c>
      <c r="O3180">
        <v>-0.94477900000000004</v>
      </c>
      <c r="P3180">
        <v>-4.1889679999999999E-2</v>
      </c>
      <c r="Q3180">
        <v>-0.10491209999999999</v>
      </c>
      <c r="R3180">
        <v>-0.99359889999999995</v>
      </c>
      <c r="S3180">
        <v>0.7983093</v>
      </c>
      <c r="T3180">
        <v>0.27484809999999998</v>
      </c>
      <c r="U3180">
        <v>-3.0827330000000002</v>
      </c>
      <c r="V3180">
        <v>-0.28535650000000001</v>
      </c>
      <c r="W3180">
        <v>-9.2056600000000002E-2</v>
      </c>
      <c r="X3180">
        <v>0.95399020000000001</v>
      </c>
      <c r="Y3180">
        <v>-0.55299830000000005</v>
      </c>
      <c r="Z3180">
        <v>-8.8062230000000005E-2</v>
      </c>
      <c r="AA3180">
        <v>0.82851549999999996</v>
      </c>
      <c r="AB3180">
        <v>20</v>
      </c>
      <c r="AC3180">
        <v>18.920500000000001</v>
      </c>
      <c r="AD3180">
        <v>6.5027889999999999</v>
      </c>
      <c r="AE3180">
        <v>-72.835799999999907</v>
      </c>
      <c r="AF3180">
        <v>-41.415752615607097</v>
      </c>
      <c r="AG3180">
        <v>6.5027889999999999</v>
      </c>
      <c r="AH3180">
        <v>62.162206414660901</v>
      </c>
      <c r="AI3180">
        <v>85.024522267274307</v>
      </c>
      <c r="AJ3180">
        <v>123.673653277019</v>
      </c>
      <c r="AK3180">
        <v>74.9779349931338</v>
      </c>
      <c r="AL3180">
        <v>95.281932728751698</v>
      </c>
      <c r="AM3180">
        <v>106.652918087435</v>
      </c>
      <c r="AN3180">
        <v>1.0000000256959201</v>
      </c>
    </row>
    <row r="3181" spans="1:40" x14ac:dyDescent="0.25">
      <c r="A3181" t="str">
        <f>"20190305134956998"</f>
        <v>20190305134956998</v>
      </c>
      <c r="B3181" t="str">
        <f>"1551764996993334"</f>
        <v>1551764996993334</v>
      </c>
      <c r="C3181" t="s">
        <v>40</v>
      </c>
      <c r="D3181">
        <v>4.9294370000000001</v>
      </c>
      <c r="E3181">
        <v>0.41926079999999999</v>
      </c>
      <c r="F3181" t="s">
        <v>82</v>
      </c>
      <c r="G3181">
        <v>-473.52499999999998</v>
      </c>
      <c r="H3181">
        <v>0.45616109999999999</v>
      </c>
      <c r="I3181">
        <v>173.02449999999999</v>
      </c>
      <c r="J3181">
        <v>-489.1146</v>
      </c>
      <c r="K3181">
        <v>1.1115649999999999</v>
      </c>
      <c r="L3181">
        <v>261.37110000000001</v>
      </c>
      <c r="M3181">
        <v>-0.32515060000000001</v>
      </c>
      <c r="N3181">
        <v>-1.4611890000000001E-2</v>
      </c>
      <c r="O3181">
        <v>-0.94554950000000004</v>
      </c>
      <c r="P3181">
        <v>-4.2224980000000002E-2</v>
      </c>
      <c r="Q3181">
        <v>-0.1055992</v>
      </c>
      <c r="R3181">
        <v>-0.99351230000000001</v>
      </c>
      <c r="S3181">
        <v>0.53399659999999904</v>
      </c>
      <c r="T3181">
        <v>-2.2513990000000001E-2</v>
      </c>
      <c r="U3181">
        <v>-3.0394290000000002</v>
      </c>
      <c r="V3181">
        <v>-0.28276459999999998</v>
      </c>
      <c r="W3181">
        <v>-9.2827629999999994E-2</v>
      </c>
      <c r="X3181">
        <v>0.95468699999999995</v>
      </c>
      <c r="Y3181">
        <v>-0.4838306</v>
      </c>
      <c r="Z3181">
        <v>-8.7574550000000008E-3</v>
      </c>
      <c r="AA3181">
        <v>0.87511779999999995</v>
      </c>
      <c r="AB3181">
        <v>20</v>
      </c>
      <c r="AC3181">
        <v>15.589600000000001</v>
      </c>
      <c r="AD3181">
        <v>-0.65540389999999904</v>
      </c>
      <c r="AE3181">
        <v>-88.346599999999995</v>
      </c>
      <c r="AF3181">
        <v>-43.469003362476897</v>
      </c>
      <c r="AG3181">
        <v>-0.65540389999999904</v>
      </c>
      <c r="AH3181">
        <v>78.471294538981596</v>
      </c>
      <c r="AI3181">
        <v>90.418599664503603</v>
      </c>
      <c r="AJ3181">
        <v>118.98416563480301</v>
      </c>
      <c r="AK3181">
        <v>89.709129269114896</v>
      </c>
      <c r="AL3181">
        <v>95.326299457359994</v>
      </c>
      <c r="AM3181">
        <v>106.498533853989</v>
      </c>
      <c r="AN3181">
        <v>1.00000002793678</v>
      </c>
    </row>
    <row r="3182" spans="1:40" x14ac:dyDescent="0.25">
      <c r="A3182" t="str">
        <f>"20190305134957010"</f>
        <v>20190305134957010</v>
      </c>
      <c r="B3182" t="str">
        <f>"1551764997003094"</f>
        <v>1551764997003094</v>
      </c>
      <c r="C3182" t="s">
        <v>40</v>
      </c>
      <c r="D3182">
        <v>4.5689580000000003</v>
      </c>
      <c r="E3182">
        <v>0.53228160000000002</v>
      </c>
      <c r="F3182" t="s">
        <v>82</v>
      </c>
      <c r="G3182">
        <v>-473.52499999999998</v>
      </c>
      <c r="H3182">
        <v>0.43099920000000003</v>
      </c>
      <c r="I3182">
        <v>172.4041</v>
      </c>
      <c r="J3182">
        <v>-489.14659999999998</v>
      </c>
      <c r="K3182">
        <v>1.111561</v>
      </c>
      <c r="L3182">
        <v>261.2722</v>
      </c>
      <c r="M3182">
        <v>-0.32352160000000002</v>
      </c>
      <c r="N3182">
        <v>-1.4530660000000001E-2</v>
      </c>
      <c r="O3182">
        <v>-0.94610950000000005</v>
      </c>
      <c r="P3182">
        <v>-4.2184119999999999E-2</v>
      </c>
      <c r="Q3182">
        <v>-0.10621070000000001</v>
      </c>
      <c r="R3182">
        <v>-0.99344860000000001</v>
      </c>
      <c r="S3182">
        <v>0.53265379999999996</v>
      </c>
      <c r="T3182">
        <v>-2.3253079999999999E-2</v>
      </c>
      <c r="U3182">
        <v>-3.0397639999999999</v>
      </c>
      <c r="V3182">
        <v>-0.281138</v>
      </c>
      <c r="W3182">
        <v>-9.3501249999999994E-2</v>
      </c>
      <c r="X3182">
        <v>0.95510150000000005</v>
      </c>
      <c r="Y3182">
        <v>-0.4819309</v>
      </c>
      <c r="Z3182">
        <v>-8.4540229999999997E-3</v>
      </c>
      <c r="AA3182">
        <v>0.87616839999999996</v>
      </c>
      <c r="AB3182">
        <v>20</v>
      </c>
      <c r="AC3182">
        <v>15.621600000000001</v>
      </c>
      <c r="AD3182">
        <v>-0.68056179999999999</v>
      </c>
      <c r="AE3182">
        <v>-88.868099999999998</v>
      </c>
      <c r="AF3182">
        <v>-43.532601779981803</v>
      </c>
      <c r="AG3182">
        <v>-0.68056179999999999</v>
      </c>
      <c r="AH3182">
        <v>79.028854962911296</v>
      </c>
      <c r="AI3182">
        <v>90.432167888478503</v>
      </c>
      <c r="AJ3182">
        <v>118.847924648559</v>
      </c>
      <c r="AK3182">
        <v>90.228102600281801</v>
      </c>
      <c r="AL3182">
        <v>95.365063963313105</v>
      </c>
      <c r="AM3182">
        <v>106.402006305386</v>
      </c>
      <c r="AN3182">
        <v>0.99999996704890504</v>
      </c>
    </row>
    <row r="3183" spans="1:40" x14ac:dyDescent="0.25">
      <c r="A3183" t="str">
        <f>"20190305134957023"</f>
        <v>20190305134957023</v>
      </c>
      <c r="B3183" t="str">
        <f>"1551764997013829"</f>
        <v>1551764997013829</v>
      </c>
      <c r="C3183" t="s">
        <v>40</v>
      </c>
      <c r="D3183">
        <v>4.7200119999999997</v>
      </c>
      <c r="E3183">
        <v>0.5414158</v>
      </c>
      <c r="F3183" t="s">
        <v>62</v>
      </c>
      <c r="G3183">
        <v>-493.15269999999998</v>
      </c>
      <c r="H3183" s="1">
        <v>5.685231E-6</v>
      </c>
      <c r="I3183">
        <v>229.17519999999999</v>
      </c>
      <c r="J3183">
        <v>-489.18130000000002</v>
      </c>
      <c r="K3183">
        <v>1.1115619999999999</v>
      </c>
      <c r="L3183">
        <v>261.16390000000001</v>
      </c>
      <c r="M3183">
        <v>-0.32172519999999999</v>
      </c>
      <c r="N3183">
        <v>-1.4451169999999999E-2</v>
      </c>
      <c r="O3183">
        <v>-0.94672299999999998</v>
      </c>
      <c r="P3183">
        <v>-4.2096790000000002E-2</v>
      </c>
      <c r="Q3183">
        <v>-0.10667939999999999</v>
      </c>
      <c r="R3183">
        <v>-0.99340249999999997</v>
      </c>
      <c r="S3183">
        <v>-0.37353520000000001</v>
      </c>
      <c r="T3183">
        <v>-0.1036441</v>
      </c>
      <c r="U3183">
        <v>-2.9927980000000001</v>
      </c>
      <c r="V3183">
        <v>-0.27939249999999999</v>
      </c>
      <c r="W3183">
        <v>-9.4033320000000004E-2</v>
      </c>
      <c r="X3183">
        <v>0.95556140000000001</v>
      </c>
      <c r="Y3183">
        <v>-0.20196210000000001</v>
      </c>
      <c r="Z3183">
        <v>1.723848E-2</v>
      </c>
      <c r="AA3183">
        <v>0.97924160000000005</v>
      </c>
      <c r="AB3183">
        <v>20</v>
      </c>
      <c r="AC3183">
        <v>-3.9713999999999601</v>
      </c>
      <c r="AD3183">
        <v>-1.111556314769</v>
      </c>
      <c r="AE3183">
        <v>-31.988700000000001</v>
      </c>
      <c r="AF3183">
        <v>-6.5246774376160603</v>
      </c>
      <c r="AG3183">
        <v>-1.111556314769</v>
      </c>
      <c r="AH3183">
        <v>31.527937068830401</v>
      </c>
      <c r="AI3183">
        <v>91.977332746581993</v>
      </c>
      <c r="AJ3183">
        <v>101.692255018808</v>
      </c>
      <c r="AK3183">
        <v>32.215179479896896</v>
      </c>
      <c r="AL3183">
        <v>95.395683996780406</v>
      </c>
      <c r="AM3183">
        <v>106.29816566824999</v>
      </c>
      <c r="AN3183">
        <v>1.00000001174821</v>
      </c>
    </row>
    <row r="3184" spans="1:40" x14ac:dyDescent="0.25">
      <c r="A3184" t="str">
        <f>"20190305134957045"</f>
        <v>20190305134957045</v>
      </c>
      <c r="B3184" t="str">
        <f>"1551764997033350"</f>
        <v>1551764997033350</v>
      </c>
      <c r="C3184" t="s">
        <v>40</v>
      </c>
      <c r="D3184">
        <v>4.5762349999999996</v>
      </c>
      <c r="E3184">
        <v>0.59181549999999905</v>
      </c>
      <c r="F3184" t="s">
        <v>42</v>
      </c>
      <c r="G3184">
        <v>-493.34460000000001</v>
      </c>
      <c r="H3184" s="1">
        <v>-2.4859479999999998E-6</v>
      </c>
      <c r="I3184">
        <v>233.30950000000001</v>
      </c>
      <c r="J3184">
        <v>-489.2371</v>
      </c>
      <c r="K3184">
        <v>1.1115679999999999</v>
      </c>
      <c r="L3184">
        <v>260.98849999999999</v>
      </c>
      <c r="M3184">
        <v>-0.31878959999999901</v>
      </c>
      <c r="N3184">
        <v>-1.433501E-2</v>
      </c>
      <c r="O3184">
        <v>-0.94771709999999998</v>
      </c>
      <c r="P3184">
        <v>-4.3261880000000003E-2</v>
      </c>
      <c r="Q3184">
        <v>-0.10771210000000001</v>
      </c>
      <c r="R3184">
        <v>-0.99324040000000002</v>
      </c>
      <c r="S3184">
        <v>-0.44662479999999899</v>
      </c>
      <c r="T3184">
        <v>-0.11924609999999999</v>
      </c>
      <c r="U3184">
        <v>-2.988159</v>
      </c>
      <c r="V3184">
        <v>-0.27527059999999998</v>
      </c>
      <c r="W3184">
        <v>-9.5151100000000002E-2</v>
      </c>
      <c r="X3184">
        <v>0.95664640000000001</v>
      </c>
      <c r="Y3184">
        <v>-0.1751791</v>
      </c>
      <c r="Z3184">
        <v>2.2286360000000002E-2</v>
      </c>
      <c r="AA3184">
        <v>0.9842843</v>
      </c>
      <c r="AB3184">
        <v>20</v>
      </c>
      <c r="AC3184">
        <v>-4.1075000000000097</v>
      </c>
      <c r="AD3184">
        <v>-1.111570485948</v>
      </c>
      <c r="AE3184">
        <v>-27.678999999999899</v>
      </c>
      <c r="AF3184">
        <v>-4.9237662540787799</v>
      </c>
      <c r="AG3184">
        <v>-1.111570485948</v>
      </c>
      <c r="AH3184">
        <v>27.500723305233901</v>
      </c>
      <c r="AI3184">
        <v>92.278425994816004</v>
      </c>
      <c r="AJ3184">
        <v>100.15076126381</v>
      </c>
      <c r="AK3184">
        <v>27.960129566600202</v>
      </c>
      <c r="AL3184">
        <v>95.460016683644</v>
      </c>
      <c r="AM3184">
        <v>106.052929335896</v>
      </c>
      <c r="AN3184">
        <v>0.999999984844264</v>
      </c>
    </row>
    <row r="3185" spans="1:40" x14ac:dyDescent="0.25">
      <c r="A3185" t="str">
        <f>"20190305134957060"</f>
        <v>20190305134957060</v>
      </c>
      <c r="B3185" t="str">
        <f>"1551764997053846"</f>
        <v>1551764997053846</v>
      </c>
      <c r="C3185" t="s">
        <v>40</v>
      </c>
      <c r="D3185">
        <v>4.4407360000000002</v>
      </c>
      <c r="E3185">
        <v>0.58791969999999905</v>
      </c>
      <c r="F3185" t="s">
        <v>42</v>
      </c>
      <c r="G3185">
        <v>-497.95909999999998</v>
      </c>
      <c r="H3185" s="1">
        <v>-2.5406100000000001E-6</v>
      </c>
      <c r="I3185">
        <v>230.57490000000001</v>
      </c>
      <c r="J3185">
        <v>-489.27749999999997</v>
      </c>
      <c r="K3185">
        <v>1.1115839999999999</v>
      </c>
      <c r="L3185">
        <v>260.86009999999999</v>
      </c>
      <c r="M3185">
        <v>-0.31661790000000001</v>
      </c>
      <c r="N3185">
        <v>-1.4261329999999999E-2</v>
      </c>
      <c r="O3185">
        <v>-0.94844589999999995</v>
      </c>
      <c r="P3185">
        <v>-4.3414429999999997E-2</v>
      </c>
      <c r="Q3185">
        <v>-0.1085911</v>
      </c>
      <c r="R3185">
        <v>-0.99313810000000002</v>
      </c>
      <c r="S3185">
        <v>-0.85217289999999901</v>
      </c>
      <c r="T3185">
        <v>-0.1086048</v>
      </c>
      <c r="U3185">
        <v>-2.971527</v>
      </c>
      <c r="V3185">
        <v>-0.27289760000000002</v>
      </c>
      <c r="W3185">
        <v>-9.6091850000000006E-2</v>
      </c>
      <c r="X3185">
        <v>0.95723210000000003</v>
      </c>
      <c r="Y3185">
        <v>-4.2938169999999998E-2</v>
      </c>
      <c r="Z3185">
        <v>1.9446129999999999E-2</v>
      </c>
      <c r="AA3185">
        <v>0.99888849999999996</v>
      </c>
      <c r="AB3185">
        <v>20</v>
      </c>
      <c r="AC3185">
        <v>-8.6815999999999995</v>
      </c>
      <c r="AD3185">
        <v>-1.1115865406099901</v>
      </c>
      <c r="AE3185">
        <v>-30.2851999999999</v>
      </c>
      <c r="AF3185">
        <v>-1.3532617076258699</v>
      </c>
      <c r="AG3185">
        <v>-1.1115865406099901</v>
      </c>
      <c r="AH3185">
        <v>31.436691270707499</v>
      </c>
      <c r="AI3185">
        <v>92.023235797881696</v>
      </c>
      <c r="AJ3185">
        <v>92.4649014051449</v>
      </c>
      <c r="AK3185">
        <v>31.4854331387765</v>
      </c>
      <c r="AL3185">
        <v>95.514165628833098</v>
      </c>
      <c r="AM3185">
        <v>105.91233769689001</v>
      </c>
      <c r="AN3185">
        <v>1.0000000184962901</v>
      </c>
    </row>
    <row r="3186" spans="1:40" x14ac:dyDescent="0.25">
      <c r="A3186" t="str">
        <f>"20190305134957072"</f>
        <v>20190305134957072</v>
      </c>
      <c r="B3186" t="str">
        <f>"1551764997063605"</f>
        <v>1551764997063605</v>
      </c>
      <c r="C3186" t="s">
        <v>40</v>
      </c>
      <c r="D3186">
        <v>4.4465719999999997</v>
      </c>
      <c r="E3186">
        <v>0.58631630000000001</v>
      </c>
      <c r="F3186" t="s">
        <v>42</v>
      </c>
      <c r="G3186">
        <v>-495.70499999999998</v>
      </c>
      <c r="H3186" s="1">
        <v>-4.6474709999999998E-6</v>
      </c>
      <c r="I3186">
        <v>237.66980000000001</v>
      </c>
      <c r="J3186">
        <v>-489.3107</v>
      </c>
      <c r="K3186">
        <v>1.1115969999999999</v>
      </c>
      <c r="L3186">
        <v>260.75389999999999</v>
      </c>
      <c r="M3186">
        <v>-0.31480720000000001</v>
      </c>
      <c r="N3186">
        <v>-1.420504E-2</v>
      </c>
      <c r="O3186">
        <v>-0.94904920000000004</v>
      </c>
      <c r="P3186">
        <v>-4.433724E-2</v>
      </c>
      <c r="Q3186">
        <v>-0.1089762</v>
      </c>
      <c r="R3186">
        <v>-0.99305480000000002</v>
      </c>
      <c r="S3186">
        <v>-0.82296749999999996</v>
      </c>
      <c r="T3186">
        <v>-0.142325799999999</v>
      </c>
      <c r="U3186">
        <v>-2.9692379999999998</v>
      </c>
      <c r="V3186">
        <v>-0.27016489999999999</v>
      </c>
      <c r="W3186">
        <v>-9.6518709999999994E-2</v>
      </c>
      <c r="X3186">
        <v>0.95796400000000004</v>
      </c>
      <c r="Y3186">
        <v>-4.9992549999999997E-2</v>
      </c>
      <c r="Z3186">
        <v>2.984968E-2</v>
      </c>
      <c r="AA3186">
        <v>0.99830339999999995</v>
      </c>
      <c r="AB3186">
        <v>20</v>
      </c>
      <c r="AC3186">
        <v>-6.3942999999999799</v>
      </c>
      <c r="AD3186">
        <v>-1.111601647471</v>
      </c>
      <c r="AE3186">
        <v>-23.0840999999999</v>
      </c>
      <c r="AF3186">
        <v>-1.1960807966703499</v>
      </c>
      <c r="AG3186">
        <v>-1.111601647471</v>
      </c>
      <c r="AH3186">
        <v>23.8719245156027</v>
      </c>
      <c r="AI3186">
        <v>92.662729910807798</v>
      </c>
      <c r="AJ3186">
        <v>92.8683536232394</v>
      </c>
      <c r="AK3186">
        <v>23.927704603105099</v>
      </c>
      <c r="AL3186">
        <v>95.538737331380702</v>
      </c>
      <c r="AM3186">
        <v>105.749507454566</v>
      </c>
      <c r="AN3186">
        <v>0.999999979934037</v>
      </c>
    </row>
    <row r="3187" spans="1:40" x14ac:dyDescent="0.25">
      <c r="A3187" t="str">
        <f>"20190305134957087"</f>
        <v>20190305134957087</v>
      </c>
      <c r="B3187" t="str">
        <f>"1551764997083127"</f>
        <v>1551764997083127</v>
      </c>
      <c r="C3187" t="s">
        <v>40</v>
      </c>
      <c r="D3187">
        <v>4.4663519999999997</v>
      </c>
      <c r="E3187">
        <v>0.58367899999999995</v>
      </c>
      <c r="F3187" t="s">
        <v>42</v>
      </c>
      <c r="G3187">
        <v>-495.19299999999998</v>
      </c>
      <c r="H3187" s="1">
        <v>-5.1098690000000002E-6</v>
      </c>
      <c r="I3187">
        <v>239.2955</v>
      </c>
      <c r="J3187">
        <v>-489.34840000000003</v>
      </c>
      <c r="K3187">
        <v>1.111618</v>
      </c>
      <c r="L3187">
        <v>260.63249999999999</v>
      </c>
      <c r="M3187">
        <v>-0.31271680000000002</v>
      </c>
      <c r="N3187">
        <v>-1.4146560000000001E-2</v>
      </c>
      <c r="O3187">
        <v>-0.9497411</v>
      </c>
      <c r="P3187">
        <v>-4.8321339999999997E-2</v>
      </c>
      <c r="Q3187">
        <v>-0.1095537</v>
      </c>
      <c r="R3187">
        <v>-0.99280579999999996</v>
      </c>
      <c r="S3187">
        <v>-0.81353759999999997</v>
      </c>
      <c r="T3187">
        <v>-0.15373870000000001</v>
      </c>
      <c r="U3187">
        <v>-2.9677730000000002</v>
      </c>
      <c r="V3187">
        <v>-0.26418809999999998</v>
      </c>
      <c r="W3187">
        <v>-9.7118010000000005E-2</v>
      </c>
      <c r="X3187">
        <v>0.95956900000000001</v>
      </c>
      <c r="Y3187">
        <v>-5.0644469999999997E-2</v>
      </c>
      <c r="Z3187">
        <v>3.3463739999999999E-2</v>
      </c>
      <c r="AA3187">
        <v>0.99815600000000004</v>
      </c>
      <c r="AB3187">
        <v>20</v>
      </c>
      <c r="AC3187">
        <v>-5.8446000000000096</v>
      </c>
      <c r="AD3187">
        <v>-1.1116231098689999</v>
      </c>
      <c r="AE3187">
        <v>-21.3369999999999</v>
      </c>
      <c r="AF3187">
        <v>-1.1188688073853801</v>
      </c>
      <c r="AG3187">
        <v>-1.1116231098689999</v>
      </c>
      <c r="AH3187">
        <v>22.038896687518299</v>
      </c>
      <c r="AI3187">
        <v>92.883795447594295</v>
      </c>
      <c r="AJ3187">
        <v>92.906292035465597</v>
      </c>
      <c r="AK3187">
        <v>22.095260590218</v>
      </c>
      <c r="AL3187">
        <v>95.573236864519799</v>
      </c>
      <c r="AM3187">
        <v>105.393271172383</v>
      </c>
      <c r="AN3187">
        <v>0.99999996290448401</v>
      </c>
    </row>
    <row r="3188" spans="1:40" x14ac:dyDescent="0.25">
      <c r="A3188" t="str">
        <f>"20190305134957100"</f>
        <v>20190305134957100</v>
      </c>
      <c r="B3188" t="str">
        <f>"1551764997093286"</f>
        <v>1551764997093286</v>
      </c>
      <c r="C3188" t="s">
        <v>40</v>
      </c>
      <c r="D3188">
        <v>4.472054</v>
      </c>
      <c r="E3188">
        <v>0.58269300000000002</v>
      </c>
      <c r="F3188" t="s">
        <v>42</v>
      </c>
      <c r="G3188">
        <v>-494.87259999999998</v>
      </c>
      <c r="H3188" s="1">
        <v>-1.5961519999999901E-6</v>
      </c>
      <c r="I3188">
        <v>240.2876</v>
      </c>
      <c r="J3188">
        <v>-489.37970000000001</v>
      </c>
      <c r="K3188">
        <v>1.1116379999999999</v>
      </c>
      <c r="L3188">
        <v>260.53070000000002</v>
      </c>
      <c r="M3188">
        <v>-0.31094529999999998</v>
      </c>
      <c r="N3188">
        <v>-1.4102180000000001E-2</v>
      </c>
      <c r="O3188">
        <v>-0.95032329999999998</v>
      </c>
      <c r="P3188">
        <v>-4.9586119999999997E-2</v>
      </c>
      <c r="Q3188">
        <v>-0.1096</v>
      </c>
      <c r="R3188">
        <v>-0.99273820000000002</v>
      </c>
      <c r="S3188">
        <v>-0.80499270000000001</v>
      </c>
      <c r="T3188">
        <v>-0.161987299999999</v>
      </c>
      <c r="U3188">
        <v>-2.9646910000000002</v>
      </c>
      <c r="V3188">
        <v>-0.26117319999999999</v>
      </c>
      <c r="W3188">
        <v>-9.7195359999999995E-2</v>
      </c>
      <c r="X3188">
        <v>0.96038619999999997</v>
      </c>
      <c r="Y3188">
        <v>-5.1219000000000001E-2</v>
      </c>
      <c r="Z3188">
        <v>3.6126459999999999E-2</v>
      </c>
      <c r="AA3188">
        <v>0.99803379999999997</v>
      </c>
      <c r="AB3188">
        <v>20</v>
      </c>
      <c r="AC3188">
        <v>-5.4928999999999597</v>
      </c>
      <c r="AD3188">
        <v>-1.11163959615199</v>
      </c>
      <c r="AE3188">
        <v>-20.243099999999998</v>
      </c>
      <c r="AF3188">
        <v>-1.0715628847163801</v>
      </c>
      <c r="AG3188">
        <v>-1.11163959615199</v>
      </c>
      <c r="AH3188">
        <v>20.888889146991101</v>
      </c>
      <c r="AI3188">
        <v>93.042231219183407</v>
      </c>
      <c r="AJ3188">
        <v>92.936597561957697</v>
      </c>
      <c r="AK3188">
        <v>20.945874997309499</v>
      </c>
      <c r="AL3188">
        <v>95.577689463596997</v>
      </c>
      <c r="AM3188">
        <v>105.213446639301</v>
      </c>
      <c r="AN3188">
        <v>1.0000000157771001</v>
      </c>
    </row>
    <row r="3189" spans="1:40" x14ac:dyDescent="0.25">
      <c r="A3189" t="str">
        <f>"20190305134957112"</f>
        <v>20190305134957112</v>
      </c>
      <c r="B3189" t="str">
        <f>"1551764997103046"</f>
        <v>1551764997103046</v>
      </c>
      <c r="C3189" t="s">
        <v>40</v>
      </c>
      <c r="D3189">
        <v>4.4393520000000004</v>
      </c>
      <c r="E3189">
        <v>0.58158589999999999</v>
      </c>
      <c r="F3189" t="s">
        <v>42</v>
      </c>
      <c r="G3189">
        <v>-494.76870000000002</v>
      </c>
      <c r="H3189" s="1">
        <v>-1.7006989999999901E-6</v>
      </c>
      <c r="I3189">
        <v>240.5958</v>
      </c>
      <c r="J3189">
        <v>-489.41199999999998</v>
      </c>
      <c r="K3189">
        <v>1.1116549999999901</v>
      </c>
      <c r="L3189">
        <v>260.42520000000002</v>
      </c>
      <c r="M3189">
        <v>-0.30909779999999998</v>
      </c>
      <c r="N3189">
        <v>-1.4058319999999999E-2</v>
      </c>
      <c r="O3189">
        <v>-0.95092639999999995</v>
      </c>
      <c r="P3189">
        <v>-5.0971710000000003E-2</v>
      </c>
      <c r="Q3189">
        <v>-0.1096396</v>
      </c>
      <c r="R3189">
        <v>-0.99266390000000004</v>
      </c>
      <c r="S3189">
        <v>-0.80117799999999995</v>
      </c>
      <c r="T3189">
        <v>-0.16526479999999999</v>
      </c>
      <c r="U3189">
        <v>-2.9636840000000002</v>
      </c>
      <c r="V3189">
        <v>-0.25796249999999998</v>
      </c>
      <c r="W3189">
        <v>-9.726456E-2</v>
      </c>
      <c r="X3189">
        <v>0.96124659999999995</v>
      </c>
      <c r="Y3189">
        <v>-5.040004E-2</v>
      </c>
      <c r="Z3189">
        <v>3.7238649999999998E-2</v>
      </c>
      <c r="AA3189">
        <v>0.99803470000000005</v>
      </c>
      <c r="AB3189">
        <v>20</v>
      </c>
      <c r="AC3189">
        <v>-5.35670000000004</v>
      </c>
      <c r="AD3189">
        <v>-1.1116567006989999</v>
      </c>
      <c r="AE3189">
        <v>-19.8294</v>
      </c>
      <c r="AF3189">
        <v>-1.0324745358888701</v>
      </c>
      <c r="AG3189">
        <v>-1.1116567006989999</v>
      </c>
      <c r="AH3189">
        <v>20.454158286780601</v>
      </c>
      <c r="AI3189">
        <v>93.106942060709699</v>
      </c>
      <c r="AJ3189">
        <v>92.889694414703698</v>
      </c>
      <c r="AK3189">
        <v>20.5103480104104</v>
      </c>
      <c r="AL3189">
        <v>95.581673093303905</v>
      </c>
      <c r="AM3189">
        <v>105.022089921541</v>
      </c>
      <c r="AN3189">
        <v>1.0000000360249</v>
      </c>
    </row>
    <row r="3190" spans="1:40" x14ac:dyDescent="0.25">
      <c r="A3190" t="str">
        <f>"20190305134957123"</f>
        <v>20190305134957123</v>
      </c>
      <c r="B3190" t="str">
        <f>"1551764997113783"</f>
        <v>1551764997113783</v>
      </c>
      <c r="C3190" t="s">
        <v>40</v>
      </c>
      <c r="D3190">
        <v>4.5549239999999998</v>
      </c>
      <c r="E3190">
        <v>0.58130609999999905</v>
      </c>
      <c r="F3190" t="s">
        <v>42</v>
      </c>
      <c r="G3190">
        <v>-494.65129999999999</v>
      </c>
      <c r="H3190" s="1">
        <v>-1.8177410000000001E-6</v>
      </c>
      <c r="I3190">
        <v>240.94149999999999</v>
      </c>
      <c r="J3190">
        <v>-489.44189999999998</v>
      </c>
      <c r="K3190">
        <v>1.111672</v>
      </c>
      <c r="L3190">
        <v>260.32650000000001</v>
      </c>
      <c r="M3190">
        <v>-0.3073515</v>
      </c>
      <c r="N3190">
        <v>-1.4021169999999999E-2</v>
      </c>
      <c r="O3190">
        <v>-0.95149280000000003</v>
      </c>
      <c r="P3190">
        <v>-5.235223E-2</v>
      </c>
      <c r="Q3190">
        <v>-0.10964069999999999</v>
      </c>
      <c r="R3190">
        <v>-0.99259169999999997</v>
      </c>
      <c r="S3190">
        <v>-0.79666139999999996</v>
      </c>
      <c r="T3190">
        <v>-0.1690323</v>
      </c>
      <c r="U3190">
        <v>-2.9625849999999998</v>
      </c>
      <c r="V3190">
        <v>-0.2548588</v>
      </c>
      <c r="W3190">
        <v>-9.7288739999999999E-2</v>
      </c>
      <c r="X3190">
        <v>0.96207169999999997</v>
      </c>
      <c r="Y3190">
        <v>-4.9904289999999997E-2</v>
      </c>
      <c r="Z3190">
        <v>3.8496790000000003E-2</v>
      </c>
      <c r="AA3190">
        <v>0.9980118</v>
      </c>
      <c r="AB3190">
        <v>20</v>
      </c>
      <c r="AC3190">
        <v>-5.2094000000000102</v>
      </c>
      <c r="AD3190">
        <v>-1.1116738177409999</v>
      </c>
      <c r="AE3190">
        <v>-19.385000000000002</v>
      </c>
      <c r="AF3190">
        <v>-0.99833854079227802</v>
      </c>
      <c r="AG3190">
        <v>-1.1116738177409999</v>
      </c>
      <c r="AH3190">
        <v>19.986472457527402</v>
      </c>
      <c r="AI3190">
        <v>93.179629987912094</v>
      </c>
      <c r="AJ3190">
        <v>92.859588299131303</v>
      </c>
      <c r="AK3190">
        <v>20.042244879618199</v>
      </c>
      <c r="AL3190">
        <v>95.583065132871099</v>
      </c>
      <c r="AM3190">
        <v>104.837207573299</v>
      </c>
      <c r="AN3190">
        <v>1.0000000314045501</v>
      </c>
    </row>
    <row r="3191" spans="1:40" x14ac:dyDescent="0.25">
      <c r="A3191" t="str">
        <f>"20190305134957135"</f>
        <v>20190305134957135</v>
      </c>
      <c r="B3191" t="str">
        <f>"1551764997123542"</f>
        <v>1551764997123542</v>
      </c>
      <c r="C3191" t="s">
        <v>40</v>
      </c>
      <c r="D3191">
        <v>4.4777129999999996</v>
      </c>
      <c r="E3191">
        <v>0.58079639999999999</v>
      </c>
      <c r="F3191" t="s">
        <v>42</v>
      </c>
      <c r="G3191">
        <v>-494.65809999999999</v>
      </c>
      <c r="H3191" s="1">
        <v>-1.8398679999999999E-6</v>
      </c>
      <c r="I3191">
        <v>240.9888</v>
      </c>
      <c r="J3191">
        <v>-489.46850000000001</v>
      </c>
      <c r="K3191">
        <v>1.1116870000000001</v>
      </c>
      <c r="L3191">
        <v>260.23809999999997</v>
      </c>
      <c r="M3191">
        <v>-0.30577729999999997</v>
      </c>
      <c r="N3191">
        <v>-1.399013E-2</v>
      </c>
      <c r="O3191">
        <v>-0.95200030000000002</v>
      </c>
      <c r="P3191">
        <v>-5.3779260000000002E-2</v>
      </c>
      <c r="Q3191">
        <v>-0.1102033</v>
      </c>
      <c r="R3191">
        <v>-0.99245309999999998</v>
      </c>
      <c r="S3191">
        <v>-0.79882810000000004</v>
      </c>
      <c r="T3191">
        <v>-0.1702447</v>
      </c>
      <c r="U3191">
        <v>-2.9614259999999999</v>
      </c>
      <c r="V3191">
        <v>-0.25186229999999998</v>
      </c>
      <c r="W3191">
        <v>-9.7868259999999999E-2</v>
      </c>
      <c r="X3191">
        <v>0.96280180000000004</v>
      </c>
      <c r="Y3191">
        <v>-4.7479180000000003E-2</v>
      </c>
      <c r="Z3191">
        <v>3.8957159999999998E-2</v>
      </c>
      <c r="AA3191">
        <v>0.99811229999999995</v>
      </c>
      <c r="AB3191">
        <v>20</v>
      </c>
      <c r="AC3191">
        <v>-5.18959999999998</v>
      </c>
      <c r="AD3191">
        <v>-1.111688839868</v>
      </c>
      <c r="AE3191">
        <v>-19.249299999999899</v>
      </c>
      <c r="AF3191">
        <v>-0.94265971417684602</v>
      </c>
      <c r="AG3191">
        <v>-1.111688839868</v>
      </c>
      <c r="AH3191">
        <v>19.8524222078055</v>
      </c>
      <c r="AI3191">
        <v>93.201481680123806</v>
      </c>
      <c r="AJ3191">
        <v>92.718554215421506</v>
      </c>
      <c r="AK3191">
        <v>19.905856598759701</v>
      </c>
      <c r="AL3191">
        <v>95.616428234871407</v>
      </c>
      <c r="AM3191">
        <v>104.659680781894</v>
      </c>
      <c r="AN3191">
        <v>1.0000000602799699</v>
      </c>
    </row>
    <row r="3192" spans="1:40" x14ac:dyDescent="0.25">
      <c r="A3192" t="str">
        <f>"20190305134957146"</f>
        <v>20190305134957146</v>
      </c>
      <c r="B3192" t="str">
        <f>"1551764997144039"</f>
        <v>1551764997144039</v>
      </c>
      <c r="C3192" t="s">
        <v>40</v>
      </c>
      <c r="D3192">
        <v>4.46997</v>
      </c>
      <c r="E3192">
        <v>0.58166379999999995</v>
      </c>
      <c r="F3192" t="s">
        <v>42</v>
      </c>
      <c r="G3192">
        <v>-494.63650000000001</v>
      </c>
      <c r="H3192" s="1">
        <v>-1.8787990000000001E-6</v>
      </c>
      <c r="I3192">
        <v>241.09299999999999</v>
      </c>
      <c r="J3192">
        <v>-489.49889999999999</v>
      </c>
      <c r="K3192">
        <v>1.111702</v>
      </c>
      <c r="L3192">
        <v>260.13639999999998</v>
      </c>
      <c r="M3192">
        <v>-0.30395420000000001</v>
      </c>
      <c r="N3192">
        <v>-1.395685E-2</v>
      </c>
      <c r="O3192">
        <v>-0.9525846</v>
      </c>
      <c r="P3192">
        <v>-5.4956869999999998E-2</v>
      </c>
      <c r="Q3192">
        <v>-0.11042009999999999</v>
      </c>
      <c r="R3192">
        <v>-0.99236460000000004</v>
      </c>
      <c r="S3192">
        <v>-0.79913330000000005</v>
      </c>
      <c r="T3192">
        <v>-0.171903</v>
      </c>
      <c r="U3192">
        <v>-2.9604490000000001</v>
      </c>
      <c r="V3192">
        <v>-0.248867</v>
      </c>
      <c r="W3192">
        <v>-9.8104269999999993E-2</v>
      </c>
      <c r="X3192">
        <v>0.96355630000000003</v>
      </c>
      <c r="Y3192">
        <v>-4.539522E-2</v>
      </c>
      <c r="Z3192">
        <v>3.9562510000000002E-2</v>
      </c>
      <c r="AA3192">
        <v>0.9981854</v>
      </c>
      <c r="AB3192">
        <v>20</v>
      </c>
      <c r="AC3192">
        <v>-5.1376000000000097</v>
      </c>
      <c r="AD3192">
        <v>-1.1117038787989999</v>
      </c>
      <c r="AE3192">
        <v>-19.043399999999899</v>
      </c>
      <c r="AF3192">
        <v>-0.89157744196363897</v>
      </c>
      <c r="AG3192">
        <v>-1.1117038787989999</v>
      </c>
      <c r="AH3192">
        <v>19.641564713837202</v>
      </c>
      <c r="AI3192">
        <v>93.236134357606602</v>
      </c>
      <c r="AJ3192">
        <v>92.599007929831501</v>
      </c>
      <c r="AK3192">
        <v>19.6931932468305</v>
      </c>
      <c r="AL3192">
        <v>95.630016410266094</v>
      </c>
      <c r="AM3192">
        <v>104.481851017813</v>
      </c>
      <c r="AN3192">
        <v>0.99999998737546103</v>
      </c>
    </row>
    <row r="3193" spans="1:40" x14ac:dyDescent="0.25">
      <c r="A3193" t="str">
        <f>"20190305134957159"</f>
        <v>20190305134957159</v>
      </c>
      <c r="B3193" t="str">
        <f>"1551764997153799"</f>
        <v>1551764997153799</v>
      </c>
      <c r="C3193" t="s">
        <v>40</v>
      </c>
      <c r="D3193">
        <v>4.248678</v>
      </c>
      <c r="E3193">
        <v>0.5824414</v>
      </c>
      <c r="F3193" t="s">
        <v>42</v>
      </c>
      <c r="G3193">
        <v>-495.32679999999999</v>
      </c>
      <c r="H3193" s="1">
        <v>-4.9633749999999997E-6</v>
      </c>
      <c r="I3193">
        <v>238.7953</v>
      </c>
      <c r="J3193">
        <v>-489.5283</v>
      </c>
      <c r="K3193">
        <v>1.1117159999999999</v>
      </c>
      <c r="L3193">
        <v>260.03719999999998</v>
      </c>
      <c r="M3193">
        <v>-0.30215920000000002</v>
      </c>
      <c r="N3193">
        <v>-1.392789E-2</v>
      </c>
      <c r="O3193">
        <v>-0.95315589999999994</v>
      </c>
      <c r="P3193">
        <v>-5.5890910000000002E-2</v>
      </c>
      <c r="Q3193">
        <v>-0.11081050000000001</v>
      </c>
      <c r="R3193">
        <v>-0.99226890000000001</v>
      </c>
      <c r="S3193">
        <v>-0.80865480000000001</v>
      </c>
      <c r="T3193">
        <v>-0.154255</v>
      </c>
      <c r="U3193">
        <v>-2.961182</v>
      </c>
      <c r="V3193">
        <v>-0.24612919999999999</v>
      </c>
      <c r="W3193">
        <v>-9.8509890000000003E-2</v>
      </c>
      <c r="X3193">
        <v>0.96421800000000002</v>
      </c>
      <c r="Y3193">
        <v>-4.0534830000000001E-2</v>
      </c>
      <c r="Z3193">
        <v>3.4186809999999998E-2</v>
      </c>
      <c r="AA3193">
        <v>0.99859310000000001</v>
      </c>
      <c r="AB3193">
        <v>20</v>
      </c>
      <c r="AC3193">
        <v>-5.79849999999999</v>
      </c>
      <c r="AD3193">
        <v>-1.111720963375</v>
      </c>
      <c r="AE3193">
        <v>-21.241899999999902</v>
      </c>
      <c r="AF3193">
        <v>-0.88938021387458399</v>
      </c>
      <c r="AG3193">
        <v>-1.111720963375</v>
      </c>
      <c r="AH3193">
        <v>21.9451018058326</v>
      </c>
      <c r="AI3193">
        <v>92.897703618948398</v>
      </c>
      <c r="AJ3193">
        <v>92.320784909287795</v>
      </c>
      <c r="AK3193">
        <v>21.991234934255001</v>
      </c>
      <c r="AL3193">
        <v>95.653369396975904</v>
      </c>
      <c r="AM3193">
        <v>104.319700874803</v>
      </c>
      <c r="AN3193">
        <v>1.00000006652222</v>
      </c>
    </row>
    <row r="3194" spans="1:40" x14ac:dyDescent="0.25">
      <c r="A3194" t="str">
        <f>"20190305134957171"</f>
        <v>20190305134957171</v>
      </c>
      <c r="B3194" t="str">
        <f>"1551764997163558"</f>
        <v>1551764997163558</v>
      </c>
      <c r="C3194" t="s">
        <v>40</v>
      </c>
      <c r="D3194">
        <v>4.2845750000000002</v>
      </c>
      <c r="E3194">
        <v>0.58306849999999999</v>
      </c>
      <c r="F3194" t="s">
        <v>42</v>
      </c>
      <c r="G3194">
        <v>-496.03160000000003</v>
      </c>
      <c r="H3194" s="1">
        <v>-4.2946450000000001E-6</v>
      </c>
      <c r="I3194">
        <v>236.46279999999999</v>
      </c>
      <c r="J3194">
        <v>-489.5575</v>
      </c>
      <c r="K3194">
        <v>1.111728</v>
      </c>
      <c r="L3194">
        <v>259.93819999999999</v>
      </c>
      <c r="M3194">
        <v>-0.30036040000000003</v>
      </c>
      <c r="N3194">
        <v>-1.390023E-2</v>
      </c>
      <c r="O3194">
        <v>-0.95372469999999998</v>
      </c>
      <c r="P3194">
        <v>-5.6757059999999998E-2</v>
      </c>
      <c r="Q3194">
        <v>-0.1109565</v>
      </c>
      <c r="R3194">
        <v>-0.99220350000000002</v>
      </c>
      <c r="S3194">
        <v>-0.81704709999999903</v>
      </c>
      <c r="T3194">
        <v>-0.13967249999999901</v>
      </c>
      <c r="U3194">
        <v>-2.961792</v>
      </c>
      <c r="V3194">
        <v>-0.2434627</v>
      </c>
      <c r="W3194">
        <v>-9.866917E-2</v>
      </c>
      <c r="X3194">
        <v>0.96487840000000002</v>
      </c>
      <c r="Y3194">
        <v>-3.603373E-2</v>
      </c>
      <c r="Z3194">
        <v>2.9747180000000002E-2</v>
      </c>
      <c r="AA3194">
        <v>0.99890769999999995</v>
      </c>
      <c r="AB3194">
        <v>19</v>
      </c>
      <c r="AC3194">
        <v>-6.4741000000000204</v>
      </c>
      <c r="AD3194">
        <v>-1.1117322946449999</v>
      </c>
      <c r="AE3194">
        <v>-23.4754</v>
      </c>
      <c r="AF3194">
        <v>-0.87483265215968498</v>
      </c>
      <c r="AG3194">
        <v>-1.1117322946449999</v>
      </c>
      <c r="AH3194">
        <v>24.2853629350703</v>
      </c>
      <c r="AI3194">
        <v>92.619352524642494</v>
      </c>
      <c r="AJ3194">
        <v>92.063076197696802</v>
      </c>
      <c r="AK3194">
        <v>24.3265314780453</v>
      </c>
      <c r="AL3194">
        <v>95.662540472585206</v>
      </c>
      <c r="AM3194">
        <v>104.161537838416</v>
      </c>
      <c r="AN3194">
        <v>1.00000000909316</v>
      </c>
    </row>
    <row r="3195" spans="1:40" x14ac:dyDescent="0.25">
      <c r="A3195" t="str">
        <f>"20190305134957182"</f>
        <v>20190305134957182</v>
      </c>
      <c r="B3195" t="str">
        <f>"1551764997173318"</f>
        <v>1551764997173318</v>
      </c>
      <c r="C3195" t="s">
        <v>40</v>
      </c>
      <c r="D3195">
        <v>4.3246270000000004</v>
      </c>
      <c r="E3195">
        <v>0.58383240000000003</v>
      </c>
      <c r="F3195" t="s">
        <v>42</v>
      </c>
      <c r="G3195">
        <v>-496.78199999999998</v>
      </c>
      <c r="H3195" s="1">
        <v>-3.5754909999999999E-6</v>
      </c>
      <c r="I3195">
        <v>233.95840000000001</v>
      </c>
      <c r="J3195">
        <v>-489.5856</v>
      </c>
      <c r="K3195">
        <v>1.1117319999999999</v>
      </c>
      <c r="L3195">
        <v>259.84190000000001</v>
      </c>
      <c r="M3195">
        <v>-0.298591099999999</v>
      </c>
      <c r="N3195">
        <v>-1.387614E-2</v>
      </c>
      <c r="O3195">
        <v>-0.95428040000000003</v>
      </c>
      <c r="P3195">
        <v>-5.7403999999999997E-2</v>
      </c>
      <c r="Q3195">
        <v>-0.11112809999999999</v>
      </c>
      <c r="R3195">
        <v>-0.99214709999999995</v>
      </c>
      <c r="S3195">
        <v>-0.82376099999999997</v>
      </c>
      <c r="T3195">
        <v>-0.12676219999999999</v>
      </c>
      <c r="U3195">
        <v>-2.9622799999999998</v>
      </c>
      <c r="V3195">
        <v>-0.241038</v>
      </c>
      <c r="W3195">
        <v>-9.8850380000000002E-2</v>
      </c>
      <c r="X3195">
        <v>0.9654684</v>
      </c>
      <c r="Y3195">
        <v>-3.2091300000000003E-2</v>
      </c>
      <c r="Z3195">
        <v>2.5814529999999999E-2</v>
      </c>
      <c r="AA3195">
        <v>0.99915149999999997</v>
      </c>
      <c r="AB3195">
        <v>19</v>
      </c>
      <c r="AC3195">
        <v>-7.1963999999999801</v>
      </c>
      <c r="AD3195">
        <v>-1.1117355754910001</v>
      </c>
      <c r="AE3195">
        <v>-25.883500000000002</v>
      </c>
      <c r="AF3195">
        <v>-0.85980968285444703</v>
      </c>
      <c r="AG3195">
        <v>-1.1117355754910001</v>
      </c>
      <c r="AH3195">
        <v>26.805575831189799</v>
      </c>
      <c r="AI3195">
        <v>92.373707094895494</v>
      </c>
      <c r="AJ3195">
        <v>91.837176778000497</v>
      </c>
      <c r="AK3195">
        <v>26.842394161516399</v>
      </c>
      <c r="AL3195">
        <v>95.672974251381305</v>
      </c>
      <c r="AM3195">
        <v>104.017860385638</v>
      </c>
      <c r="AN3195">
        <v>0.99999997323435097</v>
      </c>
    </row>
    <row r="3196" spans="1:40" x14ac:dyDescent="0.25">
      <c r="A3196" t="str">
        <f>"20190305134957194"</f>
        <v>20190305134957194</v>
      </c>
      <c r="B3196" t="str">
        <f>"1551764997183079"</f>
        <v>1551764997183079</v>
      </c>
      <c r="C3196" t="s">
        <v>40</v>
      </c>
      <c r="D3196">
        <v>4.2897379999999998</v>
      </c>
      <c r="E3196">
        <v>0.58383240000000003</v>
      </c>
      <c r="F3196" t="s">
        <v>42</v>
      </c>
      <c r="G3196">
        <v>-497.67590000000001</v>
      </c>
      <c r="H3196" s="1">
        <v>-2.6474709999999999E-6</v>
      </c>
      <c r="I3196">
        <v>230.99959999999999</v>
      </c>
      <c r="J3196">
        <v>-489.61180000000002</v>
      </c>
      <c r="K3196">
        <v>1.111737</v>
      </c>
      <c r="L3196">
        <v>259.75139999999999</v>
      </c>
      <c r="M3196">
        <v>-0.29692439999999998</v>
      </c>
      <c r="N3196">
        <v>-1.385458E-2</v>
      </c>
      <c r="O3196">
        <v>-0.95480069999999995</v>
      </c>
      <c r="P3196">
        <v>-5.785904E-2</v>
      </c>
      <c r="Q3196">
        <v>-0.111207</v>
      </c>
      <c r="R3196">
        <v>-0.99211159999999998</v>
      </c>
      <c r="S3196">
        <v>-0.83108519999999897</v>
      </c>
      <c r="T3196">
        <v>-0.1142046</v>
      </c>
      <c r="U3196">
        <v>-2.96286</v>
      </c>
      <c r="V3196">
        <v>-0.23890710000000001</v>
      </c>
      <c r="W3196">
        <v>-9.8937479999999994E-2</v>
      </c>
      <c r="X3196">
        <v>0.96598899999999999</v>
      </c>
      <c r="Y3196">
        <v>-2.8081419999999999E-2</v>
      </c>
      <c r="Z3196">
        <v>2.1978729999999998E-2</v>
      </c>
      <c r="AA3196">
        <v>0.99936400000000003</v>
      </c>
      <c r="AB3196">
        <v>19</v>
      </c>
      <c r="AC3196">
        <v>-8.0640999999999892</v>
      </c>
      <c r="AD3196">
        <v>-1.111739647471</v>
      </c>
      <c r="AE3196">
        <v>-28.751799999999999</v>
      </c>
      <c r="AF3196">
        <v>-0.83642349836496299</v>
      </c>
      <c r="AG3196">
        <v>-1.111739647471</v>
      </c>
      <c r="AH3196">
        <v>29.808208729570499</v>
      </c>
      <c r="AI3196">
        <v>92.135098165076798</v>
      </c>
      <c r="AJ3196">
        <v>91.607307732266193</v>
      </c>
      <c r="AK3196">
        <v>29.840658119049898</v>
      </c>
      <c r="AL3196">
        <v>95.6779892150781</v>
      </c>
      <c r="AM3196">
        <v>103.89155977339701</v>
      </c>
      <c r="AN3196">
        <v>0.99999998775008003</v>
      </c>
    </row>
    <row r="3197" spans="1:40" x14ac:dyDescent="0.25">
      <c r="A3197" t="str">
        <f>"20190305134957211"</f>
        <v>20190305134957211</v>
      </c>
      <c r="B3197" t="str">
        <f>"1551764997203107"</f>
        <v>1551764997203107</v>
      </c>
      <c r="C3197" t="s">
        <v>40</v>
      </c>
      <c r="D3197">
        <v>4.2786080000000002</v>
      </c>
      <c r="E3197">
        <v>0.59364530000000004</v>
      </c>
      <c r="F3197" t="s">
        <v>42</v>
      </c>
      <c r="G3197">
        <v>-497.71510000000001</v>
      </c>
      <c r="H3197" s="1">
        <v>-2.624744E-6</v>
      </c>
      <c r="I3197">
        <v>230.92230000000001</v>
      </c>
      <c r="J3197">
        <v>-489.6524</v>
      </c>
      <c r="K3197">
        <v>1.1117429999999999</v>
      </c>
      <c r="L3197">
        <v>259.6105</v>
      </c>
      <c r="M3197">
        <v>-0.29431190000000002</v>
      </c>
      <c r="N3197">
        <v>-1.382388E-2</v>
      </c>
      <c r="O3197">
        <v>-0.95560940000000005</v>
      </c>
      <c r="P3197">
        <v>-5.9609799999999998E-2</v>
      </c>
      <c r="Q3197">
        <v>-0.1116077</v>
      </c>
      <c r="R3197">
        <v>-0.99196300000000004</v>
      </c>
      <c r="S3197">
        <v>-0.83270259999999996</v>
      </c>
      <c r="T3197">
        <v>-0.11424429999999999</v>
      </c>
      <c r="U3197">
        <v>-2.9625240000000002</v>
      </c>
      <c r="V3197">
        <v>-0.23454749999999999</v>
      </c>
      <c r="W3197">
        <v>-9.9338070000000001E-2</v>
      </c>
      <c r="X3197">
        <v>0.96701570000000003</v>
      </c>
      <c r="Y3197">
        <v>-2.4813789999999999E-2</v>
      </c>
      <c r="Z3197">
        <v>2.2064299999999998E-2</v>
      </c>
      <c r="AA3197">
        <v>0.99944860000000002</v>
      </c>
      <c r="AB3197">
        <v>19</v>
      </c>
      <c r="AC3197">
        <v>-8.0626999999999995</v>
      </c>
      <c r="AD3197">
        <v>-1.1117456247439901</v>
      </c>
      <c r="AE3197">
        <v>-28.688199999999899</v>
      </c>
      <c r="AF3197">
        <v>-0.73753082021498195</v>
      </c>
      <c r="AG3197">
        <v>-1.1117456247439901</v>
      </c>
      <c r="AH3197">
        <v>29.7491040777441</v>
      </c>
      <c r="AI3197">
        <v>92.139532157356896</v>
      </c>
      <c r="AJ3197">
        <v>91.420168782489</v>
      </c>
      <c r="AK3197">
        <v>29.779004742827698</v>
      </c>
      <c r="AL3197">
        <v>95.701055044734105</v>
      </c>
      <c r="AM3197">
        <v>103.633679331105</v>
      </c>
      <c r="AN3197">
        <v>0.99999997297703203</v>
      </c>
    </row>
    <row r="3198" spans="1:40" x14ac:dyDescent="0.25">
      <c r="A3198" t="str">
        <f>"20190305134957224"</f>
        <v>20190305134957224</v>
      </c>
      <c r="B3198" t="str">
        <f>"1551764997213843"</f>
        <v>1551764997213843</v>
      </c>
      <c r="C3198" t="s">
        <v>40</v>
      </c>
      <c r="D3198">
        <v>4.2762609999999999</v>
      </c>
      <c r="E3198">
        <v>0.59259680000000003</v>
      </c>
      <c r="F3198" t="s">
        <v>81</v>
      </c>
      <c r="G3198">
        <v>-511.92619999999999</v>
      </c>
      <c r="H3198">
        <v>3.0495350000000001</v>
      </c>
      <c r="I3198">
        <v>186.5444</v>
      </c>
      <c r="J3198">
        <v>-489.68520000000001</v>
      </c>
      <c r="K3198">
        <v>1.11174</v>
      </c>
      <c r="L3198">
        <v>259.49509999999998</v>
      </c>
      <c r="M3198">
        <v>-0.29215829999999998</v>
      </c>
      <c r="N3198">
        <v>-1.380135E-2</v>
      </c>
      <c r="O3198">
        <v>-0.95627039999999996</v>
      </c>
      <c r="P3198">
        <v>-5.9455920000000002E-2</v>
      </c>
      <c r="Q3198">
        <v>-0.1119634</v>
      </c>
      <c r="R3198">
        <v>-0.99193229999999999</v>
      </c>
      <c r="S3198">
        <v>-0.90802000000000005</v>
      </c>
      <c r="T3198">
        <v>7.8998090000000007E-2</v>
      </c>
      <c r="U3198">
        <v>-2.9786069999999998</v>
      </c>
      <c r="V3198">
        <v>-0.23250680000000001</v>
      </c>
      <c r="W3198">
        <v>-9.9701700000000004E-2</v>
      </c>
      <c r="X3198">
        <v>0.96747099999999997</v>
      </c>
      <c r="Y3198">
        <v>-8.2805179999999995E-4</v>
      </c>
      <c r="Z3198">
        <v>-3.7445810000000003E-2</v>
      </c>
      <c r="AA3198">
        <v>0.99929829999999997</v>
      </c>
      <c r="AB3198">
        <v>19</v>
      </c>
      <c r="AC3198">
        <v>-22.2409999999999</v>
      </c>
      <c r="AD3198">
        <v>1.9377949999999999</v>
      </c>
      <c r="AE3198">
        <v>-72.950699999999898</v>
      </c>
      <c r="AF3198">
        <v>-4.4717921204607998E-2</v>
      </c>
      <c r="AG3198">
        <v>1.9377949999999999</v>
      </c>
      <c r="AH3198">
        <v>76.216545967913703</v>
      </c>
      <c r="AI3198">
        <v>88.543576854094198</v>
      </c>
      <c r="AJ3198">
        <v>90.033616688175499</v>
      </c>
      <c r="AK3198">
        <v>76.241189185594394</v>
      </c>
      <c r="AL3198">
        <v>95.721993368189302</v>
      </c>
      <c r="AM3198">
        <v>103.51330154428101</v>
      </c>
      <c r="AN3198">
        <v>0.99999998843506399</v>
      </c>
    </row>
    <row r="3199" spans="1:40" x14ac:dyDescent="0.25">
      <c r="A3199" t="str">
        <f>"20190305134957238"</f>
        <v>20190305134957238</v>
      </c>
      <c r="B3199" t="str">
        <f>"1551764997233363"</f>
        <v>1551764997233363</v>
      </c>
      <c r="C3199" t="s">
        <v>40</v>
      </c>
      <c r="D3199">
        <v>4.2955509999999997</v>
      </c>
      <c r="E3199">
        <v>0.59264249999999996</v>
      </c>
      <c r="F3199" t="s">
        <v>81</v>
      </c>
      <c r="G3199">
        <v>-511.92619999999999</v>
      </c>
      <c r="H3199">
        <v>2.9417490000000002</v>
      </c>
      <c r="I3199">
        <v>185.8561</v>
      </c>
      <c r="J3199">
        <v>-489.7149</v>
      </c>
      <c r="K3199">
        <v>1.111737</v>
      </c>
      <c r="L3199">
        <v>259.3897</v>
      </c>
      <c r="M3199">
        <v>-0.29018840000000001</v>
      </c>
      <c r="N3199">
        <v>-1.3782310000000001E-2</v>
      </c>
      <c r="O3199">
        <v>-0.95687029999999995</v>
      </c>
      <c r="P3199">
        <v>-5.9726849999999998E-2</v>
      </c>
      <c r="Q3199">
        <v>-0.1124883</v>
      </c>
      <c r="R3199">
        <v>-0.99185670000000004</v>
      </c>
      <c r="S3199">
        <v>-0.89968869999999901</v>
      </c>
      <c r="T3199">
        <v>7.4029090000000006E-2</v>
      </c>
      <c r="U3199">
        <v>-2.9788209999999999</v>
      </c>
      <c r="V3199">
        <v>-0.23023299999999999</v>
      </c>
      <c r="W3199">
        <v>-0.1002286</v>
      </c>
      <c r="X3199">
        <v>0.96796020000000005</v>
      </c>
      <c r="Y3199">
        <v>-1.3311029999999999E-3</v>
      </c>
      <c r="Z3199">
        <v>-3.5941649999999999E-2</v>
      </c>
      <c r="AA3199">
        <v>0.99935300000000005</v>
      </c>
      <c r="AB3199">
        <v>19</v>
      </c>
      <c r="AC3199">
        <v>-22.211299999999898</v>
      </c>
      <c r="AD3199">
        <v>1.830012</v>
      </c>
      <c r="AE3199">
        <v>-73.533600000000007</v>
      </c>
      <c r="AF3199">
        <v>-8.5224163404298198E-2</v>
      </c>
      <c r="AG3199">
        <v>1.830012</v>
      </c>
      <c r="AH3199">
        <v>76.7713014321358</v>
      </c>
      <c r="AI3199">
        <v>88.634489126341904</v>
      </c>
      <c r="AJ3199">
        <v>90.063604273715399</v>
      </c>
      <c r="AK3199">
        <v>76.793156795785094</v>
      </c>
      <c r="AL3199">
        <v>95.752334557847007</v>
      </c>
      <c r="AM3199">
        <v>103.379405130096</v>
      </c>
      <c r="AN3199">
        <v>0.99999997766549897</v>
      </c>
    </row>
    <row r="3200" spans="1:40" x14ac:dyDescent="0.25">
      <c r="A3200" t="str">
        <f>"20190305134957251"</f>
        <v>20190305134957251</v>
      </c>
      <c r="B3200" t="str">
        <f>"1551764997243123"</f>
        <v>1551764997243123</v>
      </c>
      <c r="C3200" t="s">
        <v>40</v>
      </c>
      <c r="D3200">
        <v>4.2401169999999997</v>
      </c>
      <c r="E3200">
        <v>0.59191389999999999</v>
      </c>
      <c r="F3200" t="s">
        <v>81</v>
      </c>
      <c r="G3200">
        <v>-511.92610000000002</v>
      </c>
      <c r="H3200">
        <v>2.9237929999999999</v>
      </c>
      <c r="I3200">
        <v>185.97649999999999</v>
      </c>
      <c r="J3200">
        <v>-489.74630000000002</v>
      </c>
      <c r="K3200">
        <v>1.111729</v>
      </c>
      <c r="L3200">
        <v>259.27800000000002</v>
      </c>
      <c r="M3200">
        <v>-0.28809410000000002</v>
      </c>
      <c r="N3200">
        <v>-1.3763310000000001E-2</v>
      </c>
      <c r="O3200">
        <v>-0.9575034</v>
      </c>
      <c r="P3200">
        <v>-5.9522199999999997E-2</v>
      </c>
      <c r="Q3200">
        <v>-0.11347119999999999</v>
      </c>
      <c r="R3200">
        <v>-0.99175720000000001</v>
      </c>
      <c r="S3200">
        <v>-0.90121459999999998</v>
      </c>
      <c r="T3200">
        <v>7.3525309999999997E-2</v>
      </c>
      <c r="U3200">
        <v>-2.9786990000000002</v>
      </c>
      <c r="V3200">
        <v>-0.22828019999999999</v>
      </c>
      <c r="W3200">
        <v>-0.1012161</v>
      </c>
      <c r="X3200">
        <v>0.96831990000000001</v>
      </c>
      <c r="Y3200">
        <v>1.339348E-3</v>
      </c>
      <c r="Z3200">
        <v>-3.5793850000000002E-2</v>
      </c>
      <c r="AA3200">
        <v>0.99935830000000003</v>
      </c>
      <c r="AB3200">
        <v>19</v>
      </c>
      <c r="AC3200">
        <v>-22.1798</v>
      </c>
      <c r="AD3200">
        <v>1.8120639999999999</v>
      </c>
      <c r="AE3200">
        <v>-73.301500000000004</v>
      </c>
      <c r="AF3200">
        <v>0.119448662768334</v>
      </c>
      <c r="AG3200">
        <v>1.8120639999999999</v>
      </c>
      <c r="AH3200">
        <v>76.5406919310646</v>
      </c>
      <c r="AI3200">
        <v>88.643805016207494</v>
      </c>
      <c r="AJ3200">
        <v>89.910584833812294</v>
      </c>
      <c r="AK3200">
        <v>76.562231976407702</v>
      </c>
      <c r="AL3200">
        <v>95.809203281669696</v>
      </c>
      <c r="AM3200">
        <v>103.265199109964</v>
      </c>
      <c r="AN3200">
        <v>0.99999998867362905</v>
      </c>
    </row>
    <row r="3201" spans="1:40" x14ac:dyDescent="0.25">
      <c r="A3201" t="str">
        <f>"20190305134957266"</f>
        <v>20190305134957266</v>
      </c>
      <c r="B3201" t="str">
        <f>"1551764997263619"</f>
        <v>1551764997263619</v>
      </c>
      <c r="C3201" t="s">
        <v>40</v>
      </c>
      <c r="D3201">
        <v>4.2876209999999997</v>
      </c>
      <c r="E3201">
        <v>0.59180999999999995</v>
      </c>
      <c r="F3201" t="s">
        <v>81</v>
      </c>
      <c r="G3201">
        <v>-511.92610000000002</v>
      </c>
      <c r="H3201">
        <v>2.6906020000000002</v>
      </c>
      <c r="I3201">
        <v>185.51249999999999</v>
      </c>
      <c r="J3201">
        <v>-489.78050000000002</v>
      </c>
      <c r="K3201">
        <v>1.1117170000000001</v>
      </c>
      <c r="L3201">
        <v>259.15440000000001</v>
      </c>
      <c r="M3201">
        <v>-0.28577200000000003</v>
      </c>
      <c r="N3201">
        <v>-1.37445E-2</v>
      </c>
      <c r="O3201">
        <v>-0.95819929999999998</v>
      </c>
      <c r="P3201">
        <v>-6.0941839999999997E-2</v>
      </c>
      <c r="Q3201">
        <v>-0.1146609</v>
      </c>
      <c r="R3201">
        <v>-0.99153420000000003</v>
      </c>
      <c r="S3201">
        <v>-0.89556880000000005</v>
      </c>
      <c r="T3201">
        <v>6.3752890000000006E-2</v>
      </c>
      <c r="U3201">
        <v>-2.9784549999999999</v>
      </c>
      <c r="V3201">
        <v>-0.22450580000000001</v>
      </c>
      <c r="W3201">
        <v>-0.1023955</v>
      </c>
      <c r="X3201">
        <v>0.96907810000000005</v>
      </c>
      <c r="Y3201">
        <v>2.081028E-3</v>
      </c>
      <c r="Z3201">
        <v>-3.2807759999999998E-2</v>
      </c>
      <c r="AA3201">
        <v>0.99945949999999995</v>
      </c>
      <c r="AB3201">
        <v>19</v>
      </c>
      <c r="AC3201">
        <v>-22.145600000000002</v>
      </c>
      <c r="AD3201">
        <v>1.5788850000000001</v>
      </c>
      <c r="AE3201">
        <v>-73.641900000000007</v>
      </c>
      <c r="AF3201">
        <v>0.175048082224805</v>
      </c>
      <c r="AG3201">
        <v>1.5788850000000001</v>
      </c>
      <c r="AH3201">
        <v>76.867052683981299</v>
      </c>
      <c r="AI3201">
        <v>88.823286571731401</v>
      </c>
      <c r="AJ3201">
        <v>89.869521483712006</v>
      </c>
      <c r="AK3201">
        <v>76.883465764729095</v>
      </c>
      <c r="AL3201">
        <v>95.877130627186403</v>
      </c>
      <c r="AM3201">
        <v>103.043578507307</v>
      </c>
      <c r="AN3201">
        <v>1.0000000282767401</v>
      </c>
    </row>
    <row r="3202" spans="1:40" x14ac:dyDescent="0.25">
      <c r="A3202" t="str">
        <f>"20190305134957280"</f>
        <v>20190305134957280</v>
      </c>
      <c r="B3202" t="str">
        <f>"1551764997273379"</f>
        <v>1551764997273379</v>
      </c>
      <c r="C3202" t="s">
        <v>40</v>
      </c>
      <c r="D3202">
        <v>4.2881280000000004</v>
      </c>
      <c r="E3202">
        <v>0.59176110000000004</v>
      </c>
      <c r="F3202" t="s">
        <v>81</v>
      </c>
      <c r="G3202">
        <v>-511.92610000000002</v>
      </c>
      <c r="H3202">
        <v>2.61991</v>
      </c>
      <c r="I3202">
        <v>185.7928</v>
      </c>
      <c r="J3202">
        <v>-489.80950000000001</v>
      </c>
      <c r="K3202">
        <v>1.1117109999999999</v>
      </c>
      <c r="L3202">
        <v>259.04880000000003</v>
      </c>
      <c r="M3202">
        <v>-0.28378789999999998</v>
      </c>
      <c r="N3202">
        <v>-1.3729730000000001E-2</v>
      </c>
      <c r="O3202">
        <v>-0.9587888</v>
      </c>
      <c r="P3202">
        <v>-6.0614469999999997E-2</v>
      </c>
      <c r="Q3202">
        <v>-0.1150539</v>
      </c>
      <c r="R3202">
        <v>-0.99150839999999996</v>
      </c>
      <c r="S3202">
        <v>-0.89880369999999998</v>
      </c>
      <c r="T3202">
        <v>6.1213610000000002E-2</v>
      </c>
      <c r="U3202">
        <v>-2.9774479999999999</v>
      </c>
      <c r="V3202">
        <v>-0.22280829999999999</v>
      </c>
      <c r="W3202">
        <v>-0.10278909999999999</v>
      </c>
      <c r="X3202">
        <v>0.96942810000000001</v>
      </c>
      <c r="Y3202">
        <v>5.2474540000000004E-3</v>
      </c>
      <c r="Z3202">
        <v>-3.2034269999999997E-2</v>
      </c>
      <c r="AA3202">
        <v>0.99947299999999994</v>
      </c>
      <c r="AB3202">
        <v>19</v>
      </c>
      <c r="AC3202">
        <v>-22.116599999999998</v>
      </c>
      <c r="AD3202">
        <v>1.5081989999999901</v>
      </c>
      <c r="AE3202">
        <v>-73.256</v>
      </c>
      <c r="AF3202">
        <v>0.41585963112422403</v>
      </c>
      <c r="AG3202">
        <v>1.5081989999999901</v>
      </c>
      <c r="AH3202">
        <v>76.490953147152595</v>
      </c>
      <c r="AI3202">
        <v>88.870442040310095</v>
      </c>
      <c r="AJ3202">
        <v>89.6885021561569</v>
      </c>
      <c r="AK3202">
        <v>76.506950774529599</v>
      </c>
      <c r="AL3202">
        <v>95.899802101053695</v>
      </c>
      <c r="AM3202">
        <v>102.94377372515299</v>
      </c>
      <c r="AN3202">
        <v>0.99999998934865497</v>
      </c>
    </row>
    <row r="3203" spans="1:40" x14ac:dyDescent="0.25">
      <c r="A3203" t="str">
        <f>"20190305134957291"</f>
        <v>20190305134957291</v>
      </c>
      <c r="B3203" t="str">
        <f>"1551764997283139"</f>
        <v>1551764997283139</v>
      </c>
      <c r="C3203" t="s">
        <v>40</v>
      </c>
      <c r="D3203">
        <v>4.2863439999999997</v>
      </c>
      <c r="E3203">
        <v>0.59189919999999996</v>
      </c>
      <c r="F3203" t="s">
        <v>81</v>
      </c>
      <c r="G3203">
        <v>-511.92610000000002</v>
      </c>
      <c r="H3203">
        <v>2.5995759999999999</v>
      </c>
      <c r="I3203">
        <v>185.70699999999999</v>
      </c>
      <c r="J3203">
        <v>-489.83670000000001</v>
      </c>
      <c r="K3203">
        <v>1.1117010000000001</v>
      </c>
      <c r="L3203">
        <v>258.9495</v>
      </c>
      <c r="M3203">
        <v>-0.28191860000000002</v>
      </c>
      <c r="N3203">
        <v>-1.371645E-2</v>
      </c>
      <c r="O3203">
        <v>-0.95934039999999998</v>
      </c>
      <c r="P3203">
        <v>-6.0244190000000003E-2</v>
      </c>
      <c r="Q3203">
        <v>-0.11533889999999999</v>
      </c>
      <c r="R3203">
        <v>-0.99149759999999998</v>
      </c>
      <c r="S3203">
        <v>-0.89797969999999905</v>
      </c>
      <c r="T3203">
        <v>6.041229E-2</v>
      </c>
      <c r="U3203">
        <v>-2.977814</v>
      </c>
      <c r="V3203">
        <v>-0.22127230000000001</v>
      </c>
      <c r="W3203">
        <v>-0.1030741</v>
      </c>
      <c r="X3203">
        <v>0.96974959999999999</v>
      </c>
      <c r="Y3203">
        <v>6.9116530000000002E-3</v>
      </c>
      <c r="Z3203">
        <v>-3.1793439999999999E-2</v>
      </c>
      <c r="AA3203">
        <v>0.99947059999999999</v>
      </c>
      <c r="AB3203">
        <v>19</v>
      </c>
      <c r="AC3203">
        <v>-22.089400000000001</v>
      </c>
      <c r="AD3203">
        <v>1.4878749999999901</v>
      </c>
      <c r="AE3203">
        <v>-73.242500000000007</v>
      </c>
      <c r="AF3203">
        <v>0.54267650074362705</v>
      </c>
      <c r="AG3203">
        <v>1.4878749999999901</v>
      </c>
      <c r="AH3203">
        <v>76.470163251550204</v>
      </c>
      <c r="AI3203">
        <v>88.885368444454997</v>
      </c>
      <c r="AJ3203">
        <v>89.593402840226403</v>
      </c>
      <c r="AK3203">
        <v>76.486561810025407</v>
      </c>
      <c r="AL3203">
        <v>95.916218569456206</v>
      </c>
      <c r="AM3203">
        <v>102.85339608326601</v>
      </c>
      <c r="AN3203">
        <v>0.99999999376912996</v>
      </c>
    </row>
    <row r="3204" spans="1:40" x14ac:dyDescent="0.25">
      <c r="A3204" t="str">
        <f>"20190305134957301"</f>
        <v>20190305134957301</v>
      </c>
      <c r="B3204" t="str">
        <f>"1551764997293407"</f>
        <v>1551764997293407</v>
      </c>
      <c r="C3204" t="s">
        <v>40</v>
      </c>
      <c r="D3204">
        <v>4.2663359999999999</v>
      </c>
      <c r="E3204">
        <v>0.5919276</v>
      </c>
      <c r="F3204" t="s">
        <v>81</v>
      </c>
      <c r="G3204">
        <v>-511.92610000000002</v>
      </c>
      <c r="H3204">
        <v>2.611157</v>
      </c>
      <c r="I3204">
        <v>185.69640000000001</v>
      </c>
      <c r="J3204">
        <v>-489.85950000000003</v>
      </c>
      <c r="K3204">
        <v>1.111691</v>
      </c>
      <c r="L3204">
        <v>258.8648</v>
      </c>
      <c r="M3204">
        <v>-0.28032659999999998</v>
      </c>
      <c r="N3204">
        <v>-1.370628E-2</v>
      </c>
      <c r="O3204">
        <v>-0.95980690000000002</v>
      </c>
      <c r="P3204">
        <v>-6.0317900000000001E-2</v>
      </c>
      <c r="Q3204">
        <v>-0.115926</v>
      </c>
      <c r="R3204">
        <v>-0.99142479999999999</v>
      </c>
      <c r="S3204">
        <v>-0.89810179999999995</v>
      </c>
      <c r="T3204">
        <v>6.0966010000000001E-2</v>
      </c>
      <c r="U3204">
        <v>-2.9782709999999999</v>
      </c>
      <c r="V3204">
        <v>-0.2195722</v>
      </c>
      <c r="W3204">
        <v>-0.1036572</v>
      </c>
      <c r="X3204">
        <v>0.97007379999999999</v>
      </c>
      <c r="Y3204">
        <v>8.5641729999999996E-3</v>
      </c>
      <c r="Z3204">
        <v>-3.196852E-2</v>
      </c>
      <c r="AA3204">
        <v>0.99945220000000001</v>
      </c>
      <c r="AB3204">
        <v>19</v>
      </c>
      <c r="AC3204">
        <v>-22.066599999999902</v>
      </c>
      <c r="AD3204">
        <v>1.499466</v>
      </c>
      <c r="AE3204">
        <v>-73.168399999999906</v>
      </c>
      <c r="AF3204">
        <v>0.66843158177969997</v>
      </c>
      <c r="AG3204">
        <v>1.499466</v>
      </c>
      <c r="AH3204">
        <v>76.391155195425895</v>
      </c>
      <c r="AI3204">
        <v>88.875540573233096</v>
      </c>
      <c r="AJ3204">
        <v>89.498667993105101</v>
      </c>
      <c r="AK3204">
        <v>76.408793938632002</v>
      </c>
      <c r="AL3204">
        <v>95.949807792964904</v>
      </c>
      <c r="AM3204">
        <v>102.753759352548</v>
      </c>
      <c r="AN3204">
        <v>0.99999997178555899</v>
      </c>
    </row>
    <row r="3205" spans="1:40" x14ac:dyDescent="0.25">
      <c r="A3205" t="str">
        <f>"20190305134957311"</f>
        <v>20190305134957311</v>
      </c>
      <c r="B3205" t="str">
        <f>"1551764997303166"</f>
        <v>1551764997303166</v>
      </c>
      <c r="C3205" t="s">
        <v>40</v>
      </c>
      <c r="D3205">
        <v>4.2584869999999997</v>
      </c>
      <c r="E3205">
        <v>0.59175159999999905</v>
      </c>
      <c r="F3205" t="s">
        <v>81</v>
      </c>
      <c r="G3205">
        <v>-511.92610000000002</v>
      </c>
      <c r="H3205">
        <v>2.6011150000000001</v>
      </c>
      <c r="I3205">
        <v>185.7122</v>
      </c>
      <c r="J3205">
        <v>-489.88240000000002</v>
      </c>
      <c r="K3205">
        <v>1.11168</v>
      </c>
      <c r="L3205">
        <v>258.7801</v>
      </c>
      <c r="M3205">
        <v>-0.27873130000000002</v>
      </c>
      <c r="N3205">
        <v>-1.36963E-2</v>
      </c>
      <c r="O3205">
        <v>-0.9602714</v>
      </c>
      <c r="P3205">
        <v>-6.0299030000000003E-2</v>
      </c>
      <c r="Q3205">
        <v>-0.116302</v>
      </c>
      <c r="R3205">
        <v>-0.99138179999999998</v>
      </c>
      <c r="S3205">
        <v>-0.8984375</v>
      </c>
      <c r="T3205">
        <v>6.0643429999999998E-2</v>
      </c>
      <c r="U3205">
        <v>-2.9783780000000002</v>
      </c>
      <c r="V3205">
        <v>-0.21796789999999999</v>
      </c>
      <c r="W3205">
        <v>-0.10402939999999899</v>
      </c>
      <c r="X3205">
        <v>0.97039569999999997</v>
      </c>
      <c r="Y3205">
        <v>1.032022E-2</v>
      </c>
      <c r="Z3205">
        <v>-3.1874979999999997E-2</v>
      </c>
      <c r="AA3205">
        <v>0.99943859999999995</v>
      </c>
      <c r="AB3205">
        <v>19</v>
      </c>
      <c r="AC3205">
        <v>-22.043700000000001</v>
      </c>
      <c r="AD3205">
        <v>1.4894350000000001</v>
      </c>
      <c r="AE3205">
        <v>-73.067899999999995</v>
      </c>
      <c r="AF3205">
        <v>0.80139393384728996</v>
      </c>
      <c r="AG3205">
        <v>1.4894350000000001</v>
      </c>
      <c r="AH3205">
        <v>76.287392064604006</v>
      </c>
      <c r="AI3205">
        <v>88.881561032040395</v>
      </c>
      <c r="AJ3205">
        <v>89.398133820161405</v>
      </c>
      <c r="AK3205">
        <v>76.306138919978395</v>
      </c>
      <c r="AL3205">
        <v>95.971249224630498</v>
      </c>
      <c r="AM3205">
        <v>102.659524631358</v>
      </c>
      <c r="AN3205">
        <v>0.99999996803662905</v>
      </c>
    </row>
    <row r="3206" spans="1:40" x14ac:dyDescent="0.25">
      <c r="A3206" t="str">
        <f>"20190305134957322"</f>
        <v>20190305134957322</v>
      </c>
      <c r="B3206" t="str">
        <f>"1551764997313903"</f>
        <v>1551764997313903</v>
      </c>
      <c r="C3206" t="s">
        <v>40</v>
      </c>
      <c r="D3206">
        <v>4.2547499999999996</v>
      </c>
      <c r="E3206">
        <v>0.59168980000000004</v>
      </c>
      <c r="F3206" t="s">
        <v>81</v>
      </c>
      <c r="G3206">
        <v>-511.92610000000002</v>
      </c>
      <c r="H3206">
        <v>2.5917189999999999</v>
      </c>
      <c r="I3206">
        <v>185.65989999999999</v>
      </c>
      <c r="J3206">
        <v>-489.90789999999998</v>
      </c>
      <c r="K3206">
        <v>1.1116710000000001</v>
      </c>
      <c r="L3206">
        <v>258.68419999999998</v>
      </c>
      <c r="M3206">
        <v>-0.2769276</v>
      </c>
      <c r="N3206">
        <v>-1.368602E-2</v>
      </c>
      <c r="O3206">
        <v>-0.96079329999999996</v>
      </c>
      <c r="P3206">
        <v>-5.9890279999999997E-2</v>
      </c>
      <c r="Q3206">
        <v>-0.1171528</v>
      </c>
      <c r="R3206">
        <v>-0.99130640000000003</v>
      </c>
      <c r="S3206">
        <v>-0.8979492</v>
      </c>
      <c r="T3206">
        <v>6.0291169999999998E-2</v>
      </c>
      <c r="U3206">
        <v>-2.9785309999999998</v>
      </c>
      <c r="V3206">
        <v>-0.21651709999999999</v>
      </c>
      <c r="W3206">
        <v>-0.10487829999999999</v>
      </c>
      <c r="X3206">
        <v>0.97062910000000002</v>
      </c>
      <c r="Y3206">
        <v>1.203472E-2</v>
      </c>
      <c r="Z3206">
        <v>-3.1774829999999997E-2</v>
      </c>
      <c r="AA3206">
        <v>0.99942260000000005</v>
      </c>
      <c r="AB3206">
        <v>19</v>
      </c>
      <c r="AC3206">
        <v>-22.0182</v>
      </c>
      <c r="AD3206">
        <v>1.480048</v>
      </c>
      <c r="AE3206">
        <v>-73.024299999999897</v>
      </c>
      <c r="AF3206">
        <v>0.93223122127049796</v>
      </c>
      <c r="AG3206">
        <v>1.480048</v>
      </c>
      <c r="AH3206">
        <v>76.237142232911097</v>
      </c>
      <c r="AI3206">
        <v>88.887897507437501</v>
      </c>
      <c r="AJ3206">
        <v>89.299419534975499</v>
      </c>
      <c r="AK3206">
        <v>76.257205908512901</v>
      </c>
      <c r="AL3206">
        <v>96.020155064461903</v>
      </c>
      <c r="AM3206">
        <v>102.57502391045399</v>
      </c>
      <c r="AN3206">
        <v>0.99999998108505395</v>
      </c>
    </row>
    <row r="3207" spans="1:40" x14ac:dyDescent="0.25">
      <c r="A3207" t="str">
        <f>"20190305134957334"</f>
        <v>20190305134957334</v>
      </c>
      <c r="B3207" t="str">
        <f>"1551764997323663"</f>
        <v>1551764997323663</v>
      </c>
      <c r="C3207" t="s">
        <v>40</v>
      </c>
      <c r="D3207">
        <v>4.263058</v>
      </c>
      <c r="E3207">
        <v>0.59128530000000001</v>
      </c>
      <c r="F3207" t="s">
        <v>81</v>
      </c>
      <c r="G3207">
        <v>-511.92599999999999</v>
      </c>
      <c r="H3207">
        <v>2.5362089999999999</v>
      </c>
      <c r="I3207">
        <v>185.47720000000001</v>
      </c>
      <c r="J3207">
        <v>-489.93200000000002</v>
      </c>
      <c r="K3207">
        <v>1.1116569999999999</v>
      </c>
      <c r="L3207">
        <v>258.59359999999998</v>
      </c>
      <c r="M3207">
        <v>-0.27522029999999997</v>
      </c>
      <c r="N3207">
        <v>-1.367674E-2</v>
      </c>
      <c r="O3207">
        <v>-0.96128420000000003</v>
      </c>
      <c r="P3207">
        <v>-5.9629710000000002E-2</v>
      </c>
      <c r="Q3207">
        <v>-0.1177047</v>
      </c>
      <c r="R3207">
        <v>-0.9912571</v>
      </c>
      <c r="S3207">
        <v>-0.89599609999999996</v>
      </c>
      <c r="T3207">
        <v>5.797124E-2</v>
      </c>
      <c r="U3207">
        <v>-2.979034</v>
      </c>
      <c r="V3207">
        <v>-0.2150302</v>
      </c>
      <c r="W3207">
        <v>-0.1054266</v>
      </c>
      <c r="X3207">
        <v>0.97090019999999999</v>
      </c>
      <c r="Y3207">
        <v>1.317044E-2</v>
      </c>
      <c r="Z3207">
        <v>-3.1065780000000001E-2</v>
      </c>
      <c r="AA3207">
        <v>0.9994305</v>
      </c>
      <c r="AB3207">
        <v>19</v>
      </c>
      <c r="AC3207">
        <v>-21.994</v>
      </c>
      <c r="AD3207">
        <v>1.424552</v>
      </c>
      <c r="AE3207">
        <v>-73.116399999999899</v>
      </c>
      <c r="AF3207">
        <v>1.01910745370891</v>
      </c>
      <c r="AG3207">
        <v>1.424552</v>
      </c>
      <c r="AH3207">
        <v>76.319386963188293</v>
      </c>
      <c r="AI3207">
        <v>88.930755734132404</v>
      </c>
      <c r="AJ3207">
        <v>89.234963904111098</v>
      </c>
      <c r="AK3207">
        <v>76.339483590339896</v>
      </c>
      <c r="AL3207">
        <v>96.051745502085097</v>
      </c>
      <c r="AM3207">
        <v>102.48800769332</v>
      </c>
      <c r="AN3207">
        <v>0.99999997662981899</v>
      </c>
    </row>
    <row r="3208" spans="1:40" x14ac:dyDescent="0.25">
      <c r="A3208" t="str">
        <f>"20190305134957345"</f>
        <v>20190305134957345</v>
      </c>
      <c r="B3208" t="str">
        <f>"1551764997333423"</f>
        <v>1551764997333423</v>
      </c>
      <c r="C3208" t="s">
        <v>40</v>
      </c>
      <c r="D3208">
        <v>4.2842370000000001</v>
      </c>
      <c r="E3208">
        <v>0.59128159999999996</v>
      </c>
      <c r="F3208" t="s">
        <v>81</v>
      </c>
      <c r="G3208">
        <v>-511.92599999999999</v>
      </c>
      <c r="H3208">
        <v>2.464067</v>
      </c>
      <c r="I3208">
        <v>185.13890000000001</v>
      </c>
      <c r="J3208">
        <v>-489.95650000000001</v>
      </c>
      <c r="K3208">
        <v>1.1116459999999999</v>
      </c>
      <c r="L3208">
        <v>258.5</v>
      </c>
      <c r="M3208">
        <v>-0.27345900000000001</v>
      </c>
      <c r="N3208">
        <v>-1.3667830000000001E-2</v>
      </c>
      <c r="O3208">
        <v>-0.96178669999999999</v>
      </c>
      <c r="P3208">
        <v>-5.9152860000000002E-2</v>
      </c>
      <c r="Q3208">
        <v>-0.1186234</v>
      </c>
      <c r="R3208">
        <v>-0.9911761</v>
      </c>
      <c r="S3208">
        <v>-0.89208980000000004</v>
      </c>
      <c r="T3208">
        <v>5.4856179999999997E-2</v>
      </c>
      <c r="U3208">
        <v>-2.9793400000000001</v>
      </c>
      <c r="V3208">
        <v>-0.2136873</v>
      </c>
      <c r="W3208">
        <v>-0.10634299999999999</v>
      </c>
      <c r="X3208">
        <v>0.97109679999999998</v>
      </c>
      <c r="Y3208">
        <v>1.378038E-2</v>
      </c>
      <c r="Z3208">
        <v>-3.0114080000000001E-2</v>
      </c>
      <c r="AA3208">
        <v>0.99945150000000005</v>
      </c>
      <c r="AB3208">
        <v>19</v>
      </c>
      <c r="AC3208">
        <v>-21.969499999999901</v>
      </c>
      <c r="AD3208">
        <v>1.3524209999999901</v>
      </c>
      <c r="AE3208">
        <v>-73.361099999999993</v>
      </c>
      <c r="AF3208">
        <v>1.0684862999797999</v>
      </c>
      <c r="AG3208">
        <v>1.3524209999999901</v>
      </c>
      <c r="AH3208">
        <v>76.548754960457998</v>
      </c>
      <c r="AI3208">
        <v>88.987933775001906</v>
      </c>
      <c r="AJ3208">
        <v>89.200303387240695</v>
      </c>
      <c r="AK3208">
        <v>76.568156511246499</v>
      </c>
      <c r="AL3208">
        <v>96.104547771613298</v>
      </c>
      <c r="AM3208">
        <v>102.41000748163999</v>
      </c>
      <c r="AN3208">
        <v>1.00000004540026</v>
      </c>
    </row>
    <row r="3209" spans="1:40" x14ac:dyDescent="0.25">
      <c r="A3209" t="str">
        <f>"20190305134957356"</f>
        <v>20190305134957356</v>
      </c>
      <c r="B3209" t="str">
        <f>"1551764997353919"</f>
        <v>1551764997353919</v>
      </c>
      <c r="C3209" t="s">
        <v>40</v>
      </c>
      <c r="D3209">
        <v>4.2924850000000001</v>
      </c>
      <c r="E3209">
        <v>0.59124319999999997</v>
      </c>
      <c r="F3209" t="s">
        <v>81</v>
      </c>
      <c r="G3209">
        <v>-511.92599999999999</v>
      </c>
      <c r="H3209">
        <v>2.4058329999999999</v>
      </c>
      <c r="I3209">
        <v>184.97929999999999</v>
      </c>
      <c r="J3209">
        <v>-489.97989999999999</v>
      </c>
      <c r="K3209">
        <v>1.1116360000000001</v>
      </c>
      <c r="L3209">
        <v>258.41079999999999</v>
      </c>
      <c r="M3209">
        <v>-0.27177780000000001</v>
      </c>
      <c r="N3209">
        <v>-1.3659920000000001E-2</v>
      </c>
      <c r="O3209">
        <v>-0.96226299999999998</v>
      </c>
      <c r="P3209">
        <v>-5.887589E-2</v>
      </c>
      <c r="Q3209">
        <v>-0.1194986</v>
      </c>
      <c r="R3209">
        <v>-0.99108719999999995</v>
      </c>
      <c r="S3209">
        <v>-0.89044190000000001</v>
      </c>
      <c r="T3209">
        <v>5.2456379999999997E-2</v>
      </c>
      <c r="U3209">
        <v>-2.9798429999999998</v>
      </c>
      <c r="V3209">
        <v>-0.21223210000000001</v>
      </c>
      <c r="W3209">
        <v>-0.1072143</v>
      </c>
      <c r="X3209">
        <v>0.97131999999999996</v>
      </c>
      <c r="Y3209">
        <v>1.498057E-2</v>
      </c>
      <c r="Z3209">
        <v>-2.9378359999999999E-2</v>
      </c>
      <c r="AA3209">
        <v>0.99945609999999996</v>
      </c>
      <c r="AB3209">
        <v>19</v>
      </c>
      <c r="AC3209">
        <v>-21.946100000000001</v>
      </c>
      <c r="AD3209">
        <v>1.294197</v>
      </c>
      <c r="AE3209">
        <v>-73.4315</v>
      </c>
      <c r="AF3209">
        <v>1.16064594916123</v>
      </c>
      <c r="AG3209">
        <v>1.294197</v>
      </c>
      <c r="AH3209">
        <v>76.610188219336194</v>
      </c>
      <c r="AI3209">
        <v>89.032289711389794</v>
      </c>
      <c r="AJ3209">
        <v>89.132034147539798</v>
      </c>
      <c r="AK3209">
        <v>76.629909199321304</v>
      </c>
      <c r="AL3209">
        <v>96.154757186848798</v>
      </c>
      <c r="AM3209">
        <v>102.32534242702199</v>
      </c>
      <c r="AN3209">
        <v>0.99999995639744899</v>
      </c>
    </row>
    <row r="3210" spans="1:40" x14ac:dyDescent="0.25">
      <c r="A3210" t="str">
        <f>"20190305134957368"</f>
        <v>20190305134957368</v>
      </c>
      <c r="B3210" t="str">
        <f>"1551764997363679"</f>
        <v>1551764997363679</v>
      </c>
      <c r="C3210" t="s">
        <v>40</v>
      </c>
      <c r="D3210">
        <v>4.2675280000000004</v>
      </c>
      <c r="E3210">
        <v>0.59128369999999997</v>
      </c>
      <c r="F3210" t="s">
        <v>81</v>
      </c>
      <c r="G3210">
        <v>-511.92599999999999</v>
      </c>
      <c r="H3210">
        <v>2.3891490000000002</v>
      </c>
      <c r="I3210">
        <v>184.86529999999999</v>
      </c>
      <c r="J3210">
        <v>-490.00510000000003</v>
      </c>
      <c r="K3210">
        <v>1.1116239999999999</v>
      </c>
      <c r="L3210">
        <v>258.31319999999999</v>
      </c>
      <c r="M3210">
        <v>-0.2699395</v>
      </c>
      <c r="N3210">
        <v>-1.3651709999999999E-2</v>
      </c>
      <c r="O3210">
        <v>-0.96278070000000004</v>
      </c>
      <c r="P3210">
        <v>-5.8298620000000002E-2</v>
      </c>
      <c r="Q3210">
        <v>-0.1201115</v>
      </c>
      <c r="R3210">
        <v>-0.99104729999999996</v>
      </c>
      <c r="S3210">
        <v>-0.88934329999999995</v>
      </c>
      <c r="T3210">
        <v>5.1771640000000001E-2</v>
      </c>
      <c r="U3210">
        <v>-2.9803310000000001</v>
      </c>
      <c r="V3210">
        <v>-0.21092340000000001</v>
      </c>
      <c r="W3210">
        <v>-0.10782410000000001</v>
      </c>
      <c r="X3210">
        <v>0.9715376</v>
      </c>
      <c r="Y3210">
        <v>1.650892E-2</v>
      </c>
      <c r="Z3210">
        <v>-2.9173749999999998E-2</v>
      </c>
      <c r="AA3210">
        <v>0.99943800000000005</v>
      </c>
      <c r="AB3210">
        <v>19</v>
      </c>
      <c r="AC3210">
        <v>-21.9208999999999</v>
      </c>
      <c r="AD3210">
        <v>1.277525</v>
      </c>
      <c r="AE3210">
        <v>-73.447900000000004</v>
      </c>
      <c r="AF3210">
        <v>1.2782938563721</v>
      </c>
      <c r="AG3210">
        <v>1.277525</v>
      </c>
      <c r="AH3210">
        <v>76.617380896356195</v>
      </c>
      <c r="AI3210">
        <v>89.044866518435498</v>
      </c>
      <c r="AJ3210">
        <v>89.044158812890899</v>
      </c>
      <c r="AK3210">
        <v>76.638692321347605</v>
      </c>
      <c r="AL3210">
        <v>96.189899527251598</v>
      </c>
      <c r="AM3210">
        <v>102.248981138286</v>
      </c>
      <c r="AN3210">
        <v>1.00000001271106</v>
      </c>
    </row>
    <row r="3211" spans="1:40" x14ac:dyDescent="0.25">
      <c r="A3211" t="str">
        <f>"20190305134957380"</f>
        <v>20190305134957380</v>
      </c>
      <c r="B3211" t="str">
        <f>"1551764997373439"</f>
        <v>1551764997373439</v>
      </c>
      <c r="C3211" t="s">
        <v>40</v>
      </c>
      <c r="D3211">
        <v>4.2564989999999998</v>
      </c>
      <c r="E3211">
        <v>0.59122469999999905</v>
      </c>
      <c r="F3211" t="s">
        <v>81</v>
      </c>
      <c r="G3211">
        <v>-511.92599999999999</v>
      </c>
      <c r="H3211">
        <v>2.3780800000000002</v>
      </c>
      <c r="I3211">
        <v>184.75290000000001</v>
      </c>
      <c r="J3211">
        <v>-490.02929999999998</v>
      </c>
      <c r="K3211">
        <v>1.1116170000000001</v>
      </c>
      <c r="L3211">
        <v>258.21910000000003</v>
      </c>
      <c r="M3211">
        <v>-0.26816269999999998</v>
      </c>
      <c r="N3211">
        <v>-1.364448E-2</v>
      </c>
      <c r="O3211">
        <v>-0.96327700000000005</v>
      </c>
      <c r="P3211">
        <v>-5.7582939999999999E-2</v>
      </c>
      <c r="Q3211">
        <v>-0.12074989999999999</v>
      </c>
      <c r="R3211">
        <v>-0.99101159999999999</v>
      </c>
      <c r="S3211">
        <v>-0.88836669999999995</v>
      </c>
      <c r="T3211">
        <v>5.132627E-2</v>
      </c>
      <c r="U3211">
        <v>-2.9810940000000001</v>
      </c>
      <c r="V3211">
        <v>-0.20981060000000001</v>
      </c>
      <c r="W3211">
        <v>-0.1084604</v>
      </c>
      <c r="X3211">
        <v>0.97170769999999995</v>
      </c>
      <c r="Y3211">
        <v>1.7984099999999999E-2</v>
      </c>
      <c r="Z3211">
        <v>-2.9041870000000001E-2</v>
      </c>
      <c r="AA3211">
        <v>0.99941639999999998</v>
      </c>
      <c r="AB3211">
        <v>19</v>
      </c>
      <c r="AC3211">
        <v>-21.896699999999999</v>
      </c>
      <c r="AD3211">
        <v>1.2664629999999899</v>
      </c>
      <c r="AE3211">
        <v>-73.466200000000001</v>
      </c>
      <c r="AF3211">
        <v>1.3914427476822699</v>
      </c>
      <c r="AG3211">
        <v>1.2664629999999899</v>
      </c>
      <c r="AH3211">
        <v>76.626401169192405</v>
      </c>
      <c r="AI3211">
        <v>89.0532711934856</v>
      </c>
      <c r="AJ3211">
        <v>88.959692290897905</v>
      </c>
      <c r="AK3211">
        <v>76.649497047224301</v>
      </c>
      <c r="AL3211">
        <v>96.226571977575006</v>
      </c>
      <c r="AM3211">
        <v>102.184224123343</v>
      </c>
      <c r="AN3211">
        <v>1.0000000002399001</v>
      </c>
    </row>
    <row r="3212" spans="1:40" x14ac:dyDescent="0.25">
      <c r="A3212" t="str">
        <f>"20190305134957391"</f>
        <v>20190305134957391</v>
      </c>
      <c r="B3212" t="str">
        <f>"1551764997383199"</f>
        <v>1551764997383199</v>
      </c>
      <c r="C3212" t="s">
        <v>40</v>
      </c>
      <c r="D3212">
        <v>4.2748629999999999</v>
      </c>
      <c r="E3212">
        <v>0.59125469999999902</v>
      </c>
      <c r="F3212" t="s">
        <v>81</v>
      </c>
      <c r="G3212">
        <v>-511.92599999999999</v>
      </c>
      <c r="H3212">
        <v>2.3413279999999999</v>
      </c>
      <c r="I3212">
        <v>184.49170000000001</v>
      </c>
      <c r="J3212">
        <v>-490.05349999999999</v>
      </c>
      <c r="K3212">
        <v>1.1116140000000001</v>
      </c>
      <c r="L3212">
        <v>258.12470000000002</v>
      </c>
      <c r="M3212">
        <v>-0.26638129999999999</v>
      </c>
      <c r="N3212">
        <v>-1.3637440000000001E-2</v>
      </c>
      <c r="O3212">
        <v>-0.96377120000000005</v>
      </c>
      <c r="P3212">
        <v>-5.7222809999999999E-2</v>
      </c>
      <c r="Q3212">
        <v>-0.12107030000000001</v>
      </c>
      <c r="R3212">
        <v>-0.99099340000000002</v>
      </c>
      <c r="S3212">
        <v>-0.88558959999999998</v>
      </c>
      <c r="T3212">
        <v>4.9736259999999997E-2</v>
      </c>
      <c r="U3212">
        <v>-2.9818120000000001</v>
      </c>
      <c r="V3212">
        <v>-0.2083585</v>
      </c>
      <c r="W3212">
        <v>-0.10877580000000001</v>
      </c>
      <c r="X3212">
        <v>0.97198490000000004</v>
      </c>
      <c r="Y3212">
        <v>1.8915890000000001E-2</v>
      </c>
      <c r="Z3212">
        <v>-2.8557200000000001E-2</v>
      </c>
      <c r="AA3212">
        <v>0.9994132</v>
      </c>
      <c r="AB3212">
        <v>19</v>
      </c>
      <c r="AC3212">
        <v>-21.872499999999999</v>
      </c>
      <c r="AD3212">
        <v>1.229714</v>
      </c>
      <c r="AE3212">
        <v>-73.632999999999996</v>
      </c>
      <c r="AF3212">
        <v>1.4653921160488099</v>
      </c>
      <c r="AG3212">
        <v>1.229714</v>
      </c>
      <c r="AH3212">
        <v>76.7792572278438</v>
      </c>
      <c r="AI3212">
        <v>89.082583301193495</v>
      </c>
      <c r="AJ3212">
        <v>88.906598030192498</v>
      </c>
      <c r="AK3212">
        <v>76.803085296327595</v>
      </c>
      <c r="AL3212">
        <v>96.244750354493704</v>
      </c>
      <c r="AM3212">
        <v>102.099041520227</v>
      </c>
      <c r="AN3212">
        <v>1.0000000425079401</v>
      </c>
    </row>
    <row r="3213" spans="1:40" x14ac:dyDescent="0.25">
      <c r="A3213" t="str">
        <f>"20190305134957401"</f>
        <v>20190305134957401</v>
      </c>
      <c r="B3213" t="str">
        <f>"1551764997393935"</f>
        <v>1551764997393935</v>
      </c>
      <c r="C3213" t="s">
        <v>40</v>
      </c>
      <c r="D3213">
        <v>4.2578719999999999</v>
      </c>
      <c r="E3213">
        <v>0.59117759999999997</v>
      </c>
      <c r="F3213" t="s">
        <v>81</v>
      </c>
      <c r="G3213">
        <v>-511.92599999999999</v>
      </c>
      <c r="H3213">
        <v>2.3354900000000001</v>
      </c>
      <c r="I3213">
        <v>184.41079999999999</v>
      </c>
      <c r="J3213">
        <v>-490.07589999999999</v>
      </c>
      <c r="K3213">
        <v>1.1116090000000001</v>
      </c>
      <c r="L3213">
        <v>258.03579999999999</v>
      </c>
      <c r="M3213">
        <v>-0.26470189999999999</v>
      </c>
      <c r="N3213">
        <v>-1.363147E-2</v>
      </c>
      <c r="O3213">
        <v>-0.96423409999999998</v>
      </c>
      <c r="P3213">
        <v>-5.7048450000000001E-2</v>
      </c>
      <c r="Q3213">
        <v>-0.1214635</v>
      </c>
      <c r="R3213">
        <v>-0.99095529999999998</v>
      </c>
      <c r="S3213">
        <v>-0.88488770000000005</v>
      </c>
      <c r="T3213">
        <v>4.9515719999999999E-2</v>
      </c>
      <c r="U3213">
        <v>-2.9821930000000001</v>
      </c>
      <c r="V3213">
        <v>-0.20682410000000001</v>
      </c>
      <c r="W3213">
        <v>-0.1091633</v>
      </c>
      <c r="X3213">
        <v>0.9722691</v>
      </c>
      <c r="Y3213">
        <v>2.0407209999999999E-2</v>
      </c>
      <c r="Z3213">
        <v>-2.8496270000000001E-2</v>
      </c>
      <c r="AA3213">
        <v>0.99938559999999999</v>
      </c>
      <c r="AB3213">
        <v>19</v>
      </c>
      <c r="AC3213">
        <v>-21.850100000000001</v>
      </c>
      <c r="AD3213">
        <v>1.223881</v>
      </c>
      <c r="AE3213">
        <v>-73.625</v>
      </c>
      <c r="AF3213">
        <v>1.5796795052903001</v>
      </c>
      <c r="AG3213">
        <v>1.223881</v>
      </c>
      <c r="AH3213">
        <v>76.763125777270602</v>
      </c>
      <c r="AI3213">
        <v>89.086769396291601</v>
      </c>
      <c r="AJ3213">
        <v>88.821098089395903</v>
      </c>
      <c r="AK3213">
        <v>76.7891317253859</v>
      </c>
      <c r="AL3213">
        <v>96.267085622264801</v>
      </c>
      <c r="AM3213">
        <v>102.009129331902</v>
      </c>
      <c r="AN3213">
        <v>1.0000000186112501</v>
      </c>
    </row>
    <row r="3214" spans="1:40" x14ac:dyDescent="0.25">
      <c r="A3214" t="str">
        <f>"20190305134957412"</f>
        <v>20190305134957412</v>
      </c>
      <c r="B3214" t="str">
        <f>"1551764997403695"</f>
        <v>1551764997403695</v>
      </c>
      <c r="C3214" t="s">
        <v>40</v>
      </c>
      <c r="D3214">
        <v>4.2494630000000004</v>
      </c>
      <c r="E3214">
        <v>0.59109579999999995</v>
      </c>
      <c r="F3214" t="s">
        <v>81</v>
      </c>
      <c r="G3214">
        <v>-511.92599999999999</v>
      </c>
      <c r="H3214">
        <v>2.3254609999999998</v>
      </c>
      <c r="I3214">
        <v>184.3066</v>
      </c>
      <c r="J3214">
        <v>-490.09780000000001</v>
      </c>
      <c r="K3214">
        <v>1.111604</v>
      </c>
      <c r="L3214">
        <v>257.94869999999997</v>
      </c>
      <c r="M3214">
        <v>-0.26305200000000001</v>
      </c>
      <c r="N3214">
        <v>-1.36258E-2</v>
      </c>
      <c r="O3214">
        <v>-0.96468549999999997</v>
      </c>
      <c r="P3214">
        <v>-5.6817399999999997E-2</v>
      </c>
      <c r="Q3214">
        <v>-0.12153750000000001</v>
      </c>
      <c r="R3214">
        <v>-0.99095949999999999</v>
      </c>
      <c r="S3214">
        <v>-0.88388060000000002</v>
      </c>
      <c r="T3214">
        <v>4.9104689999999999E-2</v>
      </c>
      <c r="U3214">
        <v>-2.9824830000000002</v>
      </c>
      <c r="V3214">
        <v>-0.20538699999999999</v>
      </c>
      <c r="W3214">
        <v>-0.1092315</v>
      </c>
      <c r="X3214">
        <v>0.97256600000000004</v>
      </c>
      <c r="Y3214">
        <v>2.1781979999999999E-2</v>
      </c>
      <c r="Z3214">
        <v>-2.8376789999999999E-2</v>
      </c>
      <c r="AA3214">
        <v>0.99936000000000003</v>
      </c>
      <c r="AB3214">
        <v>19</v>
      </c>
      <c r="AC3214">
        <v>-21.828199999999899</v>
      </c>
      <c r="AD3214">
        <v>1.213857</v>
      </c>
      <c r="AE3214">
        <v>-73.6420999999999</v>
      </c>
      <c r="AF3214">
        <v>1.6853818050157501</v>
      </c>
      <c r="AG3214">
        <v>1.213857</v>
      </c>
      <c r="AH3214">
        <v>76.771367721402001</v>
      </c>
      <c r="AI3214">
        <v>89.094371493913798</v>
      </c>
      <c r="AJ3214">
        <v>88.742372858834401</v>
      </c>
      <c r="AK3214">
        <v>76.799458738065695</v>
      </c>
      <c r="AL3214">
        <v>96.271016930132802</v>
      </c>
      <c r="AM3214">
        <v>101.924546005938</v>
      </c>
      <c r="AN3214">
        <v>0.99999998235862497</v>
      </c>
    </row>
    <row r="3215" spans="1:40" x14ac:dyDescent="0.25">
      <c r="A3215" t="str">
        <f>"20190305134957425"</f>
        <v>20190305134957425</v>
      </c>
      <c r="B3215" t="str">
        <f>"1551764997413455"</f>
        <v>1551764997413455</v>
      </c>
      <c r="C3215" t="s">
        <v>40</v>
      </c>
      <c r="D3215">
        <v>4.2611230000000004</v>
      </c>
      <c r="E3215">
        <v>0.59101959999999998</v>
      </c>
      <c r="F3215" t="s">
        <v>81</v>
      </c>
      <c r="G3215">
        <v>-511.92599999999999</v>
      </c>
      <c r="H3215">
        <v>2.3321209999999999</v>
      </c>
      <c r="I3215">
        <v>184.1781</v>
      </c>
      <c r="J3215">
        <v>-490.1234</v>
      </c>
      <c r="K3215">
        <v>1.1115980000000001</v>
      </c>
      <c r="L3215">
        <v>257.84620000000001</v>
      </c>
      <c r="M3215">
        <v>-0.26110879999999997</v>
      </c>
      <c r="N3215">
        <v>-1.361972E-2</v>
      </c>
      <c r="O3215">
        <v>-0.9652134</v>
      </c>
      <c r="P3215">
        <v>-5.6627370000000003E-2</v>
      </c>
      <c r="Q3215">
        <v>-0.12167169999999999</v>
      </c>
      <c r="R3215">
        <v>-0.99095390000000005</v>
      </c>
      <c r="S3215">
        <v>-0.88259889999999996</v>
      </c>
      <c r="T3215">
        <v>4.9352170000000001E-2</v>
      </c>
      <c r="U3215">
        <v>-2.9828190000000001</v>
      </c>
      <c r="V3215">
        <v>-0.20361270000000001</v>
      </c>
      <c r="W3215">
        <v>-0.109358399999999</v>
      </c>
      <c r="X3215">
        <v>0.97292480000000003</v>
      </c>
      <c r="Y3215">
        <v>2.3369170000000002E-2</v>
      </c>
      <c r="Z3215">
        <v>-2.8464059999999999E-2</v>
      </c>
      <c r="AA3215">
        <v>0.99932160000000003</v>
      </c>
      <c r="AB3215">
        <v>19</v>
      </c>
      <c r="AC3215">
        <v>-21.802599999999899</v>
      </c>
      <c r="AD3215">
        <v>1.220523</v>
      </c>
      <c r="AE3215">
        <v>-73.668099999999995</v>
      </c>
      <c r="AF3215">
        <v>1.8084836415351599</v>
      </c>
      <c r="AG3215">
        <v>1.220523</v>
      </c>
      <c r="AH3215">
        <v>76.786024028127102</v>
      </c>
      <c r="AI3215">
        <v>89.089605870649507</v>
      </c>
      <c r="AJ3215">
        <v>88.650804904748597</v>
      </c>
      <c r="AK3215">
        <v>76.8170148829239</v>
      </c>
      <c r="AL3215">
        <v>96.278331291040303</v>
      </c>
      <c r="AM3215">
        <v>101.82020631838699</v>
      </c>
      <c r="AN3215">
        <v>1.0000000288534401</v>
      </c>
    </row>
    <row r="3216" spans="1:40" x14ac:dyDescent="0.25">
      <c r="A3216" t="str">
        <f>"20190305134957439"</f>
        <v>20190305134957439</v>
      </c>
      <c r="B3216" t="str">
        <f>"1551764997433951"</f>
        <v>1551764997433951</v>
      </c>
      <c r="C3216" t="s">
        <v>40</v>
      </c>
      <c r="D3216">
        <v>4.2871319999999997</v>
      </c>
      <c r="E3216">
        <v>0.59093509999999905</v>
      </c>
      <c r="F3216" t="s">
        <v>81</v>
      </c>
      <c r="G3216">
        <v>-511.92599999999999</v>
      </c>
      <c r="H3216">
        <v>2.3312369999999998</v>
      </c>
      <c r="I3216">
        <v>184.06379999999999</v>
      </c>
      <c r="J3216">
        <v>-490.15199999999999</v>
      </c>
      <c r="K3216">
        <v>1.111591</v>
      </c>
      <c r="L3216">
        <v>257.7303</v>
      </c>
      <c r="M3216">
        <v>-0.25890590000000002</v>
      </c>
      <c r="N3216">
        <v>-1.361338E-2</v>
      </c>
      <c r="O3216">
        <v>-0.96580670000000002</v>
      </c>
      <c r="P3216">
        <v>-5.5830360000000002E-2</v>
      </c>
      <c r="Q3216">
        <v>-0.12218</v>
      </c>
      <c r="R3216">
        <v>-0.99093659999999995</v>
      </c>
      <c r="S3216">
        <v>-0.88150019999999996</v>
      </c>
      <c r="T3216">
        <v>4.9313070000000001E-2</v>
      </c>
      <c r="U3216">
        <v>-2.9830779999999999</v>
      </c>
      <c r="V3216">
        <v>-0.2021588</v>
      </c>
      <c r="W3216">
        <v>-0.10986319999999999</v>
      </c>
      <c r="X3216">
        <v>0.97317109999999996</v>
      </c>
      <c r="Y3216">
        <v>2.5288169999999999E-2</v>
      </c>
      <c r="Z3216">
        <v>-2.8464079999999999E-2</v>
      </c>
      <c r="AA3216">
        <v>0.99927489999999997</v>
      </c>
      <c r="AB3216">
        <v>19</v>
      </c>
      <c r="AC3216">
        <v>-21.774000000000001</v>
      </c>
      <c r="AD3216">
        <v>1.21964599999999</v>
      </c>
      <c r="AE3216">
        <v>-73.666499999999999</v>
      </c>
      <c r="AF3216">
        <v>1.9564715778585</v>
      </c>
      <c r="AG3216">
        <v>1.21964599999999</v>
      </c>
      <c r="AH3216">
        <v>76.772772315950704</v>
      </c>
      <c r="AI3216">
        <v>89.090145975312794</v>
      </c>
      <c r="AJ3216">
        <v>88.5401946068163</v>
      </c>
      <c r="AK3216">
        <v>76.8073817186675</v>
      </c>
      <c r="AL3216">
        <v>96.307429417243</v>
      </c>
      <c r="AM3216">
        <v>101.73526548571</v>
      </c>
      <c r="AN3216">
        <v>1.00000004650344</v>
      </c>
    </row>
    <row r="3217" spans="1:40" x14ac:dyDescent="0.25">
      <c r="A3217" t="str">
        <f>"20190305134957454"</f>
        <v>20190305134957454</v>
      </c>
      <c r="B3217" t="str">
        <f>"1551764997443711"</f>
        <v>1551764997443711</v>
      </c>
      <c r="C3217" t="s">
        <v>40</v>
      </c>
      <c r="D3217">
        <v>4.2581899999999999</v>
      </c>
      <c r="E3217">
        <v>0.59095319999999996</v>
      </c>
      <c r="F3217" t="s">
        <v>81</v>
      </c>
      <c r="G3217">
        <v>-511.92599999999999</v>
      </c>
      <c r="H3217">
        <v>2.3030499999999998</v>
      </c>
      <c r="I3217">
        <v>183.755</v>
      </c>
      <c r="J3217">
        <v>-490.18239999999997</v>
      </c>
      <c r="K3217">
        <v>1.1115889999999999</v>
      </c>
      <c r="L3217">
        <v>257.60599999999999</v>
      </c>
      <c r="M3217">
        <v>-0.25653589999999998</v>
      </c>
      <c r="N3217">
        <v>-1.360711E-2</v>
      </c>
      <c r="O3217">
        <v>-0.96643920000000005</v>
      </c>
      <c r="P3217">
        <v>-5.4919099999999998E-2</v>
      </c>
      <c r="Q3217">
        <v>-0.1225608</v>
      </c>
      <c r="R3217">
        <v>-0.99094090000000001</v>
      </c>
      <c r="S3217">
        <v>-0.87829590000000002</v>
      </c>
      <c r="T3217">
        <v>4.8061609999999998E-2</v>
      </c>
      <c r="U3217">
        <v>-2.9839169999999999</v>
      </c>
      <c r="V3217">
        <v>-0.2006541</v>
      </c>
      <c r="W3217">
        <v>-0.1102404</v>
      </c>
      <c r="X3217">
        <v>0.97343979999999997</v>
      </c>
      <c r="Y3217">
        <v>2.6679970000000001E-2</v>
      </c>
      <c r="Z3217">
        <v>-2.8087520000000001E-2</v>
      </c>
      <c r="AA3217">
        <v>0.99924930000000001</v>
      </c>
      <c r="AB3217">
        <v>19</v>
      </c>
      <c r="AC3217">
        <v>-21.743600000000001</v>
      </c>
      <c r="AD3217">
        <v>1.1914610000000001</v>
      </c>
      <c r="AE3217">
        <v>-73.850999999999999</v>
      </c>
      <c r="AF3217">
        <v>2.0681302264121499</v>
      </c>
      <c r="AG3217">
        <v>1.1914610000000001</v>
      </c>
      <c r="AH3217">
        <v>76.939190536598701</v>
      </c>
      <c r="AI3217">
        <v>89.113123140959402</v>
      </c>
      <c r="AJ3217">
        <v>88.460256652977407</v>
      </c>
      <c r="AK3217">
        <v>76.976202701711301</v>
      </c>
      <c r="AL3217">
        <v>96.329173572579904</v>
      </c>
      <c r="AM3217">
        <v>101.647186422933</v>
      </c>
      <c r="AN3217">
        <v>1.0000000289315001</v>
      </c>
    </row>
    <row r="3218" spans="1:40" x14ac:dyDescent="0.25">
      <c r="A3218" t="str">
        <f>"20190305134957469"</f>
        <v>20190305134957469</v>
      </c>
      <c r="B3218" t="str">
        <f>"1551764997463232"</f>
        <v>1551764997463232</v>
      </c>
      <c r="C3218" t="s">
        <v>40</v>
      </c>
      <c r="D3218">
        <v>4.2638129999999999</v>
      </c>
      <c r="E3218">
        <v>0.59091759999999904</v>
      </c>
      <c r="F3218" t="s">
        <v>81</v>
      </c>
      <c r="G3218">
        <v>-511.92599999999999</v>
      </c>
      <c r="H3218">
        <v>2.3017940000000001</v>
      </c>
      <c r="I3218">
        <v>183.49539999999999</v>
      </c>
      <c r="J3218">
        <v>-490.2122</v>
      </c>
      <c r="K3218">
        <v>1.1115839999999999</v>
      </c>
      <c r="L3218">
        <v>257.48270000000002</v>
      </c>
      <c r="M3218">
        <v>-0.25417709999999999</v>
      </c>
      <c r="N3218">
        <v>-1.3601429999999999E-2</v>
      </c>
      <c r="O3218">
        <v>-0.96706210000000004</v>
      </c>
      <c r="P3218">
        <v>-5.445403E-2</v>
      </c>
      <c r="Q3218">
        <v>-0.1233258</v>
      </c>
      <c r="R3218">
        <v>-0.99087099999999995</v>
      </c>
      <c r="S3218">
        <v>-0.87573239999999997</v>
      </c>
      <c r="T3218">
        <v>4.793787E-2</v>
      </c>
      <c r="U3218">
        <v>-2.9848180000000002</v>
      </c>
      <c r="V3218">
        <v>-0.19871</v>
      </c>
      <c r="W3218">
        <v>-0.1109994</v>
      </c>
      <c r="X3218">
        <v>0.97375230000000002</v>
      </c>
      <c r="Y3218">
        <v>2.8247660000000001E-2</v>
      </c>
      <c r="Z3218">
        <v>-2.806119E-2</v>
      </c>
      <c r="AA3218">
        <v>0.99920699999999996</v>
      </c>
      <c r="AB3218">
        <v>19</v>
      </c>
      <c r="AC3218">
        <v>-21.7137999999999</v>
      </c>
      <c r="AD3218">
        <v>1.19020999999999</v>
      </c>
      <c r="AE3218">
        <v>-73.987300000000005</v>
      </c>
      <c r="AF3218">
        <v>2.1923960572058401</v>
      </c>
      <c r="AG3218">
        <v>1.19020999999999</v>
      </c>
      <c r="AH3218">
        <v>77.058230474135698</v>
      </c>
      <c r="AI3218">
        <v>89.115460995806103</v>
      </c>
      <c r="AJ3218">
        <v>88.3703082335076</v>
      </c>
      <c r="AK3218">
        <v>77.098599754604905</v>
      </c>
      <c r="AL3218">
        <v>96.3729295618744</v>
      </c>
      <c r="AM3218">
        <v>101.533775643727</v>
      </c>
      <c r="AN3218">
        <v>1.0000000363278201</v>
      </c>
    </row>
    <row r="3219" spans="1:40" x14ac:dyDescent="0.25">
      <c r="A3219" t="str">
        <f>"20190305134957481"</f>
        <v>20190305134957481</v>
      </c>
      <c r="B3219" t="str">
        <f>"1551764997473967"</f>
        <v>1551764997473967</v>
      </c>
      <c r="C3219" t="s">
        <v>40</v>
      </c>
      <c r="D3219">
        <v>4.2300469999999999</v>
      </c>
      <c r="E3219">
        <v>0.59087909999999999</v>
      </c>
      <c r="F3219" t="s">
        <v>81</v>
      </c>
      <c r="G3219">
        <v>-511.92599999999999</v>
      </c>
      <c r="H3219">
        <v>2.2989920000000001</v>
      </c>
      <c r="I3219">
        <v>183.2792</v>
      </c>
      <c r="J3219">
        <v>-490.23669999999998</v>
      </c>
      <c r="K3219">
        <v>1.11158</v>
      </c>
      <c r="L3219">
        <v>257.3802</v>
      </c>
      <c r="M3219">
        <v>-0.25220769999999998</v>
      </c>
      <c r="N3219">
        <v>-1.359719E-2</v>
      </c>
      <c r="O3219">
        <v>-0.96757760000000004</v>
      </c>
      <c r="P3219">
        <v>-5.3467710000000002E-2</v>
      </c>
      <c r="Q3219">
        <v>-0.1239809</v>
      </c>
      <c r="R3219">
        <v>-0.99084320000000004</v>
      </c>
      <c r="S3219">
        <v>-0.87365720000000002</v>
      </c>
      <c r="T3219">
        <v>4.7777529999999999E-2</v>
      </c>
      <c r="U3219">
        <v>-2.9855800000000001</v>
      </c>
      <c r="V3219">
        <v>-0.1976743</v>
      </c>
      <c r="W3219">
        <v>-0.11165360000000001</v>
      </c>
      <c r="X3219">
        <v>0.97388830000000004</v>
      </c>
      <c r="Y3219">
        <v>2.9574489999999998E-2</v>
      </c>
      <c r="Z3219">
        <v>-2.8021560000000001E-2</v>
      </c>
      <c r="AA3219">
        <v>0.99916970000000005</v>
      </c>
      <c r="AB3219">
        <v>19</v>
      </c>
      <c r="AC3219">
        <v>-21.689299999999999</v>
      </c>
      <c r="AD3219">
        <v>1.1874119999999899</v>
      </c>
      <c r="AE3219">
        <v>-74.100999999999999</v>
      </c>
      <c r="AF3219">
        <v>2.2969071804226999</v>
      </c>
      <c r="AG3219">
        <v>1.1874119999999899</v>
      </c>
      <c r="AH3219">
        <v>77.157561252789407</v>
      </c>
      <c r="AI3219">
        <v>89.118709735891798</v>
      </c>
      <c r="AJ3219">
        <v>88.294862739235896</v>
      </c>
      <c r="AK3219">
        <v>77.200874271805901</v>
      </c>
      <c r="AL3219">
        <v>96.410646904308805</v>
      </c>
      <c r="AM3219">
        <v>101.47369900448599</v>
      </c>
      <c r="AN3219">
        <v>1.0000000380751599</v>
      </c>
    </row>
    <row r="3220" spans="1:40" x14ac:dyDescent="0.25">
      <c r="A3220" t="str">
        <f>"20190305134957502"</f>
        <v>20190305134957502</v>
      </c>
      <c r="B3220" t="str">
        <f>"1551764997493487"</f>
        <v>1551764997493487</v>
      </c>
      <c r="C3220" t="s">
        <v>40</v>
      </c>
      <c r="D3220">
        <v>4.2443589999999896</v>
      </c>
      <c r="E3220">
        <v>0.59104979999999996</v>
      </c>
      <c r="F3220" t="s">
        <v>81</v>
      </c>
      <c r="G3220">
        <v>-511.92590000000001</v>
      </c>
      <c r="H3220">
        <v>2.2758940000000001</v>
      </c>
      <c r="I3220">
        <v>182.97540000000001</v>
      </c>
      <c r="J3220">
        <v>-490.27609999999999</v>
      </c>
      <c r="K3220">
        <v>1.1115820000000001</v>
      </c>
      <c r="L3220">
        <v>257.21359999999999</v>
      </c>
      <c r="M3220">
        <v>-0.24899250000000001</v>
      </c>
      <c r="N3220">
        <v>-1.35909E-2</v>
      </c>
      <c r="O3220">
        <v>-0.96840999999999999</v>
      </c>
      <c r="P3220">
        <v>-5.2280399999999998E-2</v>
      </c>
      <c r="Q3220">
        <v>-0.12424300000000001</v>
      </c>
      <c r="R3220">
        <v>-0.99087349999999996</v>
      </c>
      <c r="S3220">
        <v>-0.87060550000000003</v>
      </c>
      <c r="T3220">
        <v>4.6737309999999997E-2</v>
      </c>
      <c r="U3220">
        <v>-2.9865879999999998</v>
      </c>
      <c r="V3220">
        <v>-0.19559840000000001</v>
      </c>
      <c r="W3220">
        <v>-0.1119098</v>
      </c>
      <c r="X3220">
        <v>0.97427790000000003</v>
      </c>
      <c r="Y3220">
        <v>3.186543E-2</v>
      </c>
      <c r="Z3220">
        <v>-2.7714510000000001E-2</v>
      </c>
      <c r="AA3220">
        <v>0.99910779999999999</v>
      </c>
      <c r="AB3220">
        <v>19</v>
      </c>
      <c r="AC3220">
        <v>-21.649799999999999</v>
      </c>
      <c r="AD3220">
        <v>1.164312</v>
      </c>
      <c r="AE3220">
        <v>-74.238199999999907</v>
      </c>
      <c r="AF3220">
        <v>2.48079472516469</v>
      </c>
      <c r="AG3220">
        <v>1.164312</v>
      </c>
      <c r="AH3220">
        <v>77.273278134111706</v>
      </c>
      <c r="AI3220">
        <v>89.137207925359306</v>
      </c>
      <c r="AJ3220">
        <v>88.161197919944399</v>
      </c>
      <c r="AK3220">
        <v>77.321856408738199</v>
      </c>
      <c r="AL3220">
        <v>96.425419022558302</v>
      </c>
      <c r="AM3220">
        <v>101.35193024878799</v>
      </c>
      <c r="AN3220">
        <v>0.99999998192350403</v>
      </c>
    </row>
    <row r="3221" spans="1:40" x14ac:dyDescent="0.25">
      <c r="A3221" t="str">
        <f>"20190305134957514"</f>
        <v>20190305134957514</v>
      </c>
      <c r="B3221" t="str">
        <f>"1551764997503247"</f>
        <v>1551764997503247</v>
      </c>
      <c r="C3221" t="s">
        <v>40</v>
      </c>
      <c r="D3221">
        <v>4.2737150000000002</v>
      </c>
      <c r="E3221">
        <v>0.59113289999999996</v>
      </c>
      <c r="F3221" t="s">
        <v>81</v>
      </c>
      <c r="G3221">
        <v>-511.92599999999999</v>
      </c>
      <c r="H3221">
        <v>2.3130670000000002</v>
      </c>
      <c r="I3221">
        <v>182.7295</v>
      </c>
      <c r="J3221">
        <v>-490.30079999999998</v>
      </c>
      <c r="K3221">
        <v>1.111585</v>
      </c>
      <c r="L3221">
        <v>257.10759999999999</v>
      </c>
      <c r="M3221">
        <v>-0.2469373</v>
      </c>
      <c r="N3221">
        <v>-1.358727E-2</v>
      </c>
      <c r="O3221">
        <v>-0.96893629999999997</v>
      </c>
      <c r="P3221">
        <v>-5.0748679999999997E-2</v>
      </c>
      <c r="Q3221">
        <v>-0.1239542</v>
      </c>
      <c r="R3221">
        <v>-0.99098969999999997</v>
      </c>
      <c r="S3221">
        <v>-0.86846919999999905</v>
      </c>
      <c r="T3221">
        <v>4.8198459999999999E-2</v>
      </c>
      <c r="U3221">
        <v>-2.987854</v>
      </c>
      <c r="V3221">
        <v>-0.1950472</v>
      </c>
      <c r="W3221">
        <v>-0.1116219</v>
      </c>
      <c r="X3221">
        <v>0.97442139999999999</v>
      </c>
      <c r="Y3221">
        <v>3.3210139999999999E-2</v>
      </c>
      <c r="Z3221">
        <v>-2.8180029999999998E-2</v>
      </c>
      <c r="AA3221">
        <v>0.99905100000000002</v>
      </c>
      <c r="AB3221">
        <v>19</v>
      </c>
      <c r="AC3221">
        <v>-21.6252</v>
      </c>
      <c r="AD3221">
        <v>1.2014819999999899</v>
      </c>
      <c r="AE3221">
        <v>-74.378099999999904</v>
      </c>
      <c r="AF3221">
        <v>2.5863303516596901</v>
      </c>
      <c r="AG3221">
        <v>1.2014819999999899</v>
      </c>
      <c r="AH3221">
        <v>77.396226352515299</v>
      </c>
      <c r="AI3221">
        <v>89.111120433840796</v>
      </c>
      <c r="AJ3221">
        <v>88.086073458438193</v>
      </c>
      <c r="AK3221">
        <v>77.448747680604995</v>
      </c>
      <c r="AL3221">
        <v>96.408819694145095</v>
      </c>
      <c r="AM3221">
        <v>101.31914339197201</v>
      </c>
      <c r="AN3221">
        <v>0.99999996178270401</v>
      </c>
    </row>
    <row r="3222" spans="1:40" x14ac:dyDescent="0.25">
      <c r="A3222" t="str">
        <f>"20190305134957526"</f>
        <v>20190305134957526</v>
      </c>
      <c r="B3222" t="str">
        <f>"1551764997523742"</f>
        <v>1551764997523742</v>
      </c>
      <c r="C3222" t="s">
        <v>40</v>
      </c>
      <c r="D3222">
        <v>4.700291</v>
      </c>
      <c r="E3222">
        <v>0.59104730000000005</v>
      </c>
      <c r="F3222" t="s">
        <v>81</v>
      </c>
      <c r="G3222">
        <v>-511.82990000000001</v>
      </c>
      <c r="H3222">
        <v>2.3678509999999999</v>
      </c>
      <c r="I3222">
        <v>182.61779999999999</v>
      </c>
      <c r="J3222">
        <v>-490.32380000000001</v>
      </c>
      <c r="K3222">
        <v>1.1115870000000001</v>
      </c>
      <c r="L3222">
        <v>257.0086</v>
      </c>
      <c r="M3222">
        <v>-0.24501220000000001</v>
      </c>
      <c r="N3222">
        <v>-1.358404E-2</v>
      </c>
      <c r="O3222">
        <v>-0.96942499999999998</v>
      </c>
      <c r="P3222">
        <v>-4.966164E-2</v>
      </c>
      <c r="Q3222">
        <v>-0.123533</v>
      </c>
      <c r="R3222">
        <v>-0.99109720000000001</v>
      </c>
      <c r="S3222">
        <v>-0.86398319999999995</v>
      </c>
      <c r="T3222">
        <v>5.0417070000000001E-2</v>
      </c>
      <c r="U3222">
        <v>-2.9893339999999999</v>
      </c>
      <c r="V3222">
        <v>-0.1941959</v>
      </c>
      <c r="W3222">
        <v>-0.11119859999999999</v>
      </c>
      <c r="X3222">
        <v>0.97463979999999995</v>
      </c>
      <c r="Y3222">
        <v>3.3674160000000002E-2</v>
      </c>
      <c r="Z3222">
        <v>-2.8884079999999999E-2</v>
      </c>
      <c r="AA3222">
        <v>0.9990154</v>
      </c>
      <c r="AB3222">
        <v>19</v>
      </c>
      <c r="AC3222">
        <v>-21.5061</v>
      </c>
      <c r="AD3222">
        <v>1.2562639999999901</v>
      </c>
      <c r="AE3222">
        <v>-74.390799999999999</v>
      </c>
      <c r="AF3222">
        <v>2.6214489931577201</v>
      </c>
      <c r="AG3222">
        <v>1.2562639999999901</v>
      </c>
      <c r="AH3222">
        <v>77.372322662540796</v>
      </c>
      <c r="AI3222">
        <v>89.070326027950401</v>
      </c>
      <c r="AJ3222">
        <v>88.059505955597302</v>
      </c>
      <c r="AK3222">
        <v>77.426910749801706</v>
      </c>
      <c r="AL3222">
        <v>96.3844144790923</v>
      </c>
      <c r="AM3222">
        <v>101.26854637536</v>
      </c>
      <c r="AN3222">
        <v>0.99999995798140395</v>
      </c>
    </row>
    <row r="3223" spans="1:40" x14ac:dyDescent="0.25">
      <c r="A3223" t="str">
        <f>"20190305134957540"</f>
        <v>20190305134957540</v>
      </c>
      <c r="B3223" t="str">
        <f>"1551764997533504"</f>
        <v>1551764997533504</v>
      </c>
      <c r="C3223" t="s">
        <v>40</v>
      </c>
      <c r="D3223">
        <v>4.3615250000000003</v>
      </c>
      <c r="E3223">
        <v>0.54223949999999999</v>
      </c>
      <c r="F3223" t="s">
        <v>81</v>
      </c>
      <c r="G3223">
        <v>-511.71469999999999</v>
      </c>
      <c r="H3223">
        <v>2.3986800000000001</v>
      </c>
      <c r="I3223">
        <v>182.61779999999999</v>
      </c>
      <c r="J3223">
        <v>-490.34719999999999</v>
      </c>
      <c r="K3223">
        <v>1.111594</v>
      </c>
      <c r="L3223">
        <v>256.90589999999997</v>
      </c>
      <c r="M3223">
        <v>-0.24300949999999999</v>
      </c>
      <c r="N3223">
        <v>-1.358094E-2</v>
      </c>
      <c r="O3223">
        <v>-0.96992900000000004</v>
      </c>
      <c r="P3223">
        <v>-4.7830739999999997E-2</v>
      </c>
      <c r="Q3223">
        <v>-0.1231506</v>
      </c>
      <c r="R3223">
        <v>-0.99123479999999997</v>
      </c>
      <c r="S3223">
        <v>-0.8598633</v>
      </c>
      <c r="T3223">
        <v>5.1739809999999997E-2</v>
      </c>
      <c r="U3223">
        <v>-2.9903110000000002</v>
      </c>
      <c r="V3223">
        <v>-0.19399640000000001</v>
      </c>
      <c r="W3223">
        <v>-0.1108184</v>
      </c>
      <c r="X3223">
        <v>0.97472289999999995</v>
      </c>
      <c r="Y3223">
        <v>3.4377099999999897E-2</v>
      </c>
      <c r="Z3223">
        <v>-2.9311110000000001E-2</v>
      </c>
      <c r="AA3223">
        <v>0.99897899999999995</v>
      </c>
      <c r="AB3223">
        <v>19</v>
      </c>
      <c r="AC3223">
        <v>-21.3675</v>
      </c>
      <c r="AD3223">
        <v>1.287086</v>
      </c>
      <c r="AE3223">
        <v>-74.288099999999901</v>
      </c>
      <c r="AF3223">
        <v>2.6717491924982801</v>
      </c>
      <c r="AG3223">
        <v>1.287086</v>
      </c>
      <c r="AH3223">
        <v>77.232388352815903</v>
      </c>
      <c r="AI3223">
        <v>89.045818762734896</v>
      </c>
      <c r="AJ3223">
        <v>88.018720706152806</v>
      </c>
      <c r="AK3223">
        <v>77.289304853900603</v>
      </c>
      <c r="AL3223">
        <v>96.3624947122603</v>
      </c>
      <c r="AM3223">
        <v>101.256330591948</v>
      </c>
      <c r="AN3223">
        <v>1.00000002638796</v>
      </c>
    </row>
    <row r="3224" spans="1:40" x14ac:dyDescent="0.25">
      <c r="A3224" t="str">
        <f>"20190305134957551"</f>
        <v>20190305134957551</v>
      </c>
      <c r="B3224" t="str">
        <f>"1551764997543263"</f>
        <v>1551764997543263</v>
      </c>
      <c r="C3224" t="s">
        <v>40</v>
      </c>
      <c r="D3224">
        <v>4.4144110000000003</v>
      </c>
      <c r="E3224">
        <v>0.53106200000000003</v>
      </c>
      <c r="F3224" t="s">
        <v>62</v>
      </c>
      <c r="G3224">
        <v>-496.01310000000001</v>
      </c>
      <c r="H3224" s="1">
        <v>2.8581639999999999E-6</v>
      </c>
      <c r="I3224">
        <v>220.89879999999999</v>
      </c>
      <c r="J3224">
        <v>-490.36950000000002</v>
      </c>
      <c r="K3224">
        <v>1.111591</v>
      </c>
      <c r="L3224">
        <v>256.80790000000002</v>
      </c>
      <c r="M3224">
        <v>-0.2410948</v>
      </c>
      <c r="N3224">
        <v>-1.3578049999999999E-2</v>
      </c>
      <c r="O3224">
        <v>-0.97040660000000001</v>
      </c>
      <c r="P3224">
        <v>-4.5851950000000002E-2</v>
      </c>
      <c r="Q3224">
        <v>-0.1232364</v>
      </c>
      <c r="R3224">
        <v>-0.99131760000000002</v>
      </c>
      <c r="S3224">
        <v>-0.47085569999999999</v>
      </c>
      <c r="T3224">
        <v>-9.2377310000000004E-2</v>
      </c>
      <c r="U3224">
        <v>-2.9923250000000001</v>
      </c>
      <c r="V3224">
        <v>-0.19401450000000001</v>
      </c>
      <c r="W3224">
        <v>-0.110908199999999</v>
      </c>
      <c r="X3224">
        <v>0.97470909999999999</v>
      </c>
      <c r="Y3224">
        <v>-8.7324379999999993E-2</v>
      </c>
      <c r="Z3224">
        <v>1.5944050000000001E-2</v>
      </c>
      <c r="AA3224">
        <v>0.9960523</v>
      </c>
      <c r="AB3224">
        <v>19</v>
      </c>
      <c r="AC3224">
        <v>-5.6435999999999904</v>
      </c>
      <c r="AD3224">
        <v>-1.1115881418359901</v>
      </c>
      <c r="AE3224">
        <v>-35.909100000000002</v>
      </c>
      <c r="AF3224">
        <v>-3.1782316735891198</v>
      </c>
      <c r="AG3224">
        <v>-1.1115881418359901</v>
      </c>
      <c r="AH3224">
        <v>36.176577131972302</v>
      </c>
      <c r="AI3224">
        <v>91.753209992351003</v>
      </c>
      <c r="AJ3224">
        <v>95.020732758558495</v>
      </c>
      <c r="AK3224">
        <v>36.332926083012097</v>
      </c>
      <c r="AL3224">
        <v>96.367671684410098</v>
      </c>
      <c r="AM3224">
        <v>101.25750930840201</v>
      </c>
      <c r="AN3224">
        <v>1.0000000423301401</v>
      </c>
    </row>
    <row r="3225" spans="1:40" x14ac:dyDescent="0.25">
      <c r="A3225" t="str">
        <f>"20190305134957562"</f>
        <v>20190305134957562</v>
      </c>
      <c r="B3225" t="str">
        <f>"1551764997553999"</f>
        <v>1551764997553999</v>
      </c>
      <c r="C3225" t="s">
        <v>40</v>
      </c>
      <c r="D3225">
        <v>4.4044740000000004</v>
      </c>
      <c r="E3225">
        <v>0.52546329999999997</v>
      </c>
      <c r="F3225" t="s">
        <v>62</v>
      </c>
      <c r="G3225">
        <v>-494.06229999999999</v>
      </c>
      <c r="H3225" s="1">
        <v>5.0341130000000004E-6</v>
      </c>
      <c r="I3225">
        <v>227.39340000000001</v>
      </c>
      <c r="J3225">
        <v>-490.39049999999997</v>
      </c>
      <c r="K3225">
        <v>1.1115870000000001</v>
      </c>
      <c r="L3225">
        <v>256.71409999999997</v>
      </c>
      <c r="M3225">
        <v>-0.23925669999999999</v>
      </c>
      <c r="N3225">
        <v>-1.357537E-2</v>
      </c>
      <c r="O3225">
        <v>-0.97086139999999999</v>
      </c>
      <c r="P3225">
        <v>-4.3909049999999998E-2</v>
      </c>
      <c r="Q3225">
        <v>-0.12395249999999999</v>
      </c>
      <c r="R3225">
        <v>-0.99131639999999999</v>
      </c>
      <c r="S3225">
        <v>-0.37597659999999999</v>
      </c>
      <c r="T3225">
        <v>-0.11317489999999999</v>
      </c>
      <c r="U3225">
        <v>-2.994812</v>
      </c>
      <c r="V3225">
        <v>-0.19405449999999999</v>
      </c>
      <c r="W3225">
        <v>-0.11162850000000001</v>
      </c>
      <c r="X3225">
        <v>0.97461889999999995</v>
      </c>
      <c r="Y3225">
        <v>-0.11645990000000001</v>
      </c>
      <c r="Z3225">
        <v>2.249284E-2</v>
      </c>
      <c r="AA3225">
        <v>0.99294070000000001</v>
      </c>
      <c r="AB3225">
        <v>19</v>
      </c>
      <c r="AC3225">
        <v>-3.6718000000000099</v>
      </c>
      <c r="AD3225">
        <v>-1.1115819658869901</v>
      </c>
      <c r="AE3225">
        <v>-29.320699999999899</v>
      </c>
      <c r="AF3225">
        <v>-3.4458071155040102</v>
      </c>
      <c r="AG3225">
        <v>-1.1115819658869901</v>
      </c>
      <c r="AH3225">
        <v>29.3060741769442</v>
      </c>
      <c r="AI3225">
        <v>92.157345316117997</v>
      </c>
      <c r="AJ3225">
        <v>96.706044949085197</v>
      </c>
      <c r="AK3225">
        <v>29.528887293779</v>
      </c>
      <c r="AL3225">
        <v>96.409199749318603</v>
      </c>
      <c r="AM3225">
        <v>101.26078643252799</v>
      </c>
      <c r="AN3225">
        <v>1.00000003560985</v>
      </c>
    </row>
    <row r="3226" spans="1:40" x14ac:dyDescent="0.25">
      <c r="A3226" t="str">
        <f>"20190305134957580"</f>
        <v>20190305134957580</v>
      </c>
      <c r="B3226" t="str">
        <f>"1551764997573522"</f>
        <v>1551764997573522</v>
      </c>
      <c r="C3226" t="s">
        <v>40</v>
      </c>
      <c r="D3226">
        <v>4.364897</v>
      </c>
      <c r="E3226">
        <v>0.52225519999999903</v>
      </c>
      <c r="F3226" t="s">
        <v>62</v>
      </c>
      <c r="G3226">
        <v>-493.40629999999999</v>
      </c>
      <c r="H3226" s="1">
        <v>5.5653260000000002E-6</v>
      </c>
      <c r="I3226">
        <v>228.93799999999999</v>
      </c>
      <c r="J3226">
        <v>-490.42230000000001</v>
      </c>
      <c r="K3226">
        <v>1.111572</v>
      </c>
      <c r="L3226">
        <v>256.5711</v>
      </c>
      <c r="M3226">
        <v>-0.23645250000000001</v>
      </c>
      <c r="N3226">
        <v>-1.3571379999999999E-2</v>
      </c>
      <c r="O3226">
        <v>-0.97154819999999997</v>
      </c>
      <c r="P3226">
        <v>-4.0966019999999999E-2</v>
      </c>
      <c r="Q3226">
        <v>-0.126085</v>
      </c>
      <c r="R3226">
        <v>-0.99117299999999997</v>
      </c>
      <c r="S3226">
        <v>-0.32537840000000001</v>
      </c>
      <c r="T3226">
        <v>-0.119933</v>
      </c>
      <c r="U3226">
        <v>-2.9968720000000002</v>
      </c>
      <c r="V3226">
        <v>-0.1940605</v>
      </c>
      <c r="W3226">
        <v>-0.1137678</v>
      </c>
      <c r="X3226">
        <v>0.97437019999999996</v>
      </c>
      <c r="Y3226">
        <v>-0.13020100000000001</v>
      </c>
      <c r="Z3226">
        <v>2.462309E-2</v>
      </c>
      <c r="AA3226">
        <v>0.9911818</v>
      </c>
      <c r="AB3226">
        <v>19</v>
      </c>
      <c r="AC3226">
        <v>-2.98399999999998</v>
      </c>
      <c r="AD3226">
        <v>-1.111566434674</v>
      </c>
      <c r="AE3226">
        <v>-27.633099999999999</v>
      </c>
      <c r="AF3226">
        <v>-3.62934572607828</v>
      </c>
      <c r="AG3226">
        <v>-1.111566434674</v>
      </c>
      <c r="AH3226">
        <v>27.510999210140099</v>
      </c>
      <c r="AI3226">
        <v>92.293891585887806</v>
      </c>
      <c r="AJ3226">
        <v>97.515258988348506</v>
      </c>
      <c r="AK3226">
        <v>27.771618747894799</v>
      </c>
      <c r="AL3226">
        <v>96.532559154313304</v>
      </c>
      <c r="AM3226">
        <v>101.263926539602</v>
      </c>
      <c r="AN3226">
        <v>0.99999993831256295</v>
      </c>
    </row>
    <row r="3227" spans="1:40" x14ac:dyDescent="0.25">
      <c r="A3227" t="str">
        <f>"20190305134957592"</f>
        <v>20190305134957592</v>
      </c>
      <c r="B3227" t="str">
        <f>"1551764997583279"</f>
        <v>1551764997583279</v>
      </c>
      <c r="C3227" t="s">
        <v>40</v>
      </c>
      <c r="D3227">
        <v>4.3137949999999998</v>
      </c>
      <c r="E3227">
        <v>0.52180389999999999</v>
      </c>
      <c r="F3227" t="s">
        <v>42</v>
      </c>
      <c r="G3227">
        <v>-492.97570000000002</v>
      </c>
      <c r="H3227" s="1">
        <v>-1.085053E-6</v>
      </c>
      <c r="I3227">
        <v>230.27279999999999</v>
      </c>
      <c r="J3227">
        <v>-490.4427</v>
      </c>
      <c r="K3227">
        <v>1.111564</v>
      </c>
      <c r="L3227">
        <v>256.4785</v>
      </c>
      <c r="M3227">
        <v>-0.2346347</v>
      </c>
      <c r="N3227">
        <v>-1.356885E-2</v>
      </c>
      <c r="O3227">
        <v>-0.97198890000000004</v>
      </c>
      <c r="P3227">
        <v>-3.9047810000000002E-2</v>
      </c>
      <c r="Q3227">
        <v>-0.12744069999999999</v>
      </c>
      <c r="R3227">
        <v>-0.99107719999999999</v>
      </c>
      <c r="S3227">
        <v>-0.2911377</v>
      </c>
      <c r="T3227">
        <v>-0.12674299999999999</v>
      </c>
      <c r="U3227">
        <v>-2.9985659999999998</v>
      </c>
      <c r="V3227">
        <v>-0.1940769</v>
      </c>
      <c r="W3227">
        <v>-0.1151273</v>
      </c>
      <c r="X3227">
        <v>0.9742073</v>
      </c>
      <c r="Y3227">
        <v>-0.139599799999999</v>
      </c>
      <c r="Z3227">
        <v>2.6762560000000001E-2</v>
      </c>
      <c r="AA3227">
        <v>0.98984629999999996</v>
      </c>
      <c r="AB3227">
        <v>19</v>
      </c>
      <c r="AC3227">
        <v>-2.5330000000000101</v>
      </c>
      <c r="AD3227">
        <v>-1.1115650850529999</v>
      </c>
      <c r="AE3227">
        <v>-26.2057</v>
      </c>
      <c r="AF3227">
        <v>-3.6804975113121099</v>
      </c>
      <c r="AG3227">
        <v>-1.1115650850529999</v>
      </c>
      <c r="AH3227">
        <v>26.0219941090932</v>
      </c>
      <c r="AI3227">
        <v>92.421904981039702</v>
      </c>
      <c r="AJ3227">
        <v>98.050399104489202</v>
      </c>
      <c r="AK3227">
        <v>26.3044828172455</v>
      </c>
      <c r="AL3227">
        <v>96.610967563988197</v>
      </c>
      <c r="AM3227">
        <v>101.266689559787</v>
      </c>
      <c r="AN3227">
        <v>1.0000000008460901</v>
      </c>
    </row>
    <row r="3228" spans="1:40" x14ac:dyDescent="0.25">
      <c r="A3228" t="str">
        <f>"20190305134957601"</f>
        <v>20190305134957601</v>
      </c>
      <c r="B3228" t="str">
        <f>"1551764997594015"</f>
        <v>1551764997594015</v>
      </c>
      <c r="C3228" t="s">
        <v>40</v>
      </c>
      <c r="D3228">
        <v>4.3188420000000001</v>
      </c>
      <c r="E3228">
        <v>0.52045240000000004</v>
      </c>
      <c r="F3228" t="s">
        <v>42</v>
      </c>
      <c r="G3228">
        <v>-492.79969999999997</v>
      </c>
      <c r="H3228" s="1">
        <v>-1.5142240000000001E-6</v>
      </c>
      <c r="I3228">
        <v>231.38239999999999</v>
      </c>
      <c r="J3228">
        <v>-490.46199999999999</v>
      </c>
      <c r="K3228">
        <v>1.1115549999999901</v>
      </c>
      <c r="L3228">
        <v>256.38929999999999</v>
      </c>
      <c r="M3228">
        <v>-0.23288410000000001</v>
      </c>
      <c r="N3228">
        <v>-1.35665E-2</v>
      </c>
      <c r="O3228">
        <v>-0.97241</v>
      </c>
      <c r="P3228">
        <v>-3.7190180000000003E-2</v>
      </c>
      <c r="Q3228">
        <v>-0.12833599999999901</v>
      </c>
      <c r="R3228">
        <v>-0.99103330000000001</v>
      </c>
      <c r="S3228">
        <v>-0.28164670000000003</v>
      </c>
      <c r="T3228">
        <v>-0.13282539999999901</v>
      </c>
      <c r="U3228">
        <v>-2.99884</v>
      </c>
      <c r="V3228">
        <v>-0.19411819999999999</v>
      </c>
      <c r="W3228">
        <v>-0.11602510000000001</v>
      </c>
      <c r="X3228">
        <v>0.97409250000000003</v>
      </c>
      <c r="Y3228">
        <v>-0.14093240000000001</v>
      </c>
      <c r="Z3228">
        <v>2.870955E-2</v>
      </c>
      <c r="AA3228">
        <v>0.98960289999999995</v>
      </c>
      <c r="AB3228">
        <v>19</v>
      </c>
      <c r="AC3228">
        <v>-2.3376999999999799</v>
      </c>
      <c r="AD3228">
        <v>-1.11155651422399</v>
      </c>
      <c r="AE3228">
        <v>-25.006900000000002</v>
      </c>
      <c r="AF3228">
        <v>-3.5438914910816401</v>
      </c>
      <c r="AG3228">
        <v>-1.11155651422399</v>
      </c>
      <c r="AH3228">
        <v>24.815052841424698</v>
      </c>
      <c r="AI3228">
        <v>92.539044601953606</v>
      </c>
      <c r="AJ3228">
        <v>98.127576996561402</v>
      </c>
      <c r="AK3228">
        <v>25.0914641324011</v>
      </c>
      <c r="AL3228">
        <v>96.662755109624399</v>
      </c>
      <c r="AM3228">
        <v>101.27031988773</v>
      </c>
      <c r="AN3228">
        <v>0.999999948978748</v>
      </c>
    </row>
    <row r="3229" spans="1:40" x14ac:dyDescent="0.25">
      <c r="A3229" t="str">
        <f>"20190305134957613"</f>
        <v>20190305134957613</v>
      </c>
      <c r="B3229" t="str">
        <f>"1551764997603776"</f>
        <v>1551764997603776</v>
      </c>
      <c r="C3229" t="s">
        <v>40</v>
      </c>
      <c r="D3229">
        <v>4.3170469999999996</v>
      </c>
      <c r="E3229">
        <v>0.51952679999999996</v>
      </c>
      <c r="F3229" t="s">
        <v>42</v>
      </c>
      <c r="G3229">
        <v>-492.51639999999998</v>
      </c>
      <c r="H3229" s="1">
        <v>-2.217778E-6</v>
      </c>
      <c r="I3229">
        <v>233.19810000000001</v>
      </c>
      <c r="J3229">
        <v>-490.48050000000001</v>
      </c>
      <c r="K3229">
        <v>1.11155</v>
      </c>
      <c r="L3229">
        <v>256.30380000000002</v>
      </c>
      <c r="M3229">
        <v>-0.23120460000000001</v>
      </c>
      <c r="N3229">
        <v>-1.356429E-2</v>
      </c>
      <c r="O3229">
        <v>-0.97281070000000003</v>
      </c>
      <c r="P3229">
        <v>-3.5568389999999998E-2</v>
      </c>
      <c r="Q3229">
        <v>-0.12895309999999999</v>
      </c>
      <c r="R3229">
        <v>-0.99101280000000003</v>
      </c>
      <c r="S3229">
        <v>-0.265625</v>
      </c>
      <c r="T3229">
        <v>-0.14372270000000001</v>
      </c>
      <c r="U3229">
        <v>-2.998596</v>
      </c>
      <c r="V3229">
        <v>-0.1940103</v>
      </c>
      <c r="W3229">
        <v>-0.1166431</v>
      </c>
      <c r="X3229">
        <v>0.97404029999999997</v>
      </c>
      <c r="Y3229">
        <v>-0.14446249999999999</v>
      </c>
      <c r="Z3229">
        <v>3.2182870000000002E-2</v>
      </c>
      <c r="AA3229">
        <v>0.98898680000000005</v>
      </c>
      <c r="AB3229">
        <v>19</v>
      </c>
      <c r="AC3229">
        <v>-2.0358999999999599</v>
      </c>
      <c r="AD3229">
        <v>-1.111552217778</v>
      </c>
      <c r="AE3229">
        <v>-23.105699999999999</v>
      </c>
      <c r="AF3229">
        <v>-3.3542048880074198</v>
      </c>
      <c r="AG3229">
        <v>-1.111552217778</v>
      </c>
      <c r="AH3229">
        <v>22.8977064452124</v>
      </c>
      <c r="AI3229">
        <v>92.749897802958202</v>
      </c>
      <c r="AJ3229">
        <v>98.333785943140995</v>
      </c>
      <c r="AK3229">
        <v>23.1687548050106</v>
      </c>
      <c r="AL3229">
        <v>96.698405236933496</v>
      </c>
      <c r="AM3229">
        <v>101.264803761579</v>
      </c>
      <c r="AN3229">
        <v>1.0000000576538901</v>
      </c>
    </row>
    <row r="3230" spans="1:40" x14ac:dyDescent="0.25">
      <c r="A3230" t="str">
        <f>"20190305134957624"</f>
        <v>20190305134957624</v>
      </c>
      <c r="B3230" t="str">
        <f>"1551764997613535"</f>
        <v>1551764997613535</v>
      </c>
      <c r="C3230" t="s">
        <v>40</v>
      </c>
      <c r="D3230">
        <v>4.3162989999999999</v>
      </c>
      <c r="E3230">
        <v>0.51887669999999997</v>
      </c>
      <c r="F3230" t="s">
        <v>42</v>
      </c>
      <c r="G3230">
        <v>-492.3374</v>
      </c>
      <c r="H3230" s="1">
        <v>-2.694039E-6</v>
      </c>
      <c r="I3230">
        <v>234.41929999999999</v>
      </c>
      <c r="J3230">
        <v>-490.5</v>
      </c>
      <c r="K3230">
        <v>1.1115459999999999</v>
      </c>
      <c r="L3230">
        <v>256.21269999999998</v>
      </c>
      <c r="M3230">
        <v>-0.2294139</v>
      </c>
      <c r="N3230">
        <v>-1.3561999999999999E-2</v>
      </c>
      <c r="O3230">
        <v>-0.97323440000000006</v>
      </c>
      <c r="P3230">
        <v>-3.366458E-2</v>
      </c>
      <c r="Q3230">
        <v>-0.12908119999999901</v>
      </c>
      <c r="R3230">
        <v>-0.99106249999999996</v>
      </c>
      <c r="S3230">
        <v>-0.25439450000000002</v>
      </c>
      <c r="T3230">
        <v>-0.15228820000000001</v>
      </c>
      <c r="U3230">
        <v>-2.998291</v>
      </c>
      <c r="V3230">
        <v>-0.1940858</v>
      </c>
      <c r="W3230">
        <v>-0.116772</v>
      </c>
      <c r="X3230">
        <v>0.97400980000000004</v>
      </c>
      <c r="Y3230">
        <v>-0.14631329999999901</v>
      </c>
      <c r="Z3230">
        <v>3.4928149999999998E-2</v>
      </c>
      <c r="AA3230">
        <v>0.98862150000000004</v>
      </c>
      <c r="AB3230">
        <v>19</v>
      </c>
      <c r="AC3230">
        <v>-1.8373999999999999</v>
      </c>
      <c r="AD3230">
        <v>-1.111548694039</v>
      </c>
      <c r="AE3230">
        <v>-21.793399999999899</v>
      </c>
      <c r="AF3230">
        <v>-3.2035088172170401</v>
      </c>
      <c r="AG3230">
        <v>-1.111548694039</v>
      </c>
      <c r="AH3230">
        <v>21.577866299924398</v>
      </c>
      <c r="AI3230">
        <v>92.916976865256999</v>
      </c>
      <c r="AJ3230">
        <v>98.444605016885006</v>
      </c>
      <c r="AK3230">
        <v>21.842672073229</v>
      </c>
      <c r="AL3230">
        <v>96.705841570522594</v>
      </c>
      <c r="AM3230">
        <v>101.269419197579</v>
      </c>
      <c r="AN3230">
        <v>1.0000000441208301</v>
      </c>
    </row>
    <row r="3231" spans="1:40" x14ac:dyDescent="0.25">
      <c r="A3231" t="str">
        <f>"20190305134957637"</f>
        <v>20190305134957637</v>
      </c>
      <c r="B3231" t="str">
        <f>"1551764997634031"</f>
        <v>1551764997634031</v>
      </c>
      <c r="C3231" t="s">
        <v>40</v>
      </c>
      <c r="D3231">
        <v>4.2720120000000001</v>
      </c>
      <c r="E3231">
        <v>0.51834449999999999</v>
      </c>
      <c r="F3231" t="s">
        <v>42</v>
      </c>
      <c r="G3231">
        <v>-492.22519999999997</v>
      </c>
      <c r="H3231" s="1">
        <v>-2.8945890000000001E-6</v>
      </c>
      <c r="I3231">
        <v>234.9564</v>
      </c>
      <c r="J3231">
        <v>-490.52359999999999</v>
      </c>
      <c r="K3231">
        <v>1.111548</v>
      </c>
      <c r="L3231">
        <v>256.10149999999999</v>
      </c>
      <c r="M3231">
        <v>-0.22723019999999999</v>
      </c>
      <c r="N3231">
        <v>-1.355927E-2</v>
      </c>
      <c r="O3231">
        <v>-0.97374680000000002</v>
      </c>
      <c r="P3231">
        <v>-3.1518230000000001E-2</v>
      </c>
      <c r="Q3231">
        <v>-0.12875490000000001</v>
      </c>
      <c r="R3231">
        <v>-0.99117560000000005</v>
      </c>
      <c r="S3231">
        <v>-0.24334720000000001</v>
      </c>
      <c r="T3231">
        <v>-0.15679399999999999</v>
      </c>
      <c r="U3231">
        <v>-2.9983979999999999</v>
      </c>
      <c r="V3231">
        <v>-0.19402269999999999</v>
      </c>
      <c r="W3231">
        <v>-0.1164446</v>
      </c>
      <c r="X3231">
        <v>0.97406150000000002</v>
      </c>
      <c r="Y3231">
        <v>-0.1477166</v>
      </c>
      <c r="Z3231">
        <v>3.6391310000000003E-2</v>
      </c>
      <c r="AA3231">
        <v>0.98836000000000002</v>
      </c>
      <c r="AB3231">
        <v>19</v>
      </c>
      <c r="AC3231">
        <v>-1.70159999999998</v>
      </c>
      <c r="AD3231">
        <v>-1.111550894589</v>
      </c>
      <c r="AE3231">
        <v>-21.1450999999999</v>
      </c>
      <c r="AF3231">
        <v>-3.13954685897713</v>
      </c>
      <c r="AG3231">
        <v>-1.111550894589</v>
      </c>
      <c r="AH3231">
        <v>20.921113524074599</v>
      </c>
      <c r="AI3231">
        <v>93.0076836459247</v>
      </c>
      <c r="AJ3231">
        <v>98.534461304037194</v>
      </c>
      <c r="AK3231">
        <v>21.1845531215127</v>
      </c>
      <c r="AL3231">
        <v>96.686954517152898</v>
      </c>
      <c r="AM3231">
        <v>101.26526641103401</v>
      </c>
      <c r="AN3231">
        <v>0.99999997938334995</v>
      </c>
    </row>
    <row r="3232" spans="1:40" x14ac:dyDescent="0.25">
      <c r="A3232" t="str">
        <f>"20190305134957652"</f>
        <v>20190305134957652</v>
      </c>
      <c r="B3232" t="str">
        <f>"1551764997643792"</f>
        <v>1551764997643792</v>
      </c>
      <c r="C3232" t="s">
        <v>40</v>
      </c>
      <c r="D3232">
        <v>4.2971620000000001</v>
      </c>
      <c r="E3232">
        <v>0.51813370000000003</v>
      </c>
      <c r="F3232" t="s">
        <v>42</v>
      </c>
      <c r="G3232">
        <v>-492.14580000000001</v>
      </c>
      <c r="H3232" s="1">
        <v>-2.9882839999999998E-6</v>
      </c>
      <c r="I3232">
        <v>235.22399999999999</v>
      </c>
      <c r="J3232">
        <v>-490.54820000000001</v>
      </c>
      <c r="K3232">
        <v>1.111545</v>
      </c>
      <c r="L3232">
        <v>255.98400000000001</v>
      </c>
      <c r="M3232">
        <v>-0.2249254</v>
      </c>
      <c r="N3232">
        <v>-1.3556469999999999E-2</v>
      </c>
      <c r="O3232">
        <v>-0.97428179999999998</v>
      </c>
      <c r="P3232">
        <v>-2.9370719999999999E-2</v>
      </c>
      <c r="Q3232">
        <v>-0.1283918</v>
      </c>
      <c r="R3232">
        <v>-0.99128879999999997</v>
      </c>
      <c r="S3232">
        <v>-0.23300170000000001</v>
      </c>
      <c r="T3232">
        <v>-0.15964829999999999</v>
      </c>
      <c r="U3232">
        <v>-2.9985659999999998</v>
      </c>
      <c r="V3232">
        <v>-0.1938425</v>
      </c>
      <c r="W3232">
        <v>-0.1160793</v>
      </c>
      <c r="X3232">
        <v>0.97414100000000003</v>
      </c>
      <c r="Y3232">
        <v>-0.1487704</v>
      </c>
      <c r="Z3232">
        <v>3.7334390000000002E-2</v>
      </c>
      <c r="AA3232">
        <v>0.98816669999999995</v>
      </c>
      <c r="AB3232">
        <v>19</v>
      </c>
      <c r="AC3232">
        <v>-1.5975999999999999</v>
      </c>
      <c r="AD3232">
        <v>-1.111547988284</v>
      </c>
      <c r="AE3232">
        <v>-20.759999999999899</v>
      </c>
      <c r="AF3232">
        <v>-3.1043770901246002</v>
      </c>
      <c r="AG3232">
        <v>-1.111547988284</v>
      </c>
      <c r="AH3232">
        <v>20.528814248715801</v>
      </c>
      <c r="AI3232">
        <v>93.064522773436096</v>
      </c>
      <c r="AJ3232">
        <v>98.599142773804999</v>
      </c>
      <c r="AK3232">
        <v>20.791943403785599</v>
      </c>
      <c r="AL3232">
        <v>96.665881303159793</v>
      </c>
      <c r="AM3232">
        <v>101.254175832347</v>
      </c>
      <c r="AN3232">
        <v>1.00000000328787</v>
      </c>
    </row>
    <row r="3233" spans="1:40" x14ac:dyDescent="0.25">
      <c r="A3233" t="str">
        <f>"20190305134957669"</f>
        <v>20190305134957669</v>
      </c>
      <c r="B3233" t="str">
        <f>"1551764997663310"</f>
        <v>1551764997663310</v>
      </c>
      <c r="C3233" t="s">
        <v>40</v>
      </c>
      <c r="D3233">
        <v>4.3242949999999896</v>
      </c>
      <c r="E3233">
        <v>0.51828240000000003</v>
      </c>
      <c r="F3233" t="s">
        <v>42</v>
      </c>
      <c r="G3233">
        <v>-492.1046</v>
      </c>
      <c r="H3233" s="1">
        <v>-2.992949E-6</v>
      </c>
      <c r="I3233">
        <v>235.2604</v>
      </c>
      <c r="J3233">
        <v>-490.57679999999999</v>
      </c>
      <c r="K3233">
        <v>1.111534</v>
      </c>
      <c r="L3233">
        <v>255.846</v>
      </c>
      <c r="M3233">
        <v>-0.22221920000000001</v>
      </c>
      <c r="N3233">
        <v>-1.3553300000000001E-2</v>
      </c>
      <c r="O3233">
        <v>-0.97490259999999995</v>
      </c>
      <c r="P3233">
        <v>-2.748372E-2</v>
      </c>
      <c r="Q3233">
        <v>-0.12716859999999999</v>
      </c>
      <c r="R3233">
        <v>-0.99150039999999995</v>
      </c>
      <c r="S3233">
        <v>-0.22521969999999999</v>
      </c>
      <c r="T3233">
        <v>-0.16084899999999999</v>
      </c>
      <c r="U3233">
        <v>-2.998856</v>
      </c>
      <c r="V3233">
        <v>-0.19303600000000001</v>
      </c>
      <c r="W3233">
        <v>-0.1148478</v>
      </c>
      <c r="X3233">
        <v>0.97444710000000001</v>
      </c>
      <c r="Y3233">
        <v>-0.1485822</v>
      </c>
      <c r="Z3233">
        <v>3.7763320000000003E-2</v>
      </c>
      <c r="AA3233">
        <v>0.98817869999999997</v>
      </c>
      <c r="AB3233">
        <v>19</v>
      </c>
      <c r="AC3233">
        <v>-1.52780000000001</v>
      </c>
      <c r="AD3233">
        <v>-1.111536992949</v>
      </c>
      <c r="AE3233">
        <v>-20.5855999999999</v>
      </c>
      <c r="AF3233">
        <v>-3.0764222037823399</v>
      </c>
      <c r="AG3233">
        <v>-1.111536992949</v>
      </c>
      <c r="AH3233">
        <v>20.351324371440999</v>
      </c>
      <c r="AI3233">
        <v>93.091192228387996</v>
      </c>
      <c r="AJ3233">
        <v>98.596074429220593</v>
      </c>
      <c r="AK3233">
        <v>20.612527543565101</v>
      </c>
      <c r="AL3233">
        <v>96.5948462510095</v>
      </c>
      <c r="AM3233">
        <v>101.205107860786</v>
      </c>
      <c r="AN3233">
        <v>1.0000000325796199</v>
      </c>
    </row>
    <row r="3234" spans="1:40" x14ac:dyDescent="0.25">
      <c r="A3234" t="str">
        <f>"20190305134957680"</f>
        <v>20190305134957680</v>
      </c>
      <c r="B3234" t="str">
        <f>"1551764997673071"</f>
        <v>1551764997673071</v>
      </c>
      <c r="C3234" t="s">
        <v>40</v>
      </c>
      <c r="D3234">
        <v>4.3299289999999999</v>
      </c>
      <c r="E3234">
        <v>0.51845719999999995</v>
      </c>
      <c r="F3234" t="s">
        <v>42</v>
      </c>
      <c r="G3234">
        <v>-492.10599999999999</v>
      </c>
      <c r="H3234" s="1">
        <v>-2.9172779999999998E-6</v>
      </c>
      <c r="I3234">
        <v>235.0831</v>
      </c>
      <c r="J3234">
        <v>-490.59679999999997</v>
      </c>
      <c r="K3234">
        <v>1.1115280000000001</v>
      </c>
      <c r="L3234">
        <v>255.7474</v>
      </c>
      <c r="M3234">
        <v>-0.22029019999999999</v>
      </c>
      <c r="N3234">
        <v>-1.355106E-2</v>
      </c>
      <c r="O3234">
        <v>-0.97534030000000005</v>
      </c>
      <c r="P3234">
        <v>-2.5752319999999999E-2</v>
      </c>
      <c r="Q3234">
        <v>-0.12669659999999999</v>
      </c>
      <c r="R3234">
        <v>-0.99160740000000003</v>
      </c>
      <c r="S3234">
        <v>-0.2208862</v>
      </c>
      <c r="T3234">
        <v>-0.160551</v>
      </c>
      <c r="U3234">
        <v>-2.998993</v>
      </c>
      <c r="V3234">
        <v>-0.19282730000000001</v>
      </c>
      <c r="W3234">
        <v>-0.11437310000000001</v>
      </c>
      <c r="X3234">
        <v>0.97454419999999997</v>
      </c>
      <c r="Y3234">
        <v>-0.1480496</v>
      </c>
      <c r="Z3234">
        <v>3.7705049999999997E-2</v>
      </c>
      <c r="AA3234">
        <v>0.9882609</v>
      </c>
      <c r="AB3234">
        <v>19</v>
      </c>
      <c r="AC3234">
        <v>-1.5092000000000201</v>
      </c>
      <c r="AD3234">
        <v>-1.1115309172779999</v>
      </c>
      <c r="AE3234">
        <v>-20.664300000000001</v>
      </c>
      <c r="AF3234">
        <v>-3.0716018031450201</v>
      </c>
      <c r="AG3234">
        <v>-1.1115309172779999</v>
      </c>
      <c r="AH3234">
        <v>20.430268379886002</v>
      </c>
      <c r="AI3234">
        <v>93.079625404391905</v>
      </c>
      <c r="AJ3234">
        <v>98.550132639242307</v>
      </c>
      <c r="AK3234">
        <v>20.6897584493226</v>
      </c>
      <c r="AL3234">
        <v>96.567467842657294</v>
      </c>
      <c r="AM3234">
        <v>101.19221245438401</v>
      </c>
      <c r="AN3234">
        <v>0.99999998569126902</v>
      </c>
    </row>
    <row r="3235" spans="1:40" x14ac:dyDescent="0.25">
      <c r="A3235" t="str">
        <f>"20190305134957691"</f>
        <v>20190305134957691</v>
      </c>
      <c r="B3235" t="str">
        <f>"1551764997683808"</f>
        <v>1551764997683808</v>
      </c>
      <c r="C3235" t="s">
        <v>40</v>
      </c>
      <c r="D3235">
        <v>4.2879769999999997</v>
      </c>
      <c r="E3235">
        <v>0.51836000000000004</v>
      </c>
      <c r="F3235" t="s">
        <v>42</v>
      </c>
      <c r="G3235">
        <v>-492.10050000000001</v>
      </c>
      <c r="H3235" s="1">
        <v>-2.8690080000000002E-6</v>
      </c>
      <c r="I3235">
        <v>234.97399999999999</v>
      </c>
      <c r="J3235">
        <v>-490.6146</v>
      </c>
      <c r="K3235">
        <v>1.111521</v>
      </c>
      <c r="L3235">
        <v>255.65950000000001</v>
      </c>
      <c r="M3235">
        <v>-0.2185704</v>
      </c>
      <c r="N3235">
        <v>-1.35491E-2</v>
      </c>
      <c r="O3235">
        <v>-0.97572729999999996</v>
      </c>
      <c r="P3235">
        <v>-2.4287599999999999E-2</v>
      </c>
      <c r="Q3235">
        <v>-0.1267384</v>
      </c>
      <c r="R3235">
        <v>-0.9916391</v>
      </c>
      <c r="S3235">
        <v>-0.21710209999999999</v>
      </c>
      <c r="T3235">
        <v>-0.1604815</v>
      </c>
      <c r="U3235">
        <v>-2.9992369999999999</v>
      </c>
      <c r="V3235">
        <v>-0.192549</v>
      </c>
      <c r="W3235">
        <v>-0.1144126</v>
      </c>
      <c r="X3235">
        <v>0.97459459999999998</v>
      </c>
      <c r="Y3235">
        <v>-0.1475525</v>
      </c>
      <c r="Z3235">
        <v>3.771306E-2</v>
      </c>
      <c r="AA3235">
        <v>0.98833499999999996</v>
      </c>
      <c r="AB3235">
        <v>19</v>
      </c>
      <c r="AC3235">
        <v>-1.48590000000001</v>
      </c>
      <c r="AD3235">
        <v>-1.111523869008</v>
      </c>
      <c r="AE3235">
        <v>-20.685499999999902</v>
      </c>
      <c r="AF3235">
        <v>-3.0628878640425801</v>
      </c>
      <c r="AG3235">
        <v>-1.111523869008</v>
      </c>
      <c r="AH3235">
        <v>20.451312006420299</v>
      </c>
      <c r="AI3235">
        <v>93.076704919686406</v>
      </c>
      <c r="AJ3235">
        <v>98.517589045355194</v>
      </c>
      <c r="AK3235">
        <v>20.709247455256001</v>
      </c>
      <c r="AL3235">
        <v>96.569745903381801</v>
      </c>
      <c r="AM3235">
        <v>101.175902687847</v>
      </c>
      <c r="AN3235">
        <v>0.99999999739445999</v>
      </c>
    </row>
    <row r="3236" spans="1:40" x14ac:dyDescent="0.25">
      <c r="A3236" t="str">
        <f>"20190305134957703"</f>
        <v>20190305134957703</v>
      </c>
      <c r="B3236" t="str">
        <f>"1551764997693567"</f>
        <v>1551764997693567</v>
      </c>
      <c r="C3236" t="s">
        <v>40</v>
      </c>
      <c r="D3236">
        <v>4.3153110000000003</v>
      </c>
      <c r="E3236">
        <v>0.51838739999999905</v>
      </c>
      <c r="F3236" t="s">
        <v>42</v>
      </c>
      <c r="G3236">
        <v>-492.07310000000001</v>
      </c>
      <c r="H3236" s="1">
        <v>-2.8811529999999998E-6</v>
      </c>
      <c r="I3236">
        <v>235.01939999999999</v>
      </c>
      <c r="J3236">
        <v>-490.63319999999999</v>
      </c>
      <c r="K3236">
        <v>1.1115159999999999</v>
      </c>
      <c r="L3236">
        <v>255.56710000000001</v>
      </c>
      <c r="M3236">
        <v>-0.2167674</v>
      </c>
      <c r="N3236">
        <v>-1.3547099999999999E-2</v>
      </c>
      <c r="O3236">
        <v>-0.97612929999999998</v>
      </c>
      <c r="P3236">
        <v>-2.264534E-2</v>
      </c>
      <c r="Q3236">
        <v>-0.12700349999999999</v>
      </c>
      <c r="R3236">
        <v>-0.99164379999999996</v>
      </c>
      <c r="S3236">
        <v>-0.21194460000000001</v>
      </c>
      <c r="T3236">
        <v>-0.1615289</v>
      </c>
      <c r="U3236">
        <v>-2.999466</v>
      </c>
      <c r="V3236">
        <v>-0.19235579999999999</v>
      </c>
      <c r="W3236">
        <v>-0.114676</v>
      </c>
      <c r="X3236">
        <v>0.97460179999999996</v>
      </c>
      <c r="Y3236">
        <v>-0.1474222</v>
      </c>
      <c r="Z3236">
        <v>3.8076560000000002E-2</v>
      </c>
      <c r="AA3236">
        <v>0.98834040000000001</v>
      </c>
      <c r="AB3236">
        <v>19</v>
      </c>
      <c r="AC3236">
        <v>-1.4399000000000199</v>
      </c>
      <c r="AD3236">
        <v>-1.1115188811529999</v>
      </c>
      <c r="AE3236">
        <v>-20.547699999999999</v>
      </c>
      <c r="AF3236">
        <v>-3.0399704853666298</v>
      </c>
      <c r="AG3236">
        <v>-1.1115188811529999</v>
      </c>
      <c r="AH3236">
        <v>20.312057241094902</v>
      </c>
      <c r="AI3236">
        <v>93.097789238114302</v>
      </c>
      <c r="AJ3236">
        <v>98.511900369911402</v>
      </c>
      <c r="AK3236">
        <v>20.5683388765495</v>
      </c>
      <c r="AL3236">
        <v>96.5849375599187</v>
      </c>
      <c r="AM3236">
        <v>101.164890452137</v>
      </c>
      <c r="AN3236">
        <v>1.00000000366644</v>
      </c>
    </row>
    <row r="3237" spans="1:40" x14ac:dyDescent="0.25">
      <c r="A3237" t="str">
        <f>"20190305134957715"</f>
        <v>20190305134957715</v>
      </c>
      <c r="B3237" t="str">
        <f>"1551764997703327"</f>
        <v>1551764997703327</v>
      </c>
      <c r="C3237" t="s">
        <v>40</v>
      </c>
      <c r="D3237">
        <v>4.3252899999999999</v>
      </c>
      <c r="E3237">
        <v>0.51836419999999905</v>
      </c>
      <c r="F3237" t="s">
        <v>42</v>
      </c>
      <c r="G3237">
        <v>-492.0523</v>
      </c>
      <c r="H3237" s="1">
        <v>-2.8850910000000001E-6</v>
      </c>
      <c r="I3237">
        <v>235.04140000000001</v>
      </c>
      <c r="J3237">
        <v>-490.65140000000002</v>
      </c>
      <c r="K3237">
        <v>1.1115060000000001</v>
      </c>
      <c r="L3237">
        <v>255.4753</v>
      </c>
      <c r="M3237">
        <v>-0.21498030000000001</v>
      </c>
      <c r="N3237">
        <v>-1.3545089999999999E-2</v>
      </c>
      <c r="O3237">
        <v>-0.97652439999999996</v>
      </c>
      <c r="P3237">
        <v>-2.104371E-2</v>
      </c>
      <c r="Q3237">
        <v>-0.1274537</v>
      </c>
      <c r="R3237">
        <v>-0.99162159999999999</v>
      </c>
      <c r="S3237">
        <v>-0.20739750000000001</v>
      </c>
      <c r="T3237">
        <v>-0.16244320000000001</v>
      </c>
      <c r="U3237">
        <v>-2.9997250000000002</v>
      </c>
      <c r="V3237">
        <v>-0.1921339</v>
      </c>
      <c r="W3237">
        <v>-0.1151242</v>
      </c>
      <c r="X3237">
        <v>0.97459269999999998</v>
      </c>
      <c r="Y3237">
        <v>-0.1471093</v>
      </c>
      <c r="Z3237">
        <v>3.8397609999999999E-2</v>
      </c>
      <c r="AA3237">
        <v>0.98837470000000005</v>
      </c>
      <c r="AB3237">
        <v>19</v>
      </c>
      <c r="AC3237">
        <v>-1.4008999999999701</v>
      </c>
      <c r="AD3237">
        <v>-1.111508885091</v>
      </c>
      <c r="AE3237">
        <v>-20.433899999999898</v>
      </c>
      <c r="AF3237">
        <v>-3.01626765096188</v>
      </c>
      <c r="AG3237">
        <v>-1.111508885091</v>
      </c>
      <c r="AH3237">
        <v>20.197744627289801</v>
      </c>
      <c r="AI3237">
        <v>93.115407756113896</v>
      </c>
      <c r="AJ3237">
        <v>98.493602647834095</v>
      </c>
      <c r="AK3237">
        <v>20.451948820909099</v>
      </c>
      <c r="AL3237">
        <v>96.610788936948595</v>
      </c>
      <c r="AM3237">
        <v>101.15243528787801</v>
      </c>
      <c r="AN3237">
        <v>0.99999997392406903</v>
      </c>
    </row>
    <row r="3238" spans="1:40" x14ac:dyDescent="0.25">
      <c r="A3238" t="str">
        <f>"20190305134957726"</f>
        <v>20190305134957726</v>
      </c>
      <c r="B3238" t="str">
        <f>"1551764997723823"</f>
        <v>1551764997723823</v>
      </c>
      <c r="C3238" t="s">
        <v>40</v>
      </c>
      <c r="D3238">
        <v>4.5452440000000003</v>
      </c>
      <c r="E3238">
        <v>0.51837929999999999</v>
      </c>
      <c r="F3238" t="s">
        <v>42</v>
      </c>
      <c r="G3238">
        <v>-492.01600000000002</v>
      </c>
      <c r="H3238" s="1">
        <v>-2.959361E-6</v>
      </c>
      <c r="I3238">
        <v>235.2371</v>
      </c>
      <c r="J3238">
        <v>-490.67079999999999</v>
      </c>
      <c r="K3238">
        <v>1.1114980000000001</v>
      </c>
      <c r="L3238">
        <v>255.3767</v>
      </c>
      <c r="M3238">
        <v>-0.21306339999999999</v>
      </c>
      <c r="N3238">
        <v>-1.354289E-2</v>
      </c>
      <c r="O3238">
        <v>-0.97694440000000005</v>
      </c>
      <c r="P3238">
        <v>-1.908025E-2</v>
      </c>
      <c r="Q3238">
        <v>-0.12808419999999901</v>
      </c>
      <c r="R3238">
        <v>-0.99157980000000001</v>
      </c>
      <c r="S3238">
        <v>-0.20227049999999999</v>
      </c>
      <c r="T3238">
        <v>-0.16475799999999999</v>
      </c>
      <c r="U3238">
        <v>-2.9998930000000001</v>
      </c>
      <c r="V3238">
        <v>-0.19213269999999999</v>
      </c>
      <c r="W3238">
        <v>-0.1157541</v>
      </c>
      <c r="X3238">
        <v>0.97451840000000001</v>
      </c>
      <c r="Y3238">
        <v>-0.1468546</v>
      </c>
      <c r="Z3238">
        <v>3.9168670000000003E-2</v>
      </c>
      <c r="AA3238">
        <v>0.98838230000000005</v>
      </c>
      <c r="AB3238">
        <v>19</v>
      </c>
      <c r="AC3238">
        <v>-1.34519999999997</v>
      </c>
      <c r="AD3238">
        <v>-1.1115009593609999</v>
      </c>
      <c r="AE3238">
        <v>-20.139600000000002</v>
      </c>
      <c r="AF3238">
        <v>-2.9680989668418398</v>
      </c>
      <c r="AG3238">
        <v>-1.1115009593609999</v>
      </c>
      <c r="AH3238">
        <v>19.903360636756702</v>
      </c>
      <c r="AI3238">
        <v>93.161468766389007</v>
      </c>
      <c r="AJ3238">
        <v>98.4817577483186</v>
      </c>
      <c r="AK3238">
        <v>20.1541263888173</v>
      </c>
      <c r="AL3238">
        <v>96.647121954496498</v>
      </c>
      <c r="AM3238">
        <v>101.15319635064699</v>
      </c>
      <c r="AN3238">
        <v>1.00000004900732</v>
      </c>
    </row>
    <row r="3239" spans="1:40" x14ac:dyDescent="0.25">
      <c r="A3239" t="str">
        <f>"20190305134957751"</f>
        <v>20190305134957751</v>
      </c>
      <c r="B3239" t="str">
        <f>"1551764997743344"</f>
        <v>1551764997743344</v>
      </c>
      <c r="C3239" t="s">
        <v>40</v>
      </c>
      <c r="D3239">
        <v>4.4200419999999996</v>
      </c>
      <c r="E3239">
        <v>0.4742769</v>
      </c>
      <c r="F3239" t="s">
        <v>42</v>
      </c>
      <c r="G3239">
        <v>-491.9692</v>
      </c>
      <c r="H3239" s="1">
        <v>-3.0699180000000001E-6</v>
      </c>
      <c r="I3239">
        <v>235.52379999999999</v>
      </c>
      <c r="J3239">
        <v>-490.70859999999999</v>
      </c>
      <c r="K3239">
        <v>1.111472</v>
      </c>
      <c r="L3239">
        <v>255.1815</v>
      </c>
      <c r="M3239">
        <v>-0.20928769999999999</v>
      </c>
      <c r="N3239">
        <v>-1.3538420000000001E-2</v>
      </c>
      <c r="O3239">
        <v>-0.97776030000000003</v>
      </c>
      <c r="P3239">
        <v>-1.5236680000000001E-2</v>
      </c>
      <c r="Q3239">
        <v>-0.12922049999999999</v>
      </c>
      <c r="R3239">
        <v>-0.99149869999999996</v>
      </c>
      <c r="S3239">
        <v>-0.1961975</v>
      </c>
      <c r="T3239">
        <v>-0.16795979999999999</v>
      </c>
      <c r="U3239">
        <v>-2.9999850000000001</v>
      </c>
      <c r="V3239">
        <v>-0.19211539999999999</v>
      </c>
      <c r="W3239">
        <v>-0.1168873</v>
      </c>
      <c r="X3239">
        <v>0.97438650000000004</v>
      </c>
      <c r="Y3239">
        <v>-0.14502989999999999</v>
      </c>
      <c r="Z3239">
        <v>4.0265620000000002E-2</v>
      </c>
      <c r="AA3239">
        <v>0.98860760000000003</v>
      </c>
      <c r="AB3239">
        <v>19</v>
      </c>
      <c r="AC3239">
        <v>-1.2606000000000099</v>
      </c>
      <c r="AD3239">
        <v>-1.111475069918</v>
      </c>
      <c r="AE3239">
        <v>-19.657699999999998</v>
      </c>
      <c r="AF3239">
        <v>-2.8726684117126799</v>
      </c>
      <c r="AG3239">
        <v>-1.111475069918</v>
      </c>
      <c r="AH3239">
        <v>19.424290309603101</v>
      </c>
      <c r="AI3239">
        <v>93.239782287992597</v>
      </c>
      <c r="AJ3239">
        <v>98.412524541265697</v>
      </c>
      <c r="AK3239">
        <v>19.666994042467199</v>
      </c>
      <c r="AL3239">
        <v>96.7124935578166</v>
      </c>
      <c r="AM3239">
        <v>101.153689065281</v>
      </c>
      <c r="AN3239">
        <v>1.0000000096003401</v>
      </c>
    </row>
    <row r="3240" spans="1:40" x14ac:dyDescent="0.25">
      <c r="A3240" t="str">
        <f>"20190305134957761"</f>
        <v>20190305134957761</v>
      </c>
      <c r="B3240" t="str">
        <f>"1551764997753104"</f>
        <v>1551764997753104</v>
      </c>
      <c r="C3240" t="s">
        <v>40</v>
      </c>
      <c r="D3240">
        <v>4.4355859999999998</v>
      </c>
      <c r="E3240">
        <v>0.46735480000000001</v>
      </c>
      <c r="F3240" t="s">
        <v>62</v>
      </c>
      <c r="G3240">
        <v>-488.19959999999998</v>
      </c>
      <c r="H3240" s="1">
        <v>2.8399079999999999E-6</v>
      </c>
      <c r="I3240">
        <v>210.84979999999999</v>
      </c>
      <c r="J3240">
        <v>-490.7269</v>
      </c>
      <c r="K3240">
        <v>1.1114580000000001</v>
      </c>
      <c r="L3240">
        <v>255.08519999999999</v>
      </c>
      <c r="M3240">
        <v>-0.2074357</v>
      </c>
      <c r="N3240">
        <v>-1.353613E-2</v>
      </c>
      <c r="O3240">
        <v>-0.97815510000000006</v>
      </c>
      <c r="P3240">
        <v>-1.320845E-2</v>
      </c>
      <c r="Q3240">
        <v>-0.129408</v>
      </c>
      <c r="R3240">
        <v>-0.99150369999999999</v>
      </c>
      <c r="S3240">
        <v>0.1708374</v>
      </c>
      <c r="T3240">
        <v>-7.5678229999999999E-2</v>
      </c>
      <c r="U3240">
        <v>-3.018478</v>
      </c>
      <c r="V3240">
        <v>-0.1922603</v>
      </c>
      <c r="W3240">
        <v>-0.1170727</v>
      </c>
      <c r="X3240">
        <v>0.97433570000000003</v>
      </c>
      <c r="Y3240">
        <v>-0.2623277</v>
      </c>
      <c r="Z3240">
        <v>1.017184E-2</v>
      </c>
      <c r="AA3240">
        <v>0.96492520000000004</v>
      </c>
      <c r="AB3240">
        <v>19</v>
      </c>
      <c r="AC3240">
        <v>2.5273000000000199</v>
      </c>
      <c r="AD3240">
        <v>-1.111455160092</v>
      </c>
      <c r="AE3240">
        <v>-44.235399999999998</v>
      </c>
      <c r="AF3240">
        <v>-11.6418329584342</v>
      </c>
      <c r="AG3240">
        <v>-1.111455160092</v>
      </c>
      <c r="AH3240">
        <v>42.721859144299501</v>
      </c>
      <c r="AI3240">
        <v>91.437867874260505</v>
      </c>
      <c r="AJ3240">
        <v>105.24315547158901</v>
      </c>
      <c r="AK3240">
        <v>44.293620939705903</v>
      </c>
      <c r="AL3240">
        <v>96.723189371104496</v>
      </c>
      <c r="AM3240">
        <v>101.162457745431</v>
      </c>
      <c r="AN3240">
        <v>1.0000000481679301</v>
      </c>
    </row>
    <row r="3241" spans="1:40" x14ac:dyDescent="0.25">
      <c r="A3241" t="str">
        <f>"20190305134957774"</f>
        <v>20190305134957774</v>
      </c>
      <c r="B3241" t="str">
        <f>"1551764997763840"</f>
        <v>1551764997763840</v>
      </c>
      <c r="C3241" t="s">
        <v>40</v>
      </c>
      <c r="D3241">
        <v>4.152717</v>
      </c>
      <c r="E3241">
        <v>0.47663480000000003</v>
      </c>
      <c r="F3241" t="s">
        <v>62</v>
      </c>
      <c r="G3241">
        <v>-486.60829999999999</v>
      </c>
      <c r="H3241" s="1">
        <v>3.0663479999999998E-7</v>
      </c>
      <c r="I3241">
        <v>201.5651</v>
      </c>
      <c r="J3241">
        <v>-490.74509999999998</v>
      </c>
      <c r="K3241">
        <v>1.111443</v>
      </c>
      <c r="L3241">
        <v>254.98939999999999</v>
      </c>
      <c r="M3241">
        <v>-0.20559769999999999</v>
      </c>
      <c r="N3241">
        <v>-1.353245E-2</v>
      </c>
      <c r="O3241">
        <v>-0.97854319999999895</v>
      </c>
      <c r="P3241">
        <v>-1.135008E-2</v>
      </c>
      <c r="Q3241">
        <v>-0.1295357</v>
      </c>
      <c r="R3241">
        <v>-0.99150990000000006</v>
      </c>
      <c r="S3241">
        <v>0.2324524</v>
      </c>
      <c r="T3241">
        <v>-6.2729480000000004E-2</v>
      </c>
      <c r="U3241">
        <v>-3.0206149999999998</v>
      </c>
      <c r="V3241">
        <v>-0.1922556</v>
      </c>
      <c r="W3241">
        <v>-0.11719830000000001</v>
      </c>
      <c r="X3241">
        <v>0.97432149999999995</v>
      </c>
      <c r="Y3241">
        <v>-0.280032</v>
      </c>
      <c r="Z3241">
        <v>6.0112380000000003E-3</v>
      </c>
      <c r="AA3241">
        <v>0.95997180000000004</v>
      </c>
      <c r="AB3241">
        <v>19</v>
      </c>
      <c r="AC3241">
        <v>4.1367999999999903</v>
      </c>
      <c r="AD3241">
        <v>-1.1114426933652</v>
      </c>
      <c r="AE3241">
        <v>-53.424299999999903</v>
      </c>
      <c r="AF3241">
        <v>-15.026859758856601</v>
      </c>
      <c r="AG3241">
        <v>-1.1114426933652</v>
      </c>
      <c r="AH3241">
        <v>51.410051685214</v>
      </c>
      <c r="AI3241">
        <v>91.188768401820695</v>
      </c>
      <c r="AJ3241">
        <v>106.293335079735</v>
      </c>
      <c r="AK3241">
        <v>53.572709781654297</v>
      </c>
      <c r="AL3241">
        <v>96.730435785765494</v>
      </c>
      <c r="AM3241">
        <v>101.162350315393</v>
      </c>
      <c r="AN3241">
        <v>1.0000000213082401</v>
      </c>
    </row>
    <row r="3242" spans="1:40" x14ac:dyDescent="0.25">
      <c r="A3242" t="str">
        <f>"20190305134957785"</f>
        <v>20190305134957785</v>
      </c>
      <c r="B3242" t="str">
        <f>"1551764997773599"</f>
        <v>1551764997773599</v>
      </c>
      <c r="C3242" t="s">
        <v>40</v>
      </c>
      <c r="D3242">
        <v>4.0296500000000002</v>
      </c>
      <c r="E3242">
        <v>0.48507790000000001</v>
      </c>
      <c r="F3242" t="s">
        <v>82</v>
      </c>
      <c r="G3242">
        <v>-480.27179999999998</v>
      </c>
      <c r="H3242">
        <v>2.4305539999999999</v>
      </c>
      <c r="I3242">
        <v>64.450009999999907</v>
      </c>
      <c r="J3242">
        <v>-490.7627</v>
      </c>
      <c r="K3242">
        <v>1.1114280000000001</v>
      </c>
      <c r="L3242">
        <v>254.89519999999999</v>
      </c>
      <c r="M3242">
        <v>-0.2037968</v>
      </c>
      <c r="N3242">
        <v>-1.352652E-2</v>
      </c>
      <c r="O3242">
        <v>-0.97892000000000001</v>
      </c>
      <c r="P3242">
        <v>-9.3733619999999997E-3</v>
      </c>
      <c r="Q3242">
        <v>-0.12967590000000001</v>
      </c>
      <c r="R3242">
        <v>-0.99151250000000002</v>
      </c>
      <c r="S3242">
        <v>0.16656489999999999</v>
      </c>
      <c r="T3242">
        <v>2.0979399999999999E-2</v>
      </c>
      <c r="U3242">
        <v>-3.0303339999999999</v>
      </c>
      <c r="V3242">
        <v>-0.19240380000000001</v>
      </c>
      <c r="W3242">
        <v>-0.1173396</v>
      </c>
      <c r="X3242">
        <v>0.97427520000000001</v>
      </c>
      <c r="Y3242">
        <v>-0.25721640000000001</v>
      </c>
      <c r="Z3242">
        <v>-2.0185439999999999E-2</v>
      </c>
      <c r="AA3242">
        <v>0.96614299999999997</v>
      </c>
      <c r="AB3242">
        <v>19</v>
      </c>
      <c r="AC3242">
        <v>10.4909</v>
      </c>
      <c r="AD3242">
        <v>1.31912599999999</v>
      </c>
      <c r="AE3242">
        <v>-190.44519</v>
      </c>
      <c r="AF3242">
        <v>-49.084003632037401</v>
      </c>
      <c r="AG3242">
        <v>1.31912599999999</v>
      </c>
      <c r="AH3242">
        <v>184.300596925967</v>
      </c>
      <c r="AI3242">
        <v>89.6037266930757</v>
      </c>
      <c r="AJ3242">
        <v>104.91318193943199</v>
      </c>
      <c r="AK3242">
        <v>190.72936201125799</v>
      </c>
      <c r="AL3242">
        <v>96.738588175557496</v>
      </c>
      <c r="AM3242">
        <v>101.171255993337</v>
      </c>
      <c r="AN3242">
        <v>0.99999998465881901</v>
      </c>
    </row>
    <row r="3243" spans="1:40" x14ac:dyDescent="0.25">
      <c r="A3243" t="str">
        <f>"20190305134957797"</f>
        <v>20190305134957797</v>
      </c>
      <c r="B3243" t="str">
        <f>"1551764997793120"</f>
        <v>1551764997793120</v>
      </c>
      <c r="C3243" t="s">
        <v>40</v>
      </c>
      <c r="D3243">
        <v>4.041353</v>
      </c>
      <c r="E3243">
        <v>0.48780889999999999</v>
      </c>
      <c r="F3243" t="s">
        <v>82</v>
      </c>
      <c r="G3243">
        <v>-484.08969999999999</v>
      </c>
      <c r="H3243">
        <v>6.0679339999999904</v>
      </c>
      <c r="I3243">
        <v>66.713750000000005</v>
      </c>
      <c r="J3243">
        <v>-490.77980000000002</v>
      </c>
      <c r="K3243">
        <v>1.111415</v>
      </c>
      <c r="L3243">
        <v>254.80269999999999</v>
      </c>
      <c r="M3243">
        <v>-0.20203599999999999</v>
      </c>
      <c r="N3243">
        <v>-1.3518270000000001E-2</v>
      </c>
      <c r="O3243">
        <v>-0.97928510000000002</v>
      </c>
      <c r="P3243">
        <v>-7.2789700000000001E-3</v>
      </c>
      <c r="Q3243">
        <v>-0.12972229999999901</v>
      </c>
      <c r="R3243">
        <v>-0.99152390000000001</v>
      </c>
      <c r="S3243">
        <v>0.1076965</v>
      </c>
      <c r="T3243">
        <v>7.999539E-2</v>
      </c>
      <c r="U3243">
        <v>-3.03714</v>
      </c>
      <c r="V3243">
        <v>-0.19271160000000001</v>
      </c>
      <c r="W3243">
        <v>-0.11739040000000001</v>
      </c>
      <c r="X3243">
        <v>0.97420830000000003</v>
      </c>
      <c r="Y3243">
        <v>-0.236627</v>
      </c>
      <c r="Z3243">
        <v>-3.8692850000000001E-2</v>
      </c>
      <c r="AA3243">
        <v>0.97082979999999997</v>
      </c>
      <c r="AB3243">
        <v>19</v>
      </c>
      <c r="AC3243">
        <v>6.6901000000000197</v>
      </c>
      <c r="AD3243">
        <v>4.9565189999999903</v>
      </c>
      <c r="AE3243">
        <v>-188.08895000000001</v>
      </c>
      <c r="AF3243">
        <v>-44.525431826313799</v>
      </c>
      <c r="AG3243">
        <v>4.9565189999999903</v>
      </c>
      <c r="AH3243">
        <v>182.73098636487501</v>
      </c>
      <c r="AI3243">
        <v>88.490399025509305</v>
      </c>
      <c r="AJ3243">
        <v>103.694204563303</v>
      </c>
      <c r="AK3243">
        <v>188.14275042583299</v>
      </c>
      <c r="AL3243">
        <v>96.741518686982801</v>
      </c>
      <c r="AM3243">
        <v>101.18942574142299</v>
      </c>
      <c r="AN3243">
        <v>1.0000000392877999</v>
      </c>
    </row>
    <row r="3244" spans="1:40" x14ac:dyDescent="0.25">
      <c r="A3244" t="str">
        <f>"20190305134957813"</f>
        <v>20190305134957813</v>
      </c>
      <c r="B3244" t="str">
        <f>"1551764997803855"</f>
        <v>1551764997803855</v>
      </c>
      <c r="C3244" t="s">
        <v>40</v>
      </c>
      <c r="D3244">
        <v>4.3762210000000001</v>
      </c>
      <c r="E3244">
        <v>0.48494340000000002</v>
      </c>
      <c r="F3244" t="s">
        <v>82</v>
      </c>
      <c r="G3244">
        <v>-485.03440000000001</v>
      </c>
      <c r="H3244">
        <v>7.2083750000000002</v>
      </c>
      <c r="I3244">
        <v>66.713750000000005</v>
      </c>
      <c r="J3244">
        <v>-490.80410000000001</v>
      </c>
      <c r="K3244">
        <v>1.1113869999999999</v>
      </c>
      <c r="L3244">
        <v>254.6704</v>
      </c>
      <c r="M3244">
        <v>-0.1995304</v>
      </c>
      <c r="N3244">
        <v>-1.3503599999999999E-2</v>
      </c>
      <c r="O3244">
        <v>-0.97979870000000002</v>
      </c>
      <c r="P3244">
        <v>-4.0872110000000003E-3</v>
      </c>
      <c r="Q3244">
        <v>-0.1298272</v>
      </c>
      <c r="R3244">
        <v>-0.99152839999999998</v>
      </c>
      <c r="S3244">
        <v>9.2834470000000002E-2</v>
      </c>
      <c r="T3244">
        <v>9.8516350000000003E-2</v>
      </c>
      <c r="U3244">
        <v>-3.0391849999999998</v>
      </c>
      <c r="V3244">
        <v>-0.19335649999999999</v>
      </c>
      <c r="W3244">
        <v>-0.1175055</v>
      </c>
      <c r="X3244">
        <v>0.9740666</v>
      </c>
      <c r="Y3244">
        <v>-0.22937060000000001</v>
      </c>
      <c r="Z3244">
        <v>-4.4516229999999997E-2</v>
      </c>
      <c r="AA3244">
        <v>0.97232070000000004</v>
      </c>
      <c r="AB3244">
        <v>19</v>
      </c>
      <c r="AC3244">
        <v>5.7697000000000003</v>
      </c>
      <c r="AD3244">
        <v>6.0969879999999996</v>
      </c>
      <c r="AE3244">
        <v>-187.95665</v>
      </c>
      <c r="AF3244">
        <v>-43.114816132991997</v>
      </c>
      <c r="AG3244">
        <v>6.0969879999999996</v>
      </c>
      <c r="AH3244">
        <v>182.83291523387601</v>
      </c>
      <c r="AI3244">
        <v>88.140998962104703</v>
      </c>
      <c r="AJ3244">
        <v>103.268816825892</v>
      </c>
      <c r="AK3244">
        <v>187.94662946105601</v>
      </c>
      <c r="AL3244">
        <v>96.748159590033794</v>
      </c>
      <c r="AM3244">
        <v>101.22751274830701</v>
      </c>
      <c r="AN3244">
        <v>1.00000000992903</v>
      </c>
    </row>
    <row r="3245" spans="1:40" x14ac:dyDescent="0.25">
      <c r="A3245" t="str">
        <f>"20190305134957824"</f>
        <v>20190305134957824</v>
      </c>
      <c r="B3245" t="str">
        <f>"1551764997813616"</f>
        <v>1551764997813616</v>
      </c>
      <c r="C3245" t="s">
        <v>40</v>
      </c>
      <c r="D3245">
        <v>4.3870019999999998</v>
      </c>
      <c r="E3245">
        <v>0.4827728</v>
      </c>
      <c r="F3245" t="s">
        <v>82</v>
      </c>
      <c r="G3245">
        <v>-483.11250000000001</v>
      </c>
      <c r="H3245">
        <v>6.0953549999999996</v>
      </c>
      <c r="I3245">
        <v>66.713750000000005</v>
      </c>
      <c r="J3245">
        <v>-490.82029999999997</v>
      </c>
      <c r="K3245">
        <v>1.1113729999999999</v>
      </c>
      <c r="L3245">
        <v>254.58080000000001</v>
      </c>
      <c r="M3245">
        <v>-0.1978481</v>
      </c>
      <c r="N3245">
        <v>-1.349121E-2</v>
      </c>
      <c r="O3245">
        <v>-0.98013969999999995</v>
      </c>
      <c r="P3245">
        <v>-1.8660770000000001E-3</v>
      </c>
      <c r="Q3245">
        <v>-0.1300655</v>
      </c>
      <c r="R3245">
        <v>-0.99150369999999999</v>
      </c>
      <c r="S3245">
        <v>0.12426760000000001</v>
      </c>
      <c r="T3245">
        <v>8.0523129999999998E-2</v>
      </c>
      <c r="U3245">
        <v>-3.0366970000000002</v>
      </c>
      <c r="V3245">
        <v>-0.1938616</v>
      </c>
      <c r="W3245">
        <v>-0.1177535</v>
      </c>
      <c r="X3245">
        <v>0.97393629999999998</v>
      </c>
      <c r="Y3245">
        <v>-0.2377688</v>
      </c>
      <c r="Z3245">
        <v>-3.8868899999999998E-2</v>
      </c>
      <c r="AA3245">
        <v>0.97054370000000001</v>
      </c>
      <c r="AB3245">
        <v>19</v>
      </c>
      <c r="AC3245">
        <v>7.7077999999999598</v>
      </c>
      <c r="AD3245">
        <v>4.9839820000000001</v>
      </c>
      <c r="AE3245">
        <v>-187.86705000000001</v>
      </c>
      <c r="AF3245">
        <v>-44.696532030709101</v>
      </c>
      <c r="AG3245">
        <v>4.9839820000000001</v>
      </c>
      <c r="AH3245">
        <v>182.49939955600999</v>
      </c>
      <c r="AI3245">
        <v>88.480549776978705</v>
      </c>
      <c r="AJ3245">
        <v>103.76161488396799</v>
      </c>
      <c r="AK3245">
        <v>187.959173467146</v>
      </c>
      <c r="AL3245">
        <v>96.762467929626496</v>
      </c>
      <c r="AM3245">
        <v>101.25756163857299</v>
      </c>
      <c r="AN3245">
        <v>1.00000006158724</v>
      </c>
    </row>
    <row r="3246" spans="1:40" x14ac:dyDescent="0.25">
      <c r="A3246" t="str">
        <f>"20190305134957837"</f>
        <v>20190305134957837</v>
      </c>
      <c r="B3246" t="str">
        <f>"1551764997833135"</f>
        <v>1551764997833135</v>
      </c>
      <c r="C3246" t="s">
        <v>40</v>
      </c>
      <c r="D3246">
        <v>4.3448830000000003</v>
      </c>
      <c r="E3246">
        <v>0.47940460000000001</v>
      </c>
      <c r="F3246" t="s">
        <v>82</v>
      </c>
      <c r="G3246">
        <v>-481.56299999999999</v>
      </c>
      <c r="H3246">
        <v>5.2131160000000003</v>
      </c>
      <c r="I3246">
        <v>65.675449999999998</v>
      </c>
      <c r="J3246">
        <v>-490.83800000000002</v>
      </c>
      <c r="K3246">
        <v>1.1113500000000001</v>
      </c>
      <c r="L3246">
        <v>254.4821</v>
      </c>
      <c r="M3246">
        <v>-0.1960035</v>
      </c>
      <c r="N3246">
        <v>-1.3476800000000001E-2</v>
      </c>
      <c r="O3246">
        <v>-0.98051060000000001</v>
      </c>
      <c r="P3246">
        <v>2.8081010000000002E-4</v>
      </c>
      <c r="Q3246">
        <v>-0.1305</v>
      </c>
      <c r="R3246">
        <v>-0.99144829999999995</v>
      </c>
      <c r="S3246">
        <v>0.14871219999999999</v>
      </c>
      <c r="T3246">
        <v>6.5892339999999994E-2</v>
      </c>
      <c r="U3246">
        <v>-3.034653</v>
      </c>
      <c r="V3246">
        <v>-0.194129</v>
      </c>
      <c r="W3246">
        <v>-0.1181975</v>
      </c>
      <c r="X3246">
        <v>0.97382919999999995</v>
      </c>
      <c r="Y3246">
        <v>-0.2437665</v>
      </c>
      <c r="Z3246">
        <v>-3.4272780000000003E-2</v>
      </c>
      <c r="AA3246">
        <v>0.96922810000000004</v>
      </c>
      <c r="AB3246">
        <v>19</v>
      </c>
      <c r="AC3246">
        <v>9.2749999999999702</v>
      </c>
      <c r="AD3246">
        <v>4.1017659999999996</v>
      </c>
      <c r="AE3246">
        <v>-188.80664999999999</v>
      </c>
      <c r="AF3246">
        <v>-46.083489074594198</v>
      </c>
      <c r="AG3246">
        <v>4.1017659999999996</v>
      </c>
      <c r="AH3246">
        <v>183.23936128626801</v>
      </c>
      <c r="AI3246">
        <v>88.756376105126407</v>
      </c>
      <c r="AJ3246">
        <v>104.11674711086</v>
      </c>
      <c r="AK3246">
        <v>188.98988325888399</v>
      </c>
      <c r="AL3246">
        <v>96.788086482225907</v>
      </c>
      <c r="AM3246">
        <v>101.273900222745</v>
      </c>
      <c r="AN3246">
        <v>1.0000000142099399</v>
      </c>
    </row>
    <row r="3247" spans="1:40" x14ac:dyDescent="0.25">
      <c r="A3247" t="str">
        <f>"20190305134957850"</f>
        <v>20190305134957850</v>
      </c>
      <c r="B3247" t="str">
        <f>"1551764997843871"</f>
        <v>1551764997843871</v>
      </c>
      <c r="C3247" t="s">
        <v>40</v>
      </c>
      <c r="D3247">
        <v>4.3472419999999996</v>
      </c>
      <c r="E3247">
        <v>0.47810399999999997</v>
      </c>
      <c r="F3247" t="s">
        <v>82</v>
      </c>
      <c r="G3247">
        <v>-479.52460000000002</v>
      </c>
      <c r="H3247">
        <v>3.3767450000000001</v>
      </c>
      <c r="I3247">
        <v>64.450009999999907</v>
      </c>
      <c r="J3247">
        <v>-490.85739999999998</v>
      </c>
      <c r="K3247">
        <v>1.111329</v>
      </c>
      <c r="L3247">
        <v>254.37289999999999</v>
      </c>
      <c r="M3247">
        <v>-0.1939736</v>
      </c>
      <c r="N3247">
        <v>-1.3460299999999901E-2</v>
      </c>
      <c r="O3247">
        <v>-0.98091450000000002</v>
      </c>
      <c r="P3247">
        <v>2.9594249999999999E-3</v>
      </c>
      <c r="Q3247">
        <v>-0.13087750000000001</v>
      </c>
      <c r="R3247">
        <v>-0.99139429999999995</v>
      </c>
      <c r="S3247">
        <v>0.18041989999999999</v>
      </c>
      <c r="T3247">
        <v>3.6127810000000003E-2</v>
      </c>
      <c r="U3247">
        <v>-3.030548</v>
      </c>
      <c r="V3247">
        <v>-0.19473699999999999</v>
      </c>
      <c r="W3247">
        <v>-0.1185877</v>
      </c>
      <c r="X3247">
        <v>0.97366030000000003</v>
      </c>
      <c r="Y3247">
        <v>-0.2519265</v>
      </c>
      <c r="Z3247">
        <v>-2.4914639999999998E-2</v>
      </c>
      <c r="AA3247">
        <v>0.9674256</v>
      </c>
      <c r="AB3247">
        <v>19</v>
      </c>
      <c r="AC3247">
        <v>11.332799999999899</v>
      </c>
      <c r="AD3247">
        <v>2.2654160000000001</v>
      </c>
      <c r="AE3247">
        <v>-189.92289</v>
      </c>
      <c r="AF3247">
        <v>-47.954076206984404</v>
      </c>
      <c r="AG3247">
        <v>2.2654160000000001</v>
      </c>
      <c r="AH3247">
        <v>184.09041539421</v>
      </c>
      <c r="AI3247">
        <v>89.3177201750146</v>
      </c>
      <c r="AJ3247">
        <v>104.600616359632</v>
      </c>
      <c r="AK3247">
        <v>190.247224879973</v>
      </c>
      <c r="AL3247">
        <v>96.810602013073094</v>
      </c>
      <c r="AM3247">
        <v>101.310211991103</v>
      </c>
      <c r="AN3247">
        <v>0.99999996077818898</v>
      </c>
    </row>
    <row r="3248" spans="1:40" x14ac:dyDescent="0.25">
      <c r="A3248" t="str">
        <f>"20190305134957863"</f>
        <v>20190305134957863</v>
      </c>
      <c r="B3248" t="str">
        <f>"1551764997853632"</f>
        <v>1551764997853632</v>
      </c>
      <c r="C3248" t="s">
        <v>40</v>
      </c>
      <c r="D3248">
        <v>4.3932630000000001</v>
      </c>
      <c r="E3248">
        <v>0.4769969</v>
      </c>
      <c r="F3248" t="s">
        <v>82</v>
      </c>
      <c r="G3248">
        <v>-478.40469999999999</v>
      </c>
      <c r="H3248">
        <v>2.6119629999999998</v>
      </c>
      <c r="I3248">
        <v>64.450009999999907</v>
      </c>
      <c r="J3248">
        <v>-490.87639999999999</v>
      </c>
      <c r="K3248">
        <v>1.111308</v>
      </c>
      <c r="L3248">
        <v>254.26410000000001</v>
      </c>
      <c r="M3248">
        <v>-0.19197400000000001</v>
      </c>
      <c r="N3248">
        <v>-1.3444630000000001E-2</v>
      </c>
      <c r="O3248">
        <v>-0.98130790000000001</v>
      </c>
      <c r="P3248">
        <v>5.125307E-3</v>
      </c>
      <c r="Q3248">
        <v>-0.13122690000000001</v>
      </c>
      <c r="R3248">
        <v>-0.99133919999999998</v>
      </c>
      <c r="S3248">
        <v>0.1985779</v>
      </c>
      <c r="T3248">
        <v>2.393031E-2</v>
      </c>
      <c r="U3248">
        <v>-3.0286249999999999</v>
      </c>
      <c r="V3248">
        <v>-0.1948744</v>
      </c>
      <c r="W3248">
        <v>-0.1189451</v>
      </c>
      <c r="X3248">
        <v>0.97358920000000004</v>
      </c>
      <c r="Y3248">
        <v>-0.25576510000000002</v>
      </c>
      <c r="Z3248">
        <v>-2.1069790000000001E-2</v>
      </c>
      <c r="AA3248">
        <v>0.96650930000000002</v>
      </c>
      <c r="AB3248">
        <v>19</v>
      </c>
      <c r="AC3248">
        <v>12.471699999999901</v>
      </c>
      <c r="AD3248">
        <v>1.5006550000000001</v>
      </c>
      <c r="AE3248">
        <v>-189.81408999999999</v>
      </c>
      <c r="AF3248">
        <v>-48.679319106503698</v>
      </c>
      <c r="AG3248">
        <v>1.5006550000000001</v>
      </c>
      <c r="AH3248">
        <v>183.87700357658801</v>
      </c>
      <c r="AI3248">
        <v>89.547980023547197</v>
      </c>
      <c r="AJ3248">
        <v>104.828225560391</v>
      </c>
      <c r="AK3248">
        <v>190.21745587197401</v>
      </c>
      <c r="AL3248">
        <v>96.831225571582706</v>
      </c>
      <c r="AM3248">
        <v>101.318791396972</v>
      </c>
      <c r="AN3248">
        <v>0.99999994947300297</v>
      </c>
    </row>
    <row r="3249" spans="1:40" x14ac:dyDescent="0.25">
      <c r="A3249" t="str">
        <f>"20190305134957877"</f>
        <v>20190305134957877</v>
      </c>
      <c r="B3249" t="str">
        <f>"1551764997873151"</f>
        <v>1551764997873151</v>
      </c>
      <c r="C3249" t="s">
        <v>40</v>
      </c>
      <c r="D3249">
        <v>4.3067010000000003</v>
      </c>
      <c r="E3249">
        <v>0.47602729999999999</v>
      </c>
      <c r="F3249" t="s">
        <v>82</v>
      </c>
      <c r="G3249">
        <v>-477.46679999999998</v>
      </c>
      <c r="H3249">
        <v>1.9630780000000001</v>
      </c>
      <c r="I3249">
        <v>64.450009999999907</v>
      </c>
      <c r="J3249">
        <v>-490.89449999999999</v>
      </c>
      <c r="K3249">
        <v>1.1112850000000001</v>
      </c>
      <c r="L3249">
        <v>254.15989999999999</v>
      </c>
      <c r="M3249">
        <v>-0.19007160000000001</v>
      </c>
      <c r="N3249">
        <v>-1.3430320000000001E-2</v>
      </c>
      <c r="O3249">
        <v>-0.98167850000000001</v>
      </c>
      <c r="P3249">
        <v>7.2367280000000004E-3</v>
      </c>
      <c r="Q3249">
        <v>-0.1315742</v>
      </c>
      <c r="R3249">
        <v>-0.9912801</v>
      </c>
      <c r="S3249">
        <v>0.21383669999999999</v>
      </c>
      <c r="T3249">
        <v>1.358318E-2</v>
      </c>
      <c r="U3249">
        <v>-3.0269010000000001</v>
      </c>
      <c r="V3249">
        <v>-0.19505539999999999</v>
      </c>
      <c r="W3249">
        <v>-0.11929960000000001</v>
      </c>
      <c r="X3249">
        <v>0.97350959999999997</v>
      </c>
      <c r="Y3249">
        <v>-0.25877420000000001</v>
      </c>
      <c r="Z3249">
        <v>-1.7803659999999999E-2</v>
      </c>
      <c r="AA3249">
        <v>0.96577380000000002</v>
      </c>
      <c r="AB3249">
        <v>19</v>
      </c>
      <c r="AC3249">
        <v>13.4277</v>
      </c>
      <c r="AD3249">
        <v>0.85179299999999902</v>
      </c>
      <c r="AE3249">
        <v>-189.70989</v>
      </c>
      <c r="AF3249">
        <v>-49.243593834230602</v>
      </c>
      <c r="AG3249">
        <v>0.85179299999999902</v>
      </c>
      <c r="AH3249">
        <v>183.69475468402101</v>
      </c>
      <c r="AI3249">
        <v>89.743381844583894</v>
      </c>
      <c r="AJ3249">
        <v>105.00661531159901</v>
      </c>
      <c r="AK3249">
        <v>190.18259642629801</v>
      </c>
      <c r="AL3249">
        <v>96.851682430815302</v>
      </c>
      <c r="AM3249">
        <v>101.32993494085299</v>
      </c>
      <c r="AN3249">
        <v>0.99999997246073902</v>
      </c>
    </row>
    <row r="3250" spans="1:40" x14ac:dyDescent="0.25">
      <c r="A3250" t="str">
        <f>"20190305134957892"</f>
        <v>20190305134957892</v>
      </c>
      <c r="B3250" t="str">
        <f>"1551764997883887"</f>
        <v>1551764997883887</v>
      </c>
      <c r="C3250" t="s">
        <v>40</v>
      </c>
      <c r="D3250">
        <v>4.452483</v>
      </c>
      <c r="E3250">
        <v>0.47640310000000002</v>
      </c>
      <c r="F3250" t="s">
        <v>82</v>
      </c>
      <c r="G3250">
        <v>-476.64729999999997</v>
      </c>
      <c r="H3250">
        <v>1.0337879999999999</v>
      </c>
      <c r="I3250">
        <v>64.450009999999907</v>
      </c>
      <c r="J3250">
        <v>-490.91739999999999</v>
      </c>
      <c r="K3250">
        <v>1.1112629999999999</v>
      </c>
      <c r="L3250">
        <v>254.0264</v>
      </c>
      <c r="M3250">
        <v>-0.18765090000000001</v>
      </c>
      <c r="N3250">
        <v>-1.341293E-2</v>
      </c>
      <c r="O3250">
        <v>-0.98214449999999998</v>
      </c>
      <c r="P3250">
        <v>1.0839440000000001E-2</v>
      </c>
      <c r="Q3250">
        <v>-0.13127649999999999</v>
      </c>
      <c r="R3250">
        <v>-0.99128689999999997</v>
      </c>
      <c r="S3250">
        <v>0.22714229999999999</v>
      </c>
      <c r="T3250">
        <v>-1.2352470000000001E-3</v>
      </c>
      <c r="U3250">
        <v>-3.0245510000000002</v>
      </c>
      <c r="V3250">
        <v>-0.19620679999999999</v>
      </c>
      <c r="W3250">
        <v>-0.1190148</v>
      </c>
      <c r="X3250">
        <v>0.97331310000000004</v>
      </c>
      <c r="Y3250">
        <v>-0.26066820000000002</v>
      </c>
      <c r="Z3250">
        <v>-1.3118640000000001E-2</v>
      </c>
      <c r="AA3250">
        <v>0.96533930000000001</v>
      </c>
      <c r="AB3250">
        <v>19</v>
      </c>
      <c r="AC3250">
        <v>14.270099999999999</v>
      </c>
      <c r="AD3250">
        <v>-7.7474999999999905E-2</v>
      </c>
      <c r="AE3250">
        <v>-189.57639</v>
      </c>
      <c r="AF3250">
        <v>-49.593919007383697</v>
      </c>
      <c r="AG3250">
        <v>-7.7474999999999905E-2</v>
      </c>
      <c r="AH3250">
        <v>183.53003730229801</v>
      </c>
      <c r="AI3250">
        <v>90.023349259259007</v>
      </c>
      <c r="AJ3250">
        <v>105.12144885307799</v>
      </c>
      <c r="AK3250">
        <v>190.112696569875</v>
      </c>
      <c r="AL3250">
        <v>96.835247236635595</v>
      </c>
      <c r="AM3250">
        <v>101.39731041931999</v>
      </c>
      <c r="AN3250">
        <v>1.0000000108084399</v>
      </c>
    </row>
    <row r="3251" spans="1:40" x14ac:dyDescent="0.25">
      <c r="A3251" t="str">
        <f>"20190305134957904"</f>
        <v>20190305134957904</v>
      </c>
      <c r="B3251" t="str">
        <f>"1551764997893648"</f>
        <v>1551764997893648</v>
      </c>
      <c r="C3251" t="s">
        <v>40</v>
      </c>
      <c r="D3251">
        <v>4.3382259999999997</v>
      </c>
      <c r="E3251">
        <v>0.47620000000000001</v>
      </c>
      <c r="F3251" t="s">
        <v>82</v>
      </c>
      <c r="G3251">
        <v>-476.19209999999998</v>
      </c>
      <c r="H3251">
        <v>0.13549919999999999</v>
      </c>
      <c r="I3251">
        <v>64.450009999999907</v>
      </c>
      <c r="J3251">
        <v>-490.93369999999999</v>
      </c>
      <c r="K3251">
        <v>1.1112489999999999</v>
      </c>
      <c r="L3251">
        <v>253.92959999999999</v>
      </c>
      <c r="M3251">
        <v>-0.18591160000000001</v>
      </c>
      <c r="N3251">
        <v>-1.3400779999999999E-2</v>
      </c>
      <c r="O3251">
        <v>-0.98247510000000005</v>
      </c>
      <c r="P3251">
        <v>1.320178E-2</v>
      </c>
      <c r="Q3251">
        <v>-0.13136049999999999</v>
      </c>
      <c r="R3251">
        <v>-0.99124690000000004</v>
      </c>
      <c r="S3251">
        <v>0.23471069999999999</v>
      </c>
      <c r="T3251">
        <v>-1.5552760000000001E-2</v>
      </c>
      <c r="U3251">
        <v>-3.0217290000000001</v>
      </c>
      <c r="V3251">
        <v>-0.19680420000000001</v>
      </c>
      <c r="W3251">
        <v>-0.1191068</v>
      </c>
      <c r="X3251">
        <v>0.97318119999999997</v>
      </c>
      <c r="Y3251">
        <v>-0.26142539999999997</v>
      </c>
      <c r="Z3251">
        <v>-8.5838080000000001E-3</v>
      </c>
      <c r="AA3251">
        <v>0.96518550000000003</v>
      </c>
      <c r="AB3251">
        <v>19</v>
      </c>
      <c r="AC3251">
        <v>14.7416</v>
      </c>
      <c r="AD3251">
        <v>-0.9757498</v>
      </c>
      <c r="AE3251">
        <v>-189.47959</v>
      </c>
      <c r="AF3251">
        <v>-49.712861701198101</v>
      </c>
      <c r="AG3251">
        <v>-0.9757498</v>
      </c>
      <c r="AH3251">
        <v>183.42997868000501</v>
      </c>
      <c r="AI3251">
        <v>90.294168311167894</v>
      </c>
      <c r="AJ3251">
        <v>105.163935552129</v>
      </c>
      <c r="AK3251">
        <v>190.04967188801399</v>
      </c>
      <c r="AL3251">
        <v>96.840556385244398</v>
      </c>
      <c r="AM3251">
        <v>101.432608633065</v>
      </c>
      <c r="AN3251">
        <v>0.99999998548865998</v>
      </c>
    </row>
    <row r="3252" spans="1:40" x14ac:dyDescent="0.25">
      <c r="A3252" t="str">
        <f>"20190305134957916"</f>
        <v>20190305134957916</v>
      </c>
      <c r="B3252" t="str">
        <f>"1551764997903408"</f>
        <v>1551764997903408</v>
      </c>
      <c r="C3252" t="s">
        <v>40</v>
      </c>
      <c r="D3252">
        <v>4.3383989999999999</v>
      </c>
      <c r="E3252">
        <v>0.47608060000000002</v>
      </c>
      <c r="F3252" t="s">
        <v>43</v>
      </c>
      <c r="G3252">
        <v>-477.28320000000002</v>
      </c>
      <c r="H3252">
        <v>-0.05</v>
      </c>
      <c r="I3252">
        <v>84.21808</v>
      </c>
      <c r="J3252">
        <v>-490.94869999999997</v>
      </c>
      <c r="K3252">
        <v>1.1112340000000001</v>
      </c>
      <c r="L3252">
        <v>253.84100000000001</v>
      </c>
      <c r="M3252">
        <v>-0.18432699999999999</v>
      </c>
      <c r="N3252">
        <v>-1.338978E-2</v>
      </c>
      <c r="O3252">
        <v>-0.98277400000000004</v>
      </c>
      <c r="P3252">
        <v>1.574207E-2</v>
      </c>
      <c r="Q3252">
        <v>-0.13129289999999999</v>
      </c>
      <c r="R3252">
        <v>-0.99121890000000001</v>
      </c>
      <c r="S3252">
        <v>0.24295040000000001</v>
      </c>
      <c r="T3252">
        <v>-2.0667789999999998E-2</v>
      </c>
      <c r="U3252">
        <v>-3.020508</v>
      </c>
      <c r="V3252">
        <v>-0.19773309999999999</v>
      </c>
      <c r="W3252">
        <v>-0.11904919999999999</v>
      </c>
      <c r="X3252">
        <v>0.97299990000000003</v>
      </c>
      <c r="Y3252">
        <v>-0.2625132</v>
      </c>
      <c r="Z3252">
        <v>-6.9549340000000003E-3</v>
      </c>
      <c r="AA3252">
        <v>0.96490339999999997</v>
      </c>
      <c r="AB3252">
        <v>19</v>
      </c>
      <c r="AC3252">
        <v>13.6654999999999</v>
      </c>
      <c r="AD3252">
        <v>-1.1612340000000001</v>
      </c>
      <c r="AE3252">
        <v>-169.622919999999</v>
      </c>
      <c r="AF3252">
        <v>-44.6980975659134</v>
      </c>
      <c r="AG3252">
        <v>-1.1612340000000001</v>
      </c>
      <c r="AH3252">
        <v>164.18911112836099</v>
      </c>
      <c r="AI3252">
        <v>90.390990737384698</v>
      </c>
      <c r="AJ3252">
        <v>105.228887271643</v>
      </c>
      <c r="AK3252">
        <v>170.16854175650701</v>
      </c>
      <c r="AL3252">
        <v>96.837232755179798</v>
      </c>
      <c r="AM3252">
        <v>101.487222086136</v>
      </c>
      <c r="AN3252">
        <v>0.99999994812812798</v>
      </c>
    </row>
    <row r="3253" spans="1:40" x14ac:dyDescent="0.25">
      <c r="A3253" t="str">
        <f>"20190305134957927"</f>
        <v>20190305134957927</v>
      </c>
      <c r="B3253" t="str">
        <f>"1551764997923903"</f>
        <v>1551764997923903</v>
      </c>
      <c r="C3253" t="s">
        <v>40</v>
      </c>
      <c r="D3253">
        <v>4.3403019999999897</v>
      </c>
      <c r="E3253">
        <v>0.4759562</v>
      </c>
      <c r="F3253" t="s">
        <v>85</v>
      </c>
      <c r="G3253">
        <v>-482.0274</v>
      </c>
      <c r="H3253" s="1">
        <v>-9.7573769999999995E-6</v>
      </c>
      <c r="I3253">
        <v>146.7422</v>
      </c>
      <c r="J3253">
        <v>-490.96510000000001</v>
      </c>
      <c r="K3253">
        <v>1.1112139999999999</v>
      </c>
      <c r="L3253">
        <v>253.74180000000001</v>
      </c>
      <c r="M3253">
        <v>-0.1825611</v>
      </c>
      <c r="N3253">
        <v>-1.337758E-2</v>
      </c>
      <c r="O3253">
        <v>-0.98310370000000002</v>
      </c>
      <c r="P3253">
        <v>1.880706E-2</v>
      </c>
      <c r="Q3253">
        <v>-0.13145760000000001</v>
      </c>
      <c r="R3253">
        <v>-0.99114369999999996</v>
      </c>
      <c r="S3253">
        <v>0.2514343</v>
      </c>
      <c r="T3253">
        <v>-3.1319020000000003E-2</v>
      </c>
      <c r="U3253">
        <v>-3.0184479999999998</v>
      </c>
      <c r="V3253">
        <v>-0.1989911</v>
      </c>
      <c r="W3253">
        <v>-0.11922720000000001</v>
      </c>
      <c r="X3253">
        <v>0.97272159999999996</v>
      </c>
      <c r="Y3253">
        <v>-0.26352120000000001</v>
      </c>
      <c r="Z3253">
        <v>-3.5680289999999999E-3</v>
      </c>
      <c r="AA3253">
        <v>0.96464700000000003</v>
      </c>
      <c r="AB3253">
        <v>19</v>
      </c>
      <c r="AC3253">
        <v>8.9376999999999995</v>
      </c>
      <c r="AD3253">
        <v>-1.1112237573770001</v>
      </c>
      <c r="AE3253">
        <v>-106.9996</v>
      </c>
      <c r="AF3253">
        <v>-28.320146124530599</v>
      </c>
      <c r="AG3253">
        <v>-1.1112237573770001</v>
      </c>
      <c r="AH3253">
        <v>103.558181546292</v>
      </c>
      <c r="AI3253">
        <v>90.593011563499104</v>
      </c>
      <c r="AJ3253">
        <v>105.29476668480601</v>
      </c>
      <c r="AK3253">
        <v>107.366486670322</v>
      </c>
      <c r="AL3253">
        <v>96.847504570635394</v>
      </c>
      <c r="AM3253">
        <v>101.561562203477</v>
      </c>
      <c r="AN3253">
        <v>0.99999994710280304</v>
      </c>
    </row>
    <row r="3254" spans="1:40" x14ac:dyDescent="0.25">
      <c r="A3254" t="str">
        <f>"20190305134957939"</f>
        <v>20190305134957939</v>
      </c>
      <c r="B3254" t="str">
        <f>"1551764997933664"</f>
        <v>1551764997933664</v>
      </c>
      <c r="C3254" t="s">
        <v>40</v>
      </c>
      <c r="D3254">
        <v>4.3915240000000004</v>
      </c>
      <c r="E3254">
        <v>0.47564020000000001</v>
      </c>
      <c r="F3254" t="s">
        <v>42</v>
      </c>
      <c r="G3254">
        <v>-485.26330000000002</v>
      </c>
      <c r="H3254" s="1">
        <v>-4.3773849999999996E-6</v>
      </c>
      <c r="I3254">
        <v>187.87799999999999</v>
      </c>
      <c r="J3254">
        <v>-490.98070000000001</v>
      </c>
      <c r="K3254">
        <v>1.111197</v>
      </c>
      <c r="L3254">
        <v>253.64680000000001</v>
      </c>
      <c r="M3254">
        <v>-0.18088209999999999</v>
      </c>
      <c r="N3254">
        <v>-1.3366329999999999E-2</v>
      </c>
      <c r="O3254">
        <v>-0.98341400000000001</v>
      </c>
      <c r="P3254">
        <v>2.1767439999999999E-2</v>
      </c>
      <c r="Q3254">
        <v>-0.13219110000000001</v>
      </c>
      <c r="R3254">
        <v>-0.99098529999999996</v>
      </c>
      <c r="S3254">
        <v>0.26101679999999999</v>
      </c>
      <c r="T3254">
        <v>-5.0868990000000003E-2</v>
      </c>
      <c r="U3254">
        <v>-3.015091</v>
      </c>
      <c r="V3254">
        <v>-0.20021630000000001</v>
      </c>
      <c r="W3254">
        <v>-0.11997530000000001</v>
      </c>
      <c r="X3254">
        <v>0.97237819999999997</v>
      </c>
      <c r="Y3254">
        <v>-0.26499450000000002</v>
      </c>
      <c r="Z3254">
        <v>2.6472219999999999E-3</v>
      </c>
      <c r="AA3254">
        <v>0.9642463</v>
      </c>
      <c r="AB3254">
        <v>19</v>
      </c>
      <c r="AC3254">
        <v>5.7173999999999898</v>
      </c>
      <c r="AD3254">
        <v>-1.111201377385</v>
      </c>
      <c r="AE3254">
        <v>-65.768799999999999</v>
      </c>
      <c r="AF3254">
        <v>-17.515571759277702</v>
      </c>
      <c r="AG3254">
        <v>-1.111201377385</v>
      </c>
      <c r="AH3254">
        <v>63.631438568116501</v>
      </c>
      <c r="AI3254">
        <v>90.964589738088605</v>
      </c>
      <c r="AJ3254">
        <v>105.390419580767</v>
      </c>
      <c r="AK3254">
        <v>66.007499549698807</v>
      </c>
      <c r="AL3254">
        <v>96.890677063684507</v>
      </c>
      <c r="AM3254">
        <v>101.634809096693</v>
      </c>
      <c r="AN3254">
        <v>1.0000000016155099</v>
      </c>
    </row>
    <row r="3255" spans="1:40" x14ac:dyDescent="0.25">
      <c r="A3255" t="str">
        <f>"20190305134957952"</f>
        <v>20190305134957952</v>
      </c>
      <c r="B3255" t="str">
        <f>"1551764997933664"</f>
        <v>1551764997933664</v>
      </c>
      <c r="C3255" t="s">
        <v>40</v>
      </c>
      <c r="D3255">
        <v>4.3915240000000004</v>
      </c>
      <c r="E3255">
        <v>0.47564020000000001</v>
      </c>
      <c r="F3255" t="s">
        <v>42</v>
      </c>
      <c r="G3255">
        <v>-485.54450000000003</v>
      </c>
      <c r="H3255" s="1">
        <v>-2.472827E-6</v>
      </c>
      <c r="I3255">
        <v>193.43090000000001</v>
      </c>
      <c r="J3255">
        <v>-490.99680000000001</v>
      </c>
      <c r="K3255">
        <v>1.111183</v>
      </c>
      <c r="L3255">
        <v>253.548</v>
      </c>
      <c r="M3255">
        <v>-0.17914140000000001</v>
      </c>
      <c r="N3255">
        <v>-1.335541E-2</v>
      </c>
      <c r="O3255">
        <v>-0.98373270000000002</v>
      </c>
      <c r="P3255">
        <v>2.496257E-2</v>
      </c>
      <c r="Q3255">
        <v>-0.1334659</v>
      </c>
      <c r="R3255">
        <v>-0.99073920000000004</v>
      </c>
      <c r="S3255">
        <v>0.27209470000000002</v>
      </c>
      <c r="T3255">
        <v>-5.561733E-2</v>
      </c>
      <c r="U3255">
        <v>-3.0139010000000002</v>
      </c>
      <c r="V3255">
        <v>-0.20159560000000001</v>
      </c>
      <c r="W3255">
        <v>-0.12126670000000001</v>
      </c>
      <c r="X3255">
        <v>0.97193289999999999</v>
      </c>
      <c r="Y3255">
        <v>-0.26683319999999999</v>
      </c>
      <c r="Z3255">
        <v>4.1673370000000001E-3</v>
      </c>
      <c r="AA3255">
        <v>0.96373370000000003</v>
      </c>
      <c r="AB3255">
        <v>18</v>
      </c>
      <c r="AC3255">
        <v>5.4522999999999797</v>
      </c>
      <c r="AD3255">
        <v>-1.1111854728270001</v>
      </c>
      <c r="AE3255">
        <v>-60.117099999999901</v>
      </c>
      <c r="AF3255">
        <v>-16.1290405108405</v>
      </c>
      <c r="AG3255">
        <v>-1.1111854728270001</v>
      </c>
      <c r="AH3255">
        <v>58.147907341752997</v>
      </c>
      <c r="AI3255">
        <v>91.054946366106407</v>
      </c>
      <c r="AJ3255">
        <v>105.502926617534</v>
      </c>
      <c r="AK3255">
        <v>60.3536229996215</v>
      </c>
      <c r="AL3255">
        <v>96.965213202655804</v>
      </c>
      <c r="AM3255">
        <v>101.717972595753</v>
      </c>
      <c r="AN3255">
        <v>0.99999998028532899</v>
      </c>
    </row>
    <row r="3256" spans="1:40" x14ac:dyDescent="0.25">
      <c r="A3256" t="str">
        <f>"20190305134957974"</f>
        <v>20190305134957974</v>
      </c>
      <c r="B3256" t="str">
        <f>"1551764997963920"</f>
        <v>1551764997963920</v>
      </c>
      <c r="C3256" t="s">
        <v>40</v>
      </c>
      <c r="D3256">
        <v>4.1474869999999999</v>
      </c>
      <c r="E3256">
        <v>0.47564020000000001</v>
      </c>
      <c r="F3256" t="s">
        <v>42</v>
      </c>
      <c r="G3256">
        <v>-485.72750000000002</v>
      </c>
      <c r="H3256" s="1">
        <v>-4.049794E-6</v>
      </c>
      <c r="I3256">
        <v>197.30629999999999</v>
      </c>
      <c r="J3256">
        <v>-491.02609999999999</v>
      </c>
      <c r="K3256">
        <v>1.1111610000000001</v>
      </c>
      <c r="L3256">
        <v>253.36529999999999</v>
      </c>
      <c r="M3256">
        <v>-0.17594290000000001</v>
      </c>
      <c r="N3256">
        <v>-1.3342619999999999E-2</v>
      </c>
      <c r="O3256">
        <v>-0.98431000000000002</v>
      </c>
      <c r="P3256">
        <v>3.0879730000000001E-2</v>
      </c>
      <c r="Q3256">
        <v>-0.1355063</v>
      </c>
      <c r="R3256">
        <v>-0.99029520000000004</v>
      </c>
      <c r="S3256">
        <v>0.28228760000000003</v>
      </c>
      <c r="T3256">
        <v>-5.9527990000000003E-2</v>
      </c>
      <c r="U3256">
        <v>-3.0129549999999998</v>
      </c>
      <c r="V3256">
        <v>-0.2041837</v>
      </c>
      <c r="W3256">
        <v>-0.1233337</v>
      </c>
      <c r="X3256">
        <v>0.9711322</v>
      </c>
      <c r="Y3256">
        <v>-0.26695770000000002</v>
      </c>
      <c r="Z3256">
        <v>5.4373759999999998E-3</v>
      </c>
      <c r="AA3256">
        <v>0.96369289999999996</v>
      </c>
      <c r="AB3256">
        <v>18</v>
      </c>
      <c r="AC3256">
        <v>5.2985999999999596</v>
      </c>
      <c r="AD3256">
        <v>-1.111165049794</v>
      </c>
      <c r="AE3256">
        <v>-56.058999999999997</v>
      </c>
      <c r="AF3256">
        <v>-15.0741196028226</v>
      </c>
      <c r="AG3256">
        <v>-1.111165049794</v>
      </c>
      <c r="AH3256">
        <v>54.230891816969901</v>
      </c>
      <c r="AI3256">
        <v>91.130933897148793</v>
      </c>
      <c r="AJ3256">
        <v>105.533902183964</v>
      </c>
      <c r="AK3256">
        <v>56.297898689311502</v>
      </c>
      <c r="AL3256">
        <v>97.084539458607196</v>
      </c>
      <c r="AM3256">
        <v>101.873675629215</v>
      </c>
      <c r="AN3256">
        <v>0.99999996738910901</v>
      </c>
    </row>
    <row r="3257" spans="1:40" x14ac:dyDescent="0.25">
      <c r="A3257" t="str">
        <f>"20190305134957985"</f>
        <v>20190305134957985</v>
      </c>
      <c r="B3257" t="str">
        <f>"1551764997973680"</f>
        <v>1551764997973680</v>
      </c>
      <c r="C3257" t="s">
        <v>40</v>
      </c>
      <c r="D3257">
        <v>4.183954</v>
      </c>
      <c r="E3257">
        <v>0.39735530000000002</v>
      </c>
      <c r="F3257" t="s">
        <v>62</v>
      </c>
      <c r="G3257">
        <v>-485.94760000000002</v>
      </c>
      <c r="H3257" s="1">
        <v>4.9747190000000003E-7</v>
      </c>
      <c r="I3257">
        <v>202.37029999999999</v>
      </c>
      <c r="J3257">
        <v>-491.04079999999999</v>
      </c>
      <c r="K3257">
        <v>1.1111580000000001</v>
      </c>
      <c r="L3257">
        <v>253.27250000000001</v>
      </c>
      <c r="M3257">
        <v>-0.1743229</v>
      </c>
      <c r="N3257">
        <v>-1.3339230000000001E-2</v>
      </c>
      <c r="O3257">
        <v>-0.98459839999999998</v>
      </c>
      <c r="P3257">
        <v>3.3658939999999998E-2</v>
      </c>
      <c r="Q3257">
        <v>-0.1362545</v>
      </c>
      <c r="R3257">
        <v>-0.99010200000000004</v>
      </c>
      <c r="S3257">
        <v>0.29986570000000001</v>
      </c>
      <c r="T3257">
        <v>-6.5609810000000005E-2</v>
      </c>
      <c r="U3257">
        <v>-3.011063</v>
      </c>
      <c r="V3257">
        <v>-0.20528920000000001</v>
      </c>
      <c r="W3257">
        <v>-0.1240918</v>
      </c>
      <c r="X3257">
        <v>0.97080250000000001</v>
      </c>
      <c r="Y3257">
        <v>-0.270993599999999</v>
      </c>
      <c r="Z3257">
        <v>7.368688E-3</v>
      </c>
      <c r="AA3257">
        <v>0.96255299999999999</v>
      </c>
      <c r="AB3257">
        <v>18</v>
      </c>
      <c r="AC3257">
        <v>5.0931999999999604</v>
      </c>
      <c r="AD3257">
        <v>-1.1111575025281</v>
      </c>
      <c r="AE3257">
        <v>-50.902200000000001</v>
      </c>
      <c r="AF3257">
        <v>-13.8828587116669</v>
      </c>
      <c r="AG3257">
        <v>-1.1111575025281</v>
      </c>
      <c r="AH3257">
        <v>49.2115158221198</v>
      </c>
      <c r="AI3257">
        <v>91.2449015186982</v>
      </c>
      <c r="AJ3257">
        <v>105.75407212494299</v>
      </c>
      <c r="AK3257">
        <v>51.144322524736602</v>
      </c>
      <c r="AL3257">
        <v>97.128311683337301</v>
      </c>
      <c r="AM3257">
        <v>101.940060772001</v>
      </c>
      <c r="AN3257">
        <v>0.99999996223506404</v>
      </c>
    </row>
    <row r="3258" spans="1:40" x14ac:dyDescent="0.25">
      <c r="A3258" t="str">
        <f>"20190305134957998"</f>
        <v>20190305134957998</v>
      </c>
      <c r="B3258" t="str">
        <f>"1551764997993200"</f>
        <v>1551764997993200</v>
      </c>
      <c r="C3258" t="s">
        <v>40</v>
      </c>
      <c r="D3258">
        <v>4.03925</v>
      </c>
      <c r="E3258">
        <v>0.45419480000000001</v>
      </c>
      <c r="F3258" t="s">
        <v>84</v>
      </c>
      <c r="G3258">
        <v>-473.36419999999998</v>
      </c>
      <c r="H3258">
        <v>3.3848720000000001</v>
      </c>
      <c r="I3258">
        <v>196.565</v>
      </c>
      <c r="J3258">
        <v>-491.05619999999999</v>
      </c>
      <c r="K3258">
        <v>1.1111599999999999</v>
      </c>
      <c r="L3258">
        <v>253.1737</v>
      </c>
      <c r="M3258">
        <v>-0.1726007</v>
      </c>
      <c r="N3258">
        <v>-1.333669E-2</v>
      </c>
      <c r="O3258">
        <v>-0.98490180000000005</v>
      </c>
      <c r="P3258">
        <v>3.6610459999999997E-2</v>
      </c>
      <c r="Q3258">
        <v>-0.13613919999999999</v>
      </c>
      <c r="R3258">
        <v>-0.99001340000000004</v>
      </c>
      <c r="S3258">
        <v>0.9397278</v>
      </c>
      <c r="T3258">
        <v>0.12087680000000001</v>
      </c>
      <c r="U3258">
        <v>-3.0146790000000001</v>
      </c>
      <c r="V3258">
        <v>-0.20648710000000001</v>
      </c>
      <c r="W3258">
        <v>-0.1239856</v>
      </c>
      <c r="X3258">
        <v>0.97056200000000004</v>
      </c>
      <c r="Y3258">
        <v>-0.45761679999999999</v>
      </c>
      <c r="Z3258">
        <v>-4.9758040000000003E-2</v>
      </c>
      <c r="AA3258">
        <v>0.8877562</v>
      </c>
      <c r="AB3258">
        <v>18</v>
      </c>
      <c r="AC3258">
        <v>17.692</v>
      </c>
      <c r="AD3258">
        <v>2.27371199999999</v>
      </c>
      <c r="AE3258">
        <v>-56.608699999999999</v>
      </c>
      <c r="AF3258">
        <v>-27.158082650341299</v>
      </c>
      <c r="AG3258">
        <v>2.27371199999999</v>
      </c>
      <c r="AH3258">
        <v>52.627687992635003</v>
      </c>
      <c r="AI3258">
        <v>87.801318096759402</v>
      </c>
      <c r="AJ3258">
        <v>117.29562178179199</v>
      </c>
      <c r="AK3258">
        <v>59.265544483720497</v>
      </c>
      <c r="AL3258">
        <v>97.122179433132203</v>
      </c>
      <c r="AM3258">
        <v>102.010605634621</v>
      </c>
      <c r="AN3258">
        <v>0.99999997365888404</v>
      </c>
    </row>
    <row r="3259" spans="1:40" x14ac:dyDescent="0.25">
      <c r="A3259" t="str">
        <f>"20190305134958008"</f>
        <v>20190305134958008</v>
      </c>
      <c r="B3259" t="str">
        <f>"1551764998003935"</f>
        <v>1551764998003935</v>
      </c>
      <c r="C3259" t="s">
        <v>40</v>
      </c>
      <c r="D3259">
        <v>4.0571679999999999</v>
      </c>
      <c r="E3259">
        <v>0.45275850000000001</v>
      </c>
      <c r="F3259" t="s">
        <v>83</v>
      </c>
      <c r="G3259">
        <v>-468.78109999999998</v>
      </c>
      <c r="H3259">
        <v>33.247250000000001</v>
      </c>
      <c r="I3259">
        <v>119.395</v>
      </c>
      <c r="J3259">
        <v>-491.07040000000001</v>
      </c>
      <c r="K3259">
        <v>1.1111690000000001</v>
      </c>
      <c r="L3259">
        <v>253.0822</v>
      </c>
      <c r="M3259">
        <v>-0.1710043</v>
      </c>
      <c r="N3259">
        <v>-1.3334779999999999E-2</v>
      </c>
      <c r="O3259">
        <v>-0.98517999999999994</v>
      </c>
      <c r="P3259">
        <v>3.9211660000000002E-2</v>
      </c>
      <c r="Q3259">
        <v>-0.1355797</v>
      </c>
      <c r="R3259">
        <v>-0.98999009999999998</v>
      </c>
      <c r="S3259">
        <v>0.51849369999999995</v>
      </c>
      <c r="T3259">
        <v>0.748032699999999</v>
      </c>
      <c r="U3259">
        <v>-3.1139679999999998</v>
      </c>
      <c r="V3259">
        <v>-0.20747789999999999</v>
      </c>
      <c r="W3259">
        <v>-0.12343320000000001</v>
      </c>
      <c r="X3259">
        <v>0.97042110000000004</v>
      </c>
      <c r="Y3259">
        <v>-0.32626040000000001</v>
      </c>
      <c r="Z3259">
        <v>-0.23369110000000001</v>
      </c>
      <c r="AA3259">
        <v>0.91593809999999998</v>
      </c>
      <c r="AB3259">
        <v>18</v>
      </c>
      <c r="AC3259">
        <v>22.289300000000001</v>
      </c>
      <c r="AD3259">
        <v>32.136080999999997</v>
      </c>
      <c r="AE3259">
        <v>-133.68719999999999</v>
      </c>
      <c r="AF3259">
        <v>-42.438132434115197</v>
      </c>
      <c r="AG3259">
        <v>32.136080999999997</v>
      </c>
      <c r="AH3259">
        <v>121.097544434748</v>
      </c>
      <c r="AI3259">
        <v>75.940022428557299</v>
      </c>
      <c r="AJ3259">
        <v>109.31280080934501</v>
      </c>
      <c r="AK3259">
        <v>132.28128384113799</v>
      </c>
      <c r="AL3259">
        <v>97.090284247622094</v>
      </c>
      <c r="AM3259">
        <v>102.068252345844</v>
      </c>
      <c r="AN3259">
        <v>0.99999997258792905</v>
      </c>
    </row>
    <row r="3260" spans="1:40" x14ac:dyDescent="0.25">
      <c r="A3260" t="str">
        <f>"20190305134958026"</f>
        <v>20190305134958026</v>
      </c>
      <c r="B3260" t="str">
        <f>"1551764998023456"</f>
        <v>1551764998023456</v>
      </c>
      <c r="C3260" t="s">
        <v>40</v>
      </c>
      <c r="D3260">
        <v>4.0576829999999999</v>
      </c>
      <c r="E3260">
        <v>0.45232440000000002</v>
      </c>
      <c r="F3260" t="s">
        <v>83</v>
      </c>
      <c r="G3260">
        <v>-467.98779999999999</v>
      </c>
      <c r="H3260">
        <v>32.164700000000003</v>
      </c>
      <c r="I3260">
        <v>119.395</v>
      </c>
      <c r="J3260">
        <v>-491.09050000000002</v>
      </c>
      <c r="K3260">
        <v>1.1111819999999999</v>
      </c>
      <c r="L3260">
        <v>252.94990000000001</v>
      </c>
      <c r="M3260">
        <v>-0.1686967</v>
      </c>
      <c r="N3260">
        <v>-1.3331559999999999E-2</v>
      </c>
      <c r="O3260">
        <v>-0.98557790000000001</v>
      </c>
      <c r="P3260">
        <v>4.3501230000000002E-2</v>
      </c>
      <c r="Q3260">
        <v>-0.13353999999999999</v>
      </c>
      <c r="R3260">
        <v>-0.99008830000000003</v>
      </c>
      <c r="S3260">
        <v>0.53662109999999996</v>
      </c>
      <c r="T3260">
        <v>0.72193600000000002</v>
      </c>
      <c r="U3260">
        <v>-3.107971</v>
      </c>
      <c r="V3260">
        <v>-0.2094608</v>
      </c>
      <c r="W3260">
        <v>-0.1214071</v>
      </c>
      <c r="X3260">
        <v>0.97025070000000002</v>
      </c>
      <c r="Y3260">
        <v>-0.32981059999999901</v>
      </c>
      <c r="Z3260">
        <v>-0.22669590000000001</v>
      </c>
      <c r="AA3260">
        <v>0.91642449999999998</v>
      </c>
      <c r="AB3260">
        <v>18</v>
      </c>
      <c r="AC3260">
        <v>23.102699999999999</v>
      </c>
      <c r="AD3260">
        <v>31.053518</v>
      </c>
      <c r="AE3260">
        <v>-133.5549</v>
      </c>
      <c r="AF3260">
        <v>-43.044302525057503</v>
      </c>
      <c r="AG3260">
        <v>31.053518</v>
      </c>
      <c r="AH3260">
        <v>121.371653878804</v>
      </c>
      <c r="AI3260">
        <v>76.442572727083103</v>
      </c>
      <c r="AJ3260">
        <v>109.526986438561</v>
      </c>
      <c r="AK3260">
        <v>132.46966190536301</v>
      </c>
      <c r="AL3260">
        <v>96.973317510950693</v>
      </c>
      <c r="AM3260">
        <v>102.182237749229</v>
      </c>
      <c r="AN3260">
        <v>0.99999996575876904</v>
      </c>
    </row>
    <row r="3261" spans="1:40" x14ac:dyDescent="0.25">
      <c r="A3261" t="str">
        <f>"20190305134958043"</f>
        <v>20190305134958043</v>
      </c>
      <c r="B3261" t="str">
        <f>"1551764998033216"</f>
        <v>1551764998033216</v>
      </c>
      <c r="C3261" t="s">
        <v>40</v>
      </c>
      <c r="D3261">
        <v>4.0751200000000001</v>
      </c>
      <c r="E3261">
        <v>0.45213639999999999</v>
      </c>
      <c r="F3261" t="s">
        <v>83</v>
      </c>
      <c r="G3261">
        <v>-467.24579999999997</v>
      </c>
      <c r="H3261">
        <v>31.76446</v>
      </c>
      <c r="I3261">
        <v>119.395</v>
      </c>
      <c r="J3261">
        <v>-491.1114</v>
      </c>
      <c r="K3261">
        <v>1.1111869999999999</v>
      </c>
      <c r="L3261">
        <v>252.81010000000001</v>
      </c>
      <c r="M3261">
        <v>-0.16625379999999901</v>
      </c>
      <c r="N3261">
        <v>-1.332789E-2</v>
      </c>
      <c r="O3261">
        <v>-0.98599300000000001</v>
      </c>
      <c r="P3261">
        <v>4.6660550000000002E-2</v>
      </c>
      <c r="Q3261">
        <v>-0.13301459999999901</v>
      </c>
      <c r="R3261">
        <v>-0.99001530000000004</v>
      </c>
      <c r="S3261">
        <v>0.55377200000000004</v>
      </c>
      <c r="T3261">
        <v>0.71190050000000005</v>
      </c>
      <c r="U3261">
        <v>-3.101715</v>
      </c>
      <c r="V3261">
        <v>-0.21016380000000001</v>
      </c>
      <c r="W3261">
        <v>-0.120890899999999</v>
      </c>
      <c r="X3261">
        <v>0.9701632</v>
      </c>
      <c r="Y3261">
        <v>-0.33280409999999999</v>
      </c>
      <c r="Z3261">
        <v>-0.22420519999999999</v>
      </c>
      <c r="AA3261">
        <v>0.91595490000000002</v>
      </c>
      <c r="AB3261">
        <v>18</v>
      </c>
      <c r="AC3261">
        <v>23.865600000000001</v>
      </c>
      <c r="AD3261">
        <v>30.653272999999899</v>
      </c>
      <c r="AE3261">
        <v>-133.4151</v>
      </c>
      <c r="AF3261">
        <v>-43.491454322041903</v>
      </c>
      <c r="AG3261">
        <v>30.653272999999899</v>
      </c>
      <c r="AH3261">
        <v>121.38102166263</v>
      </c>
      <c r="AI3261">
        <v>76.626895846795406</v>
      </c>
      <c r="AJ3261">
        <v>109.71286729243199</v>
      </c>
      <c r="AK3261">
        <v>132.53106113105201</v>
      </c>
      <c r="AL3261">
        <v>96.943521490861997</v>
      </c>
      <c r="AM3261">
        <v>102.222966301325</v>
      </c>
      <c r="AN3261">
        <v>1.00000003358374</v>
      </c>
    </row>
    <row r="3262" spans="1:40" x14ac:dyDescent="0.25">
      <c r="A3262" t="str">
        <f>"20190305134958057"</f>
        <v>20190305134958057</v>
      </c>
      <c r="B3262" t="str">
        <f>"1551764998053711"</f>
        <v>1551764998053711</v>
      </c>
      <c r="C3262" t="s">
        <v>40</v>
      </c>
      <c r="D3262">
        <v>4.0692849999999998</v>
      </c>
      <c r="E3262">
        <v>0.45226830000000001</v>
      </c>
      <c r="F3262" t="s">
        <v>83</v>
      </c>
      <c r="G3262">
        <v>-466.72190000000001</v>
      </c>
      <c r="H3262">
        <v>31.594169999999998</v>
      </c>
      <c r="I3262">
        <v>119.395</v>
      </c>
      <c r="J3262">
        <v>-491.12740000000002</v>
      </c>
      <c r="K3262">
        <v>1.111192</v>
      </c>
      <c r="L3262">
        <v>252.7021</v>
      </c>
      <c r="M3262">
        <v>-0.16436210000000001</v>
      </c>
      <c r="N3262">
        <v>-1.332535E-2</v>
      </c>
      <c r="O3262">
        <v>-0.98631020000000003</v>
      </c>
      <c r="P3262">
        <v>4.9627589999999999E-2</v>
      </c>
      <c r="Q3262">
        <v>-0.13283529999999999</v>
      </c>
      <c r="R3262">
        <v>-0.98989519999999998</v>
      </c>
      <c r="S3262">
        <v>0.56646730000000001</v>
      </c>
      <c r="T3262">
        <v>0.70799669999999904</v>
      </c>
      <c r="U3262">
        <v>-3.0986940000000001</v>
      </c>
      <c r="V3262">
        <v>-0.21121219999999999</v>
      </c>
      <c r="W3262">
        <v>-0.1207223</v>
      </c>
      <c r="X3262">
        <v>0.9699565</v>
      </c>
      <c r="Y3262">
        <v>-0.33482879999999998</v>
      </c>
      <c r="Z3262">
        <v>-0.22325159999999999</v>
      </c>
      <c r="AA3262">
        <v>0.91544990000000004</v>
      </c>
      <c r="AB3262">
        <v>18</v>
      </c>
      <c r="AC3262">
        <v>24.4055</v>
      </c>
      <c r="AD3262">
        <v>30.482977999999999</v>
      </c>
      <c r="AE3262">
        <v>-133.30709999999999</v>
      </c>
      <c r="AF3262">
        <v>-43.7715698259181</v>
      </c>
      <c r="AG3262">
        <v>30.482977999999999</v>
      </c>
      <c r="AH3262">
        <v>121.34300694624299</v>
      </c>
      <c r="AI3262">
        <v>76.704409798251106</v>
      </c>
      <c r="AJ3262">
        <v>109.835688920897</v>
      </c>
      <c r="AK3262">
        <v>132.549189388429</v>
      </c>
      <c r="AL3262">
        <v>96.933790109672898</v>
      </c>
      <c r="AM3262">
        <v>102.284631880345</v>
      </c>
      <c r="AN3262">
        <v>1.0000000395191799</v>
      </c>
    </row>
    <row r="3263" spans="1:40" x14ac:dyDescent="0.25">
      <c r="A3263" t="str">
        <f>"20190305134958082"</f>
        <v>20190305134958082</v>
      </c>
      <c r="B3263" t="str">
        <f>"1551764998074208"</f>
        <v>1551764998074208</v>
      </c>
      <c r="C3263" t="s">
        <v>40</v>
      </c>
      <c r="D3263">
        <v>4.2818899999999998</v>
      </c>
      <c r="E3263">
        <v>0.45226830000000001</v>
      </c>
      <c r="F3263" t="s">
        <v>83</v>
      </c>
      <c r="G3263">
        <v>-466.35390000000001</v>
      </c>
      <c r="H3263">
        <v>31.545780000000001</v>
      </c>
      <c r="I3263">
        <v>119.395</v>
      </c>
      <c r="J3263">
        <v>-491.15879999999999</v>
      </c>
      <c r="K3263">
        <v>1.1111949999999999</v>
      </c>
      <c r="L3263">
        <v>252.48509999999999</v>
      </c>
      <c r="M3263">
        <v>-0.1605499</v>
      </c>
      <c r="N3263">
        <v>-1.332202E-2</v>
      </c>
      <c r="O3263">
        <v>-0.98693790000000003</v>
      </c>
      <c r="P3263">
        <v>5.7166099999999997E-2</v>
      </c>
      <c r="Q3263">
        <v>-0.13313050000000001</v>
      </c>
      <c r="R3263">
        <v>-0.98944849999999995</v>
      </c>
      <c r="S3263">
        <v>0.57547000000000004</v>
      </c>
      <c r="T3263">
        <v>0.70697919999999903</v>
      </c>
      <c r="U3263">
        <v>-3.0966490000000002</v>
      </c>
      <c r="V3263">
        <v>-0.21483559999999999</v>
      </c>
      <c r="W3263">
        <v>-0.1210485</v>
      </c>
      <c r="X3263">
        <v>0.96911970000000003</v>
      </c>
      <c r="Y3263">
        <v>-0.33387820000000001</v>
      </c>
      <c r="Z3263">
        <v>-0.22328249999999999</v>
      </c>
      <c r="AA3263">
        <v>0.91578939999999998</v>
      </c>
      <c r="AB3263">
        <v>18</v>
      </c>
      <c r="AC3263">
        <v>24.8048999999999</v>
      </c>
      <c r="AD3263">
        <v>30.434584999999998</v>
      </c>
      <c r="AE3263">
        <v>-133.09010000000001</v>
      </c>
      <c r="AF3263">
        <v>-43.646765863277899</v>
      </c>
      <c r="AG3263">
        <v>30.434584999999998</v>
      </c>
      <c r="AH3263">
        <v>121.252725857543</v>
      </c>
      <c r="AI3263">
        <v>76.712126106331993</v>
      </c>
      <c r="AJ3263">
        <v>109.79711293874701</v>
      </c>
      <c r="AK3263">
        <v>132.41422756762401</v>
      </c>
      <c r="AL3263">
        <v>96.952618108669697</v>
      </c>
      <c r="AM3263">
        <v>102.49926376358</v>
      </c>
      <c r="AN3263">
        <v>1.0000000336538399</v>
      </c>
    </row>
    <row r="3264" spans="1:40" x14ac:dyDescent="0.25">
      <c r="A3264" t="str">
        <f>"20190305134958095"</f>
        <v>20190305134958095</v>
      </c>
      <c r="B3264" t="str">
        <f>"1551764998083968"</f>
        <v>1551764998083968</v>
      </c>
      <c r="C3264" t="s">
        <v>40</v>
      </c>
      <c r="D3264">
        <v>4.2654249999999996</v>
      </c>
      <c r="E3264">
        <v>0.41648970000000002</v>
      </c>
      <c r="F3264" t="s">
        <v>82</v>
      </c>
      <c r="G3264">
        <v>-473.59710000000001</v>
      </c>
      <c r="H3264">
        <v>21.737189999999998</v>
      </c>
      <c r="I3264">
        <v>162.0625</v>
      </c>
      <c r="J3264">
        <v>-491.1721</v>
      </c>
      <c r="K3264">
        <v>1.1111949999999999</v>
      </c>
      <c r="L3264">
        <v>252.39089999999999</v>
      </c>
      <c r="M3264">
        <v>-0.1588927</v>
      </c>
      <c r="N3264">
        <v>-1.332126E-2</v>
      </c>
      <c r="O3264">
        <v>-0.98720620000000003</v>
      </c>
      <c r="P3264">
        <v>6.0189350000000003E-2</v>
      </c>
      <c r="Q3264">
        <v>-0.13358059999999999</v>
      </c>
      <c r="R3264">
        <v>-0.98920850000000005</v>
      </c>
      <c r="S3264">
        <v>0.60055539999999996</v>
      </c>
      <c r="T3264">
        <v>0.70534669999999999</v>
      </c>
      <c r="U3264">
        <v>-3.0921780000000001</v>
      </c>
      <c r="V3264">
        <v>-0.2161554</v>
      </c>
      <c r="W3264">
        <v>-0.1215098</v>
      </c>
      <c r="X3264">
        <v>0.96876839999999997</v>
      </c>
      <c r="Y3264">
        <v>-0.33972669999999999</v>
      </c>
      <c r="Z3264">
        <v>-0.2228165</v>
      </c>
      <c r="AA3264">
        <v>0.91374979999999995</v>
      </c>
      <c r="AB3264">
        <v>18</v>
      </c>
      <c r="AC3264">
        <v>17.5749999999999</v>
      </c>
      <c r="AD3264">
        <v>20.625995</v>
      </c>
      <c r="AE3264">
        <v>-90.328400000000002</v>
      </c>
      <c r="AF3264">
        <v>-30.188813178774101</v>
      </c>
      <c r="AG3264">
        <v>20.625995</v>
      </c>
      <c r="AH3264">
        <v>82.2554078680852</v>
      </c>
      <c r="AI3264">
        <v>76.753622237033397</v>
      </c>
      <c r="AJ3264">
        <v>110.153798867015</v>
      </c>
      <c r="AK3264">
        <v>90.015266674203701</v>
      </c>
      <c r="AL3264">
        <v>96.979245432121701</v>
      </c>
      <c r="AM3264">
        <v>102.578030384765</v>
      </c>
      <c r="AN3264">
        <v>1.0000000006418699</v>
      </c>
    </row>
    <row r="3265" spans="1:40" x14ac:dyDescent="0.25">
      <c r="A3265" t="str">
        <f>"20190305134958107"</f>
        <v>20190305134958107</v>
      </c>
      <c r="B3265" t="str">
        <f>"1551764998103488"</f>
        <v>1551764998103488</v>
      </c>
      <c r="C3265" t="s">
        <v>40</v>
      </c>
      <c r="D3265">
        <v>3.9986619999999999</v>
      </c>
      <c r="E3265">
        <v>0.4493241</v>
      </c>
      <c r="F3265" t="s">
        <v>82</v>
      </c>
      <c r="G3265">
        <v>-470.3603</v>
      </c>
      <c r="H3265">
        <v>0.634611699999999</v>
      </c>
      <c r="I3265">
        <v>180.59020000000001</v>
      </c>
      <c r="J3265">
        <v>-491.18610000000001</v>
      </c>
      <c r="K3265">
        <v>1.1111960000000001</v>
      </c>
      <c r="L3265">
        <v>252.29130000000001</v>
      </c>
      <c r="M3265">
        <v>-0.15713489999999999</v>
      </c>
      <c r="N3265">
        <v>-1.3320719999999999E-2</v>
      </c>
      <c r="O3265">
        <v>-0.98748749999999996</v>
      </c>
      <c r="P3265">
        <v>6.2942429999999994E-2</v>
      </c>
      <c r="Q3265">
        <v>-0.13366539999999999</v>
      </c>
      <c r="R3265">
        <v>-0.98902599999999996</v>
      </c>
      <c r="S3265">
        <v>0.86306759999999905</v>
      </c>
      <c r="T3265">
        <v>-1.9763949999999999E-2</v>
      </c>
      <c r="U3265">
        <v>-2.9775849999999999</v>
      </c>
      <c r="V3265">
        <v>-0.21712290000000001</v>
      </c>
      <c r="W3265">
        <v>-0.1216024</v>
      </c>
      <c r="X3265">
        <v>0.96854039999999997</v>
      </c>
      <c r="Y3265">
        <v>-0.42581049999999998</v>
      </c>
      <c r="Z3265">
        <v>-7.5515499999999998E-3</v>
      </c>
      <c r="AA3265">
        <v>0.9047809</v>
      </c>
      <c r="AB3265">
        <v>18</v>
      </c>
      <c r="AC3265">
        <v>20.825800000000001</v>
      </c>
      <c r="AD3265">
        <v>-0.47658430000000002</v>
      </c>
      <c r="AE3265">
        <v>-71.701099999999997</v>
      </c>
      <c r="AF3265">
        <v>-31.833483830401999</v>
      </c>
      <c r="AG3265">
        <v>-0.47658430000000002</v>
      </c>
      <c r="AH3265">
        <v>67.534707792661706</v>
      </c>
      <c r="AI3265">
        <v>90.365730353744993</v>
      </c>
      <c r="AJ3265">
        <v>115.237539606645</v>
      </c>
      <c r="AK3265">
        <v>74.662805880945001</v>
      </c>
      <c r="AL3265">
        <v>96.984590649583396</v>
      </c>
      <c r="AM3265">
        <v>102.63540426119999</v>
      </c>
      <c r="AN3265">
        <v>1.0000000019111599</v>
      </c>
    </row>
    <row r="3266" spans="1:40" x14ac:dyDescent="0.25">
      <c r="A3266" t="str">
        <f>"20190305134958119"</f>
        <v>20190305134958119</v>
      </c>
      <c r="B3266" t="str">
        <f>"1551764998113248"</f>
        <v>1551764998113248</v>
      </c>
      <c r="C3266" t="s">
        <v>40</v>
      </c>
      <c r="D3266">
        <v>3.9856509999999998</v>
      </c>
      <c r="E3266">
        <v>0.44939319999999999</v>
      </c>
      <c r="F3266" t="s">
        <v>82</v>
      </c>
      <c r="G3266">
        <v>-473.52499999999998</v>
      </c>
      <c r="H3266">
        <v>19.32629</v>
      </c>
      <c r="I3266">
        <v>167.44579999999999</v>
      </c>
      <c r="J3266">
        <v>-491.19850000000002</v>
      </c>
      <c r="K3266">
        <v>1.111199</v>
      </c>
      <c r="L3266">
        <v>252.20060000000001</v>
      </c>
      <c r="M3266">
        <v>-0.1555356</v>
      </c>
      <c r="N3266">
        <v>-1.332302E-2</v>
      </c>
      <c r="O3266">
        <v>-0.98774050000000002</v>
      </c>
      <c r="P3266">
        <v>6.5466549999999998E-2</v>
      </c>
      <c r="Q3266">
        <v>-0.13361579999999901</v>
      </c>
      <c r="R3266">
        <v>-0.98886870000000004</v>
      </c>
      <c r="S3266">
        <v>0.64151000000000002</v>
      </c>
      <c r="T3266">
        <v>0.66163470000000002</v>
      </c>
      <c r="U3266">
        <v>-3.0818789999999998</v>
      </c>
      <c r="V3266">
        <v>-0.21802640000000001</v>
      </c>
      <c r="W3266">
        <v>-0.1215565</v>
      </c>
      <c r="X3266">
        <v>0.96834319999999896</v>
      </c>
      <c r="Y3266">
        <v>-0.34931279999999998</v>
      </c>
      <c r="Z3266">
        <v>-0.21062239999999999</v>
      </c>
      <c r="AA3266">
        <v>0.91302729999999999</v>
      </c>
      <c r="AB3266">
        <v>18</v>
      </c>
      <c r="AC3266">
        <v>17.673500000000001</v>
      </c>
      <c r="AD3266">
        <v>18.215091000000001</v>
      </c>
      <c r="AE3266">
        <v>-84.754800000000003</v>
      </c>
      <c r="AF3266">
        <v>-29.343100637936899</v>
      </c>
      <c r="AG3266">
        <v>18.215091000000001</v>
      </c>
      <c r="AH3266">
        <v>77.541777297016694</v>
      </c>
      <c r="AI3266">
        <v>77.608850882963395</v>
      </c>
      <c r="AJ3266">
        <v>110.72747768892999</v>
      </c>
      <c r="AK3266">
        <v>84.885418780651094</v>
      </c>
      <c r="AL3266">
        <v>96.981940967604203</v>
      </c>
      <c r="AM3266">
        <v>102.688784702308</v>
      </c>
      <c r="AN3266">
        <v>1.00000002338772</v>
      </c>
    </row>
    <row r="3267" spans="1:40" x14ac:dyDescent="0.25">
      <c r="A3267" t="str">
        <f>"20190305134958130"</f>
        <v>20190305134958130</v>
      </c>
      <c r="B3267" t="str">
        <f>"1551764998123984"</f>
        <v>1551764998123984</v>
      </c>
      <c r="C3267" t="s">
        <v>40</v>
      </c>
      <c r="D3267">
        <v>4.0619009999999998</v>
      </c>
      <c r="E3267">
        <v>0.44939319999999999</v>
      </c>
      <c r="F3267" t="s">
        <v>82</v>
      </c>
      <c r="G3267">
        <v>-473.52499999999998</v>
      </c>
      <c r="H3267">
        <v>19.16114</v>
      </c>
      <c r="I3267">
        <v>168.28739999999999</v>
      </c>
      <c r="J3267">
        <v>-491.21199999999999</v>
      </c>
      <c r="K3267">
        <v>1.1112010000000001</v>
      </c>
      <c r="L3267">
        <v>252.10290000000001</v>
      </c>
      <c r="M3267">
        <v>-0.1538081</v>
      </c>
      <c r="N3267">
        <v>-1.3326620000000001E-2</v>
      </c>
      <c r="O3267">
        <v>-0.98801090000000003</v>
      </c>
      <c r="P3267">
        <v>6.8349499999999994E-2</v>
      </c>
      <c r="Q3267">
        <v>-0.1331937</v>
      </c>
      <c r="R3267">
        <v>-0.98873049999999996</v>
      </c>
      <c r="S3267">
        <v>0.64877320000000005</v>
      </c>
      <c r="T3267">
        <v>0.66259179999999995</v>
      </c>
      <c r="U3267">
        <v>-3.0803530000000001</v>
      </c>
      <c r="V3267">
        <v>-0.2191652</v>
      </c>
      <c r="W3267">
        <v>-0.1211375</v>
      </c>
      <c r="X3267">
        <v>0.96813859999999996</v>
      </c>
      <c r="Y3267">
        <v>-0.34981570000000001</v>
      </c>
      <c r="Z3267">
        <v>-0.21100920000000001</v>
      </c>
      <c r="AA3267">
        <v>0.91274540000000004</v>
      </c>
      <c r="AB3267">
        <v>18</v>
      </c>
      <c r="AC3267">
        <v>17.687000000000001</v>
      </c>
      <c r="AD3267">
        <v>18.049938999999998</v>
      </c>
      <c r="AE3267">
        <v>-83.8155</v>
      </c>
      <c r="AF3267">
        <v>-29.078084600439102</v>
      </c>
      <c r="AG3267">
        <v>18.049938999999998</v>
      </c>
      <c r="AH3267">
        <v>76.692210610260901</v>
      </c>
      <c r="AI3267">
        <v>77.588845941075604</v>
      </c>
      <c r="AJ3267">
        <v>110.764374879363</v>
      </c>
      <c r="AK3267">
        <v>83.982322367404393</v>
      </c>
      <c r="AL3267">
        <v>96.9577553749359</v>
      </c>
      <c r="AM3267">
        <v>102.755505932887</v>
      </c>
      <c r="AN3267">
        <v>1.00000001380362</v>
      </c>
    </row>
    <row r="3268" spans="1:40" x14ac:dyDescent="0.25">
      <c r="A3268" t="str">
        <f>"20190305134958142"</f>
        <v>20190305134958142</v>
      </c>
      <c r="B3268" t="str">
        <f>"1551764998133744"</f>
        <v>1551764998133744</v>
      </c>
      <c r="C3268" t="s">
        <v>40</v>
      </c>
      <c r="D3268">
        <v>4.0417019999999999</v>
      </c>
      <c r="E3268">
        <v>0.4491522</v>
      </c>
      <c r="F3268" t="s">
        <v>82</v>
      </c>
      <c r="G3268">
        <v>-473.87380000000002</v>
      </c>
      <c r="H3268">
        <v>18.605619999999998</v>
      </c>
      <c r="I3268">
        <v>170.9965</v>
      </c>
      <c r="J3268">
        <v>-491.22489999999999</v>
      </c>
      <c r="K3268">
        <v>1.1112010000000001</v>
      </c>
      <c r="L3268">
        <v>252.00710000000001</v>
      </c>
      <c r="M3268">
        <v>-0.152116</v>
      </c>
      <c r="N3268">
        <v>-1.333342E-2</v>
      </c>
      <c r="O3268">
        <v>-0.98827290000000001</v>
      </c>
      <c r="P3268">
        <v>7.1052669999999998E-2</v>
      </c>
      <c r="Q3268">
        <v>-0.13268920000000001</v>
      </c>
      <c r="R3268">
        <v>-0.98860789999999998</v>
      </c>
      <c r="S3268">
        <v>0.65801999999999905</v>
      </c>
      <c r="T3268">
        <v>0.66395009999999999</v>
      </c>
      <c r="U3268">
        <v>-3.0781559999999999</v>
      </c>
      <c r="V3268">
        <v>-0.22016530000000001</v>
      </c>
      <c r="W3268">
        <v>-0.1206315</v>
      </c>
      <c r="X3268">
        <v>0.96797480000000002</v>
      </c>
      <c r="Y3268">
        <v>-0.3509504</v>
      </c>
      <c r="Z3268">
        <v>-0.21151400000000001</v>
      </c>
      <c r="AA3268">
        <v>0.91219280000000003</v>
      </c>
      <c r="AB3268">
        <v>18</v>
      </c>
      <c r="AC3268">
        <v>17.351099999999899</v>
      </c>
      <c r="AD3268">
        <v>17.494419000000001</v>
      </c>
      <c r="AE3268">
        <v>-81.010599999999997</v>
      </c>
      <c r="AF3268">
        <v>-28.215136549907001</v>
      </c>
      <c r="AG3268">
        <v>17.494419000000001</v>
      </c>
      <c r="AH3268">
        <v>74.1229394508307</v>
      </c>
      <c r="AI3268">
        <v>77.560955333478702</v>
      </c>
      <c r="AJ3268">
        <v>110.839488828074</v>
      </c>
      <c r="AK3268">
        <v>81.217970791623301</v>
      </c>
      <c r="AL3268">
        <v>96.928549866241795</v>
      </c>
      <c r="AM3268">
        <v>102.81389182340401</v>
      </c>
      <c r="AN3268">
        <v>0.99999996577568895</v>
      </c>
    </row>
    <row r="3269" spans="1:40" x14ac:dyDescent="0.25">
      <c r="A3269" t="str">
        <f>"20190305134958165"</f>
        <v>20190305134958165</v>
      </c>
      <c r="B3269" t="str">
        <f>"1551764998163999"</f>
        <v>1551764998163999</v>
      </c>
      <c r="C3269" t="s">
        <v>40</v>
      </c>
      <c r="D3269">
        <v>4.1078760000000001</v>
      </c>
      <c r="E3269">
        <v>0.4500789</v>
      </c>
      <c r="F3269" t="s">
        <v>82</v>
      </c>
      <c r="G3269">
        <v>-473.80360000000002</v>
      </c>
      <c r="H3269">
        <v>18.299430000000001</v>
      </c>
      <c r="I3269">
        <v>171.7353</v>
      </c>
      <c r="J3269">
        <v>-491.24950000000001</v>
      </c>
      <c r="K3269">
        <v>1.111208</v>
      </c>
      <c r="L3269">
        <v>251.821</v>
      </c>
      <c r="M3269">
        <v>-0.14882579999999901</v>
      </c>
      <c r="N3269">
        <v>-1.334758E-2</v>
      </c>
      <c r="O3269">
        <v>-0.98877349999999997</v>
      </c>
      <c r="P3269">
        <v>7.6380809999999993E-2</v>
      </c>
      <c r="Q3269">
        <v>-0.1320047</v>
      </c>
      <c r="R3269">
        <v>-0.98830200000000001</v>
      </c>
      <c r="S3269">
        <v>0.66735840000000002</v>
      </c>
      <c r="T3269">
        <v>0.65843180000000001</v>
      </c>
      <c r="U3269">
        <v>-3.0749819999999999</v>
      </c>
      <c r="V3269">
        <v>-0.22217419999999999</v>
      </c>
      <c r="W3269">
        <v>-0.119944</v>
      </c>
      <c r="X3269">
        <v>0.96760119999999905</v>
      </c>
      <c r="Y3269">
        <v>-0.35074080000000002</v>
      </c>
      <c r="Z3269">
        <v>-0.21024809999999999</v>
      </c>
      <c r="AA3269">
        <v>0.91256590000000004</v>
      </c>
      <c r="AB3269">
        <v>18</v>
      </c>
      <c r="AC3269">
        <v>17.445899999999899</v>
      </c>
      <c r="AD3269">
        <v>17.1882219999999</v>
      </c>
      <c r="AE3269">
        <v>-80.085700000000003</v>
      </c>
      <c r="AF3269">
        <v>-27.942647172909201</v>
      </c>
      <c r="AG3269">
        <v>17.1882219999999</v>
      </c>
      <c r="AH3269">
        <v>73.370481047424505</v>
      </c>
      <c r="AI3269">
        <v>77.651244674409895</v>
      </c>
      <c r="AJ3269">
        <v>110.848993922055</v>
      </c>
      <c r="AK3269">
        <v>80.370728475493294</v>
      </c>
      <c r="AL3269">
        <v>96.888870601488307</v>
      </c>
      <c r="AM3269">
        <v>102.93172500378699</v>
      </c>
      <c r="AN3269">
        <v>1.0000000102615301</v>
      </c>
    </row>
    <row r="3270" spans="1:40" x14ac:dyDescent="0.25">
      <c r="A3270" t="str">
        <f>"20190305134958182"</f>
        <v>20190305134958182</v>
      </c>
      <c r="B3270" t="str">
        <f>"1551764998173763"</f>
        <v>1551764998173763</v>
      </c>
      <c r="C3270" t="s">
        <v>40</v>
      </c>
      <c r="D3270">
        <v>4.0945390000000002</v>
      </c>
      <c r="E3270">
        <v>0.45034099999999999</v>
      </c>
      <c r="F3270" t="s">
        <v>82</v>
      </c>
      <c r="G3270">
        <v>-473.6035</v>
      </c>
      <c r="H3270">
        <v>18.36713</v>
      </c>
      <c r="I3270">
        <v>171.7354</v>
      </c>
      <c r="J3270">
        <v>-491.26639999999998</v>
      </c>
      <c r="K3270">
        <v>1.1112089999999999</v>
      </c>
      <c r="L3270">
        <v>251.68969999999999</v>
      </c>
      <c r="M3270">
        <v>-0.1465042</v>
      </c>
      <c r="N3270">
        <v>-1.3356059999999999E-2</v>
      </c>
      <c r="O3270">
        <v>-0.98912</v>
      </c>
      <c r="P3270">
        <v>8.0798540000000002E-2</v>
      </c>
      <c r="Q3270">
        <v>-0.13145479999999901</v>
      </c>
      <c r="R3270">
        <v>-0.98802409999999996</v>
      </c>
      <c r="S3270">
        <v>0.67678830000000001</v>
      </c>
      <c r="T3270">
        <v>0.66182790000000002</v>
      </c>
      <c r="U3270">
        <v>-3.0715789999999998</v>
      </c>
      <c r="V3270">
        <v>-0.22423850000000001</v>
      </c>
      <c r="W3270">
        <v>-0.119397699999999</v>
      </c>
      <c r="X3270">
        <v>0.96719250000000001</v>
      </c>
      <c r="Y3270">
        <v>-0.35137879999999999</v>
      </c>
      <c r="Z3270">
        <v>-0.21145140000000001</v>
      </c>
      <c r="AA3270">
        <v>0.91204240000000003</v>
      </c>
      <c r="AB3270">
        <v>18</v>
      </c>
      <c r="AC3270">
        <v>17.662899999999901</v>
      </c>
      <c r="AD3270">
        <v>17.255921000000001</v>
      </c>
      <c r="AE3270">
        <v>-79.954299999999904</v>
      </c>
      <c r="AF3270">
        <v>-27.945841368958298</v>
      </c>
      <c r="AG3270">
        <v>17.255921000000001</v>
      </c>
      <c r="AH3270">
        <v>73.250338755069293</v>
      </c>
      <c r="AI3270">
        <v>77.587081757459998</v>
      </c>
      <c r="AJ3270">
        <v>110.882424513486</v>
      </c>
      <c r="AK3270">
        <v>80.276702642233801</v>
      </c>
      <c r="AL3270">
        <v>96.857343256662602</v>
      </c>
      <c r="AM3270">
        <v>103.05310975626099</v>
      </c>
      <c r="AN3270">
        <v>1.00000002385189</v>
      </c>
    </row>
    <row r="3271" spans="1:40" x14ac:dyDescent="0.25">
      <c r="A3271" t="str">
        <f>"20190305134958194"</f>
        <v>20190305134958194</v>
      </c>
      <c r="B3271" t="str">
        <f>"1551764998183520"</f>
        <v>1551764998183520</v>
      </c>
      <c r="C3271" t="s">
        <v>40</v>
      </c>
      <c r="D3271">
        <v>4.2838989999999999</v>
      </c>
      <c r="E3271">
        <v>0.45034099999999999</v>
      </c>
      <c r="F3271" t="s">
        <v>82</v>
      </c>
      <c r="G3271">
        <v>-473.52499999999998</v>
      </c>
      <c r="H3271">
        <v>18.199639999999999</v>
      </c>
      <c r="I3271">
        <v>172.65799999999999</v>
      </c>
      <c r="J3271">
        <v>-491.2783</v>
      </c>
      <c r="K3271">
        <v>1.11121</v>
      </c>
      <c r="L3271">
        <v>251.59620000000001</v>
      </c>
      <c r="M3271">
        <v>-0.14485129999999999</v>
      </c>
      <c r="N3271">
        <v>-1.336125E-2</v>
      </c>
      <c r="O3271">
        <v>-0.9893634</v>
      </c>
      <c r="P3271">
        <v>8.3772059999999995E-2</v>
      </c>
      <c r="Q3271">
        <v>-0.13188659999999999</v>
      </c>
      <c r="R3271">
        <v>-0.98771880000000001</v>
      </c>
      <c r="S3271">
        <v>0.68878169999999905</v>
      </c>
      <c r="T3271">
        <v>0.66343160000000001</v>
      </c>
      <c r="U3271">
        <v>-3.0682830000000001</v>
      </c>
      <c r="V3271">
        <v>-0.2255219</v>
      </c>
      <c r="W3271">
        <v>-0.1198332</v>
      </c>
      <c r="X3271">
        <v>0.96684009999999998</v>
      </c>
      <c r="Y3271">
        <v>-0.3533965</v>
      </c>
      <c r="Z3271">
        <v>-0.2120311</v>
      </c>
      <c r="AA3271">
        <v>0.91112769999999998</v>
      </c>
      <c r="AB3271">
        <v>18</v>
      </c>
      <c r="AC3271">
        <v>17.753299999999999</v>
      </c>
      <c r="AD3271">
        <v>17.088429999999999</v>
      </c>
      <c r="AE3271">
        <v>-78.938199999999995</v>
      </c>
      <c r="AF3271">
        <v>-27.762935587070199</v>
      </c>
      <c r="AG3271">
        <v>17.088429999999999</v>
      </c>
      <c r="AH3271">
        <v>72.308269856128106</v>
      </c>
      <c r="AI3271">
        <v>77.558474675735795</v>
      </c>
      <c r="AJ3271">
        <v>111.004413855832</v>
      </c>
      <c r="AK3271">
        <v>79.3175952854305</v>
      </c>
      <c r="AL3271">
        <v>96.882476517192998</v>
      </c>
      <c r="AM3271">
        <v>103.12985642805</v>
      </c>
      <c r="AN3271">
        <v>0.99999995108492801</v>
      </c>
    </row>
    <row r="3272" spans="1:40" x14ac:dyDescent="0.25">
      <c r="A3272" t="str">
        <f>"20190305134958355"</f>
        <v>20190305134958355</v>
      </c>
      <c r="B3272" t="str">
        <f>"1551764998353729"</f>
        <v>1551764998353729</v>
      </c>
      <c r="C3272" t="s">
        <v>40</v>
      </c>
      <c r="D3272">
        <v>4.1177650000000003</v>
      </c>
      <c r="E3272">
        <v>0.44913799999999998</v>
      </c>
      <c r="F3272" t="s">
        <v>82</v>
      </c>
      <c r="G3272">
        <v>-473.52499999999998</v>
      </c>
      <c r="H3272">
        <v>17.92521</v>
      </c>
      <c r="I3272">
        <v>173.70339999999999</v>
      </c>
      <c r="J3272">
        <v>-491.42570000000001</v>
      </c>
      <c r="K3272">
        <v>1.111189</v>
      </c>
      <c r="L3272">
        <v>250.31129999999999</v>
      </c>
      <c r="M3272">
        <v>-0.1221768</v>
      </c>
      <c r="N3272">
        <v>-1.341171E-2</v>
      </c>
      <c r="O3272">
        <v>-0.99241789999999996</v>
      </c>
      <c r="P3272">
        <v>0.1131027</v>
      </c>
      <c r="Q3272">
        <v>-0.1322422</v>
      </c>
      <c r="R3272">
        <v>-0.9847437</v>
      </c>
      <c r="S3272">
        <v>0.69888309999999998</v>
      </c>
      <c r="T3272">
        <v>0.66190640000000001</v>
      </c>
      <c r="U3272">
        <v>-3.06636</v>
      </c>
      <c r="V3272">
        <v>-0.2321357</v>
      </c>
      <c r="W3272">
        <v>-0.1201676</v>
      </c>
      <c r="X3272">
        <v>0.96523199999999998</v>
      </c>
      <c r="Y3272">
        <v>-0.33489570000000002</v>
      </c>
      <c r="Z3272">
        <v>-0.21332989999999999</v>
      </c>
      <c r="AA3272">
        <v>0.91778820000000005</v>
      </c>
      <c r="AB3272">
        <v>18</v>
      </c>
      <c r="AC3272">
        <v>17.900700000000001</v>
      </c>
      <c r="AD3272">
        <v>16.814021</v>
      </c>
      <c r="AE3272">
        <v>-76.607900000000001</v>
      </c>
      <c r="AF3272">
        <v>-25.942130605701202</v>
      </c>
      <c r="AG3272">
        <v>16.814021</v>
      </c>
      <c r="AH3272">
        <v>70.620804569305506</v>
      </c>
      <c r="AI3272">
        <v>77.402157521386798</v>
      </c>
      <c r="AJ3272">
        <v>110.17050631914999</v>
      </c>
      <c r="AK3272">
        <v>77.090878063281494</v>
      </c>
      <c r="AL3272">
        <v>96.901775176118903</v>
      </c>
      <c r="AM3272">
        <v>103.522672175342</v>
      </c>
      <c r="AN3272">
        <v>1.0000000245641201</v>
      </c>
    </row>
    <row r="3273" spans="1:40" x14ac:dyDescent="0.25">
      <c r="A3273" t="str">
        <f>"20190305134958373"</f>
        <v>20190305134958373</v>
      </c>
      <c r="B3273" t="str">
        <f>"1551764998363489"</f>
        <v>1551764998363489</v>
      </c>
      <c r="C3273" t="s">
        <v>40</v>
      </c>
      <c r="D3273">
        <v>4.1248360000000002</v>
      </c>
      <c r="E3273">
        <v>0.44903549999999998</v>
      </c>
      <c r="F3273" t="s">
        <v>82</v>
      </c>
      <c r="G3273">
        <v>-473.1431</v>
      </c>
      <c r="H3273">
        <v>16.27167</v>
      </c>
      <c r="I3273">
        <v>181.00389999999999</v>
      </c>
      <c r="J3273">
        <v>-491.43979999999999</v>
      </c>
      <c r="K3273">
        <v>1.111186</v>
      </c>
      <c r="L3273">
        <v>250.17269999999999</v>
      </c>
      <c r="M3273">
        <v>-0.119731</v>
      </c>
      <c r="N3273">
        <v>-1.341471E-2</v>
      </c>
      <c r="O3273">
        <v>-0.99271589999999998</v>
      </c>
      <c r="P3273">
        <v>0.115394899999999</v>
      </c>
      <c r="Q3273">
        <v>-0.1323877</v>
      </c>
      <c r="R3273">
        <v>-0.98445830000000001</v>
      </c>
      <c r="S3273">
        <v>0.80288700000000002</v>
      </c>
      <c r="T3273">
        <v>0.66577679999999995</v>
      </c>
      <c r="U3273">
        <v>-3.0436550000000002</v>
      </c>
      <c r="V3273">
        <v>-0.23200290000000001</v>
      </c>
      <c r="W3273">
        <v>-0.1203075</v>
      </c>
      <c r="X3273">
        <v>0.96524650000000001</v>
      </c>
      <c r="Y3273">
        <v>-0.36344330000000002</v>
      </c>
      <c r="Z3273">
        <v>-0.21405489999999999</v>
      </c>
      <c r="AA3273">
        <v>0.90669149999999998</v>
      </c>
      <c r="AB3273">
        <v>18</v>
      </c>
      <c r="AC3273">
        <v>18.296699999999898</v>
      </c>
      <c r="AD3273">
        <v>15.160484</v>
      </c>
      <c r="AE3273">
        <v>-69.168800000000005</v>
      </c>
      <c r="AF3273">
        <v>-25.311019712905001</v>
      </c>
      <c r="AG3273">
        <v>15.160484</v>
      </c>
      <c r="AH3273">
        <v>63.623641546904999</v>
      </c>
      <c r="AI3273">
        <v>77.515727118230501</v>
      </c>
      <c r="AJ3273">
        <v>111.693856253703</v>
      </c>
      <c r="AK3273">
        <v>70.131702943179604</v>
      </c>
      <c r="AL3273">
        <v>96.909849444122003</v>
      </c>
      <c r="AM3273">
        <v>103.515024421812</v>
      </c>
      <c r="AN3273">
        <v>1.00000002296345</v>
      </c>
    </row>
    <row r="3274" spans="1:40" x14ac:dyDescent="0.25">
      <c r="A3274" t="str">
        <f>"20190305134958384"</f>
        <v>20190305134958384</v>
      </c>
      <c r="B3274" t="str">
        <f>"1551764998373250"</f>
        <v>1551764998373250</v>
      </c>
      <c r="C3274" t="s">
        <v>40</v>
      </c>
      <c r="D3274">
        <v>4.1290209999999998</v>
      </c>
      <c r="E3274">
        <v>0.44882050000000001</v>
      </c>
      <c r="F3274" t="s">
        <v>82</v>
      </c>
      <c r="G3274">
        <v>-472.9948</v>
      </c>
      <c r="H3274">
        <v>16.35209</v>
      </c>
      <c r="I3274">
        <v>181.00389999999999</v>
      </c>
      <c r="J3274">
        <v>-491.44920000000002</v>
      </c>
      <c r="K3274">
        <v>1.1111819999999999</v>
      </c>
      <c r="L3274">
        <v>250.0796</v>
      </c>
      <c r="M3274">
        <v>-0.1180877</v>
      </c>
      <c r="N3274">
        <v>-1.341645E-2</v>
      </c>
      <c r="O3274">
        <v>-0.99291269999999998</v>
      </c>
      <c r="P3274">
        <v>0.1169409</v>
      </c>
      <c r="Q3274">
        <v>-0.1322709</v>
      </c>
      <c r="R3274">
        <v>-0.98429129999999998</v>
      </c>
      <c r="S3274">
        <v>0.81130979999999997</v>
      </c>
      <c r="T3274">
        <v>0.67037749999999996</v>
      </c>
      <c r="U3274">
        <v>-3.0424190000000002</v>
      </c>
      <c r="V3274">
        <v>-0.23192389999999999</v>
      </c>
      <c r="W3274">
        <v>-0.1201869</v>
      </c>
      <c r="X3274">
        <v>0.96528049999999999</v>
      </c>
      <c r="Y3274">
        <v>-0.3642688</v>
      </c>
      <c r="Z3274">
        <v>-0.2154133</v>
      </c>
      <c r="AA3274">
        <v>0.90603829999999996</v>
      </c>
      <c r="AB3274">
        <v>18</v>
      </c>
      <c r="AC3274">
        <v>18.4544</v>
      </c>
      <c r="AD3274">
        <v>15.240907999999999</v>
      </c>
      <c r="AE3274">
        <v>-69.075699999999998</v>
      </c>
      <c r="AF3274">
        <v>-25.3319191208642</v>
      </c>
      <c r="AG3274">
        <v>15.240907999999999</v>
      </c>
      <c r="AH3274">
        <v>63.526293157825798</v>
      </c>
      <c r="AI3274">
        <v>77.436898830944799</v>
      </c>
      <c r="AJ3274">
        <v>111.740271860227</v>
      </c>
      <c r="AK3274">
        <v>70.068404615664704</v>
      </c>
      <c r="AL3274">
        <v>96.902889123877102</v>
      </c>
      <c r="AM3274">
        <v>103.510132676059</v>
      </c>
      <c r="AN3274">
        <v>1.00000001500153</v>
      </c>
    </row>
    <row r="3275" spans="1:40" x14ac:dyDescent="0.25">
      <c r="A3275" t="str">
        <f>"20190305134958395"</f>
        <v>20190305134958395</v>
      </c>
      <c r="B3275" t="str">
        <f>"1551764998383985"</f>
        <v>1551764998383985</v>
      </c>
      <c r="C3275" t="s">
        <v>40</v>
      </c>
      <c r="D3275">
        <v>4.1280359999999998</v>
      </c>
      <c r="E3275">
        <v>0.44881270000000001</v>
      </c>
      <c r="F3275" t="s">
        <v>82</v>
      </c>
      <c r="G3275">
        <v>-472.86189999999999</v>
      </c>
      <c r="H3275">
        <v>16.407</v>
      </c>
      <c r="I3275">
        <v>181.00389999999999</v>
      </c>
      <c r="J3275">
        <v>-491.45760000000001</v>
      </c>
      <c r="K3275">
        <v>1.111181</v>
      </c>
      <c r="L3275">
        <v>249.9931</v>
      </c>
      <c r="M3275">
        <v>-0.1165605</v>
      </c>
      <c r="N3275">
        <v>-1.341785E-2</v>
      </c>
      <c r="O3275">
        <v>-0.993093</v>
      </c>
      <c r="P3275">
        <v>0.1183119</v>
      </c>
      <c r="Q3275">
        <v>-0.13258589999999901</v>
      </c>
      <c r="R3275">
        <v>-0.98408510000000005</v>
      </c>
      <c r="S3275">
        <v>0.81832890000000003</v>
      </c>
      <c r="T3275">
        <v>0.673419199999999</v>
      </c>
      <c r="U3275">
        <v>-3.041153</v>
      </c>
      <c r="V3275">
        <v>-0.23177880000000001</v>
      </c>
      <c r="W3275">
        <v>-0.1204988</v>
      </c>
      <c r="X3275">
        <v>0.96527640000000003</v>
      </c>
      <c r="Y3275">
        <v>-0.36483579999999999</v>
      </c>
      <c r="Z3275">
        <v>-0.21634129999999999</v>
      </c>
      <c r="AA3275">
        <v>0.90558890000000003</v>
      </c>
      <c r="AB3275">
        <v>18</v>
      </c>
      <c r="AC3275">
        <v>18.595700000000001</v>
      </c>
      <c r="AD3275">
        <v>15.295819</v>
      </c>
      <c r="AE3275">
        <v>-68.989199999999997</v>
      </c>
      <c r="AF3275">
        <v>-25.3493697272154</v>
      </c>
      <c r="AG3275">
        <v>15.295819</v>
      </c>
      <c r="AH3275">
        <v>63.443690467747203</v>
      </c>
      <c r="AI3275">
        <v>77.380532432539894</v>
      </c>
      <c r="AJ3275">
        <v>111.779524378969</v>
      </c>
      <c r="AK3275">
        <v>70.011816749854006</v>
      </c>
      <c r="AL3275">
        <v>96.920890951773799</v>
      </c>
      <c r="AM3275">
        <v>103.502045056304</v>
      </c>
      <c r="AN3275">
        <v>0.999999950663918</v>
      </c>
    </row>
    <row r="3276" spans="1:40" x14ac:dyDescent="0.25">
      <c r="A3276" t="str">
        <f>"20190305134958406"</f>
        <v>20190305134958406</v>
      </c>
      <c r="B3276" t="str">
        <f>"1551764998403506"</f>
        <v>1551764998403506</v>
      </c>
      <c r="C3276" t="s">
        <v>40</v>
      </c>
      <c r="D3276">
        <v>4.127008</v>
      </c>
      <c r="E3276">
        <v>0.44853209999999999</v>
      </c>
      <c r="F3276" t="s">
        <v>82</v>
      </c>
      <c r="G3276">
        <v>-472.78809999999999</v>
      </c>
      <c r="H3276">
        <v>16.470759999999999</v>
      </c>
      <c r="I3276">
        <v>181.00389999999999</v>
      </c>
      <c r="J3276">
        <v>-491.46620000000001</v>
      </c>
      <c r="K3276">
        <v>1.1111759999999999</v>
      </c>
      <c r="L3276">
        <v>249.90479999999999</v>
      </c>
      <c r="M3276">
        <v>-0.1150007</v>
      </c>
      <c r="N3276">
        <v>-1.341913E-2</v>
      </c>
      <c r="O3276">
        <v>-0.99327480000000001</v>
      </c>
      <c r="P3276">
        <v>0.11952400000000001</v>
      </c>
      <c r="Q3276">
        <v>-0.13280719999999999</v>
      </c>
      <c r="R3276">
        <v>-0.98390860000000002</v>
      </c>
      <c r="S3276">
        <v>0.82287600000000005</v>
      </c>
      <c r="T3276">
        <v>0.67698959999999997</v>
      </c>
      <c r="U3276">
        <v>-3.0407709999999999</v>
      </c>
      <c r="V3276">
        <v>-0.2314495</v>
      </c>
      <c r="W3276">
        <v>-0.1207158</v>
      </c>
      <c r="X3276">
        <v>0.96532830000000003</v>
      </c>
      <c r="Y3276">
        <v>-0.36460910000000002</v>
      </c>
      <c r="Z3276">
        <v>-0.2174191</v>
      </c>
      <c r="AA3276">
        <v>0.90542210000000001</v>
      </c>
      <c r="AB3276">
        <v>18</v>
      </c>
      <c r="AC3276">
        <v>18.678100000000001</v>
      </c>
      <c r="AD3276">
        <v>15.359584</v>
      </c>
      <c r="AE3276">
        <v>-68.900899999999993</v>
      </c>
      <c r="AF3276">
        <v>-25.306993466502298</v>
      </c>
      <c r="AG3276">
        <v>15.359584</v>
      </c>
      <c r="AH3276">
        <v>63.362292313458497</v>
      </c>
      <c r="AI3276">
        <v>77.3132115155002</v>
      </c>
      <c r="AJ3276">
        <v>111.771840849307</v>
      </c>
      <c r="AK3276">
        <v>69.936691558743405</v>
      </c>
      <c r="AL3276">
        <v>96.933415559476998</v>
      </c>
      <c r="AM3276">
        <v>103.482864468776</v>
      </c>
      <c r="AN3276">
        <v>0.99999995110038797</v>
      </c>
    </row>
    <row r="3277" spans="1:40" x14ac:dyDescent="0.25">
      <c r="A3277" t="str">
        <f>"20190305134958419"</f>
        <v>20190305134958419</v>
      </c>
      <c r="B3277" t="str">
        <f>"1551764998413265"</f>
        <v>1551764998413265</v>
      </c>
      <c r="C3277" t="s">
        <v>40</v>
      </c>
      <c r="D3277">
        <v>4.1345850000000004</v>
      </c>
      <c r="E3277">
        <v>0.44853720000000002</v>
      </c>
      <c r="F3277" t="s">
        <v>82</v>
      </c>
      <c r="G3277">
        <v>-472.66930000000002</v>
      </c>
      <c r="H3277">
        <v>16.510649999999998</v>
      </c>
      <c r="I3277">
        <v>181.00389999999999</v>
      </c>
      <c r="J3277">
        <v>-491.4744</v>
      </c>
      <c r="K3277">
        <v>1.111175</v>
      </c>
      <c r="L3277">
        <v>249.8186</v>
      </c>
      <c r="M3277">
        <v>-0.11348030000000001</v>
      </c>
      <c r="N3277">
        <v>-1.342017E-2</v>
      </c>
      <c r="O3277">
        <v>-0.99344960000000004</v>
      </c>
      <c r="P3277">
        <v>0.12121129999999999</v>
      </c>
      <c r="Q3277">
        <v>-0.1331234</v>
      </c>
      <c r="R3277">
        <v>-0.98365959999999997</v>
      </c>
      <c r="S3277">
        <v>0.82934569999999996</v>
      </c>
      <c r="T3277">
        <v>0.67944799999999905</v>
      </c>
      <c r="U3277">
        <v>-3.040009</v>
      </c>
      <c r="V3277">
        <v>-0.23162150000000001</v>
      </c>
      <c r="W3277">
        <v>-0.1210315</v>
      </c>
      <c r="X3277">
        <v>0.96524759999999998</v>
      </c>
      <c r="Y3277">
        <v>-0.36499949999999998</v>
      </c>
      <c r="Z3277">
        <v>-0.2181574</v>
      </c>
      <c r="AA3277">
        <v>0.90508710000000003</v>
      </c>
      <c r="AB3277">
        <v>18</v>
      </c>
      <c r="AC3277">
        <v>18.8050999999999</v>
      </c>
      <c r="AD3277">
        <v>15.399475000000001</v>
      </c>
      <c r="AE3277">
        <v>-68.814700000000002</v>
      </c>
      <c r="AF3277">
        <v>-25.313832990520499</v>
      </c>
      <c r="AG3277">
        <v>15.399475000000001</v>
      </c>
      <c r="AH3277">
        <v>63.286826247730502</v>
      </c>
      <c r="AI3277">
        <v>77.269140952133696</v>
      </c>
      <c r="AJ3277">
        <v>111.800709012295</v>
      </c>
      <c r="AK3277">
        <v>69.879584625683293</v>
      </c>
      <c r="AL3277">
        <v>96.951636847645503</v>
      </c>
      <c r="AM3277">
        <v>103.493604747394</v>
      </c>
      <c r="AN3277">
        <v>1.00000003628012</v>
      </c>
    </row>
    <row r="3278" spans="1:40" x14ac:dyDescent="0.25">
      <c r="A3278" t="str">
        <f>"20190305134958429"</f>
        <v>20190305134958429</v>
      </c>
      <c r="B3278" t="str">
        <f>"1551764998424001"</f>
        <v>1551764998424001</v>
      </c>
      <c r="C3278" t="s">
        <v>40</v>
      </c>
      <c r="D3278">
        <v>4.1365809999999996</v>
      </c>
      <c r="E3278">
        <v>0.44845170000000001</v>
      </c>
      <c r="F3278" t="s">
        <v>82</v>
      </c>
      <c r="G3278">
        <v>-472.46140000000003</v>
      </c>
      <c r="H3278">
        <v>16.630279999999999</v>
      </c>
      <c r="I3278">
        <v>180.59549999999999</v>
      </c>
      <c r="J3278">
        <v>-491.48320000000001</v>
      </c>
      <c r="K3278">
        <v>1.111173</v>
      </c>
      <c r="L3278">
        <v>249.72470000000001</v>
      </c>
      <c r="M3278">
        <v>-0.1118222</v>
      </c>
      <c r="N3278">
        <v>-1.3421239999999999E-2</v>
      </c>
      <c r="O3278">
        <v>-0.99363760000000001</v>
      </c>
      <c r="P3278">
        <v>0.12265710000000001</v>
      </c>
      <c r="Q3278">
        <v>-0.133164899999999</v>
      </c>
      <c r="R3278">
        <v>-0.98347470000000003</v>
      </c>
      <c r="S3278">
        <v>0.83474729999999997</v>
      </c>
      <c r="T3278">
        <v>0.6813534</v>
      </c>
      <c r="U3278">
        <v>-3.0391849999999998</v>
      </c>
      <c r="V3278">
        <v>-0.23142989999999999</v>
      </c>
      <c r="W3278">
        <v>-0.12106939999999999</v>
      </c>
      <c r="X3278">
        <v>0.96528879999999995</v>
      </c>
      <c r="Y3278">
        <v>-0.36497550000000001</v>
      </c>
      <c r="Z3278">
        <v>-0.21877070000000001</v>
      </c>
      <c r="AA3278">
        <v>0.9049488</v>
      </c>
      <c r="AB3278">
        <v>18</v>
      </c>
      <c r="AC3278">
        <v>19.021799999999899</v>
      </c>
      <c r="AD3278">
        <v>15.519106999999901</v>
      </c>
      <c r="AE3278">
        <v>-69.129199999999997</v>
      </c>
      <c r="AF3278">
        <v>-25.441413218119401</v>
      </c>
      <c r="AG3278">
        <v>15.519106999999901</v>
      </c>
      <c r="AH3278">
        <v>63.58913192016</v>
      </c>
      <c r="AI3278">
        <v>77.232920459426893</v>
      </c>
      <c r="AJ3278">
        <v>111.80588378115399</v>
      </c>
      <c r="AK3278">
        <v>70.225963054785197</v>
      </c>
      <c r="AL3278">
        <v>96.953824468611202</v>
      </c>
      <c r="AM3278">
        <v>103.48229591085</v>
      </c>
      <c r="AN3278">
        <v>1.0000000328179</v>
      </c>
    </row>
    <row r="3279" spans="1:40" x14ac:dyDescent="0.25">
      <c r="A3279" t="str">
        <f>"20190305134958442"</f>
        <v>20190305134958442</v>
      </c>
      <c r="B3279" t="str">
        <f>"1551764998433761"</f>
        <v>1551764998433761</v>
      </c>
      <c r="C3279" t="s">
        <v>40</v>
      </c>
      <c r="D3279">
        <v>4.0757570000000003</v>
      </c>
      <c r="E3279">
        <v>0.44830330000000002</v>
      </c>
      <c r="F3279" t="s">
        <v>82</v>
      </c>
      <c r="G3279">
        <v>-472.35930000000002</v>
      </c>
      <c r="H3279">
        <v>16.640270000000001</v>
      </c>
      <c r="I3279">
        <v>180.59549999999999</v>
      </c>
      <c r="J3279">
        <v>-491.49220000000003</v>
      </c>
      <c r="K3279">
        <v>1.111175</v>
      </c>
      <c r="L3279">
        <v>249.6267</v>
      </c>
      <c r="M3279">
        <v>-0.11009049999999999</v>
      </c>
      <c r="N3279">
        <v>-1.3422099999999999E-2</v>
      </c>
      <c r="O3279">
        <v>-0.99383100000000002</v>
      </c>
      <c r="P3279">
        <v>0.1241703</v>
      </c>
      <c r="Q3279">
        <v>-0.13333329999999999</v>
      </c>
      <c r="R3279">
        <v>-0.98326199999999997</v>
      </c>
      <c r="S3279">
        <v>0.84042359999999905</v>
      </c>
      <c r="T3279">
        <v>0.68244759999999904</v>
      </c>
      <c r="U3279">
        <v>-3.037979</v>
      </c>
      <c r="V3279">
        <v>-0.23123089999999999</v>
      </c>
      <c r="W3279">
        <v>-0.1212346</v>
      </c>
      <c r="X3279">
        <v>0.9653157</v>
      </c>
      <c r="Y3279">
        <v>-0.36499959999999998</v>
      </c>
      <c r="Z3279">
        <v>-0.21917210000000001</v>
      </c>
      <c r="AA3279">
        <v>0.90484189999999998</v>
      </c>
      <c r="AB3279">
        <v>18</v>
      </c>
      <c r="AC3279">
        <v>19.132899999999999</v>
      </c>
      <c r="AD3279">
        <v>15.529095</v>
      </c>
      <c r="AE3279">
        <v>-69.031199999999998</v>
      </c>
      <c r="AF3279">
        <v>-25.4222086627816</v>
      </c>
      <c r="AG3279">
        <v>15.529095</v>
      </c>
      <c r="AH3279">
        <v>63.519820916353197</v>
      </c>
      <c r="AI3279">
        <v>77.212064211002499</v>
      </c>
      <c r="AJ3279">
        <v>111.812512961455</v>
      </c>
      <c r="AK3279">
        <v>70.158457323822503</v>
      </c>
      <c r="AL3279">
        <v>96.963360346442798</v>
      </c>
      <c r="AM3279">
        <v>103.470763864978</v>
      </c>
      <c r="AN3279">
        <v>0.99999997900922899</v>
      </c>
    </row>
    <row r="3280" spans="1:40" x14ac:dyDescent="0.25">
      <c r="A3280" t="str">
        <f>"20190305134958456"</f>
        <v>20190305134958456</v>
      </c>
      <c r="B3280" t="str">
        <f>"1551764998453281"</f>
        <v>1551764998453281</v>
      </c>
      <c r="C3280" t="s">
        <v>40</v>
      </c>
      <c r="D3280">
        <v>4.3192599999999999</v>
      </c>
      <c r="E3280">
        <v>0.44813639999999999</v>
      </c>
      <c r="F3280" t="s">
        <v>82</v>
      </c>
      <c r="G3280">
        <v>-472.24810000000002</v>
      </c>
      <c r="H3280">
        <v>16.603760000000001</v>
      </c>
      <c r="I3280">
        <v>180.59549999999999</v>
      </c>
      <c r="J3280">
        <v>-491.50200000000001</v>
      </c>
      <c r="K3280">
        <v>1.1111759999999999</v>
      </c>
      <c r="L3280">
        <v>249.51750000000001</v>
      </c>
      <c r="M3280">
        <v>-0.1081627</v>
      </c>
      <c r="N3280">
        <v>-1.3422969999999999E-2</v>
      </c>
      <c r="O3280">
        <v>-0.9940428</v>
      </c>
      <c r="P3280">
        <v>0.12587780000000001</v>
      </c>
      <c r="Q3280">
        <v>-0.1332121</v>
      </c>
      <c r="R3280">
        <v>-0.98306159999999998</v>
      </c>
      <c r="S3280">
        <v>0.84652709999999998</v>
      </c>
      <c r="T3280">
        <v>0.68150140000000003</v>
      </c>
      <c r="U3280">
        <v>-3.0366059999999999</v>
      </c>
      <c r="V3280">
        <v>-0.23103879999999999</v>
      </c>
      <c r="W3280">
        <v>-0.12110949999999999</v>
      </c>
      <c r="X3280">
        <v>0.96537740000000005</v>
      </c>
      <c r="Y3280">
        <v>-0.36500519999999997</v>
      </c>
      <c r="Z3280">
        <v>-0.21900140000000001</v>
      </c>
      <c r="AA3280">
        <v>0.90488100000000005</v>
      </c>
      <c r="AB3280">
        <v>18</v>
      </c>
      <c r="AC3280">
        <v>19.253899999999899</v>
      </c>
      <c r="AD3280">
        <v>15.4925839999999</v>
      </c>
      <c r="AE3280">
        <v>-68.921999999999997</v>
      </c>
      <c r="AF3280">
        <v>-25.405614468001101</v>
      </c>
      <c r="AG3280">
        <v>15.4925839999999</v>
      </c>
      <c r="AH3280">
        <v>63.460431929122599</v>
      </c>
      <c r="AI3280">
        <v>77.230077991324293</v>
      </c>
      <c r="AJ3280">
        <v>111.81809617461001</v>
      </c>
      <c r="AK3280">
        <v>70.090597273276003</v>
      </c>
      <c r="AL3280">
        <v>96.956139421384904</v>
      </c>
      <c r="AM3280">
        <v>103.459151157234</v>
      </c>
      <c r="AN3280">
        <v>0.99999998126322398</v>
      </c>
    </row>
    <row r="3281" spans="1:40" x14ac:dyDescent="0.25">
      <c r="A3281" t="str">
        <f>"20190305134958479"</f>
        <v>20190305134958479</v>
      </c>
      <c r="B3281" t="str">
        <f>"1551764998473777"</f>
        <v>1551764998473777</v>
      </c>
      <c r="C3281" t="s">
        <v>40</v>
      </c>
      <c r="D3281">
        <v>4.1175899999999999</v>
      </c>
      <c r="E3281">
        <v>0.44807930000000001</v>
      </c>
      <c r="F3281" t="s">
        <v>82</v>
      </c>
      <c r="G3281">
        <v>-472.11290000000002</v>
      </c>
      <c r="H3281">
        <v>16.592790000000001</v>
      </c>
      <c r="I3281">
        <v>180.59549999999999</v>
      </c>
      <c r="J3281">
        <v>-491.5181</v>
      </c>
      <c r="K3281">
        <v>1.1111789999999999</v>
      </c>
      <c r="L3281">
        <v>249.3329</v>
      </c>
      <c r="M3281">
        <v>-0.10490149999999999</v>
      </c>
      <c r="N3281">
        <v>-1.342407E-2</v>
      </c>
      <c r="O3281">
        <v>-0.99439219999999895</v>
      </c>
      <c r="P3281">
        <v>0.12913730000000001</v>
      </c>
      <c r="Q3281">
        <v>-0.1327749</v>
      </c>
      <c r="R3281">
        <v>-0.98269790000000001</v>
      </c>
      <c r="S3281">
        <v>0.85372919999999997</v>
      </c>
      <c r="T3281">
        <v>0.68167580000000005</v>
      </c>
      <c r="U3281">
        <v>-3.034729</v>
      </c>
      <c r="V3281">
        <v>-0.2310826</v>
      </c>
      <c r="W3281">
        <v>-0.12066830000000001</v>
      </c>
      <c r="X3281">
        <v>0.96542220000000001</v>
      </c>
      <c r="Y3281">
        <v>-0.36408410000000002</v>
      </c>
      <c r="Z3281">
        <v>-0.21925549999999999</v>
      </c>
      <c r="AA3281">
        <v>0.90519050000000001</v>
      </c>
      <c r="AB3281">
        <v>18</v>
      </c>
      <c r="AC3281">
        <v>19.405199999999901</v>
      </c>
      <c r="AD3281">
        <v>15.481610999999999</v>
      </c>
      <c r="AE3281">
        <v>-68.737399999999994</v>
      </c>
      <c r="AF3281">
        <v>-25.319811028651699</v>
      </c>
      <c r="AG3281">
        <v>15.481610999999999</v>
      </c>
      <c r="AH3281">
        <v>63.346055999039599</v>
      </c>
      <c r="AI3281">
        <v>77.213848161661403</v>
      </c>
      <c r="AJ3281">
        <v>111.78689614464299</v>
      </c>
      <c r="AK3281">
        <v>69.9535268611627</v>
      </c>
      <c r="AL3281">
        <v>96.930673520601104</v>
      </c>
      <c r="AM3281">
        <v>103.46100791793</v>
      </c>
      <c r="AN3281">
        <v>1.00000001545024</v>
      </c>
    </row>
    <row r="3282" spans="1:40" x14ac:dyDescent="0.25">
      <c r="A3282" t="str">
        <f>"20190305134958497"</f>
        <v>20190305134958497</v>
      </c>
      <c r="B3282" t="str">
        <f>"1551764998493298"</f>
        <v>1551764998493298</v>
      </c>
      <c r="C3282" t="s">
        <v>40</v>
      </c>
      <c r="D3282">
        <v>4.1508919999999998</v>
      </c>
      <c r="E3282">
        <v>0.44789499999999999</v>
      </c>
      <c r="F3282" t="s">
        <v>82</v>
      </c>
      <c r="G3282">
        <v>-471.90179999999998</v>
      </c>
      <c r="H3282">
        <v>16.636600000000001</v>
      </c>
      <c r="I3282">
        <v>180.59549999999999</v>
      </c>
      <c r="J3282">
        <v>-491.52960000000002</v>
      </c>
      <c r="K3282">
        <v>1.1111789999999999</v>
      </c>
      <c r="L3282">
        <v>249.1961</v>
      </c>
      <c r="M3282">
        <v>-0.102483</v>
      </c>
      <c r="N3282">
        <v>-1.342454E-2</v>
      </c>
      <c r="O3282">
        <v>-0.99464419999999998</v>
      </c>
      <c r="P3282">
        <v>0.1316396</v>
      </c>
      <c r="Q3282">
        <v>-0.13208689999999901</v>
      </c>
      <c r="R3282">
        <v>-0.9824581</v>
      </c>
      <c r="S3282">
        <v>0.86517330000000003</v>
      </c>
      <c r="T3282">
        <v>0.68474780000000002</v>
      </c>
      <c r="U3282">
        <v>-3.0316619999999999</v>
      </c>
      <c r="V3282">
        <v>-0.2312062</v>
      </c>
      <c r="W3282">
        <v>-0.1199775</v>
      </c>
      <c r="X3282">
        <v>0.96547870000000002</v>
      </c>
      <c r="Y3282">
        <v>-0.3651703</v>
      </c>
      <c r="Z3282">
        <v>-0.22026370000000001</v>
      </c>
      <c r="AA3282">
        <v>0.90450790000000003</v>
      </c>
      <c r="AB3282">
        <v>18</v>
      </c>
      <c r="AC3282">
        <v>19.627800000000001</v>
      </c>
      <c r="AD3282">
        <v>15.525421</v>
      </c>
      <c r="AE3282">
        <v>-68.6006</v>
      </c>
      <c r="AF3282">
        <v>-25.355071590887398</v>
      </c>
      <c r="AG3282">
        <v>15.525421</v>
      </c>
      <c r="AH3282">
        <v>63.2339345275021</v>
      </c>
      <c r="AI3282">
        <v>77.162304329649601</v>
      </c>
      <c r="AJ3282">
        <v>111.84943014952199</v>
      </c>
      <c r="AK3282">
        <v>69.874522026520395</v>
      </c>
      <c r="AL3282">
        <v>96.890803947227198</v>
      </c>
      <c r="AM3282">
        <v>103.467186188516</v>
      </c>
      <c r="AN3282">
        <v>1.00000001378919</v>
      </c>
    </row>
    <row r="3283" spans="1:40" x14ac:dyDescent="0.25">
      <c r="A3283" t="str">
        <f>"20190305134958509"</f>
        <v>20190305134958509</v>
      </c>
      <c r="B3283" t="str">
        <f>"1551764998504034"</f>
        <v>1551764998504034</v>
      </c>
      <c r="C3283" t="s">
        <v>40</v>
      </c>
      <c r="D3283">
        <v>4.101985</v>
      </c>
      <c r="E3283">
        <v>0.44771529999999998</v>
      </c>
      <c r="F3283" t="s">
        <v>82</v>
      </c>
      <c r="G3283">
        <v>-471.73349999999999</v>
      </c>
      <c r="H3283">
        <v>16.650639999999999</v>
      </c>
      <c r="I3283">
        <v>180.59549999999999</v>
      </c>
      <c r="J3283">
        <v>-491.53809999999999</v>
      </c>
      <c r="K3283">
        <v>1.1111740000000001</v>
      </c>
      <c r="L3283">
        <v>249.09299999999999</v>
      </c>
      <c r="M3283">
        <v>-0.10066070000000001</v>
      </c>
      <c r="N3283">
        <v>-1.3424719999999999E-2</v>
      </c>
      <c r="O3283">
        <v>-0.99483029999999995</v>
      </c>
      <c r="P3283">
        <v>0.13353389999999901</v>
      </c>
      <c r="Q3283">
        <v>-0.1320568</v>
      </c>
      <c r="R3283">
        <v>-0.98220680000000005</v>
      </c>
      <c r="S3283">
        <v>0.87399289999999996</v>
      </c>
      <c r="T3283">
        <v>0.68606389999999995</v>
      </c>
      <c r="U3283">
        <v>-3.028702</v>
      </c>
      <c r="V3283">
        <v>-0.23130049999999999</v>
      </c>
      <c r="W3283">
        <v>-0.1199462</v>
      </c>
      <c r="X3283">
        <v>0.96545999999999998</v>
      </c>
      <c r="Y3283">
        <v>-0.36610880000000001</v>
      </c>
      <c r="Z3283">
        <v>-0.2207682</v>
      </c>
      <c r="AA3283">
        <v>0.90400539999999996</v>
      </c>
      <c r="AB3283">
        <v>18</v>
      </c>
      <c r="AC3283">
        <v>19.804599999999901</v>
      </c>
      <c r="AD3283">
        <v>15.539465999999999</v>
      </c>
      <c r="AE3283">
        <v>-68.497500000000002</v>
      </c>
      <c r="AF3283">
        <v>-25.393530787847499</v>
      </c>
      <c r="AG3283">
        <v>15.539465999999999</v>
      </c>
      <c r="AH3283">
        <v>63.1561469288662</v>
      </c>
      <c r="AI3283">
        <v>77.140518133106795</v>
      </c>
      <c r="AJ3283">
        <v>111.903844362279</v>
      </c>
      <c r="AK3283">
        <v>69.821238203995307</v>
      </c>
      <c r="AL3283">
        <v>96.888997557515694</v>
      </c>
      <c r="AM3283">
        <v>103.47273016611599</v>
      </c>
      <c r="AN3283">
        <v>1.00000001189734</v>
      </c>
    </row>
    <row r="3284" spans="1:40" x14ac:dyDescent="0.25">
      <c r="A3284" t="str">
        <f>"20190305134958521"</f>
        <v>20190305134958521</v>
      </c>
      <c r="B3284" t="str">
        <f>"1551764998513794"</f>
        <v>1551764998513794</v>
      </c>
      <c r="C3284" t="s">
        <v>40</v>
      </c>
      <c r="D3284">
        <v>4.1518169999999897</v>
      </c>
      <c r="E3284">
        <v>0.44771109999999997</v>
      </c>
      <c r="F3284" t="s">
        <v>82</v>
      </c>
      <c r="G3284">
        <v>-471.60239999999999</v>
      </c>
      <c r="H3284">
        <v>16.60745</v>
      </c>
      <c r="I3284">
        <v>180.59549999999999</v>
      </c>
      <c r="J3284">
        <v>-491.54599999999999</v>
      </c>
      <c r="K3284">
        <v>1.1111709999999999</v>
      </c>
      <c r="L3284">
        <v>248.995</v>
      </c>
      <c r="M3284">
        <v>-9.8929729999999994E-2</v>
      </c>
      <c r="N3284">
        <v>-1.3424739999999999E-2</v>
      </c>
      <c r="O3284">
        <v>-0.99500409999999995</v>
      </c>
      <c r="P3284">
        <v>0.13541069999999999</v>
      </c>
      <c r="Q3284">
        <v>-0.13216329999999901</v>
      </c>
      <c r="R3284">
        <v>-0.98193560000000002</v>
      </c>
      <c r="S3284">
        <v>0.880889899999999</v>
      </c>
      <c r="T3284">
        <v>0.68472460000000002</v>
      </c>
      <c r="U3284">
        <v>-3.0266570000000002</v>
      </c>
      <c r="V3284">
        <v>-0.2314647</v>
      </c>
      <c r="W3284">
        <v>-0.1200526</v>
      </c>
      <c r="X3284">
        <v>0.96540740000000003</v>
      </c>
      <c r="Y3284">
        <v>-0.36657780000000001</v>
      </c>
      <c r="Z3284">
        <v>-0.22048480000000001</v>
      </c>
      <c r="AA3284">
        <v>0.90388449999999998</v>
      </c>
      <c r="AB3284">
        <v>18</v>
      </c>
      <c r="AC3284">
        <v>19.9436</v>
      </c>
      <c r="AD3284">
        <v>15.496278999999999</v>
      </c>
      <c r="AE3284">
        <v>-68.399500000000003</v>
      </c>
      <c r="AF3284">
        <v>-25.411015734595601</v>
      </c>
      <c r="AG3284">
        <v>15.496278999999999</v>
      </c>
      <c r="AH3284">
        <v>63.105464506193798</v>
      </c>
      <c r="AI3284">
        <v>77.167692684766806</v>
      </c>
      <c r="AJ3284">
        <v>111.93343135755801</v>
      </c>
      <c r="AK3284">
        <v>69.772158014871493</v>
      </c>
      <c r="AL3284">
        <v>96.895138345380403</v>
      </c>
      <c r="AM3284">
        <v>103.482653155329</v>
      </c>
      <c r="AN3284">
        <v>0.99999999104380499</v>
      </c>
    </row>
    <row r="3285" spans="1:40" x14ac:dyDescent="0.25">
      <c r="A3285" t="str">
        <f>"20190305134958541"</f>
        <v>20190305134958541</v>
      </c>
      <c r="B3285" t="str">
        <f>"1551764998533317"</f>
        <v>1551764998533317</v>
      </c>
      <c r="C3285" t="s">
        <v>40</v>
      </c>
      <c r="D3285">
        <v>4.1172649999999997</v>
      </c>
      <c r="E3285">
        <v>0.44766850000000002</v>
      </c>
      <c r="F3285" t="s">
        <v>82</v>
      </c>
      <c r="G3285">
        <v>-471.49790000000002</v>
      </c>
      <c r="H3285">
        <v>16.61383</v>
      </c>
      <c r="I3285">
        <v>180.59549999999999</v>
      </c>
      <c r="J3285">
        <v>-491.55770000000001</v>
      </c>
      <c r="K3285">
        <v>1.1111610000000001</v>
      </c>
      <c r="L3285">
        <v>248.84569999999999</v>
      </c>
      <c r="M3285">
        <v>-9.6290290000000001E-2</v>
      </c>
      <c r="N3285">
        <v>-1.34246E-2</v>
      </c>
      <c r="O3285">
        <v>-0.99526289999999995</v>
      </c>
      <c r="P3285">
        <v>0.13876720000000001</v>
      </c>
      <c r="Q3285">
        <v>-0.13299439999999901</v>
      </c>
      <c r="R3285">
        <v>-0.98135450000000002</v>
      </c>
      <c r="S3285">
        <v>0.88668819999999904</v>
      </c>
      <c r="T3285">
        <v>0.68565149999999997</v>
      </c>
      <c r="U3285">
        <v>-3.0251769999999998</v>
      </c>
      <c r="V3285">
        <v>-0.23219029999999999</v>
      </c>
      <c r="W3285">
        <v>-0.120888</v>
      </c>
      <c r="X3285">
        <v>0.96512889999999996</v>
      </c>
      <c r="Y3285">
        <v>-0.36580879999999999</v>
      </c>
      <c r="Z3285">
        <v>-0.2209055</v>
      </c>
      <c r="AA3285">
        <v>0.90409329999999999</v>
      </c>
      <c r="AB3285">
        <v>18</v>
      </c>
      <c r="AC3285">
        <v>20.059799999999999</v>
      </c>
      <c r="AD3285">
        <v>15.502668999999999</v>
      </c>
      <c r="AE3285">
        <v>-68.250200000000007</v>
      </c>
      <c r="AF3285">
        <v>-25.335747879196202</v>
      </c>
      <c r="AG3285">
        <v>15.502668999999999</v>
      </c>
      <c r="AH3285">
        <v>63.008848031956902</v>
      </c>
      <c r="AI3285">
        <v>77.141061161858403</v>
      </c>
      <c r="AJ3285">
        <v>111.90497339688299</v>
      </c>
      <c r="AK3285">
        <v>69.6587955468367</v>
      </c>
      <c r="AL3285">
        <v>96.9433542087462</v>
      </c>
      <c r="AM3285">
        <v>103.527127755663</v>
      </c>
      <c r="AN3285">
        <v>1.00000001878664</v>
      </c>
    </row>
    <row r="3286" spans="1:40" x14ac:dyDescent="0.25">
      <c r="A3286" t="str">
        <f>"20190305134958552"</f>
        <v>20190305134958552</v>
      </c>
      <c r="B3286" t="str">
        <f>"1551764998544050"</f>
        <v>1551764998544050</v>
      </c>
      <c r="C3286" t="s">
        <v>40</v>
      </c>
      <c r="D3286">
        <v>4.1440970000000004</v>
      </c>
      <c r="E3286">
        <v>0.44754899999999997</v>
      </c>
      <c r="F3286" t="s">
        <v>82</v>
      </c>
      <c r="G3286">
        <v>-471.28930000000003</v>
      </c>
      <c r="H3286">
        <v>16.541360000000001</v>
      </c>
      <c r="I3286">
        <v>180.59549999999999</v>
      </c>
      <c r="J3286">
        <v>-491.5643</v>
      </c>
      <c r="K3286">
        <v>1.1111599999999999</v>
      </c>
      <c r="L3286">
        <v>248.75890000000001</v>
      </c>
      <c r="M3286">
        <v>-9.4754900000000003E-2</v>
      </c>
      <c r="N3286">
        <v>-1.3424439999999999E-2</v>
      </c>
      <c r="O3286">
        <v>-0.99541009999999996</v>
      </c>
      <c r="P3286">
        <v>0.140824</v>
      </c>
      <c r="Q3286">
        <v>-0.133217899999999</v>
      </c>
      <c r="R3286">
        <v>-0.98103110000000004</v>
      </c>
      <c r="S3286">
        <v>0.897644</v>
      </c>
      <c r="T3286">
        <v>0.6833709</v>
      </c>
      <c r="U3286">
        <v>-3.022659</v>
      </c>
      <c r="V3286">
        <v>-0.23272129999999999</v>
      </c>
      <c r="W3286">
        <v>-0.1211145</v>
      </c>
      <c r="X3286">
        <v>0.96497259999999996</v>
      </c>
      <c r="Y3286">
        <v>-0.36763770000000001</v>
      </c>
      <c r="Z3286">
        <v>-0.22027649999999999</v>
      </c>
      <c r="AA3286">
        <v>0.90350469999999905</v>
      </c>
      <c r="AB3286">
        <v>18</v>
      </c>
      <c r="AC3286">
        <v>20.274999999999899</v>
      </c>
      <c r="AD3286">
        <v>15.430199999999999</v>
      </c>
      <c r="AE3286">
        <v>-68.163399999999996</v>
      </c>
      <c r="AF3286">
        <v>-25.445234618897899</v>
      </c>
      <c r="AG3286">
        <v>15.430199999999999</v>
      </c>
      <c r="AH3286">
        <v>62.970757202359202</v>
      </c>
      <c r="AI3286">
        <v>77.200208348321695</v>
      </c>
      <c r="AJ3286">
        <v>112.002657263415</v>
      </c>
      <c r="AK3286">
        <v>69.648167955009697</v>
      </c>
      <c r="AL3286">
        <v>96.956427738787994</v>
      </c>
      <c r="AM3286">
        <v>103.559037435029</v>
      </c>
      <c r="AN3286">
        <v>1.00000002216734</v>
      </c>
    </row>
    <row r="3287" spans="1:40" x14ac:dyDescent="0.25">
      <c r="A3287" t="str">
        <f>"20190305134958563"</f>
        <v>20190305134958563</v>
      </c>
      <c r="B3287" t="str">
        <f>"1551764998553811"</f>
        <v>1551764998553811</v>
      </c>
      <c r="C3287" t="s">
        <v>40</v>
      </c>
      <c r="D3287">
        <v>4.1078199999999896</v>
      </c>
      <c r="E3287">
        <v>0.4474148</v>
      </c>
      <c r="F3287" t="s">
        <v>82</v>
      </c>
      <c r="G3287">
        <v>-471.14670000000001</v>
      </c>
      <c r="H3287">
        <v>16.499870000000001</v>
      </c>
      <c r="I3287">
        <v>180.59549999999999</v>
      </c>
      <c r="J3287">
        <v>-491.57130000000001</v>
      </c>
      <c r="K3287">
        <v>1.111159</v>
      </c>
      <c r="L3287">
        <v>248.66550000000001</v>
      </c>
      <c r="M3287">
        <v>-9.3103870000000005E-2</v>
      </c>
      <c r="N3287">
        <v>-1.342426E-2</v>
      </c>
      <c r="O3287">
        <v>-0.99556610000000001</v>
      </c>
      <c r="P3287">
        <v>0.14270050000000001</v>
      </c>
      <c r="Q3287">
        <v>-0.13311310000000001</v>
      </c>
      <c r="R3287">
        <v>-0.98077400000000003</v>
      </c>
      <c r="S3287">
        <v>0.9048157</v>
      </c>
      <c r="T3287">
        <v>0.68195689999999998</v>
      </c>
      <c r="U3287">
        <v>-3.0206909999999998</v>
      </c>
      <c r="V3287">
        <v>-0.2329686</v>
      </c>
      <c r="W3287">
        <v>-0.1210101</v>
      </c>
      <c r="X3287">
        <v>0.96492599999999995</v>
      </c>
      <c r="Y3287">
        <v>-0.36825380000000002</v>
      </c>
      <c r="Z3287">
        <v>-0.21994920000000001</v>
      </c>
      <c r="AA3287">
        <v>0.90333350000000001</v>
      </c>
      <c r="AB3287">
        <v>18</v>
      </c>
      <c r="AC3287">
        <v>20.424600000000002</v>
      </c>
      <c r="AD3287">
        <v>15.388710999999899</v>
      </c>
      <c r="AE3287">
        <v>-68.069999999999993</v>
      </c>
      <c r="AF3287">
        <v>-25.4793632790666</v>
      </c>
      <c r="AG3287">
        <v>15.388710999999899</v>
      </c>
      <c r="AH3287">
        <v>62.922252502956901</v>
      </c>
      <c r="AI3287">
        <v>77.2276443350991</v>
      </c>
      <c r="AJ3287">
        <v>112.044701767467</v>
      </c>
      <c r="AK3287">
        <v>69.607616245595096</v>
      </c>
      <c r="AL3287">
        <v>96.950401898311</v>
      </c>
      <c r="AM3287">
        <v>103.57354434577201</v>
      </c>
      <c r="AN3287">
        <v>0.99999999918198401</v>
      </c>
    </row>
    <row r="3288" spans="1:40" x14ac:dyDescent="0.25">
      <c r="A3288" t="str">
        <f>"20190305134958576"</f>
        <v>20190305134958576</v>
      </c>
      <c r="B3288" t="str">
        <f>"1551764998563571"</f>
        <v>1551764998563571</v>
      </c>
      <c r="C3288" t="s">
        <v>40</v>
      </c>
      <c r="D3288">
        <v>4.1667129999999997</v>
      </c>
      <c r="E3288">
        <v>0.447322</v>
      </c>
      <c r="F3288" t="s">
        <v>82</v>
      </c>
      <c r="G3288">
        <v>-471.00529999999998</v>
      </c>
      <c r="H3288">
        <v>16.469370000000001</v>
      </c>
      <c r="I3288">
        <v>180.59540000000001</v>
      </c>
      <c r="J3288">
        <v>-491.57769999999999</v>
      </c>
      <c r="K3288">
        <v>1.111159</v>
      </c>
      <c r="L3288">
        <v>248.57759999999999</v>
      </c>
      <c r="M3288">
        <v>-9.1549930000000002E-2</v>
      </c>
      <c r="N3288">
        <v>-1.342403E-2</v>
      </c>
      <c r="O3288">
        <v>-0.99571030000000005</v>
      </c>
      <c r="P3288">
        <v>0.14441209999999999</v>
      </c>
      <c r="Q3288">
        <v>-0.13291900000000001</v>
      </c>
      <c r="R3288">
        <v>-0.98055009999999998</v>
      </c>
      <c r="S3288">
        <v>0.91198729999999995</v>
      </c>
      <c r="T3288">
        <v>0.68105419999999905</v>
      </c>
      <c r="U3288">
        <v>-3.0185390000000001</v>
      </c>
      <c r="V3288">
        <v>-0.23314989999999999</v>
      </c>
      <c r="W3288">
        <v>-0.1208158</v>
      </c>
      <c r="X3288">
        <v>0.96490659999999895</v>
      </c>
      <c r="Y3288">
        <v>-0.36896600000000002</v>
      </c>
      <c r="Z3288">
        <v>-0.21977179999999999</v>
      </c>
      <c r="AA3288">
        <v>0.9030861</v>
      </c>
      <c r="AB3288">
        <v>18</v>
      </c>
      <c r="AC3288">
        <v>20.572399999999998</v>
      </c>
      <c r="AD3288">
        <v>15.358210999999899</v>
      </c>
      <c r="AE3288">
        <v>-67.982199999999906</v>
      </c>
      <c r="AF3288">
        <v>-25.5172321965692</v>
      </c>
      <c r="AG3288">
        <v>15.358210999999899</v>
      </c>
      <c r="AH3288">
        <v>62.873379930179098</v>
      </c>
      <c r="AI3288">
        <v>77.246485393192501</v>
      </c>
      <c r="AJ3288">
        <v>112.089829402992</v>
      </c>
      <c r="AK3288">
        <v>69.570580620969395</v>
      </c>
      <c r="AL3288">
        <v>96.939186761169694</v>
      </c>
      <c r="AM3288">
        <v>103.58397924234301</v>
      </c>
      <c r="AN3288">
        <v>1.0000000400616</v>
      </c>
    </row>
    <row r="3289" spans="1:40" x14ac:dyDescent="0.25">
      <c r="A3289" t="str">
        <f>"20190305134958587"</f>
        <v>20190305134958587</v>
      </c>
      <c r="B3289" t="str">
        <f>"1551764998584065"</f>
        <v>1551764998584065</v>
      </c>
      <c r="C3289" t="s">
        <v>40</v>
      </c>
      <c r="D3289">
        <v>4.1496409999999999</v>
      </c>
      <c r="E3289">
        <v>0.44721440000000001</v>
      </c>
      <c r="F3289" t="s">
        <v>82</v>
      </c>
      <c r="G3289">
        <v>-470.91050000000001</v>
      </c>
      <c r="H3289">
        <v>16.469719999999999</v>
      </c>
      <c r="I3289">
        <v>180.59540000000001</v>
      </c>
      <c r="J3289">
        <v>-491.58460000000002</v>
      </c>
      <c r="K3289">
        <v>1.1111610000000001</v>
      </c>
      <c r="L3289">
        <v>248.48140000000001</v>
      </c>
      <c r="M3289">
        <v>-8.9848720000000007E-2</v>
      </c>
      <c r="N3289">
        <v>-1.342369E-2</v>
      </c>
      <c r="O3289">
        <v>-0.995865</v>
      </c>
      <c r="P3289">
        <v>0.14609040000000001</v>
      </c>
      <c r="Q3289">
        <v>-0.1321572</v>
      </c>
      <c r="R3289">
        <v>-0.98040439999999995</v>
      </c>
      <c r="S3289">
        <v>0.91714479999999998</v>
      </c>
      <c r="T3289">
        <v>0.68156410000000001</v>
      </c>
      <c r="U3289">
        <v>-3.0168300000000001</v>
      </c>
      <c r="V3289">
        <v>-0.23316619999999999</v>
      </c>
      <c r="W3289">
        <v>-0.1200517</v>
      </c>
      <c r="X3289">
        <v>0.96499800000000002</v>
      </c>
      <c r="Y3289">
        <v>-0.36892439999999999</v>
      </c>
      <c r="Z3289">
        <v>-0.2200271</v>
      </c>
      <c r="AA3289">
        <v>0.90304090000000004</v>
      </c>
      <c r="AB3289">
        <v>18</v>
      </c>
      <c r="AC3289">
        <v>20.674099999999999</v>
      </c>
      <c r="AD3289">
        <v>15.358559</v>
      </c>
      <c r="AE3289">
        <v>-67.885999999999996</v>
      </c>
      <c r="AF3289">
        <v>-25.4962304478119</v>
      </c>
      <c r="AG3289">
        <v>15.358559</v>
      </c>
      <c r="AH3289">
        <v>62.8115476490267</v>
      </c>
      <c r="AI3289">
        <v>77.234342504040995</v>
      </c>
      <c r="AJ3289">
        <v>112.09303486211</v>
      </c>
      <c r="AK3289">
        <v>69.507076040287899</v>
      </c>
      <c r="AL3289">
        <v>96.895086246194296</v>
      </c>
      <c r="AM3289">
        <v>103.58365471462299</v>
      </c>
      <c r="AN3289">
        <v>1.0000000137496601</v>
      </c>
    </row>
    <row r="3290" spans="1:40" x14ac:dyDescent="0.25">
      <c r="A3290" t="str">
        <f>"20190305134958599"</f>
        <v>20190305134958599</v>
      </c>
      <c r="B3290" t="str">
        <f>"1551764998593826"</f>
        <v>1551764998593826</v>
      </c>
      <c r="C3290" t="s">
        <v>40</v>
      </c>
      <c r="D3290">
        <v>4.1423449999999997</v>
      </c>
      <c r="E3290">
        <v>0.447127</v>
      </c>
      <c r="F3290" t="s">
        <v>82</v>
      </c>
      <c r="G3290">
        <v>-470.79849999999999</v>
      </c>
      <c r="H3290">
        <v>16.484649999999998</v>
      </c>
      <c r="I3290">
        <v>180.59549999999999</v>
      </c>
      <c r="J3290">
        <v>-491.59089999999998</v>
      </c>
      <c r="K3290">
        <v>1.111162</v>
      </c>
      <c r="L3290">
        <v>248.39</v>
      </c>
      <c r="M3290">
        <v>-8.823404E-2</v>
      </c>
      <c r="N3290">
        <v>-1.3423249999999999E-2</v>
      </c>
      <c r="O3290">
        <v>-0.99600929999999999</v>
      </c>
      <c r="P3290">
        <v>0.14788200000000001</v>
      </c>
      <c r="Q3290">
        <v>-0.13144589999999901</v>
      </c>
      <c r="R3290">
        <v>-0.98023119999999997</v>
      </c>
      <c r="S3290">
        <v>0.92300420000000005</v>
      </c>
      <c r="T3290">
        <v>0.68265799999999999</v>
      </c>
      <c r="U3290">
        <v>-3.014465</v>
      </c>
      <c r="V3290">
        <v>-0.23337640000000001</v>
      </c>
      <c r="W3290">
        <v>-0.11933970000000001</v>
      </c>
      <c r="X3290">
        <v>0.96503550000000005</v>
      </c>
      <c r="Y3290">
        <v>-0.3691991</v>
      </c>
      <c r="Z3290">
        <v>-0.2204681</v>
      </c>
      <c r="AA3290">
        <v>0.90282110000000004</v>
      </c>
      <c r="AB3290">
        <v>18</v>
      </c>
      <c r="AC3290">
        <v>20.792399999999901</v>
      </c>
      <c r="AD3290">
        <v>15.373487999999901</v>
      </c>
      <c r="AE3290">
        <v>-67.794499999999999</v>
      </c>
      <c r="AF3290">
        <v>-25.4952903297246</v>
      </c>
      <c r="AG3290">
        <v>15.373487999999901</v>
      </c>
      <c r="AH3290">
        <v>62.746102722955499</v>
      </c>
      <c r="AI3290">
        <v>77.2112129959946</v>
      </c>
      <c r="AJ3290">
        <v>112.11312112864999</v>
      </c>
      <c r="AK3290">
        <v>69.450898980522794</v>
      </c>
      <c r="AL3290">
        <v>96.853996250319597</v>
      </c>
      <c r="AM3290">
        <v>103.594937408459</v>
      </c>
      <c r="AN3290">
        <v>1.0000000121666499</v>
      </c>
    </row>
    <row r="3291" spans="1:40" x14ac:dyDescent="0.25">
      <c r="A3291" t="str">
        <f>"20190305134958611"</f>
        <v>20190305134958611</v>
      </c>
      <c r="B3291" t="str">
        <f>"1551764998603585"</f>
        <v>1551764998603585</v>
      </c>
      <c r="C3291" t="s">
        <v>40</v>
      </c>
      <c r="D3291">
        <v>4.1476030000000002</v>
      </c>
      <c r="E3291">
        <v>0.44714500000000001</v>
      </c>
      <c r="F3291" t="s">
        <v>82</v>
      </c>
      <c r="G3291">
        <v>-470.68509999999998</v>
      </c>
      <c r="H3291">
        <v>16.504079999999998</v>
      </c>
      <c r="I3291">
        <v>180.59549999999999</v>
      </c>
      <c r="J3291">
        <v>-491.59710000000001</v>
      </c>
      <c r="K3291">
        <v>1.111165</v>
      </c>
      <c r="L3291">
        <v>248.29939999999999</v>
      </c>
      <c r="M3291">
        <v>-8.6631689999999997E-2</v>
      </c>
      <c r="N3291">
        <v>-1.342278E-2</v>
      </c>
      <c r="O3291">
        <v>-0.99615010000000004</v>
      </c>
      <c r="P3291">
        <v>0.14921760000000001</v>
      </c>
      <c r="Q3291">
        <v>-0.1307971</v>
      </c>
      <c r="R3291">
        <v>-0.98011579999999998</v>
      </c>
      <c r="S3291">
        <v>0.92883300000000002</v>
      </c>
      <c r="T3291">
        <v>0.68389739999999999</v>
      </c>
      <c r="U3291">
        <v>-3.01207</v>
      </c>
      <c r="V3291">
        <v>-0.23315040000000001</v>
      </c>
      <c r="W3291">
        <v>-0.1186873</v>
      </c>
      <c r="X3291">
        <v>0.96517059999999999</v>
      </c>
      <c r="Y3291">
        <v>-0.3694769</v>
      </c>
      <c r="Z3291">
        <v>-0.22095190000000001</v>
      </c>
      <c r="AA3291">
        <v>0.90258910000000003</v>
      </c>
      <c r="AB3291">
        <v>18</v>
      </c>
      <c r="AC3291">
        <v>20.911999999999999</v>
      </c>
      <c r="AD3291">
        <v>15.392915</v>
      </c>
      <c r="AE3291">
        <v>-67.703900000000004</v>
      </c>
      <c r="AF3291">
        <v>-25.496063828428301</v>
      </c>
      <c r="AG3291">
        <v>15.392915</v>
      </c>
      <c r="AH3291">
        <v>62.679720119407598</v>
      </c>
      <c r="AI3291">
        <v>77.184385482994699</v>
      </c>
      <c r="AJ3291">
        <v>112.134886790889</v>
      </c>
      <c r="AK3291">
        <v>69.395521593167601</v>
      </c>
      <c r="AL3291">
        <v>96.816348749328796</v>
      </c>
      <c r="AM3291">
        <v>103.580429328313</v>
      </c>
      <c r="AN3291">
        <v>1.0000000356529</v>
      </c>
    </row>
    <row r="3292" spans="1:40" x14ac:dyDescent="0.25">
      <c r="A3292" t="str">
        <f>"20190305134958623"</f>
        <v>20190305134958623</v>
      </c>
      <c r="B3292" t="str">
        <f>"1551764998613346"</f>
        <v>1551764998613346</v>
      </c>
      <c r="C3292" t="s">
        <v>40</v>
      </c>
      <c r="D3292">
        <v>4.1185210000000003</v>
      </c>
      <c r="E3292">
        <v>0.44710480000000002</v>
      </c>
      <c r="F3292" t="s">
        <v>82</v>
      </c>
      <c r="G3292">
        <v>-470.63319999999999</v>
      </c>
      <c r="H3292">
        <v>16.548479999999898</v>
      </c>
      <c r="I3292">
        <v>180.59549999999999</v>
      </c>
      <c r="J3292">
        <v>-491.60359999999997</v>
      </c>
      <c r="K3292">
        <v>1.111167</v>
      </c>
      <c r="L3292">
        <v>248.20089999999999</v>
      </c>
      <c r="M3292">
        <v>-8.4891389999999997E-2</v>
      </c>
      <c r="N3292">
        <v>-1.3422130000000001E-2</v>
      </c>
      <c r="O3292">
        <v>-0.99629999999999996</v>
      </c>
      <c r="P3292">
        <v>0.15103039999999901</v>
      </c>
      <c r="Q3292">
        <v>-0.13020300000000001</v>
      </c>
      <c r="R3292">
        <v>-0.97991719999999904</v>
      </c>
      <c r="S3292">
        <v>0.93218990000000002</v>
      </c>
      <c r="T3292">
        <v>0.68644430000000001</v>
      </c>
      <c r="U3292">
        <v>-3.0105590000000002</v>
      </c>
      <c r="V3292">
        <v>-0.2332591</v>
      </c>
      <c r="W3292">
        <v>-0.11809219999999999</v>
      </c>
      <c r="X3292">
        <v>0.96521729999999994</v>
      </c>
      <c r="Y3292">
        <v>-0.3688495</v>
      </c>
      <c r="Z3292">
        <v>-0.2218223</v>
      </c>
      <c r="AA3292">
        <v>0.9026322</v>
      </c>
      <c r="AB3292">
        <v>18</v>
      </c>
      <c r="AC3292">
        <v>20.970399999999898</v>
      </c>
      <c r="AD3292">
        <v>15.4373129999999</v>
      </c>
      <c r="AE3292">
        <v>-67.605400000000003</v>
      </c>
      <c r="AF3292">
        <v>-25.424989450668399</v>
      </c>
      <c r="AG3292">
        <v>15.4373129999999</v>
      </c>
      <c r="AH3292">
        <v>62.603247425984598</v>
      </c>
      <c r="AI3292">
        <v>77.130700303969505</v>
      </c>
      <c r="AJ3292">
        <v>112.103493610808</v>
      </c>
      <c r="AK3292">
        <v>69.310225143954199</v>
      </c>
      <c r="AL3292">
        <v>96.782010741219906</v>
      </c>
      <c r="AM3292">
        <v>103.585893199347</v>
      </c>
      <c r="AN3292">
        <v>1.00000000582647</v>
      </c>
    </row>
    <row r="3293" spans="1:40" x14ac:dyDescent="0.25">
      <c r="A3293" t="str">
        <f>"20190305134958634"</f>
        <v>20190305134958634</v>
      </c>
      <c r="B3293" t="str">
        <f>"1551764998624082"</f>
        <v>1551764998624082</v>
      </c>
      <c r="C3293" t="s">
        <v>40</v>
      </c>
      <c r="D3293">
        <v>4.1673980000000004</v>
      </c>
      <c r="E3293">
        <v>0.44715729999999998</v>
      </c>
      <c r="F3293" t="s">
        <v>82</v>
      </c>
      <c r="G3293">
        <v>-470.51299999999998</v>
      </c>
      <c r="H3293">
        <v>16.56439</v>
      </c>
      <c r="I3293">
        <v>180.59549999999999</v>
      </c>
      <c r="J3293">
        <v>-491.60910000000001</v>
      </c>
      <c r="K3293">
        <v>1.111167</v>
      </c>
      <c r="L3293">
        <v>248.11619999999999</v>
      </c>
      <c r="M3293">
        <v>-8.3392679999999997E-2</v>
      </c>
      <c r="N3293">
        <v>-1.3421539999999999E-2</v>
      </c>
      <c r="O3293">
        <v>-0.99642640000000005</v>
      </c>
      <c r="P3293">
        <v>0.1525582</v>
      </c>
      <c r="Q3293">
        <v>-0.12934870000000001</v>
      </c>
      <c r="R3293">
        <v>-0.97979340000000004</v>
      </c>
      <c r="S3293">
        <v>0.938446</v>
      </c>
      <c r="T3293">
        <v>0.68760759999999999</v>
      </c>
      <c r="U3293">
        <v>-3.0081790000000002</v>
      </c>
      <c r="V3293">
        <v>-0.2333248</v>
      </c>
      <c r="W3293">
        <v>-0.1172362</v>
      </c>
      <c r="X3293">
        <v>0.96530570000000004</v>
      </c>
      <c r="Y3293">
        <v>-0.36934250000000002</v>
      </c>
      <c r="Z3293">
        <v>-0.22226560000000001</v>
      </c>
      <c r="AA3293">
        <v>0.9023215</v>
      </c>
      <c r="AB3293">
        <v>18</v>
      </c>
      <c r="AC3293">
        <v>21.0960999999999</v>
      </c>
      <c r="AD3293">
        <v>15.453222999999999</v>
      </c>
      <c r="AE3293">
        <v>-67.520700000000005</v>
      </c>
      <c r="AF3293">
        <v>-25.439819932144299</v>
      </c>
      <c r="AG3293">
        <v>15.453222999999999</v>
      </c>
      <c r="AH3293">
        <v>62.541482390617297</v>
      </c>
      <c r="AI3293">
        <v>77.10835645169</v>
      </c>
      <c r="AJ3293">
        <v>112.134876335244</v>
      </c>
      <c r="AK3293">
        <v>69.263435944829894</v>
      </c>
      <c r="AL3293">
        <v>96.732622908084196</v>
      </c>
      <c r="AM3293">
        <v>103.588379577616</v>
      </c>
      <c r="AN3293">
        <v>0.99999994166898298</v>
      </c>
    </row>
    <row r="3294" spans="1:40" x14ac:dyDescent="0.25">
      <c r="A3294" t="str">
        <f>"20190305134958645"</f>
        <v>20190305134958645</v>
      </c>
      <c r="B3294" t="str">
        <f>"1551764998633841"</f>
        <v>1551764998633841</v>
      </c>
      <c r="C3294" t="s">
        <v>40</v>
      </c>
      <c r="D3294">
        <v>4.3034850000000002</v>
      </c>
      <c r="E3294">
        <v>0.44715729999999998</v>
      </c>
      <c r="F3294" t="s">
        <v>82</v>
      </c>
      <c r="G3294">
        <v>-470.44709999999998</v>
      </c>
      <c r="H3294">
        <v>16.637170000000001</v>
      </c>
      <c r="I3294">
        <v>180.59549999999999</v>
      </c>
      <c r="J3294">
        <v>-491.6148</v>
      </c>
      <c r="K3294">
        <v>1.11117</v>
      </c>
      <c r="L3294">
        <v>248.02500000000001</v>
      </c>
      <c r="M3294">
        <v>-8.1779900000000003E-2</v>
      </c>
      <c r="N3294">
        <v>-1.342084E-2</v>
      </c>
      <c r="O3294">
        <v>-0.99656020000000001</v>
      </c>
      <c r="P3294">
        <v>0.1542316</v>
      </c>
      <c r="Q3294">
        <v>-0.12889999999999999</v>
      </c>
      <c r="R3294">
        <v>-0.97959059999999998</v>
      </c>
      <c r="S3294">
        <v>0.94226069999999995</v>
      </c>
      <c r="T3294">
        <v>0.69131309999999901</v>
      </c>
      <c r="U3294">
        <v>-3.0064389999999999</v>
      </c>
      <c r="V3294">
        <v>-0.23341870000000001</v>
      </c>
      <c r="W3294">
        <v>-0.1167865</v>
      </c>
      <c r="X3294">
        <v>0.96533760000000002</v>
      </c>
      <c r="Y3294">
        <v>-0.36895640000000002</v>
      </c>
      <c r="Z3294">
        <v>-0.22346530000000001</v>
      </c>
      <c r="AA3294">
        <v>0.90218319999999996</v>
      </c>
      <c r="AB3294">
        <v>18</v>
      </c>
      <c r="AC3294">
        <v>21.1677</v>
      </c>
      <c r="AD3294">
        <v>15.526</v>
      </c>
      <c r="AE3294">
        <v>-67.429500000000004</v>
      </c>
      <c r="AF3294">
        <v>-25.386470201715301</v>
      </c>
      <c r="AG3294">
        <v>15.526</v>
      </c>
      <c r="AH3294">
        <v>62.458035604670997</v>
      </c>
      <c r="AI3294">
        <v>77.031609292341599</v>
      </c>
      <c r="AJ3294">
        <v>112.119599710914</v>
      </c>
      <c r="AK3294">
        <v>69.1847942607112</v>
      </c>
      <c r="AL3294">
        <v>96.7066781844471</v>
      </c>
      <c r="AM3294">
        <v>103.593212711437</v>
      </c>
      <c r="AN3294">
        <v>1.0000000290328399</v>
      </c>
    </row>
    <row r="3295" spans="1:40" x14ac:dyDescent="0.25">
      <c r="A3295" t="str">
        <f>"20190305134958665"</f>
        <v>20190305134958665</v>
      </c>
      <c r="B3295" t="str">
        <f>"1551764998653361"</f>
        <v>1551764998653361</v>
      </c>
      <c r="C3295" t="s">
        <v>40</v>
      </c>
      <c r="D3295">
        <v>4.06318</v>
      </c>
      <c r="E3295">
        <v>0.405335</v>
      </c>
      <c r="F3295" t="s">
        <v>82</v>
      </c>
      <c r="G3295">
        <v>-470.35989999999998</v>
      </c>
      <c r="H3295">
        <v>16.661239999999999</v>
      </c>
      <c r="I3295">
        <v>180.59549999999999</v>
      </c>
      <c r="J3295">
        <v>-491.62360000000001</v>
      </c>
      <c r="K3295">
        <v>1.11117</v>
      </c>
      <c r="L3295">
        <v>247.88130000000001</v>
      </c>
      <c r="M3295">
        <v>-7.9237310000000005E-2</v>
      </c>
      <c r="N3295">
        <v>-1.3419759999999999E-2</v>
      </c>
      <c r="O3295">
        <v>-0.99676549999999997</v>
      </c>
      <c r="P3295">
        <v>0.15671599999999999</v>
      </c>
      <c r="Q3295">
        <v>-0.1286708</v>
      </c>
      <c r="R3295">
        <v>-0.9792265</v>
      </c>
      <c r="S3295">
        <v>0.94708250000000005</v>
      </c>
      <c r="T3295">
        <v>0.69288539999999998</v>
      </c>
      <c r="U3295">
        <v>-3.0045470000000001</v>
      </c>
      <c r="V3295">
        <v>-0.23340900000000001</v>
      </c>
      <c r="W3295">
        <v>-0.11655550000000001</v>
      </c>
      <c r="X3295">
        <v>0.96536789999999995</v>
      </c>
      <c r="Y3295">
        <v>-0.36803239999999998</v>
      </c>
      <c r="Z3295">
        <v>-0.22409509999999999</v>
      </c>
      <c r="AA3295">
        <v>0.90240430000000005</v>
      </c>
      <c r="AB3295">
        <v>18</v>
      </c>
      <c r="AC3295">
        <v>21.2637</v>
      </c>
      <c r="AD3295">
        <v>15.55007</v>
      </c>
      <c r="AE3295">
        <v>-67.285799999999995</v>
      </c>
      <c r="AF3295">
        <v>-25.300279395478501</v>
      </c>
      <c r="AG3295">
        <v>15.55007</v>
      </c>
      <c r="AH3295">
        <v>62.360936013448303</v>
      </c>
      <c r="AI3295">
        <v>76.989367748746801</v>
      </c>
      <c r="AJ3295">
        <v>112.082747719983</v>
      </c>
      <c r="AK3295">
        <v>69.070942913555001</v>
      </c>
      <c r="AL3295">
        <v>96.693351613282601</v>
      </c>
      <c r="AM3295">
        <v>103.592257981477</v>
      </c>
      <c r="AN3295">
        <v>1.00000006410582</v>
      </c>
    </row>
    <row r="3296" spans="1:40" x14ac:dyDescent="0.25">
      <c r="A3296" t="str">
        <f>"20190305134958678"</f>
        <v>20190305134958678</v>
      </c>
      <c r="B3296" t="str">
        <f>"1551764998673857"</f>
        <v>1551764998673857</v>
      </c>
      <c r="C3296" t="s">
        <v>40</v>
      </c>
      <c r="D3296">
        <v>4.1932879999999999</v>
      </c>
      <c r="E3296">
        <v>0.45297809999999999</v>
      </c>
      <c r="F3296" t="s">
        <v>84</v>
      </c>
      <c r="G3296">
        <v>-469.78730000000002</v>
      </c>
      <c r="H3296">
        <v>3.4826239999999999</v>
      </c>
      <c r="I3296">
        <v>197.51820000000001</v>
      </c>
      <c r="J3296">
        <v>-491.62990000000002</v>
      </c>
      <c r="K3296">
        <v>1.11117</v>
      </c>
      <c r="L3296">
        <v>247.77359999999999</v>
      </c>
      <c r="M3296">
        <v>-7.7331919999999998E-2</v>
      </c>
      <c r="N3296">
        <v>-1.3418869999999999E-2</v>
      </c>
      <c r="O3296">
        <v>-0.9969152</v>
      </c>
      <c r="P3296">
        <v>0.158504799999999</v>
      </c>
      <c r="Q3296">
        <v>-0.12895780000000001</v>
      </c>
      <c r="R3296">
        <v>-0.9789004</v>
      </c>
      <c r="S3296">
        <v>1.2493590000000001</v>
      </c>
      <c r="T3296">
        <v>0.13568350000000001</v>
      </c>
      <c r="U3296">
        <v>-2.8815</v>
      </c>
      <c r="V3296">
        <v>-0.2333247</v>
      </c>
      <c r="W3296">
        <v>-0.11684170000000001</v>
      </c>
      <c r="X3296">
        <v>0.96535360000000003</v>
      </c>
      <c r="Y3296">
        <v>-0.467026</v>
      </c>
      <c r="Z3296">
        <v>-5.5823440000000002E-2</v>
      </c>
      <c r="AA3296">
        <v>0.88247969999999898</v>
      </c>
      <c r="AB3296">
        <v>18</v>
      </c>
      <c r="AC3296">
        <v>21.842600000000001</v>
      </c>
      <c r="AD3296">
        <v>2.371454</v>
      </c>
      <c r="AE3296">
        <v>-50.255399999999902</v>
      </c>
      <c r="AF3296">
        <v>-25.615898289006399</v>
      </c>
      <c r="AG3296">
        <v>2.371454</v>
      </c>
      <c r="AH3296">
        <v>48.325087588846401</v>
      </c>
      <c r="AI3296">
        <v>87.517314236550504</v>
      </c>
      <c r="AJ3296">
        <v>117.926923587934</v>
      </c>
      <c r="AK3296">
        <v>54.7458868746915</v>
      </c>
      <c r="AL3296">
        <v>96.709863004995199</v>
      </c>
      <c r="AM3296">
        <v>103.587724724079</v>
      </c>
      <c r="AN3296">
        <v>0.99999998576096905</v>
      </c>
    </row>
    <row r="3297" spans="1:40" x14ac:dyDescent="0.25">
      <c r="A3297" t="str">
        <f>"20190305134958693"</f>
        <v>20190305134958693</v>
      </c>
      <c r="B3297" t="str">
        <f>"1551764998683618"</f>
        <v>1551764998683618</v>
      </c>
      <c r="C3297" t="s">
        <v>40</v>
      </c>
      <c r="D3297">
        <v>4.4966169999999996</v>
      </c>
      <c r="E3297">
        <v>0.45220680000000002</v>
      </c>
      <c r="F3297" t="s">
        <v>82</v>
      </c>
      <c r="G3297">
        <v>-471.18389999999999</v>
      </c>
      <c r="H3297">
        <v>17.762689999999999</v>
      </c>
      <c r="I3297">
        <v>180.5959</v>
      </c>
      <c r="J3297">
        <v>-491.63619999999997</v>
      </c>
      <c r="K3297">
        <v>1.1111690000000001</v>
      </c>
      <c r="L3297">
        <v>247.66309999999999</v>
      </c>
      <c r="M3297">
        <v>-7.5376819999999997E-2</v>
      </c>
      <c r="N3297">
        <v>-1.341788E-2</v>
      </c>
      <c r="O3297">
        <v>-0.99706499999999998</v>
      </c>
      <c r="P3297">
        <v>0.1602354</v>
      </c>
      <c r="Q3297">
        <v>-0.1295723</v>
      </c>
      <c r="R3297">
        <v>-0.97853789999999996</v>
      </c>
      <c r="S3297">
        <v>0.91751099999999997</v>
      </c>
      <c r="T3297">
        <v>0.74723349999999999</v>
      </c>
      <c r="U3297">
        <v>-3.0145870000000001</v>
      </c>
      <c r="V3297">
        <v>-0.2331309</v>
      </c>
      <c r="W3297">
        <v>-0.1174554</v>
      </c>
      <c r="X3297">
        <v>0.96532600000000002</v>
      </c>
      <c r="Y3297">
        <v>-0.35437809999999997</v>
      </c>
      <c r="Z3297">
        <v>-0.2400294</v>
      </c>
      <c r="AA3297">
        <v>0.90377099999999999</v>
      </c>
      <c r="AB3297">
        <v>18</v>
      </c>
      <c r="AC3297">
        <v>20.452299999999902</v>
      </c>
      <c r="AD3297">
        <v>16.651520999999999</v>
      </c>
      <c r="AE3297">
        <v>-67.0671999999999</v>
      </c>
      <c r="AF3297">
        <v>-24.091162111728199</v>
      </c>
      <c r="AG3297">
        <v>16.651520999999999</v>
      </c>
      <c r="AH3297">
        <v>61.846536791115703</v>
      </c>
      <c r="AI3297">
        <v>75.916428156921199</v>
      </c>
      <c r="AJ3297">
        <v>111.282470907087</v>
      </c>
      <c r="AK3297">
        <v>68.429901041590298</v>
      </c>
      <c r="AL3297">
        <v>96.745268872348007</v>
      </c>
      <c r="AM3297">
        <v>103.577230462298</v>
      </c>
      <c r="AN3297">
        <v>1.00000003689998</v>
      </c>
    </row>
    <row r="3298" spans="1:40" x14ac:dyDescent="0.25">
      <c r="A3298" t="str">
        <f>"20190305134958707"</f>
        <v>20190305134958707</v>
      </c>
      <c r="B3298" t="str">
        <f>"1551764998703903"</f>
        <v>1551764998703903</v>
      </c>
      <c r="C3298" t="s">
        <v>40</v>
      </c>
      <c r="D3298">
        <v>4.2409509999999999</v>
      </c>
      <c r="E3298">
        <v>0.45449919999999999</v>
      </c>
      <c r="F3298" t="s">
        <v>82</v>
      </c>
      <c r="G3298">
        <v>-470.96620000000001</v>
      </c>
      <c r="H3298">
        <v>17.097560000000001</v>
      </c>
      <c r="I3298">
        <v>180.59569999999999</v>
      </c>
      <c r="J3298">
        <v>-491.6429</v>
      </c>
      <c r="K3298">
        <v>1.1111599999999999</v>
      </c>
      <c r="L3298">
        <v>247.54259999999999</v>
      </c>
      <c r="M3298">
        <v>-7.3245119999999997E-2</v>
      </c>
      <c r="N3298">
        <v>-1.341676E-2</v>
      </c>
      <c r="O3298">
        <v>-0.99722379999999999</v>
      </c>
      <c r="P3298">
        <v>0.16178770000000001</v>
      </c>
      <c r="Q3298">
        <v>-0.131331</v>
      </c>
      <c r="R3298">
        <v>-0.97804769999999996</v>
      </c>
      <c r="S3298">
        <v>0.92733759999999998</v>
      </c>
      <c r="T3298">
        <v>0.71721290000000004</v>
      </c>
      <c r="U3298">
        <v>-3.0089109999999999</v>
      </c>
      <c r="V3298">
        <v>-0.2325778</v>
      </c>
      <c r="W3298">
        <v>-0.1192126</v>
      </c>
      <c r="X3298">
        <v>0.96524399999999999</v>
      </c>
      <c r="Y3298">
        <v>-0.35614580000000001</v>
      </c>
      <c r="Z3298">
        <v>-0.23167460000000001</v>
      </c>
      <c r="AA3298">
        <v>0.90525529999999998</v>
      </c>
      <c r="AB3298">
        <v>18</v>
      </c>
      <c r="AC3298">
        <v>20.676699999999901</v>
      </c>
      <c r="AD3298">
        <v>15.9864</v>
      </c>
      <c r="AE3298">
        <v>-66.946899999999999</v>
      </c>
      <c r="AF3298">
        <v>-24.262134021478101</v>
      </c>
      <c r="AG3298">
        <v>15.9864</v>
      </c>
      <c r="AH3298">
        <v>62.023728250492901</v>
      </c>
      <c r="AI3298">
        <v>76.502364331222296</v>
      </c>
      <c r="AJ3298">
        <v>111.364196698534</v>
      </c>
      <c r="AK3298">
        <v>68.492036021183907</v>
      </c>
      <c r="AL3298">
        <v>96.846661484649402</v>
      </c>
      <c r="AM3298">
        <v>103.54731538204599</v>
      </c>
      <c r="AN3298">
        <v>1.00000002829379</v>
      </c>
    </row>
    <row r="3299" spans="1:40" x14ac:dyDescent="0.25">
      <c r="A3299" t="str">
        <f>"20190305134958720"</f>
        <v>20190305134958720</v>
      </c>
      <c r="B3299" t="str">
        <f>"1551764998713663"</f>
        <v>1551764998713663</v>
      </c>
      <c r="C3299" t="s">
        <v>40</v>
      </c>
      <c r="D3299">
        <v>4.321186</v>
      </c>
      <c r="E3299">
        <v>0.48807529999999999</v>
      </c>
      <c r="F3299" t="s">
        <v>82</v>
      </c>
      <c r="G3299">
        <v>-471.37830000000002</v>
      </c>
      <c r="H3299">
        <v>16.017429999999901</v>
      </c>
      <c r="I3299">
        <v>180.59530000000001</v>
      </c>
      <c r="J3299">
        <v>-491.64769999999999</v>
      </c>
      <c r="K3299">
        <v>1.111157</v>
      </c>
      <c r="L3299">
        <v>247.44990000000001</v>
      </c>
      <c r="M3299">
        <v>-7.1603699999999895E-2</v>
      </c>
      <c r="N3299">
        <v>-1.341585E-2</v>
      </c>
      <c r="O3299">
        <v>-0.99734310000000004</v>
      </c>
      <c r="P3299">
        <v>0.1629921</v>
      </c>
      <c r="Q3299">
        <v>-0.1323085</v>
      </c>
      <c r="R3299">
        <v>-0.97771589999999997</v>
      </c>
      <c r="S3299">
        <v>0.91009519999999999</v>
      </c>
      <c r="T3299">
        <v>0.66945120000000002</v>
      </c>
      <c r="U3299">
        <v>-3.006653</v>
      </c>
      <c r="V3299">
        <v>-0.23216590000000001</v>
      </c>
      <c r="W3299">
        <v>-0.1201885</v>
      </c>
      <c r="X3299">
        <v>0.96522209999999997</v>
      </c>
      <c r="Y3299">
        <v>-0.35090789999999999</v>
      </c>
      <c r="Z3299">
        <v>-0.2183967</v>
      </c>
      <c r="AA3299">
        <v>0.9105858</v>
      </c>
      <c r="AB3299">
        <v>18</v>
      </c>
      <c r="AC3299">
        <v>20.269399999999901</v>
      </c>
      <c r="AD3299">
        <v>14.906272999999899</v>
      </c>
      <c r="AE3299">
        <v>-66.854600000000005</v>
      </c>
      <c r="AF3299">
        <v>-23.915969368691801</v>
      </c>
      <c r="AG3299">
        <v>14.906272999999899</v>
      </c>
      <c r="AH3299">
        <v>62.390901499022199</v>
      </c>
      <c r="AI3299">
        <v>77.423883054425005</v>
      </c>
      <c r="AJ3299">
        <v>110.973058752814</v>
      </c>
      <c r="AK3299">
        <v>68.460172037874798</v>
      </c>
      <c r="AL3299">
        <v>96.902981629574995</v>
      </c>
      <c r="AM3299">
        <v>103.524500426572</v>
      </c>
      <c r="AN3299">
        <v>0.99999999149173402</v>
      </c>
    </row>
    <row r="3300" spans="1:40" x14ac:dyDescent="0.25">
      <c r="A3300" t="str">
        <f>"20190305134958732"</f>
        <v>20190305134958732</v>
      </c>
      <c r="B3300" t="str">
        <f>"1551764998723423"</f>
        <v>1551764998723423</v>
      </c>
      <c r="C3300" t="s">
        <v>40</v>
      </c>
      <c r="D3300">
        <v>4.3399609999999997</v>
      </c>
      <c r="E3300">
        <v>0.49164560000000002</v>
      </c>
      <c r="F3300" t="s">
        <v>82</v>
      </c>
      <c r="G3300">
        <v>-473.80360000000002</v>
      </c>
      <c r="H3300">
        <v>10.73001</v>
      </c>
      <c r="I3300">
        <v>162.05889999999999</v>
      </c>
      <c r="J3300">
        <v>-491.65249999999997</v>
      </c>
      <c r="K3300">
        <v>1.111154</v>
      </c>
      <c r="L3300">
        <v>247.35669999999999</v>
      </c>
      <c r="M3300">
        <v>-6.9955649999999994E-2</v>
      </c>
      <c r="N3300">
        <v>-1.341492E-2</v>
      </c>
      <c r="O3300">
        <v>-0.99746009999999996</v>
      </c>
      <c r="P3300">
        <v>0.16383149999999999</v>
      </c>
      <c r="Q3300">
        <v>-0.13315769999999999</v>
      </c>
      <c r="R3300">
        <v>-0.97746010000000005</v>
      </c>
      <c r="S3300">
        <v>0.62887569999999904</v>
      </c>
      <c r="T3300">
        <v>0.33899679999999999</v>
      </c>
      <c r="U3300">
        <v>-3.00943</v>
      </c>
      <c r="V3300">
        <v>-0.23139080000000001</v>
      </c>
      <c r="W3300">
        <v>-0.12103360000000001</v>
      </c>
      <c r="X3300">
        <v>0.96530260000000001</v>
      </c>
      <c r="Y3300">
        <v>-0.27117459999999999</v>
      </c>
      <c r="Z3300">
        <v>-0.1216882</v>
      </c>
      <c r="AA3300">
        <v>0.95480699999999996</v>
      </c>
      <c r="AB3300">
        <v>18</v>
      </c>
      <c r="AC3300">
        <v>17.848899999999901</v>
      </c>
      <c r="AD3300">
        <v>9.6188559999999992</v>
      </c>
      <c r="AE3300">
        <v>-85.297799999999995</v>
      </c>
      <c r="AF3300">
        <v>-23.486622193636599</v>
      </c>
      <c r="AG3300">
        <v>9.6188559999999992</v>
      </c>
      <c r="AH3300">
        <v>82.830907544068197</v>
      </c>
      <c r="AI3300">
        <v>83.625235991313005</v>
      </c>
      <c r="AJ3300">
        <v>105.83063259254099</v>
      </c>
      <c r="AK3300">
        <v>86.631997884092002</v>
      </c>
      <c r="AL3300">
        <v>96.951758508160907</v>
      </c>
      <c r="AM3300">
        <v>103.479915540086</v>
      </c>
      <c r="AN3300">
        <v>0.99999997211017899</v>
      </c>
    </row>
    <row r="3301" spans="1:40" x14ac:dyDescent="0.25">
      <c r="A3301" t="str">
        <f>"20190305134958742"</f>
        <v>20190305134958742</v>
      </c>
      <c r="B3301" t="str">
        <f>"1551764998734159"</f>
        <v>1551764998734159</v>
      </c>
      <c r="C3301" t="s">
        <v>40</v>
      </c>
      <c r="D3301">
        <v>4.2866090000000003</v>
      </c>
      <c r="E3301">
        <v>0.49317359999999999</v>
      </c>
      <c r="F3301" t="s">
        <v>83</v>
      </c>
      <c r="G3301">
        <v>-466.05119999999999</v>
      </c>
      <c r="H3301">
        <v>15.450480000000001</v>
      </c>
      <c r="I3301">
        <v>119.395</v>
      </c>
      <c r="J3301">
        <v>-491.65699999999998</v>
      </c>
      <c r="K3301">
        <v>1.1111519999999999</v>
      </c>
      <c r="L3301">
        <v>247.2647</v>
      </c>
      <c r="M3301">
        <v>-6.8328089999999994E-2</v>
      </c>
      <c r="N3301">
        <v>-1.3413970000000001E-2</v>
      </c>
      <c r="O3301">
        <v>-0.99757289999999998</v>
      </c>
      <c r="P3301">
        <v>0.16501279999999999</v>
      </c>
      <c r="Q3301">
        <v>-0.13379759999999999</v>
      </c>
      <c r="R3301">
        <v>-0.97717419999999999</v>
      </c>
      <c r="S3301">
        <v>0.60302730000000004</v>
      </c>
      <c r="T3301">
        <v>0.33775909999999998</v>
      </c>
      <c r="U3301">
        <v>-3.0140989999999999</v>
      </c>
      <c r="V3301">
        <v>-0.23097580000000001</v>
      </c>
      <c r="W3301">
        <v>-0.1216713</v>
      </c>
      <c r="X3301">
        <v>0.96532180000000001</v>
      </c>
      <c r="Y3301">
        <v>-0.26143559999999999</v>
      </c>
      <c r="Z3301">
        <v>-0.1213876</v>
      </c>
      <c r="AA3301">
        <v>0.95755760000000001</v>
      </c>
      <c r="AB3301">
        <v>18</v>
      </c>
      <c r="AC3301">
        <v>25.605799999999899</v>
      </c>
      <c r="AD3301">
        <v>14.339327999999901</v>
      </c>
      <c r="AE3301">
        <v>-127.86969999999999</v>
      </c>
      <c r="AF3301">
        <v>-33.874263368789997</v>
      </c>
      <c r="AG3301">
        <v>14.339327999999901</v>
      </c>
      <c r="AH3301">
        <v>124.31797305462</v>
      </c>
      <c r="AI3301">
        <v>83.649873790173302</v>
      </c>
      <c r="AJ3301">
        <v>105.24197482269599</v>
      </c>
      <c r="AK3301">
        <v>129.64582704691699</v>
      </c>
      <c r="AL3301">
        <v>96.988568215002701</v>
      </c>
      <c r="AM3301">
        <v>103.45636139642301</v>
      </c>
      <c r="AN3301">
        <v>0.99999995149228305</v>
      </c>
    </row>
    <row r="3302" spans="1:40" x14ac:dyDescent="0.25">
      <c r="A3302" t="str">
        <f>"20190305134958757"</f>
        <v>20190305134958757</v>
      </c>
      <c r="B3302" t="str">
        <f>"1551764998743919"</f>
        <v>1551764998743919</v>
      </c>
      <c r="C3302" t="s">
        <v>40</v>
      </c>
      <c r="D3302">
        <v>4.5250820000000003</v>
      </c>
      <c r="E3302">
        <v>0.49317359999999999</v>
      </c>
      <c r="F3302" t="s">
        <v>83</v>
      </c>
      <c r="G3302">
        <v>-466.45060000000001</v>
      </c>
      <c r="H3302">
        <v>15.5262799999999</v>
      </c>
      <c r="I3302">
        <v>119.395</v>
      </c>
      <c r="J3302">
        <v>-491.6617</v>
      </c>
      <c r="K3302">
        <v>1.1111489999999999</v>
      </c>
      <c r="L3302">
        <v>247.1661</v>
      </c>
      <c r="M3302">
        <v>-6.6581929999999998E-2</v>
      </c>
      <c r="N3302">
        <v>-1.341293E-2</v>
      </c>
      <c r="O3302">
        <v>-0.99769090000000005</v>
      </c>
      <c r="P3302">
        <v>0.16608879999999901</v>
      </c>
      <c r="Q3302">
        <v>-0.134352799999999</v>
      </c>
      <c r="R3302">
        <v>-0.97691570000000005</v>
      </c>
      <c r="S3302">
        <v>0.59457399999999905</v>
      </c>
      <c r="T3302">
        <v>0.34002959999999999</v>
      </c>
      <c r="U3302">
        <v>-3.016235</v>
      </c>
      <c r="V3302">
        <v>-0.2303442</v>
      </c>
      <c r="W3302">
        <v>-0.12222280000000001</v>
      </c>
      <c r="X3302">
        <v>0.96540309999999996</v>
      </c>
      <c r="Y3302">
        <v>-0.25701259999999998</v>
      </c>
      <c r="Z3302">
        <v>-0.12213889999999999</v>
      </c>
      <c r="AA3302">
        <v>0.95865880000000003</v>
      </c>
      <c r="AB3302">
        <v>18</v>
      </c>
      <c r="AC3302">
        <v>25.211099999999899</v>
      </c>
      <c r="AD3302">
        <v>14.415131000000001</v>
      </c>
      <c r="AE3302">
        <v>-127.7711</v>
      </c>
      <c r="AF3302">
        <v>-33.2557285438265</v>
      </c>
      <c r="AG3302">
        <v>14.415131000000001</v>
      </c>
      <c r="AH3302">
        <v>124.286091544684</v>
      </c>
      <c r="AI3302">
        <v>83.607132497687601</v>
      </c>
      <c r="AJ3302">
        <v>104.979942009509</v>
      </c>
      <c r="AK3302">
        <v>129.463400365437</v>
      </c>
      <c r="AL3302">
        <v>97.020404072359398</v>
      </c>
      <c r="AM3302">
        <v>103.419808814685</v>
      </c>
      <c r="AN3302">
        <v>1.00000000440154</v>
      </c>
    </row>
    <row r="3303" spans="1:40" x14ac:dyDescent="0.25">
      <c r="A3303" t="str">
        <f>"20190305134958771"</f>
        <v>20190305134958771</v>
      </c>
      <c r="B3303" t="str">
        <f>"1551764998763439"</f>
        <v>1551764998763439</v>
      </c>
      <c r="C3303" t="s">
        <v>40</v>
      </c>
      <c r="D3303">
        <v>4.2894699999999997</v>
      </c>
      <c r="E3303">
        <v>0.49303930000000001</v>
      </c>
      <c r="F3303" t="s">
        <v>83</v>
      </c>
      <c r="G3303">
        <v>-466.30990000000003</v>
      </c>
      <c r="H3303">
        <v>15.445180000000001</v>
      </c>
      <c r="I3303">
        <v>119.395</v>
      </c>
      <c r="J3303">
        <v>-491.66680000000002</v>
      </c>
      <c r="K3303">
        <v>1.111146</v>
      </c>
      <c r="L3303">
        <v>247.05779999999999</v>
      </c>
      <c r="M3303">
        <v>-6.4665239999999999E-2</v>
      </c>
      <c r="N3303">
        <v>-1.341178E-2</v>
      </c>
      <c r="O3303">
        <v>-0.99781699999999995</v>
      </c>
      <c r="P3303">
        <v>0.16746440000000001</v>
      </c>
      <c r="Q3303">
        <v>-0.1348279</v>
      </c>
      <c r="R3303">
        <v>-0.97661520000000002</v>
      </c>
      <c r="S3303">
        <v>0.59835819999999995</v>
      </c>
      <c r="T3303">
        <v>0.33831630000000001</v>
      </c>
      <c r="U3303">
        <v>-3.0156860000000001</v>
      </c>
      <c r="V3303">
        <v>-0.22984499999999999</v>
      </c>
      <c r="W3303">
        <v>-0.12269480000000001</v>
      </c>
      <c r="X3303">
        <v>0.96546220000000005</v>
      </c>
      <c r="Y3303">
        <v>-0.2563588</v>
      </c>
      <c r="Z3303">
        <v>-0.1216323</v>
      </c>
      <c r="AA3303">
        <v>0.95889820000000003</v>
      </c>
      <c r="AB3303">
        <v>17</v>
      </c>
      <c r="AC3303">
        <v>25.3569</v>
      </c>
      <c r="AD3303">
        <v>14.334034000000001</v>
      </c>
      <c r="AE3303">
        <v>-127.6628</v>
      </c>
      <c r="AF3303">
        <v>-33.157755121639902</v>
      </c>
      <c r="AG3303">
        <v>14.334034000000001</v>
      </c>
      <c r="AH3303">
        <v>124.24875807238</v>
      </c>
      <c r="AI3303">
        <v>83.639793853349204</v>
      </c>
      <c r="AJ3303">
        <v>104.942073364439</v>
      </c>
      <c r="AK3303">
        <v>129.39341226642401</v>
      </c>
      <c r="AL3303">
        <v>97.0476528047312</v>
      </c>
      <c r="AM3303">
        <v>103.390984053445</v>
      </c>
      <c r="AN3303">
        <v>0.99999999880043999</v>
      </c>
    </row>
    <row r="3304" spans="1:40" x14ac:dyDescent="0.25">
      <c r="A3304" t="str">
        <f>"20190305134958785"</f>
        <v>20190305134958785</v>
      </c>
      <c r="B3304" t="str">
        <f>"1551764998774175"</f>
        <v>1551764998774175</v>
      </c>
      <c r="C3304" t="s">
        <v>40</v>
      </c>
      <c r="D3304">
        <v>4.2978620000000003</v>
      </c>
      <c r="E3304">
        <v>0.4926529</v>
      </c>
      <c r="F3304" t="s">
        <v>83</v>
      </c>
      <c r="G3304">
        <v>-466.10180000000003</v>
      </c>
      <c r="H3304">
        <v>15.56339</v>
      </c>
      <c r="I3304">
        <v>119.395</v>
      </c>
      <c r="J3304">
        <v>-491.67189999999999</v>
      </c>
      <c r="K3304">
        <v>1.11114</v>
      </c>
      <c r="L3304">
        <v>246.94059999999999</v>
      </c>
      <c r="M3304">
        <v>-6.2590859999999998E-2</v>
      </c>
      <c r="N3304">
        <v>-1.3410460000000001E-2</v>
      </c>
      <c r="O3304">
        <v>-0.99794939999999999</v>
      </c>
      <c r="P3304">
        <v>0.16853080000000001</v>
      </c>
      <c r="Q3304">
        <v>-0.1355382</v>
      </c>
      <c r="R3304">
        <v>-0.97633380000000003</v>
      </c>
      <c r="S3304">
        <v>0.60385129999999998</v>
      </c>
      <c r="T3304">
        <v>0.34136809999999901</v>
      </c>
      <c r="U3304">
        <v>-3.0154420000000002</v>
      </c>
      <c r="V3304">
        <v>-0.22888610000000001</v>
      </c>
      <c r="W3304">
        <v>-0.1233996</v>
      </c>
      <c r="X3304">
        <v>0.96560020000000002</v>
      </c>
      <c r="Y3304">
        <v>-0.25602320000000001</v>
      </c>
      <c r="Z3304">
        <v>-0.1226082</v>
      </c>
      <c r="AA3304">
        <v>0.95886360000000004</v>
      </c>
      <c r="AB3304">
        <v>17</v>
      </c>
      <c r="AC3304">
        <v>25.570099999999901</v>
      </c>
      <c r="AD3304">
        <v>14.452249999999999</v>
      </c>
      <c r="AE3304">
        <v>-127.54559999999999</v>
      </c>
      <c r="AF3304">
        <v>-33.095358225322599</v>
      </c>
      <c r="AG3304">
        <v>14.452249999999999</v>
      </c>
      <c r="AH3304">
        <v>124.162317983794</v>
      </c>
      <c r="AI3304">
        <v>83.582846164936001</v>
      </c>
      <c r="AJ3304">
        <v>104.92512990049499</v>
      </c>
      <c r="AK3304">
        <v>129.30758474750701</v>
      </c>
      <c r="AL3304">
        <v>97.088343889541804</v>
      </c>
      <c r="AM3304">
        <v>103.335279917478</v>
      </c>
      <c r="AN3304">
        <v>1.0000000271467</v>
      </c>
    </row>
    <row r="3305" spans="1:40" x14ac:dyDescent="0.25">
      <c r="A3305" t="str">
        <f>"20190305134958797"</f>
        <v>20190305134958797</v>
      </c>
      <c r="B3305" t="str">
        <f>"1551764998793695"</f>
        <v>1551764998793695</v>
      </c>
      <c r="C3305" t="s">
        <v>40</v>
      </c>
      <c r="D3305">
        <v>4.275137</v>
      </c>
      <c r="E3305">
        <v>0.49271320000000002</v>
      </c>
      <c r="F3305" t="s">
        <v>83</v>
      </c>
      <c r="G3305">
        <v>-465.863</v>
      </c>
      <c r="H3305">
        <v>15.46585</v>
      </c>
      <c r="I3305">
        <v>119.395</v>
      </c>
      <c r="J3305">
        <v>-491.67570000000001</v>
      </c>
      <c r="K3305">
        <v>1.111137</v>
      </c>
      <c r="L3305">
        <v>246.85319999999999</v>
      </c>
      <c r="M3305">
        <v>-6.1044010000000003E-2</v>
      </c>
      <c r="N3305">
        <v>-1.3409509999999999E-2</v>
      </c>
      <c r="O3305">
        <v>-0.99804490000000001</v>
      </c>
      <c r="P3305">
        <v>0.16938549999999999</v>
      </c>
      <c r="Q3305">
        <v>-0.13592019999999999</v>
      </c>
      <c r="R3305">
        <v>-0.97613229999999995</v>
      </c>
      <c r="S3305">
        <v>0.60998540000000001</v>
      </c>
      <c r="T3305">
        <v>0.33927089999999999</v>
      </c>
      <c r="U3305">
        <v>-3.0145110000000002</v>
      </c>
      <c r="V3305">
        <v>-0.22823199999999999</v>
      </c>
      <c r="W3305">
        <v>-0.123777399999999</v>
      </c>
      <c r="X3305">
        <v>0.96570659999999997</v>
      </c>
      <c r="Y3305">
        <v>-0.2564728</v>
      </c>
      <c r="Z3305">
        <v>-0.121965</v>
      </c>
      <c r="AA3305">
        <v>0.9588255</v>
      </c>
      <c r="AB3305">
        <v>17</v>
      </c>
      <c r="AC3305">
        <v>25.8126999999999</v>
      </c>
      <c r="AD3305">
        <v>14.354713</v>
      </c>
      <c r="AE3305">
        <v>-127.45820000000001</v>
      </c>
      <c r="AF3305">
        <v>-33.142003873572797</v>
      </c>
      <c r="AG3305">
        <v>14.354713</v>
      </c>
      <c r="AH3305">
        <v>124.132154009887</v>
      </c>
      <c r="AI3305">
        <v>83.624954880105506</v>
      </c>
      <c r="AJ3305">
        <v>104.94869430090699</v>
      </c>
      <c r="AK3305">
        <v>129.27970399564799</v>
      </c>
      <c r="AL3305">
        <v>97.110157919002503</v>
      </c>
      <c r="AM3305">
        <v>103.29711364286899</v>
      </c>
      <c r="AN3305">
        <v>0.99999996392915902</v>
      </c>
    </row>
    <row r="3306" spans="1:40" x14ac:dyDescent="0.25">
      <c r="A3306" t="str">
        <f>"20190305134958808"</f>
        <v>20190305134958808</v>
      </c>
      <c r="B3306" t="str">
        <f>"1551764998803964"</f>
        <v>1551764998803964</v>
      </c>
      <c r="C3306" t="s">
        <v>40</v>
      </c>
      <c r="D3306">
        <v>4.2908819999999999</v>
      </c>
      <c r="E3306">
        <v>0.49257649999999997</v>
      </c>
      <c r="F3306" t="s">
        <v>83</v>
      </c>
      <c r="G3306">
        <v>-465.79829999999998</v>
      </c>
      <c r="H3306">
        <v>15.409039999999999</v>
      </c>
      <c r="I3306">
        <v>119.395</v>
      </c>
      <c r="J3306">
        <v>-491.67950000000002</v>
      </c>
      <c r="K3306">
        <v>1.1111279999999999</v>
      </c>
      <c r="L3306">
        <v>246.76</v>
      </c>
      <c r="M3306">
        <v>-5.9392849999999997E-2</v>
      </c>
      <c r="N3306">
        <v>-1.340853E-2</v>
      </c>
      <c r="O3306">
        <v>-0.9981447</v>
      </c>
      <c r="P3306">
        <v>0.17049320000000001</v>
      </c>
      <c r="Q3306">
        <v>-0.13612479999999999</v>
      </c>
      <c r="R3306">
        <v>-0.97591130000000004</v>
      </c>
      <c r="S3306">
        <v>0.61196899999999999</v>
      </c>
      <c r="T3306">
        <v>0.33813080000000001</v>
      </c>
      <c r="U3306">
        <v>-3.0142519999999999</v>
      </c>
      <c r="V3306">
        <v>-0.2277293</v>
      </c>
      <c r="W3306">
        <v>-0.12397859999999999</v>
      </c>
      <c r="X3306">
        <v>0.96579950000000003</v>
      </c>
      <c r="Y3306">
        <v>-0.2555036</v>
      </c>
      <c r="Z3306">
        <v>-0.1216351</v>
      </c>
      <c r="AA3306">
        <v>0.95912609999999998</v>
      </c>
      <c r="AB3306">
        <v>17</v>
      </c>
      <c r="AC3306">
        <v>25.8812</v>
      </c>
      <c r="AD3306">
        <v>14.297911999999901</v>
      </c>
      <c r="AE3306">
        <v>-127.36499999999999</v>
      </c>
      <c r="AF3306">
        <v>-33.001356814530197</v>
      </c>
      <c r="AG3306">
        <v>14.297911999999901</v>
      </c>
      <c r="AH3306">
        <v>124.100902227994</v>
      </c>
      <c r="AI3306">
        <v>83.646717048167702</v>
      </c>
      <c r="AJ3306">
        <v>104.891660968442</v>
      </c>
      <c r="AK3306">
        <v>129.20740602984699</v>
      </c>
      <c r="AL3306">
        <v>97.121775050058304</v>
      </c>
      <c r="AM3306">
        <v>103.267631537025</v>
      </c>
      <c r="AN3306">
        <v>1.0000000007683401</v>
      </c>
    </row>
    <row r="3307" spans="1:40" x14ac:dyDescent="0.25">
      <c r="A3307" t="str">
        <f>"20190305134958821"</f>
        <v>20190305134958821</v>
      </c>
      <c r="B3307" t="str">
        <f>"1551764998813723"</f>
        <v>1551764998813723</v>
      </c>
      <c r="C3307" t="s">
        <v>40</v>
      </c>
      <c r="D3307">
        <v>4.2572460000000003</v>
      </c>
      <c r="E3307">
        <v>0.49236799999999997</v>
      </c>
      <c r="F3307" t="s">
        <v>83</v>
      </c>
      <c r="G3307">
        <v>-465.64870000000002</v>
      </c>
      <c r="H3307">
        <v>15.392029999999901</v>
      </c>
      <c r="I3307">
        <v>119.395</v>
      </c>
      <c r="J3307">
        <v>-491.68299999999999</v>
      </c>
      <c r="K3307">
        <v>1.1111230000000001</v>
      </c>
      <c r="L3307">
        <v>246.66730000000001</v>
      </c>
      <c r="M3307">
        <v>-5.7753989999999998E-2</v>
      </c>
      <c r="N3307">
        <v>-1.3407469999999999E-2</v>
      </c>
      <c r="O3307">
        <v>-0.99824089999999999</v>
      </c>
      <c r="P3307">
        <v>0.17149639999999999</v>
      </c>
      <c r="Q3307">
        <v>-0.136824</v>
      </c>
      <c r="R3307">
        <v>-0.97563750000000005</v>
      </c>
      <c r="S3307">
        <v>0.61590579999999995</v>
      </c>
      <c r="T3307">
        <v>0.33789910000000001</v>
      </c>
      <c r="U3307">
        <v>-3.0135649999999998</v>
      </c>
      <c r="V3307">
        <v>-0.2271309</v>
      </c>
      <c r="W3307">
        <v>-0.1246744</v>
      </c>
      <c r="X3307">
        <v>0.96585080000000001</v>
      </c>
      <c r="Y3307">
        <v>-0.25516359999999999</v>
      </c>
      <c r="Z3307">
        <v>-0.12159010000000001</v>
      </c>
      <c r="AA3307">
        <v>0.95922229999999997</v>
      </c>
      <c r="AB3307">
        <v>17</v>
      </c>
      <c r="AC3307">
        <v>26.034300000000002</v>
      </c>
      <c r="AD3307">
        <v>14.280906999999999</v>
      </c>
      <c r="AE3307">
        <v>-127.2723</v>
      </c>
      <c r="AF3307">
        <v>-32.943858376288098</v>
      </c>
      <c r="AG3307">
        <v>14.280906999999999</v>
      </c>
      <c r="AH3307">
        <v>124.05689524129799</v>
      </c>
      <c r="AI3307">
        <v>83.651401933845094</v>
      </c>
      <c r="AJ3307">
        <v>104.87190517400499</v>
      </c>
      <c r="AK3307">
        <v>129.14857864634001</v>
      </c>
      <c r="AL3307">
        <v>97.161953476741004</v>
      </c>
      <c r="AM3307">
        <v>103.233318589603</v>
      </c>
      <c r="AN3307">
        <v>0.99999995980540402</v>
      </c>
    </row>
    <row r="3308" spans="1:40" x14ac:dyDescent="0.25">
      <c r="A3308" t="str">
        <f>"20190305134958833"</f>
        <v>20190305134958833</v>
      </c>
      <c r="B3308" t="str">
        <f>"1551764998823483"</f>
        <v>1551764998823483</v>
      </c>
      <c r="C3308" t="s">
        <v>40</v>
      </c>
      <c r="D3308">
        <v>4.5342900000000004</v>
      </c>
      <c r="E3308">
        <v>0.49236799999999997</v>
      </c>
      <c r="F3308" t="s">
        <v>83</v>
      </c>
      <c r="G3308">
        <v>-465.4649</v>
      </c>
      <c r="H3308">
        <v>15.309939999999999</v>
      </c>
      <c r="I3308">
        <v>119.395</v>
      </c>
      <c r="J3308">
        <v>-491.68650000000002</v>
      </c>
      <c r="K3308">
        <v>1.1111200000000001</v>
      </c>
      <c r="L3308">
        <v>246.57570000000001</v>
      </c>
      <c r="M3308">
        <v>-5.6135169999999998E-2</v>
      </c>
      <c r="N3308">
        <v>-1.3406400000000001E-2</v>
      </c>
      <c r="O3308">
        <v>-0.99833329999999998</v>
      </c>
      <c r="P3308">
        <v>0.17229</v>
      </c>
      <c r="Q3308">
        <v>-0.1372321</v>
      </c>
      <c r="R3308">
        <v>-0.97544039999999999</v>
      </c>
      <c r="S3308">
        <v>0.62066650000000001</v>
      </c>
      <c r="T3308">
        <v>0.33613340000000003</v>
      </c>
      <c r="U3308">
        <v>-3.0129549999999998</v>
      </c>
      <c r="V3308">
        <v>-0.22634779999999999</v>
      </c>
      <c r="W3308">
        <v>-0.12507699999999999</v>
      </c>
      <c r="X3308">
        <v>0.96598260000000002</v>
      </c>
      <c r="Y3308">
        <v>-0.25510139999999998</v>
      </c>
      <c r="Z3308">
        <v>-0.1210503</v>
      </c>
      <c r="AA3308">
        <v>0.95930709999999997</v>
      </c>
      <c r="AB3308">
        <v>17</v>
      </c>
      <c r="AC3308">
        <v>26.221599999999999</v>
      </c>
      <c r="AD3308">
        <v>14.19882</v>
      </c>
      <c r="AE3308">
        <v>-127.1807</v>
      </c>
      <c r="AF3308">
        <v>-32.926530226223598</v>
      </c>
      <c r="AG3308">
        <v>14.19882</v>
      </c>
      <c r="AH3308">
        <v>124.025202990404</v>
      </c>
      <c r="AI3308">
        <v>83.685886801686706</v>
      </c>
      <c r="AJ3308">
        <v>104.868059188776</v>
      </c>
      <c r="AK3308">
        <v>129.10466242139299</v>
      </c>
      <c r="AL3308">
        <v>97.185202577264306</v>
      </c>
      <c r="AM3308">
        <v>103.187553618501</v>
      </c>
      <c r="AN3308">
        <v>0.99999998299829895</v>
      </c>
    </row>
    <row r="3309" spans="1:40" x14ac:dyDescent="0.25">
      <c r="A3309" t="str">
        <f>"20190305134958847"</f>
        <v>20190305134958847</v>
      </c>
      <c r="B3309" t="str">
        <f>"1551764998843979"</f>
        <v>1551764998843979</v>
      </c>
      <c r="C3309" t="s">
        <v>40</v>
      </c>
      <c r="D3309">
        <v>4.5365419999999999</v>
      </c>
      <c r="E3309">
        <v>0.49227919999999997</v>
      </c>
      <c r="F3309" t="s">
        <v>83</v>
      </c>
      <c r="G3309">
        <v>-465.39980000000003</v>
      </c>
      <c r="H3309">
        <v>15.250769999999999</v>
      </c>
      <c r="I3309">
        <v>119.395</v>
      </c>
      <c r="J3309">
        <v>-491.69060000000002</v>
      </c>
      <c r="K3309">
        <v>1.1111120000000001</v>
      </c>
      <c r="L3309">
        <v>246.46119999999999</v>
      </c>
      <c r="M3309">
        <v>-5.4117609999999997E-2</v>
      </c>
      <c r="N3309">
        <v>-1.340496E-2</v>
      </c>
      <c r="O3309">
        <v>-0.99844449999999996</v>
      </c>
      <c r="P3309">
        <v>0.17353560000000001</v>
      </c>
      <c r="Q3309">
        <v>-0.13688629999999999</v>
      </c>
      <c r="R3309">
        <v>-0.97526789999999997</v>
      </c>
      <c r="S3309">
        <v>0.62268069999999998</v>
      </c>
      <c r="T3309">
        <v>0.3349433</v>
      </c>
      <c r="U3309">
        <v>-3.01268</v>
      </c>
      <c r="V3309">
        <v>-0.22563710000000001</v>
      </c>
      <c r="W3309">
        <v>-0.1247233</v>
      </c>
      <c r="X3309">
        <v>0.96619460000000001</v>
      </c>
      <c r="Y3309">
        <v>-0.25378779999999901</v>
      </c>
      <c r="Z3309">
        <v>-0.1207101</v>
      </c>
      <c r="AA3309">
        <v>0.9596983</v>
      </c>
      <c r="AB3309">
        <v>17</v>
      </c>
      <c r="AC3309">
        <v>26.290799999999901</v>
      </c>
      <c r="AD3309">
        <v>14.139657999999899</v>
      </c>
      <c r="AE3309">
        <v>-127.06619999999999</v>
      </c>
      <c r="AF3309">
        <v>-32.740627261731198</v>
      </c>
      <c r="AG3309">
        <v>14.139657999999899</v>
      </c>
      <c r="AH3309">
        <v>123.984788831354</v>
      </c>
      <c r="AI3309">
        <v>83.707769672161803</v>
      </c>
      <c r="AJ3309">
        <v>104.792411417246</v>
      </c>
      <c r="AK3309">
        <v>129.01203999396299</v>
      </c>
      <c r="AL3309">
        <v>97.164776964687505</v>
      </c>
      <c r="AM3309">
        <v>103.144802393283</v>
      </c>
      <c r="AN3309">
        <v>1.00000000376423</v>
      </c>
    </row>
    <row r="3310" spans="1:40" x14ac:dyDescent="0.25">
      <c r="A3310" t="str">
        <f>"20190305134958864"</f>
        <v>20190305134958864</v>
      </c>
      <c r="B3310" t="str">
        <f>"1551764998853739"</f>
        <v>1551764998853739</v>
      </c>
      <c r="C3310" t="s">
        <v>40</v>
      </c>
      <c r="D3310">
        <v>4.2928379999999997</v>
      </c>
      <c r="E3310">
        <v>0.4922048</v>
      </c>
      <c r="F3310" t="s">
        <v>82</v>
      </c>
      <c r="G3310">
        <v>-473.87380000000002</v>
      </c>
      <c r="H3310">
        <v>10.641999999999999</v>
      </c>
      <c r="I3310">
        <v>160.8528</v>
      </c>
      <c r="J3310">
        <v>-491.69479999999999</v>
      </c>
      <c r="K3310">
        <v>1.111102</v>
      </c>
      <c r="L3310">
        <v>246.3356</v>
      </c>
      <c r="M3310">
        <v>-5.1918100000000002E-2</v>
      </c>
      <c r="N3310">
        <v>-1.3403109999999999E-2</v>
      </c>
      <c r="O3310">
        <v>-0.99856160000000005</v>
      </c>
      <c r="P3310">
        <v>0.1740033</v>
      </c>
      <c r="Q3310">
        <v>-0.135966899999999</v>
      </c>
      <c r="R3310">
        <v>-0.97531319999999999</v>
      </c>
      <c r="S3310">
        <v>0.62676999999999905</v>
      </c>
      <c r="T3310">
        <v>0.33528479999999999</v>
      </c>
      <c r="U3310">
        <v>-3.0115970000000001</v>
      </c>
      <c r="V3310">
        <v>-0.22398850000000001</v>
      </c>
      <c r="W3310">
        <v>-0.1237866</v>
      </c>
      <c r="X3310">
        <v>0.96669850000000002</v>
      </c>
      <c r="Y3310">
        <v>-0.25297170000000002</v>
      </c>
      <c r="Z3310">
        <v>-0.1208674</v>
      </c>
      <c r="AA3310">
        <v>0.95989389999999997</v>
      </c>
      <c r="AB3310">
        <v>17</v>
      </c>
      <c r="AC3310">
        <v>17.820999999999898</v>
      </c>
      <c r="AD3310">
        <v>9.5308979999999899</v>
      </c>
      <c r="AE3310">
        <v>-85.482799999999997</v>
      </c>
      <c r="AF3310">
        <v>-21.9736836495895</v>
      </c>
      <c r="AG3310">
        <v>9.5308979999999899</v>
      </c>
      <c r="AH3310">
        <v>83.448032158583501</v>
      </c>
      <c r="AI3310">
        <v>83.697308094274106</v>
      </c>
      <c r="AJ3310">
        <v>104.752343800099</v>
      </c>
      <c r="AK3310">
        <v>86.817364973596298</v>
      </c>
      <c r="AL3310">
        <v>97.110689009268896</v>
      </c>
      <c r="AM3310">
        <v>103.045489922139</v>
      </c>
      <c r="AN3310">
        <v>0.99999998018702896</v>
      </c>
    </row>
    <row r="3311" spans="1:40" x14ac:dyDescent="0.25">
      <c r="A3311" t="str">
        <f>"20190305134958880"</f>
        <v>20190305134958880</v>
      </c>
      <c r="B3311" t="str">
        <f>"1551764998873259"</f>
        <v>1551764998873259</v>
      </c>
      <c r="C3311" t="s">
        <v>40</v>
      </c>
      <c r="D3311">
        <v>4.5668419999999896</v>
      </c>
      <c r="E3311">
        <v>0.49225089999999999</v>
      </c>
      <c r="F3311" t="s">
        <v>82</v>
      </c>
      <c r="G3311">
        <v>-473.87380000000002</v>
      </c>
      <c r="H3311">
        <v>10.701739999999999</v>
      </c>
      <c r="I3311">
        <v>161.10589999999999</v>
      </c>
      <c r="J3311">
        <v>-491.69830000000002</v>
      </c>
      <c r="K3311">
        <v>1.111084</v>
      </c>
      <c r="L3311">
        <v>246.22030000000001</v>
      </c>
      <c r="M3311">
        <v>-4.9916839999999997E-2</v>
      </c>
      <c r="N3311">
        <v>-1.3401120000000001E-2</v>
      </c>
      <c r="O3311">
        <v>-0.99866359999999998</v>
      </c>
      <c r="P3311">
        <v>0.1753149</v>
      </c>
      <c r="Q3311">
        <v>-0.1360499</v>
      </c>
      <c r="R3311">
        <v>-0.97506669999999995</v>
      </c>
      <c r="S3311">
        <v>0.62954709999999903</v>
      </c>
      <c r="T3311">
        <v>0.33880159999999998</v>
      </c>
      <c r="U3311">
        <v>-3.0108489999999999</v>
      </c>
      <c r="V3311">
        <v>-0.22335630000000001</v>
      </c>
      <c r="W3311">
        <v>-0.1238586</v>
      </c>
      <c r="X3311">
        <v>0.96683560000000002</v>
      </c>
      <c r="Y3311">
        <v>-0.25190200000000001</v>
      </c>
      <c r="Z3311">
        <v>-0.1220233</v>
      </c>
      <c r="AA3311">
        <v>0.96002900000000002</v>
      </c>
      <c r="AB3311">
        <v>17</v>
      </c>
      <c r="AC3311">
        <v>17.8245</v>
      </c>
      <c r="AD3311">
        <v>9.5906559999999992</v>
      </c>
      <c r="AE3311">
        <v>-85.114400000000003</v>
      </c>
      <c r="AF3311">
        <v>-21.786305976519898</v>
      </c>
      <c r="AG3311">
        <v>9.5906559999999992</v>
      </c>
      <c r="AH3311">
        <v>83.107593711913594</v>
      </c>
      <c r="AI3311">
        <v>83.630520486129697</v>
      </c>
      <c r="AJ3311">
        <v>104.68931590419299</v>
      </c>
      <c r="AK3311">
        <v>86.449383706290206</v>
      </c>
      <c r="AL3311">
        <v>97.114845917263196</v>
      </c>
      <c r="AM3311">
        <v>103.008141677555</v>
      </c>
      <c r="AN3311">
        <v>1.0000000334854999</v>
      </c>
    </row>
    <row r="3312" spans="1:40" x14ac:dyDescent="0.25">
      <c r="A3312" t="str">
        <f>"20190305134958900"</f>
        <v>20190305134958900</v>
      </c>
      <c r="B3312" t="str">
        <f>"1551764998893755"</f>
        <v>1551764998893755</v>
      </c>
      <c r="C3312" t="s">
        <v>40</v>
      </c>
      <c r="D3312">
        <v>4.5336169999999996</v>
      </c>
      <c r="E3312">
        <v>0.4923534</v>
      </c>
      <c r="F3312" t="s">
        <v>82</v>
      </c>
      <c r="G3312">
        <v>-473.87380000000002</v>
      </c>
      <c r="H3312">
        <v>10.65096</v>
      </c>
      <c r="I3312">
        <v>161.50309999999999</v>
      </c>
      <c r="J3312">
        <v>-491.7029</v>
      </c>
      <c r="K3312">
        <v>1.111051</v>
      </c>
      <c r="L3312">
        <v>246.06389999999999</v>
      </c>
      <c r="M3312">
        <v>-4.7238759999999998E-2</v>
      </c>
      <c r="N3312">
        <v>-1.3397910000000001E-2</v>
      </c>
      <c r="O3312">
        <v>-0.99879390000000001</v>
      </c>
      <c r="P3312">
        <v>0.1771189</v>
      </c>
      <c r="Q3312">
        <v>-0.136299</v>
      </c>
      <c r="R3312">
        <v>-0.97470570000000001</v>
      </c>
      <c r="S3312">
        <v>0.63333130000000004</v>
      </c>
      <c r="T3312">
        <v>0.33896609999999899</v>
      </c>
      <c r="U3312">
        <v>-3.010132</v>
      </c>
      <c r="V3312">
        <v>-0.22256139999999999</v>
      </c>
      <c r="W3312">
        <v>-0.1240885</v>
      </c>
      <c r="X3312">
        <v>0.9669894</v>
      </c>
      <c r="Y3312">
        <v>-0.25050679999999997</v>
      </c>
      <c r="Z3312">
        <v>-0.12212199999999999</v>
      </c>
      <c r="AA3312">
        <v>0.9603815</v>
      </c>
      <c r="AB3312">
        <v>17</v>
      </c>
      <c r="AC3312">
        <v>17.829099999999901</v>
      </c>
      <c r="AD3312">
        <v>9.5399089999999998</v>
      </c>
      <c r="AE3312">
        <v>-84.5608</v>
      </c>
      <c r="AF3312">
        <v>-21.541592407708499</v>
      </c>
      <c r="AG3312">
        <v>9.5399089999999998</v>
      </c>
      <c r="AH3312">
        <v>82.617308470036406</v>
      </c>
      <c r="AI3312">
        <v>83.624480510483806</v>
      </c>
      <c r="AJ3312">
        <v>104.613894269591</v>
      </c>
      <c r="AK3312">
        <v>85.910824265754101</v>
      </c>
      <c r="AL3312">
        <v>97.128120748136297</v>
      </c>
      <c r="AM3312">
        <v>102.96142141181799</v>
      </c>
      <c r="AN3312">
        <v>1.00000001615728</v>
      </c>
    </row>
    <row r="3313" spans="1:40" x14ac:dyDescent="0.25">
      <c r="A3313" t="str">
        <f>"20190305134958921"</f>
        <v>20190305134958921</v>
      </c>
      <c r="B3313" t="str">
        <f>"1551764998913787"</f>
        <v>1551764998913787</v>
      </c>
      <c r="C3313" t="s">
        <v>40</v>
      </c>
      <c r="D3313">
        <v>4.4719290000000003</v>
      </c>
      <c r="E3313">
        <v>0.49037779999999997</v>
      </c>
      <c r="F3313" t="s">
        <v>82</v>
      </c>
      <c r="G3313">
        <v>-473.86770000000001</v>
      </c>
      <c r="H3313">
        <v>10.522209999999999</v>
      </c>
      <c r="I3313">
        <v>162.05879999999999</v>
      </c>
      <c r="J3313">
        <v>-491.70740000000001</v>
      </c>
      <c r="K3313">
        <v>1.1110009999999999</v>
      </c>
      <c r="L3313">
        <v>245.8965</v>
      </c>
      <c r="M3313">
        <v>-4.4435589999999997E-2</v>
      </c>
      <c r="N3313">
        <v>-1.339367E-2</v>
      </c>
      <c r="O3313">
        <v>-0.99892250000000005</v>
      </c>
      <c r="P3313">
        <v>0.1789666</v>
      </c>
      <c r="Q3313">
        <v>-0.1356001</v>
      </c>
      <c r="R3313">
        <v>-0.97446600000000005</v>
      </c>
      <c r="S3313">
        <v>0.63882450000000002</v>
      </c>
      <c r="T3313">
        <v>0.33709040000000001</v>
      </c>
      <c r="U3313">
        <v>-3.0089109999999999</v>
      </c>
      <c r="V3313">
        <v>-0.22170409999999999</v>
      </c>
      <c r="W3313">
        <v>-0.1233604</v>
      </c>
      <c r="X3313">
        <v>0.96727940000000001</v>
      </c>
      <c r="Y3313">
        <v>-0.24956039999999999</v>
      </c>
      <c r="Z3313">
        <v>-0.12157809999999999</v>
      </c>
      <c r="AA3313">
        <v>0.96069680000000002</v>
      </c>
      <c r="AB3313">
        <v>17</v>
      </c>
      <c r="AC3313">
        <v>17.839699999999901</v>
      </c>
      <c r="AD3313">
        <v>9.4112089999999995</v>
      </c>
      <c r="AE3313">
        <v>-83.837699999999998</v>
      </c>
      <c r="AF3313">
        <v>-21.291115513538202</v>
      </c>
      <c r="AG3313">
        <v>9.4112089999999995</v>
      </c>
      <c r="AH3313">
        <v>81.973862070956201</v>
      </c>
      <c r="AI3313">
        <v>83.659276307121701</v>
      </c>
      <c r="AJ3313">
        <v>104.559753948772</v>
      </c>
      <c r="AK3313">
        <v>85.215001716133699</v>
      </c>
      <c r="AL3313">
        <v>97.086081031113096</v>
      </c>
      <c r="AM3313">
        <v>102.90942928251501</v>
      </c>
      <c r="AN3313">
        <v>0.99999996695466398</v>
      </c>
    </row>
    <row r="3314" spans="1:40" x14ac:dyDescent="0.25">
      <c r="A3314" t="str">
        <f>"20190305134958933"</f>
        <v>20190305134958933</v>
      </c>
      <c r="B3314" t="str">
        <f>"1551764998923543"</f>
        <v>1551764998923543</v>
      </c>
      <c r="C3314" t="s">
        <v>40</v>
      </c>
      <c r="D3314">
        <v>4.4783369999999998</v>
      </c>
      <c r="E3314">
        <v>0.49005280000000001</v>
      </c>
      <c r="F3314" t="s">
        <v>42</v>
      </c>
      <c r="G3314">
        <v>-488.47710000000001</v>
      </c>
      <c r="H3314" s="1">
        <v>-7.7479119999999897E-7</v>
      </c>
      <c r="I3314">
        <v>230.73410000000001</v>
      </c>
      <c r="J3314">
        <v>-491.70979999999997</v>
      </c>
      <c r="K3314">
        <v>1.110967</v>
      </c>
      <c r="L3314">
        <v>245.8021</v>
      </c>
      <c r="M3314">
        <v>-4.288703E-2</v>
      </c>
      <c r="N3314">
        <v>-1.339096E-2</v>
      </c>
      <c r="O3314">
        <v>-0.99899039999999995</v>
      </c>
      <c r="P3314">
        <v>0.17979329999999999</v>
      </c>
      <c r="Q3314">
        <v>-0.13483919999999999</v>
      </c>
      <c r="R3314">
        <v>-0.97441949999999999</v>
      </c>
      <c r="S3314">
        <v>0.62506099999999998</v>
      </c>
      <c r="T3314">
        <v>-0.21497749999999999</v>
      </c>
      <c r="U3314">
        <v>-2.9339140000000001</v>
      </c>
      <c r="V3314">
        <v>-0.2210435</v>
      </c>
      <c r="W3314">
        <v>-0.12257850000000001</v>
      </c>
      <c r="X3314">
        <v>0.96753</v>
      </c>
      <c r="Y3314">
        <v>-0.24963940000000001</v>
      </c>
      <c r="Z3314">
        <v>5.7603990000000001E-2</v>
      </c>
      <c r="AA3314">
        <v>0.96662400000000004</v>
      </c>
      <c r="AB3314">
        <v>17</v>
      </c>
      <c r="AC3314">
        <v>3.2326999999999599</v>
      </c>
      <c r="AD3314">
        <v>-1.1109677747911999</v>
      </c>
      <c r="AE3314">
        <v>-15.0679999999999</v>
      </c>
      <c r="AF3314">
        <v>-3.8559654679732702</v>
      </c>
      <c r="AG3314">
        <v>-1.1109677747911999</v>
      </c>
      <c r="AH3314">
        <v>14.8383663293205</v>
      </c>
      <c r="AI3314">
        <v>94.144666528982299</v>
      </c>
      <c r="AJ3314">
        <v>104.56694693616799</v>
      </c>
      <c r="AK3314">
        <v>15.371396631729301</v>
      </c>
      <c r="AL3314">
        <v>97.040938550706699</v>
      </c>
      <c r="AM3314">
        <v>102.86902385223399</v>
      </c>
      <c r="AN3314">
        <v>1.0000000092272401</v>
      </c>
    </row>
    <row r="3315" spans="1:40" x14ac:dyDescent="0.25">
      <c r="A3315" t="str">
        <f>"20190305134958945"</f>
        <v>20190305134958945</v>
      </c>
      <c r="B3315" t="str">
        <f>"1551764998944039"</f>
        <v>1551764998944039</v>
      </c>
      <c r="C3315" t="s">
        <v>40</v>
      </c>
      <c r="D3315">
        <v>4.4999200000000004</v>
      </c>
      <c r="E3315">
        <v>0.48999419999999999</v>
      </c>
      <c r="F3315" t="s">
        <v>42</v>
      </c>
      <c r="G3315">
        <v>-488.40379999999999</v>
      </c>
      <c r="H3315" s="1">
        <v>-6.8656250000000004E-7</v>
      </c>
      <c r="I3315">
        <v>230.41759999999999</v>
      </c>
      <c r="J3315">
        <v>-491.71210000000002</v>
      </c>
      <c r="K3315">
        <v>1.1109279999999999</v>
      </c>
      <c r="L3315">
        <v>245.7055</v>
      </c>
      <c r="M3315">
        <v>-4.133879E-2</v>
      </c>
      <c r="N3315">
        <v>-1.3387990000000001E-2</v>
      </c>
      <c r="O3315">
        <v>-0.99905540000000004</v>
      </c>
      <c r="P3315">
        <v>0.180753</v>
      </c>
      <c r="Q3315">
        <v>-0.13401569999999999</v>
      </c>
      <c r="R3315">
        <v>-0.97435539999999998</v>
      </c>
      <c r="S3315">
        <v>0.63031009999999998</v>
      </c>
      <c r="T3315">
        <v>-0.2118139</v>
      </c>
      <c r="U3315">
        <v>-2.9331670000000001</v>
      </c>
      <c r="V3315">
        <v>-0.22051670000000001</v>
      </c>
      <c r="W3315">
        <v>-0.1217321</v>
      </c>
      <c r="X3315">
        <v>0.96775699999999998</v>
      </c>
      <c r="Y3315">
        <v>-0.2498573</v>
      </c>
      <c r="Z3315">
        <v>5.6577290000000002E-2</v>
      </c>
      <c r="AA3315">
        <v>0.9666283</v>
      </c>
      <c r="AB3315">
        <v>17</v>
      </c>
      <c r="AC3315">
        <v>3.3083000000000302</v>
      </c>
      <c r="AD3315">
        <v>-1.1109286865625001</v>
      </c>
      <c r="AE3315">
        <v>-15.2879</v>
      </c>
      <c r="AF3315">
        <v>-3.9177491962201798</v>
      </c>
      <c r="AG3315">
        <v>-1.1109286865625001</v>
      </c>
      <c r="AH3315">
        <v>15.062078312051501</v>
      </c>
      <c r="AI3315">
        <v>94.082933731458795</v>
      </c>
      <c r="AJ3315">
        <v>104.579948504445</v>
      </c>
      <c r="AK3315">
        <v>15.602856289458201</v>
      </c>
      <c r="AL3315">
        <v>96.992077791323396</v>
      </c>
      <c r="AM3315">
        <v>102.83645963891701</v>
      </c>
      <c r="AN3315">
        <v>0.99999996509914901</v>
      </c>
    </row>
    <row r="3316" spans="1:40" x14ac:dyDescent="0.25">
      <c r="A3316" t="str">
        <f>"20190305134958957"</f>
        <v>20190305134958957</v>
      </c>
      <c r="B3316" t="str">
        <f>"1551764998953799"</f>
        <v>1551764998953799</v>
      </c>
      <c r="C3316" t="s">
        <v>40</v>
      </c>
      <c r="D3316">
        <v>4.5284230000000001</v>
      </c>
      <c r="E3316">
        <v>0.48999419999999999</v>
      </c>
      <c r="F3316" t="s">
        <v>42</v>
      </c>
      <c r="G3316">
        <v>-488.40249999999997</v>
      </c>
      <c r="H3316" s="1">
        <v>-6.7755019999999996E-7</v>
      </c>
      <c r="I3316">
        <v>230.39</v>
      </c>
      <c r="J3316">
        <v>-491.71409999999997</v>
      </c>
      <c r="K3316">
        <v>1.1108910000000001</v>
      </c>
      <c r="L3316">
        <v>245.61930000000001</v>
      </c>
      <c r="M3316">
        <v>-3.9997610000000003E-2</v>
      </c>
      <c r="N3316">
        <v>-1.3385060000000001E-2</v>
      </c>
      <c r="O3316">
        <v>-0.9991101</v>
      </c>
      <c r="P3316">
        <v>0.18101529999999999</v>
      </c>
      <c r="Q3316">
        <v>-0.1334861</v>
      </c>
      <c r="R3316">
        <v>-0.97437940000000001</v>
      </c>
      <c r="S3316">
        <v>0.63363649999999905</v>
      </c>
      <c r="T3316">
        <v>-0.2126883</v>
      </c>
      <c r="U3316">
        <v>-2.932159</v>
      </c>
      <c r="V3316">
        <v>-0.219496</v>
      </c>
      <c r="W3316">
        <v>-0.1211771</v>
      </c>
      <c r="X3316">
        <v>0.96805870000000005</v>
      </c>
      <c r="Y3316">
        <v>-0.24966959999999999</v>
      </c>
      <c r="Z3316">
        <v>5.6892400000000003E-2</v>
      </c>
      <c r="AA3316">
        <v>0.96665840000000003</v>
      </c>
      <c r="AB3316">
        <v>17</v>
      </c>
      <c r="AC3316">
        <v>3.3115999999999901</v>
      </c>
      <c r="AD3316">
        <v>-1.1108916775502</v>
      </c>
      <c r="AE3316">
        <v>-15.2293</v>
      </c>
      <c r="AF3316">
        <v>-3.89833363268807</v>
      </c>
      <c r="AG3316">
        <v>-1.1108916775502</v>
      </c>
      <c r="AH3316">
        <v>15.008390668603001</v>
      </c>
      <c r="AI3316">
        <v>94.097714516769699</v>
      </c>
      <c r="AJ3316">
        <v>104.560455658192</v>
      </c>
      <c r="AK3316">
        <v>15.5461530898292</v>
      </c>
      <c r="AL3316">
        <v>96.960041117011301</v>
      </c>
      <c r="AM3316">
        <v>102.77514713182001</v>
      </c>
      <c r="AN3316">
        <v>1.0000000151130499</v>
      </c>
    </row>
    <row r="3317" spans="1:40" x14ac:dyDescent="0.25">
      <c r="A3317" t="str">
        <f>"20190305134958970"</f>
        <v>20190305134958970</v>
      </c>
      <c r="B3317" t="str">
        <f>"1551764998963559"</f>
        <v>1551764998963559</v>
      </c>
      <c r="C3317" t="s">
        <v>40</v>
      </c>
      <c r="D3317">
        <v>4.4699140000000002</v>
      </c>
      <c r="E3317">
        <v>0.50778250000000003</v>
      </c>
      <c r="F3317" t="s">
        <v>42</v>
      </c>
      <c r="G3317">
        <v>-488.37810000000002</v>
      </c>
      <c r="H3317" s="1">
        <v>-6.1520449999999997E-7</v>
      </c>
      <c r="I3317">
        <v>230.18770000000001</v>
      </c>
      <c r="J3317">
        <v>-491.71620000000001</v>
      </c>
      <c r="K3317">
        <v>1.1108450000000001</v>
      </c>
      <c r="L3317">
        <v>245.52109999999999</v>
      </c>
      <c r="M3317">
        <v>-3.8492810000000002E-2</v>
      </c>
      <c r="N3317">
        <v>-1.338165E-2</v>
      </c>
      <c r="O3317">
        <v>-0.99916930000000004</v>
      </c>
      <c r="P3317">
        <v>0.1817928</v>
      </c>
      <c r="Q3317">
        <v>-0.13276589999999999</v>
      </c>
      <c r="R3317">
        <v>-0.974333</v>
      </c>
      <c r="S3317">
        <v>0.63388059999999902</v>
      </c>
      <c r="T3317">
        <v>-0.21108289999999999</v>
      </c>
      <c r="U3317">
        <v>-2.9321899999999999</v>
      </c>
      <c r="V3317">
        <v>-0.21883150000000001</v>
      </c>
      <c r="W3317">
        <v>-0.12042949999999999</v>
      </c>
      <c r="X3317">
        <v>0.96830240000000001</v>
      </c>
      <c r="Y3317">
        <v>-0.24829390000000001</v>
      </c>
      <c r="Z3317">
        <v>5.6387050000000001E-2</v>
      </c>
      <c r="AA3317">
        <v>0.96704219999999996</v>
      </c>
      <c r="AB3317">
        <v>17</v>
      </c>
      <c r="AC3317">
        <v>3.3380999999999901</v>
      </c>
      <c r="AD3317">
        <v>-1.1108456152044901</v>
      </c>
      <c r="AE3317">
        <v>-15.3333999999999</v>
      </c>
      <c r="AF3317">
        <v>-3.90632966313414</v>
      </c>
      <c r="AG3317">
        <v>-1.1108456152044901</v>
      </c>
      <c r="AH3317">
        <v>15.117775194349701</v>
      </c>
      <c r="AI3317">
        <v>94.069326787285902</v>
      </c>
      <c r="AJ3317">
        <v>104.487946734142</v>
      </c>
      <c r="AK3317">
        <v>15.653770032959899</v>
      </c>
      <c r="AL3317">
        <v>96.916890787553598</v>
      </c>
      <c r="AM3317">
        <v>102.734634138513</v>
      </c>
      <c r="AN3317">
        <v>1.0000000138541201</v>
      </c>
    </row>
    <row r="3318" spans="1:40" x14ac:dyDescent="0.25">
      <c r="A3318" t="str">
        <f>"20190305134958986"</f>
        <v>20190305134958986</v>
      </c>
      <c r="B3318" t="str">
        <f>"1551764998983079"</f>
        <v>1551764998983079</v>
      </c>
      <c r="C3318" t="s">
        <v>40</v>
      </c>
      <c r="D3318">
        <v>4.575672</v>
      </c>
      <c r="E3318">
        <v>0.52162229999999998</v>
      </c>
      <c r="F3318" t="s">
        <v>42</v>
      </c>
      <c r="G3318">
        <v>-489.62639999999999</v>
      </c>
      <c r="H3318" s="1">
        <v>-1.518012E-6</v>
      </c>
      <c r="I3318">
        <v>233.01679999999999</v>
      </c>
      <c r="J3318">
        <v>-491.71890000000002</v>
      </c>
      <c r="K3318">
        <v>1.110773</v>
      </c>
      <c r="L3318">
        <v>245.39330000000001</v>
      </c>
      <c r="M3318">
        <v>-3.6639150000000002E-2</v>
      </c>
      <c r="N3318">
        <v>-1.3376570000000001E-2</v>
      </c>
      <c r="O3318">
        <v>-0.99923910000000005</v>
      </c>
      <c r="P3318">
        <v>0.18143870000000001</v>
      </c>
      <c r="Q3318">
        <v>-0.13173309999999999</v>
      </c>
      <c r="R3318">
        <v>-0.97453909999999999</v>
      </c>
      <c r="S3318">
        <v>0.49325560000000002</v>
      </c>
      <c r="T3318">
        <v>-0.262183</v>
      </c>
      <c r="U3318">
        <v>-2.951279</v>
      </c>
      <c r="V3318">
        <v>-0.21671560000000001</v>
      </c>
      <c r="W3318">
        <v>-0.1193487</v>
      </c>
      <c r="X3318">
        <v>0.96891190000000005</v>
      </c>
      <c r="Y3318">
        <v>-0.20029430000000001</v>
      </c>
      <c r="Z3318">
        <v>7.3531639999999995E-2</v>
      </c>
      <c r="AA3318">
        <v>0.97697250000000002</v>
      </c>
      <c r="AB3318">
        <v>17</v>
      </c>
      <c r="AC3318">
        <v>2.0925000000000198</v>
      </c>
      <c r="AD3318">
        <v>-1.1107745180119999</v>
      </c>
      <c r="AE3318">
        <v>-12.3765</v>
      </c>
      <c r="AF3318">
        <v>-2.5248278738761498</v>
      </c>
      <c r="AG3318">
        <v>-1.1107745180119999</v>
      </c>
      <c r="AH3318">
        <v>12.196007501798301</v>
      </c>
      <c r="AI3318">
        <v>95.096485820373402</v>
      </c>
      <c r="AJ3318">
        <v>101.696198586259</v>
      </c>
      <c r="AK3318">
        <v>12.504046337345599</v>
      </c>
      <c r="AL3318">
        <v>96.854515592976497</v>
      </c>
      <c r="AM3318">
        <v>102.607779310426</v>
      </c>
      <c r="AN3318">
        <v>1.0000000167183201</v>
      </c>
    </row>
    <row r="3319" spans="1:40" x14ac:dyDescent="0.25">
      <c r="A3319" t="str">
        <f>"20190305134958999"</f>
        <v>20190305134958999</v>
      </c>
      <c r="B3319" t="str">
        <f>"1551764998993814"</f>
        <v>1551764998993814</v>
      </c>
      <c r="C3319" t="s">
        <v>40</v>
      </c>
      <c r="D3319">
        <v>4.3937299999999997</v>
      </c>
      <c r="E3319">
        <v>0.52438750000000001</v>
      </c>
      <c r="F3319" t="s">
        <v>42</v>
      </c>
      <c r="G3319">
        <v>-489.76260000000002</v>
      </c>
      <c r="H3319" s="1">
        <v>-3.3226170000000001E-7</v>
      </c>
      <c r="I3319">
        <v>230.3091</v>
      </c>
      <c r="J3319">
        <v>-491.72059999999999</v>
      </c>
      <c r="K3319">
        <v>1.110719</v>
      </c>
      <c r="L3319">
        <v>245.30410000000001</v>
      </c>
      <c r="M3319">
        <v>-3.5408580000000002E-2</v>
      </c>
      <c r="N3319">
        <v>-1.3372749999999999E-2</v>
      </c>
      <c r="O3319">
        <v>-0.99928360000000005</v>
      </c>
      <c r="P3319">
        <v>0.1817153</v>
      </c>
      <c r="Q3319">
        <v>-0.1317005</v>
      </c>
      <c r="R3319">
        <v>-0.97449220000000003</v>
      </c>
      <c r="S3319">
        <v>0.38607789999999997</v>
      </c>
      <c r="T3319">
        <v>-0.2192123</v>
      </c>
      <c r="U3319">
        <v>-2.9768829999999999</v>
      </c>
      <c r="V3319">
        <v>-0.21581529999999999</v>
      </c>
      <c r="W3319">
        <v>-0.1192854</v>
      </c>
      <c r="X3319">
        <v>0.9691206</v>
      </c>
      <c r="Y3319">
        <v>-0.16333139999999999</v>
      </c>
      <c r="Z3319">
        <v>5.9200900000000001E-2</v>
      </c>
      <c r="AA3319">
        <v>0.98479340000000004</v>
      </c>
      <c r="AB3319">
        <v>17</v>
      </c>
      <c r="AC3319">
        <v>1.95799999999997</v>
      </c>
      <c r="AD3319">
        <v>-1.1107193322616999</v>
      </c>
      <c r="AE3319">
        <v>-14.994999999999999</v>
      </c>
      <c r="AF3319">
        <v>-2.4744220646572002</v>
      </c>
      <c r="AG3319">
        <v>-1.1107193322616999</v>
      </c>
      <c r="AH3319">
        <v>14.8362209971325</v>
      </c>
      <c r="AI3319">
        <v>94.223362250948696</v>
      </c>
      <c r="AJ3319">
        <v>99.4687796119388</v>
      </c>
      <c r="AK3319">
        <v>15.0821058033975</v>
      </c>
      <c r="AL3319">
        <v>96.850862831868</v>
      </c>
      <c r="AM3319">
        <v>102.554448896305</v>
      </c>
      <c r="AN3319">
        <v>0.99999999385580496</v>
      </c>
    </row>
    <row r="3320" spans="1:40" x14ac:dyDescent="0.25">
      <c r="A3320" t="str">
        <f>"20190305134959011"</f>
        <v>20190305134959011</v>
      </c>
      <c r="B3320" t="str">
        <f>"1551764999004082"</f>
        <v>1551764999004082</v>
      </c>
      <c r="C3320" t="s">
        <v>40</v>
      </c>
      <c r="D3320">
        <v>4.3813570000000004</v>
      </c>
      <c r="E3320">
        <v>0.52606439999999999</v>
      </c>
      <c r="F3320" t="s">
        <v>62</v>
      </c>
      <c r="G3320">
        <v>-489.77530000000002</v>
      </c>
      <c r="H3320" s="1">
        <v>6.5374339999999898E-6</v>
      </c>
      <c r="I3320">
        <v>229.46510000000001</v>
      </c>
      <c r="J3320">
        <v>-491.72250000000003</v>
      </c>
      <c r="K3320">
        <v>1.1106560000000001</v>
      </c>
      <c r="L3320">
        <v>245.20670000000001</v>
      </c>
      <c r="M3320">
        <v>-3.4099610000000002E-2</v>
      </c>
      <c r="N3320">
        <v>-1.336854E-2</v>
      </c>
      <c r="O3320">
        <v>-0.99932920000000003</v>
      </c>
      <c r="P3320">
        <v>0.18220030000000001</v>
      </c>
      <c r="Q3320">
        <v>-0.13228299999999901</v>
      </c>
      <c r="R3320">
        <v>-0.97432280000000004</v>
      </c>
      <c r="S3320">
        <v>0.3662415</v>
      </c>
      <c r="T3320">
        <v>-0.20910909999999999</v>
      </c>
      <c r="U3320">
        <v>-2.9819490000000002</v>
      </c>
      <c r="V3320">
        <v>-0.21504400000000001</v>
      </c>
      <c r="W3320">
        <v>-0.1198357</v>
      </c>
      <c r="X3320">
        <v>0.96922419999999998</v>
      </c>
      <c r="Y3320">
        <v>-0.15540419999999999</v>
      </c>
      <c r="Z3320">
        <v>5.5838390000000002E-2</v>
      </c>
      <c r="AA3320">
        <v>0.98627160000000003</v>
      </c>
      <c r="AB3320">
        <v>17</v>
      </c>
      <c r="AC3320">
        <v>1.9472</v>
      </c>
      <c r="AD3320">
        <v>-1.1106494625659999</v>
      </c>
      <c r="AE3320">
        <v>-15.7416</v>
      </c>
      <c r="AF3320">
        <v>-2.4707834442187</v>
      </c>
      <c r="AG3320">
        <v>-1.1106494625659999</v>
      </c>
      <c r="AH3320">
        <v>15.589603246242101</v>
      </c>
      <c r="AI3320">
        <v>94.024966332713205</v>
      </c>
      <c r="AJ3320">
        <v>99.005854221180996</v>
      </c>
      <c r="AK3320">
        <v>15.823212140149201</v>
      </c>
      <c r="AL3320">
        <v>96.882620227069694</v>
      </c>
      <c r="AM3320">
        <v>102.509700573855</v>
      </c>
      <c r="AN3320">
        <v>1.0000000333980601</v>
      </c>
    </row>
    <row r="3321" spans="1:40" x14ac:dyDescent="0.25">
      <c r="A3321" t="str">
        <f>"20190305134959022"</f>
        <v>20190305134959022</v>
      </c>
      <c r="B3321" t="str">
        <f>"1551764999013841"</f>
        <v>1551764999013841</v>
      </c>
      <c r="C3321" t="s">
        <v>40</v>
      </c>
      <c r="D3321">
        <v>4.3799859999999997</v>
      </c>
      <c r="E3321">
        <v>0.52714709999999998</v>
      </c>
      <c r="F3321" t="s">
        <v>62</v>
      </c>
      <c r="G3321">
        <v>-489.79140000000001</v>
      </c>
      <c r="H3321" s="1">
        <v>6.3841600000000004E-6</v>
      </c>
      <c r="I3321">
        <v>228.95650000000001</v>
      </c>
      <c r="J3321">
        <v>-491.7242</v>
      </c>
      <c r="K3321">
        <v>1.11059</v>
      </c>
      <c r="L3321">
        <v>245.11670000000001</v>
      </c>
      <c r="M3321">
        <v>-3.2976749999999999E-2</v>
      </c>
      <c r="N3321">
        <v>-1.33644E-2</v>
      </c>
      <c r="O3321">
        <v>-0.99936700000000001</v>
      </c>
      <c r="P3321">
        <v>0.1822618</v>
      </c>
      <c r="Q3321">
        <v>-0.13338900000000001</v>
      </c>
      <c r="R3321">
        <v>-0.97416060000000004</v>
      </c>
      <c r="S3321">
        <v>0.3547363</v>
      </c>
      <c r="T3321">
        <v>-0.20401559999999999</v>
      </c>
      <c r="U3321">
        <v>-2.985001</v>
      </c>
      <c r="V3321">
        <v>-0.21402959999999999</v>
      </c>
      <c r="W3321">
        <v>-0.1209081</v>
      </c>
      <c r="X3321">
        <v>0.9693155</v>
      </c>
      <c r="Y3321">
        <v>-0.1504392</v>
      </c>
      <c r="Z3321">
        <v>5.4142160000000002E-2</v>
      </c>
      <c r="AA3321">
        <v>0.9871356</v>
      </c>
      <c r="AB3321">
        <v>17</v>
      </c>
      <c r="AC3321">
        <v>1.9327999999999801</v>
      </c>
      <c r="AD3321">
        <v>-1.11058361584</v>
      </c>
      <c r="AE3321">
        <v>-16.1602</v>
      </c>
      <c r="AF3321">
        <v>-2.4532837301260102</v>
      </c>
      <c r="AG3321">
        <v>-1.11058361584</v>
      </c>
      <c r="AH3321">
        <v>16.013104312047599</v>
      </c>
      <c r="AI3321">
        <v>93.921764084765499</v>
      </c>
      <c r="AJ3321">
        <v>98.710259082885401</v>
      </c>
      <c r="AK3321">
        <v>16.237964981388199</v>
      </c>
      <c r="AL3321">
        <v>96.944514575555004</v>
      </c>
      <c r="AM3321">
        <v>102.451398748721</v>
      </c>
      <c r="AN3321">
        <v>0.99999998843101001</v>
      </c>
    </row>
    <row r="3322" spans="1:40" x14ac:dyDescent="0.25">
      <c r="A3322" t="str">
        <f>"20190305134959043"</f>
        <v>20190305134959043</v>
      </c>
      <c r="B3322" t="str">
        <f>"1551764999033364"</f>
        <v>1551764999033364</v>
      </c>
      <c r="C3322" t="s">
        <v>40</v>
      </c>
      <c r="D3322">
        <v>4.3537619999999997</v>
      </c>
      <c r="E3322">
        <v>0.52877869999999905</v>
      </c>
      <c r="F3322" t="s">
        <v>62</v>
      </c>
      <c r="G3322">
        <v>-489.8349</v>
      </c>
      <c r="H3322" s="1">
        <v>6.3640439999999999E-6</v>
      </c>
      <c r="I3322">
        <v>228.85419999999999</v>
      </c>
      <c r="J3322">
        <v>-491.72699999999998</v>
      </c>
      <c r="K3322">
        <v>1.110471</v>
      </c>
      <c r="L3322">
        <v>244.96629999999999</v>
      </c>
      <c r="M3322">
        <v>-3.1214639999999998E-2</v>
      </c>
      <c r="N3322">
        <v>-1.3357320000000001E-2</v>
      </c>
      <c r="O3322">
        <v>-0.99942359999999997</v>
      </c>
      <c r="P3322">
        <v>0.18273919999999999</v>
      </c>
      <c r="Q3322">
        <v>-0.13467279999999901</v>
      </c>
      <c r="R3322">
        <v>-0.97389420000000004</v>
      </c>
      <c r="S3322">
        <v>0.34698489999999999</v>
      </c>
      <c r="T3322">
        <v>-0.20396610000000001</v>
      </c>
      <c r="U3322">
        <v>-2.9867249999999999</v>
      </c>
      <c r="V3322">
        <v>-0.21282319999999999</v>
      </c>
      <c r="W3322">
        <v>-0.12213549999999999</v>
      </c>
      <c r="X3322">
        <v>0.96942729999999999</v>
      </c>
      <c r="Y3322">
        <v>-0.1461035</v>
      </c>
      <c r="Z3322">
        <v>5.4134330000000001E-2</v>
      </c>
      <c r="AA3322">
        <v>0.98778710000000003</v>
      </c>
      <c r="AB3322">
        <v>17</v>
      </c>
      <c r="AC3322">
        <v>1.8920999999999699</v>
      </c>
      <c r="AD3322">
        <v>-1.110464635956</v>
      </c>
      <c r="AE3322">
        <v>-16.112099999999899</v>
      </c>
      <c r="AF3322">
        <v>-2.3829904940376099</v>
      </c>
      <c r="AG3322">
        <v>-1.110464635956</v>
      </c>
      <c r="AH3322">
        <v>15.9703515179178</v>
      </c>
      <c r="AI3322">
        <v>93.934123154535996</v>
      </c>
      <c r="AJ3322">
        <v>98.486683564398206</v>
      </c>
      <c r="AK3322">
        <v>16.185298978030701</v>
      </c>
      <c r="AL3322">
        <v>97.015364125948807</v>
      </c>
      <c r="AM3322">
        <v>102.382002222309</v>
      </c>
      <c r="AN3322">
        <v>1.00000004240188</v>
      </c>
    </row>
    <row r="3323" spans="1:40" x14ac:dyDescent="0.25">
      <c r="A3323" t="str">
        <f>"20190305134959055"</f>
        <v>20190305134959055</v>
      </c>
      <c r="B3323" t="str">
        <f>"1551764999044097"</f>
        <v>1551764999044097</v>
      </c>
      <c r="C3323" t="s">
        <v>40</v>
      </c>
      <c r="D3323">
        <v>4.3348930000000001</v>
      </c>
      <c r="E3323">
        <v>0.52929999999999999</v>
      </c>
      <c r="F3323" t="s">
        <v>62</v>
      </c>
      <c r="G3323">
        <v>-489.86070000000001</v>
      </c>
      <c r="H3323" s="1">
        <v>6.2154669999999998E-6</v>
      </c>
      <c r="I3323">
        <v>228.35239999999999</v>
      </c>
      <c r="J3323">
        <v>-491.72859999999997</v>
      </c>
      <c r="K3323">
        <v>1.1103970000000001</v>
      </c>
      <c r="L3323">
        <v>244.87049999999999</v>
      </c>
      <c r="M3323">
        <v>-3.0183270000000002E-2</v>
      </c>
      <c r="N3323">
        <v>-1.33528E-2</v>
      </c>
      <c r="O3323">
        <v>-0.99945530000000005</v>
      </c>
      <c r="P3323">
        <v>0.18321589999999999</v>
      </c>
      <c r="Q3323">
        <v>-0.1347874</v>
      </c>
      <c r="R3323">
        <v>-0.97378920000000002</v>
      </c>
      <c r="S3323">
        <v>0.33584589999999998</v>
      </c>
      <c r="T3323">
        <v>-0.1998326</v>
      </c>
      <c r="U3323">
        <v>-2.9897309999999999</v>
      </c>
      <c r="V3323">
        <v>-0.21232010000000001</v>
      </c>
      <c r="W3323">
        <v>-0.1222128</v>
      </c>
      <c r="X3323">
        <v>0.96952780000000005</v>
      </c>
      <c r="Y3323">
        <v>-0.14134650000000001</v>
      </c>
      <c r="Z3323">
        <v>5.2751819999999998E-2</v>
      </c>
      <c r="AA3323">
        <v>0.98855369999999998</v>
      </c>
      <c r="AB3323">
        <v>17</v>
      </c>
      <c r="AC3323">
        <v>1.8678999999999599</v>
      </c>
      <c r="AD3323">
        <v>-1.1103907845330001</v>
      </c>
      <c r="AE3323">
        <v>-16.5181</v>
      </c>
      <c r="AF3323">
        <v>-2.3551551619509499</v>
      </c>
      <c r="AG3323">
        <v>-1.1103907845330001</v>
      </c>
      <c r="AH3323">
        <v>16.381098651737702</v>
      </c>
      <c r="AI3323">
        <v>93.838506040521295</v>
      </c>
      <c r="AJ3323">
        <v>98.181505462365706</v>
      </c>
      <c r="AK3323">
        <v>16.586745207219</v>
      </c>
      <c r="AL3323">
        <v>97.019827000189593</v>
      </c>
      <c r="AM3323">
        <v>102.352390504312</v>
      </c>
      <c r="AN3323">
        <v>0.99999997416034403</v>
      </c>
    </row>
    <row r="3324" spans="1:40" x14ac:dyDescent="0.25">
      <c r="A3324" t="str">
        <f>"20190305134959066"</f>
        <v>20190305134959066</v>
      </c>
      <c r="B3324" t="str">
        <f>"1551764999063617"</f>
        <v>1551764999063617</v>
      </c>
      <c r="C3324" t="s">
        <v>40</v>
      </c>
      <c r="D3324">
        <v>4.3671879999999996</v>
      </c>
      <c r="E3324">
        <v>0.53023809999999905</v>
      </c>
      <c r="F3324" t="s">
        <v>62</v>
      </c>
      <c r="G3324">
        <v>-489.85140000000001</v>
      </c>
      <c r="H3324" s="1">
        <v>6.1134629999999996E-6</v>
      </c>
      <c r="I3324">
        <v>228.03110000000001</v>
      </c>
      <c r="J3324">
        <v>-491.73020000000002</v>
      </c>
      <c r="K3324">
        <v>1.1103270000000001</v>
      </c>
      <c r="L3324">
        <v>244.7834</v>
      </c>
      <c r="M3324">
        <v>-2.9302640000000001E-2</v>
      </c>
      <c r="N3324">
        <v>-1.3348759999999999E-2</v>
      </c>
      <c r="O3324">
        <v>-0.99948170000000003</v>
      </c>
      <c r="P3324">
        <v>0.18418209999999999</v>
      </c>
      <c r="Q3324">
        <v>-0.13429549999999901</v>
      </c>
      <c r="R3324">
        <v>-0.9736747</v>
      </c>
      <c r="S3324">
        <v>0.33340449999999999</v>
      </c>
      <c r="T3324">
        <v>-0.1972083</v>
      </c>
      <c r="U3324">
        <v>-2.990723</v>
      </c>
      <c r="V3324">
        <v>-0.21245169999999999</v>
      </c>
      <c r="W3324">
        <v>-0.1216879</v>
      </c>
      <c r="X3324">
        <v>0.96956500000000001</v>
      </c>
      <c r="Y3324">
        <v>-0.13964760000000001</v>
      </c>
      <c r="Z3324">
        <v>5.188367E-2</v>
      </c>
      <c r="AA3324">
        <v>0.98884110000000003</v>
      </c>
      <c r="AB3324">
        <v>17</v>
      </c>
      <c r="AC3324">
        <v>1.87880000000001</v>
      </c>
      <c r="AD3324">
        <v>-1.110320886537</v>
      </c>
      <c r="AE3324">
        <v>-16.752299999999899</v>
      </c>
      <c r="AF3324">
        <v>-2.3586905975877399</v>
      </c>
      <c r="AG3324">
        <v>-1.110320886537</v>
      </c>
      <c r="AH3324">
        <v>16.6179526740295</v>
      </c>
      <c r="AI3324">
        <v>93.784688854229699</v>
      </c>
      <c r="AJ3324">
        <v>98.078390099852697</v>
      </c>
      <c r="AK3324">
        <v>16.8211945141394</v>
      </c>
      <c r="AL3324">
        <v>96.989526248221694</v>
      </c>
      <c r="AM3324">
        <v>102.359351854263</v>
      </c>
      <c r="AN3324">
        <v>0.99999997953214903</v>
      </c>
    </row>
    <row r="3325" spans="1:40" x14ac:dyDescent="0.25">
      <c r="A3325" t="str">
        <f>"20190305134959080"</f>
        <v>20190305134959080</v>
      </c>
      <c r="B3325" t="str">
        <f>"1551764999073377"</f>
        <v>1551764999073377</v>
      </c>
      <c r="C3325" t="s">
        <v>40</v>
      </c>
      <c r="D3325">
        <v>4.3899470000000003</v>
      </c>
      <c r="E3325">
        <v>0.53068819999999906</v>
      </c>
      <c r="F3325" t="s">
        <v>62</v>
      </c>
      <c r="G3325">
        <v>-489.83339999999998</v>
      </c>
      <c r="H3325" s="1">
        <v>5.9580999999999998E-6</v>
      </c>
      <c r="I3325">
        <v>227.54509999999999</v>
      </c>
      <c r="J3325">
        <v>-491.7319</v>
      </c>
      <c r="K3325">
        <v>1.110249</v>
      </c>
      <c r="L3325">
        <v>244.68459999999999</v>
      </c>
      <c r="M3325">
        <v>-2.8404519999999999E-2</v>
      </c>
      <c r="N3325">
        <v>-1.3344140000000001E-2</v>
      </c>
      <c r="O3325">
        <v>-0.99950740000000005</v>
      </c>
      <c r="P3325">
        <v>0.18556139999999999</v>
      </c>
      <c r="Q3325">
        <v>-0.1340228</v>
      </c>
      <c r="R3325">
        <v>-0.97345009999999998</v>
      </c>
      <c r="S3325">
        <v>0.3292542</v>
      </c>
      <c r="T3325">
        <v>-0.19272980000000001</v>
      </c>
      <c r="U3325">
        <v>-2.9922330000000001</v>
      </c>
      <c r="V3325">
        <v>-0.21297859999999999</v>
      </c>
      <c r="W3325">
        <v>-0.1213793</v>
      </c>
      <c r="X3325">
        <v>0.96948809999999996</v>
      </c>
      <c r="Y3325">
        <v>-0.13735849999999999</v>
      </c>
      <c r="Z3325">
        <v>5.0398579999999998E-2</v>
      </c>
      <c r="AA3325">
        <v>0.98923839999999996</v>
      </c>
      <c r="AB3325">
        <v>17</v>
      </c>
      <c r="AC3325">
        <v>1.8985000000000101</v>
      </c>
      <c r="AD3325">
        <v>-1.1102430419</v>
      </c>
      <c r="AE3325">
        <v>-17.139499999999899</v>
      </c>
      <c r="AF3325">
        <v>-2.3747726106295102</v>
      </c>
      <c r="AG3325">
        <v>-1.1102430419</v>
      </c>
      <c r="AH3325">
        <v>17.0081504753087</v>
      </c>
      <c r="AI3325">
        <v>93.699022905082103</v>
      </c>
      <c r="AJ3325">
        <v>97.948568144501706</v>
      </c>
      <c r="AK3325">
        <v>17.208990881368599</v>
      </c>
      <c r="AL3325">
        <v>96.971712599860098</v>
      </c>
      <c r="AM3325">
        <v>102.39001111866</v>
      </c>
      <c r="AN3325">
        <v>0.999999997284029</v>
      </c>
    </row>
    <row r="3326" spans="1:40" x14ac:dyDescent="0.25">
      <c r="A3326" t="str">
        <f>"20190305134959094"</f>
        <v>20190305134959094</v>
      </c>
      <c r="B3326" t="str">
        <f>"1551764999083137"</f>
        <v>1551764999083137</v>
      </c>
      <c r="C3326" t="s">
        <v>40</v>
      </c>
      <c r="D3326">
        <v>4.3524570000000002</v>
      </c>
      <c r="E3326">
        <v>0.53108339999999998</v>
      </c>
      <c r="F3326" t="s">
        <v>62</v>
      </c>
      <c r="G3326">
        <v>-489.82240000000002</v>
      </c>
      <c r="H3326" s="1">
        <v>5.8967179999999999E-6</v>
      </c>
      <c r="I3326">
        <v>227.35640000000001</v>
      </c>
      <c r="J3326">
        <v>-491.73379999999997</v>
      </c>
      <c r="K3326">
        <v>1.1101589999999999</v>
      </c>
      <c r="L3326">
        <v>244.57769999999999</v>
      </c>
      <c r="M3326">
        <v>-2.7506160000000002E-2</v>
      </c>
      <c r="N3326">
        <v>-1.333924E-2</v>
      </c>
      <c r="O3326">
        <v>-0.9995328</v>
      </c>
      <c r="P3326">
        <v>0.18665989999999999</v>
      </c>
      <c r="Q3326">
        <v>-0.1339641</v>
      </c>
      <c r="R3326">
        <v>-0.97324849999999996</v>
      </c>
      <c r="S3326">
        <v>0.32977289999999998</v>
      </c>
      <c r="T3326">
        <v>-0.1917382</v>
      </c>
      <c r="U3326">
        <v>-2.992569</v>
      </c>
      <c r="V3326">
        <v>-0.21322749999999999</v>
      </c>
      <c r="W3326">
        <v>-0.1212801</v>
      </c>
      <c r="X3326">
        <v>0.96944580000000002</v>
      </c>
      <c r="Y3326">
        <v>-0.1366281</v>
      </c>
      <c r="Z3326">
        <v>5.0075219999999997E-2</v>
      </c>
      <c r="AA3326">
        <v>0.98935600000000001</v>
      </c>
      <c r="AB3326">
        <v>17</v>
      </c>
      <c r="AC3326">
        <v>1.91139999999995</v>
      </c>
      <c r="AD3326">
        <v>-1.110153103282</v>
      </c>
      <c r="AE3326">
        <v>-17.2212999999999</v>
      </c>
      <c r="AF3326">
        <v>-2.3746624980406699</v>
      </c>
      <c r="AG3326">
        <v>-1.110153103282</v>
      </c>
      <c r="AH3326">
        <v>17.0920395743853</v>
      </c>
      <c r="AI3326">
        <v>93.680967396342595</v>
      </c>
      <c r="AJ3326">
        <v>97.909688818542193</v>
      </c>
      <c r="AK3326">
        <v>17.291884764382399</v>
      </c>
      <c r="AL3326">
        <v>96.965986577071106</v>
      </c>
      <c r="AM3326">
        <v>102.404567369174</v>
      </c>
      <c r="AN3326">
        <v>0.99999999427495001</v>
      </c>
    </row>
    <row r="3327" spans="1:40" x14ac:dyDescent="0.25">
      <c r="A3327" t="str">
        <f>"20190305134959111"</f>
        <v>20190305134959111</v>
      </c>
      <c r="B3327" t="str">
        <f>"1551764999104032"</f>
        <v>1551764999104032</v>
      </c>
      <c r="C3327" t="s">
        <v>40</v>
      </c>
      <c r="D3327">
        <v>4.3657069999999996</v>
      </c>
      <c r="E3327">
        <v>0.53169339999999998</v>
      </c>
      <c r="F3327" t="s">
        <v>62</v>
      </c>
      <c r="G3327">
        <v>-489.8141</v>
      </c>
      <c r="H3327" s="1">
        <v>5.8429149999999998E-6</v>
      </c>
      <c r="I3327">
        <v>227.18979999999999</v>
      </c>
      <c r="J3327">
        <v>-491.73630000000003</v>
      </c>
      <c r="K3327">
        <v>1.110036</v>
      </c>
      <c r="L3327">
        <v>244.44159999999999</v>
      </c>
      <c r="M3327">
        <v>-2.6511509999999999E-2</v>
      </c>
      <c r="N3327">
        <v>-1.333319E-2</v>
      </c>
      <c r="O3327">
        <v>-0.99955970000000005</v>
      </c>
      <c r="P3327">
        <v>0.189413</v>
      </c>
      <c r="Q3327">
        <v>-0.134993899999999</v>
      </c>
      <c r="R3327">
        <v>-0.97257369999999999</v>
      </c>
      <c r="S3327">
        <v>0.33041379999999998</v>
      </c>
      <c r="T3327">
        <v>-0.19108</v>
      </c>
      <c r="U3327">
        <v>-2.9928129999999999</v>
      </c>
      <c r="V3327">
        <v>-0.2150311</v>
      </c>
      <c r="W3327">
        <v>-0.1222655</v>
      </c>
      <c r="X3327">
        <v>0.96892350000000005</v>
      </c>
      <c r="Y3327">
        <v>-0.13584460000000001</v>
      </c>
      <c r="Z3327">
        <v>4.9865109999999997E-2</v>
      </c>
      <c r="AA3327">
        <v>0.98947450000000003</v>
      </c>
      <c r="AB3327">
        <v>17</v>
      </c>
      <c r="AC3327">
        <v>1.9222000000000301</v>
      </c>
      <c r="AD3327">
        <v>-1.110030157085</v>
      </c>
      <c r="AE3327">
        <v>-17.251799999999999</v>
      </c>
      <c r="AF3327">
        <v>-2.36924770062787</v>
      </c>
      <c r="AG3327">
        <v>-1.110030157085</v>
      </c>
      <c r="AH3327">
        <v>17.124742958303699</v>
      </c>
      <c r="AI3327">
        <v>93.673841108393802</v>
      </c>
      <c r="AJ3327">
        <v>97.876998470590493</v>
      </c>
      <c r="AK3327">
        <v>17.323461634573501</v>
      </c>
      <c r="AL3327">
        <v>97.022869207819298</v>
      </c>
      <c r="AM3327">
        <v>102.51273361244699</v>
      </c>
      <c r="AN3327">
        <v>0.99999998765485498</v>
      </c>
    </row>
    <row r="3328" spans="1:40" x14ac:dyDescent="0.25">
      <c r="A3328" t="str">
        <f>"20190305134959124"</f>
        <v>20190305134959124</v>
      </c>
      <c r="B3328" t="str">
        <f>"1551764999113792"</f>
        <v>1551764999113792</v>
      </c>
      <c r="C3328" t="s">
        <v>40</v>
      </c>
      <c r="D3328">
        <v>4.2879610000000001</v>
      </c>
      <c r="E3328">
        <v>0.53191940000000004</v>
      </c>
      <c r="F3328" t="s">
        <v>62</v>
      </c>
      <c r="G3328">
        <v>-489.822</v>
      </c>
      <c r="H3328" s="1">
        <v>5.8696450000000003E-6</v>
      </c>
      <c r="I3328">
        <v>227.26929999999999</v>
      </c>
      <c r="J3328">
        <v>-491.738</v>
      </c>
      <c r="K3328">
        <v>1.1099540000000001</v>
      </c>
      <c r="L3328">
        <v>244.34469999999999</v>
      </c>
      <c r="M3328">
        <v>-2.5909419999999999E-2</v>
      </c>
      <c r="N3328">
        <v>-1.332906E-2</v>
      </c>
      <c r="O3328">
        <v>-0.99957549999999995</v>
      </c>
      <c r="P3328">
        <v>0.19047040000000001</v>
      </c>
      <c r="Q3328">
        <v>-0.13599839999999999</v>
      </c>
      <c r="R3328">
        <v>-0.97222730000000002</v>
      </c>
      <c r="S3328">
        <v>0.33361819999999998</v>
      </c>
      <c r="T3328">
        <v>-0.1934565</v>
      </c>
      <c r="U3328">
        <v>-2.9927980000000001</v>
      </c>
      <c r="V3328">
        <v>-0.2155183</v>
      </c>
      <c r="W3328">
        <v>-0.1232376</v>
      </c>
      <c r="X3328">
        <v>0.96869209999999994</v>
      </c>
      <c r="Y3328">
        <v>-0.13628970000000001</v>
      </c>
      <c r="Z3328">
        <v>5.0649010000000001E-2</v>
      </c>
      <c r="AA3328">
        <v>0.98937339999999996</v>
      </c>
      <c r="AB3328">
        <v>17</v>
      </c>
      <c r="AC3328">
        <v>1.9160000000001101</v>
      </c>
      <c r="AD3328">
        <v>-1.1099481303550001</v>
      </c>
      <c r="AE3328">
        <v>-17.075399999999998</v>
      </c>
      <c r="AF3328">
        <v>-2.34801182768543</v>
      </c>
      <c r="AG3328">
        <v>-1.1099481303550001</v>
      </c>
      <c r="AH3328">
        <v>16.949293469185701</v>
      </c>
      <c r="AI3328">
        <v>93.711401232391097</v>
      </c>
      <c r="AJ3328">
        <v>97.887074961753896</v>
      </c>
      <c r="AK3328">
        <v>17.147119102041898</v>
      </c>
      <c r="AL3328">
        <v>97.078990673433793</v>
      </c>
      <c r="AM3328">
        <v>102.543088967299</v>
      </c>
      <c r="AN3328">
        <v>1.0000000141455201</v>
      </c>
    </row>
    <row r="3329" spans="1:40" x14ac:dyDescent="0.25">
      <c r="A3329" t="str">
        <f>"20190305134959137"</f>
        <v>20190305134959137</v>
      </c>
      <c r="B3329" t="str">
        <f>"1551764999133313"</f>
        <v>1551764999133313</v>
      </c>
      <c r="C3329" t="s">
        <v>40</v>
      </c>
      <c r="D3329">
        <v>4.3524699999999896</v>
      </c>
      <c r="E3329">
        <v>0.53237599999999996</v>
      </c>
      <c r="F3329" t="s">
        <v>62</v>
      </c>
      <c r="G3329">
        <v>-489.84530000000001</v>
      </c>
      <c r="H3329" s="1">
        <v>5.9335929999999901E-6</v>
      </c>
      <c r="I3329">
        <v>227.45570000000001</v>
      </c>
      <c r="J3329">
        <v>-491.73970000000003</v>
      </c>
      <c r="K3329">
        <v>1.1098809999999999</v>
      </c>
      <c r="L3329">
        <v>244.24969999999999</v>
      </c>
      <c r="M3329">
        <v>-2.5381520000000001E-2</v>
      </c>
      <c r="N3329">
        <v>-1.332523E-2</v>
      </c>
      <c r="O3329">
        <v>-0.99958919999999996</v>
      </c>
      <c r="P3329">
        <v>0.19143370000000001</v>
      </c>
      <c r="Q3329">
        <v>-0.13730220000000001</v>
      </c>
      <c r="R3329">
        <v>-0.97185460000000001</v>
      </c>
      <c r="S3329">
        <v>0.33535769999999998</v>
      </c>
      <c r="T3329">
        <v>-0.19666700000000001</v>
      </c>
      <c r="U3329">
        <v>-2.9924930000000001</v>
      </c>
      <c r="V3329">
        <v>-0.21598100000000001</v>
      </c>
      <c r="W3329">
        <v>-0.1245132</v>
      </c>
      <c r="X3329">
        <v>0.96842589999999995</v>
      </c>
      <c r="Y3329">
        <v>-0.1363386</v>
      </c>
      <c r="Z3329">
        <v>5.1716739999999997E-2</v>
      </c>
      <c r="AA3329">
        <v>0.98931150000000001</v>
      </c>
      <c r="AB3329">
        <v>17</v>
      </c>
      <c r="AC3329">
        <v>1.8944000000000101</v>
      </c>
      <c r="AD3329">
        <v>-1.1098750664069901</v>
      </c>
      <c r="AE3329">
        <v>-16.793999999999901</v>
      </c>
      <c r="AF3329">
        <v>-2.3101217589039398</v>
      </c>
      <c r="AG3329">
        <v>-1.1098750664069901</v>
      </c>
      <c r="AH3329">
        <v>16.668614992340199</v>
      </c>
      <c r="AI3329">
        <v>93.773439302263995</v>
      </c>
      <c r="AJ3329">
        <v>97.8904231194728</v>
      </c>
      <c r="AK3329">
        <v>16.864495574041399</v>
      </c>
      <c r="AL3329">
        <v>97.152644382434204</v>
      </c>
      <c r="AM3329">
        <v>102.572508298302</v>
      </c>
      <c r="AN3329">
        <v>1.00000002656302</v>
      </c>
    </row>
    <row r="3330" spans="1:40" x14ac:dyDescent="0.25">
      <c r="A3330" t="str">
        <f>"20190305134959149"</f>
        <v>20190305134959149</v>
      </c>
      <c r="B3330" t="str">
        <f>"1551764999144048"</f>
        <v>1551764999144048</v>
      </c>
      <c r="C3330" t="s">
        <v>40</v>
      </c>
      <c r="D3330">
        <v>4.3300349999999996</v>
      </c>
      <c r="E3330">
        <v>0.53266190000000002</v>
      </c>
      <c r="F3330" t="s">
        <v>62</v>
      </c>
      <c r="G3330">
        <v>-489.87430000000001</v>
      </c>
      <c r="H3330" s="1">
        <v>5.9802339999999996E-6</v>
      </c>
      <c r="I3330">
        <v>227.5813</v>
      </c>
      <c r="J3330">
        <v>-491.74160000000001</v>
      </c>
      <c r="K3330">
        <v>1.1098110000000001</v>
      </c>
      <c r="L3330">
        <v>244.1549</v>
      </c>
      <c r="M3330">
        <v>-2.4896649999999999E-2</v>
      </c>
      <c r="N3330">
        <v>-1.332155E-2</v>
      </c>
      <c r="O3330">
        <v>-0.99960150000000003</v>
      </c>
      <c r="P3330">
        <v>0.1923743</v>
      </c>
      <c r="Q3330">
        <v>-0.13817360000000001</v>
      </c>
      <c r="R3330">
        <v>-0.97154549999999995</v>
      </c>
      <c r="S3330">
        <v>0.33493040000000002</v>
      </c>
      <c r="T3330">
        <v>-0.1992748</v>
      </c>
      <c r="U3330">
        <v>-2.9927519999999999</v>
      </c>
      <c r="V3330">
        <v>-0.21646389999999999</v>
      </c>
      <c r="W3330">
        <v>-0.12535769999999999</v>
      </c>
      <c r="X3330">
        <v>0.96820910000000004</v>
      </c>
      <c r="Y3330">
        <v>-0.13570360000000001</v>
      </c>
      <c r="Z3330">
        <v>5.2579099999999997E-2</v>
      </c>
      <c r="AA3330">
        <v>0.98935329999999999</v>
      </c>
      <c r="AB3330">
        <v>17</v>
      </c>
      <c r="AC3330">
        <v>1.8673</v>
      </c>
      <c r="AD3330">
        <v>-1.1098050197660001</v>
      </c>
      <c r="AE3330">
        <v>-16.573599999999999</v>
      </c>
      <c r="AF3330">
        <v>-2.2693367133331899</v>
      </c>
      <c r="AG3330">
        <v>-1.1098050197660001</v>
      </c>
      <c r="AH3330">
        <v>16.449135758308302</v>
      </c>
      <c r="AI3330">
        <v>93.823724960428805</v>
      </c>
      <c r="AJ3330">
        <v>97.854989576182206</v>
      </c>
      <c r="AK3330">
        <v>16.641983760827198</v>
      </c>
      <c r="AL3330">
        <v>97.201412843289106</v>
      </c>
      <c r="AM3330">
        <v>102.602453100416</v>
      </c>
      <c r="AN3330">
        <v>1.00000001713765</v>
      </c>
    </row>
    <row r="3331" spans="1:40" x14ac:dyDescent="0.25">
      <c r="A3331" t="str">
        <f>"20190305134959166"</f>
        <v>20190305134959166</v>
      </c>
      <c r="B3331" t="str">
        <f>"1551764999163568"</f>
        <v>1551764999163568</v>
      </c>
      <c r="C3331" t="s">
        <v>40</v>
      </c>
      <c r="D3331">
        <v>4.3470279999999999</v>
      </c>
      <c r="E3331">
        <v>0.53322480000000005</v>
      </c>
      <c r="F3331" t="s">
        <v>62</v>
      </c>
      <c r="G3331">
        <v>-489.89019999999999</v>
      </c>
      <c r="H3331" s="1">
        <v>5.999426E-6</v>
      </c>
      <c r="I3331">
        <v>227.62960000000001</v>
      </c>
      <c r="J3331">
        <v>-491.7439</v>
      </c>
      <c r="K3331">
        <v>1.1097360000000001</v>
      </c>
      <c r="L3331">
        <v>244.03200000000001</v>
      </c>
      <c r="M3331">
        <v>-2.4400479999999999E-2</v>
      </c>
      <c r="N3331">
        <v>-1.331712E-2</v>
      </c>
      <c r="O3331">
        <v>-0.9996138</v>
      </c>
      <c r="P3331">
        <v>0.1929032</v>
      </c>
      <c r="Q3331">
        <v>-0.1390594</v>
      </c>
      <c r="R3331">
        <v>-0.97131440000000002</v>
      </c>
      <c r="S3331">
        <v>0.3352966</v>
      </c>
      <c r="T3331">
        <v>-0.20099629999999999</v>
      </c>
      <c r="U3331">
        <v>-2.9928889999999999</v>
      </c>
      <c r="V3331">
        <v>-0.2165289</v>
      </c>
      <c r="W3331">
        <v>-0.12621199999999999</v>
      </c>
      <c r="X3331">
        <v>0.96808360000000004</v>
      </c>
      <c r="Y3331">
        <v>-0.13532269999999999</v>
      </c>
      <c r="Z3331">
        <v>5.3150549999999998E-2</v>
      </c>
      <c r="AA3331">
        <v>0.98937489999999995</v>
      </c>
      <c r="AB3331">
        <v>17</v>
      </c>
      <c r="AC3331">
        <v>1.8536999999999999</v>
      </c>
      <c r="AD3331">
        <v>-1.1097300005740001</v>
      </c>
      <c r="AE3331">
        <v>-16.4024</v>
      </c>
      <c r="AF3331">
        <v>-2.2432709438449501</v>
      </c>
      <c r="AG3331">
        <v>-1.1097300005740001</v>
      </c>
      <c r="AH3331">
        <v>16.2787057684695</v>
      </c>
      <c r="AI3331">
        <v>93.863458206318498</v>
      </c>
      <c r="AJ3331">
        <v>97.846171129652703</v>
      </c>
      <c r="AK3331">
        <v>16.469973488080502</v>
      </c>
      <c r="AL3331">
        <v>97.250752303185294</v>
      </c>
      <c r="AM3331">
        <v>102.607698430704</v>
      </c>
      <c r="AN3331">
        <v>1.00000004503408</v>
      </c>
    </row>
    <row r="3332" spans="1:40" x14ac:dyDescent="0.25">
      <c r="A3332" t="str">
        <f>"20190305134959188"</f>
        <v>20190305134959188</v>
      </c>
      <c r="B3332" t="str">
        <f>"1551764999184064"</f>
        <v>1551764999184064</v>
      </c>
      <c r="C3332" t="s">
        <v>40</v>
      </c>
      <c r="D3332">
        <v>4.3206490000000004</v>
      </c>
      <c r="E3332">
        <v>0.53369580000000005</v>
      </c>
      <c r="F3332" t="s">
        <v>62</v>
      </c>
      <c r="G3332">
        <v>-489.92259999999999</v>
      </c>
      <c r="H3332" s="1">
        <v>6.0083770000000004E-6</v>
      </c>
      <c r="I3332">
        <v>227.63079999999999</v>
      </c>
      <c r="J3332">
        <v>-491.7473</v>
      </c>
      <c r="K3332">
        <v>1.109642</v>
      </c>
      <c r="L3332">
        <v>243.8614</v>
      </c>
      <c r="M3332">
        <v>-2.385611E-2</v>
      </c>
      <c r="N3332">
        <v>-1.331149E-2</v>
      </c>
      <c r="O3332">
        <v>-0.99962709999999999</v>
      </c>
      <c r="P3332">
        <v>0.1925713</v>
      </c>
      <c r="Q3332">
        <v>-0.13999690000000001</v>
      </c>
      <c r="R3332">
        <v>-0.97124569999999999</v>
      </c>
      <c r="S3332">
        <v>0.332428</v>
      </c>
      <c r="T3332">
        <v>-0.2025487</v>
      </c>
      <c r="U3332">
        <v>-2.993576</v>
      </c>
      <c r="V3332">
        <v>-0.2156962</v>
      </c>
      <c r="W3332">
        <v>-0.1271079</v>
      </c>
      <c r="X3332">
        <v>0.96815220000000002</v>
      </c>
      <c r="Y3332">
        <v>-0.13381879999999999</v>
      </c>
      <c r="Z3332">
        <v>5.3664719999999999E-2</v>
      </c>
      <c r="AA3332">
        <v>0.98955170000000003</v>
      </c>
      <c r="AB3332">
        <v>17</v>
      </c>
      <c r="AC3332">
        <v>1.8247</v>
      </c>
      <c r="AD3332">
        <v>-1.1096359916230001</v>
      </c>
      <c r="AE3332">
        <v>-16.230599999999999</v>
      </c>
      <c r="AF3332">
        <v>-2.2012534480104899</v>
      </c>
      <c r="AG3332">
        <v>-1.1096359916230001</v>
      </c>
      <c r="AH3332">
        <v>16.108095825526899</v>
      </c>
      <c r="AI3332">
        <v>93.904524973064198</v>
      </c>
      <c r="AJ3332">
        <v>97.781560160573406</v>
      </c>
      <c r="AK3332">
        <v>16.295630086027401</v>
      </c>
      <c r="AL3332">
        <v>97.302500869638905</v>
      </c>
      <c r="AM3332">
        <v>102.559892962804</v>
      </c>
      <c r="AN3332">
        <v>0.99999997565084398</v>
      </c>
    </row>
    <row r="3333" spans="1:40" x14ac:dyDescent="0.25">
      <c r="A3333" t="str">
        <f>"20190305134959200"</f>
        <v>20190305134959200</v>
      </c>
      <c r="B3333" t="str">
        <f>"1551764999193825"</f>
        <v>1551764999193825</v>
      </c>
      <c r="C3333" t="s">
        <v>40</v>
      </c>
      <c r="D3333">
        <v>4.3249430000000002</v>
      </c>
      <c r="E3333">
        <v>0.53392790000000001</v>
      </c>
      <c r="F3333" t="s">
        <v>62</v>
      </c>
      <c r="G3333">
        <v>-489.96589999999998</v>
      </c>
      <c r="H3333" s="1">
        <v>5.9944730000000003E-6</v>
      </c>
      <c r="I3333">
        <v>227.5615</v>
      </c>
      <c r="J3333">
        <v>-491.7491</v>
      </c>
      <c r="K3333">
        <v>1.109605</v>
      </c>
      <c r="L3333">
        <v>243.77340000000001</v>
      </c>
      <c r="M3333">
        <v>-2.3655519999999999E-2</v>
      </c>
      <c r="N3333">
        <v>-1.3308850000000001E-2</v>
      </c>
      <c r="O3333">
        <v>-0.99963159999999895</v>
      </c>
      <c r="P3333">
        <v>0.19211610000000001</v>
      </c>
      <c r="Q3333">
        <v>-0.14000860000000001</v>
      </c>
      <c r="R3333">
        <v>-0.97133389999999997</v>
      </c>
      <c r="S3333">
        <v>0.32727050000000002</v>
      </c>
      <c r="T3333">
        <v>-0.20385690000000001</v>
      </c>
      <c r="U3333">
        <v>-2.9945369999999998</v>
      </c>
      <c r="V3333">
        <v>-0.2150601</v>
      </c>
      <c r="W3333">
        <v>-0.1271014</v>
      </c>
      <c r="X3333">
        <v>0.96829460000000001</v>
      </c>
      <c r="Y3333">
        <v>-0.13189919999999999</v>
      </c>
      <c r="Z3333">
        <v>5.4092750000000002E-2</v>
      </c>
      <c r="AA3333">
        <v>0.9897861</v>
      </c>
      <c r="AB3333">
        <v>17</v>
      </c>
      <c r="AC3333">
        <v>1.7832000000000201</v>
      </c>
      <c r="AD3333">
        <v>-1.109599005527</v>
      </c>
      <c r="AE3333">
        <v>-16.2119</v>
      </c>
      <c r="AF3333">
        <v>-2.1562555445422298</v>
      </c>
      <c r="AG3333">
        <v>-1.109599005527</v>
      </c>
      <c r="AH3333">
        <v>16.0907003292631</v>
      </c>
      <c r="AI3333">
        <v>93.909975014052506</v>
      </c>
      <c r="AJ3333">
        <v>97.632525819218401</v>
      </c>
      <c r="AK3333">
        <v>16.272408703464301</v>
      </c>
      <c r="AL3333">
        <v>97.302125058226494</v>
      </c>
      <c r="AM3333">
        <v>102.52223967574</v>
      </c>
      <c r="AN3333">
        <v>1.0000000224415599</v>
      </c>
    </row>
    <row r="3334" spans="1:40" x14ac:dyDescent="0.25">
      <c r="A3334" t="str">
        <f>"20190305134959212"</f>
        <v>20190305134959212</v>
      </c>
      <c r="B3334" t="str">
        <f>"1551764999203584"</f>
        <v>1551764999203584</v>
      </c>
      <c r="C3334" t="s">
        <v>40</v>
      </c>
      <c r="D3334">
        <v>4.3590339999999896</v>
      </c>
      <c r="E3334">
        <v>0.53418650000000001</v>
      </c>
      <c r="F3334" t="s">
        <v>62</v>
      </c>
      <c r="G3334">
        <v>-489.97809999999998</v>
      </c>
      <c r="H3334" s="1">
        <v>5.9447939999999997E-6</v>
      </c>
      <c r="I3334">
        <v>227.40979999999999</v>
      </c>
      <c r="J3334">
        <v>-491.75099999999998</v>
      </c>
      <c r="K3334">
        <v>1.109575</v>
      </c>
      <c r="L3334">
        <v>243.6824</v>
      </c>
      <c r="M3334">
        <v>-2.346724E-2</v>
      </c>
      <c r="N3334">
        <v>-1.330624E-2</v>
      </c>
      <c r="O3334">
        <v>-0.99963619999999997</v>
      </c>
      <c r="P3334">
        <v>0.1917575</v>
      </c>
      <c r="Q3334">
        <v>-0.1400489</v>
      </c>
      <c r="R3334">
        <v>-0.97139900000000001</v>
      </c>
      <c r="S3334">
        <v>0.32415769999999999</v>
      </c>
      <c r="T3334">
        <v>-0.2031007</v>
      </c>
      <c r="U3334">
        <v>-2.9951780000000001</v>
      </c>
      <c r="V3334">
        <v>-0.21453220000000001</v>
      </c>
      <c r="W3334">
        <v>-0.12712490000000001</v>
      </c>
      <c r="X3334">
        <v>0.96840859999999995</v>
      </c>
      <c r="Y3334">
        <v>-0.13067529999999999</v>
      </c>
      <c r="Z3334">
        <v>5.3842019999999997E-2</v>
      </c>
      <c r="AA3334">
        <v>0.98996209999999996</v>
      </c>
      <c r="AB3334">
        <v>17</v>
      </c>
      <c r="AC3334">
        <v>1.7728999999999899</v>
      </c>
      <c r="AD3334">
        <v>-1.109569055206</v>
      </c>
      <c r="AE3334">
        <v>-16.272600000000001</v>
      </c>
      <c r="AF3334">
        <v>-2.1444649670031</v>
      </c>
      <c r="AG3334">
        <v>-1.109569055206</v>
      </c>
      <c r="AH3334">
        <v>16.152291959022399</v>
      </c>
      <c r="AI3334">
        <v>93.895638290466806</v>
      </c>
      <c r="AJ3334">
        <v>97.562667329541298</v>
      </c>
      <c r="AK3334">
        <v>16.331760744404601</v>
      </c>
      <c r="AL3334">
        <v>97.303482605966295</v>
      </c>
      <c r="AM3334">
        <v>102.491043435541</v>
      </c>
      <c r="AN3334">
        <v>1.0000000107953999</v>
      </c>
    </row>
    <row r="3335" spans="1:40" x14ac:dyDescent="0.25">
      <c r="A3335" t="str">
        <f>"20190305134959224"</f>
        <v>20190305134959224</v>
      </c>
      <c r="B3335" t="str">
        <f>"1551764999213344"</f>
        <v>1551764999213344</v>
      </c>
      <c r="C3335" t="s">
        <v>40</v>
      </c>
      <c r="D3335">
        <v>4.3544689999999999</v>
      </c>
      <c r="E3335">
        <v>0.53443280000000004</v>
      </c>
      <c r="F3335" t="s">
        <v>62</v>
      </c>
      <c r="G3335">
        <v>-489.983</v>
      </c>
      <c r="H3335" s="1">
        <v>5.8793260000000001E-6</v>
      </c>
      <c r="I3335">
        <v>227.202</v>
      </c>
      <c r="J3335">
        <v>-491.75290000000001</v>
      </c>
      <c r="K3335">
        <v>1.109553</v>
      </c>
      <c r="L3335">
        <v>243.58930000000001</v>
      </c>
      <c r="M3335">
        <v>-2.3319969999999999E-2</v>
      </c>
      <c r="N3335">
        <v>-1.3303840000000001E-2</v>
      </c>
      <c r="O3335">
        <v>-0.99963970000000002</v>
      </c>
      <c r="P3335">
        <v>0.19090460000000001</v>
      </c>
      <c r="Q3335">
        <v>-0.1397168</v>
      </c>
      <c r="R3335">
        <v>-0.97161500000000001</v>
      </c>
      <c r="S3335">
        <v>0.32138060000000002</v>
      </c>
      <c r="T3335">
        <v>-0.2016964</v>
      </c>
      <c r="U3335">
        <v>-2.9957889999999998</v>
      </c>
      <c r="V3335">
        <v>-0.21355009999999999</v>
      </c>
      <c r="W3335">
        <v>-0.12677840000000001</v>
      </c>
      <c r="X3335">
        <v>0.96867099999999995</v>
      </c>
      <c r="Y3335">
        <v>-0.129604</v>
      </c>
      <c r="Z3335">
        <v>5.3377050000000002E-2</v>
      </c>
      <c r="AA3335">
        <v>0.99012809999999996</v>
      </c>
      <c r="AB3335">
        <v>17</v>
      </c>
      <c r="AC3335">
        <v>1.7699</v>
      </c>
      <c r="AD3335">
        <v>-1.109547120674</v>
      </c>
      <c r="AE3335">
        <v>-16.3873</v>
      </c>
      <c r="AF3335">
        <v>-2.14189773228104</v>
      </c>
      <c r="AG3335">
        <v>-1.109547120674</v>
      </c>
      <c r="AH3335">
        <v>16.267847653303001</v>
      </c>
      <c r="AI3335">
        <v>93.868526084664595</v>
      </c>
      <c r="AJ3335">
        <v>97.500674948817206</v>
      </c>
      <c r="AK3335">
        <v>16.445719442445299</v>
      </c>
      <c r="AL3335">
        <v>97.283468069167697</v>
      </c>
      <c r="AM3335">
        <v>102.43238006379801</v>
      </c>
      <c r="AN3335">
        <v>0.99999995707878397</v>
      </c>
    </row>
    <row r="3336" spans="1:40" x14ac:dyDescent="0.25">
      <c r="A3336" t="str">
        <f>"20190305134959235"</f>
        <v>20190305134959235</v>
      </c>
      <c r="B3336" t="str">
        <f>"1551764999224080"</f>
        <v>1551764999224080</v>
      </c>
      <c r="C3336" t="s">
        <v>40</v>
      </c>
      <c r="D3336">
        <v>4.3754019999999896</v>
      </c>
      <c r="E3336">
        <v>0.5346727</v>
      </c>
      <c r="F3336" t="s">
        <v>62</v>
      </c>
      <c r="G3336">
        <v>-489.9939</v>
      </c>
      <c r="H3336" s="1">
        <v>5.7892729999999899E-6</v>
      </c>
      <c r="I3336">
        <v>226.91909999999999</v>
      </c>
      <c r="J3336">
        <v>-491.75479999999999</v>
      </c>
      <c r="K3336">
        <v>1.1095389999999901</v>
      </c>
      <c r="L3336">
        <v>243.50450000000001</v>
      </c>
      <c r="M3336">
        <v>-2.320152E-2</v>
      </c>
      <c r="N3336">
        <v>-1.3301759999999999E-2</v>
      </c>
      <c r="O3336">
        <v>-0.99964260000000005</v>
      </c>
      <c r="P3336">
        <v>0.19030839999999999</v>
      </c>
      <c r="Q3336">
        <v>-0.1389455</v>
      </c>
      <c r="R3336">
        <v>-0.97184230000000005</v>
      </c>
      <c r="S3336">
        <v>0.31622309999999998</v>
      </c>
      <c r="T3336">
        <v>-0.19946320000000001</v>
      </c>
      <c r="U3336">
        <v>-2.9967959999999998</v>
      </c>
      <c r="V3336">
        <v>-0.2128495</v>
      </c>
      <c r="W3336">
        <v>-0.1259971</v>
      </c>
      <c r="X3336">
        <v>0.96892710000000004</v>
      </c>
      <c r="Y3336">
        <v>-0.12777189999999999</v>
      </c>
      <c r="Z3336">
        <v>5.263611E-2</v>
      </c>
      <c r="AA3336">
        <v>0.99040589999999995</v>
      </c>
      <c r="AB3336">
        <v>17</v>
      </c>
      <c r="AC3336">
        <v>1.7608999999999899</v>
      </c>
      <c r="AD3336">
        <v>-1.10953321072699</v>
      </c>
      <c r="AE3336">
        <v>-16.5854</v>
      </c>
      <c r="AF3336">
        <v>-2.1358143168455501</v>
      </c>
      <c r="AG3336">
        <v>-1.10953321072699</v>
      </c>
      <c r="AH3336">
        <v>16.467200111888101</v>
      </c>
      <c r="AI3336">
        <v>93.8227468319932</v>
      </c>
      <c r="AJ3336">
        <v>97.390071583639099</v>
      </c>
      <c r="AK3336">
        <v>16.642158702125101</v>
      </c>
      <c r="AL3336">
        <v>97.238341032707595</v>
      </c>
      <c r="AM3336">
        <v>102.38968062529101</v>
      </c>
      <c r="AN3336">
        <v>0.99999995198653302</v>
      </c>
    </row>
    <row r="3337" spans="1:40" x14ac:dyDescent="0.25">
      <c r="A3337" t="str">
        <f>"20190305134959246"</f>
        <v>20190305134959246</v>
      </c>
      <c r="B3337" t="str">
        <f>"1551764999243601"</f>
        <v>1551764999243601</v>
      </c>
      <c r="C3337" t="s">
        <v>40</v>
      </c>
      <c r="D3337">
        <v>4.3856900000000003</v>
      </c>
      <c r="E3337">
        <v>0.534968</v>
      </c>
      <c r="F3337" t="s">
        <v>62</v>
      </c>
      <c r="G3337">
        <v>-489.98820000000001</v>
      </c>
      <c r="H3337" s="1">
        <v>5.6809540000000003E-6</v>
      </c>
      <c r="I3337">
        <v>226.56540000000001</v>
      </c>
      <c r="J3337">
        <v>-491.75659999999999</v>
      </c>
      <c r="K3337">
        <v>1.1095280000000001</v>
      </c>
      <c r="L3337">
        <v>243.4186</v>
      </c>
      <c r="M3337">
        <v>-2.3095859999999999E-2</v>
      </c>
      <c r="N3337">
        <v>-1.3299719999999999E-2</v>
      </c>
      <c r="O3337">
        <v>-0.99964500000000001</v>
      </c>
      <c r="P3337">
        <v>0.1895037</v>
      </c>
      <c r="Q3337">
        <v>-0.13876089999999999</v>
      </c>
      <c r="R3337">
        <v>-0.9720261</v>
      </c>
      <c r="S3337">
        <v>0.31262210000000001</v>
      </c>
      <c r="T3337">
        <v>-0.1963493</v>
      </c>
      <c r="U3337">
        <v>-2.9976500000000001</v>
      </c>
      <c r="V3337">
        <v>-0.21195040000000001</v>
      </c>
      <c r="W3337">
        <v>-0.1258059</v>
      </c>
      <c r="X3337">
        <v>0.96914909999999999</v>
      </c>
      <c r="Y3337">
        <v>-0.12646789999999999</v>
      </c>
      <c r="Z3337">
        <v>5.1604099999999903E-2</v>
      </c>
      <c r="AA3337">
        <v>0.99062749999999999</v>
      </c>
      <c r="AB3337">
        <v>17</v>
      </c>
      <c r="AC3337">
        <v>1.76839999999998</v>
      </c>
      <c r="AD3337">
        <v>-1.109522319046</v>
      </c>
      <c r="AE3337">
        <v>-16.853199999999902</v>
      </c>
      <c r="AF3337">
        <v>-2.1479932876362899</v>
      </c>
      <c r="AG3337">
        <v>-1.109522319046</v>
      </c>
      <c r="AH3337">
        <v>16.736109954504101</v>
      </c>
      <c r="AI3337">
        <v>93.762110894055795</v>
      </c>
      <c r="AJ3337">
        <v>97.313634620759004</v>
      </c>
      <c r="AK3337">
        <v>16.909828247189399</v>
      </c>
      <c r="AL3337">
        <v>97.227297588816597</v>
      </c>
      <c r="AM3337">
        <v>102.336211771571</v>
      </c>
      <c r="AN3337">
        <v>1.0000000372828799</v>
      </c>
    </row>
    <row r="3338" spans="1:40" x14ac:dyDescent="0.25">
      <c r="A3338" t="str">
        <f>"20190305134959258"</f>
        <v>20190305134959258</v>
      </c>
      <c r="B3338" t="str">
        <f>"1551764999253361"</f>
        <v>1551764999253361</v>
      </c>
      <c r="C3338" t="s">
        <v>40</v>
      </c>
      <c r="D3338">
        <v>4.3890260000000003</v>
      </c>
      <c r="E3338">
        <v>0.53516759999999997</v>
      </c>
      <c r="F3338" t="s">
        <v>62</v>
      </c>
      <c r="G3338">
        <v>-490.00279999999998</v>
      </c>
      <c r="H3338" s="1">
        <v>5.6052199999999897E-6</v>
      </c>
      <c r="I3338">
        <v>226.3313</v>
      </c>
      <c r="J3338">
        <v>-491.75850000000003</v>
      </c>
      <c r="K3338">
        <v>1.109529</v>
      </c>
      <c r="L3338">
        <v>243.3321</v>
      </c>
      <c r="M3338">
        <v>-2.2998939999999999E-2</v>
      </c>
      <c r="N3338">
        <v>-1.329783E-2</v>
      </c>
      <c r="O3338">
        <v>-0.99964710000000001</v>
      </c>
      <c r="P3338">
        <v>0.1888012</v>
      </c>
      <c r="Q3338">
        <v>-0.13873640000000001</v>
      </c>
      <c r="R3338">
        <v>-0.97216590000000003</v>
      </c>
      <c r="S3338">
        <v>0.30776979999999998</v>
      </c>
      <c r="T3338">
        <v>-0.19470519999999999</v>
      </c>
      <c r="U3338">
        <v>-2.9985659999999998</v>
      </c>
      <c r="V3338">
        <v>-0.2111576</v>
      </c>
      <c r="W3338">
        <v>-0.12578059999999999</v>
      </c>
      <c r="X3338">
        <v>0.9693254</v>
      </c>
      <c r="Y3338">
        <v>-0.12475849999999999</v>
      </c>
      <c r="Z3338">
        <v>5.105784E-2</v>
      </c>
      <c r="AA3338">
        <v>0.99087259999999999</v>
      </c>
      <c r="AB3338">
        <v>17</v>
      </c>
      <c r="AC3338">
        <v>1.75570000000004</v>
      </c>
      <c r="AD3338">
        <v>-1.1095233947799901</v>
      </c>
      <c r="AE3338">
        <v>-17.000799999999899</v>
      </c>
      <c r="AF3338">
        <v>-2.1372633494029301</v>
      </c>
      <c r="AG3338">
        <v>-1.1095233947799901</v>
      </c>
      <c r="AH3338">
        <v>16.884761804028201</v>
      </c>
      <c r="AI3338">
        <v>93.729910577036094</v>
      </c>
      <c r="AJ3338">
        <v>97.214100821100899</v>
      </c>
      <c r="AK3338">
        <v>17.055618369529601</v>
      </c>
      <c r="AL3338">
        <v>97.225836587916604</v>
      </c>
      <c r="AM3338">
        <v>102.28930584916699</v>
      </c>
      <c r="AN3338">
        <v>1.0000000112296299</v>
      </c>
    </row>
    <row r="3339" spans="1:40" x14ac:dyDescent="0.25">
      <c r="A3339" t="str">
        <f>"20190305134959271"</f>
        <v>20190305134959271</v>
      </c>
      <c r="B3339" t="str">
        <f>"1551764999264097"</f>
        <v>1551764999264097</v>
      </c>
      <c r="C3339" t="s">
        <v>40</v>
      </c>
      <c r="D3339">
        <v>4.3781639999999999</v>
      </c>
      <c r="E3339">
        <v>0.53529589999999905</v>
      </c>
      <c r="F3339" t="s">
        <v>62</v>
      </c>
      <c r="G3339">
        <v>-490.02159999999998</v>
      </c>
      <c r="H3339" s="1">
        <v>5.5589500000000004E-6</v>
      </c>
      <c r="I3339">
        <v>226.19540000000001</v>
      </c>
      <c r="J3339">
        <v>-491.76069999999999</v>
      </c>
      <c r="K3339">
        <v>1.109532</v>
      </c>
      <c r="L3339">
        <v>243.2296</v>
      </c>
      <c r="M3339">
        <v>-2.2887660000000001E-2</v>
      </c>
      <c r="N3339">
        <v>-1.3295680000000001E-2</v>
      </c>
      <c r="O3339">
        <v>-0.99964980000000003</v>
      </c>
      <c r="P3339">
        <v>0.18809989999999999</v>
      </c>
      <c r="Q3339">
        <v>-0.1388645</v>
      </c>
      <c r="R3339">
        <v>-0.97228389999999998</v>
      </c>
      <c r="S3339">
        <v>0.30398560000000002</v>
      </c>
      <c r="T3339">
        <v>-0.19418240000000001</v>
      </c>
      <c r="U3339">
        <v>-2.999161</v>
      </c>
      <c r="V3339">
        <v>-0.21035019999999999</v>
      </c>
      <c r="W3339">
        <v>-0.12591160000000001</v>
      </c>
      <c r="X3339">
        <v>0.96948389999999995</v>
      </c>
      <c r="Y3339">
        <v>-0.1233924</v>
      </c>
      <c r="Z3339">
        <v>5.0885260000000002E-2</v>
      </c>
      <c r="AA3339">
        <v>0.9910525</v>
      </c>
      <c r="AB3339">
        <v>17</v>
      </c>
      <c r="AC3339">
        <v>1.7391000000000001</v>
      </c>
      <c r="AD3339">
        <v>-1.1095264410500001</v>
      </c>
      <c r="AE3339">
        <v>-17.034199999999998</v>
      </c>
      <c r="AF3339">
        <v>-2.1196516654514701</v>
      </c>
      <c r="AG3339">
        <v>-1.1095264410500001</v>
      </c>
      <c r="AH3339">
        <v>16.9188899742609</v>
      </c>
      <c r="AI3339">
        <v>93.723014637922702</v>
      </c>
      <c r="AJ3339">
        <v>97.140988952346206</v>
      </c>
      <c r="AK3339">
        <v>17.087211886887399</v>
      </c>
      <c r="AL3339">
        <v>97.233402676223406</v>
      </c>
      <c r="AM3339">
        <v>102.24179420077201</v>
      </c>
      <c r="AN3339">
        <v>0.99999998500690401</v>
      </c>
    </row>
    <row r="3340" spans="1:40" x14ac:dyDescent="0.25">
      <c r="A3340" t="str">
        <f>"20190305134959284"</f>
        <v>20190305134959284</v>
      </c>
      <c r="B3340" t="str">
        <f>"1551764999273856"</f>
        <v>1551764999273856</v>
      </c>
      <c r="C3340" t="s">
        <v>40</v>
      </c>
      <c r="D3340">
        <v>4.3727019999999897</v>
      </c>
      <c r="E3340">
        <v>0.53543050000000003</v>
      </c>
      <c r="F3340" t="s">
        <v>62</v>
      </c>
      <c r="G3340">
        <v>-490.04680000000002</v>
      </c>
      <c r="H3340" s="1">
        <v>5.5323359999999997E-6</v>
      </c>
      <c r="I3340">
        <v>226.1276</v>
      </c>
      <c r="J3340">
        <v>-491.76280000000003</v>
      </c>
      <c r="K3340">
        <v>1.1095440000000001</v>
      </c>
      <c r="L3340">
        <v>243.13319999999999</v>
      </c>
      <c r="M3340">
        <v>-2.278283E-2</v>
      </c>
      <c r="N3340">
        <v>-1.3293859999999999E-2</v>
      </c>
      <c r="O3340">
        <v>-0.99965210000000004</v>
      </c>
      <c r="P3340">
        <v>0.1877354</v>
      </c>
      <c r="Q3340">
        <v>-0.13912089999999999</v>
      </c>
      <c r="R3340">
        <v>-0.97231769999999995</v>
      </c>
      <c r="S3340">
        <v>0.30059809999999998</v>
      </c>
      <c r="T3340">
        <v>-0.19460179999999999</v>
      </c>
      <c r="U3340">
        <v>-2.9995569999999998</v>
      </c>
      <c r="V3340">
        <v>-0.20988029999999999</v>
      </c>
      <c r="W3340">
        <v>-0.1261774</v>
      </c>
      <c r="X3340">
        <v>0.96955119999999895</v>
      </c>
      <c r="Y3340">
        <v>-0.122166899999999</v>
      </c>
      <c r="Z3340">
        <v>5.1025750000000002E-2</v>
      </c>
      <c r="AA3340">
        <v>0.99119699999999999</v>
      </c>
      <c r="AB3340">
        <v>17</v>
      </c>
      <c r="AC3340">
        <v>1.716</v>
      </c>
      <c r="AD3340">
        <v>-1.1095384676639899</v>
      </c>
      <c r="AE3340">
        <v>-17.005599999999902</v>
      </c>
      <c r="AF3340">
        <v>-2.0941993378669199</v>
      </c>
      <c r="AG3340">
        <v>-1.1095384676639899</v>
      </c>
      <c r="AH3340">
        <v>16.8909070736795</v>
      </c>
      <c r="AI3340">
        <v>93.729798446123297</v>
      </c>
      <c r="AJ3340">
        <v>97.067682627732097</v>
      </c>
      <c r="AK3340">
        <v>17.056362104787301</v>
      </c>
      <c r="AL3340">
        <v>97.248754199256993</v>
      </c>
      <c r="AM3340">
        <v>102.21444692209499</v>
      </c>
      <c r="AN3340">
        <v>1.0000000030101399</v>
      </c>
    </row>
    <row r="3341" spans="1:40" x14ac:dyDescent="0.25">
      <c r="A3341" t="str">
        <f>"20190305134959302"</f>
        <v>20190305134959302</v>
      </c>
      <c r="B3341" t="str">
        <f>"1551764999293376"</f>
        <v>1551764999293376</v>
      </c>
      <c r="C3341" t="s">
        <v>40</v>
      </c>
      <c r="D3341">
        <v>4.3459209999999997</v>
      </c>
      <c r="E3341">
        <v>0.53563909999999904</v>
      </c>
      <c r="F3341" t="s">
        <v>62</v>
      </c>
      <c r="G3341">
        <v>-490.06360000000001</v>
      </c>
      <c r="H3341" s="1">
        <v>5.5110240000000001E-6</v>
      </c>
      <c r="I3341">
        <v>226.07079999999999</v>
      </c>
      <c r="J3341">
        <v>-491.76560000000001</v>
      </c>
      <c r="K3341">
        <v>1.1095699999999999</v>
      </c>
      <c r="L3341">
        <v>243.0043</v>
      </c>
      <c r="M3341">
        <v>-2.2633440000000001E-2</v>
      </c>
      <c r="N3341">
        <v>-1.329166E-2</v>
      </c>
      <c r="O3341">
        <v>-0.99965570000000004</v>
      </c>
      <c r="P3341">
        <v>0.1866573</v>
      </c>
      <c r="Q3341">
        <v>-0.13930529999999999</v>
      </c>
      <c r="R3341">
        <v>-0.97249870000000005</v>
      </c>
      <c r="S3341">
        <v>0.29873660000000002</v>
      </c>
      <c r="T3341">
        <v>-0.1950721</v>
      </c>
      <c r="U3341">
        <v>-2.9998019999999999</v>
      </c>
      <c r="V3341">
        <v>-0.20865239999999999</v>
      </c>
      <c r="W3341">
        <v>-0.12637699999999999</v>
      </c>
      <c r="X3341">
        <v>0.96979020000000005</v>
      </c>
      <c r="Y3341">
        <v>-0.121401</v>
      </c>
      <c r="Z3341">
        <v>5.1183190000000003E-2</v>
      </c>
      <c r="AA3341">
        <v>0.99128309999999997</v>
      </c>
      <c r="AB3341">
        <v>17</v>
      </c>
      <c r="AC3341">
        <v>1.70199999999999</v>
      </c>
      <c r="AD3341">
        <v>-1.1095644889759999</v>
      </c>
      <c r="AE3341">
        <v>-16.933499999999999</v>
      </c>
      <c r="AF3341">
        <v>-2.0760367311315702</v>
      </c>
      <c r="AG3341">
        <v>-1.1095644889759999</v>
      </c>
      <c r="AH3341">
        <v>16.819145089722699</v>
      </c>
      <c r="AI3341">
        <v>93.746005417554102</v>
      </c>
      <c r="AJ3341">
        <v>97.036595448899803</v>
      </c>
      <c r="AK3341">
        <v>16.983071083091801</v>
      </c>
      <c r="AL3341">
        <v>97.260282736778393</v>
      </c>
      <c r="AM3341">
        <v>102.142209668102</v>
      </c>
      <c r="AN3341">
        <v>1.0000000010854</v>
      </c>
    </row>
    <row r="3342" spans="1:40" x14ac:dyDescent="0.25">
      <c r="A3342" t="str">
        <f>"20190305134959316"</f>
        <v>20190305134959316</v>
      </c>
      <c r="B3342" t="str">
        <f>"1551764999313403"</f>
        <v>1551764999313403</v>
      </c>
      <c r="C3342" t="s">
        <v>40</v>
      </c>
      <c r="D3342">
        <v>4.3942610000000002</v>
      </c>
      <c r="E3342">
        <v>0.53584889999999996</v>
      </c>
      <c r="F3342" t="s">
        <v>62</v>
      </c>
      <c r="G3342">
        <v>-490.08539999999999</v>
      </c>
      <c r="H3342" s="1">
        <v>5.4381700000000003E-6</v>
      </c>
      <c r="I3342">
        <v>225.85120000000001</v>
      </c>
      <c r="J3342">
        <v>-491.7679</v>
      </c>
      <c r="K3342">
        <v>1.1095950000000001</v>
      </c>
      <c r="L3342">
        <v>242.89599999999999</v>
      </c>
      <c r="M3342">
        <v>-2.2495680000000001E-2</v>
      </c>
      <c r="N3342">
        <v>-1.328995E-2</v>
      </c>
      <c r="O3342">
        <v>-0.99965859999999995</v>
      </c>
      <c r="P3342">
        <v>0.1863834</v>
      </c>
      <c r="Q3342">
        <v>-0.13966129999999999</v>
      </c>
      <c r="R3342">
        <v>-0.97249989999999997</v>
      </c>
      <c r="S3342">
        <v>0.29391479999999998</v>
      </c>
      <c r="T3342">
        <v>-0.1940981</v>
      </c>
      <c r="U3342">
        <v>-3.000626</v>
      </c>
      <c r="V3342">
        <v>-0.20823539999999999</v>
      </c>
      <c r="W3342">
        <v>-0.12675049999999999</v>
      </c>
      <c r="X3342">
        <v>0.969831</v>
      </c>
      <c r="Y3342">
        <v>-0.1196625</v>
      </c>
      <c r="Z3342">
        <v>5.0859099999999997E-2</v>
      </c>
      <c r="AA3342">
        <v>0.99151109999999998</v>
      </c>
      <c r="AB3342">
        <v>17</v>
      </c>
      <c r="AC3342">
        <v>1.6825000000000001</v>
      </c>
      <c r="AD3342">
        <v>-1.10958956183</v>
      </c>
      <c r="AE3342">
        <v>-17.044799999999899</v>
      </c>
      <c r="AF3342">
        <v>-2.0569097187116698</v>
      </c>
      <c r="AG3342">
        <v>-1.10958956183</v>
      </c>
      <c r="AH3342">
        <v>16.9315732578618</v>
      </c>
      <c r="AI3342">
        <v>93.722158165769898</v>
      </c>
      <c r="AJ3342">
        <v>96.926560139536704</v>
      </c>
      <c r="AK3342">
        <v>17.092110448186101</v>
      </c>
      <c r="AL3342">
        <v>97.281856789046699</v>
      </c>
      <c r="AM3342">
        <v>102.118166210086</v>
      </c>
      <c r="AN3342">
        <v>0.99999991981220104</v>
      </c>
    </row>
    <row r="3343" spans="1:40" x14ac:dyDescent="0.25">
      <c r="A3343" t="str">
        <f>"20190305134959333"</f>
        <v>20190305134959333</v>
      </c>
      <c r="B3343" t="str">
        <f>"1551764999324156"</f>
        <v>1551764999324156</v>
      </c>
      <c r="C3343" t="s">
        <v>40</v>
      </c>
      <c r="D3343">
        <v>4.4078600000000003</v>
      </c>
      <c r="E3343">
        <v>0.5359178</v>
      </c>
      <c r="F3343" t="s">
        <v>62</v>
      </c>
      <c r="G3343">
        <v>-490.10419999999999</v>
      </c>
      <c r="H3343" s="1">
        <v>5.40155E-6</v>
      </c>
      <c r="I3343">
        <v>225.7465</v>
      </c>
      <c r="J3343">
        <v>-491.7706</v>
      </c>
      <c r="K3343">
        <v>1.109626</v>
      </c>
      <c r="L3343">
        <v>242.7663</v>
      </c>
      <c r="M3343">
        <v>-2.2310859999999998E-2</v>
      </c>
      <c r="N3343">
        <v>-1.3288039999999999E-2</v>
      </c>
      <c r="O3343">
        <v>-0.99966290000000002</v>
      </c>
      <c r="P3343">
        <v>0.1866989</v>
      </c>
      <c r="Q3343">
        <v>-0.1400497</v>
      </c>
      <c r="R3343">
        <v>-0.97238369999999996</v>
      </c>
      <c r="S3343">
        <v>0.2911377</v>
      </c>
      <c r="T3343">
        <v>-0.19417599999999999</v>
      </c>
      <c r="U3343">
        <v>-3.0011290000000002</v>
      </c>
      <c r="V3343">
        <v>-0.20835609999999999</v>
      </c>
      <c r="W3343">
        <v>-0.1271632</v>
      </c>
      <c r="X3343">
        <v>0.96975109999999998</v>
      </c>
      <c r="Y3343">
        <v>-0.1185543</v>
      </c>
      <c r="Z3343">
        <v>5.0883780000000003E-2</v>
      </c>
      <c r="AA3343">
        <v>0.99164300000000005</v>
      </c>
      <c r="AB3343">
        <v>17</v>
      </c>
      <c r="AC3343">
        <v>1.6664000000000101</v>
      </c>
      <c r="AD3343">
        <v>-1.1096205984500001</v>
      </c>
      <c r="AE3343">
        <v>-17.0198</v>
      </c>
      <c r="AF3343">
        <v>-2.03716821790178</v>
      </c>
      <c r="AG3343">
        <v>-1.1096205984500001</v>
      </c>
      <c r="AH3343">
        <v>16.907198921631601</v>
      </c>
      <c r="AI3343">
        <v>93.728053019625804</v>
      </c>
      <c r="AJ3343">
        <v>96.870514403288098</v>
      </c>
      <c r="AK3343">
        <v>17.0655995381398</v>
      </c>
      <c r="AL3343">
        <v>97.305695289846696</v>
      </c>
      <c r="AM3343">
        <v>102.125951953749</v>
      </c>
      <c r="AN3343">
        <v>0.999999969896329</v>
      </c>
    </row>
    <row r="3344" spans="1:40" x14ac:dyDescent="0.25">
      <c r="A3344" t="str">
        <f>"20190305134959345"</f>
        <v>20190305134959345</v>
      </c>
      <c r="B3344" t="str">
        <f>"1551764999333900"</f>
        <v>1551764999333900</v>
      </c>
      <c r="C3344" t="s">
        <v>40</v>
      </c>
      <c r="D3344">
        <v>4.370476</v>
      </c>
      <c r="E3344">
        <v>0.53598749999999995</v>
      </c>
      <c r="F3344" t="s">
        <v>62</v>
      </c>
      <c r="G3344">
        <v>-490.10309999999998</v>
      </c>
      <c r="H3344" s="1">
        <v>5.3718769999999998E-6</v>
      </c>
      <c r="I3344">
        <v>225.6499</v>
      </c>
      <c r="J3344">
        <v>-491.77249999999998</v>
      </c>
      <c r="K3344">
        <v>1.1096549999999901</v>
      </c>
      <c r="L3344">
        <v>242.67789999999999</v>
      </c>
      <c r="M3344">
        <v>-2.2167630000000001E-2</v>
      </c>
      <c r="N3344">
        <v>-1.328677E-2</v>
      </c>
      <c r="O3344">
        <v>-0.99966600000000005</v>
      </c>
      <c r="P3344">
        <v>0.18744250000000001</v>
      </c>
      <c r="Q3344">
        <v>-0.1399909</v>
      </c>
      <c r="R3344">
        <v>-0.97224900000000003</v>
      </c>
      <c r="S3344">
        <v>0.29235840000000002</v>
      </c>
      <c r="T3344">
        <v>-0.194551</v>
      </c>
      <c r="U3344">
        <v>-3.0010379999999999</v>
      </c>
      <c r="V3344">
        <v>-0.2089491</v>
      </c>
      <c r="W3344">
        <v>-0.127121699999999</v>
      </c>
      <c r="X3344">
        <v>0.96962899999999996</v>
      </c>
      <c r="Y3344">
        <v>-0.11881369999999999</v>
      </c>
      <c r="Z3344">
        <v>5.1008589999999999E-2</v>
      </c>
      <c r="AA3344">
        <v>0.99160550000000003</v>
      </c>
      <c r="AB3344">
        <v>17</v>
      </c>
      <c r="AC3344">
        <v>1.66939999999999</v>
      </c>
      <c r="AD3344">
        <v>-1.1096496281229999</v>
      </c>
      <c r="AE3344">
        <v>-17.027999999999899</v>
      </c>
      <c r="AF3344">
        <v>-2.03792150931642</v>
      </c>
      <c r="AG3344">
        <v>-1.1096496281229999</v>
      </c>
      <c r="AH3344">
        <v>16.915654364411299</v>
      </c>
      <c r="AI3344">
        <v>93.726298905805393</v>
      </c>
      <c r="AJ3344">
        <v>96.869627934272202</v>
      </c>
      <c r="AK3344">
        <v>17.074068318697599</v>
      </c>
      <c r="AL3344">
        <v>97.303297653136894</v>
      </c>
      <c r="AM3344">
        <v>102.16092354825</v>
      </c>
      <c r="AN3344">
        <v>1.0000000253213399</v>
      </c>
    </row>
    <row r="3345" spans="1:40" x14ac:dyDescent="0.25">
      <c r="A3345" t="str">
        <f>"20190305134959357"</f>
        <v>20190305134959357</v>
      </c>
      <c r="B3345" t="str">
        <f>"1551764999353419"</f>
        <v>1551764999353419</v>
      </c>
      <c r="C3345" t="s">
        <v>40</v>
      </c>
      <c r="D3345">
        <v>4.4151720000000001</v>
      </c>
      <c r="E3345">
        <v>0.53619439999999996</v>
      </c>
      <c r="F3345" t="s">
        <v>62</v>
      </c>
      <c r="G3345">
        <v>-490.08839999999998</v>
      </c>
      <c r="H3345" s="1">
        <v>5.3340260000000004E-6</v>
      </c>
      <c r="I3345">
        <v>225.5172</v>
      </c>
      <c r="J3345">
        <v>-491.77420000000001</v>
      </c>
      <c r="K3345">
        <v>1.1096839999999999</v>
      </c>
      <c r="L3345">
        <v>242.59039999999999</v>
      </c>
      <c r="M3345">
        <v>-2.201148E-2</v>
      </c>
      <c r="N3345">
        <v>-1.328557E-2</v>
      </c>
      <c r="O3345">
        <v>-0.99966960000000005</v>
      </c>
      <c r="P3345">
        <v>0.18836439999999999</v>
      </c>
      <c r="Q3345">
        <v>-0.13993439999999999</v>
      </c>
      <c r="R3345">
        <v>-0.97207900000000003</v>
      </c>
      <c r="S3345">
        <v>0.2944946</v>
      </c>
      <c r="T3345">
        <v>-0.1940491</v>
      </c>
      <c r="U3345">
        <v>-3.0009610000000002</v>
      </c>
      <c r="V3345">
        <v>-0.2097079</v>
      </c>
      <c r="W3345">
        <v>-0.1270819</v>
      </c>
      <c r="X3345">
        <v>0.96947039999999995</v>
      </c>
      <c r="Y3345">
        <v>-0.11936090000000001</v>
      </c>
      <c r="Z3345">
        <v>5.0842129999999999E-2</v>
      </c>
      <c r="AA3345">
        <v>0.99154830000000005</v>
      </c>
      <c r="AB3345">
        <v>17</v>
      </c>
      <c r="AC3345">
        <v>1.6858000000000199</v>
      </c>
      <c r="AD3345">
        <v>-1.1096786659739999</v>
      </c>
      <c r="AE3345">
        <v>-17.0731999999999</v>
      </c>
      <c r="AF3345">
        <v>-2.0526435439132902</v>
      </c>
      <c r="AG3345">
        <v>-1.1096786659739999</v>
      </c>
      <c r="AH3345">
        <v>16.960994370461599</v>
      </c>
      <c r="AI3345">
        <v>93.716221933582204</v>
      </c>
      <c r="AJ3345">
        <v>96.900458444798403</v>
      </c>
      <c r="AK3345">
        <v>17.120749466507501</v>
      </c>
      <c r="AL3345">
        <v>97.300998567627502</v>
      </c>
      <c r="AM3345">
        <v>102.205701299053</v>
      </c>
      <c r="AN3345">
        <v>1.00000003455308</v>
      </c>
    </row>
    <row r="3346" spans="1:40" x14ac:dyDescent="0.25">
      <c r="A3346" t="str">
        <f>"20190305134959372"</f>
        <v>20190305134959372</v>
      </c>
      <c r="B3346" t="str">
        <f>"1551764999363179"</f>
        <v>1551764999363179</v>
      </c>
      <c r="C3346" t="s">
        <v>40</v>
      </c>
      <c r="D3346">
        <v>4.6900750000000002</v>
      </c>
      <c r="E3346">
        <v>0.53619439999999996</v>
      </c>
      <c r="F3346" t="s">
        <v>62</v>
      </c>
      <c r="G3346">
        <v>-490.07729999999998</v>
      </c>
      <c r="H3346" s="1">
        <v>5.2874070000000004E-6</v>
      </c>
      <c r="I3346">
        <v>225.3588</v>
      </c>
      <c r="J3346">
        <v>-491.77659999999997</v>
      </c>
      <c r="K3346">
        <v>1.1097189999999999</v>
      </c>
      <c r="L3346">
        <v>242.47370000000001</v>
      </c>
      <c r="M3346">
        <v>-2.1786900000000001E-2</v>
      </c>
      <c r="N3346">
        <v>-1.3284020000000001E-2</v>
      </c>
      <c r="O3346">
        <v>-0.99967439999999996</v>
      </c>
      <c r="P3346">
        <v>0.19034309999999999</v>
      </c>
      <c r="Q3346">
        <v>-0.13955109999999901</v>
      </c>
      <c r="R3346">
        <v>-0.97174859999999996</v>
      </c>
      <c r="S3346">
        <v>0.29553220000000002</v>
      </c>
      <c r="T3346">
        <v>-0.1932623</v>
      </c>
      <c r="U3346">
        <v>-3.0010680000000001</v>
      </c>
      <c r="V3346">
        <v>-0.21145140000000001</v>
      </c>
      <c r="W3346">
        <v>-0.12672120000000001</v>
      </c>
      <c r="X3346">
        <v>0.96913879999999997</v>
      </c>
      <c r="Y3346">
        <v>-0.1194754</v>
      </c>
      <c r="Z3346">
        <v>5.0581389999999997E-2</v>
      </c>
      <c r="AA3346">
        <v>0.99154790000000004</v>
      </c>
      <c r="AB3346">
        <v>17</v>
      </c>
      <c r="AC3346">
        <v>1.69929999999999</v>
      </c>
      <c r="AD3346">
        <v>-1.1097137125929999</v>
      </c>
      <c r="AE3346">
        <v>-17.114899999999999</v>
      </c>
      <c r="AF3346">
        <v>-2.06322077511386</v>
      </c>
      <c r="AG3346">
        <v>-1.1097137125929999</v>
      </c>
      <c r="AH3346">
        <v>17.003026452515499</v>
      </c>
      <c r="AI3346">
        <v>93.707035136646198</v>
      </c>
      <c r="AJ3346">
        <v>96.918692065145393</v>
      </c>
      <c r="AK3346">
        <v>17.163660828498099</v>
      </c>
      <c r="AL3346">
        <v>97.280163895881103</v>
      </c>
      <c r="AM3346">
        <v>102.30818142506401</v>
      </c>
      <c r="AN3346">
        <v>0.99999998537841905</v>
      </c>
    </row>
    <row r="3347" spans="1:40" x14ac:dyDescent="0.25">
      <c r="A3347" t="str">
        <f>"20190305134959384"</f>
        <v>20190305134959384</v>
      </c>
      <c r="B3347" t="str">
        <f>"1551764999373916"</f>
        <v>1551764999373916</v>
      </c>
      <c r="C3347" t="s">
        <v>40</v>
      </c>
      <c r="D3347">
        <v>4.7209859999999999</v>
      </c>
      <c r="E3347">
        <v>0.49504239999999999</v>
      </c>
      <c r="F3347" t="s">
        <v>62</v>
      </c>
      <c r="G3347">
        <v>-490.03100000000001</v>
      </c>
      <c r="H3347" s="1">
        <v>5.2276240000000004E-6</v>
      </c>
      <c r="I3347">
        <v>225.1326</v>
      </c>
      <c r="J3347">
        <v>-491.77839999999998</v>
      </c>
      <c r="K3347">
        <v>1.10975</v>
      </c>
      <c r="L3347">
        <v>242.3809</v>
      </c>
      <c r="M3347">
        <v>-2.1591220000000001E-2</v>
      </c>
      <c r="N3347">
        <v>-1.3282810000000001E-2</v>
      </c>
      <c r="O3347">
        <v>-0.99967870000000003</v>
      </c>
      <c r="P3347">
        <v>0.1919795</v>
      </c>
      <c r="Q3347">
        <v>-0.13919049999999999</v>
      </c>
      <c r="R3347">
        <v>-0.97147830000000002</v>
      </c>
      <c r="S3347">
        <v>0.30203249999999998</v>
      </c>
      <c r="T3347">
        <v>-0.19201109999999999</v>
      </c>
      <c r="U3347">
        <v>-3.0004879999999998</v>
      </c>
      <c r="V3347">
        <v>-0.21288579999999999</v>
      </c>
      <c r="W3347">
        <v>-0.12637699999999999</v>
      </c>
      <c r="X3347">
        <v>0.96886969999999994</v>
      </c>
      <c r="Y3347">
        <v>-0.12142790000000001</v>
      </c>
      <c r="Z3347">
        <v>5.0168600000000001E-2</v>
      </c>
      <c r="AA3347">
        <v>0.99133159999999998</v>
      </c>
      <c r="AB3347">
        <v>17</v>
      </c>
      <c r="AC3347">
        <v>1.7473999999999701</v>
      </c>
      <c r="AD3347">
        <v>-1.1097447723759899</v>
      </c>
      <c r="AE3347">
        <v>-17.2483</v>
      </c>
      <c r="AF3347">
        <v>-2.1107882982036998</v>
      </c>
      <c r="AG3347">
        <v>-1.1097447723759899</v>
      </c>
      <c r="AH3347">
        <v>17.136330465734201</v>
      </c>
      <c r="AI3347">
        <v>93.677570762096295</v>
      </c>
      <c r="AJ3347">
        <v>97.022105703849903</v>
      </c>
      <c r="AK3347">
        <v>17.301467640940199</v>
      </c>
      <c r="AL3347">
        <v>97.260282724449993</v>
      </c>
      <c r="AM3347">
        <v>102.392439785028</v>
      </c>
      <c r="AN3347">
        <v>1.0000000027743601</v>
      </c>
    </row>
    <row r="3348" spans="1:40" x14ac:dyDescent="0.25">
      <c r="A3348" t="str">
        <f>"20190305134959402"</f>
        <v>20190305134959402</v>
      </c>
      <c r="B3348" t="str">
        <f>"1551764999393438"</f>
        <v>1551764999393438</v>
      </c>
      <c r="C3348" t="s">
        <v>40</v>
      </c>
      <c r="D3348">
        <v>4.2914899999999996</v>
      </c>
      <c r="E3348">
        <v>0.42579640000000002</v>
      </c>
      <c r="F3348" t="s">
        <v>62</v>
      </c>
      <c r="G3348">
        <v>-488.68060000000003</v>
      </c>
      <c r="H3348" s="1">
        <v>5.7593790000000003E-6</v>
      </c>
      <c r="I3348">
        <v>227.8937</v>
      </c>
      <c r="J3348">
        <v>-491.78070000000002</v>
      </c>
      <c r="K3348">
        <v>1.109788</v>
      </c>
      <c r="L3348">
        <v>242.26050000000001</v>
      </c>
      <c r="M3348">
        <v>-2.1323470000000001E-2</v>
      </c>
      <c r="N3348">
        <v>-1.328126E-2</v>
      </c>
      <c r="O3348">
        <v>-0.99968440000000003</v>
      </c>
      <c r="P3348">
        <v>0.19673489999999999</v>
      </c>
      <c r="Q3348">
        <v>-0.1379765</v>
      </c>
      <c r="R3348">
        <v>-0.9706998</v>
      </c>
      <c r="S3348">
        <v>0.62695310000000004</v>
      </c>
      <c r="T3348">
        <v>-0.2245963</v>
      </c>
      <c r="U3348">
        <v>-2.932007</v>
      </c>
      <c r="V3348">
        <v>-0.21735679999999999</v>
      </c>
      <c r="W3348">
        <v>-0.1251891</v>
      </c>
      <c r="X3348">
        <v>0.96803090000000003</v>
      </c>
      <c r="Y3348">
        <v>-0.22938410000000001</v>
      </c>
      <c r="Z3348">
        <v>6.1216659999999999E-2</v>
      </c>
      <c r="AA3348">
        <v>0.97140899999999997</v>
      </c>
      <c r="AB3348">
        <v>17</v>
      </c>
      <c r="AC3348">
        <v>3.1000999999999901</v>
      </c>
      <c r="AD3348">
        <v>-1.1097822406209901</v>
      </c>
      <c r="AE3348">
        <v>-14.3668</v>
      </c>
      <c r="AF3348">
        <v>-3.3864640707143598</v>
      </c>
      <c r="AG3348">
        <v>-1.1097822406209901</v>
      </c>
      <c r="AH3348">
        <v>14.216367234462201</v>
      </c>
      <c r="AI3348">
        <v>94.342644213563105</v>
      </c>
      <c r="AJ3348">
        <v>103.398656258033</v>
      </c>
      <c r="AK3348">
        <v>14.656222325992699</v>
      </c>
      <c r="AL3348">
        <v>97.191675788040101</v>
      </c>
      <c r="AM3348">
        <v>102.655021195532</v>
      </c>
      <c r="AN3348">
        <v>1.0000000563099201</v>
      </c>
    </row>
    <row r="3349" spans="1:40" x14ac:dyDescent="0.25">
      <c r="A3349" t="str">
        <f>"20190305134959423"</f>
        <v>20190305134959423</v>
      </c>
      <c r="B3349" t="str">
        <f>"1551764999413931"</f>
        <v>1551764999413931</v>
      </c>
      <c r="C3349" t="s">
        <v>40</v>
      </c>
      <c r="D3349">
        <v>4.4061190000000003</v>
      </c>
      <c r="E3349">
        <v>0.41102529999999998</v>
      </c>
      <c r="F3349" t="s">
        <v>54</v>
      </c>
      <c r="G3349">
        <v>-476.51280000000003</v>
      </c>
      <c r="H3349">
        <v>0.75939509999999999</v>
      </c>
      <c r="I3349">
        <v>205.93369999999999</v>
      </c>
      <c r="J3349">
        <v>-491.78379999999999</v>
      </c>
      <c r="K3349">
        <v>1.1098269999999999</v>
      </c>
      <c r="L3349">
        <v>242.0975</v>
      </c>
      <c r="M3349">
        <v>-2.094613E-2</v>
      </c>
      <c r="N3349">
        <v>-1.3279279999999999E-2</v>
      </c>
      <c r="O3349">
        <v>-0.99969260000000004</v>
      </c>
      <c r="P3349">
        <v>0.2013462</v>
      </c>
      <c r="Q3349">
        <v>-0.13681679999999999</v>
      </c>
      <c r="R3349">
        <v>-0.96991830000000001</v>
      </c>
      <c r="S3349">
        <v>1.195465</v>
      </c>
      <c r="T3349">
        <v>-2.7435540000000001E-2</v>
      </c>
      <c r="U3349">
        <v>-2.84436</v>
      </c>
      <c r="V3349">
        <v>-0.2215791</v>
      </c>
      <c r="W3349">
        <v>-0.12405629999999999</v>
      </c>
      <c r="X3349">
        <v>0.9672191</v>
      </c>
      <c r="Y3349">
        <v>-0.40662759999999998</v>
      </c>
      <c r="Z3349">
        <v>-4.4853469999999998E-3</v>
      </c>
      <c r="AA3349">
        <v>0.91358300000000003</v>
      </c>
      <c r="AB3349">
        <v>17</v>
      </c>
      <c r="AC3349">
        <v>15.2709999999999</v>
      </c>
      <c r="AD3349">
        <v>-0.35043190000000002</v>
      </c>
      <c r="AE3349">
        <v>-36.163800000000002</v>
      </c>
      <c r="AF3349">
        <v>-16.023930422087901</v>
      </c>
      <c r="AG3349">
        <v>-0.35043190000000002</v>
      </c>
      <c r="AH3349">
        <v>35.833112474217003</v>
      </c>
      <c r="AI3349">
        <v>90.511498838790303</v>
      </c>
      <c r="AJ3349">
        <v>114.093343980268</v>
      </c>
      <c r="AK3349">
        <v>39.254313116883601</v>
      </c>
      <c r="AL3349">
        <v>97.126261392395094</v>
      </c>
      <c r="AM3349">
        <v>102.90317186464</v>
      </c>
      <c r="AN3349">
        <v>1.00000002526565</v>
      </c>
    </row>
    <row r="3350" spans="1:40" x14ac:dyDescent="0.25">
      <c r="A3350" t="str">
        <f>"20190305134959436"</f>
        <v>20190305134959436</v>
      </c>
      <c r="B3350" t="str">
        <f>"1551764999423692"</f>
        <v>1551764999423692</v>
      </c>
      <c r="C3350" t="s">
        <v>40</v>
      </c>
      <c r="D3350">
        <v>4.2880149999999997</v>
      </c>
      <c r="E3350">
        <v>0.4097189</v>
      </c>
      <c r="F3350" t="s">
        <v>84</v>
      </c>
      <c r="G3350">
        <v>-470.15</v>
      </c>
      <c r="H3350">
        <v>1.458494</v>
      </c>
      <c r="I3350">
        <v>196.11580000000001</v>
      </c>
      <c r="J3350">
        <v>-491.78550000000001</v>
      </c>
      <c r="K3350">
        <v>1.1098440000000001</v>
      </c>
      <c r="L3350">
        <v>242.00649999999999</v>
      </c>
      <c r="M3350">
        <v>-2.0732299999999999E-2</v>
      </c>
      <c r="N3350">
        <v>-1.3278180000000001E-2</v>
      </c>
      <c r="O3350">
        <v>-0.9996969</v>
      </c>
      <c r="P3350">
        <v>0.2036511</v>
      </c>
      <c r="Q3350">
        <v>-0.13619600000000001</v>
      </c>
      <c r="R3350">
        <v>-0.9695241</v>
      </c>
      <c r="S3350">
        <v>1.3270569999999999</v>
      </c>
      <c r="T3350">
        <v>2.138996E-2</v>
      </c>
      <c r="U3350">
        <v>-2.8205870000000002</v>
      </c>
      <c r="V3350">
        <v>-0.22366610000000001</v>
      </c>
      <c r="W3350">
        <v>-0.1234479</v>
      </c>
      <c r="X3350">
        <v>0.96681649999999997</v>
      </c>
      <c r="Y3350">
        <v>-0.4442893</v>
      </c>
      <c r="Z3350">
        <v>-2.0165909999999999E-2</v>
      </c>
      <c r="AA3350">
        <v>0.89565640000000002</v>
      </c>
      <c r="AB3350">
        <v>17</v>
      </c>
      <c r="AC3350">
        <v>21.6355</v>
      </c>
      <c r="AD3350">
        <v>0.34864999999999902</v>
      </c>
      <c r="AE3350">
        <v>-45.890699999999903</v>
      </c>
      <c r="AF3350">
        <v>-22.5812861571853</v>
      </c>
      <c r="AG3350">
        <v>0.34864999999999902</v>
      </c>
      <c r="AH3350">
        <v>45.4300960355841</v>
      </c>
      <c r="AI3350">
        <v>89.606252886959496</v>
      </c>
      <c r="AJ3350">
        <v>116.42993347612899</v>
      </c>
      <c r="AK3350">
        <v>50.733910426238403</v>
      </c>
      <c r="AL3350">
        <v>97.091132602612106</v>
      </c>
      <c r="AM3350">
        <v>103.02581793628001</v>
      </c>
      <c r="AN3350">
        <v>1.0000000264879301</v>
      </c>
    </row>
    <row r="3351" spans="1:40" x14ac:dyDescent="0.25">
      <c r="A3351" t="str">
        <f>"20190305134959451"</f>
        <v>20190305134959451</v>
      </c>
      <c r="B3351" t="str">
        <f>"1551764999444188"</f>
        <v>1551764999444188</v>
      </c>
      <c r="C3351" t="s">
        <v>40</v>
      </c>
      <c r="D3351">
        <v>4.2794759999999998</v>
      </c>
      <c r="E3351">
        <v>0.40902919999999998</v>
      </c>
      <c r="F3351" t="s">
        <v>84</v>
      </c>
      <c r="G3351">
        <v>-470.34609999999998</v>
      </c>
      <c r="H3351">
        <v>1.5712649999999999</v>
      </c>
      <c r="I3351">
        <v>197.0829</v>
      </c>
      <c r="J3351">
        <v>-491.78750000000002</v>
      </c>
      <c r="K3351">
        <v>1.1098589999999999</v>
      </c>
      <c r="L3351">
        <v>241.8947</v>
      </c>
      <c r="M3351">
        <v>-2.046881E-2</v>
      </c>
      <c r="N3351">
        <v>-1.32768E-2</v>
      </c>
      <c r="O3351">
        <v>-0.99970230000000004</v>
      </c>
      <c r="P3351">
        <v>0.20576929999999999</v>
      </c>
      <c r="Q3351">
        <v>-0.13524539999999999</v>
      </c>
      <c r="R3351">
        <v>-0.96920980000000001</v>
      </c>
      <c r="S3351">
        <v>1.3439639999999999</v>
      </c>
      <c r="T3351">
        <v>2.892697E-2</v>
      </c>
      <c r="U3351">
        <v>-2.8160859999999999</v>
      </c>
      <c r="V3351">
        <v>-0.225521</v>
      </c>
      <c r="W3351">
        <v>-0.1225083</v>
      </c>
      <c r="X3351">
        <v>0.96650510000000001</v>
      </c>
      <c r="Y3351">
        <v>-0.4489727</v>
      </c>
      <c r="Z3351">
        <v>-2.2560170000000001E-2</v>
      </c>
      <c r="AA3351">
        <v>0.89326059999999996</v>
      </c>
      <c r="AB3351">
        <v>17</v>
      </c>
      <c r="AC3351">
        <v>21.441400000000002</v>
      </c>
      <c r="AD3351">
        <v>0.46140599999999998</v>
      </c>
      <c r="AE3351">
        <v>-44.811799999999998</v>
      </c>
      <c r="AF3351">
        <v>-22.352303871277499</v>
      </c>
      <c r="AG3351">
        <v>0.46140599999999998</v>
      </c>
      <c r="AH3351">
        <v>44.359664436788002</v>
      </c>
      <c r="AI3351">
        <v>89.467802130524404</v>
      </c>
      <c r="AJ3351">
        <v>116.74298798744999</v>
      </c>
      <c r="AK3351">
        <v>49.675126701350202</v>
      </c>
      <c r="AL3351">
        <v>97.036885506866</v>
      </c>
      <c r="AM3351">
        <v>103.134199026071</v>
      </c>
      <c r="AN3351">
        <v>1.0000000566679399</v>
      </c>
    </row>
    <row r="3352" spans="1:40" x14ac:dyDescent="0.25">
      <c r="A3352" t="str">
        <f>"20190305134959464"</f>
        <v>20190305134959464</v>
      </c>
      <c r="B3352" t="str">
        <f>"1551764999453947"</f>
        <v>1551764999453947</v>
      </c>
      <c r="C3352" t="s">
        <v>40</v>
      </c>
      <c r="D3352">
        <v>4.2167070000000004</v>
      </c>
      <c r="E3352">
        <v>0.40897719999999999</v>
      </c>
      <c r="F3352" t="s">
        <v>84</v>
      </c>
      <c r="G3352">
        <v>-470.34609999999998</v>
      </c>
      <c r="H3352">
        <v>1.7190829999999999</v>
      </c>
      <c r="I3352">
        <v>197.3931</v>
      </c>
      <c r="J3352">
        <v>-491.7894</v>
      </c>
      <c r="K3352">
        <v>1.1098669999999999</v>
      </c>
      <c r="L3352">
        <v>241.78809999999999</v>
      </c>
      <c r="M3352">
        <v>-2.0220120000000001E-2</v>
      </c>
      <c r="N3352">
        <v>-1.3275449999999999E-2</v>
      </c>
      <c r="O3352">
        <v>-0.99970760000000003</v>
      </c>
      <c r="P3352">
        <v>0.20796120000000001</v>
      </c>
      <c r="Q3352">
        <v>-0.13480639999999999</v>
      </c>
      <c r="R3352">
        <v>-0.96880330000000003</v>
      </c>
      <c r="S3352">
        <v>1.355316</v>
      </c>
      <c r="T3352">
        <v>3.8511160000000003E-2</v>
      </c>
      <c r="U3352">
        <v>-2.8129270000000002</v>
      </c>
      <c r="V3352">
        <v>-0.22746279999999999</v>
      </c>
      <c r="W3352">
        <v>-0.1220789</v>
      </c>
      <c r="X3352">
        <v>0.96610430000000003</v>
      </c>
      <c r="Y3352">
        <v>-0.45204480000000002</v>
      </c>
      <c r="Z3352">
        <v>-2.560554E-2</v>
      </c>
      <c r="AA3352">
        <v>0.89162759999999996</v>
      </c>
      <c r="AB3352">
        <v>17</v>
      </c>
      <c r="AC3352">
        <v>21.443300000000001</v>
      </c>
      <c r="AD3352">
        <v>0.60921599999999998</v>
      </c>
      <c r="AE3352">
        <v>-44.394999999999897</v>
      </c>
      <c r="AF3352">
        <v>-22.333256343573101</v>
      </c>
      <c r="AG3352">
        <v>0.60921599999999998</v>
      </c>
      <c r="AH3352">
        <v>43.945587749925402</v>
      </c>
      <c r="AI3352">
        <v>89.291940639867605</v>
      </c>
      <c r="AJ3352">
        <v>116.939789940273</v>
      </c>
      <c r="AK3352">
        <v>49.298683204816001</v>
      </c>
      <c r="AL3352">
        <v>97.012096675317693</v>
      </c>
      <c r="AM3352">
        <v>103.248619639442</v>
      </c>
      <c r="AN3352">
        <v>1.0000000508437601</v>
      </c>
    </row>
    <row r="3353" spans="1:40" x14ac:dyDescent="0.25">
      <c r="A3353" t="str">
        <f>"20190305134959480"</f>
        <v>20190305134959480</v>
      </c>
      <c r="B3353" t="str">
        <f>"1551764999473468"</f>
        <v>1551764999473468</v>
      </c>
      <c r="C3353" t="s">
        <v>40</v>
      </c>
      <c r="D3353">
        <v>4.1776369999999998</v>
      </c>
      <c r="E3353">
        <v>0.40908909999999998</v>
      </c>
      <c r="F3353" t="s">
        <v>84</v>
      </c>
      <c r="G3353">
        <v>-470.3331</v>
      </c>
      <c r="H3353">
        <v>1.7760800000000001</v>
      </c>
      <c r="I3353">
        <v>197.51820000000001</v>
      </c>
      <c r="J3353">
        <v>-491.79140000000001</v>
      </c>
      <c r="K3353">
        <v>1.1098709999999901</v>
      </c>
      <c r="L3353">
        <v>241.67830000000001</v>
      </c>
      <c r="M3353">
        <v>-1.996798E-2</v>
      </c>
      <c r="N3353">
        <v>-1.32741E-2</v>
      </c>
      <c r="O3353">
        <v>-0.99971259999999995</v>
      </c>
      <c r="P3353">
        <v>0.2118129</v>
      </c>
      <c r="Q3353">
        <v>-0.1342933</v>
      </c>
      <c r="R3353">
        <v>-0.96803980000000001</v>
      </c>
      <c r="S3353">
        <v>1.3620000000000001</v>
      </c>
      <c r="T3353">
        <v>4.2291639999999998E-2</v>
      </c>
      <c r="U3353">
        <v>-2.8101349999999998</v>
      </c>
      <c r="V3353">
        <v>-0.23105490000000001</v>
      </c>
      <c r="W3353">
        <v>-0.12157999999999999</v>
      </c>
      <c r="X3353">
        <v>0.96531440000000002</v>
      </c>
      <c r="Y3353">
        <v>-0.45387379999999999</v>
      </c>
      <c r="Z3353">
        <v>-2.6806670000000001E-2</v>
      </c>
      <c r="AA3353">
        <v>0.89066270000000003</v>
      </c>
      <c r="AB3353">
        <v>17</v>
      </c>
      <c r="AC3353">
        <v>21.458300000000001</v>
      </c>
      <c r="AD3353">
        <v>0.66620900000000005</v>
      </c>
      <c r="AE3353">
        <v>-44.1601</v>
      </c>
      <c r="AF3353">
        <v>-22.331774767383401</v>
      </c>
      <c r="AG3353">
        <v>0.66620900000000005</v>
      </c>
      <c r="AH3353">
        <v>43.714728443300999</v>
      </c>
      <c r="AI3353">
        <v>89.222453679396494</v>
      </c>
      <c r="AJ3353">
        <v>117.060327051608</v>
      </c>
      <c r="AK3353">
        <v>49.093069587920198</v>
      </c>
      <c r="AL3353">
        <v>96.983297804875804</v>
      </c>
      <c r="AM3353">
        <v>103.460901418766</v>
      </c>
      <c r="AN3353">
        <v>0.999999977030684</v>
      </c>
    </row>
    <row r="3354" spans="1:40" x14ac:dyDescent="0.25">
      <c r="A3354" t="str">
        <f>"20190305134959494"</f>
        <v>20190305134959494</v>
      </c>
      <c r="B3354" t="str">
        <f>"1551764999483227"</f>
        <v>1551764999483227</v>
      </c>
      <c r="C3354" t="s">
        <v>40</v>
      </c>
      <c r="D3354">
        <v>4.2352540000000003</v>
      </c>
      <c r="E3354">
        <v>0.40897090000000003</v>
      </c>
      <c r="F3354" t="s">
        <v>84</v>
      </c>
      <c r="G3354">
        <v>-470.18939999999998</v>
      </c>
      <c r="H3354">
        <v>1.763009</v>
      </c>
      <c r="I3354">
        <v>197.51820000000001</v>
      </c>
      <c r="J3354">
        <v>-491.79329999999999</v>
      </c>
      <c r="K3354">
        <v>1.1098730000000001</v>
      </c>
      <c r="L3354">
        <v>241.56870000000001</v>
      </c>
      <c r="M3354">
        <v>-1.9719400000000002E-2</v>
      </c>
      <c r="N3354">
        <v>-1.327277E-2</v>
      </c>
      <c r="O3354">
        <v>-0.99971779999999999</v>
      </c>
      <c r="P3354">
        <v>0.21355689999999999</v>
      </c>
      <c r="Q3354">
        <v>-0.1340586</v>
      </c>
      <c r="R3354">
        <v>-0.96768929999999997</v>
      </c>
      <c r="S3354">
        <v>1.3719479999999999</v>
      </c>
      <c r="T3354">
        <v>4.1482930000000001E-2</v>
      </c>
      <c r="U3354">
        <v>-2.8045960000000001</v>
      </c>
      <c r="V3354">
        <v>-0.2325525</v>
      </c>
      <c r="W3354">
        <v>-0.1213516</v>
      </c>
      <c r="X3354">
        <v>0.96498349999999999</v>
      </c>
      <c r="Y3354">
        <v>-0.45689489999999999</v>
      </c>
      <c r="Z3354">
        <v>-2.6550560000000001E-2</v>
      </c>
      <c r="AA3354">
        <v>0.88912429999999998</v>
      </c>
      <c r="AB3354">
        <v>17</v>
      </c>
      <c r="AC3354">
        <v>21.603899999999999</v>
      </c>
      <c r="AD3354">
        <v>0.65313600000000005</v>
      </c>
      <c r="AE3354">
        <v>-44.0505</v>
      </c>
      <c r="AF3354">
        <v>-22.464443085693301</v>
      </c>
      <c r="AG3354">
        <v>0.65313600000000005</v>
      </c>
      <c r="AH3354">
        <v>43.608151712486602</v>
      </c>
      <c r="AI3354">
        <v>89.237177115581204</v>
      </c>
      <c r="AJ3354">
        <v>117.2549521447</v>
      </c>
      <c r="AK3354">
        <v>49.058624986480197</v>
      </c>
      <c r="AL3354">
        <v>96.970113558603103</v>
      </c>
      <c r="AM3354">
        <v>103.54941795419499</v>
      </c>
      <c r="AN3354">
        <v>1.00000001567552</v>
      </c>
    </row>
    <row r="3355" spans="1:40" x14ac:dyDescent="0.25">
      <c r="A3355" t="str">
        <f>"20190305134959512"</f>
        <v>20190305134959512</v>
      </c>
      <c r="B3355" t="str">
        <f>"1551764999503723"</f>
        <v>1551764999503723</v>
      </c>
      <c r="C3355" t="s">
        <v>40</v>
      </c>
      <c r="D3355">
        <v>4.2114500000000001</v>
      </c>
      <c r="E3355">
        <v>0.40901870000000001</v>
      </c>
      <c r="F3355" t="s">
        <v>84</v>
      </c>
      <c r="G3355">
        <v>-470.13490000000002</v>
      </c>
      <c r="H3355">
        <v>1.7574829999999999</v>
      </c>
      <c r="I3355">
        <v>197.51820000000001</v>
      </c>
      <c r="J3355">
        <v>-491.79539999999997</v>
      </c>
      <c r="K3355">
        <v>1.1098749999999999</v>
      </c>
      <c r="L3355">
        <v>241.4401</v>
      </c>
      <c r="M3355">
        <v>-1.9429559999999998E-2</v>
      </c>
      <c r="N3355">
        <v>-1.327123E-2</v>
      </c>
      <c r="O3355">
        <v>-0.99972329999999998</v>
      </c>
      <c r="P3355">
        <v>0.21530779999999999</v>
      </c>
      <c r="Q3355">
        <v>-0.1338724</v>
      </c>
      <c r="R3355">
        <v>-0.96732689999999999</v>
      </c>
      <c r="S3355">
        <v>1.377594</v>
      </c>
      <c r="T3355">
        <v>4.1193720000000003E-2</v>
      </c>
      <c r="U3355">
        <v>-2.8018489999999998</v>
      </c>
      <c r="V3355">
        <v>-0.23401649999999999</v>
      </c>
      <c r="W3355">
        <v>-0.1211715</v>
      </c>
      <c r="X3355">
        <v>0.96465210000000001</v>
      </c>
      <c r="Y3355">
        <v>-0.45842519999999998</v>
      </c>
      <c r="Z3355">
        <v>-2.6456960000000002E-2</v>
      </c>
      <c r="AA3355">
        <v>0.88833909999999905</v>
      </c>
      <c r="AB3355">
        <v>17</v>
      </c>
      <c r="AC3355">
        <v>21.6604999999999</v>
      </c>
      <c r="AD3355">
        <v>0.64760799999999996</v>
      </c>
      <c r="AE3355">
        <v>-43.921900000000001</v>
      </c>
      <c r="AF3355">
        <v>-22.5059329655734</v>
      </c>
      <c r="AG3355">
        <v>0.64760799999999996</v>
      </c>
      <c r="AH3355">
        <v>43.485112037751001</v>
      </c>
      <c r="AI3355">
        <v>89.242238136321504</v>
      </c>
      <c r="AJ3355">
        <v>117.364046011618</v>
      </c>
      <c r="AK3355">
        <v>48.968269151648599</v>
      </c>
      <c r="AL3355">
        <v>96.959718233766097</v>
      </c>
      <c r="AM3355">
        <v>103.636051344789</v>
      </c>
      <c r="AN3355">
        <v>0.99999996435945404</v>
      </c>
    </row>
    <row r="3356" spans="1:40" x14ac:dyDescent="0.25">
      <c r="A3356" t="str">
        <f>"20190305134959528"</f>
        <v>20190305134959528</v>
      </c>
      <c r="B3356" t="str">
        <f>"1551764999523243"</f>
        <v>1551764999523243</v>
      </c>
      <c r="C3356" t="s">
        <v>40</v>
      </c>
      <c r="D3356">
        <v>4.2204430000000004</v>
      </c>
      <c r="E3356">
        <v>0.40933589999999997</v>
      </c>
      <c r="F3356" t="s">
        <v>84</v>
      </c>
      <c r="G3356">
        <v>-470.10739999999998</v>
      </c>
      <c r="H3356">
        <v>1.7587569999999999</v>
      </c>
      <c r="I3356">
        <v>197.51820000000001</v>
      </c>
      <c r="J3356">
        <v>-491.79739999999998</v>
      </c>
      <c r="K3356">
        <v>1.10988</v>
      </c>
      <c r="L3356">
        <v>241.32140000000001</v>
      </c>
      <c r="M3356">
        <v>-1.916027E-2</v>
      </c>
      <c r="N3356">
        <v>-1.3269899999999901E-2</v>
      </c>
      <c r="O3356">
        <v>-0.99972859999999997</v>
      </c>
      <c r="P3356">
        <v>0.21865770000000001</v>
      </c>
      <c r="Q3356">
        <v>-0.13447149999999999</v>
      </c>
      <c r="R3356">
        <v>-0.96649200000000002</v>
      </c>
      <c r="S3356">
        <v>1.3822939999999999</v>
      </c>
      <c r="T3356">
        <v>4.135871E-2</v>
      </c>
      <c r="U3356">
        <v>-2.7993619999999999</v>
      </c>
      <c r="V3356">
        <v>-0.23708989999999999</v>
      </c>
      <c r="W3356">
        <v>-0.1217847</v>
      </c>
      <c r="X3356">
        <v>0.96382409999999996</v>
      </c>
      <c r="Y3356">
        <v>-0.45969719999999997</v>
      </c>
      <c r="Z3356">
        <v>-2.6508960000000002E-2</v>
      </c>
      <c r="AA3356">
        <v>0.88767999999999903</v>
      </c>
      <c r="AB3356">
        <v>17</v>
      </c>
      <c r="AC3356">
        <v>21.69</v>
      </c>
      <c r="AD3356">
        <v>0.64887699999999904</v>
      </c>
      <c r="AE3356">
        <v>-43.803199999999997</v>
      </c>
      <c r="AF3356">
        <v>-22.5214034877222</v>
      </c>
      <c r="AG3356">
        <v>0.64887699999999904</v>
      </c>
      <c r="AH3356">
        <v>43.371891300787397</v>
      </c>
      <c r="AI3356">
        <v>89.239302635344799</v>
      </c>
      <c r="AJ3356">
        <v>117.44116696254299</v>
      </c>
      <c r="AK3356">
        <v>48.874897559230099</v>
      </c>
      <c r="AL3356">
        <v>96.995113791257694</v>
      </c>
      <c r="AM3356">
        <v>103.819732537663</v>
      </c>
      <c r="AN3356">
        <v>1.00000001478845</v>
      </c>
    </row>
    <row r="3357" spans="1:40" x14ac:dyDescent="0.25">
      <c r="A3357" t="str">
        <f>"20190305134959545"</f>
        <v>20190305134959545</v>
      </c>
      <c r="B3357" t="str">
        <f>"1551764999543740"</f>
        <v>1551764999543740</v>
      </c>
      <c r="C3357" t="s">
        <v>40</v>
      </c>
      <c r="D3357">
        <v>4.275163</v>
      </c>
      <c r="E3357">
        <v>0.40976129999999999</v>
      </c>
      <c r="F3357" t="s">
        <v>84</v>
      </c>
      <c r="G3357">
        <v>-470.01799999999997</v>
      </c>
      <c r="H3357">
        <v>1.8198049999999999</v>
      </c>
      <c r="I3357">
        <v>197.51820000000001</v>
      </c>
      <c r="J3357">
        <v>-491.7996</v>
      </c>
      <c r="K3357">
        <v>1.1098859999999999</v>
      </c>
      <c r="L3357">
        <v>241.18770000000001</v>
      </c>
      <c r="M3357">
        <v>-1.884781E-2</v>
      </c>
      <c r="N3357">
        <v>-1.326841E-2</v>
      </c>
      <c r="O3357">
        <v>-0.99973429999999996</v>
      </c>
      <c r="P3357">
        <v>0.22208990000000001</v>
      </c>
      <c r="Q3357">
        <v>-0.13467019999999999</v>
      </c>
      <c r="R3357">
        <v>-0.96568109999999996</v>
      </c>
      <c r="S3357">
        <v>1.3901059999999901</v>
      </c>
      <c r="T3357">
        <v>4.5314069999999998E-2</v>
      </c>
      <c r="U3357">
        <v>-2.7957920000000001</v>
      </c>
      <c r="V3357">
        <v>-0.24020420000000001</v>
      </c>
      <c r="W3357">
        <v>-0.12199980000000001</v>
      </c>
      <c r="X3357">
        <v>0.96302549999999998</v>
      </c>
      <c r="Y3357">
        <v>-0.46184770000000003</v>
      </c>
      <c r="Z3357">
        <v>-2.7766519999999999E-2</v>
      </c>
      <c r="AA3357">
        <v>0.886524599999999</v>
      </c>
      <c r="AB3357">
        <v>17</v>
      </c>
      <c r="AC3357">
        <v>21.781599999999901</v>
      </c>
      <c r="AD3357">
        <v>0.70991899999999897</v>
      </c>
      <c r="AE3357">
        <v>-43.669499999999999</v>
      </c>
      <c r="AF3357">
        <v>-22.596095070699299</v>
      </c>
      <c r="AG3357">
        <v>0.70991899999999897</v>
      </c>
      <c r="AH3357">
        <v>43.242018526832801</v>
      </c>
      <c r="AI3357">
        <v>89.166374990022405</v>
      </c>
      <c r="AJ3357">
        <v>117.589295445677</v>
      </c>
      <c r="AK3357">
        <v>48.795078273383197</v>
      </c>
      <c r="AL3357">
        <v>97.007530374584903</v>
      </c>
      <c r="AM3357">
        <v>104.005319785841</v>
      </c>
      <c r="AN3357">
        <v>1.0000000612739599</v>
      </c>
    </row>
    <row r="3358" spans="1:40" x14ac:dyDescent="0.25">
      <c r="A3358" t="str">
        <f>"20190305134959569"</f>
        <v>20190305134959569</v>
      </c>
      <c r="B3358" t="str">
        <f>"1551764999563259"</f>
        <v>1551764999563259</v>
      </c>
      <c r="C3358" t="s">
        <v>40</v>
      </c>
      <c r="D3358">
        <v>4.2513050000000003</v>
      </c>
      <c r="E3358">
        <v>0.41016740000000002</v>
      </c>
      <c r="F3358" t="s">
        <v>84</v>
      </c>
      <c r="G3358">
        <v>-469.94279999999998</v>
      </c>
      <c r="H3358">
        <v>1.705058</v>
      </c>
      <c r="I3358">
        <v>197.51820000000001</v>
      </c>
      <c r="J3358">
        <v>-491.80220000000003</v>
      </c>
      <c r="K3358">
        <v>1.10991</v>
      </c>
      <c r="L3358">
        <v>241.02269999999999</v>
      </c>
      <c r="M3358">
        <v>-1.842508E-2</v>
      </c>
      <c r="N3358">
        <v>-1.326661E-2</v>
      </c>
      <c r="O3358">
        <v>-0.99974220000000003</v>
      </c>
      <c r="P3358">
        <v>0.22505629999999999</v>
      </c>
      <c r="Q3358">
        <v>-0.13410849999999999</v>
      </c>
      <c r="R3358">
        <v>-0.9650725</v>
      </c>
      <c r="S3358">
        <v>1.3967590000000001</v>
      </c>
      <c r="T3358">
        <v>3.8036470000000003E-2</v>
      </c>
      <c r="U3358">
        <v>-2.79068</v>
      </c>
      <c r="V3358">
        <v>-0.24274609999999999</v>
      </c>
      <c r="W3358">
        <v>-0.12146129999999999</v>
      </c>
      <c r="X3358">
        <v>0.96245599999999998</v>
      </c>
      <c r="Y3358">
        <v>-0.4638312</v>
      </c>
      <c r="Z3358">
        <v>-2.545263E-2</v>
      </c>
      <c r="AA3358">
        <v>0.88555790000000001</v>
      </c>
      <c r="AB3358">
        <v>17</v>
      </c>
      <c r="AC3358">
        <v>21.859400000000001</v>
      </c>
      <c r="AD3358">
        <v>0.59514800000000001</v>
      </c>
      <c r="AE3358">
        <v>-43.504499999999901</v>
      </c>
      <c r="AF3358">
        <v>-22.6539480400481</v>
      </c>
      <c r="AG3358">
        <v>0.59514800000000001</v>
      </c>
      <c r="AH3358">
        <v>43.087878611852197</v>
      </c>
      <c r="AI3358">
        <v>89.299556380462406</v>
      </c>
      <c r="AJ3358">
        <v>117.733665870471</v>
      </c>
      <c r="AK3358">
        <v>48.683886925889702</v>
      </c>
      <c r="AL3358">
        <v>96.976445615602699</v>
      </c>
      <c r="AM3358">
        <v>104.15564047439101</v>
      </c>
      <c r="AN3358">
        <v>1.0000000341994399</v>
      </c>
    </row>
    <row r="3359" spans="1:40" x14ac:dyDescent="0.25">
      <c r="A3359" t="str">
        <f>"20190305134959580"</f>
        <v>20190305134959580</v>
      </c>
      <c r="B3359" t="str">
        <f>"1551764999573996"</f>
        <v>1551764999573996</v>
      </c>
      <c r="C3359" t="s">
        <v>40</v>
      </c>
      <c r="D3359">
        <v>4.1837269999999904</v>
      </c>
      <c r="E3359">
        <v>0.41026639999999998</v>
      </c>
      <c r="F3359" t="s">
        <v>84</v>
      </c>
      <c r="G3359">
        <v>-469.9117</v>
      </c>
      <c r="H3359">
        <v>1.606797</v>
      </c>
      <c r="I3359">
        <v>197.51820000000001</v>
      </c>
      <c r="J3359">
        <v>-491.80360000000002</v>
      </c>
      <c r="K3359">
        <v>1.1099349999999999</v>
      </c>
      <c r="L3359">
        <v>240.92949999999999</v>
      </c>
      <c r="M3359">
        <v>-1.8145419999999999E-2</v>
      </c>
      <c r="N3359">
        <v>-1.326577E-2</v>
      </c>
      <c r="O3359">
        <v>-0.99974750000000001</v>
      </c>
      <c r="P3359">
        <v>0.2265442</v>
      </c>
      <c r="Q3359">
        <v>-0.13370989999999999</v>
      </c>
      <c r="R3359">
        <v>-0.96477939999999995</v>
      </c>
      <c r="S3359">
        <v>1.401886</v>
      </c>
      <c r="T3359">
        <v>3.1823039999999997E-2</v>
      </c>
      <c r="U3359">
        <v>-2.786041</v>
      </c>
      <c r="V3359">
        <v>-0.24395230000000001</v>
      </c>
      <c r="W3359">
        <v>-0.1210823</v>
      </c>
      <c r="X3359">
        <v>0.96219869999999996</v>
      </c>
      <c r="Y3359">
        <v>-0.46548980000000001</v>
      </c>
      <c r="Z3359">
        <v>-2.3476919999999998E-2</v>
      </c>
      <c r="AA3359">
        <v>0.88474179999999902</v>
      </c>
      <c r="AB3359">
        <v>17</v>
      </c>
      <c r="AC3359">
        <v>21.8919</v>
      </c>
      <c r="AD3359">
        <v>0.49686199999999903</v>
      </c>
      <c r="AE3359">
        <v>-43.411299999999898</v>
      </c>
      <c r="AF3359">
        <v>-22.673712507200801</v>
      </c>
      <c r="AG3359">
        <v>0.49686199999999903</v>
      </c>
      <c r="AH3359">
        <v>43.002387702136701</v>
      </c>
      <c r="AI3359">
        <v>89.414423514396802</v>
      </c>
      <c r="AJ3359">
        <v>117.80117339815401</v>
      </c>
      <c r="AK3359">
        <v>48.616349706565998</v>
      </c>
      <c r="AL3359">
        <v>96.954569339053094</v>
      </c>
      <c r="AM3359">
        <v>104.22678085353</v>
      </c>
      <c r="AN3359">
        <v>0.99999999316513399</v>
      </c>
    </row>
    <row r="3360" spans="1:40" x14ac:dyDescent="0.25">
      <c r="A3360" t="str">
        <f>"20190305134959593"</f>
        <v>20190305134959593</v>
      </c>
      <c r="B3360" t="str">
        <f>"1551764999583756"</f>
        <v>1551764999583756</v>
      </c>
      <c r="C3360" t="s">
        <v>40</v>
      </c>
      <c r="D3360">
        <v>4.1965599999999998</v>
      </c>
      <c r="E3360">
        <v>0.41042699999999999</v>
      </c>
      <c r="F3360" t="s">
        <v>84</v>
      </c>
      <c r="G3360">
        <v>-469.8904</v>
      </c>
      <c r="H3360">
        <v>1.5974159999999999</v>
      </c>
      <c r="I3360">
        <v>197.51820000000001</v>
      </c>
      <c r="J3360">
        <v>-491.80500000000001</v>
      </c>
      <c r="K3360">
        <v>1.109969</v>
      </c>
      <c r="L3360">
        <v>240.8365</v>
      </c>
      <c r="M3360">
        <v>-1.78438E-2</v>
      </c>
      <c r="N3360">
        <v>-1.3264990000000001E-2</v>
      </c>
      <c r="O3360">
        <v>-0.999753</v>
      </c>
      <c r="P3360">
        <v>0.22752810000000001</v>
      </c>
      <c r="Q3360">
        <v>-0.13339609999999999</v>
      </c>
      <c r="R3360">
        <v>-0.96459150000000005</v>
      </c>
      <c r="S3360">
        <v>1.405243</v>
      </c>
      <c r="T3360">
        <v>3.1263109999999997E-2</v>
      </c>
      <c r="U3360">
        <v>-2.7838440000000002</v>
      </c>
      <c r="V3360">
        <v>-0.24463409999999999</v>
      </c>
      <c r="W3360">
        <v>-0.1207897</v>
      </c>
      <c r="X3360">
        <v>0.96206239999999998</v>
      </c>
      <c r="Y3360">
        <v>-0.46635490000000002</v>
      </c>
      <c r="Z3360">
        <v>-2.3298869999999999E-2</v>
      </c>
      <c r="AA3360">
        <v>0.88429080000000004</v>
      </c>
      <c r="AB3360">
        <v>17</v>
      </c>
      <c r="AC3360">
        <v>21.9146</v>
      </c>
      <c r="AD3360">
        <v>0.48744700000000002</v>
      </c>
      <c r="AE3360">
        <v>-43.318300000000001</v>
      </c>
      <c r="AF3360">
        <v>-22.681854444209801</v>
      </c>
      <c r="AG3360">
        <v>0.48744700000000002</v>
      </c>
      <c r="AH3360">
        <v>42.916001091925501</v>
      </c>
      <c r="AI3360">
        <v>89.424659716023797</v>
      </c>
      <c r="AJ3360">
        <v>117.85723221715899</v>
      </c>
      <c r="AK3360">
        <v>48.543663596068697</v>
      </c>
      <c r="AL3360">
        <v>96.937680393010794</v>
      </c>
      <c r="AM3360">
        <v>104.26685973841801</v>
      </c>
      <c r="AN3360">
        <v>1.0000000280013199</v>
      </c>
    </row>
    <row r="3361" spans="1:40" x14ac:dyDescent="0.25">
      <c r="A3361" t="str">
        <f>"20190305134959606"</f>
        <v>20190305134959606</v>
      </c>
      <c r="B3361" t="str">
        <f>"1551764999593516"</f>
        <v>1551764999593516</v>
      </c>
      <c r="C3361" t="s">
        <v>40</v>
      </c>
      <c r="D3361">
        <v>4.1900950000000003</v>
      </c>
      <c r="E3361">
        <v>0.41055000000000003</v>
      </c>
      <c r="F3361" t="s">
        <v>84</v>
      </c>
      <c r="G3361">
        <v>-469.9151</v>
      </c>
      <c r="H3361">
        <v>1.5895010000000001</v>
      </c>
      <c r="I3361">
        <v>197.51820000000001</v>
      </c>
      <c r="J3361">
        <v>-491.80630000000002</v>
      </c>
      <c r="K3361">
        <v>1.1100080000000001</v>
      </c>
      <c r="L3361">
        <v>240.74590000000001</v>
      </c>
      <c r="M3361">
        <v>-1.750958E-2</v>
      </c>
      <c r="N3361">
        <v>-1.3264369999999999E-2</v>
      </c>
      <c r="O3361">
        <v>-0.99975899999999995</v>
      </c>
      <c r="P3361">
        <v>0.22877110000000001</v>
      </c>
      <c r="Q3361">
        <v>-0.1326234</v>
      </c>
      <c r="R3361">
        <v>-0.96440429999999999</v>
      </c>
      <c r="S3361">
        <v>1.4061889999999999</v>
      </c>
      <c r="T3361">
        <v>3.0806900000000002E-2</v>
      </c>
      <c r="U3361">
        <v>-2.782715</v>
      </c>
      <c r="V3361">
        <v>-0.24554129999999999</v>
      </c>
      <c r="W3361">
        <v>-0.12004380000000001</v>
      </c>
      <c r="X3361">
        <v>0.96192460000000002</v>
      </c>
      <c r="Y3361">
        <v>-0.46644419999999998</v>
      </c>
      <c r="Z3361">
        <v>-2.3154359999999999E-2</v>
      </c>
      <c r="AA3361">
        <v>0.88424749999999996</v>
      </c>
      <c r="AB3361">
        <v>16</v>
      </c>
      <c r="AC3361">
        <v>21.891200000000001</v>
      </c>
      <c r="AD3361">
        <v>0.479493</v>
      </c>
      <c r="AE3361">
        <v>-43.227699999999999</v>
      </c>
      <c r="AF3361">
        <v>-22.642591366015601</v>
      </c>
      <c r="AG3361">
        <v>0.479493</v>
      </c>
      <c r="AH3361">
        <v>42.8335380446375</v>
      </c>
      <c r="AI3361">
        <v>89.432981439805403</v>
      </c>
      <c r="AJ3361">
        <v>117.861749002981</v>
      </c>
      <c r="AK3361">
        <v>48.452335740672197</v>
      </c>
      <c r="AL3361">
        <v>96.894630476790596</v>
      </c>
      <c r="AM3361">
        <v>104.319562205076</v>
      </c>
      <c r="AN3361">
        <v>0.99999999000464401</v>
      </c>
    </row>
    <row r="3362" spans="1:40" x14ac:dyDescent="0.25">
      <c r="A3362" t="str">
        <f>"20190305134959617"</f>
        <v>20190305134959617</v>
      </c>
      <c r="B3362" t="str">
        <f>"1551764999614012"</f>
        <v>1551764999614012</v>
      </c>
      <c r="C3362" t="s">
        <v>40</v>
      </c>
      <c r="D3362">
        <v>4.174588</v>
      </c>
      <c r="E3362">
        <v>0.41087570000000001</v>
      </c>
      <c r="F3362" t="s">
        <v>84</v>
      </c>
      <c r="G3362">
        <v>-469.90129999999999</v>
      </c>
      <c r="H3362">
        <v>1.612455</v>
      </c>
      <c r="I3362">
        <v>197.51820000000001</v>
      </c>
      <c r="J3362">
        <v>-491.8073</v>
      </c>
      <c r="K3362">
        <v>1.11005</v>
      </c>
      <c r="L3362">
        <v>240.66149999999999</v>
      </c>
      <c r="M3362">
        <v>-1.7156370000000001E-2</v>
      </c>
      <c r="N3362">
        <v>-1.3264069999999999E-2</v>
      </c>
      <c r="O3362">
        <v>-0.99976509999999996</v>
      </c>
      <c r="P3362">
        <v>0.22995460000000001</v>
      </c>
      <c r="Q3362">
        <v>-0.13187449999999901</v>
      </c>
      <c r="R3362">
        <v>-0.96422540000000001</v>
      </c>
      <c r="S3362">
        <v>1.4091800000000001</v>
      </c>
      <c r="T3362">
        <v>3.2325270000000003E-2</v>
      </c>
      <c r="U3362">
        <v>-2.7808839999999999</v>
      </c>
      <c r="V3362">
        <v>-0.24637000000000001</v>
      </c>
      <c r="W3362">
        <v>-0.1193236</v>
      </c>
      <c r="X3362">
        <v>0.9618023</v>
      </c>
      <c r="Y3362">
        <v>-0.46711920000000001</v>
      </c>
      <c r="Z3362">
        <v>-2.3639540000000001E-2</v>
      </c>
      <c r="AA3362">
        <v>0.88387830000000001</v>
      </c>
      <c r="AB3362">
        <v>16</v>
      </c>
      <c r="AC3362">
        <v>21.905999999999999</v>
      </c>
      <c r="AD3362">
        <v>0.50240499999999999</v>
      </c>
      <c r="AE3362">
        <v>-43.143299999999897</v>
      </c>
      <c r="AF3362">
        <v>-22.6405817001564</v>
      </c>
      <c r="AG3362">
        <v>0.50240499999999999</v>
      </c>
      <c r="AH3362">
        <v>42.756478938604403</v>
      </c>
      <c r="AI3362">
        <v>89.405041128752003</v>
      </c>
      <c r="AJ3362">
        <v>117.90229356878601</v>
      </c>
      <c r="AK3362">
        <v>48.383518286011402</v>
      </c>
      <c r="AL3362">
        <v>96.853067361536404</v>
      </c>
      <c r="AM3362">
        <v>104.367644690056</v>
      </c>
      <c r="AN3362">
        <v>0.999999981351124</v>
      </c>
    </row>
    <row r="3363" spans="1:40" x14ac:dyDescent="0.25">
      <c r="A3363" t="str">
        <f>"20190305134959629"</f>
        <v>20190305134959629</v>
      </c>
      <c r="B3363" t="str">
        <f>"1551764999623771"</f>
        <v>1551764999623771</v>
      </c>
      <c r="C3363" t="s">
        <v>40</v>
      </c>
      <c r="D3363">
        <v>4.1904969999999997</v>
      </c>
      <c r="E3363">
        <v>0.41100969999999998</v>
      </c>
      <c r="F3363" t="s">
        <v>84</v>
      </c>
      <c r="G3363">
        <v>-469.9323</v>
      </c>
      <c r="H3363">
        <v>1.618906</v>
      </c>
      <c r="I3363">
        <v>197.51820000000001</v>
      </c>
      <c r="J3363">
        <v>-491.80849999999998</v>
      </c>
      <c r="K3363">
        <v>1.110106</v>
      </c>
      <c r="L3363">
        <v>240.57089999999999</v>
      </c>
      <c r="M3363">
        <v>-1.675403E-2</v>
      </c>
      <c r="N3363">
        <v>-1.3263860000000001E-2</v>
      </c>
      <c r="O3363">
        <v>-0.99977169999999904</v>
      </c>
      <c r="P3363">
        <v>0.23096530000000001</v>
      </c>
      <c r="Q3363">
        <v>-0.13181039999999999</v>
      </c>
      <c r="R3363">
        <v>-0.96399250000000003</v>
      </c>
      <c r="S3363">
        <v>1.4093929999999999</v>
      </c>
      <c r="T3363">
        <v>3.2787320000000002E-2</v>
      </c>
      <c r="U3363">
        <v>-2.7796780000000001</v>
      </c>
      <c r="V3363">
        <v>-0.24697540000000001</v>
      </c>
      <c r="W3363">
        <v>-0.11929289999999899</v>
      </c>
      <c r="X3363">
        <v>0.96165080000000003</v>
      </c>
      <c r="Y3363">
        <v>-0.46697070000000002</v>
      </c>
      <c r="Z3363">
        <v>-2.3789999999999999E-2</v>
      </c>
      <c r="AA3363">
        <v>0.88395270000000004</v>
      </c>
      <c r="AB3363">
        <v>16</v>
      </c>
      <c r="AC3363">
        <v>21.876199999999901</v>
      </c>
      <c r="AD3363">
        <v>0.50879999999999903</v>
      </c>
      <c r="AE3363">
        <v>-43.052699999999902</v>
      </c>
      <c r="AF3363">
        <v>-22.591990757044702</v>
      </c>
      <c r="AG3363">
        <v>0.50879999999999903</v>
      </c>
      <c r="AH3363">
        <v>42.675372156334902</v>
      </c>
      <c r="AI3363">
        <v>89.396290519943193</v>
      </c>
      <c r="AJ3363">
        <v>117.896376161128</v>
      </c>
      <c r="AK3363">
        <v>48.289173864211897</v>
      </c>
      <c r="AL3363">
        <v>96.851295924205701</v>
      </c>
      <c r="AM3363">
        <v>104.403657796426</v>
      </c>
      <c r="AN3363">
        <v>0.99999995266810304</v>
      </c>
    </row>
    <row r="3364" spans="1:40" x14ac:dyDescent="0.25">
      <c r="A3364" t="str">
        <f>"20190305134959646"</f>
        <v>20190305134959646</v>
      </c>
      <c r="B3364" t="str">
        <f>"1551764999633532"</f>
        <v>1551764999633532</v>
      </c>
      <c r="C3364" t="s">
        <v>40</v>
      </c>
      <c r="D3364">
        <v>4.1773569999999998</v>
      </c>
      <c r="E3364">
        <v>0.41114020000000001</v>
      </c>
      <c r="F3364" t="s">
        <v>84</v>
      </c>
      <c r="G3364">
        <v>-469.94</v>
      </c>
      <c r="H3364">
        <v>1.615103</v>
      </c>
      <c r="I3364">
        <v>197.51820000000001</v>
      </c>
      <c r="J3364">
        <v>-491.80970000000002</v>
      </c>
      <c r="K3364">
        <v>1.110187</v>
      </c>
      <c r="L3364">
        <v>240.4529</v>
      </c>
      <c r="M3364">
        <v>-1.6120160000000001E-2</v>
      </c>
      <c r="N3364">
        <v>-1.3264140000000001E-2</v>
      </c>
      <c r="O3364">
        <v>-0.99978210000000001</v>
      </c>
      <c r="P3364">
        <v>0.23307659999999999</v>
      </c>
      <c r="Q3364">
        <v>-0.13210629999999901</v>
      </c>
      <c r="R3364">
        <v>-0.96344350000000001</v>
      </c>
      <c r="S3364">
        <v>1.4112849999999999</v>
      </c>
      <c r="T3364">
        <v>3.2592179999999998E-2</v>
      </c>
      <c r="U3364">
        <v>-2.778397</v>
      </c>
      <c r="V3364">
        <v>-0.24844559999999999</v>
      </c>
      <c r="W3364">
        <v>-0.119643</v>
      </c>
      <c r="X3364">
        <v>0.96122850000000004</v>
      </c>
      <c r="Y3364">
        <v>-0.46705380000000002</v>
      </c>
      <c r="Z3364">
        <v>-2.372873E-2</v>
      </c>
      <c r="AA3364">
        <v>0.88391049999999904</v>
      </c>
      <c r="AB3364">
        <v>16</v>
      </c>
      <c r="AC3364">
        <v>21.869700000000002</v>
      </c>
      <c r="AD3364">
        <v>0.50491599999999903</v>
      </c>
      <c r="AE3364">
        <v>-42.9346999999999</v>
      </c>
      <c r="AF3364">
        <v>-22.556555991169301</v>
      </c>
      <c r="AG3364">
        <v>0.50491599999999903</v>
      </c>
      <c r="AH3364">
        <v>42.571871319392301</v>
      </c>
      <c r="AI3364">
        <v>89.399555185590302</v>
      </c>
      <c r="AJ3364">
        <v>117.91672201150099</v>
      </c>
      <c r="AK3364">
        <v>48.181089505995097</v>
      </c>
      <c r="AL3364">
        <v>96.871499920437401</v>
      </c>
      <c r="AM3364">
        <v>104.491898953171</v>
      </c>
      <c r="AN3364">
        <v>0.99999994641030299</v>
      </c>
    </row>
    <row r="3365" spans="1:40" x14ac:dyDescent="0.25">
      <c r="A3365" t="str">
        <f>"20190305134959658"</f>
        <v>20190305134959658</v>
      </c>
      <c r="B3365" t="str">
        <f>"1551764999654028"</f>
        <v>1551764999654028</v>
      </c>
      <c r="C3365" t="s">
        <v>40</v>
      </c>
      <c r="D3365">
        <v>4.1419649999999999</v>
      </c>
      <c r="E3365">
        <v>0.41135850000000002</v>
      </c>
      <c r="F3365" t="s">
        <v>84</v>
      </c>
      <c r="G3365">
        <v>-469.89350000000002</v>
      </c>
      <c r="H3365">
        <v>1.589027</v>
      </c>
      <c r="I3365">
        <v>197.51820000000001</v>
      </c>
      <c r="J3365">
        <v>-491.81060000000002</v>
      </c>
      <c r="K3365">
        <v>1.1102559999999999</v>
      </c>
      <c r="L3365">
        <v>240.36160000000001</v>
      </c>
      <c r="M3365">
        <v>-1.55549E-2</v>
      </c>
      <c r="N3365">
        <v>-1.326475E-2</v>
      </c>
      <c r="O3365">
        <v>-0.99979110000000004</v>
      </c>
      <c r="P3365">
        <v>0.2340592</v>
      </c>
      <c r="Q3365">
        <v>-0.1327565</v>
      </c>
      <c r="R3365">
        <v>-0.96311599999999997</v>
      </c>
      <c r="S3365">
        <v>1.416687</v>
      </c>
      <c r="T3365">
        <v>3.0954840000000001E-2</v>
      </c>
      <c r="U3365">
        <v>-2.7753299999999999</v>
      </c>
      <c r="V3365">
        <v>-0.24886050000000001</v>
      </c>
      <c r="W3365">
        <v>-0.1203355</v>
      </c>
      <c r="X3365">
        <v>0.96103479999999997</v>
      </c>
      <c r="Y3365">
        <v>-0.4683175</v>
      </c>
      <c r="Z3365">
        <v>-2.3206959999999999E-2</v>
      </c>
      <c r="AA3365">
        <v>0.88325540000000002</v>
      </c>
      <c r="AB3365">
        <v>16</v>
      </c>
      <c r="AC3365">
        <v>21.917100000000001</v>
      </c>
      <c r="AD3365">
        <v>0.478771</v>
      </c>
      <c r="AE3365">
        <v>-42.843400000000003</v>
      </c>
      <c r="AF3365">
        <v>-22.578696523739701</v>
      </c>
      <c r="AG3365">
        <v>0.478771</v>
      </c>
      <c r="AH3365">
        <v>42.493061598004303</v>
      </c>
      <c r="AI3365">
        <v>89.429943763422699</v>
      </c>
      <c r="AJ3365">
        <v>117.98395133130001</v>
      </c>
      <c r="AK3365">
        <v>48.121586033227999</v>
      </c>
      <c r="AL3365">
        <v>96.911465390282203</v>
      </c>
      <c r="AM3365">
        <v>104.51788066659</v>
      </c>
      <c r="AN3365">
        <v>1.00000003391576</v>
      </c>
    </row>
    <row r="3366" spans="1:40" x14ac:dyDescent="0.25">
      <c r="A3366" t="str">
        <f>"20190305134959671"</f>
        <v>20190305134959671</v>
      </c>
      <c r="B3366" t="str">
        <f>"1551764999663788"</f>
        <v>1551764999663788</v>
      </c>
      <c r="C3366" t="s">
        <v>40</v>
      </c>
      <c r="D3366">
        <v>4.1548109999999996</v>
      </c>
      <c r="E3366">
        <v>0.41148420000000002</v>
      </c>
      <c r="F3366" t="s">
        <v>84</v>
      </c>
      <c r="G3366">
        <v>-469.91410000000002</v>
      </c>
      <c r="H3366">
        <v>1.5318499999999999</v>
      </c>
      <c r="I3366">
        <v>197.51820000000001</v>
      </c>
      <c r="J3366">
        <v>-491.81139999999999</v>
      </c>
      <c r="K3366">
        <v>1.1103320000000001</v>
      </c>
      <c r="L3366">
        <v>240.26419999999999</v>
      </c>
      <c r="M3366">
        <v>-1.489819E-2</v>
      </c>
      <c r="N3366">
        <v>-1.3265610000000001E-2</v>
      </c>
      <c r="O3366">
        <v>-0.99980119999999895</v>
      </c>
      <c r="P3366">
        <v>0.23526839999999999</v>
      </c>
      <c r="Q3366">
        <v>-0.1331764</v>
      </c>
      <c r="R3366">
        <v>-0.96276340000000005</v>
      </c>
      <c r="S3366">
        <v>1.417786</v>
      </c>
      <c r="T3366">
        <v>2.730024E-2</v>
      </c>
      <c r="U3366">
        <v>-2.7740779999999998</v>
      </c>
      <c r="V3366">
        <v>-0.2494123</v>
      </c>
      <c r="W3366">
        <v>-0.1208019</v>
      </c>
      <c r="X3366">
        <v>0.96083320000000005</v>
      </c>
      <c r="Y3366">
        <v>-0.4681845</v>
      </c>
      <c r="Z3366">
        <v>-2.2041249999999998E-2</v>
      </c>
      <c r="AA3366">
        <v>0.88335580000000002</v>
      </c>
      <c r="AB3366">
        <v>16</v>
      </c>
      <c r="AC3366">
        <v>21.897299999999898</v>
      </c>
      <c r="AD3366">
        <v>0.421518</v>
      </c>
      <c r="AE3366">
        <v>-42.745999999999903</v>
      </c>
      <c r="AF3366">
        <v>-22.530027868052699</v>
      </c>
      <c r="AG3366">
        <v>0.421518</v>
      </c>
      <c r="AH3366">
        <v>42.411729436081401</v>
      </c>
      <c r="AI3366">
        <v>89.4971200229364</v>
      </c>
      <c r="AJ3366">
        <v>117.978206488075</v>
      </c>
      <c r="AK3366">
        <v>48.026395106430101</v>
      </c>
      <c r="AL3366">
        <v>96.938384639222903</v>
      </c>
      <c r="AM3366">
        <v>104.55162971206499</v>
      </c>
      <c r="AN3366">
        <v>1.0000000163285601</v>
      </c>
    </row>
    <row r="3367" spans="1:40" x14ac:dyDescent="0.25">
      <c r="A3367" t="str">
        <f>"20190305134959683"</f>
        <v>20190305134959683</v>
      </c>
      <c r="B3367" t="str">
        <f>"1551764999673547"</f>
        <v>1551764999673547</v>
      </c>
      <c r="C3367" t="s">
        <v>40</v>
      </c>
      <c r="D3367">
        <v>4.1717019999999998</v>
      </c>
      <c r="E3367">
        <v>0.4116322</v>
      </c>
      <c r="F3367" t="s">
        <v>84</v>
      </c>
      <c r="G3367">
        <v>-469.9135</v>
      </c>
      <c r="H3367">
        <v>1.5096099999999999</v>
      </c>
      <c r="I3367">
        <v>197.51820000000001</v>
      </c>
      <c r="J3367">
        <v>-491.81200000000001</v>
      </c>
      <c r="K3367">
        <v>1.1104039999999999</v>
      </c>
      <c r="L3367">
        <v>240.1771</v>
      </c>
      <c r="M3367">
        <v>-1.421621E-2</v>
      </c>
      <c r="N3367">
        <v>-1.3266729999999999E-2</v>
      </c>
      <c r="O3367">
        <v>-0.99981089999999995</v>
      </c>
      <c r="P3367">
        <v>0.2365341</v>
      </c>
      <c r="Q3367">
        <v>-0.13348969999999999</v>
      </c>
      <c r="R3367">
        <v>-0.96240970000000003</v>
      </c>
      <c r="S3367">
        <v>1.4203190000000001</v>
      </c>
      <c r="T3367">
        <v>2.5899769999999999E-2</v>
      </c>
      <c r="U3367">
        <v>-2.7725369999999998</v>
      </c>
      <c r="V3367">
        <v>-0.24999869999999999</v>
      </c>
      <c r="W3367">
        <v>-0.1211583</v>
      </c>
      <c r="X3367">
        <v>0.96063589999999999</v>
      </c>
      <c r="Y3367">
        <v>-0.46842339999999999</v>
      </c>
      <c r="Z3367">
        <v>-2.1594660000000002E-2</v>
      </c>
      <c r="AA3367">
        <v>0.88324020000000003</v>
      </c>
      <c r="AB3367">
        <v>16</v>
      </c>
      <c r="AC3367">
        <v>21.898499999999899</v>
      </c>
      <c r="AD3367">
        <v>0.39920600000000001</v>
      </c>
      <c r="AE3367">
        <v>-42.658899999999903</v>
      </c>
      <c r="AF3367">
        <v>-22.501228370968398</v>
      </c>
      <c r="AG3367">
        <v>0.39920600000000001</v>
      </c>
      <c r="AH3367">
        <v>42.340312652722098</v>
      </c>
      <c r="AI3367">
        <v>89.522976826248794</v>
      </c>
      <c r="AJ3367">
        <v>117.987850480757</v>
      </c>
      <c r="AK3367">
        <v>47.949626892846297</v>
      </c>
      <c r="AL3367">
        <v>96.958956010640193</v>
      </c>
      <c r="AM3367">
        <v>104.58725288197</v>
      </c>
      <c r="AN3367">
        <v>1.00000000801469</v>
      </c>
    </row>
    <row r="3368" spans="1:40" x14ac:dyDescent="0.25">
      <c r="A3368" t="str">
        <f>"20190305134959696"</f>
        <v>20190305134959696</v>
      </c>
      <c r="B3368" t="str">
        <f>"1551764999694043"</f>
        <v>1551764999694043</v>
      </c>
      <c r="C3368" t="s">
        <v>40</v>
      </c>
      <c r="D3368">
        <v>4.1693059999999997</v>
      </c>
      <c r="E3368">
        <v>0.41184700000000002</v>
      </c>
      <c r="F3368" t="s">
        <v>84</v>
      </c>
      <c r="G3368">
        <v>-469.90859999999998</v>
      </c>
      <c r="H3368">
        <v>1.483617</v>
      </c>
      <c r="I3368">
        <v>197.51820000000001</v>
      </c>
      <c r="J3368">
        <v>-491.8125</v>
      </c>
      <c r="K3368">
        <v>1.110482</v>
      </c>
      <c r="L3368">
        <v>240.08269999999999</v>
      </c>
      <c r="M3368">
        <v>-1.341986E-2</v>
      </c>
      <c r="N3368">
        <v>-1.3268149999999999E-2</v>
      </c>
      <c r="O3368">
        <v>-0.99982199999999999</v>
      </c>
      <c r="P3368">
        <v>0.2378904</v>
      </c>
      <c r="Q3368">
        <v>-0.13324269999999999</v>
      </c>
      <c r="R3368">
        <v>-0.96210960000000001</v>
      </c>
      <c r="S3368">
        <v>1.4227289999999999</v>
      </c>
      <c r="T3368">
        <v>2.4244189999999999E-2</v>
      </c>
      <c r="U3368">
        <v>-2.7708889999999999</v>
      </c>
      <c r="V3368">
        <v>-0.25056610000000001</v>
      </c>
      <c r="W3368">
        <v>-0.12095590000000001</v>
      </c>
      <c r="X3368">
        <v>0.96051359999999997</v>
      </c>
      <c r="Y3368">
        <v>-0.46854479999999998</v>
      </c>
      <c r="Z3368">
        <v>-2.106678E-2</v>
      </c>
      <c r="AA3368">
        <v>0.88318850000000004</v>
      </c>
      <c r="AB3368">
        <v>16</v>
      </c>
      <c r="AC3368">
        <v>21.9039</v>
      </c>
      <c r="AD3368">
        <v>0.37313499999999999</v>
      </c>
      <c r="AE3368">
        <v>-42.564499999999903</v>
      </c>
      <c r="AF3368">
        <v>-22.471821707432198</v>
      </c>
      <c r="AG3368">
        <v>0.37313499999999999</v>
      </c>
      <c r="AH3368">
        <v>42.264125337325197</v>
      </c>
      <c r="AI3368">
        <v>89.553373362766706</v>
      </c>
      <c r="AJ3368">
        <v>117.99956419321499</v>
      </c>
      <c r="AK3368">
        <v>47.868343308579099</v>
      </c>
      <c r="AL3368">
        <v>96.947273216560006</v>
      </c>
      <c r="AM3368">
        <v>104.62072513505601</v>
      </c>
      <c r="AN3368">
        <v>1.00000003799948</v>
      </c>
    </row>
    <row r="3369" spans="1:40" x14ac:dyDescent="0.25">
      <c r="A3369" t="str">
        <f>"20190305134959714"</f>
        <v>20190305134959714</v>
      </c>
      <c r="B3369" t="str">
        <f>"1551764999703803"</f>
        <v>1551764999703803</v>
      </c>
      <c r="C3369" t="s">
        <v>40</v>
      </c>
      <c r="D3369">
        <v>4.1759519999999997</v>
      </c>
      <c r="E3369">
        <v>0.41190939999999998</v>
      </c>
      <c r="F3369" t="s">
        <v>84</v>
      </c>
      <c r="G3369">
        <v>-469.91050000000001</v>
      </c>
      <c r="H3369">
        <v>1.4801489999999999</v>
      </c>
      <c r="I3369">
        <v>197.51820000000001</v>
      </c>
      <c r="J3369">
        <v>-491.81290000000001</v>
      </c>
      <c r="K3369">
        <v>1.1105929999999999</v>
      </c>
      <c r="L3369">
        <v>239.95249999999999</v>
      </c>
      <c r="M3369">
        <v>-1.220949E-2</v>
      </c>
      <c r="N3369">
        <v>-1.326709E-2</v>
      </c>
      <c r="O3369">
        <v>-0.99983770000000005</v>
      </c>
      <c r="P3369">
        <v>0.24040239999999999</v>
      </c>
      <c r="Q3369">
        <v>-0.13168450000000001</v>
      </c>
      <c r="R3369">
        <v>-0.96169979999999999</v>
      </c>
      <c r="S3369">
        <v>1.4248959999999999</v>
      </c>
      <c r="T3369">
        <v>2.4051900000000001E-2</v>
      </c>
      <c r="U3369">
        <v>-2.7691349999999999</v>
      </c>
      <c r="V3369">
        <v>-0.25188719999999998</v>
      </c>
      <c r="W3369">
        <v>-0.1194611</v>
      </c>
      <c r="X3369">
        <v>0.96035499999999996</v>
      </c>
      <c r="Y3369">
        <v>-0.46824979999999999</v>
      </c>
      <c r="Z3369">
        <v>-2.100426E-2</v>
      </c>
      <c r="AA3369">
        <v>0.88334650000000003</v>
      </c>
      <c r="AB3369">
        <v>16</v>
      </c>
      <c r="AC3369">
        <v>21.9024</v>
      </c>
      <c r="AD3369">
        <v>0.369556</v>
      </c>
      <c r="AE3369">
        <v>-42.434299999999901</v>
      </c>
      <c r="AF3369">
        <v>-22.417571188281698</v>
      </c>
      <c r="AG3369">
        <v>0.369556</v>
      </c>
      <c r="AH3369">
        <v>42.161170827312198</v>
      </c>
      <c r="AI3369">
        <v>89.556579113270104</v>
      </c>
      <c r="AJ3369">
        <v>118.00008370643501</v>
      </c>
      <c r="AK3369">
        <v>47.751946506384598</v>
      </c>
      <c r="AL3369">
        <v>96.861002704895498</v>
      </c>
      <c r="AM3369">
        <v>104.696806094339</v>
      </c>
      <c r="AN3369">
        <v>0.99999992098102097</v>
      </c>
    </row>
    <row r="3370" spans="1:40" x14ac:dyDescent="0.25">
      <c r="A3370" t="str">
        <f>"20190305134959730"</f>
        <v>20190305134959730</v>
      </c>
      <c r="B3370" t="str">
        <f>"1551764999723323"</f>
        <v>1551764999723323</v>
      </c>
      <c r="C3370" t="s">
        <v>40</v>
      </c>
      <c r="D3370">
        <v>4.1495410000000001</v>
      </c>
      <c r="E3370">
        <v>0.41202889999999998</v>
      </c>
      <c r="F3370" t="s">
        <v>84</v>
      </c>
      <c r="G3370">
        <v>-469.84320000000002</v>
      </c>
      <c r="H3370">
        <v>1.5271570000000001</v>
      </c>
      <c r="I3370">
        <v>197.51820000000001</v>
      </c>
      <c r="J3370">
        <v>-491.81299999999999</v>
      </c>
      <c r="K3370">
        <v>1.110679</v>
      </c>
      <c r="L3370">
        <v>239.8407</v>
      </c>
      <c r="M3370">
        <v>-1.1073650000000001E-2</v>
      </c>
      <c r="N3370">
        <v>-1.32579E-2</v>
      </c>
      <c r="O3370">
        <v>-0.99985089999999999</v>
      </c>
      <c r="P3370">
        <v>0.2424684</v>
      </c>
      <c r="Q3370">
        <v>-0.12981599999999999</v>
      </c>
      <c r="R3370">
        <v>-0.96143520000000005</v>
      </c>
      <c r="S3370">
        <v>1.431702</v>
      </c>
      <c r="T3370">
        <v>2.7148490000000001E-2</v>
      </c>
      <c r="U3370">
        <v>-2.7653050000000001</v>
      </c>
      <c r="V3370">
        <v>-0.25284250000000003</v>
      </c>
      <c r="W3370">
        <v>-0.1176518</v>
      </c>
      <c r="X3370">
        <v>0.96032740000000005</v>
      </c>
      <c r="Y3370">
        <v>-0.46945249999999999</v>
      </c>
      <c r="Z3370">
        <v>-2.1985830000000001E-2</v>
      </c>
      <c r="AA3370">
        <v>0.88268400000000002</v>
      </c>
      <c r="AB3370">
        <v>16</v>
      </c>
      <c r="AC3370">
        <v>21.969799999999999</v>
      </c>
      <c r="AD3370">
        <v>0.41647799999999902</v>
      </c>
      <c r="AE3370">
        <v>-42.322499999999899</v>
      </c>
      <c r="AF3370">
        <v>-22.4354469762959</v>
      </c>
      <c r="AG3370">
        <v>0.41647799999999902</v>
      </c>
      <c r="AH3370">
        <v>42.0733878966834</v>
      </c>
      <c r="AI3370">
        <v>89.499557326509901</v>
      </c>
      <c r="AJ3370">
        <v>118.068571116695</v>
      </c>
      <c r="AK3370">
        <v>47.6832539163956</v>
      </c>
      <c r="AL3370">
        <v>96.756600610145995</v>
      </c>
      <c r="AM3370">
        <v>104.750524221898</v>
      </c>
      <c r="AN3370">
        <v>0.99999999552012497</v>
      </c>
    </row>
    <row r="3371" spans="1:40" x14ac:dyDescent="0.25">
      <c r="A3371" t="str">
        <f>"20190305134959742"</f>
        <v>20190305134959742</v>
      </c>
      <c r="B3371" t="str">
        <f>"1551764999734060"</f>
        <v>1551764999734060</v>
      </c>
      <c r="C3371" t="s">
        <v>40</v>
      </c>
      <c r="D3371">
        <v>4.1796959999999999</v>
      </c>
      <c r="E3371">
        <v>0.41212140000000003</v>
      </c>
      <c r="F3371" t="s">
        <v>84</v>
      </c>
      <c r="G3371">
        <v>-469.79360000000003</v>
      </c>
      <c r="H3371">
        <v>1.5723069999999999</v>
      </c>
      <c r="I3371">
        <v>197.51820000000001</v>
      </c>
      <c r="J3371">
        <v>-491.81279999999998</v>
      </c>
      <c r="K3371">
        <v>1.1107389999999999</v>
      </c>
      <c r="L3371">
        <v>239.74700000000001</v>
      </c>
      <c r="M3371">
        <v>-1.0018849999999999E-2</v>
      </c>
      <c r="N3371">
        <v>-1.3234900000000001E-2</v>
      </c>
      <c r="O3371">
        <v>-0.99986249999999999</v>
      </c>
      <c r="P3371">
        <v>0.24445510000000001</v>
      </c>
      <c r="Q3371">
        <v>-0.12804789999999999</v>
      </c>
      <c r="R3371">
        <v>-0.96116889999999999</v>
      </c>
      <c r="S3371">
        <v>1.437012</v>
      </c>
      <c r="T3371">
        <v>3.0128599999999998E-2</v>
      </c>
      <c r="U3371">
        <v>-2.7620089999999999</v>
      </c>
      <c r="V3371">
        <v>-0.25380219999999998</v>
      </c>
      <c r="W3371">
        <v>-0.115944699999999</v>
      </c>
      <c r="X3371">
        <v>0.96028179999999996</v>
      </c>
      <c r="Y3371">
        <v>-0.47028059999999999</v>
      </c>
      <c r="Z3371">
        <v>-2.2917590000000002E-2</v>
      </c>
      <c r="AA3371">
        <v>0.88221930000000004</v>
      </c>
      <c r="AB3371">
        <v>16</v>
      </c>
      <c r="AC3371">
        <v>22.019199999999898</v>
      </c>
      <c r="AD3371">
        <v>0.46156799999999998</v>
      </c>
      <c r="AE3371">
        <v>-42.2288</v>
      </c>
      <c r="AF3371">
        <v>-22.439107905006001</v>
      </c>
      <c r="AG3371">
        <v>0.46156799999999998</v>
      </c>
      <c r="AH3371">
        <v>42.002108572033698</v>
      </c>
      <c r="AI3371">
        <v>89.444667850834193</v>
      </c>
      <c r="AJ3371">
        <v>118.112811174051</v>
      </c>
      <c r="AK3371">
        <v>47.622512880863802</v>
      </c>
      <c r="AL3371">
        <v>96.658117335765297</v>
      </c>
      <c r="AM3371">
        <v>104.804729625641</v>
      </c>
      <c r="AN3371">
        <v>0.99999993279708199</v>
      </c>
    </row>
    <row r="3372" spans="1:40" x14ac:dyDescent="0.25">
      <c r="A3372" t="str">
        <f>"20190305134959759"</f>
        <v>20190305134959759</v>
      </c>
      <c r="B3372" t="str">
        <f>"1551764999753580"</f>
        <v>1551764999753580</v>
      </c>
      <c r="C3372" t="s">
        <v>40</v>
      </c>
      <c r="D3372">
        <v>4.1916599999999997</v>
      </c>
      <c r="E3372">
        <v>0.4122266</v>
      </c>
      <c r="F3372" t="s">
        <v>84</v>
      </c>
      <c r="G3372">
        <v>-469.74189999999999</v>
      </c>
      <c r="H3372">
        <v>1.6290129999999901</v>
      </c>
      <c r="I3372">
        <v>197.51820000000001</v>
      </c>
      <c r="J3372">
        <v>-491.8125</v>
      </c>
      <c r="K3372">
        <v>1.1108039999999999</v>
      </c>
      <c r="L3372">
        <v>239.6309</v>
      </c>
      <c r="M3372">
        <v>-8.6397219999999903E-3</v>
      </c>
      <c r="N3372">
        <v>-1.3189670000000001E-2</v>
      </c>
      <c r="O3372">
        <v>-0.99987579999999998</v>
      </c>
      <c r="P3372">
        <v>0.24801490000000001</v>
      </c>
      <c r="Q3372">
        <v>-0.12575999999999901</v>
      </c>
      <c r="R3372">
        <v>-0.96055900000000005</v>
      </c>
      <c r="S3372">
        <v>1.441986</v>
      </c>
      <c r="T3372">
        <v>3.3863190000000001E-2</v>
      </c>
      <c r="U3372">
        <v>-2.758972</v>
      </c>
      <c r="V3372">
        <v>-0.25601940000000001</v>
      </c>
      <c r="W3372">
        <v>-0.11375349999999999</v>
      </c>
      <c r="X3372">
        <v>0.95995529999999996</v>
      </c>
      <c r="Y3372">
        <v>-0.47070220000000002</v>
      </c>
      <c r="Z3372">
        <v>-2.4069119999999999E-2</v>
      </c>
      <c r="AA3372">
        <v>0.88196379999999996</v>
      </c>
      <c r="AB3372">
        <v>16</v>
      </c>
      <c r="AC3372">
        <v>22.070599999999999</v>
      </c>
      <c r="AD3372">
        <v>0.51820899999999903</v>
      </c>
      <c r="AE3372">
        <v>-42.112699999999897</v>
      </c>
      <c r="AF3372">
        <v>-22.430985119366699</v>
      </c>
      <c r="AG3372">
        <v>0.51820899999999903</v>
      </c>
      <c r="AH3372">
        <v>41.915448306988203</v>
      </c>
      <c r="AI3372">
        <v>89.375473335978398</v>
      </c>
      <c r="AJ3372">
        <v>118.153391410411</v>
      </c>
      <c r="AK3372">
        <v>47.542848471339298</v>
      </c>
      <c r="AL3372">
        <v>96.531734164853106</v>
      </c>
      <c r="AM3372">
        <v>104.93316241879801</v>
      </c>
      <c r="AN3372">
        <v>0.99999998496834896</v>
      </c>
    </row>
    <row r="3373" spans="1:40" x14ac:dyDescent="0.25">
      <c r="A3373" t="str">
        <f>"20190305134959771"</f>
        <v>20190305134959771</v>
      </c>
      <c r="B3373" t="str">
        <f>"1551764999763340"</f>
        <v>1551764999763340</v>
      </c>
      <c r="C3373" t="s">
        <v>40</v>
      </c>
      <c r="D3373">
        <v>4.3086419999999999</v>
      </c>
      <c r="E3373">
        <v>0.41235440000000001</v>
      </c>
      <c r="F3373" t="s">
        <v>84</v>
      </c>
      <c r="G3373">
        <v>-469.60989999999998</v>
      </c>
      <c r="H3373">
        <v>1.700634</v>
      </c>
      <c r="I3373">
        <v>197.51820000000001</v>
      </c>
      <c r="J3373">
        <v>-491.81200000000001</v>
      </c>
      <c r="K3373">
        <v>1.1108469999999999</v>
      </c>
      <c r="L3373">
        <v>239.5385</v>
      </c>
      <c r="M3373">
        <v>-7.4849979999999997E-3</v>
      </c>
      <c r="N3373">
        <v>-1.314061E-2</v>
      </c>
      <c r="O3373">
        <v>-0.99988560000000004</v>
      </c>
      <c r="P3373">
        <v>0.2502586</v>
      </c>
      <c r="Q3373">
        <v>-0.12563360000000001</v>
      </c>
      <c r="R3373">
        <v>-0.95999310000000004</v>
      </c>
      <c r="S3373">
        <v>1.45166</v>
      </c>
      <c r="T3373">
        <v>3.8566709999999997E-2</v>
      </c>
      <c r="U3373">
        <v>-2.7534179999999999</v>
      </c>
      <c r="V3373">
        <v>-0.25713720000000001</v>
      </c>
      <c r="W3373">
        <v>-0.113715</v>
      </c>
      <c r="X3373">
        <v>0.95966110000000004</v>
      </c>
      <c r="Y3373">
        <v>-0.47282800000000003</v>
      </c>
      <c r="Z3373">
        <v>-2.552857E-2</v>
      </c>
      <c r="AA3373">
        <v>0.88078489999999998</v>
      </c>
      <c r="AB3373">
        <v>16</v>
      </c>
      <c r="AC3373">
        <v>22.202099999999898</v>
      </c>
      <c r="AD3373">
        <v>0.58978699999999995</v>
      </c>
      <c r="AE3373">
        <v>-42.020299999999899</v>
      </c>
      <c r="AF3373">
        <v>-22.5125598621424</v>
      </c>
      <c r="AG3373">
        <v>0.58978699999999995</v>
      </c>
      <c r="AH3373">
        <v>41.846480953890001</v>
      </c>
      <c r="AI3373">
        <v>89.288886358638607</v>
      </c>
      <c r="AJ3373">
        <v>118.279352216954</v>
      </c>
      <c r="AK3373">
        <v>47.521481126709403</v>
      </c>
      <c r="AL3373">
        <v>96.529513549709307</v>
      </c>
      <c r="AM3373">
        <v>104.999820811424</v>
      </c>
      <c r="AN3373">
        <v>1.00000003385102</v>
      </c>
    </row>
    <row r="3374" spans="1:40" x14ac:dyDescent="0.25">
      <c r="A3374" t="str">
        <f>"20190305134959783"</f>
        <v>20190305134959783</v>
      </c>
      <c r="B3374" t="str">
        <f>"1551764999774075"</f>
        <v>1551764999774075</v>
      </c>
      <c r="C3374" t="s">
        <v>40</v>
      </c>
      <c r="D3374">
        <v>4.1318650000000003</v>
      </c>
      <c r="E3374">
        <v>0.41239930000000002</v>
      </c>
      <c r="F3374" t="s">
        <v>84</v>
      </c>
      <c r="G3374">
        <v>-469.5557</v>
      </c>
      <c r="H3374">
        <v>1.69806699999999</v>
      </c>
      <c r="I3374">
        <v>197.51820000000001</v>
      </c>
      <c r="J3374">
        <v>-491.81139999999999</v>
      </c>
      <c r="K3374">
        <v>1.1108789999999999</v>
      </c>
      <c r="L3374">
        <v>239.44649999999999</v>
      </c>
      <c r="M3374">
        <v>-6.2548769999999998E-3</v>
      </c>
      <c r="N3374">
        <v>-1.307505E-2</v>
      </c>
      <c r="O3374">
        <v>-0.99989499999999998</v>
      </c>
      <c r="P3374">
        <v>0.25265779999999999</v>
      </c>
      <c r="Q3374">
        <v>-0.12577659999999999</v>
      </c>
      <c r="R3374">
        <v>-0.95934609999999998</v>
      </c>
      <c r="S3374">
        <v>1.456726</v>
      </c>
      <c r="T3374">
        <v>3.8436890000000001E-2</v>
      </c>
      <c r="U3374">
        <v>-2.750305</v>
      </c>
      <c r="V3374">
        <v>-0.25833919999999999</v>
      </c>
      <c r="W3374">
        <v>-0.11396009999999999</v>
      </c>
      <c r="X3374">
        <v>0.95930910000000003</v>
      </c>
      <c r="Y3374">
        <v>-0.47342430000000002</v>
      </c>
      <c r="Z3374">
        <v>-2.5422819999999999E-2</v>
      </c>
      <c r="AA3374">
        <v>0.88046749999999996</v>
      </c>
      <c r="AB3374">
        <v>16</v>
      </c>
      <c r="AC3374">
        <v>22.255699999999901</v>
      </c>
      <c r="AD3374">
        <v>0.58718799999999904</v>
      </c>
      <c r="AE3374">
        <v>-41.928299999999901</v>
      </c>
      <c r="AF3374">
        <v>-22.514098321041999</v>
      </c>
      <c r="AG3374">
        <v>0.58718799999999904</v>
      </c>
      <c r="AH3374">
        <v>41.781867824668502</v>
      </c>
      <c r="AI3374">
        <v>89.291182012344393</v>
      </c>
      <c r="AJ3374">
        <v>118.317942415221</v>
      </c>
      <c r="AK3374">
        <v>47.4652914441169</v>
      </c>
      <c r="AL3374">
        <v>96.543648867311305</v>
      </c>
      <c r="AM3374">
        <v>105.072034017642</v>
      </c>
      <c r="AN3374">
        <v>0.99999999799572903</v>
      </c>
    </row>
    <row r="3375" spans="1:40" x14ac:dyDescent="0.25">
      <c r="A3375" t="str">
        <f>"20190305134959796"</f>
        <v>20190305134959796</v>
      </c>
      <c r="B3375" t="str">
        <f>"1551764999793595"</f>
        <v>1551764999793595</v>
      </c>
      <c r="C3375" t="s">
        <v>40</v>
      </c>
      <c r="D3375">
        <v>4.1519539999999999</v>
      </c>
      <c r="E3375">
        <v>0.41248439999999997</v>
      </c>
      <c r="F3375" t="s">
        <v>84</v>
      </c>
      <c r="G3375">
        <v>-469.4665</v>
      </c>
      <c r="H3375">
        <v>1.6740429999999999</v>
      </c>
      <c r="I3375">
        <v>197.51820000000001</v>
      </c>
      <c r="J3375">
        <v>-491.81049999999999</v>
      </c>
      <c r="K3375">
        <v>1.1109059999999999</v>
      </c>
      <c r="L3375">
        <v>239.35839999999999</v>
      </c>
      <c r="M3375">
        <v>-5.040063E-3</v>
      </c>
      <c r="N3375">
        <v>-1.3008219999999999E-2</v>
      </c>
      <c r="O3375">
        <v>-0.99990290000000004</v>
      </c>
      <c r="P3375">
        <v>0.25492500000000001</v>
      </c>
      <c r="Q3375">
        <v>-0.12604209999999999</v>
      </c>
      <c r="R3375">
        <v>-0.95871139999999999</v>
      </c>
      <c r="S3375">
        <v>1.463684</v>
      </c>
      <c r="T3375">
        <v>3.6891699999999999E-2</v>
      </c>
      <c r="U3375">
        <v>-2.7464599999999999</v>
      </c>
      <c r="V3375">
        <v>-0.25942589999999999</v>
      </c>
      <c r="W3375">
        <v>-0.1143247</v>
      </c>
      <c r="X3375">
        <v>0.95897239999999995</v>
      </c>
      <c r="Y3375">
        <v>-0.47460799999999997</v>
      </c>
      <c r="Z3375">
        <v>-2.4860750000000001E-2</v>
      </c>
      <c r="AA3375">
        <v>0.87984609999999996</v>
      </c>
      <c r="AB3375">
        <v>16</v>
      </c>
      <c r="AC3375">
        <v>22.343999999999902</v>
      </c>
      <c r="AD3375">
        <v>0.563137</v>
      </c>
      <c r="AE3375">
        <v>-41.840199999999903</v>
      </c>
      <c r="AF3375">
        <v>-22.551432515131399</v>
      </c>
      <c r="AG3375">
        <v>0.563137</v>
      </c>
      <c r="AH3375">
        <v>41.721163107790296</v>
      </c>
      <c r="AI3375">
        <v>89.319700627449905</v>
      </c>
      <c r="AJ3375">
        <v>118.39243750235001</v>
      </c>
      <c r="AK3375">
        <v>47.4293124853411</v>
      </c>
      <c r="AL3375">
        <v>96.564676327283095</v>
      </c>
      <c r="AM3375">
        <v>105.137601804013</v>
      </c>
      <c r="AN3375">
        <v>0.99999999929132999</v>
      </c>
    </row>
    <row r="3376" spans="1:40" x14ac:dyDescent="0.25">
      <c r="A3376" t="str">
        <f>"20190305134959814"</f>
        <v>20190305134959814</v>
      </c>
      <c r="B3376" t="str">
        <f>"1551764999803359"</f>
        <v>1551764999803359</v>
      </c>
      <c r="C3376" t="s">
        <v>40</v>
      </c>
      <c r="D3376">
        <v>4.1786669999999999</v>
      </c>
      <c r="E3376">
        <v>0.41257149999999998</v>
      </c>
      <c r="F3376" t="s">
        <v>84</v>
      </c>
      <c r="G3376">
        <v>-469.3922</v>
      </c>
      <c r="H3376">
        <v>1.626968</v>
      </c>
      <c r="I3376">
        <v>197.51820000000001</v>
      </c>
      <c r="J3376">
        <v>-491.8091</v>
      </c>
      <c r="K3376">
        <v>1.11093</v>
      </c>
      <c r="L3376">
        <v>239.22800000000001</v>
      </c>
      <c r="M3376">
        <v>-3.1679400000000002E-3</v>
      </c>
      <c r="N3376">
        <v>-1.2902E-2</v>
      </c>
      <c r="O3376">
        <v>-0.99991180000000002</v>
      </c>
      <c r="P3376">
        <v>0.2593859</v>
      </c>
      <c r="Q3376">
        <v>-0.12596599999999999</v>
      </c>
      <c r="R3376">
        <v>-0.95752389999999998</v>
      </c>
      <c r="S3376">
        <v>1.4696659999999999</v>
      </c>
      <c r="T3376">
        <v>3.3833269999999999E-2</v>
      </c>
      <c r="U3376">
        <v>-2.742874</v>
      </c>
      <c r="V3376">
        <v>-0.26207419999999998</v>
      </c>
      <c r="W3376">
        <v>-0.1144039</v>
      </c>
      <c r="X3376">
        <v>0.95824260000000006</v>
      </c>
      <c r="Y3376">
        <v>-0.47493950000000001</v>
      </c>
      <c r="Z3376">
        <v>-2.3773780000000001E-2</v>
      </c>
      <c r="AA3376">
        <v>0.87969730000000002</v>
      </c>
      <c r="AB3376">
        <v>16</v>
      </c>
      <c r="AC3376">
        <v>22.416899999999998</v>
      </c>
      <c r="AD3376">
        <v>0.516038</v>
      </c>
      <c r="AE3376">
        <v>-41.709799999999902</v>
      </c>
      <c r="AF3376">
        <v>-22.5462549509203</v>
      </c>
      <c r="AG3376">
        <v>0.516038</v>
      </c>
      <c r="AH3376">
        <v>41.633624797354699</v>
      </c>
      <c r="AI3376">
        <v>89.375547919051201</v>
      </c>
      <c r="AJ3376">
        <v>118.43729779544201</v>
      </c>
      <c r="AK3376">
        <v>47.349325457668897</v>
      </c>
      <c r="AL3376">
        <v>96.569244055209197</v>
      </c>
      <c r="AM3376">
        <v>105.296032939458</v>
      </c>
      <c r="AN3376">
        <v>1.0000000095478001</v>
      </c>
    </row>
    <row r="3377" spans="1:40" x14ac:dyDescent="0.25">
      <c r="A3377" t="str">
        <f>"20190305134959825"</f>
        <v>20190305134959825</v>
      </c>
      <c r="B3377" t="str">
        <f>"1551764999814092"</f>
        <v>1551764999814092</v>
      </c>
      <c r="C3377" t="s">
        <v>40</v>
      </c>
      <c r="D3377">
        <v>4.1533709999999999</v>
      </c>
      <c r="E3377">
        <v>0.41266779999999997</v>
      </c>
      <c r="F3377" t="s">
        <v>84</v>
      </c>
      <c r="G3377">
        <v>-469.13049999999998</v>
      </c>
      <c r="H3377">
        <v>1.620198</v>
      </c>
      <c r="I3377">
        <v>197.345</v>
      </c>
      <c r="J3377">
        <v>-491.80790000000002</v>
      </c>
      <c r="K3377">
        <v>1.1109469999999999</v>
      </c>
      <c r="L3377">
        <v>239.14240000000001</v>
      </c>
      <c r="M3377">
        <v>-1.8901829999999999E-3</v>
      </c>
      <c r="N3377">
        <v>-1.282845E-2</v>
      </c>
      <c r="O3377">
        <v>-0.99991609999999997</v>
      </c>
      <c r="P3377">
        <v>0.2617698</v>
      </c>
      <c r="Q3377">
        <v>-0.12575039999999901</v>
      </c>
      <c r="R3377">
        <v>-0.95690339999999996</v>
      </c>
      <c r="S3377">
        <v>1.4815370000000001</v>
      </c>
      <c r="T3377">
        <v>3.3271549999999997E-2</v>
      </c>
      <c r="U3377">
        <v>-2.7360989999999998</v>
      </c>
      <c r="V3377">
        <v>-0.2632254</v>
      </c>
      <c r="W3377">
        <v>-0.11428679999999999</v>
      </c>
      <c r="X3377">
        <v>0.95794100000000004</v>
      </c>
      <c r="Y3377">
        <v>-0.4776783</v>
      </c>
      <c r="Z3377">
        <v>-2.352044E-2</v>
      </c>
      <c r="AA3377">
        <v>0.87821990000000005</v>
      </c>
      <c r="AB3377">
        <v>16</v>
      </c>
      <c r="AC3377">
        <v>22.677399999999999</v>
      </c>
      <c r="AD3377">
        <v>0.50925100000000001</v>
      </c>
      <c r="AE3377">
        <v>-41.797400000000003</v>
      </c>
      <c r="AF3377">
        <v>-22.7537611814702</v>
      </c>
      <c r="AG3377">
        <v>0.50925100000000001</v>
      </c>
      <c r="AH3377">
        <v>41.749669288119101</v>
      </c>
      <c r="AI3377">
        <v>89.386365360287101</v>
      </c>
      <c r="AJ3377">
        <v>118.590586598765</v>
      </c>
      <c r="AK3377">
        <v>47.550266772665999</v>
      </c>
      <c r="AL3377">
        <v>96.562490342920896</v>
      </c>
      <c r="AM3377">
        <v>105.364663668883</v>
      </c>
      <c r="AN3377">
        <v>1.0000000216701901</v>
      </c>
    </row>
    <row r="3378" spans="1:40" x14ac:dyDescent="0.25">
      <c r="A3378" t="str">
        <f>"20190305134959838"</f>
        <v>20190305134959838</v>
      </c>
      <c r="B3378" t="str">
        <f>"1551764999833613"</f>
        <v>1551764999833613</v>
      </c>
      <c r="C3378" t="s">
        <v>40</v>
      </c>
      <c r="D3378">
        <v>4.1731420000000004</v>
      </c>
      <c r="E3378">
        <v>0.41273860000000001</v>
      </c>
      <c r="F3378" t="s">
        <v>84</v>
      </c>
      <c r="G3378">
        <v>-469.05279999999999</v>
      </c>
      <c r="H3378">
        <v>1.6154759999999999</v>
      </c>
      <c r="I3378">
        <v>197.345</v>
      </c>
      <c r="J3378">
        <v>-491.8066</v>
      </c>
      <c r="K3378">
        <v>1.110965</v>
      </c>
      <c r="L3378">
        <v>239.05940000000001</v>
      </c>
      <c r="M3378">
        <v>-6.1308960000000003E-4</v>
      </c>
      <c r="N3378">
        <v>-1.275397E-2</v>
      </c>
      <c r="O3378">
        <v>-0.99991850000000004</v>
      </c>
      <c r="P3378">
        <v>0.26407809999999998</v>
      </c>
      <c r="Q3378">
        <v>-0.1257915</v>
      </c>
      <c r="R3378">
        <v>-0.95626330000000004</v>
      </c>
      <c r="S3378">
        <v>1.4876100000000001</v>
      </c>
      <c r="T3378">
        <v>3.2985689999999998E-2</v>
      </c>
      <c r="U3378">
        <v>-2.7324830000000002</v>
      </c>
      <c r="V3378">
        <v>-0.26430360000000003</v>
      </c>
      <c r="W3378">
        <v>-0.1144239</v>
      </c>
      <c r="X3378">
        <v>0.95762769999999997</v>
      </c>
      <c r="Y3378">
        <v>-0.47855140000000002</v>
      </c>
      <c r="Z3378">
        <v>-2.3354429999999999E-2</v>
      </c>
      <c r="AA3378">
        <v>0.8777488</v>
      </c>
      <c r="AB3378">
        <v>16</v>
      </c>
      <c r="AC3378">
        <v>22.753799999999998</v>
      </c>
      <c r="AD3378">
        <v>0.50451099999999904</v>
      </c>
      <c r="AE3378">
        <v>-41.714399999999998</v>
      </c>
      <c r="AF3378">
        <v>-22.776804772111301</v>
      </c>
      <c r="AG3378">
        <v>0.50451099999999904</v>
      </c>
      <c r="AH3378">
        <v>41.695740424462102</v>
      </c>
      <c r="AI3378">
        <v>89.391612033900003</v>
      </c>
      <c r="AJ3378">
        <v>118.646109633603</v>
      </c>
      <c r="AK3378">
        <v>47.513915188291001</v>
      </c>
      <c r="AL3378">
        <v>96.570397497470097</v>
      </c>
      <c r="AM3378">
        <v>105.429413582062</v>
      </c>
      <c r="AN3378">
        <v>1.0000000168357299</v>
      </c>
    </row>
    <row r="3379" spans="1:40" x14ac:dyDescent="0.25">
      <c r="A3379" t="str">
        <f>"20190305134959850"</f>
        <v>20190305134959850</v>
      </c>
      <c r="B3379" t="str">
        <f>"1551764999843373"</f>
        <v>1551764999843373</v>
      </c>
      <c r="C3379" t="s">
        <v>40</v>
      </c>
      <c r="D3379">
        <v>4.1514110000000004</v>
      </c>
      <c r="E3379">
        <v>0.41281430000000002</v>
      </c>
      <c r="F3379" t="s">
        <v>84</v>
      </c>
      <c r="G3379">
        <v>-468.97660000000002</v>
      </c>
      <c r="H3379">
        <v>1.5711310000000001</v>
      </c>
      <c r="I3379">
        <v>197.345</v>
      </c>
      <c r="J3379">
        <v>-491.80500000000001</v>
      </c>
      <c r="K3379">
        <v>1.1109789999999999</v>
      </c>
      <c r="L3379">
        <v>238.96440000000001</v>
      </c>
      <c r="M3379">
        <v>8.7060640000000003E-4</v>
      </c>
      <c r="N3379">
        <v>-1.2666729999999999E-2</v>
      </c>
      <c r="O3379">
        <v>-0.99991940000000001</v>
      </c>
      <c r="P3379">
        <v>0.26657389999999997</v>
      </c>
      <c r="Q3379">
        <v>-0.12604169999999901</v>
      </c>
      <c r="R3379">
        <v>-0.95553739999999998</v>
      </c>
      <c r="S3379">
        <v>1.4934689999999999</v>
      </c>
      <c r="T3379">
        <v>3.0104760000000001E-2</v>
      </c>
      <c r="U3379">
        <v>-2.7288060000000001</v>
      </c>
      <c r="V3379">
        <v>-0.26537280000000002</v>
      </c>
      <c r="W3379">
        <v>-0.1147831</v>
      </c>
      <c r="X3379">
        <v>0.9572889</v>
      </c>
      <c r="Y3379">
        <v>-0.47920560000000001</v>
      </c>
      <c r="Z3379">
        <v>-2.2341860000000002E-2</v>
      </c>
      <c r="AA3379">
        <v>0.87741829999999998</v>
      </c>
      <c r="AB3379">
        <v>16</v>
      </c>
      <c r="AC3379">
        <v>22.828399999999899</v>
      </c>
      <c r="AD3379">
        <v>0.46015199999999901</v>
      </c>
      <c r="AE3379">
        <v>-41.619399999999999</v>
      </c>
      <c r="AF3379">
        <v>-22.790012784162101</v>
      </c>
      <c r="AG3379">
        <v>0.46015199999999901</v>
      </c>
      <c r="AH3379">
        <v>41.635347965095399</v>
      </c>
      <c r="AI3379">
        <v>89.444555529265003</v>
      </c>
      <c r="AJ3379">
        <v>118.69505061947</v>
      </c>
      <c r="AK3379">
        <v>47.4668160164547</v>
      </c>
      <c r="AL3379">
        <v>96.591115012662399</v>
      </c>
      <c r="AM3379">
        <v>105.494058142631</v>
      </c>
      <c r="AN3379">
        <v>0.99999996054432905</v>
      </c>
    </row>
    <row r="3380" spans="1:40" x14ac:dyDescent="0.25">
      <c r="A3380" t="str">
        <f>"20190305134959861"</f>
        <v>20190305134959861</v>
      </c>
      <c r="B3380" t="str">
        <f>"1551764999854108"</f>
        <v>1551764999854108</v>
      </c>
      <c r="C3380" t="s">
        <v>40</v>
      </c>
      <c r="D3380">
        <v>4.1665869999999998</v>
      </c>
      <c r="E3380">
        <v>0.41286580000000001</v>
      </c>
      <c r="F3380" t="s">
        <v>84</v>
      </c>
      <c r="G3380">
        <v>-468.88630000000001</v>
      </c>
      <c r="H3380">
        <v>1.5289569999999999</v>
      </c>
      <c r="I3380">
        <v>197.345</v>
      </c>
      <c r="J3380">
        <v>-491.80329999999998</v>
      </c>
      <c r="K3380">
        <v>1.110986</v>
      </c>
      <c r="L3380">
        <v>238.8767</v>
      </c>
      <c r="M3380">
        <v>2.2977129999999998E-3</v>
      </c>
      <c r="N3380">
        <v>-1.258101E-2</v>
      </c>
      <c r="O3380">
        <v>-0.99991830000000004</v>
      </c>
      <c r="P3380">
        <v>0.26863769999999998</v>
      </c>
      <c r="Q3380">
        <v>-0.12653829999999999</v>
      </c>
      <c r="R3380">
        <v>-0.95489389999999996</v>
      </c>
      <c r="S3380">
        <v>1.500397</v>
      </c>
      <c r="T3380">
        <v>2.7365569999999999E-2</v>
      </c>
      <c r="U3380">
        <v>-2.72464</v>
      </c>
      <c r="V3380">
        <v>-0.26606540000000001</v>
      </c>
      <c r="W3380">
        <v>-0.1153819</v>
      </c>
      <c r="X3380">
        <v>0.95702469999999995</v>
      </c>
      <c r="Y3380">
        <v>-0.48023900000000003</v>
      </c>
      <c r="Z3380">
        <v>-2.1375160000000001E-2</v>
      </c>
      <c r="AA3380">
        <v>0.87687719999999902</v>
      </c>
      <c r="AB3380">
        <v>16</v>
      </c>
      <c r="AC3380">
        <v>22.916999999999899</v>
      </c>
      <c r="AD3380">
        <v>0.41797099999999898</v>
      </c>
      <c r="AE3380">
        <v>-41.531700000000001</v>
      </c>
      <c r="AF3380">
        <v>-22.819732256176401</v>
      </c>
      <c r="AG3380">
        <v>0.41797099999999898</v>
      </c>
      <c r="AH3380">
        <v>41.581022772661299</v>
      </c>
      <c r="AI3380">
        <v>89.495114208378297</v>
      </c>
      <c r="AJ3380">
        <v>118.758051005722</v>
      </c>
      <c r="AK3380">
        <v>47.433072163006699</v>
      </c>
      <c r="AL3380">
        <v>96.625652751182002</v>
      </c>
      <c r="AM3380">
        <v>105.536627176978</v>
      </c>
      <c r="AN3380">
        <v>1.00000002816742</v>
      </c>
    </row>
    <row r="3381" spans="1:40" x14ac:dyDescent="0.25">
      <c r="A3381" t="str">
        <f>"20190305134959873"</f>
        <v>20190305134959873</v>
      </c>
      <c r="B3381" t="str">
        <f>"1551764999863867"</f>
        <v>1551764999863867</v>
      </c>
      <c r="C3381" t="s">
        <v>40</v>
      </c>
      <c r="D3381">
        <v>4.1513799999999996</v>
      </c>
      <c r="E3381">
        <v>0.41291430000000001</v>
      </c>
      <c r="F3381" t="s">
        <v>84</v>
      </c>
      <c r="G3381">
        <v>-468.81880000000001</v>
      </c>
      <c r="H3381">
        <v>1.483017</v>
      </c>
      <c r="I3381">
        <v>197.345</v>
      </c>
      <c r="J3381">
        <v>-491.80160000000001</v>
      </c>
      <c r="K3381">
        <v>1.110995</v>
      </c>
      <c r="L3381">
        <v>238.79400000000001</v>
      </c>
      <c r="M3381">
        <v>3.6601899999999998E-3</v>
      </c>
      <c r="N3381">
        <v>-1.250009E-2</v>
      </c>
      <c r="O3381">
        <v>-0.99991509999999995</v>
      </c>
      <c r="P3381">
        <v>0.27079049999999999</v>
      </c>
      <c r="Q3381">
        <v>-0.12731010000000001</v>
      </c>
      <c r="R3381">
        <v>-0.95418259999999999</v>
      </c>
      <c r="S3381">
        <v>1.5060119999999999</v>
      </c>
      <c r="T3381">
        <v>2.4378899999999998E-2</v>
      </c>
      <c r="U3381">
        <v>-2.7212679999999998</v>
      </c>
      <c r="V3381">
        <v>-0.26690960000000002</v>
      </c>
      <c r="W3381">
        <v>-0.1162513</v>
      </c>
      <c r="X3381">
        <v>0.95668439999999999</v>
      </c>
      <c r="Y3381">
        <v>-0.48089730000000003</v>
      </c>
      <c r="Z3381">
        <v>-2.033269E-2</v>
      </c>
      <c r="AA3381">
        <v>0.87654109999999996</v>
      </c>
      <c r="AB3381">
        <v>16</v>
      </c>
      <c r="AC3381">
        <v>22.982800000000001</v>
      </c>
      <c r="AD3381">
        <v>0.37202199999999902</v>
      </c>
      <c r="AE3381">
        <v>-41.448999999999998</v>
      </c>
      <c r="AF3381">
        <v>-22.829516314667</v>
      </c>
      <c r="AG3381">
        <v>0.37202199999999902</v>
      </c>
      <c r="AH3381">
        <v>41.530291433141997</v>
      </c>
      <c r="AI3381">
        <v>89.550238675189505</v>
      </c>
      <c r="AJ3381">
        <v>118.797929200193</v>
      </c>
      <c r="AK3381">
        <v>47.3929353601551</v>
      </c>
      <c r="AL3381">
        <v>96.675802901373601</v>
      </c>
      <c r="AM3381">
        <v>105.58880517614899</v>
      </c>
      <c r="AN3381">
        <v>1.0000000702636</v>
      </c>
    </row>
    <row r="3382" spans="1:40" x14ac:dyDescent="0.25">
      <c r="A3382" t="str">
        <f>"20190305134959894"</f>
        <v>20190305134959894</v>
      </c>
      <c r="B3382" t="str">
        <f>"1551764999883391"</f>
        <v>1551764999883391</v>
      </c>
      <c r="C3382" t="s">
        <v>40</v>
      </c>
      <c r="D3382">
        <v>4.1761540000000004</v>
      </c>
      <c r="E3382">
        <v>0.41305069999999999</v>
      </c>
      <c r="F3382" t="s">
        <v>84</v>
      </c>
      <c r="G3382">
        <v>-468.74759999999998</v>
      </c>
      <c r="H3382">
        <v>1.4298070000000001</v>
      </c>
      <c r="I3382">
        <v>197.345</v>
      </c>
      <c r="J3382">
        <v>-491.79820000000001</v>
      </c>
      <c r="K3382">
        <v>1.111008</v>
      </c>
      <c r="L3382">
        <v>238.64920000000001</v>
      </c>
      <c r="M3382">
        <v>6.1187969999999996E-3</v>
      </c>
      <c r="N3382">
        <v>-1.2358289999999999E-2</v>
      </c>
      <c r="O3382">
        <v>-0.99990509999999999</v>
      </c>
      <c r="P3382">
        <v>0.2748218</v>
      </c>
      <c r="Q3382">
        <v>-0.12808729999999999</v>
      </c>
      <c r="R3382">
        <v>-0.95292569999999999</v>
      </c>
      <c r="S3382">
        <v>1.5116879999999999</v>
      </c>
      <c r="T3382">
        <v>2.0907160000000001E-2</v>
      </c>
      <c r="U3382">
        <v>-2.7178650000000002</v>
      </c>
      <c r="V3382">
        <v>-0.26858650000000001</v>
      </c>
      <c r="W3382">
        <v>-0.1171986</v>
      </c>
      <c r="X3382">
        <v>0.95609929999999999</v>
      </c>
      <c r="Y3382">
        <v>-0.48061530000000002</v>
      </c>
      <c r="Z3382">
        <v>-1.9070739999999999E-2</v>
      </c>
      <c r="AA3382">
        <v>0.87672410000000001</v>
      </c>
      <c r="AB3382">
        <v>16</v>
      </c>
      <c r="AC3382">
        <v>23.050599999999999</v>
      </c>
      <c r="AD3382">
        <v>0.318799</v>
      </c>
      <c r="AE3382">
        <v>-41.304200000000002</v>
      </c>
      <c r="AF3382">
        <v>-22.796381627697201</v>
      </c>
      <c r="AG3382">
        <v>0.318799</v>
      </c>
      <c r="AH3382">
        <v>41.4425968169082</v>
      </c>
      <c r="AI3382">
        <v>89.613825039964794</v>
      </c>
      <c r="AJ3382">
        <v>118.813928500576</v>
      </c>
      <c r="AK3382">
        <v>47.299740792596602</v>
      </c>
      <c r="AL3382">
        <v>96.730452929239902</v>
      </c>
      <c r="AM3382">
        <v>105.691063860733</v>
      </c>
      <c r="AN3382">
        <v>1.0000000456423399</v>
      </c>
    </row>
    <row r="3383" spans="1:40" x14ac:dyDescent="0.25">
      <c r="A3383" t="str">
        <f>"20190305134959907"</f>
        <v>20190305134959907</v>
      </c>
      <c r="B3383" t="str">
        <f>"1551764999903884"</f>
        <v>1551764999903884</v>
      </c>
      <c r="C3383" t="s">
        <v>40</v>
      </c>
      <c r="D3383">
        <v>4.1958010000000003</v>
      </c>
      <c r="E3383">
        <v>0.41304479999999999</v>
      </c>
      <c r="F3383" t="s">
        <v>84</v>
      </c>
      <c r="G3383">
        <v>-468.60980000000001</v>
      </c>
      <c r="H3383">
        <v>1.363604</v>
      </c>
      <c r="I3383">
        <v>197.345</v>
      </c>
      <c r="J3383">
        <v>-491.7955</v>
      </c>
      <c r="K3383">
        <v>1.1110180000000001</v>
      </c>
      <c r="L3383">
        <v>238.5461</v>
      </c>
      <c r="M3383">
        <v>7.9173679999999993E-3</v>
      </c>
      <c r="N3383">
        <v>-1.225824E-2</v>
      </c>
      <c r="O3383">
        <v>-0.99989349999999999</v>
      </c>
      <c r="P3383">
        <v>0.27736280000000002</v>
      </c>
      <c r="Q3383">
        <v>-0.12778310000000001</v>
      </c>
      <c r="R3383">
        <v>-0.95222980000000002</v>
      </c>
      <c r="S3383">
        <v>1.5222169999999999</v>
      </c>
      <c r="T3383">
        <v>1.6584160000000001E-2</v>
      </c>
      <c r="U3383">
        <v>-2.7114259999999999</v>
      </c>
      <c r="V3383">
        <v>-0.26940940000000002</v>
      </c>
      <c r="W3383">
        <v>-0.1170109</v>
      </c>
      <c r="X3383">
        <v>0.95589069999999998</v>
      </c>
      <c r="Y3383">
        <v>-0.48252349999999999</v>
      </c>
      <c r="Z3383">
        <v>-1.75763E-2</v>
      </c>
      <c r="AA3383">
        <v>0.87570669999999995</v>
      </c>
      <c r="AB3383">
        <v>16</v>
      </c>
      <c r="AC3383">
        <v>23.185700000000001</v>
      </c>
      <c r="AD3383">
        <v>0.25258599999999998</v>
      </c>
      <c r="AE3383">
        <v>-41.201099999999997</v>
      </c>
      <c r="AF3383">
        <v>-22.858091927100901</v>
      </c>
      <c r="AG3383">
        <v>0.25258599999999998</v>
      </c>
      <c r="AH3383">
        <v>41.382210734089099</v>
      </c>
      <c r="AI3383">
        <v>89.693880510164405</v>
      </c>
      <c r="AJ3383">
        <v>118.914731544388</v>
      </c>
      <c r="AK3383">
        <v>47.276247011324301</v>
      </c>
      <c r="AL3383">
        <v>96.719624292518603</v>
      </c>
      <c r="AM3383">
        <v>105.740024238966</v>
      </c>
      <c r="AN3383">
        <v>1.0000000029368299</v>
      </c>
    </row>
    <row r="3384" spans="1:40" x14ac:dyDescent="0.25">
      <c r="A3384" t="str">
        <f>"20190305134959927"</f>
        <v>20190305134959927</v>
      </c>
      <c r="B3384" t="str">
        <f>"1551764999923405"</f>
        <v>1551764999923405</v>
      </c>
      <c r="C3384" t="s">
        <v>40</v>
      </c>
      <c r="D3384">
        <v>4.2091379999999896</v>
      </c>
      <c r="E3384">
        <v>0.38650180000000001</v>
      </c>
      <c r="F3384" t="s">
        <v>84</v>
      </c>
      <c r="G3384">
        <v>-468.51729999999998</v>
      </c>
      <c r="H3384">
        <v>1.354922</v>
      </c>
      <c r="I3384">
        <v>197.345</v>
      </c>
      <c r="J3384">
        <v>-491.79149999999998</v>
      </c>
      <c r="K3384">
        <v>1.11104</v>
      </c>
      <c r="L3384">
        <v>238.4067</v>
      </c>
      <c r="M3384">
        <v>1.041649E-2</v>
      </c>
      <c r="N3384">
        <v>-1.2127189999999999E-2</v>
      </c>
      <c r="O3384">
        <v>-0.99987230000000005</v>
      </c>
      <c r="P3384">
        <v>0.2813869</v>
      </c>
      <c r="Q3384">
        <v>-0.12510199999999999</v>
      </c>
      <c r="R3384">
        <v>-0.95140499999999995</v>
      </c>
      <c r="S3384">
        <v>1.5295099999999999</v>
      </c>
      <c r="T3384">
        <v>1.6028170000000001E-2</v>
      </c>
      <c r="U3384">
        <v>-2.707138</v>
      </c>
      <c r="V3384">
        <v>-0.2710555</v>
      </c>
      <c r="W3384">
        <v>-0.1144838</v>
      </c>
      <c r="X3384">
        <v>0.95573129999999995</v>
      </c>
      <c r="Y3384">
        <v>-0.48271960000000003</v>
      </c>
      <c r="Z3384">
        <v>-1.7261769999999999E-2</v>
      </c>
      <c r="AA3384">
        <v>0.87560490000000002</v>
      </c>
      <c r="AB3384">
        <v>16</v>
      </c>
      <c r="AC3384">
        <v>23.2742</v>
      </c>
      <c r="AD3384">
        <v>0.24388199999999999</v>
      </c>
      <c r="AE3384">
        <v>-41.061700000000002</v>
      </c>
      <c r="AF3384">
        <v>-22.84457699008</v>
      </c>
      <c r="AG3384">
        <v>0.24388199999999999</v>
      </c>
      <c r="AH3384">
        <v>41.300822541183202</v>
      </c>
      <c r="AI3384">
        <v>89.703942049275398</v>
      </c>
      <c r="AJ3384">
        <v>118.948141433008</v>
      </c>
      <c r="AK3384">
        <v>47.198433436544498</v>
      </c>
      <c r="AL3384">
        <v>96.5738525185821</v>
      </c>
      <c r="AM3384">
        <v>105.833897026942</v>
      </c>
      <c r="AN3384">
        <v>0.99999997117118899</v>
      </c>
    </row>
    <row r="3385" spans="1:40" x14ac:dyDescent="0.25">
      <c r="A3385" t="str">
        <f>"20190305134959941"</f>
        <v>20190305134959941</v>
      </c>
      <c r="B3385" t="str">
        <f>"1551764999934140"</f>
        <v>1551764999934140</v>
      </c>
      <c r="C3385" t="s">
        <v>40</v>
      </c>
      <c r="D3385">
        <v>4.2164260000000002</v>
      </c>
      <c r="E3385">
        <v>0.38500129999999999</v>
      </c>
      <c r="F3385" t="s">
        <v>84</v>
      </c>
      <c r="G3385">
        <v>-464.79050000000001</v>
      </c>
      <c r="H3385">
        <v>1.020132</v>
      </c>
      <c r="I3385">
        <v>197.51820000000001</v>
      </c>
      <c r="J3385">
        <v>-491.78800000000001</v>
      </c>
      <c r="K3385">
        <v>1.111059</v>
      </c>
      <c r="L3385">
        <v>238.2961</v>
      </c>
      <c r="M3385">
        <v>1.246158E-2</v>
      </c>
      <c r="N3385">
        <v>-1.202715E-2</v>
      </c>
      <c r="O3385">
        <v>-0.99985020000000002</v>
      </c>
      <c r="P3385">
        <v>0.2843173</v>
      </c>
      <c r="Q3385">
        <v>-0.12352680000000001</v>
      </c>
      <c r="R3385">
        <v>-0.95073960000000002</v>
      </c>
      <c r="S3385">
        <v>1.741608</v>
      </c>
      <c r="T3385">
        <v>-5.8614019999999999E-3</v>
      </c>
      <c r="U3385">
        <v>-2.6373600000000001</v>
      </c>
      <c r="V3385">
        <v>-0.27203850000000002</v>
      </c>
      <c r="W3385">
        <v>-0.1130288</v>
      </c>
      <c r="X3385">
        <v>0.95562519999999995</v>
      </c>
      <c r="Y3385">
        <v>-0.54053999999999902</v>
      </c>
      <c r="Z3385">
        <v>-1.012101E-2</v>
      </c>
      <c r="AA3385">
        <v>0.84125749999999999</v>
      </c>
      <c r="AB3385">
        <v>16</v>
      </c>
      <c r="AC3385">
        <v>26.997499999999999</v>
      </c>
      <c r="AD3385">
        <v>-9.0926999999999897E-2</v>
      </c>
      <c r="AE3385">
        <v>-40.777899999999903</v>
      </c>
      <c r="AF3385">
        <v>-26.487118093256601</v>
      </c>
      <c r="AG3385">
        <v>-9.0926999999999897E-2</v>
      </c>
      <c r="AH3385">
        <v>41.111046866030499</v>
      </c>
      <c r="AI3385">
        <v>90.106527798037803</v>
      </c>
      <c r="AJ3385">
        <v>122.79296500208601</v>
      </c>
      <c r="AK3385">
        <v>48.904947265347303</v>
      </c>
      <c r="AL3385">
        <v>96.489942346319793</v>
      </c>
      <c r="AM3385">
        <v>105.89010059992199</v>
      </c>
      <c r="AN3385">
        <v>0.99999998899336395</v>
      </c>
    </row>
    <row r="3386" spans="1:40" x14ac:dyDescent="0.25">
      <c r="A3386" t="str">
        <f>"20190305134959960"</f>
        <v>20190305134959960</v>
      </c>
      <c r="B3386" t="str">
        <f>"1551764999953660"</f>
        <v>1551764999953660</v>
      </c>
      <c r="C3386" t="s">
        <v>40</v>
      </c>
      <c r="D3386">
        <v>4.2677559999999897</v>
      </c>
      <c r="E3386">
        <v>0.38389909999999999</v>
      </c>
      <c r="F3386" t="s">
        <v>84</v>
      </c>
      <c r="G3386">
        <v>-464.47500000000002</v>
      </c>
      <c r="H3386">
        <v>1.159011</v>
      </c>
      <c r="I3386">
        <v>197.51820000000001</v>
      </c>
      <c r="J3386">
        <v>-491.7833</v>
      </c>
      <c r="K3386">
        <v>1.111086</v>
      </c>
      <c r="L3386">
        <v>238.1611</v>
      </c>
      <c r="M3386">
        <v>1.5028700000000001E-2</v>
      </c>
      <c r="N3386">
        <v>-1.191059E-2</v>
      </c>
      <c r="O3386">
        <v>-0.99981609999999999</v>
      </c>
      <c r="P3386">
        <v>0.28721659999999999</v>
      </c>
      <c r="Q3386">
        <v>-0.12302009999999999</v>
      </c>
      <c r="R3386">
        <v>-0.94993320000000003</v>
      </c>
      <c r="S3386">
        <v>1.761047</v>
      </c>
      <c r="T3386">
        <v>3.0940770000000002E-3</v>
      </c>
      <c r="U3386">
        <v>-2.6292110000000002</v>
      </c>
      <c r="V3386">
        <v>-0.27248860000000003</v>
      </c>
      <c r="W3386">
        <v>-0.1126641</v>
      </c>
      <c r="X3386">
        <v>0.9555401</v>
      </c>
      <c r="Y3386">
        <v>-0.5438731</v>
      </c>
      <c r="Z3386">
        <v>-1.283814E-2</v>
      </c>
      <c r="AA3386">
        <v>0.83906919999999996</v>
      </c>
      <c r="AB3386">
        <v>16</v>
      </c>
      <c r="AC3386">
        <v>27.3082999999999</v>
      </c>
      <c r="AD3386">
        <v>4.7925000000000002E-2</v>
      </c>
      <c r="AE3386">
        <v>-40.642899999999997</v>
      </c>
      <c r="AF3386">
        <v>-26.694336570509599</v>
      </c>
      <c r="AG3386">
        <v>4.7925000000000002E-2</v>
      </c>
      <c r="AH3386">
        <v>41.048707297011198</v>
      </c>
      <c r="AI3386">
        <v>89.943921330444496</v>
      </c>
      <c r="AJ3386">
        <v>123.036304685505</v>
      </c>
      <c r="AK3386">
        <v>48.965153655441199</v>
      </c>
      <c r="AL3386">
        <v>96.468911785197903</v>
      </c>
      <c r="AM3386">
        <v>105.916406468594</v>
      </c>
      <c r="AN3386">
        <v>1.00000005963338</v>
      </c>
    </row>
    <row r="3387" spans="1:40" x14ac:dyDescent="0.25">
      <c r="A3387" t="str">
        <f>"20190305134959975"</f>
        <v>20190305134959975</v>
      </c>
      <c r="B3387" t="str">
        <f>"1551764999963420"</f>
        <v>1551764999963420</v>
      </c>
      <c r="C3387" t="s">
        <v>40</v>
      </c>
      <c r="D3387">
        <v>4.2093860000000003</v>
      </c>
      <c r="E3387">
        <v>0.38369920000000002</v>
      </c>
      <c r="F3387" t="s">
        <v>84</v>
      </c>
      <c r="G3387">
        <v>-464.23070000000001</v>
      </c>
      <c r="H3387">
        <v>1.0630109999999999</v>
      </c>
      <c r="I3387">
        <v>197.51820000000001</v>
      </c>
      <c r="J3387">
        <v>-491.77960000000002</v>
      </c>
      <c r="K3387">
        <v>1.111111</v>
      </c>
      <c r="L3387">
        <v>238.06209999999999</v>
      </c>
      <c r="M3387">
        <v>1.6962769999999999E-2</v>
      </c>
      <c r="N3387">
        <v>-1.183008E-2</v>
      </c>
      <c r="O3387">
        <v>-0.99978639999999996</v>
      </c>
      <c r="P3387">
        <v>0.28925459999999997</v>
      </c>
      <c r="Q3387">
        <v>-0.1239405</v>
      </c>
      <c r="R3387">
        <v>-0.94919480000000001</v>
      </c>
      <c r="S3387">
        <v>1.7765200000000001</v>
      </c>
      <c r="T3387">
        <v>-3.0974150000000001E-3</v>
      </c>
      <c r="U3387">
        <v>-2.6205440000000002</v>
      </c>
      <c r="V3387">
        <v>-0.2726789</v>
      </c>
      <c r="W3387">
        <v>-0.11368689999999999</v>
      </c>
      <c r="X3387">
        <v>0.95536460000000001</v>
      </c>
      <c r="Y3387">
        <v>-0.54693979999999998</v>
      </c>
      <c r="Z3387">
        <v>-1.078545E-2</v>
      </c>
      <c r="AA3387">
        <v>0.83710249999999997</v>
      </c>
      <c r="AB3387">
        <v>16</v>
      </c>
      <c r="AC3387">
        <v>27.5489</v>
      </c>
      <c r="AD3387">
        <v>-4.8099999999999803E-2</v>
      </c>
      <c r="AE3387">
        <v>-40.543899999999901</v>
      </c>
      <c r="AF3387">
        <v>-26.857125104864899</v>
      </c>
      <c r="AG3387">
        <v>-4.8099999999999803E-2</v>
      </c>
      <c r="AH3387">
        <v>41.005364555242203</v>
      </c>
      <c r="AI3387">
        <v>90.056222961767304</v>
      </c>
      <c r="AJ3387">
        <v>123.223440954699</v>
      </c>
      <c r="AK3387">
        <v>49.017827418365599</v>
      </c>
      <c r="AL3387">
        <v>96.527893209720006</v>
      </c>
      <c r="AM3387">
        <v>105.92973581062699</v>
      </c>
      <c r="AN3387">
        <v>1.0000000063349801</v>
      </c>
    </row>
    <row r="3388" spans="1:40" x14ac:dyDescent="0.25">
      <c r="A3388" t="str">
        <f>"20190305134959988"</f>
        <v>20190305134959988</v>
      </c>
      <c r="B3388" t="str">
        <f>"1551764999983916"</f>
        <v>1551764999983916</v>
      </c>
      <c r="C3388" t="s">
        <v>40</v>
      </c>
      <c r="D3388">
        <v>4.1567660000000002</v>
      </c>
      <c r="E3388">
        <v>0.38380160000000002</v>
      </c>
      <c r="F3388" t="s">
        <v>84</v>
      </c>
      <c r="G3388">
        <v>-464.14109999999999</v>
      </c>
      <c r="H3388">
        <v>1.0443990000000001</v>
      </c>
      <c r="I3388">
        <v>197.51820000000001</v>
      </c>
      <c r="J3388">
        <v>-491.77519999999998</v>
      </c>
      <c r="K3388">
        <v>1.1111359999999999</v>
      </c>
      <c r="L3388">
        <v>237.95150000000001</v>
      </c>
      <c r="M3388">
        <v>1.9173559999999999E-2</v>
      </c>
      <c r="N3388">
        <v>-1.174584E-2</v>
      </c>
      <c r="O3388">
        <v>-0.99974730000000001</v>
      </c>
      <c r="P3388">
        <v>0.29164909999999999</v>
      </c>
      <c r="Q3388">
        <v>-0.12506159999999999</v>
      </c>
      <c r="R3388">
        <v>-0.94831489999999996</v>
      </c>
      <c r="S3388">
        <v>1.7836609999999999</v>
      </c>
      <c r="T3388">
        <v>-4.3029790000000002E-3</v>
      </c>
      <c r="U3388">
        <v>-2.616501</v>
      </c>
      <c r="V3388">
        <v>-0.2729644</v>
      </c>
      <c r="W3388">
        <v>-0.1149189</v>
      </c>
      <c r="X3388">
        <v>0.95513559999999997</v>
      </c>
      <c r="Y3388">
        <v>-0.54725299999999999</v>
      </c>
      <c r="Z3388">
        <v>-1.03102E-2</v>
      </c>
      <c r="AA3388">
        <v>0.83690379999999998</v>
      </c>
      <c r="AB3388">
        <v>16</v>
      </c>
      <c r="AC3388">
        <v>27.634099999999901</v>
      </c>
      <c r="AD3388">
        <v>-6.6737000000000005E-2</v>
      </c>
      <c r="AE3388">
        <v>-40.433300000000003</v>
      </c>
      <c r="AF3388">
        <v>-26.8536657803065</v>
      </c>
      <c r="AG3388">
        <v>-6.6737000000000005E-2</v>
      </c>
      <c r="AH3388">
        <v>40.955670648031898</v>
      </c>
      <c r="AI3388">
        <v>90.078076515069696</v>
      </c>
      <c r="AJ3388">
        <v>123.25190929887199</v>
      </c>
      <c r="AK3388">
        <v>48.974388999737798</v>
      </c>
      <c r="AL3388">
        <v>96.598947575310703</v>
      </c>
      <c r="AM3388">
        <v>105.949195613226</v>
      </c>
      <c r="AN3388">
        <v>0.99999996581596395</v>
      </c>
    </row>
    <row r="3389" spans="1:40" x14ac:dyDescent="0.25">
      <c r="A3389" t="str">
        <f>"20190305135000005"</f>
        <v>20190305135000005</v>
      </c>
      <c r="B3389" t="str">
        <f>"1551764999993676"</f>
        <v>1551764999993676</v>
      </c>
      <c r="C3389" t="s">
        <v>40</v>
      </c>
      <c r="D3389">
        <v>4.1814200000000001</v>
      </c>
      <c r="E3389">
        <v>0.38402969999999997</v>
      </c>
      <c r="F3389" t="s">
        <v>84</v>
      </c>
      <c r="G3389">
        <v>-464.07220000000001</v>
      </c>
      <c r="H3389">
        <v>0.92197850000000003</v>
      </c>
      <c r="I3389">
        <v>197.51820000000001</v>
      </c>
      <c r="J3389">
        <v>-491.77030000000002</v>
      </c>
      <c r="K3389">
        <v>1.1111719999999901</v>
      </c>
      <c r="L3389">
        <v>237.83840000000001</v>
      </c>
      <c r="M3389">
        <v>2.1511990000000002E-2</v>
      </c>
      <c r="N3389">
        <v>-1.166932E-2</v>
      </c>
      <c r="O3389">
        <v>-0.9997007</v>
      </c>
      <c r="P3389">
        <v>0.29386770000000001</v>
      </c>
      <c r="Q3389">
        <v>-0.12802259999999999</v>
      </c>
      <c r="R3389">
        <v>-0.94723420000000003</v>
      </c>
      <c r="S3389">
        <v>1.789337</v>
      </c>
      <c r="T3389">
        <v>-1.221538E-2</v>
      </c>
      <c r="U3389">
        <v>-2.6115719999999998</v>
      </c>
      <c r="V3389">
        <v>-0.27294980000000002</v>
      </c>
      <c r="W3389">
        <v>-0.11798599999999999</v>
      </c>
      <c r="X3389">
        <v>0.9547658</v>
      </c>
      <c r="Y3389">
        <v>-0.54727569999999903</v>
      </c>
      <c r="Z3389">
        <v>-7.7094619999999899E-3</v>
      </c>
      <c r="AA3389">
        <v>0.83691689999999996</v>
      </c>
      <c r="AB3389">
        <v>16</v>
      </c>
      <c r="AC3389">
        <v>27.6981</v>
      </c>
      <c r="AD3389">
        <v>-0.18919349999999899</v>
      </c>
      <c r="AE3389">
        <v>-40.3202</v>
      </c>
      <c r="AF3389">
        <v>-26.823861663072101</v>
      </c>
      <c r="AG3389">
        <v>-0.18919349999999899</v>
      </c>
      <c r="AH3389">
        <v>40.906138052567698</v>
      </c>
      <c r="AI3389">
        <v>90.221600432174498</v>
      </c>
      <c r="AJ3389">
        <v>123.254527778518</v>
      </c>
      <c r="AK3389">
        <v>48.9169447029943</v>
      </c>
      <c r="AL3389">
        <v>96.775883054281394</v>
      </c>
      <c r="AM3389">
        <v>105.954248727275</v>
      </c>
      <c r="AN3389">
        <v>1.00000001118284</v>
      </c>
    </row>
    <row r="3390" spans="1:40" x14ac:dyDescent="0.25">
      <c r="A3390" t="str">
        <f>"20190305135000019"</f>
        <v>20190305135000019</v>
      </c>
      <c r="B3390" t="str">
        <f>"1551765000013196"</f>
        <v>1551765000013196</v>
      </c>
      <c r="C3390" t="s">
        <v>40</v>
      </c>
      <c r="D3390">
        <v>4.1727730000000003</v>
      </c>
      <c r="E3390">
        <v>0.38433390000000001</v>
      </c>
      <c r="F3390" t="s">
        <v>84</v>
      </c>
      <c r="G3390">
        <v>-464.01679999999999</v>
      </c>
      <c r="H3390">
        <v>0.77172799999999997</v>
      </c>
      <c r="I3390">
        <v>197.51820000000001</v>
      </c>
      <c r="J3390">
        <v>-491.76560000000001</v>
      </c>
      <c r="K3390">
        <v>1.111208</v>
      </c>
      <c r="L3390">
        <v>237.73650000000001</v>
      </c>
      <c r="M3390">
        <v>2.367373E-2</v>
      </c>
      <c r="N3390">
        <v>-1.1605610000000001E-2</v>
      </c>
      <c r="O3390">
        <v>-0.9996524</v>
      </c>
      <c r="P3390">
        <v>0.29588710000000001</v>
      </c>
      <c r="Q3390">
        <v>-0.12796489999999999</v>
      </c>
      <c r="R3390">
        <v>-0.94661309999999999</v>
      </c>
      <c r="S3390">
        <v>1.7947390000000001</v>
      </c>
      <c r="T3390">
        <v>-2.1948459999999999E-2</v>
      </c>
      <c r="U3390">
        <v>-2.6073759999999999</v>
      </c>
      <c r="V3390">
        <v>-0.27290920000000002</v>
      </c>
      <c r="W3390">
        <v>-0.1180165</v>
      </c>
      <c r="X3390">
        <v>0.95477369999999995</v>
      </c>
      <c r="Y3390">
        <v>-0.54727380000000003</v>
      </c>
      <c r="Z3390">
        <v>-4.5397429999999997E-3</v>
      </c>
      <c r="AA3390">
        <v>0.83694139999999995</v>
      </c>
      <c r="AB3390">
        <v>16</v>
      </c>
      <c r="AC3390">
        <v>27.748799999999999</v>
      </c>
      <c r="AD3390">
        <v>-0.33948</v>
      </c>
      <c r="AE3390">
        <v>-40.218299999999999</v>
      </c>
      <c r="AF3390">
        <v>-26.787547688913499</v>
      </c>
      <c r="AG3390">
        <v>-0.33948</v>
      </c>
      <c r="AH3390">
        <v>40.862016206881201</v>
      </c>
      <c r="AI3390">
        <v>90.398087392201901</v>
      </c>
      <c r="AJ3390">
        <v>123.247289344035</v>
      </c>
      <c r="AK3390">
        <v>48.860948889145</v>
      </c>
      <c r="AL3390">
        <v>96.777642456700207</v>
      </c>
      <c r="AM3390">
        <v>105.951871088988</v>
      </c>
      <c r="AN3390">
        <v>1.0000000719642801</v>
      </c>
    </row>
    <row r="3391" spans="1:40" x14ac:dyDescent="0.25">
      <c r="A3391" t="str">
        <f>"20190305135000032"</f>
        <v>20190305135000032</v>
      </c>
      <c r="B3391" t="str">
        <f>"1551765000023932"</f>
        <v>1551765000023932</v>
      </c>
      <c r="C3391" t="s">
        <v>40</v>
      </c>
      <c r="D3391">
        <v>4.1719200000000001</v>
      </c>
      <c r="E3391">
        <v>0.38450529999999999</v>
      </c>
      <c r="F3391" t="s">
        <v>84</v>
      </c>
      <c r="G3391">
        <v>-463.99790000000002</v>
      </c>
      <c r="H3391">
        <v>0.71686119999999898</v>
      </c>
      <c r="I3391">
        <v>197.51820000000001</v>
      </c>
      <c r="J3391">
        <v>-491.76069999999999</v>
      </c>
      <c r="K3391">
        <v>1.1112500000000001</v>
      </c>
      <c r="L3391">
        <v>237.6345</v>
      </c>
      <c r="M3391">
        <v>2.588915E-2</v>
      </c>
      <c r="N3391">
        <v>-1.154583E-2</v>
      </c>
      <c r="O3391">
        <v>-0.99959819999999999</v>
      </c>
      <c r="P3391">
        <v>0.29777039999999999</v>
      </c>
      <c r="Q3391">
        <v>-0.12779799999999999</v>
      </c>
      <c r="R3391">
        <v>-0.94604469999999996</v>
      </c>
      <c r="S3391">
        <v>1.7977289999999999</v>
      </c>
      <c r="T3391">
        <v>-2.5528189999999999E-2</v>
      </c>
      <c r="U3391">
        <v>-2.60379</v>
      </c>
      <c r="V3391">
        <v>-0.27268109999999901</v>
      </c>
      <c r="W3391">
        <v>-0.11793389999999999</v>
      </c>
      <c r="X3391">
        <v>0.95484899999999995</v>
      </c>
      <c r="Y3391">
        <v>-0.54660830000000005</v>
      </c>
      <c r="Z3391">
        <v>-3.3257429999999999E-3</v>
      </c>
      <c r="AA3391">
        <v>0.83738179999999995</v>
      </c>
      <c r="AB3391">
        <v>16</v>
      </c>
      <c r="AC3391">
        <v>27.762799999999899</v>
      </c>
      <c r="AD3391">
        <v>-0.39438879999999998</v>
      </c>
      <c r="AE3391">
        <v>-40.116300000000003</v>
      </c>
      <c r="AF3391">
        <v>-26.713101397925101</v>
      </c>
      <c r="AG3391">
        <v>-0.39438879999999998</v>
      </c>
      <c r="AH3391">
        <v>40.818987599831502</v>
      </c>
      <c r="AI3391">
        <v>90.463200885855898</v>
      </c>
      <c r="AJ3391">
        <v>123.20187159664999</v>
      </c>
      <c r="AK3391">
        <v>48.784578275276601</v>
      </c>
      <c r="AL3391">
        <v>96.772877033237094</v>
      </c>
      <c r="AM3391">
        <v>105.93802281846</v>
      </c>
      <c r="AN3391">
        <v>0.99999999993370903</v>
      </c>
    </row>
    <row r="3392" spans="1:40" x14ac:dyDescent="0.25">
      <c r="A3392" t="str">
        <f>"20190305135000049"</f>
        <v>20190305135000049</v>
      </c>
      <c r="B3392" t="str">
        <f>"1551765000043451"</f>
        <v>1551765000043451</v>
      </c>
      <c r="C3392" t="s">
        <v>40</v>
      </c>
      <c r="D3392">
        <v>4.1654799999999996</v>
      </c>
      <c r="E3392">
        <v>0.38482860000000002</v>
      </c>
      <c r="F3392" t="s">
        <v>84</v>
      </c>
      <c r="G3392">
        <v>-463.97210000000001</v>
      </c>
      <c r="H3392">
        <v>0.70889760000000002</v>
      </c>
      <c r="I3392">
        <v>197.51820000000001</v>
      </c>
      <c r="J3392">
        <v>-491.75450000000001</v>
      </c>
      <c r="K3392">
        <v>1.1113</v>
      </c>
      <c r="L3392">
        <v>237.5137</v>
      </c>
      <c r="M3392">
        <v>2.8585550000000001E-2</v>
      </c>
      <c r="N3392">
        <v>-1.148125E-2</v>
      </c>
      <c r="O3392">
        <v>-0.99952549999999996</v>
      </c>
      <c r="P3392">
        <v>0.29964079999999998</v>
      </c>
      <c r="Q3392">
        <v>-0.1261437</v>
      </c>
      <c r="R3392">
        <v>-0.94567630000000003</v>
      </c>
      <c r="S3392">
        <v>1.801453</v>
      </c>
      <c r="T3392">
        <v>-2.6080849999999999E-2</v>
      </c>
      <c r="U3392">
        <v>-2.6006010000000002</v>
      </c>
      <c r="V3392">
        <v>-0.27197979999999999</v>
      </c>
      <c r="W3392">
        <v>-0.1163694</v>
      </c>
      <c r="X3392">
        <v>0.95524089999999995</v>
      </c>
      <c r="Y3392">
        <v>-0.54564019999999902</v>
      </c>
      <c r="Z3392">
        <v>-3.0687090000000002E-3</v>
      </c>
      <c r="AA3392">
        <v>0.83801389999999998</v>
      </c>
      <c r="AB3392">
        <v>16</v>
      </c>
      <c r="AC3392">
        <v>27.782399999999999</v>
      </c>
      <c r="AD3392">
        <v>-0.40240239999999999</v>
      </c>
      <c r="AE3392">
        <v>-39.9954999999999</v>
      </c>
      <c r="AF3392">
        <v>-26.6258585622226</v>
      </c>
      <c r="AG3392">
        <v>-0.40240239999999999</v>
      </c>
      <c r="AH3392">
        <v>40.770597292877902</v>
      </c>
      <c r="AI3392">
        <v>90.473468657811395</v>
      </c>
      <c r="AJ3392">
        <v>123.147155793472</v>
      </c>
      <c r="AK3392">
        <v>48.6964051597758</v>
      </c>
      <c r="AL3392">
        <v>96.682616156721096</v>
      </c>
      <c r="AM3392">
        <v>105.89291354927801</v>
      </c>
      <c r="AN3392">
        <v>1.0000000129486</v>
      </c>
    </row>
    <row r="3393" spans="1:40" x14ac:dyDescent="0.25">
      <c r="A3393" t="str">
        <f>"20190305135000061"</f>
        <v>20190305135000061</v>
      </c>
      <c r="B3393" t="str">
        <f>"1551765000053212"</f>
        <v>1551765000053212</v>
      </c>
      <c r="C3393" t="s">
        <v>40</v>
      </c>
      <c r="D3393">
        <v>4.1621100000000002</v>
      </c>
      <c r="E3393">
        <v>0.38498070000000001</v>
      </c>
      <c r="F3393" t="s">
        <v>84</v>
      </c>
      <c r="G3393">
        <v>-463.98259999999999</v>
      </c>
      <c r="H3393">
        <v>0.83423709999999995</v>
      </c>
      <c r="I3393">
        <v>197.51820000000001</v>
      </c>
      <c r="J3393">
        <v>-491.74959999999999</v>
      </c>
      <c r="K3393">
        <v>1.1113390000000001</v>
      </c>
      <c r="L3393">
        <v>237.42500000000001</v>
      </c>
      <c r="M3393">
        <v>3.0636589999999998E-2</v>
      </c>
      <c r="N3393">
        <v>-1.143929E-2</v>
      </c>
      <c r="O3393">
        <v>-0.9994653</v>
      </c>
      <c r="P3393">
        <v>0.3011122</v>
      </c>
      <c r="Q3393">
        <v>-0.12595120000000001</v>
      </c>
      <c r="R3393">
        <v>-0.94523449999999998</v>
      </c>
      <c r="S3393">
        <v>1.8041689999999999</v>
      </c>
      <c r="T3393">
        <v>-1.7996669999999999E-2</v>
      </c>
      <c r="U3393">
        <v>-2.5982509999999999</v>
      </c>
      <c r="V3393">
        <v>-0.27149570000000001</v>
      </c>
      <c r="W3393">
        <v>-0.11623890000000001</v>
      </c>
      <c r="X3393">
        <v>0.95539450000000004</v>
      </c>
      <c r="Y3393">
        <v>-0.54486749999999995</v>
      </c>
      <c r="Z3393">
        <v>-5.5918169999999998E-3</v>
      </c>
      <c r="AA3393">
        <v>0.83850349999999996</v>
      </c>
      <c r="AB3393">
        <v>16</v>
      </c>
      <c r="AC3393">
        <v>27.766999999999999</v>
      </c>
      <c r="AD3393">
        <v>-0.27710189999999901</v>
      </c>
      <c r="AE3393">
        <v>-39.906799999999997</v>
      </c>
      <c r="AF3393">
        <v>-26.5304142165276</v>
      </c>
      <c r="AG3393">
        <v>-0.27710189999999901</v>
      </c>
      <c r="AH3393">
        <v>40.7374831487761</v>
      </c>
      <c r="AI3393">
        <v>90.326579048934605</v>
      </c>
      <c r="AJ3393">
        <v>123.074313311143</v>
      </c>
      <c r="AK3393">
        <v>48.615657943303901</v>
      </c>
      <c r="AL3393">
        <v>96.675087895793496</v>
      </c>
      <c r="AM3393">
        <v>105.86362841624</v>
      </c>
      <c r="AN3393">
        <v>1.0000000238109701</v>
      </c>
    </row>
    <row r="3394" spans="1:40" x14ac:dyDescent="0.25">
      <c r="A3394" t="str">
        <f>"20190305135000073"</f>
        <v>20190305135000073</v>
      </c>
      <c r="B3394" t="str">
        <f>"1551765000063949"</f>
        <v>1551765000063949</v>
      </c>
      <c r="C3394" t="s">
        <v>40</v>
      </c>
      <c r="D3394">
        <v>4.1751290000000001</v>
      </c>
      <c r="E3394">
        <v>0.38507839999999999</v>
      </c>
      <c r="F3394" t="s">
        <v>84</v>
      </c>
      <c r="G3394">
        <v>-463.97039999999998</v>
      </c>
      <c r="H3394">
        <v>0.82860330000000004</v>
      </c>
      <c r="I3394">
        <v>197.51820000000001</v>
      </c>
      <c r="J3394">
        <v>-491.74439999999998</v>
      </c>
      <c r="K3394">
        <v>1.111381</v>
      </c>
      <c r="L3394">
        <v>237.3339</v>
      </c>
      <c r="M3394">
        <v>3.2773209999999997E-2</v>
      </c>
      <c r="N3394">
        <v>-1.140001E-2</v>
      </c>
      <c r="O3394">
        <v>-0.99939800000000001</v>
      </c>
      <c r="P3394">
        <v>0.30265340000000002</v>
      </c>
      <c r="Q3394">
        <v>-0.12597939999999999</v>
      </c>
      <c r="R3394">
        <v>-0.94473839999999998</v>
      </c>
      <c r="S3394">
        <v>1.806915</v>
      </c>
      <c r="T3394">
        <v>-1.8388270000000002E-2</v>
      </c>
      <c r="U3394">
        <v>-2.5957490000000001</v>
      </c>
      <c r="V3394">
        <v>-0.27100069999999998</v>
      </c>
      <c r="W3394">
        <v>-0.1163278</v>
      </c>
      <c r="X3394">
        <v>0.95552409999999999</v>
      </c>
      <c r="Y3394">
        <v>-0.54405179999999997</v>
      </c>
      <c r="Z3394">
        <v>-5.4161620000000004E-3</v>
      </c>
      <c r="AA3394">
        <v>0.8390341</v>
      </c>
      <c r="AB3394">
        <v>17</v>
      </c>
      <c r="AC3394">
        <v>27.774000000000001</v>
      </c>
      <c r="AD3394">
        <v>-0.28277769999999902</v>
      </c>
      <c r="AE3394">
        <v>-39.8156999999999</v>
      </c>
      <c r="AF3394">
        <v>-26.453207864202898</v>
      </c>
      <c r="AG3394">
        <v>-0.28277769999999902</v>
      </c>
      <c r="AH3394">
        <v>40.703229821074501</v>
      </c>
      <c r="AI3394">
        <v>90.333754277774204</v>
      </c>
      <c r="AJ3394">
        <v>123.020016501263</v>
      </c>
      <c r="AK3394">
        <v>48.544877045900101</v>
      </c>
      <c r="AL3394">
        <v>96.6802169705023</v>
      </c>
      <c r="AM3394">
        <v>105.834117029447</v>
      </c>
      <c r="AN3394">
        <v>0.99999992106706603</v>
      </c>
    </row>
    <row r="3395" spans="1:40" x14ac:dyDescent="0.25">
      <c r="A3395" t="str">
        <f>"20190305135000086"</f>
        <v>20190305135000086</v>
      </c>
      <c r="B3395" t="str">
        <f>"1551765000083468"</f>
        <v>1551765000083468</v>
      </c>
      <c r="C3395" t="s">
        <v>40</v>
      </c>
      <c r="D3395">
        <v>4.1677739999999996</v>
      </c>
      <c r="E3395">
        <v>0.38538810000000001</v>
      </c>
      <c r="F3395" t="s">
        <v>84</v>
      </c>
      <c r="G3395">
        <v>-463.95119999999997</v>
      </c>
      <c r="H3395">
        <v>0.83574820000000005</v>
      </c>
      <c r="I3395">
        <v>197.51820000000001</v>
      </c>
      <c r="J3395">
        <v>-491.73869999999999</v>
      </c>
      <c r="K3395">
        <v>1.1114200000000001</v>
      </c>
      <c r="L3395">
        <v>237.2388</v>
      </c>
      <c r="M3395">
        <v>3.5056379999999998E-2</v>
      </c>
      <c r="N3395">
        <v>-1.1366329999999999E-2</v>
      </c>
      <c r="O3395">
        <v>-0.99932069999999995</v>
      </c>
      <c r="P3395">
        <v>0.30407580000000001</v>
      </c>
      <c r="Q3395">
        <v>-0.12670590000000001</v>
      </c>
      <c r="R3395">
        <v>-0.94418420000000003</v>
      </c>
      <c r="S3395">
        <v>1.810181</v>
      </c>
      <c r="T3395">
        <v>-1.7949699999999999E-2</v>
      </c>
      <c r="U3395">
        <v>-2.5932010000000001</v>
      </c>
      <c r="V3395">
        <v>-0.27024480000000001</v>
      </c>
      <c r="W3395">
        <v>-0.1171107</v>
      </c>
      <c r="X3395">
        <v>0.95564260000000001</v>
      </c>
      <c r="Y3395">
        <v>-0.54323239999999995</v>
      </c>
      <c r="Z3395">
        <v>-5.5107280000000003E-3</v>
      </c>
      <c r="AA3395">
        <v>0.83956430000000004</v>
      </c>
      <c r="AB3395">
        <v>17</v>
      </c>
      <c r="AC3395">
        <v>27.787500000000001</v>
      </c>
      <c r="AD3395">
        <v>-0.27567179999999902</v>
      </c>
      <c r="AE3395">
        <v>-39.720599999999898</v>
      </c>
      <c r="AF3395">
        <v>-26.377014387180601</v>
      </c>
      <c r="AG3395">
        <v>-0.27567179999999902</v>
      </c>
      <c r="AH3395">
        <v>40.669058879184199</v>
      </c>
      <c r="AI3395">
        <v>90.325838431220802</v>
      </c>
      <c r="AJ3395">
        <v>122.966512565222</v>
      </c>
      <c r="AK3395">
        <v>48.474686518237597</v>
      </c>
      <c r="AL3395">
        <v>96.725382196127796</v>
      </c>
      <c r="AM3395">
        <v>105.790296422159</v>
      </c>
      <c r="AN3395">
        <v>0.99999997345814395</v>
      </c>
    </row>
    <row r="3396" spans="1:40" x14ac:dyDescent="0.25">
      <c r="A3396" t="str">
        <f>"20190305135000104"</f>
        <v>20190305135000104</v>
      </c>
      <c r="B3396" t="str">
        <f>"1551765000093231"</f>
        <v>1551765000093231</v>
      </c>
      <c r="C3396" t="s">
        <v>40</v>
      </c>
      <c r="D3396">
        <v>4.1538919999999999</v>
      </c>
      <c r="E3396">
        <v>0.38550649999999997</v>
      </c>
      <c r="F3396" t="s">
        <v>84</v>
      </c>
      <c r="G3396">
        <v>-463.95179999999999</v>
      </c>
      <c r="H3396">
        <v>0.75592799999999905</v>
      </c>
      <c r="I3396">
        <v>197.51820000000001</v>
      </c>
      <c r="J3396">
        <v>-491.73070000000001</v>
      </c>
      <c r="K3396">
        <v>1.111464</v>
      </c>
      <c r="L3396">
        <v>237.1138</v>
      </c>
      <c r="M3396">
        <v>3.8149519999999999E-2</v>
      </c>
      <c r="N3396">
        <v>-1.133792E-2</v>
      </c>
      <c r="O3396">
        <v>-0.99920790000000004</v>
      </c>
      <c r="P3396">
        <v>0.30563309999999999</v>
      </c>
      <c r="Q3396">
        <v>-0.12856999999999999</v>
      </c>
      <c r="R3396">
        <v>-0.94342890000000001</v>
      </c>
      <c r="S3396">
        <v>1.8122860000000001</v>
      </c>
      <c r="T3396">
        <v>-2.318311E-2</v>
      </c>
      <c r="U3396">
        <v>-2.5906069999999999</v>
      </c>
      <c r="V3396">
        <v>-0.2688488</v>
      </c>
      <c r="W3396">
        <v>-0.1190321</v>
      </c>
      <c r="X3396">
        <v>0.95579899999999995</v>
      </c>
      <c r="Y3396">
        <v>-0.54148549999999995</v>
      </c>
      <c r="Z3396">
        <v>-3.792882E-3</v>
      </c>
      <c r="AA3396">
        <v>0.84070149999999999</v>
      </c>
      <c r="AB3396">
        <v>17</v>
      </c>
      <c r="AC3396">
        <v>27.7789</v>
      </c>
      <c r="AD3396">
        <v>-0.35553600000000002</v>
      </c>
      <c r="AE3396">
        <v>-39.595599999999898</v>
      </c>
      <c r="AF3396">
        <v>-26.2466074301188</v>
      </c>
      <c r="AG3396">
        <v>-0.35553600000000002</v>
      </c>
      <c r="AH3396">
        <v>40.624397001960503</v>
      </c>
      <c r="AI3396">
        <v>90.421174721732697</v>
      </c>
      <c r="AJ3396">
        <v>122.865691010045</v>
      </c>
      <c r="AK3396">
        <v>48.3668526907733</v>
      </c>
      <c r="AL3396">
        <v>96.836245464743797</v>
      </c>
      <c r="AM3396">
        <v>105.710322753556</v>
      </c>
      <c r="AN3396">
        <v>1.0000000232464199</v>
      </c>
    </row>
    <row r="3397" spans="1:40" x14ac:dyDescent="0.25">
      <c r="A3397" t="str">
        <f>"20190305135000119"</f>
        <v>20190305135000119</v>
      </c>
      <c r="B3397" t="str">
        <f>"1551765000113724"</f>
        <v>1551765000113724</v>
      </c>
      <c r="C3397" t="s">
        <v>40</v>
      </c>
      <c r="D3397">
        <v>4.5049789999999996</v>
      </c>
      <c r="E3397">
        <v>0.38598979999999999</v>
      </c>
      <c r="F3397" t="s">
        <v>84</v>
      </c>
      <c r="G3397">
        <v>-463.94319999999999</v>
      </c>
      <c r="H3397">
        <v>0.65629479999999996</v>
      </c>
      <c r="I3397">
        <v>197.51820000000001</v>
      </c>
      <c r="J3397">
        <v>-491.72340000000003</v>
      </c>
      <c r="K3397">
        <v>1.1115159999999999</v>
      </c>
      <c r="L3397">
        <v>237.00479999999999</v>
      </c>
      <c r="M3397">
        <v>4.0925129999999997E-2</v>
      </c>
      <c r="N3397">
        <v>-1.13262E-2</v>
      </c>
      <c r="O3397">
        <v>-0.99909820000000005</v>
      </c>
      <c r="P3397">
        <v>0.3074694</v>
      </c>
      <c r="Q3397">
        <v>-0.12934799999999999</v>
      </c>
      <c r="R3397">
        <v>-0.94272599999999995</v>
      </c>
      <c r="S3397">
        <v>1.815887</v>
      </c>
      <c r="T3397">
        <v>-2.9742480000000002E-2</v>
      </c>
      <c r="U3397">
        <v>-2.5875240000000002</v>
      </c>
      <c r="V3397">
        <v>-0.26804099999999997</v>
      </c>
      <c r="W3397">
        <v>-0.1198506</v>
      </c>
      <c r="X3397">
        <v>0.95592359999999998</v>
      </c>
      <c r="Y3397">
        <v>-0.54040219999999894</v>
      </c>
      <c r="Z3397">
        <v>-1.6670120000000001E-3</v>
      </c>
      <c r="AA3397">
        <v>0.84140519999999996</v>
      </c>
      <c r="AB3397">
        <v>17</v>
      </c>
      <c r="AC3397">
        <v>27.780200000000001</v>
      </c>
      <c r="AD3397">
        <v>-0.45522119999999899</v>
      </c>
      <c r="AE3397">
        <v>-39.486599999999903</v>
      </c>
      <c r="AF3397">
        <v>-26.138501818030601</v>
      </c>
      <c r="AG3397">
        <v>-0.45522119999999899</v>
      </c>
      <c r="AH3397">
        <v>40.586887253020599</v>
      </c>
      <c r="AI3397">
        <v>90.5402641257499</v>
      </c>
      <c r="AJ3397">
        <v>122.78208048136101</v>
      </c>
      <c r="AK3397">
        <v>48.2775716096153</v>
      </c>
      <c r="AL3397">
        <v>96.883480110038903</v>
      </c>
      <c r="AM3397">
        <v>105.663497646631</v>
      </c>
      <c r="AN3397">
        <v>1.0000000365191499</v>
      </c>
    </row>
    <row r="3398" spans="1:40" x14ac:dyDescent="0.25">
      <c r="A3398" t="str">
        <f>"20190305135000140"</f>
        <v>20190305135000140</v>
      </c>
      <c r="B3398" t="str">
        <f>"1551765000133244"</f>
        <v>1551765000133244</v>
      </c>
      <c r="C3398" t="s">
        <v>40</v>
      </c>
      <c r="D3398">
        <v>4.485811</v>
      </c>
      <c r="E3398">
        <v>0.44346279999999999</v>
      </c>
      <c r="F3398" t="s">
        <v>84</v>
      </c>
      <c r="G3398">
        <v>-463.95920000000001</v>
      </c>
      <c r="H3398">
        <v>0.62285230000000003</v>
      </c>
      <c r="I3398">
        <v>197.51820000000001</v>
      </c>
      <c r="J3398">
        <v>-491.71280000000002</v>
      </c>
      <c r="K3398">
        <v>1.1115889999999999</v>
      </c>
      <c r="L3398">
        <v>236.85599999999999</v>
      </c>
      <c r="M3398">
        <v>4.4831290000000003E-2</v>
      </c>
      <c r="N3398">
        <v>-1.1325109999999999E-2</v>
      </c>
      <c r="O3398">
        <v>-0.99893050000000005</v>
      </c>
      <c r="P3398">
        <v>0.30878870000000003</v>
      </c>
      <c r="Q3398">
        <v>-0.12988169999999999</v>
      </c>
      <c r="R3398">
        <v>-0.94222099999999998</v>
      </c>
      <c r="S3398">
        <v>1.8176570000000001</v>
      </c>
      <c r="T3398">
        <v>-3.1989219999999999E-2</v>
      </c>
      <c r="U3398">
        <v>-2.585083</v>
      </c>
      <c r="V3398">
        <v>-0.26562239999999998</v>
      </c>
      <c r="W3398">
        <v>-0.1204157</v>
      </c>
      <c r="X3398">
        <v>0.95652749999999997</v>
      </c>
      <c r="Y3398">
        <v>-0.53786809999999996</v>
      </c>
      <c r="Z3398">
        <v>-9.2092620000000004E-4</v>
      </c>
      <c r="AA3398">
        <v>0.84302849999999996</v>
      </c>
      <c r="AB3398">
        <v>17</v>
      </c>
      <c r="AC3398">
        <v>27.753599999999999</v>
      </c>
      <c r="AD3398">
        <v>-0.48873669999999902</v>
      </c>
      <c r="AE3398">
        <v>-39.337799999999902</v>
      </c>
      <c r="AF3398">
        <v>-25.959339621277199</v>
      </c>
      <c r="AG3398">
        <v>-0.48873669999999902</v>
      </c>
      <c r="AH3398">
        <v>40.538375090087897</v>
      </c>
      <c r="AI3398">
        <v>90.5816965427599</v>
      </c>
      <c r="AJ3398">
        <v>122.63405972463499</v>
      </c>
      <c r="AK3398">
        <v>48.140274532655098</v>
      </c>
      <c r="AL3398">
        <v>96.916094202807301</v>
      </c>
      <c r="AM3398">
        <v>105.51967979445401</v>
      </c>
      <c r="AN3398">
        <v>1.00000002922224</v>
      </c>
    </row>
    <row r="3399" spans="1:40" x14ac:dyDescent="0.25">
      <c r="A3399" t="str">
        <f>"20190305135000154"</f>
        <v>20190305135000154</v>
      </c>
      <c r="B3399" t="str">
        <f>"1551765000143980"</f>
        <v>1551765000143980</v>
      </c>
      <c r="C3399" t="s">
        <v>40</v>
      </c>
      <c r="D3399">
        <v>4.3473879999999996</v>
      </c>
      <c r="E3399">
        <v>0.50781140000000002</v>
      </c>
      <c r="F3399" t="s">
        <v>62</v>
      </c>
      <c r="G3399">
        <v>-478.87819999999999</v>
      </c>
      <c r="H3399" s="1">
        <v>1.888009E-6</v>
      </c>
      <c r="I3399">
        <v>211.566</v>
      </c>
      <c r="J3399">
        <v>-491.7047</v>
      </c>
      <c r="K3399">
        <v>1.111648</v>
      </c>
      <c r="L3399">
        <v>236.74879999999999</v>
      </c>
      <c r="M3399">
        <v>4.7729790000000001E-2</v>
      </c>
      <c r="N3399">
        <v>-1.132997E-2</v>
      </c>
      <c r="O3399">
        <v>-0.99879620000000002</v>
      </c>
      <c r="P3399">
        <v>0.31025350000000002</v>
      </c>
      <c r="Q3399">
        <v>-0.1299643</v>
      </c>
      <c r="R3399">
        <v>-0.94172829999999996</v>
      </c>
      <c r="S3399">
        <v>1.3782650000000001</v>
      </c>
      <c r="T3399">
        <v>-0.1193697</v>
      </c>
      <c r="U3399">
        <v>-2.715805</v>
      </c>
      <c r="V3399">
        <v>-0.2643199</v>
      </c>
      <c r="W3399">
        <v>-0.1205194</v>
      </c>
      <c r="X3399">
        <v>0.95687509999999998</v>
      </c>
      <c r="Y3399">
        <v>-0.4091825</v>
      </c>
      <c r="Z3399">
        <v>2.8326009999999999E-2</v>
      </c>
      <c r="AA3399">
        <v>0.91201279999999996</v>
      </c>
      <c r="AB3399">
        <v>17</v>
      </c>
      <c r="AC3399">
        <v>12.826499999999999</v>
      </c>
      <c r="AD3399">
        <v>-1.1116461119909999</v>
      </c>
      <c r="AE3399">
        <v>-25.1828</v>
      </c>
      <c r="AF3399">
        <v>-11.591897586909001</v>
      </c>
      <c r="AG3399">
        <v>-1.1116461119909999</v>
      </c>
      <c r="AH3399">
        <v>25.7265356867313</v>
      </c>
      <c r="AI3399">
        <v>92.256037339179699</v>
      </c>
      <c r="AJ3399">
        <v>114.255439753348</v>
      </c>
      <c r="AK3399">
        <v>28.2393782719158</v>
      </c>
      <c r="AL3399">
        <v>96.922079941107597</v>
      </c>
      <c r="AM3399">
        <v>105.441877024467</v>
      </c>
      <c r="AN3399">
        <v>0.99999994615618804</v>
      </c>
    </row>
    <row r="3400" spans="1:40" x14ac:dyDescent="0.25">
      <c r="A3400" t="str">
        <f>"20190305135000172"</f>
        <v>20190305135000172</v>
      </c>
      <c r="B3400" t="str">
        <f>"1551765000163499"</f>
        <v>1551765000163499</v>
      </c>
      <c r="C3400" t="s">
        <v>40</v>
      </c>
      <c r="D3400">
        <v>4.268281</v>
      </c>
      <c r="E3400">
        <v>0.52212939999999997</v>
      </c>
      <c r="F3400" t="s">
        <v>62</v>
      </c>
      <c r="G3400">
        <v>-488.17489999999998</v>
      </c>
      <c r="H3400" s="1">
        <v>4.8403390000000001E-6</v>
      </c>
      <c r="I3400">
        <v>225.30260000000001</v>
      </c>
      <c r="J3400">
        <v>-491.69400000000002</v>
      </c>
      <c r="K3400">
        <v>1.1117239999999999</v>
      </c>
      <c r="L3400">
        <v>236.61439999999999</v>
      </c>
      <c r="M3400">
        <v>5.1467039999999999E-2</v>
      </c>
      <c r="N3400">
        <v>-1.133782E-2</v>
      </c>
      <c r="O3400">
        <v>-0.99861049999999996</v>
      </c>
      <c r="P3400">
        <v>0.311419</v>
      </c>
      <c r="Q3400">
        <v>-0.13014800000000001</v>
      </c>
      <c r="R3400">
        <v>-0.9413184</v>
      </c>
      <c r="S3400">
        <v>0.881073</v>
      </c>
      <c r="T3400">
        <v>-0.27747959999999999</v>
      </c>
      <c r="U3400">
        <v>-2.8571010000000001</v>
      </c>
      <c r="V3400">
        <v>-0.26190570000000002</v>
      </c>
      <c r="W3400">
        <v>-0.1207211</v>
      </c>
      <c r="X3400">
        <v>0.95751339999999996</v>
      </c>
      <c r="Y3400">
        <v>-0.24398700000000001</v>
      </c>
      <c r="Z3400">
        <v>8.1670480000000004E-2</v>
      </c>
      <c r="AA3400">
        <v>0.96633340000000001</v>
      </c>
      <c r="AB3400">
        <v>17</v>
      </c>
      <c r="AC3400">
        <v>3.5191000000000301</v>
      </c>
      <c r="AD3400">
        <v>-1.1117191596610001</v>
      </c>
      <c r="AE3400">
        <v>-11.3117999999999</v>
      </c>
      <c r="AF3400">
        <v>-2.9066160580236402</v>
      </c>
      <c r="AG3400">
        <v>-1.1117191596610001</v>
      </c>
      <c r="AH3400">
        <v>11.377737099350799</v>
      </c>
      <c r="AI3400">
        <v>95.408054908764896</v>
      </c>
      <c r="AJ3400">
        <v>104.33057652158401</v>
      </c>
      <c r="AK3400">
        <v>11.7956448700638</v>
      </c>
      <c r="AL3400">
        <v>96.933720807013202</v>
      </c>
      <c r="AM3400">
        <v>105.297755041008</v>
      </c>
      <c r="AN3400">
        <v>1.00000004542862</v>
      </c>
    </row>
    <row r="3401" spans="1:40" x14ac:dyDescent="0.25">
      <c r="A3401" t="str">
        <f>"20190305135000193"</f>
        <v>20190305135000193</v>
      </c>
      <c r="B3401" t="str">
        <f>"1551765000183996"</f>
        <v>1551765000183996</v>
      </c>
      <c r="C3401" t="s">
        <v>40</v>
      </c>
      <c r="D3401">
        <v>4.2057219999999997</v>
      </c>
      <c r="E3401">
        <v>0.52490539999999997</v>
      </c>
      <c r="F3401" t="s">
        <v>62</v>
      </c>
      <c r="G3401">
        <v>-488.36130000000003</v>
      </c>
      <c r="H3401" s="1">
        <v>4.6073010000000002E-6</v>
      </c>
      <c r="I3401">
        <v>224.22049999999999</v>
      </c>
      <c r="J3401">
        <v>-491.68090000000001</v>
      </c>
      <c r="K3401">
        <v>1.1118030000000001</v>
      </c>
      <c r="L3401">
        <v>236.46090000000001</v>
      </c>
      <c r="M3401">
        <v>5.5883839999999997E-2</v>
      </c>
      <c r="N3401">
        <v>-1.134726E-2</v>
      </c>
      <c r="O3401">
        <v>-0.99837290000000001</v>
      </c>
      <c r="P3401">
        <v>0.31380069999999999</v>
      </c>
      <c r="Q3401">
        <v>-0.13048370000000001</v>
      </c>
      <c r="R3401">
        <v>-0.94048030000000005</v>
      </c>
      <c r="S3401">
        <v>0.77810669999999904</v>
      </c>
      <c r="T3401">
        <v>-0.2595652</v>
      </c>
      <c r="U3401">
        <v>-2.8937529999999998</v>
      </c>
      <c r="V3401">
        <v>-0.26007380000000002</v>
      </c>
      <c r="W3401">
        <v>-0.1210832</v>
      </c>
      <c r="X3401">
        <v>0.95796689999999995</v>
      </c>
      <c r="Y3401">
        <v>-0.20444119999999999</v>
      </c>
      <c r="Z3401">
        <v>7.5436230000000007E-2</v>
      </c>
      <c r="AA3401">
        <v>0.97596780000000005</v>
      </c>
      <c r="AB3401">
        <v>17</v>
      </c>
      <c r="AC3401">
        <v>3.3195999999999799</v>
      </c>
      <c r="AD3401">
        <v>-1.111798392699</v>
      </c>
      <c r="AE3401">
        <v>-12.240399999999999</v>
      </c>
      <c r="AF3401">
        <v>-2.6102675227072898</v>
      </c>
      <c r="AG3401">
        <v>-1.111798392699</v>
      </c>
      <c r="AH3401">
        <v>12.312175156010399</v>
      </c>
      <c r="AI3401">
        <v>95.048250477155705</v>
      </c>
      <c r="AJ3401">
        <v>101.969871102881</v>
      </c>
      <c r="AK3401">
        <v>12.6348426693168</v>
      </c>
      <c r="AL3401">
        <v>96.954620875350699</v>
      </c>
      <c r="AM3401">
        <v>105.188857186036</v>
      </c>
      <c r="AN3401">
        <v>1.0000000521321399</v>
      </c>
    </row>
    <row r="3402" spans="1:40" x14ac:dyDescent="0.25">
      <c r="A3402" t="str">
        <f>"20190305135000205"</f>
        <v>20190305135000205</v>
      </c>
      <c r="B3402" t="str">
        <f>"1551765000193756"</f>
        <v>1551765000193756</v>
      </c>
      <c r="C3402" t="s">
        <v>40</v>
      </c>
      <c r="D3402">
        <v>4.1738309999999998</v>
      </c>
      <c r="E3402">
        <v>0.52542609999999901</v>
      </c>
      <c r="F3402" t="s">
        <v>62</v>
      </c>
      <c r="G3402">
        <v>-488.30579999999998</v>
      </c>
      <c r="H3402" s="1">
        <v>4.4233980000000002E-6</v>
      </c>
      <c r="I3402">
        <v>223.66659999999999</v>
      </c>
      <c r="J3402">
        <v>-491.67290000000003</v>
      </c>
      <c r="K3402">
        <v>1.1118479999999999</v>
      </c>
      <c r="L3402">
        <v>236.3716</v>
      </c>
      <c r="M3402">
        <v>5.8519370000000001E-2</v>
      </c>
      <c r="N3402">
        <v>-1.1353790000000001E-2</v>
      </c>
      <c r="O3402">
        <v>-0.99822169999999999</v>
      </c>
      <c r="P3402">
        <v>0.31565520000000002</v>
      </c>
      <c r="Q3402">
        <v>-0.13025719999999999</v>
      </c>
      <c r="R3402">
        <v>-0.93989109999999998</v>
      </c>
      <c r="S3402">
        <v>0.76492309999999997</v>
      </c>
      <c r="T3402">
        <v>-0.2519748</v>
      </c>
      <c r="U3402">
        <v>-2.8996729999999999</v>
      </c>
      <c r="V3402">
        <v>-0.25942169999999998</v>
      </c>
      <c r="W3402">
        <v>-0.12087249999999999</v>
      </c>
      <c r="X3402">
        <v>0.95817019999999997</v>
      </c>
      <c r="Y3402">
        <v>-0.19726389999999999</v>
      </c>
      <c r="Z3402">
        <v>7.2840619999999995E-2</v>
      </c>
      <c r="AA3402">
        <v>0.97764059999999997</v>
      </c>
      <c r="AB3402">
        <v>17</v>
      </c>
      <c r="AC3402">
        <v>3.3671000000000499</v>
      </c>
      <c r="AD3402">
        <v>-1.1118435766019901</v>
      </c>
      <c r="AE3402">
        <v>-12.705</v>
      </c>
      <c r="AF3402">
        <v>-2.5991931292389499</v>
      </c>
      <c r="AG3402">
        <v>-1.1118435766019901</v>
      </c>
      <c r="AH3402">
        <v>12.788763707955299</v>
      </c>
      <c r="AI3402">
        <v>94.869685827868295</v>
      </c>
      <c r="AJ3402">
        <v>101.488339761303</v>
      </c>
      <c r="AK3402">
        <v>13.097498930705401</v>
      </c>
      <c r="AL3402">
        <v>96.942460002381097</v>
      </c>
      <c r="AM3402">
        <v>105.149459053143</v>
      </c>
      <c r="AN3402">
        <v>0.99999995592758895</v>
      </c>
    </row>
    <row r="3403" spans="1:40" x14ac:dyDescent="0.25">
      <c r="A3403" t="str">
        <f>"20190305135000219"</f>
        <v>20190305135000219</v>
      </c>
      <c r="B3403" t="str">
        <f>"1551765000213275"</f>
        <v>1551765000213275</v>
      </c>
      <c r="C3403" t="s">
        <v>40</v>
      </c>
      <c r="D3403">
        <v>4.0291079999999999</v>
      </c>
      <c r="E3403">
        <v>0.52612749999999997</v>
      </c>
      <c r="F3403" t="s">
        <v>62</v>
      </c>
      <c r="G3403">
        <v>-488.24419999999998</v>
      </c>
      <c r="H3403" s="1">
        <v>4.3285479999999998E-6</v>
      </c>
      <c r="I3403">
        <v>223.40440000000001</v>
      </c>
      <c r="J3403">
        <v>-491.66449999999998</v>
      </c>
      <c r="K3403">
        <v>1.1118889999999999</v>
      </c>
      <c r="L3403">
        <v>236.28059999999999</v>
      </c>
      <c r="M3403">
        <v>6.125767E-2</v>
      </c>
      <c r="N3403">
        <v>-1.1362250000000001E-2</v>
      </c>
      <c r="O3403">
        <v>-0.99805730000000004</v>
      </c>
      <c r="P3403">
        <v>0.31756869999999998</v>
      </c>
      <c r="Q3403">
        <v>-0.1301821</v>
      </c>
      <c r="R3403">
        <v>-0.93925639999999999</v>
      </c>
      <c r="S3403">
        <v>0.76678469999999999</v>
      </c>
      <c r="T3403">
        <v>-0.2486477</v>
      </c>
      <c r="U3403">
        <v>-2.899902</v>
      </c>
      <c r="V3403">
        <v>-0.25873230000000003</v>
      </c>
      <c r="W3403">
        <v>-0.12081020000000001</v>
      </c>
      <c r="X3403">
        <v>0.95836449999999995</v>
      </c>
      <c r="Y3403">
        <v>-0.19516510000000001</v>
      </c>
      <c r="Z3403">
        <v>7.1717340000000004E-2</v>
      </c>
      <c r="AA3403">
        <v>0.97814480000000004</v>
      </c>
      <c r="AB3403">
        <v>17</v>
      </c>
      <c r="AC3403">
        <v>3.4202999999999899</v>
      </c>
      <c r="AD3403">
        <v>-1.1118846714520001</v>
      </c>
      <c r="AE3403">
        <v>-12.8761999999999</v>
      </c>
      <c r="AF3403">
        <v>-2.6069012755782901</v>
      </c>
      <c r="AG3403">
        <v>-1.1118846714520001</v>
      </c>
      <c r="AH3403">
        <v>12.9712013455121</v>
      </c>
      <c r="AI3403">
        <v>94.803795438823798</v>
      </c>
      <c r="AJ3403">
        <v>101.363696982844</v>
      </c>
      <c r="AK3403">
        <v>13.2772092748829</v>
      </c>
      <c r="AL3403">
        <v>96.938863738728699</v>
      </c>
      <c r="AM3403">
        <v>105.10811991231699</v>
      </c>
      <c r="AN3403">
        <v>1.0000000111737899</v>
      </c>
    </row>
    <row r="3404" spans="1:40" x14ac:dyDescent="0.25">
      <c r="A3404" t="str">
        <f>"20190305135000239"</f>
        <v>20190305135000239</v>
      </c>
      <c r="B3404" t="str">
        <f>"1551765000233774"</f>
        <v>1551765000233774</v>
      </c>
      <c r="C3404" t="s">
        <v>40</v>
      </c>
      <c r="D3404">
        <v>4.1481199999999996</v>
      </c>
      <c r="E3404">
        <v>0.52623279999999995</v>
      </c>
      <c r="F3404" t="s">
        <v>62</v>
      </c>
      <c r="G3404">
        <v>-488.13350000000003</v>
      </c>
      <c r="H3404" s="1">
        <v>4.1634410000000003E-6</v>
      </c>
      <c r="I3404">
        <v>222.95079999999999</v>
      </c>
      <c r="J3404">
        <v>-491.64949999999999</v>
      </c>
      <c r="K3404">
        <v>1.1119509999999999</v>
      </c>
      <c r="L3404">
        <v>236.12790000000001</v>
      </c>
      <c r="M3404">
        <v>6.5967869999999998E-2</v>
      </c>
      <c r="N3404">
        <v>-1.1379459999999999E-2</v>
      </c>
      <c r="O3404">
        <v>-0.99775689999999995</v>
      </c>
      <c r="P3404">
        <v>0.32051109999999999</v>
      </c>
      <c r="Q3404">
        <v>-0.13049059999999901</v>
      </c>
      <c r="R3404">
        <v>-0.93821390000000005</v>
      </c>
      <c r="S3404">
        <v>0.76837159999999904</v>
      </c>
      <c r="T3404">
        <v>-0.24195439999999999</v>
      </c>
      <c r="U3404">
        <v>-2.900665</v>
      </c>
      <c r="V3404">
        <v>-0.2571946</v>
      </c>
      <c r="W3404">
        <v>-0.1211347</v>
      </c>
      <c r="X3404">
        <v>0.95873739999999996</v>
      </c>
      <c r="Y3404">
        <v>-0.1910164</v>
      </c>
      <c r="Z3404">
        <v>6.9458309999999995E-2</v>
      </c>
      <c r="AA3404">
        <v>0.9791263</v>
      </c>
      <c r="AB3404">
        <v>17</v>
      </c>
      <c r="AC3404">
        <v>3.51599999999996</v>
      </c>
      <c r="AD3404">
        <v>-1.111946836559</v>
      </c>
      <c r="AE3404">
        <v>-13.177099999999999</v>
      </c>
      <c r="AF3404">
        <v>-2.621591734391</v>
      </c>
      <c r="AG3404">
        <v>-1.111946836559</v>
      </c>
      <c r="AH3404">
        <v>13.2919925662005</v>
      </c>
      <c r="AI3404">
        <v>94.691993035408004</v>
      </c>
      <c r="AJ3404">
        <v>101.15729635357</v>
      </c>
      <c r="AK3404">
        <v>13.593610093315601</v>
      </c>
      <c r="AL3404">
        <v>96.957593573515894</v>
      </c>
      <c r="AM3404">
        <v>105.01682032019001</v>
      </c>
      <c r="AN3404">
        <v>1.0000000399860001</v>
      </c>
    </row>
    <row r="3405" spans="1:40" x14ac:dyDescent="0.25">
      <c r="A3405" t="str">
        <f>"20190305135000252"</f>
        <v>20190305135000252</v>
      </c>
      <c r="B3405" t="str">
        <f>"1551765000243532"</f>
        <v>1551765000243532</v>
      </c>
      <c r="C3405" t="s">
        <v>40</v>
      </c>
      <c r="D3405">
        <v>4.4927320000000002</v>
      </c>
      <c r="E3405">
        <v>0.52650039999999998</v>
      </c>
      <c r="F3405" t="s">
        <v>62</v>
      </c>
      <c r="G3405">
        <v>-488.06529999999998</v>
      </c>
      <c r="H3405" s="1">
        <v>4.0869029999999997E-6</v>
      </c>
      <c r="I3405">
        <v>222.7525</v>
      </c>
      <c r="J3405">
        <v>-491.63990000000001</v>
      </c>
      <c r="K3405">
        <v>1.111996</v>
      </c>
      <c r="L3405">
        <v>236.03299999999999</v>
      </c>
      <c r="M3405">
        <v>6.8967580000000001E-2</v>
      </c>
      <c r="N3405">
        <v>-1.1391500000000001E-2</v>
      </c>
      <c r="O3405">
        <v>-0.99755400000000005</v>
      </c>
      <c r="P3405">
        <v>0.32289469999999998</v>
      </c>
      <c r="Q3405">
        <v>-0.13082769999999999</v>
      </c>
      <c r="R3405">
        <v>-0.93734919999999999</v>
      </c>
      <c r="S3405">
        <v>0.77676389999999995</v>
      </c>
      <c r="T3405">
        <v>-0.24097969999999999</v>
      </c>
      <c r="U3405">
        <v>-2.8987120000000002</v>
      </c>
      <c r="V3405">
        <v>-0.25673620000000003</v>
      </c>
      <c r="W3405">
        <v>-0.1214865</v>
      </c>
      <c r="X3405">
        <v>0.95881570000000005</v>
      </c>
      <c r="Y3405">
        <v>-0.19088160000000001</v>
      </c>
      <c r="Z3405">
        <v>6.9127889999999997E-2</v>
      </c>
      <c r="AA3405">
        <v>0.97917589999999999</v>
      </c>
      <c r="AB3405">
        <v>17</v>
      </c>
      <c r="AC3405">
        <v>3.57460000000003</v>
      </c>
      <c r="AD3405">
        <v>-1.111991913097</v>
      </c>
      <c r="AE3405">
        <v>-13.2804999999999</v>
      </c>
      <c r="AF3405">
        <v>-2.6328921718677898</v>
      </c>
      <c r="AG3405">
        <v>-1.111991913097</v>
      </c>
      <c r="AH3405">
        <v>13.4077706252521</v>
      </c>
      <c r="AI3405">
        <v>94.652598252940095</v>
      </c>
      <c r="AJ3405">
        <v>101.109843241718</v>
      </c>
      <c r="AK3405">
        <v>13.709010188297601</v>
      </c>
      <c r="AL3405">
        <v>96.977900506879706</v>
      </c>
      <c r="AM3405">
        <v>104.990092495461</v>
      </c>
      <c r="AN3405">
        <v>0.99999999631959002</v>
      </c>
    </row>
    <row r="3406" spans="1:40" x14ac:dyDescent="0.25">
      <c r="A3406" t="str">
        <f>"20190305135000264"</f>
        <v>20190305135000264</v>
      </c>
      <c r="B3406" t="str">
        <f>"1551765000253292"</f>
        <v>1551765000253292</v>
      </c>
      <c r="C3406" t="s">
        <v>40</v>
      </c>
      <c r="D3406">
        <v>4.1155239999999997</v>
      </c>
      <c r="E3406">
        <v>0.52665580000000001</v>
      </c>
      <c r="F3406" t="s">
        <v>62</v>
      </c>
      <c r="G3406">
        <v>-488.01400000000001</v>
      </c>
      <c r="H3406" s="1">
        <v>4.0293069999999997E-6</v>
      </c>
      <c r="I3406">
        <v>222.60329999999999</v>
      </c>
      <c r="J3406">
        <v>-491.63049999999998</v>
      </c>
      <c r="K3406">
        <v>1.1120380000000001</v>
      </c>
      <c r="L3406">
        <v>235.94390000000001</v>
      </c>
      <c r="M3406">
        <v>7.186091E-2</v>
      </c>
      <c r="N3406">
        <v>-1.140355E-2</v>
      </c>
      <c r="O3406">
        <v>-0.99734959999999995</v>
      </c>
      <c r="P3406">
        <v>0.32523999999999997</v>
      </c>
      <c r="Q3406">
        <v>-0.13140270000000001</v>
      </c>
      <c r="R3406">
        <v>-0.93645769999999995</v>
      </c>
      <c r="S3406">
        <v>0.78231809999999902</v>
      </c>
      <c r="T3406">
        <v>-0.2399191</v>
      </c>
      <c r="U3406">
        <v>-2.8975520000000001</v>
      </c>
      <c r="V3406">
        <v>-0.25634410000000002</v>
      </c>
      <c r="W3406">
        <v>-0.1220767</v>
      </c>
      <c r="X3406">
        <v>0.95884570000000002</v>
      </c>
      <c r="Y3406">
        <v>-0.18989010000000001</v>
      </c>
      <c r="Z3406">
        <v>6.8763749999999998E-2</v>
      </c>
      <c r="AA3406">
        <v>0.9793944</v>
      </c>
      <c r="AB3406">
        <v>17</v>
      </c>
      <c r="AC3406">
        <v>3.6164999999999701</v>
      </c>
      <c r="AD3406">
        <v>-1.11203397069299</v>
      </c>
      <c r="AE3406">
        <v>-13.3406</v>
      </c>
      <c r="AF3406">
        <v>-2.6313867832784599</v>
      </c>
      <c r="AG3406">
        <v>-1.11203397069299</v>
      </c>
      <c r="AH3406">
        <v>13.4787630160486</v>
      </c>
      <c r="AI3406">
        <v>94.629370050746601</v>
      </c>
      <c r="AJ3406">
        <v>101.04660843042301</v>
      </c>
      <c r="AK3406">
        <v>13.7781663655941</v>
      </c>
      <c r="AL3406">
        <v>97.011969699347304</v>
      </c>
      <c r="AM3406">
        <v>104.967779841238</v>
      </c>
      <c r="AN3406">
        <v>1.0000000473480899</v>
      </c>
    </row>
    <row r="3407" spans="1:40" x14ac:dyDescent="0.25">
      <c r="A3407" t="str">
        <f>"20190305135000283"</f>
        <v>20190305135000283</v>
      </c>
      <c r="B3407" t="str">
        <f>"1551765000273788"</f>
        <v>1551765000273788</v>
      </c>
      <c r="C3407" t="s">
        <v>40</v>
      </c>
      <c r="D3407">
        <v>4.1527839999999996</v>
      </c>
      <c r="E3407">
        <v>0.52683869999999999</v>
      </c>
      <c r="F3407" t="s">
        <v>62</v>
      </c>
      <c r="G3407">
        <v>-487.98660000000001</v>
      </c>
      <c r="H3407" s="1">
        <v>4.0109519999999997E-6</v>
      </c>
      <c r="I3407">
        <v>222.56360000000001</v>
      </c>
      <c r="J3407">
        <v>-491.61509999999998</v>
      </c>
      <c r="K3407">
        <v>1.112109</v>
      </c>
      <c r="L3407">
        <v>235.8047</v>
      </c>
      <c r="M3407">
        <v>7.6482540000000002E-2</v>
      </c>
      <c r="N3407">
        <v>-1.1419489999999999E-2</v>
      </c>
      <c r="O3407">
        <v>-0.99700569999999999</v>
      </c>
      <c r="P3407">
        <v>0.32990510000000001</v>
      </c>
      <c r="Q3407">
        <v>-0.13261329999999999</v>
      </c>
      <c r="R3407">
        <v>-0.93465299999999996</v>
      </c>
      <c r="S3407">
        <v>0.78863530000000004</v>
      </c>
      <c r="T3407">
        <v>-0.24067649999999999</v>
      </c>
      <c r="U3407">
        <v>-2.8958740000000001</v>
      </c>
      <c r="V3407">
        <v>-0.25666309999999998</v>
      </c>
      <c r="W3407">
        <v>-0.1233249</v>
      </c>
      <c r="X3407">
        <v>0.95860060000000002</v>
      </c>
      <c r="Y3407">
        <v>-0.18746889999999999</v>
      </c>
      <c r="Z3407">
        <v>6.9006680000000001E-2</v>
      </c>
      <c r="AA3407">
        <v>0.97984360000000004</v>
      </c>
      <c r="AB3407">
        <v>17</v>
      </c>
      <c r="AC3407">
        <v>3.6284999999999701</v>
      </c>
      <c r="AD3407">
        <v>-1.1121049890479999</v>
      </c>
      <c r="AE3407">
        <v>-13.2410999999999</v>
      </c>
      <c r="AF3407">
        <v>-2.58810998866897</v>
      </c>
      <c r="AG3407">
        <v>-1.1121049890479999</v>
      </c>
      <c r="AH3407">
        <v>13.3919754660474</v>
      </c>
      <c r="AI3407">
        <v>94.661243332532095</v>
      </c>
      <c r="AJ3407">
        <v>100.93803941162901</v>
      </c>
      <c r="AK3407">
        <v>13.685031885360299</v>
      </c>
      <c r="AL3407">
        <v>97.084030830790098</v>
      </c>
      <c r="AM3407">
        <v>104.989227810279</v>
      </c>
      <c r="AN3407">
        <v>1.00000004409098</v>
      </c>
    </row>
    <row r="3408" spans="1:40" x14ac:dyDescent="0.25">
      <c r="A3408" t="str">
        <f>"20190305135000296"</f>
        <v>20190305135000296</v>
      </c>
      <c r="B3408" t="str">
        <f>"1551765000293308"</f>
        <v>1551765000293308</v>
      </c>
      <c r="C3408" t="s">
        <v>40</v>
      </c>
      <c r="D3408">
        <v>4.12256</v>
      </c>
      <c r="E3408">
        <v>0.52688380000000001</v>
      </c>
      <c r="F3408" t="s">
        <v>62</v>
      </c>
      <c r="G3408">
        <v>-487.94189999999998</v>
      </c>
      <c r="H3408" s="1">
        <v>3.9986610000000003E-6</v>
      </c>
      <c r="I3408">
        <v>222.55600000000001</v>
      </c>
      <c r="J3408">
        <v>-491.6046</v>
      </c>
      <c r="K3408">
        <v>1.1121620000000001</v>
      </c>
      <c r="L3408">
        <v>235.7139</v>
      </c>
      <c r="M3408">
        <v>7.9569669999999995E-2</v>
      </c>
      <c r="N3408">
        <v>-1.142786E-2</v>
      </c>
      <c r="O3408">
        <v>-0.99676399999999998</v>
      </c>
      <c r="P3408">
        <v>0.33313189999999998</v>
      </c>
      <c r="Q3408">
        <v>-0.13334969999999999</v>
      </c>
      <c r="R3408">
        <v>-0.9334036</v>
      </c>
      <c r="S3408">
        <v>0.80187989999999998</v>
      </c>
      <c r="T3408">
        <v>-0.24277940000000001</v>
      </c>
      <c r="U3408">
        <v>-2.8922729999999999</v>
      </c>
      <c r="V3408">
        <v>-0.25699250000000001</v>
      </c>
      <c r="W3408">
        <v>-0.1240907</v>
      </c>
      <c r="X3408">
        <v>0.95841350000000003</v>
      </c>
      <c r="Y3408">
        <v>-0.18889339999999999</v>
      </c>
      <c r="Z3408">
        <v>6.9710510000000003E-2</v>
      </c>
      <c r="AA3408">
        <v>0.9795201</v>
      </c>
      <c r="AB3408">
        <v>17</v>
      </c>
      <c r="AC3408">
        <v>3.6627000000000201</v>
      </c>
      <c r="AD3408">
        <v>-1.112158001339</v>
      </c>
      <c r="AE3408">
        <v>-13.1579</v>
      </c>
      <c r="AF3408">
        <v>-2.5868948023093798</v>
      </c>
      <c r="AG3408">
        <v>-1.112158001339</v>
      </c>
      <c r="AH3408">
        <v>13.319319659925499</v>
      </c>
      <c r="AI3408">
        <v>94.685940553165494</v>
      </c>
      <c r="AJ3408">
        <v>100.991217662187</v>
      </c>
      <c r="AK3408">
        <v>13.613713539715601</v>
      </c>
      <c r="AL3408">
        <v>97.128247595995603</v>
      </c>
      <c r="AM3408">
        <v>105.010395076091</v>
      </c>
      <c r="AN3408">
        <v>1.0000000419324899</v>
      </c>
    </row>
    <row r="3409" spans="1:40" x14ac:dyDescent="0.25">
      <c r="A3409" t="str">
        <f>"20190305135000308"</f>
        <v>20190305135000308</v>
      </c>
      <c r="B3409" t="str">
        <f>"1551765000304044"</f>
        <v>1551765000304044</v>
      </c>
      <c r="C3409" t="s">
        <v>40</v>
      </c>
      <c r="D3409">
        <v>4.2561359999999997</v>
      </c>
      <c r="E3409">
        <v>0.52693120000000004</v>
      </c>
      <c r="F3409" t="s">
        <v>62</v>
      </c>
      <c r="G3409">
        <v>-487.8974</v>
      </c>
      <c r="H3409" s="1">
        <v>3.9788830000000003E-6</v>
      </c>
      <c r="I3409">
        <v>222.524</v>
      </c>
      <c r="J3409">
        <v>-491.59339999999997</v>
      </c>
      <c r="K3409">
        <v>1.1122110000000001</v>
      </c>
      <c r="L3409">
        <v>235.62039999999999</v>
      </c>
      <c r="M3409">
        <v>8.2799750000000005E-2</v>
      </c>
      <c r="N3409">
        <v>-1.1435030000000001E-2</v>
      </c>
      <c r="O3409">
        <v>-0.99650079999999996</v>
      </c>
      <c r="P3409">
        <v>0.33651599999999998</v>
      </c>
      <c r="Q3409">
        <v>-0.13363599999999901</v>
      </c>
      <c r="R3409">
        <v>-0.93214759999999997</v>
      </c>
      <c r="S3409">
        <v>0.81210329999999997</v>
      </c>
      <c r="T3409">
        <v>-0.24363319999999999</v>
      </c>
      <c r="U3409">
        <v>-2.8894350000000002</v>
      </c>
      <c r="V3409">
        <v>-0.25734780000000002</v>
      </c>
      <c r="W3409">
        <v>-0.1244093</v>
      </c>
      <c r="X3409">
        <v>0.95827680000000004</v>
      </c>
      <c r="Y3409">
        <v>-0.1891678</v>
      </c>
      <c r="Z3409">
        <v>6.9997500000000004E-2</v>
      </c>
      <c r="AA3409">
        <v>0.9794467</v>
      </c>
      <c r="AB3409">
        <v>17</v>
      </c>
      <c r="AC3409">
        <v>3.6959999999999602</v>
      </c>
      <c r="AD3409">
        <v>-1.1122070211170001</v>
      </c>
      <c r="AE3409">
        <v>-13.0963999999999</v>
      </c>
      <c r="AF3409">
        <v>-2.5816121458766998</v>
      </c>
      <c r="AG3409">
        <v>-1.1122070211170001</v>
      </c>
      <c r="AH3409">
        <v>13.2688337818633</v>
      </c>
      <c r="AI3409">
        <v>94.703597407011401</v>
      </c>
      <c r="AJ3409">
        <v>101.010036206141</v>
      </c>
      <c r="AK3409">
        <v>13.5633209672365</v>
      </c>
      <c r="AL3409">
        <v>97.146644928896393</v>
      </c>
      <c r="AM3409">
        <v>105.03225602407799</v>
      </c>
      <c r="AN3409">
        <v>0.99999999475478496</v>
      </c>
    </row>
    <row r="3410" spans="1:40" x14ac:dyDescent="0.25">
      <c r="A3410" t="str">
        <f>"20190305135000321"</f>
        <v>20190305135000321</v>
      </c>
      <c r="B3410" t="str">
        <f>"1551765000314063"</f>
        <v>1551765000314063</v>
      </c>
      <c r="C3410" t="s">
        <v>40</v>
      </c>
      <c r="D3410">
        <v>3.9791889999999999</v>
      </c>
      <c r="E3410">
        <v>0.52693120000000004</v>
      </c>
      <c r="F3410" t="s">
        <v>62</v>
      </c>
      <c r="G3410">
        <v>-487.87240000000003</v>
      </c>
      <c r="H3410" s="1">
        <v>3.982109E-6</v>
      </c>
      <c r="I3410">
        <v>222.5523</v>
      </c>
      <c r="J3410">
        <v>-491.58139999999997</v>
      </c>
      <c r="K3410">
        <v>1.1122700000000001</v>
      </c>
      <c r="L3410">
        <v>235.52340000000001</v>
      </c>
      <c r="M3410">
        <v>8.6249549999999994E-2</v>
      </c>
      <c r="N3410">
        <v>-1.1442519999999999E-2</v>
      </c>
      <c r="O3410">
        <v>-0.99620779999999998</v>
      </c>
      <c r="P3410">
        <v>0.34016960000000002</v>
      </c>
      <c r="Q3410">
        <v>-0.13359089999999901</v>
      </c>
      <c r="R3410">
        <v>-0.93082670000000001</v>
      </c>
      <c r="S3410">
        <v>0.82189939999999995</v>
      </c>
      <c r="T3410">
        <v>-0.24566099999999999</v>
      </c>
      <c r="U3410">
        <v>-2.886444</v>
      </c>
      <c r="V3410">
        <v>-0.25776929999999998</v>
      </c>
      <c r="W3410">
        <v>-0.1243991</v>
      </c>
      <c r="X3410">
        <v>0.95816480000000004</v>
      </c>
      <c r="Y3410">
        <v>-0.18909619999999999</v>
      </c>
      <c r="Z3410">
        <v>7.0678340000000006E-2</v>
      </c>
      <c r="AA3410">
        <v>0.9794117</v>
      </c>
      <c r="AB3410">
        <v>17</v>
      </c>
      <c r="AC3410">
        <v>3.7089999999999401</v>
      </c>
      <c r="AD3410">
        <v>-1.112266017891</v>
      </c>
      <c r="AE3410">
        <v>-12.9711</v>
      </c>
      <c r="AF3410">
        <v>-2.5589581900890801</v>
      </c>
      <c r="AG3410">
        <v>-1.112266017891</v>
      </c>
      <c r="AH3410">
        <v>13.153272533771201</v>
      </c>
      <c r="AI3410">
        <v>94.744996129147594</v>
      </c>
      <c r="AJ3410">
        <v>101.009322201953</v>
      </c>
      <c r="AK3410">
        <v>13.445965233512901</v>
      </c>
      <c r="AL3410">
        <v>97.146056142758695</v>
      </c>
      <c r="AM3410">
        <v>105.05743976183101</v>
      </c>
      <c r="AN3410">
        <v>0.99999996603116903</v>
      </c>
    </row>
    <row r="3411" spans="1:40" x14ac:dyDescent="0.25">
      <c r="A3411" t="str">
        <f>"20190305135000341"</f>
        <v>20190305135000341</v>
      </c>
      <c r="B3411" t="str">
        <f>"1551765000333584"</f>
        <v>1551765000333584</v>
      </c>
      <c r="C3411" t="s">
        <v>40</v>
      </c>
      <c r="D3411">
        <v>4.1164430000000003</v>
      </c>
      <c r="E3411">
        <v>0.56229010000000001</v>
      </c>
      <c r="F3411" t="s">
        <v>62</v>
      </c>
      <c r="G3411">
        <v>-487.80770000000001</v>
      </c>
      <c r="H3411" s="1">
        <v>3.9395460000000001E-6</v>
      </c>
      <c r="I3411">
        <v>222.46119999999999</v>
      </c>
      <c r="J3411">
        <v>-491.56369999999998</v>
      </c>
      <c r="K3411">
        <v>1.1123609999999999</v>
      </c>
      <c r="L3411">
        <v>235.38679999999999</v>
      </c>
      <c r="M3411">
        <v>9.1210910000000006E-2</v>
      </c>
      <c r="N3411">
        <v>-1.145447E-2</v>
      </c>
      <c r="O3411">
        <v>-0.99576580000000003</v>
      </c>
      <c r="P3411">
        <v>0.34510109999999999</v>
      </c>
      <c r="Q3411">
        <v>-0.13350580000000001</v>
      </c>
      <c r="R3411">
        <v>-0.92902209999999996</v>
      </c>
      <c r="S3411">
        <v>0.83297730000000003</v>
      </c>
      <c r="T3411">
        <v>-0.24551609999999999</v>
      </c>
      <c r="U3411">
        <v>-2.883286</v>
      </c>
      <c r="V3411">
        <v>-0.25805020000000001</v>
      </c>
      <c r="W3411">
        <v>-0.1243605</v>
      </c>
      <c r="X3411">
        <v>0.95809420000000001</v>
      </c>
      <c r="Y3411">
        <v>-0.18796589999999999</v>
      </c>
      <c r="Z3411">
        <v>7.0626209999999995E-2</v>
      </c>
      <c r="AA3411">
        <v>0.97963299999999998</v>
      </c>
      <c r="AB3411">
        <v>17</v>
      </c>
      <c r="AC3411">
        <v>3.75599999999997</v>
      </c>
      <c r="AD3411">
        <v>-1.1123570604539901</v>
      </c>
      <c r="AE3411">
        <v>-12.925599999999999</v>
      </c>
      <c r="AF3411">
        <v>-2.5439349291533202</v>
      </c>
      <c r="AG3411">
        <v>-1.1123570604539901</v>
      </c>
      <c r="AH3411">
        <v>13.1246909241554</v>
      </c>
      <c r="AI3411">
        <v>94.756308144907393</v>
      </c>
      <c r="AJ3411">
        <v>100.96951382985399</v>
      </c>
      <c r="AK3411">
        <v>13.41515765872</v>
      </c>
      <c r="AL3411">
        <v>97.143827204024404</v>
      </c>
      <c r="AM3411">
        <v>105.074162236085</v>
      </c>
      <c r="AN3411">
        <v>0.99999996787696399</v>
      </c>
    </row>
    <row r="3412" spans="1:40" x14ac:dyDescent="0.25">
      <c r="A3412" t="str">
        <f>"20190305135000363"</f>
        <v>20190305135000363</v>
      </c>
      <c r="B3412" t="str">
        <f>"1551765000354079"</f>
        <v>1551765000354079</v>
      </c>
      <c r="C3412" t="s">
        <v>40</v>
      </c>
      <c r="D3412">
        <v>4.01295</v>
      </c>
      <c r="E3412">
        <v>0.61220620000000003</v>
      </c>
      <c r="F3412" t="s">
        <v>41</v>
      </c>
      <c r="G3412">
        <v>-491.42230000000001</v>
      </c>
      <c r="H3412">
        <v>0.97275919999999905</v>
      </c>
      <c r="I3412">
        <v>234.6343</v>
      </c>
      <c r="J3412">
        <v>-491.5412</v>
      </c>
      <c r="K3412">
        <v>1.1124670000000001</v>
      </c>
      <c r="L3412">
        <v>235.22069999999999</v>
      </c>
      <c r="M3412">
        <v>9.7442109999999998E-2</v>
      </c>
      <c r="N3412">
        <v>-1.1471749999999999E-2</v>
      </c>
      <c r="O3412">
        <v>-0.99517529999999998</v>
      </c>
      <c r="P3412">
        <v>0.35086489999999998</v>
      </c>
      <c r="Q3412">
        <v>-0.13314500000000001</v>
      </c>
      <c r="R3412">
        <v>-0.92691230000000002</v>
      </c>
      <c r="S3412">
        <v>0.55474849999999998</v>
      </c>
      <c r="T3412">
        <v>-0.54784109999999997</v>
      </c>
      <c r="U3412">
        <v>-2.9444119999999998</v>
      </c>
      <c r="V3412">
        <v>-0.25796950000000002</v>
      </c>
      <c r="W3412">
        <v>-0.1240487</v>
      </c>
      <c r="X3412">
        <v>0.95815640000000002</v>
      </c>
      <c r="Y3412">
        <v>-8.5747959999999998E-2</v>
      </c>
      <c r="Z3412">
        <v>0.16858319999999999</v>
      </c>
      <c r="AA3412">
        <v>0.98195060000000001</v>
      </c>
      <c r="AB3412">
        <v>17</v>
      </c>
      <c r="AC3412">
        <v>0.118899999999996</v>
      </c>
      <c r="AD3412">
        <v>-0.13970779999999999</v>
      </c>
      <c r="AE3412">
        <v>-0.58639999999999703</v>
      </c>
      <c r="AF3412">
        <v>-5.8026689135542799E-2</v>
      </c>
      <c r="AG3412">
        <v>-0.13970779999999999</v>
      </c>
      <c r="AH3412">
        <v>0.56442334932905902</v>
      </c>
      <c r="AI3412">
        <v>103.83250978683201</v>
      </c>
      <c r="AJ3412">
        <v>95.869787163318406</v>
      </c>
      <c r="AK3412">
        <v>0.58434500365854503</v>
      </c>
      <c r="AL3412">
        <v>97.125822629128905</v>
      </c>
      <c r="AM3412">
        <v>105.068728769637</v>
      </c>
      <c r="AN3412">
        <v>1.0000000148814401</v>
      </c>
    </row>
    <row r="3413" spans="1:40" x14ac:dyDescent="0.25">
      <c r="A3413" t="str">
        <f>"20190305135000378"</f>
        <v>20190305135000378</v>
      </c>
      <c r="B3413" t="str">
        <f>"1551765000373600"</f>
        <v>1551765000373600</v>
      </c>
      <c r="C3413" t="s">
        <v>40</v>
      </c>
      <c r="D3413">
        <v>4.0124639999999996</v>
      </c>
      <c r="E3413">
        <v>0.61134119999999903</v>
      </c>
      <c r="F3413" t="s">
        <v>62</v>
      </c>
      <c r="G3413">
        <v>-490.31670000000003</v>
      </c>
      <c r="H3413" s="1">
        <v>3.4344460000000001E-6</v>
      </c>
      <c r="I3413">
        <v>218.7731</v>
      </c>
      <c r="J3413">
        <v>-491.52609999999999</v>
      </c>
      <c r="K3413">
        <v>1.1125320000000001</v>
      </c>
      <c r="L3413">
        <v>235.11490000000001</v>
      </c>
      <c r="M3413">
        <v>0.1015262</v>
      </c>
      <c r="N3413">
        <v>-1.148338E-2</v>
      </c>
      <c r="O3413">
        <v>-0.9947665</v>
      </c>
      <c r="P3413">
        <v>0.35450589999999998</v>
      </c>
      <c r="Q3413">
        <v>-0.13300190000000001</v>
      </c>
      <c r="R3413">
        <v>-0.92554630000000004</v>
      </c>
      <c r="S3413">
        <v>0.2321472</v>
      </c>
      <c r="T3413">
        <v>-0.21091699999999999</v>
      </c>
      <c r="U3413">
        <v>-3.1183779999999999</v>
      </c>
      <c r="V3413">
        <v>-0.2577836</v>
      </c>
      <c r="W3413">
        <v>-0.1239326</v>
      </c>
      <c r="X3413">
        <v>0.9582214</v>
      </c>
      <c r="Y3413">
        <v>2.7499240000000001E-2</v>
      </c>
      <c r="Z3413">
        <v>5.5437449999999999E-2</v>
      </c>
      <c r="AA3413">
        <v>0.99808339999999995</v>
      </c>
      <c r="AB3413">
        <v>17</v>
      </c>
      <c r="AC3413">
        <v>1.2093999999999501</v>
      </c>
      <c r="AD3413">
        <v>-1.112528565554</v>
      </c>
      <c r="AE3413">
        <v>-16.341799999999999</v>
      </c>
      <c r="AF3413">
        <v>0.45398772166503099</v>
      </c>
      <c r="AG3413">
        <v>-1.112528565554</v>
      </c>
      <c r="AH3413">
        <v>16.3049851952034</v>
      </c>
      <c r="AI3413">
        <v>93.901871958255796</v>
      </c>
      <c r="AJ3413">
        <v>88.405097502210197</v>
      </c>
      <c r="AK3413">
        <v>16.349200802375599</v>
      </c>
      <c r="AL3413">
        <v>97.119119232980196</v>
      </c>
      <c r="AM3413">
        <v>105.057388087315</v>
      </c>
      <c r="AN3413">
        <v>0.99999996259483903</v>
      </c>
    </row>
    <row r="3414" spans="1:40" x14ac:dyDescent="0.25">
      <c r="A3414" t="str">
        <f>"20190305135000397"</f>
        <v>20190305135000397</v>
      </c>
      <c r="B3414" t="str">
        <f>"1551765000394095"</f>
        <v>1551765000394095</v>
      </c>
      <c r="C3414" t="s">
        <v>40</v>
      </c>
      <c r="D3414">
        <v>3.996823</v>
      </c>
      <c r="E3414">
        <v>0.61072019999999905</v>
      </c>
      <c r="F3414" t="s">
        <v>62</v>
      </c>
      <c r="G3414">
        <v>-490.15260000000001</v>
      </c>
      <c r="H3414" s="1">
        <v>3.4346679999999999E-6</v>
      </c>
      <c r="I3414">
        <v>218.1123</v>
      </c>
      <c r="J3414">
        <v>-491.50650000000002</v>
      </c>
      <c r="K3414">
        <v>1.1126069999999999</v>
      </c>
      <c r="L3414">
        <v>234.98240000000001</v>
      </c>
      <c r="M3414">
        <v>0.1067554</v>
      </c>
      <c r="N3414">
        <v>-1.150057E-2</v>
      </c>
      <c r="O3414">
        <v>-0.99421879999999996</v>
      </c>
      <c r="P3414">
        <v>0.3587843</v>
      </c>
      <c r="Q3414">
        <v>-0.13232140000000001</v>
      </c>
      <c r="R3414">
        <v>-0.92399410000000004</v>
      </c>
      <c r="S3414">
        <v>0.25167850000000003</v>
      </c>
      <c r="T3414">
        <v>-0.2038652</v>
      </c>
      <c r="U3414">
        <v>-3.1156459999999999</v>
      </c>
      <c r="V3414">
        <v>-0.25715090000000002</v>
      </c>
      <c r="W3414">
        <v>-0.1232758</v>
      </c>
      <c r="X3414">
        <v>0.95847610000000005</v>
      </c>
      <c r="Y3414">
        <v>2.6462400000000001E-2</v>
      </c>
      <c r="Z3414">
        <v>5.3187529999999997E-2</v>
      </c>
      <c r="AA3414">
        <v>0.99823390000000001</v>
      </c>
      <c r="AB3414">
        <v>17</v>
      </c>
      <c r="AC3414">
        <v>1.3539000000000101</v>
      </c>
      <c r="AD3414">
        <v>-1.1126035653320001</v>
      </c>
      <c r="AE3414">
        <v>-16.870100000000001</v>
      </c>
      <c r="AF3414">
        <v>0.45297389670638299</v>
      </c>
      <c r="AG3414">
        <v>-1.1126035653320001</v>
      </c>
      <c r="AH3414">
        <v>16.845424242898101</v>
      </c>
      <c r="AI3414">
        <v>93.777411564239898</v>
      </c>
      <c r="AJ3414">
        <v>88.459686178178302</v>
      </c>
      <c r="AK3414">
        <v>16.8882026861329</v>
      </c>
      <c r="AL3414">
        <v>97.081196494915602</v>
      </c>
      <c r="AM3414">
        <v>105.018292354175</v>
      </c>
      <c r="AN3414">
        <v>0.999999971253829</v>
      </c>
    </row>
    <row r="3415" spans="1:40" x14ac:dyDescent="0.25">
      <c r="A3415" t="str">
        <f>"20190305135000410"</f>
        <v>20190305135000410</v>
      </c>
      <c r="B3415" t="str">
        <f>"1551765000403855"</f>
        <v>1551765000403855</v>
      </c>
      <c r="C3415" t="s">
        <v>40</v>
      </c>
      <c r="D3415">
        <v>4.1009500000000001</v>
      </c>
      <c r="E3415">
        <v>0.61097539999999995</v>
      </c>
      <c r="F3415" t="s">
        <v>62</v>
      </c>
      <c r="G3415">
        <v>-489.88709999999998</v>
      </c>
      <c r="H3415" s="1">
        <v>3.3825499999999999E-6</v>
      </c>
      <c r="I3415">
        <v>216.416</v>
      </c>
      <c r="J3415">
        <v>-491.49130000000002</v>
      </c>
      <c r="K3415">
        <v>1.112668</v>
      </c>
      <c r="L3415">
        <v>234.88319999999999</v>
      </c>
      <c r="M3415">
        <v>0.1107428</v>
      </c>
      <c r="N3415">
        <v>-1.15172E-2</v>
      </c>
      <c r="O3415">
        <v>-0.99378250000000001</v>
      </c>
      <c r="P3415">
        <v>0.36196850000000003</v>
      </c>
      <c r="Q3415">
        <v>-0.13244069999999999</v>
      </c>
      <c r="R3415">
        <v>-0.92273450000000001</v>
      </c>
      <c r="S3415">
        <v>0.27166750000000001</v>
      </c>
      <c r="T3415">
        <v>-0.18664220000000001</v>
      </c>
      <c r="U3415">
        <v>-3.114563</v>
      </c>
      <c r="V3415">
        <v>-0.25659680000000001</v>
      </c>
      <c r="W3415">
        <v>-0.1234078</v>
      </c>
      <c r="X3415">
        <v>0.9586076</v>
      </c>
      <c r="Y3415">
        <v>2.4060450000000001E-2</v>
      </c>
      <c r="Z3415">
        <v>4.7702050000000003E-2</v>
      </c>
      <c r="AA3415">
        <v>0.99857180000000001</v>
      </c>
      <c r="AB3415">
        <v>17</v>
      </c>
      <c r="AC3415">
        <v>1.60420000000004</v>
      </c>
      <c r="AD3415">
        <v>-1.1126646174499999</v>
      </c>
      <c r="AE3415">
        <v>-18.467199999999899</v>
      </c>
      <c r="AF3415">
        <v>0.44929459702483798</v>
      </c>
      <c r="AG3415">
        <v>-1.1126646174499999</v>
      </c>
      <c r="AH3415">
        <v>18.464732341665599</v>
      </c>
      <c r="AI3415">
        <v>93.447393344188299</v>
      </c>
      <c r="AJ3415">
        <v>88.606120848847993</v>
      </c>
      <c r="AK3415">
        <v>18.503681488698199</v>
      </c>
      <c r="AL3415">
        <v>97.088817763475305</v>
      </c>
      <c r="AM3415">
        <v>104.985425556998</v>
      </c>
      <c r="AN3415">
        <v>0.99999996682441905</v>
      </c>
    </row>
    <row r="3416" spans="1:40" x14ac:dyDescent="0.25">
      <c r="A3416" t="str">
        <f>"20190305135000422"</f>
        <v>20190305135000422</v>
      </c>
      <c r="B3416" t="str">
        <f>"1551765000413616"</f>
        <v>1551765000413616</v>
      </c>
      <c r="C3416" t="s">
        <v>40</v>
      </c>
      <c r="D3416">
        <v>4.1077089999999998</v>
      </c>
      <c r="E3416">
        <v>0.6112168</v>
      </c>
      <c r="F3416" t="s">
        <v>62</v>
      </c>
      <c r="G3416">
        <v>-489.71050000000002</v>
      </c>
      <c r="H3416" s="1">
        <v>3.2988609999999999E-6</v>
      </c>
      <c r="I3416">
        <v>215.21789999999999</v>
      </c>
      <c r="J3416">
        <v>-491.476</v>
      </c>
      <c r="K3416">
        <v>1.112717</v>
      </c>
      <c r="L3416">
        <v>234.78710000000001</v>
      </c>
      <c r="M3416">
        <v>0.1146992</v>
      </c>
      <c r="N3416">
        <v>-1.1547389999999999E-2</v>
      </c>
      <c r="O3416">
        <v>-0.99333329999999997</v>
      </c>
      <c r="P3416">
        <v>0.36504300000000001</v>
      </c>
      <c r="Q3416">
        <v>-0.13250219999999999</v>
      </c>
      <c r="R3416">
        <v>-0.92151349999999999</v>
      </c>
      <c r="S3416">
        <v>0.28210449999999998</v>
      </c>
      <c r="T3416">
        <v>-0.1762618</v>
      </c>
      <c r="U3416">
        <v>-3.115265</v>
      </c>
      <c r="V3416">
        <v>-0.25596279999999999</v>
      </c>
      <c r="W3416">
        <v>-0.12346360000000001</v>
      </c>
      <c r="X3416">
        <v>0.95876989999999995</v>
      </c>
      <c r="Y3416">
        <v>2.472773E-2</v>
      </c>
      <c r="Z3416">
        <v>4.433637E-2</v>
      </c>
      <c r="AA3416">
        <v>0.9987106</v>
      </c>
      <c r="AB3416">
        <v>17</v>
      </c>
      <c r="AC3416">
        <v>1.7654999999999701</v>
      </c>
      <c r="AD3416">
        <v>-1.112713701139</v>
      </c>
      <c r="AE3416">
        <v>-19.569199999999999</v>
      </c>
      <c r="AF3416">
        <v>0.48930509386440502</v>
      </c>
      <c r="AG3416">
        <v>-1.112713701139</v>
      </c>
      <c r="AH3416">
        <v>19.579753757893599</v>
      </c>
      <c r="AI3416">
        <v>93.251596743487298</v>
      </c>
      <c r="AJ3416">
        <v>88.568455805966494</v>
      </c>
      <c r="AK3416">
        <v>19.617449081757101</v>
      </c>
      <c r="AL3416">
        <v>97.092039495409907</v>
      </c>
      <c r="AM3416">
        <v>104.947641820583</v>
      </c>
      <c r="AN3416">
        <v>0.99999996832740401</v>
      </c>
    </row>
    <row r="3417" spans="1:40" x14ac:dyDescent="0.25">
      <c r="A3417" t="str">
        <f>"20190305135000441"</f>
        <v>20190305135000441</v>
      </c>
      <c r="B3417" t="str">
        <f>"1551765000434112"</f>
        <v>1551765000434112</v>
      </c>
      <c r="C3417" t="s">
        <v>40</v>
      </c>
      <c r="D3417">
        <v>3.9941559999999998</v>
      </c>
      <c r="E3417">
        <v>0.61066730000000002</v>
      </c>
      <c r="F3417" t="s">
        <v>62</v>
      </c>
      <c r="G3417">
        <v>-489.52870000000001</v>
      </c>
      <c r="H3417" s="1">
        <v>3.2121959999999998E-6</v>
      </c>
      <c r="I3417">
        <v>213.97329999999999</v>
      </c>
      <c r="J3417">
        <v>-491.45460000000003</v>
      </c>
      <c r="K3417">
        <v>1.1127860000000001</v>
      </c>
      <c r="L3417">
        <v>234.6575</v>
      </c>
      <c r="M3417">
        <v>0.120119699999999</v>
      </c>
      <c r="N3417">
        <v>-1.160984E-2</v>
      </c>
      <c r="O3417">
        <v>-0.99269180000000001</v>
      </c>
      <c r="P3417">
        <v>0.3685853</v>
      </c>
      <c r="Q3417">
        <v>-0.1337506</v>
      </c>
      <c r="R3417">
        <v>-0.91992169999999895</v>
      </c>
      <c r="S3417">
        <v>0.29153440000000003</v>
      </c>
      <c r="T3417">
        <v>-0.16658439999999999</v>
      </c>
      <c r="U3417">
        <v>-3.1160429999999999</v>
      </c>
      <c r="V3417">
        <v>-0.25441409999999998</v>
      </c>
      <c r="W3417">
        <v>-0.12467399999999999</v>
      </c>
      <c r="X3417">
        <v>0.95902549999999998</v>
      </c>
      <c r="Y3417">
        <v>2.7196890000000001E-2</v>
      </c>
      <c r="Z3417">
        <v>4.1149159999999997E-2</v>
      </c>
      <c r="AA3417">
        <v>0.99878279999999997</v>
      </c>
      <c r="AB3417">
        <v>17</v>
      </c>
      <c r="AC3417">
        <v>1.9259000000000099</v>
      </c>
      <c r="AD3417">
        <v>-1.112782787804</v>
      </c>
      <c r="AE3417">
        <v>-20.684200000000001</v>
      </c>
      <c r="AF3417">
        <v>0.57115432751356898</v>
      </c>
      <c r="AG3417">
        <v>-1.112782787804</v>
      </c>
      <c r="AH3417">
        <v>20.706352913417199</v>
      </c>
      <c r="AI3417">
        <v>93.075013374664493</v>
      </c>
      <c r="AJ3417">
        <v>88.419980728123093</v>
      </c>
      <c r="AK3417">
        <v>20.744096841599301</v>
      </c>
      <c r="AL3417">
        <v>97.161929908102906</v>
      </c>
      <c r="AM3417">
        <v>104.857429111475</v>
      </c>
      <c r="AN3417">
        <v>1.0000000251025201</v>
      </c>
    </row>
    <row r="3418" spans="1:40" x14ac:dyDescent="0.25">
      <c r="A3418" t="str">
        <f>"20190305135000464"</f>
        <v>20190305135000464</v>
      </c>
      <c r="B3418" t="str">
        <f>"1551765000453631"</f>
        <v>1551765000453631</v>
      </c>
      <c r="C3418" t="s">
        <v>40</v>
      </c>
      <c r="D3418">
        <v>3.9807489999999999</v>
      </c>
      <c r="E3418">
        <v>0.61019599999999996</v>
      </c>
      <c r="F3418" t="s">
        <v>62</v>
      </c>
      <c r="G3418">
        <v>-489.40159999999997</v>
      </c>
      <c r="H3418" s="1">
        <v>3.1873430000000001E-6</v>
      </c>
      <c r="I3418">
        <v>213.9203</v>
      </c>
      <c r="J3418">
        <v>-491.42680000000001</v>
      </c>
      <c r="K3418">
        <v>1.1128720000000001</v>
      </c>
      <c r="L3418">
        <v>234.4956</v>
      </c>
      <c r="M3418">
        <v>0.12703719999999999</v>
      </c>
      <c r="N3418">
        <v>-1.1742799999999999E-2</v>
      </c>
      <c r="O3418">
        <v>-0.99182859999999995</v>
      </c>
      <c r="P3418">
        <v>0.37318889999999999</v>
      </c>
      <c r="Q3418">
        <v>-0.13448309999999999</v>
      </c>
      <c r="R3418">
        <v>-0.91795680000000002</v>
      </c>
      <c r="S3418">
        <v>0.30822749999999999</v>
      </c>
      <c r="T3418">
        <v>-0.16706660000000001</v>
      </c>
      <c r="U3418">
        <v>-3.1133579999999998</v>
      </c>
      <c r="V3418">
        <v>-0.25252360000000001</v>
      </c>
      <c r="W3418">
        <v>-0.1253001</v>
      </c>
      <c r="X3418">
        <v>0.95944339999999995</v>
      </c>
      <c r="Y3418">
        <v>2.8779280000000001E-2</v>
      </c>
      <c r="Z3418">
        <v>4.113882E-2</v>
      </c>
      <c r="AA3418">
        <v>0.99873889999999999</v>
      </c>
      <c r="AB3418">
        <v>17</v>
      </c>
      <c r="AC3418">
        <v>2.0252000000000399</v>
      </c>
      <c r="AD3418">
        <v>-1.1128688126570001</v>
      </c>
      <c r="AE3418">
        <v>-20.575299999999999</v>
      </c>
      <c r="AF3418">
        <v>0.60347035986300102</v>
      </c>
      <c r="AG3418">
        <v>-1.1128688126570001</v>
      </c>
      <c r="AH3418">
        <v>20.606164085410501</v>
      </c>
      <c r="AI3418">
        <v>93.090024671576302</v>
      </c>
      <c r="AJ3418">
        <v>88.322520161340705</v>
      </c>
      <c r="AK3418">
        <v>20.645015180044801</v>
      </c>
      <c r="AL3418">
        <v>97.198086786415303</v>
      </c>
      <c r="AM3418">
        <v>104.74571274625499</v>
      </c>
      <c r="AN3418">
        <v>0.99999996071026398</v>
      </c>
    </row>
    <row r="3419" spans="1:40" x14ac:dyDescent="0.25">
      <c r="A3419" t="str">
        <f>"20190305135000479"</f>
        <v>20190305135000479</v>
      </c>
      <c r="B3419" t="str">
        <f>"1551765000474127"</f>
        <v>1551765000474127</v>
      </c>
      <c r="C3419" t="s">
        <v>40</v>
      </c>
      <c r="D3419">
        <v>3.9379529999999998</v>
      </c>
      <c r="E3419">
        <v>0.60972919999999997</v>
      </c>
      <c r="F3419" t="s">
        <v>62</v>
      </c>
      <c r="G3419">
        <v>-489.25259999999997</v>
      </c>
      <c r="H3419" s="1">
        <v>3.1578500000000002E-6</v>
      </c>
      <c r="I3419">
        <v>213.85040000000001</v>
      </c>
      <c r="J3419">
        <v>-491.40699999999998</v>
      </c>
      <c r="K3419">
        <v>1.112941</v>
      </c>
      <c r="L3419">
        <v>234.3853</v>
      </c>
      <c r="M3419">
        <v>0.13186349999999999</v>
      </c>
      <c r="N3419">
        <v>-1.187058E-2</v>
      </c>
      <c r="O3419">
        <v>-0.99119690000000005</v>
      </c>
      <c r="P3419">
        <v>0.37684299999999998</v>
      </c>
      <c r="Q3419">
        <v>-0.13521250000000001</v>
      </c>
      <c r="R3419">
        <v>-0.91635540000000004</v>
      </c>
      <c r="S3419">
        <v>0.32757570000000003</v>
      </c>
      <c r="T3419">
        <v>-0.1676657</v>
      </c>
      <c r="U3419">
        <v>-3.1104280000000002</v>
      </c>
      <c r="V3419">
        <v>-0.25167220000000001</v>
      </c>
      <c r="W3419">
        <v>-0.12592509999999901</v>
      </c>
      <c r="X3419">
        <v>0.95958529999999997</v>
      </c>
      <c r="Y3419">
        <v>2.740515E-2</v>
      </c>
      <c r="Z3419">
        <v>4.1192039999999999E-2</v>
      </c>
      <c r="AA3419">
        <v>0.99877539999999998</v>
      </c>
      <c r="AB3419">
        <v>17</v>
      </c>
      <c r="AC3419">
        <v>2.1543999999999999</v>
      </c>
      <c r="AD3419">
        <v>-1.11293784215</v>
      </c>
      <c r="AE3419">
        <v>-20.5349</v>
      </c>
      <c r="AF3419">
        <v>0.57075121431043097</v>
      </c>
      <c r="AG3419">
        <v>-1.11293784215</v>
      </c>
      <c r="AH3419">
        <v>20.579875935882601</v>
      </c>
      <c r="AI3419">
        <v>93.094292231341797</v>
      </c>
      <c r="AJ3419">
        <v>88.411396861589793</v>
      </c>
      <c r="AK3419">
        <v>20.6178486056486</v>
      </c>
      <c r="AL3419">
        <v>97.234182356914303</v>
      </c>
      <c r="AM3419">
        <v>104.696073198626</v>
      </c>
      <c r="AN3419">
        <v>0.99999998751946995</v>
      </c>
    </row>
    <row r="3420" spans="1:40" x14ac:dyDescent="0.25">
      <c r="A3420" t="str">
        <f>"20190305135000498"</f>
        <v>20190305135000498</v>
      </c>
      <c r="B3420" t="str">
        <f>"1551765000493648"</f>
        <v>1551765000493648</v>
      </c>
      <c r="C3420" t="s">
        <v>40</v>
      </c>
      <c r="D3420">
        <v>4.1748459999999996</v>
      </c>
      <c r="E3420">
        <v>0.60962459999999996</v>
      </c>
      <c r="F3420" t="s">
        <v>62</v>
      </c>
      <c r="G3420">
        <v>-489.12189999999998</v>
      </c>
      <c r="H3420" s="1">
        <v>3.1283830000000001E-6</v>
      </c>
      <c r="I3420">
        <v>213.7064</v>
      </c>
      <c r="J3420">
        <v>-491.38290000000001</v>
      </c>
      <c r="K3420">
        <v>1.113024</v>
      </c>
      <c r="L3420">
        <v>234.25559999999999</v>
      </c>
      <c r="M3420">
        <v>0.13764509999999999</v>
      </c>
      <c r="N3420">
        <v>-1.203801E-2</v>
      </c>
      <c r="O3420">
        <v>-0.99040850000000002</v>
      </c>
      <c r="P3420">
        <v>0.3811156</v>
      </c>
      <c r="Q3420">
        <v>-0.13624310000000001</v>
      </c>
      <c r="R3420">
        <v>-0.91443379999999996</v>
      </c>
      <c r="S3420">
        <v>0.34344479999999999</v>
      </c>
      <c r="T3420">
        <v>-0.16727040000000001</v>
      </c>
      <c r="U3420">
        <v>-3.1079560000000002</v>
      </c>
      <c r="V3420">
        <v>-0.2505502</v>
      </c>
      <c r="W3420">
        <v>-0.1268165</v>
      </c>
      <c r="X3420">
        <v>0.95976150000000005</v>
      </c>
      <c r="Y3420">
        <v>2.81129E-2</v>
      </c>
      <c r="Z3420">
        <v>4.0873130000000001E-2</v>
      </c>
      <c r="AA3420">
        <v>0.99876869999999995</v>
      </c>
      <c r="AB3420">
        <v>17</v>
      </c>
      <c r="AC3420">
        <v>2.2610000000000201</v>
      </c>
      <c r="AD3420">
        <v>-1.113020871617</v>
      </c>
      <c r="AE3420">
        <v>-20.5491999999999</v>
      </c>
      <c r="AF3420">
        <v>0.58752273794177701</v>
      </c>
      <c r="AG3420">
        <v>-1.113020871617</v>
      </c>
      <c r="AH3420">
        <v>20.605088177864399</v>
      </c>
      <c r="AI3420">
        <v>93.090675923054306</v>
      </c>
      <c r="AJ3420">
        <v>88.366740552395697</v>
      </c>
      <c r="AK3420">
        <v>20.643489463892099</v>
      </c>
      <c r="AL3420">
        <v>97.285668617828605</v>
      </c>
      <c r="AM3420">
        <v>104.63080228891999</v>
      </c>
      <c r="AN3420">
        <v>0.99999998213726904</v>
      </c>
    </row>
    <row r="3421" spans="1:40" x14ac:dyDescent="0.25">
      <c r="A3421" t="str">
        <f>"20190305135000514"</f>
        <v>20190305135000514</v>
      </c>
      <c r="B3421" t="str">
        <f>"1551765000503407"</f>
        <v>1551765000503407</v>
      </c>
      <c r="C3421" t="s">
        <v>40</v>
      </c>
      <c r="D3421">
        <v>3.9687939999999999</v>
      </c>
      <c r="E3421">
        <v>0.60935399999999995</v>
      </c>
      <c r="F3421" t="s">
        <v>62</v>
      </c>
      <c r="G3421">
        <v>-488.95609999999999</v>
      </c>
      <c r="H3421" s="1">
        <v>3.0816470000000001E-6</v>
      </c>
      <c r="I3421">
        <v>213.31020000000001</v>
      </c>
      <c r="J3421">
        <v>-491.36040000000003</v>
      </c>
      <c r="K3421">
        <v>1.1130949999999999</v>
      </c>
      <c r="L3421">
        <v>234.13810000000001</v>
      </c>
      <c r="M3421">
        <v>0.14299719999999999</v>
      </c>
      <c r="N3421">
        <v>-1.218882E-2</v>
      </c>
      <c r="O3421">
        <v>-0.98964799999999997</v>
      </c>
      <c r="P3421">
        <v>0.38556420000000002</v>
      </c>
      <c r="Q3421">
        <v>-0.1368973</v>
      </c>
      <c r="R3421">
        <v>-0.91246899999999997</v>
      </c>
      <c r="S3421">
        <v>0.35989379999999999</v>
      </c>
      <c r="T3421">
        <v>-0.1650567</v>
      </c>
      <c r="U3421">
        <v>-3.106125</v>
      </c>
      <c r="V3421">
        <v>-0.25002940000000001</v>
      </c>
      <c r="W3421">
        <v>-0.12735369999999999</v>
      </c>
      <c r="X3421">
        <v>0.95982619999999996</v>
      </c>
      <c r="Y3421">
        <v>2.8226399999999999E-2</v>
      </c>
      <c r="Z3421">
        <v>3.998964E-2</v>
      </c>
      <c r="AA3421">
        <v>0.99880139999999995</v>
      </c>
      <c r="AB3421">
        <v>17</v>
      </c>
      <c r="AC3421">
        <v>2.4043000000000299</v>
      </c>
      <c r="AD3421">
        <v>-1.1130919183529999</v>
      </c>
      <c r="AE3421">
        <v>-20.8279</v>
      </c>
      <c r="AF3421">
        <v>0.59728175699156505</v>
      </c>
      <c r="AG3421">
        <v>-1.1130919183529999</v>
      </c>
      <c r="AH3421">
        <v>20.898751665410401</v>
      </c>
      <c r="AI3421">
        <v>93.047517432806202</v>
      </c>
      <c r="AJ3421">
        <v>88.362944759195599</v>
      </c>
      <c r="AK3421">
        <v>20.9368942369309</v>
      </c>
      <c r="AL3421">
        <v>97.316699384406505</v>
      </c>
      <c r="AM3421">
        <v>104.60074916982001</v>
      </c>
      <c r="AN3421">
        <v>0.99999999998724398</v>
      </c>
    </row>
    <row r="3422" spans="1:40" x14ac:dyDescent="0.25">
      <c r="A3422" t="str">
        <f>"20190305135000532"</f>
        <v>20190305135000532</v>
      </c>
      <c r="B3422" t="str">
        <f>"1551765000523904"</f>
        <v>1551765000523904</v>
      </c>
      <c r="C3422" t="s">
        <v>40</v>
      </c>
      <c r="D3422">
        <v>4.2194129999999896</v>
      </c>
      <c r="E3422">
        <v>0.60935399999999995</v>
      </c>
      <c r="F3422" t="s">
        <v>62</v>
      </c>
      <c r="G3422">
        <v>-488.76429999999999</v>
      </c>
      <c r="H3422" s="1">
        <v>3.0252650000000002E-6</v>
      </c>
      <c r="I3422">
        <v>212.7988</v>
      </c>
      <c r="J3422">
        <v>-491.33440000000002</v>
      </c>
      <c r="K3422">
        <v>1.113178</v>
      </c>
      <c r="L3422">
        <v>234.0076</v>
      </c>
      <c r="M3422">
        <v>0.14905850000000001</v>
      </c>
      <c r="N3422">
        <v>-1.2341349999999999E-2</v>
      </c>
      <c r="O3422">
        <v>-0.98875139999999995</v>
      </c>
      <c r="P3422">
        <v>0.39023829999999998</v>
      </c>
      <c r="Q3422">
        <v>-0.13731499999999999</v>
      </c>
      <c r="R3422">
        <v>-0.91041680000000003</v>
      </c>
      <c r="S3422">
        <v>0.37762449999999997</v>
      </c>
      <c r="T3422">
        <v>-0.16190779999999999</v>
      </c>
      <c r="U3422">
        <v>-3.103958</v>
      </c>
      <c r="V3422">
        <v>-0.249058</v>
      </c>
      <c r="W3422">
        <v>-0.12765470000000001</v>
      </c>
      <c r="X3422">
        <v>0.96003870000000002</v>
      </c>
      <c r="Y3422">
        <v>2.8640189999999999E-2</v>
      </c>
      <c r="Z3422">
        <v>3.8805630000000001E-2</v>
      </c>
      <c r="AA3422">
        <v>0.99883630000000001</v>
      </c>
      <c r="AB3422">
        <v>17</v>
      </c>
      <c r="AC3422">
        <v>2.57010000000002</v>
      </c>
      <c r="AD3422">
        <v>-1.1131749747349999</v>
      </c>
      <c r="AE3422">
        <v>-21.2088</v>
      </c>
      <c r="AF3422">
        <v>0.61852986728640602</v>
      </c>
      <c r="AG3422">
        <v>-1.1131749747349999</v>
      </c>
      <c r="AH3422">
        <v>21.297130595275799</v>
      </c>
      <c r="AI3422">
        <v>92.990798730531694</v>
      </c>
      <c r="AJ3422">
        <v>88.336433558147505</v>
      </c>
      <c r="AK3422">
        <v>21.335170712073801</v>
      </c>
      <c r="AL3422">
        <v>97.334087646257004</v>
      </c>
      <c r="AM3422">
        <v>104.54335065202601</v>
      </c>
      <c r="AN3422">
        <v>0.99999995764688898</v>
      </c>
    </row>
    <row r="3423" spans="1:40" x14ac:dyDescent="0.25">
      <c r="A3423" t="str">
        <f>"20190305135000556"</f>
        <v>20190305135000556</v>
      </c>
      <c r="B3423" t="str">
        <f>"1551765000543423"</f>
        <v>1551765000543423</v>
      </c>
      <c r="C3423" t="s">
        <v>40</v>
      </c>
      <c r="D3423">
        <v>3.9166759999999998</v>
      </c>
      <c r="E3423">
        <v>0.61328079999999996</v>
      </c>
      <c r="F3423" t="s">
        <v>62</v>
      </c>
      <c r="G3423">
        <v>-488.63319999999999</v>
      </c>
      <c r="H3423" s="1">
        <v>2.9982949999999998E-6</v>
      </c>
      <c r="I3423">
        <v>212.71350000000001</v>
      </c>
      <c r="J3423">
        <v>-491.2996</v>
      </c>
      <c r="K3423">
        <v>1.1132759999999999</v>
      </c>
      <c r="L3423">
        <v>233.84119999999999</v>
      </c>
      <c r="M3423">
        <v>0.156967299999999</v>
      </c>
      <c r="N3423">
        <v>-1.251793E-2</v>
      </c>
      <c r="O3423">
        <v>-0.98752450000000003</v>
      </c>
      <c r="P3423">
        <v>0.39611249999999998</v>
      </c>
      <c r="Q3423">
        <v>-0.13799649999999999</v>
      </c>
      <c r="R3423">
        <v>-0.90777330000000001</v>
      </c>
      <c r="S3423">
        <v>0.3934937</v>
      </c>
      <c r="T3423">
        <v>-0.16216369999999999</v>
      </c>
      <c r="U3423">
        <v>-3.1020509999999999</v>
      </c>
      <c r="V3423">
        <v>-0.2475647</v>
      </c>
      <c r="W3423">
        <v>-0.12820090000000001</v>
      </c>
      <c r="X3423">
        <v>0.96035219999999999</v>
      </c>
      <c r="Y3423">
        <v>3.1533220000000001E-2</v>
      </c>
      <c r="Z3423">
        <v>3.8640229999999998E-2</v>
      </c>
      <c r="AA3423">
        <v>0.99875550000000002</v>
      </c>
      <c r="AB3423">
        <v>17</v>
      </c>
      <c r="AC3423">
        <v>2.6663999999999999</v>
      </c>
      <c r="AD3423">
        <v>-1.1132730017050001</v>
      </c>
      <c r="AE3423">
        <v>-21.127699999999901</v>
      </c>
      <c r="AF3423">
        <v>0.68141392021079805</v>
      </c>
      <c r="AG3423">
        <v>-1.1132730017050001</v>
      </c>
      <c r="AH3423">
        <v>21.226314857614899</v>
      </c>
      <c r="AI3423">
        <v>93.000742351925695</v>
      </c>
      <c r="AJ3423">
        <v>88.161304091803203</v>
      </c>
      <c r="AK3423">
        <v>21.266408820992499</v>
      </c>
      <c r="AL3423">
        <v>97.365641186450802</v>
      </c>
      <c r="AM3423">
        <v>104.45529519476101</v>
      </c>
      <c r="AN3423">
        <v>1.0000000497458601</v>
      </c>
    </row>
    <row r="3424" spans="1:40" x14ac:dyDescent="0.25">
      <c r="A3424" t="str">
        <f>"20190305135000576"</f>
        <v>20190305135000576</v>
      </c>
      <c r="B3424" t="str">
        <f>"1551765000563920"</f>
        <v>1551765000563920</v>
      </c>
      <c r="C3424" t="s">
        <v>40</v>
      </c>
      <c r="D3424">
        <v>3.9130129999999999</v>
      </c>
      <c r="E3424">
        <v>0.61605699999999997</v>
      </c>
      <c r="F3424" t="s">
        <v>62</v>
      </c>
      <c r="G3424">
        <v>-488.3931</v>
      </c>
      <c r="H3424" s="1">
        <v>2.8576509999999999E-6</v>
      </c>
      <c r="I3424">
        <v>210.47040000000001</v>
      </c>
      <c r="J3424">
        <v>-491.26839999999999</v>
      </c>
      <c r="K3424">
        <v>1.1133489999999999</v>
      </c>
      <c r="L3424">
        <v>233.6977</v>
      </c>
      <c r="M3424">
        <v>0.16391620000000001</v>
      </c>
      <c r="N3424">
        <v>-1.2665930000000001E-2</v>
      </c>
      <c r="O3424">
        <v>-0.98639310000000002</v>
      </c>
      <c r="P3424">
        <v>0.40094790000000002</v>
      </c>
      <c r="Q3424">
        <v>-0.13924129999999901</v>
      </c>
      <c r="R3424">
        <v>-0.90545730000000002</v>
      </c>
      <c r="S3424">
        <v>0.38717649999999998</v>
      </c>
      <c r="T3424">
        <v>-0.1483003</v>
      </c>
      <c r="U3424">
        <v>-3.113251</v>
      </c>
      <c r="V3424">
        <v>-0.24592910000000001</v>
      </c>
      <c r="W3424">
        <v>-0.1293223</v>
      </c>
      <c r="X3424">
        <v>0.96062199999999998</v>
      </c>
      <c r="Y3424">
        <v>4.0988530000000002E-2</v>
      </c>
      <c r="Z3424">
        <v>3.3894340000000002E-2</v>
      </c>
      <c r="AA3424">
        <v>0.99858460000000004</v>
      </c>
      <c r="AB3424">
        <v>17</v>
      </c>
      <c r="AC3424">
        <v>2.8752999999999802</v>
      </c>
      <c r="AD3424">
        <v>-1.1133461423490001</v>
      </c>
      <c r="AE3424">
        <v>-23.2272999999999</v>
      </c>
      <c r="AF3424">
        <v>0.96903963305973495</v>
      </c>
      <c r="AG3424">
        <v>-1.1133461423490001</v>
      </c>
      <c r="AH3424">
        <v>23.331632770002599</v>
      </c>
      <c r="AI3424">
        <v>92.729635802348895</v>
      </c>
      <c r="AJ3424">
        <v>87.621684288031105</v>
      </c>
      <c r="AK3424">
        <v>23.378273357059101</v>
      </c>
      <c r="AL3424">
        <v>97.430432368091203</v>
      </c>
      <c r="AM3424">
        <v>104.35988891419601</v>
      </c>
      <c r="AN3424">
        <v>1.0000000031940499</v>
      </c>
    </row>
    <row r="3425" spans="1:40" x14ac:dyDescent="0.25">
      <c r="A3425" t="str">
        <f>"20190305135000598"</f>
        <v>20190305135000598</v>
      </c>
      <c r="B3425" t="str">
        <f>"1551765000594176"</f>
        <v>1551765000594176</v>
      </c>
      <c r="C3425" t="s">
        <v>40</v>
      </c>
      <c r="D3425">
        <v>3.9096630000000001</v>
      </c>
      <c r="E3425">
        <v>0.61909320000000001</v>
      </c>
      <c r="F3425" t="s">
        <v>62</v>
      </c>
      <c r="G3425">
        <v>-488.18520000000001</v>
      </c>
      <c r="H3425" s="1">
        <v>2.4861429999999999E-6</v>
      </c>
      <c r="I3425">
        <v>208.6566</v>
      </c>
      <c r="J3425">
        <v>-491.23309999999998</v>
      </c>
      <c r="K3425">
        <v>1.113397</v>
      </c>
      <c r="L3425">
        <v>233.54179999999999</v>
      </c>
      <c r="M3425">
        <v>0.17161940000000001</v>
      </c>
      <c r="N3425">
        <v>-1.2821910000000001E-2</v>
      </c>
      <c r="O3425">
        <v>-0.98507990000000001</v>
      </c>
      <c r="P3425">
        <v>0.40628360000000002</v>
      </c>
      <c r="Q3425">
        <v>-0.140539</v>
      </c>
      <c r="R3425">
        <v>-0.90287479999999998</v>
      </c>
      <c r="S3425">
        <v>0.38436890000000001</v>
      </c>
      <c r="T3425">
        <v>-0.13879320000000001</v>
      </c>
      <c r="U3425">
        <v>-3.1216889999999999</v>
      </c>
      <c r="V3425">
        <v>-0.24410180000000001</v>
      </c>
      <c r="W3425">
        <v>-0.13047829999999999</v>
      </c>
      <c r="X3425">
        <v>0.96093170000000006</v>
      </c>
      <c r="Y3425">
        <v>4.999439E-2</v>
      </c>
      <c r="Z3425">
        <v>3.0563770000000001E-2</v>
      </c>
      <c r="AA3425">
        <v>0.99828170000000005</v>
      </c>
      <c r="AB3425">
        <v>16</v>
      </c>
      <c r="AC3425">
        <v>3.0478999999999701</v>
      </c>
      <c r="AD3425">
        <v>-1.1133945138570001</v>
      </c>
      <c r="AE3425">
        <v>-24.885200000000001</v>
      </c>
      <c r="AF3425">
        <v>1.26596559133288</v>
      </c>
      <c r="AG3425">
        <v>-1.1133945138570001</v>
      </c>
      <c r="AH3425">
        <v>24.989762406174702</v>
      </c>
      <c r="AI3425">
        <v>92.547807607005495</v>
      </c>
      <c r="AJ3425">
        <v>87.099911178161307</v>
      </c>
      <c r="AK3425">
        <v>25.046567456220199</v>
      </c>
      <c r="AL3425">
        <v>97.497232280011104</v>
      </c>
      <c r="AM3425">
        <v>104.253149969326</v>
      </c>
      <c r="AN3425">
        <v>1.00000000379951</v>
      </c>
    </row>
    <row r="3426" spans="1:40" x14ac:dyDescent="0.25">
      <c r="A3426" t="str">
        <f>"20190305135000620"</f>
        <v>20190305135000620</v>
      </c>
      <c r="B3426" t="str">
        <f>"1551765000613696"</f>
        <v>1551765000613696</v>
      </c>
      <c r="C3426" t="s">
        <v>40</v>
      </c>
      <c r="D3426">
        <v>4.1319559999999997</v>
      </c>
      <c r="E3426">
        <v>0.61983699999999997</v>
      </c>
      <c r="F3426" t="s">
        <v>62</v>
      </c>
      <c r="G3426">
        <v>-487.94110000000001</v>
      </c>
      <c r="H3426" s="1">
        <v>1.806347E-6</v>
      </c>
      <c r="I3426">
        <v>206.602</v>
      </c>
      <c r="J3426">
        <v>-491.19569999999999</v>
      </c>
      <c r="K3426">
        <v>1.113426</v>
      </c>
      <c r="L3426">
        <v>233.3836</v>
      </c>
      <c r="M3426">
        <v>0.17960489999999901</v>
      </c>
      <c r="N3426">
        <v>-1.296717E-2</v>
      </c>
      <c r="O3426">
        <v>-0.98365340000000001</v>
      </c>
      <c r="P3426">
        <v>0.41194950000000002</v>
      </c>
      <c r="Q3426">
        <v>-0.14234069999999999</v>
      </c>
      <c r="R3426">
        <v>-0.90002079999999995</v>
      </c>
      <c r="S3426">
        <v>0.38253779999999998</v>
      </c>
      <c r="T3426">
        <v>-0.1293792</v>
      </c>
      <c r="U3426">
        <v>-3.1304630000000002</v>
      </c>
      <c r="V3426">
        <v>-0.24237230000000001</v>
      </c>
      <c r="W3426">
        <v>-0.13214289999999901</v>
      </c>
      <c r="X3426">
        <v>0.96114200000000005</v>
      </c>
      <c r="Y3426">
        <v>5.8995359999999997E-2</v>
      </c>
      <c r="Z3426">
        <v>2.728804E-2</v>
      </c>
      <c r="AA3426">
        <v>0.99788520000000003</v>
      </c>
      <c r="AB3426">
        <v>16</v>
      </c>
      <c r="AC3426">
        <v>3.25459999999998</v>
      </c>
      <c r="AD3426">
        <v>-1.113424193653</v>
      </c>
      <c r="AE3426">
        <v>-26.781600000000001</v>
      </c>
      <c r="AF3426">
        <v>1.60610781521878</v>
      </c>
      <c r="AG3426">
        <v>-1.113424193653</v>
      </c>
      <c r="AH3426">
        <v>26.88482528958</v>
      </c>
      <c r="AI3426">
        <v>92.367310582170205</v>
      </c>
      <c r="AJ3426">
        <v>86.581195597129394</v>
      </c>
      <c r="AK3426">
        <v>26.955762400651199</v>
      </c>
      <c r="AL3426">
        <v>97.593439826070906</v>
      </c>
      <c r="AM3426">
        <v>104.153264669764</v>
      </c>
      <c r="AN3426">
        <v>1.00000001099585</v>
      </c>
    </row>
    <row r="3427" spans="1:40" x14ac:dyDescent="0.25">
      <c r="A3427" t="str">
        <f>"20190305135000643"</f>
        <v>20190305135000643</v>
      </c>
      <c r="B3427" t="str">
        <f>"1551765000634191"</f>
        <v>1551765000634191</v>
      </c>
      <c r="C3427" t="s">
        <v>40</v>
      </c>
      <c r="D3427">
        <v>3.8936600000000001</v>
      </c>
      <c r="E3427">
        <v>0.62103799999999998</v>
      </c>
      <c r="F3427" t="s">
        <v>62</v>
      </c>
      <c r="G3427">
        <v>-487.8535</v>
      </c>
      <c r="H3427" s="1">
        <v>1.9153210000000001E-6</v>
      </c>
      <c r="I3427">
        <v>207.00389999999999</v>
      </c>
      <c r="J3427">
        <v>-491.1558</v>
      </c>
      <c r="K3427">
        <v>1.113451</v>
      </c>
      <c r="L3427">
        <v>233.22110000000001</v>
      </c>
      <c r="M3427">
        <v>0.18797829999999999</v>
      </c>
      <c r="N3427">
        <v>-1.309914E-2</v>
      </c>
      <c r="O3427">
        <v>-0.98208600000000001</v>
      </c>
      <c r="P3427">
        <v>0.4181705</v>
      </c>
      <c r="Q3427">
        <v>-0.14407490000000001</v>
      </c>
      <c r="R3427">
        <v>-0.896870099999999</v>
      </c>
      <c r="S3427">
        <v>0.39666750000000001</v>
      </c>
      <c r="T3427">
        <v>-0.1321445</v>
      </c>
      <c r="U3427">
        <v>-3.130814</v>
      </c>
      <c r="V3427">
        <v>-0.24086759999999999</v>
      </c>
      <c r="W3427">
        <v>-0.13375300000000001</v>
      </c>
      <c r="X3427">
        <v>0.96129750000000003</v>
      </c>
      <c r="Y3427">
        <v>6.3078330000000002E-2</v>
      </c>
      <c r="Z3427">
        <v>2.790685E-2</v>
      </c>
      <c r="AA3427">
        <v>0.99761829999999996</v>
      </c>
      <c r="AB3427">
        <v>16</v>
      </c>
      <c r="AC3427">
        <v>3.3022999999999998</v>
      </c>
      <c r="AD3427">
        <v>-1.1134490846789999</v>
      </c>
      <c r="AE3427">
        <v>-26.217199999999998</v>
      </c>
      <c r="AF3427">
        <v>1.6822794302272399</v>
      </c>
      <c r="AG3427">
        <v>-1.1134490846789999</v>
      </c>
      <c r="AH3427">
        <v>26.3238247129676</v>
      </c>
      <c r="AI3427">
        <v>92.417136657349999</v>
      </c>
      <c r="AJ3427">
        <v>86.343365234659203</v>
      </c>
      <c r="AK3427">
        <v>26.401014762023401</v>
      </c>
      <c r="AL3427">
        <v>97.686518304809795</v>
      </c>
      <c r="AM3427">
        <v>104.06671244309899</v>
      </c>
      <c r="AN3427">
        <v>0.99999997462250401</v>
      </c>
    </row>
    <row r="3428" spans="1:40" x14ac:dyDescent="0.25">
      <c r="A3428" t="str">
        <f>"20190305135000664"</f>
        <v>20190305135000664</v>
      </c>
      <c r="B3428" t="str">
        <f>"1551765000653712"</f>
        <v>1551765000653712</v>
      </c>
      <c r="C3428" t="s">
        <v>40</v>
      </c>
      <c r="D3428">
        <v>3.902666</v>
      </c>
      <c r="E3428">
        <v>0.62151659999999997</v>
      </c>
      <c r="F3428" t="s">
        <v>62</v>
      </c>
      <c r="G3428">
        <v>-487.75290000000001</v>
      </c>
      <c r="H3428" s="1">
        <v>1.9720509999999998E-6</v>
      </c>
      <c r="I3428">
        <v>207.24469999999999</v>
      </c>
      <c r="J3428">
        <v>-491.11970000000002</v>
      </c>
      <c r="K3428">
        <v>1.1134759999999999</v>
      </c>
      <c r="L3428">
        <v>233.0797</v>
      </c>
      <c r="M3428">
        <v>0.19539490000000001</v>
      </c>
      <c r="N3428">
        <v>-1.320171E-2</v>
      </c>
      <c r="O3428">
        <v>-0.9806359</v>
      </c>
      <c r="P3428">
        <v>0.42340280000000002</v>
      </c>
      <c r="Q3428">
        <v>-0.14544079999999901</v>
      </c>
      <c r="R3428">
        <v>-0.89419079999999995</v>
      </c>
      <c r="S3428">
        <v>0.41030879999999997</v>
      </c>
      <c r="T3428">
        <v>-0.1342537</v>
      </c>
      <c r="U3428">
        <v>-3.1320950000000001</v>
      </c>
      <c r="V3428">
        <v>-0.23924200000000001</v>
      </c>
      <c r="W3428">
        <v>-0.1350201</v>
      </c>
      <c r="X3428">
        <v>0.96152629999999994</v>
      </c>
      <c r="Y3428">
        <v>6.639747E-2</v>
      </c>
      <c r="Z3428">
        <v>2.8343549999999999E-2</v>
      </c>
      <c r="AA3428">
        <v>0.99739060000000002</v>
      </c>
      <c r="AB3428">
        <v>16</v>
      </c>
      <c r="AC3428">
        <v>3.3668000000000098</v>
      </c>
      <c r="AD3428">
        <v>-1.1134740279490001</v>
      </c>
      <c r="AE3428">
        <v>-25.835000000000001</v>
      </c>
      <c r="AF3428">
        <v>1.74338993468468</v>
      </c>
      <c r="AG3428">
        <v>-1.1134740279490001</v>
      </c>
      <c r="AH3428">
        <v>25.947452422494202</v>
      </c>
      <c r="AI3428">
        <v>92.451685406201193</v>
      </c>
      <c r="AJ3428">
        <v>86.156116721479293</v>
      </c>
      <c r="AK3428">
        <v>26.029781406936099</v>
      </c>
      <c r="AL3428">
        <v>97.759782223950893</v>
      </c>
      <c r="AM3428">
        <v>103.97231469257601</v>
      </c>
      <c r="AN3428">
        <v>0.99999999377985005</v>
      </c>
    </row>
    <row r="3429" spans="1:40" x14ac:dyDescent="0.25">
      <c r="A3429" t="str">
        <f>"20190305135000687"</f>
        <v>20190305135000687</v>
      </c>
      <c r="B3429" t="str">
        <f>"1551765000683967"</f>
        <v>1551765000683967</v>
      </c>
      <c r="C3429" t="s">
        <v>40</v>
      </c>
      <c r="D3429">
        <v>4.1098339999999904</v>
      </c>
      <c r="E3429">
        <v>0.65976809999999997</v>
      </c>
      <c r="F3429" t="s">
        <v>62</v>
      </c>
      <c r="G3429">
        <v>-487.70650000000001</v>
      </c>
      <c r="H3429" s="1">
        <v>2.1697320000000002E-6</v>
      </c>
      <c r="I3429">
        <v>207.9093</v>
      </c>
      <c r="J3429">
        <v>-491.07679999999999</v>
      </c>
      <c r="K3429">
        <v>1.1135139999999999</v>
      </c>
      <c r="L3429">
        <v>232.91739999999999</v>
      </c>
      <c r="M3429">
        <v>0.20404439999999999</v>
      </c>
      <c r="N3429">
        <v>-1.3309359999999999E-2</v>
      </c>
      <c r="O3429">
        <v>-0.97887139999999995</v>
      </c>
      <c r="P3429">
        <v>0.42955280000000001</v>
      </c>
      <c r="Q3429">
        <v>-0.14618829999999999</v>
      </c>
      <c r="R3429">
        <v>-0.89113089999999995</v>
      </c>
      <c r="S3429">
        <v>0.42462159999999899</v>
      </c>
      <c r="T3429">
        <v>-0.13852500000000001</v>
      </c>
      <c r="U3429">
        <v>-3.1313930000000001</v>
      </c>
      <c r="V3429">
        <v>-0.23738509999999999</v>
      </c>
      <c r="W3429">
        <v>-0.13566719999999999</v>
      </c>
      <c r="X3429">
        <v>0.96189539999999996</v>
      </c>
      <c r="Y3429">
        <v>7.069976E-2</v>
      </c>
      <c r="Z3429">
        <v>2.9440210000000001E-2</v>
      </c>
      <c r="AA3429">
        <v>0.99706309999999998</v>
      </c>
      <c r="AB3429">
        <v>16</v>
      </c>
      <c r="AC3429">
        <v>3.3702999999999799</v>
      </c>
      <c r="AD3429">
        <v>-1.1135118302679901</v>
      </c>
      <c r="AE3429">
        <v>-25.008099999999899</v>
      </c>
      <c r="AF3429">
        <v>1.80032622411669</v>
      </c>
      <c r="AG3429">
        <v>-1.1135118302679901</v>
      </c>
      <c r="AH3429">
        <v>25.120712973471001</v>
      </c>
      <c r="AI3429">
        <v>92.531572166821803</v>
      </c>
      <c r="AJ3429">
        <v>85.900791646213094</v>
      </c>
      <c r="AK3429">
        <v>25.209746198740401</v>
      </c>
      <c r="AL3429">
        <v>97.797202451996</v>
      </c>
      <c r="AM3429">
        <v>103.862952655692</v>
      </c>
      <c r="AN3429">
        <v>1.0000000176995001</v>
      </c>
    </row>
    <row r="3430" spans="1:40" x14ac:dyDescent="0.25">
      <c r="A3430" t="str">
        <f>"20190305135000702"</f>
        <v>20190305135000702</v>
      </c>
      <c r="B3430" t="str">
        <f>"1551765000693728"</f>
        <v>1551765000693728</v>
      </c>
      <c r="C3430" t="s">
        <v>40</v>
      </c>
      <c r="D3430">
        <v>3.911098</v>
      </c>
      <c r="E3430">
        <v>0.65976809999999997</v>
      </c>
      <c r="F3430" t="s">
        <v>41</v>
      </c>
      <c r="G3430">
        <v>-491.05430000000001</v>
      </c>
      <c r="H3430">
        <v>0.93733160000000004</v>
      </c>
      <c r="I3430">
        <v>232.21559999999999</v>
      </c>
      <c r="J3430">
        <v>-491.0496</v>
      </c>
      <c r="K3430">
        <v>1.1135469999999901</v>
      </c>
      <c r="L3430">
        <v>232.8185</v>
      </c>
      <c r="M3430">
        <v>0.20941380000000001</v>
      </c>
      <c r="N3430">
        <v>-1.3369570000000001E-2</v>
      </c>
      <c r="O3430">
        <v>-0.97773560000000004</v>
      </c>
      <c r="P3430">
        <v>0.43369479999999999</v>
      </c>
      <c r="Q3430">
        <v>-0.1461036</v>
      </c>
      <c r="R3430">
        <v>-0.88913569999999997</v>
      </c>
      <c r="S3430">
        <v>0.1020508</v>
      </c>
      <c r="T3430">
        <v>-0.79964609999999903</v>
      </c>
      <c r="U3430">
        <v>-3.1861419999999998</v>
      </c>
      <c r="V3430">
        <v>-0.23657110000000001</v>
      </c>
      <c r="W3430">
        <v>-0.1355324</v>
      </c>
      <c r="X3430">
        <v>0.9621149</v>
      </c>
      <c r="Y3430">
        <v>0.1784635</v>
      </c>
      <c r="Z3430">
        <v>0.2204739</v>
      </c>
      <c r="AA3430">
        <v>0.95892750000000004</v>
      </c>
      <c r="AB3430">
        <v>16</v>
      </c>
      <c r="AC3430">
        <v>-4.7000000000139101E-3</v>
      </c>
      <c r="AD3430">
        <v>-0.176215399999999</v>
      </c>
      <c r="AE3430">
        <v>-0.60290000000000499</v>
      </c>
      <c r="AF3430">
        <v>0.120563820291511</v>
      </c>
      <c r="AG3430">
        <v>-0.176215399999999</v>
      </c>
      <c r="AH3430">
        <v>0.54222698964253402</v>
      </c>
      <c r="AI3430">
        <v>107.600962762218</v>
      </c>
      <c r="AJ3430">
        <v>77.464251203378097</v>
      </c>
      <c r="AK3430">
        <v>0.582750040975758</v>
      </c>
      <c r="AL3430">
        <v>97.789407127772805</v>
      </c>
      <c r="AM3430">
        <v>103.814209323307</v>
      </c>
      <c r="AN3430">
        <v>0.99999999880349</v>
      </c>
    </row>
    <row r="3431" spans="1:40" x14ac:dyDescent="0.25">
      <c r="A3431" t="str">
        <f>"20190305135000722"</f>
        <v>20190305135000722</v>
      </c>
      <c r="B3431" t="str">
        <f>"1551765000714224"</f>
        <v>1551765000714224</v>
      </c>
      <c r="C3431" t="s">
        <v>40</v>
      </c>
      <c r="D3431">
        <v>3.9085169999999998</v>
      </c>
      <c r="E3431">
        <v>0.65979679999999996</v>
      </c>
      <c r="F3431" t="s">
        <v>41</v>
      </c>
      <c r="G3431">
        <v>-491.02249999999998</v>
      </c>
      <c r="H3431">
        <v>0.92834519999999998</v>
      </c>
      <c r="I3431">
        <v>232.07980000000001</v>
      </c>
      <c r="J3431">
        <v>-491.012</v>
      </c>
      <c r="K3431">
        <v>1.1135889999999999</v>
      </c>
      <c r="L3431">
        <v>232.685</v>
      </c>
      <c r="M3431">
        <v>0.21674579999999999</v>
      </c>
      <c r="N3431">
        <v>-1.3445800000000001E-2</v>
      </c>
      <c r="O3431">
        <v>-0.97613550000000004</v>
      </c>
      <c r="P3431">
        <v>0.43880659999999999</v>
      </c>
      <c r="Q3431">
        <v>-0.14633650000000001</v>
      </c>
      <c r="R3431">
        <v>-0.88658599999999999</v>
      </c>
      <c r="S3431">
        <v>0.1175537</v>
      </c>
      <c r="T3431">
        <v>-0.80051049999999901</v>
      </c>
      <c r="U3431">
        <v>-3.18512</v>
      </c>
      <c r="V3431">
        <v>-0.2348836</v>
      </c>
      <c r="W3431">
        <v>-0.13569790000000001</v>
      </c>
      <c r="X3431">
        <v>0.96250500000000005</v>
      </c>
      <c r="Y3431">
        <v>0.1811643</v>
      </c>
      <c r="Z3431">
        <v>0.2200646</v>
      </c>
      <c r="AA3431">
        <v>0.95851500000000001</v>
      </c>
      <c r="AB3431">
        <v>16</v>
      </c>
      <c r="AC3431">
        <v>-1.0500000000035901E-2</v>
      </c>
      <c r="AD3431">
        <v>-0.18524379999999999</v>
      </c>
      <c r="AE3431">
        <v>-0.60519999999999596</v>
      </c>
      <c r="AF3431">
        <v>0.12932413486824401</v>
      </c>
      <c r="AG3431">
        <v>-0.18524379999999999</v>
      </c>
      <c r="AH3431">
        <v>0.53813252922247001</v>
      </c>
      <c r="AI3431">
        <v>108.505648787106</v>
      </c>
      <c r="AJ3431">
        <v>76.486919260808506</v>
      </c>
      <c r="AK3431">
        <v>0.58363226119298195</v>
      </c>
      <c r="AL3431">
        <v>97.798977594653707</v>
      </c>
      <c r="AM3431">
        <v>103.714056045769</v>
      </c>
      <c r="AN3431">
        <v>1.0000000503191799</v>
      </c>
    </row>
    <row r="3432" spans="1:40" x14ac:dyDescent="0.25">
      <c r="A3432" t="str">
        <f>"20190305135000744"</f>
        <v>20190305135000744</v>
      </c>
      <c r="B3432" t="str">
        <f>"1551765000733744"</f>
        <v>1551765000733744</v>
      </c>
      <c r="C3432" t="s">
        <v>40</v>
      </c>
      <c r="D3432">
        <v>3.8774289999999998</v>
      </c>
      <c r="E3432">
        <v>0.65907499999999997</v>
      </c>
      <c r="F3432" t="s">
        <v>41</v>
      </c>
      <c r="G3432">
        <v>-490.98009999999999</v>
      </c>
      <c r="H3432">
        <v>0.92664219999999997</v>
      </c>
      <c r="I3432">
        <v>231.94329999999999</v>
      </c>
      <c r="J3432">
        <v>-490.96609999999998</v>
      </c>
      <c r="K3432">
        <v>1.1136509999999999</v>
      </c>
      <c r="L3432">
        <v>232.52770000000001</v>
      </c>
      <c r="M3432">
        <v>0.22553799999999999</v>
      </c>
      <c r="N3432">
        <v>-1.3527819999999999E-2</v>
      </c>
      <c r="O3432">
        <v>-0.97414049999999996</v>
      </c>
      <c r="P3432">
        <v>0.4456137</v>
      </c>
      <c r="Q3432">
        <v>-0.14630170000000001</v>
      </c>
      <c r="R3432">
        <v>-0.88318999999999903</v>
      </c>
      <c r="S3432">
        <v>0.1365662</v>
      </c>
      <c r="T3432">
        <v>-0.80236580000000002</v>
      </c>
      <c r="U3432">
        <v>-3.1837770000000001</v>
      </c>
      <c r="V3432">
        <v>-0.2335922</v>
      </c>
      <c r="W3432">
        <v>-0.13560050000000001</v>
      </c>
      <c r="X3432">
        <v>0.96283289999999999</v>
      </c>
      <c r="Y3432">
        <v>0.18428890000000001</v>
      </c>
      <c r="Z3432">
        <v>0.2197848</v>
      </c>
      <c r="AA3432">
        <v>0.95798340000000004</v>
      </c>
      <c r="AB3432">
        <v>16</v>
      </c>
      <c r="AC3432">
        <v>-1.4000000000009999E-2</v>
      </c>
      <c r="AD3432">
        <v>-0.1870088</v>
      </c>
      <c r="AE3432">
        <v>-0.58440000000001602</v>
      </c>
      <c r="AF3432">
        <v>0.13195147944694199</v>
      </c>
      <c r="AG3432">
        <v>-0.1870088</v>
      </c>
      <c r="AH3432">
        <v>0.51361726401976604</v>
      </c>
      <c r="AI3432">
        <v>109.425188909911</v>
      </c>
      <c r="AJ3432">
        <v>75.5919439950666</v>
      </c>
      <c r="AK3432">
        <v>0.56230434651070205</v>
      </c>
      <c r="AL3432">
        <v>97.793345298512406</v>
      </c>
      <c r="AM3432">
        <v>103.637008015075</v>
      </c>
      <c r="AN3432">
        <v>1.0000000024117499</v>
      </c>
    </row>
    <row r="3433" spans="1:40" x14ac:dyDescent="0.25">
      <c r="A3433" t="str">
        <f>"20190305135000765"</f>
        <v>20190305135000765</v>
      </c>
      <c r="B3433" t="str">
        <f>"1551765000754239"</f>
        <v>1551765000754239</v>
      </c>
      <c r="C3433" t="s">
        <v>40</v>
      </c>
      <c r="D3433">
        <v>3.9132850000000001</v>
      </c>
      <c r="E3433">
        <v>0.65896399999999999</v>
      </c>
      <c r="F3433" t="s">
        <v>41</v>
      </c>
      <c r="G3433">
        <v>-490.92829999999998</v>
      </c>
      <c r="H3433">
        <v>0.93125270000000004</v>
      </c>
      <c r="I3433">
        <v>231.8066</v>
      </c>
      <c r="J3433">
        <v>-490.92340000000002</v>
      </c>
      <c r="K3433">
        <v>1.1137079999999999</v>
      </c>
      <c r="L3433">
        <v>232.38669999999999</v>
      </c>
      <c r="M3433">
        <v>0.23356779999999999</v>
      </c>
      <c r="N3433">
        <v>-1.3594780000000001E-2</v>
      </c>
      <c r="O3433">
        <v>-0.97224560000000004</v>
      </c>
      <c r="P3433">
        <v>0.45256210000000002</v>
      </c>
      <c r="Q3433">
        <v>-0.145844899999999</v>
      </c>
      <c r="R3433">
        <v>-0.8797258</v>
      </c>
      <c r="S3433">
        <v>0.1668396</v>
      </c>
      <c r="T3433">
        <v>-0.80491219999999997</v>
      </c>
      <c r="U3433">
        <v>-3.1791990000000001</v>
      </c>
      <c r="V3433">
        <v>-0.23320969999999999</v>
      </c>
      <c r="W3433">
        <v>-0.1351019</v>
      </c>
      <c r="X3433">
        <v>0.96299570000000001</v>
      </c>
      <c r="Y3433">
        <v>0.18324270000000001</v>
      </c>
      <c r="Z3433">
        <v>0.2200453</v>
      </c>
      <c r="AA3433">
        <v>0.95812430000000004</v>
      </c>
      <c r="AB3433">
        <v>16</v>
      </c>
      <c r="AC3433">
        <v>-4.8999999999637103E-3</v>
      </c>
      <c r="AD3433">
        <v>-0.18245529999999899</v>
      </c>
      <c r="AE3433">
        <v>-0.58009999999998696</v>
      </c>
      <c r="AF3433">
        <v>0.127643375733068</v>
      </c>
      <c r="AG3433">
        <v>-0.18245529999999899</v>
      </c>
      <c r="AH3433">
        <v>0.51223752324846705</v>
      </c>
      <c r="AI3433">
        <v>109.06636179871199</v>
      </c>
      <c r="AJ3433">
        <v>76.007559531548196</v>
      </c>
      <c r="AK3433">
        <v>0.55854278984724803</v>
      </c>
      <c r="AL3433">
        <v>97.764512288471906</v>
      </c>
      <c r="AM3433">
        <v>103.61329358045001</v>
      </c>
      <c r="AN3433">
        <v>1.00000000288809</v>
      </c>
    </row>
    <row r="3434" spans="1:40" x14ac:dyDescent="0.25">
      <c r="A3434" t="str">
        <f>"20190305135000788"</f>
        <v>20190305135000788</v>
      </c>
      <c r="B3434" t="str">
        <f>"1551765000783520"</f>
        <v>1551765000783520</v>
      </c>
      <c r="C3434" t="s">
        <v>40</v>
      </c>
      <c r="D3434">
        <v>3.8828779999999998</v>
      </c>
      <c r="E3434">
        <v>0.66286299999999998</v>
      </c>
      <c r="F3434" t="s">
        <v>41</v>
      </c>
      <c r="G3434">
        <v>-490.88</v>
      </c>
      <c r="H3434">
        <v>0.93185479999999998</v>
      </c>
      <c r="I3434">
        <v>231.6712</v>
      </c>
      <c r="J3434">
        <v>-490.875</v>
      </c>
      <c r="K3434">
        <v>1.1137649999999999</v>
      </c>
      <c r="L3434">
        <v>232.2319</v>
      </c>
      <c r="M3434">
        <v>0.24254100000000001</v>
      </c>
      <c r="N3434">
        <v>-1.3661990000000001E-2</v>
      </c>
      <c r="O3434">
        <v>-0.97004509999999999</v>
      </c>
      <c r="P3434">
        <v>0.46060790000000001</v>
      </c>
      <c r="Q3434">
        <v>-0.14522650000000001</v>
      </c>
      <c r="R3434">
        <v>-0.8756429</v>
      </c>
      <c r="S3434">
        <v>0.1929932</v>
      </c>
      <c r="T3434">
        <v>-0.80790189999999995</v>
      </c>
      <c r="U3434">
        <v>-3.1769409999999998</v>
      </c>
      <c r="V3434">
        <v>-0.2331049</v>
      </c>
      <c r="W3434">
        <v>-0.1344455</v>
      </c>
      <c r="X3434">
        <v>0.963113</v>
      </c>
      <c r="Y3434">
        <v>0.18442600000000001</v>
      </c>
      <c r="Z3434">
        <v>0.22009780000000001</v>
      </c>
      <c r="AA3434">
        <v>0.95788519999999999</v>
      </c>
      <c r="AB3434">
        <v>16</v>
      </c>
      <c r="AC3434">
        <v>-4.9999999999954499E-3</v>
      </c>
      <c r="AD3434">
        <v>-0.18191019999999899</v>
      </c>
      <c r="AE3434">
        <v>-0.56069999999999698</v>
      </c>
      <c r="AF3434">
        <v>0.127442843666975</v>
      </c>
      <c r="AG3434">
        <v>-0.18191019999999899</v>
      </c>
      <c r="AH3434">
        <v>0.49105866884938998</v>
      </c>
      <c r="AI3434">
        <v>109.72612001745399</v>
      </c>
      <c r="AJ3434">
        <v>75.451186857921201</v>
      </c>
      <c r="AK3434">
        <v>0.53895418684532004</v>
      </c>
      <c r="AL3434">
        <v>97.726556537406196</v>
      </c>
      <c r="AM3434">
        <v>103.605807853427</v>
      </c>
      <c r="AN3434">
        <v>1.00000006882162</v>
      </c>
    </row>
    <row r="3435" spans="1:40" x14ac:dyDescent="0.25">
      <c r="A3435" t="str">
        <f>"20190305135000809"</f>
        <v>20190305135000809</v>
      </c>
      <c r="B3435" t="str">
        <f>"1551765000804016"</f>
        <v>1551765000804016</v>
      </c>
      <c r="C3435" t="s">
        <v>40</v>
      </c>
      <c r="D3435">
        <v>4.1371960000000003</v>
      </c>
      <c r="E3435">
        <v>0.63569750000000003</v>
      </c>
      <c r="F3435" t="s">
        <v>41</v>
      </c>
      <c r="G3435">
        <v>-490.8331</v>
      </c>
      <c r="H3435">
        <v>0.93293919999999997</v>
      </c>
      <c r="I3435">
        <v>231.53569999999999</v>
      </c>
      <c r="J3435">
        <v>-490.8288</v>
      </c>
      <c r="K3435">
        <v>1.11382</v>
      </c>
      <c r="L3435">
        <v>232.0891</v>
      </c>
      <c r="M3435">
        <v>0.25096970000000002</v>
      </c>
      <c r="N3435">
        <v>-1.3718559999999999E-2</v>
      </c>
      <c r="O3435">
        <v>-0.96789800000000004</v>
      </c>
      <c r="P3435">
        <v>0.46804240000000003</v>
      </c>
      <c r="Q3435">
        <v>-0.14496439999999999</v>
      </c>
      <c r="R3435">
        <v>-0.87173500000000004</v>
      </c>
      <c r="S3435">
        <v>0.19271849999999999</v>
      </c>
      <c r="T3435">
        <v>-0.83024949999999997</v>
      </c>
      <c r="U3435">
        <v>-3.1870120000000002</v>
      </c>
      <c r="V3435">
        <v>-0.23290069999999999</v>
      </c>
      <c r="W3435">
        <v>-0.1341513</v>
      </c>
      <c r="X3435">
        <v>0.96320340000000004</v>
      </c>
      <c r="Y3435">
        <v>0.1932614</v>
      </c>
      <c r="Z3435">
        <v>0.2243985</v>
      </c>
      <c r="AA3435">
        <v>0.95514149999999998</v>
      </c>
      <c r="AB3435">
        <v>16</v>
      </c>
      <c r="AC3435">
        <v>-4.3000000000006297E-3</v>
      </c>
      <c r="AD3435">
        <v>-0.18088080000000001</v>
      </c>
      <c r="AE3435">
        <v>-0.55340000000001</v>
      </c>
      <c r="AF3435">
        <v>0.12925419969538601</v>
      </c>
      <c r="AG3435">
        <v>-0.18088080000000001</v>
      </c>
      <c r="AH3435">
        <v>0.48300757458800803</v>
      </c>
      <c r="AI3435">
        <v>109.888069649179</v>
      </c>
      <c r="AJ3435">
        <v>75.018516693556194</v>
      </c>
      <c r="AK3435">
        <v>0.53171498855770905</v>
      </c>
      <c r="AL3435">
        <v>97.709546177983995</v>
      </c>
      <c r="AM3435">
        <v>103.59310310745001</v>
      </c>
      <c r="AN3435">
        <v>1.0000000485618601</v>
      </c>
    </row>
    <row r="3436" spans="1:40" x14ac:dyDescent="0.25">
      <c r="A3436" t="str">
        <f>"20190305135000833"</f>
        <v>20190305135000833</v>
      </c>
      <c r="B3436" t="str">
        <f>"1551765000823539"</f>
        <v>1551765000823539</v>
      </c>
      <c r="C3436" t="s">
        <v>40</v>
      </c>
      <c r="D3436">
        <v>3.9113349999999998</v>
      </c>
      <c r="E3436">
        <v>0.63545499999999999</v>
      </c>
      <c r="F3436" t="s">
        <v>62</v>
      </c>
      <c r="G3436">
        <v>-487.22649999999999</v>
      </c>
      <c r="H3436" s="1">
        <v>2.2042060000000002E-6</v>
      </c>
      <c r="I3436">
        <v>208.2955</v>
      </c>
      <c r="J3436">
        <v>-490.77719999999999</v>
      </c>
      <c r="K3436">
        <v>1.1138749999999999</v>
      </c>
      <c r="L3436">
        <v>231.93559999999999</v>
      </c>
      <c r="M3436">
        <v>0.26020399999999999</v>
      </c>
      <c r="N3436">
        <v>-1.3774359999999999E-2</v>
      </c>
      <c r="O3436">
        <v>-0.96545550000000002</v>
      </c>
      <c r="P3436">
        <v>0.47615849999999998</v>
      </c>
      <c r="Q3436">
        <v>-0.14451149999999999</v>
      </c>
      <c r="R3436">
        <v>-0.86740390000000001</v>
      </c>
      <c r="S3436">
        <v>0.47842410000000002</v>
      </c>
      <c r="T3436">
        <v>-0.1479251</v>
      </c>
      <c r="U3436">
        <v>-3.1600039999999998</v>
      </c>
      <c r="V3436">
        <v>-0.23266020000000001</v>
      </c>
      <c r="W3436">
        <v>-0.1336677</v>
      </c>
      <c r="X3436">
        <v>0.96332870000000004</v>
      </c>
      <c r="Y3436">
        <v>0.112784</v>
      </c>
      <c r="Z3436">
        <v>3.046956E-2</v>
      </c>
      <c r="AA3436">
        <v>0.99315229999999999</v>
      </c>
      <c r="AB3436">
        <v>16</v>
      </c>
      <c r="AC3436">
        <v>3.5507</v>
      </c>
      <c r="AD3436">
        <v>-1.113872795794</v>
      </c>
      <c r="AE3436">
        <v>-23.640099999999901</v>
      </c>
      <c r="AF3436">
        <v>2.7175637139681399</v>
      </c>
      <c r="AG3436">
        <v>-1.113872795794</v>
      </c>
      <c r="AH3436">
        <v>23.6981703646209</v>
      </c>
      <c r="AI3436">
        <v>92.673567425784398</v>
      </c>
      <c r="AJ3436">
        <v>83.4582395619735</v>
      </c>
      <c r="AK3436">
        <v>23.8794711787192</v>
      </c>
      <c r="AL3436">
        <v>97.681586468144801</v>
      </c>
      <c r="AM3436">
        <v>103.577885607761</v>
      </c>
      <c r="AN3436">
        <v>1.0000000034655001</v>
      </c>
    </row>
    <row r="3437" spans="1:40" x14ac:dyDescent="0.25">
      <c r="A3437" t="str">
        <f>"20190305135000845"</f>
        <v>20190305135000845</v>
      </c>
      <c r="B3437" t="str">
        <f>"1551765000833295"</f>
        <v>1551765000833295</v>
      </c>
      <c r="C3437" t="s">
        <v>40</v>
      </c>
      <c r="D3437">
        <v>3.9551560000000001</v>
      </c>
      <c r="E3437">
        <v>0.63517019999999902</v>
      </c>
      <c r="F3437" t="s">
        <v>62</v>
      </c>
      <c r="G3437">
        <v>-487.0908</v>
      </c>
      <c r="H3437" s="1">
        <v>2.4138449999999998E-6</v>
      </c>
      <c r="I3437">
        <v>209.04990000000001</v>
      </c>
      <c r="J3437">
        <v>-490.74529999999999</v>
      </c>
      <c r="K3437">
        <v>1.1139059999999901</v>
      </c>
      <c r="L3437">
        <v>231.8433</v>
      </c>
      <c r="M3437">
        <v>0.26583390000000001</v>
      </c>
      <c r="N3437">
        <v>-1.3805950000000001E-2</v>
      </c>
      <c r="O3437">
        <v>-0.96391990000000005</v>
      </c>
      <c r="P3437">
        <v>0.48114839999999998</v>
      </c>
      <c r="Q3437">
        <v>-0.14432249999999999</v>
      </c>
      <c r="R3437">
        <v>-0.86467749999999999</v>
      </c>
      <c r="S3437">
        <v>0.50805659999999997</v>
      </c>
      <c r="T3437">
        <v>-0.15351339999999999</v>
      </c>
      <c r="U3437">
        <v>-3.154099</v>
      </c>
      <c r="V3437">
        <v>-0.23257340000000001</v>
      </c>
      <c r="W3437">
        <v>-0.13346340000000001</v>
      </c>
      <c r="X3437">
        <v>0.96337799999999996</v>
      </c>
      <c r="Y3437">
        <v>0.1092076</v>
      </c>
      <c r="Z3437">
        <v>3.2072150000000001E-2</v>
      </c>
      <c r="AA3437">
        <v>0.99350139999999998</v>
      </c>
      <c r="AB3437">
        <v>16</v>
      </c>
      <c r="AC3437">
        <v>3.6544999999999801</v>
      </c>
      <c r="AD3437">
        <v>-1.11390358615499</v>
      </c>
      <c r="AE3437">
        <v>-22.793399999999899</v>
      </c>
      <c r="AF3437">
        <v>2.5309620801200898</v>
      </c>
      <c r="AG3437">
        <v>-1.11390358615499</v>
      </c>
      <c r="AH3437">
        <v>22.891390577353999</v>
      </c>
      <c r="AI3437">
        <v>92.7689898614002</v>
      </c>
      <c r="AJ3437">
        <v>83.690779010542599</v>
      </c>
      <c r="AK3437">
        <v>23.057803729219899</v>
      </c>
      <c r="AL3437">
        <v>97.669774996686598</v>
      </c>
      <c r="AM3437">
        <v>103.572338561546</v>
      </c>
      <c r="AN3437">
        <v>1.00000001820555</v>
      </c>
    </row>
    <row r="3438" spans="1:40" x14ac:dyDescent="0.25">
      <c r="A3438" t="str">
        <f>"20190305135000864"</f>
        <v>20190305135000864</v>
      </c>
      <c r="B3438" t="str">
        <f>"1551765000853791"</f>
        <v>1551765000853791</v>
      </c>
      <c r="C3438" t="s">
        <v>40</v>
      </c>
      <c r="D3438">
        <v>4.147691</v>
      </c>
      <c r="E3438">
        <v>0.63496680000000005</v>
      </c>
      <c r="F3438" t="s">
        <v>62</v>
      </c>
      <c r="G3438">
        <v>-486.96730000000002</v>
      </c>
      <c r="H3438" s="1">
        <v>2.4672799999999999E-6</v>
      </c>
      <c r="I3438">
        <v>209.29310000000001</v>
      </c>
      <c r="J3438">
        <v>-490.70179999999999</v>
      </c>
      <c r="K3438">
        <v>1.1139460000000001</v>
      </c>
      <c r="L3438">
        <v>231.72059999999999</v>
      </c>
      <c r="M3438">
        <v>0.27340239999999999</v>
      </c>
      <c r="N3438">
        <v>-1.3845100000000001E-2</v>
      </c>
      <c r="O3438">
        <v>-0.96180030000000005</v>
      </c>
      <c r="P3438">
        <v>0.48850579999999999</v>
      </c>
      <c r="Q3438">
        <v>-0.1423615</v>
      </c>
      <c r="R3438">
        <v>-0.860869</v>
      </c>
      <c r="S3438">
        <v>0.52774049999999995</v>
      </c>
      <c r="T3438">
        <v>-0.15559609999999999</v>
      </c>
      <c r="U3438">
        <v>-3.1499329999999999</v>
      </c>
      <c r="V3438">
        <v>-0.23313719999999999</v>
      </c>
      <c r="W3438">
        <v>-0.131487299999999</v>
      </c>
      <c r="X3438">
        <v>0.96351339999999996</v>
      </c>
      <c r="Y3438">
        <v>0.1107711</v>
      </c>
      <c r="Z3438">
        <v>3.2551200000000002E-2</v>
      </c>
      <c r="AA3438">
        <v>0.99331270000000005</v>
      </c>
      <c r="AB3438">
        <v>16</v>
      </c>
      <c r="AC3438">
        <v>3.7344999999999602</v>
      </c>
      <c r="AD3438">
        <v>-1.11394353271999</v>
      </c>
      <c r="AE3438">
        <v>-22.427499999999899</v>
      </c>
      <c r="AF3438">
        <v>2.5340493171513998</v>
      </c>
      <c r="AG3438">
        <v>-1.11394353271999</v>
      </c>
      <c r="AH3438">
        <v>22.539853758995701</v>
      </c>
      <c r="AI3438">
        <v>92.811632101537896</v>
      </c>
      <c r="AJ3438">
        <v>83.585441072189994</v>
      </c>
      <c r="AK3438">
        <v>22.709189408976201</v>
      </c>
      <c r="AL3438">
        <v>97.555546390423302</v>
      </c>
      <c r="AM3438">
        <v>103.60217835096201</v>
      </c>
      <c r="AN3438">
        <v>0.99999996803234403</v>
      </c>
    </row>
    <row r="3439" spans="1:40" x14ac:dyDescent="0.25">
      <c r="A3439" t="str">
        <f>"20190305135000887"</f>
        <v>20190305135000887</v>
      </c>
      <c r="B3439" t="str">
        <f>"1551765000884048"</f>
        <v>1551765000884048</v>
      </c>
      <c r="C3439" t="s">
        <v>40</v>
      </c>
      <c r="D3439">
        <v>3.975279</v>
      </c>
      <c r="E3439">
        <v>0.63488369999999905</v>
      </c>
      <c r="F3439" t="s">
        <v>62</v>
      </c>
      <c r="G3439">
        <v>-486.5598</v>
      </c>
      <c r="H3439" s="1">
        <v>2.0709310000000002E-6</v>
      </c>
      <c r="I3439">
        <v>208.24700000000001</v>
      </c>
      <c r="J3439">
        <v>-490.6472</v>
      </c>
      <c r="K3439">
        <v>1.1139920000000001</v>
      </c>
      <c r="L3439">
        <v>231.57040000000001</v>
      </c>
      <c r="M3439">
        <v>0.2827712</v>
      </c>
      <c r="N3439">
        <v>-1.388868E-2</v>
      </c>
      <c r="O3439">
        <v>-0.95908700000000002</v>
      </c>
      <c r="P3439">
        <v>0.4976718</v>
      </c>
      <c r="Q3439">
        <v>-0.14039579999999999</v>
      </c>
      <c r="R3439">
        <v>-0.85592760000000001</v>
      </c>
      <c r="S3439">
        <v>0.55499270000000001</v>
      </c>
      <c r="T3439">
        <v>-0.14925659999999999</v>
      </c>
      <c r="U3439">
        <v>-3.145203</v>
      </c>
      <c r="V3439">
        <v>-0.23394470000000001</v>
      </c>
      <c r="W3439">
        <v>-0.1295067</v>
      </c>
      <c r="X3439">
        <v>0.96358600000000005</v>
      </c>
      <c r="Y3439">
        <v>0.11185290000000001</v>
      </c>
      <c r="Z3439">
        <v>3.0505419999999998E-2</v>
      </c>
      <c r="AA3439">
        <v>0.99325640000000004</v>
      </c>
      <c r="AB3439">
        <v>16</v>
      </c>
      <c r="AC3439">
        <v>4.0873999999999997</v>
      </c>
      <c r="AD3439">
        <v>-1.1139899290690001</v>
      </c>
      <c r="AE3439">
        <v>-23.3233999999999</v>
      </c>
      <c r="AF3439">
        <v>2.6693630931507801</v>
      </c>
      <c r="AG3439">
        <v>-1.1139899290690001</v>
      </c>
      <c r="AH3439">
        <v>23.475276262159799</v>
      </c>
      <c r="AI3439">
        <v>92.699491590247803</v>
      </c>
      <c r="AJ3439">
        <v>83.512786545907204</v>
      </c>
      <c r="AK3439">
        <v>23.652802550012201</v>
      </c>
      <c r="AL3439">
        <v>97.4410870085525</v>
      </c>
      <c r="AM3439">
        <v>103.646542361051</v>
      </c>
      <c r="AN3439">
        <v>1.00000004369948</v>
      </c>
    </row>
    <row r="3440" spans="1:40" x14ac:dyDescent="0.25">
      <c r="A3440" t="str">
        <f>"20190305135000911"</f>
        <v>20190305135000911</v>
      </c>
      <c r="B3440" t="str">
        <f>"1551765000903568"</f>
        <v>1551765000903568</v>
      </c>
      <c r="C3440" t="s">
        <v>40</v>
      </c>
      <c r="D3440">
        <v>3.9796070000000001</v>
      </c>
      <c r="E3440">
        <v>0.63493509999999997</v>
      </c>
      <c r="F3440" t="s">
        <v>62</v>
      </c>
      <c r="G3440">
        <v>-486.30549999999999</v>
      </c>
      <c r="H3440" s="1">
        <v>2.073931E-6</v>
      </c>
      <c r="I3440">
        <v>208.4023</v>
      </c>
      <c r="J3440">
        <v>-490.59109999999998</v>
      </c>
      <c r="K3440">
        <v>1.1140270000000001</v>
      </c>
      <c r="L3440">
        <v>231.42140000000001</v>
      </c>
      <c r="M3440">
        <v>0.29220469999999998</v>
      </c>
      <c r="N3440">
        <v>-1.3927129999999999E-2</v>
      </c>
      <c r="O3440">
        <v>-0.95625439999999995</v>
      </c>
      <c r="P3440">
        <v>0.50685159999999996</v>
      </c>
      <c r="Q3440">
        <v>-0.13944809999999999</v>
      </c>
      <c r="R3440">
        <v>-0.85067990000000004</v>
      </c>
      <c r="S3440">
        <v>0.58810419999999997</v>
      </c>
      <c r="T3440">
        <v>-0.15089449999999999</v>
      </c>
      <c r="U3440">
        <v>-3.1382140000000001</v>
      </c>
      <c r="V3440">
        <v>-0.2347737</v>
      </c>
      <c r="W3440">
        <v>-0.12854879999999999</v>
      </c>
      <c r="X3440">
        <v>0.96351260000000005</v>
      </c>
      <c r="Y3440">
        <v>0.11112180000000001</v>
      </c>
      <c r="Z3440">
        <v>3.084367E-2</v>
      </c>
      <c r="AA3440">
        <v>0.99332799999999999</v>
      </c>
      <c r="AB3440">
        <v>16</v>
      </c>
      <c r="AC3440">
        <v>4.2855999999999801</v>
      </c>
      <c r="AD3440">
        <v>-1.1140249260690001</v>
      </c>
      <c r="AE3440">
        <v>-23.019100000000002</v>
      </c>
      <c r="AF3440">
        <v>2.6224837759660402</v>
      </c>
      <c r="AG3440">
        <v>-1.1140249260690001</v>
      </c>
      <c r="AH3440">
        <v>23.214095084764399</v>
      </c>
      <c r="AI3440">
        <v>92.7301291942684</v>
      </c>
      <c r="AJ3440">
        <v>83.554652779066998</v>
      </c>
      <c r="AK3440">
        <v>23.388302274761099</v>
      </c>
      <c r="AL3440">
        <v>97.385741011694506</v>
      </c>
      <c r="AM3440">
        <v>103.694086353823</v>
      </c>
      <c r="AN3440">
        <v>1.0000000072759401</v>
      </c>
    </row>
    <row r="3441" spans="1:40" x14ac:dyDescent="0.25">
      <c r="A3441" t="str">
        <f>"20190305135000933"</f>
        <v>20190305135000933</v>
      </c>
      <c r="B3441" t="str">
        <f>"1551765000924063"</f>
        <v>1551765000924063</v>
      </c>
      <c r="C3441" t="s">
        <v>40</v>
      </c>
      <c r="D3441">
        <v>4.2085369999999998</v>
      </c>
      <c r="E3441">
        <v>0.63485709999999995</v>
      </c>
      <c r="F3441" t="s">
        <v>62</v>
      </c>
      <c r="G3441">
        <v>-485.9255</v>
      </c>
      <c r="H3441" s="1">
        <v>1.852736E-6</v>
      </c>
      <c r="I3441">
        <v>207.9059</v>
      </c>
      <c r="J3441">
        <v>-490.53219999999999</v>
      </c>
      <c r="K3441">
        <v>1.114047</v>
      </c>
      <c r="L3441">
        <v>231.2704</v>
      </c>
      <c r="M3441">
        <v>0.30191099999999998</v>
      </c>
      <c r="N3441">
        <v>-1.396241E-2</v>
      </c>
      <c r="O3441">
        <v>-0.95323389999999997</v>
      </c>
      <c r="P3441">
        <v>0.51559089999999996</v>
      </c>
      <c r="Q3441">
        <v>-0.14059940000000001</v>
      </c>
      <c r="R3441">
        <v>-0.84522050000000004</v>
      </c>
      <c r="S3441">
        <v>0.62139889999999998</v>
      </c>
      <c r="T3441">
        <v>-0.14837620000000001</v>
      </c>
      <c r="U3441">
        <v>-3.1320190000000001</v>
      </c>
      <c r="V3441">
        <v>-0.23494490000000001</v>
      </c>
      <c r="W3441">
        <v>-0.12968550000000001</v>
      </c>
      <c r="X3441">
        <v>0.96331849999999997</v>
      </c>
      <c r="Y3441">
        <v>0.11068509999999999</v>
      </c>
      <c r="Z3441">
        <v>2.994018E-2</v>
      </c>
      <c r="AA3441">
        <v>0.99340439999999997</v>
      </c>
      <c r="AB3441">
        <v>16</v>
      </c>
      <c r="AC3441">
        <v>4.6066999999999796</v>
      </c>
      <c r="AD3441">
        <v>-1.1140451472640001</v>
      </c>
      <c r="AE3441">
        <v>-23.3644999999999</v>
      </c>
      <c r="AF3441">
        <v>2.6571814349450502</v>
      </c>
      <c r="AG3441">
        <v>-1.1140451472640001</v>
      </c>
      <c r="AH3441">
        <v>23.6132772644903</v>
      </c>
      <c r="AI3441">
        <v>92.684224506652299</v>
      </c>
      <c r="AJ3441">
        <v>83.579565377189994</v>
      </c>
      <c r="AK3441">
        <v>23.788412577094199</v>
      </c>
      <c r="AL3441">
        <v>97.451419071020297</v>
      </c>
      <c r="AM3441">
        <v>103.706352932695</v>
      </c>
      <c r="AN3441">
        <v>0.99999998369425402</v>
      </c>
    </row>
    <row r="3442" spans="1:40" x14ac:dyDescent="0.25">
      <c r="A3442" t="str">
        <f>"20190305135000956"</f>
        <v>20190305135000956</v>
      </c>
      <c r="B3442" t="str">
        <f>"1551765000943584"</f>
        <v>1551765000943584</v>
      </c>
      <c r="C3442" t="s">
        <v>40</v>
      </c>
      <c r="D3442">
        <v>4.2381779999999996</v>
      </c>
      <c r="E3442">
        <v>0.671844199999999</v>
      </c>
      <c r="F3442" t="s">
        <v>62</v>
      </c>
      <c r="G3442">
        <v>-485.78199999999998</v>
      </c>
      <c r="H3442" s="1">
        <v>2.0310449999999999E-6</v>
      </c>
      <c r="I3442">
        <v>208.56360000000001</v>
      </c>
      <c r="J3442">
        <v>-490.47519999999997</v>
      </c>
      <c r="K3442">
        <v>1.1140570000000001</v>
      </c>
      <c r="L3442">
        <v>231.12870000000001</v>
      </c>
      <c r="M3442">
        <v>0.31110310000000002</v>
      </c>
      <c r="N3442">
        <v>-1.399217E-2</v>
      </c>
      <c r="O3442">
        <v>-0.95027349999999999</v>
      </c>
      <c r="P3442">
        <v>0.5232753</v>
      </c>
      <c r="Q3442">
        <v>-0.14367240000000001</v>
      </c>
      <c r="R3442">
        <v>-0.83996530000000003</v>
      </c>
      <c r="S3442">
        <v>0.65374759999999998</v>
      </c>
      <c r="T3442">
        <v>-0.1533234</v>
      </c>
      <c r="U3442">
        <v>-3.125076</v>
      </c>
      <c r="V3442">
        <v>-0.23454929999999999</v>
      </c>
      <c r="W3442">
        <v>-0.13273859999999901</v>
      </c>
      <c r="X3442">
        <v>0.96299900000000005</v>
      </c>
      <c r="Y3442">
        <v>0.10999829999999999</v>
      </c>
      <c r="Z3442">
        <v>3.1237890000000001E-2</v>
      </c>
      <c r="AA3442">
        <v>0.99344069999999995</v>
      </c>
      <c r="AB3442">
        <v>16</v>
      </c>
      <c r="AC3442">
        <v>4.6931999999999903</v>
      </c>
      <c r="AD3442">
        <v>-1.1140549689549999</v>
      </c>
      <c r="AE3442">
        <v>-22.565100000000001</v>
      </c>
      <c r="AF3442">
        <v>2.5545304033995602</v>
      </c>
      <c r="AG3442">
        <v>-1.1140549689549999</v>
      </c>
      <c r="AH3442">
        <v>22.851929326541999</v>
      </c>
      <c r="AI3442">
        <v>92.773768572589702</v>
      </c>
      <c r="AJ3442">
        <v>83.621602898799196</v>
      </c>
      <c r="AK3442">
        <v>23.021238411541098</v>
      </c>
      <c r="AL3442">
        <v>97.627874403136303</v>
      </c>
      <c r="AM3442">
        <v>103.688511848015</v>
      </c>
      <c r="AN3442">
        <v>0.99999999203072498</v>
      </c>
    </row>
    <row r="3443" spans="1:40" x14ac:dyDescent="0.25">
      <c r="A3443" t="str">
        <f>"20190305135000977"</f>
        <v>20190305135000977</v>
      </c>
      <c r="B3443" t="str">
        <f>"1551765000973841"</f>
        <v>1551765000973841</v>
      </c>
      <c r="C3443" t="s">
        <v>40</v>
      </c>
      <c r="D3443">
        <v>4.0275759999999998</v>
      </c>
      <c r="E3443">
        <v>0.63446499999999995</v>
      </c>
      <c r="F3443" t="s">
        <v>41</v>
      </c>
      <c r="G3443">
        <v>-490.38839999999999</v>
      </c>
      <c r="H3443">
        <v>0.89294019999999996</v>
      </c>
      <c r="I3443">
        <v>230.35980000000001</v>
      </c>
      <c r="J3443">
        <v>-490.41809999999998</v>
      </c>
      <c r="K3443">
        <v>1.1140699999999999</v>
      </c>
      <c r="L3443">
        <v>230.9905</v>
      </c>
      <c r="M3443">
        <v>0.32014359999999997</v>
      </c>
      <c r="N3443">
        <v>-1.401728E-2</v>
      </c>
      <c r="O3443">
        <v>-0.94726549999999998</v>
      </c>
      <c r="P3443">
        <v>0.53151479999999995</v>
      </c>
      <c r="Q3443">
        <v>-0.14414379999999999</v>
      </c>
      <c r="R3443">
        <v>-0.83469439999999995</v>
      </c>
      <c r="S3443">
        <v>0.36010740000000002</v>
      </c>
      <c r="T3443">
        <v>-0.91754309999999994</v>
      </c>
      <c r="U3443">
        <v>-3.1902620000000002</v>
      </c>
      <c r="V3443">
        <v>-0.23486770000000001</v>
      </c>
      <c r="W3443">
        <v>-0.1331946</v>
      </c>
      <c r="X3443">
        <v>0.9628584</v>
      </c>
      <c r="Y3443">
        <v>0.2147018</v>
      </c>
      <c r="Z3443">
        <v>0.2378439</v>
      </c>
      <c r="AA3443">
        <v>0.94727680000000003</v>
      </c>
      <c r="AB3443">
        <v>16</v>
      </c>
      <c r="AC3443">
        <v>2.9699999999991102E-2</v>
      </c>
      <c r="AD3443">
        <v>-0.22112979999999999</v>
      </c>
      <c r="AE3443">
        <v>-0.63069999999999005</v>
      </c>
      <c r="AF3443">
        <v>0.15480958748936199</v>
      </c>
      <c r="AG3443">
        <v>-0.22112979999999999</v>
      </c>
      <c r="AH3443">
        <v>0.54068961550639905</v>
      </c>
      <c r="AI3443">
        <v>111.46369328976699</v>
      </c>
      <c r="AJ3443">
        <v>74.022588554152904</v>
      </c>
      <c r="AK3443">
        <v>0.60432578725644703</v>
      </c>
      <c r="AL3443">
        <v>97.654235533990004</v>
      </c>
      <c r="AM3443">
        <v>103.708319498777</v>
      </c>
      <c r="AN3443">
        <v>0.99999996821150405</v>
      </c>
    </row>
    <row r="3444" spans="1:40" x14ac:dyDescent="0.25">
      <c r="A3444" t="str">
        <f>"20190305135001000"</f>
        <v>20190305135001000</v>
      </c>
      <c r="B3444" t="str">
        <f>"1551765000994336"</f>
        <v>1551765000994336</v>
      </c>
      <c r="C3444" t="s">
        <v>40</v>
      </c>
      <c r="D3444">
        <v>4.0278679999999998</v>
      </c>
      <c r="E3444">
        <v>0.63459270000000001</v>
      </c>
      <c r="F3444" t="s">
        <v>62</v>
      </c>
      <c r="G3444">
        <v>-485.7595</v>
      </c>
      <c r="H3444" s="1">
        <v>2.4016870000000001E-6</v>
      </c>
      <c r="I3444">
        <v>210.72640000000001</v>
      </c>
      <c r="J3444">
        <v>-490.35550000000001</v>
      </c>
      <c r="K3444">
        <v>1.114088</v>
      </c>
      <c r="L3444">
        <v>230.84370000000001</v>
      </c>
      <c r="M3444">
        <v>0.32983669999999998</v>
      </c>
      <c r="N3444">
        <v>-1.404007E-2</v>
      </c>
      <c r="O3444">
        <v>-0.94393369999999999</v>
      </c>
      <c r="P3444">
        <v>0.54185030000000001</v>
      </c>
      <c r="Q3444">
        <v>-0.1414387</v>
      </c>
      <c r="R3444">
        <v>-0.82848899999999903</v>
      </c>
      <c r="S3444">
        <v>0.71484380000000003</v>
      </c>
      <c r="T3444">
        <v>-0.17094960000000001</v>
      </c>
      <c r="U3444">
        <v>-3.109451</v>
      </c>
      <c r="V3444">
        <v>-0.2368373</v>
      </c>
      <c r="W3444">
        <v>-0.13049089999999999</v>
      </c>
      <c r="X3444">
        <v>0.9627462</v>
      </c>
      <c r="Y3444">
        <v>0.1100743</v>
      </c>
      <c r="Z3444">
        <v>3.6040599999999999E-2</v>
      </c>
      <c r="AA3444">
        <v>0.99326970000000003</v>
      </c>
      <c r="AB3444">
        <v>16</v>
      </c>
      <c r="AC3444">
        <v>4.5960000000000001</v>
      </c>
      <c r="AD3444">
        <v>-1.114085598313</v>
      </c>
      <c r="AE3444">
        <v>-20.1173</v>
      </c>
      <c r="AF3444">
        <v>2.2906540743836001</v>
      </c>
      <c r="AG3444">
        <v>-1.114085598313</v>
      </c>
      <c r="AH3444">
        <v>20.4477460126155</v>
      </c>
      <c r="AI3444">
        <v>93.099300805947607</v>
      </c>
      <c r="AJ3444">
        <v>83.608102970980994</v>
      </c>
      <c r="AK3444">
        <v>20.605790443593602</v>
      </c>
      <c r="AL3444">
        <v>97.497960358122896</v>
      </c>
      <c r="AM3444">
        <v>103.82043687855</v>
      </c>
      <c r="AN3444">
        <v>1.0000000136342699</v>
      </c>
    </row>
    <row r="3445" spans="1:40" x14ac:dyDescent="0.25">
      <c r="A3445" t="str">
        <f>"20190305135001022"</f>
        <v>20190305135001022</v>
      </c>
      <c r="B3445" t="str">
        <f>"1551765001013389"</f>
        <v>1551765001013389</v>
      </c>
      <c r="C3445" t="s">
        <v>40</v>
      </c>
      <c r="D3445">
        <v>4.0467430000000002</v>
      </c>
      <c r="E3445">
        <v>0.63434269999999904</v>
      </c>
      <c r="F3445" t="s">
        <v>62</v>
      </c>
      <c r="G3445">
        <v>-485.06319999999999</v>
      </c>
      <c r="H3445" s="1">
        <v>2.0530110000000002E-6</v>
      </c>
      <c r="I3445">
        <v>209.0461</v>
      </c>
      <c r="J3445">
        <v>-490.29349999999999</v>
      </c>
      <c r="K3445">
        <v>1.114107</v>
      </c>
      <c r="L3445">
        <v>230.70240000000001</v>
      </c>
      <c r="M3445">
        <v>0.33923759999999997</v>
      </c>
      <c r="N3445">
        <v>-1.4059469999999999E-2</v>
      </c>
      <c r="O3445">
        <v>-0.94059579999999998</v>
      </c>
      <c r="P3445">
        <v>0.55294949999999998</v>
      </c>
      <c r="Q3445">
        <v>-0.1379918</v>
      </c>
      <c r="R3445">
        <v>-0.82170869999999996</v>
      </c>
      <c r="S3445">
        <v>0.75302119999999995</v>
      </c>
      <c r="T3445">
        <v>-0.1585182</v>
      </c>
      <c r="U3445">
        <v>-3.1014710000000001</v>
      </c>
      <c r="V3445">
        <v>-0.24001729999999999</v>
      </c>
      <c r="W3445">
        <v>-0.1270636</v>
      </c>
      <c r="X3445">
        <v>0.96241699999999997</v>
      </c>
      <c r="Y3445">
        <v>0.1078269</v>
      </c>
      <c r="Z3445">
        <v>3.2284470000000003E-2</v>
      </c>
      <c r="AA3445">
        <v>0.99364540000000001</v>
      </c>
      <c r="AB3445">
        <v>16</v>
      </c>
      <c r="AC3445">
        <v>5.2302999999999997</v>
      </c>
      <c r="AD3445">
        <v>-1.1141049469890001</v>
      </c>
      <c r="AE3445">
        <v>-21.656300000000002</v>
      </c>
      <c r="AF3445">
        <v>2.4212178389750201</v>
      </c>
      <c r="AG3445">
        <v>-1.1141049469890001</v>
      </c>
      <c r="AH3445">
        <v>22.091081757101701</v>
      </c>
      <c r="AI3445">
        <v>92.869956933518694</v>
      </c>
      <c r="AJ3445">
        <v>83.745256396748303</v>
      </c>
      <c r="AK3445">
        <v>22.251279038644601</v>
      </c>
      <c r="AL3445">
        <v>97.299941942354295</v>
      </c>
      <c r="AM3445">
        <v>104.003351202019</v>
      </c>
      <c r="AN3445">
        <v>0.99999997231662396</v>
      </c>
    </row>
    <row r="3446" spans="1:40" x14ac:dyDescent="0.25">
      <c r="A3446" t="str">
        <f>"20190305135001044"</f>
        <v>20190305135001044</v>
      </c>
      <c r="B3446" t="str">
        <f>"1551765001033882"</f>
        <v>1551765001033882</v>
      </c>
      <c r="C3446" t="s">
        <v>40</v>
      </c>
      <c r="D3446">
        <v>4.014875</v>
      </c>
      <c r="E3446">
        <v>0.63457969999999997</v>
      </c>
      <c r="F3446" t="s">
        <v>62</v>
      </c>
      <c r="G3446">
        <v>-484.42630000000003</v>
      </c>
      <c r="H3446" s="1">
        <v>1.593589E-6</v>
      </c>
      <c r="I3446">
        <v>207.92779999999999</v>
      </c>
      <c r="J3446">
        <v>-490.23090000000002</v>
      </c>
      <c r="K3446">
        <v>1.1141080000000001</v>
      </c>
      <c r="L3446">
        <v>230.5635</v>
      </c>
      <c r="M3446">
        <v>0.34854859999999999</v>
      </c>
      <c r="N3446">
        <v>-1.407681E-2</v>
      </c>
      <c r="O3446">
        <v>-0.93718489999999999</v>
      </c>
      <c r="P3446">
        <v>0.5632279</v>
      </c>
      <c r="Q3446">
        <v>-0.1372369</v>
      </c>
      <c r="R3446">
        <v>-0.81482540000000003</v>
      </c>
      <c r="S3446">
        <v>0.79602050000000002</v>
      </c>
      <c r="T3446">
        <v>-0.1511526</v>
      </c>
      <c r="U3446">
        <v>-3.089874</v>
      </c>
      <c r="V3446">
        <v>-0.24252190000000001</v>
      </c>
      <c r="W3446">
        <v>-0.12632550000000001</v>
      </c>
      <c r="X3446">
        <v>0.96188620000000002</v>
      </c>
      <c r="Y3446">
        <v>0.1038061</v>
      </c>
      <c r="Z3446">
        <v>3.0055410000000001E-2</v>
      </c>
      <c r="AA3446">
        <v>0.99414329999999995</v>
      </c>
      <c r="AB3446">
        <v>16</v>
      </c>
      <c r="AC3446">
        <v>5.80459999999999</v>
      </c>
      <c r="AD3446">
        <v>-1.114106406411</v>
      </c>
      <c r="AE3446">
        <v>-22.6357</v>
      </c>
      <c r="AF3446">
        <v>2.44434495418104</v>
      </c>
      <c r="AG3446">
        <v>-1.114106406411</v>
      </c>
      <c r="AH3446">
        <v>23.1866221289241</v>
      </c>
      <c r="AI3446">
        <v>92.735782977292899</v>
      </c>
      <c r="AJ3446">
        <v>83.9820787856127</v>
      </c>
      <c r="AK3446">
        <v>23.34171161439</v>
      </c>
      <c r="AL3446">
        <v>97.257307932927503</v>
      </c>
      <c r="AM3446">
        <v>104.151132786552</v>
      </c>
      <c r="AN3446">
        <v>1.0000000328401399</v>
      </c>
    </row>
    <row r="3447" spans="1:40" x14ac:dyDescent="0.25">
      <c r="A3447" t="str">
        <f>"20190305135001067"</f>
        <v>20190305135001067</v>
      </c>
      <c r="B3447" t="str">
        <f>"1551765001063162"</f>
        <v>1551765001063162</v>
      </c>
      <c r="C3447" t="s">
        <v>40</v>
      </c>
      <c r="D3447">
        <v>4.2581949999999997</v>
      </c>
      <c r="E3447">
        <v>0.67473450000000001</v>
      </c>
      <c r="F3447" t="s">
        <v>62</v>
      </c>
      <c r="G3447">
        <v>-484.27289999999999</v>
      </c>
      <c r="H3447" s="1">
        <v>1.743824E-6</v>
      </c>
      <c r="I3447">
        <v>208.50059999999999</v>
      </c>
      <c r="J3447">
        <v>-490.16640000000001</v>
      </c>
      <c r="K3447">
        <v>1.114101</v>
      </c>
      <c r="L3447">
        <v>230.42439999999999</v>
      </c>
      <c r="M3447">
        <v>0.35792950000000001</v>
      </c>
      <c r="N3447">
        <v>-1.409202E-2</v>
      </c>
      <c r="O3447">
        <v>-0.93364230000000004</v>
      </c>
      <c r="P3447">
        <v>0.57186459999999995</v>
      </c>
      <c r="Q3447">
        <v>-0.13934250000000001</v>
      </c>
      <c r="R3447">
        <v>-0.80842760000000002</v>
      </c>
      <c r="S3447">
        <v>0.83187869999999997</v>
      </c>
      <c r="T3447">
        <v>-0.15555569999999999</v>
      </c>
      <c r="U3447">
        <v>-3.080505</v>
      </c>
      <c r="V3447">
        <v>-0.2432146</v>
      </c>
      <c r="W3447">
        <v>-0.12842890000000001</v>
      </c>
      <c r="X3447">
        <v>0.96143259999999997</v>
      </c>
      <c r="Y3447">
        <v>0.10224279999999999</v>
      </c>
      <c r="Z3447">
        <v>3.1169100000000002E-2</v>
      </c>
      <c r="AA3447">
        <v>0.99427100000000002</v>
      </c>
      <c r="AB3447">
        <v>16</v>
      </c>
      <c r="AC3447">
        <v>5.8935000000000102</v>
      </c>
      <c r="AD3447">
        <v>-1.1140992561759999</v>
      </c>
      <c r="AE3447">
        <v>-21.9238</v>
      </c>
      <c r="AF3447">
        <v>2.3393527435285399</v>
      </c>
      <c r="AG3447">
        <v>-1.1140992561759999</v>
      </c>
      <c r="AH3447">
        <v>22.526435185670699</v>
      </c>
      <c r="AI3447">
        <v>92.816273122198695</v>
      </c>
      <c r="AJ3447">
        <v>84.071130599845404</v>
      </c>
      <c r="AK3447">
        <v>22.674965724020101</v>
      </c>
      <c r="AL3447">
        <v>97.378813999432296</v>
      </c>
      <c r="AM3447">
        <v>104.196345502483</v>
      </c>
      <c r="AN3447">
        <v>0.99999998417556402</v>
      </c>
    </row>
    <row r="3448" spans="1:40" x14ac:dyDescent="0.25">
      <c r="A3448" t="str">
        <f>"20190305135001089"</f>
        <v>20190305135001089</v>
      </c>
      <c r="B3448" t="str">
        <f>"1551765001083658"</f>
        <v>1551765001083658</v>
      </c>
      <c r="C3448" t="s">
        <v>40</v>
      </c>
      <c r="D3448">
        <v>4.2287929999999996</v>
      </c>
      <c r="E3448">
        <v>0.6754945</v>
      </c>
      <c r="F3448" t="s">
        <v>41</v>
      </c>
      <c r="G3448">
        <v>-490.05119999999999</v>
      </c>
      <c r="H3448">
        <v>0.915601</v>
      </c>
      <c r="I3448">
        <v>229.7312</v>
      </c>
      <c r="J3448">
        <v>-490.09949999999998</v>
      </c>
      <c r="K3448">
        <v>1.114093</v>
      </c>
      <c r="L3448">
        <v>230.28370000000001</v>
      </c>
      <c r="M3448">
        <v>0.36746879999999998</v>
      </c>
      <c r="N3448">
        <v>-1.4104500000000001E-2</v>
      </c>
      <c r="O3448">
        <v>-0.92992900000000001</v>
      </c>
      <c r="P3448">
        <v>0.58098760000000005</v>
      </c>
      <c r="Q3448">
        <v>-0.1407776</v>
      </c>
      <c r="R3448">
        <v>-0.80164519999999995</v>
      </c>
      <c r="S3448">
        <v>0.52871699999999999</v>
      </c>
      <c r="T3448">
        <v>-0.91222789999999998</v>
      </c>
      <c r="U3448">
        <v>-3.1797179999999998</v>
      </c>
      <c r="V3448">
        <v>-0.24434149999999999</v>
      </c>
      <c r="W3448">
        <v>-0.1298676</v>
      </c>
      <c r="X3448">
        <v>0.96095350000000002</v>
      </c>
      <c r="Y3448">
        <v>0.21409259999999999</v>
      </c>
      <c r="Z3448">
        <v>0.2296755</v>
      </c>
      <c r="AA3448">
        <v>0.94942800000000005</v>
      </c>
      <c r="AB3448">
        <v>16</v>
      </c>
      <c r="AC3448">
        <v>4.8299999999983301E-2</v>
      </c>
      <c r="AD3448">
        <v>-0.198492</v>
      </c>
      <c r="AE3448">
        <v>-0.55250000000000898</v>
      </c>
      <c r="AF3448">
        <v>0.14017202830648601</v>
      </c>
      <c r="AG3448">
        <v>-0.198492</v>
      </c>
      <c r="AH3448">
        <v>0.47122780084377802</v>
      </c>
      <c r="AI3448">
        <v>111.98587549408801</v>
      </c>
      <c r="AJ3448">
        <v>73.434296095429104</v>
      </c>
      <c r="AK3448">
        <v>0.530191391736623</v>
      </c>
      <c r="AL3448">
        <v>97.461941529280196</v>
      </c>
      <c r="AM3448">
        <v>104.26626454447801</v>
      </c>
      <c r="AN3448">
        <v>0.99999999565713005</v>
      </c>
    </row>
    <row r="3449" spans="1:40" x14ac:dyDescent="0.25">
      <c r="A3449" t="str">
        <f>"20190305135001112"</f>
        <v>20190305135001112</v>
      </c>
      <c r="B3449" t="str">
        <f>"1551765001104155"</f>
        <v>1551765001104155</v>
      </c>
      <c r="C3449" t="s">
        <v>40</v>
      </c>
      <c r="D3449">
        <v>4.2194330000000004</v>
      </c>
      <c r="E3449">
        <v>0.67628250000000001</v>
      </c>
      <c r="F3449" t="s">
        <v>41</v>
      </c>
      <c r="G3449">
        <v>-489.98039999999997</v>
      </c>
      <c r="H3449">
        <v>0.91910559999999997</v>
      </c>
      <c r="I3449">
        <v>229.6087</v>
      </c>
      <c r="J3449">
        <v>-490.03149999999999</v>
      </c>
      <c r="K3449">
        <v>1.1140829999999999</v>
      </c>
      <c r="L3449">
        <v>230.14500000000001</v>
      </c>
      <c r="M3449">
        <v>0.37692059999999999</v>
      </c>
      <c r="N3449">
        <v>-1.411405E-2</v>
      </c>
      <c r="O3449">
        <v>-0.92613829999999997</v>
      </c>
      <c r="P3449">
        <v>0.59051509999999996</v>
      </c>
      <c r="Q3449">
        <v>-0.1396521</v>
      </c>
      <c r="R3449">
        <v>-0.79485189999999994</v>
      </c>
      <c r="S3449">
        <v>0.56042479999999995</v>
      </c>
      <c r="T3449">
        <v>-0.91820349999999995</v>
      </c>
      <c r="U3449">
        <v>-3.1748959999999999</v>
      </c>
      <c r="V3449">
        <v>-0.24596229999999999</v>
      </c>
      <c r="W3449">
        <v>-0.12874730000000001</v>
      </c>
      <c r="X3449">
        <v>0.96069070000000001</v>
      </c>
      <c r="Y3449">
        <v>0.21462339999999999</v>
      </c>
      <c r="Z3449">
        <v>0.22982230000000001</v>
      </c>
      <c r="AA3449">
        <v>0.94927260000000002</v>
      </c>
      <c r="AB3449">
        <v>16</v>
      </c>
      <c r="AC3449">
        <v>5.1100000000019401E-2</v>
      </c>
      <c r="AD3449">
        <v>-0.194977399999999</v>
      </c>
      <c r="AE3449">
        <v>-0.53630000000001099</v>
      </c>
      <c r="AF3449">
        <v>0.13690011226847201</v>
      </c>
      <c r="AG3449">
        <v>-0.194977399999999</v>
      </c>
      <c r="AH3449">
        <v>0.456238598970793</v>
      </c>
      <c r="AI3449">
        <v>112.26066282050699</v>
      </c>
      <c r="AJ3449">
        <v>73.297468478907206</v>
      </c>
      <c r="AK3449">
        <v>0.51469552790043904</v>
      </c>
      <c r="AL3449">
        <v>97.397209795872001</v>
      </c>
      <c r="AM3449">
        <v>104.360762746799</v>
      </c>
      <c r="AN3449">
        <v>0.99999997067253399</v>
      </c>
    </row>
    <row r="3450" spans="1:40" x14ac:dyDescent="0.25">
      <c r="A3450" t="str">
        <f>"20190305135001135"</f>
        <v>20190305135001135</v>
      </c>
      <c r="B3450" t="str">
        <f>"1551765001123209"</f>
        <v>1551765001123209</v>
      </c>
      <c r="C3450" t="s">
        <v>40</v>
      </c>
      <c r="D3450">
        <v>4.2183489999999999</v>
      </c>
      <c r="E3450">
        <v>0.67650049999999995</v>
      </c>
      <c r="F3450" t="s">
        <v>41</v>
      </c>
      <c r="G3450">
        <v>-489.88529999999997</v>
      </c>
      <c r="H3450">
        <v>0.88788310000000004</v>
      </c>
      <c r="I3450">
        <v>229.36189999999999</v>
      </c>
      <c r="J3450">
        <v>-489.95890000000003</v>
      </c>
      <c r="K3450">
        <v>1.1140760000000001</v>
      </c>
      <c r="L3450">
        <v>230.0008</v>
      </c>
      <c r="M3450">
        <v>0.38679439999999998</v>
      </c>
      <c r="N3450">
        <v>-1.4121450000000001E-2</v>
      </c>
      <c r="O3450">
        <v>-0.92205789999999999</v>
      </c>
      <c r="P3450">
        <v>0.60046109999999997</v>
      </c>
      <c r="Q3450">
        <v>-0.13683499999999901</v>
      </c>
      <c r="R3450">
        <v>-0.78785969999999905</v>
      </c>
      <c r="S3450">
        <v>0.59225459999999996</v>
      </c>
      <c r="T3450">
        <v>-0.91706140000000003</v>
      </c>
      <c r="U3450">
        <v>-3.1731720000000001</v>
      </c>
      <c r="V3450">
        <v>-0.24761620000000001</v>
      </c>
      <c r="W3450">
        <v>-0.1259295</v>
      </c>
      <c r="X3450">
        <v>0.96063940000000003</v>
      </c>
      <c r="Y3450">
        <v>0.21568809999999999</v>
      </c>
      <c r="Z3450">
        <v>0.22785159999999999</v>
      </c>
      <c r="AA3450">
        <v>0.94950630000000003</v>
      </c>
      <c r="AB3450">
        <v>16</v>
      </c>
      <c r="AC3450">
        <v>7.3600000000055801E-2</v>
      </c>
      <c r="AD3450">
        <v>-0.2261929</v>
      </c>
      <c r="AE3450">
        <v>-0.63890000000000602</v>
      </c>
      <c r="AF3450">
        <v>0.159542122905793</v>
      </c>
      <c r="AG3450">
        <v>-0.2261929</v>
      </c>
      <c r="AH3450">
        <v>0.54964214822768098</v>
      </c>
      <c r="AI3450">
        <v>111.56467506669</v>
      </c>
      <c r="AJ3450">
        <v>73.813812928990103</v>
      </c>
      <c r="AK3450">
        <v>0.61540507643343101</v>
      </c>
      <c r="AL3450">
        <v>97.234436105777803</v>
      </c>
      <c r="AM3450">
        <v>104.454034823108</v>
      </c>
      <c r="AN3450">
        <v>1.0000000391525199</v>
      </c>
    </row>
    <row r="3451" spans="1:40" x14ac:dyDescent="0.25">
      <c r="A3451" t="str">
        <f>"20190305135001157"</f>
        <v>20190305135001157</v>
      </c>
      <c r="B3451" t="str">
        <f>"1551765001153461"</f>
        <v>1551765001153461</v>
      </c>
      <c r="C3451" t="s">
        <v>40</v>
      </c>
      <c r="D3451">
        <v>4.1414960000000001</v>
      </c>
      <c r="E3451">
        <v>0.67725550000000001</v>
      </c>
      <c r="F3451" t="s">
        <v>41</v>
      </c>
      <c r="G3451">
        <v>-489.80759999999998</v>
      </c>
      <c r="H3451">
        <v>0.8975687</v>
      </c>
      <c r="I3451">
        <v>229.2406</v>
      </c>
      <c r="J3451">
        <v>-489.89179999999999</v>
      </c>
      <c r="K3451">
        <v>1.114058</v>
      </c>
      <c r="L3451">
        <v>229.8707</v>
      </c>
      <c r="M3451">
        <v>0.39571699999999999</v>
      </c>
      <c r="N3451">
        <v>-1.412589E-2</v>
      </c>
      <c r="O3451">
        <v>-0.91826379999999996</v>
      </c>
      <c r="P3451">
        <v>0.60917790000000005</v>
      </c>
      <c r="Q3451">
        <v>-0.134965</v>
      </c>
      <c r="R3451">
        <v>-0.78146450000000001</v>
      </c>
      <c r="S3451">
        <v>0.63101200000000002</v>
      </c>
      <c r="T3451">
        <v>-0.90344990000000003</v>
      </c>
      <c r="U3451">
        <v>-3.1698909999999998</v>
      </c>
      <c r="V3451">
        <v>-0.2488708</v>
      </c>
      <c r="W3451">
        <v>-0.12405529999999999</v>
      </c>
      <c r="X3451">
        <v>0.96055900000000005</v>
      </c>
      <c r="Y3451">
        <v>0.21360270000000001</v>
      </c>
      <c r="Z3451">
        <v>0.22312180000000001</v>
      </c>
      <c r="AA3451">
        <v>0.95109960000000004</v>
      </c>
      <c r="AB3451">
        <v>16</v>
      </c>
      <c r="AC3451">
        <v>8.4200000000009795E-2</v>
      </c>
      <c r="AD3451">
        <v>-0.2164893</v>
      </c>
      <c r="AE3451">
        <v>-0.630099999999998</v>
      </c>
      <c r="AF3451">
        <v>0.154161632967422</v>
      </c>
      <c r="AG3451">
        <v>-0.2164893</v>
      </c>
      <c r="AH3451">
        <v>0.54837973272225804</v>
      </c>
      <c r="AI3451">
        <v>110.80919016365399</v>
      </c>
      <c r="AJ3451">
        <v>74.298156169433298</v>
      </c>
      <c r="AK3451">
        <v>0.60938801871566795</v>
      </c>
      <c r="AL3451">
        <v>97.126203885168096</v>
      </c>
      <c r="AM3451">
        <v>104.525343546653</v>
      </c>
      <c r="AN3451">
        <v>0.99999999251586502</v>
      </c>
    </row>
    <row r="3452" spans="1:40" x14ac:dyDescent="0.25">
      <c r="A3452" t="str">
        <f>"20190305135001178"</f>
        <v>20190305135001178</v>
      </c>
      <c r="B3452" t="str">
        <f>"1551765001173958"</f>
        <v>1551765001173958</v>
      </c>
      <c r="C3452" t="s">
        <v>40</v>
      </c>
      <c r="D3452">
        <v>4.2249610000000004</v>
      </c>
      <c r="E3452">
        <v>0.528636199999999</v>
      </c>
      <c r="F3452" t="s">
        <v>41</v>
      </c>
      <c r="G3452">
        <v>-489.73500000000001</v>
      </c>
      <c r="H3452">
        <v>0.90126070000000003</v>
      </c>
      <c r="I3452">
        <v>229.12020000000001</v>
      </c>
      <c r="J3452">
        <v>-489.82339999999999</v>
      </c>
      <c r="K3452">
        <v>1.1140350000000001</v>
      </c>
      <c r="L3452">
        <v>229.7414</v>
      </c>
      <c r="M3452">
        <v>0.4045975</v>
      </c>
      <c r="N3452">
        <v>-1.4125759999999999E-2</v>
      </c>
      <c r="O3452">
        <v>-0.91438569999999997</v>
      </c>
      <c r="P3452">
        <v>0.61799969999999904</v>
      </c>
      <c r="Q3452">
        <v>-0.134982399999999</v>
      </c>
      <c r="R3452">
        <v>-0.77450379999999996</v>
      </c>
      <c r="S3452">
        <v>0.66156009999999998</v>
      </c>
      <c r="T3452">
        <v>-0.89843059999999997</v>
      </c>
      <c r="U3452">
        <v>-3.1680600000000001</v>
      </c>
      <c r="V3452">
        <v>-0.25045909999999999</v>
      </c>
      <c r="W3452">
        <v>-0.1240787</v>
      </c>
      <c r="X3452">
        <v>0.96014310000000003</v>
      </c>
      <c r="Y3452">
        <v>0.21405279999999999</v>
      </c>
      <c r="Z3452">
        <v>0.22034280000000001</v>
      </c>
      <c r="AA3452">
        <v>0.9516462</v>
      </c>
      <c r="AB3452">
        <v>16</v>
      </c>
      <c r="AC3452">
        <v>8.8399999999978704E-2</v>
      </c>
      <c r="AD3452">
        <v>-0.2127743</v>
      </c>
      <c r="AE3452">
        <v>-0.62119999999998698</v>
      </c>
      <c r="AF3452">
        <v>0.15293496165932099</v>
      </c>
      <c r="AG3452">
        <v>-0.2127743</v>
      </c>
      <c r="AH3452">
        <v>0.54156708910856999</v>
      </c>
      <c r="AI3452">
        <v>110.711580017039</v>
      </c>
      <c r="AJ3452">
        <v>74.2306714988148</v>
      </c>
      <c r="AK3452">
        <v>0.60162855421244599</v>
      </c>
      <c r="AL3452">
        <v>97.127554787729196</v>
      </c>
      <c r="AM3452">
        <v>104.62014692200501</v>
      </c>
      <c r="AN3452">
        <v>1.0000000285220501</v>
      </c>
    </row>
    <row r="3453" spans="1:40" x14ac:dyDescent="0.25">
      <c r="A3453" t="str">
        <f>"20190305135001202"</f>
        <v>20190305135001202</v>
      </c>
      <c r="B3453" t="str">
        <f>"1551765001193477"</f>
        <v>1551765001193477</v>
      </c>
      <c r="C3453" t="s">
        <v>40</v>
      </c>
      <c r="D3453">
        <v>4.1719970000000002</v>
      </c>
      <c r="E3453">
        <v>0.47311170000000002</v>
      </c>
      <c r="F3453" t="s">
        <v>62</v>
      </c>
      <c r="G3453">
        <v>-487.30869999999999</v>
      </c>
      <c r="H3453" s="1">
        <v>4.8109989999999999E-6</v>
      </c>
      <c r="I3453">
        <v>226.01060000000001</v>
      </c>
      <c r="J3453">
        <v>-489.74639999999999</v>
      </c>
      <c r="K3453">
        <v>1.114001</v>
      </c>
      <c r="L3453">
        <v>229.5993</v>
      </c>
      <c r="M3453">
        <v>0.41437439999999998</v>
      </c>
      <c r="N3453">
        <v>-1.4115519999999999E-2</v>
      </c>
      <c r="O3453">
        <v>-0.9099969</v>
      </c>
      <c r="P3453">
        <v>0.62791330000000001</v>
      </c>
      <c r="Q3453">
        <v>-0.13586500000000001</v>
      </c>
      <c r="R3453">
        <v>-0.76633269999999998</v>
      </c>
      <c r="S3453">
        <v>1.642212</v>
      </c>
      <c r="T3453">
        <v>-0.72750219999999999</v>
      </c>
      <c r="U3453">
        <v>-2.43634</v>
      </c>
      <c r="V3453">
        <v>-0.25258229999999998</v>
      </c>
      <c r="W3453">
        <v>-0.1249837</v>
      </c>
      <c r="X3453">
        <v>0.95946929999999997</v>
      </c>
      <c r="Y3453">
        <v>-0.15045989999999901</v>
      </c>
      <c r="Z3453">
        <v>0.2148661</v>
      </c>
      <c r="AA3453">
        <v>0.96498410000000001</v>
      </c>
      <c r="AB3453">
        <v>16</v>
      </c>
      <c r="AC3453">
        <v>2.4377</v>
      </c>
      <c r="AD3453">
        <v>-1.1139961890009999</v>
      </c>
      <c r="AE3453">
        <v>-3.5886999999999798</v>
      </c>
      <c r="AF3453">
        <v>-0.68607038535114895</v>
      </c>
      <c r="AG3453">
        <v>-1.1139961890009999</v>
      </c>
      <c r="AH3453">
        <v>4.0117359091344804</v>
      </c>
      <c r="AI3453">
        <v>105.307547978906</v>
      </c>
      <c r="AJ3453">
        <v>99.704604305345001</v>
      </c>
      <c r="AK3453">
        <v>4.2196806854788997</v>
      </c>
      <c r="AL3453">
        <v>97.179814185366098</v>
      </c>
      <c r="AM3453">
        <v>104.748610247309</v>
      </c>
      <c r="AN3453">
        <v>1.0000000405907301</v>
      </c>
    </row>
    <row r="3454" spans="1:40" x14ac:dyDescent="0.25">
      <c r="A3454" t="str">
        <f>"20190305135001224"</f>
        <v>20190305135001224</v>
      </c>
      <c r="B3454" t="str">
        <f>"1551765001213503"</f>
        <v>1551765001213503</v>
      </c>
      <c r="C3454" t="s">
        <v>40</v>
      </c>
      <c r="D3454">
        <v>4.0952529999999996</v>
      </c>
      <c r="E3454">
        <v>0.4567988</v>
      </c>
      <c r="F3454" t="s">
        <v>62</v>
      </c>
      <c r="G3454">
        <v>-477.75290000000001</v>
      </c>
      <c r="H3454" s="1">
        <v>2.6232659999999998E-6</v>
      </c>
      <c r="I3454">
        <v>216.97110000000001</v>
      </c>
      <c r="J3454">
        <v>-489.67349999999999</v>
      </c>
      <c r="K3454">
        <v>1.1139760000000001</v>
      </c>
      <c r="L3454">
        <v>229.46770000000001</v>
      </c>
      <c r="M3454">
        <v>0.4234212</v>
      </c>
      <c r="N3454">
        <v>-1.4100339999999999E-2</v>
      </c>
      <c r="O3454">
        <v>-0.90582320000000005</v>
      </c>
      <c r="P3454">
        <v>0.63731930000000003</v>
      </c>
      <c r="Q3454">
        <v>-0.1369532</v>
      </c>
      <c r="R3454">
        <v>-0.75833200000000001</v>
      </c>
      <c r="S3454">
        <v>2.072632</v>
      </c>
      <c r="T3454">
        <v>-0.19251409999999999</v>
      </c>
      <c r="U3454">
        <v>-2.182312</v>
      </c>
      <c r="V3454">
        <v>-0.25493369999999999</v>
      </c>
      <c r="W3454">
        <v>-0.12610399999999999</v>
      </c>
      <c r="X3454">
        <v>0.95870049999999996</v>
      </c>
      <c r="Y3454">
        <v>-0.31570619999999999</v>
      </c>
      <c r="Z3454">
        <v>5.0433859999999997E-2</v>
      </c>
      <c r="AA3454">
        <v>0.94751569999999996</v>
      </c>
      <c r="AB3454">
        <v>16</v>
      </c>
      <c r="AC3454">
        <v>11.920599999999901</v>
      </c>
      <c r="AD3454">
        <v>-1.1139733767340001</v>
      </c>
      <c r="AE3454">
        <v>-12.496600000000001</v>
      </c>
      <c r="AF3454">
        <v>-5.4843604379924997</v>
      </c>
      <c r="AG3454">
        <v>-1.1139733767340001</v>
      </c>
      <c r="AH3454">
        <v>16.3009520102183</v>
      </c>
      <c r="AI3454">
        <v>93.705891472223598</v>
      </c>
      <c r="AJ3454">
        <v>108.595213401241</v>
      </c>
      <c r="AK3454">
        <v>17.234853713836099</v>
      </c>
      <c r="AL3454">
        <v>97.244514633857307</v>
      </c>
      <c r="AM3454">
        <v>104.89124938271399</v>
      </c>
      <c r="AN3454">
        <v>1.0000000294559599</v>
      </c>
    </row>
    <row r="3455" spans="1:40" x14ac:dyDescent="0.25">
      <c r="A3455" t="str">
        <f>"20190305135001245"</f>
        <v>20190305135001245</v>
      </c>
      <c r="B3455" t="str">
        <f>"1551765001233999"</f>
        <v>1551765001233999</v>
      </c>
      <c r="C3455" t="s">
        <v>40</v>
      </c>
      <c r="D3455">
        <v>4.0407989999999998</v>
      </c>
      <c r="E3455">
        <v>0.45053700000000002</v>
      </c>
      <c r="F3455" t="s">
        <v>74</v>
      </c>
      <c r="G3455">
        <v>-464.17129999999997</v>
      </c>
      <c r="H3455">
        <v>8.0000639999999998E-2</v>
      </c>
      <c r="I3455">
        <v>205.47030000000001</v>
      </c>
      <c r="J3455">
        <v>-489.60180000000003</v>
      </c>
      <c r="K3455">
        <v>1.1139589999999999</v>
      </c>
      <c r="L3455">
        <v>229.3416</v>
      </c>
      <c r="M3455">
        <v>0.4320946</v>
      </c>
      <c r="N3455">
        <v>-1.4086019999999999E-2</v>
      </c>
      <c r="O3455">
        <v>-0.90171840000000003</v>
      </c>
      <c r="P3455">
        <v>0.645567</v>
      </c>
      <c r="Q3455">
        <v>-0.13690929999999901</v>
      </c>
      <c r="R3455">
        <v>-0.75133190000000005</v>
      </c>
      <c r="S3455">
        <v>2.2116090000000002</v>
      </c>
      <c r="T3455">
        <v>-8.9668629999999999E-2</v>
      </c>
      <c r="U3455">
        <v>-2.0811160000000002</v>
      </c>
      <c r="V3455">
        <v>-0.2562104</v>
      </c>
      <c r="W3455">
        <v>-0.12607460000000001</v>
      </c>
      <c r="X3455">
        <v>0.95836399999999999</v>
      </c>
      <c r="Y3455">
        <v>-0.36039900000000002</v>
      </c>
      <c r="Z3455">
        <v>1.7430790000000002E-2</v>
      </c>
      <c r="AA3455">
        <v>0.9326354</v>
      </c>
      <c r="AB3455">
        <v>16</v>
      </c>
      <c r="AC3455">
        <v>25.430499999999999</v>
      </c>
      <c r="AD3455">
        <v>-1.03395836</v>
      </c>
      <c r="AE3455">
        <v>-23.871299999999898</v>
      </c>
      <c r="AF3455">
        <v>-12.606661937713</v>
      </c>
      <c r="AG3455">
        <v>-1.03395836</v>
      </c>
      <c r="AH3455">
        <v>32.488244705682298</v>
      </c>
      <c r="AI3455">
        <v>91.6994755227485</v>
      </c>
      <c r="AJ3455">
        <v>111.208127739083</v>
      </c>
      <c r="AK3455">
        <v>34.863778325911397</v>
      </c>
      <c r="AL3455">
        <v>97.242816325671598</v>
      </c>
      <c r="AM3455">
        <v>104.967505366681</v>
      </c>
      <c r="AN3455">
        <v>1.0000000651646499</v>
      </c>
    </row>
    <row r="3456" spans="1:40" x14ac:dyDescent="0.25">
      <c r="A3456" t="str">
        <f>"20190305135001268"</f>
        <v>20190305135001268</v>
      </c>
      <c r="B3456" t="str">
        <f>"1551765001263280"</f>
        <v>1551765001263280</v>
      </c>
      <c r="C3456" t="s">
        <v>40</v>
      </c>
      <c r="D3456">
        <v>3.9570539999999998</v>
      </c>
      <c r="E3456">
        <v>0.4474514</v>
      </c>
      <c r="F3456" t="s">
        <v>43</v>
      </c>
      <c r="G3456">
        <v>-453.0111</v>
      </c>
      <c r="H3456">
        <v>-0.05</v>
      </c>
      <c r="I3456">
        <v>196.7534</v>
      </c>
      <c r="J3456">
        <v>-489.52620000000002</v>
      </c>
      <c r="K3456">
        <v>1.1139540000000001</v>
      </c>
      <c r="L3456">
        <v>229.21119999999999</v>
      </c>
      <c r="M3456">
        <v>0.4410599</v>
      </c>
      <c r="N3456">
        <v>-1.406994E-2</v>
      </c>
      <c r="O3456">
        <v>-0.89736759999999904</v>
      </c>
      <c r="P3456">
        <v>0.65290400000000004</v>
      </c>
      <c r="Q3456">
        <v>-0.13518859999999999</v>
      </c>
      <c r="R3456">
        <v>-0.74527919999999903</v>
      </c>
      <c r="S3456">
        <v>2.2743229999999999</v>
      </c>
      <c r="T3456">
        <v>-7.2346809999999998E-2</v>
      </c>
      <c r="U3456">
        <v>-2.0255429999999999</v>
      </c>
      <c r="V3456">
        <v>-0.25594240000000001</v>
      </c>
      <c r="W3456">
        <v>-0.1243513</v>
      </c>
      <c r="X3456">
        <v>0.95866070000000003</v>
      </c>
      <c r="Y3456">
        <v>-0.37667899999999999</v>
      </c>
      <c r="Z3456">
        <v>1.195006E-2</v>
      </c>
      <c r="AA3456">
        <v>0.92626679999999995</v>
      </c>
      <c r="AB3456">
        <v>16</v>
      </c>
      <c r="AC3456">
        <v>36.515099999999997</v>
      </c>
      <c r="AD3456">
        <v>-1.1639539999999999</v>
      </c>
      <c r="AE3456">
        <v>-32.457799999999899</v>
      </c>
      <c r="AF3456">
        <v>-18.442988215797399</v>
      </c>
      <c r="AG3456">
        <v>-1.1639539999999999</v>
      </c>
      <c r="AH3456">
        <v>45.210731269186297</v>
      </c>
      <c r="AI3456">
        <v>91.365554545054906</v>
      </c>
      <c r="AJ3456">
        <v>112.192210813595</v>
      </c>
      <c r="AK3456">
        <v>48.841670990423097</v>
      </c>
      <c r="AL3456">
        <v>97.143295385057897</v>
      </c>
      <c r="AM3456">
        <v>104.948130157603</v>
      </c>
      <c r="AN3456">
        <v>1.0000000478269599</v>
      </c>
    </row>
    <row r="3457" spans="1:40" x14ac:dyDescent="0.25">
      <c r="A3457" t="str">
        <f>"20190305135001291"</f>
        <v>20190305135001291</v>
      </c>
      <c r="B3457" t="str">
        <f>"1551765001283775"</f>
        <v>1551765001283775</v>
      </c>
      <c r="C3457" t="s">
        <v>40</v>
      </c>
      <c r="D3457">
        <v>3.9342480000000002</v>
      </c>
      <c r="E3457">
        <v>0.4459437</v>
      </c>
      <c r="F3457" t="s">
        <v>43</v>
      </c>
      <c r="G3457">
        <v>-448.71</v>
      </c>
      <c r="H3457">
        <v>-0.05</v>
      </c>
      <c r="I3457">
        <v>194.11750000000001</v>
      </c>
      <c r="J3457">
        <v>-489.44600000000003</v>
      </c>
      <c r="K3457">
        <v>1.1139460000000001</v>
      </c>
      <c r="L3457">
        <v>229.07599999999999</v>
      </c>
      <c r="M3457">
        <v>0.45042969999999999</v>
      </c>
      <c r="N3457">
        <v>-1.383913E-2</v>
      </c>
      <c r="O3457">
        <v>-0.89270479999999997</v>
      </c>
      <c r="P3457">
        <v>0.6604698</v>
      </c>
      <c r="Q3457">
        <v>-0.1329592</v>
      </c>
      <c r="R3457">
        <v>-0.7389869</v>
      </c>
      <c r="S3457">
        <v>2.3120419999999999</v>
      </c>
      <c r="T3457">
        <v>-6.5932389999999994E-2</v>
      </c>
      <c r="U3457">
        <v>-1.9878849999999999</v>
      </c>
      <c r="V3457">
        <v>-0.25551259999999998</v>
      </c>
      <c r="W3457">
        <v>-0.12235509999999999</v>
      </c>
      <c r="X3457">
        <v>0.95903210000000005</v>
      </c>
      <c r="Y3457">
        <v>-0.38316060000000002</v>
      </c>
      <c r="Z3457">
        <v>1.012827E-2</v>
      </c>
      <c r="AA3457">
        <v>0.92362619999999895</v>
      </c>
      <c r="AB3457">
        <v>16</v>
      </c>
      <c r="AC3457">
        <v>40.735999999999898</v>
      </c>
      <c r="AD3457">
        <v>-1.1639459999999999</v>
      </c>
      <c r="AE3457">
        <v>-34.958499999999901</v>
      </c>
      <c r="AF3457">
        <v>-20.6111572645348</v>
      </c>
      <c r="AG3457">
        <v>-1.1639459999999999</v>
      </c>
      <c r="AH3457">
        <v>49.537773300359198</v>
      </c>
      <c r="AI3457">
        <v>91.242741471311803</v>
      </c>
      <c r="AJ3457">
        <v>112.590705734905</v>
      </c>
      <c r="AK3457">
        <v>53.6671739299926</v>
      </c>
      <c r="AL3457">
        <v>97.028041559221606</v>
      </c>
      <c r="AM3457">
        <v>104.918627128305</v>
      </c>
      <c r="AN3457">
        <v>1.00000001404259</v>
      </c>
    </row>
    <row r="3458" spans="1:40" x14ac:dyDescent="0.25">
      <c r="A3458" t="str">
        <f>"20190305135001313"</f>
        <v>20190305135001313</v>
      </c>
      <c r="B3458" t="str">
        <f>"1551765001303299"</f>
        <v>1551765001303299</v>
      </c>
      <c r="C3458" t="s">
        <v>40</v>
      </c>
      <c r="D3458">
        <v>3.9343159999999999</v>
      </c>
      <c r="E3458">
        <v>0.44522679999999998</v>
      </c>
      <c r="F3458" t="s">
        <v>86</v>
      </c>
      <c r="G3458">
        <v>-454.7602</v>
      </c>
      <c r="H3458">
        <v>0.2483358</v>
      </c>
      <c r="I3458">
        <v>200.07679999999999</v>
      </c>
      <c r="J3458">
        <v>-489.36779999999999</v>
      </c>
      <c r="K3458">
        <v>1.1139380000000001</v>
      </c>
      <c r="L3458">
        <v>228.94759999999999</v>
      </c>
      <c r="M3458">
        <v>0.45932970000000001</v>
      </c>
      <c r="N3458">
        <v>-1.356311E-2</v>
      </c>
      <c r="O3458">
        <v>-0.88816229999999996</v>
      </c>
      <c r="P3458">
        <v>0.66726459999999999</v>
      </c>
      <c r="Q3458">
        <v>-0.13229929999999901</v>
      </c>
      <c r="R3458">
        <v>-0.73297650000000003</v>
      </c>
      <c r="S3458">
        <v>2.3407900000000001</v>
      </c>
      <c r="T3458">
        <v>-5.8415059999999998E-2</v>
      </c>
      <c r="U3458">
        <v>-1.957031</v>
      </c>
      <c r="V3458">
        <v>-0.25471959999999999</v>
      </c>
      <c r="W3458">
        <v>-0.1219775</v>
      </c>
      <c r="X3458">
        <v>0.95929109999999995</v>
      </c>
      <c r="Y3458">
        <v>-0.38670650000000001</v>
      </c>
      <c r="Z3458">
        <v>7.9790769999999994E-3</v>
      </c>
      <c r="AA3458">
        <v>0.92216830000000005</v>
      </c>
      <c r="AB3458">
        <v>16</v>
      </c>
      <c r="AC3458">
        <v>34.607599999999898</v>
      </c>
      <c r="AD3458">
        <v>-0.86560219999999899</v>
      </c>
      <c r="AE3458">
        <v>-28.870799999999999</v>
      </c>
      <c r="AF3458">
        <v>-17.471112632534702</v>
      </c>
      <c r="AG3458">
        <v>-0.86560219999999899</v>
      </c>
      <c r="AH3458">
        <v>41.526757496818803</v>
      </c>
      <c r="AI3458">
        <v>91.100703660872199</v>
      </c>
      <c r="AJ3458">
        <v>112.817434785438</v>
      </c>
      <c r="AK3458">
        <v>45.060632840506699</v>
      </c>
      <c r="AL3458">
        <v>97.006243497116003</v>
      </c>
      <c r="AM3458">
        <v>104.870543633998</v>
      </c>
      <c r="AN3458">
        <v>0.99999999983480903</v>
      </c>
    </row>
    <row r="3459" spans="1:40" x14ac:dyDescent="0.25">
      <c r="A3459" t="str">
        <f>"20190305135001336"</f>
        <v>20190305135001336</v>
      </c>
      <c r="B3459" t="str">
        <f>"1551765001333552"</f>
        <v>1551765001333552</v>
      </c>
      <c r="C3459" t="s">
        <v>40</v>
      </c>
      <c r="D3459">
        <v>3.9745910000000002</v>
      </c>
      <c r="E3459">
        <v>0.44478250000000003</v>
      </c>
      <c r="F3459" t="s">
        <v>86</v>
      </c>
      <c r="G3459">
        <v>-454.04270000000002</v>
      </c>
      <c r="H3459">
        <v>0.24420739999999999</v>
      </c>
      <c r="I3459">
        <v>200.07679999999999</v>
      </c>
      <c r="J3459">
        <v>-489.28309999999999</v>
      </c>
      <c r="K3459">
        <v>1.1139269999999999</v>
      </c>
      <c r="L3459">
        <v>228.8115</v>
      </c>
      <c r="M3459">
        <v>0.46868140000000003</v>
      </c>
      <c r="N3459">
        <v>-1.3431419999999999E-2</v>
      </c>
      <c r="O3459">
        <v>-0.88326510000000003</v>
      </c>
      <c r="P3459">
        <v>0.67436839999999998</v>
      </c>
      <c r="Q3459">
        <v>-0.13406019999999999</v>
      </c>
      <c r="R3459">
        <v>-0.72612319999999997</v>
      </c>
      <c r="S3459">
        <v>2.3629760000000002</v>
      </c>
      <c r="T3459">
        <v>-5.8176989999999998E-2</v>
      </c>
      <c r="U3459">
        <v>-1.9312290000000001</v>
      </c>
      <c r="V3459">
        <v>-0.25406479999999998</v>
      </c>
      <c r="W3459">
        <v>-0.1238566</v>
      </c>
      <c r="X3459">
        <v>0.95922399999999997</v>
      </c>
      <c r="Y3459">
        <v>-0.38725330000000002</v>
      </c>
      <c r="Z3459">
        <v>8.0416069999999992E-3</v>
      </c>
      <c r="AA3459">
        <v>0.92193820000000004</v>
      </c>
      <c r="AB3459">
        <v>16</v>
      </c>
      <c r="AC3459">
        <v>35.240399999999902</v>
      </c>
      <c r="AD3459">
        <v>-0.86971960000000004</v>
      </c>
      <c r="AE3459">
        <v>-28.7347</v>
      </c>
      <c r="AF3459">
        <v>-17.654331267985</v>
      </c>
      <c r="AG3459">
        <v>-0.86971960000000004</v>
      </c>
      <c r="AH3459">
        <v>41.8853359679946</v>
      </c>
      <c r="AI3459">
        <v>91.096169644526896</v>
      </c>
      <c r="AJ3459">
        <v>112.85503066616501</v>
      </c>
      <c r="AK3459">
        <v>45.462217212253996</v>
      </c>
      <c r="AL3459">
        <v>97.114730453786095</v>
      </c>
      <c r="AM3459">
        <v>104.83499581473799</v>
      </c>
      <c r="AN3459">
        <v>1.00000003106929</v>
      </c>
    </row>
    <row r="3460" spans="1:40" x14ac:dyDescent="0.25">
      <c r="A3460" t="str">
        <f>"20190305135001358"</f>
        <v>20190305135001358</v>
      </c>
      <c r="B3460" t="str">
        <f>"1551765001354047"</f>
        <v>1551765001354047</v>
      </c>
      <c r="C3460" t="s">
        <v>40</v>
      </c>
      <c r="D3460">
        <v>3.9794209999999999</v>
      </c>
      <c r="E3460">
        <v>0.44467580000000001</v>
      </c>
      <c r="F3460" t="s">
        <v>43</v>
      </c>
      <c r="G3460">
        <v>-447.84199999999998</v>
      </c>
      <c r="H3460">
        <v>-0.05</v>
      </c>
      <c r="I3460">
        <v>195.6962</v>
      </c>
      <c r="J3460">
        <v>-489.20010000000002</v>
      </c>
      <c r="K3460">
        <v>1.1139019999999999</v>
      </c>
      <c r="L3460">
        <v>228.68109999999999</v>
      </c>
      <c r="M3460">
        <v>0.47765940000000001</v>
      </c>
      <c r="N3460">
        <v>-1.3403409999999999E-2</v>
      </c>
      <c r="O3460">
        <v>-0.87844299999999997</v>
      </c>
      <c r="P3460">
        <v>0.68143889999999996</v>
      </c>
      <c r="Q3460">
        <v>-0.1341647</v>
      </c>
      <c r="R3460">
        <v>-0.71947289999999997</v>
      </c>
      <c r="S3460">
        <v>2.3840029999999999</v>
      </c>
      <c r="T3460">
        <v>-6.6957829999999996E-2</v>
      </c>
      <c r="U3460">
        <v>-1.9050450000000001</v>
      </c>
      <c r="V3460">
        <v>-0.25369239999999998</v>
      </c>
      <c r="W3460">
        <v>-0.1239565</v>
      </c>
      <c r="X3460">
        <v>0.95930959999999998</v>
      </c>
      <c r="Y3460">
        <v>-0.3879726</v>
      </c>
      <c r="Z3460">
        <v>1.0906320000000001E-2</v>
      </c>
      <c r="AA3460">
        <v>0.92160640000000005</v>
      </c>
      <c r="AB3460">
        <v>16</v>
      </c>
      <c r="AC3460">
        <v>41.3581</v>
      </c>
      <c r="AD3460">
        <v>-1.163902</v>
      </c>
      <c r="AE3460">
        <v>-32.984899999999897</v>
      </c>
      <c r="AF3460">
        <v>-20.5670757658147</v>
      </c>
      <c r="AG3460">
        <v>-1.163902</v>
      </c>
      <c r="AH3460">
        <v>48.711231644510001</v>
      </c>
      <c r="AI3460">
        <v>91.261004816207006</v>
      </c>
      <c r="AJ3460">
        <v>112.89066275733001</v>
      </c>
      <c r="AK3460">
        <v>52.888026638809997</v>
      </c>
      <c r="AL3460">
        <v>97.120499131663905</v>
      </c>
      <c r="AM3460">
        <v>104.812944282396</v>
      </c>
      <c r="AN3460">
        <v>0.99999997818108399</v>
      </c>
    </row>
    <row r="3461" spans="1:40" x14ac:dyDescent="0.25">
      <c r="A3461" t="str">
        <f>"20190305135001380"</f>
        <v>20190305135001380</v>
      </c>
      <c r="B3461" t="str">
        <f>"1551765001373568"</f>
        <v>1551765001373568</v>
      </c>
      <c r="C3461" t="s">
        <v>40</v>
      </c>
      <c r="D3461">
        <v>3.9677790000000002</v>
      </c>
      <c r="E3461">
        <v>0.44459490000000002</v>
      </c>
      <c r="F3461" t="s">
        <v>43</v>
      </c>
      <c r="G3461">
        <v>-447.79</v>
      </c>
      <c r="H3461">
        <v>-0.05</v>
      </c>
      <c r="I3461">
        <v>196.27359999999999</v>
      </c>
      <c r="J3461">
        <v>-489.12169999999998</v>
      </c>
      <c r="K3461">
        <v>1.1138760000000001</v>
      </c>
      <c r="L3461">
        <v>228.56059999999999</v>
      </c>
      <c r="M3461">
        <v>0.48600339999999997</v>
      </c>
      <c r="N3461">
        <v>-1.335911E-2</v>
      </c>
      <c r="O3461">
        <v>-0.87385489999999999</v>
      </c>
      <c r="P3461">
        <v>0.68865220000000005</v>
      </c>
      <c r="Q3461">
        <v>-0.13334499999999999</v>
      </c>
      <c r="R3461">
        <v>-0.71272539999999995</v>
      </c>
      <c r="S3461">
        <v>2.4033199999999999</v>
      </c>
      <c r="T3461">
        <v>-6.7549590000000007E-2</v>
      </c>
      <c r="U3461">
        <v>-1.880844</v>
      </c>
      <c r="V3461">
        <v>-0.25416519999999998</v>
      </c>
      <c r="W3461">
        <v>-0.1231603</v>
      </c>
      <c r="X3461">
        <v>0.959287</v>
      </c>
      <c r="Y3461">
        <v>-0.38854420000000001</v>
      </c>
      <c r="Z3461">
        <v>1.115405E-2</v>
      </c>
      <c r="AA3461">
        <v>0.92136260000000003</v>
      </c>
      <c r="AB3461">
        <v>16</v>
      </c>
      <c r="AC3461">
        <v>41.331699999999898</v>
      </c>
      <c r="AD3461">
        <v>-1.1638759999999999</v>
      </c>
      <c r="AE3461">
        <v>-32.286999999999999</v>
      </c>
      <c r="AF3461">
        <v>-20.418083282427901</v>
      </c>
      <c r="AG3461">
        <v>-1.1638759999999999</v>
      </c>
      <c r="AH3461">
        <v>48.282030344473597</v>
      </c>
      <c r="AI3461">
        <v>91.271878078374996</v>
      </c>
      <c r="AJ3461">
        <v>112.92311200120299</v>
      </c>
      <c r="AK3461">
        <v>52.434789848498603</v>
      </c>
      <c r="AL3461">
        <v>97.074527965188494</v>
      </c>
      <c r="AM3461">
        <v>104.839667936917</v>
      </c>
      <c r="AN3461">
        <v>0.99999997837806398</v>
      </c>
    </row>
    <row r="3462" spans="1:40" x14ac:dyDescent="0.25">
      <c r="A3462" t="str">
        <f>"20190305135001403"</f>
        <v>20190305135001403</v>
      </c>
      <c r="B3462" t="str">
        <f>"1551765001394063"</f>
        <v>1551765001394063</v>
      </c>
      <c r="C3462" t="s">
        <v>40</v>
      </c>
      <c r="D3462">
        <v>3.9811510000000001</v>
      </c>
      <c r="E3462">
        <v>0.44449139999999998</v>
      </c>
      <c r="F3462" t="s">
        <v>43</v>
      </c>
      <c r="G3462">
        <v>-446.64249999999998</v>
      </c>
      <c r="H3462">
        <v>-0.05</v>
      </c>
      <c r="I3462">
        <v>196.0196</v>
      </c>
      <c r="J3462">
        <v>-489.03399999999999</v>
      </c>
      <c r="K3462">
        <v>1.113839</v>
      </c>
      <c r="L3462">
        <v>228.4282</v>
      </c>
      <c r="M3462">
        <v>0.49513099999999999</v>
      </c>
      <c r="N3462">
        <v>-1.3266170000000001E-2</v>
      </c>
      <c r="O3462">
        <v>-0.86871730000000003</v>
      </c>
      <c r="P3462">
        <v>0.69788030000000001</v>
      </c>
      <c r="Q3462">
        <v>-0.13263900000000001</v>
      </c>
      <c r="R3462">
        <v>-0.7038257</v>
      </c>
      <c r="S3462">
        <v>2.4227599999999998</v>
      </c>
      <c r="T3462">
        <v>-6.6380499999999995E-2</v>
      </c>
      <c r="U3462">
        <v>-1.855942</v>
      </c>
      <c r="V3462">
        <v>-0.25655860000000003</v>
      </c>
      <c r="W3462">
        <v>-0.1225593</v>
      </c>
      <c r="X3462">
        <v>0.95872670000000004</v>
      </c>
      <c r="Y3462">
        <v>-0.38843420000000001</v>
      </c>
      <c r="Z3462">
        <v>1.0872990000000001E-2</v>
      </c>
      <c r="AA3462">
        <v>0.92141229999999996</v>
      </c>
      <c r="AB3462">
        <v>16</v>
      </c>
      <c r="AC3462">
        <v>42.391500000000001</v>
      </c>
      <c r="AD3462">
        <v>-1.1638389999999901</v>
      </c>
      <c r="AE3462">
        <v>-32.4086</v>
      </c>
      <c r="AF3462">
        <v>-20.771669701587999</v>
      </c>
      <c r="AG3462">
        <v>-1.1638389999999901</v>
      </c>
      <c r="AH3462">
        <v>49.1242023186349</v>
      </c>
      <c r="AI3462">
        <v>91.2500639711497</v>
      </c>
      <c r="AJ3462">
        <v>112.92057774472499</v>
      </c>
      <c r="AK3462">
        <v>53.347952508526198</v>
      </c>
      <c r="AL3462">
        <v>97.039830241190202</v>
      </c>
      <c r="AM3462">
        <v>104.98151734335499</v>
      </c>
      <c r="AN3462">
        <v>0.99999999127166905</v>
      </c>
    </row>
    <row r="3463" spans="1:40" x14ac:dyDescent="0.25">
      <c r="A3463" t="str">
        <f>"20190305135001425"</f>
        <v>20190305135001425</v>
      </c>
      <c r="B3463" t="str">
        <f>"1551765001413587"</f>
        <v>1551765001413587</v>
      </c>
      <c r="C3463" t="s">
        <v>40</v>
      </c>
      <c r="D3463">
        <v>4.0654529999999998</v>
      </c>
      <c r="E3463">
        <v>0.4449438</v>
      </c>
      <c r="F3463" t="s">
        <v>43</v>
      </c>
      <c r="G3463">
        <v>-446.27069999999998</v>
      </c>
      <c r="H3463">
        <v>-0.05</v>
      </c>
      <c r="I3463">
        <v>196.57069999999999</v>
      </c>
      <c r="J3463">
        <v>-488.95</v>
      </c>
      <c r="K3463">
        <v>1.113801</v>
      </c>
      <c r="L3463">
        <v>228.30420000000001</v>
      </c>
      <c r="M3463">
        <v>0.50357039999999997</v>
      </c>
      <c r="N3463">
        <v>-1.3181699999999999E-2</v>
      </c>
      <c r="O3463">
        <v>-0.8638536</v>
      </c>
      <c r="P3463">
        <v>0.70675859999999902</v>
      </c>
      <c r="Q3463">
        <v>-0.13278000000000001</v>
      </c>
      <c r="R3463">
        <v>-0.69488280000000002</v>
      </c>
      <c r="S3463">
        <v>2.447327</v>
      </c>
      <c r="T3463">
        <v>-6.6606040000000005E-2</v>
      </c>
      <c r="U3463">
        <v>-1.823196</v>
      </c>
      <c r="V3463">
        <v>-0.25940079999999999</v>
      </c>
      <c r="W3463">
        <v>-0.1228076</v>
      </c>
      <c r="X3463">
        <v>0.95792980000000005</v>
      </c>
      <c r="Y3463">
        <v>-0.39181280000000002</v>
      </c>
      <c r="Z3463">
        <v>1.106182E-2</v>
      </c>
      <c r="AA3463">
        <v>0.91997850000000003</v>
      </c>
      <c r="AB3463">
        <v>16</v>
      </c>
      <c r="AC3463">
        <v>42.679299999999998</v>
      </c>
      <c r="AD3463">
        <v>-1.1638010000000001</v>
      </c>
      <c r="AE3463">
        <v>-31.733499999999999</v>
      </c>
      <c r="AF3463">
        <v>-20.8804327210512</v>
      </c>
      <c r="AG3463">
        <v>-1.1638010000000001</v>
      </c>
      <c r="AH3463">
        <v>48.8859722112323</v>
      </c>
      <c r="AI3463">
        <v>91.254177233939302</v>
      </c>
      <c r="AJ3463">
        <v>113.12855114369999</v>
      </c>
      <c r="AK3463">
        <v>53.171281557089898</v>
      </c>
      <c r="AL3463">
        <v>97.054165067829899</v>
      </c>
      <c r="AM3463">
        <v>105.15192146878699</v>
      </c>
      <c r="AN3463">
        <v>0.99999999169321996</v>
      </c>
    </row>
    <row r="3464" spans="1:40" x14ac:dyDescent="0.25">
      <c r="A3464" t="str">
        <f>"20190305135001447"</f>
        <v>20190305135001447</v>
      </c>
      <c r="B3464" t="str">
        <f>"1551765001443841"</f>
        <v>1551765001443841</v>
      </c>
      <c r="C3464" t="s">
        <v>40</v>
      </c>
      <c r="D3464">
        <v>4.0907369999999998</v>
      </c>
      <c r="E3464">
        <v>0.44605840000000002</v>
      </c>
      <c r="F3464" t="s">
        <v>43</v>
      </c>
      <c r="G3464">
        <v>-448.79739999999998</v>
      </c>
      <c r="H3464">
        <v>-0.05</v>
      </c>
      <c r="I3464">
        <v>199.1198</v>
      </c>
      <c r="J3464">
        <v>-488.86470000000003</v>
      </c>
      <c r="K3464">
        <v>1.1137520000000001</v>
      </c>
      <c r="L3464">
        <v>228.1806</v>
      </c>
      <c r="M3464">
        <v>0.5118492</v>
      </c>
      <c r="N3464">
        <v>-1.312583E-2</v>
      </c>
      <c r="O3464">
        <v>-0.85897539999999994</v>
      </c>
      <c r="P3464">
        <v>0.71516459999999904</v>
      </c>
      <c r="Q3464">
        <v>-0.1339407</v>
      </c>
      <c r="R3464">
        <v>-0.68600289999999997</v>
      </c>
      <c r="S3464">
        <v>2.4677730000000002</v>
      </c>
      <c r="T3464">
        <v>-7.1526999999999993E-2</v>
      </c>
      <c r="U3464">
        <v>-1.793671</v>
      </c>
      <c r="V3464">
        <v>-0.26196639999999999</v>
      </c>
      <c r="W3464">
        <v>-0.124032</v>
      </c>
      <c r="X3464">
        <v>0.95707350000000002</v>
      </c>
      <c r="Y3464">
        <v>-0.3937736</v>
      </c>
      <c r="Z3464">
        <v>1.270228E-2</v>
      </c>
      <c r="AA3464">
        <v>0.91911969999999998</v>
      </c>
      <c r="AB3464">
        <v>16</v>
      </c>
      <c r="AC3464">
        <v>40.067300000000003</v>
      </c>
      <c r="AD3464">
        <v>-1.1637519999999999</v>
      </c>
      <c r="AE3464">
        <v>-29.0608</v>
      </c>
      <c r="AF3464">
        <v>-19.532957464025301</v>
      </c>
      <c r="AG3464">
        <v>-1.1637519999999999</v>
      </c>
      <c r="AH3464">
        <v>45.449706330817399</v>
      </c>
      <c r="AI3464">
        <v>91.347619106654307</v>
      </c>
      <c r="AJ3464">
        <v>113.25662180054999</v>
      </c>
      <c r="AK3464">
        <v>49.482992548616899</v>
      </c>
      <c r="AL3464">
        <v>97.124858391337</v>
      </c>
      <c r="AM3464">
        <v>105.307837332763</v>
      </c>
      <c r="AN3464">
        <v>1.0000000080775999</v>
      </c>
    </row>
    <row r="3465" spans="1:40" x14ac:dyDescent="0.25">
      <c r="A3465" t="str">
        <f>"20190305135001472"</f>
        <v>20190305135001472</v>
      </c>
      <c r="B3465" t="str">
        <f>"1551765001463360"</f>
        <v>1551765001463360</v>
      </c>
      <c r="C3465" t="s">
        <v>40</v>
      </c>
      <c r="D3465">
        <v>4.0149439999999998</v>
      </c>
      <c r="E3465">
        <v>0.44656940000000001</v>
      </c>
      <c r="F3465" t="s">
        <v>74</v>
      </c>
      <c r="G3465">
        <v>-456.7473</v>
      </c>
      <c r="H3465">
        <v>8.0001359999999994E-2</v>
      </c>
      <c r="I3465">
        <v>205.30449999999999</v>
      </c>
      <c r="J3465">
        <v>-488.77449999999999</v>
      </c>
      <c r="K3465">
        <v>1.1136729999999999</v>
      </c>
      <c r="L3465">
        <v>228.05250000000001</v>
      </c>
      <c r="M3465">
        <v>0.520312</v>
      </c>
      <c r="N3465">
        <v>-1.308112E-2</v>
      </c>
      <c r="O3465">
        <v>-0.85387610000000003</v>
      </c>
      <c r="P3465">
        <v>0.72229869999999996</v>
      </c>
      <c r="Q3465">
        <v>-0.1358289</v>
      </c>
      <c r="R3465">
        <v>-0.67811169999999898</v>
      </c>
      <c r="S3465">
        <v>2.483276</v>
      </c>
      <c r="T3465">
        <v>-7.9928280000000004E-2</v>
      </c>
      <c r="U3465">
        <v>-1.76875299999999</v>
      </c>
      <c r="V3465">
        <v>-0.26271549999999999</v>
      </c>
      <c r="W3465">
        <v>-0.1259266</v>
      </c>
      <c r="X3465">
        <v>0.95662069999999999</v>
      </c>
      <c r="Y3465">
        <v>-0.39347500000000002</v>
      </c>
      <c r="Z3465">
        <v>1.5403460000000001E-2</v>
      </c>
      <c r="AA3465">
        <v>0.91920630000000003</v>
      </c>
      <c r="AB3465">
        <v>16</v>
      </c>
      <c r="AC3465">
        <v>32.027199999999901</v>
      </c>
      <c r="AD3465">
        <v>-1.0336716399999999</v>
      </c>
      <c r="AE3465">
        <v>-22.748000000000001</v>
      </c>
      <c r="AF3465">
        <v>-15.501796847392701</v>
      </c>
      <c r="AG3465">
        <v>-1.0336716399999999</v>
      </c>
      <c r="AH3465">
        <v>36.066225218704403</v>
      </c>
      <c r="AI3465">
        <v>91.508316701954897</v>
      </c>
      <c r="AJ3465">
        <v>113.258748158572</v>
      </c>
      <c r="AK3465">
        <v>39.270176776830098</v>
      </c>
      <c r="AL3465">
        <v>97.234268513264496</v>
      </c>
      <c r="AM3465">
        <v>105.356471217774</v>
      </c>
      <c r="AN3465">
        <v>1.0000000530981401</v>
      </c>
    </row>
    <row r="3466" spans="1:40" x14ac:dyDescent="0.25">
      <c r="A3466" t="str">
        <f>"20190305135001494"</f>
        <v>20190305135001494</v>
      </c>
      <c r="B3466" t="str">
        <f>"1551765001483856"</f>
        <v>1551765001483856</v>
      </c>
      <c r="C3466" t="s">
        <v>40</v>
      </c>
      <c r="D3466">
        <v>4.0162599999999999</v>
      </c>
      <c r="E3466">
        <v>0.44718289999999999</v>
      </c>
      <c r="F3466" t="s">
        <v>74</v>
      </c>
      <c r="G3466">
        <v>-458.35550000000001</v>
      </c>
      <c r="H3466">
        <v>8.0000810000000006E-2</v>
      </c>
      <c r="I3466">
        <v>206.81020000000001</v>
      </c>
      <c r="J3466">
        <v>-488.6825</v>
      </c>
      <c r="K3466">
        <v>1.113558</v>
      </c>
      <c r="L3466">
        <v>227.92429999999999</v>
      </c>
      <c r="M3466">
        <v>0.52866009999999997</v>
      </c>
      <c r="N3466">
        <v>-1.302967E-2</v>
      </c>
      <c r="O3466">
        <v>-0.84873359999999998</v>
      </c>
      <c r="P3466">
        <v>0.72790759999999999</v>
      </c>
      <c r="Q3466">
        <v>-0.1371542</v>
      </c>
      <c r="R3466">
        <v>-0.67181820000000003</v>
      </c>
      <c r="S3466">
        <v>2.4990540000000001</v>
      </c>
      <c r="T3466">
        <v>-8.4920759999999998E-2</v>
      </c>
      <c r="U3466">
        <v>-1.7451479999999999</v>
      </c>
      <c r="V3466">
        <v>-0.2614476</v>
      </c>
      <c r="W3466">
        <v>-0.12721689999999999</v>
      </c>
      <c r="X3466">
        <v>0.95679729999999996</v>
      </c>
      <c r="Y3466">
        <v>-0.39299200000000001</v>
      </c>
      <c r="Z3466">
        <v>1.7007930000000001E-2</v>
      </c>
      <c r="AA3466">
        <v>0.9193846</v>
      </c>
      <c r="AB3466">
        <v>16</v>
      </c>
      <c r="AC3466">
        <v>30.327000000000002</v>
      </c>
      <c r="AD3466">
        <v>-1.03355719</v>
      </c>
      <c r="AE3466">
        <v>-21.114099999999901</v>
      </c>
      <c r="AF3466">
        <v>-14.5672035027112</v>
      </c>
      <c r="AG3466">
        <v>-1.03355719</v>
      </c>
      <c r="AH3466">
        <v>33.9292610204784</v>
      </c>
      <c r="AI3466">
        <v>91.603365020613495</v>
      </c>
      <c r="AJ3466">
        <v>113.235803684503</v>
      </c>
      <c r="AK3466">
        <v>36.938684488624702</v>
      </c>
      <c r="AL3466">
        <v>97.308796822979701</v>
      </c>
      <c r="AM3466">
        <v>105.28314415787899</v>
      </c>
      <c r="AN3466">
        <v>1.0000000302393199</v>
      </c>
    </row>
    <row r="3467" spans="1:40" x14ac:dyDescent="0.25">
      <c r="A3467" t="str">
        <f>"20190305135001515"</f>
        <v>20190305135001515</v>
      </c>
      <c r="B3467" t="str">
        <f>"1551765001503379"</f>
        <v>1551765001503379</v>
      </c>
      <c r="C3467" t="s">
        <v>40</v>
      </c>
      <c r="D3467">
        <v>4.0388500000000001</v>
      </c>
      <c r="E3467">
        <v>0.44781900000000002</v>
      </c>
      <c r="F3467" t="s">
        <v>74</v>
      </c>
      <c r="G3467">
        <v>-459.20620000000002</v>
      </c>
      <c r="H3467">
        <v>8.000053E-2</v>
      </c>
      <c r="I3467">
        <v>207.63059999999999</v>
      </c>
      <c r="J3467">
        <v>-488.59750000000003</v>
      </c>
      <c r="K3467">
        <v>1.1134660000000001</v>
      </c>
      <c r="L3467">
        <v>227.80779999999999</v>
      </c>
      <c r="M3467">
        <v>0.53613159999999904</v>
      </c>
      <c r="N3467">
        <v>-1.2980500000000001E-2</v>
      </c>
      <c r="O3467">
        <v>-0.84403479999999997</v>
      </c>
      <c r="P3467">
        <v>0.73186549999999995</v>
      </c>
      <c r="Q3467">
        <v>-0.1367707</v>
      </c>
      <c r="R3467">
        <v>-0.66758289999999998</v>
      </c>
      <c r="S3467">
        <v>2.5099490000000002</v>
      </c>
      <c r="T3467">
        <v>-8.8009000000000004E-2</v>
      </c>
      <c r="U3467">
        <v>-1.728043</v>
      </c>
      <c r="V3467">
        <v>-0.25865290000000002</v>
      </c>
      <c r="W3467">
        <v>-0.12677959999999999</v>
      </c>
      <c r="X3467">
        <v>0.95761450000000004</v>
      </c>
      <c r="Y3467">
        <v>-0.39097019999999999</v>
      </c>
      <c r="Z3467">
        <v>1.7984099999999999E-2</v>
      </c>
      <c r="AA3467">
        <v>0.92022760000000003</v>
      </c>
      <c r="AB3467">
        <v>16</v>
      </c>
      <c r="AC3467">
        <v>29.391300000000001</v>
      </c>
      <c r="AD3467">
        <v>-1.0334654700000001</v>
      </c>
      <c r="AE3467">
        <v>-20.177199999999999</v>
      </c>
      <c r="AF3467">
        <v>-13.979074684254201</v>
      </c>
      <c r="AG3467">
        <v>-1.0334654700000001</v>
      </c>
      <c r="AH3467">
        <v>32.763088595626797</v>
      </c>
      <c r="AI3467">
        <v>91.6618594868835</v>
      </c>
      <c r="AJ3467">
        <v>113.106558961071</v>
      </c>
      <c r="AK3467">
        <v>35.635692139069398</v>
      </c>
      <c r="AL3467">
        <v>97.283537361041695</v>
      </c>
      <c r="AM3467">
        <v>105.11498348958401</v>
      </c>
      <c r="AN3467">
        <v>0.99999996013240899</v>
      </c>
    </row>
    <row r="3468" spans="1:40" x14ac:dyDescent="0.25">
      <c r="A3468" t="str">
        <f>"20190305135001538"</f>
        <v>20190305135001538</v>
      </c>
      <c r="B3468" t="str">
        <f>"1551765001533632"</f>
        <v>1551765001533632</v>
      </c>
      <c r="C3468" t="s">
        <v>40</v>
      </c>
      <c r="D3468">
        <v>4.0635719999999997</v>
      </c>
      <c r="E3468">
        <v>0.44895560000000001</v>
      </c>
      <c r="F3468" t="s">
        <v>74</v>
      </c>
      <c r="G3468">
        <v>-458.25439999999998</v>
      </c>
      <c r="H3468">
        <v>8.0000829999999995E-2</v>
      </c>
      <c r="I3468">
        <v>207.09440000000001</v>
      </c>
      <c r="J3468">
        <v>-488.50740000000002</v>
      </c>
      <c r="K3468">
        <v>1.1133839999999999</v>
      </c>
      <c r="L3468">
        <v>227.68629999999999</v>
      </c>
      <c r="M3468">
        <v>0.54377540000000002</v>
      </c>
      <c r="N3468">
        <v>-1.293325E-2</v>
      </c>
      <c r="O3468">
        <v>-0.83913139999999997</v>
      </c>
      <c r="P3468">
        <v>0.73509219999999997</v>
      </c>
      <c r="Q3468">
        <v>-0.13487959999999999</v>
      </c>
      <c r="R3468">
        <v>-0.66441510000000004</v>
      </c>
      <c r="S3468">
        <v>2.516235</v>
      </c>
      <c r="T3468">
        <v>-8.5701230000000003E-2</v>
      </c>
      <c r="U3468">
        <v>-1.7176819999999999</v>
      </c>
      <c r="V3468">
        <v>-0.25443979999999999</v>
      </c>
      <c r="W3468">
        <v>-0.1248131</v>
      </c>
      <c r="X3468">
        <v>0.95900059999999998</v>
      </c>
      <c r="Y3468">
        <v>-0.3862757</v>
      </c>
      <c r="Z3468">
        <v>1.7233579999999998E-2</v>
      </c>
      <c r="AA3468">
        <v>0.9222224</v>
      </c>
      <c r="AB3468">
        <v>16</v>
      </c>
      <c r="AC3468">
        <v>30.253</v>
      </c>
      <c r="AD3468">
        <v>-1.03338317</v>
      </c>
      <c r="AE3468">
        <v>-20.5918999999999</v>
      </c>
      <c r="AF3468">
        <v>-14.1787515699259</v>
      </c>
      <c r="AG3468">
        <v>-1.03338317</v>
      </c>
      <c r="AH3468">
        <v>33.706084743260099</v>
      </c>
      <c r="AI3468">
        <v>91.618752551864105</v>
      </c>
      <c r="AJ3468">
        <v>112.814470745774</v>
      </c>
      <c r="AK3468">
        <v>36.581484737193797</v>
      </c>
      <c r="AL3468">
        <v>97.169962412668795</v>
      </c>
      <c r="AM3468">
        <v>104.859232300908</v>
      </c>
      <c r="AN3468">
        <v>1.0000000362779999</v>
      </c>
    </row>
    <row r="3469" spans="1:40" x14ac:dyDescent="0.25">
      <c r="A3469" t="str">
        <f>"20190305135001561"</f>
        <v>20190305135001561</v>
      </c>
      <c r="B3469" t="str">
        <f>"1551765001554128"</f>
        <v>1551765001554128</v>
      </c>
      <c r="C3469" t="s">
        <v>40</v>
      </c>
      <c r="D3469">
        <v>4.1614589999999998</v>
      </c>
      <c r="E3469">
        <v>0.44965919999999998</v>
      </c>
      <c r="F3469" t="s">
        <v>74</v>
      </c>
      <c r="G3469">
        <v>-455.38760000000002</v>
      </c>
      <c r="H3469">
        <v>8.0001760000000005E-2</v>
      </c>
      <c r="I3469">
        <v>205.1491</v>
      </c>
      <c r="J3469">
        <v>-488.40969999999999</v>
      </c>
      <c r="K3469">
        <v>1.1132850000000001</v>
      </c>
      <c r="L3469">
        <v>227.55670000000001</v>
      </c>
      <c r="M3469">
        <v>0.55172959999999904</v>
      </c>
      <c r="N3469">
        <v>-1.288809E-2</v>
      </c>
      <c r="O3469">
        <v>-0.83392359999999899</v>
      </c>
      <c r="P3469">
        <v>0.73881090000000005</v>
      </c>
      <c r="Q3469">
        <v>-0.13256019999999999</v>
      </c>
      <c r="R3469">
        <v>-0.66074690000000003</v>
      </c>
      <c r="S3469">
        <v>2.5179749999999999</v>
      </c>
      <c r="T3469">
        <v>-7.8564289999999995E-2</v>
      </c>
      <c r="U3469">
        <v>-1.713425</v>
      </c>
      <c r="V3469">
        <v>-0.2505077</v>
      </c>
      <c r="W3469">
        <v>-0.1224107</v>
      </c>
      <c r="X3469">
        <v>0.96034450000000005</v>
      </c>
      <c r="Y3469">
        <v>-0.37889600000000001</v>
      </c>
      <c r="Z3469">
        <v>1.495993E-2</v>
      </c>
      <c r="AA3469">
        <v>0.92531839999999999</v>
      </c>
      <c r="AB3469">
        <v>16</v>
      </c>
      <c r="AC3469">
        <v>33.022099999999902</v>
      </c>
      <c r="AD3469">
        <v>-1.03328324</v>
      </c>
      <c r="AE3469">
        <v>-22.407599999999999</v>
      </c>
      <c r="AF3469">
        <v>-15.1660635378931</v>
      </c>
      <c r="AG3469">
        <v>-1.03328324</v>
      </c>
      <c r="AH3469">
        <v>36.883830330645502</v>
      </c>
      <c r="AI3469">
        <v>91.484185116183497</v>
      </c>
      <c r="AJ3469">
        <v>112.35171078830599</v>
      </c>
      <c r="AK3469">
        <v>39.893534530664503</v>
      </c>
      <c r="AL3469">
        <v>97.031251269515906</v>
      </c>
      <c r="AM3469">
        <v>104.619927032032</v>
      </c>
      <c r="AN3469">
        <v>1.0000000229570101</v>
      </c>
    </row>
    <row r="3470" spans="1:40" x14ac:dyDescent="0.25">
      <c r="A3470" t="str">
        <f>"20190305135001582"</f>
        <v>20190305135001582</v>
      </c>
      <c r="B3470" t="str">
        <f>"1551765001573648"</f>
        <v>1551765001573648</v>
      </c>
      <c r="C3470" t="s">
        <v>40</v>
      </c>
      <c r="D3470">
        <v>4.1671399999999998</v>
      </c>
      <c r="E3470">
        <v>0.44998510000000003</v>
      </c>
      <c r="F3470" t="s">
        <v>43</v>
      </c>
      <c r="G3470">
        <v>-449.54320000000001</v>
      </c>
      <c r="H3470">
        <v>-0.05</v>
      </c>
      <c r="I3470">
        <v>201.30879999999999</v>
      </c>
      <c r="J3470">
        <v>-488.32229999999998</v>
      </c>
      <c r="K3470">
        <v>1.113157</v>
      </c>
      <c r="L3470">
        <v>227.4425</v>
      </c>
      <c r="M3470">
        <v>0.55828959999999905</v>
      </c>
      <c r="N3470">
        <v>-1.345559E-2</v>
      </c>
      <c r="O3470">
        <v>-0.82953719999999997</v>
      </c>
      <c r="P3470">
        <v>0.74137839999999999</v>
      </c>
      <c r="Q3470">
        <v>-0.13182550000000001</v>
      </c>
      <c r="R3470">
        <v>-0.65801259999999995</v>
      </c>
      <c r="S3470">
        <v>2.5231319999999999</v>
      </c>
      <c r="T3470">
        <v>-7.5518009999999997E-2</v>
      </c>
      <c r="U3470">
        <v>-1.703964</v>
      </c>
      <c r="V3470">
        <v>-0.24669389999999999</v>
      </c>
      <c r="W3470">
        <v>-0.1208941</v>
      </c>
      <c r="X3470">
        <v>0.96152309999999996</v>
      </c>
      <c r="Y3470">
        <v>-0.3748649</v>
      </c>
      <c r="Z3470">
        <v>1.3565519999999999E-2</v>
      </c>
      <c r="AA3470">
        <v>0.92698020000000003</v>
      </c>
      <c r="AB3470">
        <v>16</v>
      </c>
      <c r="AC3470">
        <v>38.7790999999999</v>
      </c>
      <c r="AD3470">
        <v>-1.163157</v>
      </c>
      <c r="AE3470">
        <v>-26.133700000000001</v>
      </c>
      <c r="AF3470">
        <v>-17.569252205444201</v>
      </c>
      <c r="AG3470">
        <v>-1.163157</v>
      </c>
      <c r="AH3470">
        <v>43.305968296298197</v>
      </c>
      <c r="AI3470">
        <v>91.425727417125401</v>
      </c>
      <c r="AJ3470">
        <v>112.082418261401</v>
      </c>
      <c r="AK3470">
        <v>46.748673214810502</v>
      </c>
      <c r="AL3470">
        <v>96.943706651243602</v>
      </c>
      <c r="AM3470">
        <v>104.389754061044</v>
      </c>
      <c r="AN3470">
        <v>0.99999996777281397</v>
      </c>
    </row>
    <row r="3471" spans="1:40" x14ac:dyDescent="0.25">
      <c r="A3471" t="str">
        <f>"20190305135001603"</f>
        <v>20190305135001603</v>
      </c>
      <c r="B3471" t="str">
        <f>"1551765001594144"</f>
        <v>1551765001594144</v>
      </c>
      <c r="C3471" t="s">
        <v>40</v>
      </c>
      <c r="D3471">
        <v>4.0722009999999997</v>
      </c>
      <c r="E3471">
        <v>0.45061630000000003</v>
      </c>
      <c r="F3471" t="s">
        <v>43</v>
      </c>
      <c r="G3471">
        <v>-448.03429999999997</v>
      </c>
      <c r="H3471">
        <v>-0.05</v>
      </c>
      <c r="I3471">
        <v>200.4091</v>
      </c>
      <c r="J3471">
        <v>-488.23509999999999</v>
      </c>
      <c r="K3471">
        <v>1.1129690000000001</v>
      </c>
      <c r="L3471">
        <v>227.32939999999999</v>
      </c>
      <c r="M3471">
        <v>0.56423880000000004</v>
      </c>
      <c r="N3471">
        <v>-1.479519E-2</v>
      </c>
      <c r="O3471">
        <v>-0.82547899999999996</v>
      </c>
      <c r="P3471">
        <v>0.74399709999999997</v>
      </c>
      <c r="Q3471">
        <v>-0.13149169999999999</v>
      </c>
      <c r="R3471">
        <v>-0.65511699999999995</v>
      </c>
      <c r="S3471">
        <v>2.5279850000000001</v>
      </c>
      <c r="T3471">
        <v>-7.2985649999999999E-2</v>
      </c>
      <c r="U3471">
        <v>-1.6962889999999999</v>
      </c>
      <c r="V3471">
        <v>-0.24374489999999999</v>
      </c>
      <c r="W3471">
        <v>-0.1189043</v>
      </c>
      <c r="X3471">
        <v>0.96252280000000001</v>
      </c>
      <c r="Y3471">
        <v>-0.3709616</v>
      </c>
      <c r="Z3471">
        <v>1.178176E-2</v>
      </c>
      <c r="AA3471">
        <v>0.92857350000000005</v>
      </c>
      <c r="AB3471">
        <v>16</v>
      </c>
      <c r="AC3471">
        <v>40.200800000000001</v>
      </c>
      <c r="AD3471">
        <v>-1.1629689999999999</v>
      </c>
      <c r="AE3471">
        <v>-26.920300000000001</v>
      </c>
      <c r="AF3471">
        <v>-17.9870164796537</v>
      </c>
      <c r="AG3471">
        <v>-1.1629689999999999</v>
      </c>
      <c r="AH3471">
        <v>44.883977761302901</v>
      </c>
      <c r="AI3471">
        <v>91.377764905737905</v>
      </c>
      <c r="AJ3471">
        <v>111.838183245274</v>
      </c>
      <c r="AK3471">
        <v>48.3679306815107</v>
      </c>
      <c r="AL3471">
        <v>96.828871022364595</v>
      </c>
      <c r="AM3471">
        <v>104.210583584651</v>
      </c>
      <c r="AN3471">
        <v>0.99999997467716895</v>
      </c>
    </row>
    <row r="3472" spans="1:40" x14ac:dyDescent="0.25">
      <c r="A3472" t="str">
        <f>"20190305135001626"</f>
        <v>20190305135001626</v>
      </c>
      <c r="B3472" t="str">
        <f>"1551765001623424"</f>
        <v>1551765001623424</v>
      </c>
      <c r="C3472" t="s">
        <v>40</v>
      </c>
      <c r="D3472">
        <v>4.2769979999999999</v>
      </c>
      <c r="E3472">
        <v>0.45092199999999999</v>
      </c>
      <c r="F3472" t="s">
        <v>43</v>
      </c>
      <c r="G3472">
        <v>-448.46699999999998</v>
      </c>
      <c r="H3472">
        <v>-0.05</v>
      </c>
      <c r="I3472">
        <v>200.78800000000001</v>
      </c>
      <c r="J3472">
        <v>-488.14960000000002</v>
      </c>
      <c r="K3472">
        <v>1.1127629999999999</v>
      </c>
      <c r="L3472">
        <v>227.2192</v>
      </c>
      <c r="M3472">
        <v>0.56955500000000003</v>
      </c>
      <c r="N3472">
        <v>-1.6445149999999999E-2</v>
      </c>
      <c r="O3472">
        <v>-0.82178899999999999</v>
      </c>
      <c r="P3472">
        <v>0.74780909999999901</v>
      </c>
      <c r="Q3472">
        <v>-0.1313829</v>
      </c>
      <c r="R3472">
        <v>-0.65078469999999999</v>
      </c>
      <c r="S3472">
        <v>2.5314939999999999</v>
      </c>
      <c r="T3472">
        <v>-7.4030399999999996E-2</v>
      </c>
      <c r="U3472">
        <v>-1.6895290000000001</v>
      </c>
      <c r="V3472">
        <v>-0.24330099999999999</v>
      </c>
      <c r="W3472">
        <v>-0.11685479999999999</v>
      </c>
      <c r="X3472">
        <v>0.96288609999999997</v>
      </c>
      <c r="Y3472">
        <v>-0.36725340000000001</v>
      </c>
      <c r="Z3472">
        <v>1.0890220000000001E-2</v>
      </c>
      <c r="AA3472">
        <v>0.93005720000000003</v>
      </c>
      <c r="AB3472">
        <v>15</v>
      </c>
      <c r="AC3472">
        <v>39.682600000000001</v>
      </c>
      <c r="AD3472">
        <v>-1.162763</v>
      </c>
      <c r="AE3472">
        <v>-26.4312</v>
      </c>
      <c r="AF3472">
        <v>-17.548635414945402</v>
      </c>
      <c r="AG3472">
        <v>-1.162763</v>
      </c>
      <c r="AH3472">
        <v>44.3019282429591</v>
      </c>
      <c r="AI3472">
        <v>91.397834853880795</v>
      </c>
      <c r="AJ3472">
        <v>111.609235735219</v>
      </c>
      <c r="AK3472">
        <v>47.665159904957299</v>
      </c>
      <c r="AL3472">
        <v>96.710618450264406</v>
      </c>
      <c r="AM3472">
        <v>104.180612989745</v>
      </c>
      <c r="AN3472">
        <v>1.0000000312286199</v>
      </c>
    </row>
    <row r="3473" spans="1:40" x14ac:dyDescent="0.25">
      <c r="A3473" t="str">
        <f>"20190305135001648"</f>
        <v>20190305135001648</v>
      </c>
      <c r="B3473" t="str">
        <f>"1551765001643920"</f>
        <v>1551765001643920</v>
      </c>
      <c r="C3473" t="s">
        <v>40</v>
      </c>
      <c r="D3473">
        <v>4.0793749999999998</v>
      </c>
      <c r="E3473">
        <v>0.47247499999999998</v>
      </c>
      <c r="F3473" t="s">
        <v>74</v>
      </c>
      <c r="G3473">
        <v>-454.02330000000001</v>
      </c>
      <c r="H3473">
        <v>8.0000719999999997E-2</v>
      </c>
      <c r="I3473">
        <v>204.7193</v>
      </c>
      <c r="J3473">
        <v>-488.0659</v>
      </c>
      <c r="K3473">
        <v>1.1126419999999999</v>
      </c>
      <c r="L3473">
        <v>227.11160000000001</v>
      </c>
      <c r="M3473">
        <v>0.57419500000000001</v>
      </c>
      <c r="N3473">
        <v>-1.818504E-2</v>
      </c>
      <c r="O3473">
        <v>-0.81851660000000004</v>
      </c>
      <c r="P3473">
        <v>0.75246729999999995</v>
      </c>
      <c r="Q3473">
        <v>-0.13380110000000001</v>
      </c>
      <c r="R3473">
        <v>-0.64489580000000002</v>
      </c>
      <c r="S3473">
        <v>2.5405579999999999</v>
      </c>
      <c r="T3473">
        <v>-7.6884750000000002E-2</v>
      </c>
      <c r="U3473">
        <v>-1.6750179999999999</v>
      </c>
      <c r="V3473">
        <v>-0.24516070000000001</v>
      </c>
      <c r="W3473">
        <v>-0.11735139999999999</v>
      </c>
      <c r="X3473">
        <v>0.96235380000000004</v>
      </c>
      <c r="Y3473">
        <v>-0.3671837</v>
      </c>
      <c r="Z3473">
        <v>1.053889E-2</v>
      </c>
      <c r="AA3473">
        <v>0.93008880000000005</v>
      </c>
      <c r="AB3473">
        <v>15</v>
      </c>
      <c r="AC3473">
        <v>34.042599999999901</v>
      </c>
      <c r="AD3473">
        <v>-1.03264128</v>
      </c>
      <c r="AE3473">
        <v>-22.392299999999999</v>
      </c>
      <c r="AF3473">
        <v>-14.9997346602912</v>
      </c>
      <c r="AG3473">
        <v>-1.03264128</v>
      </c>
      <c r="AH3473">
        <v>37.857509572008901</v>
      </c>
      <c r="AI3473">
        <v>91.452656080313702</v>
      </c>
      <c r="AJ3473">
        <v>111.61424178266201</v>
      </c>
      <c r="AK3473">
        <v>40.733885389035102</v>
      </c>
      <c r="AL3473">
        <v>96.739269013400204</v>
      </c>
      <c r="AM3473">
        <v>104.29216143561401</v>
      </c>
      <c r="AN3473">
        <v>0.99999997814044395</v>
      </c>
    </row>
    <row r="3474" spans="1:40" x14ac:dyDescent="0.25">
      <c r="A3474" t="str">
        <f>"20190305135001672"</f>
        <v>20190305135001672</v>
      </c>
      <c r="B3474" t="str">
        <f>"1551765001663440"</f>
        <v>1551765001663440</v>
      </c>
      <c r="C3474" t="s">
        <v>40</v>
      </c>
      <c r="D3474">
        <v>4.2707259999999998</v>
      </c>
      <c r="E3474">
        <v>0.47535509999999997</v>
      </c>
      <c r="F3474" t="s">
        <v>62</v>
      </c>
      <c r="G3474">
        <v>-477.54660000000001</v>
      </c>
      <c r="H3474" s="1">
        <v>2.8204769999999999E-6</v>
      </c>
      <c r="I3474">
        <v>219.38980000000001</v>
      </c>
      <c r="J3474">
        <v>-487.97829999999999</v>
      </c>
      <c r="K3474">
        <v>1.1125510000000001</v>
      </c>
      <c r="L3474">
        <v>226.99969999999999</v>
      </c>
      <c r="M3474">
        <v>0.578632699999999</v>
      </c>
      <c r="N3474">
        <v>-2.003808E-2</v>
      </c>
      <c r="O3474">
        <v>-0.81534209999999996</v>
      </c>
      <c r="P3474">
        <v>0.75645980000000002</v>
      </c>
      <c r="Q3474">
        <v>-0.13765069999999999</v>
      </c>
      <c r="R3474">
        <v>-0.63939159999999995</v>
      </c>
      <c r="S3474">
        <v>2.4193120000000001</v>
      </c>
      <c r="T3474">
        <v>-0.2558955</v>
      </c>
      <c r="U3474">
        <v>-1.7759400000000001</v>
      </c>
      <c r="V3474">
        <v>-0.24646009999999999</v>
      </c>
      <c r="W3474">
        <v>-0.119213</v>
      </c>
      <c r="X3474">
        <v>0.96179289999999995</v>
      </c>
      <c r="Y3474">
        <v>-0.31274639999999998</v>
      </c>
      <c r="Z3474">
        <v>6.2781429999999999E-2</v>
      </c>
      <c r="AA3474">
        <v>0.94775960000000004</v>
      </c>
      <c r="AB3474">
        <v>14</v>
      </c>
      <c r="AC3474">
        <v>10.4316999999999</v>
      </c>
      <c r="AD3474">
        <v>-1.1125481795229999</v>
      </c>
      <c r="AE3474">
        <v>-7.6098999999999801</v>
      </c>
      <c r="AF3474">
        <v>-4.0726566007437599</v>
      </c>
      <c r="AG3474">
        <v>-1.1125481795229999</v>
      </c>
      <c r="AH3474">
        <v>12.1530317319381</v>
      </c>
      <c r="AI3474">
        <v>94.960875908753394</v>
      </c>
      <c r="AJ3474">
        <v>108.526745353026</v>
      </c>
      <c r="AK3474">
        <v>12.8654761092171</v>
      </c>
      <c r="AL3474">
        <v>96.846685096726205</v>
      </c>
      <c r="AM3474">
        <v>104.372816103288</v>
      </c>
      <c r="AN3474">
        <v>0.99999995137570796</v>
      </c>
    </row>
    <row r="3475" spans="1:40" x14ac:dyDescent="0.25">
      <c r="A3475" t="str">
        <f>"20190305135001693"</f>
        <v>20190305135001693</v>
      </c>
      <c r="B3475" t="str">
        <f>"1551765001683935"</f>
        <v>1551765001683935</v>
      </c>
      <c r="C3475" t="s">
        <v>40</v>
      </c>
      <c r="D3475">
        <v>4.1113790000000003</v>
      </c>
      <c r="E3475">
        <v>0.47714089999999998</v>
      </c>
      <c r="F3475" t="s">
        <v>62</v>
      </c>
      <c r="G3475">
        <v>-478.30650000000003</v>
      </c>
      <c r="H3475" s="1">
        <v>2.5292089999999999E-6</v>
      </c>
      <c r="I3475">
        <v>219.88650000000001</v>
      </c>
      <c r="J3475">
        <v>-487.89659999999998</v>
      </c>
      <c r="K3475">
        <v>1.1125370000000001</v>
      </c>
      <c r="L3475">
        <v>226.89570000000001</v>
      </c>
      <c r="M3475">
        <v>0.58277489999999998</v>
      </c>
      <c r="N3475">
        <v>-2.1608349999999998E-2</v>
      </c>
      <c r="O3475">
        <v>-0.81234659999999903</v>
      </c>
      <c r="P3475">
        <v>0.75961109999999998</v>
      </c>
      <c r="Q3475">
        <v>-0.1408066</v>
      </c>
      <c r="R3475">
        <v>-0.63495269999999904</v>
      </c>
      <c r="S3475">
        <v>2.4144290000000002</v>
      </c>
      <c r="T3475">
        <v>-0.27773029999999999</v>
      </c>
      <c r="U3475">
        <v>-1.7756959999999999</v>
      </c>
      <c r="V3475">
        <v>-0.24675620000000001</v>
      </c>
      <c r="W3475">
        <v>-0.1207434</v>
      </c>
      <c r="X3475">
        <v>0.96152610000000005</v>
      </c>
      <c r="Y3475">
        <v>-0.30665809999999999</v>
      </c>
      <c r="Z3475">
        <v>6.7964650000000001E-2</v>
      </c>
      <c r="AA3475">
        <v>0.94939010000000001</v>
      </c>
      <c r="AB3475">
        <v>14</v>
      </c>
      <c r="AC3475">
        <v>9.5900999999999392</v>
      </c>
      <c r="AD3475">
        <v>-1.1125344707909901</v>
      </c>
      <c r="AE3475">
        <v>-7.0091999999999901</v>
      </c>
      <c r="AF3475">
        <v>-3.6743322128615001</v>
      </c>
      <c r="AG3475">
        <v>-1.1125344707909901</v>
      </c>
      <c r="AH3475">
        <v>11.1872657622765</v>
      </c>
      <c r="AI3475">
        <v>95.397343447787406</v>
      </c>
      <c r="AJ3475">
        <v>108.182187148672</v>
      </c>
      <c r="AK3475">
        <v>11.827652573311999</v>
      </c>
      <c r="AL3475">
        <v>96.935008123481595</v>
      </c>
      <c r="AM3475">
        <v>104.393194054462</v>
      </c>
      <c r="AN3475">
        <v>1.0000000159316</v>
      </c>
    </row>
    <row r="3476" spans="1:40" x14ac:dyDescent="0.25">
      <c r="A3476" t="str">
        <f>"20190305135001716"</f>
        <v>20190305135001716</v>
      </c>
      <c r="B3476" t="str">
        <f>"1551765001703459"</f>
        <v>1551765001703459</v>
      </c>
      <c r="C3476" t="s">
        <v>40</v>
      </c>
      <c r="D3476">
        <v>4.3529999999999998</v>
      </c>
      <c r="E3476">
        <v>0.47978330000000002</v>
      </c>
      <c r="F3476" t="s">
        <v>62</v>
      </c>
      <c r="G3476">
        <v>-478.98039999999997</v>
      </c>
      <c r="H3476" s="1">
        <v>2.2909820000000001E-6</v>
      </c>
      <c r="I3476">
        <v>220.34460000000001</v>
      </c>
      <c r="J3476">
        <v>-487.81970000000001</v>
      </c>
      <c r="K3476">
        <v>1.1125389999999999</v>
      </c>
      <c r="L3476">
        <v>226.79839999999999</v>
      </c>
      <c r="M3476">
        <v>0.58715919999999999</v>
      </c>
      <c r="N3476">
        <v>-2.2331139999999999E-2</v>
      </c>
      <c r="O3476">
        <v>-0.80916339999999998</v>
      </c>
      <c r="P3476">
        <v>0.76288310000000004</v>
      </c>
      <c r="Q3476">
        <v>-0.14070539999999901</v>
      </c>
      <c r="R3476">
        <v>-0.63103999999999905</v>
      </c>
      <c r="S3476">
        <v>2.4121090000000001</v>
      </c>
      <c r="T3476">
        <v>-0.3009751</v>
      </c>
      <c r="U3476">
        <v>-1.7722629999999999</v>
      </c>
      <c r="V3476">
        <v>-0.2464943</v>
      </c>
      <c r="W3476">
        <v>-0.1199677</v>
      </c>
      <c r="X3476">
        <v>0.96169039999999995</v>
      </c>
      <c r="Y3476">
        <v>-0.30147370000000001</v>
      </c>
      <c r="Z3476">
        <v>7.4144299999999996E-2</v>
      </c>
      <c r="AA3476">
        <v>0.95058730000000002</v>
      </c>
      <c r="AB3476">
        <v>13</v>
      </c>
      <c r="AC3476">
        <v>8.8393000000000299</v>
      </c>
      <c r="AD3476">
        <v>-1.1125367090179901</v>
      </c>
      <c r="AE3476">
        <v>-6.45379999999997</v>
      </c>
      <c r="AF3476">
        <v>-3.3294654026677399</v>
      </c>
      <c r="AG3476">
        <v>-1.1125367090179901</v>
      </c>
      <c r="AH3476">
        <v>10.3083359486403</v>
      </c>
      <c r="AI3476">
        <v>95.863821613460502</v>
      </c>
      <c r="AJ3476">
        <v>107.899816851173</v>
      </c>
      <c r="AK3476">
        <v>10.889667939221299</v>
      </c>
      <c r="AL3476">
        <v>96.890238062841604</v>
      </c>
      <c r="AM3476">
        <v>104.37619651329101</v>
      </c>
      <c r="AN3476">
        <v>1.00000005721396</v>
      </c>
    </row>
    <row r="3477" spans="1:40" x14ac:dyDescent="0.25">
      <c r="A3477" t="str">
        <f>"20190305135001738"</f>
        <v>20190305135001738</v>
      </c>
      <c r="B3477" t="str">
        <f>"1551765001733712"</f>
        <v>1551765001733712</v>
      </c>
      <c r="C3477" t="s">
        <v>40</v>
      </c>
      <c r="D3477">
        <v>4.1123690000000002</v>
      </c>
      <c r="E3477">
        <v>0.48013329999999999</v>
      </c>
      <c r="F3477" t="s">
        <v>62</v>
      </c>
      <c r="G3477">
        <v>-479.1771</v>
      </c>
      <c r="H3477" s="1">
        <v>2.2165299999999999E-6</v>
      </c>
      <c r="I3477">
        <v>220.42330000000001</v>
      </c>
      <c r="J3477">
        <v>-487.7355</v>
      </c>
      <c r="K3477">
        <v>1.1125259999999999</v>
      </c>
      <c r="L3477">
        <v>226.6935</v>
      </c>
      <c r="M3477">
        <v>0.59211800000000003</v>
      </c>
      <c r="N3477">
        <v>-2.1744469999999998E-2</v>
      </c>
      <c r="O3477">
        <v>-0.80555779999999999</v>
      </c>
      <c r="P3477">
        <v>0.7664164</v>
      </c>
      <c r="Q3477">
        <v>-0.1365073</v>
      </c>
      <c r="R3477">
        <v>-0.62767169999999906</v>
      </c>
      <c r="S3477">
        <v>2.4067690000000002</v>
      </c>
      <c r="T3477">
        <v>-0.30981609999999998</v>
      </c>
      <c r="U3477">
        <v>-1.7753300000000001</v>
      </c>
      <c r="V3477">
        <v>-0.24536140000000001</v>
      </c>
      <c r="W3477">
        <v>-0.1165252</v>
      </c>
      <c r="X3477">
        <v>0.96240309999999996</v>
      </c>
      <c r="Y3477">
        <v>-0.29363410000000001</v>
      </c>
      <c r="Z3477">
        <v>7.6761930000000006E-2</v>
      </c>
      <c r="AA3477">
        <v>0.95283090000000004</v>
      </c>
      <c r="AB3477">
        <v>13</v>
      </c>
      <c r="AC3477">
        <v>8.5584000000000007</v>
      </c>
      <c r="AD3477">
        <v>-1.1125237834699999</v>
      </c>
      <c r="AE3477">
        <v>-6.2701999999999796</v>
      </c>
      <c r="AF3477">
        <v>-3.1477282475236001</v>
      </c>
      <c r="AG3477">
        <v>-1.1125237834699999</v>
      </c>
      <c r="AH3477">
        <v>10.0109063330036</v>
      </c>
      <c r="AI3477">
        <v>96.051555201094999</v>
      </c>
      <c r="AJ3477">
        <v>107.454706539828</v>
      </c>
      <c r="AK3477">
        <v>10.552921296836001</v>
      </c>
      <c r="AL3477">
        <v>96.691603850507406</v>
      </c>
      <c r="AM3477">
        <v>104.30267912057499</v>
      </c>
      <c r="AN3477">
        <v>1.0000000328673</v>
      </c>
    </row>
    <row r="3478" spans="1:40" x14ac:dyDescent="0.25">
      <c r="A3478" t="str">
        <f>"20190305135001762"</f>
        <v>20190305135001762</v>
      </c>
      <c r="B3478" t="str">
        <f>"1551765001754208"</f>
        <v>1551765001754208</v>
      </c>
      <c r="C3478" t="s">
        <v>40</v>
      </c>
      <c r="D3478">
        <v>4.1294879999999896</v>
      </c>
      <c r="E3478">
        <v>0.48057470000000002</v>
      </c>
      <c r="F3478" t="s">
        <v>62</v>
      </c>
      <c r="G3478">
        <v>-478.2731</v>
      </c>
      <c r="H3478" s="1">
        <v>2.529096E-6</v>
      </c>
      <c r="I3478">
        <v>219.77379999999999</v>
      </c>
      <c r="J3478">
        <v>-487.6454</v>
      </c>
      <c r="K3478">
        <v>1.1124210000000001</v>
      </c>
      <c r="L3478">
        <v>226.5831</v>
      </c>
      <c r="M3478">
        <v>0.59685739999999998</v>
      </c>
      <c r="N3478">
        <v>-2.0516050000000001E-2</v>
      </c>
      <c r="O3478">
        <v>-0.80208500000000005</v>
      </c>
      <c r="P3478">
        <v>0.7690555</v>
      </c>
      <c r="Q3478">
        <v>-0.1346068</v>
      </c>
      <c r="R3478">
        <v>-0.62484799999999996</v>
      </c>
      <c r="S3478">
        <v>2.4164729999999999</v>
      </c>
      <c r="T3478">
        <v>-0.2841109</v>
      </c>
      <c r="U3478">
        <v>-1.76712</v>
      </c>
      <c r="V3478">
        <v>-0.24342</v>
      </c>
      <c r="W3478">
        <v>-0.1160022</v>
      </c>
      <c r="X3478">
        <v>0.96295909999999996</v>
      </c>
      <c r="Y3478">
        <v>-0.29249999999999998</v>
      </c>
      <c r="Z3478">
        <v>6.9727689999999995E-2</v>
      </c>
      <c r="AA3478">
        <v>0.95372000000000001</v>
      </c>
      <c r="AB3478">
        <v>13</v>
      </c>
      <c r="AC3478">
        <v>9.3722999999999903</v>
      </c>
      <c r="AD3478">
        <v>-1.1124184709039999</v>
      </c>
      <c r="AE3478">
        <v>-6.8093000000000004</v>
      </c>
      <c r="AF3478">
        <v>-3.4223705439719101</v>
      </c>
      <c r="AG3478">
        <v>-1.1124184709039999</v>
      </c>
      <c r="AH3478">
        <v>10.9568617283792</v>
      </c>
      <c r="AI3478">
        <v>95.535234312213802</v>
      </c>
      <c r="AJ3478">
        <v>107.346169703112</v>
      </c>
      <c r="AK3478">
        <v>11.5326889288438</v>
      </c>
      <c r="AL3478">
        <v>96.661433657578598</v>
      </c>
      <c r="AM3478">
        <v>104.186236742912</v>
      </c>
      <c r="AN3478">
        <v>1.00000001753882</v>
      </c>
    </row>
    <row r="3479" spans="1:40" x14ac:dyDescent="0.25">
      <c r="A3479" t="str">
        <f>"20190305135001783"</f>
        <v>20190305135001783</v>
      </c>
      <c r="B3479" t="str">
        <f>"1551765001773729"</f>
        <v>1551765001773729</v>
      </c>
      <c r="C3479" t="s">
        <v>40</v>
      </c>
      <c r="D3479">
        <v>4.1275339999999998</v>
      </c>
      <c r="E3479">
        <v>0.48135159999999999</v>
      </c>
      <c r="F3479" t="s">
        <v>62</v>
      </c>
      <c r="G3479">
        <v>-477.7106</v>
      </c>
      <c r="H3479" s="1">
        <v>2.7464710000000001E-6</v>
      </c>
      <c r="I3479">
        <v>219.36019999999999</v>
      </c>
      <c r="J3479">
        <v>-487.56700000000001</v>
      </c>
      <c r="K3479">
        <v>1.1121209999999999</v>
      </c>
      <c r="L3479">
        <v>226.4881</v>
      </c>
      <c r="M3479">
        <v>0.60048769999999996</v>
      </c>
      <c r="N3479">
        <v>-1.9673690000000001E-2</v>
      </c>
      <c r="O3479">
        <v>-0.79939179999999999</v>
      </c>
      <c r="P3479">
        <v>0.7702388</v>
      </c>
      <c r="Q3479">
        <v>-0.1383432</v>
      </c>
      <c r="R3479">
        <v>-0.62256999999999996</v>
      </c>
      <c r="S3479">
        <v>2.422485</v>
      </c>
      <c r="T3479">
        <v>-0.27125070000000001</v>
      </c>
      <c r="U3479">
        <v>-1.7612300000000001</v>
      </c>
      <c r="V3479">
        <v>-0.24137169999999999</v>
      </c>
      <c r="W3479">
        <v>-0.1205336</v>
      </c>
      <c r="X3479">
        <v>0.96291819999999895</v>
      </c>
      <c r="Y3479">
        <v>-0.29107189999999999</v>
      </c>
      <c r="Z3479">
        <v>6.6312579999999996E-2</v>
      </c>
      <c r="AA3479">
        <v>0.95440020000000003</v>
      </c>
      <c r="AB3479">
        <v>14</v>
      </c>
      <c r="AC3479">
        <v>9.8563999999999492</v>
      </c>
      <c r="AD3479">
        <v>-1.112118253529</v>
      </c>
      <c r="AE3479">
        <v>-7.1279000000000101</v>
      </c>
      <c r="AF3479">
        <v>-3.5697653557267</v>
      </c>
      <c r="AG3479">
        <v>-1.112118253529</v>
      </c>
      <c r="AH3479">
        <v>11.522561134568701</v>
      </c>
      <c r="AI3479">
        <v>95.267412127693603</v>
      </c>
      <c r="AJ3479">
        <v>107.213325553842</v>
      </c>
      <c r="AK3479">
        <v>12.1140186067486</v>
      </c>
      <c r="AL3479">
        <v>96.922898771911093</v>
      </c>
      <c r="AM3479">
        <v>104.072199568559</v>
      </c>
      <c r="AN3479">
        <v>1.00000005309054</v>
      </c>
    </row>
    <row r="3480" spans="1:40" x14ac:dyDescent="0.25">
      <c r="A3480" t="str">
        <f>"20190305135001805"</f>
        <v>20190305135001805</v>
      </c>
      <c r="B3480" t="str">
        <f>"1551765001794224"</f>
        <v>1551765001794224</v>
      </c>
      <c r="C3480" t="s">
        <v>40</v>
      </c>
      <c r="D3480">
        <v>4.1385379999999996</v>
      </c>
      <c r="E3480">
        <v>0.48188110000000001</v>
      </c>
      <c r="F3480" t="s">
        <v>62</v>
      </c>
      <c r="G3480">
        <v>-477.7269</v>
      </c>
      <c r="H3480" s="1">
        <v>2.7386130000000001E-6</v>
      </c>
      <c r="I3480">
        <v>219.34530000000001</v>
      </c>
      <c r="J3480">
        <v>-487.48289999999997</v>
      </c>
      <c r="K3480">
        <v>1.1116280000000001</v>
      </c>
      <c r="L3480">
        <v>226.38659999999999</v>
      </c>
      <c r="M3480">
        <v>0.60404259999999999</v>
      </c>
      <c r="N3480">
        <v>-1.905919E-2</v>
      </c>
      <c r="O3480">
        <v>-0.79672399999999999</v>
      </c>
      <c r="P3480">
        <v>0.77139269999999904</v>
      </c>
      <c r="Q3480">
        <v>-0.14404210000000001</v>
      </c>
      <c r="R3480">
        <v>-0.61984289999999997</v>
      </c>
      <c r="S3480">
        <v>2.423645</v>
      </c>
      <c r="T3480">
        <v>-0.27391779999999999</v>
      </c>
      <c r="U3480">
        <v>-1.7593080000000001</v>
      </c>
      <c r="V3480">
        <v>-0.2397397</v>
      </c>
      <c r="W3480">
        <v>-0.1266323</v>
      </c>
      <c r="X3480">
        <v>0.96254309999999998</v>
      </c>
      <c r="Y3480">
        <v>-0.28747139999999999</v>
      </c>
      <c r="Z3480">
        <v>6.7275699999999994E-2</v>
      </c>
      <c r="AA3480">
        <v>0.95542349999999998</v>
      </c>
      <c r="AB3480">
        <v>14</v>
      </c>
      <c r="AC3480">
        <v>9.75599999999997</v>
      </c>
      <c r="AD3480">
        <v>-1.1116252613869999</v>
      </c>
      <c r="AE3480">
        <v>-7.0412999999999704</v>
      </c>
      <c r="AF3480">
        <v>-3.4904384319501198</v>
      </c>
      <c r="AG3480">
        <v>-1.1116252613869999</v>
      </c>
      <c r="AH3480">
        <v>11.407723201243099</v>
      </c>
      <c r="AI3480">
        <v>95.323495439850802</v>
      </c>
      <c r="AJ3480">
        <v>107.01261873577199</v>
      </c>
      <c r="AK3480">
        <v>11.981444812925</v>
      </c>
      <c r="AL3480">
        <v>97.275028525287794</v>
      </c>
      <c r="AM3480">
        <v>103.98603084601299</v>
      </c>
      <c r="AN3480">
        <v>1.00000004125849</v>
      </c>
    </row>
    <row r="3481" spans="1:40" x14ac:dyDescent="0.25">
      <c r="A3481" t="str">
        <f>"20190305135001827"</f>
        <v>20190305135001827</v>
      </c>
      <c r="B3481" t="str">
        <f>"1551765001823504"</f>
        <v>1551765001823504</v>
      </c>
      <c r="C3481" t="s">
        <v>40</v>
      </c>
      <c r="D3481">
        <v>4.1734159999999996</v>
      </c>
      <c r="E3481">
        <v>0.48206199999999999</v>
      </c>
      <c r="F3481" t="s">
        <v>62</v>
      </c>
      <c r="G3481">
        <v>-478.05329999999998</v>
      </c>
      <c r="H3481" s="1">
        <v>2.603349E-6</v>
      </c>
      <c r="I3481">
        <v>219.56299999999999</v>
      </c>
      <c r="J3481">
        <v>-487.40129999999999</v>
      </c>
      <c r="K3481">
        <v>1.1110420000000001</v>
      </c>
      <c r="L3481">
        <v>226.28800000000001</v>
      </c>
      <c r="M3481">
        <v>0.60737010000000002</v>
      </c>
      <c r="N3481">
        <v>-1.851964E-2</v>
      </c>
      <c r="O3481">
        <v>-0.79420299999999999</v>
      </c>
      <c r="P3481">
        <v>0.77247929999999998</v>
      </c>
      <c r="Q3481">
        <v>-0.14940870000000001</v>
      </c>
      <c r="R3481">
        <v>-0.61721349999999997</v>
      </c>
      <c r="S3481">
        <v>2.4253849999999999</v>
      </c>
      <c r="T3481">
        <v>-0.28592260000000003</v>
      </c>
      <c r="U3481">
        <v>-1.755112</v>
      </c>
      <c r="V3481">
        <v>-0.23832149999999999</v>
      </c>
      <c r="W3481">
        <v>-0.1322412</v>
      </c>
      <c r="X3481">
        <v>0.96214089999999997</v>
      </c>
      <c r="Y3481">
        <v>-0.28462300000000001</v>
      </c>
      <c r="Z3481">
        <v>7.0961700000000003E-2</v>
      </c>
      <c r="AA3481">
        <v>0.95600949999999996</v>
      </c>
      <c r="AB3481">
        <v>13</v>
      </c>
      <c r="AC3481">
        <v>9.3480000000000096</v>
      </c>
      <c r="AD3481">
        <v>-1.1110393966509999</v>
      </c>
      <c r="AE3481">
        <v>-6.7249999999999899</v>
      </c>
      <c r="AF3481">
        <v>-3.3094131677928198</v>
      </c>
      <c r="AG3481">
        <v>-1.1110393966509999</v>
      </c>
      <c r="AH3481">
        <v>10.918962634227899</v>
      </c>
      <c r="AI3481">
        <v>95.561853624820898</v>
      </c>
      <c r="AJ3481">
        <v>106.861458300072</v>
      </c>
      <c r="AK3481">
        <v>11.4634361804712</v>
      </c>
      <c r="AL3481">
        <v>97.599122012017702</v>
      </c>
      <c r="AM3481">
        <v>103.91210305494801</v>
      </c>
      <c r="AN3481">
        <v>0.999999991896249</v>
      </c>
    </row>
    <row r="3482" spans="1:40" x14ac:dyDescent="0.25">
      <c r="A3482" t="str">
        <f>"20190305135001849"</f>
        <v>20190305135001849</v>
      </c>
      <c r="B3482" t="str">
        <f>"1551765001844000"</f>
        <v>1551765001844000</v>
      </c>
      <c r="C3482" t="s">
        <v>40</v>
      </c>
      <c r="D3482">
        <v>4.1849749999999997</v>
      </c>
      <c r="E3482">
        <v>0.43769799999999998</v>
      </c>
      <c r="F3482" t="s">
        <v>62</v>
      </c>
      <c r="G3482">
        <v>-478.25380000000001</v>
      </c>
      <c r="H3482" s="1">
        <v>2.5280440000000001E-6</v>
      </c>
      <c r="I3482">
        <v>219.7012</v>
      </c>
      <c r="J3482">
        <v>-487.31790000000001</v>
      </c>
      <c r="K3482">
        <v>1.1104969999999901</v>
      </c>
      <c r="L3482">
        <v>226.1866</v>
      </c>
      <c r="M3482">
        <v>0.61067320000000003</v>
      </c>
      <c r="N3482">
        <v>-1.789265E-2</v>
      </c>
      <c r="O3482">
        <v>-0.79168070000000001</v>
      </c>
      <c r="P3482">
        <v>0.77388630000000003</v>
      </c>
      <c r="Q3482">
        <v>-0.15408339999999901</v>
      </c>
      <c r="R3482">
        <v>-0.61429519999999904</v>
      </c>
      <c r="S3482">
        <v>2.4290470000000002</v>
      </c>
      <c r="T3482">
        <v>-0.29502529999999999</v>
      </c>
      <c r="U3482">
        <v>-1.749039</v>
      </c>
      <c r="V3482">
        <v>-0.23736009999999999</v>
      </c>
      <c r="W3482">
        <v>-0.13727059999999999</v>
      </c>
      <c r="X3482">
        <v>0.96167400000000003</v>
      </c>
      <c r="Y3482">
        <v>-0.28268369999999998</v>
      </c>
      <c r="Z3482">
        <v>7.3857530000000005E-2</v>
      </c>
      <c r="AA3482">
        <v>0.95636549999999998</v>
      </c>
      <c r="AB3482">
        <v>13</v>
      </c>
      <c r="AC3482">
        <v>9.0640999999999892</v>
      </c>
      <c r="AD3482">
        <v>-1.1104944719559999</v>
      </c>
      <c r="AE3482">
        <v>-6.4853999999999896</v>
      </c>
      <c r="AF3482">
        <v>-3.1843146979663199</v>
      </c>
      <c r="AG3482">
        <v>-1.1104944719559999</v>
      </c>
      <c r="AH3482">
        <v>10.566376581151101</v>
      </c>
      <c r="AI3482">
        <v>95.746150701030601</v>
      </c>
      <c r="AJ3482">
        <v>106.770862105405</v>
      </c>
      <c r="AK3482">
        <v>11.091499994258101</v>
      </c>
      <c r="AL3482">
        <v>97.889938585864499</v>
      </c>
      <c r="AM3482">
        <v>103.86461713991601</v>
      </c>
      <c r="AN3482">
        <v>0.99999995848618395</v>
      </c>
    </row>
    <row r="3483" spans="1:40" x14ac:dyDescent="0.25">
      <c r="A3483" t="str">
        <f>"20190305135001872"</f>
        <v>20190305135001872</v>
      </c>
      <c r="B3483" t="str">
        <f>"1551765001863520"</f>
        <v>1551765001863520</v>
      </c>
      <c r="C3483" t="s">
        <v>40</v>
      </c>
      <c r="D3483">
        <v>4.1694529999999999</v>
      </c>
      <c r="E3483">
        <v>0.42429679999999997</v>
      </c>
      <c r="F3483" t="s">
        <v>62</v>
      </c>
      <c r="G3483">
        <v>-470.06799999999998</v>
      </c>
      <c r="H3483" s="1">
        <v>6.0188440000000002E-6</v>
      </c>
      <c r="I3483">
        <v>216.6884</v>
      </c>
      <c r="J3483">
        <v>-487.23309999999998</v>
      </c>
      <c r="K3483">
        <v>1.1102160000000001</v>
      </c>
      <c r="L3483">
        <v>226.08320000000001</v>
      </c>
      <c r="M3483">
        <v>0.613784</v>
      </c>
      <c r="N3483">
        <v>-1.7249339999999998E-2</v>
      </c>
      <c r="O3483">
        <v>-0.78928589999999998</v>
      </c>
      <c r="P3483">
        <v>0.77607009999999998</v>
      </c>
      <c r="Q3483">
        <v>-0.15613729999999901</v>
      </c>
      <c r="R3483">
        <v>-0.61101309999999998</v>
      </c>
      <c r="S3483">
        <v>2.6736759999999999</v>
      </c>
      <c r="T3483">
        <v>-0.17212239999999901</v>
      </c>
      <c r="U3483">
        <v>-1.4721979999999999</v>
      </c>
      <c r="V3483">
        <v>-0.2373991</v>
      </c>
      <c r="W3483">
        <v>-0.139826799999999</v>
      </c>
      <c r="X3483">
        <v>0.96129609999999999</v>
      </c>
      <c r="Y3483">
        <v>-0.3943546</v>
      </c>
      <c r="Z3483">
        <v>4.0140219999999997E-2</v>
      </c>
      <c r="AA3483">
        <v>0.91808129999999999</v>
      </c>
      <c r="AB3483">
        <v>13</v>
      </c>
      <c r="AC3483">
        <v>17.165099999999899</v>
      </c>
      <c r="AD3483">
        <v>-1.110209981156</v>
      </c>
      <c r="AE3483">
        <v>-9.3948</v>
      </c>
      <c r="AF3483">
        <v>-7.7579762538683301</v>
      </c>
      <c r="AG3483">
        <v>-1.110209981156</v>
      </c>
      <c r="AH3483">
        <v>17.895905931676602</v>
      </c>
      <c r="AI3483">
        <v>93.257698006176895</v>
      </c>
      <c r="AJ3483">
        <v>113.43700424805699</v>
      </c>
      <c r="AK3483">
        <v>19.5366888410821</v>
      </c>
      <c r="AL3483">
        <v>98.037823800385198</v>
      </c>
      <c r="AM3483">
        <v>103.87204802734399</v>
      </c>
      <c r="AN3483">
        <v>1.0000000292771201</v>
      </c>
    </row>
    <row r="3484" spans="1:40" x14ac:dyDescent="0.25">
      <c r="A3484" t="str">
        <f>"20190305135001894"</f>
        <v>20190305135001894</v>
      </c>
      <c r="B3484" t="str">
        <f>"1551765001884016"</f>
        <v>1551765001884016</v>
      </c>
      <c r="C3484" t="s">
        <v>40</v>
      </c>
      <c r="D3484">
        <v>4.1106699999999998</v>
      </c>
      <c r="E3484">
        <v>0.4221722</v>
      </c>
      <c r="F3484" t="s">
        <v>74</v>
      </c>
      <c r="G3484">
        <v>-463.5326</v>
      </c>
      <c r="H3484" s="1">
        <v>3.6188299999999999E-7</v>
      </c>
      <c r="I3484">
        <v>214.18629999999999</v>
      </c>
      <c r="J3484">
        <v>-487.14890000000003</v>
      </c>
      <c r="K3484">
        <v>1.1102299999999901</v>
      </c>
      <c r="L3484">
        <v>225.98099999999999</v>
      </c>
      <c r="M3484">
        <v>0.61656519999999904</v>
      </c>
      <c r="N3484">
        <v>-1.6723080000000001E-2</v>
      </c>
      <c r="O3484">
        <v>-0.7871262</v>
      </c>
      <c r="P3484">
        <v>0.77928169999999897</v>
      </c>
      <c r="Q3484">
        <v>-0.15389059999999999</v>
      </c>
      <c r="R3484">
        <v>-0.60748459999999904</v>
      </c>
      <c r="S3484">
        <v>2.7521059999999999</v>
      </c>
      <c r="T3484">
        <v>-0.12891849999999999</v>
      </c>
      <c r="U3484">
        <v>-1.38147</v>
      </c>
      <c r="V3484">
        <v>-0.23871729999999999</v>
      </c>
      <c r="W3484">
        <v>-0.13810459999999999</v>
      </c>
      <c r="X3484">
        <v>0.96121860000000003</v>
      </c>
      <c r="Y3484">
        <v>-0.42635010000000001</v>
      </c>
      <c r="Z3484">
        <v>2.7860530000000001E-2</v>
      </c>
      <c r="AA3484">
        <v>0.90412910000000002</v>
      </c>
      <c r="AB3484">
        <v>13</v>
      </c>
      <c r="AC3484">
        <v>23.616299999999999</v>
      </c>
      <c r="AD3484">
        <v>-1.11022963811699</v>
      </c>
      <c r="AE3484">
        <v>-11.794700000000001</v>
      </c>
      <c r="AF3484">
        <v>-11.2984047731785</v>
      </c>
      <c r="AG3484">
        <v>-1.11022963811699</v>
      </c>
      <c r="AH3484">
        <v>23.806132175484201</v>
      </c>
      <c r="AI3484">
        <v>92.412560611768299</v>
      </c>
      <c r="AJ3484">
        <v>115.38904429480399</v>
      </c>
      <c r="AK3484">
        <v>26.374580364899799</v>
      </c>
      <c r="AL3484">
        <v>97.938182322276106</v>
      </c>
      <c r="AM3484">
        <v>103.94715681186401</v>
      </c>
      <c r="AN3484">
        <v>1.0000000134232001</v>
      </c>
    </row>
    <row r="3485" spans="1:40" x14ac:dyDescent="0.25">
      <c r="A3485" t="str">
        <f>"20190305135001926"</f>
        <v>20190305135001926</v>
      </c>
      <c r="B3485" t="str">
        <f>"1551765001924032"</f>
        <v>1551765001924032</v>
      </c>
      <c r="C3485" t="s">
        <v>40</v>
      </c>
      <c r="D3485">
        <v>4.1385690000000004</v>
      </c>
      <c r="E3485">
        <v>0.4215332</v>
      </c>
      <c r="F3485" t="s">
        <v>74</v>
      </c>
      <c r="G3485">
        <v>-454.67380000000003</v>
      </c>
      <c r="H3485" s="1">
        <v>1.149164E-6</v>
      </c>
      <c r="I3485">
        <v>210.0684</v>
      </c>
      <c r="J3485">
        <v>-487.02809999999999</v>
      </c>
      <c r="K3485">
        <v>1.1105499999999999</v>
      </c>
      <c r="L3485">
        <v>225.8357</v>
      </c>
      <c r="M3485">
        <v>0.62021210000000004</v>
      </c>
      <c r="N3485">
        <v>-1.616095E-2</v>
      </c>
      <c r="O3485">
        <v>-0.78426790000000002</v>
      </c>
      <c r="P3485">
        <v>0.78666369999999997</v>
      </c>
      <c r="Q3485">
        <v>-0.14233170000000001</v>
      </c>
      <c r="R3485">
        <v>-0.60075129999999999</v>
      </c>
      <c r="S3485">
        <v>2.772186</v>
      </c>
      <c r="T3485">
        <v>-9.4772819999999994E-2</v>
      </c>
      <c r="U3485">
        <v>-1.3583529999999999</v>
      </c>
      <c r="V3485">
        <v>-0.2441632</v>
      </c>
      <c r="W3485">
        <v>-0.1272549</v>
      </c>
      <c r="X3485">
        <v>0.96134830000000004</v>
      </c>
      <c r="Y3485">
        <v>-0.4311236</v>
      </c>
      <c r="Z3485">
        <v>1.798371E-2</v>
      </c>
      <c r="AA3485">
        <v>0.90211370000000002</v>
      </c>
      <c r="AB3485">
        <v>13</v>
      </c>
      <c r="AC3485">
        <v>32.354299999999903</v>
      </c>
      <c r="AD3485">
        <v>-1.110548850836</v>
      </c>
      <c r="AE3485">
        <v>-15.767300000000001</v>
      </c>
      <c r="AF3485">
        <v>-15.582567115468001</v>
      </c>
      <c r="AG3485">
        <v>-1.110548850836</v>
      </c>
      <c r="AH3485">
        <v>32.4056933349747</v>
      </c>
      <c r="AI3485">
        <v>91.769017715443596</v>
      </c>
      <c r="AJ3485">
        <v>115.68099016631299</v>
      </c>
      <c r="AK3485">
        <v>35.974694956018503</v>
      </c>
      <c r="AL3485">
        <v>97.310992008778996</v>
      </c>
      <c r="AM3485">
        <v>104.250662607367</v>
      </c>
      <c r="AN3485">
        <v>1.00000001586057</v>
      </c>
    </row>
    <row r="3486" spans="1:40" x14ac:dyDescent="0.25">
      <c r="A3486" t="str">
        <f>"20190305135001953"</f>
        <v>20190305135001953</v>
      </c>
      <c r="B3486" t="str">
        <f>"1551765001943552"</f>
        <v>1551765001943552</v>
      </c>
      <c r="C3486" t="s">
        <v>40</v>
      </c>
      <c r="D3486">
        <v>4.1756219999999997</v>
      </c>
      <c r="E3486">
        <v>0.42151290000000002</v>
      </c>
      <c r="F3486" t="s">
        <v>42</v>
      </c>
      <c r="G3486">
        <v>-421.98410000000001</v>
      </c>
      <c r="H3486" s="1">
        <v>-3.0322380000000002E-6</v>
      </c>
      <c r="I3486">
        <v>194.88939999999999</v>
      </c>
      <c r="J3486">
        <v>-486.93360000000001</v>
      </c>
      <c r="K3486">
        <v>1.110811</v>
      </c>
      <c r="L3486">
        <v>225.7234</v>
      </c>
      <c r="M3486">
        <v>0.62303399999999998</v>
      </c>
      <c r="N3486">
        <v>-1.5785710000000001E-2</v>
      </c>
      <c r="O3486">
        <v>-0.7820357</v>
      </c>
      <c r="P3486">
        <v>0.79213880000000003</v>
      </c>
      <c r="Q3486">
        <v>-0.13895569999999999</v>
      </c>
      <c r="R3486">
        <v>-0.59431279999999997</v>
      </c>
      <c r="S3486">
        <v>2.7908940000000002</v>
      </c>
      <c r="T3486">
        <v>-4.7651409999999998E-2</v>
      </c>
      <c r="U3486">
        <v>-1.3278350000000001</v>
      </c>
      <c r="V3486">
        <v>-0.24893419999999999</v>
      </c>
      <c r="W3486">
        <v>-0.1244127</v>
      </c>
      <c r="X3486">
        <v>0.96049640000000003</v>
      </c>
      <c r="Y3486">
        <v>-0.43847160000000002</v>
      </c>
      <c r="Z3486">
        <v>4.2013220000000004E-3</v>
      </c>
      <c r="AA3486">
        <v>0.89873519999999896</v>
      </c>
      <c r="AB3486">
        <v>13</v>
      </c>
      <c r="AC3486">
        <v>64.9495</v>
      </c>
      <c r="AD3486">
        <v>-1.110814032238</v>
      </c>
      <c r="AE3486">
        <v>-30.834</v>
      </c>
      <c r="AF3486">
        <v>-31.578588911140699</v>
      </c>
      <c r="AG3486">
        <v>-1.110814032238</v>
      </c>
      <c r="AH3486">
        <v>64.571657066717293</v>
      </c>
      <c r="AI3486">
        <v>90.885365385207095</v>
      </c>
      <c r="AJ3486">
        <v>116.06081624023901</v>
      </c>
      <c r="AK3486">
        <v>71.888386278833494</v>
      </c>
      <c r="AL3486">
        <v>97.1468408979717</v>
      </c>
      <c r="AM3486">
        <v>104.52979414734401</v>
      </c>
      <c r="AN3486">
        <v>1.00000004513194</v>
      </c>
    </row>
    <row r="3487" spans="1:40" x14ac:dyDescent="0.25">
      <c r="A3487" t="str">
        <f>"20190305135001973"</f>
        <v>20190305135001973</v>
      </c>
      <c r="B3487" t="str">
        <f>"1551765001964048"</f>
        <v>1551765001964048</v>
      </c>
      <c r="C3487" t="s">
        <v>40</v>
      </c>
      <c r="D3487">
        <v>4.1883429999999997</v>
      </c>
      <c r="E3487">
        <v>0.42165750000000002</v>
      </c>
      <c r="F3487" t="s">
        <v>43</v>
      </c>
      <c r="G3487">
        <v>-394.08479999999997</v>
      </c>
      <c r="H3487">
        <v>-0.05</v>
      </c>
      <c r="I3487">
        <v>182.5608</v>
      </c>
      <c r="J3487">
        <v>-486.84980000000002</v>
      </c>
      <c r="K3487">
        <v>1.1109450000000001</v>
      </c>
      <c r="L3487">
        <v>225.625</v>
      </c>
      <c r="M3487">
        <v>0.62565649999999995</v>
      </c>
      <c r="N3487">
        <v>-1.5459260000000001E-2</v>
      </c>
      <c r="O3487">
        <v>-0.77994569999999996</v>
      </c>
      <c r="P3487">
        <v>0.79624030000000001</v>
      </c>
      <c r="Q3487">
        <v>-0.14177960000000001</v>
      </c>
      <c r="R3487">
        <v>-0.58813309999999996</v>
      </c>
      <c r="S3487">
        <v>2.8033450000000002</v>
      </c>
      <c r="T3487">
        <v>-3.5047889999999998E-2</v>
      </c>
      <c r="U3487">
        <v>-1.3031919999999999</v>
      </c>
      <c r="V3487">
        <v>-0.25272719999999999</v>
      </c>
      <c r="W3487">
        <v>-0.12767899999999999</v>
      </c>
      <c r="X3487">
        <v>0.95907620000000005</v>
      </c>
      <c r="Y3487">
        <v>-0.44349569999999999</v>
      </c>
      <c r="Z3487">
        <v>7.057252E-4</v>
      </c>
      <c r="AA3487">
        <v>0.89627619999999897</v>
      </c>
      <c r="AB3487">
        <v>13</v>
      </c>
      <c r="AC3487">
        <v>92.765000000000001</v>
      </c>
      <c r="AD3487">
        <v>-1.1609449999999999</v>
      </c>
      <c r="AE3487">
        <v>-43.0642</v>
      </c>
      <c r="AF3487">
        <v>-45.4078345345401</v>
      </c>
      <c r="AG3487">
        <v>-1.1609449999999999</v>
      </c>
      <c r="AH3487">
        <v>91.625891776576097</v>
      </c>
      <c r="AI3487">
        <v>90.650441769501896</v>
      </c>
      <c r="AJ3487">
        <v>116.362032613015</v>
      </c>
      <c r="AK3487">
        <v>102.26692170131</v>
      </c>
      <c r="AL3487">
        <v>97.335490658130396</v>
      </c>
      <c r="AM3487">
        <v>104.762486298371</v>
      </c>
      <c r="AN3487">
        <v>1.0000000610336299</v>
      </c>
    </row>
    <row r="3488" spans="1:40" x14ac:dyDescent="0.25">
      <c r="A3488" t="str">
        <f>"20190305135001995"</f>
        <v>20190305135001995</v>
      </c>
      <c r="B3488" t="str">
        <f>"1551765001983571"</f>
        <v>1551765001983571</v>
      </c>
      <c r="C3488" t="s">
        <v>40</v>
      </c>
      <c r="D3488">
        <v>4.1737479999999998</v>
      </c>
      <c r="E3488">
        <v>0.42180099999999998</v>
      </c>
      <c r="F3488" t="s">
        <v>42</v>
      </c>
      <c r="G3488">
        <v>-413.31709999999998</v>
      </c>
      <c r="H3488" s="1">
        <v>-2.720397E-6</v>
      </c>
      <c r="I3488">
        <v>192.09809999999999</v>
      </c>
      <c r="J3488">
        <v>-486.76949999999999</v>
      </c>
      <c r="K3488">
        <v>1.1110120000000001</v>
      </c>
      <c r="L3488">
        <v>225.53129999999999</v>
      </c>
      <c r="M3488">
        <v>0.62828669999999998</v>
      </c>
      <c r="N3488">
        <v>-1.51573E-2</v>
      </c>
      <c r="O3488">
        <v>-0.77783419999999903</v>
      </c>
      <c r="P3488">
        <v>0.79944110000000002</v>
      </c>
      <c r="Q3488">
        <v>-0.14569660000000001</v>
      </c>
      <c r="R3488">
        <v>-0.58280889999999996</v>
      </c>
      <c r="S3488">
        <v>2.812805</v>
      </c>
      <c r="T3488">
        <v>-4.2496440000000003E-2</v>
      </c>
      <c r="U3488">
        <v>-1.282486</v>
      </c>
      <c r="V3488">
        <v>-0.25529350000000001</v>
      </c>
      <c r="W3488">
        <v>-0.13196559999999999</v>
      </c>
      <c r="X3488">
        <v>0.95781530000000004</v>
      </c>
      <c r="Y3488">
        <v>-0.44706020000000002</v>
      </c>
      <c r="Z3488">
        <v>3.187924E-3</v>
      </c>
      <c r="AA3488">
        <v>0.89449820000000002</v>
      </c>
      <c r="AB3488">
        <v>13</v>
      </c>
      <c r="AC3488">
        <v>73.452399999999997</v>
      </c>
      <c r="AD3488">
        <v>-1.111014720397</v>
      </c>
      <c r="AE3488">
        <v>-33.433199999999999</v>
      </c>
      <c r="AF3488">
        <v>-36.125458854655797</v>
      </c>
      <c r="AG3488">
        <v>-1.111014720397</v>
      </c>
      <c r="AH3488">
        <v>72.149269883703795</v>
      </c>
      <c r="AI3488">
        <v>90.788870346267501</v>
      </c>
      <c r="AJ3488">
        <v>116.59733064562</v>
      </c>
      <c r="AK3488">
        <v>80.695726503451894</v>
      </c>
      <c r="AL3488">
        <v>97.583192230427002</v>
      </c>
      <c r="AM3488">
        <v>104.92449666394199</v>
      </c>
      <c r="AN3488">
        <v>0.99999991981984604</v>
      </c>
    </row>
    <row r="3489" spans="1:40" x14ac:dyDescent="0.25">
      <c r="A3489" t="str">
        <f>"20190305135002015"</f>
        <v>20190305135002015</v>
      </c>
      <c r="B3489" t="str">
        <f>"1551765002013824"</f>
        <v>1551765002013824</v>
      </c>
      <c r="C3489" t="s">
        <v>40</v>
      </c>
      <c r="D3489">
        <v>4.2054839999999896</v>
      </c>
      <c r="E3489">
        <v>0.42231590000000002</v>
      </c>
      <c r="F3489" t="s">
        <v>42</v>
      </c>
      <c r="G3489">
        <v>-424.81369999999998</v>
      </c>
      <c r="H3489" s="1">
        <v>-4.8573949999999999E-6</v>
      </c>
      <c r="I3489">
        <v>197.7115</v>
      </c>
      <c r="J3489">
        <v>-486.68950000000001</v>
      </c>
      <c r="K3489">
        <v>1.111057</v>
      </c>
      <c r="L3489">
        <v>225.43889999999999</v>
      </c>
      <c r="M3489">
        <v>0.63097890000000001</v>
      </c>
      <c r="N3489">
        <v>-1.4854859999999999E-2</v>
      </c>
      <c r="O3489">
        <v>-0.77565779999999995</v>
      </c>
      <c r="P3489">
        <v>0.80185960000000001</v>
      </c>
      <c r="Q3489">
        <v>-0.14625529999999901</v>
      </c>
      <c r="R3489">
        <v>-0.57933679999999999</v>
      </c>
      <c r="S3489">
        <v>2.82016</v>
      </c>
      <c r="T3489">
        <v>-5.0572279999999997E-2</v>
      </c>
      <c r="U3489">
        <v>-1.266327</v>
      </c>
      <c r="V3489">
        <v>-0.2560346</v>
      </c>
      <c r="W3489">
        <v>-0.13284570000000001</v>
      </c>
      <c r="X3489">
        <v>0.95749589999999996</v>
      </c>
      <c r="Y3489">
        <v>-0.44908229999999999</v>
      </c>
      <c r="Z3489">
        <v>5.8373139999999997E-3</v>
      </c>
      <c r="AA3489">
        <v>0.89347129999999997</v>
      </c>
      <c r="AB3489">
        <v>13</v>
      </c>
      <c r="AC3489">
        <v>61.875799999999998</v>
      </c>
      <c r="AD3489">
        <v>-1.111061857395</v>
      </c>
      <c r="AE3489">
        <v>-27.7273999999999</v>
      </c>
      <c r="AF3489">
        <v>-30.494219196162401</v>
      </c>
      <c r="AG3489">
        <v>-1.111061857395</v>
      </c>
      <c r="AH3489">
        <v>60.539722572500899</v>
      </c>
      <c r="AI3489">
        <v>90.939034033834105</v>
      </c>
      <c r="AJ3489">
        <v>116.73466802762999</v>
      </c>
      <c r="AK3489">
        <v>67.795205376117394</v>
      </c>
      <c r="AL3489">
        <v>97.634065185404694</v>
      </c>
      <c r="AM3489">
        <v>104.970648377193</v>
      </c>
      <c r="AN3489">
        <v>1.0000000474612201</v>
      </c>
    </row>
    <row r="3490" spans="1:40" x14ac:dyDescent="0.25">
      <c r="A3490" t="str">
        <f>"20190305135002040"</f>
        <v>20190305135002040</v>
      </c>
      <c r="B3490" t="str">
        <f>"1551765002033344"</f>
        <v>1551765002033344</v>
      </c>
      <c r="C3490" t="s">
        <v>40</v>
      </c>
      <c r="D3490">
        <v>4.2397830000000001</v>
      </c>
      <c r="E3490">
        <v>0.42267369999999999</v>
      </c>
      <c r="F3490" t="s">
        <v>78</v>
      </c>
      <c r="G3490">
        <v>-430.14</v>
      </c>
      <c r="H3490">
        <v>8.0002489999999996E-2</v>
      </c>
      <c r="I3490">
        <v>200.22450000000001</v>
      </c>
      <c r="J3490">
        <v>-486.5976</v>
      </c>
      <c r="K3490">
        <v>1.111083</v>
      </c>
      <c r="L3490">
        <v>225.33349999999999</v>
      </c>
      <c r="M3490">
        <v>0.63412389999999996</v>
      </c>
      <c r="N3490">
        <v>-1.4463780000000001E-2</v>
      </c>
      <c r="O3490">
        <v>-0.77309619999999901</v>
      </c>
      <c r="P3490">
        <v>0.80377030000000005</v>
      </c>
      <c r="Q3490">
        <v>-0.14325969999999999</v>
      </c>
      <c r="R3490">
        <v>-0.57743420000000001</v>
      </c>
      <c r="S3490">
        <v>2.8226930000000001</v>
      </c>
      <c r="T3490">
        <v>-5.1465509999999999E-2</v>
      </c>
      <c r="U3490">
        <v>-1.258591</v>
      </c>
      <c r="V3490">
        <v>-0.2548417</v>
      </c>
      <c r="W3490">
        <v>-0.13022359999999999</v>
      </c>
      <c r="X3490">
        <v>0.95817399999999997</v>
      </c>
      <c r="Y3490">
        <v>-0.44779679999999999</v>
      </c>
      <c r="Z3490">
        <v>6.3562920000000004E-3</v>
      </c>
      <c r="AA3490">
        <v>0.89411280000000004</v>
      </c>
      <c r="AB3490">
        <v>13</v>
      </c>
      <c r="AC3490">
        <v>56.457599999999999</v>
      </c>
      <c r="AD3490">
        <v>-1.03108051</v>
      </c>
      <c r="AE3490">
        <v>-25.108999999999899</v>
      </c>
      <c r="AF3490">
        <v>-27.720119877169498</v>
      </c>
      <c r="AG3490">
        <v>-1.03108051</v>
      </c>
      <c r="AH3490">
        <v>55.203188915993103</v>
      </c>
      <c r="AI3490">
        <v>90.956273771567993</v>
      </c>
      <c r="AJ3490">
        <v>116.66338132703601</v>
      </c>
      <c r="AK3490">
        <v>61.780743274240201</v>
      </c>
      <c r="AL3490">
        <v>97.482513896521397</v>
      </c>
      <c r="AM3490">
        <v>104.89393030606399</v>
      </c>
      <c r="AN3490">
        <v>0.99999994616592303</v>
      </c>
    </row>
    <row r="3491" spans="1:40" x14ac:dyDescent="0.25">
      <c r="A3491" t="str">
        <f>"20190305135002061"</f>
        <v>20190305135002061</v>
      </c>
      <c r="B3491" t="str">
        <f>"1551765002053840"</f>
        <v>1551765002053840</v>
      </c>
      <c r="C3491" t="s">
        <v>40</v>
      </c>
      <c r="D3491">
        <v>4.2226749999999997</v>
      </c>
      <c r="E3491">
        <v>0.42228569999999999</v>
      </c>
      <c r="F3491" t="s">
        <v>42</v>
      </c>
      <c r="G3491">
        <v>-411.90480000000002</v>
      </c>
      <c r="H3491" s="1">
        <v>-3.1274159999999999E-6</v>
      </c>
      <c r="I3491">
        <v>192.17949999999999</v>
      </c>
      <c r="J3491">
        <v>-486.51339999999999</v>
      </c>
      <c r="K3491">
        <v>1.111103</v>
      </c>
      <c r="L3491">
        <v>225.23750000000001</v>
      </c>
      <c r="M3491">
        <v>0.63702320000000001</v>
      </c>
      <c r="N3491">
        <v>-1.405026E-2</v>
      </c>
      <c r="O3491">
        <v>-0.77071659999999997</v>
      </c>
      <c r="P3491">
        <v>0.80442230000000003</v>
      </c>
      <c r="Q3491">
        <v>-0.13622010000000001</v>
      </c>
      <c r="R3491">
        <v>-0.5782292</v>
      </c>
      <c r="S3491">
        <v>2.8242799999999999</v>
      </c>
      <c r="T3491">
        <v>-4.2012330000000001E-2</v>
      </c>
      <c r="U3491">
        <v>-1.2536160000000001</v>
      </c>
      <c r="V3491">
        <v>-0.25126540000000003</v>
      </c>
      <c r="W3491">
        <v>-0.1235518</v>
      </c>
      <c r="X3491">
        <v>0.96000030000000003</v>
      </c>
      <c r="Y3491">
        <v>-0.44596809999999998</v>
      </c>
      <c r="Z3491">
        <v>3.7943849999999999E-3</v>
      </c>
      <c r="AA3491">
        <v>0.89504089999999903</v>
      </c>
      <c r="AB3491">
        <v>13</v>
      </c>
      <c r="AC3491">
        <v>74.608599999999896</v>
      </c>
      <c r="AD3491">
        <v>-1.1111061274159999</v>
      </c>
      <c r="AE3491">
        <v>-33.058</v>
      </c>
      <c r="AF3491">
        <v>-36.440214817333398</v>
      </c>
      <c r="AG3491">
        <v>-1.1111061274159999</v>
      </c>
      <c r="AH3491">
        <v>72.999430647260695</v>
      </c>
      <c r="AI3491">
        <v>90.780222328615096</v>
      </c>
      <c r="AJ3491">
        <v>116.527678400599</v>
      </c>
      <c r="AK3491">
        <v>81.596817876581497</v>
      </c>
      <c r="AL3491">
        <v>97.097132016585306</v>
      </c>
      <c r="AM3491">
        <v>104.66727492352</v>
      </c>
      <c r="AN3491">
        <v>0.99999996226024401</v>
      </c>
    </row>
    <row r="3492" spans="1:40" x14ac:dyDescent="0.25">
      <c r="A3492" t="str">
        <f>"20190305135002084"</f>
        <v>20190305135002084</v>
      </c>
      <c r="B3492" t="str">
        <f>"1551765002073379"</f>
        <v>1551765002073379</v>
      </c>
      <c r="C3492" t="s">
        <v>40</v>
      </c>
      <c r="D3492">
        <v>4.2245470000000003</v>
      </c>
      <c r="E3492">
        <v>0.38450620000000002</v>
      </c>
      <c r="F3492" t="s">
        <v>87</v>
      </c>
      <c r="G3492">
        <v>-389.2355</v>
      </c>
      <c r="H3492">
        <v>0.44244060000000002</v>
      </c>
      <c r="I3492">
        <v>182.1183</v>
      </c>
      <c r="J3492">
        <v>-486.42680000000001</v>
      </c>
      <c r="K3492">
        <v>1.111105</v>
      </c>
      <c r="L3492">
        <v>225.13980000000001</v>
      </c>
      <c r="M3492">
        <v>0.64000570000000001</v>
      </c>
      <c r="N3492">
        <v>-1.3583949999999999E-2</v>
      </c>
      <c r="O3492">
        <v>-0.76825049999999995</v>
      </c>
      <c r="P3492">
        <v>0.80518559999999995</v>
      </c>
      <c r="Q3492">
        <v>-0.1310135</v>
      </c>
      <c r="R3492">
        <v>-0.5783703</v>
      </c>
      <c r="S3492">
        <v>2.825806</v>
      </c>
      <c r="T3492">
        <v>-1.9423840000000001E-2</v>
      </c>
      <c r="U3492">
        <v>-1.2525630000000001</v>
      </c>
      <c r="V3492">
        <v>-0.248061</v>
      </c>
      <c r="W3492">
        <v>-0.1187737</v>
      </c>
      <c r="X3492">
        <v>0.9614357</v>
      </c>
      <c r="Y3492">
        <v>-0.44298149999999997</v>
      </c>
      <c r="Z3492">
        <v>-2.6382160000000001E-3</v>
      </c>
      <c r="AA3492">
        <v>0.89652690000000002</v>
      </c>
      <c r="AB3492">
        <v>13</v>
      </c>
      <c r="AC3492">
        <v>97.191299999999998</v>
      </c>
      <c r="AD3492">
        <v>-0.66866439999999905</v>
      </c>
      <c r="AE3492">
        <v>-43.021500000000003</v>
      </c>
      <c r="AF3492">
        <v>-47.135727932130102</v>
      </c>
      <c r="AG3492">
        <v>-0.66866439999999905</v>
      </c>
      <c r="AH3492">
        <v>95.259263272256504</v>
      </c>
      <c r="AI3492">
        <v>90.360463057050595</v>
      </c>
      <c r="AJ3492">
        <v>116.326903243871</v>
      </c>
      <c r="AK3492">
        <v>106.28523509380101</v>
      </c>
      <c r="AL3492">
        <v>96.821334420027398</v>
      </c>
      <c r="AM3492">
        <v>104.46742002836901</v>
      </c>
      <c r="AN3492">
        <v>1.0000000283835799</v>
      </c>
    </row>
    <row r="3493" spans="1:40" x14ac:dyDescent="0.25">
      <c r="A3493" t="str">
        <f>"20190305135002106"</f>
        <v>20190305135002106</v>
      </c>
      <c r="B3493" t="str">
        <f>"1551765002103616"</f>
        <v>1551765002103616</v>
      </c>
      <c r="C3493" t="s">
        <v>40</v>
      </c>
      <c r="D3493">
        <v>4.2029620000000003</v>
      </c>
      <c r="E3493">
        <v>0.38494349999999999</v>
      </c>
      <c r="F3493" t="s">
        <v>66</v>
      </c>
      <c r="G3493">
        <v>-160.7647</v>
      </c>
      <c r="H3493">
        <v>13.515040000000001</v>
      </c>
      <c r="I3493">
        <v>115.7808</v>
      </c>
      <c r="J3493">
        <v>-486.33850000000001</v>
      </c>
      <c r="K3493">
        <v>1.111089</v>
      </c>
      <c r="L3493">
        <v>225.04079999999999</v>
      </c>
      <c r="M3493">
        <v>0.64304569999999905</v>
      </c>
      <c r="N3493">
        <v>-1.308521E-2</v>
      </c>
      <c r="O3493">
        <v>-0.76571630000000002</v>
      </c>
      <c r="P3493">
        <v>0.80609839999999999</v>
      </c>
      <c r="Q3493">
        <v>-0.1270473</v>
      </c>
      <c r="R3493">
        <v>-0.57798359999999904</v>
      </c>
      <c r="S3493">
        <v>3.0168149999999998</v>
      </c>
      <c r="T3493">
        <v>0.1149056</v>
      </c>
      <c r="U3493">
        <v>-1.0130619999999999</v>
      </c>
      <c r="V3493">
        <v>-0.24521190000000001</v>
      </c>
      <c r="W3493">
        <v>-0.1152775</v>
      </c>
      <c r="X3493">
        <v>0.96259139999999999</v>
      </c>
      <c r="Y3493">
        <v>-0.52022729999999995</v>
      </c>
      <c r="Z3493">
        <v>-4.180242E-2</v>
      </c>
      <c r="AA3493">
        <v>0.85300419999999999</v>
      </c>
      <c r="AB3493">
        <v>13</v>
      </c>
      <c r="AC3493">
        <v>325.57380000000001</v>
      </c>
      <c r="AD3493">
        <v>12.403950999999999</v>
      </c>
      <c r="AE3493">
        <v>-109.26</v>
      </c>
      <c r="AF3493">
        <v>-178.819995457462</v>
      </c>
      <c r="AG3493">
        <v>12.403950999999999</v>
      </c>
      <c r="AH3493">
        <v>292.66421234680701</v>
      </c>
      <c r="AI3493">
        <v>87.928731725747795</v>
      </c>
      <c r="AJ3493">
        <v>121.425238382496</v>
      </c>
      <c r="AK3493">
        <v>343.19497368754401</v>
      </c>
      <c r="AL3493">
        <v>96.619631139287094</v>
      </c>
      <c r="AM3493">
        <v>104.291639997993</v>
      </c>
      <c r="AN3493">
        <v>0.99999999063090905</v>
      </c>
    </row>
    <row r="3494" spans="1:40" x14ac:dyDescent="0.25">
      <c r="A3494" t="str">
        <f>"20190305135002128"</f>
        <v>20190305135002128</v>
      </c>
      <c r="B3494" t="str">
        <f>"1551765002124112"</f>
        <v>1551765002124112</v>
      </c>
      <c r="C3494" t="s">
        <v>40</v>
      </c>
      <c r="D3494">
        <v>4.1825580000000002</v>
      </c>
      <c r="E3494">
        <v>0.38570019999999999</v>
      </c>
      <c r="F3494" t="s">
        <v>66</v>
      </c>
      <c r="G3494">
        <v>-159.411</v>
      </c>
      <c r="H3494">
        <v>14.722939999999999</v>
      </c>
      <c r="I3494">
        <v>115.2234</v>
      </c>
      <c r="J3494">
        <v>-486.25290000000001</v>
      </c>
      <c r="K3494">
        <v>1.111062</v>
      </c>
      <c r="L3494">
        <v>224.94560000000001</v>
      </c>
      <c r="M3494">
        <v>0.64598840000000002</v>
      </c>
      <c r="N3494">
        <v>-1.259013E-2</v>
      </c>
      <c r="O3494">
        <v>-0.76324349999999996</v>
      </c>
      <c r="P3494">
        <v>0.80751509999999904</v>
      </c>
      <c r="Q3494">
        <v>-0.1241905</v>
      </c>
      <c r="R3494">
        <v>-0.5766251</v>
      </c>
      <c r="S3494">
        <v>3.0151669999999999</v>
      </c>
      <c r="T3494">
        <v>0.1255386</v>
      </c>
      <c r="U3494">
        <v>-1.0128170000000001</v>
      </c>
      <c r="V3494">
        <v>-0.24347360000000001</v>
      </c>
      <c r="W3494">
        <v>-0.11290210000000001</v>
      </c>
      <c r="X3494">
        <v>0.96331389999999995</v>
      </c>
      <c r="Y3494">
        <v>-0.51672719999999905</v>
      </c>
      <c r="Z3494">
        <v>-4.4543310000000003E-2</v>
      </c>
      <c r="AA3494">
        <v>0.85499059999999905</v>
      </c>
      <c r="AB3494">
        <v>13</v>
      </c>
      <c r="AC3494">
        <v>326.84190000000001</v>
      </c>
      <c r="AD3494">
        <v>13.611878000000001</v>
      </c>
      <c r="AE3494">
        <v>-109.7222</v>
      </c>
      <c r="AF3494">
        <v>-178.31687180545799</v>
      </c>
      <c r="AG3494">
        <v>13.611878000000001</v>
      </c>
      <c r="AH3494">
        <v>294.44520746687698</v>
      </c>
      <c r="AI3494">
        <v>87.735539924073905</v>
      </c>
      <c r="AJ3494">
        <v>121.19921918241999</v>
      </c>
      <c r="AK3494">
        <v>344.49988417034803</v>
      </c>
      <c r="AL3494">
        <v>96.482636301307593</v>
      </c>
      <c r="AM3494">
        <v>104.18421923534601</v>
      </c>
      <c r="AN3494">
        <v>0.99999997400728902</v>
      </c>
    </row>
    <row r="3495" spans="1:40" x14ac:dyDescent="0.25">
      <c r="A3495" t="str">
        <f>"20190305135002154"</f>
        <v>20190305135002154</v>
      </c>
      <c r="B3495" t="str">
        <f>"1551765002143633"</f>
        <v>1551765002143633</v>
      </c>
      <c r="C3495" t="s">
        <v>40</v>
      </c>
      <c r="D3495">
        <v>4.2293830000000003</v>
      </c>
      <c r="E3495">
        <v>0.38590289999999999</v>
      </c>
      <c r="F3495" t="s">
        <v>66</v>
      </c>
      <c r="G3495">
        <v>-159.3681</v>
      </c>
      <c r="H3495">
        <v>15.34665</v>
      </c>
      <c r="I3495">
        <v>115.2667</v>
      </c>
      <c r="J3495">
        <v>-486.15339999999998</v>
      </c>
      <c r="K3495">
        <v>1.111035</v>
      </c>
      <c r="L3495">
        <v>224.83600000000001</v>
      </c>
      <c r="M3495">
        <v>0.64939859999999905</v>
      </c>
      <c r="N3495">
        <v>-1.200644E-2</v>
      </c>
      <c r="O3495">
        <v>-0.76035359999999996</v>
      </c>
      <c r="P3495">
        <v>0.80987349999999902</v>
      </c>
      <c r="Q3495">
        <v>-0.123686</v>
      </c>
      <c r="R3495">
        <v>-0.57341679999999995</v>
      </c>
      <c r="S3495">
        <v>3.013306</v>
      </c>
      <c r="T3495">
        <v>0.13122729999999999</v>
      </c>
      <c r="U3495">
        <v>-1.011047</v>
      </c>
      <c r="V3495">
        <v>-0.2430339</v>
      </c>
      <c r="W3495">
        <v>-0.112987</v>
      </c>
      <c r="X3495">
        <v>0.96341500000000002</v>
      </c>
      <c r="Y3495">
        <v>-0.51312429999999998</v>
      </c>
      <c r="Z3495">
        <v>-4.5745849999999998E-2</v>
      </c>
      <c r="AA3495">
        <v>0.85709429999999998</v>
      </c>
      <c r="AB3495">
        <v>13</v>
      </c>
      <c r="AC3495">
        <v>326.78530000000001</v>
      </c>
      <c r="AD3495">
        <v>14.235614999999999</v>
      </c>
      <c r="AE3495">
        <v>-109.569299999999</v>
      </c>
      <c r="AF3495">
        <v>-177.02898860543499</v>
      </c>
      <c r="AG3495">
        <v>14.235614999999999</v>
      </c>
      <c r="AH3495">
        <v>295.043268513133</v>
      </c>
      <c r="AI3495">
        <v>87.630841485182998</v>
      </c>
      <c r="AJ3495">
        <v>120.96418882671099</v>
      </c>
      <c r="AK3495">
        <v>344.37253931753099</v>
      </c>
      <c r="AL3495">
        <v>96.487531867088606</v>
      </c>
      <c r="AM3495">
        <v>104.158208357742</v>
      </c>
      <c r="AN3495">
        <v>1.0000000004716001</v>
      </c>
    </row>
    <row r="3496" spans="1:40" x14ac:dyDescent="0.25">
      <c r="A3496" t="str">
        <f>"20190305135002175"</f>
        <v>20190305135002175</v>
      </c>
      <c r="B3496" t="str">
        <f>"1551765002164128"</f>
        <v>1551765002164128</v>
      </c>
      <c r="C3496" t="s">
        <v>40</v>
      </c>
      <c r="D3496">
        <v>4.1966850000000004</v>
      </c>
      <c r="E3496">
        <v>0.38578440000000003</v>
      </c>
      <c r="F3496" t="s">
        <v>66</v>
      </c>
      <c r="G3496">
        <v>-158.41159999999999</v>
      </c>
      <c r="H3496">
        <v>14.677829999999901</v>
      </c>
      <c r="I3496">
        <v>116.2244</v>
      </c>
      <c r="J3496">
        <v>-486.06400000000002</v>
      </c>
      <c r="K3496">
        <v>1.1110169999999999</v>
      </c>
      <c r="L3496">
        <v>224.73849999999999</v>
      </c>
      <c r="M3496">
        <v>0.65245189999999997</v>
      </c>
      <c r="N3496">
        <v>-1.148597E-2</v>
      </c>
      <c r="O3496">
        <v>-0.75774319999999995</v>
      </c>
      <c r="P3496">
        <v>0.81227360000000004</v>
      </c>
      <c r="Q3496">
        <v>-0.12453839999999999</v>
      </c>
      <c r="R3496">
        <v>-0.56982619999999995</v>
      </c>
      <c r="S3496">
        <v>3.015717</v>
      </c>
      <c r="T3496">
        <v>0.124835</v>
      </c>
      <c r="U3496">
        <v>-0.99938959999999999</v>
      </c>
      <c r="V3496">
        <v>-0.24330959999999999</v>
      </c>
      <c r="W3496">
        <v>-0.1143749</v>
      </c>
      <c r="X3496">
        <v>0.96318159999999997</v>
      </c>
      <c r="Y3496">
        <v>-0.51298140000000003</v>
      </c>
      <c r="Z3496">
        <v>-4.3462929999999997E-2</v>
      </c>
      <c r="AA3496">
        <v>0.85729869999999997</v>
      </c>
      <c r="AB3496">
        <v>14</v>
      </c>
      <c r="AC3496">
        <v>327.6524</v>
      </c>
      <c r="AD3496">
        <v>13.5668129999999</v>
      </c>
      <c r="AE3496">
        <v>-108.514099999999</v>
      </c>
      <c r="AF3496">
        <v>-177.21404443350499</v>
      </c>
      <c r="AG3496">
        <v>13.5668129999999</v>
      </c>
      <c r="AH3496">
        <v>295.56610446512201</v>
      </c>
      <c r="AI3496">
        <v>87.745586354148998</v>
      </c>
      <c r="AJ3496">
        <v>120.94584786572101</v>
      </c>
      <c r="AK3496">
        <v>344.888674891108</v>
      </c>
      <c r="AL3496">
        <v>96.567571648401994</v>
      </c>
      <c r="AM3496">
        <v>104.176918754364</v>
      </c>
      <c r="AN3496">
        <v>0.99999998689036496</v>
      </c>
    </row>
    <row r="3497" spans="1:40" x14ac:dyDescent="0.25">
      <c r="A3497" t="str">
        <f>"20190305135002196"</f>
        <v>20190305135002196</v>
      </c>
      <c r="B3497" t="str">
        <f>"1551765002193408"</f>
        <v>1551765002193408</v>
      </c>
      <c r="C3497" t="s">
        <v>40</v>
      </c>
      <c r="D3497">
        <v>4.1921589999999904</v>
      </c>
      <c r="E3497">
        <v>0.3861078</v>
      </c>
      <c r="F3497" t="s">
        <v>66</v>
      </c>
      <c r="G3497">
        <v>-158.60669999999999</v>
      </c>
      <c r="H3497">
        <v>13.39331</v>
      </c>
      <c r="I3497">
        <v>117.9786</v>
      </c>
      <c r="J3497">
        <v>-485.97559999999999</v>
      </c>
      <c r="K3497">
        <v>1.1110009999999999</v>
      </c>
      <c r="L3497">
        <v>224.6429</v>
      </c>
      <c r="M3497">
        <v>0.65546510000000002</v>
      </c>
      <c r="N3497">
        <v>-1.0988980000000001E-2</v>
      </c>
      <c r="O3497">
        <v>-0.75514579999999998</v>
      </c>
      <c r="P3497">
        <v>0.81530319999999901</v>
      </c>
      <c r="Q3497">
        <v>-0.1258909</v>
      </c>
      <c r="R3497">
        <v>-0.56518409999999997</v>
      </c>
      <c r="S3497">
        <v>3.0199579999999999</v>
      </c>
      <c r="T3497">
        <v>0.1132729</v>
      </c>
      <c r="U3497">
        <v>-0.98458860000000004</v>
      </c>
      <c r="V3497">
        <v>-0.24479119999999999</v>
      </c>
      <c r="W3497">
        <v>-0.11624760000000001</v>
      </c>
      <c r="X3497">
        <v>0.96258180000000004</v>
      </c>
      <c r="Y3497">
        <v>-0.5138992</v>
      </c>
      <c r="Z3497">
        <v>-3.9683339999999998E-2</v>
      </c>
      <c r="AA3497">
        <v>0.85693220000000003</v>
      </c>
      <c r="AB3497">
        <v>14</v>
      </c>
      <c r="AC3497">
        <v>327.3689</v>
      </c>
      <c r="AD3497">
        <v>12.282309</v>
      </c>
      <c r="AE3497">
        <v>-106.6643</v>
      </c>
      <c r="AF3497">
        <v>-177.08184980366801</v>
      </c>
      <c r="AG3497">
        <v>12.282309</v>
      </c>
      <c r="AH3497">
        <v>294.76864275075002</v>
      </c>
      <c r="AI3497">
        <v>87.954385200743502</v>
      </c>
      <c r="AJ3497">
        <v>120.995284122336</v>
      </c>
      <c r="AK3497">
        <v>344.08921720010397</v>
      </c>
      <c r="AL3497">
        <v>96.675590072581002</v>
      </c>
      <c r="AM3497">
        <v>104.26825891300901</v>
      </c>
      <c r="AN3497">
        <v>0.99999997889721903</v>
      </c>
    </row>
    <row r="3498" spans="1:40" x14ac:dyDescent="0.25">
      <c r="A3498" t="str">
        <f>"20190305135002218"</f>
        <v>20190305135002218</v>
      </c>
      <c r="B3498" t="str">
        <f>"1551765002213904"</f>
        <v>1551765002213904</v>
      </c>
      <c r="C3498" t="s">
        <v>40</v>
      </c>
      <c r="D3498">
        <v>4.2419799999999999</v>
      </c>
      <c r="E3498">
        <v>0.38606449999999998</v>
      </c>
      <c r="F3498" t="s">
        <v>66</v>
      </c>
      <c r="G3498">
        <v>-156.03039999999999</v>
      </c>
      <c r="H3498">
        <v>12.19183</v>
      </c>
      <c r="I3498">
        <v>118.88679999999999</v>
      </c>
      <c r="J3498">
        <v>-485.88589999999999</v>
      </c>
      <c r="K3498">
        <v>1.1109899999999999</v>
      </c>
      <c r="L3498">
        <v>224.54679999999999</v>
      </c>
      <c r="M3498">
        <v>0.65851879999999996</v>
      </c>
      <c r="N3498">
        <v>-1.0500839999999999E-2</v>
      </c>
      <c r="O3498">
        <v>-0.75249100000000002</v>
      </c>
      <c r="P3498">
        <v>0.81863019999999997</v>
      </c>
      <c r="Q3498">
        <v>-0.12506429999999999</v>
      </c>
      <c r="R3498">
        <v>-0.56053889999999995</v>
      </c>
      <c r="S3498">
        <v>3.0234679999999998</v>
      </c>
      <c r="T3498">
        <v>0.1015397</v>
      </c>
      <c r="U3498">
        <v>-0.96910099999999999</v>
      </c>
      <c r="V3498">
        <v>-0.24644959999999999</v>
      </c>
      <c r="W3498">
        <v>-0.1159294</v>
      </c>
      <c r="X3498">
        <v>0.96219690000000002</v>
      </c>
      <c r="Y3498">
        <v>-0.51486179999999904</v>
      </c>
      <c r="Z3498">
        <v>-3.5876159999999997E-2</v>
      </c>
      <c r="AA3498">
        <v>0.85652209999999995</v>
      </c>
      <c r="AB3498">
        <v>14</v>
      </c>
      <c r="AC3498">
        <v>329.85550000000001</v>
      </c>
      <c r="AD3498">
        <v>11.08084</v>
      </c>
      <c r="AE3498">
        <v>-105.66</v>
      </c>
      <c r="AF3498">
        <v>-178.46139891552599</v>
      </c>
      <c r="AG3498">
        <v>11.08084</v>
      </c>
      <c r="AH3498">
        <v>296.43721432322599</v>
      </c>
      <c r="AI3498">
        <v>88.1657554971341</v>
      </c>
      <c r="AJ3498">
        <v>121.048819680501</v>
      </c>
      <c r="AK3498">
        <v>346.18821174861898</v>
      </c>
      <c r="AL3498">
        <v>96.657234625263698</v>
      </c>
      <c r="AM3498">
        <v>104.366444455817</v>
      </c>
      <c r="AN3498">
        <v>0.99999995274706299</v>
      </c>
    </row>
    <row r="3499" spans="1:40" x14ac:dyDescent="0.25">
      <c r="A3499" t="str">
        <f>"20190305135002241"</f>
        <v>20190305135002241</v>
      </c>
      <c r="B3499" t="str">
        <f>"1551765002233425"</f>
        <v>1551765002233425</v>
      </c>
      <c r="C3499" t="s">
        <v>40</v>
      </c>
      <c r="D3499">
        <v>4.2327360000000001</v>
      </c>
      <c r="E3499">
        <v>0.38612629999999998</v>
      </c>
      <c r="F3499" t="s">
        <v>88</v>
      </c>
      <c r="G3499">
        <v>-362.0181</v>
      </c>
      <c r="H3499">
        <v>5.0571129999999904</v>
      </c>
      <c r="I3499">
        <v>185.67439999999999</v>
      </c>
      <c r="J3499">
        <v>-485.78969999999998</v>
      </c>
      <c r="K3499">
        <v>1.110986</v>
      </c>
      <c r="L3499">
        <v>224.44450000000001</v>
      </c>
      <c r="M3499">
        <v>0.66180439999999996</v>
      </c>
      <c r="N3499">
        <v>-9.9808959999999995E-3</v>
      </c>
      <c r="O3499">
        <v>-0.74961009999999995</v>
      </c>
      <c r="P3499">
        <v>0.822891699999999</v>
      </c>
      <c r="Q3499">
        <v>-0.1224268</v>
      </c>
      <c r="R3499">
        <v>-0.55485229999999996</v>
      </c>
      <c r="S3499">
        <v>3.0286559999999998</v>
      </c>
      <c r="T3499">
        <v>9.648764E-2</v>
      </c>
      <c r="U3499">
        <v>-0.95045469999999999</v>
      </c>
      <c r="V3499">
        <v>-0.2492007</v>
      </c>
      <c r="W3499">
        <v>-0.1138367</v>
      </c>
      <c r="X3499">
        <v>0.96173810000000004</v>
      </c>
      <c r="Y3499">
        <v>-0.51640900000000001</v>
      </c>
      <c r="Z3499">
        <v>-3.4015400000000001E-2</v>
      </c>
      <c r="AA3499">
        <v>0.85566620000000004</v>
      </c>
      <c r="AB3499">
        <v>14</v>
      </c>
      <c r="AC3499">
        <v>123.771599999999</v>
      </c>
      <c r="AD3499">
        <v>3.9461269999999899</v>
      </c>
      <c r="AE3499">
        <v>-38.770099999999999</v>
      </c>
      <c r="AF3499">
        <v>-67.063484878291703</v>
      </c>
      <c r="AG3499">
        <v>3.9461269999999899</v>
      </c>
      <c r="AH3499">
        <v>110.877941762451</v>
      </c>
      <c r="AI3499">
        <v>88.255722152719599</v>
      </c>
      <c r="AJ3499">
        <v>121.167253478495</v>
      </c>
      <c r="AK3499">
        <v>129.64181768163499</v>
      </c>
      <c r="AL3499">
        <v>96.536532386877596</v>
      </c>
      <c r="AM3499">
        <v>104.52670615281799</v>
      </c>
      <c r="AN3499">
        <v>0.99999997806949403</v>
      </c>
    </row>
    <row r="3500" spans="1:40" x14ac:dyDescent="0.25">
      <c r="A3500" t="str">
        <f>"20190305135002263"</f>
        <v>20190305135002263</v>
      </c>
      <c r="B3500" t="str">
        <f>"1551765002253920"</f>
        <v>1551765002253920</v>
      </c>
      <c r="C3500" t="s">
        <v>40</v>
      </c>
      <c r="D3500">
        <v>4.2409160000000004</v>
      </c>
      <c r="E3500">
        <v>0.38651940000000001</v>
      </c>
      <c r="F3500" t="s">
        <v>88</v>
      </c>
      <c r="G3500">
        <v>-362.40570000000002</v>
      </c>
      <c r="H3500">
        <v>5.0608740000000001</v>
      </c>
      <c r="I3500">
        <v>186.71879999999999</v>
      </c>
      <c r="J3500">
        <v>-485.69319999999999</v>
      </c>
      <c r="K3500">
        <v>1.110981</v>
      </c>
      <c r="L3500">
        <v>224.34299999999999</v>
      </c>
      <c r="M3500">
        <v>0.66510899999999995</v>
      </c>
      <c r="N3500">
        <v>-9.4621110000000005E-3</v>
      </c>
      <c r="O3500">
        <v>-0.74668659999999998</v>
      </c>
      <c r="P3500">
        <v>0.82707540000000002</v>
      </c>
      <c r="Q3500">
        <v>-0.120392899999999</v>
      </c>
      <c r="R3500">
        <v>-0.5490469</v>
      </c>
      <c r="S3500">
        <v>3.0345149999999999</v>
      </c>
      <c r="T3500">
        <v>9.7146029999999994E-2</v>
      </c>
      <c r="U3500">
        <v>-0.92782589999999998</v>
      </c>
      <c r="V3500">
        <v>-0.25193890000000002</v>
      </c>
      <c r="W3500">
        <v>-0.112345899999999</v>
      </c>
      <c r="X3500">
        <v>0.9611999</v>
      </c>
      <c r="Y3500">
        <v>-0.51893029999999996</v>
      </c>
      <c r="Z3500">
        <v>-3.3850169999999999E-2</v>
      </c>
      <c r="AA3500">
        <v>0.85414609999999902</v>
      </c>
      <c r="AB3500">
        <v>14</v>
      </c>
      <c r="AC3500">
        <v>123.287499999999</v>
      </c>
      <c r="AD3500">
        <v>3.9498929999999999</v>
      </c>
      <c r="AE3500">
        <v>-37.624200000000002</v>
      </c>
      <c r="AF3500">
        <v>-66.973031108944497</v>
      </c>
      <c r="AG3500">
        <v>3.9498929999999999</v>
      </c>
      <c r="AH3500">
        <v>109.99473519628501</v>
      </c>
      <c r="AI3500">
        <v>88.243192436909297</v>
      </c>
      <c r="AJ3500">
        <v>121.33618506683101</v>
      </c>
      <c r="AK3500">
        <v>128.84032878540799</v>
      </c>
      <c r="AL3500">
        <v>96.450563977946203</v>
      </c>
      <c r="AM3500">
        <v>104.68732976604301</v>
      </c>
      <c r="AN3500">
        <v>1.00000002917001</v>
      </c>
    </row>
    <row r="3501" spans="1:40" x14ac:dyDescent="0.25">
      <c r="A3501" t="str">
        <f>"20190305135002284"</f>
        <v>20190305135002284</v>
      </c>
      <c r="B3501" t="str">
        <f>"1551765002273444"</f>
        <v>1551765002273444</v>
      </c>
      <c r="C3501" t="s">
        <v>40</v>
      </c>
      <c r="D3501">
        <v>4.204275</v>
      </c>
      <c r="E3501">
        <v>0.38685760000000002</v>
      </c>
      <c r="F3501" t="s">
        <v>88</v>
      </c>
      <c r="G3501">
        <v>-365.60820000000001</v>
      </c>
      <c r="H3501">
        <v>5.0866199999999999</v>
      </c>
      <c r="I3501">
        <v>188.4657</v>
      </c>
      <c r="J3501">
        <v>-485.60239999999999</v>
      </c>
      <c r="K3501">
        <v>1.1109709999999999</v>
      </c>
      <c r="L3501">
        <v>224.2482</v>
      </c>
      <c r="M3501">
        <v>0.66822150000000002</v>
      </c>
      <c r="N3501">
        <v>-8.9901219999999997E-3</v>
      </c>
      <c r="O3501">
        <v>-0.74390809999999996</v>
      </c>
      <c r="P3501">
        <v>0.83094539999999995</v>
      </c>
      <c r="Q3501">
        <v>-0.11985759999999999</v>
      </c>
      <c r="R3501">
        <v>-0.54328989999999999</v>
      </c>
      <c r="S3501">
        <v>3.0391539999999999</v>
      </c>
      <c r="T3501">
        <v>0.1006191</v>
      </c>
      <c r="U3501">
        <v>-0.9079895</v>
      </c>
      <c r="V3501">
        <v>-0.25464550000000002</v>
      </c>
      <c r="W3501">
        <v>-0.11230710000000001</v>
      </c>
      <c r="X3501">
        <v>0.96049090000000004</v>
      </c>
      <c r="Y3501">
        <v>-0.52080799999999905</v>
      </c>
      <c r="Z3501">
        <v>-3.4542349999999999E-2</v>
      </c>
      <c r="AA3501">
        <v>0.85297469999999997</v>
      </c>
      <c r="AB3501">
        <v>14</v>
      </c>
      <c r="AC3501">
        <v>119.994199999999</v>
      </c>
      <c r="AD3501">
        <v>3.9756490000000002</v>
      </c>
      <c r="AE3501">
        <v>-35.782499999999999</v>
      </c>
      <c r="AF3501">
        <v>-65.290842028137902</v>
      </c>
      <c r="AG3501">
        <v>3.9756490000000002</v>
      </c>
      <c r="AH3501">
        <v>106.698347943326</v>
      </c>
      <c r="AI3501">
        <v>88.179616159733797</v>
      </c>
      <c r="AJ3501">
        <v>121.46329315042</v>
      </c>
      <c r="AK3501">
        <v>125.152855706729</v>
      </c>
      <c r="AL3501">
        <v>96.448326982621296</v>
      </c>
      <c r="AM3501">
        <v>104.84865971571</v>
      </c>
      <c r="AN3501">
        <v>0.99999999218173496</v>
      </c>
    </row>
    <row r="3502" spans="1:40" x14ac:dyDescent="0.25">
      <c r="A3502" t="str">
        <f>"20190305135002307"</f>
        <v>20190305135002307</v>
      </c>
      <c r="B3502" t="str">
        <f>"1551765002303696"</f>
        <v>1551765002303696</v>
      </c>
      <c r="C3502" t="s">
        <v>40</v>
      </c>
      <c r="D3502">
        <v>4.2326220000000001</v>
      </c>
      <c r="E3502">
        <v>0.38718730000000001</v>
      </c>
      <c r="F3502" t="s">
        <v>88</v>
      </c>
      <c r="G3502">
        <v>-365.25670000000002</v>
      </c>
      <c r="H3502">
        <v>5.0135430000000003</v>
      </c>
      <c r="I3502">
        <v>189.09620000000001</v>
      </c>
      <c r="J3502">
        <v>-485.50349999999997</v>
      </c>
      <c r="K3502">
        <v>1.1109629999999999</v>
      </c>
      <c r="L3502">
        <v>224.14599999999999</v>
      </c>
      <c r="M3502">
        <v>0.67160149999999996</v>
      </c>
      <c r="N3502">
        <v>-8.5098340000000008E-3</v>
      </c>
      <c r="O3502">
        <v>-0.74086379999999996</v>
      </c>
      <c r="P3502">
        <v>0.83459189999999905</v>
      </c>
      <c r="Q3502">
        <v>-0.11967170000000001</v>
      </c>
      <c r="R3502">
        <v>-0.5377132</v>
      </c>
      <c r="S3502">
        <v>3.0433349999999999</v>
      </c>
      <c r="T3502">
        <v>9.8691580000000001E-2</v>
      </c>
      <c r="U3502">
        <v>-0.88893129999999998</v>
      </c>
      <c r="V3502">
        <v>-0.25671319999999997</v>
      </c>
      <c r="W3502">
        <v>-0.1126219</v>
      </c>
      <c r="X3502">
        <v>0.95990350000000002</v>
      </c>
      <c r="Y3502">
        <v>-0.52219519999999997</v>
      </c>
      <c r="Z3502">
        <v>-3.3636699999999999E-2</v>
      </c>
      <c r="AA3502">
        <v>0.85216239999999999</v>
      </c>
      <c r="AB3502">
        <v>14</v>
      </c>
      <c r="AC3502">
        <v>120.246799999999</v>
      </c>
      <c r="AD3502">
        <v>3.9025799999999999</v>
      </c>
      <c r="AE3502">
        <v>-35.049799999999898</v>
      </c>
      <c r="AF3502">
        <v>-65.485795694593406</v>
      </c>
      <c r="AG3502">
        <v>3.9025799999999999</v>
      </c>
      <c r="AH3502">
        <v>106.625400310418</v>
      </c>
      <c r="AI3502">
        <v>88.213617943800003</v>
      </c>
      <c r="AJ3502">
        <v>121.556870674682</v>
      </c>
      <c r="AK3502">
        <v>125.19023747787701</v>
      </c>
      <c r="AL3502">
        <v>96.4664785154973</v>
      </c>
      <c r="AM3502">
        <v>104.972587332079</v>
      </c>
      <c r="AN3502">
        <v>1.0000000443630399</v>
      </c>
    </row>
    <row r="3503" spans="1:40" x14ac:dyDescent="0.25">
      <c r="A3503" t="str">
        <f>"20190305135002329"</f>
        <v>20190305135002329</v>
      </c>
      <c r="B3503" t="str">
        <f>"1551765002324192"</f>
        <v>1551765002324192</v>
      </c>
      <c r="C3503" t="s">
        <v>40</v>
      </c>
      <c r="D3503">
        <v>4.1904309999999896</v>
      </c>
      <c r="E3503">
        <v>0.39233600000000002</v>
      </c>
      <c r="F3503" t="s">
        <v>88</v>
      </c>
      <c r="G3503">
        <v>-364.7276</v>
      </c>
      <c r="H3503">
        <v>4.8860799999999998</v>
      </c>
      <c r="I3503">
        <v>189.64830000000001</v>
      </c>
      <c r="J3503">
        <v>-485.40499999999997</v>
      </c>
      <c r="K3503">
        <v>1.1109659999999999</v>
      </c>
      <c r="L3503">
        <v>224.04509999999999</v>
      </c>
      <c r="M3503">
        <v>0.67495079999999996</v>
      </c>
      <c r="N3503">
        <v>-8.0761510000000002E-3</v>
      </c>
      <c r="O3503">
        <v>-0.73781850000000004</v>
      </c>
      <c r="P3503">
        <v>0.83796380000000004</v>
      </c>
      <c r="Q3503">
        <v>-0.119084</v>
      </c>
      <c r="R3503">
        <v>-0.5325744</v>
      </c>
      <c r="S3503">
        <v>3.0474549999999998</v>
      </c>
      <c r="T3503">
        <v>9.5257159999999994E-2</v>
      </c>
      <c r="U3503">
        <v>-0.87045289999999997</v>
      </c>
      <c r="V3503">
        <v>-0.2583165</v>
      </c>
      <c r="W3503">
        <v>-0.1124844</v>
      </c>
      <c r="X3503">
        <v>0.95948929999999999</v>
      </c>
      <c r="Y3503">
        <v>-0.52346530000000002</v>
      </c>
      <c r="Z3503">
        <v>-3.2317970000000001E-2</v>
      </c>
      <c r="AA3503">
        <v>0.85143389999999997</v>
      </c>
      <c r="AB3503">
        <v>14</v>
      </c>
      <c r="AC3503">
        <v>120.677399999999</v>
      </c>
      <c r="AD3503">
        <v>3.7751139999999999</v>
      </c>
      <c r="AE3503">
        <v>-34.396799999999899</v>
      </c>
      <c r="AF3503">
        <v>-65.764497188911605</v>
      </c>
      <c r="AG3503">
        <v>3.7751139999999999</v>
      </c>
      <c r="AH3503">
        <v>106.736785170131</v>
      </c>
      <c r="AI3503">
        <v>88.275247222111503</v>
      </c>
      <c r="AJ3503">
        <v>121.63876493263599</v>
      </c>
      <c r="AK3503">
        <v>125.427117820182</v>
      </c>
      <c r="AL3503">
        <v>96.458550671167998</v>
      </c>
      <c r="AM3503">
        <v>105.06806821074601</v>
      </c>
      <c r="AN3503">
        <v>0.99999993561504796</v>
      </c>
    </row>
    <row r="3504" spans="1:40" x14ac:dyDescent="0.25">
      <c r="A3504" t="str">
        <f>"20190305135002354"</f>
        <v>20190305135002354</v>
      </c>
      <c r="B3504" t="str">
        <f>"1551765002343713"</f>
        <v>1551765002343713</v>
      </c>
      <c r="C3504" t="s">
        <v>40</v>
      </c>
      <c r="D3504">
        <v>4.2506810000000002</v>
      </c>
      <c r="E3504">
        <v>0.39328469999999999</v>
      </c>
      <c r="F3504" t="s">
        <v>66</v>
      </c>
      <c r="G3504">
        <v>-122.6367</v>
      </c>
      <c r="H3504">
        <v>5.1256469999999998</v>
      </c>
      <c r="I3504">
        <v>117.90179999999999</v>
      </c>
      <c r="J3504">
        <v>-485.29509999999999</v>
      </c>
      <c r="K3504">
        <v>1.1109719999999901</v>
      </c>
      <c r="L3504">
        <v>223.93360000000001</v>
      </c>
      <c r="M3504">
        <v>0.67866749999999998</v>
      </c>
      <c r="N3504">
        <v>-7.6518000000000003E-3</v>
      </c>
      <c r="O3504">
        <v>-0.7344058</v>
      </c>
      <c r="P3504">
        <v>0.84154150000000005</v>
      </c>
      <c r="Q3504">
        <v>-0.11778619999999999</v>
      </c>
      <c r="R3504">
        <v>-0.52719490000000002</v>
      </c>
      <c r="S3504">
        <v>3.0227360000000001</v>
      </c>
      <c r="T3504">
        <v>3.3452030000000001E-2</v>
      </c>
      <c r="U3504">
        <v>-0.88442989999999999</v>
      </c>
      <c r="V3504">
        <v>-0.25974789999999998</v>
      </c>
      <c r="W3504">
        <v>-0.111627</v>
      </c>
      <c r="X3504">
        <v>0.95920300000000003</v>
      </c>
      <c r="Y3504">
        <v>-0.51416430000000002</v>
      </c>
      <c r="Z3504">
        <v>-1.397731E-2</v>
      </c>
      <c r="AA3504">
        <v>0.85757779999999995</v>
      </c>
      <c r="AB3504">
        <v>14</v>
      </c>
      <c r="AC3504">
        <v>362.65839999999997</v>
      </c>
      <c r="AD3504">
        <v>4.0146750000000004</v>
      </c>
      <c r="AE3504">
        <v>-106.0318</v>
      </c>
      <c r="AF3504">
        <v>-194.36184309625199</v>
      </c>
      <c r="AG3504">
        <v>4.0146750000000004</v>
      </c>
      <c r="AH3504">
        <v>323.96774820556902</v>
      </c>
      <c r="AI3504">
        <v>89.391169262713305</v>
      </c>
      <c r="AJ3504">
        <v>120.961310931613</v>
      </c>
      <c r="AK3504">
        <v>377.819726251178</v>
      </c>
      <c r="AL3504">
        <v>96.409113642692205</v>
      </c>
      <c r="AM3504">
        <v>105.152050925868</v>
      </c>
      <c r="AN3504">
        <v>0.99999997694620402</v>
      </c>
    </row>
    <row r="3505" spans="1:40" x14ac:dyDescent="0.25">
      <c r="A3505" t="str">
        <f>"20190305135002377"</f>
        <v>20190305135002377</v>
      </c>
      <c r="B3505" t="str">
        <f>"1551765002373968"</f>
        <v>1551765002373968</v>
      </c>
      <c r="C3505" t="s">
        <v>40</v>
      </c>
      <c r="D3505">
        <v>4.2063889999999997</v>
      </c>
      <c r="E3505">
        <v>0.39387329999999998</v>
      </c>
      <c r="F3505" t="s">
        <v>66</v>
      </c>
      <c r="G3505">
        <v>-120.52200000000001</v>
      </c>
      <c r="H3505">
        <v>5.8270799999999996</v>
      </c>
      <c r="I3505">
        <v>118.8847</v>
      </c>
      <c r="J3505">
        <v>-485.18849999999998</v>
      </c>
      <c r="K3505">
        <v>1.110978</v>
      </c>
      <c r="L3505">
        <v>223.82669999999999</v>
      </c>
      <c r="M3505">
        <v>0.682245199999999</v>
      </c>
      <c r="N3505">
        <v>-7.2937119999999999E-3</v>
      </c>
      <c r="O3505">
        <v>-0.73108719999999905</v>
      </c>
      <c r="P3505">
        <v>0.84479069999999901</v>
      </c>
      <c r="Q3505">
        <v>-0.117036</v>
      </c>
      <c r="R3505">
        <v>-0.52214150000000004</v>
      </c>
      <c r="S3505">
        <v>3.024689</v>
      </c>
      <c r="T3505">
        <v>3.9105889999999997E-2</v>
      </c>
      <c r="U3505">
        <v>-0.87106319999999904</v>
      </c>
      <c r="V3505">
        <v>-0.26088319999999998</v>
      </c>
      <c r="W3505">
        <v>-0.11125060000000001</v>
      </c>
      <c r="X3505">
        <v>0.95893859999999997</v>
      </c>
      <c r="Y3505">
        <v>-0.5136001</v>
      </c>
      <c r="Z3505">
        <v>-1.538205E-2</v>
      </c>
      <c r="AA3505">
        <v>0.85789179999999998</v>
      </c>
      <c r="AB3505">
        <v>15</v>
      </c>
      <c r="AC3505">
        <v>364.66649999999998</v>
      </c>
      <c r="AD3505">
        <v>4.7161019999999896</v>
      </c>
      <c r="AE3505">
        <v>-104.94199999999999</v>
      </c>
      <c r="AF3505">
        <v>-194.981884637126</v>
      </c>
      <c r="AG3505">
        <v>4.7161019999999896</v>
      </c>
      <c r="AH3505">
        <v>325.47207455903299</v>
      </c>
      <c r="AI3505">
        <v>89.287839943809104</v>
      </c>
      <c r="AJ3505">
        <v>120.92473241229099</v>
      </c>
      <c r="AK3505">
        <v>379.43675134662499</v>
      </c>
      <c r="AL3505">
        <v>96.387412260431702</v>
      </c>
      <c r="AM3505">
        <v>105.219214079891</v>
      </c>
      <c r="AN3505">
        <v>0.99999998930627898</v>
      </c>
    </row>
    <row r="3506" spans="1:40" x14ac:dyDescent="0.25">
      <c r="A3506" t="str">
        <f>"20190305135002396"</f>
        <v>20190305135002396</v>
      </c>
      <c r="B3506" t="str">
        <f>"1551765002393489"</f>
        <v>1551765002393489</v>
      </c>
      <c r="C3506" t="s">
        <v>40</v>
      </c>
      <c r="D3506">
        <v>4.2489030000000003</v>
      </c>
      <c r="E3506">
        <v>0.39659329999999998</v>
      </c>
      <c r="F3506" t="s">
        <v>88</v>
      </c>
      <c r="G3506">
        <v>-362.29820000000001</v>
      </c>
      <c r="H3506">
        <v>2.7269950000000001</v>
      </c>
      <c r="I3506">
        <v>189.03729999999999</v>
      </c>
      <c r="J3506">
        <v>-485.09629999999999</v>
      </c>
      <c r="K3506">
        <v>1.1109849999999999</v>
      </c>
      <c r="L3506">
        <v>223.73500000000001</v>
      </c>
      <c r="M3506">
        <v>0.68532169999999903</v>
      </c>
      <c r="N3506">
        <v>-7.0220680000000002E-3</v>
      </c>
      <c r="O3506">
        <v>-0.72820659999999904</v>
      </c>
      <c r="P3506">
        <v>0.84706939999999997</v>
      </c>
      <c r="Q3506">
        <v>-0.1176087</v>
      </c>
      <c r="R3506">
        <v>-0.5183063</v>
      </c>
      <c r="S3506">
        <v>3.0270999999999999</v>
      </c>
      <c r="T3506">
        <v>3.9808749999999997E-2</v>
      </c>
      <c r="U3506">
        <v>-0.85694889999999901</v>
      </c>
      <c r="V3506">
        <v>-0.26111849999999998</v>
      </c>
      <c r="W3506">
        <v>-0.1121057</v>
      </c>
      <c r="X3506">
        <v>0.95877500000000004</v>
      </c>
      <c r="Y3506">
        <v>-0.5138644</v>
      </c>
      <c r="Z3506">
        <v>-1.539453E-2</v>
      </c>
      <c r="AA3506">
        <v>0.85773319999999997</v>
      </c>
      <c r="AB3506">
        <v>15</v>
      </c>
      <c r="AC3506">
        <v>122.798099999999</v>
      </c>
      <c r="AD3506">
        <v>1.6160099999999999</v>
      </c>
      <c r="AE3506">
        <v>-34.697699999999998</v>
      </c>
      <c r="AF3506">
        <v>-65.634392473050497</v>
      </c>
      <c r="AG3506">
        <v>1.6160099999999999</v>
      </c>
      <c r="AH3506">
        <v>109.40844827143199</v>
      </c>
      <c r="AI3506">
        <v>89.274325542355001</v>
      </c>
      <c r="AJ3506">
        <v>120.959645223706</v>
      </c>
      <c r="AK3506">
        <v>127.59582092211799</v>
      </c>
      <c r="AL3506">
        <v>96.436714034083394</v>
      </c>
      <c r="AM3506">
        <v>105.234781774734</v>
      </c>
      <c r="AN3506">
        <v>1.0000000298198599</v>
      </c>
    </row>
    <row r="3507" spans="1:40" x14ac:dyDescent="0.25">
      <c r="A3507" t="str">
        <f>"20190305135002420"</f>
        <v>20190305135002420</v>
      </c>
      <c r="B3507" t="str">
        <f>"1551765002413985"</f>
        <v>1551765002413985</v>
      </c>
      <c r="C3507" t="s">
        <v>40</v>
      </c>
      <c r="D3507">
        <v>4.2456959999999997</v>
      </c>
      <c r="E3507">
        <v>0.39689809999999998</v>
      </c>
      <c r="F3507" t="s">
        <v>89</v>
      </c>
      <c r="G3507">
        <v>-101.5997</v>
      </c>
      <c r="H3507">
        <v>1.150436</v>
      </c>
      <c r="I3507">
        <v>114.2851</v>
      </c>
      <c r="J3507">
        <v>-484.98630000000003</v>
      </c>
      <c r="K3507">
        <v>1.1109899999999999</v>
      </c>
      <c r="L3507">
        <v>223.6266</v>
      </c>
      <c r="M3507">
        <v>0.68896800000000002</v>
      </c>
      <c r="N3507">
        <v>-6.7437449999999998E-3</v>
      </c>
      <c r="O3507">
        <v>-0.72476039999999997</v>
      </c>
      <c r="P3507">
        <v>0.84951469999999996</v>
      </c>
      <c r="Q3507">
        <v>-0.11827699999999999</v>
      </c>
      <c r="R3507">
        <v>-0.51413569999999997</v>
      </c>
      <c r="S3507">
        <v>3.0151370000000002</v>
      </c>
      <c r="T3507">
        <v>3.1018259999999998E-4</v>
      </c>
      <c r="U3507">
        <v>-0.86051939999999905</v>
      </c>
      <c r="V3507">
        <v>-0.26093909999999998</v>
      </c>
      <c r="W3507">
        <v>-0.1130645</v>
      </c>
      <c r="X3507">
        <v>0.95871119999999999</v>
      </c>
      <c r="Y3507">
        <v>-0.50784419999999997</v>
      </c>
      <c r="Z3507">
        <v>-3.7103079999999998E-3</v>
      </c>
      <c r="AA3507">
        <v>0.86144100000000001</v>
      </c>
      <c r="AB3507">
        <v>15</v>
      </c>
      <c r="AC3507">
        <v>383.38659999999999</v>
      </c>
      <c r="AD3507">
        <v>3.9446000000000002E-2</v>
      </c>
      <c r="AE3507">
        <v>-109.3415</v>
      </c>
      <c r="AF3507">
        <v>-202.53523244777099</v>
      </c>
      <c r="AG3507">
        <v>3.9446000000000002E-2</v>
      </c>
      <c r="AH3507">
        <v>343.39528998977698</v>
      </c>
      <c r="AI3507">
        <v>89.994330981923497</v>
      </c>
      <c r="AJ3507">
        <v>120.532189344077</v>
      </c>
      <c r="AK3507">
        <v>398.673860600144</v>
      </c>
      <c r="AL3507">
        <v>96.492001060705405</v>
      </c>
      <c r="AM3507">
        <v>105.225766899783</v>
      </c>
      <c r="AN3507">
        <v>0.99999998003724899</v>
      </c>
    </row>
    <row r="3508" spans="1:40" x14ac:dyDescent="0.25">
      <c r="A3508" t="str">
        <f>"20190305135002443"</f>
        <v>20190305135002443</v>
      </c>
      <c r="B3508" t="str">
        <f>"1551765002433333"</f>
        <v>1551765002433333</v>
      </c>
      <c r="C3508" t="s">
        <v>40</v>
      </c>
      <c r="D3508">
        <v>4.2265040000000003</v>
      </c>
      <c r="E3508">
        <v>0.3972619</v>
      </c>
      <c r="F3508" t="s">
        <v>89</v>
      </c>
      <c r="G3508">
        <v>-101.59950000000001</v>
      </c>
      <c r="H3508">
        <v>1.721573</v>
      </c>
      <c r="I3508">
        <v>115.9323</v>
      </c>
      <c r="J3508">
        <v>-484.87610000000001</v>
      </c>
      <c r="K3508">
        <v>1.111013</v>
      </c>
      <c r="L3508">
        <v>223.51910000000001</v>
      </c>
      <c r="M3508">
        <v>0.69260159999999904</v>
      </c>
      <c r="N3508">
        <v>-6.5121160000000001E-3</v>
      </c>
      <c r="O3508">
        <v>-0.72129100000000002</v>
      </c>
      <c r="P3508">
        <v>0.85225720000000005</v>
      </c>
      <c r="Q3508">
        <v>-0.1182801</v>
      </c>
      <c r="R3508">
        <v>-0.50957609999999998</v>
      </c>
      <c r="S3508">
        <v>3.0189210000000002</v>
      </c>
      <c r="T3508">
        <v>4.8079489999999997E-3</v>
      </c>
      <c r="U3508">
        <v>-0.84802250000000001</v>
      </c>
      <c r="V3508">
        <v>-0.26124789999999998</v>
      </c>
      <c r="W3508">
        <v>-0.1133174</v>
      </c>
      <c r="X3508">
        <v>0.95859720000000004</v>
      </c>
      <c r="Y3508">
        <v>-0.50709839999999995</v>
      </c>
      <c r="Z3508">
        <v>-4.8638800000000001E-3</v>
      </c>
      <c r="AA3508">
        <v>0.86187449999999999</v>
      </c>
      <c r="AB3508">
        <v>15</v>
      </c>
      <c r="AC3508">
        <v>383.27659999999997</v>
      </c>
      <c r="AD3508">
        <v>0.61055999999999999</v>
      </c>
      <c r="AE3508">
        <v>-107.5868</v>
      </c>
      <c r="AF3508">
        <v>-201.942970105581</v>
      </c>
      <c r="AG3508">
        <v>0.61055999999999999</v>
      </c>
      <c r="AH3508">
        <v>343.065828817647</v>
      </c>
      <c r="AI3508">
        <v>89.912124038970305</v>
      </c>
      <c r="AJ3508">
        <v>120.482855803587</v>
      </c>
      <c r="AK3508">
        <v>398.08981255605698</v>
      </c>
      <c r="AL3508">
        <v>96.506585118419906</v>
      </c>
      <c r="AM3508">
        <v>105.24467596584699</v>
      </c>
      <c r="AN3508">
        <v>0.99999994512250301</v>
      </c>
    </row>
    <row r="3509" spans="1:40" x14ac:dyDescent="0.25">
      <c r="A3509" t="str">
        <f>"20190305135002466"</f>
        <v>20190305135002466</v>
      </c>
      <c r="B3509" t="str">
        <f>"1551765002453828"</f>
        <v>1551765002453828</v>
      </c>
      <c r="C3509" t="s">
        <v>40</v>
      </c>
      <c r="D3509">
        <v>4.238448</v>
      </c>
      <c r="E3509">
        <v>0.3981131</v>
      </c>
      <c r="F3509" t="s">
        <v>88</v>
      </c>
      <c r="G3509">
        <v>-363.01010000000002</v>
      </c>
      <c r="H3509">
        <v>1.4255990000000001</v>
      </c>
      <c r="I3509">
        <v>189.89230000000001</v>
      </c>
      <c r="J3509">
        <v>-484.76589999999999</v>
      </c>
      <c r="K3509">
        <v>1.1110390000000001</v>
      </c>
      <c r="L3509">
        <v>223.4127</v>
      </c>
      <c r="M3509">
        <v>0.69621319999999998</v>
      </c>
      <c r="N3509">
        <v>-6.3243429999999996E-3</v>
      </c>
      <c r="O3509">
        <v>-0.71780739999999998</v>
      </c>
      <c r="P3509">
        <v>0.85505569999999897</v>
      </c>
      <c r="Q3509">
        <v>-0.11871089999999999</v>
      </c>
      <c r="R3509">
        <v>-0.50476529999999997</v>
      </c>
      <c r="S3509">
        <v>3.022491</v>
      </c>
      <c r="T3509">
        <v>7.8045129999999999E-3</v>
      </c>
      <c r="U3509">
        <v>-0.83399959999999995</v>
      </c>
      <c r="V3509">
        <v>-0.26178059999999997</v>
      </c>
      <c r="W3509">
        <v>-0.1139597</v>
      </c>
      <c r="X3509">
        <v>0.9583758</v>
      </c>
      <c r="Y3509">
        <v>-0.50674629999999998</v>
      </c>
      <c r="Z3509">
        <v>-5.599728E-3</v>
      </c>
      <c r="AA3509">
        <v>0.86207710000000004</v>
      </c>
      <c r="AB3509">
        <v>15</v>
      </c>
      <c r="AC3509">
        <v>121.755799999999</v>
      </c>
      <c r="AD3509">
        <v>0.31456000000000001</v>
      </c>
      <c r="AE3509">
        <v>-33.520399999999903</v>
      </c>
      <c r="AF3509">
        <v>-64.060743986191</v>
      </c>
      <c r="AG3509">
        <v>0.31456000000000001</v>
      </c>
      <c r="AH3509">
        <v>108.830672310659</v>
      </c>
      <c r="AI3509">
        <v>89.857283706504006</v>
      </c>
      <c r="AJ3509">
        <v>120.482243813716</v>
      </c>
      <c r="AK3509">
        <v>126.285363774461</v>
      </c>
      <c r="AL3509">
        <v>96.543625556218203</v>
      </c>
      <c r="AM3509">
        <v>105.27767388974</v>
      </c>
      <c r="AN3509">
        <v>1.00000003489304</v>
      </c>
    </row>
    <row r="3510" spans="1:40" x14ac:dyDescent="0.25">
      <c r="A3510" t="str">
        <f>"20190305135002487"</f>
        <v>20190305135002487</v>
      </c>
      <c r="B3510" t="str">
        <f>"1551765002484084"</f>
        <v>1551765002484084</v>
      </c>
      <c r="C3510" t="s">
        <v>40</v>
      </c>
      <c r="D3510">
        <v>4.1613119999999997</v>
      </c>
      <c r="E3510">
        <v>0.39917940000000002</v>
      </c>
      <c r="F3510" t="s">
        <v>89</v>
      </c>
      <c r="G3510">
        <v>-101.2231</v>
      </c>
      <c r="H3510">
        <v>1.801474</v>
      </c>
      <c r="I3510">
        <v>119.02379999999999</v>
      </c>
      <c r="J3510">
        <v>-484.66039999999998</v>
      </c>
      <c r="K3510">
        <v>1.1110690000000001</v>
      </c>
      <c r="L3510">
        <v>223.31180000000001</v>
      </c>
      <c r="M3510">
        <v>0.69965699999999997</v>
      </c>
      <c r="N3510">
        <v>-6.1807490000000001E-3</v>
      </c>
      <c r="O3510">
        <v>-0.71445209999999904</v>
      </c>
      <c r="P3510">
        <v>0.85744349999999903</v>
      </c>
      <c r="Q3510">
        <v>-0.119755</v>
      </c>
      <c r="R3510">
        <v>-0.50044940000000004</v>
      </c>
      <c r="S3510">
        <v>3.0235599999999998</v>
      </c>
      <c r="T3510">
        <v>5.4428580000000001E-3</v>
      </c>
      <c r="U3510">
        <v>-0.82292180000000004</v>
      </c>
      <c r="V3510">
        <v>-0.26188090000000003</v>
      </c>
      <c r="W3510">
        <v>-0.1151718</v>
      </c>
      <c r="X3510">
        <v>0.95820340000000004</v>
      </c>
      <c r="Y3510">
        <v>-0.50562159999999901</v>
      </c>
      <c r="Z3510">
        <v>-4.812897E-3</v>
      </c>
      <c r="AA3510">
        <v>0.86274189999999995</v>
      </c>
      <c r="AB3510">
        <v>15</v>
      </c>
      <c r="AC3510">
        <v>383.43729999999999</v>
      </c>
      <c r="AD3510">
        <v>0.69040500000000005</v>
      </c>
      <c r="AE3510">
        <v>-104.288</v>
      </c>
      <c r="AF3510">
        <v>-200.984995082914</v>
      </c>
      <c r="AG3510">
        <v>0.69040500000000005</v>
      </c>
      <c r="AH3510">
        <v>342.78889773882599</v>
      </c>
      <c r="AI3510">
        <v>89.900451169316696</v>
      </c>
      <c r="AJ3510">
        <v>120.38407421010299</v>
      </c>
      <c r="AK3510">
        <v>397.36591867011202</v>
      </c>
      <c r="AL3510">
        <v>96.613534620599694</v>
      </c>
      <c r="AM3510">
        <v>105.285874910449</v>
      </c>
      <c r="AN3510">
        <v>0.99999995253580398</v>
      </c>
    </row>
    <row r="3511" spans="1:40" x14ac:dyDescent="0.25">
      <c r="A3511" t="str">
        <f>"20190305135002509"</f>
        <v>20190305135002509</v>
      </c>
      <c r="B3511" t="str">
        <f>"1551765002503604"</f>
        <v>1551765002503604</v>
      </c>
      <c r="C3511" t="s">
        <v>40</v>
      </c>
      <c r="D3511">
        <v>4.2289570000000003</v>
      </c>
      <c r="E3511">
        <v>0.39976030000000001</v>
      </c>
      <c r="F3511" t="s">
        <v>88</v>
      </c>
      <c r="G3511">
        <v>-364.67529999999999</v>
      </c>
      <c r="H3511">
        <v>3.3806389999999999</v>
      </c>
      <c r="I3511">
        <v>190.95920000000001</v>
      </c>
      <c r="J3511">
        <v>-484.55309999999997</v>
      </c>
      <c r="K3511">
        <v>1.111102</v>
      </c>
      <c r="L3511">
        <v>223.21019999999999</v>
      </c>
      <c r="M3511">
        <v>0.70314909999999997</v>
      </c>
      <c r="N3511">
        <v>-6.0651300000000002E-3</v>
      </c>
      <c r="O3511">
        <v>-0.7110166</v>
      </c>
      <c r="P3511">
        <v>0.85970530000000001</v>
      </c>
      <c r="Q3511">
        <v>-0.120906399999999</v>
      </c>
      <c r="R3511">
        <v>-0.49627460000000001</v>
      </c>
      <c r="S3511">
        <v>3.0299990000000001</v>
      </c>
      <c r="T3511">
        <v>5.7315949999999997E-2</v>
      </c>
      <c r="U3511">
        <v>-0.81700130000000004</v>
      </c>
      <c r="V3511">
        <v>-0.26171</v>
      </c>
      <c r="W3511">
        <v>-0.1164655</v>
      </c>
      <c r="X3511">
        <v>0.9580938</v>
      </c>
      <c r="Y3511">
        <v>-0.50321110000000002</v>
      </c>
      <c r="Z3511">
        <v>-1.9611610000000002E-2</v>
      </c>
      <c r="AA3511">
        <v>0.86394099999999996</v>
      </c>
      <c r="AB3511">
        <v>15</v>
      </c>
      <c r="AC3511">
        <v>119.877799999999</v>
      </c>
      <c r="AD3511">
        <v>2.2695370000000001</v>
      </c>
      <c r="AE3511">
        <v>-32.250999999999898</v>
      </c>
      <c r="AF3511">
        <v>-62.538091018494598</v>
      </c>
      <c r="AG3511">
        <v>2.2695370000000001</v>
      </c>
      <c r="AH3511">
        <v>107.189107056682</v>
      </c>
      <c r="AI3511">
        <v>88.952283382825797</v>
      </c>
      <c r="AJ3511">
        <v>120.260868614752</v>
      </c>
      <c r="AK3511">
        <v>124.119572582412</v>
      </c>
      <c r="AL3511">
        <v>96.688159840957098</v>
      </c>
      <c r="AM3511">
        <v>105.27803162657899</v>
      </c>
      <c r="AN3511">
        <v>1.0000000331943399</v>
      </c>
    </row>
    <row r="3512" spans="1:40" x14ac:dyDescent="0.25">
      <c r="A3512" t="str">
        <f>"20190305135002531"</f>
        <v>20190305135002531</v>
      </c>
      <c r="B3512" t="str">
        <f>"1551765002524100"</f>
        <v>1551765002524100</v>
      </c>
      <c r="C3512" t="s">
        <v>40</v>
      </c>
      <c r="D3512">
        <v>4.2085559999999997</v>
      </c>
      <c r="E3512">
        <v>0.40011000000000002</v>
      </c>
      <c r="F3512" t="s">
        <v>88</v>
      </c>
      <c r="G3512">
        <v>-254.9434</v>
      </c>
      <c r="H3512">
        <v>4.7649520000000001</v>
      </c>
      <c r="I3512">
        <v>162.07939999999999</v>
      </c>
      <c r="J3512">
        <v>-484.44069999999999</v>
      </c>
      <c r="K3512">
        <v>1.1111439999999999</v>
      </c>
      <c r="L3512">
        <v>223.10489999999999</v>
      </c>
      <c r="M3512">
        <v>0.70680379999999998</v>
      </c>
      <c r="N3512">
        <v>-5.9710800000000001E-3</v>
      </c>
      <c r="O3512">
        <v>-0.70738469999999998</v>
      </c>
      <c r="P3512">
        <v>0.86207780000000001</v>
      </c>
      <c r="Q3512">
        <v>-0.12165860000000001</v>
      </c>
      <c r="R3512">
        <v>-0.49195680000000003</v>
      </c>
      <c r="S3512">
        <v>3.03064</v>
      </c>
      <c r="T3512">
        <v>4.8228380000000001E-2</v>
      </c>
      <c r="U3512">
        <v>-0.80686950000000002</v>
      </c>
      <c r="V3512">
        <v>-0.26148310000000002</v>
      </c>
      <c r="W3512">
        <v>-0.11734319999999999</v>
      </c>
      <c r="X3512">
        <v>0.95804860000000003</v>
      </c>
      <c r="Y3512">
        <v>-0.50155959999999999</v>
      </c>
      <c r="Z3512">
        <v>-1.68886E-2</v>
      </c>
      <c r="AA3512">
        <v>0.86495820000000001</v>
      </c>
      <c r="AB3512">
        <v>15</v>
      </c>
      <c r="AC3512">
        <v>229.4973</v>
      </c>
      <c r="AD3512">
        <v>3.6538080000000002</v>
      </c>
      <c r="AE3512">
        <v>-61.025500000000001</v>
      </c>
      <c r="AF3512">
        <v>-119.183710864348</v>
      </c>
      <c r="AG3512">
        <v>3.6538080000000002</v>
      </c>
      <c r="AH3512">
        <v>205.33308129687799</v>
      </c>
      <c r="AI3512">
        <v>89.118293989067894</v>
      </c>
      <c r="AJ3512">
        <v>120.132630744032</v>
      </c>
      <c r="AK3512">
        <v>237.444270352367</v>
      </c>
      <c r="AL3512">
        <v>96.738795913089604</v>
      </c>
      <c r="AM3512">
        <v>105.26609058452399</v>
      </c>
      <c r="AN3512">
        <v>0.99999997906690496</v>
      </c>
    </row>
    <row r="3513" spans="1:40" x14ac:dyDescent="0.25">
      <c r="A3513" t="str">
        <f>"20190305135002556"</f>
        <v>20190305135002556</v>
      </c>
      <c r="B3513" t="str">
        <f>"1551765002543620"</f>
        <v>1551765002543620</v>
      </c>
      <c r="C3513" t="s">
        <v>40</v>
      </c>
      <c r="D3513">
        <v>4.2597959999999997</v>
      </c>
      <c r="E3513">
        <v>0.4006575</v>
      </c>
      <c r="F3513" t="s">
        <v>72</v>
      </c>
      <c r="G3513">
        <v>-366.57760000000002</v>
      </c>
      <c r="H3513">
        <v>2.696733</v>
      </c>
      <c r="I3513">
        <v>192.21899999999999</v>
      </c>
      <c r="J3513">
        <v>-484.31779999999998</v>
      </c>
      <c r="K3513">
        <v>1.111199</v>
      </c>
      <c r="L3513">
        <v>222.9913</v>
      </c>
      <c r="M3513">
        <v>0.7107928</v>
      </c>
      <c r="N3513">
        <v>-5.8914400000000004E-3</v>
      </c>
      <c r="O3513">
        <v>-0.70337689999999997</v>
      </c>
      <c r="P3513">
        <v>0.86439519999999903</v>
      </c>
      <c r="Q3513">
        <v>-0.12172669999999999</v>
      </c>
      <c r="R3513">
        <v>-0.48785659999999997</v>
      </c>
      <c r="S3513">
        <v>3.032257</v>
      </c>
      <c r="T3513">
        <v>4.0792700000000001E-2</v>
      </c>
      <c r="U3513">
        <v>-0.79460140000000001</v>
      </c>
      <c r="V3513">
        <v>-0.2605903</v>
      </c>
      <c r="W3513">
        <v>-0.1175235</v>
      </c>
      <c r="X3513">
        <v>0.95826979999999995</v>
      </c>
      <c r="Y3513">
        <v>-0.50009629999999905</v>
      </c>
      <c r="Z3513">
        <v>-1.465324E-2</v>
      </c>
      <c r="AA3513">
        <v>0.8658458</v>
      </c>
      <c r="AB3513">
        <v>16</v>
      </c>
      <c r="AC3513">
        <v>117.74019999999901</v>
      </c>
      <c r="AD3513">
        <v>1.585534</v>
      </c>
      <c r="AE3513">
        <v>-30.772299999999898</v>
      </c>
      <c r="AF3513">
        <v>-60.9337164829521</v>
      </c>
      <c r="AG3513">
        <v>1.585534</v>
      </c>
      <c r="AH3513">
        <v>105.317352713996</v>
      </c>
      <c r="AI3513">
        <v>89.253423432446198</v>
      </c>
      <c r="AJ3513">
        <v>120.0524906182</v>
      </c>
      <c r="AK3513">
        <v>121.684742285852</v>
      </c>
      <c r="AL3513">
        <v>96.749197881820294</v>
      </c>
      <c r="AM3513">
        <v>105.21303724565</v>
      </c>
      <c r="AN3513">
        <v>1.00000004354918</v>
      </c>
    </row>
    <row r="3514" spans="1:40" x14ac:dyDescent="0.25">
      <c r="A3514" t="str">
        <f>"20190305135002578"</f>
        <v>20190305135002578</v>
      </c>
      <c r="B3514" t="str">
        <f>"1551765002573877"</f>
        <v>1551765002573877</v>
      </c>
      <c r="C3514" t="s">
        <v>40</v>
      </c>
      <c r="D3514">
        <v>4.2273129999999997</v>
      </c>
      <c r="E3514">
        <v>0.4014374</v>
      </c>
      <c r="F3514" t="s">
        <v>72</v>
      </c>
      <c r="G3514">
        <v>-366.4674</v>
      </c>
      <c r="H3514">
        <v>2.4057680000000001</v>
      </c>
      <c r="I3514">
        <v>192.535</v>
      </c>
      <c r="J3514">
        <v>-484.20119999999997</v>
      </c>
      <c r="K3514">
        <v>1.111248</v>
      </c>
      <c r="L3514">
        <v>222.88470000000001</v>
      </c>
      <c r="M3514">
        <v>0.71457079999999995</v>
      </c>
      <c r="N3514">
        <v>-5.8311999999999999E-3</v>
      </c>
      <c r="O3514">
        <v>-0.69953889999999996</v>
      </c>
      <c r="P3514">
        <v>0.86645620000000001</v>
      </c>
      <c r="Q3514">
        <v>-0.1209306</v>
      </c>
      <c r="R3514">
        <v>-0.48438579999999998</v>
      </c>
      <c r="S3514">
        <v>3.032959</v>
      </c>
      <c r="T3514">
        <v>3.3316970000000001E-2</v>
      </c>
      <c r="U3514">
        <v>-0.78381350000000005</v>
      </c>
      <c r="V3514">
        <v>-0.25933840000000002</v>
      </c>
      <c r="W3514">
        <v>-0.11681370000000001</v>
      </c>
      <c r="X3514">
        <v>0.95869610000000005</v>
      </c>
      <c r="Y3514">
        <v>-0.49840230000000002</v>
      </c>
      <c r="Z3514">
        <v>-1.2435160000000001E-2</v>
      </c>
      <c r="AA3514">
        <v>0.86685669999999904</v>
      </c>
      <c r="AB3514">
        <v>16</v>
      </c>
      <c r="AC3514">
        <v>117.73379999999899</v>
      </c>
      <c r="AD3514">
        <v>1.2945199999999999</v>
      </c>
      <c r="AE3514">
        <v>-30.349699999999999</v>
      </c>
      <c r="AF3514">
        <v>-60.666514553494302</v>
      </c>
      <c r="AG3514">
        <v>1.2945199999999999</v>
      </c>
      <c r="AH3514">
        <v>105.34977441946501</v>
      </c>
      <c r="AI3514">
        <v>89.389912054054605</v>
      </c>
      <c r="AJ3514">
        <v>119.935834716435</v>
      </c>
      <c r="AK3514">
        <v>121.575806558426</v>
      </c>
      <c r="AL3514">
        <v>96.708247368931296</v>
      </c>
      <c r="AM3514">
        <v>105.13689154856399</v>
      </c>
      <c r="AN3514">
        <v>1.0000000291887201</v>
      </c>
    </row>
    <row r="3515" spans="1:40" x14ac:dyDescent="0.25">
      <c r="A3515" t="str">
        <f>"20190305135002600"</f>
        <v>20190305135002600</v>
      </c>
      <c r="B3515" t="str">
        <f>"1551765002593397"</f>
        <v>1551765002593397</v>
      </c>
      <c r="C3515" t="s">
        <v>40</v>
      </c>
      <c r="D3515">
        <v>4.1816500000000003</v>
      </c>
      <c r="E3515">
        <v>0.40195409999999998</v>
      </c>
      <c r="F3515" t="s">
        <v>72</v>
      </c>
      <c r="G3515">
        <v>-366.4674</v>
      </c>
      <c r="H3515">
        <v>2.0184510000000002</v>
      </c>
      <c r="I3515">
        <v>192.7372</v>
      </c>
      <c r="J3515">
        <v>-484.08580000000001</v>
      </c>
      <c r="K3515">
        <v>1.111286</v>
      </c>
      <c r="L3515">
        <v>222.78039999999999</v>
      </c>
      <c r="M3515">
        <v>0.71830240000000001</v>
      </c>
      <c r="N3515">
        <v>-5.7832969999999997E-3</v>
      </c>
      <c r="O3515">
        <v>-0.69570699999999996</v>
      </c>
      <c r="P3515">
        <v>0.86849580000000004</v>
      </c>
      <c r="Q3515">
        <v>-0.1213863</v>
      </c>
      <c r="R3515">
        <v>-0.48060419999999998</v>
      </c>
      <c r="S3515">
        <v>3.0316770000000002</v>
      </c>
      <c r="T3515">
        <v>2.3361090000000001E-2</v>
      </c>
      <c r="U3515">
        <v>-0.77630619999999995</v>
      </c>
      <c r="V3515">
        <v>-0.25832680000000002</v>
      </c>
      <c r="W3515">
        <v>-0.11734410000000001</v>
      </c>
      <c r="X3515">
        <v>0.95890439999999999</v>
      </c>
      <c r="Y3515">
        <v>-0.49572640000000001</v>
      </c>
      <c r="Z3515">
        <v>-9.5370850000000007E-3</v>
      </c>
      <c r="AA3515">
        <v>0.86842640000000004</v>
      </c>
      <c r="AB3515">
        <v>16</v>
      </c>
      <c r="AC3515">
        <v>117.61839999999999</v>
      </c>
      <c r="AD3515">
        <v>0.907164999999999</v>
      </c>
      <c r="AE3515">
        <v>-30.043199999999899</v>
      </c>
      <c r="AF3515">
        <v>-60.245484361972998</v>
      </c>
      <c r="AG3515">
        <v>0.907164999999999</v>
      </c>
      <c r="AH3515">
        <v>105.382720310189</v>
      </c>
      <c r="AI3515">
        <v>89.571821130596902</v>
      </c>
      <c r="AJ3515">
        <v>119.75585904225299</v>
      </c>
      <c r="AK3515">
        <v>121.391346785187</v>
      </c>
      <c r="AL3515">
        <v>96.738847622704299</v>
      </c>
      <c r="AM3515">
        <v>105.077414710837</v>
      </c>
      <c r="AN3515">
        <v>1.0000000108711999</v>
      </c>
    </row>
    <row r="3516" spans="1:40" x14ac:dyDescent="0.25">
      <c r="A3516" t="str">
        <f>"20190305135002621"</f>
        <v>20190305135002621</v>
      </c>
      <c r="B3516" t="str">
        <f>"1551765002613893"</f>
        <v>1551765002613893</v>
      </c>
      <c r="C3516" t="s">
        <v>40</v>
      </c>
      <c r="D3516">
        <v>4.1854239999999896</v>
      </c>
      <c r="E3516">
        <v>0.4023506</v>
      </c>
      <c r="F3516" t="s">
        <v>72</v>
      </c>
      <c r="G3516">
        <v>-366.4674</v>
      </c>
      <c r="H3516">
        <v>1.7479910000000001</v>
      </c>
      <c r="I3516">
        <v>193.0556</v>
      </c>
      <c r="J3516">
        <v>-483.976</v>
      </c>
      <c r="K3516">
        <v>1.111318</v>
      </c>
      <c r="L3516">
        <v>222.68209999999999</v>
      </c>
      <c r="M3516">
        <v>0.72184780000000004</v>
      </c>
      <c r="N3516">
        <v>-5.7464899999999999E-3</v>
      </c>
      <c r="O3516">
        <v>-0.69202819999999898</v>
      </c>
      <c r="P3516">
        <v>0.87060400000000004</v>
      </c>
      <c r="Q3516">
        <v>-0.1228144</v>
      </c>
      <c r="R3516">
        <v>-0.47640900000000003</v>
      </c>
      <c r="S3516">
        <v>3.0324710000000001</v>
      </c>
      <c r="T3516">
        <v>1.6416070000000001E-2</v>
      </c>
      <c r="U3516">
        <v>-0.76637270000000002</v>
      </c>
      <c r="V3516">
        <v>-0.2578916</v>
      </c>
      <c r="W3516">
        <v>-0.1188377</v>
      </c>
      <c r="X3516">
        <v>0.95883759999999996</v>
      </c>
      <c r="Y3516">
        <v>-0.49403560000000002</v>
      </c>
      <c r="Z3516">
        <v>-7.5137090000000004E-3</v>
      </c>
      <c r="AA3516">
        <v>0.86940930000000005</v>
      </c>
      <c r="AB3516">
        <v>16</v>
      </c>
      <c r="AC3516">
        <v>117.5086</v>
      </c>
      <c r="AD3516">
        <v>0.63667299999999905</v>
      </c>
      <c r="AE3516">
        <v>-29.6265</v>
      </c>
      <c r="AF3516">
        <v>-59.932767530562501</v>
      </c>
      <c r="AG3516">
        <v>0.63667299999999905</v>
      </c>
      <c r="AH3516">
        <v>105.32451414976001</v>
      </c>
      <c r="AI3516">
        <v>89.698980045532494</v>
      </c>
      <c r="AJ3516">
        <v>119.64115792503701</v>
      </c>
      <c r="AK3516">
        <v>121.18413781211</v>
      </c>
      <c r="AL3516">
        <v>96.825027633908903</v>
      </c>
      <c r="AM3516">
        <v>105.054168832646</v>
      </c>
      <c r="AN3516">
        <v>1.0000000097327999</v>
      </c>
    </row>
    <row r="3517" spans="1:40" x14ac:dyDescent="0.25">
      <c r="A3517" t="str">
        <f>"20190305135002644"</f>
        <v>20190305135002644</v>
      </c>
      <c r="B3517" t="str">
        <f>"1551765002633415"</f>
        <v>1551765002633415</v>
      </c>
      <c r="C3517" t="s">
        <v>40</v>
      </c>
      <c r="D3517">
        <v>4.1960069999999998</v>
      </c>
      <c r="E3517">
        <v>0.40275709999999998</v>
      </c>
      <c r="F3517" t="s">
        <v>72</v>
      </c>
      <c r="G3517">
        <v>-366.4674</v>
      </c>
      <c r="H3517">
        <v>1.404941</v>
      </c>
      <c r="I3517">
        <v>193.46510000000001</v>
      </c>
      <c r="J3517">
        <v>-483.85449999999997</v>
      </c>
      <c r="K3517">
        <v>1.1113550000000001</v>
      </c>
      <c r="L3517">
        <v>222.57470000000001</v>
      </c>
      <c r="M3517">
        <v>0.72575630000000002</v>
      </c>
      <c r="N3517">
        <v>-5.71405E-3</v>
      </c>
      <c r="O3517">
        <v>-0.68792819999999899</v>
      </c>
      <c r="P3517">
        <v>0.87333479999999997</v>
      </c>
      <c r="Q3517">
        <v>-0.1237596</v>
      </c>
      <c r="R3517">
        <v>-0.47113749999999999</v>
      </c>
      <c r="S3517">
        <v>3.034119</v>
      </c>
      <c r="T3517">
        <v>7.5818300000000003E-3</v>
      </c>
      <c r="U3517">
        <v>-0.75439449999999997</v>
      </c>
      <c r="V3517">
        <v>-0.25814330000000002</v>
      </c>
      <c r="W3517">
        <v>-0.1198505</v>
      </c>
      <c r="X3517">
        <v>0.95864380000000005</v>
      </c>
      <c r="Y3517">
        <v>-0.49247049999999998</v>
      </c>
      <c r="Z3517">
        <v>-4.9705729999999998E-3</v>
      </c>
      <c r="AA3517">
        <v>0.87031499999999995</v>
      </c>
      <c r="AB3517">
        <v>16</v>
      </c>
      <c r="AC3517">
        <v>117.38709999999899</v>
      </c>
      <c r="AD3517">
        <v>0.29358600000000001</v>
      </c>
      <c r="AE3517">
        <v>-29.1096</v>
      </c>
      <c r="AF3517">
        <v>-59.628040940315998</v>
      </c>
      <c r="AG3517">
        <v>0.29358600000000001</v>
      </c>
      <c r="AH3517">
        <v>105.220836378708</v>
      </c>
      <c r="AI3517">
        <v>89.860914913720094</v>
      </c>
      <c r="AJ3517">
        <v>119.53997768687501</v>
      </c>
      <c r="AK3517">
        <v>120.942192254623</v>
      </c>
      <c r="AL3517">
        <v>96.883474449789205</v>
      </c>
      <c r="AM3517">
        <v>105.071101345516</v>
      </c>
      <c r="AN3517">
        <v>1.00000002048178</v>
      </c>
    </row>
    <row r="3518" spans="1:40" x14ac:dyDescent="0.25">
      <c r="A3518" t="str">
        <f>"20190305135002665"</f>
        <v>20190305135002665</v>
      </c>
      <c r="B3518" t="str">
        <f>"1551765002653908"</f>
        <v>1551765002653908</v>
      </c>
      <c r="C3518" t="s">
        <v>40</v>
      </c>
      <c r="D3518">
        <v>4.3599259999999997</v>
      </c>
      <c r="E3518">
        <v>0.40290389999999998</v>
      </c>
      <c r="F3518" t="s">
        <v>72</v>
      </c>
      <c r="G3518">
        <v>-366.33499999999998</v>
      </c>
      <c r="H3518">
        <v>1.2392810000000001</v>
      </c>
      <c r="I3518">
        <v>193.98159999999999</v>
      </c>
      <c r="J3518">
        <v>-483.73880000000003</v>
      </c>
      <c r="K3518">
        <v>1.111391</v>
      </c>
      <c r="L3518">
        <v>222.4735</v>
      </c>
      <c r="M3518">
        <v>0.72946519999999904</v>
      </c>
      <c r="N3518">
        <v>-5.6899119999999897E-3</v>
      </c>
      <c r="O3518">
        <v>-0.683994199999999</v>
      </c>
      <c r="P3518">
        <v>0.87601830000000003</v>
      </c>
      <c r="Q3518">
        <v>-0.1235236</v>
      </c>
      <c r="R3518">
        <v>-0.46619080000000002</v>
      </c>
      <c r="S3518">
        <v>3.0369570000000001</v>
      </c>
      <c r="T3518">
        <v>3.30627E-3</v>
      </c>
      <c r="U3518">
        <v>-0.73890690000000003</v>
      </c>
      <c r="V3518">
        <v>-0.25839129999999999</v>
      </c>
      <c r="W3518">
        <v>-0.1196701</v>
      </c>
      <c r="X3518">
        <v>0.95859950000000005</v>
      </c>
      <c r="Y3518">
        <v>-0.4921468</v>
      </c>
      <c r="Z3518">
        <v>-3.7263830000000002E-3</v>
      </c>
      <c r="AA3518">
        <v>0.87050430000000001</v>
      </c>
      <c r="AB3518">
        <v>16</v>
      </c>
      <c r="AC3518">
        <v>117.4038</v>
      </c>
      <c r="AD3518">
        <v>0.127889999999999</v>
      </c>
      <c r="AE3518">
        <v>-28.491900000000001</v>
      </c>
      <c r="AF3518">
        <v>-59.520567945781501</v>
      </c>
      <c r="AG3518">
        <v>0.127889999999999</v>
      </c>
      <c r="AH3518">
        <v>105.131869096922</v>
      </c>
      <c r="AI3518">
        <v>89.939347188209496</v>
      </c>
      <c r="AJ3518">
        <v>119.51643591585</v>
      </c>
      <c r="AK3518">
        <v>120.81152372291599</v>
      </c>
      <c r="AL3518">
        <v>96.873063508888805</v>
      </c>
      <c r="AM3518">
        <v>105.085586020958</v>
      </c>
      <c r="AN3518">
        <v>0.99999999907497505</v>
      </c>
    </row>
    <row r="3519" spans="1:40" x14ac:dyDescent="0.25">
      <c r="A3519" t="str">
        <f>"20190305135002688"</f>
        <v>20190305135002688</v>
      </c>
      <c r="B3519" t="str">
        <f>"1551765002684164"</f>
        <v>1551765002684164</v>
      </c>
      <c r="C3519" t="s">
        <v>40</v>
      </c>
      <c r="D3519">
        <v>4.2041139999999997</v>
      </c>
      <c r="E3519">
        <v>0.40363529999999997</v>
      </c>
      <c r="F3519" t="s">
        <v>72</v>
      </c>
      <c r="G3519">
        <v>-366.4674</v>
      </c>
      <c r="H3519">
        <v>1.389389</v>
      </c>
      <c r="I3519">
        <v>194.60239999999999</v>
      </c>
      <c r="J3519">
        <v>-483.6157</v>
      </c>
      <c r="K3519">
        <v>1.1114269999999999</v>
      </c>
      <c r="L3519">
        <v>222.3672</v>
      </c>
      <c r="M3519">
        <v>0.73338729999999996</v>
      </c>
      <c r="N3519">
        <v>-5.6703949999999999E-3</v>
      </c>
      <c r="O3519">
        <v>-0.67978760000000005</v>
      </c>
      <c r="P3519">
        <v>0.87911159999999999</v>
      </c>
      <c r="Q3519">
        <v>-0.12293949999999999</v>
      </c>
      <c r="R3519">
        <v>-0.46048790000000001</v>
      </c>
      <c r="S3519">
        <v>3.040985</v>
      </c>
      <c r="T3519">
        <v>7.2091819999999997E-3</v>
      </c>
      <c r="U3519">
        <v>-0.7227325</v>
      </c>
      <c r="V3519">
        <v>-0.25915199999999999</v>
      </c>
      <c r="W3519">
        <v>-0.119141</v>
      </c>
      <c r="X3519">
        <v>0.95845999999999998</v>
      </c>
      <c r="Y3519">
        <v>-0.49177710000000002</v>
      </c>
      <c r="Z3519">
        <v>-4.7739899999999997E-3</v>
      </c>
      <c r="AA3519">
        <v>0.87070800000000004</v>
      </c>
      <c r="AB3519">
        <v>16</v>
      </c>
      <c r="AC3519">
        <v>117.14830000000001</v>
      </c>
      <c r="AD3519">
        <v>0.27796199999999999</v>
      </c>
      <c r="AE3519">
        <v>-27.764800000000001</v>
      </c>
      <c r="AF3519">
        <v>-59.274239089229901</v>
      </c>
      <c r="AG3519">
        <v>0.27796199999999999</v>
      </c>
      <c r="AH3519">
        <v>104.79035436437501</v>
      </c>
      <c r="AI3519">
        <v>89.867716291493494</v>
      </c>
      <c r="AJ3519">
        <v>119.49449483322699</v>
      </c>
      <c r="AK3519">
        <v>120.393235068637</v>
      </c>
      <c r="AL3519">
        <v>96.842530168413603</v>
      </c>
      <c r="AM3519">
        <v>105.130065934059</v>
      </c>
      <c r="AN3519">
        <v>0.99999995429249799</v>
      </c>
    </row>
    <row r="3520" spans="1:40" x14ac:dyDescent="0.25">
      <c r="A3520" t="str">
        <f>"20190305135002710"</f>
        <v>20190305135002710</v>
      </c>
      <c r="B3520" t="str">
        <f>"1551765002703685"</f>
        <v>1551765002703685</v>
      </c>
      <c r="C3520" t="s">
        <v>40</v>
      </c>
      <c r="D3520">
        <v>3.9777719999999999</v>
      </c>
      <c r="E3520">
        <v>0.44533040000000002</v>
      </c>
      <c r="F3520" t="s">
        <v>72</v>
      </c>
      <c r="G3520">
        <v>-366.57760000000002</v>
      </c>
      <c r="H3520">
        <v>1.5039689999999999</v>
      </c>
      <c r="I3520">
        <v>195.1327</v>
      </c>
      <c r="J3520">
        <v>-483.49189999999999</v>
      </c>
      <c r="K3520">
        <v>1.111461</v>
      </c>
      <c r="L3520">
        <v>222.26150000000001</v>
      </c>
      <c r="M3520">
        <v>0.73730899999999999</v>
      </c>
      <c r="N3520">
        <v>-5.6559330000000001E-3</v>
      </c>
      <c r="O3520">
        <v>-0.67553219999999903</v>
      </c>
      <c r="P3520">
        <v>0.88202440000000004</v>
      </c>
      <c r="Q3520">
        <v>-0.123143</v>
      </c>
      <c r="R3520">
        <v>-0.45482889999999998</v>
      </c>
      <c r="S3520">
        <v>3.0430600000000001</v>
      </c>
      <c r="T3520">
        <v>1.0206700000000001E-2</v>
      </c>
      <c r="U3520">
        <v>-0.70811459999999904</v>
      </c>
      <c r="V3520">
        <v>-0.25973079999999998</v>
      </c>
      <c r="W3520">
        <v>-0.1193927</v>
      </c>
      <c r="X3520">
        <v>0.95827200000000001</v>
      </c>
      <c r="Y3520">
        <v>-0.49083019999999999</v>
      </c>
      <c r="Z3520">
        <v>-5.5655359999999899E-3</v>
      </c>
      <c r="AA3520">
        <v>0.8712375</v>
      </c>
      <c r="AB3520">
        <v>16</v>
      </c>
      <c r="AC3520">
        <v>116.914299999999</v>
      </c>
      <c r="AD3520">
        <v>0.39250800000000002</v>
      </c>
      <c r="AE3520">
        <v>-27.128799999999998</v>
      </c>
      <c r="AF3520">
        <v>-58.977369495395401</v>
      </c>
      <c r="AG3520">
        <v>0.39250800000000002</v>
      </c>
      <c r="AH3520">
        <v>104.528881660604</v>
      </c>
      <c r="AI3520">
        <v>89.812621940949498</v>
      </c>
      <c r="AJ3520">
        <v>119.43259534907099</v>
      </c>
      <c r="AK3520">
        <v>120.019878671589</v>
      </c>
      <c r="AL3520">
        <v>96.857055114896895</v>
      </c>
      <c r="AM3520">
        <v>105.16514157386401</v>
      </c>
      <c r="AN3520">
        <v>0.99999996563296401</v>
      </c>
    </row>
    <row r="3521" spans="1:40" x14ac:dyDescent="0.25">
      <c r="A3521" t="str">
        <f>"20190305135002731"</f>
        <v>20190305135002731</v>
      </c>
      <c r="B3521" t="str">
        <f>"1551765002724180"</f>
        <v>1551765002724180</v>
      </c>
      <c r="C3521" t="s">
        <v>40</v>
      </c>
      <c r="D3521">
        <v>4.2007779999999997</v>
      </c>
      <c r="E3521">
        <v>0.41123150000000003</v>
      </c>
      <c r="F3521" t="s">
        <v>64</v>
      </c>
      <c r="G3521">
        <v>-368.3501</v>
      </c>
      <c r="H3521">
        <v>25.913329999999998</v>
      </c>
      <c r="I3521">
        <v>183.65530000000001</v>
      </c>
      <c r="J3521">
        <v>-483.36599999999999</v>
      </c>
      <c r="K3521">
        <v>1.1114889999999999</v>
      </c>
      <c r="L3521">
        <v>222.15539999999999</v>
      </c>
      <c r="M3521">
        <v>0.7412706</v>
      </c>
      <c r="N3521">
        <v>-5.6466299999999997E-3</v>
      </c>
      <c r="O3521">
        <v>-0.67118250000000002</v>
      </c>
      <c r="P3521">
        <v>0.88471279999999997</v>
      </c>
      <c r="Q3521">
        <v>-0.1242823</v>
      </c>
      <c r="R3521">
        <v>-0.44926280000000002</v>
      </c>
      <c r="S3521">
        <v>2.9762270000000002</v>
      </c>
      <c r="T3521">
        <v>0.64108900000000002</v>
      </c>
      <c r="U3521">
        <v>-0.9979095</v>
      </c>
      <c r="V3521">
        <v>-0.26000240000000002</v>
      </c>
      <c r="W3521">
        <v>-0.1205724</v>
      </c>
      <c r="X3521">
        <v>0.95805070000000003</v>
      </c>
      <c r="Y3521">
        <v>-0.38159270000000001</v>
      </c>
      <c r="Z3521">
        <v>-0.16785340000000001</v>
      </c>
      <c r="AA3521">
        <v>0.90896220000000005</v>
      </c>
      <c r="AB3521">
        <v>17</v>
      </c>
      <c r="AC3521">
        <v>115.0159</v>
      </c>
      <c r="AD3521">
        <v>24.801841</v>
      </c>
      <c r="AE3521">
        <v>-38.500099999999897</v>
      </c>
      <c r="AF3521">
        <v>-46.705472790255698</v>
      </c>
      <c r="AG3521">
        <v>24.801841</v>
      </c>
      <c r="AH3521">
        <v>106.641115655447</v>
      </c>
      <c r="AI3521">
        <v>77.973679211554099</v>
      </c>
      <c r="AJ3521">
        <v>113.651914949587</v>
      </c>
      <c r="AK3521">
        <v>119.033020854673</v>
      </c>
      <c r="AL3521">
        <v>96.925138217733206</v>
      </c>
      <c r="AM3521">
        <v>105.18361294418899</v>
      </c>
      <c r="AN3521">
        <v>1.0000000477090001</v>
      </c>
    </row>
    <row r="3522" spans="1:40" x14ac:dyDescent="0.25">
      <c r="A3522" t="str">
        <f>"20190305135002757"</f>
        <v>20190305135002757</v>
      </c>
      <c r="B3522" t="str">
        <f>"1551765002753461"</f>
        <v>1551765002753461</v>
      </c>
      <c r="C3522" t="s">
        <v>40</v>
      </c>
      <c r="D3522">
        <v>3.9912380000000001</v>
      </c>
      <c r="E3522">
        <v>0.44615840000000001</v>
      </c>
      <c r="F3522" t="s">
        <v>72</v>
      </c>
      <c r="G3522">
        <v>-366.33499999999998</v>
      </c>
      <c r="H3522">
        <v>1.185764</v>
      </c>
      <c r="I3522">
        <v>194.13329999999999</v>
      </c>
      <c r="J3522">
        <v>-483.22590000000002</v>
      </c>
      <c r="K3522">
        <v>1.111523</v>
      </c>
      <c r="L3522">
        <v>222.03890000000001</v>
      </c>
      <c r="M3522">
        <v>0.74563900000000005</v>
      </c>
      <c r="N3522">
        <v>-5.6404489999999996E-3</v>
      </c>
      <c r="O3522">
        <v>-0.66632639999999999</v>
      </c>
      <c r="P3522">
        <v>0.88766840000000002</v>
      </c>
      <c r="Q3522">
        <v>-0.1246858</v>
      </c>
      <c r="R3522">
        <v>-0.4432817</v>
      </c>
      <c r="S3522">
        <v>3.0235599999999998</v>
      </c>
      <c r="T3522">
        <v>1.91927E-3</v>
      </c>
      <c r="U3522">
        <v>-0.72396850000000001</v>
      </c>
      <c r="V3522">
        <v>-0.2601559</v>
      </c>
      <c r="W3522">
        <v>-0.1210126</v>
      </c>
      <c r="X3522">
        <v>0.95795350000000001</v>
      </c>
      <c r="Y3522">
        <v>-0.47437400000000002</v>
      </c>
      <c r="Z3522">
        <v>-3.224808E-3</v>
      </c>
      <c r="AA3522">
        <v>0.88031749999999998</v>
      </c>
      <c r="AB3522">
        <v>17</v>
      </c>
      <c r="AC3522">
        <v>116.8909</v>
      </c>
      <c r="AD3522">
        <v>7.4241000000000001E-2</v>
      </c>
      <c r="AE3522">
        <v>-27.9056</v>
      </c>
      <c r="AF3522">
        <v>-57.080869307380603</v>
      </c>
      <c r="AG3522">
        <v>7.4241000000000001E-2</v>
      </c>
      <c r="AH3522">
        <v>105.754282891228</v>
      </c>
      <c r="AI3522">
        <v>89.964604357250806</v>
      </c>
      <c r="AJ3522">
        <v>118.35795300729301</v>
      </c>
      <c r="AK3522">
        <v>120.175702629317</v>
      </c>
      <c r="AL3522">
        <v>96.950546018475507</v>
      </c>
      <c r="AM3522">
        <v>105.193633100867</v>
      </c>
      <c r="AN3522">
        <v>1.0000000249129</v>
      </c>
    </row>
    <row r="3523" spans="1:40" x14ac:dyDescent="0.25">
      <c r="A3523" t="str">
        <f>"20190305135002778"</f>
        <v>20190305135002778</v>
      </c>
      <c r="B3523" t="str">
        <f>"1551765002773956"</f>
        <v>1551765002773956</v>
      </c>
      <c r="C3523" t="s">
        <v>40</v>
      </c>
      <c r="D3523">
        <v>4.0071199999999996</v>
      </c>
      <c r="E3523">
        <v>0.4462914</v>
      </c>
      <c r="F3523" t="s">
        <v>64</v>
      </c>
      <c r="G3523">
        <v>-357.40120000000002</v>
      </c>
      <c r="H3523">
        <v>27.27365</v>
      </c>
      <c r="I3523">
        <v>181.34780000000001</v>
      </c>
      <c r="J3523">
        <v>-483.09910000000002</v>
      </c>
      <c r="K3523">
        <v>1.111556</v>
      </c>
      <c r="L3523">
        <v>221.93459999999999</v>
      </c>
      <c r="M3523">
        <v>0.74956250000000002</v>
      </c>
      <c r="N3523">
        <v>-5.6381000000000001E-3</v>
      </c>
      <c r="O3523">
        <v>-0.66190969999999905</v>
      </c>
      <c r="P3523">
        <v>0.89024099999999995</v>
      </c>
      <c r="Q3523">
        <v>-0.1242888</v>
      </c>
      <c r="R3523">
        <v>-0.43820500000000001</v>
      </c>
      <c r="S3523">
        <v>2.9848020000000002</v>
      </c>
      <c r="T3523">
        <v>0.62061699999999997</v>
      </c>
      <c r="U3523">
        <v>-0.96527099999999999</v>
      </c>
      <c r="V3523">
        <v>-0.25999460000000002</v>
      </c>
      <c r="W3523">
        <v>-0.12064229999999999</v>
      </c>
      <c r="X3523">
        <v>0.95804400000000001</v>
      </c>
      <c r="Y3523">
        <v>-0.38122650000000002</v>
      </c>
      <c r="Z3523">
        <v>-0.16125400000000001</v>
      </c>
      <c r="AA3523">
        <v>0.91030960000000005</v>
      </c>
      <c r="AB3523">
        <v>17</v>
      </c>
      <c r="AC3523">
        <v>125.6979</v>
      </c>
      <c r="AD3523">
        <v>26.162094</v>
      </c>
      <c r="AE3523">
        <v>-40.586799999999897</v>
      </c>
      <c r="AF3523">
        <v>-50.786785883274</v>
      </c>
      <c r="AG3523">
        <v>26.162094</v>
      </c>
      <c r="AH3523">
        <v>116.51428995199301</v>
      </c>
      <c r="AI3523">
        <v>78.368931178913698</v>
      </c>
      <c r="AJ3523">
        <v>113.551646155651</v>
      </c>
      <c r="AK3523">
        <v>129.76645385397401</v>
      </c>
      <c r="AL3523">
        <v>96.929172757213607</v>
      </c>
      <c r="AM3523">
        <v>105.183279748027</v>
      </c>
      <c r="AN3523">
        <v>1.0000000312572199</v>
      </c>
    </row>
    <row r="3524" spans="1:40" x14ac:dyDescent="0.25">
      <c r="A3524" t="str">
        <f>"20190305135002801"</f>
        <v>20190305135002801</v>
      </c>
      <c r="B3524" t="str">
        <f>"1551765002794453"</f>
        <v>1551765002794453</v>
      </c>
      <c r="C3524" t="s">
        <v>40</v>
      </c>
      <c r="D3524">
        <v>4.0081559999999996</v>
      </c>
      <c r="E3524">
        <v>0.4450866</v>
      </c>
      <c r="F3524" t="s">
        <v>64</v>
      </c>
      <c r="G3524">
        <v>-357.42439999999999</v>
      </c>
      <c r="H3524">
        <v>27.51943</v>
      </c>
      <c r="I3524">
        <v>182.0745</v>
      </c>
      <c r="J3524">
        <v>-482.9708</v>
      </c>
      <c r="K3524">
        <v>1.11159599999999</v>
      </c>
      <c r="L3524">
        <v>221.8306</v>
      </c>
      <c r="M3524">
        <v>0.75349270000000002</v>
      </c>
      <c r="N3524">
        <v>-5.6386960000000003E-3</v>
      </c>
      <c r="O3524">
        <v>-0.65743240000000003</v>
      </c>
      <c r="P3524">
        <v>0.89230959999999904</v>
      </c>
      <c r="Q3524">
        <v>-0.1234461</v>
      </c>
      <c r="R3524">
        <v>-0.43421759999999898</v>
      </c>
      <c r="S3524">
        <v>2.9906619999999999</v>
      </c>
      <c r="T3524">
        <v>0.62842540000000002</v>
      </c>
      <c r="U3524">
        <v>-0.94854740000000004</v>
      </c>
      <c r="V3524">
        <v>-0.2586445</v>
      </c>
      <c r="W3524">
        <v>-0.1198144</v>
      </c>
      <c r="X3524">
        <v>0.95851319999999995</v>
      </c>
      <c r="Y3524">
        <v>-0.38053740000000003</v>
      </c>
      <c r="Z3524">
        <v>-0.1623666</v>
      </c>
      <c r="AA3524">
        <v>0.91040010000000005</v>
      </c>
      <c r="AB3524">
        <v>17</v>
      </c>
      <c r="AC3524">
        <v>125.54640000000001</v>
      </c>
      <c r="AD3524">
        <v>26.407834000000001</v>
      </c>
      <c r="AE3524">
        <v>-39.756100000000004</v>
      </c>
      <c r="AF3524">
        <v>-50.550433384874196</v>
      </c>
      <c r="AG3524">
        <v>26.407834000000001</v>
      </c>
      <c r="AH3524">
        <v>116.06974745410599</v>
      </c>
      <c r="AI3524">
        <v>78.217460348166995</v>
      </c>
      <c r="AJ3524">
        <v>113.53397944805801</v>
      </c>
      <c r="AK3524">
        <v>129.32480924412801</v>
      </c>
      <c r="AL3524">
        <v>96.881391123725905</v>
      </c>
      <c r="AM3524">
        <v>105.100991234738</v>
      </c>
      <c r="AN3524">
        <v>1.00000001120092</v>
      </c>
    </row>
    <row r="3525" spans="1:40" x14ac:dyDescent="0.25">
      <c r="A3525" t="str">
        <f>"20190305135002821"</f>
        <v>20190305135002821</v>
      </c>
      <c r="B3525" t="str">
        <f>"1551765002813973"</f>
        <v>1551765002813973</v>
      </c>
      <c r="C3525" t="s">
        <v>40</v>
      </c>
      <c r="D3525">
        <v>3.973776</v>
      </c>
      <c r="E3525">
        <v>0.44896330000000001</v>
      </c>
      <c r="F3525" t="s">
        <v>47</v>
      </c>
      <c r="G3525">
        <v>0</v>
      </c>
      <c r="H3525">
        <v>0</v>
      </c>
      <c r="I3525">
        <v>0</v>
      </c>
      <c r="J3525">
        <v>-482.84609999999998</v>
      </c>
      <c r="K3525">
        <v>1.111637</v>
      </c>
      <c r="L3525">
        <v>221.73070000000001</v>
      </c>
      <c r="M3525">
        <v>0.75729049999999998</v>
      </c>
      <c r="N3525">
        <v>-5.64206E-3</v>
      </c>
      <c r="O3525">
        <v>-0.65305400000000002</v>
      </c>
      <c r="P3525">
        <v>0.89446019999999904</v>
      </c>
      <c r="Q3525">
        <v>-0.12362099999999999</v>
      </c>
      <c r="R3525">
        <v>-0.42971969999999998</v>
      </c>
      <c r="S3525">
        <v>2.9991150000000002</v>
      </c>
      <c r="T3525">
        <v>0.63363019999999903</v>
      </c>
      <c r="U3525">
        <v>-0.92591860000000004</v>
      </c>
      <c r="V3525">
        <v>-0.25788470000000002</v>
      </c>
      <c r="W3525">
        <v>-0.1200085</v>
      </c>
      <c r="X3525">
        <v>0.95869360000000003</v>
      </c>
      <c r="Y3525">
        <v>-0.38197550000000002</v>
      </c>
      <c r="Z3525">
        <v>-0.16297010000000001</v>
      </c>
      <c r="AA3525">
        <v>0.90968970000000005</v>
      </c>
      <c r="AB3525">
        <v>17</v>
      </c>
      <c r="AC3525">
        <v>2.9991150000000002</v>
      </c>
      <c r="AD3525">
        <v>0.63363019999999903</v>
      </c>
      <c r="AE3525">
        <v>-0.92591860000000004</v>
      </c>
      <c r="AF3525">
        <v>-1.20817908399858</v>
      </c>
      <c r="AG3525">
        <v>0.63363019999999903</v>
      </c>
      <c r="AH3525">
        <v>2.7633116623032801</v>
      </c>
      <c r="AI3525">
        <v>78.134881410196797</v>
      </c>
      <c r="AJ3525">
        <v>113.615979812898</v>
      </c>
      <c r="AK3525">
        <v>3.0817325114917198</v>
      </c>
      <c r="AL3525">
        <v>96.892593217351205</v>
      </c>
      <c r="AM3525">
        <v>105.05594282446501</v>
      </c>
      <c r="AN3525">
        <v>0.99999998862365003</v>
      </c>
    </row>
    <row r="3526" spans="1:40" x14ac:dyDescent="0.25">
      <c r="A3526" t="str">
        <f>"20190305135002844"</f>
        <v>20190305135002844</v>
      </c>
      <c r="B3526" t="str">
        <f>"1551765002834244"</f>
        <v>1551765002834244</v>
      </c>
      <c r="C3526" t="s">
        <v>40</v>
      </c>
      <c r="D3526">
        <v>3.8375919999999999</v>
      </c>
      <c r="E3526">
        <v>0.44840140000000001</v>
      </c>
      <c r="F3526" t="s">
        <v>47</v>
      </c>
      <c r="G3526">
        <v>0</v>
      </c>
      <c r="H3526">
        <v>0</v>
      </c>
      <c r="I3526">
        <v>0</v>
      </c>
      <c r="J3526">
        <v>-482.71300000000002</v>
      </c>
      <c r="K3526">
        <v>1.1116839999999999</v>
      </c>
      <c r="L3526">
        <v>221.62520000000001</v>
      </c>
      <c r="M3526">
        <v>0.76131519999999897</v>
      </c>
      <c r="N3526">
        <v>-5.648246E-3</v>
      </c>
      <c r="O3526">
        <v>-0.64835759999999998</v>
      </c>
      <c r="P3526">
        <v>0.89688809999999997</v>
      </c>
      <c r="Q3526">
        <v>-0.1242873</v>
      </c>
      <c r="R3526">
        <v>-0.4244349</v>
      </c>
      <c r="S3526">
        <v>3.0145569999999999</v>
      </c>
      <c r="T3526">
        <v>0.81904009999999905</v>
      </c>
      <c r="U3526">
        <v>-0.94210819999999995</v>
      </c>
      <c r="V3526">
        <v>-0.25753239999999999</v>
      </c>
      <c r="W3526">
        <v>-0.1206989</v>
      </c>
      <c r="X3526">
        <v>0.95870169999999999</v>
      </c>
      <c r="Y3526">
        <v>-0.36212040000000001</v>
      </c>
      <c r="Z3526">
        <v>-0.20379059999999999</v>
      </c>
      <c r="AA3526">
        <v>0.90958130000000004</v>
      </c>
      <c r="AB3526">
        <v>17</v>
      </c>
      <c r="AC3526">
        <v>3.0145569999999999</v>
      </c>
      <c r="AD3526">
        <v>0.81904009999999905</v>
      </c>
      <c r="AE3526">
        <v>-0.94210819999999995</v>
      </c>
      <c r="AF3526">
        <v>-1.1593246387507701</v>
      </c>
      <c r="AG3526">
        <v>0.81904009999999905</v>
      </c>
      <c r="AH3526">
        <v>2.7227894525629401</v>
      </c>
      <c r="AI3526">
        <v>74.529738699654104</v>
      </c>
      <c r="AJ3526">
        <v>113.063608170329</v>
      </c>
      <c r="AK3526">
        <v>3.0705769338042299</v>
      </c>
      <c r="AL3526">
        <v>96.932439400913395</v>
      </c>
      <c r="AM3526">
        <v>105.036185432316</v>
      </c>
      <c r="AN3526">
        <v>1.00000005554692</v>
      </c>
    </row>
    <row r="3527" spans="1:40" x14ac:dyDescent="0.25">
      <c r="A3527" t="str">
        <f>"20190305135002866"</f>
        <v>20190305135002866</v>
      </c>
      <c r="B3527" t="str">
        <f>"1551765002853764"</f>
        <v>1551765002853764</v>
      </c>
      <c r="C3527" t="s">
        <v>40</v>
      </c>
      <c r="D3527">
        <v>3.9020679999999999</v>
      </c>
      <c r="E3527">
        <v>0.44779049999999998</v>
      </c>
      <c r="F3527" t="s">
        <v>47</v>
      </c>
      <c r="G3527">
        <v>0</v>
      </c>
      <c r="H3527">
        <v>0</v>
      </c>
      <c r="I3527">
        <v>0</v>
      </c>
      <c r="J3527">
        <v>-482.58350000000002</v>
      </c>
      <c r="K3527">
        <v>1.1117319999999999</v>
      </c>
      <c r="L3527">
        <v>221.5241</v>
      </c>
      <c r="M3527">
        <v>0.76519749999999997</v>
      </c>
      <c r="N3527">
        <v>-5.6563899999999999E-3</v>
      </c>
      <c r="O3527">
        <v>-0.64377069999999903</v>
      </c>
      <c r="P3527">
        <v>0.89940699999999996</v>
      </c>
      <c r="Q3527">
        <v>-0.1241872</v>
      </c>
      <c r="R3527">
        <v>-0.41909980000000002</v>
      </c>
      <c r="S3527">
        <v>3.0213320000000001</v>
      </c>
      <c r="T3527">
        <v>0.80993749999999998</v>
      </c>
      <c r="U3527">
        <v>-0.92085269999999997</v>
      </c>
      <c r="V3527">
        <v>-0.25745980000000002</v>
      </c>
      <c r="W3527">
        <v>-0.1206236</v>
      </c>
      <c r="X3527">
        <v>0.95873059999999999</v>
      </c>
      <c r="Y3527">
        <v>-0.36371320000000001</v>
      </c>
      <c r="Z3527">
        <v>-0.20082700000000001</v>
      </c>
      <c r="AA3527">
        <v>0.909605</v>
      </c>
      <c r="AB3527">
        <v>17</v>
      </c>
      <c r="AC3527">
        <v>3.0213320000000001</v>
      </c>
      <c r="AD3527">
        <v>0.80993749999999998</v>
      </c>
      <c r="AE3527">
        <v>-0.92085269999999997</v>
      </c>
      <c r="AF3527">
        <v>-1.1638986315090201</v>
      </c>
      <c r="AG3527">
        <v>0.80993749999999998</v>
      </c>
      <c r="AH3527">
        <v>2.7255611337990699</v>
      </c>
      <c r="AI3527">
        <v>74.7149485419162</v>
      </c>
      <c r="AJ3527">
        <v>113.123976147218</v>
      </c>
      <c r="AK3527">
        <v>3.0723512612347701</v>
      </c>
      <c r="AL3527">
        <v>96.928093784047107</v>
      </c>
      <c r="AM3527">
        <v>105.031705893595</v>
      </c>
      <c r="AN3527">
        <v>0.99999998243467902</v>
      </c>
    </row>
    <row r="3528" spans="1:40" x14ac:dyDescent="0.25">
      <c r="A3528" t="str">
        <f>"20190305135002889"</f>
        <v>20190305135002889</v>
      </c>
      <c r="B3528" t="str">
        <f>"1551765002884017"</f>
        <v>1551765002884017</v>
      </c>
      <c r="C3528" t="s">
        <v>40</v>
      </c>
      <c r="D3528">
        <v>3.931076</v>
      </c>
      <c r="E3528">
        <v>0.44642530000000002</v>
      </c>
      <c r="F3528" t="s">
        <v>47</v>
      </c>
      <c r="G3528">
        <v>0</v>
      </c>
      <c r="H3528">
        <v>0</v>
      </c>
      <c r="I3528">
        <v>0</v>
      </c>
      <c r="J3528">
        <v>-482.4402</v>
      </c>
      <c r="K3528">
        <v>1.1117939999999999</v>
      </c>
      <c r="L3528">
        <v>221.4135</v>
      </c>
      <c r="M3528">
        <v>0.76946479999999995</v>
      </c>
      <c r="N3528">
        <v>-5.6675900000000001E-3</v>
      </c>
      <c r="O3528">
        <v>-0.63866440000000002</v>
      </c>
      <c r="P3528">
        <v>0.90233200000000002</v>
      </c>
      <c r="Q3528">
        <v>-0.12377870000000001</v>
      </c>
      <c r="R3528">
        <v>-0.41288770000000002</v>
      </c>
      <c r="S3528">
        <v>3.0265810000000002</v>
      </c>
      <c r="T3528">
        <v>0.79585289999999997</v>
      </c>
      <c r="U3528">
        <v>-0.89884949999999997</v>
      </c>
      <c r="V3528">
        <v>-0.25771230000000001</v>
      </c>
      <c r="W3528">
        <v>-0.1202434</v>
      </c>
      <c r="X3528">
        <v>0.95871059999999997</v>
      </c>
      <c r="Y3528">
        <v>-0.3651181</v>
      </c>
      <c r="Z3528">
        <v>-0.19666910000000001</v>
      </c>
      <c r="AA3528">
        <v>0.90995060000000005</v>
      </c>
      <c r="AB3528">
        <v>17</v>
      </c>
      <c r="AC3528">
        <v>3.0265810000000002</v>
      </c>
      <c r="AD3528">
        <v>0.79585289999999997</v>
      </c>
      <c r="AE3528">
        <v>-0.89884949999999997</v>
      </c>
      <c r="AF3528">
        <v>-1.16719193594141</v>
      </c>
      <c r="AG3528">
        <v>0.79585289999999997</v>
      </c>
      <c r="AH3528">
        <v>2.72952097785981</v>
      </c>
      <c r="AI3528">
        <v>74.992485470882201</v>
      </c>
      <c r="AJ3528">
        <v>113.152417336597</v>
      </c>
      <c r="AK3528">
        <v>3.0734351501767301</v>
      </c>
      <c r="AL3528">
        <v>96.906149673490802</v>
      </c>
      <c r="AM3528">
        <v>105.046079531705</v>
      </c>
      <c r="AN3528">
        <v>1.0000000596836001</v>
      </c>
    </row>
    <row r="3529" spans="1:40" x14ac:dyDescent="0.25">
      <c r="A3529" t="str">
        <f>"20190305135002913"</f>
        <v>20190305135002913</v>
      </c>
      <c r="B3529" t="str">
        <f>"1551765002903537"</f>
        <v>1551765002903537</v>
      </c>
      <c r="C3529" t="s">
        <v>40</v>
      </c>
      <c r="D3529">
        <v>3.9188339999999999</v>
      </c>
      <c r="E3529">
        <v>0.44628240000000002</v>
      </c>
      <c r="F3529" t="s">
        <v>47</v>
      </c>
      <c r="G3529">
        <v>0</v>
      </c>
      <c r="H3529">
        <v>0</v>
      </c>
      <c r="I3529">
        <v>0</v>
      </c>
      <c r="J3529">
        <v>-482.29590000000002</v>
      </c>
      <c r="K3529">
        <v>1.111845</v>
      </c>
      <c r="L3529">
        <v>221.3039</v>
      </c>
      <c r="M3529">
        <v>0.77372319999999895</v>
      </c>
      <c r="N3529">
        <v>-5.6807860000000002E-3</v>
      </c>
      <c r="O3529">
        <v>-0.63349849999999996</v>
      </c>
      <c r="P3529">
        <v>0.90505029999999997</v>
      </c>
      <c r="Q3529">
        <v>-0.12304080000000001</v>
      </c>
      <c r="R3529">
        <v>-0.40711809999999998</v>
      </c>
      <c r="S3529">
        <v>3.0331419999999998</v>
      </c>
      <c r="T3529">
        <v>0.77473939999999997</v>
      </c>
      <c r="U3529">
        <v>-0.86946109999999899</v>
      </c>
      <c r="V3529">
        <v>-0.25746770000000002</v>
      </c>
      <c r="W3529">
        <v>-0.1195266</v>
      </c>
      <c r="X3529">
        <v>0.95886590000000005</v>
      </c>
      <c r="Y3529">
        <v>-0.36903380000000002</v>
      </c>
      <c r="Z3529">
        <v>-0.191168</v>
      </c>
      <c r="AA3529">
        <v>0.9095432</v>
      </c>
      <c r="AB3529">
        <v>17</v>
      </c>
      <c r="AC3529">
        <v>3.0331419999999998</v>
      </c>
      <c r="AD3529">
        <v>0.77473939999999997</v>
      </c>
      <c r="AE3529">
        <v>-0.86946109999999899</v>
      </c>
      <c r="AF3529">
        <v>-1.1777826523642501</v>
      </c>
      <c r="AG3529">
        <v>0.77473939999999997</v>
      </c>
      <c r="AH3529">
        <v>2.7329002559606299</v>
      </c>
      <c r="AI3529">
        <v>75.407602472056197</v>
      </c>
      <c r="AJ3529">
        <v>113.31432081839201</v>
      </c>
      <c r="AK3529">
        <v>3.0750832384103401</v>
      </c>
      <c r="AL3529">
        <v>96.864781983381505</v>
      </c>
      <c r="AM3529">
        <v>105.030121141723</v>
      </c>
      <c r="AN3529">
        <v>1.0000000194168299</v>
      </c>
    </row>
    <row r="3530" spans="1:40" x14ac:dyDescent="0.25">
      <c r="A3530" t="str">
        <f>"20190305135002935"</f>
        <v>20190305135002935</v>
      </c>
      <c r="B3530" t="str">
        <f>"1551765002924033"</f>
        <v>1551765002924033</v>
      </c>
      <c r="C3530" t="s">
        <v>40</v>
      </c>
      <c r="D3530">
        <v>3.887699</v>
      </c>
      <c r="E3530">
        <v>0.44624540000000001</v>
      </c>
      <c r="F3530" t="s">
        <v>47</v>
      </c>
      <c r="G3530">
        <v>0</v>
      </c>
      <c r="H3530">
        <v>0</v>
      </c>
      <c r="I3530">
        <v>0</v>
      </c>
      <c r="J3530">
        <v>-482.15589999999997</v>
      </c>
      <c r="K3530">
        <v>1.1118939999999999</v>
      </c>
      <c r="L3530">
        <v>221.19900000000001</v>
      </c>
      <c r="M3530">
        <v>0.77782289999999998</v>
      </c>
      <c r="N3530">
        <v>-5.6950769999999998E-3</v>
      </c>
      <c r="O3530">
        <v>-0.62845769999999901</v>
      </c>
      <c r="P3530">
        <v>0.907609</v>
      </c>
      <c r="Q3530">
        <v>-0.1228032</v>
      </c>
      <c r="R3530">
        <v>-0.40145360000000002</v>
      </c>
      <c r="S3530">
        <v>3.0381770000000001</v>
      </c>
      <c r="T3530">
        <v>0.77277050000000003</v>
      </c>
      <c r="U3530">
        <v>-0.84832759999999996</v>
      </c>
      <c r="V3530">
        <v>-0.25723679999999999</v>
      </c>
      <c r="W3530">
        <v>-0.1193066</v>
      </c>
      <c r="X3530">
        <v>0.95895520000000001</v>
      </c>
      <c r="Y3530">
        <v>-0.3695312</v>
      </c>
      <c r="Z3530">
        <v>-0.18977830000000001</v>
      </c>
      <c r="AA3530">
        <v>0.90963229999999995</v>
      </c>
      <c r="AB3530">
        <v>18</v>
      </c>
      <c r="AC3530">
        <v>3.0381770000000001</v>
      </c>
      <c r="AD3530">
        <v>0.77277050000000003</v>
      </c>
      <c r="AE3530">
        <v>-0.84832759999999996</v>
      </c>
      <c r="AF3530">
        <v>-1.17879056983843</v>
      </c>
      <c r="AG3530">
        <v>0.77277050000000003</v>
      </c>
      <c r="AH3530">
        <v>2.7323620403817799</v>
      </c>
      <c r="AI3530">
        <v>75.442664262947801</v>
      </c>
      <c r="AJ3530">
        <v>113.336243955925</v>
      </c>
      <c r="AK3530">
        <v>3.07449569408212</v>
      </c>
      <c r="AL3530">
        <v>96.852086500798293</v>
      </c>
      <c r="AM3530">
        <v>105.015915823762</v>
      </c>
      <c r="AN3530">
        <v>0.99999995584241896</v>
      </c>
    </row>
    <row r="3531" spans="1:40" x14ac:dyDescent="0.25">
      <c r="A3531" t="str">
        <f>"20190305135002969"</f>
        <v>20190305135002969</v>
      </c>
      <c r="B3531" t="str">
        <f>"1551765002964049"</f>
        <v>1551765002964049</v>
      </c>
      <c r="C3531" t="s">
        <v>40</v>
      </c>
      <c r="D3531">
        <v>4.1248329999999997</v>
      </c>
      <c r="E3531">
        <v>0.39622299999999999</v>
      </c>
      <c r="F3531" t="s">
        <v>47</v>
      </c>
      <c r="G3531">
        <v>0</v>
      </c>
      <c r="H3531">
        <v>0</v>
      </c>
      <c r="I3531">
        <v>0</v>
      </c>
      <c r="J3531">
        <v>-481.93599999999998</v>
      </c>
      <c r="K3531">
        <v>1.1119479999999999</v>
      </c>
      <c r="L3531">
        <v>221.03700000000001</v>
      </c>
      <c r="M3531">
        <v>0.78418679999999996</v>
      </c>
      <c r="N3531">
        <v>-5.7188319999999897E-3</v>
      </c>
      <c r="O3531">
        <v>-0.62049849999999995</v>
      </c>
      <c r="P3531">
        <v>0.91085110000000002</v>
      </c>
      <c r="Q3531">
        <v>-0.1250125</v>
      </c>
      <c r="R3531">
        <v>-0.39334760000000002</v>
      </c>
      <c r="S3531">
        <v>3.0434570000000001</v>
      </c>
      <c r="T3531">
        <v>0.77059540000000004</v>
      </c>
      <c r="U3531">
        <v>-0.82783510000000005</v>
      </c>
      <c r="V3531">
        <v>-0.25578790000000001</v>
      </c>
      <c r="W3531">
        <v>-0.12152880000000001</v>
      </c>
      <c r="X3531">
        <v>0.95906380000000002</v>
      </c>
      <c r="Y3531">
        <v>-0.36664039999999998</v>
      </c>
      <c r="Z3531">
        <v>-0.18735750000000001</v>
      </c>
      <c r="AA3531">
        <v>0.91130230000000001</v>
      </c>
      <c r="AB3531">
        <v>18</v>
      </c>
      <c r="AC3531">
        <v>3.0434570000000001</v>
      </c>
      <c r="AD3531">
        <v>0.77059540000000004</v>
      </c>
      <c r="AE3531">
        <v>-0.82783510000000005</v>
      </c>
      <c r="AF3531">
        <v>-1.16949343191296</v>
      </c>
      <c r="AG3531">
        <v>0.77059540000000004</v>
      </c>
      <c r="AH3531">
        <v>2.7369795382763802</v>
      </c>
      <c r="AI3531">
        <v>75.484590853198</v>
      </c>
      <c r="AJ3531">
        <v>113.136701320269</v>
      </c>
      <c r="AK3531">
        <v>3.0745063263444901</v>
      </c>
      <c r="AL3531">
        <v>96.980341933615307</v>
      </c>
      <c r="AM3531">
        <v>104.933511699853</v>
      </c>
      <c r="AN3531">
        <v>1.00000003574314</v>
      </c>
    </row>
    <row r="3532" spans="1:40" x14ac:dyDescent="0.25">
      <c r="A3532" t="str">
        <f>"20190305135002992"</f>
        <v>20190305135002992</v>
      </c>
      <c r="B3532" t="str">
        <f>"1551765002983569"</f>
        <v>1551765002983569</v>
      </c>
      <c r="C3532" t="s">
        <v>40</v>
      </c>
      <c r="D3532">
        <v>4.075958</v>
      </c>
      <c r="E3532">
        <v>0.39669900000000002</v>
      </c>
      <c r="F3532" t="s">
        <v>88</v>
      </c>
      <c r="G3532">
        <v>-253.12710000000001</v>
      </c>
      <c r="H3532">
        <v>1.1481539999999999</v>
      </c>
      <c r="I3532">
        <v>189.78579999999999</v>
      </c>
      <c r="J3532">
        <v>-481.78859999999997</v>
      </c>
      <c r="K3532">
        <v>1.1119829999999999</v>
      </c>
      <c r="L3532">
        <v>220.93049999999999</v>
      </c>
      <c r="M3532">
        <v>0.78840369999999904</v>
      </c>
      <c r="N3532">
        <v>-5.7359179999999996E-3</v>
      </c>
      <c r="O3532">
        <v>-0.61513149999999905</v>
      </c>
      <c r="P3532">
        <v>0.91292810000000002</v>
      </c>
      <c r="Q3532">
        <v>-0.12620719999999999</v>
      </c>
      <c r="R3532">
        <v>-0.38811610000000002</v>
      </c>
      <c r="S3532">
        <v>3.1102599999999998</v>
      </c>
      <c r="T3532">
        <v>4.9316879999999896E-4</v>
      </c>
      <c r="U3532">
        <v>-0.42480469999999998</v>
      </c>
      <c r="V3532">
        <v>-0.25461899999999998</v>
      </c>
      <c r="W3532">
        <v>-0.122728</v>
      </c>
      <c r="X3532">
        <v>0.95922209999999997</v>
      </c>
      <c r="Y3532">
        <v>-0.50277929999999904</v>
      </c>
      <c r="Z3532">
        <v>-2.4388669999999999E-3</v>
      </c>
      <c r="AA3532">
        <v>0.86441139999999905</v>
      </c>
      <c r="AB3532">
        <v>18</v>
      </c>
      <c r="AC3532">
        <v>228.66149999999999</v>
      </c>
      <c r="AD3532">
        <v>3.6171000000000099E-2</v>
      </c>
      <c r="AE3532">
        <v>-31.1447</v>
      </c>
      <c r="AF3532">
        <v>-116.10419857133201</v>
      </c>
      <c r="AG3532">
        <v>3.6171000000000099E-2</v>
      </c>
      <c r="AH3532">
        <v>199.43892894258701</v>
      </c>
      <c r="AI3532">
        <v>89.991019540021298</v>
      </c>
      <c r="AJ3532">
        <v>120.20600182872499</v>
      </c>
      <c r="AK3532">
        <v>230.77277268343099</v>
      </c>
      <c r="AL3532">
        <v>97.049569380393294</v>
      </c>
      <c r="AM3532">
        <v>104.86595260436501</v>
      </c>
      <c r="AN3532">
        <v>1.0000000171367001</v>
      </c>
    </row>
    <row r="3533" spans="1:40" x14ac:dyDescent="0.25">
      <c r="A3533" t="str">
        <f>"20190305135003012"</f>
        <v>20190305135003012</v>
      </c>
      <c r="B3533" t="str">
        <f>"1551765003004065"</f>
        <v>1551765003004065</v>
      </c>
      <c r="C3533" t="s">
        <v>40</v>
      </c>
      <c r="D3533">
        <v>3.911492</v>
      </c>
      <c r="E3533">
        <v>0.44464629999999999</v>
      </c>
      <c r="F3533" t="s">
        <v>60</v>
      </c>
      <c r="G3533">
        <v>-168.41980000000001</v>
      </c>
      <c r="H3533">
        <v>1.0887990000000001</v>
      </c>
      <c r="I3533">
        <v>179.59379999999999</v>
      </c>
      <c r="J3533">
        <v>-481.65449999999998</v>
      </c>
      <c r="K3533">
        <v>1.112033</v>
      </c>
      <c r="L3533">
        <v>220.8349</v>
      </c>
      <c r="M3533">
        <v>0.79221119999999901</v>
      </c>
      <c r="N3533">
        <v>-5.7524179999999996E-3</v>
      </c>
      <c r="O3533">
        <v>-0.61021999999999998</v>
      </c>
      <c r="P3533">
        <v>0.91492379999999995</v>
      </c>
      <c r="Q3533">
        <v>-0.12665589999999999</v>
      </c>
      <c r="R3533">
        <v>-0.38323960000000001</v>
      </c>
      <c r="S3533">
        <v>3.1116640000000002</v>
      </c>
      <c r="T3533">
        <v>-2.2983549999999999E-4</v>
      </c>
      <c r="U3533">
        <v>-0.41046139999999998</v>
      </c>
      <c r="V3533">
        <v>-0.2537199</v>
      </c>
      <c r="W3533">
        <v>-0.12318369999999999</v>
      </c>
      <c r="X3533">
        <v>0.95940190000000003</v>
      </c>
      <c r="Y3533">
        <v>-0.50137349999999903</v>
      </c>
      <c r="Z3533">
        <v>-2.2250009999999999E-3</v>
      </c>
      <c r="AA3533">
        <v>0.86522809999999895</v>
      </c>
      <c r="AB3533">
        <v>18</v>
      </c>
      <c r="AC3533">
        <v>313.23469999999998</v>
      </c>
      <c r="AD3533">
        <v>-2.3233999999999901E-2</v>
      </c>
      <c r="AE3533">
        <v>-41.241100000000003</v>
      </c>
      <c r="AF3533">
        <v>-158.473028604532</v>
      </c>
      <c r="AG3533">
        <v>-2.3233999999999901E-2</v>
      </c>
      <c r="AH3533">
        <v>273.31868530813898</v>
      </c>
      <c r="AI3533">
        <v>90.004213517338499</v>
      </c>
      <c r="AJ3533">
        <v>120.105605655734</v>
      </c>
      <c r="AK3533">
        <v>315.93797662433798</v>
      </c>
      <c r="AL3533">
        <v>97.075878758547802</v>
      </c>
      <c r="AM3533">
        <v>104.81311681061599</v>
      </c>
      <c r="AN3533">
        <v>1.0000000086626499</v>
      </c>
    </row>
    <row r="3534" spans="1:40" x14ac:dyDescent="0.25">
      <c r="A3534" t="str">
        <f>"20190305135003035"</f>
        <v>20190305135003035</v>
      </c>
      <c r="B3534" t="str">
        <f>"1551765003024094"</f>
        <v>1551765003024094</v>
      </c>
      <c r="C3534" t="s">
        <v>40</v>
      </c>
      <c r="D3534">
        <v>3.876026</v>
      </c>
      <c r="E3534">
        <v>0.4452216</v>
      </c>
      <c r="F3534" t="s">
        <v>47</v>
      </c>
      <c r="G3534">
        <v>0</v>
      </c>
      <c r="H3534">
        <v>0</v>
      </c>
      <c r="I3534">
        <v>0</v>
      </c>
      <c r="J3534">
        <v>-481.50689999999997</v>
      </c>
      <c r="K3534">
        <v>1.11209</v>
      </c>
      <c r="L3534">
        <v>220.7312</v>
      </c>
      <c r="M3534">
        <v>0.79636969999999996</v>
      </c>
      <c r="N3534">
        <v>-5.7716800000000004E-3</v>
      </c>
      <c r="O3534">
        <v>-0.60478259999999995</v>
      </c>
      <c r="P3534">
        <v>0.91738070000000005</v>
      </c>
      <c r="Q3534">
        <v>-0.12675729999999999</v>
      </c>
      <c r="R3534">
        <v>-0.37728689999999998</v>
      </c>
      <c r="S3534">
        <v>3.0585939999999998</v>
      </c>
      <c r="T3534">
        <v>0.69182650000000001</v>
      </c>
      <c r="U3534">
        <v>-0.75471499999999903</v>
      </c>
      <c r="V3534">
        <v>-0.25335930000000001</v>
      </c>
      <c r="W3534">
        <v>-0.1232992</v>
      </c>
      <c r="X3534">
        <v>0.95948230000000001</v>
      </c>
      <c r="Y3534">
        <v>-0.37497130000000001</v>
      </c>
      <c r="Z3534">
        <v>-0.1670806</v>
      </c>
      <c r="AA3534">
        <v>0.91185559999999999</v>
      </c>
      <c r="AB3534">
        <v>18</v>
      </c>
      <c r="AC3534">
        <v>3.0585939999999998</v>
      </c>
      <c r="AD3534">
        <v>0.69182650000000001</v>
      </c>
      <c r="AE3534">
        <v>-0.75471499999999903</v>
      </c>
      <c r="AF3534">
        <v>-1.1913203894864399</v>
      </c>
      <c r="AG3534">
        <v>0.69182650000000001</v>
      </c>
      <c r="AH3534">
        <v>2.7591932518247102</v>
      </c>
      <c r="AI3534">
        <v>77.036626725150001</v>
      </c>
      <c r="AJ3534">
        <v>113.35294960928</v>
      </c>
      <c r="AK3534">
        <v>3.0839934463976002</v>
      </c>
      <c r="AL3534">
        <v>97.082547633101598</v>
      </c>
      <c r="AM3534">
        <v>104.791802225995</v>
      </c>
      <c r="AN3534">
        <v>0.99999995581520895</v>
      </c>
    </row>
    <row r="3535" spans="1:40" x14ac:dyDescent="0.25">
      <c r="A3535" t="str">
        <f>"20190305135003057"</f>
        <v>20190305135003057</v>
      </c>
      <c r="B3535" t="str">
        <f>"1551765003054349"</f>
        <v>1551765003054349</v>
      </c>
      <c r="C3535" t="s">
        <v>40</v>
      </c>
      <c r="D3535">
        <v>3.8267790000000002</v>
      </c>
      <c r="E3535">
        <v>0.4439671</v>
      </c>
      <c r="F3535" t="s">
        <v>47</v>
      </c>
      <c r="G3535">
        <v>0</v>
      </c>
      <c r="H3535">
        <v>0</v>
      </c>
      <c r="I3535">
        <v>0</v>
      </c>
      <c r="J3535">
        <v>-481.35969999999998</v>
      </c>
      <c r="K3535">
        <v>1.1121540000000001</v>
      </c>
      <c r="L3535">
        <v>220.6292</v>
      </c>
      <c r="M3535">
        <v>0.80048160000000002</v>
      </c>
      <c r="N3535">
        <v>-5.7917019999999897E-3</v>
      </c>
      <c r="O3535">
        <v>-0.59932919999999901</v>
      </c>
      <c r="P3535">
        <v>0.91988919999999996</v>
      </c>
      <c r="Q3535">
        <v>-0.12665670000000001</v>
      </c>
      <c r="R3535">
        <v>-0.37116310000000002</v>
      </c>
      <c r="S3535">
        <v>3.0621339999999999</v>
      </c>
      <c r="T3535">
        <v>0.69663009999999903</v>
      </c>
      <c r="U3535">
        <v>-0.73989869999999902</v>
      </c>
      <c r="V3535">
        <v>-0.25319360000000002</v>
      </c>
      <c r="W3535">
        <v>-0.1232164</v>
      </c>
      <c r="X3535">
        <v>0.95953670000000002</v>
      </c>
      <c r="Y3535">
        <v>-0.37295139999999999</v>
      </c>
      <c r="Z3535">
        <v>-0.1669717</v>
      </c>
      <c r="AA3535">
        <v>0.9127035</v>
      </c>
      <c r="AB3535">
        <v>18</v>
      </c>
      <c r="AC3535">
        <v>3.0621339999999999</v>
      </c>
      <c r="AD3535">
        <v>0.69663009999999903</v>
      </c>
      <c r="AE3535">
        <v>-0.73989869999999902</v>
      </c>
      <c r="AF3535">
        <v>-1.18502380490208</v>
      </c>
      <c r="AG3535">
        <v>0.69663009999999903</v>
      </c>
      <c r="AH3535">
        <v>2.7597220226468799</v>
      </c>
      <c r="AI3535">
        <v>76.941276747956493</v>
      </c>
      <c r="AJ3535">
        <v>113.238670946493</v>
      </c>
      <c r="AK3535">
        <v>3.0831218848259598</v>
      </c>
      <c r="AL3535">
        <v>97.077766920849001</v>
      </c>
      <c r="AM3535">
        <v>104.781750583432</v>
      </c>
      <c r="AN3535">
        <v>0.99999997947840402</v>
      </c>
    </row>
    <row r="3536" spans="1:40" x14ac:dyDescent="0.25">
      <c r="A3536" t="str">
        <f>"20190305135003079"</f>
        <v>20190305135003079</v>
      </c>
      <c r="B3536" t="str">
        <f>"1551765003073870"</f>
        <v>1551765003073870</v>
      </c>
      <c r="C3536" t="s">
        <v>40</v>
      </c>
      <c r="D3536">
        <v>3.7746019999999998</v>
      </c>
      <c r="E3536">
        <v>0.47739999999999999</v>
      </c>
      <c r="F3536" t="s">
        <v>47</v>
      </c>
      <c r="G3536">
        <v>0</v>
      </c>
      <c r="H3536">
        <v>0</v>
      </c>
      <c r="I3536">
        <v>0</v>
      </c>
      <c r="J3536">
        <v>-481.21370000000002</v>
      </c>
      <c r="K3536">
        <v>1.112223</v>
      </c>
      <c r="L3536">
        <v>220.52959999999999</v>
      </c>
      <c r="M3536">
        <v>0.80453180000000002</v>
      </c>
      <c r="N3536">
        <v>-5.8125290000000003E-3</v>
      </c>
      <c r="O3536">
        <v>-0.59388149999999995</v>
      </c>
      <c r="P3536">
        <v>0.92263759999999995</v>
      </c>
      <c r="Q3536">
        <v>-0.12593389999999999</v>
      </c>
      <c r="R3536">
        <v>-0.36452810000000002</v>
      </c>
      <c r="S3536">
        <v>3.0661619999999998</v>
      </c>
      <c r="T3536">
        <v>0.66470659999999904</v>
      </c>
      <c r="U3536">
        <v>-0.71047969999999905</v>
      </c>
      <c r="V3536">
        <v>-0.25363520000000001</v>
      </c>
      <c r="W3536">
        <v>-0.12251869999999999</v>
      </c>
      <c r="X3536">
        <v>0.95950939999999996</v>
      </c>
      <c r="Y3536">
        <v>-0.3771446</v>
      </c>
      <c r="Z3536">
        <v>-0.15917300000000001</v>
      </c>
      <c r="AA3536">
        <v>0.91237380000000001</v>
      </c>
      <c r="AB3536">
        <v>18</v>
      </c>
      <c r="AC3536">
        <v>3.0661619999999998</v>
      </c>
      <c r="AD3536">
        <v>0.66470659999999904</v>
      </c>
      <c r="AE3536">
        <v>-0.71047969999999905</v>
      </c>
      <c r="AF3536">
        <v>-1.19600959191474</v>
      </c>
      <c r="AG3536">
        <v>0.66470659999999904</v>
      </c>
      <c r="AH3536">
        <v>2.7654678988026302</v>
      </c>
      <c r="AI3536">
        <v>77.559146470262206</v>
      </c>
      <c r="AJ3536">
        <v>113.38751769126701</v>
      </c>
      <c r="AK3536">
        <v>3.08546374267199</v>
      </c>
      <c r="AL3536">
        <v>97.037486535761303</v>
      </c>
      <c r="AM3536">
        <v>104.80680284887499</v>
      </c>
      <c r="AN3536">
        <v>0.99999996760854404</v>
      </c>
    </row>
    <row r="3537" spans="1:40" x14ac:dyDescent="0.25">
      <c r="A3537" t="str">
        <f>"20190305135003102"</f>
        <v>20190305135003102</v>
      </c>
      <c r="B3537" t="str">
        <f>"1551765003093390"</f>
        <v>1551765003093390</v>
      </c>
      <c r="C3537" t="s">
        <v>40</v>
      </c>
      <c r="D3537">
        <v>4.1059369999999999</v>
      </c>
      <c r="E3537">
        <v>0.47691600000000001</v>
      </c>
      <c r="F3537" t="s">
        <v>47</v>
      </c>
      <c r="G3537">
        <v>0</v>
      </c>
      <c r="H3537">
        <v>0</v>
      </c>
      <c r="I3537">
        <v>0</v>
      </c>
      <c r="J3537">
        <v>-481.05860000000001</v>
      </c>
      <c r="K3537">
        <v>1.112301</v>
      </c>
      <c r="L3537">
        <v>220.4255</v>
      </c>
      <c r="M3537">
        <v>0.80880469999999904</v>
      </c>
      <c r="N3537">
        <v>-5.8361619999999998E-3</v>
      </c>
      <c r="O3537">
        <v>-0.58804849999999997</v>
      </c>
      <c r="P3537">
        <v>0.9253555</v>
      </c>
      <c r="Q3537">
        <v>-0.1251216</v>
      </c>
      <c r="R3537">
        <v>-0.35785739999999999</v>
      </c>
      <c r="S3537">
        <v>3.0210569999999999</v>
      </c>
      <c r="T3537">
        <v>1.030702</v>
      </c>
      <c r="U3537">
        <v>-0.93949890000000003</v>
      </c>
      <c r="V3537">
        <v>-0.25367420000000002</v>
      </c>
      <c r="W3537">
        <v>-0.12173009999999999</v>
      </c>
      <c r="X3537">
        <v>0.95959950000000005</v>
      </c>
      <c r="Y3537">
        <v>-0.28077079999999999</v>
      </c>
      <c r="Z3537">
        <v>-0.2249729</v>
      </c>
      <c r="AA3537">
        <v>0.93303530000000001</v>
      </c>
      <c r="AB3537">
        <v>18</v>
      </c>
      <c r="AC3537">
        <v>3.0210569999999999</v>
      </c>
      <c r="AD3537">
        <v>1.030702</v>
      </c>
      <c r="AE3537">
        <v>-0.93949890000000003</v>
      </c>
      <c r="AF3537">
        <v>-0.91912350246527996</v>
      </c>
      <c r="AG3537">
        <v>1.030702</v>
      </c>
      <c r="AH3537">
        <v>2.7085015547496099</v>
      </c>
      <c r="AI3537">
        <v>70.182887464756703</v>
      </c>
      <c r="AJ3537">
        <v>108.744520143898</v>
      </c>
      <c r="AK3537">
        <v>3.0402492163750501</v>
      </c>
      <c r="AL3537">
        <v>96.991962034821498</v>
      </c>
      <c r="AM3537">
        <v>104.807650190714</v>
      </c>
      <c r="AN3537">
        <v>1.00000000869595</v>
      </c>
    </row>
    <row r="3538" spans="1:40" x14ac:dyDescent="0.25">
      <c r="A3538" t="str">
        <f>"20190305135003128"</f>
        <v>20190305135003128</v>
      </c>
      <c r="B3538" t="str">
        <f>"1551765003124153"</f>
        <v>1551765003124153</v>
      </c>
      <c r="C3538" t="s">
        <v>40</v>
      </c>
      <c r="D3538">
        <v>3.8770319999999998</v>
      </c>
      <c r="E3538">
        <v>0.46842139999999999</v>
      </c>
      <c r="F3538" t="s">
        <v>47</v>
      </c>
      <c r="G3538">
        <v>0</v>
      </c>
      <c r="H3538">
        <v>0</v>
      </c>
      <c r="I3538">
        <v>0</v>
      </c>
      <c r="J3538">
        <v>-480.89600000000002</v>
      </c>
      <c r="K3538">
        <v>1.112387</v>
      </c>
      <c r="L3538">
        <v>220.31809999999999</v>
      </c>
      <c r="M3538">
        <v>0.81325939999999997</v>
      </c>
      <c r="N3538">
        <v>-5.862786E-3</v>
      </c>
      <c r="O3538">
        <v>-0.58187169999999999</v>
      </c>
      <c r="P3538">
        <v>0.9281372</v>
      </c>
      <c r="Q3538">
        <v>-0.1239364</v>
      </c>
      <c r="R3538">
        <v>-0.35100029999999999</v>
      </c>
      <c r="S3538">
        <v>3.027679</v>
      </c>
      <c r="T3538">
        <v>1.0286879999999901</v>
      </c>
      <c r="U3538">
        <v>-0.91389469999999995</v>
      </c>
      <c r="V3538">
        <v>-0.25354569999999998</v>
      </c>
      <c r="W3538">
        <v>-0.1205687</v>
      </c>
      <c r="X3538">
        <v>0.95977999999999997</v>
      </c>
      <c r="Y3538">
        <v>-0.28167589999999998</v>
      </c>
      <c r="Z3538">
        <v>-0.2230327</v>
      </c>
      <c r="AA3538">
        <v>0.93322830000000001</v>
      </c>
      <c r="AB3538">
        <v>19</v>
      </c>
      <c r="AC3538">
        <v>3.027679</v>
      </c>
      <c r="AD3538">
        <v>1.0286879999999901</v>
      </c>
      <c r="AE3538">
        <v>-0.91389469999999995</v>
      </c>
      <c r="AF3538">
        <v>-0.92105843052843195</v>
      </c>
      <c r="AG3538">
        <v>1.0286879999999901</v>
      </c>
      <c r="AH3538">
        <v>2.7076452693767901</v>
      </c>
      <c r="AI3538">
        <v>70.217401738317704</v>
      </c>
      <c r="AJ3538">
        <v>108.786739839565</v>
      </c>
      <c r="AK3538">
        <v>3.0393898299773898</v>
      </c>
      <c r="AL3538">
        <v>96.924925408682896</v>
      </c>
      <c r="AM3538">
        <v>104.79781733936299</v>
      </c>
      <c r="AN3538">
        <v>0.99999994090408795</v>
      </c>
    </row>
    <row r="3539" spans="1:40" x14ac:dyDescent="0.25">
      <c r="A3539" t="str">
        <f>"20190305135003147"</f>
        <v>20190305135003147</v>
      </c>
      <c r="B3539" t="str">
        <f>"1551765003143674"</f>
        <v>1551765003143674</v>
      </c>
      <c r="C3539" t="s">
        <v>40</v>
      </c>
      <c r="D3539">
        <v>3.846336</v>
      </c>
      <c r="E3539">
        <v>0.4634992</v>
      </c>
      <c r="F3539" t="s">
        <v>47</v>
      </c>
      <c r="G3539">
        <v>0</v>
      </c>
      <c r="H3539">
        <v>0</v>
      </c>
      <c r="I3539">
        <v>0</v>
      </c>
      <c r="J3539">
        <v>-480.74939999999998</v>
      </c>
      <c r="K3539">
        <v>1.1124750000000001</v>
      </c>
      <c r="L3539">
        <v>220.22280000000001</v>
      </c>
      <c r="M3539">
        <v>0.81725499999999995</v>
      </c>
      <c r="N3539">
        <v>-5.8881410000000004E-3</v>
      </c>
      <c r="O3539">
        <v>-0.57624629999999999</v>
      </c>
      <c r="P3539">
        <v>0.93044660000000001</v>
      </c>
      <c r="Q3539">
        <v>-0.1228321</v>
      </c>
      <c r="R3539">
        <v>-0.34522720000000001</v>
      </c>
      <c r="S3539">
        <v>3.0443730000000002</v>
      </c>
      <c r="T3539">
        <v>0.93870690000000001</v>
      </c>
      <c r="U3539">
        <v>-0.82850650000000003</v>
      </c>
      <c r="V3539">
        <v>-0.25295810000000002</v>
      </c>
      <c r="W3539">
        <v>-0.11948159999999999</v>
      </c>
      <c r="X3539">
        <v>0.96007100000000001</v>
      </c>
      <c r="Y3539">
        <v>-0.30641960000000001</v>
      </c>
      <c r="Z3539">
        <v>-0.20690349999999999</v>
      </c>
      <c r="AA3539">
        <v>0.92913829999999997</v>
      </c>
      <c r="AB3539">
        <v>19</v>
      </c>
      <c r="AC3539">
        <v>3.0443730000000002</v>
      </c>
      <c r="AD3539">
        <v>0.93870690000000001</v>
      </c>
      <c r="AE3539">
        <v>-0.82850650000000003</v>
      </c>
      <c r="AF3539">
        <v>-0.98962579856796995</v>
      </c>
      <c r="AG3539">
        <v>0.93870690000000001</v>
      </c>
      <c r="AH3539">
        <v>2.7243482713968099</v>
      </c>
      <c r="AI3539">
        <v>72.055089186397694</v>
      </c>
      <c r="AJ3539">
        <v>109.96366927992899</v>
      </c>
      <c r="AK3539">
        <v>3.0467365112791902</v>
      </c>
      <c r="AL3539">
        <v>96.862185272326101</v>
      </c>
      <c r="AM3539">
        <v>104.760742928654</v>
      </c>
      <c r="AN3539">
        <v>0.99999998906758403</v>
      </c>
    </row>
    <row r="3540" spans="1:40" x14ac:dyDescent="0.25">
      <c r="A3540" t="str">
        <f>"20190305135003172"</f>
        <v>20190305135003172</v>
      </c>
      <c r="B3540" t="str">
        <f>"1551765003164170"</f>
        <v>1551765003164170</v>
      </c>
      <c r="C3540" t="s">
        <v>40</v>
      </c>
      <c r="D3540">
        <v>4.0480349999999996</v>
      </c>
      <c r="E3540">
        <v>0.41099229999999998</v>
      </c>
      <c r="F3540" t="s">
        <v>47</v>
      </c>
      <c r="G3540">
        <v>0</v>
      </c>
      <c r="H3540">
        <v>0</v>
      </c>
      <c r="I3540">
        <v>0</v>
      </c>
      <c r="J3540">
        <v>-480.57429999999999</v>
      </c>
      <c r="K3540">
        <v>1.112584</v>
      </c>
      <c r="L3540">
        <v>220.11099999999999</v>
      </c>
      <c r="M3540">
        <v>0.82200580000000001</v>
      </c>
      <c r="N3540">
        <v>-5.9198740000000003E-3</v>
      </c>
      <c r="O3540">
        <v>-0.56944839999999997</v>
      </c>
      <c r="P3540">
        <v>0.93309920000000002</v>
      </c>
      <c r="Q3540">
        <v>-0.1214181</v>
      </c>
      <c r="R3540">
        <v>-0.33850239999999998</v>
      </c>
      <c r="S3540">
        <v>3.0543520000000002</v>
      </c>
      <c r="T3540">
        <v>0.88613410000000004</v>
      </c>
      <c r="U3540">
        <v>-0.77319340000000003</v>
      </c>
      <c r="V3540">
        <v>-0.25201649999999998</v>
      </c>
      <c r="W3540">
        <v>-0.1180862</v>
      </c>
      <c r="X3540">
        <v>0.96049119999999999</v>
      </c>
      <c r="Y3540">
        <v>-0.31855280000000002</v>
      </c>
      <c r="Z3540">
        <v>-0.19605500000000001</v>
      </c>
      <c r="AA3540">
        <v>0.92740849999999997</v>
      </c>
      <c r="AB3540">
        <v>19</v>
      </c>
      <c r="AC3540">
        <v>3.0543520000000002</v>
      </c>
      <c r="AD3540">
        <v>0.88613410000000004</v>
      </c>
      <c r="AE3540">
        <v>-0.77319340000000003</v>
      </c>
      <c r="AF3540">
        <v>-1.0228375742114599</v>
      </c>
      <c r="AG3540">
        <v>0.88613410000000004</v>
      </c>
      <c r="AH3540">
        <v>2.7347196091808299</v>
      </c>
      <c r="AI3540">
        <v>73.117087732650603</v>
      </c>
      <c r="AJ3540">
        <v>110.50676065912</v>
      </c>
      <c r="AK3540">
        <v>3.05124920110433</v>
      </c>
      <c r="AL3540">
        <v>96.781664542405295</v>
      </c>
      <c r="AM3540">
        <v>104.70202876651599</v>
      </c>
      <c r="AN3540">
        <v>1.00000000609006</v>
      </c>
    </row>
    <row r="3541" spans="1:40" x14ac:dyDescent="0.25">
      <c r="A3541" t="str">
        <f>"20190305135003194"</f>
        <v>20190305135003194</v>
      </c>
      <c r="B3541" t="str">
        <f>"1551765003183690"</f>
        <v>1551765003183690</v>
      </c>
      <c r="C3541" t="s">
        <v>40</v>
      </c>
      <c r="D3541">
        <v>4.0355589999999903</v>
      </c>
      <c r="E3541">
        <v>0.4110414</v>
      </c>
      <c r="F3541" t="s">
        <v>60</v>
      </c>
      <c r="G3541">
        <v>-169.40350000000001</v>
      </c>
      <c r="H3541">
        <v>9.6106630000000006</v>
      </c>
      <c r="I3541">
        <v>184.81530000000001</v>
      </c>
      <c r="J3541">
        <v>-480.41969999999998</v>
      </c>
      <c r="K3541">
        <v>1.1126750000000001</v>
      </c>
      <c r="L3541">
        <v>220.01419999999999</v>
      </c>
      <c r="M3541">
        <v>0.82617819999999997</v>
      </c>
      <c r="N3541">
        <v>-5.9486399999999998E-3</v>
      </c>
      <c r="O3541">
        <v>-0.56337789999999999</v>
      </c>
      <c r="P3541">
        <v>0.93535749999999995</v>
      </c>
      <c r="Q3541">
        <v>-0.1212104</v>
      </c>
      <c r="R3541">
        <v>-0.33228730000000001</v>
      </c>
      <c r="S3541">
        <v>3.0986020000000001</v>
      </c>
      <c r="T3541">
        <v>8.4623219999999999E-2</v>
      </c>
      <c r="U3541">
        <v>-0.35147089999999998</v>
      </c>
      <c r="V3541">
        <v>-0.25132409999999999</v>
      </c>
      <c r="W3541">
        <v>-0.117897</v>
      </c>
      <c r="X3541">
        <v>0.96069590000000005</v>
      </c>
      <c r="Y3541">
        <v>-0.46626129999999999</v>
      </c>
      <c r="Z3541">
        <v>-2.2965010000000001E-2</v>
      </c>
      <c r="AA3541">
        <v>0.88434889999999999</v>
      </c>
      <c r="AB3541">
        <v>19</v>
      </c>
      <c r="AC3541">
        <v>311.01620000000003</v>
      </c>
      <c r="AD3541">
        <v>8.4979879999999994</v>
      </c>
      <c r="AE3541">
        <v>-35.198899999999902</v>
      </c>
      <c r="AF3541">
        <v>-146.03399693330499</v>
      </c>
      <c r="AG3541">
        <v>8.4979879999999994</v>
      </c>
      <c r="AH3541">
        <v>276.586042492812</v>
      </c>
      <c r="AI3541">
        <v>88.443657123326702</v>
      </c>
      <c r="AJ3541">
        <v>117.83349773563501</v>
      </c>
      <c r="AK3541">
        <v>312.88653368625597</v>
      </c>
      <c r="AL3541">
        <v>96.770747563603294</v>
      </c>
      <c r="AM3541">
        <v>104.66038907425801</v>
      </c>
      <c r="AN3541">
        <v>1.0000000590633</v>
      </c>
    </row>
    <row r="3542" spans="1:40" x14ac:dyDescent="0.25">
      <c r="A3542" t="str">
        <f>"20190305135003214"</f>
        <v>20190305135003214</v>
      </c>
      <c r="B3542" t="str">
        <f>"1551765003204187"</f>
        <v>1551765003204187</v>
      </c>
      <c r="C3542" t="s">
        <v>40</v>
      </c>
      <c r="D3542">
        <v>4.049131</v>
      </c>
      <c r="E3542">
        <v>0.41195019999999999</v>
      </c>
      <c r="F3542" t="s">
        <v>71</v>
      </c>
      <c r="G3542">
        <v>-252.87299999999999</v>
      </c>
      <c r="H3542">
        <v>6.3163539999999996</v>
      </c>
      <c r="I3542">
        <v>195.66540000000001</v>
      </c>
      <c r="J3542">
        <v>-480.2681</v>
      </c>
      <c r="K3542">
        <v>1.1127549999999999</v>
      </c>
      <c r="L3542">
        <v>219.92089999999999</v>
      </c>
      <c r="M3542">
        <v>0.83024259999999905</v>
      </c>
      <c r="N3542">
        <v>-5.9764980000000002E-3</v>
      </c>
      <c r="O3542">
        <v>-0.55737009999999998</v>
      </c>
      <c r="P3542">
        <v>0.93747800000000003</v>
      </c>
      <c r="Q3542">
        <v>-0.1212771</v>
      </c>
      <c r="R3542">
        <v>-0.3262313</v>
      </c>
      <c r="S3542">
        <v>3.0986630000000002</v>
      </c>
      <c r="T3542">
        <v>7.0863599999999999E-2</v>
      </c>
      <c r="U3542">
        <v>-0.33157350000000002</v>
      </c>
      <c r="V3542">
        <v>-0.2505406</v>
      </c>
      <c r="W3542">
        <v>-0.1179776</v>
      </c>
      <c r="X3542">
        <v>0.96089060000000004</v>
      </c>
      <c r="Y3542">
        <v>-0.46557460000000001</v>
      </c>
      <c r="Z3542">
        <v>-1.943978E-2</v>
      </c>
      <c r="AA3542">
        <v>0.88479509999999995</v>
      </c>
      <c r="AB3542">
        <v>19</v>
      </c>
      <c r="AC3542">
        <v>227.39510000000001</v>
      </c>
      <c r="AD3542">
        <v>5.2035989999999996</v>
      </c>
      <c r="AE3542">
        <v>-24.255499999999898</v>
      </c>
      <c r="AF3542">
        <v>-106.552019534157</v>
      </c>
      <c r="AG3542">
        <v>5.2035989999999996</v>
      </c>
      <c r="AH3542">
        <v>202.21131289451</v>
      </c>
      <c r="AI3542">
        <v>88.695817306229202</v>
      </c>
      <c r="AJ3542">
        <v>117.78627170009101</v>
      </c>
      <c r="AK3542">
        <v>228.62595078398601</v>
      </c>
      <c r="AL3542">
        <v>96.775398285465101</v>
      </c>
      <c r="AM3542">
        <v>104.613810728852</v>
      </c>
      <c r="AN3542">
        <v>1.0000000257592301</v>
      </c>
    </row>
    <row r="3543" spans="1:40" x14ac:dyDescent="0.25">
      <c r="A3543" t="str">
        <f>"20190305135003237"</f>
        <v>20190305135003237</v>
      </c>
      <c r="B3543" t="str">
        <f>"1551765003233972"</f>
        <v>1551765003233972</v>
      </c>
      <c r="C3543" t="s">
        <v>40</v>
      </c>
      <c r="D3543">
        <v>4.0274390000000002</v>
      </c>
      <c r="E3543">
        <v>0.41323090000000001</v>
      </c>
      <c r="F3543" t="s">
        <v>71</v>
      </c>
      <c r="G3543">
        <v>-253.87450000000001</v>
      </c>
      <c r="H3543">
        <v>5.7076079999999996</v>
      </c>
      <c r="I3543">
        <v>196.64</v>
      </c>
      <c r="J3543">
        <v>-480.10239999999999</v>
      </c>
      <c r="K3543">
        <v>1.1128420000000001</v>
      </c>
      <c r="L3543">
        <v>219.82060000000001</v>
      </c>
      <c r="M3543">
        <v>0.83465389999999995</v>
      </c>
      <c r="N3543">
        <v>-6.0065219999999898E-3</v>
      </c>
      <c r="O3543">
        <v>-0.55074209999999901</v>
      </c>
      <c r="P3543">
        <v>0.93988660000000002</v>
      </c>
      <c r="Q3543">
        <v>-0.12015380000000001</v>
      </c>
      <c r="R3543">
        <v>-0.31965070000000001</v>
      </c>
      <c r="S3543">
        <v>3.0973510000000002</v>
      </c>
      <c r="T3543">
        <v>6.2864779999999995E-2</v>
      </c>
      <c r="U3543">
        <v>-0.31851200000000002</v>
      </c>
      <c r="V3543">
        <v>-0.24969469999999999</v>
      </c>
      <c r="W3543">
        <v>-0.116866</v>
      </c>
      <c r="X3543">
        <v>0.96124659999999995</v>
      </c>
      <c r="Y3543">
        <v>-0.46223649999999999</v>
      </c>
      <c r="Z3543">
        <v>-1.7325599999999899E-2</v>
      </c>
      <c r="AA3543">
        <v>0.88658740000000003</v>
      </c>
      <c r="AB3543">
        <v>19</v>
      </c>
      <c r="AC3543">
        <v>226.22790000000001</v>
      </c>
      <c r="AD3543">
        <v>4.5947659999999999</v>
      </c>
      <c r="AE3543">
        <v>-23.180599999999998</v>
      </c>
      <c r="AF3543">
        <v>-105.204398386023</v>
      </c>
      <c r="AG3543">
        <v>4.5947659999999999</v>
      </c>
      <c r="AH3543">
        <v>201.50989952572601</v>
      </c>
      <c r="AI3543">
        <v>88.842049499440904</v>
      </c>
      <c r="AJ3543">
        <v>117.568185540423</v>
      </c>
      <c r="AK3543">
        <v>227.36604170638199</v>
      </c>
      <c r="AL3543">
        <v>96.711264358443898</v>
      </c>
      <c r="AM3543">
        <v>104.56140681565699</v>
      </c>
      <c r="AN3543">
        <v>1.0000000655878201</v>
      </c>
    </row>
    <row r="3544" spans="1:40" x14ac:dyDescent="0.25">
      <c r="A3544" t="str">
        <f>"20190305135003258"</f>
        <v>20190305135003258</v>
      </c>
      <c r="B3544" t="str">
        <f>"1551765003253493"</f>
        <v>1551765003253493</v>
      </c>
      <c r="C3544" t="s">
        <v>40</v>
      </c>
      <c r="D3544">
        <v>4.0028430000000004</v>
      </c>
      <c r="E3544">
        <v>0.4140973</v>
      </c>
      <c r="F3544" t="s">
        <v>71</v>
      </c>
      <c r="G3544">
        <v>-253.001</v>
      </c>
      <c r="H3544">
        <v>5.2843339999999897</v>
      </c>
      <c r="I3544">
        <v>197.30680000000001</v>
      </c>
      <c r="J3544">
        <v>-479.94819999999999</v>
      </c>
      <c r="K3544">
        <v>1.1129199999999999</v>
      </c>
      <c r="L3544">
        <v>219.72900000000001</v>
      </c>
      <c r="M3544">
        <v>0.83873109999999995</v>
      </c>
      <c r="N3544">
        <v>-6.0344159999999999E-3</v>
      </c>
      <c r="O3544">
        <v>-0.54451260000000001</v>
      </c>
      <c r="P3544">
        <v>0.94201210000000002</v>
      </c>
      <c r="Q3544">
        <v>-0.11884400000000001</v>
      </c>
      <c r="R3544">
        <v>-0.31383070000000002</v>
      </c>
      <c r="S3544">
        <v>3.094849</v>
      </c>
      <c r="T3544">
        <v>5.6848879999999997E-2</v>
      </c>
      <c r="U3544">
        <v>-0.30680849999999998</v>
      </c>
      <c r="V3544">
        <v>-0.24856619999999999</v>
      </c>
      <c r="W3544">
        <v>-0.1155622</v>
      </c>
      <c r="X3544">
        <v>0.96169660000000001</v>
      </c>
      <c r="Y3544">
        <v>-0.45891850000000001</v>
      </c>
      <c r="Z3544">
        <v>-1.5733299999999999E-2</v>
      </c>
      <c r="AA3544">
        <v>0.88833909999999905</v>
      </c>
      <c r="AB3544">
        <v>19</v>
      </c>
      <c r="AC3544">
        <v>226.94720000000001</v>
      </c>
      <c r="AD3544">
        <v>4.1714140000000004</v>
      </c>
      <c r="AE3544">
        <v>-22.4222</v>
      </c>
      <c r="AF3544">
        <v>-104.73626577020801</v>
      </c>
      <c r="AG3544">
        <v>4.1714140000000004</v>
      </c>
      <c r="AH3544">
        <v>202.49275873864599</v>
      </c>
      <c r="AI3544">
        <v>88.951741091587493</v>
      </c>
      <c r="AJ3544">
        <v>117.349570387611</v>
      </c>
      <c r="AK3544">
        <v>228.014042119854</v>
      </c>
      <c r="AL3544">
        <v>96.636052508475402</v>
      </c>
      <c r="AM3544">
        <v>104.49187726877101</v>
      </c>
      <c r="AN3544">
        <v>1.00000006415141</v>
      </c>
    </row>
    <row r="3545" spans="1:40" x14ac:dyDescent="0.25">
      <c r="A3545" t="str">
        <f>"20190305135003281"</f>
        <v>20190305135003281</v>
      </c>
      <c r="B3545" t="str">
        <f>"1551765003273989"</f>
        <v>1551765003273989</v>
      </c>
      <c r="C3545" t="s">
        <v>40</v>
      </c>
      <c r="D3545">
        <v>3.6222910000000001</v>
      </c>
      <c r="E3545">
        <v>0.41099649999999999</v>
      </c>
      <c r="F3545" t="s">
        <v>71</v>
      </c>
      <c r="G3545">
        <v>-252.96850000000001</v>
      </c>
      <c r="H3545">
        <v>5.3644990000000004</v>
      </c>
      <c r="I3545">
        <v>198.12360000000001</v>
      </c>
      <c r="J3545">
        <v>-479.7765</v>
      </c>
      <c r="K3545">
        <v>1.113002</v>
      </c>
      <c r="L3545">
        <v>219.62880000000001</v>
      </c>
      <c r="M3545">
        <v>0.84323909999999902</v>
      </c>
      <c r="N3545">
        <v>-6.0660009999999997E-3</v>
      </c>
      <c r="O3545">
        <v>-0.53750419999999999</v>
      </c>
      <c r="P3545">
        <v>0.94419819999999999</v>
      </c>
      <c r="Q3545">
        <v>-0.1180872</v>
      </c>
      <c r="R3545">
        <v>-0.30748160000000002</v>
      </c>
      <c r="S3545">
        <v>3.0938720000000002</v>
      </c>
      <c r="T3545">
        <v>5.7952999999999998E-2</v>
      </c>
      <c r="U3545">
        <v>-0.2944946</v>
      </c>
      <c r="V3545">
        <v>-0.24706239999999999</v>
      </c>
      <c r="W3545">
        <v>-0.1148097</v>
      </c>
      <c r="X3545">
        <v>0.96217410000000003</v>
      </c>
      <c r="Y3545">
        <v>-0.45498070000000002</v>
      </c>
      <c r="Z3545">
        <v>-1.5835100000000001E-2</v>
      </c>
      <c r="AA3545">
        <v>0.8903605</v>
      </c>
      <c r="AB3545">
        <v>19</v>
      </c>
      <c r="AC3545">
        <v>226.80799999999999</v>
      </c>
      <c r="AD3545">
        <v>4.2514969999999996</v>
      </c>
      <c r="AE3545">
        <v>-21.505199999999999</v>
      </c>
      <c r="AF3545">
        <v>-103.742022639932</v>
      </c>
      <c r="AG3545">
        <v>4.2514969999999996</v>
      </c>
      <c r="AH3545">
        <v>202.74566247143599</v>
      </c>
      <c r="AI3545">
        <v>88.930542735814996</v>
      </c>
      <c r="AJ3545">
        <v>117.09816925151399</v>
      </c>
      <c r="AK3545">
        <v>227.78561442537699</v>
      </c>
      <c r="AL3545">
        <v>96.592648645862894</v>
      </c>
      <c r="AM3545">
        <v>104.401010044049</v>
      </c>
      <c r="AN3545">
        <v>1.0000000477093201</v>
      </c>
    </row>
    <row r="3546" spans="1:40" x14ac:dyDescent="0.25">
      <c r="A3546" t="str">
        <f>"20190305135003346"</f>
        <v>20190305135003346</v>
      </c>
      <c r="B3546" t="str">
        <f>"1551765003343793"</f>
        <v>1551765003343793</v>
      </c>
      <c r="C3546" t="s">
        <v>40</v>
      </c>
      <c r="D3546">
        <v>3.333796</v>
      </c>
      <c r="E3546">
        <v>0.41099649999999999</v>
      </c>
      <c r="F3546" t="s">
        <v>60</v>
      </c>
      <c r="G3546">
        <v>-168.4186</v>
      </c>
      <c r="H3546">
        <v>12.576449999999999</v>
      </c>
      <c r="I3546">
        <v>194.50470000000001</v>
      </c>
      <c r="J3546">
        <v>-479.2851</v>
      </c>
      <c r="K3546">
        <v>1.1132629999999999</v>
      </c>
      <c r="L3546">
        <v>219.35319999999999</v>
      </c>
      <c r="M3546">
        <v>0.85591879999999998</v>
      </c>
      <c r="N3546">
        <v>-6.1574990000000003E-3</v>
      </c>
      <c r="O3546">
        <v>-0.51707389999999998</v>
      </c>
      <c r="P3546">
        <v>0.95031480000000002</v>
      </c>
      <c r="Q3546">
        <v>-0.1182995</v>
      </c>
      <c r="R3546">
        <v>-0.28793600000000003</v>
      </c>
      <c r="S3546">
        <v>3.1099239999999999</v>
      </c>
      <c r="T3546">
        <v>0.1145003</v>
      </c>
      <c r="U3546">
        <v>-0.250946</v>
      </c>
      <c r="V3546">
        <v>-0.24369389999999999</v>
      </c>
      <c r="W3546">
        <v>-0.11504449999999999</v>
      </c>
      <c r="X3546">
        <v>0.96300469999999905</v>
      </c>
      <c r="Y3546">
        <v>-0.44587080000000001</v>
      </c>
      <c r="Z3546">
        <v>-2.8299439999999999E-2</v>
      </c>
      <c r="AA3546">
        <v>0.8946499</v>
      </c>
      <c r="AB3546">
        <v>20</v>
      </c>
      <c r="AC3546">
        <v>310.86649999999997</v>
      </c>
      <c r="AD3546">
        <v>11.463187</v>
      </c>
      <c r="AE3546">
        <v>-24.848499999999898</v>
      </c>
      <c r="AF3546">
        <v>-139.28708182447599</v>
      </c>
      <c r="AG3546">
        <v>11.463187</v>
      </c>
      <c r="AH3546">
        <v>278.55387266206299</v>
      </c>
      <c r="AI3546">
        <v>87.8920443702916</v>
      </c>
      <c r="AJ3546">
        <v>116.566720614967</v>
      </c>
      <c r="AK3546">
        <v>311.64812817408</v>
      </c>
      <c r="AL3546">
        <v>96.606191726073803</v>
      </c>
      <c r="AM3546">
        <v>104.200908590617</v>
      </c>
      <c r="AN3546">
        <v>1.00000000304977</v>
      </c>
    </row>
    <row r="3547" spans="1:40" x14ac:dyDescent="0.25">
      <c r="A3547" t="str">
        <f>"20190305135003371"</f>
        <v>20190305135003371</v>
      </c>
      <c r="B3547" t="str">
        <f>"1551765003364288"</f>
        <v>1551765003364288</v>
      </c>
      <c r="C3547" t="s">
        <v>40</v>
      </c>
      <c r="D3547">
        <v>4.0149619999999997</v>
      </c>
      <c r="E3547">
        <v>0.41681580000000001</v>
      </c>
      <c r="F3547" t="s">
        <v>60</v>
      </c>
      <c r="G3547">
        <v>-168.41659999999999</v>
      </c>
      <c r="H3547">
        <v>12.56523</v>
      </c>
      <c r="I3547">
        <v>200.67590000000001</v>
      </c>
      <c r="J3547">
        <v>-479.09710000000001</v>
      </c>
      <c r="K3547">
        <v>1.1133459999999999</v>
      </c>
      <c r="L3547">
        <v>219.25190000000001</v>
      </c>
      <c r="M3547">
        <v>0.86066049999999905</v>
      </c>
      <c r="N3547">
        <v>-6.1903150000000001E-3</v>
      </c>
      <c r="O3547">
        <v>-0.50914190000000004</v>
      </c>
      <c r="P3547">
        <v>0.95277279999999998</v>
      </c>
      <c r="Q3547">
        <v>-0.1172885</v>
      </c>
      <c r="R3547">
        <v>-0.28012110000000001</v>
      </c>
      <c r="S3547">
        <v>3.1144409999999998</v>
      </c>
      <c r="T3547">
        <v>0.114732</v>
      </c>
      <c r="U3547">
        <v>-0.18711849999999999</v>
      </c>
      <c r="V3547">
        <v>-0.24275640000000001</v>
      </c>
      <c r="W3547">
        <v>-0.11403919999999999</v>
      </c>
      <c r="X3547">
        <v>0.96336100000000002</v>
      </c>
      <c r="Y3547">
        <v>-0.45591890000000002</v>
      </c>
      <c r="Z3547">
        <v>-2.821299E-2</v>
      </c>
      <c r="AA3547">
        <v>0.88957410000000003</v>
      </c>
      <c r="AB3547">
        <v>20</v>
      </c>
      <c r="AC3547">
        <v>310.68049999999999</v>
      </c>
      <c r="AD3547">
        <v>11.451884</v>
      </c>
      <c r="AE3547">
        <v>-18.576000000000001</v>
      </c>
      <c r="AF3547">
        <v>-142.00328086765199</v>
      </c>
      <c r="AG3547">
        <v>11.451884</v>
      </c>
      <c r="AH3547">
        <v>276.479202628726</v>
      </c>
      <c r="AI3547">
        <v>87.889905861799704</v>
      </c>
      <c r="AJ3547">
        <v>117.185616384714</v>
      </c>
      <c r="AK3547">
        <v>311.025444152955</v>
      </c>
      <c r="AL3547">
        <v>96.548210607001295</v>
      </c>
      <c r="AM3547">
        <v>104.143452265411</v>
      </c>
      <c r="AN3547">
        <v>1.0000000125992901</v>
      </c>
    </row>
    <row r="3548" spans="1:40" x14ac:dyDescent="0.25">
      <c r="A3548" t="str">
        <f>"20190305135003393"</f>
        <v>20190305135003393</v>
      </c>
      <c r="B3548" t="str">
        <f>"1551765003383808"</f>
        <v>1551765003383808</v>
      </c>
      <c r="C3548" t="s">
        <v>40</v>
      </c>
      <c r="D3548">
        <v>4.0718120000000004</v>
      </c>
      <c r="E3548">
        <v>0.42134700000000003</v>
      </c>
      <c r="F3548" t="s">
        <v>60</v>
      </c>
      <c r="G3548">
        <v>-168.41679999999999</v>
      </c>
      <c r="H3548">
        <v>11.07719</v>
      </c>
      <c r="I3548">
        <v>198.58670000000001</v>
      </c>
      <c r="J3548">
        <v>-478.92259999999999</v>
      </c>
      <c r="K3548">
        <v>1.11341</v>
      </c>
      <c r="L3548">
        <v>219.1601</v>
      </c>
      <c r="M3548">
        <v>0.86499579999999998</v>
      </c>
      <c r="N3548">
        <v>-6.218749E-3</v>
      </c>
      <c r="O3548">
        <v>-0.50174059999999998</v>
      </c>
      <c r="P3548">
        <v>0.95483059999999997</v>
      </c>
      <c r="Q3548">
        <v>-0.1166174</v>
      </c>
      <c r="R3548">
        <v>-0.27331100000000003</v>
      </c>
      <c r="S3548">
        <v>3.1003419999999999</v>
      </c>
      <c r="T3548">
        <v>9.9431510000000001E-2</v>
      </c>
      <c r="U3548">
        <v>-0.2062225</v>
      </c>
      <c r="V3548">
        <v>-0.2414039</v>
      </c>
      <c r="W3548">
        <v>-0.1133603</v>
      </c>
      <c r="X3548">
        <v>0.96378090000000005</v>
      </c>
      <c r="Y3548">
        <v>-0.4427043</v>
      </c>
      <c r="Z3548">
        <v>-2.437456E-2</v>
      </c>
      <c r="AA3548">
        <v>0.89633629999999997</v>
      </c>
      <c r="AB3548">
        <v>20</v>
      </c>
      <c r="AC3548">
        <v>310.50580000000002</v>
      </c>
      <c r="AD3548">
        <v>9.9637799999999999</v>
      </c>
      <c r="AE3548">
        <v>-20.5733999999999</v>
      </c>
      <c r="AF3548">
        <v>-137.85879561091301</v>
      </c>
      <c r="AG3548">
        <v>9.9637799999999999</v>
      </c>
      <c r="AH3548">
        <v>278.62846263048499</v>
      </c>
      <c r="AI3548">
        <v>88.164213400725401</v>
      </c>
      <c r="AJ3548">
        <v>116.325120376302</v>
      </c>
      <c r="AK3548">
        <v>311.02756248764803</v>
      </c>
      <c r="AL3548">
        <v>96.509058612137693</v>
      </c>
      <c r="AM3548">
        <v>104.061904362341</v>
      </c>
      <c r="AN3548">
        <v>1.0000000118780501</v>
      </c>
    </row>
    <row r="3549" spans="1:40" x14ac:dyDescent="0.25">
      <c r="A3549" t="str">
        <f>"20190305135003415"</f>
        <v>20190305135003415</v>
      </c>
      <c r="B3549" t="str">
        <f>"1551765003404304"</f>
        <v>1551765003404304</v>
      </c>
      <c r="C3549" t="s">
        <v>40</v>
      </c>
      <c r="D3549">
        <v>4.0411590000000004</v>
      </c>
      <c r="E3549">
        <v>0.42495640000000001</v>
      </c>
      <c r="F3549" t="s">
        <v>60</v>
      </c>
      <c r="G3549">
        <v>-168.41679999999999</v>
      </c>
      <c r="H3549">
        <v>9.7431789999999996</v>
      </c>
      <c r="I3549">
        <v>197.1866</v>
      </c>
      <c r="J3549">
        <v>-478.74990000000003</v>
      </c>
      <c r="K3549">
        <v>1.1134569999999999</v>
      </c>
      <c r="L3549">
        <v>219.0711</v>
      </c>
      <c r="M3549">
        <v>0.86921360000000003</v>
      </c>
      <c r="N3549">
        <v>-6.2449630000000001E-3</v>
      </c>
      <c r="O3549">
        <v>-0.49439749999999999</v>
      </c>
      <c r="P3549">
        <v>0.95698269999999996</v>
      </c>
      <c r="Q3549">
        <v>-0.11629829999999999</v>
      </c>
      <c r="R3549">
        <v>-0.26581749999999998</v>
      </c>
      <c r="S3549">
        <v>3.0898439999999998</v>
      </c>
      <c r="T3549">
        <v>8.5875149999999997E-2</v>
      </c>
      <c r="U3549">
        <v>-0.2186584</v>
      </c>
      <c r="V3549">
        <v>-0.24080789999999999</v>
      </c>
      <c r="W3549">
        <v>-0.113036999999999</v>
      </c>
      <c r="X3549">
        <v>0.96396789999999999</v>
      </c>
      <c r="Y3549">
        <v>-0.43141479999999999</v>
      </c>
      <c r="Z3549">
        <v>-2.1023610000000002E-2</v>
      </c>
      <c r="AA3549">
        <v>0.90190870000000001</v>
      </c>
      <c r="AB3549">
        <v>20</v>
      </c>
      <c r="AC3549">
        <v>310.3331</v>
      </c>
      <c r="AD3549">
        <v>8.6297219999999992</v>
      </c>
      <c r="AE3549">
        <v>-21.884499999999999</v>
      </c>
      <c r="AF3549">
        <v>-134.304871802713</v>
      </c>
      <c r="AG3549">
        <v>8.6297219999999992</v>
      </c>
      <c r="AH3549">
        <v>280.35511986556799</v>
      </c>
      <c r="AI3549">
        <v>88.409855242261898</v>
      </c>
      <c r="AJ3549">
        <v>115.596875918206</v>
      </c>
      <c r="AK3549">
        <v>310.98434675490898</v>
      </c>
      <c r="AL3549">
        <v>96.490415390138196</v>
      </c>
      <c r="AM3549">
        <v>104.02594564453</v>
      </c>
      <c r="AN3549">
        <v>0.99999996015090897</v>
      </c>
    </row>
    <row r="3550" spans="1:40" x14ac:dyDescent="0.25">
      <c r="A3550" t="str">
        <f>"20190305135003436"</f>
        <v>20190305135003436</v>
      </c>
      <c r="B3550" t="str">
        <f>"1551765003433585"</f>
        <v>1551765003433585</v>
      </c>
      <c r="C3550" t="s">
        <v>40</v>
      </c>
      <c r="D3550">
        <v>3.9797020000000001</v>
      </c>
      <c r="E3550">
        <v>0.4287359</v>
      </c>
      <c r="F3550" t="s">
        <v>60</v>
      </c>
      <c r="G3550">
        <v>-168.41650000000001</v>
      </c>
      <c r="H3550">
        <v>8.4893820000000009</v>
      </c>
      <c r="I3550">
        <v>196.70400000000001</v>
      </c>
      <c r="J3550">
        <v>-478.57709999999997</v>
      </c>
      <c r="K3550">
        <v>1.113497</v>
      </c>
      <c r="L3550">
        <v>218.98390000000001</v>
      </c>
      <c r="M3550">
        <v>0.87335929999999995</v>
      </c>
      <c r="N3550">
        <v>-6.2691989999999996E-3</v>
      </c>
      <c r="O3550">
        <v>-0.48703639999999998</v>
      </c>
      <c r="P3550">
        <v>0.95908919999999998</v>
      </c>
      <c r="Q3550">
        <v>-0.1169145</v>
      </c>
      <c r="R3550">
        <v>-0.25783529999999999</v>
      </c>
      <c r="S3550">
        <v>3.0820620000000001</v>
      </c>
      <c r="T3550">
        <v>7.3253990000000005E-2</v>
      </c>
      <c r="U3550">
        <v>-0.22213749999999999</v>
      </c>
      <c r="V3550">
        <v>-0.2406411</v>
      </c>
      <c r="W3550">
        <v>-0.1136511</v>
      </c>
      <c r="X3550">
        <v>0.96393740000000006</v>
      </c>
      <c r="Y3550">
        <v>-0.42270400000000002</v>
      </c>
      <c r="Z3550">
        <v>-1.797323E-2</v>
      </c>
      <c r="AA3550">
        <v>0.90608960000000005</v>
      </c>
      <c r="AB3550">
        <v>20</v>
      </c>
      <c r="AC3550">
        <v>310.16059999999902</v>
      </c>
      <c r="AD3550">
        <v>7.3758850000000002</v>
      </c>
      <c r="AE3550">
        <v>-22.279900000000001</v>
      </c>
      <c r="AF3550">
        <v>-131.52971358234399</v>
      </c>
      <c r="AG3550">
        <v>7.3758850000000002</v>
      </c>
      <c r="AH3550">
        <v>281.57984761020703</v>
      </c>
      <c r="AI3550">
        <v>88.640449669773005</v>
      </c>
      <c r="AJ3550">
        <v>115.037907368866</v>
      </c>
      <c r="AK3550">
        <v>310.87244943026701</v>
      </c>
      <c r="AL3550">
        <v>96.525828606942397</v>
      </c>
      <c r="AM3550">
        <v>104.017039464185</v>
      </c>
      <c r="AN3550">
        <v>1.0000000113295899</v>
      </c>
    </row>
    <row r="3551" spans="1:40" x14ac:dyDescent="0.25">
      <c r="A3551" t="str">
        <f>"20190305135003459"</f>
        <v>20190305135003459</v>
      </c>
      <c r="B3551" t="str">
        <f>"1551765003454081"</f>
        <v>1551765003454081</v>
      </c>
      <c r="C3551" t="s">
        <v>40</v>
      </c>
      <c r="D3551">
        <v>3.983514</v>
      </c>
      <c r="E3551">
        <v>0.43111080000000002</v>
      </c>
      <c r="F3551" t="s">
        <v>60</v>
      </c>
      <c r="G3551">
        <v>-169.71459999999999</v>
      </c>
      <c r="H3551">
        <v>6.6907030000000001</v>
      </c>
      <c r="I3551">
        <v>196.3263</v>
      </c>
      <c r="J3551">
        <v>-478.39479999999998</v>
      </c>
      <c r="K3551">
        <v>1.1135330000000001</v>
      </c>
      <c r="L3551">
        <v>218.8938</v>
      </c>
      <c r="M3551">
        <v>0.87764439999999999</v>
      </c>
      <c r="N3551">
        <v>-6.2933299999999998E-3</v>
      </c>
      <c r="O3551">
        <v>-0.47927110000000001</v>
      </c>
      <c r="P3551">
        <v>0.96130450000000001</v>
      </c>
      <c r="Q3551">
        <v>-0.1178699</v>
      </c>
      <c r="R3551">
        <v>-0.24899869999999999</v>
      </c>
      <c r="S3551">
        <v>3.0740970000000001</v>
      </c>
      <c r="T3551">
        <v>5.5510039999999997E-2</v>
      </c>
      <c r="U3551">
        <v>-0.2255096</v>
      </c>
      <c r="V3551">
        <v>-0.24088519999999999</v>
      </c>
      <c r="W3551">
        <v>-0.1146079</v>
      </c>
      <c r="X3551">
        <v>0.96376309999999998</v>
      </c>
      <c r="Y3551">
        <v>-0.4136049</v>
      </c>
      <c r="Z3551">
        <v>-1.387211E-2</v>
      </c>
      <c r="AA3551">
        <v>0.91035080000000002</v>
      </c>
      <c r="AB3551">
        <v>20</v>
      </c>
      <c r="AC3551">
        <v>308.68020000000001</v>
      </c>
      <c r="AD3551">
        <v>5.5771699999999997</v>
      </c>
      <c r="AE3551">
        <v>-22.5674999999999</v>
      </c>
      <c r="AF3551">
        <v>-128.09619696259799</v>
      </c>
      <c r="AG3551">
        <v>5.5771699999999997</v>
      </c>
      <c r="AH3551">
        <v>281.641514852802</v>
      </c>
      <c r="AI3551">
        <v>88.967323860021494</v>
      </c>
      <c r="AJ3551">
        <v>114.456990719606</v>
      </c>
      <c r="AK3551">
        <v>309.45384694663397</v>
      </c>
      <c r="AL3551">
        <v>96.581009967002899</v>
      </c>
      <c r="AM3551">
        <v>104.0331338376</v>
      </c>
      <c r="AN3551">
        <v>0.99999998162152903</v>
      </c>
    </row>
    <row r="3552" spans="1:40" x14ac:dyDescent="0.25">
      <c r="A3552" t="str">
        <f>"20190305135003482"</f>
        <v>20190305135003482</v>
      </c>
      <c r="B3552" t="str">
        <f>"1551765003473601"</f>
        <v>1551765003473601</v>
      </c>
      <c r="C3552" t="s">
        <v>40</v>
      </c>
      <c r="D3552">
        <v>3.9912700000000001</v>
      </c>
      <c r="E3552">
        <v>0.4333573</v>
      </c>
      <c r="F3552" t="s">
        <v>60</v>
      </c>
      <c r="G3552">
        <v>-168.41550000000001</v>
      </c>
      <c r="H3552">
        <v>5.6582140000000001</v>
      </c>
      <c r="I3552">
        <v>197.1063</v>
      </c>
      <c r="J3552">
        <v>-478.21269999999998</v>
      </c>
      <c r="K3552">
        <v>1.1135679999999999</v>
      </c>
      <c r="L3552">
        <v>218.8057</v>
      </c>
      <c r="M3552">
        <v>0.88183400000000001</v>
      </c>
      <c r="N3552">
        <v>-6.3164680000000004E-3</v>
      </c>
      <c r="O3552">
        <v>-0.47151759999999898</v>
      </c>
      <c r="P3552">
        <v>0.96335459999999995</v>
      </c>
      <c r="Q3552">
        <v>-0.1183145</v>
      </c>
      <c r="R3552">
        <v>-0.24072750000000001</v>
      </c>
      <c r="S3552">
        <v>3.0703429999999998</v>
      </c>
      <c r="T3552">
        <v>4.5015340000000001E-2</v>
      </c>
      <c r="U3552">
        <v>-0.2158051</v>
      </c>
      <c r="V3552">
        <v>-0.24063490000000001</v>
      </c>
      <c r="W3552">
        <v>-0.1150466</v>
      </c>
      <c r="X3552">
        <v>0.9637734</v>
      </c>
      <c r="Y3552">
        <v>-0.40841100000000002</v>
      </c>
      <c r="Z3552">
        <v>-1.143808E-2</v>
      </c>
      <c r="AA3552">
        <v>0.9127265</v>
      </c>
      <c r="AB3552">
        <v>20</v>
      </c>
      <c r="AC3552">
        <v>309.79719999999998</v>
      </c>
      <c r="AD3552">
        <v>4.5446460000000002</v>
      </c>
      <c r="AE3552">
        <v>-21.699400000000001</v>
      </c>
      <c r="AF3552">
        <v>-126.914920254666</v>
      </c>
      <c r="AG3552">
        <v>4.5446460000000002</v>
      </c>
      <c r="AH3552">
        <v>283.36633137286998</v>
      </c>
      <c r="AI3552">
        <v>89.161420124928895</v>
      </c>
      <c r="AJ3552">
        <v>114.126789157204</v>
      </c>
      <c r="AK3552">
        <v>310.52299197681498</v>
      </c>
      <c r="AL3552">
        <v>96.6063127329503</v>
      </c>
      <c r="AM3552">
        <v>104.01898364940401</v>
      </c>
      <c r="AN3552">
        <v>1.00000002090856</v>
      </c>
    </row>
    <row r="3553" spans="1:40" x14ac:dyDescent="0.25">
      <c r="A3553" t="str">
        <f>"20190305135003504"</f>
        <v>20190305135003504</v>
      </c>
      <c r="B3553" t="str">
        <f>"1551765003494097"</f>
        <v>1551765003494097</v>
      </c>
      <c r="C3553" t="s">
        <v>40</v>
      </c>
      <c r="D3553">
        <v>3.9649570000000001</v>
      </c>
      <c r="E3553">
        <v>0.43537510000000001</v>
      </c>
      <c r="F3553" t="s">
        <v>54</v>
      </c>
      <c r="G3553">
        <v>-285.56880000000001</v>
      </c>
      <c r="H3553">
        <v>3.5288910000000002</v>
      </c>
      <c r="I3553">
        <v>205.7747</v>
      </c>
      <c r="J3553">
        <v>-478.02629999999999</v>
      </c>
      <c r="K3553">
        <v>1.1136010000000001</v>
      </c>
      <c r="L3553">
        <v>218.7175</v>
      </c>
      <c r="M3553">
        <v>0.88602780000000003</v>
      </c>
      <c r="N3553">
        <v>-6.3397840000000002E-3</v>
      </c>
      <c r="O3553">
        <v>-0.46358870000000002</v>
      </c>
      <c r="P3553">
        <v>0.96531650000000002</v>
      </c>
      <c r="Q3553">
        <v>-0.11845799999999999</v>
      </c>
      <c r="R3553">
        <v>-0.23266229999999999</v>
      </c>
      <c r="S3553">
        <v>3.0669559999999998</v>
      </c>
      <c r="T3553">
        <v>3.8452739999999999E-2</v>
      </c>
      <c r="U3553">
        <v>-0.20745849999999999</v>
      </c>
      <c r="V3553">
        <v>-0.2400313</v>
      </c>
      <c r="W3553">
        <v>-0.1151802</v>
      </c>
      <c r="X3553">
        <v>0.96390790000000004</v>
      </c>
      <c r="Y3553">
        <v>-0.40264660000000002</v>
      </c>
      <c r="Z3553">
        <v>-9.8868040000000008E-3</v>
      </c>
      <c r="AA3553">
        <v>0.91530219999999995</v>
      </c>
      <c r="AB3553">
        <v>20</v>
      </c>
      <c r="AC3553">
        <v>192.45750000000001</v>
      </c>
      <c r="AD3553">
        <v>2.4152900000000002</v>
      </c>
      <c r="AE3553">
        <v>-12.9428</v>
      </c>
      <c r="AF3553">
        <v>-77.742817605859699</v>
      </c>
      <c r="AG3553">
        <v>2.4152900000000002</v>
      </c>
      <c r="AH3553">
        <v>176.49871155494199</v>
      </c>
      <c r="AI3553">
        <v>89.282498842273696</v>
      </c>
      <c r="AJ3553">
        <v>113.772168698127</v>
      </c>
      <c r="AK3553">
        <v>192.87709686646801</v>
      </c>
      <c r="AL3553">
        <v>96.614019003093702</v>
      </c>
      <c r="AM3553">
        <v>103.98332585999999</v>
      </c>
      <c r="AN3553">
        <v>0.99999997156706899</v>
      </c>
    </row>
    <row r="3554" spans="1:40" x14ac:dyDescent="0.25">
      <c r="A3554" t="str">
        <f>"20190305135003526"</f>
        <v>20190305135003526</v>
      </c>
      <c r="B3554" t="str">
        <f>"1551765003513620"</f>
        <v>1551765003513620</v>
      </c>
      <c r="C3554" t="s">
        <v>40</v>
      </c>
      <c r="D3554">
        <v>3.9571350000000001</v>
      </c>
      <c r="E3554">
        <v>0.43710860000000001</v>
      </c>
      <c r="F3554" t="s">
        <v>60</v>
      </c>
      <c r="G3554">
        <v>-168.4145</v>
      </c>
      <c r="H3554">
        <v>4.4452069999999999</v>
      </c>
      <c r="I3554">
        <v>198.72829999999999</v>
      </c>
      <c r="J3554">
        <v>-477.84949999999998</v>
      </c>
      <c r="K3554">
        <v>1.113637</v>
      </c>
      <c r="L3554">
        <v>218.63570000000001</v>
      </c>
      <c r="M3554">
        <v>0.88991900000000002</v>
      </c>
      <c r="N3554">
        <v>-6.3617200000000004E-3</v>
      </c>
      <c r="O3554">
        <v>-0.45607449999999999</v>
      </c>
      <c r="P3554">
        <v>0.96713950000000004</v>
      </c>
      <c r="Q3554">
        <v>-0.1186178</v>
      </c>
      <c r="R3554">
        <v>-0.2248811</v>
      </c>
      <c r="S3554">
        <v>3.0641780000000001</v>
      </c>
      <c r="T3554">
        <v>3.2972689999999999E-2</v>
      </c>
      <c r="U3554">
        <v>-0.19783020000000001</v>
      </c>
      <c r="V3554">
        <v>-0.239617</v>
      </c>
      <c r="W3554">
        <v>-0.1153343</v>
      </c>
      <c r="X3554">
        <v>0.96399259999999998</v>
      </c>
      <c r="Y3554">
        <v>-0.39772420000000003</v>
      </c>
      <c r="Z3554">
        <v>-8.6064460000000002E-3</v>
      </c>
      <c r="AA3554">
        <v>0.91746470000000002</v>
      </c>
      <c r="AB3554">
        <v>21</v>
      </c>
      <c r="AC3554">
        <v>309.43499999999898</v>
      </c>
      <c r="AD3554">
        <v>3.3315699999999899</v>
      </c>
      <c r="AE3554">
        <v>-19.907399999999999</v>
      </c>
      <c r="AF3554">
        <v>-123.397676166425</v>
      </c>
      <c r="AG3554">
        <v>3.3315699999999899</v>
      </c>
      <c r="AH3554">
        <v>284.42422970375202</v>
      </c>
      <c r="AI3554">
        <v>89.384343241384798</v>
      </c>
      <c r="AJ3554">
        <v>113.45364896455899</v>
      </c>
      <c r="AK3554">
        <v>310.05681460743898</v>
      </c>
      <c r="AL3554">
        <v>96.622907195722902</v>
      </c>
      <c r="AM3554">
        <v>103.958956368275</v>
      </c>
      <c r="AN3554">
        <v>1.00000002015012</v>
      </c>
    </row>
    <row r="3555" spans="1:40" x14ac:dyDescent="0.25">
      <c r="A3555" t="str">
        <f>"20190305135003547"</f>
        <v>20190305135003547</v>
      </c>
      <c r="B3555" t="str">
        <f>"1551765003543873"</f>
        <v>1551765003543873</v>
      </c>
      <c r="C3555" t="s">
        <v>40</v>
      </c>
      <c r="D3555">
        <v>4.0523569999999998</v>
      </c>
      <c r="E3555">
        <v>0.47112369999999998</v>
      </c>
      <c r="F3555" t="s">
        <v>60</v>
      </c>
      <c r="G3555">
        <v>-168.41399999999999</v>
      </c>
      <c r="H3555">
        <v>3.9256850000000001</v>
      </c>
      <c r="I3555">
        <v>199.72810000000001</v>
      </c>
      <c r="J3555">
        <v>-477.66640000000001</v>
      </c>
      <c r="K3555">
        <v>1.113685</v>
      </c>
      <c r="L3555">
        <v>218.55289999999999</v>
      </c>
      <c r="M3555">
        <v>0.89385919999999897</v>
      </c>
      <c r="N3555">
        <v>-6.3815779999999997E-3</v>
      </c>
      <c r="O3555">
        <v>-0.44830239999999999</v>
      </c>
      <c r="P3555">
        <v>0.96902699999999997</v>
      </c>
      <c r="Q3555">
        <v>-0.11759799999999999</v>
      </c>
      <c r="R3555">
        <v>-0.2171573</v>
      </c>
      <c r="S3555">
        <v>3.0618289999999999</v>
      </c>
      <c r="T3555">
        <v>2.7825240000000001E-2</v>
      </c>
      <c r="U3555">
        <v>-0.187088</v>
      </c>
      <c r="V3555">
        <v>-0.2389656</v>
      </c>
      <c r="W3555">
        <v>-0.1143091</v>
      </c>
      <c r="X3555">
        <v>0.96427640000000003</v>
      </c>
      <c r="Y3555">
        <v>-0.39290190000000003</v>
      </c>
      <c r="Z3555">
        <v>-7.4191909999999899E-3</v>
      </c>
      <c r="AA3555">
        <v>0.91955050000000005</v>
      </c>
      <c r="AB3555">
        <v>21</v>
      </c>
      <c r="AC3555">
        <v>309.25240000000002</v>
      </c>
      <c r="AD3555">
        <v>2.8119999999999901</v>
      </c>
      <c r="AE3555">
        <v>-18.8247999999999</v>
      </c>
      <c r="AF3555">
        <v>-121.804317023351</v>
      </c>
      <c r="AG3555">
        <v>2.8119999999999901</v>
      </c>
      <c r="AH3555">
        <v>284.84963686333703</v>
      </c>
      <c r="AI3555">
        <v>89.479949416751495</v>
      </c>
      <c r="AJ3555">
        <v>113.15199615007801</v>
      </c>
      <c r="AK3555">
        <v>309.812063371813</v>
      </c>
      <c r="AL3555">
        <v>96.563776267672907</v>
      </c>
      <c r="AM3555">
        <v>103.91854873382201</v>
      </c>
      <c r="AN3555">
        <v>1.0000000519615599</v>
      </c>
    </row>
    <row r="3556" spans="1:40" x14ac:dyDescent="0.25">
      <c r="A3556" t="str">
        <f>"20190305135003572"</f>
        <v>20190305135003572</v>
      </c>
      <c r="B3556" t="str">
        <f>"1551765003563393"</f>
        <v>1551765003563393</v>
      </c>
      <c r="C3556" t="s">
        <v>40</v>
      </c>
      <c r="D3556">
        <v>3.9527290000000002</v>
      </c>
      <c r="E3556">
        <v>0.46858539999999999</v>
      </c>
      <c r="F3556" t="s">
        <v>74</v>
      </c>
      <c r="G3556">
        <v>-446.73809999999997</v>
      </c>
      <c r="H3556" s="1">
        <v>2.070182E-6</v>
      </c>
      <c r="I3556">
        <v>214.12950000000001</v>
      </c>
      <c r="J3556">
        <v>-477.46699999999998</v>
      </c>
      <c r="K3556">
        <v>1.113734</v>
      </c>
      <c r="L3556">
        <v>218.4648</v>
      </c>
      <c r="M3556">
        <v>0.89805100000000004</v>
      </c>
      <c r="N3556">
        <v>-6.3983929999999996E-3</v>
      </c>
      <c r="O3556">
        <v>-0.43984479999999998</v>
      </c>
      <c r="P3556">
        <v>0.97097250000000002</v>
      </c>
      <c r="Q3556">
        <v>-0.1165443</v>
      </c>
      <c r="R3556">
        <v>-0.20887749999999999</v>
      </c>
      <c r="S3556">
        <v>2.9870909999999999</v>
      </c>
      <c r="T3556">
        <v>-0.107561</v>
      </c>
      <c r="U3556">
        <v>-0.42721559999999997</v>
      </c>
      <c r="V3556">
        <v>-0.23815169999999999</v>
      </c>
      <c r="W3556">
        <v>-0.1132541</v>
      </c>
      <c r="X3556">
        <v>0.96460219999999997</v>
      </c>
      <c r="Y3556">
        <v>-0.30787829999999999</v>
      </c>
      <c r="Z3556">
        <v>1.8815689999999999E-2</v>
      </c>
      <c r="AA3556">
        <v>0.95123970000000002</v>
      </c>
      <c r="AB3556">
        <v>21</v>
      </c>
      <c r="AC3556">
        <v>30.728899999999999</v>
      </c>
      <c r="AD3556">
        <v>-1.113731929818</v>
      </c>
      <c r="AE3556">
        <v>-4.3352999999999797</v>
      </c>
      <c r="AF3556">
        <v>-9.6104453917914103</v>
      </c>
      <c r="AG3556">
        <v>-1.113731929818</v>
      </c>
      <c r="AH3556">
        <v>29.465631634915098</v>
      </c>
      <c r="AI3556">
        <v>92.058016131531701</v>
      </c>
      <c r="AJ3556">
        <v>108.064140419297</v>
      </c>
      <c r="AK3556">
        <v>31.0132956501661</v>
      </c>
      <c r="AL3556">
        <v>96.502934021073997</v>
      </c>
      <c r="AM3556">
        <v>103.86847252220601</v>
      </c>
      <c r="AN3556">
        <v>1.0000000638122599</v>
      </c>
    </row>
    <row r="3557" spans="1:40" x14ac:dyDescent="0.25">
      <c r="A3557" t="str">
        <f>"20190305135003594"</f>
        <v>20190305135003594</v>
      </c>
      <c r="B3557" t="str">
        <f>"1551765003583888"</f>
        <v>1551765003583888</v>
      </c>
      <c r="C3557" t="s">
        <v>40</v>
      </c>
      <c r="D3557">
        <v>3.9352710000000002</v>
      </c>
      <c r="E3557">
        <v>0.46818589999999999</v>
      </c>
      <c r="F3557" t="s">
        <v>78</v>
      </c>
      <c r="G3557">
        <v>-414.42790000000002</v>
      </c>
      <c r="H3557" s="1">
        <v>3.3558909999999999E-6</v>
      </c>
      <c r="I3557">
        <v>210.44460000000001</v>
      </c>
      <c r="J3557">
        <v>-477.2731</v>
      </c>
      <c r="K3557">
        <v>1.11378</v>
      </c>
      <c r="L3557">
        <v>218.38140000000001</v>
      </c>
      <c r="M3557">
        <v>0.90202930000000003</v>
      </c>
      <c r="N3557">
        <v>-6.411506E-3</v>
      </c>
      <c r="O3557">
        <v>-0.43162729999999999</v>
      </c>
      <c r="P3557">
        <v>0.97275880000000003</v>
      </c>
      <c r="Q3557">
        <v>-0.1155881</v>
      </c>
      <c r="R3557">
        <v>-0.2009475</v>
      </c>
      <c r="S3557">
        <v>3.0012210000000001</v>
      </c>
      <c r="T3557">
        <v>-5.3023460000000001E-2</v>
      </c>
      <c r="U3557">
        <v>-0.38183590000000001</v>
      </c>
      <c r="V3557">
        <v>-0.2372649</v>
      </c>
      <c r="W3557">
        <v>-0.1122987</v>
      </c>
      <c r="X3557">
        <v>0.96493229999999997</v>
      </c>
      <c r="Y3557">
        <v>-0.31425009999999998</v>
      </c>
      <c r="Z3557">
        <v>8.2776849999999999E-3</v>
      </c>
      <c r="AA3557">
        <v>0.94930420000000004</v>
      </c>
      <c r="AB3557">
        <v>21</v>
      </c>
      <c r="AC3557">
        <v>62.845199999999899</v>
      </c>
      <c r="AD3557">
        <v>-1.113776644109</v>
      </c>
      <c r="AE3557">
        <v>-7.9367999999999999</v>
      </c>
      <c r="AF3557">
        <v>-19.960716322821099</v>
      </c>
      <c r="AG3557">
        <v>-1.113776644109</v>
      </c>
      <c r="AH3557">
        <v>60.096604849094803</v>
      </c>
      <c r="AI3557">
        <v>91.007632198951896</v>
      </c>
      <c r="AJ3557">
        <v>108.373588625268</v>
      </c>
      <c r="AK3557">
        <v>63.334608303212399</v>
      </c>
      <c r="AL3557">
        <v>96.447842666422801</v>
      </c>
      <c r="AM3557">
        <v>103.814267515021</v>
      </c>
      <c r="AN3557">
        <v>0.99999998718849403</v>
      </c>
    </row>
    <row r="3558" spans="1:40" x14ac:dyDescent="0.25">
      <c r="A3558" t="str">
        <f>"20190305135003618"</f>
        <v>20190305135003618</v>
      </c>
      <c r="B3558" t="str">
        <f>"1551765003614144"</f>
        <v>1551765003614144</v>
      </c>
      <c r="C3558" t="s">
        <v>40</v>
      </c>
      <c r="D3558">
        <v>3.9709500000000002</v>
      </c>
      <c r="E3558">
        <v>0.4679199</v>
      </c>
      <c r="F3558" t="s">
        <v>74</v>
      </c>
      <c r="G3558">
        <v>-380.64940000000001</v>
      </c>
      <c r="H3558">
        <v>8.0001610000000001E-2</v>
      </c>
      <c r="I3558">
        <v>206.99010000000001</v>
      </c>
      <c r="J3558">
        <v>-477.08109999999999</v>
      </c>
      <c r="K3558">
        <v>1.113828</v>
      </c>
      <c r="L3558">
        <v>218.30080000000001</v>
      </c>
      <c r="M3558">
        <v>0.90587569999999995</v>
      </c>
      <c r="N3558">
        <v>-6.4237019999999999E-3</v>
      </c>
      <c r="O3558">
        <v>-0.42349520000000002</v>
      </c>
      <c r="P3558">
        <v>0.97437189999999996</v>
      </c>
      <c r="Q3558">
        <v>-0.11515639999999901</v>
      </c>
      <c r="R3558">
        <v>-0.1932323</v>
      </c>
      <c r="S3558">
        <v>3.0069889999999999</v>
      </c>
      <c r="T3558">
        <v>-3.2171850000000002E-2</v>
      </c>
      <c r="U3558">
        <v>-0.35450739999999997</v>
      </c>
      <c r="V3558">
        <v>-0.23624709999999999</v>
      </c>
      <c r="W3558">
        <v>-0.1118663</v>
      </c>
      <c r="X3558">
        <v>0.96523230000000004</v>
      </c>
      <c r="Y3558">
        <v>-0.31449519999999997</v>
      </c>
      <c r="Z3558">
        <v>4.2711659999999999E-3</v>
      </c>
      <c r="AA3558">
        <v>0.94924940000000002</v>
      </c>
      <c r="AB3558">
        <v>21</v>
      </c>
      <c r="AC3558">
        <v>96.431699999999907</v>
      </c>
      <c r="AD3558">
        <v>-1.03382639</v>
      </c>
      <c r="AE3558">
        <v>-11.310699999999899</v>
      </c>
      <c r="AF3558">
        <v>-30.5894333334919</v>
      </c>
      <c r="AG3558">
        <v>-1.03382639</v>
      </c>
      <c r="AH3558">
        <v>92.136605305273093</v>
      </c>
      <c r="AI3558">
        <v>90.610121324879003</v>
      </c>
      <c r="AJ3558">
        <v>108.366211425469</v>
      </c>
      <c r="AK3558">
        <v>97.087261089436893</v>
      </c>
      <c r="AL3558">
        <v>96.422910292993194</v>
      </c>
      <c r="AM3558">
        <v>103.75315079449901</v>
      </c>
      <c r="AN3558">
        <v>1.0000000771486901</v>
      </c>
    </row>
    <row r="3559" spans="1:40" x14ac:dyDescent="0.25">
      <c r="A3559" t="str">
        <f>"20190305135003638"</f>
        <v>20190305135003638</v>
      </c>
      <c r="B3559" t="str">
        <f>"1551765003633665"</f>
        <v>1551765003633665</v>
      </c>
      <c r="C3559" t="s">
        <v>40</v>
      </c>
      <c r="D3559">
        <v>3.9886249999999999</v>
      </c>
      <c r="E3559">
        <v>0.4677559</v>
      </c>
      <c r="F3559" t="s">
        <v>42</v>
      </c>
      <c r="G3559">
        <v>-290.92200000000003</v>
      </c>
      <c r="H3559" s="1">
        <v>-5.2551249999999999E-6</v>
      </c>
      <c r="I3559">
        <v>197.99260000000001</v>
      </c>
      <c r="J3559">
        <v>-476.89510000000001</v>
      </c>
      <c r="K3559">
        <v>1.113872</v>
      </c>
      <c r="L3559">
        <v>218.22470000000001</v>
      </c>
      <c r="M3559">
        <v>0.90950969999999998</v>
      </c>
      <c r="N3559">
        <v>-6.4352599999999999E-3</v>
      </c>
      <c r="O3559">
        <v>-0.41563309999999998</v>
      </c>
      <c r="P3559">
        <v>0.97580270000000002</v>
      </c>
      <c r="Q3559">
        <v>-0.1146995</v>
      </c>
      <c r="R3559">
        <v>-0.18615509999999999</v>
      </c>
      <c r="S3559">
        <v>3.0115970000000001</v>
      </c>
      <c r="T3559">
        <v>-1.801908E-2</v>
      </c>
      <c r="U3559">
        <v>-0.32853700000000002</v>
      </c>
      <c r="V3559">
        <v>-0.23491110000000001</v>
      </c>
      <c r="W3559">
        <v>-0.1114019</v>
      </c>
      <c r="X3559">
        <v>0.96561189999999997</v>
      </c>
      <c r="Y3559">
        <v>-0.31454330000000003</v>
      </c>
      <c r="Z3559">
        <v>1.6148829999999999E-3</v>
      </c>
      <c r="AA3559">
        <v>0.94924180000000002</v>
      </c>
      <c r="AB3559">
        <v>21</v>
      </c>
      <c r="AC3559">
        <v>185.97309999999999</v>
      </c>
      <c r="AD3559">
        <v>-1.113877255125</v>
      </c>
      <c r="AE3559">
        <v>-20.232099999999999</v>
      </c>
      <c r="AF3559">
        <v>-58.8944110456451</v>
      </c>
      <c r="AG3559">
        <v>-1.113877255125</v>
      </c>
      <c r="AH3559">
        <v>177.55083449110199</v>
      </c>
      <c r="AI3559">
        <v>90.341165553326107</v>
      </c>
      <c r="AJ3559">
        <v>108.35091514946301</v>
      </c>
      <c r="AK3559">
        <v>187.06707674906201</v>
      </c>
      <c r="AL3559">
        <v>96.396135428381797</v>
      </c>
      <c r="AM3559">
        <v>103.673129485438</v>
      </c>
      <c r="AN3559">
        <v>0.99999997482421399</v>
      </c>
    </row>
    <row r="3560" spans="1:40" x14ac:dyDescent="0.25">
      <c r="A3560" t="str">
        <f>"20190305135003660"</f>
        <v>20190305135003660</v>
      </c>
      <c r="B3560" t="str">
        <f>"1551765003654160"</f>
        <v>1551765003654160</v>
      </c>
      <c r="C3560" t="s">
        <v>40</v>
      </c>
      <c r="D3560">
        <v>3.9575459999999998</v>
      </c>
      <c r="E3560">
        <v>0.46772619999999998</v>
      </c>
      <c r="F3560" t="s">
        <v>87</v>
      </c>
      <c r="G3560">
        <v>-279.2355</v>
      </c>
      <c r="H3560">
        <v>0.37439440000000002</v>
      </c>
      <c r="I3560">
        <v>198.22980000000001</v>
      </c>
      <c r="J3560">
        <v>-476.7038</v>
      </c>
      <c r="K3560">
        <v>1.113907</v>
      </c>
      <c r="L3560">
        <v>218.1481</v>
      </c>
      <c r="M3560">
        <v>0.913157</v>
      </c>
      <c r="N3560">
        <v>-6.4453380000000001E-3</v>
      </c>
      <c r="O3560">
        <v>-0.4075568</v>
      </c>
      <c r="P3560">
        <v>0.97720419999999997</v>
      </c>
      <c r="Q3560">
        <v>-0.1145905</v>
      </c>
      <c r="R3560">
        <v>-0.17871999999999999</v>
      </c>
      <c r="S3560">
        <v>3.0148619999999999</v>
      </c>
      <c r="T3560">
        <v>-1.127911E-2</v>
      </c>
      <c r="U3560">
        <v>-0.30497740000000001</v>
      </c>
      <c r="V3560">
        <v>-0.23370389999999999</v>
      </c>
      <c r="W3560">
        <v>-0.111286</v>
      </c>
      <c r="X3560">
        <v>0.96591819999999895</v>
      </c>
      <c r="Y3560">
        <v>-0.31358259999999899</v>
      </c>
      <c r="Z3560">
        <v>3.835636E-4</v>
      </c>
      <c r="AA3560">
        <v>0.94956090000000004</v>
      </c>
      <c r="AB3560">
        <v>21</v>
      </c>
      <c r="AC3560">
        <v>197.4683</v>
      </c>
      <c r="AD3560">
        <v>-0.73951259999999996</v>
      </c>
      <c r="AE3560">
        <v>-19.918299999999899</v>
      </c>
      <c r="AF3560">
        <v>-62.291448858134501</v>
      </c>
      <c r="AG3560">
        <v>-0.73951259999999996</v>
      </c>
      <c r="AH3560">
        <v>188.43871641448999</v>
      </c>
      <c r="AI3560">
        <v>90.213489568129503</v>
      </c>
      <c r="AJ3560">
        <v>108.292134102261</v>
      </c>
      <c r="AK3560">
        <v>198.46894297010701</v>
      </c>
      <c r="AL3560">
        <v>96.389452956988706</v>
      </c>
      <c r="AM3560">
        <v>103.60132776071001</v>
      </c>
      <c r="AN3560">
        <v>1.00000002788122</v>
      </c>
    </row>
    <row r="3561" spans="1:40" x14ac:dyDescent="0.25">
      <c r="A3561" t="str">
        <f>"20190305135003682"</f>
        <v>20190305135003682</v>
      </c>
      <c r="B3561" t="str">
        <f>"1551765003673681"</f>
        <v>1551765003673681</v>
      </c>
      <c r="C3561" t="s">
        <v>40</v>
      </c>
      <c r="D3561">
        <v>3.951832</v>
      </c>
      <c r="E3561">
        <v>0.46813359999999898</v>
      </c>
      <c r="F3561" t="s">
        <v>54</v>
      </c>
      <c r="G3561">
        <v>-356.61939999999998</v>
      </c>
      <c r="H3561">
        <v>0.82054559999999999</v>
      </c>
      <c r="I3561">
        <v>206.93090000000001</v>
      </c>
      <c r="J3561">
        <v>-476.505</v>
      </c>
      <c r="K3561">
        <v>1.1139209999999999</v>
      </c>
      <c r="L3561">
        <v>218.07069999999999</v>
      </c>
      <c r="M3561">
        <v>0.91684219999999905</v>
      </c>
      <c r="N3561">
        <v>-6.4510649999999998E-3</v>
      </c>
      <c r="O3561">
        <v>-0.39919789999999999</v>
      </c>
      <c r="P3561">
        <v>0.9785587</v>
      </c>
      <c r="Q3561">
        <v>-0.11475630000000001</v>
      </c>
      <c r="R3561">
        <v>-0.17103750000000001</v>
      </c>
      <c r="S3561">
        <v>3.0175779999999999</v>
      </c>
      <c r="T3561">
        <v>-7.3705910000000001E-3</v>
      </c>
      <c r="U3561">
        <v>-0.2818756</v>
      </c>
      <c r="V3561">
        <v>-0.2324523</v>
      </c>
      <c r="W3561">
        <v>-0.11144419999999999</v>
      </c>
      <c r="X3561">
        <v>0.96620189999999995</v>
      </c>
      <c r="Y3561">
        <v>-0.31219530000000001</v>
      </c>
      <c r="Z3561">
        <v>-3.0050889999999999E-4</v>
      </c>
      <c r="AA3561">
        <v>0.95001789999999997</v>
      </c>
      <c r="AB3561">
        <v>21</v>
      </c>
      <c r="AC3561">
        <v>119.8856</v>
      </c>
      <c r="AD3561">
        <v>-0.29337539999999901</v>
      </c>
      <c r="AE3561">
        <v>-11.1397999999999</v>
      </c>
      <c r="AF3561">
        <v>-37.645197101686698</v>
      </c>
      <c r="AG3561">
        <v>-0.29337539999999901</v>
      </c>
      <c r="AH3561">
        <v>114.36485137426401</v>
      </c>
      <c r="AI3561">
        <v>90.139609247385806</v>
      </c>
      <c r="AJ3561">
        <v>108.21986703839499</v>
      </c>
      <c r="AK3561">
        <v>120.401686714961</v>
      </c>
      <c r="AL3561">
        <v>96.398574086710994</v>
      </c>
      <c r="AM3561">
        <v>103.52734402448</v>
      </c>
      <c r="AN3561">
        <v>0.99999999652626903</v>
      </c>
    </row>
    <row r="3562" spans="1:40" x14ac:dyDescent="0.25">
      <c r="A3562" t="str">
        <f>"20190305135003704"</f>
        <v>20190305135003704</v>
      </c>
      <c r="B3562" t="str">
        <f>"1551765003694180"</f>
        <v>1551765003694180</v>
      </c>
      <c r="C3562" t="s">
        <v>40</v>
      </c>
      <c r="D3562">
        <v>3.9030300000000002</v>
      </c>
      <c r="E3562">
        <v>0.47880070000000002</v>
      </c>
      <c r="F3562" t="s">
        <v>90</v>
      </c>
      <c r="G3562">
        <v>-257.32900000000001</v>
      </c>
      <c r="H3562">
        <v>0.5565696</v>
      </c>
      <c r="I3562">
        <v>199.1069</v>
      </c>
      <c r="J3562">
        <v>-476.31169999999997</v>
      </c>
      <c r="K3562">
        <v>1.1139269999999999</v>
      </c>
      <c r="L3562">
        <v>217.99719999999999</v>
      </c>
      <c r="M3562">
        <v>0.92032199999999997</v>
      </c>
      <c r="N3562">
        <v>-6.4522349999999997E-3</v>
      </c>
      <c r="O3562">
        <v>-0.39110820000000002</v>
      </c>
      <c r="P3562">
        <v>0.97982150000000001</v>
      </c>
      <c r="Q3562">
        <v>-0.1152511</v>
      </c>
      <c r="R3562">
        <v>-0.16329979999999999</v>
      </c>
      <c r="S3562">
        <v>3.019196</v>
      </c>
      <c r="T3562">
        <v>-7.6776739999999998E-3</v>
      </c>
      <c r="U3562">
        <v>-0.26123049999999998</v>
      </c>
      <c r="V3562">
        <v>-0.2315451</v>
      </c>
      <c r="W3562">
        <v>-0.111935199999999</v>
      </c>
      <c r="X3562">
        <v>0.96636299999999997</v>
      </c>
      <c r="Y3562">
        <v>-0.31031959999999997</v>
      </c>
      <c r="Z3562">
        <v>-2.1703560000000001E-4</v>
      </c>
      <c r="AA3562">
        <v>0.95063229999999999</v>
      </c>
      <c r="AB3562">
        <v>21</v>
      </c>
      <c r="AC3562">
        <v>218.98269999999999</v>
      </c>
      <c r="AD3562">
        <v>-0.5573574</v>
      </c>
      <c r="AE3562">
        <v>-18.8903</v>
      </c>
      <c r="AF3562">
        <v>-68.261758440016905</v>
      </c>
      <c r="AG3562">
        <v>-0.5573574</v>
      </c>
      <c r="AH3562">
        <v>208.92577002252801</v>
      </c>
      <c r="AI3562">
        <v>90.145290945454903</v>
      </c>
      <c r="AJ3562">
        <v>108.09362978630701</v>
      </c>
      <c r="AK3562">
        <v>219.79525857511399</v>
      </c>
      <c r="AL3562">
        <v>96.4268831941353</v>
      </c>
      <c r="AM3562">
        <v>103.47431493436601</v>
      </c>
      <c r="AN3562">
        <v>1.0000000350510201</v>
      </c>
    </row>
    <row r="3563" spans="1:40" x14ac:dyDescent="0.25">
      <c r="A3563" t="str">
        <f>"20190305135003727"</f>
        <v>20190305135003727</v>
      </c>
      <c r="B3563" t="str">
        <f>"1551765003723457"</f>
        <v>1551765003723457</v>
      </c>
      <c r="C3563" t="s">
        <v>40</v>
      </c>
      <c r="D3563">
        <v>4.0265599999999999</v>
      </c>
      <c r="E3563">
        <v>0.47731109999999999</v>
      </c>
      <c r="F3563" t="s">
        <v>74</v>
      </c>
      <c r="G3563">
        <v>-445.71600000000001</v>
      </c>
      <c r="H3563" s="1">
        <v>1.50088E-6</v>
      </c>
      <c r="I3563">
        <v>214.7098</v>
      </c>
      <c r="J3563">
        <v>-476.10890000000001</v>
      </c>
      <c r="K3563">
        <v>1.1139220000000001</v>
      </c>
      <c r="L3563">
        <v>217.9221</v>
      </c>
      <c r="M3563">
        <v>0.92385859999999997</v>
      </c>
      <c r="N3563">
        <v>-6.4511280000000004E-3</v>
      </c>
      <c r="O3563">
        <v>-0.38267950000000001</v>
      </c>
      <c r="P3563">
        <v>0.98121239999999998</v>
      </c>
      <c r="Q3563">
        <v>-0.1153449</v>
      </c>
      <c r="R3563">
        <v>-0.15465299999999901</v>
      </c>
      <c r="S3563">
        <v>2.9953310000000002</v>
      </c>
      <c r="T3563">
        <v>-0.1090536</v>
      </c>
      <c r="U3563">
        <v>-0.32183840000000002</v>
      </c>
      <c r="V3563">
        <v>-0.2312265</v>
      </c>
      <c r="W3563">
        <v>-0.11203009999999999</v>
      </c>
      <c r="X3563">
        <v>0.96642830000000002</v>
      </c>
      <c r="Y3563">
        <v>-0.28142620000000002</v>
      </c>
      <c r="Z3563">
        <v>1.7037790000000001E-2</v>
      </c>
      <c r="AA3563">
        <v>0.95943160000000005</v>
      </c>
      <c r="AB3563">
        <v>22</v>
      </c>
      <c r="AC3563">
        <v>30.392900000000001</v>
      </c>
      <c r="AD3563">
        <v>-1.11392049911999</v>
      </c>
      <c r="AE3563">
        <v>-3.2122999999999902</v>
      </c>
      <c r="AF3563">
        <v>-8.6517161479119302</v>
      </c>
      <c r="AG3563">
        <v>-1.11392049911999</v>
      </c>
      <c r="AH3563">
        <v>29.2697514155474</v>
      </c>
      <c r="AI3563">
        <v>92.090144180067597</v>
      </c>
      <c r="AJ3563">
        <v>106.46691899315201</v>
      </c>
      <c r="AK3563">
        <v>30.541960629768599</v>
      </c>
      <c r="AL3563">
        <v>96.432354894326494</v>
      </c>
      <c r="AM3563">
        <v>103.45557319492499</v>
      </c>
      <c r="AN3563">
        <v>1.0000000483245699</v>
      </c>
    </row>
    <row r="3564" spans="1:40" x14ac:dyDescent="0.25">
      <c r="A3564" t="str">
        <f>"20190305135003749"</f>
        <v>20190305135003749</v>
      </c>
      <c r="B3564" t="str">
        <f>"1551765003743953"</f>
        <v>1551765003743953</v>
      </c>
      <c r="C3564" t="s">
        <v>40</v>
      </c>
      <c r="D3564">
        <v>4.0089059999999996</v>
      </c>
      <c r="E3564">
        <v>0.4762633</v>
      </c>
      <c r="F3564" t="s">
        <v>78</v>
      </c>
      <c r="G3564">
        <v>-435.58260000000001</v>
      </c>
      <c r="H3564" s="1">
        <v>4.7382809999999997E-6</v>
      </c>
      <c r="I3564">
        <v>214.0943</v>
      </c>
      <c r="J3564">
        <v>-475.90949999999998</v>
      </c>
      <c r="K3564">
        <v>1.1139190000000001</v>
      </c>
      <c r="L3564">
        <v>217.8502</v>
      </c>
      <c r="M3564">
        <v>0.92722360000000004</v>
      </c>
      <c r="N3564">
        <v>-6.4494590000000003E-3</v>
      </c>
      <c r="O3564">
        <v>-0.37445250000000002</v>
      </c>
      <c r="P3564">
        <v>0.98242669999999999</v>
      </c>
      <c r="Q3564">
        <v>-0.1158338</v>
      </c>
      <c r="R3564">
        <v>-0.14635600000000001</v>
      </c>
      <c r="S3564">
        <v>3.0030209999999999</v>
      </c>
      <c r="T3564">
        <v>-8.2541820000000002E-2</v>
      </c>
      <c r="U3564">
        <v>-0.283645599999999</v>
      </c>
      <c r="V3564">
        <v>-0.23077500000000001</v>
      </c>
      <c r="W3564">
        <v>-0.11251419999999999</v>
      </c>
      <c r="X3564">
        <v>0.96647989999999995</v>
      </c>
      <c r="Y3564">
        <v>-0.28540179999999998</v>
      </c>
      <c r="Z3564">
        <v>1.239877E-2</v>
      </c>
      <c r="AA3564">
        <v>0.95832779999999995</v>
      </c>
      <c r="AB3564">
        <v>22</v>
      </c>
      <c r="AC3564">
        <v>40.326899999999902</v>
      </c>
      <c r="AD3564">
        <v>-1.1139142617190001</v>
      </c>
      <c r="AE3564">
        <v>-3.7558999999999898</v>
      </c>
      <c r="AF3564">
        <v>-11.60941017873</v>
      </c>
      <c r="AG3564">
        <v>-1.1139142617190001</v>
      </c>
      <c r="AH3564">
        <v>38.769942566737797</v>
      </c>
      <c r="AI3564">
        <v>91.576604696063399</v>
      </c>
      <c r="AJ3564">
        <v>106.669991277208</v>
      </c>
      <c r="AK3564">
        <v>40.486141533969501</v>
      </c>
      <c r="AL3564">
        <v>96.460268761168706</v>
      </c>
      <c r="AM3564">
        <v>103.42956112081001</v>
      </c>
      <c r="AN3564">
        <v>0.99999997146532404</v>
      </c>
    </row>
    <row r="3565" spans="1:40" x14ac:dyDescent="0.25">
      <c r="A3565" t="str">
        <f>"20190305135003772"</f>
        <v>20190305135003772</v>
      </c>
      <c r="B3565" t="str">
        <f>"1551765003763473"</f>
        <v>1551765003763473</v>
      </c>
      <c r="C3565" t="s">
        <v>40</v>
      </c>
      <c r="D3565">
        <v>4.0199420000000003</v>
      </c>
      <c r="E3565">
        <v>0.4759601</v>
      </c>
      <c r="F3565" t="s">
        <v>78</v>
      </c>
      <c r="G3565">
        <v>-428.04419999999999</v>
      </c>
      <c r="H3565" s="1">
        <v>2.602935E-6</v>
      </c>
      <c r="I3565">
        <v>213.87010000000001</v>
      </c>
      <c r="J3565">
        <v>-475.70479999999998</v>
      </c>
      <c r="K3565">
        <v>1.113909</v>
      </c>
      <c r="L3565">
        <v>217.7784</v>
      </c>
      <c r="M3565">
        <v>0.93055469999999896</v>
      </c>
      <c r="N3565">
        <v>-6.4477909999999996E-3</v>
      </c>
      <c r="O3565">
        <v>-0.36609639999999999</v>
      </c>
      <c r="P3565">
        <v>0.98351739999999999</v>
      </c>
      <c r="Q3565">
        <v>-0.11643290000000001</v>
      </c>
      <c r="R3565">
        <v>-0.13833609999999999</v>
      </c>
      <c r="S3565">
        <v>3.0081479999999998</v>
      </c>
      <c r="T3565">
        <v>-7.0005300000000006E-2</v>
      </c>
      <c r="U3565">
        <v>-0.25013730000000001</v>
      </c>
      <c r="V3565">
        <v>-0.22993559999999999</v>
      </c>
      <c r="W3565">
        <v>-0.11309950000000001</v>
      </c>
      <c r="X3565">
        <v>0.96661169999999996</v>
      </c>
      <c r="Y3565">
        <v>-0.2875857</v>
      </c>
      <c r="Z3565">
        <v>1.0180379999999999E-2</v>
      </c>
      <c r="AA3565">
        <v>0.95770080000000002</v>
      </c>
      <c r="AB3565">
        <v>22</v>
      </c>
      <c r="AC3565">
        <v>47.660599999999903</v>
      </c>
      <c r="AD3565">
        <v>-1.1139063970649901</v>
      </c>
      <c r="AE3565">
        <v>-3.9082999999999899</v>
      </c>
      <c r="AF3565">
        <v>-13.8042828936407</v>
      </c>
      <c r="AG3565">
        <v>-1.1139063970649901</v>
      </c>
      <c r="AH3565">
        <v>45.757729602300699</v>
      </c>
      <c r="AI3565">
        <v>91.335099030992595</v>
      </c>
      <c r="AJ3565">
        <v>106.787616913622</v>
      </c>
      <c r="AK3565">
        <v>47.807623158094202</v>
      </c>
      <c r="AL3565">
        <v>96.494019047496394</v>
      </c>
      <c r="AM3565">
        <v>103.380714847205</v>
      </c>
      <c r="AN3565">
        <v>1.0000000278122401</v>
      </c>
    </row>
    <row r="3566" spans="1:40" x14ac:dyDescent="0.25">
      <c r="A3566" t="str">
        <f>"20190305135003796"</f>
        <v>20190305135003796</v>
      </c>
      <c r="B3566" t="str">
        <f>"1551765003783968"</f>
        <v>1551765003783968</v>
      </c>
      <c r="C3566" t="s">
        <v>40</v>
      </c>
      <c r="D3566">
        <v>4.0213970000000003</v>
      </c>
      <c r="E3566">
        <v>0.4759292</v>
      </c>
      <c r="F3566" t="s">
        <v>78</v>
      </c>
      <c r="G3566">
        <v>-423.42110000000002</v>
      </c>
      <c r="H3566" s="1">
        <v>3.420735E-6</v>
      </c>
      <c r="I3566">
        <v>213.89580000000001</v>
      </c>
      <c r="J3566">
        <v>-475.4812</v>
      </c>
      <c r="K3566">
        <v>1.113901</v>
      </c>
      <c r="L3566">
        <v>217.70230000000001</v>
      </c>
      <c r="M3566">
        <v>0.93405749999999999</v>
      </c>
      <c r="N3566">
        <v>-6.4466609999999898E-3</v>
      </c>
      <c r="O3566">
        <v>-0.35706459999999901</v>
      </c>
      <c r="P3566">
        <v>0.98462260000000001</v>
      </c>
      <c r="Q3566">
        <v>-0.11631660000000001</v>
      </c>
      <c r="R3566">
        <v>-0.13034280000000001</v>
      </c>
      <c r="S3566">
        <v>3.0112299999999999</v>
      </c>
      <c r="T3566">
        <v>-6.4154390000000006E-2</v>
      </c>
      <c r="U3566">
        <v>-0.2236176</v>
      </c>
      <c r="V3566">
        <v>-0.2284332</v>
      </c>
      <c r="W3566">
        <v>-0.1129578</v>
      </c>
      <c r="X3566">
        <v>0.96698439999999997</v>
      </c>
      <c r="Y3566">
        <v>-0.28679690000000002</v>
      </c>
      <c r="Z3566">
        <v>9.0725719999999992E-3</v>
      </c>
      <c r="AA3566">
        <v>0.95794840000000003</v>
      </c>
      <c r="AB3566">
        <v>22</v>
      </c>
      <c r="AC3566">
        <v>52.060099999999899</v>
      </c>
      <c r="AD3566">
        <v>-1.1138975792649899</v>
      </c>
      <c r="AE3566">
        <v>-3.8065000000000002</v>
      </c>
      <c r="AF3566">
        <v>-15.026797784606501</v>
      </c>
      <c r="AG3566">
        <v>-1.1138975792649899</v>
      </c>
      <c r="AH3566">
        <v>49.964577061804498</v>
      </c>
      <c r="AI3566">
        <v>91.223029224780205</v>
      </c>
      <c r="AJ3566">
        <v>106.73860850947101</v>
      </c>
      <c r="AK3566">
        <v>52.187205141122</v>
      </c>
      <c r="AL3566">
        <v>96.485847984493404</v>
      </c>
      <c r="AM3566">
        <v>103.291457356414</v>
      </c>
      <c r="AN3566">
        <v>1.0000000106432201</v>
      </c>
    </row>
    <row r="3567" spans="1:40" x14ac:dyDescent="0.25">
      <c r="A3567" t="str">
        <f>"20190305135003818"</f>
        <v>20190305135003818</v>
      </c>
      <c r="B3567" t="str">
        <f>"1551765003814226"</f>
        <v>1551765003814226</v>
      </c>
      <c r="C3567" t="s">
        <v>40</v>
      </c>
      <c r="D3567">
        <v>4.0986459999999996</v>
      </c>
      <c r="E3567">
        <v>0.47663349999999999</v>
      </c>
      <c r="F3567" t="s">
        <v>78</v>
      </c>
      <c r="G3567">
        <v>-419.93680000000001</v>
      </c>
      <c r="H3567" s="1">
        <v>4.0198610000000002E-6</v>
      </c>
      <c r="I3567">
        <v>214.0273</v>
      </c>
      <c r="J3567">
        <v>-475.27940000000001</v>
      </c>
      <c r="K3567">
        <v>1.113907</v>
      </c>
      <c r="L3567">
        <v>217.63550000000001</v>
      </c>
      <c r="M3567">
        <v>0.93710680000000002</v>
      </c>
      <c r="N3567">
        <v>-6.4479119999999897E-3</v>
      </c>
      <c r="O3567">
        <v>-0.34898319999999999</v>
      </c>
      <c r="P3567">
        <v>0.98557930000000005</v>
      </c>
      <c r="Q3567">
        <v>-0.1156167</v>
      </c>
      <c r="R3567">
        <v>-0.1235576</v>
      </c>
      <c r="S3567">
        <v>3.0133359999999998</v>
      </c>
      <c r="T3567">
        <v>-6.042993E-2</v>
      </c>
      <c r="U3567">
        <v>-0.1993713</v>
      </c>
      <c r="V3567">
        <v>-0.22678010000000001</v>
      </c>
      <c r="W3567">
        <v>-0.1122317</v>
      </c>
      <c r="X3567">
        <v>0.96745789999999998</v>
      </c>
      <c r="Y3567">
        <v>-0.28625679999999998</v>
      </c>
      <c r="Z3567">
        <v>8.3570480000000006E-3</v>
      </c>
      <c r="AA3567">
        <v>0.95811650000000004</v>
      </c>
      <c r="AB3567">
        <v>22</v>
      </c>
      <c r="AC3567">
        <v>55.342599999999997</v>
      </c>
      <c r="AD3567">
        <v>-1.1139029801389999</v>
      </c>
      <c r="AE3567">
        <v>-3.6082000000000001</v>
      </c>
      <c r="AF3567">
        <v>-15.9262754416358</v>
      </c>
      <c r="AG3567">
        <v>-1.1139029801389999</v>
      </c>
      <c r="AH3567">
        <v>53.100811421624698</v>
      </c>
      <c r="AI3567">
        <v>91.151081537360398</v>
      </c>
      <c r="AJ3567">
        <v>106.695316211972</v>
      </c>
      <c r="AK3567">
        <v>55.448924272044898</v>
      </c>
      <c r="AL3567">
        <v>96.443979484627803</v>
      </c>
      <c r="AM3567">
        <v>103.19241583738901</v>
      </c>
      <c r="AN3567">
        <v>0.99999997825665399</v>
      </c>
    </row>
    <row r="3568" spans="1:40" x14ac:dyDescent="0.25">
      <c r="A3568" t="str">
        <f>"20190305135003838"</f>
        <v>20190305135003838</v>
      </c>
      <c r="B3568" t="str">
        <f>"1551765003833745"</f>
        <v>1551765003833745</v>
      </c>
      <c r="C3568" t="s">
        <v>40</v>
      </c>
      <c r="D3568">
        <v>4.0730309999999896</v>
      </c>
      <c r="E3568">
        <v>0.47720669999999998</v>
      </c>
      <c r="F3568" t="s">
        <v>78</v>
      </c>
      <c r="G3568">
        <v>-419.65839999999997</v>
      </c>
      <c r="H3568" s="1">
        <v>3.9523810000000002E-6</v>
      </c>
      <c r="I3568">
        <v>214.23439999999999</v>
      </c>
      <c r="J3568">
        <v>-475.09160000000003</v>
      </c>
      <c r="K3568">
        <v>1.1139139999999901</v>
      </c>
      <c r="L3568">
        <v>217.57490000000001</v>
      </c>
      <c r="M3568">
        <v>0.93985030000000003</v>
      </c>
      <c r="N3568">
        <v>-6.4510870000000003E-3</v>
      </c>
      <c r="O3568">
        <v>-0.34152579999999999</v>
      </c>
      <c r="P3568">
        <v>0.98649940000000003</v>
      </c>
      <c r="Q3568">
        <v>-0.1136331</v>
      </c>
      <c r="R3568">
        <v>-0.117927</v>
      </c>
      <c r="S3568">
        <v>3.0137019999999999</v>
      </c>
      <c r="T3568">
        <v>-6.0354350000000001E-2</v>
      </c>
      <c r="U3568">
        <v>-0.18428040000000001</v>
      </c>
      <c r="V3568">
        <v>-0.22472200000000001</v>
      </c>
      <c r="W3568">
        <v>-0.11021540000000001</v>
      </c>
      <c r="X3568">
        <v>0.96816970000000002</v>
      </c>
      <c r="Y3568">
        <v>-0.2834295</v>
      </c>
      <c r="Z3568">
        <v>8.2183580000000003E-3</v>
      </c>
      <c r="AA3568">
        <v>0.95895790000000003</v>
      </c>
      <c r="AB3568">
        <v>22</v>
      </c>
      <c r="AC3568">
        <v>55.433199999999999</v>
      </c>
      <c r="AD3568">
        <v>-1.11391004761899</v>
      </c>
      <c r="AE3568">
        <v>-3.34050000000002</v>
      </c>
      <c r="AF3568">
        <v>-15.7862747323616</v>
      </c>
      <c r="AG3568">
        <v>-1.11391004761899</v>
      </c>
      <c r="AH3568">
        <v>53.219470480393802</v>
      </c>
      <c r="AI3568">
        <v>91.149561162976696</v>
      </c>
      <c r="AJ3568">
        <v>106.52172198455401</v>
      </c>
      <c r="AK3568">
        <v>55.522601737790403</v>
      </c>
      <c r="AL3568">
        <v>96.327732644466096</v>
      </c>
      <c r="AM3568">
        <v>103.06753892501</v>
      </c>
      <c r="AN3568">
        <v>0.99999998983962501</v>
      </c>
    </row>
    <row r="3569" spans="1:40" x14ac:dyDescent="0.25">
      <c r="A3569" t="str">
        <f>"20190305135003862"</f>
        <v>20190305135003862</v>
      </c>
      <c r="B3569" t="str">
        <f>"1551765003854241"</f>
        <v>1551765003854241</v>
      </c>
      <c r="C3569" t="s">
        <v>40</v>
      </c>
      <c r="D3569">
        <v>4.0756110000000003</v>
      </c>
      <c r="E3569">
        <v>0.47804360000000001</v>
      </c>
      <c r="F3569" t="s">
        <v>78</v>
      </c>
      <c r="G3569">
        <v>-414.20299999999997</v>
      </c>
      <c r="H3569" s="1">
        <v>2.995401E-6</v>
      </c>
      <c r="I3569">
        <v>214.11189999999999</v>
      </c>
      <c r="J3569">
        <v>-474.86590000000001</v>
      </c>
      <c r="K3569">
        <v>1.1139159999999999</v>
      </c>
      <c r="L3569">
        <v>217.50409999999999</v>
      </c>
      <c r="M3569">
        <v>0.94302799999999998</v>
      </c>
      <c r="N3569">
        <v>-6.4563199999999998E-3</v>
      </c>
      <c r="O3569">
        <v>-0.33265080000000002</v>
      </c>
      <c r="P3569">
        <v>0.98743519999999896</v>
      </c>
      <c r="Q3569">
        <v>-0.1129213</v>
      </c>
      <c r="R3569">
        <v>-0.1105471</v>
      </c>
      <c r="S3569">
        <v>3.0142519999999999</v>
      </c>
      <c r="T3569">
        <v>-5.5143480000000002E-2</v>
      </c>
      <c r="U3569">
        <v>-0.17143249999999999</v>
      </c>
      <c r="V3569">
        <v>-0.2228716</v>
      </c>
      <c r="W3569">
        <v>-0.109473</v>
      </c>
      <c r="X3569">
        <v>0.96868149999999997</v>
      </c>
      <c r="Y3569">
        <v>-0.27848899999999999</v>
      </c>
      <c r="Z3569">
        <v>7.2393049999999997E-3</v>
      </c>
      <c r="AA3569">
        <v>0.96041209999999999</v>
      </c>
      <c r="AB3569">
        <v>22</v>
      </c>
      <c r="AC3569">
        <v>60.662899999999901</v>
      </c>
      <c r="AD3569">
        <v>-1.113913004599</v>
      </c>
      <c r="AE3569">
        <v>-3.3921999999999999</v>
      </c>
      <c r="AF3569">
        <v>-16.9752703450566</v>
      </c>
      <c r="AG3569">
        <v>-1.113913004599</v>
      </c>
      <c r="AH3569">
        <v>58.316844052388397</v>
      </c>
      <c r="AI3569">
        <v>91.050679029361703</v>
      </c>
      <c r="AJ3569">
        <v>106.229586960587</v>
      </c>
      <c r="AK3569">
        <v>60.747468306919302</v>
      </c>
      <c r="AL3569">
        <v>96.284937430814793</v>
      </c>
      <c r="AM3569">
        <v>102.956969532584</v>
      </c>
      <c r="AN3569">
        <v>0.99999996812890402</v>
      </c>
    </row>
    <row r="3570" spans="1:40" x14ac:dyDescent="0.25">
      <c r="A3570" t="str">
        <f>"20190305135003883"</f>
        <v>20190305135003883</v>
      </c>
      <c r="B3570" t="str">
        <f>"1551765003873761"</f>
        <v>1551765003873761</v>
      </c>
      <c r="C3570" t="s">
        <v>40</v>
      </c>
      <c r="D3570">
        <v>4.1069040000000001</v>
      </c>
      <c r="E3570">
        <v>0.47893069999999999</v>
      </c>
      <c r="F3570" t="s">
        <v>78</v>
      </c>
      <c r="G3570">
        <v>-412.27050000000003</v>
      </c>
      <c r="H3570" s="1">
        <v>2.6387670000000002E-6</v>
      </c>
      <c r="I3570">
        <v>214.27010000000001</v>
      </c>
      <c r="J3570">
        <v>-474.65940000000001</v>
      </c>
      <c r="K3570">
        <v>1.11392</v>
      </c>
      <c r="L3570">
        <v>217.44120000000001</v>
      </c>
      <c r="M3570">
        <v>0.94582270000000002</v>
      </c>
      <c r="N3570">
        <v>-6.4596050000000002E-3</v>
      </c>
      <c r="O3570">
        <v>-0.3246194</v>
      </c>
      <c r="P3570">
        <v>0.98802109999999999</v>
      </c>
      <c r="Q3570">
        <v>-0.11325730000000001</v>
      </c>
      <c r="R3570">
        <v>-0.1048182</v>
      </c>
      <c r="S3570">
        <v>3.0145870000000001</v>
      </c>
      <c r="T3570">
        <v>-5.3645970000000001E-2</v>
      </c>
      <c r="U3570">
        <v>-0.15574649999999901</v>
      </c>
      <c r="V3570">
        <v>-0.22023770000000001</v>
      </c>
      <c r="W3570">
        <v>-0.1097672</v>
      </c>
      <c r="X3570">
        <v>0.96925050000000001</v>
      </c>
      <c r="Y3570">
        <v>-0.27531470000000002</v>
      </c>
      <c r="Z3570">
        <v>6.8888339999999999E-3</v>
      </c>
      <c r="AA3570">
        <v>0.96132949999999995</v>
      </c>
      <c r="AB3570">
        <v>22</v>
      </c>
      <c r="AC3570">
        <v>62.3888999999999</v>
      </c>
      <c r="AD3570">
        <v>-1.113917361233</v>
      </c>
      <c r="AE3570">
        <v>-3.1710999999999898</v>
      </c>
      <c r="AF3570">
        <v>-17.248224141652301</v>
      </c>
      <c r="AG3570">
        <v>-1.113917361233</v>
      </c>
      <c r="AH3570">
        <v>60.020405210922299</v>
      </c>
      <c r="AI3570">
        <v>91.021880279300703</v>
      </c>
      <c r="AJ3570">
        <v>106.033204621964</v>
      </c>
      <c r="AK3570">
        <v>62.459515605003297</v>
      </c>
      <c r="AL3570">
        <v>96.301895802522594</v>
      </c>
      <c r="AM3570">
        <v>102.801652014116</v>
      </c>
      <c r="AN3570">
        <v>1.0000000072236801</v>
      </c>
    </row>
    <row r="3571" spans="1:40" x14ac:dyDescent="0.25">
      <c r="A3571" t="str">
        <f>"20190305135003905"</f>
        <v>20190305135003905</v>
      </c>
      <c r="B3571" t="str">
        <f>"1551765003894256"</f>
        <v>1551765003894256</v>
      </c>
      <c r="C3571" t="s">
        <v>40</v>
      </c>
      <c r="D3571">
        <v>4.1803339999999896</v>
      </c>
      <c r="E3571">
        <v>0.4834194</v>
      </c>
      <c r="F3571" t="s">
        <v>78</v>
      </c>
      <c r="G3571">
        <v>-415.67320000000001</v>
      </c>
      <c r="H3571" s="1">
        <v>3.2142200000000002E-6</v>
      </c>
      <c r="I3571">
        <v>214.59180000000001</v>
      </c>
      <c r="J3571">
        <v>-474.45010000000002</v>
      </c>
      <c r="K3571">
        <v>1.113907</v>
      </c>
      <c r="L3571">
        <v>217.3793</v>
      </c>
      <c r="M3571">
        <v>0.9485441</v>
      </c>
      <c r="N3571">
        <v>-6.4585249999999997E-3</v>
      </c>
      <c r="O3571">
        <v>-0.31657970000000002</v>
      </c>
      <c r="P3571">
        <v>0.9885467</v>
      </c>
      <c r="Q3571">
        <v>-0.11364920000000001</v>
      </c>
      <c r="R3571">
        <v>-9.9296170000000003E-2</v>
      </c>
      <c r="S3571">
        <v>3.0144350000000002</v>
      </c>
      <c r="T3571">
        <v>-5.6925650000000001E-2</v>
      </c>
      <c r="U3571">
        <v>-0.14561459999999901</v>
      </c>
      <c r="V3571">
        <v>-0.2174123</v>
      </c>
      <c r="W3571">
        <v>-0.11011360000000001</v>
      </c>
      <c r="X3571">
        <v>0.96984890000000001</v>
      </c>
      <c r="Y3571">
        <v>-0.27036310000000002</v>
      </c>
      <c r="Z3571">
        <v>7.2347280000000002E-3</v>
      </c>
      <c r="AA3571">
        <v>0.96273120000000001</v>
      </c>
      <c r="AB3571">
        <v>22</v>
      </c>
      <c r="AC3571">
        <v>58.776899999999998</v>
      </c>
      <c r="AD3571">
        <v>-1.11390378578</v>
      </c>
      <c r="AE3571">
        <v>-2.7874999999999899</v>
      </c>
      <c r="AF3571">
        <v>-15.958118439210899</v>
      </c>
      <c r="AG3571">
        <v>-1.11390378578</v>
      </c>
      <c r="AH3571">
        <v>56.615831316991702</v>
      </c>
      <c r="AI3571">
        <v>91.084874459919305</v>
      </c>
      <c r="AJ3571">
        <v>105.741377595847</v>
      </c>
      <c r="AK3571">
        <v>58.8324288252484</v>
      </c>
      <c r="AL3571">
        <v>96.321864144466602</v>
      </c>
      <c r="AM3571">
        <v>102.635183002689</v>
      </c>
      <c r="AN3571">
        <v>1.00000000096373</v>
      </c>
    </row>
    <row r="3572" spans="1:40" x14ac:dyDescent="0.25">
      <c r="A3572" t="str">
        <f>"20190305135003927"</f>
        <v>20190305135003927</v>
      </c>
      <c r="B3572" t="str">
        <f>"1551765003923537"</f>
        <v>1551765003923537</v>
      </c>
      <c r="C3572" t="s">
        <v>40</v>
      </c>
      <c r="D3572">
        <v>4.2640890000000002</v>
      </c>
      <c r="E3572">
        <v>0.4820779</v>
      </c>
      <c r="F3572" t="s">
        <v>74</v>
      </c>
      <c r="G3572">
        <v>-460.28530000000001</v>
      </c>
      <c r="H3572" s="1">
        <v>-1.4714769999999901E-6</v>
      </c>
      <c r="I3572">
        <v>216.59520000000001</v>
      </c>
      <c r="J3572">
        <v>-474.23989999999998</v>
      </c>
      <c r="K3572">
        <v>1.1138809999999999</v>
      </c>
      <c r="L3572">
        <v>217.31899999999999</v>
      </c>
      <c r="M3572">
        <v>0.95116639999999997</v>
      </c>
      <c r="N3572">
        <v>-6.4535189999999996E-3</v>
      </c>
      <c r="O3572">
        <v>-0.30861129999999998</v>
      </c>
      <c r="P3572">
        <v>0.98896170000000005</v>
      </c>
      <c r="Q3572">
        <v>-0.1141939</v>
      </c>
      <c r="R3572">
        <v>-9.4417169999999995E-2</v>
      </c>
      <c r="S3572">
        <v>2.9911189999999999</v>
      </c>
      <c r="T3572">
        <v>-0.23521829999999999</v>
      </c>
      <c r="U3572">
        <v>-0.1655884</v>
      </c>
      <c r="V3572">
        <v>-0.21404419999999999</v>
      </c>
      <c r="W3572">
        <v>-0.1106018</v>
      </c>
      <c r="X3572">
        <v>0.97054229999999997</v>
      </c>
      <c r="Y3572">
        <v>-0.25395489999999998</v>
      </c>
      <c r="Z3572">
        <v>3.2625710000000002E-2</v>
      </c>
      <c r="AA3572">
        <v>0.96666560000000001</v>
      </c>
      <c r="AB3572">
        <v>23</v>
      </c>
      <c r="AC3572">
        <v>13.9545999999999</v>
      </c>
      <c r="AD3572">
        <v>-1.1138824714769999</v>
      </c>
      <c r="AE3572">
        <v>-0.72380000000001099</v>
      </c>
      <c r="AF3572">
        <v>-3.5953219161822401</v>
      </c>
      <c r="AG3572">
        <v>-1.1138824714769999</v>
      </c>
      <c r="AH3572">
        <v>13.411576838118201</v>
      </c>
      <c r="AI3572">
        <v>94.586518268874798</v>
      </c>
      <c r="AJ3572">
        <v>105.00677879906701</v>
      </c>
      <c r="AK3572">
        <v>13.929733203690301</v>
      </c>
      <c r="AL3572">
        <v>96.350007746233203</v>
      </c>
      <c r="AM3572">
        <v>102.43697165418401</v>
      </c>
      <c r="AN3572">
        <v>1.00000001690308</v>
      </c>
    </row>
    <row r="3573" spans="1:40" x14ac:dyDescent="0.25">
      <c r="A3573" t="str">
        <f>"20190305135003950"</f>
        <v>20190305135003950</v>
      </c>
      <c r="B3573" t="str">
        <f>"1551765003944033"</f>
        <v>1551765003944033</v>
      </c>
      <c r="C3573" t="s">
        <v>40</v>
      </c>
      <c r="D3573">
        <v>4.2284259999999998</v>
      </c>
      <c r="E3573">
        <v>0.48282350000000002</v>
      </c>
      <c r="F3573" t="s">
        <v>74</v>
      </c>
      <c r="G3573">
        <v>-460.07060000000001</v>
      </c>
      <c r="H3573" s="1">
        <v>-1.5883349999999901E-6</v>
      </c>
      <c r="I3573">
        <v>216.65539999999999</v>
      </c>
      <c r="J3573">
        <v>-474.01569999999998</v>
      </c>
      <c r="K3573">
        <v>1.113837</v>
      </c>
      <c r="L3573">
        <v>217.25649999999999</v>
      </c>
      <c r="M3573">
        <v>0.95383359999999995</v>
      </c>
      <c r="N3573">
        <v>-6.4451049999999996E-3</v>
      </c>
      <c r="O3573">
        <v>-0.30026649999999999</v>
      </c>
      <c r="P3573">
        <v>0.98942640000000004</v>
      </c>
      <c r="Q3573">
        <v>-0.1139115</v>
      </c>
      <c r="R3573">
        <v>-8.9776750000000002E-2</v>
      </c>
      <c r="S3573">
        <v>2.9929199999999998</v>
      </c>
      <c r="T3573">
        <v>-0.23528060000000001</v>
      </c>
      <c r="U3573">
        <v>-0.140152</v>
      </c>
      <c r="V3573">
        <v>-0.21012310000000001</v>
      </c>
      <c r="W3573">
        <v>-0.110247</v>
      </c>
      <c r="X3573">
        <v>0.9714391</v>
      </c>
      <c r="Y3573">
        <v>-0.25373079999999998</v>
      </c>
      <c r="Z3573">
        <v>3.2049910000000001E-2</v>
      </c>
      <c r="AA3573">
        <v>0.96674380000000004</v>
      </c>
      <c r="AB3573">
        <v>23</v>
      </c>
      <c r="AC3573">
        <v>13.945099999999901</v>
      </c>
      <c r="AD3573">
        <v>-1.1138385883349999</v>
      </c>
      <c r="AE3573">
        <v>-0.60110000000000197</v>
      </c>
      <c r="AF3573">
        <v>-3.5911042377134699</v>
      </c>
      <c r="AG3573">
        <v>-1.1138385883349999</v>
      </c>
      <c r="AH3573">
        <v>13.3967657967578</v>
      </c>
      <c r="AI3573">
        <v>94.591408287466606</v>
      </c>
      <c r="AJ3573">
        <v>105.005792469442</v>
      </c>
      <c r="AK3573">
        <v>13.91438104481</v>
      </c>
      <c r="AL3573">
        <v>96.329554090529001</v>
      </c>
      <c r="AM3573">
        <v>102.205101062032</v>
      </c>
      <c r="AN3573">
        <v>1.0000000215856999</v>
      </c>
    </row>
    <row r="3574" spans="1:40" x14ac:dyDescent="0.25">
      <c r="A3574" t="str">
        <f>"20190305135003973"</f>
        <v>20190305135003973</v>
      </c>
      <c r="B3574" t="str">
        <f>"1551765003963553"</f>
        <v>1551765003963553</v>
      </c>
      <c r="C3574" t="s">
        <v>40</v>
      </c>
      <c r="D3574">
        <v>4.1865959999999998</v>
      </c>
      <c r="E3574">
        <v>0.48384500000000003</v>
      </c>
      <c r="F3574" t="s">
        <v>74</v>
      </c>
      <c r="G3574">
        <v>-460.1035</v>
      </c>
      <c r="H3574" s="1">
        <v>-1.57025299999999E-6</v>
      </c>
      <c r="I3574">
        <v>216.64179999999999</v>
      </c>
      <c r="J3574">
        <v>-473.79129999999998</v>
      </c>
      <c r="K3574">
        <v>1.1137790000000001</v>
      </c>
      <c r="L3574">
        <v>217.19589999999999</v>
      </c>
      <c r="M3574">
        <v>0.95636279999999996</v>
      </c>
      <c r="N3574">
        <v>-6.4344650000000003E-3</v>
      </c>
      <c r="O3574">
        <v>-0.29211090000000001</v>
      </c>
      <c r="P3574">
        <v>0.99031809999999998</v>
      </c>
      <c r="Q3574">
        <v>-0.1095734</v>
      </c>
      <c r="R3574">
        <v>-8.5228040000000005E-2</v>
      </c>
      <c r="S3574">
        <v>2.9924620000000002</v>
      </c>
      <c r="T3574">
        <v>-0.23958170000000001</v>
      </c>
      <c r="U3574">
        <v>-0.13220209999999999</v>
      </c>
      <c r="V3574">
        <v>-0.20651050000000001</v>
      </c>
      <c r="W3574">
        <v>-0.10582800000000001</v>
      </c>
      <c r="X3574">
        <v>0.97270440000000002</v>
      </c>
      <c r="Y3574">
        <v>-0.2480048</v>
      </c>
      <c r="Z3574">
        <v>3.1847180000000003E-2</v>
      </c>
      <c r="AA3574">
        <v>0.96823519999999996</v>
      </c>
      <c r="AB3574">
        <v>23</v>
      </c>
      <c r="AC3574">
        <v>13.6877999999999</v>
      </c>
      <c r="AD3574">
        <v>-1.1137805702529999</v>
      </c>
      <c r="AE3574">
        <v>-0.55410000000000503</v>
      </c>
      <c r="AF3574">
        <v>-3.4457294881739799</v>
      </c>
      <c r="AG3574">
        <v>-1.1137805702529999</v>
      </c>
      <c r="AH3574">
        <v>13.1656072757609</v>
      </c>
      <c r="AI3574">
        <v>94.678725894469295</v>
      </c>
      <c r="AJ3574">
        <v>104.66659510140801</v>
      </c>
      <c r="AK3574">
        <v>13.654551395191101</v>
      </c>
      <c r="AL3574">
        <v>96.074873262563599</v>
      </c>
      <c r="AM3574">
        <v>101.986236676465</v>
      </c>
      <c r="AN3574">
        <v>1.0000000009868</v>
      </c>
    </row>
    <row r="3575" spans="1:40" x14ac:dyDescent="0.25">
      <c r="A3575" t="str">
        <f>"20190305135004007"</f>
        <v>20190305135004007</v>
      </c>
      <c r="B3575" t="str">
        <f>"1551765004003570"</f>
        <v>1551765004003570</v>
      </c>
      <c r="C3575" t="s">
        <v>40</v>
      </c>
      <c r="D3575">
        <v>4.1578970000000002</v>
      </c>
      <c r="E3575">
        <v>0.4854581</v>
      </c>
      <c r="F3575" t="s">
        <v>74</v>
      </c>
      <c r="G3575">
        <v>-459.42360000000002</v>
      </c>
      <c r="H3575" s="1">
        <v>3.3918019999999999E-6</v>
      </c>
      <c r="I3575">
        <v>216.5882</v>
      </c>
      <c r="J3575">
        <v>-473.46089999999998</v>
      </c>
      <c r="K3575">
        <v>1.1136779999999999</v>
      </c>
      <c r="L3575">
        <v>217.10980000000001</v>
      </c>
      <c r="M3575">
        <v>0.95985730000000002</v>
      </c>
      <c r="N3575">
        <v>-6.4194450000000002E-3</v>
      </c>
      <c r="O3575">
        <v>-0.28041559999999999</v>
      </c>
      <c r="P3575">
        <v>0.99202170000000001</v>
      </c>
      <c r="Q3575">
        <v>-0.1030127</v>
      </c>
      <c r="R3575">
        <v>-7.2673920000000003E-2</v>
      </c>
      <c r="S3575">
        <v>2.992737</v>
      </c>
      <c r="T3575">
        <v>-0.23199529999999999</v>
      </c>
      <c r="U3575">
        <v>-0.12657169999999901</v>
      </c>
      <c r="V3575">
        <v>-0.2072658</v>
      </c>
      <c r="W3575">
        <v>-9.9227620000000002E-2</v>
      </c>
      <c r="X3575">
        <v>0.97323930000000003</v>
      </c>
      <c r="Y3575">
        <v>-0.23815510000000001</v>
      </c>
      <c r="Z3575">
        <v>2.960202E-2</v>
      </c>
      <c r="AA3575">
        <v>0.97077590000000002</v>
      </c>
      <c r="AB3575">
        <v>23</v>
      </c>
      <c r="AC3575">
        <v>14.037299999999901</v>
      </c>
      <c r="AD3575">
        <v>-1.113674608198</v>
      </c>
      <c r="AE3575">
        <v>-0.52160000000000595</v>
      </c>
      <c r="AF3575">
        <v>-3.4142262273330801</v>
      </c>
      <c r="AG3575">
        <v>-1.113674608198</v>
      </c>
      <c r="AH3575">
        <v>13.535271260861499</v>
      </c>
      <c r="AI3575">
        <v>94.5614209133863</v>
      </c>
      <c r="AJ3575">
        <v>104.157328458611</v>
      </c>
      <c r="AK3575">
        <v>14.0035988220692</v>
      </c>
      <c r="AL3575">
        <v>95.694695242330397</v>
      </c>
      <c r="AM3575">
        <v>102.022382280619</v>
      </c>
      <c r="AN3575">
        <v>0.99999998374249699</v>
      </c>
    </row>
    <row r="3576" spans="1:40" x14ac:dyDescent="0.25">
      <c r="A3576" t="str">
        <f>"20190305135004027"</f>
        <v>20190305135004027</v>
      </c>
      <c r="B3576" t="str">
        <f>"1551765004024065"</f>
        <v>1551765004024065</v>
      </c>
      <c r="C3576" t="s">
        <v>40</v>
      </c>
      <c r="D3576">
        <v>4.1072930000000003</v>
      </c>
      <c r="E3576">
        <v>0.48621730000000002</v>
      </c>
      <c r="F3576" t="s">
        <v>74</v>
      </c>
      <c r="G3576">
        <v>-457.85860000000002</v>
      </c>
      <c r="H3576" s="1">
        <v>2.5591569999999999E-6</v>
      </c>
      <c r="I3576">
        <v>216.5839</v>
      </c>
      <c r="J3576">
        <v>-473.25389999999999</v>
      </c>
      <c r="K3576">
        <v>1.113572</v>
      </c>
      <c r="L3576">
        <v>217.05779999999999</v>
      </c>
      <c r="M3576">
        <v>0.96189860000000005</v>
      </c>
      <c r="N3576">
        <v>-6.407645E-3</v>
      </c>
      <c r="O3576">
        <v>-0.27333109999999999</v>
      </c>
      <c r="P3576">
        <v>0.99241210000000002</v>
      </c>
      <c r="Q3576">
        <v>-0.10412390000000001</v>
      </c>
      <c r="R3576">
        <v>-6.5394399999999894E-2</v>
      </c>
      <c r="S3576">
        <v>2.9945680000000001</v>
      </c>
      <c r="T3576">
        <v>-0.2137493</v>
      </c>
      <c r="U3576">
        <v>-0.1009521</v>
      </c>
      <c r="V3576">
        <v>-0.20720710000000001</v>
      </c>
      <c r="W3576">
        <v>-0.1003057</v>
      </c>
      <c r="X3576">
        <v>0.97314129999999999</v>
      </c>
      <c r="Y3576">
        <v>-0.2395504</v>
      </c>
      <c r="Z3576">
        <v>2.680519E-2</v>
      </c>
      <c r="AA3576">
        <v>0.97051379999999998</v>
      </c>
      <c r="AB3576">
        <v>23</v>
      </c>
      <c r="AC3576">
        <v>15.395299999999899</v>
      </c>
      <c r="AD3576">
        <v>-1.1135694408429999</v>
      </c>
      <c r="AE3576">
        <v>-0.473899999999986</v>
      </c>
      <c r="AF3576">
        <v>-3.7327370528427899</v>
      </c>
      <c r="AG3576">
        <v>-1.1135694408429999</v>
      </c>
      <c r="AH3576">
        <v>14.860879978358099</v>
      </c>
      <c r="AI3576">
        <v>94.156687506688399</v>
      </c>
      <c r="AJ3576">
        <v>104.099789688868</v>
      </c>
      <c r="AK3576">
        <v>15.3629136734023</v>
      </c>
      <c r="AL3576">
        <v>95.756774292173503</v>
      </c>
      <c r="AM3576">
        <v>102.02025160819301</v>
      </c>
      <c r="AN3576">
        <v>1.0000000027542899</v>
      </c>
    </row>
    <row r="3577" spans="1:40" x14ac:dyDescent="0.25">
      <c r="A3577" t="str">
        <f>"20190305135004051"</f>
        <v>20190305135004051</v>
      </c>
      <c r="B3577" t="str">
        <f>"1551765004043584"</f>
        <v>1551765004043584</v>
      </c>
      <c r="C3577" t="s">
        <v>40</v>
      </c>
      <c r="D3577">
        <v>4.1125550000000004</v>
      </c>
      <c r="E3577">
        <v>0.48721409999999998</v>
      </c>
      <c r="F3577" t="s">
        <v>74</v>
      </c>
      <c r="G3577">
        <v>-457.8073</v>
      </c>
      <c r="H3577" s="1">
        <v>2.5302879999999998E-6</v>
      </c>
      <c r="I3577">
        <v>216.6198</v>
      </c>
      <c r="J3577">
        <v>-473.0258</v>
      </c>
      <c r="K3577">
        <v>1.1134120000000001</v>
      </c>
      <c r="L3577">
        <v>217.00200000000001</v>
      </c>
      <c r="M3577">
        <v>0.96400280000000005</v>
      </c>
      <c r="N3577">
        <v>-6.3844710000000001E-3</v>
      </c>
      <c r="O3577">
        <v>-0.26581579999999999</v>
      </c>
      <c r="P3577">
        <v>0.99227569999999998</v>
      </c>
      <c r="Q3577">
        <v>-0.108541</v>
      </c>
      <c r="R3577">
        <v>-6.0066099999999997E-2</v>
      </c>
      <c r="S3577">
        <v>2.994659</v>
      </c>
      <c r="T3577">
        <v>-0.2158891</v>
      </c>
      <c r="U3577">
        <v>-8.4915160000000003E-2</v>
      </c>
      <c r="V3577">
        <v>-0.20469399999999999</v>
      </c>
      <c r="W3577">
        <v>-0.1046475</v>
      </c>
      <c r="X3577">
        <v>0.97321590000000002</v>
      </c>
      <c r="Y3577">
        <v>-0.23716380000000001</v>
      </c>
      <c r="Z3577">
        <v>2.652328E-2</v>
      </c>
      <c r="AA3577">
        <v>0.97110750000000001</v>
      </c>
      <c r="AB3577">
        <v>23</v>
      </c>
      <c r="AC3577">
        <v>15.218500000000001</v>
      </c>
      <c r="AD3577">
        <v>-1.1134094697120001</v>
      </c>
      <c r="AE3577">
        <v>-0.38220000000001098</v>
      </c>
      <c r="AF3577">
        <v>-3.6573862092595899</v>
      </c>
      <c r="AG3577">
        <v>-1.1134094697120001</v>
      </c>
      <c r="AH3577">
        <v>14.6939694099701</v>
      </c>
      <c r="AI3577">
        <v>94.205376387914498</v>
      </c>
      <c r="AJ3577">
        <v>103.977120260389</v>
      </c>
      <c r="AK3577">
        <v>15.183177913469301</v>
      </c>
      <c r="AL3577">
        <v>96.006858152086394</v>
      </c>
      <c r="AM3577">
        <v>101.87774595851</v>
      </c>
      <c r="AN3577">
        <v>0.99999996045252904</v>
      </c>
    </row>
    <row r="3578" spans="1:40" x14ac:dyDescent="0.25">
      <c r="A3578" t="str">
        <f>"20190305135004072"</f>
        <v>20190305135004072</v>
      </c>
      <c r="B3578" t="str">
        <f>"1551765004064081"</f>
        <v>1551765004064081</v>
      </c>
      <c r="C3578" t="s">
        <v>40</v>
      </c>
      <c r="D3578">
        <v>4.1436440000000001</v>
      </c>
      <c r="E3578">
        <v>0.48815710000000001</v>
      </c>
      <c r="F3578" t="s">
        <v>74</v>
      </c>
      <c r="G3578">
        <v>-458.39109999999999</v>
      </c>
      <c r="H3578" s="1">
        <v>2.8407420000000001E-6</v>
      </c>
      <c r="I3578">
        <v>216.62479999999999</v>
      </c>
      <c r="J3578">
        <v>-472.79930000000002</v>
      </c>
      <c r="K3578">
        <v>1.113213</v>
      </c>
      <c r="L3578">
        <v>216.94810000000001</v>
      </c>
      <c r="M3578">
        <v>0.96593519999999999</v>
      </c>
      <c r="N3578">
        <v>-6.3504900000000003E-3</v>
      </c>
      <c r="O3578">
        <v>-0.2587062</v>
      </c>
      <c r="P3578">
        <v>0.9922839</v>
      </c>
      <c r="Q3578">
        <v>-0.1104692</v>
      </c>
      <c r="R3578">
        <v>-5.6298580000000001E-2</v>
      </c>
      <c r="S3578">
        <v>2.9937740000000002</v>
      </c>
      <c r="T3578">
        <v>-0.2277672</v>
      </c>
      <c r="U3578">
        <v>-7.7148439999999999E-2</v>
      </c>
      <c r="V3578">
        <v>-0.2011877</v>
      </c>
      <c r="W3578">
        <v>-0.10648100000000001</v>
      </c>
      <c r="X3578">
        <v>0.97374810000000001</v>
      </c>
      <c r="Y3578">
        <v>-0.23240279999999999</v>
      </c>
      <c r="Z3578">
        <v>2.7373660000000001E-2</v>
      </c>
      <c r="AA3578">
        <v>0.97223440000000005</v>
      </c>
      <c r="AB3578">
        <v>23</v>
      </c>
      <c r="AC3578">
        <v>14.408200000000001</v>
      </c>
      <c r="AD3578">
        <v>-1.1132101592579999</v>
      </c>
      <c r="AE3578">
        <v>-0.32330000000001702</v>
      </c>
      <c r="AF3578">
        <v>-3.3950164171324402</v>
      </c>
      <c r="AG3578">
        <v>-1.1132101592579999</v>
      </c>
      <c r="AH3578">
        <v>13.9182666425687</v>
      </c>
      <c r="AI3578">
        <v>94.443165268202904</v>
      </c>
      <c r="AJ3578">
        <v>103.70819360215501</v>
      </c>
      <c r="AK3578">
        <v>14.369534427562799</v>
      </c>
      <c r="AL3578">
        <v>96.1124998451251</v>
      </c>
      <c r="AM3578">
        <v>101.673714603543</v>
      </c>
      <c r="AN3578">
        <v>1.00000002812294</v>
      </c>
    </row>
    <row r="3579" spans="1:40" x14ac:dyDescent="0.25">
      <c r="A3579" t="str">
        <f>"20190305135004096"</f>
        <v>20190305135004096</v>
      </c>
      <c r="B3579" t="str">
        <f>"1551765004083604"</f>
        <v>1551765004083604</v>
      </c>
      <c r="C3579" t="s">
        <v>40</v>
      </c>
      <c r="D3579">
        <v>4.1210879999999896</v>
      </c>
      <c r="E3579">
        <v>0.49787550000000003</v>
      </c>
      <c r="F3579" t="s">
        <v>74</v>
      </c>
      <c r="G3579">
        <v>-458.49169999999998</v>
      </c>
      <c r="H3579" s="1">
        <v>2.895473E-6</v>
      </c>
      <c r="I3579">
        <v>216.59700000000001</v>
      </c>
      <c r="J3579">
        <v>-472.56900000000002</v>
      </c>
      <c r="K3579">
        <v>1.1130450000000001</v>
      </c>
      <c r="L3579">
        <v>216.8947</v>
      </c>
      <c r="M3579">
        <v>0.96776879999999998</v>
      </c>
      <c r="N3579">
        <v>-6.3132350000000004E-3</v>
      </c>
      <c r="O3579">
        <v>-0.25176140000000002</v>
      </c>
      <c r="P3579">
        <v>0.99256350000000004</v>
      </c>
      <c r="Q3579">
        <v>-0.1095402</v>
      </c>
      <c r="R3579">
        <v>-5.3091649999999997E-2</v>
      </c>
      <c r="S3579">
        <v>2.9931950000000001</v>
      </c>
      <c r="T3579">
        <v>-0.23288700000000001</v>
      </c>
      <c r="U3579">
        <v>-7.3455809999999996E-2</v>
      </c>
      <c r="V3579">
        <v>-0.19742129999999999</v>
      </c>
      <c r="W3579">
        <v>-0.1054587</v>
      </c>
      <c r="X3579">
        <v>0.97462979999999999</v>
      </c>
      <c r="Y3579">
        <v>-0.2265808</v>
      </c>
      <c r="Z3579">
        <v>2.729587E-2</v>
      </c>
      <c r="AA3579">
        <v>0.97360979999999997</v>
      </c>
      <c r="AB3579">
        <v>23</v>
      </c>
      <c r="AC3579">
        <v>14.077299999999999</v>
      </c>
      <c r="AD3579">
        <v>-1.113042104527</v>
      </c>
      <c r="AE3579">
        <v>-0.29769999999999103</v>
      </c>
      <c r="AF3579">
        <v>-3.2358607442410099</v>
      </c>
      <c r="AG3579">
        <v>-1.113042104527</v>
      </c>
      <c r="AH3579">
        <v>13.6137251424936</v>
      </c>
      <c r="AI3579">
        <v>94.547887083489002</v>
      </c>
      <c r="AJ3579">
        <v>103.37058036414901</v>
      </c>
      <c r="AK3579">
        <v>14.037206621615701</v>
      </c>
      <c r="AL3579">
        <v>96.053595004230203</v>
      </c>
      <c r="AM3579">
        <v>101.450914802875</v>
      </c>
      <c r="AN3579">
        <v>0.99999997707370902</v>
      </c>
    </row>
    <row r="3580" spans="1:40" x14ac:dyDescent="0.25">
      <c r="A3580" t="str">
        <f>"20190305135004116"</f>
        <v>20190305135004116</v>
      </c>
      <c r="B3580" t="str">
        <f>"1551765004113857"</f>
        <v>1551765004113857</v>
      </c>
      <c r="C3580" t="s">
        <v>40</v>
      </c>
      <c r="D3580">
        <v>4.0858220000000003</v>
      </c>
      <c r="E3580">
        <v>0.49827349999999998</v>
      </c>
      <c r="F3580" t="s">
        <v>74</v>
      </c>
      <c r="G3580">
        <v>-456.49279999999999</v>
      </c>
      <c r="H3580" s="1">
        <v>1.8518790000000001E-6</v>
      </c>
      <c r="I3580">
        <v>216.13759999999999</v>
      </c>
      <c r="J3580">
        <v>-472.3603</v>
      </c>
      <c r="K3580">
        <v>1.112905</v>
      </c>
      <c r="L3580">
        <v>216.8475</v>
      </c>
      <c r="M3580">
        <v>0.96932240000000003</v>
      </c>
      <c r="N3580">
        <v>-6.2788080000000003E-3</v>
      </c>
      <c r="O3580">
        <v>-0.2457126</v>
      </c>
      <c r="P3580">
        <v>0.99297599999999997</v>
      </c>
      <c r="Q3580">
        <v>-0.10682899999999999</v>
      </c>
      <c r="R3580">
        <v>-5.0856659999999998E-2</v>
      </c>
      <c r="S3580">
        <v>2.9920650000000002</v>
      </c>
      <c r="T3580">
        <v>-0.20715800000000001</v>
      </c>
      <c r="U3580">
        <v>-0.14091489999999901</v>
      </c>
      <c r="V3580">
        <v>-0.19366720000000001</v>
      </c>
      <c r="W3580">
        <v>-0.1026653</v>
      </c>
      <c r="X3580">
        <v>0.97568069999999896</v>
      </c>
      <c r="Y3580">
        <v>-0.1988529</v>
      </c>
      <c r="Z3580">
        <v>2.2768389999999999E-2</v>
      </c>
      <c r="AA3580">
        <v>0.97976479999999999</v>
      </c>
      <c r="AB3580">
        <v>24</v>
      </c>
      <c r="AC3580">
        <v>15.8675</v>
      </c>
      <c r="AD3580">
        <v>-1.1129031481209899</v>
      </c>
      <c r="AE3580">
        <v>-0.70990000000000397</v>
      </c>
      <c r="AF3580">
        <v>-3.1950999109477198</v>
      </c>
      <c r="AG3580">
        <v>-1.1129031481209899</v>
      </c>
      <c r="AH3580">
        <v>15.4794659793346</v>
      </c>
      <c r="AI3580">
        <v>94.027615779474303</v>
      </c>
      <c r="AJ3580">
        <v>101.66257442272401</v>
      </c>
      <c r="AK3580">
        <v>15.8449071901168</v>
      </c>
      <c r="AL3580">
        <v>95.8926711640908</v>
      </c>
      <c r="AM3580">
        <v>101.226964384152</v>
      </c>
      <c r="AN3580">
        <v>0.99999998826620895</v>
      </c>
    </row>
    <row r="3581" spans="1:40" x14ac:dyDescent="0.25">
      <c r="A3581" t="str">
        <f>"20190305135004140"</f>
        <v>20190305135004140</v>
      </c>
      <c r="B3581" t="str">
        <f>"1551765004133377"</f>
        <v>1551765004133377</v>
      </c>
      <c r="C3581" t="s">
        <v>40</v>
      </c>
      <c r="D3581">
        <v>4.0950340000000001</v>
      </c>
      <c r="E3581">
        <v>0.49908540000000001</v>
      </c>
      <c r="F3581" t="s">
        <v>74</v>
      </c>
      <c r="G3581">
        <v>-455.74560000000002</v>
      </c>
      <c r="H3581" s="1">
        <v>1.4565529999999999E-6</v>
      </c>
      <c r="I3581">
        <v>216.08500000000001</v>
      </c>
      <c r="J3581">
        <v>-472.11649999999997</v>
      </c>
      <c r="K3581">
        <v>1.112752</v>
      </c>
      <c r="L3581">
        <v>216.7937</v>
      </c>
      <c r="M3581">
        <v>0.97100690000000001</v>
      </c>
      <c r="N3581">
        <v>-6.2368989999999997E-3</v>
      </c>
      <c r="O3581">
        <v>-0.23896990000000001</v>
      </c>
      <c r="P3581">
        <v>0.99323499999999998</v>
      </c>
      <c r="Q3581">
        <v>-0.1053665</v>
      </c>
      <c r="R3581">
        <v>-4.880603E-2</v>
      </c>
      <c r="S3581">
        <v>2.9925839999999999</v>
      </c>
      <c r="T3581">
        <v>-0.20045289999999999</v>
      </c>
      <c r="U3581">
        <v>-0.13734440000000001</v>
      </c>
      <c r="V3581">
        <v>-0.18899389999999999</v>
      </c>
      <c r="W3581">
        <v>-0.1011142</v>
      </c>
      <c r="X3581">
        <v>0.97675849999999997</v>
      </c>
      <c r="Y3581">
        <v>-0.193304</v>
      </c>
      <c r="Z3581">
        <v>2.1407430000000002E-2</v>
      </c>
      <c r="AA3581">
        <v>0.98090540000000004</v>
      </c>
      <c r="AB3581">
        <v>24</v>
      </c>
      <c r="AC3581">
        <v>16.370899999999899</v>
      </c>
      <c r="AD3581">
        <v>-1.112750543447</v>
      </c>
      <c r="AE3581">
        <v>-0.708699999999993</v>
      </c>
      <c r="AF3581">
        <v>-3.2092632416243001</v>
      </c>
      <c r="AG3581">
        <v>-1.112750543447</v>
      </c>
      <c r="AH3581">
        <v>15.9921808881543</v>
      </c>
      <c r="AI3581">
        <v>93.902717003181706</v>
      </c>
      <c r="AJ3581">
        <v>101.34722619369199</v>
      </c>
      <c r="AK3581">
        <v>16.3489276065872</v>
      </c>
      <c r="AL3581">
        <v>95.803334833943595</v>
      </c>
      <c r="AM3581">
        <v>100.950888834076</v>
      </c>
      <c r="AN3581">
        <v>0.99999997150054898</v>
      </c>
    </row>
    <row r="3582" spans="1:40" x14ac:dyDescent="0.25">
      <c r="A3582" t="str">
        <f>"20190305135004161"</f>
        <v>20190305135004161</v>
      </c>
      <c r="B3582" t="str">
        <f>"1551765004153873"</f>
        <v>1551765004153873</v>
      </c>
      <c r="C3582" t="s">
        <v>40</v>
      </c>
      <c r="D3582">
        <v>4.1040169999999998</v>
      </c>
      <c r="E3582">
        <v>0.49971290000000002</v>
      </c>
      <c r="F3582" t="s">
        <v>74</v>
      </c>
      <c r="G3582">
        <v>-455.08339999999998</v>
      </c>
      <c r="H3582" s="1">
        <v>1.1075049999999999E-6</v>
      </c>
      <c r="I3582">
        <v>216.0085</v>
      </c>
      <c r="J3582">
        <v>-471.88839999999999</v>
      </c>
      <c r="K3582">
        <v>1.1126100000000001</v>
      </c>
      <c r="L3582">
        <v>216.74449999999999</v>
      </c>
      <c r="M3582">
        <v>0.97246089999999996</v>
      </c>
      <c r="N3582">
        <v>-6.1945450000000001E-3</v>
      </c>
      <c r="O3582">
        <v>-0.2329842</v>
      </c>
      <c r="P3582">
        <v>0.99348119999999995</v>
      </c>
      <c r="Q3582">
        <v>-0.1036382</v>
      </c>
      <c r="R3582">
        <v>-4.7481490000000001E-2</v>
      </c>
      <c r="S3582">
        <v>2.9928889999999999</v>
      </c>
      <c r="T3582">
        <v>-0.19552249999999999</v>
      </c>
      <c r="U3582">
        <v>-0.13797000000000001</v>
      </c>
      <c r="V3582">
        <v>-0.18437629999999999</v>
      </c>
      <c r="W3582">
        <v>-9.9308220000000003E-2</v>
      </c>
      <c r="X3582">
        <v>0.97782579999999997</v>
      </c>
      <c r="Y3582">
        <v>-0.1871263</v>
      </c>
      <c r="Z3582">
        <v>2.0300080000000002E-2</v>
      </c>
      <c r="AA3582">
        <v>0.9821261</v>
      </c>
      <c r="AB3582">
        <v>24</v>
      </c>
      <c r="AC3582">
        <v>16.805</v>
      </c>
      <c r="AD3582">
        <v>-1.1126088924949999</v>
      </c>
      <c r="AE3582">
        <v>-0.73599999999999</v>
      </c>
      <c r="AF3582">
        <v>-3.1856919795104299</v>
      </c>
      <c r="AG3582">
        <v>-1.1126088924949999</v>
      </c>
      <c r="AH3582">
        <v>16.442063240047101</v>
      </c>
      <c r="AI3582">
        <v>93.800744976935107</v>
      </c>
      <c r="AJ3582">
        <v>100.96533850900499</v>
      </c>
      <c r="AK3582">
        <v>16.784754258722</v>
      </c>
      <c r="AL3582">
        <v>95.699336004377798</v>
      </c>
      <c r="AM3582">
        <v>100.678171554351</v>
      </c>
      <c r="AN3582">
        <v>1.0000000188534399</v>
      </c>
    </row>
    <row r="3583" spans="1:40" x14ac:dyDescent="0.25">
      <c r="A3583" t="str">
        <f>"20190305135004185"</f>
        <v>20190305135004185</v>
      </c>
      <c r="B3583" t="str">
        <f>"1551765004174372"</f>
        <v>1551765004174372</v>
      </c>
      <c r="C3583" t="s">
        <v>40</v>
      </c>
      <c r="D3583">
        <v>4.2261379999999997</v>
      </c>
      <c r="E3583">
        <v>0.50000849999999997</v>
      </c>
      <c r="F3583" t="s">
        <v>74</v>
      </c>
      <c r="G3583">
        <v>-454.65480000000002</v>
      </c>
      <c r="H3583" s="1">
        <v>8.8223589999999999E-7</v>
      </c>
      <c r="I3583">
        <v>215.94450000000001</v>
      </c>
      <c r="J3583">
        <v>-471.65199999999999</v>
      </c>
      <c r="K3583">
        <v>1.1124609999999999</v>
      </c>
      <c r="L3583">
        <v>216.69470000000001</v>
      </c>
      <c r="M3583">
        <v>0.97385299999999997</v>
      </c>
      <c r="N3583">
        <v>-6.1448559999999998E-3</v>
      </c>
      <c r="O3583">
        <v>-0.2270963</v>
      </c>
      <c r="P3583">
        <v>0.99383920000000003</v>
      </c>
      <c r="Q3583">
        <v>-0.1014447</v>
      </c>
      <c r="R3583">
        <v>-4.4639810000000002E-2</v>
      </c>
      <c r="S3583">
        <v>2.9928590000000002</v>
      </c>
      <c r="T3583">
        <v>-0.1932207</v>
      </c>
      <c r="U3583">
        <v>-0.13893129999999901</v>
      </c>
      <c r="V3583">
        <v>-0.1813669</v>
      </c>
      <c r="W3583">
        <v>-9.7059999999999994E-2</v>
      </c>
      <c r="X3583">
        <v>0.97861399999999998</v>
      </c>
      <c r="Y3583">
        <v>-0.18090780000000001</v>
      </c>
      <c r="Z3583">
        <v>1.9505000000000002E-2</v>
      </c>
      <c r="AA3583">
        <v>0.98330660000000003</v>
      </c>
      <c r="AB3583">
        <v>24</v>
      </c>
      <c r="AC3583">
        <v>16.9971999999999</v>
      </c>
      <c r="AD3583">
        <v>-1.1124601177641</v>
      </c>
      <c r="AE3583">
        <v>-0.75020000000000597</v>
      </c>
      <c r="AF3583">
        <v>-3.1161529916783102</v>
      </c>
      <c r="AG3583">
        <v>-1.1124601177641</v>
      </c>
      <c r="AH3583">
        <v>16.652262500507799</v>
      </c>
      <c r="AI3583">
        <v>93.756962250794004</v>
      </c>
      <c r="AJ3583">
        <v>100.599224677123</v>
      </c>
      <c r="AK3583">
        <v>16.9778038440482</v>
      </c>
      <c r="AL3583">
        <v>95.569897272239004</v>
      </c>
      <c r="AM3583">
        <v>100.49951976837301</v>
      </c>
      <c r="AN3583">
        <v>0.99999997850580402</v>
      </c>
    </row>
    <row r="3584" spans="1:40" x14ac:dyDescent="0.25">
      <c r="A3584" t="str">
        <f>"20190305135004208"</f>
        <v>20190305135004208</v>
      </c>
      <c r="B3584" t="str">
        <f>"1551765004203651"</f>
        <v>1551765004203651</v>
      </c>
      <c r="C3584" t="s">
        <v>40</v>
      </c>
      <c r="D3584">
        <v>4.0839780000000001</v>
      </c>
      <c r="E3584">
        <v>0.50038830000000001</v>
      </c>
      <c r="F3584" t="s">
        <v>74</v>
      </c>
      <c r="G3584">
        <v>-453.8347</v>
      </c>
      <c r="H3584" s="1">
        <v>4.4748339999999998E-7</v>
      </c>
      <c r="I3584">
        <v>215.90549999999999</v>
      </c>
      <c r="J3584">
        <v>-471.40620000000001</v>
      </c>
      <c r="K3584">
        <v>1.1122909999999999</v>
      </c>
      <c r="L3584">
        <v>216.64410000000001</v>
      </c>
      <c r="M3584">
        <v>0.97518519999999997</v>
      </c>
      <c r="N3584">
        <v>-6.0841189999999998E-3</v>
      </c>
      <c r="O3584">
        <v>-0.2213077</v>
      </c>
      <c r="P3584">
        <v>0.99411110000000003</v>
      </c>
      <c r="Q3584">
        <v>-0.100289</v>
      </c>
      <c r="R3584">
        <v>-4.1050099999999999E-2</v>
      </c>
      <c r="S3584">
        <v>2.9935610000000001</v>
      </c>
      <c r="T3584">
        <v>-0.18690899999999999</v>
      </c>
      <c r="U3584">
        <v>-0.13259889999999999</v>
      </c>
      <c r="V3584">
        <v>-0.17916470000000001</v>
      </c>
      <c r="W3584">
        <v>-9.586567E-2</v>
      </c>
      <c r="X3584">
        <v>0.97913720000000004</v>
      </c>
      <c r="Y3584">
        <v>-0.17722019999999999</v>
      </c>
      <c r="Z3584">
        <v>1.840377E-2</v>
      </c>
      <c r="AA3584">
        <v>0.98399910000000002</v>
      </c>
      <c r="AB3584">
        <v>24</v>
      </c>
      <c r="AC3584">
        <v>17.5715</v>
      </c>
      <c r="AD3584">
        <v>-1.1122905525166</v>
      </c>
      <c r="AE3584">
        <v>-0.73860000000001902</v>
      </c>
      <c r="AF3584">
        <v>-3.1558713899268298</v>
      </c>
      <c r="AG3584">
        <v>-1.1122905525166</v>
      </c>
      <c r="AH3584">
        <v>17.230322244990202</v>
      </c>
      <c r="AI3584">
        <v>93.6332871540654</v>
      </c>
      <c r="AJ3584">
        <v>100.379138416633</v>
      </c>
      <c r="AK3584">
        <v>17.5522283248932</v>
      </c>
      <c r="AL3584">
        <v>95.501146817591405</v>
      </c>
      <c r="AM3584">
        <v>100.369393552106</v>
      </c>
      <c r="AN3584">
        <v>0.99999993641723695</v>
      </c>
    </row>
    <row r="3585" spans="1:40" x14ac:dyDescent="0.25">
      <c r="A3585" t="str">
        <f>"20190305135004230"</f>
        <v>20190305135004230</v>
      </c>
      <c r="B3585" t="str">
        <f>"1551765004224144"</f>
        <v>1551765004224144</v>
      </c>
      <c r="C3585" t="s">
        <v>40</v>
      </c>
      <c r="D3585">
        <v>4.0773239999999999</v>
      </c>
      <c r="E3585">
        <v>0.50088440000000001</v>
      </c>
      <c r="F3585" t="s">
        <v>74</v>
      </c>
      <c r="G3585">
        <v>-453.42360000000002</v>
      </c>
      <c r="H3585" s="1">
        <v>2.2917019999999999E-7</v>
      </c>
      <c r="I3585">
        <v>215.89590000000001</v>
      </c>
      <c r="J3585">
        <v>-471.1825</v>
      </c>
      <c r="K3585">
        <v>1.1121239999999999</v>
      </c>
      <c r="L3585">
        <v>216.59909999999999</v>
      </c>
      <c r="M3585">
        <v>0.97629920000000003</v>
      </c>
      <c r="N3585">
        <v>-6.0204129999999996E-3</v>
      </c>
      <c r="O3585">
        <v>-0.21634149999999999</v>
      </c>
      <c r="P3585">
        <v>0.99421420000000005</v>
      </c>
      <c r="Q3585">
        <v>-0.1002334</v>
      </c>
      <c r="R3585">
        <v>-3.8616230000000001E-2</v>
      </c>
      <c r="S3585">
        <v>2.9939269999999998</v>
      </c>
      <c r="T3585">
        <v>-0.18518609999999999</v>
      </c>
      <c r="U3585">
        <v>-0.1245728</v>
      </c>
      <c r="V3585">
        <v>-0.1766182</v>
      </c>
      <c r="W3585">
        <v>-9.5778169999999996E-2</v>
      </c>
      <c r="X3585">
        <v>0.97960840000000005</v>
      </c>
      <c r="Y3585">
        <v>-0.1748749</v>
      </c>
      <c r="Z3585">
        <v>1.78859E-2</v>
      </c>
      <c r="AA3585">
        <v>0.98442819999999998</v>
      </c>
      <c r="AB3585">
        <v>24</v>
      </c>
      <c r="AC3585">
        <v>17.758899999999901</v>
      </c>
      <c r="AD3585">
        <v>-1.1121237708298</v>
      </c>
      <c r="AE3585">
        <v>-0.70319999999998095</v>
      </c>
      <c r="AF3585">
        <v>-3.1432032294140599</v>
      </c>
      <c r="AG3585">
        <v>-1.1121237708298</v>
      </c>
      <c r="AH3585">
        <v>17.422230264229899</v>
      </c>
      <c r="AI3585">
        <v>93.594565210363996</v>
      </c>
      <c r="AJ3585">
        <v>100.226912988245</v>
      </c>
      <c r="AK3585">
        <v>17.738394888007601</v>
      </c>
      <c r="AL3585">
        <v>95.496109734491199</v>
      </c>
      <c r="AM3585">
        <v>100.22032789302401</v>
      </c>
      <c r="AN3585">
        <v>1.0000000318851701</v>
      </c>
    </row>
    <row r="3586" spans="1:40" x14ac:dyDescent="0.25">
      <c r="A3586" t="str">
        <f>"20190305135004253"</f>
        <v>20190305135004253</v>
      </c>
      <c r="B3586" t="str">
        <f>"1551765004243665"</f>
        <v>1551765004243665</v>
      </c>
      <c r="C3586" t="s">
        <v>40</v>
      </c>
      <c r="D3586">
        <v>4.1839559999999896</v>
      </c>
      <c r="E3586">
        <v>0.50110849999999996</v>
      </c>
      <c r="F3586" t="s">
        <v>74</v>
      </c>
      <c r="G3586">
        <v>-453.03769999999997</v>
      </c>
      <c r="H3586" s="1">
        <v>2.516915E-8</v>
      </c>
      <c r="I3586">
        <v>215.86410000000001</v>
      </c>
      <c r="J3586">
        <v>-470.93869999999998</v>
      </c>
      <c r="K3586">
        <v>1.1119330000000001</v>
      </c>
      <c r="L3586">
        <v>216.55109999999999</v>
      </c>
      <c r="M3586">
        <v>0.97741259999999996</v>
      </c>
      <c r="N3586">
        <v>-5.9398840000000003E-3</v>
      </c>
      <c r="O3586">
        <v>-0.21125650000000001</v>
      </c>
      <c r="P3586">
        <v>0.99428499999999997</v>
      </c>
      <c r="Q3586">
        <v>-0.1003116</v>
      </c>
      <c r="R3586">
        <v>-3.6537510000000002E-2</v>
      </c>
      <c r="S3586">
        <v>2.994202</v>
      </c>
      <c r="T3586">
        <v>-0.18351919999999999</v>
      </c>
      <c r="U3586">
        <v>-0.1212921</v>
      </c>
      <c r="V3586">
        <v>-0.17360599999999901</v>
      </c>
      <c r="W3586">
        <v>-9.5832940000000005E-2</v>
      </c>
      <c r="X3586">
        <v>0.98014129999999999</v>
      </c>
      <c r="Y3586">
        <v>-0.17085719999999999</v>
      </c>
      <c r="Z3586">
        <v>1.731856E-2</v>
      </c>
      <c r="AA3586">
        <v>0.98514360000000001</v>
      </c>
      <c r="AB3586">
        <v>24</v>
      </c>
      <c r="AC3586">
        <v>17.901</v>
      </c>
      <c r="AD3586">
        <v>-1.11193297483085</v>
      </c>
      <c r="AE3586">
        <v>-0.68699999999998296</v>
      </c>
      <c r="AF3586">
        <v>-3.0983381285254898</v>
      </c>
      <c r="AG3586">
        <v>-1.11193297483085</v>
      </c>
      <c r="AH3586">
        <v>17.574398943440201</v>
      </c>
      <c r="AI3586">
        <v>93.565440950290693</v>
      </c>
      <c r="AJ3586">
        <v>99.998410911734894</v>
      </c>
      <c r="AK3586">
        <v>17.8800333423174</v>
      </c>
      <c r="AL3586">
        <v>95.499262602246404</v>
      </c>
      <c r="AM3586">
        <v>100.044251765149</v>
      </c>
      <c r="AN3586">
        <v>0.99999998179536598</v>
      </c>
    </row>
    <row r="3587" spans="1:40" x14ac:dyDescent="0.25">
      <c r="A3587" t="str">
        <f>"20190305135004275"</f>
        <v>20190305135004275</v>
      </c>
      <c r="B3587" t="str">
        <f>"1551765004264161"</f>
        <v>1551765004264161</v>
      </c>
      <c r="C3587" t="s">
        <v>40</v>
      </c>
      <c r="D3587">
        <v>4.0823159999999996</v>
      </c>
      <c r="E3587">
        <v>0.50236919999999996</v>
      </c>
      <c r="F3587" t="s">
        <v>74</v>
      </c>
      <c r="G3587">
        <v>-452.7482</v>
      </c>
      <c r="H3587" s="1">
        <v>-1.2786499999999999E-7</v>
      </c>
      <c r="I3587">
        <v>215.84049999999999</v>
      </c>
      <c r="J3587">
        <v>-470.6952</v>
      </c>
      <c r="K3587">
        <v>1.111761</v>
      </c>
      <c r="L3587">
        <v>216.50399999999999</v>
      </c>
      <c r="M3587">
        <v>0.97843449999999998</v>
      </c>
      <c r="N3587">
        <v>-5.8503030000000003E-3</v>
      </c>
      <c r="O3587">
        <v>-0.20647450000000001</v>
      </c>
      <c r="P3587">
        <v>0.99439540000000004</v>
      </c>
      <c r="Q3587">
        <v>-9.9788349999999998E-2</v>
      </c>
      <c r="R3587">
        <v>-3.4931490000000003E-2</v>
      </c>
      <c r="S3587">
        <v>2.9944459999999999</v>
      </c>
      <c r="T3587">
        <v>-0.1830418</v>
      </c>
      <c r="U3587">
        <v>-0.11697390000000001</v>
      </c>
      <c r="V3587">
        <v>-0.17044970000000001</v>
      </c>
      <c r="W3587">
        <v>-9.5301300000000005E-2</v>
      </c>
      <c r="X3587">
        <v>0.98074689999999998</v>
      </c>
      <c r="Y3587">
        <v>-0.16747709999999999</v>
      </c>
      <c r="Z3587">
        <v>1.6911559999999999E-2</v>
      </c>
      <c r="AA3587">
        <v>0.98573089999999997</v>
      </c>
      <c r="AB3587">
        <v>24</v>
      </c>
      <c r="AC3587">
        <v>17.946999999999999</v>
      </c>
      <c r="AD3587">
        <v>-1.1117611278649999</v>
      </c>
      <c r="AE3587">
        <v>-0.66350000000002696</v>
      </c>
      <c r="AF3587">
        <v>-3.0447906517299499</v>
      </c>
      <c r="AG3587">
        <v>-1.1117611278649999</v>
      </c>
      <c r="AH3587">
        <v>17.6297022987379</v>
      </c>
      <c r="AI3587">
        <v>93.5558930286969</v>
      </c>
      <c r="AJ3587">
        <v>99.798776495486393</v>
      </c>
      <c r="AK3587">
        <v>17.9252103491261</v>
      </c>
      <c r="AL3587">
        <v>95.468661932830202</v>
      </c>
      <c r="AM3587">
        <v>99.859286919203399</v>
      </c>
      <c r="AN3587">
        <v>0.99999995993569402</v>
      </c>
    </row>
    <row r="3588" spans="1:40" x14ac:dyDescent="0.25">
      <c r="A3588" t="str">
        <f>"20190305135004296"</f>
        <v>20190305135004296</v>
      </c>
      <c r="B3588" t="str">
        <f>"1551765004294419"</f>
        <v>1551765004294419</v>
      </c>
      <c r="C3588" t="s">
        <v>40</v>
      </c>
      <c r="D3588">
        <v>4.0727159999999998</v>
      </c>
      <c r="E3588">
        <v>0.50293120000000002</v>
      </c>
      <c r="F3588" t="s">
        <v>74</v>
      </c>
      <c r="G3588">
        <v>-452.65870000000001</v>
      </c>
      <c r="H3588" s="1">
        <v>-1.7226729999999999E-7</v>
      </c>
      <c r="I3588">
        <v>215.767</v>
      </c>
      <c r="J3588">
        <v>-470.46280000000002</v>
      </c>
      <c r="K3588">
        <v>1.1116250000000001</v>
      </c>
      <c r="L3588">
        <v>216.4599</v>
      </c>
      <c r="M3588">
        <v>0.97934160000000003</v>
      </c>
      <c r="N3588">
        <v>-5.7630229999999999E-3</v>
      </c>
      <c r="O3588">
        <v>-0.20213110000000001</v>
      </c>
      <c r="P3588">
        <v>0.99452969999999896</v>
      </c>
      <c r="Q3588">
        <v>-9.8858680000000004E-2</v>
      </c>
      <c r="R3588">
        <v>-3.3731539999999997E-2</v>
      </c>
      <c r="S3588">
        <v>2.9940799999999999</v>
      </c>
      <c r="T3588">
        <v>-0.18455360000000001</v>
      </c>
      <c r="U3588">
        <v>-0.122345</v>
      </c>
      <c r="V3588">
        <v>-0.16733589999999901</v>
      </c>
      <c r="W3588">
        <v>-9.437922E-2</v>
      </c>
      <c r="X3588">
        <v>0.98137209999999997</v>
      </c>
      <c r="Y3588">
        <v>-0.16133710000000001</v>
      </c>
      <c r="Z3588">
        <v>1.6625020000000001E-2</v>
      </c>
      <c r="AA3588">
        <v>0.98675930000000001</v>
      </c>
      <c r="AB3588">
        <v>25</v>
      </c>
      <c r="AC3588">
        <v>17.804099999999998</v>
      </c>
      <c r="AD3588">
        <v>-1.1116251722673001</v>
      </c>
      <c r="AE3588">
        <v>-0.69290000000000795</v>
      </c>
      <c r="AF3588">
        <v>-2.9089021171770799</v>
      </c>
      <c r="AG3588">
        <v>-1.1116251722673001</v>
      </c>
      <c r="AH3588">
        <v>17.508492505724199</v>
      </c>
      <c r="AI3588">
        <v>93.583872840131903</v>
      </c>
      <c r="AJ3588">
        <v>99.433090602516003</v>
      </c>
      <c r="AK3588">
        <v>17.783271124119398</v>
      </c>
      <c r="AL3588">
        <v>95.415591368606798</v>
      </c>
      <c r="AM3588">
        <v>99.676564599587493</v>
      </c>
      <c r="AN3588">
        <v>0.99999996962751303</v>
      </c>
    </row>
    <row r="3589" spans="1:40" x14ac:dyDescent="0.25">
      <c r="A3589" t="str">
        <f>"20190305135004317"</f>
        <v>20190305135004317</v>
      </c>
      <c r="B3589" t="str">
        <f>"1551765004313937"</f>
        <v>1551765004313937</v>
      </c>
      <c r="C3589" t="s">
        <v>40</v>
      </c>
      <c r="D3589">
        <v>4.0971799999999998</v>
      </c>
      <c r="E3589">
        <v>0.50321669999999996</v>
      </c>
      <c r="F3589" t="s">
        <v>74</v>
      </c>
      <c r="G3589">
        <v>-451.89210000000003</v>
      </c>
      <c r="H3589" s="1">
        <v>-5.7707150000000001E-7</v>
      </c>
      <c r="I3589">
        <v>215.69560000000001</v>
      </c>
      <c r="J3589">
        <v>-470.23250000000002</v>
      </c>
      <c r="K3589">
        <v>1.111513</v>
      </c>
      <c r="L3589">
        <v>216.417</v>
      </c>
      <c r="M3589">
        <v>0.9801803</v>
      </c>
      <c r="N3589">
        <v>-5.6776919999999998E-3</v>
      </c>
      <c r="O3589">
        <v>-0.1980267</v>
      </c>
      <c r="P3589">
        <v>0.99445779999999995</v>
      </c>
      <c r="Q3589">
        <v>-9.9647159999999999E-2</v>
      </c>
      <c r="R3589">
        <v>-3.3537610000000002E-2</v>
      </c>
      <c r="S3589">
        <v>2.9944760000000001</v>
      </c>
      <c r="T3589">
        <v>-0.1792465</v>
      </c>
      <c r="U3589">
        <v>-0.1232452</v>
      </c>
      <c r="V3589">
        <v>-0.163419799999999</v>
      </c>
      <c r="W3589">
        <v>-9.5179739999999999E-2</v>
      </c>
      <c r="X3589">
        <v>0.98195460000000001</v>
      </c>
      <c r="Y3589">
        <v>-0.15696199999999999</v>
      </c>
      <c r="Z3589">
        <v>1.5774940000000001E-2</v>
      </c>
      <c r="AA3589">
        <v>0.98747870000000004</v>
      </c>
      <c r="AB3589">
        <v>25</v>
      </c>
      <c r="AC3589">
        <v>18.340399999999899</v>
      </c>
      <c r="AD3589">
        <v>-1.1115135770714999</v>
      </c>
      <c r="AE3589">
        <v>-0.72139999999998805</v>
      </c>
      <c r="AF3589">
        <v>-2.91414672114725</v>
      </c>
      <c r="AG3589">
        <v>-1.1115135770714999</v>
      </c>
      <c r="AH3589">
        <v>18.053837271746399</v>
      </c>
      <c r="AI3589">
        <v>93.478153280610698</v>
      </c>
      <c r="AJ3589">
        <v>99.169267761467594</v>
      </c>
      <c r="AK3589">
        <v>18.321265070378999</v>
      </c>
      <c r="AL3589">
        <v>95.461664895172802</v>
      </c>
      <c r="AM3589">
        <v>99.448736200411105</v>
      </c>
      <c r="AN3589">
        <v>1.00000002519983</v>
      </c>
    </row>
    <row r="3590" spans="1:40" x14ac:dyDescent="0.25">
      <c r="A3590" t="str">
        <f>"20190305135004341"</f>
        <v>20190305135004341</v>
      </c>
      <c r="B3590" t="str">
        <f>"1551765004333457"</f>
        <v>1551765004333457</v>
      </c>
      <c r="C3590" t="s">
        <v>40</v>
      </c>
      <c r="D3590">
        <v>4.114846</v>
      </c>
      <c r="E3590">
        <v>0.50361060000000002</v>
      </c>
      <c r="F3590" t="s">
        <v>74</v>
      </c>
      <c r="G3590">
        <v>-452.02190000000002</v>
      </c>
      <c r="H3590" s="1">
        <v>-5.0630330000000003E-7</v>
      </c>
      <c r="I3590">
        <v>215.6559</v>
      </c>
      <c r="J3590">
        <v>-469.98099999999999</v>
      </c>
      <c r="K3590">
        <v>1.1113980000000001</v>
      </c>
      <c r="L3590">
        <v>216.37100000000001</v>
      </c>
      <c r="M3590">
        <v>0.98103030000000002</v>
      </c>
      <c r="N3590">
        <v>-5.5890749999999998E-3</v>
      </c>
      <c r="O3590">
        <v>-0.19377440000000001</v>
      </c>
      <c r="P3590">
        <v>0.99431910000000001</v>
      </c>
      <c r="Q3590">
        <v>-0.10120369999999999</v>
      </c>
      <c r="R3590">
        <v>-3.2973450000000001E-2</v>
      </c>
      <c r="S3590">
        <v>2.994202</v>
      </c>
      <c r="T3590">
        <v>-0.18275540000000001</v>
      </c>
      <c r="U3590">
        <v>-0.12513730000000001</v>
      </c>
      <c r="V3590">
        <v>-0.15970129999999999</v>
      </c>
      <c r="W3590">
        <v>-9.6756439999999999E-2</v>
      </c>
      <c r="X3590">
        <v>0.98241219999999996</v>
      </c>
      <c r="Y3590">
        <v>-0.1520426</v>
      </c>
      <c r="Z3590">
        <v>1.5714019999999999E-2</v>
      </c>
      <c r="AA3590">
        <v>0.98824900000000004</v>
      </c>
      <c r="AB3590">
        <v>25</v>
      </c>
      <c r="AC3590">
        <v>17.9590999999999</v>
      </c>
      <c r="AD3590">
        <v>-1.1113985063032901</v>
      </c>
      <c r="AE3590">
        <v>-0.71509999999997798</v>
      </c>
      <c r="AF3590">
        <v>-2.7679384387842001</v>
      </c>
      <c r="AG3590">
        <v>-1.1113985063032901</v>
      </c>
      <c r="AH3590">
        <v>17.689625252672499</v>
      </c>
      <c r="AI3590">
        <v>93.551930438017393</v>
      </c>
      <c r="AJ3590">
        <v>98.893098638686993</v>
      </c>
      <c r="AK3590">
        <v>17.9393291797854</v>
      </c>
      <c r="AL3590">
        <v>95.552422072010401</v>
      </c>
      <c r="AM3590">
        <v>99.233256696797298</v>
      </c>
      <c r="AN3590">
        <v>1.0000000223059999</v>
      </c>
    </row>
    <row r="3591" spans="1:40" x14ac:dyDescent="0.25">
      <c r="A3591" t="str">
        <f>"20190305135004363"</f>
        <v>20190305135004363</v>
      </c>
      <c r="B3591" t="str">
        <f>"1551765004353953"</f>
        <v>1551765004353953</v>
      </c>
      <c r="C3591" t="s">
        <v>40</v>
      </c>
      <c r="D3591">
        <v>3.9696470000000001</v>
      </c>
      <c r="E3591">
        <v>0.50382890000000002</v>
      </c>
      <c r="F3591" t="s">
        <v>74</v>
      </c>
      <c r="G3591">
        <v>-452.1979</v>
      </c>
      <c r="H3591" s="1">
        <v>-4.110144E-7</v>
      </c>
      <c r="I3591">
        <v>215.6189</v>
      </c>
      <c r="J3591">
        <v>-469.73610000000002</v>
      </c>
      <c r="K3591">
        <v>1.1112869999999999</v>
      </c>
      <c r="L3591">
        <v>216.3271</v>
      </c>
      <c r="M3591">
        <v>0.98179700000000003</v>
      </c>
      <c r="N3591">
        <v>-5.50987E-3</v>
      </c>
      <c r="O3591">
        <v>-0.18985360000000001</v>
      </c>
      <c r="P3591">
        <v>0.99421599999999999</v>
      </c>
      <c r="Q3591">
        <v>-0.1025625</v>
      </c>
      <c r="R3591">
        <v>-3.186812E-2</v>
      </c>
      <c r="S3591">
        <v>2.9938959999999999</v>
      </c>
      <c r="T3591">
        <v>-0.18711040000000001</v>
      </c>
      <c r="U3591">
        <v>-0.12663269999999999</v>
      </c>
      <c r="V3591">
        <v>-0.15685750000000001</v>
      </c>
      <c r="W3591">
        <v>-9.8135100000000003E-2</v>
      </c>
      <c r="X3591">
        <v>0.98273350000000004</v>
      </c>
      <c r="Y3591">
        <v>-0.14758099999999999</v>
      </c>
      <c r="Z3591">
        <v>1.5744040000000001E-2</v>
      </c>
      <c r="AA3591">
        <v>0.98892469999999999</v>
      </c>
      <c r="AB3591">
        <v>25</v>
      </c>
      <c r="AC3591">
        <v>17.5382</v>
      </c>
      <c r="AD3591">
        <v>-1.1112874110144</v>
      </c>
      <c r="AE3591">
        <v>-0.70820000000000505</v>
      </c>
      <c r="AF3591">
        <v>-2.62390387682701</v>
      </c>
      <c r="AG3591">
        <v>-1.1112874110144</v>
      </c>
      <c r="AH3591">
        <v>17.284385650306</v>
      </c>
      <c r="AI3591">
        <v>93.637170529916006</v>
      </c>
      <c r="AJ3591">
        <v>98.632036492028007</v>
      </c>
      <c r="AK3591">
        <v>17.517700150796301</v>
      </c>
      <c r="AL3591">
        <v>95.631791600724895</v>
      </c>
      <c r="AM3591">
        <v>99.068681653109905</v>
      </c>
      <c r="AN3591">
        <v>0.99999995259025298</v>
      </c>
    </row>
    <row r="3592" spans="1:40" x14ac:dyDescent="0.25">
      <c r="A3592" t="str">
        <f>"20190305135004386"</f>
        <v>20190305135004386</v>
      </c>
      <c r="B3592" t="str">
        <f>"1551765004373477"</f>
        <v>1551765004373477</v>
      </c>
      <c r="C3592" t="s">
        <v>40</v>
      </c>
      <c r="D3592">
        <v>4.0670289999999998</v>
      </c>
      <c r="E3592">
        <v>0.5042179</v>
      </c>
      <c r="F3592" t="s">
        <v>74</v>
      </c>
      <c r="G3592">
        <v>-452.64460000000003</v>
      </c>
      <c r="H3592" s="1">
        <v>-1.7295519999999999E-7</v>
      </c>
      <c r="I3592">
        <v>215.6114</v>
      </c>
      <c r="J3592">
        <v>-469.48860000000002</v>
      </c>
      <c r="K3592">
        <v>1.11117</v>
      </c>
      <c r="L3592">
        <v>216.2835</v>
      </c>
      <c r="M3592">
        <v>0.98251509999999997</v>
      </c>
      <c r="N3592">
        <v>-5.438755E-3</v>
      </c>
      <c r="O3592">
        <v>-0.18610380000000001</v>
      </c>
      <c r="P3592">
        <v>0.99430719999999995</v>
      </c>
      <c r="Q3592">
        <v>-0.1020687</v>
      </c>
      <c r="R3592">
        <v>-3.0579789999999999E-2</v>
      </c>
      <c r="S3592">
        <v>2.993347</v>
      </c>
      <c r="T3592">
        <v>-0.19462689999999999</v>
      </c>
      <c r="U3592">
        <v>-0.12535099999999999</v>
      </c>
      <c r="V3592">
        <v>-0.15441729999999901</v>
      </c>
      <c r="W3592">
        <v>-9.7653400000000001E-2</v>
      </c>
      <c r="X3592">
        <v>0.98316789999999998</v>
      </c>
      <c r="Y3592">
        <v>-0.1441809</v>
      </c>
      <c r="Z3592">
        <v>1.60742E-2</v>
      </c>
      <c r="AA3592">
        <v>0.98942079999999999</v>
      </c>
      <c r="AB3592">
        <v>25</v>
      </c>
      <c r="AC3592">
        <v>16.843999999999902</v>
      </c>
      <c r="AD3592">
        <v>-1.1111701729551999</v>
      </c>
      <c r="AE3592">
        <v>-0.67210000000000003</v>
      </c>
      <c r="AF3592">
        <v>-2.4637158504743102</v>
      </c>
      <c r="AG3592">
        <v>-1.1111701729551999</v>
      </c>
      <c r="AH3592">
        <v>16.602673324285401</v>
      </c>
      <c r="AI3592">
        <v>93.787582820473403</v>
      </c>
      <c r="AJ3592">
        <v>98.440680509603496</v>
      </c>
      <c r="AK3592">
        <v>16.821217448748499</v>
      </c>
      <c r="AL3592">
        <v>95.604058726735801</v>
      </c>
      <c r="AM3592">
        <v>98.926011091469803</v>
      </c>
      <c r="AN3592">
        <v>1.0000000043306201</v>
      </c>
    </row>
    <row r="3593" spans="1:40" x14ac:dyDescent="0.25">
      <c r="A3593" t="str">
        <f>"20190305135004409"</f>
        <v>20190305135004409</v>
      </c>
      <c r="B3593" t="str">
        <f>"1551765004403729"</f>
        <v>1551765004403729</v>
      </c>
      <c r="C3593" t="s">
        <v>40</v>
      </c>
      <c r="D3593">
        <v>4.2936009999999998</v>
      </c>
      <c r="E3593">
        <v>0.50485679999999999</v>
      </c>
      <c r="F3593" t="s">
        <v>74</v>
      </c>
      <c r="G3593">
        <v>-452.17739999999998</v>
      </c>
      <c r="H3593" s="1">
        <v>-4.1954800000000002E-7</v>
      </c>
      <c r="I3593">
        <v>215.56489999999999</v>
      </c>
      <c r="J3593">
        <v>-469.2296</v>
      </c>
      <c r="K3593">
        <v>1.1110310000000001</v>
      </c>
      <c r="L3593">
        <v>216.23859999999999</v>
      </c>
      <c r="M3593">
        <v>0.98320989999999997</v>
      </c>
      <c r="N3593">
        <v>-5.3721300000000001E-3</v>
      </c>
      <c r="O3593">
        <v>-0.18239939999999999</v>
      </c>
      <c r="P3593">
        <v>0.99435660000000003</v>
      </c>
      <c r="Q3593">
        <v>-0.1020604</v>
      </c>
      <c r="R3593">
        <v>-2.8960940000000001E-2</v>
      </c>
      <c r="S3593">
        <v>2.9935909999999999</v>
      </c>
      <c r="T3593">
        <v>-0.19215270000000001</v>
      </c>
      <c r="U3593">
        <v>-0.1242523</v>
      </c>
      <c r="V3593">
        <v>-0.15234149999999999</v>
      </c>
      <c r="W3593">
        <v>-9.7651230000000006E-2</v>
      </c>
      <c r="X3593">
        <v>0.98349189999999997</v>
      </c>
      <c r="Y3593">
        <v>-0.14084669999999999</v>
      </c>
      <c r="Z3593">
        <v>1.553934E-2</v>
      </c>
      <c r="AA3593">
        <v>0.9899095</v>
      </c>
      <c r="AB3593">
        <v>25</v>
      </c>
      <c r="AC3593">
        <v>17.052199999999999</v>
      </c>
      <c r="AD3593">
        <v>-1.11103141954799</v>
      </c>
      <c r="AE3593">
        <v>-0.67369999999999597</v>
      </c>
      <c r="AF3593">
        <v>-2.4376257987385701</v>
      </c>
      <c r="AG3593">
        <v>-1.11103141954799</v>
      </c>
      <c r="AH3593">
        <v>16.817734779344299</v>
      </c>
      <c r="AI3593">
        <v>93.740667405714802</v>
      </c>
      <c r="AJ3593">
        <v>98.247231527217707</v>
      </c>
      <c r="AK3593">
        <v>17.029756705785999</v>
      </c>
      <c r="AL3593">
        <v>95.603933786432194</v>
      </c>
      <c r="AM3593">
        <v>98.805058364360093</v>
      </c>
      <c r="AN3593">
        <v>1.0000000063541801</v>
      </c>
    </row>
    <row r="3594" spans="1:40" x14ac:dyDescent="0.25">
      <c r="A3594" t="str">
        <f>"20190305135004430"</f>
        <v>20190305135004430</v>
      </c>
      <c r="B3594" t="str">
        <f>"1551765004424225"</f>
        <v>1551765004424225</v>
      </c>
      <c r="C3594" t="s">
        <v>40</v>
      </c>
      <c r="D3594">
        <v>4.1118360000000003</v>
      </c>
      <c r="E3594">
        <v>0.50537310000000002</v>
      </c>
      <c r="F3594" t="s">
        <v>74</v>
      </c>
      <c r="G3594">
        <v>-451.70479999999998</v>
      </c>
      <c r="H3594" s="1">
        <v>-6.6863959999999896E-7</v>
      </c>
      <c r="I3594">
        <v>215.50989999999999</v>
      </c>
      <c r="J3594">
        <v>-468.99439999999998</v>
      </c>
      <c r="K3594">
        <v>1.1108929999999999</v>
      </c>
      <c r="L3594">
        <v>216.1985</v>
      </c>
      <c r="M3594">
        <v>0.98378989999999999</v>
      </c>
      <c r="N3594">
        <v>-5.3174030000000001E-3</v>
      </c>
      <c r="O3594">
        <v>-0.17924699999999999</v>
      </c>
      <c r="P3594">
        <v>0.9942008</v>
      </c>
      <c r="Q3594">
        <v>-0.103792</v>
      </c>
      <c r="R3594">
        <v>-2.815252E-2</v>
      </c>
      <c r="S3594">
        <v>2.9939879999999999</v>
      </c>
      <c r="T3594">
        <v>-0.18981210000000001</v>
      </c>
      <c r="U3594">
        <v>-0.1244812</v>
      </c>
      <c r="V3594">
        <v>-0.14997569999999999</v>
      </c>
      <c r="W3594">
        <v>-9.9379540000000002E-2</v>
      </c>
      <c r="X3594">
        <v>0.98368239999999996</v>
      </c>
      <c r="Y3594">
        <v>-0.13763010000000001</v>
      </c>
      <c r="Z3594">
        <v>1.5056979999999999E-2</v>
      </c>
      <c r="AA3594">
        <v>0.99036930000000001</v>
      </c>
      <c r="AB3594">
        <v>25</v>
      </c>
      <c r="AC3594">
        <v>17.2896</v>
      </c>
      <c r="AD3594">
        <v>-1.1108936686396</v>
      </c>
      <c r="AE3594">
        <v>-0.68860000000000798</v>
      </c>
      <c r="AF3594">
        <v>-2.4117642383046198</v>
      </c>
      <c r="AG3594">
        <v>-1.1108936686396</v>
      </c>
      <c r="AH3594">
        <v>17.062673835125</v>
      </c>
      <c r="AI3594">
        <v>93.688517621904793</v>
      </c>
      <c r="AJ3594">
        <v>98.045311501640697</v>
      </c>
      <c r="AK3594">
        <v>17.268049394417702</v>
      </c>
      <c r="AL3594">
        <v>95.703442568612999</v>
      </c>
      <c r="AM3594">
        <v>98.668759863123498</v>
      </c>
      <c r="AN3594">
        <v>1.00000003381543</v>
      </c>
    </row>
    <row r="3595" spans="1:40" x14ac:dyDescent="0.25">
      <c r="A3595" t="str">
        <f>"20190305135004454"</f>
        <v>20190305135004454</v>
      </c>
      <c r="B3595" t="str">
        <f>"1551765004443746"</f>
        <v>1551765004443746</v>
      </c>
      <c r="C3595" t="s">
        <v>40</v>
      </c>
      <c r="D3595">
        <v>4.102017</v>
      </c>
      <c r="E3595">
        <v>0.50586239999999905</v>
      </c>
      <c r="F3595" t="s">
        <v>74</v>
      </c>
      <c r="G3595">
        <v>-451.77690000000001</v>
      </c>
      <c r="H3595" s="1">
        <v>-6.2865269999999996E-7</v>
      </c>
      <c r="I3595">
        <v>215.4726</v>
      </c>
      <c r="J3595">
        <v>-468.72219999999999</v>
      </c>
      <c r="K3595">
        <v>1.1107340000000001</v>
      </c>
      <c r="L3595">
        <v>216.15280000000001</v>
      </c>
      <c r="M3595">
        <v>0.98440249999999996</v>
      </c>
      <c r="N3595">
        <v>-5.2626110000000004E-3</v>
      </c>
      <c r="O3595">
        <v>-0.1758527</v>
      </c>
      <c r="P3595">
        <v>0.99418320000000004</v>
      </c>
      <c r="Q3595">
        <v>-0.1045666</v>
      </c>
      <c r="R3595">
        <v>-2.5799409999999998E-2</v>
      </c>
      <c r="S3595">
        <v>2.9937740000000002</v>
      </c>
      <c r="T3595">
        <v>-0.1931611</v>
      </c>
      <c r="U3595">
        <v>-0.12622069999999999</v>
      </c>
      <c r="V3595">
        <v>-0.148925</v>
      </c>
      <c r="W3595">
        <v>-0.10015250000000001</v>
      </c>
      <c r="X3595">
        <v>0.98376359999999996</v>
      </c>
      <c r="Y3595">
        <v>-0.1336281</v>
      </c>
      <c r="Z3595">
        <v>1.5002430000000001E-2</v>
      </c>
      <c r="AA3595">
        <v>0.99091799999999997</v>
      </c>
      <c r="AB3595">
        <v>26</v>
      </c>
      <c r="AC3595">
        <v>16.9452999999999</v>
      </c>
      <c r="AD3595">
        <v>-1.11073462865269</v>
      </c>
      <c r="AE3595">
        <v>-0.68020000000001302</v>
      </c>
      <c r="AF3595">
        <v>-2.3004498488673302</v>
      </c>
      <c r="AG3595">
        <v>-1.11073462865269</v>
      </c>
      <c r="AH3595">
        <v>16.729080020542</v>
      </c>
      <c r="AI3595">
        <v>93.763291913634902</v>
      </c>
      <c r="AJ3595">
        <v>97.829753307551698</v>
      </c>
      <c r="AK3595">
        <v>16.922999712111899</v>
      </c>
      <c r="AL3595">
        <v>95.747952171011804</v>
      </c>
      <c r="AM3595">
        <v>98.608241394283098</v>
      </c>
      <c r="AN3595">
        <v>0.99999999978310405</v>
      </c>
    </row>
    <row r="3596" spans="1:40" x14ac:dyDescent="0.25">
      <c r="A3596" t="str">
        <f>"20190305135004476"</f>
        <v>20190305135004476</v>
      </c>
      <c r="B3596" t="str">
        <f>"1551765004474002"</f>
        <v>1551765004474002</v>
      </c>
      <c r="C3596" t="s">
        <v>40</v>
      </c>
      <c r="D3596">
        <v>4.12303</v>
      </c>
      <c r="E3596">
        <v>0.50635529999999995</v>
      </c>
      <c r="F3596" t="s">
        <v>74</v>
      </c>
      <c r="G3596">
        <v>-451.56420000000003</v>
      </c>
      <c r="H3596" s="1">
        <v>-7.4074669999999995E-7</v>
      </c>
      <c r="I3596">
        <v>215.4477</v>
      </c>
      <c r="J3596">
        <v>-468.47239999999999</v>
      </c>
      <c r="K3596">
        <v>1.1106370000000001</v>
      </c>
      <c r="L3596">
        <v>216.1114</v>
      </c>
      <c r="M3596">
        <v>0.98492310000000005</v>
      </c>
      <c r="N3596">
        <v>-5.2205759999999898E-3</v>
      </c>
      <c r="O3596">
        <v>-0.17291409999999999</v>
      </c>
      <c r="P3596">
        <v>0.99452280000000004</v>
      </c>
      <c r="Q3596">
        <v>-0.1019277</v>
      </c>
      <c r="R3596">
        <v>-2.3142320000000001E-2</v>
      </c>
      <c r="S3596">
        <v>2.9940190000000002</v>
      </c>
      <c r="T3596">
        <v>-0.1938194</v>
      </c>
      <c r="U3596">
        <v>-0.1230316</v>
      </c>
      <c r="V3596">
        <v>-0.1487047</v>
      </c>
      <c r="W3596">
        <v>-9.7513429999999998E-2</v>
      </c>
      <c r="X3596">
        <v>0.98406199999999999</v>
      </c>
      <c r="Y3596">
        <v>-0.131732399999999</v>
      </c>
      <c r="Z3596">
        <v>1.4821259999999999E-2</v>
      </c>
      <c r="AA3596">
        <v>0.99117449999999996</v>
      </c>
      <c r="AB3596">
        <v>26</v>
      </c>
      <c r="AC3596">
        <v>16.908199999999901</v>
      </c>
      <c r="AD3596">
        <v>-1.1106377407467001</v>
      </c>
      <c r="AE3596">
        <v>-0.66370000000000495</v>
      </c>
      <c r="AF3596">
        <v>-2.2602662416133201</v>
      </c>
      <c r="AG3596">
        <v>-1.1106377407467001</v>
      </c>
      <c r="AH3596">
        <v>16.6963391243948</v>
      </c>
      <c r="AI3596">
        <v>93.771398693819705</v>
      </c>
      <c r="AJ3596">
        <v>97.709545816270705</v>
      </c>
      <c r="AK3596">
        <v>16.885202392359599</v>
      </c>
      <c r="AL3596">
        <v>95.596000667555799</v>
      </c>
      <c r="AM3596">
        <v>98.593130262331897</v>
      </c>
      <c r="AN3596">
        <v>0.99999998833822701</v>
      </c>
    </row>
    <row r="3597" spans="1:40" x14ac:dyDescent="0.25">
      <c r="A3597" t="str">
        <f>"20190305135004497"</f>
        <v>20190305135004497</v>
      </c>
      <c r="B3597" t="str">
        <f>"1551765004493522"</f>
        <v>1551765004493522</v>
      </c>
      <c r="C3597" t="s">
        <v>40</v>
      </c>
      <c r="D3597">
        <v>4.1160629999999996</v>
      </c>
      <c r="E3597">
        <v>0.50667039999999997</v>
      </c>
      <c r="F3597" t="s">
        <v>74</v>
      </c>
      <c r="G3597">
        <v>-450.46620000000001</v>
      </c>
      <c r="H3597" s="1">
        <v>-1.3228139999999901E-6</v>
      </c>
      <c r="I3597">
        <v>215.3964</v>
      </c>
      <c r="J3597">
        <v>-468.23360000000002</v>
      </c>
      <c r="K3597">
        <v>1.1105579999999999</v>
      </c>
      <c r="L3597">
        <v>216.07239999999999</v>
      </c>
      <c r="M3597">
        <v>0.98538570000000003</v>
      </c>
      <c r="N3597">
        <v>-5.1879700000000001E-3</v>
      </c>
      <c r="O3597">
        <v>-0.17025899999999999</v>
      </c>
      <c r="P3597">
        <v>0.99486980000000003</v>
      </c>
      <c r="Q3597">
        <v>-9.9412310000000004E-2</v>
      </c>
      <c r="R3597">
        <v>-1.8732240000000001E-2</v>
      </c>
      <c r="S3597">
        <v>2.9947509999999999</v>
      </c>
      <c r="T3597">
        <v>-0.18471850000000001</v>
      </c>
      <c r="U3597">
        <v>-0.118927</v>
      </c>
      <c r="V3597">
        <v>-0.1504905</v>
      </c>
      <c r="W3597">
        <v>-9.5006759999999996E-2</v>
      </c>
      <c r="X3597">
        <v>0.98403569999999996</v>
      </c>
      <c r="Y3597">
        <v>-0.1304901</v>
      </c>
      <c r="Z3597">
        <v>1.3911929999999999E-2</v>
      </c>
      <c r="AA3597">
        <v>0.99135200000000001</v>
      </c>
      <c r="AB3597">
        <v>26</v>
      </c>
      <c r="AC3597">
        <v>17.767399999999999</v>
      </c>
      <c r="AD3597">
        <v>-1.1105593228139901</v>
      </c>
      <c r="AE3597">
        <v>-0.67599999999998694</v>
      </c>
      <c r="AF3597">
        <v>-2.3498034958543701</v>
      </c>
      <c r="AG3597">
        <v>-1.1105593228139901</v>
      </c>
      <c r="AH3597">
        <v>17.554588528411699</v>
      </c>
      <c r="AI3597">
        <v>93.587973237902602</v>
      </c>
      <c r="AJ3597">
        <v>97.624117746856399</v>
      </c>
      <c r="AK3597">
        <v>17.7459431104819</v>
      </c>
      <c r="AL3597">
        <v>95.451709072408605</v>
      </c>
      <c r="AM3597">
        <v>98.694986408643501</v>
      </c>
      <c r="AN3597">
        <v>0.99999996695521798</v>
      </c>
    </row>
    <row r="3598" spans="1:40" x14ac:dyDescent="0.25">
      <c r="A3598" t="str">
        <f>"20190305135004519"</f>
        <v>20190305135004519</v>
      </c>
      <c r="B3598" t="str">
        <f>"1551765004514018"</f>
        <v>1551765004514018</v>
      </c>
      <c r="C3598" t="s">
        <v>40</v>
      </c>
      <c r="D3598">
        <v>4.1291729999999998</v>
      </c>
      <c r="E3598">
        <v>0.50700089999999998</v>
      </c>
      <c r="F3598" t="s">
        <v>74</v>
      </c>
      <c r="G3598">
        <v>-449.39190000000002</v>
      </c>
      <c r="H3598" s="1">
        <v>3.4272699999999998E-6</v>
      </c>
      <c r="I3598">
        <v>215.3912</v>
      </c>
      <c r="J3598">
        <v>-467.9796</v>
      </c>
      <c r="K3598">
        <v>1.110476</v>
      </c>
      <c r="L3598">
        <v>216.03149999999999</v>
      </c>
      <c r="M3598">
        <v>0.98584099999999997</v>
      </c>
      <c r="N3598">
        <v>-5.1608569999999996E-3</v>
      </c>
      <c r="O3598">
        <v>-0.16760410000000001</v>
      </c>
      <c r="P3598">
        <v>0.99507679999999998</v>
      </c>
      <c r="Q3598">
        <v>-9.8106380000000007E-2</v>
      </c>
      <c r="R3598">
        <v>-1.405497E-2</v>
      </c>
      <c r="S3598">
        <v>2.9957889999999998</v>
      </c>
      <c r="T3598">
        <v>-0.17657579999999901</v>
      </c>
      <c r="U3598">
        <v>-0.1083221</v>
      </c>
      <c r="V3598">
        <v>-0.1525117</v>
      </c>
      <c r="W3598">
        <v>-9.3705769999999994E-2</v>
      </c>
      <c r="X3598">
        <v>0.98384930000000004</v>
      </c>
      <c r="Y3598">
        <v>-0.1313869</v>
      </c>
      <c r="Z3598">
        <v>1.316355E-2</v>
      </c>
      <c r="AA3598">
        <v>0.99124380000000001</v>
      </c>
      <c r="AB3598">
        <v>26</v>
      </c>
      <c r="AC3598">
        <v>18.587699999999899</v>
      </c>
      <c r="AD3598">
        <v>-1.11047257272999</v>
      </c>
      <c r="AE3598">
        <v>-0.64029999999999598</v>
      </c>
      <c r="AF3598">
        <v>-2.4753491020957599</v>
      </c>
      <c r="AG3598">
        <v>-1.11047257272999</v>
      </c>
      <c r="AH3598">
        <v>18.3666014642561</v>
      </c>
      <c r="AI3598">
        <v>93.4290499403252</v>
      </c>
      <c r="AJ3598">
        <v>97.675757140290997</v>
      </c>
      <c r="AK3598">
        <v>18.565897550585799</v>
      </c>
      <c r="AL3598">
        <v>95.376833498984197</v>
      </c>
      <c r="AM3598">
        <v>98.811589361415997</v>
      </c>
      <c r="AN3598">
        <v>1.00000001753933</v>
      </c>
    </row>
    <row r="3599" spans="1:40" x14ac:dyDescent="0.25">
      <c r="A3599" t="str">
        <f>"20190305135004542"</f>
        <v>20190305135004542</v>
      </c>
      <c r="B3599" t="str">
        <f>"1551765004533538"</f>
        <v>1551765004533538</v>
      </c>
      <c r="C3599" t="s">
        <v>40</v>
      </c>
      <c r="D3599">
        <v>4.1338249999999999</v>
      </c>
      <c r="E3599">
        <v>0.50734349999999995</v>
      </c>
      <c r="F3599" t="s">
        <v>74</v>
      </c>
      <c r="G3599">
        <v>-448.67</v>
      </c>
      <c r="H3599" s="1">
        <v>3.042319E-6</v>
      </c>
      <c r="I3599">
        <v>215.40799999999999</v>
      </c>
      <c r="J3599">
        <v>-467.7217</v>
      </c>
      <c r="K3599">
        <v>1.1104000000000001</v>
      </c>
      <c r="L3599">
        <v>215.99039999999999</v>
      </c>
      <c r="M3599">
        <v>0.98626760000000002</v>
      </c>
      <c r="N3599">
        <v>-5.1404270000000004E-3</v>
      </c>
      <c r="O3599">
        <v>-0.1650751</v>
      </c>
      <c r="P3599">
        <v>0.99523260000000002</v>
      </c>
      <c r="Q3599">
        <v>-9.6979599999999999E-2</v>
      </c>
      <c r="R3599">
        <v>-1.0345419999999999E-2</v>
      </c>
      <c r="S3599">
        <v>2.9964900000000001</v>
      </c>
      <c r="T3599">
        <v>-0.17232420000000001</v>
      </c>
      <c r="U3599">
        <v>-9.6755980000000005E-2</v>
      </c>
      <c r="V3599">
        <v>-0.15369749999999999</v>
      </c>
      <c r="W3599">
        <v>-9.25729E-2</v>
      </c>
      <c r="X3599">
        <v>0.98377199999999998</v>
      </c>
      <c r="Y3599">
        <v>-0.13269919999999999</v>
      </c>
      <c r="Z3599">
        <v>1.2745670000000001E-2</v>
      </c>
      <c r="AA3599">
        <v>0.99107440000000002</v>
      </c>
      <c r="AB3599">
        <v>26</v>
      </c>
      <c r="AC3599">
        <v>19.051699999999901</v>
      </c>
      <c r="AD3599">
        <v>-1.110396957681</v>
      </c>
      <c r="AE3599">
        <v>-0.58240000000000602</v>
      </c>
      <c r="AF3599">
        <v>-2.5618984921180501</v>
      </c>
      <c r="AG3599">
        <v>-1.110396957681</v>
      </c>
      <c r="AH3599">
        <v>18.822584115603199</v>
      </c>
      <c r="AI3599">
        <v>93.345352054599005</v>
      </c>
      <c r="AJ3599">
        <v>97.750768734974002</v>
      </c>
      <c r="AK3599">
        <v>19.028556909984001</v>
      </c>
      <c r="AL3599">
        <v>95.311641505749193</v>
      </c>
      <c r="AM3599">
        <v>98.879699755276604</v>
      </c>
      <c r="AN3599">
        <v>1.0000000056523299</v>
      </c>
    </row>
    <row r="3600" spans="1:40" x14ac:dyDescent="0.25">
      <c r="A3600" t="str">
        <f>"20190305135004563"</f>
        <v>20190305135004563</v>
      </c>
      <c r="B3600" t="str">
        <f>"1551765004554033"</f>
        <v>1551765004554033</v>
      </c>
      <c r="C3600" t="s">
        <v>40</v>
      </c>
      <c r="D3600">
        <v>4.1164019999999999</v>
      </c>
      <c r="E3600">
        <v>0.5076889</v>
      </c>
      <c r="F3600" t="s">
        <v>74</v>
      </c>
      <c r="G3600">
        <v>-447.9615</v>
      </c>
      <c r="H3600" s="1">
        <v>2.6654139999999999E-6</v>
      </c>
      <c r="I3600">
        <v>215.40639999999999</v>
      </c>
      <c r="J3600">
        <v>-467.46980000000002</v>
      </c>
      <c r="K3600">
        <v>1.1103339999999999</v>
      </c>
      <c r="L3600">
        <v>215.95089999999999</v>
      </c>
      <c r="M3600">
        <v>0.98665449999999999</v>
      </c>
      <c r="N3600">
        <v>-5.126841E-3</v>
      </c>
      <c r="O3600">
        <v>-0.16274739999999999</v>
      </c>
      <c r="P3600">
        <v>0.99545890000000004</v>
      </c>
      <c r="Q3600">
        <v>-9.4906110000000002E-2</v>
      </c>
      <c r="R3600">
        <v>-7.384814E-3</v>
      </c>
      <c r="S3600">
        <v>2.9970699999999999</v>
      </c>
      <c r="T3600">
        <v>-0.16841689999999901</v>
      </c>
      <c r="U3600">
        <v>-8.857727E-2</v>
      </c>
      <c r="V3600">
        <v>-0.15436140000000001</v>
      </c>
      <c r="W3600">
        <v>-9.0485189999999993E-2</v>
      </c>
      <c r="X3600">
        <v>0.98386229999999997</v>
      </c>
      <c r="Y3600">
        <v>-0.133092299999999</v>
      </c>
      <c r="Z3600">
        <v>1.23404E-2</v>
      </c>
      <c r="AA3600">
        <v>0.99102679999999999</v>
      </c>
      <c r="AB3600">
        <v>26</v>
      </c>
      <c r="AC3600">
        <v>19.508299999999998</v>
      </c>
      <c r="AD3600">
        <v>-1.110331334586</v>
      </c>
      <c r="AE3600">
        <v>-0.54449999999999898</v>
      </c>
      <c r="AF3600">
        <v>-2.6292157719220701</v>
      </c>
      <c r="AG3600">
        <v>-1.110331334586</v>
      </c>
      <c r="AH3600">
        <v>19.2744318314639</v>
      </c>
      <c r="AI3600">
        <v>93.266775091010999</v>
      </c>
      <c r="AJ3600">
        <v>97.767746299214707</v>
      </c>
      <c r="AK3600">
        <v>19.484592212146399</v>
      </c>
      <c r="AL3600">
        <v>95.191520225853793</v>
      </c>
      <c r="AM3600">
        <v>98.916635403709506</v>
      </c>
      <c r="AN3600">
        <v>1.00000001839029</v>
      </c>
    </row>
    <row r="3601" spans="1:40" x14ac:dyDescent="0.25">
      <c r="A3601" t="str">
        <f>"20190305135004586"</f>
        <v>20190305135004586</v>
      </c>
      <c r="B3601" t="str">
        <f>"1551765004584289"</f>
        <v>1551765004584289</v>
      </c>
      <c r="C3601" t="s">
        <v>40</v>
      </c>
      <c r="D3601">
        <v>4.1218300000000001</v>
      </c>
      <c r="E3601">
        <v>0.50756559999999995</v>
      </c>
      <c r="F3601" t="s">
        <v>74</v>
      </c>
      <c r="G3601">
        <v>-446.87810000000002</v>
      </c>
      <c r="H3601" s="1">
        <v>2.0899020000000002E-6</v>
      </c>
      <c r="I3601">
        <v>215.3828</v>
      </c>
      <c r="J3601">
        <v>-467.21170000000001</v>
      </c>
      <c r="K3601">
        <v>1.110277</v>
      </c>
      <c r="L3601">
        <v>215.91079999999999</v>
      </c>
      <c r="M3601">
        <v>0.98702509999999999</v>
      </c>
      <c r="N3601">
        <v>-5.1190259999999996E-3</v>
      </c>
      <c r="O3601">
        <v>-0.1604845</v>
      </c>
      <c r="P3601">
        <v>0.99564660000000005</v>
      </c>
      <c r="Q3601">
        <v>-9.3046519999999994E-2</v>
      </c>
      <c r="R3601">
        <v>-5.5258410000000001E-3</v>
      </c>
      <c r="S3601">
        <v>2.997681</v>
      </c>
      <c r="T3601">
        <v>-0.161639</v>
      </c>
      <c r="U3601">
        <v>-8.2702639999999994E-2</v>
      </c>
      <c r="V3601">
        <v>-0.15399450000000001</v>
      </c>
      <c r="W3601">
        <v>-8.8602860000000006E-2</v>
      </c>
      <c r="X3601">
        <v>0.9840911</v>
      </c>
      <c r="Y3601">
        <v>-0.132804799999999</v>
      </c>
      <c r="Z3601">
        <v>1.170614E-2</v>
      </c>
      <c r="AA3601">
        <v>0.99107310000000004</v>
      </c>
      <c r="AB3601">
        <v>26</v>
      </c>
      <c r="AC3601">
        <v>20.333599999999901</v>
      </c>
      <c r="AD3601">
        <v>-1.1102749100980001</v>
      </c>
      <c r="AE3601">
        <v>-0.52799999999999103</v>
      </c>
      <c r="AF3601">
        <v>-2.7339684760637</v>
      </c>
      <c r="AG3601">
        <v>-1.1102749100980001</v>
      </c>
      <c r="AH3601">
        <v>20.0949009318186</v>
      </c>
      <c r="AI3601">
        <v>93.133655316180494</v>
      </c>
      <c r="AJ3601">
        <v>97.747683431822196</v>
      </c>
      <c r="AK3601">
        <v>20.3103997366794</v>
      </c>
      <c r="AL3601">
        <v>95.0832355787457</v>
      </c>
      <c r="AM3601">
        <v>98.893745707465797</v>
      </c>
      <c r="AN3601">
        <v>1.00000003296481</v>
      </c>
    </row>
    <row r="3602" spans="1:40" x14ac:dyDescent="0.25">
      <c r="A3602" t="str">
        <f>"20190305135004610"</f>
        <v>20190305135004610</v>
      </c>
      <c r="B3602" t="str">
        <f>"1551765004603809"</f>
        <v>1551765004603809</v>
      </c>
      <c r="C3602" t="s">
        <v>40</v>
      </c>
      <c r="D3602">
        <v>4.1523029999999999</v>
      </c>
      <c r="E3602">
        <v>0.50722199999999995</v>
      </c>
      <c r="F3602" t="s">
        <v>74</v>
      </c>
      <c r="G3602">
        <v>-445.78980000000001</v>
      </c>
      <c r="H3602" s="1">
        <v>1.51143E-6</v>
      </c>
      <c r="I3602">
        <v>215.36750000000001</v>
      </c>
      <c r="J3602">
        <v>-466.93110000000001</v>
      </c>
      <c r="K3602">
        <v>1.1102129999999999</v>
      </c>
      <c r="L3602">
        <v>215.86770000000001</v>
      </c>
      <c r="M3602">
        <v>0.98740300000000003</v>
      </c>
      <c r="N3602">
        <v>-5.1168610000000003E-3</v>
      </c>
      <c r="O3602">
        <v>-0.15814339999999999</v>
      </c>
      <c r="P3602">
        <v>0.99578120000000003</v>
      </c>
      <c r="Q3602">
        <v>-9.1617420000000005E-2</v>
      </c>
      <c r="R3602">
        <v>-5.1475339999999996E-3</v>
      </c>
      <c r="S3602">
        <v>2.9981689999999999</v>
      </c>
      <c r="T3602">
        <v>-0.1553919</v>
      </c>
      <c r="U3602">
        <v>-7.6034550000000006E-2</v>
      </c>
      <c r="V3602">
        <v>-0.1520763</v>
      </c>
      <c r="W3602">
        <v>-8.7140850000000006E-2</v>
      </c>
      <c r="X3602">
        <v>0.98451979999999994</v>
      </c>
      <c r="Y3602">
        <v>-0.13269539999999999</v>
      </c>
      <c r="Z3602">
        <v>1.112368E-2</v>
      </c>
      <c r="AA3602">
        <v>0.99109440000000004</v>
      </c>
      <c r="AB3602">
        <v>26</v>
      </c>
      <c r="AC3602">
        <v>21.141300000000001</v>
      </c>
      <c r="AD3602">
        <v>-1.1102114885699901</v>
      </c>
      <c r="AE3602">
        <v>-0.50020000000000597</v>
      </c>
      <c r="AF3602">
        <v>-2.8416630094133302</v>
      </c>
      <c r="AG3602">
        <v>-1.1102114885699901</v>
      </c>
      <c r="AH3602">
        <v>20.8967636761937</v>
      </c>
      <c r="AI3602">
        <v>93.013490045516406</v>
      </c>
      <c r="AJ3602">
        <v>97.7439114062676</v>
      </c>
      <c r="AK3602">
        <v>21.118294210165502</v>
      </c>
      <c r="AL3602">
        <v>94.999143536363107</v>
      </c>
      <c r="AM3602">
        <v>98.780935696203002</v>
      </c>
      <c r="AN3602">
        <v>0.99999998267622603</v>
      </c>
    </row>
    <row r="3603" spans="1:40" x14ac:dyDescent="0.25">
      <c r="A3603" t="str">
        <f>"20190305135004633"</f>
        <v>20190305135004633</v>
      </c>
      <c r="B3603" t="str">
        <f>"1551765004624305"</f>
        <v>1551765004624305</v>
      </c>
      <c r="C3603" t="s">
        <v>40</v>
      </c>
      <c r="D3603">
        <v>4.158455</v>
      </c>
      <c r="E3603">
        <v>0.50695570000000001</v>
      </c>
      <c r="F3603" t="s">
        <v>74</v>
      </c>
      <c r="G3603">
        <v>-444.76330000000002</v>
      </c>
      <c r="H3603" s="1">
        <v>9.6665420000000009E-7</v>
      </c>
      <c r="I3603">
        <v>215.33330000000001</v>
      </c>
      <c r="J3603">
        <v>-466.6635</v>
      </c>
      <c r="K3603">
        <v>1.110161</v>
      </c>
      <c r="L3603">
        <v>215.8271</v>
      </c>
      <c r="M3603">
        <v>0.98774039999999996</v>
      </c>
      <c r="N3603">
        <v>-5.1205720000000003E-3</v>
      </c>
      <c r="O3603">
        <v>-0.15602199999999999</v>
      </c>
      <c r="P3603">
        <v>0.99578520000000004</v>
      </c>
      <c r="Q3603">
        <v>-9.152776E-2</v>
      </c>
      <c r="R3603">
        <v>-5.8892750000000002E-3</v>
      </c>
      <c r="S3603">
        <v>2.9985659999999998</v>
      </c>
      <c r="T3603">
        <v>-0.15017469999999999</v>
      </c>
      <c r="U3603">
        <v>-7.2280880000000006E-2</v>
      </c>
      <c r="V3603">
        <v>-0.14924129999999899</v>
      </c>
      <c r="W3603">
        <v>-8.7016410000000002E-2</v>
      </c>
      <c r="X3603">
        <v>0.98496450000000002</v>
      </c>
      <c r="Y3603">
        <v>-0.1318378</v>
      </c>
      <c r="Z3603">
        <v>1.0615609999999999E-2</v>
      </c>
      <c r="AA3603">
        <v>0.9912145</v>
      </c>
      <c r="AB3603">
        <v>27</v>
      </c>
      <c r="AC3603">
        <v>21.900199999999899</v>
      </c>
      <c r="AD3603">
        <v>-1.1101600333457999</v>
      </c>
      <c r="AE3603">
        <v>-0.49379999999999302</v>
      </c>
      <c r="AF3603">
        <v>-2.92170097814927</v>
      </c>
      <c r="AG3603">
        <v>-1.1101600333457999</v>
      </c>
      <c r="AH3603">
        <v>21.653425017560199</v>
      </c>
      <c r="AI3603">
        <v>92.908643258203199</v>
      </c>
      <c r="AJ3603">
        <v>97.684520095406398</v>
      </c>
      <c r="AK3603">
        <v>21.877833688380999</v>
      </c>
      <c r="AL3603">
        <v>94.9919866576939</v>
      </c>
      <c r="AM3603">
        <v>98.615890118569396</v>
      </c>
      <c r="AN3603">
        <v>0.99999994374761203</v>
      </c>
    </row>
    <row r="3604" spans="1:40" x14ac:dyDescent="0.25">
      <c r="A3604" t="str">
        <f>"20190305135004654"</f>
        <v>20190305135004654</v>
      </c>
      <c r="B3604" t="str">
        <f>"1551765004643826"</f>
        <v>1551765004643826</v>
      </c>
      <c r="C3604" t="s">
        <v>40</v>
      </c>
      <c r="D3604">
        <v>4.1727470000000002</v>
      </c>
      <c r="E3604">
        <v>0.50672980000000001</v>
      </c>
      <c r="F3604" t="s">
        <v>74</v>
      </c>
      <c r="G3604">
        <v>-444.31450000000001</v>
      </c>
      <c r="H3604" s="1">
        <v>7.2982269999999995E-7</v>
      </c>
      <c r="I3604">
        <v>215.2884</v>
      </c>
      <c r="J3604">
        <v>-466.41309999999999</v>
      </c>
      <c r="K3604">
        <v>1.1101240000000001</v>
      </c>
      <c r="L3604">
        <v>215.78960000000001</v>
      </c>
      <c r="M3604">
        <v>0.98804210000000003</v>
      </c>
      <c r="N3604">
        <v>-5.1281479999999999E-3</v>
      </c>
      <c r="O3604">
        <v>-0.15410019999999999</v>
      </c>
      <c r="P3604">
        <v>0.99569030000000003</v>
      </c>
      <c r="Q3604">
        <v>-9.2426850000000005E-2</v>
      </c>
      <c r="R3604">
        <v>-7.6318089999999998E-3</v>
      </c>
      <c r="S3604">
        <v>2.998596</v>
      </c>
      <c r="T3604">
        <v>-0.14895220000000001</v>
      </c>
      <c r="U3604">
        <v>-7.2280880000000006E-2</v>
      </c>
      <c r="V3604">
        <v>-0.1455931</v>
      </c>
      <c r="W3604">
        <v>-8.7881039999999994E-2</v>
      </c>
      <c r="X3604">
        <v>0.98543369999999997</v>
      </c>
      <c r="Y3604">
        <v>-0.1299196</v>
      </c>
      <c r="Z3604">
        <v>1.038772E-2</v>
      </c>
      <c r="AA3604">
        <v>0.99147010000000002</v>
      </c>
      <c r="AB3604">
        <v>27</v>
      </c>
      <c r="AC3604">
        <v>22.098599999999902</v>
      </c>
      <c r="AD3604">
        <v>-1.1101232701772901</v>
      </c>
      <c r="AE3604">
        <v>-0.50120000000001097</v>
      </c>
      <c r="AF3604">
        <v>-2.9029078374950501</v>
      </c>
      <c r="AG3604">
        <v>-1.1101232701772901</v>
      </c>
      <c r="AH3604">
        <v>21.856737999281201</v>
      </c>
      <c r="AI3604">
        <v>92.882337657629606</v>
      </c>
      <c r="AJ3604">
        <v>97.565475168914602</v>
      </c>
      <c r="AK3604">
        <v>22.076599456374598</v>
      </c>
      <c r="AL3604">
        <v>95.041716529997601</v>
      </c>
      <c r="AM3604">
        <v>98.404376359355297</v>
      </c>
      <c r="AN3604">
        <v>1.0000000025273901</v>
      </c>
    </row>
    <row r="3605" spans="1:40" x14ac:dyDescent="0.25">
      <c r="A3605" t="str">
        <f>"20190305135004676"</f>
        <v>20190305135004676</v>
      </c>
      <c r="B3605" t="str">
        <f>"1551765004664323"</f>
        <v>1551765004664323</v>
      </c>
      <c r="C3605" t="s">
        <v>40</v>
      </c>
      <c r="D3605">
        <v>4.1569330000000004</v>
      </c>
      <c r="E3605">
        <v>0.50654639999999995</v>
      </c>
      <c r="F3605" t="s">
        <v>74</v>
      </c>
      <c r="G3605">
        <v>-444.31549999999999</v>
      </c>
      <c r="H3605" s="1">
        <v>7.3273580000000005E-7</v>
      </c>
      <c r="I3605">
        <v>215.23320000000001</v>
      </c>
      <c r="J3605">
        <v>-466.15140000000002</v>
      </c>
      <c r="K3605">
        <v>1.110107</v>
      </c>
      <c r="L3605">
        <v>215.7509</v>
      </c>
      <c r="M3605">
        <v>0.98834460000000002</v>
      </c>
      <c r="N3605">
        <v>-5.1399599999999998E-3</v>
      </c>
      <c r="O3605">
        <v>-0.15214610000000001</v>
      </c>
      <c r="P3605">
        <v>0.99563040000000003</v>
      </c>
      <c r="Q3605">
        <v>-9.3005749999999998E-2</v>
      </c>
      <c r="R3605">
        <v>-8.3924680000000002E-3</v>
      </c>
      <c r="S3605">
        <v>2.9984440000000001</v>
      </c>
      <c r="T3605">
        <v>-0.15063379999999901</v>
      </c>
      <c r="U3605">
        <v>-7.5500490000000003E-2</v>
      </c>
      <c r="V3605">
        <v>-0.1428874</v>
      </c>
      <c r="W3605">
        <v>-8.8429339999999995E-2</v>
      </c>
      <c r="X3605">
        <v>0.98578060000000001</v>
      </c>
      <c r="Y3605">
        <v>-0.1268918</v>
      </c>
      <c r="Z3605">
        <v>1.0338470000000001E-2</v>
      </c>
      <c r="AA3605">
        <v>0.99186269999999999</v>
      </c>
      <c r="AB3605">
        <v>27</v>
      </c>
      <c r="AC3605">
        <v>21.835899999999999</v>
      </c>
      <c r="AD3605">
        <v>-1.1101062672641999</v>
      </c>
      <c r="AE3605">
        <v>-0.51769999999998995</v>
      </c>
      <c r="AF3605">
        <v>-2.8033768586274799</v>
      </c>
      <c r="AG3605">
        <v>-1.1101062672641999</v>
      </c>
      <c r="AH3605">
        <v>21.604639905152901</v>
      </c>
      <c r="AI3605">
        <v>92.917017228914005</v>
      </c>
      <c r="AJ3605">
        <v>97.393281762277596</v>
      </c>
      <c r="AK3605">
        <v>21.814025835856899</v>
      </c>
      <c r="AL3605">
        <v>95.073254735319694</v>
      </c>
      <c r="AM3605">
        <v>98.247496138141898</v>
      </c>
      <c r="AN3605">
        <v>0.99999997429397702</v>
      </c>
    </row>
    <row r="3606" spans="1:40" x14ac:dyDescent="0.25">
      <c r="A3606" t="str">
        <f>"20190305135004697"</f>
        <v>20190305135004697</v>
      </c>
      <c r="B3606" t="str">
        <f>"1551765004693602"</f>
        <v>1551765004693602</v>
      </c>
      <c r="C3606" t="s">
        <v>40</v>
      </c>
      <c r="D3606">
        <v>4.1639489999999997</v>
      </c>
      <c r="E3606">
        <v>0.50629000000000002</v>
      </c>
      <c r="F3606" t="s">
        <v>74</v>
      </c>
      <c r="G3606">
        <v>-444.1816</v>
      </c>
      <c r="H3606" s="1">
        <v>6.6327130000000004E-7</v>
      </c>
      <c r="I3606">
        <v>215.19210000000001</v>
      </c>
      <c r="J3606">
        <v>-465.8956</v>
      </c>
      <c r="K3606">
        <v>1.1100939999999999</v>
      </c>
      <c r="L3606">
        <v>215.71350000000001</v>
      </c>
      <c r="M3606">
        <v>0.98863040000000002</v>
      </c>
      <c r="N3606">
        <v>-5.1545439999999996E-3</v>
      </c>
      <c r="O3606">
        <v>-0.15027839999999901</v>
      </c>
      <c r="P3606">
        <v>0.99561630000000001</v>
      </c>
      <c r="Q3606">
        <v>-9.3088599999999994E-2</v>
      </c>
      <c r="R3606">
        <v>-9.1163110000000002E-3</v>
      </c>
      <c r="S3606">
        <v>2.9983520000000001</v>
      </c>
      <c r="T3606">
        <v>-0.15150259999999999</v>
      </c>
      <c r="U3606">
        <v>-7.6263429999999993E-2</v>
      </c>
      <c r="V3606">
        <v>-0.1403104</v>
      </c>
      <c r="W3606">
        <v>-8.8482140000000001E-2</v>
      </c>
      <c r="X3606">
        <v>0.98614599999999997</v>
      </c>
      <c r="Y3606">
        <v>-0.1247654</v>
      </c>
      <c r="Z3606">
        <v>1.025679E-2</v>
      </c>
      <c r="AA3606">
        <v>0.9921333</v>
      </c>
      <c r="AB3606">
        <v>27</v>
      </c>
      <c r="AC3606">
        <v>21.713999999999999</v>
      </c>
      <c r="AD3606">
        <v>-1.1100933367287</v>
      </c>
      <c r="AE3606">
        <v>-0.52139999999999898</v>
      </c>
      <c r="AF3606">
        <v>-2.7405508876846598</v>
      </c>
      <c r="AG3606">
        <v>-1.1100933367287</v>
      </c>
      <c r="AH3606">
        <v>21.489626417127202</v>
      </c>
      <c r="AI3606">
        <v>92.933393876129898</v>
      </c>
      <c r="AJ3606">
        <v>97.2676442801164</v>
      </c>
      <c r="AK3606">
        <v>21.6920946414109</v>
      </c>
      <c r="AL3606">
        <v>95.076291648627802</v>
      </c>
      <c r="AM3606">
        <v>98.097781351243398</v>
      </c>
      <c r="AN3606">
        <v>1.00000001538156</v>
      </c>
    </row>
    <row r="3607" spans="1:40" x14ac:dyDescent="0.25">
      <c r="A3607" t="str">
        <f>"20190305135004720"</f>
        <v>20190305135004720</v>
      </c>
      <c r="B3607" t="str">
        <f>"1551765004714097"</f>
        <v>1551765004714097</v>
      </c>
      <c r="C3607" t="s">
        <v>40</v>
      </c>
      <c r="D3607">
        <v>4.1518940000000004</v>
      </c>
      <c r="E3607">
        <v>0.5061331</v>
      </c>
      <c r="F3607" t="s">
        <v>74</v>
      </c>
      <c r="G3607">
        <v>-443.88760000000002</v>
      </c>
      <c r="H3607" s="1">
        <v>5.0856869999999995E-7</v>
      </c>
      <c r="I3607">
        <v>215.15190000000001</v>
      </c>
      <c r="J3607">
        <v>-465.61380000000003</v>
      </c>
      <c r="K3607">
        <v>1.1100810000000001</v>
      </c>
      <c r="L3607">
        <v>215.6729</v>
      </c>
      <c r="M3607">
        <v>0.98893470000000006</v>
      </c>
      <c r="N3607">
        <v>-5.1737700000000003E-3</v>
      </c>
      <c r="O3607">
        <v>-0.14826129999999901</v>
      </c>
      <c r="P3607">
        <v>0.99567369999999999</v>
      </c>
      <c r="Q3607">
        <v>-9.2344239999999994E-2</v>
      </c>
      <c r="R3607">
        <v>-1.0326409999999999E-2</v>
      </c>
      <c r="S3607">
        <v>2.998383</v>
      </c>
      <c r="T3607">
        <v>-0.15123979999999901</v>
      </c>
      <c r="U3607">
        <v>-7.6507569999999997E-2</v>
      </c>
      <c r="V3607">
        <v>-0.13711590000000001</v>
      </c>
      <c r="W3607">
        <v>-8.7701310000000005E-2</v>
      </c>
      <c r="X3607">
        <v>0.98666500000000001</v>
      </c>
      <c r="Y3607">
        <v>-0.122666899999999</v>
      </c>
      <c r="Z3607">
        <v>1.008791E-2</v>
      </c>
      <c r="AA3607">
        <v>0.99239670000000002</v>
      </c>
      <c r="AB3607">
        <v>27</v>
      </c>
      <c r="AC3607">
        <v>21.726199999999999</v>
      </c>
      <c r="AD3607">
        <v>-1.1100804914312901</v>
      </c>
      <c r="AE3607">
        <v>-0.52099999999998603</v>
      </c>
      <c r="AF3607">
        <v>-2.6989141114181998</v>
      </c>
      <c r="AG3607">
        <v>-1.1100804914312901</v>
      </c>
      <c r="AH3607">
        <v>21.507210992036701</v>
      </c>
      <c r="AI3607">
        <v>92.931709198417593</v>
      </c>
      <c r="AJ3607">
        <v>97.152590033964103</v>
      </c>
      <c r="AK3607">
        <v>21.704297748009498</v>
      </c>
      <c r="AL3607">
        <v>95.031378574909596</v>
      </c>
      <c r="AM3607">
        <v>97.911668756303399</v>
      </c>
      <c r="AN3607">
        <v>1.0000000560167599</v>
      </c>
    </row>
    <row r="3608" spans="1:40" x14ac:dyDescent="0.25">
      <c r="A3608" t="str">
        <f>"20190305135004743"</f>
        <v>20190305135004743</v>
      </c>
      <c r="B3608" t="str">
        <f>"1551765004733618"</f>
        <v>1551765004733618</v>
      </c>
      <c r="C3608" t="s">
        <v>40</v>
      </c>
      <c r="D3608">
        <v>4.2873250000000001</v>
      </c>
      <c r="E3608">
        <v>0.50610909999999998</v>
      </c>
      <c r="F3608" t="s">
        <v>74</v>
      </c>
      <c r="G3608">
        <v>-443.1859</v>
      </c>
      <c r="H3608" s="1">
        <v>1.3810460000000001E-7</v>
      </c>
      <c r="I3608">
        <v>215.08500000000001</v>
      </c>
      <c r="J3608">
        <v>-465.3442</v>
      </c>
      <c r="K3608">
        <v>1.110074</v>
      </c>
      <c r="L3608">
        <v>215.6344</v>
      </c>
      <c r="M3608">
        <v>0.98921720000000002</v>
      </c>
      <c r="N3608">
        <v>-5.1947690000000001E-3</v>
      </c>
      <c r="O3608">
        <v>-0.14636450000000001</v>
      </c>
      <c r="P3608">
        <v>0.99573009999999995</v>
      </c>
      <c r="Q3608">
        <v>-9.1525930000000005E-2</v>
      </c>
      <c r="R3608">
        <v>-1.2031490000000001E-2</v>
      </c>
      <c r="S3608">
        <v>2.9984440000000001</v>
      </c>
      <c r="T3608">
        <v>-0.1484094</v>
      </c>
      <c r="U3608">
        <v>-7.8598020000000005E-2</v>
      </c>
      <c r="V3608">
        <v>-0.13355129999999901</v>
      </c>
      <c r="W3608">
        <v>-8.6844030000000003E-2</v>
      </c>
      <c r="X3608">
        <v>0.98722949999999998</v>
      </c>
      <c r="Y3608">
        <v>-0.12009</v>
      </c>
      <c r="Z3608">
        <v>9.7352380000000002E-3</v>
      </c>
      <c r="AA3608">
        <v>0.99271529999999997</v>
      </c>
      <c r="AB3608">
        <v>27</v>
      </c>
      <c r="AC3608">
        <v>22.158300000000001</v>
      </c>
      <c r="AD3608">
        <v>-1.11007386189539</v>
      </c>
      <c r="AE3608">
        <v>-0.54939999999999101</v>
      </c>
      <c r="AF3608">
        <v>-2.6929941034796001</v>
      </c>
      <c r="AG3608">
        <v>-1.11007386189539</v>
      </c>
      <c r="AH3608">
        <v>21.945035781942199</v>
      </c>
      <c r="AI3608">
        <v>92.874273103279705</v>
      </c>
      <c r="AJ3608">
        <v>96.996096860425496</v>
      </c>
      <c r="AK3608">
        <v>22.137503849597898</v>
      </c>
      <c r="AL3608">
        <v>94.982072396022303</v>
      </c>
      <c r="AM3608">
        <v>97.704139777187294</v>
      </c>
      <c r="AN3608">
        <v>0.99999996047428896</v>
      </c>
    </row>
    <row r="3609" spans="1:40" x14ac:dyDescent="0.25">
      <c r="A3609" t="str">
        <f>"20190305135004765"</f>
        <v>20190305135004765</v>
      </c>
      <c r="B3609" t="str">
        <f>"1551765004754113"</f>
        <v>1551765004754113</v>
      </c>
      <c r="C3609" t="s">
        <v>40</v>
      </c>
      <c r="D3609">
        <v>4.0596610000000002</v>
      </c>
      <c r="E3609">
        <v>0.54891179999999995</v>
      </c>
      <c r="F3609" t="s">
        <v>74</v>
      </c>
      <c r="G3609">
        <v>-442.44060000000002</v>
      </c>
      <c r="H3609" s="1">
        <v>-2.547544E-7</v>
      </c>
      <c r="I3609">
        <v>214.99889999999999</v>
      </c>
      <c r="J3609">
        <v>-465.07709999999997</v>
      </c>
      <c r="K3609">
        <v>1.1100589999999999</v>
      </c>
      <c r="L3609">
        <v>215.59690000000001</v>
      </c>
      <c r="M3609">
        <v>0.98948840000000005</v>
      </c>
      <c r="N3609">
        <v>-5.2173100000000002E-3</v>
      </c>
      <c r="O3609">
        <v>-0.1445186</v>
      </c>
      <c r="P3609">
        <v>0.99576319999999996</v>
      </c>
      <c r="Q3609">
        <v>-9.0857820000000006E-2</v>
      </c>
      <c r="R3609">
        <v>-1.4158789999999999E-2</v>
      </c>
      <c r="S3609">
        <v>2.9985050000000002</v>
      </c>
      <c r="T3609">
        <v>-0.14532909999999999</v>
      </c>
      <c r="U3609">
        <v>-8.3206180000000005E-2</v>
      </c>
      <c r="V3609">
        <v>-0.12961439999999999</v>
      </c>
      <c r="W3609">
        <v>-8.6133769999999998E-2</v>
      </c>
      <c r="X3609">
        <v>0.98781629999999998</v>
      </c>
      <c r="Y3609">
        <v>-0.11673219999999999</v>
      </c>
      <c r="Z3609">
        <v>9.3525550000000002E-3</v>
      </c>
      <c r="AA3609">
        <v>0.99311939999999999</v>
      </c>
      <c r="AB3609">
        <v>27</v>
      </c>
      <c r="AC3609">
        <v>22.636499999999899</v>
      </c>
      <c r="AD3609">
        <v>-1.1100592547543999</v>
      </c>
      <c r="AE3609">
        <v>-0.59800000000001297</v>
      </c>
      <c r="AF3609">
        <v>-2.6732933344503702</v>
      </c>
      <c r="AG3609">
        <v>-1.1100592547543999</v>
      </c>
      <c r="AH3609">
        <v>22.431376039523499</v>
      </c>
      <c r="AI3609">
        <v>92.813204034186199</v>
      </c>
      <c r="AJ3609">
        <v>96.796256736040903</v>
      </c>
      <c r="AK3609">
        <v>22.6173685433914</v>
      </c>
      <c r="AL3609">
        <v>94.941224327643297</v>
      </c>
      <c r="AM3609">
        <v>97.475249665209404</v>
      </c>
      <c r="AN3609">
        <v>0.99999998078373098</v>
      </c>
    </row>
    <row r="3610" spans="1:40" x14ac:dyDescent="0.25">
      <c r="A3610" t="str">
        <f>"20190305135004786"</f>
        <v>20190305135004786</v>
      </c>
      <c r="B3610" t="str">
        <f>"1551765004783394"</f>
        <v>1551765004783394</v>
      </c>
      <c r="C3610" t="s">
        <v>40</v>
      </c>
      <c r="D3610">
        <v>4.0460349999999998</v>
      </c>
      <c r="E3610">
        <v>0.56135849999999998</v>
      </c>
      <c r="F3610" t="s">
        <v>60</v>
      </c>
      <c r="G3610">
        <v>-169.40479999999999</v>
      </c>
      <c r="H3610">
        <v>1.9562059999999999</v>
      </c>
      <c r="I3610">
        <v>173.42679999999999</v>
      </c>
      <c r="J3610">
        <v>-464.82229999999998</v>
      </c>
      <c r="K3610">
        <v>1.110047</v>
      </c>
      <c r="L3610">
        <v>215.5615</v>
      </c>
      <c r="M3610">
        <v>0.98973909999999998</v>
      </c>
      <c r="N3610">
        <v>-5.2403750000000002E-3</v>
      </c>
      <c r="O3610">
        <v>-0.142791</v>
      </c>
      <c r="P3610">
        <v>0.99568909999999999</v>
      </c>
      <c r="Q3610">
        <v>-9.1409829999999997E-2</v>
      </c>
      <c r="R3610">
        <v>-1.5739940000000001E-2</v>
      </c>
      <c r="S3610">
        <v>3.0074770000000002</v>
      </c>
      <c r="T3610">
        <v>8.6070299999999999E-3</v>
      </c>
      <c r="U3610">
        <v>-0.42893979999999998</v>
      </c>
      <c r="V3610">
        <v>-0.1263165</v>
      </c>
      <c r="W3610">
        <v>-8.6645780000000006E-2</v>
      </c>
      <c r="X3610">
        <v>0.98819869999999999</v>
      </c>
      <c r="Y3610">
        <v>-1.6090879999999901E-3</v>
      </c>
      <c r="Z3610">
        <v>-1.1509179999999999E-3</v>
      </c>
      <c r="AA3610">
        <v>0.99999800000000005</v>
      </c>
      <c r="AB3610">
        <v>27</v>
      </c>
      <c r="AC3610">
        <v>295.41750000000002</v>
      </c>
      <c r="AD3610">
        <v>0.84615899999999999</v>
      </c>
      <c r="AE3610">
        <v>-42.134700000000002</v>
      </c>
      <c r="AF3610">
        <v>-0.480602868350686</v>
      </c>
      <c r="AG3610">
        <v>0.84615899999999999</v>
      </c>
      <c r="AH3610">
        <v>298.40437215025298</v>
      </c>
      <c r="AI3610">
        <v>89.837532049787001</v>
      </c>
      <c r="AJ3610">
        <v>90.092279117663395</v>
      </c>
      <c r="AK3610">
        <v>298.40595885899597</v>
      </c>
      <c r="AL3610">
        <v>94.970670281656297</v>
      </c>
      <c r="AM3610">
        <v>97.2843310269987</v>
      </c>
      <c r="AN3610">
        <v>1.0000000100228701</v>
      </c>
    </row>
    <row r="3611" spans="1:40" x14ac:dyDescent="0.25">
      <c r="A3611" t="str">
        <f>"20190305135004812"</f>
        <v>20190305135004812</v>
      </c>
      <c r="B3611" t="str">
        <f>"1551765004803889"</f>
        <v>1551765004803889</v>
      </c>
      <c r="C3611" t="s">
        <v>40</v>
      </c>
      <c r="D3611">
        <v>3.984124</v>
      </c>
      <c r="E3611">
        <v>0.56371610000000005</v>
      </c>
      <c r="F3611" t="s">
        <v>54</v>
      </c>
      <c r="G3611">
        <v>-408.50040000000001</v>
      </c>
      <c r="H3611">
        <v>1.685074</v>
      </c>
      <c r="I3611">
        <v>205.58690000000001</v>
      </c>
      <c r="J3611">
        <v>-464.50889999999998</v>
      </c>
      <c r="K3611">
        <v>1.1100209999999999</v>
      </c>
      <c r="L3611">
        <v>215.51849999999999</v>
      </c>
      <c r="M3611">
        <v>0.99003609999999997</v>
      </c>
      <c r="N3611">
        <v>-5.2704780000000003E-3</v>
      </c>
      <c r="O3611">
        <v>-0.14071520000000001</v>
      </c>
      <c r="P3611">
        <v>0.99557079999999998</v>
      </c>
      <c r="Q3611">
        <v>-9.260322E-2</v>
      </c>
      <c r="R3611">
        <v>-1.6234910000000002E-2</v>
      </c>
      <c r="S3611">
        <v>3.0073850000000002</v>
      </c>
      <c r="T3611">
        <v>3.070438E-2</v>
      </c>
      <c r="U3611">
        <v>-0.53260799999999997</v>
      </c>
      <c r="V3611">
        <v>-0.1237388</v>
      </c>
      <c r="W3611">
        <v>-8.7793540000000003E-2</v>
      </c>
      <c r="X3611">
        <v>0.98842350000000001</v>
      </c>
      <c r="Y3611">
        <v>3.4105730000000001E-2</v>
      </c>
      <c r="Z3611">
        <v>-2.0754509999999999E-3</v>
      </c>
      <c r="AA3611">
        <v>0.99941610000000003</v>
      </c>
      <c r="AB3611">
        <v>27</v>
      </c>
      <c r="AC3611">
        <v>56.008499999999898</v>
      </c>
      <c r="AD3611">
        <v>0.57505300000000004</v>
      </c>
      <c r="AE3611">
        <v>-9.9315999999999693</v>
      </c>
      <c r="AF3611">
        <v>1.9512229105633401</v>
      </c>
      <c r="AG3611">
        <v>0.57505300000000004</v>
      </c>
      <c r="AH3611">
        <v>56.842943356540403</v>
      </c>
      <c r="AI3611">
        <v>89.420726803796697</v>
      </c>
      <c r="AJ3611">
        <v>88.034004723733005</v>
      </c>
      <c r="AK3611">
        <v>56.879329868014203</v>
      </c>
      <c r="AL3611">
        <v>95.0366836799369</v>
      </c>
      <c r="AM3611">
        <v>97.135624211995705</v>
      </c>
      <c r="AN3611">
        <v>1.00000000582171</v>
      </c>
    </row>
    <row r="3612" spans="1:40" x14ac:dyDescent="0.25">
      <c r="A3612" t="str">
        <f>"20190305135004834"</f>
        <v>20190305135004834</v>
      </c>
      <c r="B3612" t="str">
        <f>"1551765004823409"</f>
        <v>1551765004823409</v>
      </c>
      <c r="C3612" t="s">
        <v>40</v>
      </c>
      <c r="D3612">
        <v>4.009938</v>
      </c>
      <c r="E3612">
        <v>0.56516679999999997</v>
      </c>
      <c r="F3612" t="s">
        <v>72</v>
      </c>
      <c r="G3612">
        <v>-350.11739999999998</v>
      </c>
      <c r="H3612">
        <v>2.4157440000000001</v>
      </c>
      <c r="I3612">
        <v>194.5042</v>
      </c>
      <c r="J3612">
        <v>-464.2439</v>
      </c>
      <c r="K3612">
        <v>1.110004</v>
      </c>
      <c r="L3612">
        <v>215.48269999999999</v>
      </c>
      <c r="M3612">
        <v>0.99027790000000004</v>
      </c>
      <c r="N3612">
        <v>-5.297146E-3</v>
      </c>
      <c r="O3612">
        <v>-0.13900299999999999</v>
      </c>
      <c r="P3612">
        <v>0.99556259999999996</v>
      </c>
      <c r="Q3612">
        <v>-9.2622029999999994E-2</v>
      </c>
      <c r="R3612">
        <v>-1.6637470000000001E-2</v>
      </c>
      <c r="S3612">
        <v>3.0074770000000002</v>
      </c>
      <c r="T3612">
        <v>3.4328459999999998E-2</v>
      </c>
      <c r="U3612">
        <v>-0.55249019999999904</v>
      </c>
      <c r="V3612">
        <v>-0.1216343</v>
      </c>
      <c r="W3612">
        <v>-8.7772329999999996E-2</v>
      </c>
      <c r="X3612">
        <v>0.98868659999999997</v>
      </c>
      <c r="Y3612">
        <v>4.2228099999999998E-2</v>
      </c>
      <c r="Z3612">
        <v>-2.1727360000000002E-3</v>
      </c>
      <c r="AA3612">
        <v>0.99910560000000004</v>
      </c>
      <c r="AB3612">
        <v>28</v>
      </c>
      <c r="AC3612">
        <v>114.12649999999999</v>
      </c>
      <c r="AD3612">
        <v>1.3057399999999899</v>
      </c>
      <c r="AE3612">
        <v>-20.9785</v>
      </c>
      <c r="AF3612">
        <v>4.9100656981244004</v>
      </c>
      <c r="AG3612">
        <v>1.3057399999999899</v>
      </c>
      <c r="AH3612">
        <v>115.919961408679</v>
      </c>
      <c r="AI3612">
        <v>89.355217066353802</v>
      </c>
      <c r="AJ3612">
        <v>87.574550816834304</v>
      </c>
      <c r="AK3612">
        <v>116.031250769339</v>
      </c>
      <c r="AL3612">
        <v>95.035463559816407</v>
      </c>
      <c r="AM3612">
        <v>97.013635713158493</v>
      </c>
      <c r="AN3612">
        <v>1.00000003893483</v>
      </c>
    </row>
    <row r="3613" spans="1:40" x14ac:dyDescent="0.25">
      <c r="A3613" t="str">
        <f>"20190305135004855"</f>
        <v>20190305135004855</v>
      </c>
      <c r="B3613" t="str">
        <f>"1551765004843905"</f>
        <v>1551765004843905</v>
      </c>
      <c r="C3613" t="s">
        <v>40</v>
      </c>
      <c r="D3613">
        <v>3.9899800000000001</v>
      </c>
      <c r="E3613">
        <v>0.56613809999999998</v>
      </c>
      <c r="F3613" t="s">
        <v>72</v>
      </c>
      <c r="G3613">
        <v>-350.11739999999998</v>
      </c>
      <c r="H3613">
        <v>2.3831129999999998</v>
      </c>
      <c r="I3613">
        <v>194.0275</v>
      </c>
      <c r="J3613">
        <v>-463.98129999999998</v>
      </c>
      <c r="K3613">
        <v>1.109996</v>
      </c>
      <c r="L3613">
        <v>215.44749999999999</v>
      </c>
      <c r="M3613">
        <v>0.99050990000000005</v>
      </c>
      <c r="N3613">
        <v>-5.3246580000000003E-3</v>
      </c>
      <c r="O3613">
        <v>-0.13733689999999901</v>
      </c>
      <c r="P3613">
        <v>0.99569350000000001</v>
      </c>
      <c r="Q3613">
        <v>-9.1214939999999994E-2</v>
      </c>
      <c r="R3613">
        <v>-1.6558750000000001E-2</v>
      </c>
      <c r="S3613">
        <v>3.00705</v>
      </c>
      <c r="T3613">
        <v>3.3543940000000001E-2</v>
      </c>
      <c r="U3613">
        <v>-0.56530760000000002</v>
      </c>
      <c r="V3613">
        <v>-0.1200753</v>
      </c>
      <c r="W3613">
        <v>-8.6326849999999997E-2</v>
      </c>
      <c r="X3613">
        <v>0.98900440000000001</v>
      </c>
      <c r="Y3613">
        <v>4.8048899999999999E-2</v>
      </c>
      <c r="Z3613">
        <v>-2.1025879999999999E-3</v>
      </c>
      <c r="AA3613">
        <v>0.99884280000000003</v>
      </c>
      <c r="AB3613">
        <v>28</v>
      </c>
      <c r="AC3613">
        <v>113.8639</v>
      </c>
      <c r="AD3613">
        <v>1.2731170000000001</v>
      </c>
      <c r="AE3613">
        <v>-21.419999999999899</v>
      </c>
      <c r="AF3613">
        <v>5.5784135564011397</v>
      </c>
      <c r="AG3613">
        <v>1.2731170000000001</v>
      </c>
      <c r="AH3613">
        <v>115.712766619017</v>
      </c>
      <c r="AI3613">
        <v>89.370366105909696</v>
      </c>
      <c r="AJ3613">
        <v>87.239956353730307</v>
      </c>
      <c r="AK3613">
        <v>115.854149184779</v>
      </c>
      <c r="AL3613">
        <v>94.952327998605995</v>
      </c>
      <c r="AM3613">
        <v>96.922416055081499</v>
      </c>
      <c r="AN3613">
        <v>1.00000005296018</v>
      </c>
    </row>
    <row r="3614" spans="1:40" x14ac:dyDescent="0.25">
      <c r="A3614" t="str">
        <f>"20190305135004877"</f>
        <v>20190305135004877</v>
      </c>
      <c r="B3614" t="str">
        <f>"1551765004874162"</f>
        <v>1551765004874162</v>
      </c>
      <c r="C3614" t="s">
        <v>40</v>
      </c>
      <c r="D3614">
        <v>3.9821789999999999</v>
      </c>
      <c r="E3614">
        <v>0.567353199999999</v>
      </c>
      <c r="F3614" t="s">
        <v>72</v>
      </c>
      <c r="G3614">
        <v>-349.98500000000001</v>
      </c>
      <c r="H3614">
        <v>2.576257</v>
      </c>
      <c r="I3614">
        <v>193.73589999999999</v>
      </c>
      <c r="J3614">
        <v>-463.71539999999999</v>
      </c>
      <c r="K3614">
        <v>1.10999</v>
      </c>
      <c r="L3614">
        <v>215.41239999999999</v>
      </c>
      <c r="M3614">
        <v>0.99073800000000001</v>
      </c>
      <c r="N3614">
        <v>-5.3535869999999999E-3</v>
      </c>
      <c r="O3614">
        <v>-0.1356822</v>
      </c>
      <c r="P3614">
        <v>0.99577839999999995</v>
      </c>
      <c r="Q3614">
        <v>-9.0218339999999994E-2</v>
      </c>
      <c r="R3614">
        <v>-1.6920830000000001E-2</v>
      </c>
      <c r="S3614">
        <v>3.0069889999999999</v>
      </c>
      <c r="T3614">
        <v>3.8676500000000003E-2</v>
      </c>
      <c r="U3614">
        <v>-0.57270810000000005</v>
      </c>
      <c r="V3614">
        <v>-0.1180832</v>
      </c>
      <c r="W3614">
        <v>-8.5289770000000001E-2</v>
      </c>
      <c r="X3614">
        <v>0.98933409999999999</v>
      </c>
      <c r="Y3614">
        <v>5.2096679999999999E-2</v>
      </c>
      <c r="Z3614">
        <v>-2.252609E-3</v>
      </c>
      <c r="AA3614">
        <v>0.99863950000000001</v>
      </c>
      <c r="AB3614">
        <v>28</v>
      </c>
      <c r="AC3614">
        <v>113.73039999999899</v>
      </c>
      <c r="AD3614">
        <v>1.466267</v>
      </c>
      <c r="AE3614">
        <v>-21.676500000000001</v>
      </c>
      <c r="AF3614">
        <v>6.0436583435892102</v>
      </c>
      <c r="AG3614">
        <v>1.466267</v>
      </c>
      <c r="AH3614">
        <v>115.60125382826899</v>
      </c>
      <c r="AI3614">
        <v>89.274299834843703</v>
      </c>
      <c r="AJ3614">
        <v>87.007288954208605</v>
      </c>
      <c r="AK3614">
        <v>115.768413791315</v>
      </c>
      <c r="AL3614">
        <v>94.892688104947993</v>
      </c>
      <c r="AM3614">
        <v>96.806409615723794</v>
      </c>
      <c r="AN3614">
        <v>0.99999997420585096</v>
      </c>
    </row>
    <row r="3615" spans="1:40" x14ac:dyDescent="0.25">
      <c r="A3615" t="str">
        <f>"20190305135004898"</f>
        <v>20190305135004898</v>
      </c>
      <c r="B3615" t="str">
        <f>"1551765004893681"</f>
        <v>1551765004893681</v>
      </c>
      <c r="C3615" t="s">
        <v>40</v>
      </c>
      <c r="D3615">
        <v>3.9512369999999999</v>
      </c>
      <c r="E3615">
        <v>0.56804980000000005</v>
      </c>
      <c r="F3615" t="s">
        <v>72</v>
      </c>
      <c r="G3615">
        <v>-349.98500000000001</v>
      </c>
      <c r="H3615">
        <v>2.7328290000000002</v>
      </c>
      <c r="I3615">
        <v>193.33250000000001</v>
      </c>
      <c r="J3615">
        <v>-463.44130000000001</v>
      </c>
      <c r="K3615">
        <v>1.109982</v>
      </c>
      <c r="L3615">
        <v>215.3766</v>
      </c>
      <c r="M3615">
        <v>0.9909656</v>
      </c>
      <c r="N3615">
        <v>-5.384069E-3</v>
      </c>
      <c r="O3615">
        <v>-0.13400889999999999</v>
      </c>
      <c r="P3615">
        <v>0.99579899999999999</v>
      </c>
      <c r="Q3615">
        <v>-8.9950130000000003E-2</v>
      </c>
      <c r="R3615">
        <v>-1.7138480000000001E-2</v>
      </c>
      <c r="S3615">
        <v>3.0066830000000002</v>
      </c>
      <c r="T3615">
        <v>4.2902469999999998E-2</v>
      </c>
      <c r="U3615">
        <v>-0.58372500000000005</v>
      </c>
      <c r="V3615">
        <v>-0.1162038</v>
      </c>
      <c r="W3615">
        <v>-8.4981000000000001E-2</v>
      </c>
      <c r="X3615">
        <v>0.9895832</v>
      </c>
      <c r="Y3615">
        <v>5.7331779999999999E-2</v>
      </c>
      <c r="Z3615">
        <v>-2.3533600000000001E-3</v>
      </c>
      <c r="AA3615">
        <v>0.99835240000000003</v>
      </c>
      <c r="AB3615">
        <v>28</v>
      </c>
      <c r="AC3615">
        <v>113.4563</v>
      </c>
      <c r="AD3615">
        <v>1.6228469999999999</v>
      </c>
      <c r="AE3615">
        <v>-22.044099999999901</v>
      </c>
      <c r="AF3615">
        <v>6.6395774156988399</v>
      </c>
      <c r="AG3615">
        <v>1.6228469999999999</v>
      </c>
      <c r="AH3615">
        <v>115.364312760711</v>
      </c>
      <c r="AI3615">
        <v>89.1953961717672</v>
      </c>
      <c r="AJ3615">
        <v>86.706082167497698</v>
      </c>
      <c r="AK3615">
        <v>115.566614034485</v>
      </c>
      <c r="AL3615">
        <v>94.8749322887506</v>
      </c>
      <c r="AM3615">
        <v>96.697400952645495</v>
      </c>
      <c r="AN3615">
        <v>1.00000000160884</v>
      </c>
    </row>
    <row r="3616" spans="1:40" x14ac:dyDescent="0.25">
      <c r="A3616" t="str">
        <f>"20190305135004922"</f>
        <v>20190305135004922</v>
      </c>
      <c r="B3616" t="str">
        <f>"1551765004914178"</f>
        <v>1551765004914178</v>
      </c>
      <c r="C3616" t="s">
        <v>40</v>
      </c>
      <c r="D3616">
        <v>3.9485519999999998</v>
      </c>
      <c r="E3616">
        <v>0.5686021</v>
      </c>
      <c r="F3616" t="s">
        <v>72</v>
      </c>
      <c r="G3616">
        <v>-349.98500000000001</v>
      </c>
      <c r="H3616">
        <v>2.810832</v>
      </c>
      <c r="I3616">
        <v>193.11259999999999</v>
      </c>
      <c r="J3616">
        <v>-463.1377</v>
      </c>
      <c r="K3616">
        <v>1.109974</v>
      </c>
      <c r="L3616">
        <v>215.33750000000001</v>
      </c>
      <c r="M3616">
        <v>0.99121060000000005</v>
      </c>
      <c r="N3616">
        <v>-5.418824E-3</v>
      </c>
      <c r="O3616">
        <v>-0.1321821</v>
      </c>
      <c r="P3616">
        <v>0.99582610000000005</v>
      </c>
      <c r="Q3616">
        <v>-8.9637830000000002E-2</v>
      </c>
      <c r="R3616">
        <v>-1.7185789999999999E-2</v>
      </c>
      <c r="S3616">
        <v>3.0065919999999999</v>
      </c>
      <c r="T3616">
        <v>4.507208E-2</v>
      </c>
      <c r="U3616">
        <v>-0.58999630000000003</v>
      </c>
      <c r="V3616">
        <v>-0.11433939999999999</v>
      </c>
      <c r="W3616">
        <v>-8.462509E-2</v>
      </c>
      <c r="X3616">
        <v>0.98983089999999996</v>
      </c>
      <c r="Y3616">
        <v>6.1184080000000002E-2</v>
      </c>
      <c r="Z3616">
        <v>-2.378593E-3</v>
      </c>
      <c r="AA3616">
        <v>0.9981236</v>
      </c>
      <c r="AB3616">
        <v>28</v>
      </c>
      <c r="AC3616">
        <v>113.152699999999</v>
      </c>
      <c r="AD3616">
        <v>1.700858</v>
      </c>
      <c r="AE3616">
        <v>-22.224900000000002</v>
      </c>
      <c r="AF3616">
        <v>7.07136066542036</v>
      </c>
      <c r="AG3616">
        <v>1.700858</v>
      </c>
      <c r="AH3616">
        <v>115.07254932135599</v>
      </c>
      <c r="AI3616">
        <v>89.154781510604096</v>
      </c>
      <c r="AJ3616">
        <v>86.483520351044007</v>
      </c>
      <c r="AK3616">
        <v>115.302162455491</v>
      </c>
      <c r="AL3616">
        <v>94.854466152696006</v>
      </c>
      <c r="AM3616">
        <v>96.589264533908306</v>
      </c>
      <c r="AN3616">
        <v>1.00000005742233</v>
      </c>
    </row>
    <row r="3617" spans="1:40" x14ac:dyDescent="0.25">
      <c r="A3617" t="str">
        <f>"20190305135004944"</f>
        <v>20190305135004944</v>
      </c>
      <c r="B3617" t="str">
        <f>"1551765004933701"</f>
        <v>1551765004933701</v>
      </c>
      <c r="C3617" t="s">
        <v>40</v>
      </c>
      <c r="D3617">
        <v>3.924118</v>
      </c>
      <c r="E3617">
        <v>0.56913919999999996</v>
      </c>
      <c r="F3617" t="s">
        <v>72</v>
      </c>
      <c r="G3617">
        <v>-349.98500000000001</v>
      </c>
      <c r="H3617">
        <v>2.8469229999999999</v>
      </c>
      <c r="I3617">
        <v>192.94149999999999</v>
      </c>
      <c r="J3617">
        <v>-462.86290000000002</v>
      </c>
      <c r="K3617">
        <v>1.1099749999999999</v>
      </c>
      <c r="L3617">
        <v>215.30250000000001</v>
      </c>
      <c r="M3617">
        <v>0.99142750000000002</v>
      </c>
      <c r="N3617">
        <v>-5.4511259999999997E-3</v>
      </c>
      <c r="O3617">
        <v>-0.13054479999999999</v>
      </c>
      <c r="P3617">
        <v>0.99586649999999999</v>
      </c>
      <c r="Q3617">
        <v>-8.9084750000000004E-2</v>
      </c>
      <c r="R3617">
        <v>-1.7719559999999999E-2</v>
      </c>
      <c r="S3617">
        <v>3.0064700000000002</v>
      </c>
      <c r="T3617">
        <v>4.6150330000000003E-2</v>
      </c>
      <c r="U3617">
        <v>-0.59506230000000004</v>
      </c>
      <c r="V3617">
        <v>-0.11218309999999999</v>
      </c>
      <c r="W3617">
        <v>-8.4031259999999997E-2</v>
      </c>
      <c r="X3617">
        <v>0.99012809999999996</v>
      </c>
      <c r="Y3617">
        <v>6.4459089999999997E-2</v>
      </c>
      <c r="Z3617">
        <v>-2.3699569999999998E-3</v>
      </c>
      <c r="AA3617">
        <v>0.99791750000000001</v>
      </c>
      <c r="AB3617">
        <v>28</v>
      </c>
      <c r="AC3617">
        <v>112.8779</v>
      </c>
      <c r="AD3617">
        <v>1.7369479999999999</v>
      </c>
      <c r="AE3617">
        <v>-22.361000000000001</v>
      </c>
      <c r="AF3617">
        <v>7.4321039833729703</v>
      </c>
      <c r="AG3617">
        <v>1.7369479999999999</v>
      </c>
      <c r="AH3617">
        <v>114.80490644858099</v>
      </c>
      <c r="AI3617">
        <v>89.135016399501595</v>
      </c>
      <c r="AJ3617">
        <v>86.296022232874506</v>
      </c>
      <c r="AK3617">
        <v>115.058331739347</v>
      </c>
      <c r="AL3617">
        <v>94.820320962255806</v>
      </c>
      <c r="AM3617">
        <v>96.4641370819092</v>
      </c>
      <c r="AN3617">
        <v>0.99999997749620295</v>
      </c>
    </row>
    <row r="3618" spans="1:40" x14ac:dyDescent="0.25">
      <c r="A3618" t="str">
        <f>"20190305135004965"</f>
        <v>20190305135004965</v>
      </c>
      <c r="B3618" t="str">
        <f>"1551765004954197"</f>
        <v>1551765004954197</v>
      </c>
      <c r="C3618" t="s">
        <v>40</v>
      </c>
      <c r="D3618">
        <v>3.9479199999999999</v>
      </c>
      <c r="E3618">
        <v>0.56957720000000001</v>
      </c>
      <c r="F3618" t="s">
        <v>72</v>
      </c>
      <c r="G3618">
        <v>-349.98500000000001</v>
      </c>
      <c r="H3618">
        <v>2.9605000000000001</v>
      </c>
      <c r="I3618">
        <v>192.72559999999999</v>
      </c>
      <c r="J3618">
        <v>-462.60230000000001</v>
      </c>
      <c r="K3618">
        <v>1.109977</v>
      </c>
      <c r="L3618">
        <v>215.2697</v>
      </c>
      <c r="M3618">
        <v>0.99162939999999999</v>
      </c>
      <c r="N3618">
        <v>-5.4824469999999997E-3</v>
      </c>
      <c r="O3618">
        <v>-0.12900139999999999</v>
      </c>
      <c r="P3618">
        <v>0.99591110000000005</v>
      </c>
      <c r="Q3618">
        <v>-8.8424000000000003E-2</v>
      </c>
      <c r="R3618">
        <v>-1.850736E-2</v>
      </c>
      <c r="S3618">
        <v>3.006195</v>
      </c>
      <c r="T3618">
        <v>4.9283269999999997E-2</v>
      </c>
      <c r="U3618">
        <v>-0.60127259999999905</v>
      </c>
      <c r="V3618">
        <v>-0.1098687</v>
      </c>
      <c r="W3618">
        <v>-8.3331299999999997E-2</v>
      </c>
      <c r="X3618">
        <v>0.99044670000000001</v>
      </c>
      <c r="Y3618">
        <v>6.8013740000000003E-2</v>
      </c>
      <c r="Z3618">
        <v>-2.4232170000000001E-3</v>
      </c>
      <c r="AA3618">
        <v>0.99768140000000005</v>
      </c>
      <c r="AB3618">
        <v>28</v>
      </c>
      <c r="AC3618">
        <v>112.6173</v>
      </c>
      <c r="AD3618">
        <v>1.8505229999999999</v>
      </c>
      <c r="AE3618">
        <v>-22.5441</v>
      </c>
      <c r="AF3618">
        <v>7.8256879202230598</v>
      </c>
      <c r="AG3618">
        <v>1.8505229999999999</v>
      </c>
      <c r="AH3618">
        <v>114.554812679422</v>
      </c>
      <c r="AI3618">
        <v>89.076673799149006</v>
      </c>
      <c r="AJ3618">
        <v>86.0919726651818</v>
      </c>
      <c r="AK3618">
        <v>114.83671422857699</v>
      </c>
      <c r="AL3618">
        <v>94.780075173106297</v>
      </c>
      <c r="AM3618">
        <v>96.329852473524497</v>
      </c>
      <c r="AN3618">
        <v>0.99999995117013296</v>
      </c>
    </row>
    <row r="3619" spans="1:40" x14ac:dyDescent="0.25">
      <c r="A3619" t="str">
        <f>"20190305135004980"</f>
        <v>20190305135004980</v>
      </c>
      <c r="B3619" t="str">
        <f>"1551765004973714"</f>
        <v>1551765004973714</v>
      </c>
      <c r="C3619" t="s">
        <v>40</v>
      </c>
      <c r="D3619">
        <v>3.9190999999999998</v>
      </c>
      <c r="E3619">
        <v>0.57015159999999998</v>
      </c>
      <c r="F3619" t="s">
        <v>72</v>
      </c>
      <c r="G3619">
        <v>-349.98500000000001</v>
      </c>
      <c r="H3619">
        <v>3.0634199999999998</v>
      </c>
      <c r="I3619">
        <v>192.51310000000001</v>
      </c>
      <c r="J3619">
        <v>-462.41250000000002</v>
      </c>
      <c r="K3619">
        <v>1.109974</v>
      </c>
      <c r="L3619">
        <v>215.24619999999999</v>
      </c>
      <c r="M3619">
        <v>0.9917743</v>
      </c>
      <c r="N3619">
        <v>-5.5041179999999997E-3</v>
      </c>
      <c r="O3619">
        <v>-0.12788039999999901</v>
      </c>
      <c r="P3619">
        <v>0.99592829999999999</v>
      </c>
      <c r="Q3619">
        <v>-8.8256390000000004E-2</v>
      </c>
      <c r="R3619">
        <v>-1.8384939999999999E-2</v>
      </c>
      <c r="S3619">
        <v>3.0056150000000001</v>
      </c>
      <c r="T3619">
        <v>5.2134510000000002E-2</v>
      </c>
      <c r="U3619">
        <v>-0.60734560000000004</v>
      </c>
      <c r="V3619">
        <v>-0.1088734</v>
      </c>
      <c r="W3619">
        <v>-8.3139519999999995E-2</v>
      </c>
      <c r="X3619">
        <v>0.99057280000000003</v>
      </c>
      <c r="Y3619">
        <v>7.1116929999999995E-2</v>
      </c>
      <c r="Z3619">
        <v>-2.4719249999999998E-3</v>
      </c>
      <c r="AA3619">
        <v>0.99746489999999999</v>
      </c>
      <c r="AB3619">
        <v>28</v>
      </c>
      <c r="AC3619">
        <v>112.42749999999999</v>
      </c>
      <c r="AD3619">
        <v>1.953446</v>
      </c>
      <c r="AE3619">
        <v>-22.733099999999901</v>
      </c>
      <c r="AF3619">
        <v>8.1665859781894401</v>
      </c>
      <c r="AG3619">
        <v>1.953446</v>
      </c>
      <c r="AH3619">
        <v>114.37838467909</v>
      </c>
      <c r="AI3619">
        <v>89.024035793922394</v>
      </c>
      <c r="AJ3619">
        <v>85.916027230421193</v>
      </c>
      <c r="AK3619">
        <v>114.686197772932</v>
      </c>
      <c r="AL3619">
        <v>94.769048326619597</v>
      </c>
      <c r="AM3619">
        <v>96.2721773824574</v>
      </c>
      <c r="AN3619">
        <v>1.00000003455661</v>
      </c>
    </row>
    <row r="3620" spans="1:40" x14ac:dyDescent="0.25">
      <c r="A3620" t="str">
        <f>"20190305135005000"</f>
        <v>20190305135005000</v>
      </c>
      <c r="B3620" t="str">
        <f>"1551765004994211"</f>
        <v>1551765004994211</v>
      </c>
      <c r="C3620" t="s">
        <v>40</v>
      </c>
      <c r="D3620">
        <v>3.8973399999999998</v>
      </c>
      <c r="E3620">
        <v>0.57066300000000003</v>
      </c>
      <c r="F3620" t="s">
        <v>72</v>
      </c>
      <c r="G3620">
        <v>-363.64699999999999</v>
      </c>
      <c r="H3620">
        <v>2.9306329999999998</v>
      </c>
      <c r="I3620">
        <v>195.1473</v>
      </c>
      <c r="J3620">
        <v>-462.17169999999999</v>
      </c>
      <c r="K3620">
        <v>1.109979</v>
      </c>
      <c r="L3620">
        <v>215.2166</v>
      </c>
      <c r="M3620">
        <v>0.99195639999999996</v>
      </c>
      <c r="N3620">
        <v>-5.5296210000000002E-3</v>
      </c>
      <c r="O3620">
        <v>-0.1264595</v>
      </c>
      <c r="P3620">
        <v>0.99592340000000001</v>
      </c>
      <c r="Q3620">
        <v>-8.8130790000000001E-2</v>
      </c>
      <c r="R3620">
        <v>-1.922944E-2</v>
      </c>
      <c r="S3620">
        <v>3.0058590000000001</v>
      </c>
      <c r="T3620">
        <v>5.5410859999999999E-2</v>
      </c>
      <c r="U3620">
        <v>-0.61169430000000002</v>
      </c>
      <c r="V3620">
        <v>-0.1066158</v>
      </c>
      <c r="W3620">
        <v>-8.2982009999999995E-2</v>
      </c>
      <c r="X3620">
        <v>0.99083149999999998</v>
      </c>
      <c r="Y3620">
        <v>7.3917280000000002E-2</v>
      </c>
      <c r="Z3620">
        <v>-2.523286E-3</v>
      </c>
      <c r="AA3620">
        <v>0.99726119999999996</v>
      </c>
      <c r="AB3620">
        <v>29</v>
      </c>
      <c r="AC3620">
        <v>98.524699999999996</v>
      </c>
      <c r="AD3620">
        <v>1.820654</v>
      </c>
      <c r="AE3620">
        <v>-20.069299999999998</v>
      </c>
      <c r="AF3620">
        <v>7.4461584446061702</v>
      </c>
      <c r="AG3620">
        <v>1.820654</v>
      </c>
      <c r="AH3620">
        <v>100.23882348720301</v>
      </c>
      <c r="AI3620">
        <v>88.962300404282303</v>
      </c>
      <c r="AJ3620">
        <v>85.751633102252399</v>
      </c>
      <c r="AK3620">
        <v>100.531496510639</v>
      </c>
      <c r="AL3620">
        <v>94.759992530597202</v>
      </c>
      <c r="AM3620">
        <v>96.141530628592093</v>
      </c>
      <c r="AN3620">
        <v>1.00000000209276</v>
      </c>
    </row>
    <row r="3621" spans="1:40" x14ac:dyDescent="0.25">
      <c r="A3621" t="str">
        <f>"20190305135005024"</f>
        <v>20190305135005024</v>
      </c>
      <c r="B3621" t="str">
        <f>"1551765005013730"</f>
        <v>1551765005013730</v>
      </c>
      <c r="C3621" t="s">
        <v>40</v>
      </c>
      <c r="D3621">
        <v>3.896042</v>
      </c>
      <c r="E3621">
        <v>0.57104429999999995</v>
      </c>
      <c r="F3621" t="s">
        <v>72</v>
      </c>
      <c r="G3621">
        <v>-363.81610000000001</v>
      </c>
      <c r="H3621">
        <v>2.992693</v>
      </c>
      <c r="I3621">
        <v>194.9836</v>
      </c>
      <c r="J3621">
        <v>-461.86090000000002</v>
      </c>
      <c r="K3621">
        <v>1.1099939999999999</v>
      </c>
      <c r="L3621">
        <v>215.1788</v>
      </c>
      <c r="M3621">
        <v>0.99218819999999996</v>
      </c>
      <c r="N3621">
        <v>-5.5598419999999997E-3</v>
      </c>
      <c r="O3621">
        <v>-0.1246268</v>
      </c>
      <c r="P3621">
        <v>0.99592720000000001</v>
      </c>
      <c r="Q3621">
        <v>-8.7982459999999998E-2</v>
      </c>
      <c r="R3621">
        <v>-1.9700200000000001E-2</v>
      </c>
      <c r="S3621">
        <v>3.0054319999999999</v>
      </c>
      <c r="T3621">
        <v>5.7530159999999997E-2</v>
      </c>
      <c r="U3621">
        <v>-0.61825559999999902</v>
      </c>
      <c r="V3621">
        <v>-0.1043181</v>
      </c>
      <c r="W3621">
        <v>-8.2797860000000001E-2</v>
      </c>
      <c r="X3621">
        <v>0.99109139999999996</v>
      </c>
      <c r="Y3621">
        <v>7.7876710000000002E-2</v>
      </c>
      <c r="Z3621">
        <v>-2.5190339999999999E-3</v>
      </c>
      <c r="AA3621">
        <v>0.99695979999999995</v>
      </c>
      <c r="AB3621">
        <v>29</v>
      </c>
      <c r="AC3621">
        <v>98.044799999999995</v>
      </c>
      <c r="AD3621">
        <v>1.8826989999999999</v>
      </c>
      <c r="AE3621">
        <v>-20.1952</v>
      </c>
      <c r="AF3621">
        <v>7.81578496914089</v>
      </c>
      <c r="AG3621">
        <v>1.8826989999999999</v>
      </c>
      <c r="AH3621">
        <v>99.762002104892204</v>
      </c>
      <c r="AI3621">
        <v>88.922149833275697</v>
      </c>
      <c r="AJ3621">
        <v>85.520351985476296</v>
      </c>
      <c r="AK3621">
        <v>100.085404101622</v>
      </c>
      <c r="AL3621">
        <v>94.749405291134494</v>
      </c>
      <c r="AM3621">
        <v>96.008587961384094</v>
      </c>
      <c r="AN3621">
        <v>0.99999995738107295</v>
      </c>
    </row>
    <row r="3622" spans="1:40" x14ac:dyDescent="0.25">
      <c r="A3622" t="str">
        <f>"20190305135005045"</f>
        <v>20190305135005045</v>
      </c>
      <c r="B3622" t="str">
        <f>"1551765005033756"</f>
        <v>1551765005033756</v>
      </c>
      <c r="C3622" t="s">
        <v>40</v>
      </c>
      <c r="D3622">
        <v>3.9005839999999998</v>
      </c>
      <c r="E3622">
        <v>0.57133089999999997</v>
      </c>
      <c r="F3622" t="s">
        <v>72</v>
      </c>
      <c r="G3622">
        <v>-364.28019999999998</v>
      </c>
      <c r="H3622">
        <v>3.0205890000000002</v>
      </c>
      <c r="I3622">
        <v>194.96</v>
      </c>
      <c r="J3622">
        <v>-461.58850000000001</v>
      </c>
      <c r="K3622">
        <v>1.110006</v>
      </c>
      <c r="L3622">
        <v>215.1463</v>
      </c>
      <c r="M3622">
        <v>0.99238870000000001</v>
      </c>
      <c r="N3622">
        <v>-5.5852949999999997E-3</v>
      </c>
      <c r="O3622">
        <v>-0.12301819999999999</v>
      </c>
      <c r="P3622">
        <v>0.99590290000000004</v>
      </c>
      <c r="Q3622">
        <v>-8.8229970000000005E-2</v>
      </c>
      <c r="R3622">
        <v>-1.98283E-2</v>
      </c>
      <c r="S3622">
        <v>3.0051269999999999</v>
      </c>
      <c r="T3622">
        <v>5.8839799999999998E-2</v>
      </c>
      <c r="U3622">
        <v>-0.62266540000000004</v>
      </c>
      <c r="V3622">
        <v>-0.1025793</v>
      </c>
      <c r="W3622">
        <v>-8.3016370000000006E-2</v>
      </c>
      <c r="X3622">
        <v>0.99125459999999999</v>
      </c>
      <c r="Y3622">
        <v>8.0915589999999996E-2</v>
      </c>
      <c r="Z3622">
        <v>-2.499027E-3</v>
      </c>
      <c r="AA3622">
        <v>0.99671779999999999</v>
      </c>
      <c r="AB3622">
        <v>29</v>
      </c>
      <c r="AC3622">
        <v>97.308300000000003</v>
      </c>
      <c r="AD3622">
        <v>1.9105829999999999</v>
      </c>
      <c r="AE3622">
        <v>-20.1862999999999</v>
      </c>
      <c r="AF3622">
        <v>8.0591111773194797</v>
      </c>
      <c r="AG3622">
        <v>1.9105829999999999</v>
      </c>
      <c r="AH3622">
        <v>99.015887989329798</v>
      </c>
      <c r="AI3622">
        <v>88.898216325695998</v>
      </c>
      <c r="AJ3622">
        <v>85.346833263040594</v>
      </c>
      <c r="AK3622">
        <v>99.361691182687593</v>
      </c>
      <c r="AL3622">
        <v>94.761968248622296</v>
      </c>
      <c r="AM3622">
        <v>95.908183946088798</v>
      </c>
      <c r="AN3622">
        <v>0.99999995624881199</v>
      </c>
    </row>
    <row r="3623" spans="1:40" x14ac:dyDescent="0.25">
      <c r="A3623" t="str">
        <f>"20190305135005065"</f>
        <v>20190305135005065</v>
      </c>
      <c r="B3623" t="str">
        <f>"1551765005054251"</f>
        <v>1551765005054251</v>
      </c>
      <c r="C3623" t="s">
        <v>40</v>
      </c>
      <c r="D3623">
        <v>3.701689</v>
      </c>
      <c r="E3623">
        <v>0.59644609999999998</v>
      </c>
      <c r="F3623" t="s">
        <v>72</v>
      </c>
      <c r="G3623">
        <v>-364.55020000000002</v>
      </c>
      <c r="H3623">
        <v>3.0103070000000001</v>
      </c>
      <c r="I3623">
        <v>194.96</v>
      </c>
      <c r="J3623">
        <v>-461.32279999999997</v>
      </c>
      <c r="K3623">
        <v>1.1100209999999999</v>
      </c>
      <c r="L3623">
        <v>215.11490000000001</v>
      </c>
      <c r="M3623">
        <v>0.99258230000000003</v>
      </c>
      <c r="N3623">
        <v>-5.6100169999999897E-3</v>
      </c>
      <c r="O3623">
        <v>-0.1214466</v>
      </c>
      <c r="P3623">
        <v>0.99602539999999995</v>
      </c>
      <c r="Q3623">
        <v>-8.691596E-2</v>
      </c>
      <c r="R3623">
        <v>-1.9477100000000001E-2</v>
      </c>
      <c r="S3623">
        <v>3.0051269999999999</v>
      </c>
      <c r="T3623">
        <v>5.8849810000000002E-2</v>
      </c>
      <c r="U3623">
        <v>-0.62513730000000001</v>
      </c>
      <c r="V3623">
        <v>-0.1013753</v>
      </c>
      <c r="W3623">
        <v>-8.1675369999999997E-2</v>
      </c>
      <c r="X3623">
        <v>0.99148990000000004</v>
      </c>
      <c r="Y3623">
        <v>8.3279039999999999E-2</v>
      </c>
      <c r="Z3623">
        <v>-2.4480330000000001E-3</v>
      </c>
      <c r="AA3623">
        <v>0.9965233</v>
      </c>
      <c r="AB3623">
        <v>29</v>
      </c>
      <c r="AC3623">
        <v>96.772599999999898</v>
      </c>
      <c r="AD3623">
        <v>1.9002859999999999</v>
      </c>
      <c r="AE3623">
        <v>-20.154900000000001</v>
      </c>
      <c r="AF3623">
        <v>8.2497732563894495</v>
      </c>
      <c r="AG3623">
        <v>1.9002859999999999</v>
      </c>
      <c r="AH3623">
        <v>98.467655470500901</v>
      </c>
      <c r="AI3623">
        <v>88.898269011506301</v>
      </c>
      <c r="AJ3623">
        <v>85.210855179861099</v>
      </c>
      <c r="AK3623">
        <v>98.830911255137593</v>
      </c>
      <c r="AL3623">
        <v>94.684872470505397</v>
      </c>
      <c r="AM3623">
        <v>95.837943839973093</v>
      </c>
      <c r="AN3623">
        <v>1.0000000196583601</v>
      </c>
    </row>
    <row r="3624" spans="1:40" x14ac:dyDescent="0.25">
      <c r="A3624" t="str">
        <f>"20190305135005088"</f>
        <v>20190305135005088</v>
      </c>
      <c r="B3624" t="str">
        <f>"1551765005084508"</f>
        <v>1551765005084508</v>
      </c>
      <c r="C3624" t="s">
        <v>40</v>
      </c>
      <c r="D3624">
        <v>3.6748989999999999</v>
      </c>
      <c r="E3624">
        <v>0.59600609999999998</v>
      </c>
      <c r="F3624" t="s">
        <v>47</v>
      </c>
      <c r="G3624">
        <v>0</v>
      </c>
      <c r="H3624">
        <v>0</v>
      </c>
      <c r="I3624">
        <v>0</v>
      </c>
      <c r="J3624">
        <v>-461.03089999999997</v>
      </c>
      <c r="K3624">
        <v>1.1100479999999999</v>
      </c>
      <c r="L3624">
        <v>215.08099999999999</v>
      </c>
      <c r="M3624">
        <v>0.99279220000000001</v>
      </c>
      <c r="N3624">
        <v>-5.6375080000000003E-3</v>
      </c>
      <c r="O3624">
        <v>-0.1197163</v>
      </c>
      <c r="P3624">
        <v>0.99618519999999999</v>
      </c>
      <c r="Q3624">
        <v>-8.5186650000000003E-2</v>
      </c>
      <c r="R3624">
        <v>-1.894036E-2</v>
      </c>
      <c r="S3624">
        <v>3.0565799999999999</v>
      </c>
      <c r="T3624">
        <v>0.694698699999999</v>
      </c>
      <c r="U3624">
        <v>-0.81826779999999999</v>
      </c>
      <c r="V3624">
        <v>-0.1002038</v>
      </c>
      <c r="W3624">
        <v>-7.9916440000000005E-2</v>
      </c>
      <c r="X3624">
        <v>0.99175230000000003</v>
      </c>
      <c r="Y3624">
        <v>0.14081850000000001</v>
      </c>
      <c r="Z3624">
        <v>-1.179787E-2</v>
      </c>
      <c r="AA3624">
        <v>0.98996510000000004</v>
      </c>
      <c r="AB3624">
        <v>29</v>
      </c>
      <c r="AC3624">
        <v>3.0565799999999999</v>
      </c>
      <c r="AD3624">
        <v>0.694698699999999</v>
      </c>
      <c r="AE3624">
        <v>-0.81826779999999999</v>
      </c>
      <c r="AF3624">
        <v>0.42592427067017302</v>
      </c>
      <c r="AG3624">
        <v>0.694698699999999</v>
      </c>
      <c r="AH3624">
        <v>2.9885074770502098</v>
      </c>
      <c r="AI3624">
        <v>77.040093099981405</v>
      </c>
      <c r="AJ3624">
        <v>81.888788006546704</v>
      </c>
      <c r="AK3624">
        <v>3.0976111293241102</v>
      </c>
      <c r="AL3624">
        <v>94.583762576454006</v>
      </c>
      <c r="AM3624">
        <v>95.769421552768904</v>
      </c>
      <c r="AN3624">
        <v>1.0000000317360001</v>
      </c>
    </row>
    <row r="3625" spans="1:40" x14ac:dyDescent="0.25">
      <c r="A3625" t="str">
        <f>"20190305135005111"</f>
        <v>20190305135005111</v>
      </c>
      <c r="B3625" t="str">
        <f>"1551765005104028"</f>
        <v>1551765005104028</v>
      </c>
      <c r="C3625" t="s">
        <v>40</v>
      </c>
      <c r="D3625">
        <v>3.670261</v>
      </c>
      <c r="E3625">
        <v>0.59538979999999997</v>
      </c>
      <c r="F3625" t="s">
        <v>47</v>
      </c>
      <c r="G3625">
        <v>0</v>
      </c>
      <c r="H3625">
        <v>0</v>
      </c>
      <c r="I3625">
        <v>0</v>
      </c>
      <c r="J3625">
        <v>-460.73059999999998</v>
      </c>
      <c r="K3625">
        <v>1.11006</v>
      </c>
      <c r="L3625">
        <v>215.04660000000001</v>
      </c>
      <c r="M3625">
        <v>0.99300529999999998</v>
      </c>
      <c r="N3625">
        <v>-5.6667230000000002E-3</v>
      </c>
      <c r="O3625">
        <v>-0.1179346</v>
      </c>
      <c r="P3625">
        <v>0.99632730000000003</v>
      </c>
      <c r="Q3625">
        <v>-8.3797339999999998E-2</v>
      </c>
      <c r="R3625">
        <v>-1.7613730000000001E-2</v>
      </c>
      <c r="S3625">
        <v>3.055634</v>
      </c>
      <c r="T3625">
        <v>0.69689699999999999</v>
      </c>
      <c r="U3625">
        <v>-0.81184389999999995</v>
      </c>
      <c r="V3625">
        <v>-9.9760639999999998E-2</v>
      </c>
      <c r="W3625">
        <v>-7.8498730000000003E-2</v>
      </c>
      <c r="X3625">
        <v>0.99191019999999996</v>
      </c>
      <c r="Y3625">
        <v>0.14068549999999999</v>
      </c>
      <c r="Z3625">
        <v>-1.145815E-2</v>
      </c>
      <c r="AA3625">
        <v>0.98998799999999998</v>
      </c>
      <c r="AB3625">
        <v>29</v>
      </c>
      <c r="AC3625">
        <v>3.055634</v>
      </c>
      <c r="AD3625">
        <v>0.69689699999999999</v>
      </c>
      <c r="AE3625">
        <v>-0.81184389999999995</v>
      </c>
      <c r="AF3625">
        <v>0.425151033756765</v>
      </c>
      <c r="AG3625">
        <v>0.69689699999999999</v>
      </c>
      <c r="AH3625">
        <v>2.9850246826203199</v>
      </c>
      <c r="AI3625">
        <v>76.985659684232203</v>
      </c>
      <c r="AJ3625">
        <v>81.893996566739602</v>
      </c>
      <c r="AK3625">
        <v>3.0946391043166899</v>
      </c>
      <c r="AL3625">
        <v>94.502277719886706</v>
      </c>
      <c r="AM3625">
        <v>95.743168510156494</v>
      </c>
      <c r="AN3625">
        <v>1.00000004038443</v>
      </c>
    </row>
    <row r="3626" spans="1:40" x14ac:dyDescent="0.25">
      <c r="A3626" t="str">
        <f>"20190305135005133"</f>
        <v>20190305135005133</v>
      </c>
      <c r="B3626" t="str">
        <f>"1551765005123551"</f>
        <v>1551765005123551</v>
      </c>
      <c r="C3626" t="s">
        <v>40</v>
      </c>
      <c r="D3626">
        <v>3.675837</v>
      </c>
      <c r="E3626">
        <v>0.59543449999999998</v>
      </c>
      <c r="F3626" t="s">
        <v>47</v>
      </c>
      <c r="G3626">
        <v>0</v>
      </c>
      <c r="H3626">
        <v>0</v>
      </c>
      <c r="I3626">
        <v>0</v>
      </c>
      <c r="J3626">
        <v>-460.44189999999998</v>
      </c>
      <c r="K3626">
        <v>1.11008</v>
      </c>
      <c r="L3626">
        <v>215.01410000000001</v>
      </c>
      <c r="M3626">
        <v>0.99320759999999997</v>
      </c>
      <c r="N3626">
        <v>-5.6955399999999998E-3</v>
      </c>
      <c r="O3626">
        <v>-0.1162175</v>
      </c>
      <c r="P3626">
        <v>0.99637909999999996</v>
      </c>
      <c r="Q3626">
        <v>-8.3326979999999995E-2</v>
      </c>
      <c r="R3626">
        <v>-1.6897789999999999E-2</v>
      </c>
      <c r="S3626">
        <v>3.055237</v>
      </c>
      <c r="T3626">
        <v>0.69437399999999905</v>
      </c>
      <c r="U3626">
        <v>-0.80285640000000003</v>
      </c>
      <c r="V3626">
        <v>-9.8762699999999995E-2</v>
      </c>
      <c r="W3626">
        <v>-7.7998789999999998E-2</v>
      </c>
      <c r="X3626">
        <v>0.99204950000000003</v>
      </c>
      <c r="Y3626">
        <v>0.13969100000000001</v>
      </c>
      <c r="Z3626">
        <v>-1.11558E-2</v>
      </c>
      <c r="AA3626">
        <v>0.99013229999999997</v>
      </c>
      <c r="AB3626">
        <v>29</v>
      </c>
      <c r="AC3626">
        <v>3.055237</v>
      </c>
      <c r="AD3626">
        <v>0.69437399999999905</v>
      </c>
      <c r="AE3626">
        <v>-0.80285640000000003</v>
      </c>
      <c r="AF3626">
        <v>0.42195089198286201</v>
      </c>
      <c r="AG3626">
        <v>0.69437399999999905</v>
      </c>
      <c r="AH3626">
        <v>2.9836792051412901</v>
      </c>
      <c r="AI3626">
        <v>77.023771355954594</v>
      </c>
      <c r="AJ3626">
        <v>81.950628433317107</v>
      </c>
      <c r="AK3626">
        <v>3.0923355908299599</v>
      </c>
      <c r="AL3626">
        <v>94.473545144342097</v>
      </c>
      <c r="AM3626">
        <v>95.685302784059502</v>
      </c>
      <c r="AN3626">
        <v>1.0000000463015</v>
      </c>
    </row>
    <row r="3627" spans="1:40" x14ac:dyDescent="0.25">
      <c r="A3627" t="str">
        <f>"20190305135005155"</f>
        <v>20190305135005155</v>
      </c>
      <c r="B3627" t="str">
        <f>"1551765005144551"</f>
        <v>1551765005144551</v>
      </c>
      <c r="C3627" t="s">
        <v>40</v>
      </c>
      <c r="D3627">
        <v>3.8797039999999998</v>
      </c>
      <c r="E3627">
        <v>0.59571980000000002</v>
      </c>
      <c r="F3627" t="s">
        <v>47</v>
      </c>
      <c r="G3627">
        <v>0</v>
      </c>
      <c r="H3627">
        <v>0</v>
      </c>
      <c r="I3627">
        <v>0</v>
      </c>
      <c r="J3627">
        <v>-460.15730000000002</v>
      </c>
      <c r="K3627">
        <v>1.110104</v>
      </c>
      <c r="L3627">
        <v>214.98249999999999</v>
      </c>
      <c r="M3627">
        <v>0.99340459999999997</v>
      </c>
      <c r="N3627">
        <v>-5.7248009999999998E-3</v>
      </c>
      <c r="O3627">
        <v>-0.1145195</v>
      </c>
      <c r="P3627">
        <v>0.99646140000000005</v>
      </c>
      <c r="Q3627">
        <v>-8.2645200000000002E-2</v>
      </c>
      <c r="R3627">
        <v>-1.53096E-2</v>
      </c>
      <c r="S3627">
        <v>3.0553279999999998</v>
      </c>
      <c r="T3627">
        <v>0.6932931</v>
      </c>
      <c r="U3627">
        <v>-0.80136109999999905</v>
      </c>
      <c r="V3627">
        <v>-9.8654619999999998E-2</v>
      </c>
      <c r="W3627">
        <v>-7.7290520000000001E-2</v>
      </c>
      <c r="X3627">
        <v>0.99211559999999999</v>
      </c>
      <c r="Y3627">
        <v>0.1408567</v>
      </c>
      <c r="Z3627">
        <v>-1.064201E-2</v>
      </c>
      <c r="AA3627">
        <v>0.98997279999999999</v>
      </c>
      <c r="AB3627">
        <v>29</v>
      </c>
      <c r="AC3627">
        <v>3.0553279999999998</v>
      </c>
      <c r="AD3627">
        <v>0.6932931</v>
      </c>
      <c r="AE3627">
        <v>-0.80136109999999905</v>
      </c>
      <c r="AF3627">
        <v>0.42568110987325802</v>
      </c>
      <c r="AG3627">
        <v>0.6932931</v>
      </c>
      <c r="AH3627">
        <v>2.9832788662751102</v>
      </c>
      <c r="AI3627">
        <v>77.043821599213004</v>
      </c>
      <c r="AJ3627">
        <v>81.8793384694482</v>
      </c>
      <c r="AK3627">
        <v>3.0922180588978998</v>
      </c>
      <c r="AL3627">
        <v>94.432841761130206</v>
      </c>
      <c r="AM3627">
        <v>95.678745920655004</v>
      </c>
      <c r="AN3627">
        <v>0.99999996114628598</v>
      </c>
    </row>
    <row r="3628" spans="1:40" x14ac:dyDescent="0.25">
      <c r="A3628" t="str">
        <f>"20190305135005176"</f>
        <v>20190305135005176</v>
      </c>
      <c r="B3628" t="str">
        <f>"1551765005173832"</f>
        <v>1551765005173832</v>
      </c>
      <c r="C3628" t="s">
        <v>40</v>
      </c>
      <c r="D3628">
        <v>3.7830840000000001</v>
      </c>
      <c r="E3628">
        <v>0.49625029999999998</v>
      </c>
      <c r="F3628" t="s">
        <v>47</v>
      </c>
      <c r="G3628">
        <v>0</v>
      </c>
      <c r="H3628">
        <v>0</v>
      </c>
      <c r="I3628">
        <v>0</v>
      </c>
      <c r="J3628">
        <v>-459.8766</v>
      </c>
      <c r="K3628">
        <v>1.1101219999999901</v>
      </c>
      <c r="L3628">
        <v>214.95179999999999</v>
      </c>
      <c r="M3628">
        <v>0.99359739999999996</v>
      </c>
      <c r="N3628">
        <v>-5.754604E-3</v>
      </c>
      <c r="O3628">
        <v>-0.11283219999999999</v>
      </c>
      <c r="P3628">
        <v>0.99652359999999895</v>
      </c>
      <c r="Q3628">
        <v>-8.2271380000000005E-2</v>
      </c>
      <c r="R3628">
        <v>-1.312347E-2</v>
      </c>
      <c r="S3628">
        <v>3.0560610000000001</v>
      </c>
      <c r="T3628">
        <v>0.69504560000000004</v>
      </c>
      <c r="U3628">
        <v>-0.79917910000000003</v>
      </c>
      <c r="V3628">
        <v>-9.9147310000000002E-2</v>
      </c>
      <c r="W3628">
        <v>-7.689298E-2</v>
      </c>
      <c r="X3628">
        <v>0.99209740000000002</v>
      </c>
      <c r="Y3628">
        <v>0.141754399999999</v>
      </c>
      <c r="Z3628">
        <v>-1.0195640000000001E-2</v>
      </c>
      <c r="AA3628">
        <v>0.98984930000000004</v>
      </c>
      <c r="AB3628">
        <v>29</v>
      </c>
      <c r="AC3628">
        <v>3.0560610000000001</v>
      </c>
      <c r="AD3628">
        <v>0.69504560000000004</v>
      </c>
      <c r="AE3628">
        <v>-0.79917910000000003</v>
      </c>
      <c r="AF3628">
        <v>0.42850195962852899</v>
      </c>
      <c r="AG3628">
        <v>0.69504560000000004</v>
      </c>
      <c r="AH3628">
        <v>2.9823313630224599</v>
      </c>
      <c r="AI3628">
        <v>77.009939239961298</v>
      </c>
      <c r="AJ3628">
        <v>81.823688567094905</v>
      </c>
      <c r="AK3628">
        <v>3.0920871065272801</v>
      </c>
      <c r="AL3628">
        <v>94.409996301594802</v>
      </c>
      <c r="AM3628">
        <v>95.707023344879602</v>
      </c>
      <c r="AN3628">
        <v>0.999999985270138</v>
      </c>
    </row>
    <row r="3629" spans="1:40" x14ac:dyDescent="0.25">
      <c r="A3629" t="str">
        <f>"20190305135005200"</f>
        <v>20190305135005200</v>
      </c>
      <c r="B3629" t="str">
        <f>"1551765005194328"</f>
        <v>1551765005194328</v>
      </c>
      <c r="C3629" t="s">
        <v>40</v>
      </c>
      <c r="D3629">
        <v>3.8031999999999999</v>
      </c>
      <c r="E3629">
        <v>0.47369630000000001</v>
      </c>
      <c r="F3629" t="s">
        <v>91</v>
      </c>
      <c r="G3629">
        <v>-107.39749999999999</v>
      </c>
      <c r="H3629">
        <v>50.597990000000003</v>
      </c>
      <c r="I3629">
        <v>214.63749999999999</v>
      </c>
      <c r="J3629">
        <v>-459.56970000000001</v>
      </c>
      <c r="K3629">
        <v>1.1101449999999999</v>
      </c>
      <c r="L3629">
        <v>214.91890000000001</v>
      </c>
      <c r="M3629">
        <v>0.99380800000000002</v>
      </c>
      <c r="N3629">
        <v>-5.7883980000000002E-3</v>
      </c>
      <c r="O3629">
        <v>-0.1109613</v>
      </c>
      <c r="P3629">
        <v>0.99653499999999995</v>
      </c>
      <c r="Q3629">
        <v>-8.2519729999999999E-2</v>
      </c>
      <c r="R3629">
        <v>-1.043094E-2</v>
      </c>
      <c r="S3629">
        <v>3.045715</v>
      </c>
      <c r="T3629">
        <v>0.42761719999999998</v>
      </c>
      <c r="U3629">
        <v>-2.7160639999999998E-3</v>
      </c>
      <c r="V3629">
        <v>-9.9951620000000005E-2</v>
      </c>
      <c r="W3629">
        <v>-7.7117749999999999E-2</v>
      </c>
      <c r="X3629">
        <v>0.99199930000000003</v>
      </c>
      <c r="Y3629">
        <v>-0.1078862</v>
      </c>
      <c r="Z3629">
        <v>-2.3341520000000001E-2</v>
      </c>
      <c r="AA3629">
        <v>0.99388920000000003</v>
      </c>
      <c r="AB3629">
        <v>30</v>
      </c>
      <c r="AC3629">
        <v>352.17219999999998</v>
      </c>
      <c r="AD3629">
        <v>49.487845</v>
      </c>
      <c r="AE3629">
        <v>-0.28140000000001902</v>
      </c>
      <c r="AF3629">
        <v>-38.047179927795902</v>
      </c>
      <c r="AG3629">
        <v>49.487845</v>
      </c>
      <c r="AH3629">
        <v>343.250648465388</v>
      </c>
      <c r="AI3629">
        <v>81.845231047064004</v>
      </c>
      <c r="AJ3629">
        <v>96.325057945087593</v>
      </c>
      <c r="AK3629">
        <v>348.88055602901102</v>
      </c>
      <c r="AL3629">
        <v>94.422912774670195</v>
      </c>
      <c r="AM3629">
        <v>95.7535760661045</v>
      </c>
      <c r="AN3629">
        <v>1.0000000424530799</v>
      </c>
    </row>
    <row r="3630" spans="1:40" x14ac:dyDescent="0.25">
      <c r="A3630" t="str">
        <f>"20190305135005223"</f>
        <v>20190305135005223</v>
      </c>
      <c r="B3630" t="str">
        <f>"1551765005213847"</f>
        <v>1551765005213847</v>
      </c>
      <c r="C3630" t="s">
        <v>40</v>
      </c>
      <c r="D3630">
        <v>3.704653</v>
      </c>
      <c r="E3630">
        <v>0.46598600000000001</v>
      </c>
      <c r="F3630" t="s">
        <v>61</v>
      </c>
      <c r="G3630">
        <v>-157.25</v>
      </c>
      <c r="H3630">
        <v>53.567599999999999</v>
      </c>
      <c r="I3630">
        <v>233.2533</v>
      </c>
      <c r="J3630">
        <v>-459.25790000000001</v>
      </c>
      <c r="K3630">
        <v>1.1101799999999999</v>
      </c>
      <c r="L3630">
        <v>214.886</v>
      </c>
      <c r="M3630">
        <v>0.99402369999999995</v>
      </c>
      <c r="N3630">
        <v>-5.8276619999999999E-3</v>
      </c>
      <c r="O3630">
        <v>-0.1090106</v>
      </c>
      <c r="P3630">
        <v>0.99655400000000005</v>
      </c>
      <c r="Q3630">
        <v>-8.2607340000000001E-2</v>
      </c>
      <c r="R3630">
        <v>-7.5166290000000004E-3</v>
      </c>
      <c r="S3630">
        <v>3.056244</v>
      </c>
      <c r="T3630">
        <v>0.53030919999999904</v>
      </c>
      <c r="U3630">
        <v>0.1853485</v>
      </c>
      <c r="V3630">
        <v>-0.10089620000000001</v>
      </c>
      <c r="W3630">
        <v>-7.7180739999999998E-2</v>
      </c>
      <c r="X3630">
        <v>0.99189870000000002</v>
      </c>
      <c r="Y3630">
        <v>-0.16487959999999999</v>
      </c>
      <c r="Z3630">
        <v>-3.3077009999999997E-2</v>
      </c>
      <c r="AA3630">
        <v>0.98575889999999999</v>
      </c>
      <c r="AB3630">
        <v>30</v>
      </c>
      <c r="AC3630">
        <v>302.00790000000001</v>
      </c>
      <c r="AD3630">
        <v>52.4574199999999</v>
      </c>
      <c r="AE3630">
        <v>18.3673</v>
      </c>
      <c r="AF3630">
        <v>-49.686916291908702</v>
      </c>
      <c r="AG3630">
        <v>52.4574199999999</v>
      </c>
      <c r="AH3630">
        <v>289.50360989589302</v>
      </c>
      <c r="AI3630">
        <v>79.874482610480996</v>
      </c>
      <c r="AJ3630">
        <v>99.738676606342594</v>
      </c>
      <c r="AK3630">
        <v>298.38383117456101</v>
      </c>
      <c r="AL3630">
        <v>94.426532943871095</v>
      </c>
      <c r="AM3630">
        <v>95.808164547263601</v>
      </c>
      <c r="AN3630">
        <v>0.99999997043153799</v>
      </c>
    </row>
    <row r="3631" spans="1:40" x14ac:dyDescent="0.25">
      <c r="A3631" t="str">
        <f>"20190305135005246"</f>
        <v>20190305135005246</v>
      </c>
      <c r="B3631" t="str">
        <f>"1551765005234343"</f>
        <v>1551765005234343</v>
      </c>
      <c r="C3631" t="s">
        <v>40</v>
      </c>
      <c r="D3631">
        <v>3.6979700000000002</v>
      </c>
      <c r="E3631">
        <v>0.46377849999999998</v>
      </c>
      <c r="F3631" t="s">
        <v>69</v>
      </c>
      <c r="G3631">
        <v>-251.16249999999999</v>
      </c>
      <c r="H3631">
        <v>37.860520000000001</v>
      </c>
      <c r="I3631">
        <v>232.251</v>
      </c>
      <c r="J3631">
        <v>-458.96080000000001</v>
      </c>
      <c r="K3631">
        <v>1.110247</v>
      </c>
      <c r="L3631">
        <v>214.8554</v>
      </c>
      <c r="M3631">
        <v>0.99423280000000003</v>
      </c>
      <c r="N3631">
        <v>-5.8753729999999997E-3</v>
      </c>
      <c r="O3631">
        <v>-0.10708289999999999</v>
      </c>
      <c r="P3631">
        <v>0.99657130000000005</v>
      </c>
      <c r="Q3631">
        <v>-8.2549910000000004E-2</v>
      </c>
      <c r="R3631">
        <v>-5.6230100000000003E-3</v>
      </c>
      <c r="S3631">
        <v>3.0569760000000001</v>
      </c>
      <c r="T3631">
        <v>0.53987220000000002</v>
      </c>
      <c r="U3631">
        <v>0.2550964</v>
      </c>
      <c r="V3631">
        <v>-0.1008477</v>
      </c>
      <c r="W3631">
        <v>-7.7090290000000006E-2</v>
      </c>
      <c r="X3631">
        <v>0.99191070000000003</v>
      </c>
      <c r="Y3631">
        <v>-0.1848863</v>
      </c>
      <c r="Z3631">
        <v>-3.4975930000000002E-2</v>
      </c>
      <c r="AA3631">
        <v>0.98213729999999999</v>
      </c>
      <c r="AB3631">
        <v>30</v>
      </c>
      <c r="AC3631">
        <v>207.79830000000001</v>
      </c>
      <c r="AD3631">
        <v>36.750273</v>
      </c>
      <c r="AE3631">
        <v>17.395599999999899</v>
      </c>
      <c r="AF3631">
        <v>-38.356248045910398</v>
      </c>
      <c r="AG3631">
        <v>36.750273</v>
      </c>
      <c r="AH3631">
        <v>198.572920677187</v>
      </c>
      <c r="AI3631">
        <v>79.700984008226698</v>
      </c>
      <c r="AJ3631">
        <v>100.93258459682301</v>
      </c>
      <c r="AK3631">
        <v>205.555318967918</v>
      </c>
      <c r="AL3631">
        <v>94.421334904841601</v>
      </c>
      <c r="AM3631">
        <v>95.805321929765299</v>
      </c>
      <c r="AN3631">
        <v>1.00000000409103</v>
      </c>
    </row>
    <row r="3632" spans="1:40" x14ac:dyDescent="0.25">
      <c r="A3632" t="str">
        <f>"20190305135005267"</f>
        <v>20190305135005267</v>
      </c>
      <c r="B3632" t="str">
        <f>"1551765005263623"</f>
        <v>1551765005263623</v>
      </c>
      <c r="C3632" t="s">
        <v>40</v>
      </c>
      <c r="D3632">
        <v>3.6827200000000002</v>
      </c>
      <c r="E3632">
        <v>0.46220240000000001</v>
      </c>
      <c r="F3632" t="s">
        <v>69</v>
      </c>
      <c r="G3632">
        <v>-251.16300000000001</v>
      </c>
      <c r="H3632">
        <v>39.251350000000002</v>
      </c>
      <c r="I3632">
        <v>233.7396</v>
      </c>
      <c r="J3632">
        <v>-458.68560000000002</v>
      </c>
      <c r="K3632">
        <v>1.1103209999999999</v>
      </c>
      <c r="L3632">
        <v>214.82749999999999</v>
      </c>
      <c r="M3632">
        <v>0.99443219999999999</v>
      </c>
      <c r="N3632">
        <v>-5.9308969999999897E-3</v>
      </c>
      <c r="O3632">
        <v>-0.105212899999999</v>
      </c>
      <c r="P3632">
        <v>0.99656619999999996</v>
      </c>
      <c r="Q3632">
        <v>-8.269936E-2</v>
      </c>
      <c r="R3632">
        <v>-4.1151019999999998E-3</v>
      </c>
      <c r="S3632">
        <v>3.0583800000000001</v>
      </c>
      <c r="T3632">
        <v>0.56136269999999999</v>
      </c>
      <c r="U3632">
        <v>0.27793879999999999</v>
      </c>
      <c r="V3632">
        <v>-0.1004675</v>
      </c>
      <c r="W3632">
        <v>-7.7200980000000002E-2</v>
      </c>
      <c r="X3632">
        <v>0.99194070000000001</v>
      </c>
      <c r="Y3632">
        <v>-0.18987799999999999</v>
      </c>
      <c r="Z3632">
        <v>-3.6404980000000003E-2</v>
      </c>
      <c r="AA3632">
        <v>0.98113249999999996</v>
      </c>
      <c r="AB3632">
        <v>30</v>
      </c>
      <c r="AC3632">
        <v>207.52260000000001</v>
      </c>
      <c r="AD3632">
        <v>38.141028999999897</v>
      </c>
      <c r="AE3632">
        <v>18.912099999999999</v>
      </c>
      <c r="AF3632">
        <v>-39.324152549193101</v>
      </c>
      <c r="AG3632">
        <v>38.141028999999897</v>
      </c>
      <c r="AH3632">
        <v>197.75583662864801</v>
      </c>
      <c r="AI3632">
        <v>79.288184623893997</v>
      </c>
      <c r="AJ3632">
        <v>101.24667529526</v>
      </c>
      <c r="AK3632">
        <v>205.20355257058199</v>
      </c>
      <c r="AL3632">
        <v>94.427695811769098</v>
      </c>
      <c r="AM3632">
        <v>95.783410541772099</v>
      </c>
      <c r="AN3632">
        <v>1.0000000310928401</v>
      </c>
    </row>
    <row r="3633" spans="1:40" x14ac:dyDescent="0.25">
      <c r="A3633" t="str">
        <f>"20190305135005289"</f>
        <v>20190305135005289</v>
      </c>
      <c r="B3633" t="str">
        <f>"1551765005284119"</f>
        <v>1551765005284119</v>
      </c>
      <c r="C3633" t="s">
        <v>40</v>
      </c>
      <c r="D3633">
        <v>3.6591840000000002</v>
      </c>
      <c r="E3633">
        <v>0.461538</v>
      </c>
      <c r="F3633" t="s">
        <v>69</v>
      </c>
      <c r="G3633">
        <v>-252.02420000000001</v>
      </c>
      <c r="H3633">
        <v>39.76661</v>
      </c>
      <c r="I3633">
        <v>234.73609999999999</v>
      </c>
      <c r="J3633">
        <v>-458.3852</v>
      </c>
      <c r="K3633">
        <v>1.110428</v>
      </c>
      <c r="L3633">
        <v>214.7979</v>
      </c>
      <c r="M3633">
        <v>0.99465669999999995</v>
      </c>
      <c r="N3633">
        <v>-6.0033200000000004E-3</v>
      </c>
      <c r="O3633">
        <v>-0.103064</v>
      </c>
      <c r="P3633">
        <v>0.99649410000000005</v>
      </c>
      <c r="Q3633">
        <v>-8.3638879999999999E-2</v>
      </c>
      <c r="R3633">
        <v>-2.051934E-3</v>
      </c>
      <c r="S3633">
        <v>3.0590519999999999</v>
      </c>
      <c r="T3633">
        <v>0.57219960000000003</v>
      </c>
      <c r="U3633">
        <v>0.29469299999999998</v>
      </c>
      <c r="V3633">
        <v>-0.1003484</v>
      </c>
      <c r="W3633">
        <v>-7.8092369999999994E-2</v>
      </c>
      <c r="X3633">
        <v>0.99188290000000001</v>
      </c>
      <c r="Y3633">
        <v>-0.1928704</v>
      </c>
      <c r="Z3633">
        <v>-3.693718E-2</v>
      </c>
      <c r="AA3633">
        <v>0.98052879999999998</v>
      </c>
      <c r="AB3633">
        <v>30</v>
      </c>
      <c r="AC3633">
        <v>206.36099999999999</v>
      </c>
      <c r="AD3633">
        <v>38.656182000000001</v>
      </c>
      <c r="AE3633">
        <v>19.938199999999899</v>
      </c>
      <c r="AF3633">
        <v>-39.719912383128303</v>
      </c>
      <c r="AG3633">
        <v>38.656182000000001</v>
      </c>
      <c r="AH3633">
        <v>196.37985864207701</v>
      </c>
      <c r="AI3633">
        <v>79.0797053458097</v>
      </c>
      <c r="AJ3633">
        <v>101.43442056950801</v>
      </c>
      <c r="AK3633">
        <v>204.0515148849</v>
      </c>
      <c r="AL3633">
        <v>94.478923704215703</v>
      </c>
      <c r="AM3633">
        <v>95.776935287570296</v>
      </c>
      <c r="AN3633">
        <v>0.99999995347359205</v>
      </c>
    </row>
    <row r="3634" spans="1:40" x14ac:dyDescent="0.25">
      <c r="A3634" t="str">
        <f>"20190305135005312"</f>
        <v>20190305135005312</v>
      </c>
      <c r="B3634" t="str">
        <f>"1551765005303639"</f>
        <v>1551765005303639</v>
      </c>
      <c r="C3634" t="s">
        <v>40</v>
      </c>
      <c r="D3634">
        <v>3.6712319999999998</v>
      </c>
      <c r="E3634">
        <v>0.4611111</v>
      </c>
      <c r="F3634" t="s">
        <v>69</v>
      </c>
      <c r="G3634">
        <v>-252.02420000000001</v>
      </c>
      <c r="H3634">
        <v>39.876220000000004</v>
      </c>
      <c r="I3634">
        <v>235.5027</v>
      </c>
      <c r="J3634">
        <v>-458.07709999999997</v>
      </c>
      <c r="K3634">
        <v>1.1105529999999999</v>
      </c>
      <c r="L3634">
        <v>214.76840000000001</v>
      </c>
      <c r="M3634">
        <v>0.99489640000000001</v>
      </c>
      <c r="N3634">
        <v>-6.0867500000000001E-3</v>
      </c>
      <c r="O3634">
        <v>-0.10071860000000001</v>
      </c>
      <c r="P3634">
        <v>0.99647359999999896</v>
      </c>
      <c r="Q3634">
        <v>-8.3903699999999998E-2</v>
      </c>
      <c r="R3634">
        <v>8.4180409999999996E-4</v>
      </c>
      <c r="S3634">
        <v>3.059418</v>
      </c>
      <c r="T3634">
        <v>0.57472469999999998</v>
      </c>
      <c r="U3634">
        <v>0.30696109999999999</v>
      </c>
      <c r="V3634">
        <v>-0.1008656</v>
      </c>
      <c r="W3634">
        <v>-7.8304789999999999E-2</v>
      </c>
      <c r="X3634">
        <v>0.99181370000000002</v>
      </c>
      <c r="Y3634">
        <v>-0.19441820000000001</v>
      </c>
      <c r="Z3634">
        <v>-3.6776660000000003E-2</v>
      </c>
      <c r="AA3634">
        <v>0.98022909999999996</v>
      </c>
      <c r="AB3634">
        <v>30</v>
      </c>
      <c r="AC3634">
        <v>206.05289999999999</v>
      </c>
      <c r="AD3634">
        <v>38.765667000000001</v>
      </c>
      <c r="AE3634">
        <v>20.734299999999902</v>
      </c>
      <c r="AF3634">
        <v>-39.981654541232302</v>
      </c>
      <c r="AG3634">
        <v>38.765667000000001</v>
      </c>
      <c r="AH3634">
        <v>196.04724707294099</v>
      </c>
      <c r="AI3634">
        <v>79.034897455441097</v>
      </c>
      <c r="AJ3634">
        <v>101.526767935766</v>
      </c>
      <c r="AK3634">
        <v>203.803416857245</v>
      </c>
      <c r="AL3634">
        <v>94.491131817656097</v>
      </c>
      <c r="AM3634">
        <v>95.806909291595602</v>
      </c>
      <c r="AN3634">
        <v>0.99999996245399603</v>
      </c>
    </row>
    <row r="3635" spans="1:40" x14ac:dyDescent="0.25">
      <c r="A3635" t="str">
        <f>"20190305135005333"</f>
        <v>20190305135005333</v>
      </c>
      <c r="B3635" t="str">
        <f>"1551765005324138"</f>
        <v>1551765005324138</v>
      </c>
      <c r="C3635" t="s">
        <v>40</v>
      </c>
      <c r="D3635">
        <v>3.684911</v>
      </c>
      <c r="E3635">
        <v>0.46083990000000002</v>
      </c>
      <c r="F3635" t="s">
        <v>69</v>
      </c>
      <c r="G3635">
        <v>-252.02430000000001</v>
      </c>
      <c r="H3635">
        <v>40.101590000000002</v>
      </c>
      <c r="I3635">
        <v>236.29839999999999</v>
      </c>
      <c r="J3635">
        <v>-457.78339999999997</v>
      </c>
      <c r="K3635">
        <v>1.1106799999999999</v>
      </c>
      <c r="L3635">
        <v>214.74100000000001</v>
      </c>
      <c r="M3635">
        <v>0.99513200000000002</v>
      </c>
      <c r="N3635">
        <v>-6.1688530000000002E-3</v>
      </c>
      <c r="O3635">
        <v>-9.8358909999999994E-2</v>
      </c>
      <c r="P3635">
        <v>0.99652929999999995</v>
      </c>
      <c r="Q3635">
        <v>-8.3144780000000001E-2</v>
      </c>
      <c r="R3635">
        <v>4.058295E-3</v>
      </c>
      <c r="S3635">
        <v>3.0590820000000001</v>
      </c>
      <c r="T3635">
        <v>0.57886490000000002</v>
      </c>
      <c r="U3635">
        <v>0.31964110000000001</v>
      </c>
      <c r="V3635">
        <v>-0.1017039</v>
      </c>
      <c r="W3635">
        <v>-7.7495510000000004E-2</v>
      </c>
      <c r="X3635">
        <v>0.99179170000000005</v>
      </c>
      <c r="Y3635">
        <v>-0.19606979999999999</v>
      </c>
      <c r="Z3635">
        <v>-3.672802E-2</v>
      </c>
      <c r="AA3635">
        <v>0.97990189999999999</v>
      </c>
      <c r="AB3635">
        <v>30</v>
      </c>
      <c r="AC3635">
        <v>205.75909999999999</v>
      </c>
      <c r="AD3635">
        <v>38.99091</v>
      </c>
      <c r="AE3635">
        <v>21.557400000000001</v>
      </c>
      <c r="AF3635">
        <v>-40.261420367748997</v>
      </c>
      <c r="AG3635">
        <v>38.99091</v>
      </c>
      <c r="AH3635">
        <v>195.690110298804</v>
      </c>
      <c r="AI3635">
        <v>78.956929394737401</v>
      </c>
      <c r="AJ3635">
        <v>101.625847724164</v>
      </c>
      <c r="AK3635">
        <v>203.558080904234</v>
      </c>
      <c r="AL3635">
        <v>94.444621953659095</v>
      </c>
      <c r="AM3635">
        <v>95.854965932337194</v>
      </c>
      <c r="AN3635">
        <v>1.00000000676713</v>
      </c>
    </row>
    <row r="3636" spans="1:40" x14ac:dyDescent="0.25">
      <c r="A3636" t="str">
        <f>"20190305135005356"</f>
        <v>20190305135005356</v>
      </c>
      <c r="B3636" t="str">
        <f>"1551765005343655"</f>
        <v>1551765005343655</v>
      </c>
      <c r="C3636" t="s">
        <v>40</v>
      </c>
      <c r="D3636">
        <v>3.8645040000000002</v>
      </c>
      <c r="E3636">
        <v>0.44814739999999997</v>
      </c>
      <c r="F3636" t="s">
        <v>69</v>
      </c>
      <c r="G3636">
        <v>-251.1634</v>
      </c>
      <c r="H3636">
        <v>40.533459999999998</v>
      </c>
      <c r="I3636">
        <v>237.24590000000001</v>
      </c>
      <c r="J3636">
        <v>-457.49040000000002</v>
      </c>
      <c r="K3636">
        <v>1.110795</v>
      </c>
      <c r="L3636">
        <v>214.71449999999999</v>
      </c>
      <c r="M3636">
        <v>0.99537109999999995</v>
      </c>
      <c r="N3636">
        <v>-6.2501190000000002E-3</v>
      </c>
      <c r="O3636">
        <v>-9.5902409999999993E-2</v>
      </c>
      <c r="P3636">
        <v>0.99660150000000003</v>
      </c>
      <c r="Q3636">
        <v>-8.1997189999999998E-2</v>
      </c>
      <c r="R3636">
        <v>7.8835520000000003E-3</v>
      </c>
      <c r="S3636">
        <v>3.0577999999999999</v>
      </c>
      <c r="T3636">
        <v>0.58342340000000004</v>
      </c>
      <c r="U3636">
        <v>0.33305359999999901</v>
      </c>
      <c r="V3636">
        <v>-0.10305880000000001</v>
      </c>
      <c r="W3636">
        <v>-7.629851E-2</v>
      </c>
      <c r="X3636">
        <v>0.99174459999999998</v>
      </c>
      <c r="Y3636">
        <v>-0.19787689999999999</v>
      </c>
      <c r="Z3636">
        <v>-3.6706170000000003E-2</v>
      </c>
      <c r="AA3636">
        <v>0.97953939999999995</v>
      </c>
      <c r="AB3636">
        <v>30</v>
      </c>
      <c r="AC3636">
        <v>206.327</v>
      </c>
      <c r="AD3636">
        <v>39.422665000000002</v>
      </c>
      <c r="AE3636">
        <v>22.531400000000001</v>
      </c>
      <c r="AF3636">
        <v>-40.745217614941502</v>
      </c>
      <c r="AG3636">
        <v>39.422665000000002</v>
      </c>
      <c r="AH3636">
        <v>196.138968193279</v>
      </c>
      <c r="AI3636">
        <v>78.866902814674503</v>
      </c>
      <c r="AJ3636">
        <v>101.735510019858</v>
      </c>
      <c r="AK3636">
        <v>204.16859238902299</v>
      </c>
      <c r="AL3636">
        <v>94.375835409193201</v>
      </c>
      <c r="AM3636">
        <v>95.932692899841996</v>
      </c>
      <c r="AN3636">
        <v>0.99999996525740897</v>
      </c>
    </row>
    <row r="3637" spans="1:40" x14ac:dyDescent="0.25">
      <c r="A3637" t="str">
        <f>"20190305135005378"</f>
        <v>20190305135005378</v>
      </c>
      <c r="B3637" t="str">
        <f>"1551765005373911"</f>
        <v>1551765005373911</v>
      </c>
      <c r="C3637" t="s">
        <v>40</v>
      </c>
      <c r="D3637">
        <v>3.8678940000000002</v>
      </c>
      <c r="E3637">
        <v>0.44047799999999998</v>
      </c>
      <c r="F3637" t="s">
        <v>92</v>
      </c>
      <c r="G3637">
        <v>-346.19260000000003</v>
      </c>
      <c r="H3637">
        <v>9.3130589999999999E-2</v>
      </c>
      <c r="I3637">
        <v>230.99850000000001</v>
      </c>
      <c r="J3637">
        <v>-457.18349999999998</v>
      </c>
      <c r="K3637">
        <v>1.110892</v>
      </c>
      <c r="L3637">
        <v>214.68770000000001</v>
      </c>
      <c r="M3637">
        <v>0.99562510000000004</v>
      </c>
      <c r="N3637">
        <v>-6.3321949999999997E-3</v>
      </c>
      <c r="O3637">
        <v>-9.3224550000000003E-2</v>
      </c>
      <c r="P3637">
        <v>0.99663749999999995</v>
      </c>
      <c r="Q3637">
        <v>-8.106315E-2</v>
      </c>
      <c r="R3637">
        <v>1.1944730000000001E-2</v>
      </c>
      <c r="S3637">
        <v>3.0045169999999999</v>
      </c>
      <c r="T3637">
        <v>-2.7470709999999999E-2</v>
      </c>
      <c r="U3637">
        <v>0.4395905</v>
      </c>
      <c r="V3637">
        <v>-0.10442659999999999</v>
      </c>
      <c r="W3637">
        <v>-7.5313459999999999E-2</v>
      </c>
      <c r="X3637">
        <v>0.99167689999999997</v>
      </c>
      <c r="Y3637">
        <v>-0.23636560000000001</v>
      </c>
      <c r="Z3637">
        <v>2.0886920000000001E-3</v>
      </c>
      <c r="AA3637">
        <v>0.97166189999999997</v>
      </c>
      <c r="AB3637">
        <v>30</v>
      </c>
      <c r="AC3637">
        <v>110.990899999999</v>
      </c>
      <c r="AD3637">
        <v>-1.0177614100000001</v>
      </c>
      <c r="AE3637">
        <v>16.3108</v>
      </c>
      <c r="AF3637">
        <v>-26.584860127685701</v>
      </c>
      <c r="AG3637">
        <v>-1.0177614100000001</v>
      </c>
      <c r="AH3637">
        <v>108.977960481048</v>
      </c>
      <c r="AI3637">
        <v>90.519834918593403</v>
      </c>
      <c r="AJ3637">
        <v>103.709377529769</v>
      </c>
      <c r="AK3637">
        <v>112.178369113234</v>
      </c>
      <c r="AL3637">
        <v>94.319232949909605</v>
      </c>
      <c r="AM3637">
        <v>96.011266424329605</v>
      </c>
      <c r="AN3637">
        <v>1.00000005301916</v>
      </c>
    </row>
    <row r="3638" spans="1:40" x14ac:dyDescent="0.25">
      <c r="A3638" t="str">
        <f>"20190305135005402"</f>
        <v>20190305135005402</v>
      </c>
      <c r="B3638" t="str">
        <f>"1551765005394407"</f>
        <v>1551765005394407</v>
      </c>
      <c r="C3638" t="s">
        <v>40</v>
      </c>
      <c r="D3638">
        <v>3.8866459999999998</v>
      </c>
      <c r="E3638">
        <v>0.43441150000000001</v>
      </c>
      <c r="F3638" t="s">
        <v>75</v>
      </c>
      <c r="G3638">
        <v>-354.11919999999998</v>
      </c>
      <c r="H3638">
        <v>1.1911350000000001</v>
      </c>
      <c r="I3638">
        <v>232.2921</v>
      </c>
      <c r="J3638">
        <v>-456.87220000000002</v>
      </c>
      <c r="K3638">
        <v>1.1109869999999999</v>
      </c>
      <c r="L3638">
        <v>214.66139999999999</v>
      </c>
      <c r="M3638">
        <v>0.9958844</v>
      </c>
      <c r="N3638">
        <v>-6.4116650000000004E-3</v>
      </c>
      <c r="O3638">
        <v>-9.0404960000000006E-2</v>
      </c>
      <c r="P3638">
        <v>0.9966275</v>
      </c>
      <c r="Q3638">
        <v>-8.061633E-2</v>
      </c>
      <c r="R3638">
        <v>1.5316379999999999E-2</v>
      </c>
      <c r="S3638">
        <v>3.0041500000000001</v>
      </c>
      <c r="T3638">
        <v>2.3410319999999998E-3</v>
      </c>
      <c r="U3638">
        <v>0.51313779999999998</v>
      </c>
      <c r="V3638">
        <v>-0.104963899999999</v>
      </c>
      <c r="W3638">
        <v>-7.4812589999999998E-2</v>
      </c>
      <c r="X3638">
        <v>0.99165800000000004</v>
      </c>
      <c r="Y3638">
        <v>-0.25679610000000003</v>
      </c>
      <c r="Z3638" s="1">
        <v>8.4868809999999895E-5</v>
      </c>
      <c r="AA3638">
        <v>0.96646560000000004</v>
      </c>
      <c r="AB3638">
        <v>30</v>
      </c>
      <c r="AC3638">
        <v>102.753</v>
      </c>
      <c r="AD3638">
        <v>8.0147999999999803E-2</v>
      </c>
      <c r="AE3638">
        <v>17.630700000000001</v>
      </c>
      <c r="AF3638">
        <v>-26.848057222199799</v>
      </c>
      <c r="AG3638">
        <v>8.0147999999999803E-2</v>
      </c>
      <c r="AH3638">
        <v>100.738222971675</v>
      </c>
      <c r="AI3638">
        <v>89.955952599086601</v>
      </c>
      <c r="AJ3638">
        <v>104.923202889579</v>
      </c>
      <c r="AK3638">
        <v>104.254564254038</v>
      </c>
      <c r="AL3638">
        <v>94.290454394834001</v>
      </c>
      <c r="AM3638">
        <v>96.042081933905607</v>
      </c>
      <c r="AN3638">
        <v>0.999999966444858</v>
      </c>
    </row>
    <row r="3639" spans="1:40" x14ac:dyDescent="0.25">
      <c r="A3639" t="str">
        <f>"20190305135005425"</f>
        <v>20190305135005425</v>
      </c>
      <c r="B3639" t="str">
        <f>"1551765005413927"</f>
        <v>1551765005413927</v>
      </c>
      <c r="C3639" t="s">
        <v>40</v>
      </c>
      <c r="D3639">
        <v>3.8586589999999998</v>
      </c>
      <c r="E3639">
        <v>0.43088729999999997</v>
      </c>
      <c r="F3639" t="s">
        <v>75</v>
      </c>
      <c r="G3639">
        <v>-361.8526</v>
      </c>
      <c r="H3639">
        <v>2.4861789999999999</v>
      </c>
      <c r="I3639">
        <v>232.75</v>
      </c>
      <c r="J3639">
        <v>-456.5523</v>
      </c>
      <c r="K3639">
        <v>1.1110770000000001</v>
      </c>
      <c r="L3639">
        <v>214.6353</v>
      </c>
      <c r="M3639">
        <v>0.99615129999999996</v>
      </c>
      <c r="N3639">
        <v>-6.4892040000000002E-3</v>
      </c>
      <c r="O3639">
        <v>-8.7410989999999994E-2</v>
      </c>
      <c r="P3639">
        <v>0.99657620000000002</v>
      </c>
      <c r="Q3639">
        <v>-8.0410789999999996E-2</v>
      </c>
      <c r="R3639">
        <v>1.9237509999999999E-2</v>
      </c>
      <c r="S3639">
        <v>3.0049130000000002</v>
      </c>
      <c r="T3639">
        <v>4.349136E-2</v>
      </c>
      <c r="U3639">
        <v>0.57203669999999995</v>
      </c>
      <c r="V3639">
        <v>-0.1058719</v>
      </c>
      <c r="W3639">
        <v>-7.4557090000000006E-2</v>
      </c>
      <c r="X3639">
        <v>0.99158069999999998</v>
      </c>
      <c r="Y3639">
        <v>-0.27213009999999999</v>
      </c>
      <c r="Z3639">
        <v>-2.8775710000000002E-3</v>
      </c>
      <c r="AA3639">
        <v>0.96225609999999995</v>
      </c>
      <c r="AB3639">
        <v>31</v>
      </c>
      <c r="AC3639">
        <v>94.699700000000007</v>
      </c>
      <c r="AD3639">
        <v>1.3751019999999901</v>
      </c>
      <c r="AE3639">
        <v>18.114699999999999</v>
      </c>
      <c r="AF3639">
        <v>-26.3179747911209</v>
      </c>
      <c r="AG3639">
        <v>1.3751019999999901</v>
      </c>
      <c r="AH3639">
        <v>92.734886000951605</v>
      </c>
      <c r="AI3639">
        <v>89.182732437178302</v>
      </c>
      <c r="AJ3639">
        <v>105.843835715564</v>
      </c>
      <c r="AK3639">
        <v>96.406876228959803</v>
      </c>
      <c r="AL3639">
        <v>94.275774386914605</v>
      </c>
      <c r="AM3639">
        <v>96.094429391430495</v>
      </c>
      <c r="AN3639">
        <v>0.99999995174568201</v>
      </c>
    </row>
    <row r="3640" spans="1:40" x14ac:dyDescent="0.25">
      <c r="A3640" t="str">
        <f>"20190305135005448"</f>
        <v>20190305135005448</v>
      </c>
      <c r="B3640" t="str">
        <f>"1551765005444183"</f>
        <v>1551765005444183</v>
      </c>
      <c r="C3640" t="s">
        <v>40</v>
      </c>
      <c r="D3640">
        <v>3.8284820000000002</v>
      </c>
      <c r="E3640">
        <v>0.42846820000000002</v>
      </c>
      <c r="F3640" t="s">
        <v>75</v>
      </c>
      <c r="G3640">
        <v>-369.95609999999999</v>
      </c>
      <c r="H3640">
        <v>2.7539950000000002</v>
      </c>
      <c r="I3640">
        <v>232.2921</v>
      </c>
      <c r="J3640">
        <v>-456.2448</v>
      </c>
      <c r="K3640">
        <v>1.1111610000000001</v>
      </c>
      <c r="L3640">
        <v>214.6112</v>
      </c>
      <c r="M3640">
        <v>0.99640580000000001</v>
      </c>
      <c r="N3640">
        <v>-6.5595480000000001E-3</v>
      </c>
      <c r="O3640">
        <v>-8.445445E-2</v>
      </c>
      <c r="P3640">
        <v>0.99654430000000005</v>
      </c>
      <c r="Q3640">
        <v>-7.9918619999999996E-2</v>
      </c>
      <c r="R3640">
        <v>2.2643279999999998E-2</v>
      </c>
      <c r="S3640">
        <v>3.003082</v>
      </c>
      <c r="T3640">
        <v>5.6977390000000003E-2</v>
      </c>
      <c r="U3640">
        <v>0.61231990000000003</v>
      </c>
      <c r="V3640">
        <v>-0.10631069999999999</v>
      </c>
      <c r="W3640">
        <v>-7.4017410000000006E-2</v>
      </c>
      <c r="X3640">
        <v>0.99157419999999996</v>
      </c>
      <c r="Y3640">
        <v>-0.28176820000000002</v>
      </c>
      <c r="Z3640">
        <v>-3.84739E-3</v>
      </c>
      <c r="AA3640">
        <v>0.95947479999999996</v>
      </c>
      <c r="AB3640">
        <v>31</v>
      </c>
      <c r="AC3640">
        <v>86.288700000000006</v>
      </c>
      <c r="AD3640">
        <v>1.6428339999999999</v>
      </c>
      <c r="AE3640">
        <v>17.680900000000001</v>
      </c>
      <c r="AF3640">
        <v>-24.896689750790401</v>
      </c>
      <c r="AG3640">
        <v>1.6428339999999999</v>
      </c>
      <c r="AH3640">
        <v>84.457763528001493</v>
      </c>
      <c r="AI3640">
        <v>88.931112040863994</v>
      </c>
      <c r="AJ3640">
        <v>106.424606289773</v>
      </c>
      <c r="AK3640">
        <v>88.0662130686366</v>
      </c>
      <c r="AL3640">
        <v>94.244767253481996</v>
      </c>
      <c r="AM3640">
        <v>96.119537099625305</v>
      </c>
      <c r="AN3640">
        <v>0.99999996801161795</v>
      </c>
    </row>
    <row r="3641" spans="1:40" x14ac:dyDescent="0.25">
      <c r="A3641" t="str">
        <f>"20190305135005469"</f>
        <v>20190305135005469</v>
      </c>
      <c r="B3641" t="str">
        <f>"1551765005463703"</f>
        <v>1551765005463703</v>
      </c>
      <c r="C3641" t="s">
        <v>40</v>
      </c>
      <c r="D3641">
        <v>3.8399450000000002</v>
      </c>
      <c r="E3641">
        <v>0.4273652</v>
      </c>
      <c r="F3641" t="s">
        <v>75</v>
      </c>
      <c r="G3641">
        <v>-371.64409999999998</v>
      </c>
      <c r="H3641">
        <v>2.9503889999999999</v>
      </c>
      <c r="I3641">
        <v>232.70859999999999</v>
      </c>
      <c r="J3641">
        <v>-455.95639999999997</v>
      </c>
      <c r="K3641">
        <v>1.1112280000000001</v>
      </c>
      <c r="L3641">
        <v>214.58959999999999</v>
      </c>
      <c r="M3641">
        <v>0.99664090000000005</v>
      </c>
      <c r="N3641">
        <v>-6.621516E-3</v>
      </c>
      <c r="O3641">
        <v>-8.1627749999999999E-2</v>
      </c>
      <c r="P3641">
        <v>0.99647280000000005</v>
      </c>
      <c r="Q3641">
        <v>-7.977948E-2</v>
      </c>
      <c r="R3641">
        <v>2.602465E-2</v>
      </c>
      <c r="S3641">
        <v>3.0010379999999999</v>
      </c>
      <c r="T3641">
        <v>6.524539E-2</v>
      </c>
      <c r="U3641">
        <v>0.64196779999999998</v>
      </c>
      <c r="V3641">
        <v>-0.10685260000000001</v>
      </c>
      <c r="W3641">
        <v>-7.3837079999999999E-2</v>
      </c>
      <c r="X3641">
        <v>0.99152940000000001</v>
      </c>
      <c r="Y3641">
        <v>-0.28823179999999998</v>
      </c>
      <c r="Z3641">
        <v>-4.4233939999999998E-3</v>
      </c>
      <c r="AA3641">
        <v>0.95755049999999997</v>
      </c>
      <c r="AB3641">
        <v>31</v>
      </c>
      <c r="AC3641">
        <v>84.312299999999993</v>
      </c>
      <c r="AD3641">
        <v>1.839161</v>
      </c>
      <c r="AE3641">
        <v>18.119</v>
      </c>
      <c r="AF3641">
        <v>-24.9295676277623</v>
      </c>
      <c r="AG3641">
        <v>1.839161</v>
      </c>
      <c r="AH3641">
        <v>82.5143523057056</v>
      </c>
      <c r="AI3641">
        <v>88.777696339061507</v>
      </c>
      <c r="AJ3641">
        <v>106.810827709506</v>
      </c>
      <c r="AK3641">
        <v>86.217655916414202</v>
      </c>
      <c r="AL3641">
        <v>94.234406739119706</v>
      </c>
      <c r="AM3641">
        <v>96.150767643125803</v>
      </c>
      <c r="AN3641">
        <v>0.99999997178702205</v>
      </c>
    </row>
    <row r="3642" spans="1:40" x14ac:dyDescent="0.25">
      <c r="A3642" t="str">
        <f>"20190305135005492"</f>
        <v>20190305135005492</v>
      </c>
      <c r="B3642" t="str">
        <f>"1551765005484200"</f>
        <v>1551765005484200</v>
      </c>
      <c r="C3642" t="s">
        <v>40</v>
      </c>
      <c r="D3642">
        <v>3.8040159999999998</v>
      </c>
      <c r="E3642">
        <v>0.42616929999999997</v>
      </c>
      <c r="F3642" t="s">
        <v>75</v>
      </c>
      <c r="G3642">
        <v>-373.60430000000002</v>
      </c>
      <c r="H3642">
        <v>2.908452</v>
      </c>
      <c r="I3642">
        <v>232.75</v>
      </c>
      <c r="J3642">
        <v>-455.64060000000001</v>
      </c>
      <c r="K3642">
        <v>1.1112850000000001</v>
      </c>
      <c r="L3642">
        <v>214.5669</v>
      </c>
      <c r="M3642">
        <v>0.99689260000000002</v>
      </c>
      <c r="N3642">
        <v>-6.6849040000000002E-3</v>
      </c>
      <c r="O3642">
        <v>-7.8488130000000003E-2</v>
      </c>
      <c r="P3642">
        <v>0.99636020000000003</v>
      </c>
      <c r="Q3642">
        <v>-7.9710500000000004E-2</v>
      </c>
      <c r="R3642">
        <v>3.0205590000000001E-2</v>
      </c>
      <c r="S3642">
        <v>2.998596</v>
      </c>
      <c r="T3642">
        <v>6.5443039999999994E-2</v>
      </c>
      <c r="U3642">
        <v>0.66125489999999998</v>
      </c>
      <c r="V3642">
        <v>-0.1078799</v>
      </c>
      <c r="W3642">
        <v>-7.3727409999999993E-2</v>
      </c>
      <c r="X3642">
        <v>0.99142629999999998</v>
      </c>
      <c r="Y3642">
        <v>-0.2912555</v>
      </c>
      <c r="Z3642">
        <v>-4.3674459999999997E-3</v>
      </c>
      <c r="AA3642">
        <v>0.95663540000000002</v>
      </c>
      <c r="AB3642">
        <v>31</v>
      </c>
      <c r="AC3642">
        <v>82.036299999999898</v>
      </c>
      <c r="AD3642">
        <v>1.79716699999999</v>
      </c>
      <c r="AE3642">
        <v>18.1831</v>
      </c>
      <c r="AF3642">
        <v>-24.5547909723551</v>
      </c>
      <c r="AG3642">
        <v>1.79716699999999</v>
      </c>
      <c r="AH3642">
        <v>80.319279720415594</v>
      </c>
      <c r="AI3642">
        <v>88.774189774151694</v>
      </c>
      <c r="AJ3642">
        <v>106.99916681857</v>
      </c>
      <c r="AK3642">
        <v>84.008060706864896</v>
      </c>
      <c r="AL3642">
        <v>94.228106003751805</v>
      </c>
      <c r="AM3642">
        <v>96.2100831352613</v>
      </c>
      <c r="AN3642">
        <v>0.99999995607050296</v>
      </c>
    </row>
    <row r="3643" spans="1:40" x14ac:dyDescent="0.25">
      <c r="A3643" t="str">
        <f>"20190305135005513"</f>
        <v>20190305135005513</v>
      </c>
      <c r="B3643" t="str">
        <f>"1551765005503722"</f>
        <v>1551765005503722</v>
      </c>
      <c r="C3643" t="s">
        <v>40</v>
      </c>
      <c r="D3643">
        <v>3.8722460000000001</v>
      </c>
      <c r="E3643">
        <v>0.42600329999999897</v>
      </c>
      <c r="F3643" t="s">
        <v>75</v>
      </c>
      <c r="G3643">
        <v>-375.93329999999997</v>
      </c>
      <c r="H3643">
        <v>2.5844749999999999</v>
      </c>
      <c r="I3643">
        <v>232.75</v>
      </c>
      <c r="J3643">
        <v>-455.34589999999997</v>
      </c>
      <c r="K3643">
        <v>1.111326</v>
      </c>
      <c r="L3643">
        <v>214.54660000000001</v>
      </c>
      <c r="M3643">
        <v>0.99712069999999997</v>
      </c>
      <c r="N3643">
        <v>-6.7401229999999998E-3</v>
      </c>
      <c r="O3643">
        <v>-7.5532920000000003E-2</v>
      </c>
      <c r="P3643">
        <v>0.99623519999999999</v>
      </c>
      <c r="Q3643">
        <v>-7.9795080000000004E-2</v>
      </c>
      <c r="R3643">
        <v>3.3890650000000001E-2</v>
      </c>
      <c r="S3643">
        <v>2.99472</v>
      </c>
      <c r="T3643">
        <v>5.5352690000000003E-2</v>
      </c>
      <c r="U3643">
        <v>0.68316650000000001</v>
      </c>
      <c r="V3643">
        <v>-0.1085999</v>
      </c>
      <c r="W3643">
        <v>-7.3773399999999906E-2</v>
      </c>
      <c r="X3643">
        <v>0.99134429999999996</v>
      </c>
      <c r="Y3643">
        <v>-0.29536430000000002</v>
      </c>
      <c r="Z3643">
        <v>-3.5688579999999998E-3</v>
      </c>
      <c r="AA3643">
        <v>0.95537810000000001</v>
      </c>
      <c r="AB3643">
        <v>31</v>
      </c>
      <c r="AC3643">
        <v>79.412599999999998</v>
      </c>
      <c r="AD3643">
        <v>1.47314899999999</v>
      </c>
      <c r="AE3643">
        <v>18.203399999999899</v>
      </c>
      <c r="AF3643">
        <v>-24.141903883844101</v>
      </c>
      <c r="AG3643">
        <v>1.47314899999999</v>
      </c>
      <c r="AH3643">
        <v>77.785314030844503</v>
      </c>
      <c r="AI3643">
        <v>88.963774444353902</v>
      </c>
      <c r="AJ3643">
        <v>107.242557248445</v>
      </c>
      <c r="AK3643">
        <v>81.458926889507097</v>
      </c>
      <c r="AL3643">
        <v>94.230748101238007</v>
      </c>
      <c r="AM3643">
        <v>96.251715703825994</v>
      </c>
      <c r="AN3643">
        <v>0.99999998698502901</v>
      </c>
    </row>
    <row r="3644" spans="1:40" x14ac:dyDescent="0.25">
      <c r="A3644" t="str">
        <f>"20190305135005535"</f>
        <v>20190305135005535</v>
      </c>
      <c r="B3644" t="str">
        <f>"1551765005524219"</f>
        <v>1551765005524219</v>
      </c>
      <c r="C3644" t="s">
        <v>40</v>
      </c>
      <c r="D3644">
        <v>3.8562810000000001</v>
      </c>
      <c r="E3644">
        <v>0.42583480000000001</v>
      </c>
      <c r="F3644" t="s">
        <v>75</v>
      </c>
      <c r="G3644">
        <v>-377.05630000000002</v>
      </c>
      <c r="H3644">
        <v>2.5445869999999999</v>
      </c>
      <c r="I3644">
        <v>232.75</v>
      </c>
      <c r="J3644">
        <v>-455.03109999999998</v>
      </c>
      <c r="K3644">
        <v>1.111361</v>
      </c>
      <c r="L3644">
        <v>214.52590000000001</v>
      </c>
      <c r="M3644">
        <v>0.99735580000000001</v>
      </c>
      <c r="N3644">
        <v>-6.7955699999999999E-3</v>
      </c>
      <c r="O3644">
        <v>-7.2357420000000006E-2</v>
      </c>
      <c r="P3644">
        <v>0.9961236</v>
      </c>
      <c r="Q3644">
        <v>-7.9667329999999995E-2</v>
      </c>
      <c r="R3644">
        <v>3.7300569999999998E-2</v>
      </c>
      <c r="S3644">
        <v>2.9920650000000002</v>
      </c>
      <c r="T3644">
        <v>5.4779050000000003E-2</v>
      </c>
      <c r="U3644">
        <v>0.69569399999999904</v>
      </c>
      <c r="V3644">
        <v>-0.108832</v>
      </c>
      <c r="W3644">
        <v>-7.3601390000000003E-2</v>
      </c>
      <c r="X3644">
        <v>0.99133159999999998</v>
      </c>
      <c r="Y3644">
        <v>-0.29630630000000002</v>
      </c>
      <c r="Z3644">
        <v>-3.44992E-3</v>
      </c>
      <c r="AA3644">
        <v>0.95508680000000001</v>
      </c>
      <c r="AB3644">
        <v>31</v>
      </c>
      <c r="AC3644">
        <v>77.974799999999902</v>
      </c>
      <c r="AD3644">
        <v>1.4332260000000001</v>
      </c>
      <c r="AE3644">
        <v>18.2241</v>
      </c>
      <c r="AF3644">
        <v>-23.810884991175701</v>
      </c>
      <c r="AG3644">
        <v>1.4332260000000001</v>
      </c>
      <c r="AH3644">
        <v>76.427238021080996</v>
      </c>
      <c r="AI3644">
        <v>88.974284503004796</v>
      </c>
      <c r="AJ3644">
        <v>107.304408497398</v>
      </c>
      <c r="AK3644">
        <v>80.063319268945193</v>
      </c>
      <c r="AL3644">
        <v>94.220865923156893</v>
      </c>
      <c r="AM3644">
        <v>96.265050377163007</v>
      </c>
      <c r="AN3644">
        <v>0.99999995499624506</v>
      </c>
    </row>
    <row r="3645" spans="1:40" x14ac:dyDescent="0.25">
      <c r="A3645" t="str">
        <f>"20190305135005556"</f>
        <v>20190305135005556</v>
      </c>
      <c r="B3645" t="str">
        <f>"1551765005553496"</f>
        <v>1551765005553496</v>
      </c>
      <c r="C3645" t="s">
        <v>40</v>
      </c>
      <c r="D3645">
        <v>3.8622519999999998</v>
      </c>
      <c r="E3645">
        <v>0.42566409999999999</v>
      </c>
      <c r="F3645" t="s">
        <v>75</v>
      </c>
      <c r="G3645">
        <v>-377.99540000000002</v>
      </c>
      <c r="H3645">
        <v>2.5247120000000001</v>
      </c>
      <c r="I3645">
        <v>232.75</v>
      </c>
      <c r="J3645">
        <v>-454.7457</v>
      </c>
      <c r="K3645">
        <v>1.1113869999999999</v>
      </c>
      <c r="L3645">
        <v>214.50810000000001</v>
      </c>
      <c r="M3645">
        <v>0.99756060000000002</v>
      </c>
      <c r="N3645">
        <v>-6.8431330000000004E-3</v>
      </c>
      <c r="O3645">
        <v>-6.9470889999999993E-2</v>
      </c>
      <c r="P3645">
        <v>0.9959867</v>
      </c>
      <c r="Q3645">
        <v>-7.9705579999999998E-2</v>
      </c>
      <c r="R3645">
        <v>4.071574E-2</v>
      </c>
      <c r="S3645">
        <v>2.989563</v>
      </c>
      <c r="T3645">
        <v>5.4851289999999997E-2</v>
      </c>
      <c r="U3645">
        <v>0.70722959999999901</v>
      </c>
      <c r="V3645">
        <v>-0.1093572</v>
      </c>
      <c r="W3645">
        <v>-7.3602710000000002E-2</v>
      </c>
      <c r="X3645">
        <v>0.99127379999999998</v>
      </c>
      <c r="Y3645">
        <v>-0.29721229999999998</v>
      </c>
      <c r="Z3645">
        <v>-3.385557E-3</v>
      </c>
      <c r="AA3645">
        <v>0.95480540000000003</v>
      </c>
      <c r="AB3645">
        <v>31</v>
      </c>
      <c r="AC3645">
        <v>76.750299999999896</v>
      </c>
      <c r="AD3645">
        <v>1.4133249999999999</v>
      </c>
      <c r="AE3645">
        <v>18.241899999999902</v>
      </c>
      <c r="AF3645">
        <v>-23.522311291156601</v>
      </c>
      <c r="AG3645">
        <v>1.4133249999999999</v>
      </c>
      <c r="AH3645">
        <v>75.273390282758299</v>
      </c>
      <c r="AI3645">
        <v>88.973297652274795</v>
      </c>
      <c r="AJ3645">
        <v>107.353592496826</v>
      </c>
      <c r="AK3645">
        <v>78.8757244067789</v>
      </c>
      <c r="AL3645">
        <v>94.220941351886694</v>
      </c>
      <c r="AM3645">
        <v>96.295406138123198</v>
      </c>
      <c r="AN3645">
        <v>1.0000000513388101</v>
      </c>
    </row>
    <row r="3646" spans="1:40" x14ac:dyDescent="0.25">
      <c r="A3646" t="str">
        <f>"20190305135005579"</f>
        <v>20190305135005579</v>
      </c>
      <c r="B3646" t="str">
        <f>"1551765005573991"</f>
        <v>1551765005573991</v>
      </c>
      <c r="C3646" t="s">
        <v>40</v>
      </c>
      <c r="D3646">
        <v>3.8476780000000002</v>
      </c>
      <c r="E3646">
        <v>0.42563260000000003</v>
      </c>
      <c r="F3646" t="s">
        <v>75</v>
      </c>
      <c r="G3646">
        <v>-378.91539999999998</v>
      </c>
      <c r="H3646">
        <v>2.4449420000000002</v>
      </c>
      <c r="I3646">
        <v>232.75</v>
      </c>
      <c r="J3646">
        <v>-454.42680000000001</v>
      </c>
      <c r="K3646">
        <v>1.111421</v>
      </c>
      <c r="L3646">
        <v>214.48910000000001</v>
      </c>
      <c r="M3646">
        <v>0.99777979999999999</v>
      </c>
      <c r="N3646">
        <v>-6.8937249999999999E-3</v>
      </c>
      <c r="O3646">
        <v>-6.6240679999999996E-2</v>
      </c>
      <c r="P3646">
        <v>0.99582320000000002</v>
      </c>
      <c r="Q3646">
        <v>-7.9783850000000003E-2</v>
      </c>
      <c r="R3646">
        <v>4.4392620000000001E-2</v>
      </c>
      <c r="S3646">
        <v>2.9869080000000001</v>
      </c>
      <c r="T3646">
        <v>5.2530529999999999E-2</v>
      </c>
      <c r="U3646">
        <v>0.71853639999999996</v>
      </c>
      <c r="V3646">
        <v>-0.1098026</v>
      </c>
      <c r="W3646">
        <v>-7.3640170000000005E-2</v>
      </c>
      <c r="X3646">
        <v>0.99122169999999998</v>
      </c>
      <c r="Y3646">
        <v>-0.2977359</v>
      </c>
      <c r="Z3646">
        <v>-3.1400320000000001E-3</v>
      </c>
      <c r="AA3646">
        <v>0.95464309999999997</v>
      </c>
      <c r="AB3646">
        <v>31</v>
      </c>
      <c r="AC3646">
        <v>75.511399999999995</v>
      </c>
      <c r="AD3646">
        <v>1.33352099999999</v>
      </c>
      <c r="AE3646">
        <v>18.2608999999999</v>
      </c>
      <c r="AF3646">
        <v>-23.215996487543201</v>
      </c>
      <c r="AG3646">
        <v>1.33352099999999</v>
      </c>
      <c r="AH3646">
        <v>74.114064256271007</v>
      </c>
      <c r="AI3646">
        <v>89.016320593317005</v>
      </c>
      <c r="AJ3646">
        <v>107.393000156258</v>
      </c>
      <c r="AK3646">
        <v>77.676607107608206</v>
      </c>
      <c r="AL3646">
        <v>94.223093827360998</v>
      </c>
      <c r="AM3646">
        <v>96.321169071357303</v>
      </c>
      <c r="AN3646">
        <v>0.99999997207763902</v>
      </c>
    </row>
    <row r="3647" spans="1:40" x14ac:dyDescent="0.25">
      <c r="A3647" t="str">
        <f>"20190305135005593"</f>
        <v>20190305135005593</v>
      </c>
      <c r="B3647" t="str">
        <f>"1551765005583751"</f>
        <v>1551765005583751</v>
      </c>
      <c r="C3647" t="s">
        <v>40</v>
      </c>
      <c r="D3647">
        <v>3.8291520000000001</v>
      </c>
      <c r="E3647">
        <v>0.42563679999999898</v>
      </c>
      <c r="F3647" t="s">
        <v>75</v>
      </c>
      <c r="G3647">
        <v>-379.73880000000003</v>
      </c>
      <c r="H3647">
        <v>2.373567</v>
      </c>
      <c r="I3647">
        <v>232.75</v>
      </c>
      <c r="J3647">
        <v>-454.23379999999997</v>
      </c>
      <c r="K3647">
        <v>1.111435</v>
      </c>
      <c r="L3647">
        <v>214.47800000000001</v>
      </c>
      <c r="M3647">
        <v>0.99790760000000001</v>
      </c>
      <c r="N3647">
        <v>-6.9233430000000002E-3</v>
      </c>
      <c r="O3647">
        <v>-6.4286250000000003E-2</v>
      </c>
      <c r="P3647">
        <v>0.99572050000000001</v>
      </c>
      <c r="Q3647">
        <v>-7.984115E-2</v>
      </c>
      <c r="R3647">
        <v>4.6543080000000001E-2</v>
      </c>
      <c r="S3647">
        <v>2.9841609999999998</v>
      </c>
      <c r="T3647">
        <v>5.043185E-2</v>
      </c>
      <c r="U3647">
        <v>0.72961430000000005</v>
      </c>
      <c r="V3647">
        <v>-0.1099989</v>
      </c>
      <c r="W3647">
        <v>-7.3673009999999997E-2</v>
      </c>
      <c r="X3647">
        <v>0.99119749999999995</v>
      </c>
      <c r="Y3647">
        <v>-0.29941649999999997</v>
      </c>
      <c r="Z3647">
        <v>-2.9516249999999998E-3</v>
      </c>
      <c r="AA3647">
        <v>0.95411800000000002</v>
      </c>
      <c r="AB3647">
        <v>31</v>
      </c>
      <c r="AC3647">
        <v>74.494999999999905</v>
      </c>
      <c r="AD3647">
        <v>1.262132</v>
      </c>
      <c r="AE3647">
        <v>18.271999999999998</v>
      </c>
      <c r="AF3647">
        <v>-23.0170888828473</v>
      </c>
      <c r="AG3647">
        <v>1.262132</v>
      </c>
      <c r="AH3647">
        <v>73.146428261817803</v>
      </c>
      <c r="AI3647">
        <v>89.057041341696305</v>
      </c>
      <c r="AJ3647">
        <v>107.467297757778</v>
      </c>
      <c r="AK3647">
        <v>76.6927592754855</v>
      </c>
      <c r="AL3647">
        <v>94.224980524071896</v>
      </c>
      <c r="AM3647">
        <v>96.332531394162899</v>
      </c>
      <c r="AN3647">
        <v>0.99999997720495903</v>
      </c>
    </row>
    <row r="3648" spans="1:40" x14ac:dyDescent="0.25">
      <c r="A3648" t="str">
        <f>"20190305135005613"</f>
        <v>20190305135005613</v>
      </c>
      <c r="B3648" t="str">
        <f>"1551765005604248"</f>
        <v>1551765005604248</v>
      </c>
      <c r="C3648" t="s">
        <v>40</v>
      </c>
      <c r="D3648">
        <v>3.8427609999999999</v>
      </c>
      <c r="E3648">
        <v>0.42561650000000001</v>
      </c>
      <c r="F3648" t="s">
        <v>75</v>
      </c>
      <c r="G3648">
        <v>-380.19690000000003</v>
      </c>
      <c r="H3648">
        <v>2.345726</v>
      </c>
      <c r="I3648">
        <v>232.75</v>
      </c>
      <c r="J3648">
        <v>-453.9479</v>
      </c>
      <c r="K3648">
        <v>1.111456</v>
      </c>
      <c r="L3648">
        <v>214.4624</v>
      </c>
      <c r="M3648">
        <v>0.99808949999999996</v>
      </c>
      <c r="N3648">
        <v>-6.9658369999999999E-3</v>
      </c>
      <c r="O3648">
        <v>-6.1391370000000001E-2</v>
      </c>
      <c r="P3648">
        <v>0.9955503</v>
      </c>
      <c r="Q3648">
        <v>-8.0074399999999907E-2</v>
      </c>
      <c r="R3648">
        <v>4.9676829999999998E-2</v>
      </c>
      <c r="S3648">
        <v>2.982513</v>
      </c>
      <c r="T3648">
        <v>4.9725060000000001E-2</v>
      </c>
      <c r="U3648">
        <v>0.73606870000000002</v>
      </c>
      <c r="V3648">
        <v>-0.1102379</v>
      </c>
      <c r="W3648">
        <v>-7.387088E-2</v>
      </c>
      <c r="X3648">
        <v>0.99115620000000004</v>
      </c>
      <c r="Y3648">
        <v>-0.29871979999999998</v>
      </c>
      <c r="Z3648">
        <v>-2.8277699999999998E-3</v>
      </c>
      <c r="AA3648">
        <v>0.95433670000000004</v>
      </c>
      <c r="AB3648">
        <v>31</v>
      </c>
      <c r="AC3648">
        <v>73.750999999999905</v>
      </c>
      <c r="AD3648">
        <v>1.23427</v>
      </c>
      <c r="AE3648">
        <v>18.287600000000001</v>
      </c>
      <c r="AF3648">
        <v>-22.7748790064235</v>
      </c>
      <c r="AG3648">
        <v>1.23427</v>
      </c>
      <c r="AH3648">
        <v>72.470032162364703</v>
      </c>
      <c r="AI3648">
        <v>89.069140615711902</v>
      </c>
      <c r="AJ3648">
        <v>107.446168961149</v>
      </c>
      <c r="AK3648">
        <v>75.974496364268902</v>
      </c>
      <c r="AL3648">
        <v>94.236348701831304</v>
      </c>
      <c r="AM3648">
        <v>96.346440537789306</v>
      </c>
      <c r="AN3648">
        <v>0.99999995715341095</v>
      </c>
    </row>
    <row r="3649" spans="1:40" x14ac:dyDescent="0.25">
      <c r="A3649" t="str">
        <f>"20190305135005638"</f>
        <v>20190305135005638</v>
      </c>
      <c r="B3649" t="str">
        <f>"1551765005633527"</f>
        <v>1551765005633527</v>
      </c>
      <c r="C3649" t="s">
        <v>40</v>
      </c>
      <c r="D3649">
        <v>3.8637969999999999</v>
      </c>
      <c r="E3649">
        <v>0.42582330000000002</v>
      </c>
      <c r="F3649" t="s">
        <v>75</v>
      </c>
      <c r="G3649">
        <v>-380.86649999999997</v>
      </c>
      <c r="H3649">
        <v>2.2905609999999998</v>
      </c>
      <c r="I3649">
        <v>232.75</v>
      </c>
      <c r="J3649">
        <v>-453.61540000000002</v>
      </c>
      <c r="K3649">
        <v>1.1114729999999999</v>
      </c>
      <c r="L3649">
        <v>214.44540000000001</v>
      </c>
      <c r="M3649">
        <v>0.99829029999999996</v>
      </c>
      <c r="N3649">
        <v>-7.0133230000000001E-3</v>
      </c>
      <c r="O3649">
        <v>-5.8029070000000002E-2</v>
      </c>
      <c r="P3649">
        <v>0.99541900000000005</v>
      </c>
      <c r="Q3649">
        <v>-8.0073359999999996E-2</v>
      </c>
      <c r="R3649">
        <v>5.2245939999999998E-2</v>
      </c>
      <c r="S3649">
        <v>2.9801030000000002</v>
      </c>
      <c r="T3649">
        <v>4.8084259999999997E-2</v>
      </c>
      <c r="U3649">
        <v>0.74572749999999999</v>
      </c>
      <c r="V3649">
        <v>-0.1094541</v>
      </c>
      <c r="W3649">
        <v>-7.3822699999999894E-2</v>
      </c>
      <c r="X3649">
        <v>0.99124670000000004</v>
      </c>
      <c r="Y3649">
        <v>-0.29860150000000002</v>
      </c>
      <c r="Z3649">
        <v>-2.632718E-3</v>
      </c>
      <c r="AA3649">
        <v>0.95437430000000001</v>
      </c>
      <c r="AB3649">
        <v>31</v>
      </c>
      <c r="AC3649">
        <v>72.748900000000006</v>
      </c>
      <c r="AD3649">
        <v>1.1790879999999999</v>
      </c>
      <c r="AE3649">
        <v>18.304599999999901</v>
      </c>
      <c r="AF3649">
        <v>-22.4898518942802</v>
      </c>
      <c r="AG3649">
        <v>1.1790879999999999</v>
      </c>
      <c r="AH3649">
        <v>71.546404012721794</v>
      </c>
      <c r="AI3649">
        <v>89.099291809960107</v>
      </c>
      <c r="AJ3649">
        <v>107.449986505285</v>
      </c>
      <c r="AK3649">
        <v>75.007143752378795</v>
      </c>
      <c r="AL3649">
        <v>94.233580427420506</v>
      </c>
      <c r="AM3649">
        <v>96.301110446742399</v>
      </c>
      <c r="AN3649">
        <v>1.0000000056514899</v>
      </c>
    </row>
    <row r="3650" spans="1:40" x14ac:dyDescent="0.25">
      <c r="A3650" t="str">
        <f>"20190305135005659"</f>
        <v>20190305135005659</v>
      </c>
      <c r="B3650" t="str">
        <f>"1551765005654023"</f>
        <v>1551765005654023</v>
      </c>
      <c r="C3650" t="s">
        <v>40</v>
      </c>
      <c r="D3650">
        <v>3.8846630000000002</v>
      </c>
      <c r="E3650">
        <v>0.42597370000000001</v>
      </c>
      <c r="F3650" t="s">
        <v>75</v>
      </c>
      <c r="G3650">
        <v>-381.07929999999999</v>
      </c>
      <c r="H3650">
        <v>2.2821799999999999</v>
      </c>
      <c r="I3650">
        <v>232.75</v>
      </c>
      <c r="J3650">
        <v>-453.3091</v>
      </c>
      <c r="K3650">
        <v>1.1114850000000001</v>
      </c>
      <c r="L3650">
        <v>214.43049999999999</v>
      </c>
      <c r="M3650">
        <v>0.99846509999999999</v>
      </c>
      <c r="N3650">
        <v>-7.0553880000000001E-3</v>
      </c>
      <c r="O3650">
        <v>-5.4932969999999998E-2</v>
      </c>
      <c r="P3650">
        <v>0.99531219999999998</v>
      </c>
      <c r="Q3650">
        <v>-8.037561E-2</v>
      </c>
      <c r="R3650">
        <v>5.3791749999999999E-2</v>
      </c>
      <c r="S3650">
        <v>2.9782709999999999</v>
      </c>
      <c r="T3650">
        <v>4.807115E-2</v>
      </c>
      <c r="U3650">
        <v>0.75157169999999995</v>
      </c>
      <c r="V3650">
        <v>-0.10791389999999999</v>
      </c>
      <c r="W3650">
        <v>-7.4077279999999995E-2</v>
      </c>
      <c r="X3650">
        <v>0.99139650000000001</v>
      </c>
      <c r="Y3650">
        <v>-0.29754229999999998</v>
      </c>
      <c r="Z3650">
        <v>-2.5532850000000002E-3</v>
      </c>
      <c r="AA3650">
        <v>0.95470520000000003</v>
      </c>
      <c r="AB3650">
        <v>32</v>
      </c>
      <c r="AC3650">
        <v>72.229799999999997</v>
      </c>
      <c r="AD3650">
        <v>1.17069499999999</v>
      </c>
      <c r="AE3650">
        <v>18.319500000000001</v>
      </c>
      <c r="AF3650">
        <v>-22.2542404720575</v>
      </c>
      <c r="AG3650">
        <v>1.17069499999999</v>
      </c>
      <c r="AH3650">
        <v>71.096813080618006</v>
      </c>
      <c r="AI3650">
        <v>89.099707059282593</v>
      </c>
      <c r="AJ3650">
        <v>107.380808516432</v>
      </c>
      <c r="AK3650">
        <v>74.507573950515393</v>
      </c>
      <c r="AL3650">
        <v>94.248207128123795</v>
      </c>
      <c r="AM3650">
        <v>96.212210303332199</v>
      </c>
      <c r="AN3650">
        <v>0.99999993671882703</v>
      </c>
    </row>
    <row r="3651" spans="1:40" x14ac:dyDescent="0.25">
      <c r="A3651" t="str">
        <f>"20190305135005681"</f>
        <v>20190305135005681</v>
      </c>
      <c r="B3651" t="str">
        <f>"1551765005673543"</f>
        <v>1551765005673543</v>
      </c>
      <c r="C3651" t="s">
        <v>40</v>
      </c>
      <c r="D3651">
        <v>3.9977990000000001</v>
      </c>
      <c r="E3651">
        <v>0.42601840000000002</v>
      </c>
      <c r="F3651" t="s">
        <v>75</v>
      </c>
      <c r="G3651">
        <v>-381.05930000000001</v>
      </c>
      <c r="H3651">
        <v>2.263919</v>
      </c>
      <c r="I3651">
        <v>232.75</v>
      </c>
      <c r="J3651">
        <v>-452.99329999999998</v>
      </c>
      <c r="K3651">
        <v>1.1115029999999999</v>
      </c>
      <c r="L3651">
        <v>214.41630000000001</v>
      </c>
      <c r="M3651">
        <v>0.99863500000000005</v>
      </c>
      <c r="N3651">
        <v>-7.0973090000000004E-3</v>
      </c>
      <c r="O3651">
        <v>-5.1747460000000002E-2</v>
      </c>
      <c r="P3651">
        <v>0.99529350000000005</v>
      </c>
      <c r="Q3651">
        <v>-8.0411819999999995E-2</v>
      </c>
      <c r="R3651">
        <v>5.4080870000000003E-2</v>
      </c>
      <c r="S3651">
        <v>2.977112</v>
      </c>
      <c r="T3651">
        <v>4.7489999999999997E-2</v>
      </c>
      <c r="U3651">
        <v>0.75486759999999997</v>
      </c>
      <c r="V3651">
        <v>-0.10503750000000001</v>
      </c>
      <c r="W3651">
        <v>-7.4055360000000001E-2</v>
      </c>
      <c r="X3651">
        <v>0.99170709999999995</v>
      </c>
      <c r="Y3651">
        <v>-0.29557939999999999</v>
      </c>
      <c r="Z3651">
        <v>-2.42998E-3</v>
      </c>
      <c r="AA3651">
        <v>0.95531509999999997</v>
      </c>
      <c r="AB3651">
        <v>32</v>
      </c>
      <c r="AC3651">
        <v>71.933999999999898</v>
      </c>
      <c r="AD3651">
        <v>1.1524160000000001</v>
      </c>
      <c r="AE3651">
        <v>18.3337</v>
      </c>
      <c r="AF3651">
        <v>-22.026322447127299</v>
      </c>
      <c r="AG3651">
        <v>1.1524160000000001</v>
      </c>
      <c r="AH3651">
        <v>70.871791749280305</v>
      </c>
      <c r="AI3651">
        <v>89.110386761438093</v>
      </c>
      <c r="AJ3651">
        <v>107.26477987436</v>
      </c>
      <c r="AK3651">
        <v>74.224644215619094</v>
      </c>
      <c r="AL3651">
        <v>94.246947380581005</v>
      </c>
      <c r="AM3651">
        <v>96.045990091921794</v>
      </c>
      <c r="AN3651">
        <v>1.00000002247069</v>
      </c>
    </row>
    <row r="3652" spans="1:40" x14ac:dyDescent="0.25">
      <c r="A3652" t="str">
        <f>"20190305135005702"</f>
        <v>20190305135005702</v>
      </c>
      <c r="B3652" t="str">
        <f>"1551765005694039"</f>
        <v>1551765005694039</v>
      </c>
      <c r="C3652" t="s">
        <v>40</v>
      </c>
      <c r="D3652">
        <v>4.0480799999999997</v>
      </c>
      <c r="E3652">
        <v>0.45140930000000001</v>
      </c>
      <c r="F3652" t="s">
        <v>75</v>
      </c>
      <c r="G3652">
        <v>-380.72320000000002</v>
      </c>
      <c r="H3652">
        <v>2.2534670000000001</v>
      </c>
      <c r="I3652">
        <v>232.75</v>
      </c>
      <c r="J3652">
        <v>-452.68950000000001</v>
      </c>
      <c r="K3652">
        <v>1.111507</v>
      </c>
      <c r="L3652">
        <v>214.40350000000001</v>
      </c>
      <c r="M3652">
        <v>0.99878789999999995</v>
      </c>
      <c r="N3652">
        <v>-7.1361810000000001E-3</v>
      </c>
      <c r="O3652">
        <v>-4.8701670000000002E-2</v>
      </c>
      <c r="P3652">
        <v>0.99526700000000001</v>
      </c>
      <c r="Q3652">
        <v>-8.0480750000000004E-2</v>
      </c>
      <c r="R3652">
        <v>5.4465039999999999E-2</v>
      </c>
      <c r="S3652">
        <v>2.9769589999999999</v>
      </c>
      <c r="T3652">
        <v>4.7042849999999997E-2</v>
      </c>
      <c r="U3652">
        <v>0.75520319999999996</v>
      </c>
      <c r="V3652">
        <v>-0.1023951</v>
      </c>
      <c r="W3652">
        <v>-7.4068490000000001E-2</v>
      </c>
      <c r="X3652">
        <v>0.99198240000000004</v>
      </c>
      <c r="Y3652">
        <v>-0.29277930000000002</v>
      </c>
      <c r="Z3652">
        <v>-2.3162500000000002E-3</v>
      </c>
      <c r="AA3652">
        <v>0.95617719999999995</v>
      </c>
      <c r="AB3652">
        <v>32</v>
      </c>
      <c r="AC3652">
        <v>71.966299999999904</v>
      </c>
      <c r="AD3652">
        <v>1.1419599999999901</v>
      </c>
      <c r="AE3652">
        <v>18.346499999999899</v>
      </c>
      <c r="AF3652">
        <v>-21.8245366169748</v>
      </c>
      <c r="AG3652">
        <v>1.1419599999999901</v>
      </c>
      <c r="AH3652">
        <v>70.970590942834505</v>
      </c>
      <c r="AI3652">
        <v>89.118870047232903</v>
      </c>
      <c r="AJ3652">
        <v>107.093459455505</v>
      </c>
      <c r="AK3652">
        <v>74.259270464787207</v>
      </c>
      <c r="AL3652">
        <v>94.247701884882204</v>
      </c>
      <c r="AM3652">
        <v>95.893353025955193</v>
      </c>
      <c r="AN3652">
        <v>0.99999998981232496</v>
      </c>
    </row>
    <row r="3653" spans="1:40" x14ac:dyDescent="0.25">
      <c r="A3653" t="str">
        <f>"20190305135005725"</f>
        <v>20190305135005725</v>
      </c>
      <c r="B3653" t="str">
        <f>"1551765005713562"</f>
        <v>1551765005713562</v>
      </c>
      <c r="C3653" t="s">
        <v>40</v>
      </c>
      <c r="D3653">
        <v>4.0589409999999999</v>
      </c>
      <c r="E3653">
        <v>0.51241890000000001</v>
      </c>
      <c r="F3653" t="s">
        <v>75</v>
      </c>
      <c r="G3653">
        <v>-355.01190000000003</v>
      </c>
      <c r="H3653">
        <v>1.8685670000000001</v>
      </c>
      <c r="I3653">
        <v>232.51740000000001</v>
      </c>
      <c r="J3653">
        <v>-452.37509999999997</v>
      </c>
      <c r="K3653">
        <v>1.111497</v>
      </c>
      <c r="L3653">
        <v>214.3912</v>
      </c>
      <c r="M3653">
        <v>0.99893449999999995</v>
      </c>
      <c r="N3653">
        <v>-7.174728E-3</v>
      </c>
      <c r="O3653">
        <v>-4.5591279999999998E-2</v>
      </c>
      <c r="P3653">
        <v>0.99522889999999997</v>
      </c>
      <c r="Q3653">
        <v>-8.0105079999999995E-2</v>
      </c>
      <c r="R3653">
        <v>5.570058E-2</v>
      </c>
      <c r="S3653">
        <v>2.98584</v>
      </c>
      <c r="T3653">
        <v>2.3144250000000002E-2</v>
      </c>
      <c r="U3653">
        <v>0.55371090000000001</v>
      </c>
      <c r="V3653">
        <v>-0.10054390000000001</v>
      </c>
      <c r="W3653">
        <v>-7.3639029999999994E-2</v>
      </c>
      <c r="X3653">
        <v>0.99220370000000002</v>
      </c>
      <c r="Y3653">
        <v>-0.22697010000000001</v>
      </c>
      <c r="Z3653">
        <v>-7.2584639999999996E-4</v>
      </c>
      <c r="AA3653">
        <v>0.97390149999999998</v>
      </c>
      <c r="AB3653">
        <v>32</v>
      </c>
      <c r="AC3653">
        <v>97.363199999999907</v>
      </c>
      <c r="AD3653">
        <v>0.75706999999999902</v>
      </c>
      <c r="AE3653">
        <v>18.126200000000001</v>
      </c>
      <c r="AF3653">
        <v>-22.545060311118402</v>
      </c>
      <c r="AG3653">
        <v>0.75706999999999902</v>
      </c>
      <c r="AH3653">
        <v>96.429901414188294</v>
      </c>
      <c r="AI3653">
        <v>89.561992046434696</v>
      </c>
      <c r="AJ3653">
        <v>103.15923594009899</v>
      </c>
      <c r="AK3653">
        <v>99.033220618976799</v>
      </c>
      <c r="AL3653">
        <v>94.223028288548093</v>
      </c>
      <c r="AM3653">
        <v>95.786254925351898</v>
      </c>
      <c r="AN3653">
        <v>0.99999998243012</v>
      </c>
    </row>
    <row r="3654" spans="1:40" x14ac:dyDescent="0.25">
      <c r="A3654" t="str">
        <f>"20190305135005804"</f>
        <v>20190305135005804</v>
      </c>
      <c r="B3654" t="str">
        <f>"1551765005793595"</f>
        <v>1551765005793595</v>
      </c>
      <c r="C3654" t="s">
        <v>40</v>
      </c>
      <c r="D3654">
        <v>3.9910160000000001</v>
      </c>
      <c r="E3654">
        <v>0.51757929999999996</v>
      </c>
      <c r="F3654" t="s">
        <v>78</v>
      </c>
      <c r="G3654">
        <v>-415.6198</v>
      </c>
      <c r="H3654" s="1">
        <v>3.1471150000000001E-6</v>
      </c>
      <c r="I3654">
        <v>215.251</v>
      </c>
      <c r="J3654">
        <v>-451.2448</v>
      </c>
      <c r="K3654">
        <v>1.111283</v>
      </c>
      <c r="L3654">
        <v>214.35409999999999</v>
      </c>
      <c r="M3654">
        <v>0.99935220000000002</v>
      </c>
      <c r="N3654">
        <v>-7.2955310000000001E-3</v>
      </c>
      <c r="O3654">
        <v>-3.5243749999999997E-2</v>
      </c>
      <c r="P3654">
        <v>0.99477649999999995</v>
      </c>
      <c r="Q3654">
        <v>-7.5848979999999996E-2</v>
      </c>
      <c r="R3654">
        <v>6.8315500000000001E-2</v>
      </c>
      <c r="S3654">
        <v>3.003174</v>
      </c>
      <c r="T3654">
        <v>-9.0816859999999999E-2</v>
      </c>
      <c r="U3654">
        <v>7.0251460000000002E-2</v>
      </c>
      <c r="V3654">
        <v>-0.1029296</v>
      </c>
      <c r="W3654">
        <v>-6.9216269999999996E-2</v>
      </c>
      <c r="X3654">
        <v>0.99227750000000003</v>
      </c>
      <c r="Y3654">
        <v>-5.8564039999999998E-2</v>
      </c>
      <c r="Z3654">
        <v>1.907171E-3</v>
      </c>
      <c r="AA3654">
        <v>0.9982818</v>
      </c>
      <c r="AB3654">
        <v>32</v>
      </c>
      <c r="AC3654">
        <v>35.625</v>
      </c>
      <c r="AD3654">
        <v>-1.1112798528849901</v>
      </c>
      <c r="AE3654">
        <v>0.89689999999998704</v>
      </c>
      <c r="AF3654">
        <v>-2.1498440816182298</v>
      </c>
      <c r="AG3654">
        <v>-1.1112798528849901</v>
      </c>
      <c r="AH3654">
        <v>35.536698457549498</v>
      </c>
      <c r="AI3654">
        <v>91.787865062302799</v>
      </c>
      <c r="AJ3654">
        <v>93.461971944068495</v>
      </c>
      <c r="AK3654">
        <v>35.619007703043899</v>
      </c>
      <c r="AL3654">
        <v>93.968973548342902</v>
      </c>
      <c r="AM3654">
        <v>95.922148759742001</v>
      </c>
      <c r="AN3654">
        <v>1.0000000157975599</v>
      </c>
    </row>
    <row r="3655" spans="1:40" x14ac:dyDescent="0.25">
      <c r="A3655" t="str">
        <f>"20190305135005825"</f>
        <v>20190305135005825</v>
      </c>
      <c r="B3655" t="str">
        <f>"1551765005814087"</f>
        <v>1551765005814087</v>
      </c>
      <c r="C3655" t="s">
        <v>40</v>
      </c>
      <c r="D3655">
        <v>4.0107030000000004</v>
      </c>
      <c r="E3655">
        <v>0.52110670000000003</v>
      </c>
      <c r="F3655" t="s">
        <v>78</v>
      </c>
      <c r="G3655">
        <v>-405.37040000000002</v>
      </c>
      <c r="H3655" s="1">
        <v>5.8624500000000001E-6</v>
      </c>
      <c r="I3655">
        <v>215.38210000000001</v>
      </c>
      <c r="J3655">
        <v>-450.93849999999998</v>
      </c>
      <c r="K3655">
        <v>1.1111799999999901</v>
      </c>
      <c r="L3655">
        <v>214.34569999999999</v>
      </c>
      <c r="M3655">
        <v>0.99943649999999995</v>
      </c>
      <c r="N3655">
        <v>-7.325476E-3</v>
      </c>
      <c r="O3655">
        <v>-3.2762989999999999E-2</v>
      </c>
      <c r="P3655">
        <v>0.99460709999999997</v>
      </c>
      <c r="Q3655">
        <v>-7.4890010000000007E-2</v>
      </c>
      <c r="R3655">
        <v>7.175405E-2</v>
      </c>
      <c r="S3655">
        <v>3.0055540000000001</v>
      </c>
      <c r="T3655">
        <v>-7.2807670000000005E-2</v>
      </c>
      <c r="U3655">
        <v>6.7352289999999995E-2</v>
      </c>
      <c r="V3655">
        <v>-0.1039233</v>
      </c>
      <c r="W3655">
        <v>-6.8205160000000001E-2</v>
      </c>
      <c r="X3655">
        <v>0.99224389999999996</v>
      </c>
      <c r="Y3655">
        <v>-5.5121539999999997E-2</v>
      </c>
      <c r="Z3655">
        <v>1.4228729999999901E-3</v>
      </c>
      <c r="AA3655">
        <v>0.99847870000000005</v>
      </c>
      <c r="AB3655">
        <v>32</v>
      </c>
      <c r="AC3655">
        <v>45.568099999999902</v>
      </c>
      <c r="AD3655">
        <v>-1.1111741375499999</v>
      </c>
      <c r="AE3655">
        <v>1.03640000000001</v>
      </c>
      <c r="AF3655">
        <v>-2.5273285150790001</v>
      </c>
      <c r="AG3655">
        <v>-1.1111741375499999</v>
      </c>
      <c r="AH3655">
        <v>45.482647865948202</v>
      </c>
      <c r="AI3655">
        <v>91.397344381847304</v>
      </c>
      <c r="AJ3655">
        <v>93.180476562799996</v>
      </c>
      <c r="AK3655">
        <v>45.566362091842898</v>
      </c>
      <c r="AL3655">
        <v>93.910904124493797</v>
      </c>
      <c r="AM3655">
        <v>95.979111002897298</v>
      </c>
      <c r="AN3655">
        <v>0.999999976610362</v>
      </c>
    </row>
    <row r="3656" spans="1:40" x14ac:dyDescent="0.25">
      <c r="A3656" t="str">
        <f>"20190305135005871"</f>
        <v>20190305135005871</v>
      </c>
      <c r="B3656" t="str">
        <f>"1551765005863863"</f>
        <v>1551765005863863</v>
      </c>
      <c r="C3656" t="s">
        <v>40</v>
      </c>
      <c r="D3656">
        <v>4.0531360000000003</v>
      </c>
      <c r="E3656">
        <v>0.52236990000000005</v>
      </c>
      <c r="F3656" t="s">
        <v>74</v>
      </c>
      <c r="G3656">
        <v>-396.93369999999999</v>
      </c>
      <c r="H3656" s="1">
        <v>2.1529679999999999E-6</v>
      </c>
      <c r="I3656">
        <v>215.24119999999999</v>
      </c>
      <c r="J3656">
        <v>-450.28339999999997</v>
      </c>
      <c r="K3656">
        <v>1.1109279999999999</v>
      </c>
      <c r="L3656">
        <v>214.3296</v>
      </c>
      <c r="M3656">
        <v>0.99957859999999998</v>
      </c>
      <c r="N3656">
        <v>-7.4606209999999997E-3</v>
      </c>
      <c r="O3656">
        <v>-2.8054679999999999E-2</v>
      </c>
      <c r="P3656">
        <v>0.99416380000000004</v>
      </c>
      <c r="Q3656">
        <v>-7.5026590000000004E-2</v>
      </c>
      <c r="R3656">
        <v>7.7520839999999994E-2</v>
      </c>
      <c r="S3656">
        <v>3.008057</v>
      </c>
      <c r="T3656">
        <v>-6.1892389999999999E-2</v>
      </c>
      <c r="U3656">
        <v>4.9880979999999998E-2</v>
      </c>
      <c r="V3656">
        <v>-0.1050483</v>
      </c>
      <c r="W3656">
        <v>-6.8144179999999999E-2</v>
      </c>
      <c r="X3656">
        <v>0.99212959999999994</v>
      </c>
      <c r="Y3656">
        <v>-4.4609999999999997E-2</v>
      </c>
      <c r="Z3656">
        <v>9.9313240000000001E-4</v>
      </c>
      <c r="AA3656">
        <v>0.999004</v>
      </c>
      <c r="AB3656">
        <v>32</v>
      </c>
      <c r="AC3656">
        <v>53.349699999999899</v>
      </c>
      <c r="AD3656">
        <v>-1.110925847032</v>
      </c>
      <c r="AE3656">
        <v>0.91159999999999197</v>
      </c>
      <c r="AF3656">
        <v>-2.4069481164134201</v>
      </c>
      <c r="AG3656">
        <v>-1.110925847032</v>
      </c>
      <c r="AH3656">
        <v>53.280028124962897</v>
      </c>
      <c r="AI3656">
        <v>91.193267342065297</v>
      </c>
      <c r="AJ3656">
        <v>92.586602767522393</v>
      </c>
      <c r="AK3656">
        <v>53.345936606920198</v>
      </c>
      <c r="AL3656">
        <v>93.907402149236901</v>
      </c>
      <c r="AM3656">
        <v>96.044051244579194</v>
      </c>
      <c r="AN3656">
        <v>0.99999995889846005</v>
      </c>
    </row>
    <row r="3657" spans="1:40" x14ac:dyDescent="0.25">
      <c r="A3657" t="str">
        <f>"20190305135005914"</f>
        <v>20190305135005914</v>
      </c>
      <c r="B3657" t="str">
        <f>"1551765005903879"</f>
        <v>1551765005903879</v>
      </c>
      <c r="C3657" t="s">
        <v>40</v>
      </c>
      <c r="D3657">
        <v>4.1012690000000003</v>
      </c>
      <c r="E3657">
        <v>0.52410069999999997</v>
      </c>
      <c r="F3657" t="s">
        <v>74</v>
      </c>
      <c r="G3657">
        <v>-398.98480000000001</v>
      </c>
      <c r="H3657" s="1">
        <v>3.244452E-6</v>
      </c>
      <c r="I3657">
        <v>215.30330000000001</v>
      </c>
      <c r="J3657">
        <v>-449.64870000000002</v>
      </c>
      <c r="K3657">
        <v>1.1108579999999999</v>
      </c>
      <c r="L3657">
        <v>214.31610000000001</v>
      </c>
      <c r="M3657">
        <v>0.99966880000000002</v>
      </c>
      <c r="N3657">
        <v>-8.3709579999999995E-3</v>
      </c>
      <c r="O3657">
        <v>-2.434068E-2</v>
      </c>
      <c r="P3657">
        <v>0.99367609999999995</v>
      </c>
      <c r="Q3657">
        <v>-7.7929380000000006E-2</v>
      </c>
      <c r="R3657">
        <v>8.0839339999999996E-2</v>
      </c>
      <c r="S3657">
        <v>3.0082399999999998</v>
      </c>
      <c r="T3657">
        <v>-6.5146449999999995E-2</v>
      </c>
      <c r="U3657">
        <v>5.7098389999999999E-2</v>
      </c>
      <c r="V3657">
        <v>-0.10470790000000001</v>
      </c>
      <c r="W3657">
        <v>-7.0070480000000004E-2</v>
      </c>
      <c r="X3657">
        <v>0.99203149999999996</v>
      </c>
      <c r="Y3657">
        <v>-4.3292560000000001E-2</v>
      </c>
      <c r="Z3657">
        <v>9.73199E-4</v>
      </c>
      <c r="AA3657">
        <v>0.99906189999999995</v>
      </c>
      <c r="AB3657">
        <v>32</v>
      </c>
      <c r="AC3657">
        <v>50.663899999999998</v>
      </c>
      <c r="AD3657">
        <v>-1.110854755548</v>
      </c>
      <c r="AE3657">
        <v>0.98720000000000097</v>
      </c>
      <c r="AF3657">
        <v>-2.21907791321035</v>
      </c>
      <c r="AG3657">
        <v>-1.110854755548</v>
      </c>
      <c r="AH3657">
        <v>50.600541514893798</v>
      </c>
      <c r="AI3657">
        <v>91.256428845915707</v>
      </c>
      <c r="AJ3657">
        <v>92.511087418707206</v>
      </c>
      <c r="AK3657">
        <v>50.661357134144303</v>
      </c>
      <c r="AL3657">
        <v>94.018035136386999</v>
      </c>
      <c r="AM3657">
        <v>96.025201668166901</v>
      </c>
      <c r="AN3657">
        <v>1.0000000567410401</v>
      </c>
    </row>
    <row r="3658" spans="1:40" x14ac:dyDescent="0.25">
      <c r="A3658" t="str">
        <f>"20190305135005928"</f>
        <v>20190305135005928</v>
      </c>
      <c r="B3658" t="str">
        <f>"1551765005924376"</f>
        <v>1551765005924376</v>
      </c>
      <c r="C3658" t="s">
        <v>40</v>
      </c>
      <c r="D3658">
        <v>4.0421860000000001</v>
      </c>
      <c r="E3658">
        <v>0.52526719999999905</v>
      </c>
      <c r="F3658" t="s">
        <v>78</v>
      </c>
      <c r="G3658">
        <v>-401.20420000000001</v>
      </c>
      <c r="H3658" s="1">
        <v>7.753608E-6</v>
      </c>
      <c r="I3658">
        <v>215.1711</v>
      </c>
      <c r="J3658">
        <v>-449.44909999999999</v>
      </c>
      <c r="K3658">
        <v>1.1108559999999901</v>
      </c>
      <c r="L3658">
        <v>214.31219999999999</v>
      </c>
      <c r="M3658">
        <v>0.99969010000000003</v>
      </c>
      <c r="N3658">
        <v>-8.7648719999999999E-3</v>
      </c>
      <c r="O3658">
        <v>-2.3297470000000001E-2</v>
      </c>
      <c r="P3658">
        <v>0.99356230000000001</v>
      </c>
      <c r="Q3658">
        <v>-7.8610970000000002E-2</v>
      </c>
      <c r="R3658">
        <v>8.1572899999999907E-2</v>
      </c>
      <c r="S3658">
        <v>3.0093990000000002</v>
      </c>
      <c r="T3658">
        <v>-6.9006680000000001E-2</v>
      </c>
      <c r="U3658">
        <v>5.3115839999999998E-2</v>
      </c>
      <c r="V3658">
        <v>-0.1044173</v>
      </c>
      <c r="W3658">
        <v>-7.033876E-2</v>
      </c>
      <c r="X3658">
        <v>0.99204309999999996</v>
      </c>
      <c r="Y3658">
        <v>-4.091997E-2</v>
      </c>
      <c r="Z3658">
        <v>9.7836150000000003E-4</v>
      </c>
      <c r="AA3658">
        <v>0.99916199999999999</v>
      </c>
      <c r="AB3658">
        <v>32</v>
      </c>
      <c r="AC3658">
        <v>48.244899999999902</v>
      </c>
      <c r="AD3658">
        <v>-1.11084824639199</v>
      </c>
      <c r="AE3658">
        <v>0.85890000000000499</v>
      </c>
      <c r="AF3658">
        <v>-1.98164395019786</v>
      </c>
      <c r="AG3658">
        <v>-1.11084824639199</v>
      </c>
      <c r="AH3658">
        <v>48.186254943079099</v>
      </c>
      <c r="AI3658">
        <v>91.319503257386202</v>
      </c>
      <c r="AJ3658">
        <v>92.354943172019105</v>
      </c>
      <c r="AK3658">
        <v>48.239776761623702</v>
      </c>
      <c r="AL3658">
        <v>94.0334446449002</v>
      </c>
      <c r="AM3658">
        <v>96.008532442469502</v>
      </c>
      <c r="AN3658">
        <v>1.0000000129776101</v>
      </c>
    </row>
    <row r="3659" spans="1:40" x14ac:dyDescent="0.25">
      <c r="A3659" t="str">
        <f>"20190305135005948"</f>
        <v>20190305135005948</v>
      </c>
      <c r="B3659" t="str">
        <f>"1551765005943896"</f>
        <v>1551765005943896</v>
      </c>
      <c r="C3659" t="s">
        <v>40</v>
      </c>
      <c r="D3659">
        <v>4.0699620000000003</v>
      </c>
      <c r="E3659">
        <v>0.52655090000000004</v>
      </c>
      <c r="F3659" t="s">
        <v>78</v>
      </c>
      <c r="G3659">
        <v>-401.59989999999999</v>
      </c>
      <c r="H3659" s="1">
        <v>7.6038269999999996E-6</v>
      </c>
      <c r="I3659">
        <v>215.04660000000001</v>
      </c>
      <c r="J3659">
        <v>-449.1703</v>
      </c>
      <c r="K3659">
        <v>1.1108209999999901</v>
      </c>
      <c r="L3659">
        <v>214.30699999999999</v>
      </c>
      <c r="M3659">
        <v>0.99971650000000001</v>
      </c>
      <c r="N3659">
        <v>-9.1687379999999992E-3</v>
      </c>
      <c r="O3659">
        <v>-2.1971999999999998E-2</v>
      </c>
      <c r="P3659">
        <v>0.9934752</v>
      </c>
      <c r="Q3659">
        <v>-7.9453620000000003E-2</v>
      </c>
      <c r="R3659">
        <v>8.1816979999999997E-2</v>
      </c>
      <c r="S3659">
        <v>3.0101010000000001</v>
      </c>
      <c r="T3659">
        <v>-6.9881440000000003E-2</v>
      </c>
      <c r="U3659">
        <v>4.6203609999999999E-2</v>
      </c>
      <c r="V3659">
        <v>-0.1033598</v>
      </c>
      <c r="W3659">
        <v>-7.0752140000000005E-2</v>
      </c>
      <c r="X3659">
        <v>0.99212440000000002</v>
      </c>
      <c r="Y3659">
        <v>-3.7298169999999999E-2</v>
      </c>
      <c r="Z3659">
        <v>9.1245200000000001E-4</v>
      </c>
      <c r="AA3659">
        <v>0.99930379999999996</v>
      </c>
      <c r="AB3659">
        <v>32</v>
      </c>
      <c r="AC3659">
        <v>47.570399999999999</v>
      </c>
      <c r="AD3659">
        <v>-1.11081339617299</v>
      </c>
      <c r="AE3659">
        <v>0.73959999999999504</v>
      </c>
      <c r="AF3659">
        <v>-1.7837098832970499</v>
      </c>
      <c r="AG3659">
        <v>-1.11081339617299</v>
      </c>
      <c r="AH3659">
        <v>47.516760695979599</v>
      </c>
      <c r="AI3659">
        <v>91.338234294069295</v>
      </c>
      <c r="AJ3659">
        <v>92.149790577305893</v>
      </c>
      <c r="AK3659">
        <v>47.563200842540901</v>
      </c>
      <c r="AL3659">
        <v>94.057188908330403</v>
      </c>
      <c r="AM3659">
        <v>95.947634793327794</v>
      </c>
      <c r="AN3659">
        <v>0.99999996932298896</v>
      </c>
    </row>
    <row r="3660" spans="1:40" x14ac:dyDescent="0.25">
      <c r="A3660" t="str">
        <f>"20190305135005962"</f>
        <v>20190305135005962</v>
      </c>
      <c r="B3660" t="str">
        <f>"1551765005953656"</f>
        <v>1551765005953656</v>
      </c>
      <c r="C3660" t="s">
        <v>40</v>
      </c>
      <c r="D3660">
        <v>4.0542160000000003</v>
      </c>
      <c r="E3660">
        <v>0.52700000000000002</v>
      </c>
      <c r="F3660" t="s">
        <v>78</v>
      </c>
      <c r="G3660">
        <v>-401.43200000000002</v>
      </c>
      <c r="H3660" s="1">
        <v>7.7108599999999999E-6</v>
      </c>
      <c r="I3660">
        <v>214.88910000000001</v>
      </c>
      <c r="J3660">
        <v>-448.96879999999999</v>
      </c>
      <c r="K3660">
        <v>1.1107769999999999</v>
      </c>
      <c r="L3660">
        <v>214.30350000000001</v>
      </c>
      <c r="M3660">
        <v>0.99973290000000004</v>
      </c>
      <c r="N3660">
        <v>-9.3971780000000008E-3</v>
      </c>
      <c r="O3660">
        <v>-2.112023E-2</v>
      </c>
      <c r="P3660">
        <v>0.99344980000000005</v>
      </c>
      <c r="Q3660">
        <v>-7.9554719999999995E-2</v>
      </c>
      <c r="R3660">
        <v>8.2027820000000001E-2</v>
      </c>
      <c r="S3660">
        <v>3.0111080000000001</v>
      </c>
      <c r="T3660">
        <v>-7.0065020000000006E-2</v>
      </c>
      <c r="U3660">
        <v>3.6712649999999999E-2</v>
      </c>
      <c r="V3660">
        <v>-0.10273640000000001</v>
      </c>
      <c r="W3660">
        <v>-7.0607950000000003E-2</v>
      </c>
      <c r="X3660">
        <v>0.99219939999999995</v>
      </c>
      <c r="Y3660">
        <v>-3.3293690000000001E-2</v>
      </c>
      <c r="Z3660">
        <v>8.3664929999999996E-4</v>
      </c>
      <c r="AA3660">
        <v>0.99944529999999998</v>
      </c>
      <c r="AB3660">
        <v>32</v>
      </c>
      <c r="AC3660">
        <v>47.536799999999999</v>
      </c>
      <c r="AD3660">
        <v>-1.1107692891399901</v>
      </c>
      <c r="AE3660">
        <v>0.58559999999999901</v>
      </c>
      <c r="AF3660">
        <v>-1.5886344733936399</v>
      </c>
      <c r="AG3660">
        <v>-1.1107692891399901</v>
      </c>
      <c r="AH3660">
        <v>47.487902927608303</v>
      </c>
      <c r="AI3660">
        <v>91.339187933172497</v>
      </c>
      <c r="AJ3660">
        <v>91.916027291270197</v>
      </c>
      <c r="AK3660">
        <v>47.527449882838297</v>
      </c>
      <c r="AL3660">
        <v>94.048906794849003</v>
      </c>
      <c r="AM3660">
        <v>95.911573595253898</v>
      </c>
      <c r="AN3660">
        <v>0.999999949924259</v>
      </c>
    </row>
    <row r="3661" spans="1:40" x14ac:dyDescent="0.25">
      <c r="A3661" t="str">
        <f>"20190305135005981"</f>
        <v>20190305135005981</v>
      </c>
      <c r="B3661" t="str">
        <f>"1551765005974152"</f>
        <v>1551765005974152</v>
      </c>
      <c r="C3661" t="s">
        <v>40</v>
      </c>
      <c r="D3661">
        <v>4.0971359999999999</v>
      </c>
      <c r="E3661">
        <v>0.52799249999999998</v>
      </c>
      <c r="F3661" t="s">
        <v>78</v>
      </c>
      <c r="G3661">
        <v>-400.58199999999999</v>
      </c>
      <c r="H3661" s="1">
        <v>8.096697E-6</v>
      </c>
      <c r="I3661">
        <v>214.84610000000001</v>
      </c>
      <c r="J3661">
        <v>-448.68189999999998</v>
      </c>
      <c r="K3661">
        <v>1.110698</v>
      </c>
      <c r="L3661">
        <v>214.2988</v>
      </c>
      <c r="M3661">
        <v>0.999753</v>
      </c>
      <c r="N3661">
        <v>-9.6939520000000005E-3</v>
      </c>
      <c r="O3661">
        <v>-1.9999090000000001E-2</v>
      </c>
      <c r="P3661">
        <v>0.99342719999999995</v>
      </c>
      <c r="Q3661">
        <v>-8.0029660000000002E-2</v>
      </c>
      <c r="R3661">
        <v>8.1840360000000001E-2</v>
      </c>
      <c r="S3661">
        <v>3.011444</v>
      </c>
      <c r="T3661">
        <v>-6.9130780000000003E-2</v>
      </c>
      <c r="U3661">
        <v>3.3767699999999998E-2</v>
      </c>
      <c r="V3661">
        <v>-0.1014526</v>
      </c>
      <c r="W3661">
        <v>-7.0759349999999999E-2</v>
      </c>
      <c r="X3661">
        <v>0.9923208</v>
      </c>
      <c r="Y3661">
        <v>-3.1195500000000001E-2</v>
      </c>
      <c r="Z3661">
        <v>7.7440080000000001E-4</v>
      </c>
      <c r="AA3661">
        <v>0.99951299999999998</v>
      </c>
      <c r="AB3661">
        <v>32</v>
      </c>
      <c r="AC3661">
        <v>48.099899999999899</v>
      </c>
      <c r="AD3661">
        <v>-1.110689903303</v>
      </c>
      <c r="AE3661">
        <v>0.547300000000007</v>
      </c>
      <c r="AF3661">
        <v>-1.5083857805721801</v>
      </c>
      <c r="AG3661">
        <v>-1.110689903303</v>
      </c>
      <c r="AH3661">
        <v>48.053713667183402</v>
      </c>
      <c r="AI3661">
        <v>91.323419119695899</v>
      </c>
      <c r="AJ3661">
        <v>91.797899986301701</v>
      </c>
      <c r="AK3661">
        <v>48.090209574631501</v>
      </c>
      <c r="AL3661">
        <v>94.057602749896603</v>
      </c>
      <c r="AM3661">
        <v>95.837506378080604</v>
      </c>
      <c r="AN3661">
        <v>1.0000000428859099</v>
      </c>
    </row>
    <row r="3662" spans="1:40" x14ac:dyDescent="0.25">
      <c r="A3662" t="str">
        <f>"20190305135005995"</f>
        <v>20190305135005995</v>
      </c>
      <c r="B3662" t="str">
        <f>"1551765005983912"</f>
        <v>1551765005983912</v>
      </c>
      <c r="C3662" t="s">
        <v>40</v>
      </c>
      <c r="D3662">
        <v>4.0596610000000002</v>
      </c>
      <c r="E3662">
        <v>0.52843169999999995</v>
      </c>
      <c r="F3662" t="s">
        <v>74</v>
      </c>
      <c r="G3662">
        <v>-399.39780000000002</v>
      </c>
      <c r="H3662" s="1">
        <v>3.464252E-6</v>
      </c>
      <c r="I3662">
        <v>214.7107</v>
      </c>
      <c r="J3662">
        <v>-448.48289999999997</v>
      </c>
      <c r="K3662">
        <v>1.1106389999999999</v>
      </c>
      <c r="L3662">
        <v>214.29560000000001</v>
      </c>
      <c r="M3662">
        <v>0.99976549999999997</v>
      </c>
      <c r="N3662">
        <v>-9.8865199999999993E-3</v>
      </c>
      <c r="O3662">
        <v>-1.9275239999999999E-2</v>
      </c>
      <c r="P3662">
        <v>0.99338470000000001</v>
      </c>
      <c r="Q3662">
        <v>-8.0189060000000006E-2</v>
      </c>
      <c r="R3662">
        <v>8.2199690000000006E-2</v>
      </c>
      <c r="S3662">
        <v>3.0123289999999998</v>
      </c>
      <c r="T3662">
        <v>-6.7887539999999996E-2</v>
      </c>
      <c r="U3662">
        <v>2.5177000000000001E-2</v>
      </c>
      <c r="V3662">
        <v>-0.10110520000000001</v>
      </c>
      <c r="W3662">
        <v>-7.0708510000000002E-2</v>
      </c>
      <c r="X3662">
        <v>0.99235980000000001</v>
      </c>
      <c r="Y3662">
        <v>-2.762001E-2</v>
      </c>
      <c r="Z3662">
        <v>6.9151429999999995E-4</v>
      </c>
      <c r="AA3662">
        <v>0.99961820000000001</v>
      </c>
      <c r="AB3662">
        <v>32</v>
      </c>
      <c r="AC3662">
        <v>49.085099999999898</v>
      </c>
      <c r="AD3662">
        <v>-1.110635535748</v>
      </c>
      <c r="AE3662">
        <v>0.41509999999999497</v>
      </c>
      <c r="AF3662">
        <v>-1.3604995567765401</v>
      </c>
      <c r="AG3662">
        <v>-1.110635535748</v>
      </c>
      <c r="AH3662">
        <v>49.042871668783903</v>
      </c>
      <c r="AI3662">
        <v>91.296812211933201</v>
      </c>
      <c r="AJ3662">
        <v>91.589036145958005</v>
      </c>
      <c r="AK3662">
        <v>49.074308266730199</v>
      </c>
      <c r="AL3662">
        <v>94.054682839437504</v>
      </c>
      <c r="AM3662">
        <v>95.817427515261798</v>
      </c>
      <c r="AN3662">
        <v>0.99999996375474898</v>
      </c>
    </row>
    <row r="3663" spans="1:40" x14ac:dyDescent="0.25">
      <c r="A3663" t="str">
        <f>"20190305135006016"</f>
        <v>20190305135006016</v>
      </c>
      <c r="B3663" t="str">
        <f>"1551765006003432"</f>
        <v>1551765006003432</v>
      </c>
      <c r="C3663" t="s">
        <v>40</v>
      </c>
      <c r="D3663">
        <v>4.0903269999999896</v>
      </c>
      <c r="E3663">
        <v>0.52924309999999997</v>
      </c>
      <c r="F3663" t="s">
        <v>74</v>
      </c>
      <c r="G3663">
        <v>-398.51549999999997</v>
      </c>
      <c r="H3663" s="1">
        <v>2.9947509999999998E-6</v>
      </c>
      <c r="I3663">
        <v>214.6788</v>
      </c>
      <c r="J3663">
        <v>-448.19459999999998</v>
      </c>
      <c r="K3663">
        <v>1.1105430000000001</v>
      </c>
      <c r="L3663">
        <v>214.2912</v>
      </c>
      <c r="M3663">
        <v>0.99978129999999998</v>
      </c>
      <c r="N3663">
        <v>-1.0145980000000001E-2</v>
      </c>
      <c r="O3663">
        <v>-1.828511E-2</v>
      </c>
      <c r="P3663">
        <v>0.99330110000000005</v>
      </c>
      <c r="Q3663">
        <v>-8.0793980000000001E-2</v>
      </c>
      <c r="R3663">
        <v>8.2614560000000004E-2</v>
      </c>
      <c r="S3663">
        <v>3.0126339999999998</v>
      </c>
      <c r="T3663">
        <v>-6.6962480000000005E-2</v>
      </c>
      <c r="U3663">
        <v>2.310181E-2</v>
      </c>
      <c r="V3663">
        <v>-0.1005544</v>
      </c>
      <c r="W3663">
        <v>-7.1026930000000002E-2</v>
      </c>
      <c r="X3663">
        <v>0.99239310000000003</v>
      </c>
      <c r="Y3663">
        <v>-2.5941659999999998E-2</v>
      </c>
      <c r="Z3663">
        <v>6.4074309999999997E-4</v>
      </c>
      <c r="AA3663">
        <v>0.99966319999999997</v>
      </c>
      <c r="AB3663">
        <v>32</v>
      </c>
      <c r="AC3663">
        <v>49.679099999999998</v>
      </c>
      <c r="AD3663">
        <v>-1.110540005249</v>
      </c>
      <c r="AE3663">
        <v>0.38759999999999201</v>
      </c>
      <c r="AF3663">
        <v>-1.29532253812745</v>
      </c>
      <c r="AG3663">
        <v>-1.110540005249</v>
      </c>
      <c r="AH3663">
        <v>49.638902077205302</v>
      </c>
      <c r="AI3663">
        <v>91.281192728650893</v>
      </c>
      <c r="AJ3663">
        <v>91.494788815815298</v>
      </c>
      <c r="AK3663">
        <v>49.668216789124003</v>
      </c>
      <c r="AL3663">
        <v>94.072972643610001</v>
      </c>
      <c r="AM3663">
        <v>95.785758156398302</v>
      </c>
      <c r="AN3663">
        <v>1.0000000385360901</v>
      </c>
    </row>
    <row r="3664" spans="1:40" x14ac:dyDescent="0.25">
      <c r="A3664" t="str">
        <f>"20190305135006038"</f>
        <v>20190305135006038</v>
      </c>
      <c r="B3664" t="str">
        <f>"1551765006033688"</f>
        <v>1551765006033688</v>
      </c>
      <c r="C3664" t="s">
        <v>40</v>
      </c>
      <c r="D3664">
        <v>4.0299449999999997</v>
      </c>
      <c r="E3664">
        <v>0.53040959999999904</v>
      </c>
      <c r="F3664" t="s">
        <v>74</v>
      </c>
      <c r="G3664">
        <v>-398.37040000000002</v>
      </c>
      <c r="H3664" s="1">
        <v>2.9175079999999998E-6</v>
      </c>
      <c r="I3664">
        <v>214.58920000000001</v>
      </c>
      <c r="J3664">
        <v>-447.88409999999999</v>
      </c>
      <c r="K3664">
        <v>1.110433</v>
      </c>
      <c r="L3664">
        <v>214.2868</v>
      </c>
      <c r="M3664">
        <v>0.99979669999999998</v>
      </c>
      <c r="N3664">
        <v>-1.039314E-2</v>
      </c>
      <c r="O3664">
        <v>-1.728155E-2</v>
      </c>
      <c r="P3664">
        <v>0.99320679999999995</v>
      </c>
      <c r="Q3664">
        <v>-8.104509E-2</v>
      </c>
      <c r="R3664">
        <v>8.349898E-2</v>
      </c>
      <c r="S3664">
        <v>3.013306</v>
      </c>
      <c r="T3664">
        <v>-6.7164059999999998E-2</v>
      </c>
      <c r="U3664">
        <v>1.8020629999999999E-2</v>
      </c>
      <c r="V3664">
        <v>-0.10046190000000001</v>
      </c>
      <c r="W3664">
        <v>-7.1004150000000002E-2</v>
      </c>
      <c r="X3664">
        <v>0.99240399999999995</v>
      </c>
      <c r="Y3664">
        <v>-2.3251839999999999E-2</v>
      </c>
      <c r="Z3664">
        <v>5.854791E-4</v>
      </c>
      <c r="AA3664">
        <v>0.99972950000000005</v>
      </c>
      <c r="AB3664">
        <v>32</v>
      </c>
      <c r="AC3664">
        <v>49.513699999999901</v>
      </c>
      <c r="AD3664">
        <v>-1.1104300824919999</v>
      </c>
      <c r="AE3664">
        <v>0.302400000000005</v>
      </c>
      <c r="AF3664">
        <v>-1.1574923397404999</v>
      </c>
      <c r="AG3664">
        <v>-1.1104300824919999</v>
      </c>
      <c r="AH3664">
        <v>49.476195227658799</v>
      </c>
      <c r="AI3664">
        <v>91.285363236253502</v>
      </c>
      <c r="AJ3664">
        <v>91.340186531547204</v>
      </c>
      <c r="AK3664">
        <v>49.502189221185702</v>
      </c>
      <c r="AL3664">
        <v>94.071664540149698</v>
      </c>
      <c r="AM3664">
        <v>95.780408835810704</v>
      </c>
      <c r="AN3664">
        <v>0.99999994094241396</v>
      </c>
    </row>
    <row r="3665" spans="1:40" x14ac:dyDescent="0.25">
      <c r="A3665" t="str">
        <f>"20190305135006062"</f>
        <v>20190305135006062</v>
      </c>
      <c r="B3665" t="str">
        <f>"1551765006054184"</f>
        <v>1551765006054184</v>
      </c>
      <c r="C3665" t="s">
        <v>40</v>
      </c>
      <c r="D3665">
        <v>4.1043770000000004</v>
      </c>
      <c r="E3665">
        <v>0.531174699999999</v>
      </c>
      <c r="F3665" t="s">
        <v>74</v>
      </c>
      <c r="G3665">
        <v>-396.41629999999998</v>
      </c>
      <c r="H3665" s="1">
        <v>1.877652E-6</v>
      </c>
      <c r="I3665">
        <v>214.4837</v>
      </c>
      <c r="J3665">
        <v>-447.5333</v>
      </c>
      <c r="K3665">
        <v>1.1103229999999999</v>
      </c>
      <c r="L3665">
        <v>214.28200000000001</v>
      </c>
      <c r="M3665">
        <v>0.99981180000000003</v>
      </c>
      <c r="N3665">
        <v>-1.0633729999999999E-2</v>
      </c>
      <c r="O3665">
        <v>-1.622492E-2</v>
      </c>
      <c r="P3665">
        <v>0.9931449</v>
      </c>
      <c r="Q3665">
        <v>-8.1519170000000002E-2</v>
      </c>
      <c r="R3665">
        <v>8.3775329999999995E-2</v>
      </c>
      <c r="S3665">
        <v>3.0142820000000001</v>
      </c>
      <c r="T3665">
        <v>-6.503391E-2</v>
      </c>
      <c r="U3665">
        <v>1.153564E-2</v>
      </c>
      <c r="V3665">
        <v>-9.9708450000000004E-2</v>
      </c>
      <c r="W3665">
        <v>-7.1209179999999997E-2</v>
      </c>
      <c r="X3665">
        <v>0.99246540000000005</v>
      </c>
      <c r="Y3665">
        <v>-2.004425E-2</v>
      </c>
      <c r="Z3665">
        <v>5.0027459999999998E-4</v>
      </c>
      <c r="AA3665">
        <v>0.99979899999999999</v>
      </c>
      <c r="AB3665">
        <v>32</v>
      </c>
      <c r="AC3665">
        <v>51.116999999999997</v>
      </c>
      <c r="AD3665">
        <v>-1.1103211223479901</v>
      </c>
      <c r="AE3665">
        <v>0.201699999999988</v>
      </c>
      <c r="AF3665">
        <v>-1.03060335333285</v>
      </c>
      <c r="AG3665">
        <v>-1.1103211223479901</v>
      </c>
      <c r="AH3665">
        <v>51.082896809620202</v>
      </c>
      <c r="AI3665">
        <v>91.244912986820694</v>
      </c>
      <c r="AJ3665">
        <v>91.155792181642099</v>
      </c>
      <c r="AK3665">
        <v>51.105354932031702</v>
      </c>
      <c r="AL3665">
        <v>94.083441275099005</v>
      </c>
      <c r="AM3665">
        <v>95.736994309418293</v>
      </c>
      <c r="AN3665">
        <v>1.0000000462574099</v>
      </c>
    </row>
    <row r="3666" spans="1:40" x14ac:dyDescent="0.25">
      <c r="A3666" t="str">
        <f>"20190305135006082"</f>
        <v>20190305135006082</v>
      </c>
      <c r="B3666" t="str">
        <f>"1551765006073707"</f>
        <v>1551765006073707</v>
      </c>
      <c r="C3666" t="s">
        <v>40</v>
      </c>
      <c r="D3666">
        <v>4.0744020000000001</v>
      </c>
      <c r="E3666">
        <v>0.53161749999999997</v>
      </c>
      <c r="F3666" t="s">
        <v>74</v>
      </c>
      <c r="G3666">
        <v>-395.7749</v>
      </c>
      <c r="H3666" s="1">
        <v>1.536309E-6</v>
      </c>
      <c r="I3666">
        <v>214.38939999999999</v>
      </c>
      <c r="J3666">
        <v>-447.23559999999998</v>
      </c>
      <c r="K3666">
        <v>1.11025</v>
      </c>
      <c r="L3666">
        <v>214.27809999999999</v>
      </c>
      <c r="M3666">
        <v>0.99982309999999996</v>
      </c>
      <c r="N3666">
        <v>-1.0810470000000001E-2</v>
      </c>
      <c r="O3666">
        <v>-1.5396089999999999E-2</v>
      </c>
      <c r="P3666">
        <v>0.99312869999999998</v>
      </c>
      <c r="Q3666">
        <v>-8.210605E-2</v>
      </c>
      <c r="R3666">
        <v>8.339328E-2</v>
      </c>
      <c r="S3666">
        <v>3.0148619999999999</v>
      </c>
      <c r="T3666">
        <v>-6.4674850000000006E-2</v>
      </c>
      <c r="U3666">
        <v>6.2561040000000002E-3</v>
      </c>
      <c r="V3666">
        <v>-9.8517309999999997E-2</v>
      </c>
      <c r="W3666">
        <v>-7.1597389999999997E-2</v>
      </c>
      <c r="X3666">
        <v>0.99255640000000001</v>
      </c>
      <c r="Y3666">
        <v>-1.7464879999999999E-2</v>
      </c>
      <c r="Z3666">
        <v>4.455196E-4</v>
      </c>
      <c r="AA3666">
        <v>0.99984740000000005</v>
      </c>
      <c r="AB3666">
        <v>32</v>
      </c>
      <c r="AC3666">
        <v>51.460699999999903</v>
      </c>
      <c r="AD3666">
        <v>-1.1102484636909999</v>
      </c>
      <c r="AE3666">
        <v>0.111299999999999</v>
      </c>
      <c r="AF3666">
        <v>-0.903206210199755</v>
      </c>
      <c r="AG3666">
        <v>-1.1102484636909999</v>
      </c>
      <c r="AH3666">
        <v>51.428947759216797</v>
      </c>
      <c r="AI3666">
        <v>91.236518953936098</v>
      </c>
      <c r="AJ3666">
        <v>91.006137334749994</v>
      </c>
      <c r="AK3666">
        <v>51.4488590809312</v>
      </c>
      <c r="AL3666">
        <v>94.1057410677696</v>
      </c>
      <c r="AM3666">
        <v>95.668391579142707</v>
      </c>
      <c r="AN3666">
        <v>1.0000000269027001</v>
      </c>
    </row>
    <row r="3667" spans="1:40" x14ac:dyDescent="0.25">
      <c r="A3667" t="str">
        <f>"20190305135006104"</f>
        <v>20190305135006104</v>
      </c>
      <c r="B3667" t="str">
        <f>"1551765006094203"</f>
        <v>1551765006094203</v>
      </c>
      <c r="C3667" t="s">
        <v>40</v>
      </c>
      <c r="D3667">
        <v>4.1111709999999997</v>
      </c>
      <c r="E3667">
        <v>0.53208330000000004</v>
      </c>
      <c r="F3667" t="s">
        <v>74</v>
      </c>
      <c r="G3667">
        <v>-395.31569999999999</v>
      </c>
      <c r="H3667" s="1">
        <v>1.2919479999999999E-6</v>
      </c>
      <c r="I3667">
        <v>214.30670000000001</v>
      </c>
      <c r="J3667">
        <v>-446.91449999999998</v>
      </c>
      <c r="K3667">
        <v>1.110187</v>
      </c>
      <c r="L3667">
        <v>214.2741</v>
      </c>
      <c r="M3667">
        <v>0.99983359999999999</v>
      </c>
      <c r="N3667">
        <v>-1.097715E-2</v>
      </c>
      <c r="O3667">
        <v>-1.457022E-2</v>
      </c>
      <c r="P3667">
        <v>0.99315050000000005</v>
      </c>
      <c r="Q3667">
        <v>-8.2192840000000003E-2</v>
      </c>
      <c r="R3667">
        <v>8.304599E-2</v>
      </c>
      <c r="S3667">
        <v>3.0152890000000001</v>
      </c>
      <c r="T3667">
        <v>-6.4478519999999998E-2</v>
      </c>
      <c r="U3667">
        <v>1.66320799999999E-3</v>
      </c>
      <c r="V3667">
        <v>-9.7364549999999994E-2</v>
      </c>
      <c r="W3667">
        <v>-7.1496699999999996E-2</v>
      </c>
      <c r="X3667">
        <v>0.99267740000000004</v>
      </c>
      <c r="Y3667">
        <v>-1.5116610000000001E-2</v>
      </c>
      <c r="Z3667">
        <v>3.9617729999999999E-4</v>
      </c>
      <c r="AA3667">
        <v>0.99988569999999999</v>
      </c>
      <c r="AB3667">
        <v>32</v>
      </c>
      <c r="AC3667">
        <v>51.598799999999898</v>
      </c>
      <c r="AD3667">
        <v>-1.1101857080519999</v>
      </c>
      <c r="AE3667">
        <v>3.26000000000021E-2</v>
      </c>
      <c r="AF3667">
        <v>-0.78408472657238404</v>
      </c>
      <c r="AG3667">
        <v>-1.1101857080519999</v>
      </c>
      <c r="AH3667">
        <v>51.568974406712201</v>
      </c>
      <c r="AI3667">
        <v>91.233140359509406</v>
      </c>
      <c r="AJ3667">
        <v>90.871091285396503</v>
      </c>
      <c r="AK3667">
        <v>51.586882271803802</v>
      </c>
      <c r="AL3667">
        <v>94.099957132201993</v>
      </c>
      <c r="AM3667">
        <v>95.601811097982704</v>
      </c>
      <c r="AN3667">
        <v>1.00000002708917</v>
      </c>
    </row>
    <row r="3668" spans="1:40" x14ac:dyDescent="0.25">
      <c r="A3668" t="str">
        <f>"20190305135006126"</f>
        <v>20190305135006126</v>
      </c>
      <c r="B3668" t="str">
        <f>"1551765006123480"</f>
        <v>1551765006123480</v>
      </c>
      <c r="C3668" t="s">
        <v>40</v>
      </c>
      <c r="D3668">
        <v>4.1195130000000004</v>
      </c>
      <c r="E3668">
        <v>0.53238560000000001</v>
      </c>
      <c r="F3668" t="s">
        <v>74</v>
      </c>
      <c r="G3668">
        <v>-393.53789999999998</v>
      </c>
      <c r="H3668" s="1">
        <v>3.459006E-7</v>
      </c>
      <c r="I3668">
        <v>214.22389999999999</v>
      </c>
      <c r="J3668">
        <v>-446.60809999999998</v>
      </c>
      <c r="K3668">
        <v>1.1101259999999999</v>
      </c>
      <c r="L3668">
        <v>214.2705</v>
      </c>
      <c r="M3668">
        <v>0.99984240000000002</v>
      </c>
      <c r="N3668">
        <v>-1.11152E-2</v>
      </c>
      <c r="O3668">
        <v>-1.384898E-2</v>
      </c>
      <c r="P3668">
        <v>0.99325649999999999</v>
      </c>
      <c r="Q3668">
        <v>-8.1711980000000003E-2</v>
      </c>
      <c r="R3668">
        <v>8.2248879999999996E-2</v>
      </c>
      <c r="S3668">
        <v>3.0157470000000002</v>
      </c>
      <c r="T3668">
        <v>-6.2724950000000002E-2</v>
      </c>
      <c r="U3668">
        <v>-2.8381349999999999E-3</v>
      </c>
      <c r="V3668">
        <v>-9.5866880000000002E-2</v>
      </c>
      <c r="W3668">
        <v>-7.085764E-2</v>
      </c>
      <c r="X3668">
        <v>0.992869</v>
      </c>
      <c r="Y3668">
        <v>-1.290388E-2</v>
      </c>
      <c r="Z3668">
        <v>3.3998220000000003E-4</v>
      </c>
      <c r="AA3668">
        <v>0.99991669999999999</v>
      </c>
      <c r="AB3668">
        <v>32</v>
      </c>
      <c r="AC3668">
        <v>53.0702</v>
      </c>
      <c r="AD3668">
        <v>-1.1101256540994</v>
      </c>
      <c r="AE3668">
        <v>-4.6600000000012097E-2</v>
      </c>
      <c r="AF3668">
        <v>-0.68811685688882696</v>
      </c>
      <c r="AG3668">
        <v>-1.1101256540994</v>
      </c>
      <c r="AH3668">
        <v>53.042545693523998</v>
      </c>
      <c r="AI3668">
        <v>91.198865555416802</v>
      </c>
      <c r="AJ3668">
        <v>90.743252037642904</v>
      </c>
      <c r="AK3668">
        <v>53.058623591516302</v>
      </c>
      <c r="AL3668">
        <v>94.063248463663598</v>
      </c>
      <c r="AM3668">
        <v>95.515121203976406</v>
      </c>
      <c r="AN3668">
        <v>1.0000000574941501</v>
      </c>
    </row>
    <row r="3669" spans="1:40" x14ac:dyDescent="0.25">
      <c r="A3669" t="str">
        <f>"20190305135006149"</f>
        <v>20190305135006149</v>
      </c>
      <c r="B3669" t="str">
        <f>"1551765006143976"</f>
        <v>1551765006143976</v>
      </c>
      <c r="C3669" t="s">
        <v>40</v>
      </c>
      <c r="D3669">
        <v>4.134728</v>
      </c>
      <c r="E3669">
        <v>0.53251470000000001</v>
      </c>
      <c r="F3669" t="s">
        <v>74</v>
      </c>
      <c r="G3669">
        <v>-393.03570000000002</v>
      </c>
      <c r="H3669" s="1">
        <v>7.867101E-8</v>
      </c>
      <c r="I3669">
        <v>214.13679999999999</v>
      </c>
      <c r="J3669">
        <v>-446.2697</v>
      </c>
      <c r="K3669">
        <v>1.110047</v>
      </c>
      <c r="L3669">
        <v>214.26660000000001</v>
      </c>
      <c r="M3669">
        <v>0.99985049999999998</v>
      </c>
      <c r="N3669">
        <v>-1.1248019999999999E-2</v>
      </c>
      <c r="O3669">
        <v>-1.3131810000000001E-2</v>
      </c>
      <c r="P3669">
        <v>0.99345249999999996</v>
      </c>
      <c r="Q3669">
        <v>-8.1081840000000002E-2</v>
      </c>
      <c r="R3669">
        <v>8.0486420000000003E-2</v>
      </c>
      <c r="S3669">
        <v>3.0158079999999998</v>
      </c>
      <c r="T3669">
        <v>-6.2493559999999997E-2</v>
      </c>
      <c r="U3669">
        <v>-7.5225830000000002E-3</v>
      </c>
      <c r="V3669">
        <v>-9.3410419999999994E-2</v>
      </c>
      <c r="W3669">
        <v>-7.006983E-2</v>
      </c>
      <c r="X3669">
        <v>0.99315889999999996</v>
      </c>
      <c r="Y3669">
        <v>-1.0634330000000001E-2</v>
      </c>
      <c r="Z3669">
        <v>2.9436259999999999E-4</v>
      </c>
      <c r="AA3669">
        <v>0.99994340000000004</v>
      </c>
      <c r="AB3669">
        <v>32</v>
      </c>
      <c r="AC3669">
        <v>53.233999999999902</v>
      </c>
      <c r="AD3669">
        <v>-1.1100469213289901</v>
      </c>
      <c r="AE3669">
        <v>-0.12980000000001701</v>
      </c>
      <c r="AF3669">
        <v>-0.56906676109056897</v>
      </c>
      <c r="AG3669">
        <v>-1.1100469213289901</v>
      </c>
      <c r="AH3669">
        <v>53.207978397302497</v>
      </c>
      <c r="AI3669">
        <v>91.195086622315998</v>
      </c>
      <c r="AJ3669">
        <v>90.612763001884801</v>
      </c>
      <c r="AK3669">
        <v>53.222598642624902</v>
      </c>
      <c r="AL3669">
        <v>94.017998255521704</v>
      </c>
      <c r="AM3669">
        <v>95.373082301667907</v>
      </c>
      <c r="AN3669">
        <v>0.99999994414500604</v>
      </c>
    </row>
    <row r="3670" spans="1:40" x14ac:dyDescent="0.25">
      <c r="A3670" t="str">
        <f>"20190305135006172"</f>
        <v>20190305135006172</v>
      </c>
      <c r="B3670" t="str">
        <f>"1551765006163496"</f>
        <v>1551765006163496</v>
      </c>
      <c r="C3670" t="s">
        <v>40</v>
      </c>
      <c r="D3670">
        <v>4.1217499999999996</v>
      </c>
      <c r="E3670">
        <v>0.532636</v>
      </c>
      <c r="F3670" t="s">
        <v>74</v>
      </c>
      <c r="G3670">
        <v>-392.86279999999999</v>
      </c>
      <c r="H3670" s="1">
        <v>-1.336412E-8</v>
      </c>
      <c r="I3670">
        <v>214.0164</v>
      </c>
      <c r="J3670">
        <v>-445.94900000000001</v>
      </c>
      <c r="K3670">
        <v>1.1099589999999999</v>
      </c>
      <c r="L3670">
        <v>214.26310000000001</v>
      </c>
      <c r="M3670">
        <v>0.99985679999999999</v>
      </c>
      <c r="N3670">
        <v>-1.1355199999999999E-2</v>
      </c>
      <c r="O3670">
        <v>-1.2558669999999999E-2</v>
      </c>
      <c r="P3670">
        <v>0.99362799999999996</v>
      </c>
      <c r="Q3670">
        <v>-8.0630869999999993E-2</v>
      </c>
      <c r="R3670">
        <v>7.8755359999999996E-2</v>
      </c>
      <c r="S3670">
        <v>3.0158390000000002</v>
      </c>
      <c r="T3670">
        <v>-6.2683340000000004E-2</v>
      </c>
      <c r="U3670">
        <v>-1.4129640000000001E-2</v>
      </c>
      <c r="V3670">
        <v>-9.1128429999999996E-2</v>
      </c>
      <c r="W3670">
        <v>-6.9486430000000002E-2</v>
      </c>
      <c r="X3670">
        <v>0.99341190000000001</v>
      </c>
      <c r="Y3670">
        <v>-7.8714289999999992E-3</v>
      </c>
      <c r="Z3670">
        <v>2.4487819999999998E-4</v>
      </c>
      <c r="AA3670">
        <v>0.999969</v>
      </c>
      <c r="AB3670">
        <v>32</v>
      </c>
      <c r="AC3670">
        <v>53.086199999999998</v>
      </c>
      <c r="AD3670">
        <v>-1.10995901336412</v>
      </c>
      <c r="AE3670">
        <v>-0.246700000000004</v>
      </c>
      <c r="AF3670">
        <v>-0.41987086652671701</v>
      </c>
      <c r="AG3670">
        <v>-1.10995901336412</v>
      </c>
      <c r="AH3670">
        <v>53.061914746639701</v>
      </c>
      <c r="AI3670">
        <v>91.198311514419899</v>
      </c>
      <c r="AJ3670">
        <v>90.453363332906903</v>
      </c>
      <c r="AK3670">
        <v>53.075183439490402</v>
      </c>
      <c r="AL3670">
        <v>93.9844900821099</v>
      </c>
      <c r="AM3670">
        <v>95.241232193049498</v>
      </c>
      <c r="AN3670">
        <v>0.99999997888500902</v>
      </c>
    </row>
    <row r="3671" spans="1:40" x14ac:dyDescent="0.25">
      <c r="A3671" t="str">
        <f>"20190305135006194"</f>
        <v>20190305135006194</v>
      </c>
      <c r="B3671" t="str">
        <f>"1551765006183991"</f>
        <v>1551765006183991</v>
      </c>
      <c r="C3671" t="s">
        <v>40</v>
      </c>
      <c r="D3671">
        <v>4.1377949999999997</v>
      </c>
      <c r="E3671">
        <v>0.53276990000000002</v>
      </c>
      <c r="F3671" t="s">
        <v>74</v>
      </c>
      <c r="G3671">
        <v>-392.5102</v>
      </c>
      <c r="H3671" s="1">
        <v>-2.0096949999999999E-7</v>
      </c>
      <c r="I3671">
        <v>213.90190000000001</v>
      </c>
      <c r="J3671">
        <v>-445.62009999999998</v>
      </c>
      <c r="K3671">
        <v>1.1098650000000001</v>
      </c>
      <c r="L3671">
        <v>214.25960000000001</v>
      </c>
      <c r="M3671">
        <v>0.99986160000000002</v>
      </c>
      <c r="N3671">
        <v>-1.145448E-2</v>
      </c>
      <c r="O3671">
        <v>-1.2078999999999999E-2</v>
      </c>
      <c r="P3671">
        <v>0.99375610000000003</v>
      </c>
      <c r="Q3671">
        <v>-8.0576670000000003E-2</v>
      </c>
      <c r="R3671">
        <v>7.7180429999999994E-2</v>
      </c>
      <c r="S3671">
        <v>3.0158390000000002</v>
      </c>
      <c r="T3671">
        <v>-6.2641020000000006E-2</v>
      </c>
      <c r="U3671">
        <v>-2.0385739999999999E-2</v>
      </c>
      <c r="V3671">
        <v>-8.9095770000000005E-2</v>
      </c>
      <c r="W3671">
        <v>-6.930733E-2</v>
      </c>
      <c r="X3671">
        <v>0.99360879999999996</v>
      </c>
      <c r="Y3671">
        <v>-5.3183019999999996E-3</v>
      </c>
      <c r="Z3671">
        <v>1.981846E-4</v>
      </c>
      <c r="AA3671">
        <v>0.99998580000000004</v>
      </c>
      <c r="AB3671">
        <v>32</v>
      </c>
      <c r="AC3671">
        <v>53.109899999999897</v>
      </c>
      <c r="AD3671">
        <v>-1.10986520096949</v>
      </c>
      <c r="AE3671">
        <v>-0.35769999999999402</v>
      </c>
      <c r="AF3671">
        <v>-0.283758651882073</v>
      </c>
      <c r="AG3671">
        <v>-1.10986520096949</v>
      </c>
      <c r="AH3671">
        <v>53.087163416330498</v>
      </c>
      <c r="AI3671">
        <v>91.1976609306558</v>
      </c>
      <c r="AJ3671">
        <v>90.306251403811601</v>
      </c>
      <c r="AK3671">
        <v>53.099522025429003</v>
      </c>
      <c r="AL3671">
        <v>93.974203505142</v>
      </c>
      <c r="AM3671">
        <v>95.123943616159096</v>
      </c>
      <c r="AN3671">
        <v>1.00000000483053</v>
      </c>
    </row>
    <row r="3672" spans="1:40" x14ac:dyDescent="0.25">
      <c r="A3672" t="str">
        <f>"20190305135006215"</f>
        <v>20190305135006215</v>
      </c>
      <c r="B3672" t="str">
        <f>"1551765006204492"</f>
        <v>1551765006204492</v>
      </c>
      <c r="C3672" t="s">
        <v>40</v>
      </c>
      <c r="D3672">
        <v>4.1070260000000003</v>
      </c>
      <c r="E3672">
        <v>0.53289299999999995</v>
      </c>
      <c r="F3672" t="s">
        <v>74</v>
      </c>
      <c r="G3672">
        <v>-392.56810000000002</v>
      </c>
      <c r="H3672" s="1">
        <v>-1.7018600000000001E-7</v>
      </c>
      <c r="I3672">
        <v>213.7955</v>
      </c>
      <c r="J3672">
        <v>-445.327</v>
      </c>
      <c r="K3672">
        <v>1.1097360000000001</v>
      </c>
      <c r="L3672">
        <v>214.25649999999999</v>
      </c>
      <c r="M3672">
        <v>0.99986750000000002</v>
      </c>
      <c r="N3672">
        <v>-1.130398E-2</v>
      </c>
      <c r="O3672">
        <v>-1.171991E-2</v>
      </c>
      <c r="P3672">
        <v>0.99383060000000001</v>
      </c>
      <c r="Q3672">
        <v>-8.0584219999999998E-2</v>
      </c>
      <c r="R3672">
        <v>7.6205030000000007E-2</v>
      </c>
      <c r="S3672">
        <v>3.0157780000000001</v>
      </c>
      <c r="T3672">
        <v>-6.3091040000000001E-2</v>
      </c>
      <c r="U3672">
        <v>-2.6382450000000002E-2</v>
      </c>
      <c r="V3672">
        <v>-8.7777229999999998E-2</v>
      </c>
      <c r="W3672">
        <v>-6.9445119999999999E-2</v>
      </c>
      <c r="X3672">
        <v>0.9937165</v>
      </c>
      <c r="Y3672">
        <v>-2.9714659999999999E-3</v>
      </c>
      <c r="Z3672">
        <v>1.6054129999999999E-4</v>
      </c>
      <c r="AA3672">
        <v>0.99999559999999998</v>
      </c>
      <c r="AB3672">
        <v>32</v>
      </c>
      <c r="AC3672">
        <v>52.758899999999898</v>
      </c>
      <c r="AD3672">
        <v>-1.109736170186</v>
      </c>
      <c r="AE3672">
        <v>-0.46099999999998398</v>
      </c>
      <c r="AF3672">
        <v>-0.157331083511425</v>
      </c>
      <c r="AG3672">
        <v>-1.109736170186</v>
      </c>
      <c r="AH3672">
        <v>52.737348263888201</v>
      </c>
      <c r="AI3672">
        <v>91.205474600294806</v>
      </c>
      <c r="AJ3672">
        <v>90.170929722965298</v>
      </c>
      <c r="AK3672">
        <v>52.749257524100699</v>
      </c>
      <c r="AL3672">
        <v>93.982117479102897</v>
      </c>
      <c r="AM3672">
        <v>95.047964167613898</v>
      </c>
      <c r="AN3672">
        <v>0.99999997458526801</v>
      </c>
    </row>
    <row r="3673" spans="1:40" x14ac:dyDescent="0.25">
      <c r="A3673" t="str">
        <f>"20190305135006239"</f>
        <v>20190305135006239</v>
      </c>
      <c r="B3673" t="str">
        <f>"1551765006233768"</f>
        <v>1551765006233768</v>
      </c>
      <c r="C3673" t="s">
        <v>40</v>
      </c>
      <c r="D3673">
        <v>4.1666860000000003</v>
      </c>
      <c r="E3673">
        <v>0.5330935</v>
      </c>
      <c r="F3673" t="s">
        <v>74</v>
      </c>
      <c r="G3673">
        <v>-393.08839999999998</v>
      </c>
      <c r="H3673" s="1">
        <v>1.0669E-7</v>
      </c>
      <c r="I3673">
        <v>213.73240000000001</v>
      </c>
      <c r="J3673">
        <v>-444.97919999999999</v>
      </c>
      <c r="K3673">
        <v>1.109367</v>
      </c>
      <c r="L3673">
        <v>214.25290000000001</v>
      </c>
      <c r="M3673">
        <v>0.99988390000000005</v>
      </c>
      <c r="N3673">
        <v>-1.017004E-2</v>
      </c>
      <c r="O3673">
        <v>-1.1354360000000001E-2</v>
      </c>
      <c r="P3673">
        <v>0.99399910000000002</v>
      </c>
      <c r="Q3673">
        <v>-7.9582680000000003E-2</v>
      </c>
      <c r="R3673">
        <v>7.5048770000000001E-2</v>
      </c>
      <c r="S3673">
        <v>3.0157470000000002</v>
      </c>
      <c r="T3673">
        <v>-6.4065339999999998E-2</v>
      </c>
      <c r="U3673">
        <v>-3.0258179999999999E-2</v>
      </c>
      <c r="V3673">
        <v>-8.627108E-2</v>
      </c>
      <c r="W3673">
        <v>-6.955327E-2</v>
      </c>
      <c r="X3673">
        <v>0.99384090000000003</v>
      </c>
      <c r="Y3673">
        <v>-1.3209949999999999E-3</v>
      </c>
      <c r="Z3673">
        <v>1.46444E-4</v>
      </c>
      <c r="AA3673">
        <v>0.99999910000000003</v>
      </c>
      <c r="AB3673">
        <v>32</v>
      </c>
      <c r="AC3673">
        <v>51.890799999999999</v>
      </c>
      <c r="AD3673">
        <v>-1.10936689331</v>
      </c>
      <c r="AE3673">
        <v>-0.52049999999999796</v>
      </c>
      <c r="AF3673">
        <v>-6.8719398334611395E-2</v>
      </c>
      <c r="AG3673">
        <v>-1.10936689331</v>
      </c>
      <c r="AH3673">
        <v>51.8696599084615</v>
      </c>
      <c r="AI3673">
        <v>91.225230630535094</v>
      </c>
      <c r="AJ3673">
        <v>90.075908135865404</v>
      </c>
      <c r="AK3673">
        <v>51.881567403839497</v>
      </c>
      <c r="AL3673">
        <v>93.988328753780706</v>
      </c>
      <c r="AM3673">
        <v>94.961165448566007</v>
      </c>
      <c r="AN3673">
        <v>1.0000000455624301</v>
      </c>
    </row>
    <row r="3674" spans="1:40" x14ac:dyDescent="0.25">
      <c r="A3674" t="str">
        <f>"20190305135006263"</f>
        <v>20190305135006263</v>
      </c>
      <c r="B3674" t="str">
        <f>"1551765006254264"</f>
        <v>1551765006254264</v>
      </c>
      <c r="C3674" t="s">
        <v>40</v>
      </c>
      <c r="D3674">
        <v>4.1483860000000004</v>
      </c>
      <c r="E3674">
        <v>0.533188</v>
      </c>
      <c r="F3674" t="s">
        <v>74</v>
      </c>
      <c r="G3674">
        <v>-391.4203</v>
      </c>
      <c r="H3674" s="1">
        <v>-7.8097289999999997E-7</v>
      </c>
      <c r="I3674">
        <v>213.62090000000001</v>
      </c>
      <c r="J3674">
        <v>-444.62830000000002</v>
      </c>
      <c r="K3674">
        <v>1.109002</v>
      </c>
      <c r="L3674">
        <v>214.24930000000001</v>
      </c>
      <c r="M3674">
        <v>0.99990009999999996</v>
      </c>
      <c r="N3674">
        <v>-8.8205100000000002E-3</v>
      </c>
      <c r="O3674">
        <v>-1.103673E-2</v>
      </c>
      <c r="P3674">
        <v>0.99429179999999995</v>
      </c>
      <c r="Q3674">
        <v>-7.724375E-2</v>
      </c>
      <c r="R3674">
        <v>7.3599419999999999E-2</v>
      </c>
      <c r="S3674">
        <v>3.0158079999999998</v>
      </c>
      <c r="T3674">
        <v>-6.2466500000000001E-2</v>
      </c>
      <c r="U3674">
        <v>-3.5583499999999997E-2</v>
      </c>
      <c r="V3674">
        <v>-8.451968E-2</v>
      </c>
      <c r="W3674">
        <v>-6.8539269999999999E-2</v>
      </c>
      <c r="X3674">
        <v>0.9940618</v>
      </c>
      <c r="Y3674">
        <v>7.6161019999999998E-4</v>
      </c>
      <c r="Z3674">
        <v>1.1997310000000001E-4</v>
      </c>
      <c r="AA3674">
        <v>0.99999970000000005</v>
      </c>
      <c r="AB3674">
        <v>33</v>
      </c>
      <c r="AC3674">
        <v>53.207999999999998</v>
      </c>
      <c r="AD3674">
        <v>-1.1090027809728999</v>
      </c>
      <c r="AE3674">
        <v>-0.62839999999999896</v>
      </c>
      <c r="AF3674">
        <v>4.10786524314187E-2</v>
      </c>
      <c r="AG3674">
        <v>-1.1090027809728999</v>
      </c>
      <c r="AH3674">
        <v>53.188591732488199</v>
      </c>
      <c r="AI3674">
        <v>91.194465810642399</v>
      </c>
      <c r="AJ3674">
        <v>89.955749290068098</v>
      </c>
      <c r="AK3674">
        <v>53.200167904896702</v>
      </c>
      <c r="AL3674">
        <v>93.930091890148105</v>
      </c>
      <c r="AM3674">
        <v>94.8598607413915</v>
      </c>
      <c r="AN3674">
        <v>1.0000000350293301</v>
      </c>
    </row>
    <row r="3675" spans="1:40" x14ac:dyDescent="0.25">
      <c r="A3675" t="str">
        <f>"20190305135006284"</f>
        <v>20190305135006284</v>
      </c>
      <c r="B3675" t="str">
        <f>"1551765006273789"</f>
        <v>1551765006273789</v>
      </c>
      <c r="C3675" t="s">
        <v>40</v>
      </c>
      <c r="D3675">
        <v>4.1251170000000004</v>
      </c>
      <c r="E3675">
        <v>0.53336470000000002</v>
      </c>
      <c r="F3675" t="s">
        <v>74</v>
      </c>
      <c r="G3675">
        <v>-385.05560000000003</v>
      </c>
      <c r="H3675" s="1">
        <v>1.2050469999999999E-6</v>
      </c>
      <c r="I3675">
        <v>213.4385</v>
      </c>
      <c r="J3675">
        <v>-444.30149999999998</v>
      </c>
      <c r="K3675">
        <v>1.108717</v>
      </c>
      <c r="L3675">
        <v>214.24590000000001</v>
      </c>
      <c r="M3675">
        <v>0.99991319999999995</v>
      </c>
      <c r="N3675">
        <v>-7.5741300000000001E-3</v>
      </c>
      <c r="O3675">
        <v>-1.078699E-2</v>
      </c>
      <c r="P3675">
        <v>0.99458199999999997</v>
      </c>
      <c r="Q3675">
        <v>-7.4520829999999996E-2</v>
      </c>
      <c r="R3675">
        <v>7.248156E-2</v>
      </c>
      <c r="S3675">
        <v>3.0158999999999998</v>
      </c>
      <c r="T3675">
        <v>-5.6143760000000001E-2</v>
      </c>
      <c r="U3675">
        <v>-4.1046140000000002E-2</v>
      </c>
      <c r="V3675">
        <v>-8.3166260000000006E-2</v>
      </c>
      <c r="W3675">
        <v>-6.7041619999999996E-2</v>
      </c>
      <c r="X3675">
        <v>0.994278</v>
      </c>
      <c r="Y3675">
        <v>2.8215369999999998E-3</v>
      </c>
      <c r="Z3675" s="1">
        <v>8.2131960000000003E-5</v>
      </c>
      <c r="AA3675">
        <v>0.999996</v>
      </c>
      <c r="AB3675">
        <v>33</v>
      </c>
      <c r="AC3675">
        <v>59.245899999999899</v>
      </c>
      <c r="AD3675">
        <v>-1.108715794953</v>
      </c>
      <c r="AE3675">
        <v>-0.80740000000000101</v>
      </c>
      <c r="AF3675">
        <v>0.16819091108707199</v>
      </c>
      <c r="AG3675">
        <v>-1.108715794953</v>
      </c>
      <c r="AH3675">
        <v>59.230423454428099</v>
      </c>
      <c r="AI3675">
        <v>91.072372238854399</v>
      </c>
      <c r="AJ3675">
        <v>89.837303147695195</v>
      </c>
      <c r="AK3675">
        <v>59.2410381533563</v>
      </c>
      <c r="AL3675">
        <v>93.844085246093897</v>
      </c>
      <c r="AM3675">
        <v>94.781368207941696</v>
      </c>
      <c r="AN3675">
        <v>0.99999997344930502</v>
      </c>
    </row>
    <row r="3676" spans="1:40" x14ac:dyDescent="0.25">
      <c r="A3676" t="str">
        <f>"20190305135006507"</f>
        <v>20190305135006507</v>
      </c>
      <c r="B3676" t="str">
        <f>"1551765006504284"</f>
        <v>1551765006504284</v>
      </c>
      <c r="C3676" t="s">
        <v>40</v>
      </c>
      <c r="D3676">
        <v>4.1056910000000002</v>
      </c>
      <c r="E3676">
        <v>0.55480759999999996</v>
      </c>
      <c r="F3676" t="s">
        <v>74</v>
      </c>
      <c r="G3676">
        <v>-375.18239999999997</v>
      </c>
      <c r="H3676" s="1">
        <v>1.221005E-6</v>
      </c>
      <c r="I3676">
        <v>213.1944</v>
      </c>
      <c r="J3676">
        <v>-440.88080000000002</v>
      </c>
      <c r="K3676">
        <v>1.1089279999999999</v>
      </c>
      <c r="L3676">
        <v>214.21129999999999</v>
      </c>
      <c r="M3676">
        <v>0.99993799999999999</v>
      </c>
      <c r="N3676">
        <v>-5.0541329999999997E-3</v>
      </c>
      <c r="O3676">
        <v>-9.9433620000000007E-3</v>
      </c>
      <c r="P3676">
        <v>0.9954326</v>
      </c>
      <c r="Q3676">
        <v>-6.4908869999999994E-2</v>
      </c>
      <c r="R3676">
        <v>7.000758E-2</v>
      </c>
      <c r="S3676">
        <v>3.0160520000000002</v>
      </c>
      <c r="T3676">
        <v>-4.8379419999999999E-2</v>
      </c>
      <c r="U3676">
        <v>-4.5883180000000003E-2</v>
      </c>
      <c r="V3676">
        <v>-7.9887669999999994E-2</v>
      </c>
      <c r="W3676">
        <v>-5.9900340000000003E-2</v>
      </c>
      <c r="X3676">
        <v>0.99500239999999995</v>
      </c>
      <c r="Y3676">
        <v>5.2678509999999996E-3</v>
      </c>
      <c r="Z3676" s="1">
        <v>5.366274E-5</v>
      </c>
      <c r="AA3676">
        <v>0.99998609999999999</v>
      </c>
      <c r="AB3676">
        <v>35</v>
      </c>
      <c r="AC3676">
        <v>65.698400000000007</v>
      </c>
      <c r="AD3676">
        <v>-1.1089267789949999</v>
      </c>
      <c r="AE3676">
        <v>-1.0168999999999899</v>
      </c>
      <c r="AF3676">
        <v>0.36347501567972501</v>
      </c>
      <c r="AG3676">
        <v>-1.1089267789949999</v>
      </c>
      <c r="AH3676">
        <v>65.686553778375497</v>
      </c>
      <c r="AI3676">
        <v>90.967166232136094</v>
      </c>
      <c r="AJ3676">
        <v>89.682958374164599</v>
      </c>
      <c r="AK3676">
        <v>65.696919105598994</v>
      </c>
      <c r="AL3676">
        <v>93.434092610678505</v>
      </c>
      <c r="AM3676">
        <v>94.5903696161879</v>
      </c>
      <c r="AN3676">
        <v>0.99999993327795</v>
      </c>
    </row>
    <row r="3677" spans="1:40" x14ac:dyDescent="0.25">
      <c r="A3677" t="str">
        <f>"20190305135006530"</f>
        <v>20190305135006530</v>
      </c>
      <c r="B3677" t="str">
        <f>"1551765006523804"</f>
        <v>1551765006523804</v>
      </c>
      <c r="C3677" t="s">
        <v>40</v>
      </c>
      <c r="D3677">
        <v>4.1136499999999998</v>
      </c>
      <c r="E3677">
        <v>0.55562909999999999</v>
      </c>
      <c r="F3677" t="s">
        <v>60</v>
      </c>
      <c r="G3677">
        <v>-168.4151</v>
      </c>
      <c r="H3677">
        <v>1.5441450000000001</v>
      </c>
      <c r="I3677">
        <v>194.08690000000001</v>
      </c>
      <c r="J3677">
        <v>-440.5249</v>
      </c>
      <c r="K3677">
        <v>1.109081</v>
      </c>
      <c r="L3677">
        <v>214.208</v>
      </c>
      <c r="M3677">
        <v>0.99993750000000003</v>
      </c>
      <c r="N3677">
        <v>-5.5626089999999996E-3</v>
      </c>
      <c r="O3677">
        <v>-9.7040900000000003E-3</v>
      </c>
      <c r="P3677">
        <v>0.99545119999999998</v>
      </c>
      <c r="Q3677">
        <v>-6.5187839999999997E-2</v>
      </c>
      <c r="R3677">
        <v>6.9480310000000003E-2</v>
      </c>
      <c r="S3677">
        <v>3.029846</v>
      </c>
      <c r="T3677">
        <v>4.8400159999999999E-3</v>
      </c>
      <c r="U3677">
        <v>-0.2237854</v>
      </c>
      <c r="V3677">
        <v>-7.9111970000000004E-2</v>
      </c>
      <c r="W3677">
        <v>-5.9686879999999998E-2</v>
      </c>
      <c r="X3677">
        <v>0.99507730000000005</v>
      </c>
      <c r="Y3677">
        <v>6.3978779999999999E-2</v>
      </c>
      <c r="Z3677">
        <v>-1.9654730000000001E-4</v>
      </c>
      <c r="AA3677">
        <v>0.99795129999999999</v>
      </c>
      <c r="AB3677">
        <v>35</v>
      </c>
      <c r="AC3677">
        <v>272.10980000000001</v>
      </c>
      <c r="AD3677">
        <v>0.43506400000000001</v>
      </c>
      <c r="AE3677">
        <v>-20.121099999999899</v>
      </c>
      <c r="AF3677">
        <v>17.479489422234</v>
      </c>
      <c r="AG3677">
        <v>0.43506400000000001</v>
      </c>
      <c r="AH3677">
        <v>272.29155479166701</v>
      </c>
      <c r="AI3677">
        <v>89.908641650750795</v>
      </c>
      <c r="AJ3677">
        <v>86.326993401196802</v>
      </c>
      <c r="AK3677">
        <v>272.85236418621901</v>
      </c>
      <c r="AL3677">
        <v>93.421839998413404</v>
      </c>
      <c r="AM3677">
        <v>94.545644650021003</v>
      </c>
      <c r="AN3677">
        <v>1.00000003020835</v>
      </c>
    </row>
    <row r="3678" spans="1:40" x14ac:dyDescent="0.25">
      <c r="A3678" t="str">
        <f>"20190305135006552"</f>
        <v>20190305135006552</v>
      </c>
      <c r="B3678" t="str">
        <f>"1551765006544300"</f>
        <v>1551765006544300</v>
      </c>
      <c r="C3678" t="s">
        <v>40</v>
      </c>
      <c r="D3678">
        <v>4.1571999999999996</v>
      </c>
      <c r="E3678">
        <v>0.55407640000000002</v>
      </c>
      <c r="F3678" t="s">
        <v>60</v>
      </c>
      <c r="G3678">
        <v>-168.4153</v>
      </c>
      <c r="H3678">
        <v>1.4638960000000001</v>
      </c>
      <c r="I3678">
        <v>193.34620000000001</v>
      </c>
      <c r="J3678">
        <v>-440.18880000000001</v>
      </c>
      <c r="K3678">
        <v>1.109221</v>
      </c>
      <c r="L3678">
        <v>214.20500000000001</v>
      </c>
      <c r="M3678">
        <v>0.9999382</v>
      </c>
      <c r="N3678">
        <v>-6.0025979999999996E-3</v>
      </c>
      <c r="O3678">
        <v>-9.3568430000000001E-3</v>
      </c>
      <c r="P3678">
        <v>0.99551489999999998</v>
      </c>
      <c r="Q3678">
        <v>-6.5221089999999995E-2</v>
      </c>
      <c r="R3678">
        <v>6.8531289999999995E-2</v>
      </c>
      <c r="S3678">
        <v>3.0301819999999999</v>
      </c>
      <c r="T3678">
        <v>3.9515499999999999E-3</v>
      </c>
      <c r="U3678">
        <v>-0.2323151</v>
      </c>
      <c r="V3678">
        <v>-7.7806500000000001E-2</v>
      </c>
      <c r="W3678">
        <v>-5.9297160000000002E-2</v>
      </c>
      <c r="X3678">
        <v>0.99520350000000002</v>
      </c>
      <c r="Y3678">
        <v>6.7110180000000005E-2</v>
      </c>
      <c r="Z3678">
        <v>-2.2629240000000001E-4</v>
      </c>
      <c r="AA3678">
        <v>0.99774560000000001</v>
      </c>
      <c r="AB3678">
        <v>35</v>
      </c>
      <c r="AC3678">
        <v>271.77350000000001</v>
      </c>
      <c r="AD3678">
        <v>0.35467499999999902</v>
      </c>
      <c r="AE3678">
        <v>-20.858799999999999</v>
      </c>
      <c r="AF3678">
        <v>18.314868034605301</v>
      </c>
      <c r="AG3678">
        <v>0.35467499999999902</v>
      </c>
      <c r="AH3678">
        <v>271.95631792714897</v>
      </c>
      <c r="AI3678">
        <v>89.925445956381594</v>
      </c>
      <c r="AJ3678">
        <v>86.147239581341495</v>
      </c>
      <c r="AK3678">
        <v>272.57255739705897</v>
      </c>
      <c r="AL3678">
        <v>93.399471151511904</v>
      </c>
      <c r="AM3678">
        <v>94.4703764809544</v>
      </c>
      <c r="AN3678">
        <v>1.0000000055192799</v>
      </c>
    </row>
    <row r="3679" spans="1:40" x14ac:dyDescent="0.25">
      <c r="A3679" t="str">
        <f>"20190305135006563"</f>
        <v>20190305135006563</v>
      </c>
      <c r="B3679" t="str">
        <f>"1551765006554063"</f>
        <v>1551765006554063</v>
      </c>
      <c r="C3679" t="s">
        <v>40</v>
      </c>
      <c r="D3679">
        <v>4.151484</v>
      </c>
      <c r="E3679">
        <v>0.55350159999999904</v>
      </c>
      <c r="F3679" t="s">
        <v>60</v>
      </c>
      <c r="G3679">
        <v>-168.41489999999999</v>
      </c>
      <c r="H3679">
        <v>1.0192270000000001</v>
      </c>
      <c r="I3679">
        <v>194.2285</v>
      </c>
      <c r="J3679">
        <v>-439.98349999999999</v>
      </c>
      <c r="K3679">
        <v>1.109297</v>
      </c>
      <c r="L3679">
        <v>214.20339999999999</v>
      </c>
      <c r="M3679">
        <v>0.99993929999999998</v>
      </c>
      <c r="N3679">
        <v>-6.2476399999999996E-3</v>
      </c>
      <c r="O3679">
        <v>-9.0811599999999996E-3</v>
      </c>
      <c r="P3679">
        <v>0.99553659999999999</v>
      </c>
      <c r="Q3679">
        <v>-6.4992389999999997E-2</v>
      </c>
      <c r="R3679">
        <v>6.8431060000000002E-2</v>
      </c>
      <c r="S3679">
        <v>3.0287480000000002</v>
      </c>
      <c r="T3679">
        <v>-1.0025500000000001E-3</v>
      </c>
      <c r="U3679">
        <v>-0.22262570000000001</v>
      </c>
      <c r="V3679">
        <v>-7.7424240000000005E-2</v>
      </c>
      <c r="W3679">
        <v>-5.8834810000000001E-2</v>
      </c>
      <c r="X3679">
        <v>0.99526079999999995</v>
      </c>
      <c r="Y3679">
        <v>6.4246620000000004E-2</v>
      </c>
      <c r="Z3679">
        <v>-2.6524980000000001E-4</v>
      </c>
      <c r="AA3679">
        <v>0.99793399999999999</v>
      </c>
      <c r="AB3679">
        <v>35</v>
      </c>
      <c r="AC3679">
        <v>271.5686</v>
      </c>
      <c r="AD3679">
        <v>-9.0069999999999803E-2</v>
      </c>
      <c r="AE3679">
        <v>-19.974899999999899</v>
      </c>
      <c r="AF3679">
        <v>17.5078684843883</v>
      </c>
      <c r="AG3679">
        <v>-9.0069999999999803E-2</v>
      </c>
      <c r="AH3679">
        <v>271.73877060864203</v>
      </c>
      <c r="AI3679">
        <v>90.018951851231407</v>
      </c>
      <c r="AJ3679">
        <v>86.313583115797798</v>
      </c>
      <c r="AK3679">
        <v>272.30220899465297</v>
      </c>
      <c r="AL3679">
        <v>93.372933952822393</v>
      </c>
      <c r="AM3679">
        <v>94.448247000633899</v>
      </c>
      <c r="AN3679">
        <v>1.00000005391197</v>
      </c>
    </row>
    <row r="3680" spans="1:40" x14ac:dyDescent="0.25">
      <c r="A3680" t="str">
        <f>"20190305135006576"</f>
        <v>20190305135006576</v>
      </c>
      <c r="B3680" t="str">
        <f>"1551765006573581"</f>
        <v>1551765006573581</v>
      </c>
      <c r="C3680" t="s">
        <v>40</v>
      </c>
      <c r="D3680">
        <v>3.9924010000000001</v>
      </c>
      <c r="E3680">
        <v>0.55269259999999998</v>
      </c>
      <c r="F3680" t="s">
        <v>60</v>
      </c>
      <c r="G3680">
        <v>-168.41470000000001</v>
      </c>
      <c r="H3680">
        <v>0.87209609999999904</v>
      </c>
      <c r="I3680">
        <v>194.59719999999999</v>
      </c>
      <c r="J3680">
        <v>-439.78719999999998</v>
      </c>
      <c r="K3680">
        <v>1.1093679999999999</v>
      </c>
      <c r="L3680">
        <v>214.20179999999999</v>
      </c>
      <c r="M3680">
        <v>0.99994050000000001</v>
      </c>
      <c r="N3680">
        <v>-6.4686810000000004E-3</v>
      </c>
      <c r="O3680">
        <v>-8.7861329999999998E-3</v>
      </c>
      <c r="P3680">
        <v>0.99558060000000004</v>
      </c>
      <c r="Q3680">
        <v>-6.4530229999999994E-2</v>
      </c>
      <c r="R3680">
        <v>6.823108E-2</v>
      </c>
      <c r="S3680">
        <v>3.0282589999999998</v>
      </c>
      <c r="T3680">
        <v>-2.6446579999999998E-3</v>
      </c>
      <c r="U3680">
        <v>-0.21862789999999999</v>
      </c>
      <c r="V3680">
        <v>-7.6924199999999998E-2</v>
      </c>
      <c r="W3680">
        <v>-5.816172E-2</v>
      </c>
      <c r="X3680">
        <v>0.99533910000000003</v>
      </c>
      <c r="Y3680">
        <v>6.3242140000000002E-2</v>
      </c>
      <c r="Z3680">
        <v>-2.8149860000000002E-4</v>
      </c>
      <c r="AA3680">
        <v>0.99799819999999995</v>
      </c>
      <c r="AB3680">
        <v>35</v>
      </c>
      <c r="AC3680">
        <v>271.37249999999898</v>
      </c>
      <c r="AD3680">
        <v>-0.23727190000000001</v>
      </c>
      <c r="AE3680">
        <v>-19.604600000000001</v>
      </c>
      <c r="AF3680">
        <v>17.219465446997098</v>
      </c>
      <c r="AG3680">
        <v>-0.23727190000000001</v>
      </c>
      <c r="AH3680">
        <v>271.53407062714803</v>
      </c>
      <c r="AI3680">
        <v>90.049965816466795</v>
      </c>
      <c r="AJ3680">
        <v>86.371419149922701</v>
      </c>
      <c r="AK3680">
        <v>272.07961665583002</v>
      </c>
      <c r="AL3680">
        <v>93.334302691624998</v>
      </c>
      <c r="AM3680">
        <v>94.419286144983104</v>
      </c>
      <c r="AN3680">
        <v>1.0000000211039</v>
      </c>
    </row>
    <row r="3681" spans="1:40" x14ac:dyDescent="0.25">
      <c r="A3681" t="str">
        <f>"20190305135006596"</f>
        <v>20190305135006596</v>
      </c>
      <c r="B3681" t="str">
        <f>"1551765006584320"</f>
        <v>1551765006584320</v>
      </c>
      <c r="C3681" t="s">
        <v>40</v>
      </c>
      <c r="D3681">
        <v>4.1436719999999996</v>
      </c>
      <c r="E3681">
        <v>0.55251640000000002</v>
      </c>
      <c r="F3681" t="s">
        <v>60</v>
      </c>
      <c r="G3681">
        <v>-168.4144</v>
      </c>
      <c r="H3681">
        <v>0.56829259999999904</v>
      </c>
      <c r="I3681">
        <v>195.1354</v>
      </c>
      <c r="J3681">
        <v>-439.49189999999999</v>
      </c>
      <c r="K3681">
        <v>1.1094630000000001</v>
      </c>
      <c r="L3681">
        <v>214.19970000000001</v>
      </c>
      <c r="M3681">
        <v>0.99994280000000002</v>
      </c>
      <c r="N3681">
        <v>-6.7752699999999999E-3</v>
      </c>
      <c r="O3681">
        <v>-8.2779180000000004E-3</v>
      </c>
      <c r="P3681">
        <v>0.99547739999999996</v>
      </c>
      <c r="Q3681">
        <v>-6.4784140000000004E-2</v>
      </c>
      <c r="R3681">
        <v>6.9482680000000005E-2</v>
      </c>
      <c r="S3681">
        <v>3.027466</v>
      </c>
      <c r="T3681">
        <v>-6.0359239999999998E-3</v>
      </c>
      <c r="U3681">
        <v>-0.21270749999999999</v>
      </c>
      <c r="V3681">
        <v>-7.7658099999999994E-2</v>
      </c>
      <c r="W3681">
        <v>-5.8126169999999998E-2</v>
      </c>
      <c r="X3681">
        <v>0.9952841</v>
      </c>
      <c r="Y3681">
        <v>6.1825890000000001E-2</v>
      </c>
      <c r="Z3681">
        <v>-3.1079980000000001E-4</v>
      </c>
      <c r="AA3681">
        <v>0.9980869</v>
      </c>
      <c r="AB3681">
        <v>35</v>
      </c>
      <c r="AC3681">
        <v>271.07749999999999</v>
      </c>
      <c r="AD3681">
        <v>-0.54117039999999905</v>
      </c>
      <c r="AE3681">
        <v>-19.064299999999999</v>
      </c>
      <c r="AF3681">
        <v>16.819571287557601</v>
      </c>
      <c r="AG3681">
        <v>-0.54117039999999905</v>
      </c>
      <c r="AH3681">
        <v>271.22495245667102</v>
      </c>
      <c r="AI3681">
        <v>90.114101926888296</v>
      </c>
      <c r="AJ3681">
        <v>86.451440249583698</v>
      </c>
      <c r="AK3681">
        <v>271.74650996622302</v>
      </c>
      <c r="AL3681">
        <v>93.332262659081806</v>
      </c>
      <c r="AM3681">
        <v>94.461524740844396</v>
      </c>
      <c r="AN3681">
        <v>0.999999935923642</v>
      </c>
    </row>
    <row r="3682" spans="1:40" x14ac:dyDescent="0.25">
      <c r="A3682" t="str">
        <f>"20190305135006609"</f>
        <v>20190305135006609</v>
      </c>
      <c r="B3682" t="str">
        <f>"1551765006603836"</f>
        <v>1551765006603836</v>
      </c>
      <c r="C3682" t="s">
        <v>40</v>
      </c>
      <c r="D3682">
        <v>4.1253349999999998</v>
      </c>
      <c r="E3682">
        <v>0.5525004</v>
      </c>
      <c r="F3682" t="s">
        <v>60</v>
      </c>
      <c r="G3682">
        <v>-168.4143</v>
      </c>
      <c r="H3682">
        <v>0.54930019999999902</v>
      </c>
      <c r="I3682">
        <v>195.64439999999999</v>
      </c>
      <c r="J3682">
        <v>-439.27699999999999</v>
      </c>
      <c r="K3682">
        <v>1.1095250000000001</v>
      </c>
      <c r="L3682">
        <v>214.19820000000001</v>
      </c>
      <c r="M3682">
        <v>0.99994479999999997</v>
      </c>
      <c r="N3682">
        <v>-6.9810280000000002E-3</v>
      </c>
      <c r="O3682">
        <v>-7.8631540000000007E-3</v>
      </c>
      <c r="P3682">
        <v>0.99540260000000003</v>
      </c>
      <c r="Q3682">
        <v>-6.4784620000000001E-2</v>
      </c>
      <c r="R3682">
        <v>7.0545679999999999E-2</v>
      </c>
      <c r="S3682">
        <v>3.027679</v>
      </c>
      <c r="T3682">
        <v>-6.2561040000000002E-3</v>
      </c>
      <c r="U3682">
        <v>-0.20724490000000001</v>
      </c>
      <c r="V3682">
        <v>-7.8300140000000004E-2</v>
      </c>
      <c r="W3682">
        <v>-5.7933480000000002E-2</v>
      </c>
      <c r="X3682">
        <v>0.99524509999999999</v>
      </c>
      <c r="Y3682">
        <v>6.0442700000000002E-2</v>
      </c>
      <c r="Z3682">
        <v>-3.1220590000000001E-4</v>
      </c>
      <c r="AA3682">
        <v>0.99817160000000005</v>
      </c>
      <c r="AB3682">
        <v>35</v>
      </c>
      <c r="AC3682">
        <v>270.86270000000002</v>
      </c>
      <c r="AD3682">
        <v>-0.56022479999999997</v>
      </c>
      <c r="AE3682">
        <v>-18.553799999999999</v>
      </c>
      <c r="AF3682">
        <v>16.423269606263901</v>
      </c>
      <c r="AG3682">
        <v>-0.56022479999999997</v>
      </c>
      <c r="AH3682">
        <v>270.99906690157798</v>
      </c>
      <c r="AI3682">
        <v>90.118228042297901</v>
      </c>
      <c r="AJ3682">
        <v>86.531963753157797</v>
      </c>
      <c r="AK3682">
        <v>271.49683588931998</v>
      </c>
      <c r="AL3682">
        <v>93.321203470408705</v>
      </c>
      <c r="AM3682">
        <v>94.498435272787702</v>
      </c>
      <c r="AN3682">
        <v>1.0000000045514601</v>
      </c>
    </row>
    <row r="3683" spans="1:40" x14ac:dyDescent="0.25">
      <c r="A3683" t="str">
        <f>"20190305135006630"</f>
        <v>20190305135006630</v>
      </c>
      <c r="B3683" t="str">
        <f>"1551765006624335"</f>
        <v>1551765006624335</v>
      </c>
      <c r="C3683" t="s">
        <v>40</v>
      </c>
      <c r="D3683">
        <v>4.0892749999999998</v>
      </c>
      <c r="E3683">
        <v>0.55257060000000002</v>
      </c>
      <c r="F3683" t="s">
        <v>60</v>
      </c>
      <c r="G3683">
        <v>-168.41419999999999</v>
      </c>
      <c r="H3683">
        <v>0.70261289999999998</v>
      </c>
      <c r="I3683">
        <v>195.96270000000001</v>
      </c>
      <c r="J3683">
        <v>-438.96210000000002</v>
      </c>
      <c r="K3683">
        <v>1.109605</v>
      </c>
      <c r="L3683">
        <v>214.19640000000001</v>
      </c>
      <c r="M3683">
        <v>0.99994810000000001</v>
      </c>
      <c r="N3683">
        <v>-7.2486119999999998E-3</v>
      </c>
      <c r="O3683">
        <v>-7.1669580000000002E-3</v>
      </c>
      <c r="P3683">
        <v>0.99526870000000001</v>
      </c>
      <c r="Q3683">
        <v>-6.4843419999999999E-2</v>
      </c>
      <c r="R3683">
        <v>7.2357879999999999E-2</v>
      </c>
      <c r="S3683">
        <v>3.0280149999999999</v>
      </c>
      <c r="T3683">
        <v>-4.5485500000000002E-3</v>
      </c>
      <c r="U3683">
        <v>-0.20385739999999999</v>
      </c>
      <c r="V3683">
        <v>-7.9408129999999993E-2</v>
      </c>
      <c r="W3683">
        <v>-5.7743139999999998E-2</v>
      </c>
      <c r="X3683">
        <v>0.99516839999999995</v>
      </c>
      <c r="Y3683">
        <v>6.0018769999999999E-2</v>
      </c>
      <c r="Z3683">
        <v>-3.039467E-4</v>
      </c>
      <c r="AA3683">
        <v>0.99819720000000001</v>
      </c>
      <c r="AB3683">
        <v>35</v>
      </c>
      <c r="AC3683">
        <v>270.54790000000003</v>
      </c>
      <c r="AD3683">
        <v>-0.40699210000000002</v>
      </c>
      <c r="AE3683">
        <v>-18.233699999999999</v>
      </c>
      <c r="AF3683">
        <v>16.2941387017128</v>
      </c>
      <c r="AG3683">
        <v>-0.40699210000000002</v>
      </c>
      <c r="AH3683">
        <v>270.67102499168499</v>
      </c>
      <c r="AI3683">
        <v>90.0859965473161</v>
      </c>
      <c r="AJ3683">
        <v>86.555005929342897</v>
      </c>
      <c r="AK3683">
        <v>271.16133273136398</v>
      </c>
      <c r="AL3683">
        <v>93.310279410897905</v>
      </c>
      <c r="AM3683">
        <v>94.562173898437806</v>
      </c>
      <c r="AN3683">
        <v>1.00000003284285</v>
      </c>
    </row>
    <row r="3684" spans="1:40" x14ac:dyDescent="0.25">
      <c r="A3684" t="str">
        <f>"20190305135006655"</f>
        <v>20190305135006655</v>
      </c>
      <c r="B3684" t="str">
        <f>"1551765006644364"</f>
        <v>1551765006644364</v>
      </c>
      <c r="C3684" t="s">
        <v>40</v>
      </c>
      <c r="D3684">
        <v>4.0884830000000001</v>
      </c>
      <c r="E3684">
        <v>0.5524694</v>
      </c>
      <c r="F3684" t="s">
        <v>60</v>
      </c>
      <c r="G3684">
        <v>-168.41409999999999</v>
      </c>
      <c r="H3684">
        <v>0.99443340000000002</v>
      </c>
      <c r="I3684">
        <v>196.4383</v>
      </c>
      <c r="J3684">
        <v>-438.57830000000001</v>
      </c>
      <c r="K3684">
        <v>1.109691</v>
      </c>
      <c r="L3684">
        <v>214.19460000000001</v>
      </c>
      <c r="M3684">
        <v>0.99995250000000002</v>
      </c>
      <c r="N3684">
        <v>-7.5266880000000001E-3</v>
      </c>
      <c r="O3684">
        <v>-6.1997299999999997E-3</v>
      </c>
      <c r="P3684">
        <v>0.99508700000000005</v>
      </c>
      <c r="Q3684">
        <v>-6.5177170000000006E-2</v>
      </c>
      <c r="R3684">
        <v>7.4524370000000006E-2</v>
      </c>
      <c r="S3684">
        <v>3.0286249999999999</v>
      </c>
      <c r="T3684">
        <v>-1.2888909999999999E-3</v>
      </c>
      <c r="U3684">
        <v>-0.19879150000000001</v>
      </c>
      <c r="V3684">
        <v>-8.0598320000000001E-2</v>
      </c>
      <c r="W3684">
        <v>-5.7821070000000002E-2</v>
      </c>
      <c r="X3684">
        <v>0.99506810000000001</v>
      </c>
      <c r="Y3684">
        <v>5.930879E-2</v>
      </c>
      <c r="Z3684">
        <v>-2.8003030000000001E-4</v>
      </c>
      <c r="AA3684">
        <v>0.9982396</v>
      </c>
      <c r="AB3684">
        <v>35</v>
      </c>
      <c r="AC3684">
        <v>270.16419999999999</v>
      </c>
      <c r="AD3684">
        <v>-0.115257599999999</v>
      </c>
      <c r="AE3684">
        <v>-17.7563</v>
      </c>
      <c r="AF3684">
        <v>16.080963350789599</v>
      </c>
      <c r="AG3684">
        <v>-0.115257599999999</v>
      </c>
      <c r="AH3684">
        <v>270.26904595313698</v>
      </c>
      <c r="AI3684">
        <v>90.024390936524995</v>
      </c>
      <c r="AJ3684">
        <v>86.594925097303005</v>
      </c>
      <c r="AK3684">
        <v>270.74705514007502</v>
      </c>
      <c r="AL3684">
        <v>93.314752236702006</v>
      </c>
      <c r="AM3684">
        <v>94.630722507723206</v>
      </c>
      <c r="AN3684">
        <v>0.99999994448018703</v>
      </c>
    </row>
    <row r="3685" spans="1:40" x14ac:dyDescent="0.25">
      <c r="A3685" t="str">
        <f>"20190305135006676"</f>
        <v>20190305135006676</v>
      </c>
      <c r="B3685" t="str">
        <f>"1551765006673644"</f>
        <v>1551765006673644</v>
      </c>
      <c r="C3685" t="s">
        <v>40</v>
      </c>
      <c r="D3685">
        <v>4.0881350000000003</v>
      </c>
      <c r="E3685">
        <v>0.5522203</v>
      </c>
      <c r="F3685" t="s">
        <v>60</v>
      </c>
      <c r="G3685">
        <v>-168.41390000000001</v>
      </c>
      <c r="H3685">
        <v>0.83452800000000005</v>
      </c>
      <c r="I3685">
        <v>197.0898</v>
      </c>
      <c r="J3685">
        <v>-438.22629999999998</v>
      </c>
      <c r="K3685">
        <v>1.109766</v>
      </c>
      <c r="L3685">
        <v>214.19329999999999</v>
      </c>
      <c r="M3685">
        <v>0.99995630000000002</v>
      </c>
      <c r="N3685">
        <v>-7.745923E-3</v>
      </c>
      <c r="O3685">
        <v>-5.23136E-3</v>
      </c>
      <c r="P3685">
        <v>0.9949443</v>
      </c>
      <c r="Q3685">
        <v>-6.5068500000000001E-2</v>
      </c>
      <c r="R3685">
        <v>7.6498170000000004E-2</v>
      </c>
      <c r="S3685">
        <v>3.0289920000000001</v>
      </c>
      <c r="T3685">
        <v>-3.0846599999999999E-3</v>
      </c>
      <c r="U3685">
        <v>-0.19177250000000001</v>
      </c>
      <c r="V3685">
        <v>-8.1597569999999994E-2</v>
      </c>
      <c r="W3685">
        <v>-5.7512239999999999E-2</v>
      </c>
      <c r="X3685">
        <v>0.99500460000000002</v>
      </c>
      <c r="Y3685">
        <v>5.7963729999999998E-2</v>
      </c>
      <c r="Z3685">
        <v>-2.8936640000000002E-4</v>
      </c>
      <c r="AA3685">
        <v>0.9983187</v>
      </c>
      <c r="AB3685">
        <v>35</v>
      </c>
      <c r="AC3685">
        <v>269.81240000000003</v>
      </c>
      <c r="AD3685">
        <v>-0.27523799999999998</v>
      </c>
      <c r="AE3685">
        <v>-17.103499999999901</v>
      </c>
      <c r="AF3685">
        <v>15.691721518522501</v>
      </c>
      <c r="AG3685">
        <v>-0.27523799999999998</v>
      </c>
      <c r="AH3685">
        <v>269.89790527182203</v>
      </c>
      <c r="AI3685">
        <v>90.058330889469104</v>
      </c>
      <c r="AJ3685">
        <v>86.672599388859098</v>
      </c>
      <c r="AK3685">
        <v>270.35381475076099</v>
      </c>
      <c r="AL3685">
        <v>93.297027942862201</v>
      </c>
      <c r="AM3685">
        <v>94.688177267107804</v>
      </c>
      <c r="AN3685">
        <v>0.99999998760044095</v>
      </c>
    </row>
    <row r="3686" spans="1:40" x14ac:dyDescent="0.25">
      <c r="A3686" t="str">
        <f>"20190305135006697"</f>
        <v>20190305135006697</v>
      </c>
      <c r="B3686" t="str">
        <f>"1551765006694140"</f>
        <v>1551765006694140</v>
      </c>
      <c r="C3686" t="s">
        <v>40</v>
      </c>
      <c r="D3686">
        <v>4.0739380000000001</v>
      </c>
      <c r="E3686">
        <v>0.55212890000000003</v>
      </c>
      <c r="F3686" t="s">
        <v>60</v>
      </c>
      <c r="G3686">
        <v>-168.4136</v>
      </c>
      <c r="H3686">
        <v>0.64694600000000002</v>
      </c>
      <c r="I3686">
        <v>197.82570000000001</v>
      </c>
      <c r="J3686">
        <v>-437.90800000000002</v>
      </c>
      <c r="K3686">
        <v>1.109831</v>
      </c>
      <c r="L3686">
        <v>214.19239999999999</v>
      </c>
      <c r="M3686">
        <v>0.9999595</v>
      </c>
      <c r="N3686">
        <v>-7.91911E-3</v>
      </c>
      <c r="O3686">
        <v>-4.3069709999999997E-3</v>
      </c>
      <c r="P3686">
        <v>0.99492579999999997</v>
      </c>
      <c r="Q3686">
        <v>-6.3090720000000003E-2</v>
      </c>
      <c r="R3686">
        <v>7.8373529999999997E-2</v>
      </c>
      <c r="S3686">
        <v>3.0289920000000001</v>
      </c>
      <c r="T3686">
        <v>-5.195379E-3</v>
      </c>
      <c r="U3686">
        <v>-0.1837463</v>
      </c>
      <c r="V3686">
        <v>-8.2548849999999993E-2</v>
      </c>
      <c r="W3686">
        <v>-5.5375979999999998E-2</v>
      </c>
      <c r="X3686">
        <v>0.99504729999999997</v>
      </c>
      <c r="Y3686">
        <v>5.6251089999999997E-2</v>
      </c>
      <c r="Z3686">
        <v>-2.9783279999999999E-4</v>
      </c>
      <c r="AA3686">
        <v>0.99841659999999999</v>
      </c>
      <c r="AB3686">
        <v>35</v>
      </c>
      <c r="AC3686">
        <v>269.49439999999998</v>
      </c>
      <c r="AD3686">
        <v>-0.46288499999999999</v>
      </c>
      <c r="AE3686">
        <v>-16.366699999999899</v>
      </c>
      <c r="AF3686">
        <v>15.205762684765199</v>
      </c>
      <c r="AG3686">
        <v>-0.46288499999999999</v>
      </c>
      <c r="AH3686">
        <v>269.56160104560001</v>
      </c>
      <c r="AI3686">
        <v>90.098230741283999</v>
      </c>
      <c r="AJ3686">
        <v>86.771410682411002</v>
      </c>
      <c r="AK3686">
        <v>269.99052990728399</v>
      </c>
      <c r="AL3686">
        <v>93.174433845661397</v>
      </c>
      <c r="AM3686">
        <v>94.742382461364201</v>
      </c>
      <c r="AN3686">
        <v>0.99999997051728595</v>
      </c>
    </row>
    <row r="3687" spans="1:40" x14ac:dyDescent="0.25">
      <c r="A3687" t="str">
        <f>"20190305135006718"</f>
        <v>20190305135006718</v>
      </c>
      <c r="B3687" t="str">
        <f>"1551765006713660"</f>
        <v>1551765006713660</v>
      </c>
      <c r="C3687" t="s">
        <v>40</v>
      </c>
      <c r="D3687">
        <v>3.993061</v>
      </c>
      <c r="E3687">
        <v>0.55206440000000001</v>
      </c>
      <c r="F3687" t="s">
        <v>60</v>
      </c>
      <c r="G3687">
        <v>-168.4135</v>
      </c>
      <c r="H3687">
        <v>1.1030009999999999</v>
      </c>
      <c r="I3687">
        <v>198.42259999999999</v>
      </c>
      <c r="J3687">
        <v>-437.56740000000002</v>
      </c>
      <c r="K3687">
        <v>1.1098939999999999</v>
      </c>
      <c r="L3687">
        <v>214.1919</v>
      </c>
      <c r="M3687">
        <v>0.99996209999999996</v>
      </c>
      <c r="N3687">
        <v>-8.0810410000000006E-3</v>
      </c>
      <c r="O3687">
        <v>-3.2800899999999998E-3</v>
      </c>
      <c r="P3687">
        <v>0.99497690000000005</v>
      </c>
      <c r="Q3687">
        <v>-5.963011E-2</v>
      </c>
      <c r="R3687">
        <v>8.040986E-2</v>
      </c>
      <c r="S3687">
        <v>3.0292659999999998</v>
      </c>
      <c r="T3687" s="1">
        <v>-7.6413149999999999E-5</v>
      </c>
      <c r="U3687">
        <v>-0.17726140000000001</v>
      </c>
      <c r="V3687">
        <v>-8.3564239999999998E-2</v>
      </c>
      <c r="W3687">
        <v>-5.1766199999999901E-2</v>
      </c>
      <c r="X3687">
        <v>0.99515690000000001</v>
      </c>
      <c r="Y3687">
        <v>5.5141530000000001E-2</v>
      </c>
      <c r="Z3687">
        <v>-2.500917E-4</v>
      </c>
      <c r="AA3687">
        <v>0.99847850000000005</v>
      </c>
      <c r="AB3687">
        <v>35</v>
      </c>
      <c r="AC3687">
        <v>269.15390000000002</v>
      </c>
      <c r="AD3687">
        <v>-6.8930000000000302E-3</v>
      </c>
      <c r="AE3687">
        <v>-15.769299999999999</v>
      </c>
      <c r="AF3687">
        <v>14.8863374263371</v>
      </c>
      <c r="AG3687">
        <v>-6.8930000000000302E-3</v>
      </c>
      <c r="AH3687">
        <v>269.20417821925099</v>
      </c>
      <c r="AI3687">
        <v>90.001464826304897</v>
      </c>
      <c r="AJ3687">
        <v>86.834905978452994</v>
      </c>
      <c r="AK3687">
        <v>269.61545330374997</v>
      </c>
      <c r="AL3687">
        <v>92.967311092861394</v>
      </c>
      <c r="AM3687">
        <v>94.799918833650693</v>
      </c>
      <c r="AN3687">
        <v>0.999999988643413</v>
      </c>
    </row>
    <row r="3688" spans="1:40" x14ac:dyDescent="0.25">
      <c r="A3688" t="str">
        <f>"20190305135006732"</f>
        <v>20190305135006732</v>
      </c>
      <c r="B3688" t="str">
        <f>"1551765006724396"</f>
        <v>1551765006724396</v>
      </c>
      <c r="C3688" t="s">
        <v>40</v>
      </c>
      <c r="D3688">
        <v>4.10928</v>
      </c>
      <c r="E3688">
        <v>0.55201319999999998</v>
      </c>
      <c r="F3688" t="s">
        <v>54</v>
      </c>
      <c r="G3688">
        <v>-285.5899</v>
      </c>
      <c r="H3688">
        <v>1.610905</v>
      </c>
      <c r="I3688">
        <v>205.65309999999999</v>
      </c>
      <c r="J3688">
        <v>-437.35329999999999</v>
      </c>
      <c r="K3688">
        <v>1.109926</v>
      </c>
      <c r="L3688">
        <v>214.1917</v>
      </c>
      <c r="M3688">
        <v>0.99996320000000005</v>
      </c>
      <c r="N3688">
        <v>-8.1733819999999999E-3</v>
      </c>
      <c r="O3688">
        <v>-2.6218980000000001E-3</v>
      </c>
      <c r="P3688">
        <v>0.9949498</v>
      </c>
      <c r="Q3688">
        <v>-5.8688079999999997E-2</v>
      </c>
      <c r="R3688">
        <v>8.1430939999999993E-2</v>
      </c>
      <c r="S3688">
        <v>3.0295100000000001</v>
      </c>
      <c r="T3688">
        <v>9.9871160000000007E-3</v>
      </c>
      <c r="U3688">
        <v>-0.1702118</v>
      </c>
      <c r="V3688">
        <v>-8.3929329999999996E-2</v>
      </c>
      <c r="W3688">
        <v>-5.073859E-2</v>
      </c>
      <c r="X3688">
        <v>0.99517909999999998</v>
      </c>
      <c r="Y3688">
        <v>5.3478669999999999E-2</v>
      </c>
      <c r="Z3688">
        <v>-1.6069620000000001E-4</v>
      </c>
      <c r="AA3688">
        <v>0.99856900000000004</v>
      </c>
      <c r="AB3688">
        <v>35</v>
      </c>
      <c r="AC3688">
        <v>151.76339999999999</v>
      </c>
      <c r="AD3688">
        <v>0.50097899999999995</v>
      </c>
      <c r="AE3688">
        <v>-8.5386000000000006</v>
      </c>
      <c r="AF3688">
        <v>8.1405607912970499</v>
      </c>
      <c r="AG3688">
        <v>0.50097899999999995</v>
      </c>
      <c r="AH3688">
        <v>151.78361765284501</v>
      </c>
      <c r="AI3688">
        <v>89.811160882482397</v>
      </c>
      <c r="AJ3688">
        <v>86.930015633204206</v>
      </c>
      <c r="AK3688">
        <v>152.00258648371801</v>
      </c>
      <c r="AL3688">
        <v>92.908355889596706</v>
      </c>
      <c r="AM3688">
        <v>94.820683902644504</v>
      </c>
      <c r="AN3688">
        <v>0.99999998901312304</v>
      </c>
    </row>
    <row r="3689" spans="1:40" x14ac:dyDescent="0.25">
      <c r="A3689" t="str">
        <f>"20190305135006753"</f>
        <v>20190305135006753</v>
      </c>
      <c r="B3689" t="str">
        <f>"1551765006743450"</f>
        <v>1551765006743450</v>
      </c>
      <c r="C3689" t="s">
        <v>40</v>
      </c>
      <c r="D3689">
        <v>4.0889139999999999</v>
      </c>
      <c r="E3689">
        <v>0.55211219999999905</v>
      </c>
      <c r="F3689" t="s">
        <v>60</v>
      </c>
      <c r="G3689">
        <v>-168.4135</v>
      </c>
      <c r="H3689">
        <v>2.09057</v>
      </c>
      <c r="I3689">
        <v>199.37119999999999</v>
      </c>
      <c r="J3689">
        <v>-437.0172</v>
      </c>
      <c r="K3689">
        <v>1.109969</v>
      </c>
      <c r="L3689">
        <v>214.1918</v>
      </c>
      <c r="M3689">
        <v>0.99996450000000003</v>
      </c>
      <c r="N3689">
        <v>-8.3004350000000001E-3</v>
      </c>
      <c r="O3689">
        <v>-1.5718170000000001E-3</v>
      </c>
      <c r="P3689">
        <v>0.99488880000000002</v>
      </c>
      <c r="Q3689">
        <v>-5.6997529999999998E-2</v>
      </c>
      <c r="R3689">
        <v>8.3354380000000006E-2</v>
      </c>
      <c r="S3689">
        <v>3.02948</v>
      </c>
      <c r="T3689">
        <v>1.104689E-2</v>
      </c>
      <c r="U3689">
        <v>-0.16694639999999999</v>
      </c>
      <c r="V3689">
        <v>-8.4807729999999998E-2</v>
      </c>
      <c r="W3689">
        <v>-4.8930300000000003E-2</v>
      </c>
      <c r="X3689">
        <v>0.99519519999999995</v>
      </c>
      <c r="Y3689">
        <v>5.3454809999999998E-2</v>
      </c>
      <c r="Z3689">
        <v>-1.4339809999999999E-4</v>
      </c>
      <c r="AA3689">
        <v>0.99857030000000002</v>
      </c>
      <c r="AB3689">
        <v>35</v>
      </c>
      <c r="AC3689">
        <v>268.6037</v>
      </c>
      <c r="AD3689">
        <v>0.98060099999999994</v>
      </c>
      <c r="AE3689">
        <v>-14.820600000000001</v>
      </c>
      <c r="AF3689">
        <v>14.3981800473726</v>
      </c>
      <c r="AG3689">
        <v>0.98060099999999994</v>
      </c>
      <c r="AH3689">
        <v>268.623094932399</v>
      </c>
      <c r="AI3689">
        <v>89.791144107436907</v>
      </c>
      <c r="AJ3689">
        <v>86.931885958219794</v>
      </c>
      <c r="AK3689">
        <v>269.010476186446</v>
      </c>
      <c r="AL3689">
        <v>92.804619549023499</v>
      </c>
      <c r="AM3689">
        <v>94.870817016550305</v>
      </c>
      <c r="AN3689">
        <v>1.00000000571444</v>
      </c>
    </row>
    <row r="3690" spans="1:40" x14ac:dyDescent="0.25">
      <c r="A3690" t="str">
        <f>"20190305135006765"</f>
        <v>20190305135006765</v>
      </c>
      <c r="B3690" t="str">
        <f>"1551765006754183"</f>
        <v>1551765006754183</v>
      </c>
      <c r="C3690" t="s">
        <v>40</v>
      </c>
      <c r="D3690">
        <v>4.0986010000000004</v>
      </c>
      <c r="E3690">
        <v>0.55208579999999996</v>
      </c>
      <c r="F3690" t="s">
        <v>60</v>
      </c>
      <c r="G3690">
        <v>-168.4135</v>
      </c>
      <c r="H3690">
        <v>2.3766219999999998</v>
      </c>
      <c r="I3690">
        <v>199.85140000000001</v>
      </c>
      <c r="J3690">
        <v>-436.81049999999999</v>
      </c>
      <c r="K3690">
        <v>1.1099859999999999</v>
      </c>
      <c r="L3690">
        <v>214.19200000000001</v>
      </c>
      <c r="M3690">
        <v>0.99996470000000004</v>
      </c>
      <c r="N3690">
        <v>-8.3682559999999993E-3</v>
      </c>
      <c r="O3690">
        <v>-9.2282219999999997E-4</v>
      </c>
      <c r="P3690">
        <v>0.99480000000000002</v>
      </c>
      <c r="Q3690">
        <v>-5.6560510000000001E-2</v>
      </c>
      <c r="R3690">
        <v>8.4698330000000002E-2</v>
      </c>
      <c r="S3690">
        <v>3.0298159999999998</v>
      </c>
      <c r="T3690">
        <v>1.428807E-2</v>
      </c>
      <c r="U3690">
        <v>-0.1617584</v>
      </c>
      <c r="V3690">
        <v>-8.5505460000000005E-2</v>
      </c>
      <c r="W3690">
        <v>-4.8430929999999997E-2</v>
      </c>
      <c r="X3690">
        <v>0.99515989999999999</v>
      </c>
      <c r="Y3690">
        <v>5.239191E-2</v>
      </c>
      <c r="Z3690">
        <v>-1.0799220000000001E-4</v>
      </c>
      <c r="AA3690">
        <v>0.99862660000000003</v>
      </c>
      <c r="AB3690">
        <v>35</v>
      </c>
      <c r="AC3690">
        <v>268.39699999999999</v>
      </c>
      <c r="AD3690">
        <v>1.2666360000000001</v>
      </c>
      <c r="AE3690">
        <v>-14.340599999999901</v>
      </c>
      <c r="AF3690">
        <v>14.0925895764695</v>
      </c>
      <c r="AG3690">
        <v>1.2666360000000001</v>
      </c>
      <c r="AH3690">
        <v>268.404159263157</v>
      </c>
      <c r="AI3690">
        <v>89.729987295903001</v>
      </c>
      <c r="AJ3690">
        <v>86.994438733987707</v>
      </c>
      <c r="AK3690">
        <v>268.77685569536999</v>
      </c>
      <c r="AL3690">
        <v>92.775973857111694</v>
      </c>
      <c r="AM3690">
        <v>94.910868366498903</v>
      </c>
      <c r="AN3690">
        <v>0.99999998261924306</v>
      </c>
    </row>
    <row r="3691" spans="1:40" x14ac:dyDescent="0.25">
      <c r="A3691" t="str">
        <f>"20190305135006786"</f>
        <v>20190305135006786</v>
      </c>
      <c r="B3691" t="str">
        <f>"1551765006773706"</f>
        <v>1551765006773706</v>
      </c>
      <c r="C3691" t="s">
        <v>40</v>
      </c>
      <c r="D3691">
        <v>4.0875069999999996</v>
      </c>
      <c r="E3691">
        <v>0.55212779999999995</v>
      </c>
      <c r="F3691" t="s">
        <v>60</v>
      </c>
      <c r="G3691">
        <v>-168.41329999999999</v>
      </c>
      <c r="H3691">
        <v>2.336042</v>
      </c>
      <c r="I3691">
        <v>200.25620000000001</v>
      </c>
      <c r="J3691">
        <v>-436.50080000000003</v>
      </c>
      <c r="K3691">
        <v>1.110001</v>
      </c>
      <c r="L3691">
        <v>214.1926</v>
      </c>
      <c r="M3691">
        <v>0.99996419999999997</v>
      </c>
      <c r="N3691">
        <v>-8.4573779999999998E-3</v>
      </c>
      <c r="O3691" s="1">
        <v>4.5945809999999997E-5</v>
      </c>
      <c r="P3691">
        <v>0.99465510000000001</v>
      </c>
      <c r="Q3691">
        <v>-5.5862809999999999E-2</v>
      </c>
      <c r="R3691">
        <v>8.6835529999999994E-2</v>
      </c>
      <c r="S3691">
        <v>3.0298769999999999</v>
      </c>
      <c r="T3691">
        <v>1.3841030000000001E-2</v>
      </c>
      <c r="U3691">
        <v>-0.15731809999999999</v>
      </c>
      <c r="V3691">
        <v>-8.6678379999999999E-2</v>
      </c>
      <c r="W3691">
        <v>-4.7651260000000001E-2</v>
      </c>
      <c r="X3691">
        <v>0.99509610000000004</v>
      </c>
      <c r="Y3691">
        <v>5.189879E-2</v>
      </c>
      <c r="Z3691">
        <v>-1.005552E-4</v>
      </c>
      <c r="AA3691">
        <v>0.99865230000000005</v>
      </c>
      <c r="AB3691">
        <v>35</v>
      </c>
      <c r="AC3691">
        <v>268.08749999999998</v>
      </c>
      <c r="AD3691">
        <v>1.2260409999999999</v>
      </c>
      <c r="AE3691">
        <v>-13.9363999999999</v>
      </c>
      <c r="AF3691">
        <v>13.948426979170801</v>
      </c>
      <c r="AG3691">
        <v>1.2260409999999999</v>
      </c>
      <c r="AH3691">
        <v>268.08126757945797</v>
      </c>
      <c r="AI3691">
        <v>89.738319672209101</v>
      </c>
      <c r="AJ3691">
        <v>87.021552485378393</v>
      </c>
      <c r="AK3691">
        <v>268.44669455729201</v>
      </c>
      <c r="AL3691">
        <v>92.731250323551905</v>
      </c>
      <c r="AM3691">
        <v>94.978214480985798</v>
      </c>
      <c r="AN3691">
        <v>1.0000000161871101</v>
      </c>
    </row>
    <row r="3692" spans="1:40" x14ac:dyDescent="0.25">
      <c r="A3692" t="str">
        <f>"20190305135006800"</f>
        <v>20190305135006800</v>
      </c>
      <c r="B3692" t="str">
        <f>"1551765006794199"</f>
        <v>1551765006794199</v>
      </c>
      <c r="C3692" t="s">
        <v>40</v>
      </c>
      <c r="D3692">
        <v>4.1065969999999998</v>
      </c>
      <c r="E3692">
        <v>0.55225900000000006</v>
      </c>
      <c r="F3692" t="s">
        <v>60</v>
      </c>
      <c r="G3692">
        <v>-168.41309999999999</v>
      </c>
      <c r="H3692">
        <v>2.3730370000000001</v>
      </c>
      <c r="I3692">
        <v>200.81129999999999</v>
      </c>
      <c r="J3692">
        <v>-436.27589999999998</v>
      </c>
      <c r="K3692">
        <v>1.110004</v>
      </c>
      <c r="L3692">
        <v>214.19319999999999</v>
      </c>
      <c r="M3692">
        <v>0.99996350000000001</v>
      </c>
      <c r="N3692">
        <v>-8.5137719999999993E-3</v>
      </c>
      <c r="O3692">
        <v>7.3601470000000003E-4</v>
      </c>
      <c r="P3692">
        <v>0.99453150000000001</v>
      </c>
      <c r="Q3692">
        <v>-5.5810779999999997E-2</v>
      </c>
      <c r="R3692">
        <v>8.8274790000000006E-2</v>
      </c>
      <c r="S3692">
        <v>3.0301209999999998</v>
      </c>
      <c r="T3692">
        <v>1.427615E-2</v>
      </c>
      <c r="U3692">
        <v>-0.15124509999999999</v>
      </c>
      <c r="V3692">
        <v>-8.7431350000000005E-2</v>
      </c>
      <c r="W3692">
        <v>-4.7546320000000003E-2</v>
      </c>
      <c r="X3692">
        <v>0.99503520000000001</v>
      </c>
      <c r="Y3692">
        <v>5.058733E-2</v>
      </c>
      <c r="Z3692" s="1">
        <v>-8.6659450000000003E-5</v>
      </c>
      <c r="AA3692">
        <v>0.99871960000000004</v>
      </c>
      <c r="AB3692">
        <v>35</v>
      </c>
      <c r="AC3692">
        <v>267.86279999999999</v>
      </c>
      <c r="AD3692">
        <v>1.2630330000000001</v>
      </c>
      <c r="AE3692">
        <v>-13.3819</v>
      </c>
      <c r="AF3692">
        <v>13.5787533270369</v>
      </c>
      <c r="AG3692">
        <v>1.2630330000000001</v>
      </c>
      <c r="AH3692">
        <v>267.84693750526702</v>
      </c>
      <c r="AI3692">
        <v>89.730170104741703</v>
      </c>
      <c r="AJ3692">
        <v>87.0978209485977</v>
      </c>
      <c r="AK3692">
        <v>268.193884578351</v>
      </c>
      <c r="AL3692">
        <v>92.725231003938305</v>
      </c>
      <c r="AM3692">
        <v>95.021545545594094</v>
      </c>
      <c r="AN3692">
        <v>0.999999971373702</v>
      </c>
    </row>
    <row r="3693" spans="1:40" x14ac:dyDescent="0.25">
      <c r="A3693" t="str">
        <f>"20190305135006820"</f>
        <v>20190305135006820</v>
      </c>
      <c r="B3693" t="str">
        <f>"1551765006813719"</f>
        <v>1551765006813719</v>
      </c>
      <c r="C3693" t="s">
        <v>40</v>
      </c>
      <c r="D3693">
        <v>4.0890930000000001</v>
      </c>
      <c r="E3693">
        <v>0.55255339999999997</v>
      </c>
      <c r="F3693" t="s">
        <v>60</v>
      </c>
      <c r="G3693">
        <v>-168.41299999999899</v>
      </c>
      <c r="H3693">
        <v>2.26498</v>
      </c>
      <c r="I3693">
        <v>201.1439</v>
      </c>
      <c r="J3693">
        <v>-435.96230000000003</v>
      </c>
      <c r="K3693">
        <v>1.1100030000000001</v>
      </c>
      <c r="L3693">
        <v>214.1943</v>
      </c>
      <c r="M3693">
        <v>0.99996189999999996</v>
      </c>
      <c r="N3693">
        <v>-8.5841909999999997E-3</v>
      </c>
      <c r="O3693">
        <v>1.6732079999999901E-3</v>
      </c>
      <c r="P3693">
        <v>0.99448579999999998</v>
      </c>
      <c r="Q3693">
        <v>-5.4248999999999999E-2</v>
      </c>
      <c r="R3693">
        <v>8.9750330000000003E-2</v>
      </c>
      <c r="S3693">
        <v>3.0303650000000002</v>
      </c>
      <c r="T3693">
        <v>1.306677E-2</v>
      </c>
      <c r="U3693">
        <v>-0.14762879999999901</v>
      </c>
      <c r="V3693">
        <v>-8.7979429999999997E-2</v>
      </c>
      <c r="W3693">
        <v>-4.5914539999999997E-2</v>
      </c>
      <c r="X3693">
        <v>0.99506349999999999</v>
      </c>
      <c r="Y3693">
        <v>5.0330350000000003E-2</v>
      </c>
      <c r="Z3693" s="1">
        <v>-8.6142479999999996E-5</v>
      </c>
      <c r="AA3693">
        <v>0.99873259999999997</v>
      </c>
      <c r="AB3693">
        <v>36</v>
      </c>
      <c r="AC3693">
        <v>267.54930000000002</v>
      </c>
      <c r="AD3693">
        <v>1.1549769999999999</v>
      </c>
      <c r="AE3693">
        <v>-13.0503999999999</v>
      </c>
      <c r="AF3693">
        <v>13.497812849405401</v>
      </c>
      <c r="AG3693">
        <v>1.1549769999999999</v>
      </c>
      <c r="AH3693">
        <v>267.52211506638002</v>
      </c>
      <c r="AI3693">
        <v>89.752951911519503</v>
      </c>
      <c r="AJ3693">
        <v>87.111594101563597</v>
      </c>
      <c r="AK3693">
        <v>267.86490433272098</v>
      </c>
      <c r="AL3693">
        <v>92.631634697131403</v>
      </c>
      <c r="AM3693">
        <v>95.052718639725796</v>
      </c>
      <c r="AN3693">
        <v>0.99999994705939099</v>
      </c>
    </row>
    <row r="3694" spans="1:40" x14ac:dyDescent="0.25">
      <c r="A3694" t="str">
        <f>"20190305135006843"</f>
        <v>20190305135006843</v>
      </c>
      <c r="B3694" t="str">
        <f>"1551765006834215"</f>
        <v>1551765006834215</v>
      </c>
      <c r="C3694" t="s">
        <v>40</v>
      </c>
      <c r="D3694">
        <v>4.0782449999999999</v>
      </c>
      <c r="E3694">
        <v>0.55275260000000004</v>
      </c>
      <c r="F3694" t="s">
        <v>60</v>
      </c>
      <c r="G3694">
        <v>-168.41299999999899</v>
      </c>
      <c r="H3694">
        <v>2.5044590000000002</v>
      </c>
      <c r="I3694">
        <v>201.32980000000001</v>
      </c>
      <c r="J3694">
        <v>-435.5924</v>
      </c>
      <c r="K3694">
        <v>1.1099810000000001</v>
      </c>
      <c r="L3694">
        <v>214.19589999999999</v>
      </c>
      <c r="M3694">
        <v>0.99995889999999998</v>
      </c>
      <c r="N3694">
        <v>-8.6561280000000008E-3</v>
      </c>
      <c r="O3694">
        <v>2.729539E-3</v>
      </c>
      <c r="P3694">
        <v>0.99442520000000001</v>
      </c>
      <c r="Q3694">
        <v>-5.3164120000000002E-2</v>
      </c>
      <c r="R3694">
        <v>9.1063569999999996E-2</v>
      </c>
      <c r="S3694">
        <v>3.03064</v>
      </c>
      <c r="T3694">
        <v>1.579595E-2</v>
      </c>
      <c r="U3694">
        <v>-0.1457214</v>
      </c>
      <c r="V3694">
        <v>-8.8246939999999996E-2</v>
      </c>
      <c r="W3694">
        <v>-4.4754090000000003E-2</v>
      </c>
      <c r="X3694">
        <v>0.99509270000000005</v>
      </c>
      <c r="Y3694">
        <v>5.075375E-2</v>
      </c>
      <c r="Z3694" s="1">
        <v>-4.9774539999999999E-5</v>
      </c>
      <c r="AA3694">
        <v>0.99871120000000002</v>
      </c>
      <c r="AB3694">
        <v>36</v>
      </c>
      <c r="AC3694">
        <v>267.17939999999999</v>
      </c>
      <c r="AD3694">
        <v>1.3944780000000001</v>
      </c>
      <c r="AE3694">
        <v>-12.8660999999999</v>
      </c>
      <c r="AF3694">
        <v>13.5949864380142</v>
      </c>
      <c r="AG3694">
        <v>1.3944780000000001</v>
      </c>
      <c r="AH3694">
        <v>267.13602467296602</v>
      </c>
      <c r="AI3694">
        <v>89.701299306461706</v>
      </c>
      <c r="AJ3694">
        <v>87.086638091423396</v>
      </c>
      <c r="AK3694">
        <v>267.48537138172202</v>
      </c>
      <c r="AL3694">
        <v>92.565077323652901</v>
      </c>
      <c r="AM3694">
        <v>95.067854091174794</v>
      </c>
      <c r="AN3694">
        <v>0.99999996629219001</v>
      </c>
    </row>
    <row r="3695" spans="1:40" x14ac:dyDescent="0.25">
      <c r="A3695" t="str">
        <f>"20190305135006866"</f>
        <v>20190305135006866</v>
      </c>
      <c r="B3695" t="str">
        <f>"1551765006854213"</f>
        <v>1551765006854213</v>
      </c>
      <c r="C3695" t="s">
        <v>40</v>
      </c>
      <c r="D3695">
        <v>4.05511</v>
      </c>
      <c r="E3695">
        <v>0.5530834</v>
      </c>
      <c r="F3695" t="s">
        <v>60</v>
      </c>
      <c r="G3695">
        <v>-168.41299999999899</v>
      </c>
      <c r="H3695">
        <v>2.6349640000000001</v>
      </c>
      <c r="I3695">
        <v>201.5668</v>
      </c>
      <c r="J3695">
        <v>-435.23540000000003</v>
      </c>
      <c r="K3695">
        <v>1.109952</v>
      </c>
      <c r="L3695">
        <v>214.1977</v>
      </c>
      <c r="M3695">
        <v>0.99995520000000004</v>
      </c>
      <c r="N3695">
        <v>-8.7160190000000002E-3</v>
      </c>
      <c r="O3695">
        <v>3.693015E-3</v>
      </c>
      <c r="P3695">
        <v>0.99433490000000002</v>
      </c>
      <c r="Q3695">
        <v>-5.2883479999999997E-2</v>
      </c>
      <c r="R3695">
        <v>9.2205179999999998E-2</v>
      </c>
      <c r="S3695">
        <v>3.0308839999999999</v>
      </c>
      <c r="T3695">
        <v>1.7299769999999999E-2</v>
      </c>
      <c r="U3695">
        <v>-0.1432648</v>
      </c>
      <c r="V3695">
        <v>-8.8434789999999999E-2</v>
      </c>
      <c r="W3695">
        <v>-4.4407710000000003E-2</v>
      </c>
      <c r="X3695">
        <v>0.99509159999999997</v>
      </c>
      <c r="Y3695">
        <v>5.0904369999999997E-2</v>
      </c>
      <c r="Z3695" s="1">
        <v>-2.353688E-5</v>
      </c>
      <c r="AA3695">
        <v>0.99870349999999997</v>
      </c>
      <c r="AB3695">
        <v>36</v>
      </c>
      <c r="AC3695">
        <v>266.82240000000002</v>
      </c>
      <c r="AD3695">
        <v>1.525012</v>
      </c>
      <c r="AE3695">
        <v>-12.630899999999899</v>
      </c>
      <c r="AF3695">
        <v>13.615786628029101</v>
      </c>
      <c r="AG3695">
        <v>1.525012</v>
      </c>
      <c r="AH3695">
        <v>266.76523768149298</v>
      </c>
      <c r="AI3695">
        <v>89.672887619934599</v>
      </c>
      <c r="AJ3695">
        <v>87.078139821390707</v>
      </c>
      <c r="AK3695">
        <v>267.11684211663498</v>
      </c>
      <c r="AL3695">
        <v>92.545211311206302</v>
      </c>
      <c r="AM3695">
        <v>95.078591187819598</v>
      </c>
      <c r="AN3695">
        <v>1.0000000245901699</v>
      </c>
    </row>
    <row r="3696" spans="1:40" x14ac:dyDescent="0.25">
      <c r="A3696" t="str">
        <f>"20190305135006892"</f>
        <v>20190305135006892</v>
      </c>
      <c r="B3696" t="str">
        <f>"1551765006884469"</f>
        <v>1551765006884469</v>
      </c>
      <c r="C3696" t="s">
        <v>40</v>
      </c>
      <c r="D3696">
        <v>4.0193810000000001</v>
      </c>
      <c r="E3696">
        <v>0.55364480000000005</v>
      </c>
      <c r="F3696" t="s">
        <v>60</v>
      </c>
      <c r="G3696">
        <v>-168.41299999999899</v>
      </c>
      <c r="H3696">
        <v>2.6430910000000001</v>
      </c>
      <c r="I3696">
        <v>201.6635</v>
      </c>
      <c r="J3696">
        <v>-434.91059999999999</v>
      </c>
      <c r="K3696">
        <v>1.1099220000000001</v>
      </c>
      <c r="L3696">
        <v>214.19970000000001</v>
      </c>
      <c r="M3696">
        <v>0.99995140000000005</v>
      </c>
      <c r="N3696">
        <v>-8.7634489999999995E-3</v>
      </c>
      <c r="O3696">
        <v>4.5110469999999998E-3</v>
      </c>
      <c r="P3696">
        <v>0.99429299999999998</v>
      </c>
      <c r="Q3696">
        <v>-5.2540320000000001E-2</v>
      </c>
      <c r="R3696">
        <v>9.2849870000000001E-2</v>
      </c>
      <c r="S3696">
        <v>3.03125</v>
      </c>
      <c r="T3696">
        <v>1.741767E-2</v>
      </c>
      <c r="U3696">
        <v>-0.14239499999999999</v>
      </c>
      <c r="V3696">
        <v>-8.8270280000000007E-2</v>
      </c>
      <c r="W3696">
        <v>-4.4008989999999998E-2</v>
      </c>
      <c r="X3696">
        <v>0.99512389999999995</v>
      </c>
      <c r="Y3696">
        <v>5.1429679999999998E-2</v>
      </c>
      <c r="Z3696" s="1">
        <v>-1.2386210000000001E-5</v>
      </c>
      <c r="AA3696">
        <v>0.99867660000000003</v>
      </c>
      <c r="AB3696">
        <v>36</v>
      </c>
      <c r="AC3696">
        <v>266.49759999999998</v>
      </c>
      <c r="AD3696">
        <v>1.533169</v>
      </c>
      <c r="AE3696">
        <v>-12.536199999999999</v>
      </c>
      <c r="AF3696">
        <v>13.7378481482627</v>
      </c>
      <c r="AG3696">
        <v>1.533169</v>
      </c>
      <c r="AH3696">
        <v>266.42953601836501</v>
      </c>
      <c r="AI3696">
        <v>89.670732440543802</v>
      </c>
      <c r="AJ3696">
        <v>87.048284274597506</v>
      </c>
      <c r="AK3696">
        <v>266.78788717235301</v>
      </c>
      <c r="AL3696">
        <v>92.522344031367695</v>
      </c>
      <c r="AM3696">
        <v>95.069029374666499</v>
      </c>
      <c r="AN3696">
        <v>1.00000000494165</v>
      </c>
    </row>
    <row r="3697" spans="1:40" x14ac:dyDescent="0.25">
      <c r="A3697" t="str">
        <f>"20190305135006909"</f>
        <v>20190305135006909</v>
      </c>
      <c r="B3697" t="str">
        <f>"1551765006903989"</f>
        <v>1551765006903989</v>
      </c>
      <c r="C3697" t="s">
        <v>40</v>
      </c>
      <c r="D3697">
        <v>4.025201</v>
      </c>
      <c r="E3697">
        <v>0.55386659999999999</v>
      </c>
      <c r="F3697" t="s">
        <v>60</v>
      </c>
      <c r="G3697">
        <v>-168.41299999999899</v>
      </c>
      <c r="H3697">
        <v>2.6442580000000002</v>
      </c>
      <c r="I3697">
        <v>201.46789999999999</v>
      </c>
      <c r="J3697">
        <v>-434.52859999999998</v>
      </c>
      <c r="K3697">
        <v>1.109866</v>
      </c>
      <c r="L3697">
        <v>214.2022</v>
      </c>
      <c r="M3697">
        <v>0.99994660000000002</v>
      </c>
      <c r="N3697">
        <v>-8.8124999999999992E-3</v>
      </c>
      <c r="O3697">
        <v>5.399938E-3</v>
      </c>
      <c r="P3697">
        <v>0.99423459999999997</v>
      </c>
      <c r="Q3697">
        <v>-5.3378200000000001E-2</v>
      </c>
      <c r="R3697">
        <v>9.2997720000000006E-2</v>
      </c>
      <c r="S3697">
        <v>3.0316770000000002</v>
      </c>
      <c r="T3697">
        <v>1.7454979999999998E-2</v>
      </c>
      <c r="U3697">
        <v>-0.1448364</v>
      </c>
      <c r="V3697">
        <v>-8.7537889999999993E-2</v>
      </c>
      <c r="W3697">
        <v>-4.4785709999999999E-2</v>
      </c>
      <c r="X3697">
        <v>0.99515399999999998</v>
      </c>
      <c r="Y3697">
        <v>5.3113130000000001E-2</v>
      </c>
      <c r="Z3697" s="1">
        <v>-2.7230710000000001E-6</v>
      </c>
      <c r="AA3697">
        <v>0.99858849999999999</v>
      </c>
      <c r="AB3697">
        <v>36</v>
      </c>
      <c r="AC3697">
        <v>266.11559999999997</v>
      </c>
      <c r="AD3697">
        <v>1.534392</v>
      </c>
      <c r="AE3697">
        <v>-12.734299999999999</v>
      </c>
      <c r="AF3697">
        <v>14.1707078145645</v>
      </c>
      <c r="AG3697">
        <v>1.534392</v>
      </c>
      <c r="AH3697">
        <v>266.03412848078898</v>
      </c>
      <c r="AI3697">
        <v>89.670009408377794</v>
      </c>
      <c r="AJ3697">
        <v>86.950935710060506</v>
      </c>
      <c r="AK3697">
        <v>266.41569179631301</v>
      </c>
      <c r="AL3697">
        <v>92.566890586576406</v>
      </c>
      <c r="AM3697">
        <v>95.027036121402801</v>
      </c>
      <c r="AN3697">
        <v>1.00000006286092</v>
      </c>
    </row>
    <row r="3698" spans="1:40" x14ac:dyDescent="0.25">
      <c r="A3698" t="str">
        <f>"20190305135006931"</f>
        <v>20190305135006931</v>
      </c>
      <c r="B3698" t="str">
        <f>"1551765006923509"</f>
        <v>1551765006923509</v>
      </c>
      <c r="C3698" t="s">
        <v>40</v>
      </c>
      <c r="D3698">
        <v>3.9769269999999999</v>
      </c>
      <c r="E3698">
        <v>0.56318590000000002</v>
      </c>
      <c r="F3698" t="s">
        <v>60</v>
      </c>
      <c r="G3698">
        <v>-168.41299999999899</v>
      </c>
      <c r="H3698">
        <v>2.4182009999999998</v>
      </c>
      <c r="I3698">
        <v>201.38910000000001</v>
      </c>
      <c r="J3698">
        <v>-434.18430000000001</v>
      </c>
      <c r="K3698">
        <v>1.1098140000000001</v>
      </c>
      <c r="L3698">
        <v>214.2047</v>
      </c>
      <c r="M3698">
        <v>0.99994209999999994</v>
      </c>
      <c r="N3698">
        <v>-8.8506060000000004E-3</v>
      </c>
      <c r="O3698">
        <v>6.122499E-3</v>
      </c>
      <c r="P3698">
        <v>0.99422670000000002</v>
      </c>
      <c r="Q3698">
        <v>-5.3504309999999999E-2</v>
      </c>
      <c r="R3698">
        <v>9.3009549999999996E-2</v>
      </c>
      <c r="S3698">
        <v>3.0318909999999999</v>
      </c>
      <c r="T3698">
        <v>1.490641E-2</v>
      </c>
      <c r="U3698">
        <v>-0.14598079999999999</v>
      </c>
      <c r="V3698">
        <v>-8.6836239999999995E-2</v>
      </c>
      <c r="W3698">
        <v>-4.4861499999999999E-2</v>
      </c>
      <c r="X3698">
        <v>0.99521199999999999</v>
      </c>
      <c r="Y3698">
        <v>5.4207430000000001E-2</v>
      </c>
      <c r="Z3698" s="1">
        <v>-2.2608499999999999E-5</v>
      </c>
      <c r="AA3698">
        <v>0.99852969999999996</v>
      </c>
      <c r="AB3698">
        <v>36</v>
      </c>
      <c r="AC3698">
        <v>265.7713</v>
      </c>
      <c r="AD3698">
        <v>1.308387</v>
      </c>
      <c r="AE3698">
        <v>-12.8155999999999</v>
      </c>
      <c r="AF3698">
        <v>14.442258811721899</v>
      </c>
      <c r="AG3698">
        <v>1.308387</v>
      </c>
      <c r="AH3698">
        <v>265.68142772605398</v>
      </c>
      <c r="AI3698">
        <v>89.718256797907003</v>
      </c>
      <c r="AJ3698">
        <v>86.888503364961196</v>
      </c>
      <c r="AK3698">
        <v>266.07689068139899</v>
      </c>
      <c r="AL3698">
        <v>92.571237549025895</v>
      </c>
      <c r="AM3698">
        <v>94.986657324682994</v>
      </c>
      <c r="AN3698">
        <v>1.0000000058517899</v>
      </c>
    </row>
    <row r="3699" spans="1:40" x14ac:dyDescent="0.25">
      <c r="A3699" t="str">
        <f>"20190305135006944"</f>
        <v>20190305135006944</v>
      </c>
      <c r="B3699" t="str">
        <f>"1551765006934245"</f>
        <v>1551765006934245</v>
      </c>
      <c r="C3699" t="s">
        <v>40</v>
      </c>
      <c r="D3699">
        <v>4.005852</v>
      </c>
      <c r="E3699">
        <v>0.56304799999999999</v>
      </c>
      <c r="F3699" t="s">
        <v>60</v>
      </c>
      <c r="G3699">
        <v>-168.4152</v>
      </c>
      <c r="H3699">
        <v>2.6082130000000001</v>
      </c>
      <c r="I3699">
        <v>194.9699</v>
      </c>
      <c r="J3699">
        <v>-433.95760000000001</v>
      </c>
      <c r="K3699">
        <v>1.109783</v>
      </c>
      <c r="L3699">
        <v>214.20650000000001</v>
      </c>
      <c r="M3699">
        <v>0.99993929999999998</v>
      </c>
      <c r="N3699">
        <v>-8.8731569999999996E-3</v>
      </c>
      <c r="O3699">
        <v>6.5574099999999996E-3</v>
      </c>
      <c r="P3699">
        <v>0.99422029999999995</v>
      </c>
      <c r="Q3699">
        <v>-5.3572979999999999E-2</v>
      </c>
      <c r="R3699">
        <v>9.3039709999999998E-2</v>
      </c>
      <c r="S3699">
        <v>3.0389400000000002</v>
      </c>
      <c r="T3699">
        <v>1.7133829999999999E-2</v>
      </c>
      <c r="U3699">
        <v>-0.2199402</v>
      </c>
      <c r="V3699">
        <v>-8.6436970000000002E-2</v>
      </c>
      <c r="W3699">
        <v>-4.489945E-2</v>
      </c>
      <c r="X3699">
        <v>0.99524500000000005</v>
      </c>
      <c r="Y3699">
        <v>7.8724199999999994E-2</v>
      </c>
      <c r="Z3699" s="1">
        <v>-3.3061490000000001E-5</v>
      </c>
      <c r="AA3699">
        <v>0.99689640000000002</v>
      </c>
      <c r="AB3699">
        <v>36</v>
      </c>
      <c r="AC3699">
        <v>265.54239999999999</v>
      </c>
      <c r="AD3699">
        <v>1.4984299999999999</v>
      </c>
      <c r="AE3699">
        <v>-19.236599999999999</v>
      </c>
      <c r="AF3699">
        <v>20.976860562394801</v>
      </c>
      <c r="AG3699">
        <v>1.4984299999999999</v>
      </c>
      <c r="AH3699">
        <v>265.40213625118599</v>
      </c>
      <c r="AI3699">
        <v>89.677523708685001</v>
      </c>
      <c r="AJ3699">
        <v>85.480849538157997</v>
      </c>
      <c r="AK3699">
        <v>266.23404721825602</v>
      </c>
      <c r="AL3699">
        <v>92.573414234571203</v>
      </c>
      <c r="AM3699">
        <v>94.963679901019205</v>
      </c>
      <c r="AN3699">
        <v>0.99999996020904003</v>
      </c>
    </row>
    <row r="3700" spans="1:40" x14ac:dyDescent="0.25">
      <c r="A3700" t="str">
        <f>"20190305135006964"</f>
        <v>20190305135006964</v>
      </c>
      <c r="B3700" t="str">
        <f>"1551765006954277"</f>
        <v>1551765006954277</v>
      </c>
      <c r="C3700" t="s">
        <v>40</v>
      </c>
      <c r="D3700">
        <v>4.0639329999999996</v>
      </c>
      <c r="E3700">
        <v>0.56256539999999999</v>
      </c>
      <c r="F3700" t="s">
        <v>60</v>
      </c>
      <c r="G3700">
        <v>-168.41499999999999</v>
      </c>
      <c r="H3700">
        <v>2.3666450000000001</v>
      </c>
      <c r="I3700">
        <v>195.0917</v>
      </c>
      <c r="J3700">
        <v>-433.65</v>
      </c>
      <c r="K3700">
        <v>1.1097429999999999</v>
      </c>
      <c r="L3700">
        <v>214.209</v>
      </c>
      <c r="M3700">
        <v>0.99993509999999997</v>
      </c>
      <c r="N3700">
        <v>-8.9014239999999998E-3</v>
      </c>
      <c r="O3700">
        <v>7.1131419999999898E-3</v>
      </c>
      <c r="P3700">
        <v>0.99421300000000001</v>
      </c>
      <c r="Q3700">
        <v>-5.3435339999999998E-2</v>
      </c>
      <c r="R3700">
        <v>9.319479E-2</v>
      </c>
      <c r="S3700">
        <v>3.0386660000000001</v>
      </c>
      <c r="T3700">
        <v>1.438296E-2</v>
      </c>
      <c r="U3700">
        <v>-0.2187347</v>
      </c>
      <c r="V3700">
        <v>-8.6045179999999999E-2</v>
      </c>
      <c r="W3700">
        <v>-4.4723310000000002E-2</v>
      </c>
      <c r="X3700">
        <v>0.99528689999999997</v>
      </c>
      <c r="Y3700">
        <v>7.88914E-2</v>
      </c>
      <c r="Z3700" s="1">
        <v>-6.8256459999999997E-5</v>
      </c>
      <c r="AA3700">
        <v>0.99688319999999997</v>
      </c>
      <c r="AB3700">
        <v>36</v>
      </c>
      <c r="AC3700">
        <v>265.23500000000001</v>
      </c>
      <c r="AD3700">
        <v>1.256902</v>
      </c>
      <c r="AE3700">
        <v>-19.1173</v>
      </c>
      <c r="AF3700">
        <v>21.003076034962302</v>
      </c>
      <c r="AG3700">
        <v>1.256902</v>
      </c>
      <c r="AH3700">
        <v>265.08637777517202</v>
      </c>
      <c r="AI3700">
        <v>89.729183880848396</v>
      </c>
      <c r="AJ3700">
        <v>85.4698579662886</v>
      </c>
      <c r="AK3700">
        <v>265.92009455385102</v>
      </c>
      <c r="AL3700">
        <v>92.563311955765201</v>
      </c>
      <c r="AM3700">
        <v>94.941085846434603</v>
      </c>
      <c r="AN3700">
        <v>0.99999998038509896</v>
      </c>
    </row>
    <row r="3701" spans="1:40" x14ac:dyDescent="0.25">
      <c r="A3701" t="str">
        <f>"20190305135006978"</f>
        <v>20190305135006978</v>
      </c>
      <c r="B3701" t="str">
        <f>"1551765006973794"</f>
        <v>1551765006973794</v>
      </c>
      <c r="C3701" t="s">
        <v>40</v>
      </c>
      <c r="D3701">
        <v>4.0278729999999996</v>
      </c>
      <c r="E3701">
        <v>0.54263589999999995</v>
      </c>
      <c r="F3701" t="s">
        <v>60</v>
      </c>
      <c r="G3701">
        <v>-168.41489999999999</v>
      </c>
      <c r="H3701">
        <v>2.225698</v>
      </c>
      <c r="I3701">
        <v>195.4735</v>
      </c>
      <c r="J3701">
        <v>-433.42250000000001</v>
      </c>
      <c r="K3701">
        <v>1.1097129999999999</v>
      </c>
      <c r="L3701">
        <v>214.21100000000001</v>
      </c>
      <c r="M3701">
        <v>0.99993220000000005</v>
      </c>
      <c r="N3701">
        <v>-8.920575E-3</v>
      </c>
      <c r="O3701">
        <v>7.49395599999999E-3</v>
      </c>
      <c r="P3701">
        <v>0.99423130000000004</v>
      </c>
      <c r="Q3701">
        <v>-5.3094229999999999E-2</v>
      </c>
      <c r="R3701">
        <v>9.3194970000000002E-2</v>
      </c>
      <c r="S3701">
        <v>3.0382690000000001</v>
      </c>
      <c r="T3701">
        <v>1.2783650000000001E-2</v>
      </c>
      <c r="U3701">
        <v>-0.2146149</v>
      </c>
      <c r="V3701">
        <v>-8.5669750000000003E-2</v>
      </c>
      <c r="W3701">
        <v>-4.4355430000000001E-2</v>
      </c>
      <c r="X3701">
        <v>0.99533579999999999</v>
      </c>
      <c r="Y3701">
        <v>7.7935439999999995E-2</v>
      </c>
      <c r="Z3701" s="1">
        <v>-8.6041339999999995E-5</v>
      </c>
      <c r="AA3701">
        <v>0.99695840000000002</v>
      </c>
      <c r="AB3701">
        <v>36</v>
      </c>
      <c r="AC3701">
        <v>265.00760000000002</v>
      </c>
      <c r="AD3701">
        <v>1.115985</v>
      </c>
      <c r="AE3701">
        <v>-18.737499999999901</v>
      </c>
      <c r="AF3701">
        <v>20.722642322946498</v>
      </c>
      <c r="AG3701">
        <v>1.115985</v>
      </c>
      <c r="AH3701">
        <v>264.85506089189897</v>
      </c>
      <c r="AI3701">
        <v>89.759317288144302</v>
      </c>
      <c r="AJ3701">
        <v>85.526209742713704</v>
      </c>
      <c r="AK3701">
        <v>265.66685266968602</v>
      </c>
      <c r="AL3701">
        <v>92.542212913365205</v>
      </c>
      <c r="AM3701">
        <v>94.919392559920894</v>
      </c>
      <c r="AN3701">
        <v>1.00000003249859</v>
      </c>
    </row>
    <row r="3702" spans="1:40" x14ac:dyDescent="0.25">
      <c r="A3702" t="str">
        <f>"20190305135006997"</f>
        <v>20190305135006997</v>
      </c>
      <c r="B3702" t="str">
        <f>"1551765006994290"</f>
        <v>1551765006994290</v>
      </c>
      <c r="C3702" t="s">
        <v>40</v>
      </c>
      <c r="D3702">
        <v>4.0346080000000004</v>
      </c>
      <c r="E3702">
        <v>0.53480669999999897</v>
      </c>
      <c r="F3702" t="s">
        <v>74</v>
      </c>
      <c r="G3702">
        <v>-340.31040000000002</v>
      </c>
      <c r="H3702" s="1">
        <v>-1.371635E-6</v>
      </c>
      <c r="I3702">
        <v>212.45429999999999</v>
      </c>
      <c r="J3702">
        <v>-433.1225</v>
      </c>
      <c r="K3702">
        <v>1.1096729999999999</v>
      </c>
      <c r="L3702">
        <v>214.21360000000001</v>
      </c>
      <c r="M3702">
        <v>0.99992840000000005</v>
      </c>
      <c r="N3702">
        <v>-8.9439529999999993E-3</v>
      </c>
      <c r="O3702">
        <v>7.9621620000000001E-3</v>
      </c>
      <c r="P3702">
        <v>0.99418680000000004</v>
      </c>
      <c r="Q3702">
        <v>-5.3665619999999997E-2</v>
      </c>
      <c r="R3702">
        <v>9.3342620000000001E-2</v>
      </c>
      <c r="S3702">
        <v>3.0208439999999999</v>
      </c>
      <c r="T3702">
        <v>-3.6002520000000003E-2</v>
      </c>
      <c r="U3702">
        <v>-5.699158E-2</v>
      </c>
      <c r="V3702">
        <v>-8.5355879999999995E-2</v>
      </c>
      <c r="W3702">
        <v>-4.4894509999999999E-2</v>
      </c>
      <c r="X3702">
        <v>0.99533859999999996</v>
      </c>
      <c r="Y3702">
        <v>2.6819849999999999E-2</v>
      </c>
      <c r="Z3702">
        <v>-3.03434E-4</v>
      </c>
      <c r="AA3702">
        <v>0.99964019999999998</v>
      </c>
      <c r="AB3702">
        <v>36</v>
      </c>
      <c r="AC3702">
        <v>92.812100000000001</v>
      </c>
      <c r="AD3702">
        <v>-1.1096743716349999</v>
      </c>
      <c r="AE3702">
        <v>-1.7593000000000201</v>
      </c>
      <c r="AF3702">
        <v>2.49790174600043</v>
      </c>
      <c r="AG3702">
        <v>-1.1096743716349999</v>
      </c>
      <c r="AH3702">
        <v>92.7818910301377</v>
      </c>
      <c r="AI3702">
        <v>90.684978505770502</v>
      </c>
      <c r="AJ3702">
        <v>88.457838452785296</v>
      </c>
      <c r="AK3702">
        <v>92.822142797244695</v>
      </c>
      <c r="AL3702">
        <v>92.573130712649203</v>
      </c>
      <c r="AM3702">
        <v>94.901443524193098</v>
      </c>
      <c r="AN3702">
        <v>1.00000003596433</v>
      </c>
    </row>
    <row r="3703" spans="1:40" x14ac:dyDescent="0.25">
      <c r="A3703" t="str">
        <f>"20190305135007010"</f>
        <v>20190305135007010</v>
      </c>
      <c r="B3703" t="str">
        <f>"1551765007004050"</f>
        <v>1551765007004050</v>
      </c>
      <c r="C3703" t="s">
        <v>40</v>
      </c>
      <c r="D3703">
        <v>3.99986</v>
      </c>
      <c r="E3703">
        <v>0.53309709999999999</v>
      </c>
      <c r="F3703" t="s">
        <v>74</v>
      </c>
      <c r="G3703">
        <v>-372.74310000000003</v>
      </c>
      <c r="H3703" s="1">
        <v>-7.7025080000000002E-8</v>
      </c>
      <c r="I3703">
        <v>214.3169</v>
      </c>
      <c r="J3703">
        <v>-432.89499999999998</v>
      </c>
      <c r="K3703">
        <v>1.109648</v>
      </c>
      <c r="L3703">
        <v>214.2157</v>
      </c>
      <c r="M3703">
        <v>0.99992539999999996</v>
      </c>
      <c r="N3703">
        <v>-8.9604609999999994E-3</v>
      </c>
      <c r="O3703">
        <v>8.2947669999999998E-3</v>
      </c>
      <c r="P3703">
        <v>0.9942377</v>
      </c>
      <c r="Q3703">
        <v>-5.3905260000000003E-2</v>
      </c>
      <c r="R3703">
        <v>9.265777E-2</v>
      </c>
      <c r="S3703">
        <v>3.014008</v>
      </c>
      <c r="T3703">
        <v>-5.5392499999999997E-2</v>
      </c>
      <c r="U3703">
        <v>5.1574709999999899E-3</v>
      </c>
      <c r="V3703">
        <v>-8.4342169999999994E-2</v>
      </c>
      <c r="W3703">
        <v>-4.5109259999999998E-2</v>
      </c>
      <c r="X3703">
        <v>0.9954153</v>
      </c>
      <c r="Y3703">
        <v>6.5819619999999898E-3</v>
      </c>
      <c r="Z3703">
        <v>-1.680764E-4</v>
      </c>
      <c r="AA3703">
        <v>0.99997829999999999</v>
      </c>
      <c r="AB3703">
        <v>36</v>
      </c>
      <c r="AC3703">
        <v>60.151899999999898</v>
      </c>
      <c r="AD3703">
        <v>-1.1096480770250801</v>
      </c>
      <c r="AE3703">
        <v>0.10120000000000499</v>
      </c>
      <c r="AF3703">
        <v>0.39763421592930398</v>
      </c>
      <c r="AG3703">
        <v>-1.1096480770250801</v>
      </c>
      <c r="AH3703">
        <v>60.130207224646597</v>
      </c>
      <c r="AI3703">
        <v>91.057198188574304</v>
      </c>
      <c r="AJ3703">
        <v>89.621115054740997</v>
      </c>
      <c r="AK3703">
        <v>60.141759640897298</v>
      </c>
      <c r="AL3703">
        <v>92.585447466035603</v>
      </c>
      <c r="AM3703">
        <v>94.843139774288801</v>
      </c>
      <c r="AN3703">
        <v>1.0000000332260699</v>
      </c>
    </row>
    <row r="3704" spans="1:40" x14ac:dyDescent="0.25">
      <c r="A3704" t="str">
        <f>"20190305135007042"</f>
        <v>20190305135007042</v>
      </c>
      <c r="B3704" t="str">
        <f>"1551765007034308"</f>
        <v>1551765007034308</v>
      </c>
      <c r="C3704" t="s">
        <v>40</v>
      </c>
      <c r="D3704">
        <v>3.9574769999999999</v>
      </c>
      <c r="E3704">
        <v>0.53050369999999902</v>
      </c>
      <c r="F3704" t="s">
        <v>74</v>
      </c>
      <c r="G3704">
        <v>-377.05799999999999</v>
      </c>
      <c r="H3704" s="1">
        <v>2.219114E-6</v>
      </c>
      <c r="I3704">
        <v>214.52510000000001</v>
      </c>
      <c r="J3704">
        <v>-432.3811</v>
      </c>
      <c r="K3704">
        <v>1.1095900000000001</v>
      </c>
      <c r="L3704">
        <v>214.22069999999999</v>
      </c>
      <c r="M3704">
        <v>0.99991949999999996</v>
      </c>
      <c r="N3704">
        <v>-8.9934969999999996E-3</v>
      </c>
      <c r="O3704">
        <v>8.9644630000000006E-3</v>
      </c>
      <c r="P3704">
        <v>0.99437889999999995</v>
      </c>
      <c r="Q3704">
        <v>-5.3453210000000001E-2</v>
      </c>
      <c r="R3704">
        <v>9.1396699999999997E-2</v>
      </c>
      <c r="S3704">
        <v>3.0125730000000002</v>
      </c>
      <c r="T3704">
        <v>-5.9868690000000002E-2</v>
      </c>
      <c r="U3704">
        <v>1.6693119999999999E-2</v>
      </c>
      <c r="V3704">
        <v>-8.2421549999999996E-2</v>
      </c>
      <c r="W3704">
        <v>-4.4606989999999999E-2</v>
      </c>
      <c r="X3704">
        <v>0.99559880000000001</v>
      </c>
      <c r="Y3704">
        <v>3.4223349999999999E-3</v>
      </c>
      <c r="Z3704">
        <v>-1.4690290000000001E-4</v>
      </c>
      <c r="AA3704">
        <v>0.99999420000000006</v>
      </c>
      <c r="AB3704">
        <v>36</v>
      </c>
      <c r="AC3704">
        <v>55.323099999999897</v>
      </c>
      <c r="AD3704">
        <v>-1.109587780886</v>
      </c>
      <c r="AE3704">
        <v>0.30440000000001499</v>
      </c>
      <c r="AF3704">
        <v>0.191497080946821</v>
      </c>
      <c r="AG3704">
        <v>-1.109587780886</v>
      </c>
      <c r="AH3704">
        <v>55.3013607128334</v>
      </c>
      <c r="AI3704">
        <v>91.149443445717097</v>
      </c>
      <c r="AJ3704">
        <v>89.801597455622996</v>
      </c>
      <c r="AK3704">
        <v>55.312822680337099</v>
      </c>
      <c r="AL3704">
        <v>92.556640518056</v>
      </c>
      <c r="AM3704">
        <v>94.732491394995094</v>
      </c>
      <c r="AN3704">
        <v>1.0000000330113501</v>
      </c>
    </row>
    <row r="3705" spans="1:40" x14ac:dyDescent="0.25">
      <c r="A3705" t="str">
        <f>"20190305135007066"</f>
        <v>20190305135007066</v>
      </c>
      <c r="B3705" t="str">
        <f>"1551765007054333"</f>
        <v>1551765007054333</v>
      </c>
      <c r="C3705" t="s">
        <v>40</v>
      </c>
      <c r="D3705">
        <v>3.978135</v>
      </c>
      <c r="E3705">
        <v>0.52982530000000005</v>
      </c>
      <c r="F3705" t="s">
        <v>74</v>
      </c>
      <c r="G3705">
        <v>-376.47609999999997</v>
      </c>
      <c r="H3705" s="1">
        <v>1.9094720000000002E-6</v>
      </c>
      <c r="I3705">
        <v>214.83860000000001</v>
      </c>
      <c r="J3705">
        <v>-432.00560000000002</v>
      </c>
      <c r="K3705">
        <v>1.1095489999999999</v>
      </c>
      <c r="L3705">
        <v>214.2244</v>
      </c>
      <c r="M3705">
        <v>0.9999152</v>
      </c>
      <c r="N3705">
        <v>-9.0149789999999994E-3</v>
      </c>
      <c r="O3705">
        <v>9.4021009999999995E-3</v>
      </c>
      <c r="P3705">
        <v>0.99452410000000002</v>
      </c>
      <c r="Q3705">
        <v>-5.3409329999999998E-2</v>
      </c>
      <c r="R3705">
        <v>8.9829729999999997E-2</v>
      </c>
      <c r="S3705">
        <v>3.0106510000000002</v>
      </c>
      <c r="T3705">
        <v>-5.975461E-2</v>
      </c>
      <c r="U3705">
        <v>3.3279419999999997E-2</v>
      </c>
      <c r="V3705">
        <v>-8.0422540000000001E-2</v>
      </c>
      <c r="W3705">
        <v>-4.4528900000000003E-2</v>
      </c>
      <c r="X3705">
        <v>0.99576569999999998</v>
      </c>
      <c r="Y3705">
        <v>-1.65090299999999E-3</v>
      </c>
      <c r="Z3705" s="1">
        <v>-7.8001450000000005E-5</v>
      </c>
      <c r="AA3705">
        <v>0.99999859999999896</v>
      </c>
      <c r="AB3705">
        <v>36</v>
      </c>
      <c r="AC3705">
        <v>55.529499999999999</v>
      </c>
      <c r="AD3705">
        <v>-1.1095470905279901</v>
      </c>
      <c r="AE3705">
        <v>0.61420000000001096</v>
      </c>
      <c r="AF3705">
        <v>-9.2020950882120103E-2</v>
      </c>
      <c r="AG3705">
        <v>-1.1095470905279901</v>
      </c>
      <c r="AH3705">
        <v>55.510660490738999</v>
      </c>
      <c r="AI3705">
        <v>91.145073999553404</v>
      </c>
      <c r="AJ3705">
        <v>90.094980085557395</v>
      </c>
      <c r="AK3705">
        <v>55.521824454169298</v>
      </c>
      <c r="AL3705">
        <v>92.552162005100399</v>
      </c>
      <c r="AM3705">
        <v>94.617443883572193</v>
      </c>
      <c r="AN3705">
        <v>0.99999996858587503</v>
      </c>
    </row>
    <row r="3706" spans="1:40" x14ac:dyDescent="0.25">
      <c r="A3706" t="str">
        <f>"20190305135007087"</f>
        <v>20190305135007087</v>
      </c>
      <c r="B3706" t="str">
        <f>"1551765007083614"</f>
        <v>1551765007083614</v>
      </c>
      <c r="C3706" t="s">
        <v>40</v>
      </c>
      <c r="D3706">
        <v>3.974529</v>
      </c>
      <c r="E3706">
        <v>0.5289509</v>
      </c>
      <c r="F3706" t="s">
        <v>74</v>
      </c>
      <c r="G3706">
        <v>-377.49329999999998</v>
      </c>
      <c r="H3706" s="1">
        <v>2.4507920000000001E-6</v>
      </c>
      <c r="I3706">
        <v>214.83789999999999</v>
      </c>
      <c r="J3706">
        <v>-431.65899999999999</v>
      </c>
      <c r="K3706">
        <v>1.1095090000000001</v>
      </c>
      <c r="L3706">
        <v>214.22800000000001</v>
      </c>
      <c r="M3706">
        <v>0.99991169999999996</v>
      </c>
      <c r="N3706">
        <v>-9.0329539999999993E-3</v>
      </c>
      <c r="O3706">
        <v>9.7589359999999993E-3</v>
      </c>
      <c r="P3706">
        <v>0.99467779999999995</v>
      </c>
      <c r="Q3706">
        <v>-5.3648639999999997E-2</v>
      </c>
      <c r="R3706">
        <v>8.7965020000000005E-2</v>
      </c>
      <c r="S3706">
        <v>3.0101930000000001</v>
      </c>
      <c r="T3706">
        <v>-6.126964E-2</v>
      </c>
      <c r="U3706">
        <v>3.3874509999999997E-2</v>
      </c>
      <c r="V3706">
        <v>-7.8205650000000002E-2</v>
      </c>
      <c r="W3706">
        <v>-4.4738010000000002E-2</v>
      </c>
      <c r="X3706">
        <v>0.99593290000000001</v>
      </c>
      <c r="Y3706">
        <v>-1.493484E-3</v>
      </c>
      <c r="Z3706" s="1">
        <v>-8.8510000000000005E-5</v>
      </c>
      <c r="AA3706">
        <v>0.99999890000000002</v>
      </c>
      <c r="AB3706">
        <v>36</v>
      </c>
      <c r="AC3706">
        <v>54.165700000000001</v>
      </c>
      <c r="AD3706">
        <v>-1.1095065492080001</v>
      </c>
      <c r="AE3706">
        <v>0.60990000000000999</v>
      </c>
      <c r="AF3706">
        <v>-8.1215779355952103E-2</v>
      </c>
      <c r="AG3706">
        <v>-1.1095065492080001</v>
      </c>
      <c r="AH3706">
        <v>54.146357009226897</v>
      </c>
      <c r="AI3706">
        <v>91.173875394415305</v>
      </c>
      <c r="AJ3706">
        <v>90.085939630186104</v>
      </c>
      <c r="AK3706">
        <v>54.1577840956977</v>
      </c>
      <c r="AL3706">
        <v>92.564155055607301</v>
      </c>
      <c r="AM3706">
        <v>94.489938718741499</v>
      </c>
      <c r="AN3706">
        <v>0.99999997726654599</v>
      </c>
    </row>
    <row r="3707" spans="1:40" x14ac:dyDescent="0.25">
      <c r="A3707" t="str">
        <f>"20190305135007110"</f>
        <v>20190305135007110</v>
      </c>
      <c r="B3707" t="str">
        <f>"1551765007104110"</f>
        <v>1551765007104110</v>
      </c>
      <c r="C3707" t="s">
        <v>40</v>
      </c>
      <c r="D3707">
        <v>3.9674399999999999</v>
      </c>
      <c r="E3707">
        <v>0.52857949999999998</v>
      </c>
      <c r="F3707" t="s">
        <v>74</v>
      </c>
      <c r="G3707">
        <v>-381.76650000000001</v>
      </c>
      <c r="H3707" s="1">
        <v>-6.0524459999999899E-7</v>
      </c>
      <c r="I3707">
        <v>214.81110000000001</v>
      </c>
      <c r="J3707">
        <v>-431.29669999999999</v>
      </c>
      <c r="K3707">
        <v>1.109467</v>
      </c>
      <c r="L3707">
        <v>214.2319</v>
      </c>
      <c r="M3707">
        <v>0.99990829999999997</v>
      </c>
      <c r="N3707">
        <v>-9.0502510000000005E-3</v>
      </c>
      <c r="O3707">
        <v>1.0077610000000001E-2</v>
      </c>
      <c r="P3707">
        <v>0.99489559999999999</v>
      </c>
      <c r="Q3707">
        <v>-5.308421E-2</v>
      </c>
      <c r="R3707">
        <v>8.5819149999999997E-2</v>
      </c>
      <c r="S3707">
        <v>3.0093380000000001</v>
      </c>
      <c r="T3707">
        <v>-6.6921709999999995E-2</v>
      </c>
      <c r="U3707">
        <v>3.5171510000000003E-2</v>
      </c>
      <c r="V3707">
        <v>-7.574649E-2</v>
      </c>
      <c r="W3707">
        <v>-4.4142380000000002E-2</v>
      </c>
      <c r="X3707">
        <v>0.99614950000000002</v>
      </c>
      <c r="Y3707">
        <v>-1.609051E-3</v>
      </c>
      <c r="Z3707">
        <v>-1.07694E-4</v>
      </c>
      <c r="AA3707">
        <v>0.99999870000000002</v>
      </c>
      <c r="AB3707">
        <v>36</v>
      </c>
      <c r="AC3707">
        <v>49.530199999999901</v>
      </c>
      <c r="AD3707">
        <v>-1.1094676052446</v>
      </c>
      <c r="AE3707">
        <v>0.57920000000001404</v>
      </c>
      <c r="AF3707">
        <v>-7.9964005496664894E-2</v>
      </c>
      <c r="AG3707">
        <v>-1.1094676052446</v>
      </c>
      <c r="AH3707">
        <v>49.508684137826002</v>
      </c>
      <c r="AI3707">
        <v>91.283756410103095</v>
      </c>
      <c r="AJ3707">
        <v>90.092541260663296</v>
      </c>
      <c r="AK3707">
        <v>49.521178476166</v>
      </c>
      <c r="AL3707">
        <v>92.5299942802624</v>
      </c>
      <c r="AM3707">
        <v>94.348361958467194</v>
      </c>
      <c r="AN3707">
        <v>0.99999995340481596</v>
      </c>
    </row>
    <row r="3708" spans="1:40" x14ac:dyDescent="0.25">
      <c r="A3708" t="str">
        <f>"20190305135007132"</f>
        <v>20190305135007132</v>
      </c>
      <c r="B3708" t="str">
        <f>"1551765007123633"</f>
        <v>1551765007123633</v>
      </c>
      <c r="C3708" t="s">
        <v>40</v>
      </c>
      <c r="D3708">
        <v>3.9558119999999999</v>
      </c>
      <c r="E3708">
        <v>0.52818240000000005</v>
      </c>
      <c r="F3708" t="s">
        <v>74</v>
      </c>
      <c r="G3708">
        <v>-380.28769999999997</v>
      </c>
      <c r="H3708" s="1">
        <v>-1.390335E-6</v>
      </c>
      <c r="I3708">
        <v>214.76830000000001</v>
      </c>
      <c r="J3708">
        <v>-430.92590000000001</v>
      </c>
      <c r="K3708">
        <v>1.109407</v>
      </c>
      <c r="L3708">
        <v>214.23580000000001</v>
      </c>
      <c r="M3708">
        <v>0.99990559999999995</v>
      </c>
      <c r="N3708">
        <v>-9.0664230000000005E-3</v>
      </c>
      <c r="O3708">
        <v>1.0330550000000001E-2</v>
      </c>
      <c r="P3708">
        <v>0.99508660000000004</v>
      </c>
      <c r="Q3708">
        <v>-5.2902900000000003E-2</v>
      </c>
      <c r="R3708">
        <v>8.3691550000000003E-2</v>
      </c>
      <c r="S3708">
        <v>3.0091860000000001</v>
      </c>
      <c r="T3708">
        <v>-6.545115E-2</v>
      </c>
      <c r="U3708">
        <v>3.1646729999999998E-2</v>
      </c>
      <c r="V3708">
        <v>-7.337196E-2</v>
      </c>
      <c r="W3708">
        <v>-4.3930200000000003E-2</v>
      </c>
      <c r="X3708">
        <v>0.99633660000000002</v>
      </c>
      <c r="Y3708">
        <v>-1.8593219999999999E-4</v>
      </c>
      <c r="Z3708">
        <v>-1.2813389999999901E-4</v>
      </c>
      <c r="AA3708">
        <v>1</v>
      </c>
      <c r="AB3708">
        <v>36</v>
      </c>
      <c r="AC3708">
        <v>50.638199999999998</v>
      </c>
      <c r="AD3708">
        <v>-1.109408390335</v>
      </c>
      <c r="AE3708">
        <v>0.53249999999999797</v>
      </c>
      <c r="AF3708">
        <v>-9.3251824047614305E-3</v>
      </c>
      <c r="AG3708">
        <v>-1.109408390335</v>
      </c>
      <c r="AH3708">
        <v>50.616706387528097</v>
      </c>
      <c r="AI3708">
        <v>91.255598127876794</v>
      </c>
      <c r="AJ3708">
        <v>90.010555676713594</v>
      </c>
      <c r="AK3708">
        <v>50.628863699048203</v>
      </c>
      <c r="AL3708">
        <v>92.5178254305428</v>
      </c>
      <c r="AM3708">
        <v>94.211758225061601</v>
      </c>
      <c r="AN3708">
        <v>0.99999996374292</v>
      </c>
    </row>
    <row r="3709" spans="1:40" x14ac:dyDescent="0.25">
      <c r="A3709" t="str">
        <f>"20190305135007154"</f>
        <v>20190305135007154</v>
      </c>
      <c r="B3709" t="str">
        <f>"1551765007143660"</f>
        <v>1551765007143660</v>
      </c>
      <c r="C3709" t="s">
        <v>40</v>
      </c>
      <c r="D3709">
        <v>3.9359229999999998</v>
      </c>
      <c r="E3709">
        <v>0.52788590000000002</v>
      </c>
      <c r="F3709" t="s">
        <v>74</v>
      </c>
      <c r="G3709">
        <v>-379.34980000000002</v>
      </c>
      <c r="H3709" s="1">
        <v>3.438683E-6</v>
      </c>
      <c r="I3709">
        <v>214.71870000000001</v>
      </c>
      <c r="J3709">
        <v>-430.57420000000002</v>
      </c>
      <c r="K3709">
        <v>1.109343</v>
      </c>
      <c r="L3709">
        <v>214.2397</v>
      </c>
      <c r="M3709">
        <v>0.9999036</v>
      </c>
      <c r="N3709">
        <v>-9.0807160000000008E-3</v>
      </c>
      <c r="O3709">
        <v>1.0516040000000001E-2</v>
      </c>
      <c r="P3709">
        <v>0.99531639999999999</v>
      </c>
      <c r="Q3709">
        <v>-5.276985E-2</v>
      </c>
      <c r="R3709">
        <v>8.0998730000000005E-2</v>
      </c>
      <c r="S3709">
        <v>3.008972</v>
      </c>
      <c r="T3709">
        <v>-6.4723009999999997E-2</v>
      </c>
      <c r="U3709">
        <v>2.816772E-2</v>
      </c>
      <c r="V3709">
        <v>-7.0498329999999998E-2</v>
      </c>
      <c r="W3709">
        <v>-4.3768710000000002E-2</v>
      </c>
      <c r="X3709">
        <v>0.99655119999999997</v>
      </c>
      <c r="Y3709">
        <v>1.1545049999999999E-3</v>
      </c>
      <c r="Z3709">
        <v>-1.4833190000000001E-4</v>
      </c>
      <c r="AA3709">
        <v>0.99999930000000004</v>
      </c>
      <c r="AB3709">
        <v>36</v>
      </c>
      <c r="AC3709">
        <v>51.224400000000003</v>
      </c>
      <c r="AD3709">
        <v>-1.1093395613169901</v>
      </c>
      <c r="AE3709">
        <v>0.47900000000001303</v>
      </c>
      <c r="AF3709">
        <v>5.9698473601392202E-2</v>
      </c>
      <c r="AG3709">
        <v>-1.1093395613169901</v>
      </c>
      <c r="AH3709">
        <v>51.202592651215099</v>
      </c>
      <c r="AI3709">
        <v>91.241157646454994</v>
      </c>
      <c r="AJ3709">
        <v>89.933197346975703</v>
      </c>
      <c r="AK3709">
        <v>51.214643339345102</v>
      </c>
      <c r="AL3709">
        <v>92.508563724522503</v>
      </c>
      <c r="AM3709">
        <v>94.046494363561393</v>
      </c>
      <c r="AN3709">
        <v>1.00000000436464</v>
      </c>
    </row>
    <row r="3710" spans="1:40" x14ac:dyDescent="0.25">
      <c r="A3710" t="str">
        <f>"20190305135007175"</f>
        <v>20190305135007175</v>
      </c>
      <c r="B3710" t="str">
        <f>"1551765007164156"</f>
        <v>1551765007164156</v>
      </c>
      <c r="C3710" t="s">
        <v>40</v>
      </c>
      <c r="D3710">
        <v>3.9206289999999999</v>
      </c>
      <c r="E3710">
        <v>0.52766290000000005</v>
      </c>
      <c r="F3710" t="s">
        <v>74</v>
      </c>
      <c r="G3710">
        <v>-378.61439999999999</v>
      </c>
      <c r="H3710" s="1">
        <v>3.0473500000000001E-6</v>
      </c>
      <c r="I3710">
        <v>214.62860000000001</v>
      </c>
      <c r="J3710">
        <v>-430.22300000000001</v>
      </c>
      <c r="K3710">
        <v>1.109286</v>
      </c>
      <c r="L3710">
        <v>214.24350000000001</v>
      </c>
      <c r="M3710">
        <v>0.99990210000000002</v>
      </c>
      <c r="N3710">
        <v>-9.0941340000000002E-3</v>
      </c>
      <c r="O3710">
        <v>1.0646340000000001E-2</v>
      </c>
      <c r="P3710">
        <v>0.99545070000000002</v>
      </c>
      <c r="Q3710">
        <v>-5.2541259999999999E-2</v>
      </c>
      <c r="R3710">
        <v>7.9481389999999999E-2</v>
      </c>
      <c r="S3710">
        <v>3.0088200000000001</v>
      </c>
      <c r="T3710">
        <v>-6.4238069999999994E-2</v>
      </c>
      <c r="U3710">
        <v>2.2521969999999999E-2</v>
      </c>
      <c r="V3710">
        <v>-6.8855780000000005E-2</v>
      </c>
      <c r="W3710">
        <v>-4.351497E-2</v>
      </c>
      <c r="X3710">
        <v>0.99667720000000004</v>
      </c>
      <c r="Y3710">
        <v>3.1599729999999999E-3</v>
      </c>
      <c r="Z3710">
        <v>-1.7854789999999999E-4</v>
      </c>
      <c r="AA3710">
        <v>0.99999499999999997</v>
      </c>
      <c r="AB3710">
        <v>36</v>
      </c>
      <c r="AC3710">
        <v>51.608600000000003</v>
      </c>
      <c r="AD3710">
        <v>-1.1092829526500001</v>
      </c>
      <c r="AE3710">
        <v>0.385099999999994</v>
      </c>
      <c r="AF3710">
        <v>0.164311273147425</v>
      </c>
      <c r="AG3710">
        <v>-1.1092829526500001</v>
      </c>
      <c r="AH3710">
        <v>51.585943674337599</v>
      </c>
      <c r="AI3710">
        <v>91.231868819793604</v>
      </c>
      <c r="AJ3710">
        <v>89.817502405310904</v>
      </c>
      <c r="AK3710">
        <v>51.5981306990424</v>
      </c>
      <c r="AL3710">
        <v>92.494011499886199</v>
      </c>
      <c r="AM3710">
        <v>93.952018827595296</v>
      </c>
      <c r="AN3710">
        <v>1.00000005602667</v>
      </c>
    </row>
    <row r="3711" spans="1:40" x14ac:dyDescent="0.25">
      <c r="A3711" t="str">
        <f>"20190305135007198"</f>
        <v>20190305135007198</v>
      </c>
      <c r="B3711" t="str">
        <f>"1551765007194409"</f>
        <v>1551765007194409</v>
      </c>
      <c r="C3711" t="s">
        <v>40</v>
      </c>
      <c r="D3711">
        <v>3.8868990000000001</v>
      </c>
      <c r="E3711">
        <v>0.52720789999999995</v>
      </c>
      <c r="F3711" t="s">
        <v>74</v>
      </c>
      <c r="G3711">
        <v>-376.19139999999999</v>
      </c>
      <c r="H3711" s="1">
        <v>1.757979E-6</v>
      </c>
      <c r="I3711">
        <v>214.5959</v>
      </c>
      <c r="J3711">
        <v>-429.85919999999999</v>
      </c>
      <c r="K3711">
        <v>1.109237</v>
      </c>
      <c r="L3711">
        <v>214.2474</v>
      </c>
      <c r="M3711">
        <v>0.99990120000000005</v>
      </c>
      <c r="N3711">
        <v>-9.1072070000000008E-3</v>
      </c>
      <c r="O3711">
        <v>1.0721980000000001E-2</v>
      </c>
      <c r="P3711">
        <v>0.99566239999999995</v>
      </c>
      <c r="Q3711">
        <v>-5.2363800000000002E-2</v>
      </c>
      <c r="R3711">
        <v>7.6908980000000002E-2</v>
      </c>
      <c r="S3711">
        <v>3.0088810000000001</v>
      </c>
      <c r="T3711">
        <v>-6.1773179999999997E-2</v>
      </c>
      <c r="U3711">
        <v>1.9622799999999999E-2</v>
      </c>
      <c r="V3711">
        <v>-6.6212300000000002E-2</v>
      </c>
      <c r="W3711">
        <v>-4.3312280000000002E-2</v>
      </c>
      <c r="X3711">
        <v>0.99686509999999995</v>
      </c>
      <c r="Y3711">
        <v>4.1991069999999997E-3</v>
      </c>
      <c r="Z3711">
        <v>-1.8467399999999999E-4</v>
      </c>
      <c r="AA3711">
        <v>0.99999119999999997</v>
      </c>
      <c r="AB3711">
        <v>36</v>
      </c>
      <c r="AC3711">
        <v>53.6678</v>
      </c>
      <c r="AD3711">
        <v>-1.1092352420209901</v>
      </c>
      <c r="AE3711">
        <v>0.34850000000000098</v>
      </c>
      <c r="AF3711">
        <v>0.22687197433524101</v>
      </c>
      <c r="AG3711">
        <v>-1.1092352420209901</v>
      </c>
      <c r="AH3711">
        <v>53.645535773551202</v>
      </c>
      <c r="AI3711">
        <v>91.184532389032398</v>
      </c>
      <c r="AJ3711">
        <v>89.757692248999703</v>
      </c>
      <c r="AK3711">
        <v>53.657482070501899</v>
      </c>
      <c r="AL3711">
        <v>92.482387336682507</v>
      </c>
      <c r="AM3711">
        <v>93.800033940027504</v>
      </c>
      <c r="AN3711">
        <v>1.0000000249340399</v>
      </c>
    </row>
    <row r="3712" spans="1:40" x14ac:dyDescent="0.25">
      <c r="A3712" t="str">
        <f>"20190305135007221"</f>
        <v>20190305135007221</v>
      </c>
      <c r="B3712" t="str">
        <f>"1551765007213929"</f>
        <v>1551765007213929</v>
      </c>
      <c r="C3712" t="s">
        <v>40</v>
      </c>
      <c r="D3712">
        <v>3.8817249999999999</v>
      </c>
      <c r="E3712">
        <v>0.52698819999999902</v>
      </c>
      <c r="F3712" t="s">
        <v>74</v>
      </c>
      <c r="G3712">
        <v>-373.81270000000001</v>
      </c>
      <c r="H3712" s="1">
        <v>4.9213039999999997E-7</v>
      </c>
      <c r="I3712">
        <v>214.54159999999999</v>
      </c>
      <c r="J3712">
        <v>-429.47370000000001</v>
      </c>
      <c r="K3712">
        <v>1.1091789999999999</v>
      </c>
      <c r="L3712">
        <v>214.2516</v>
      </c>
      <c r="M3712">
        <v>0.99990120000000005</v>
      </c>
      <c r="N3712">
        <v>-9.1202950000000005E-3</v>
      </c>
      <c r="O3712">
        <v>1.0713510000000001E-2</v>
      </c>
      <c r="P3712">
        <v>0.99600319999999998</v>
      </c>
      <c r="Q3712">
        <v>-5.22414E-2</v>
      </c>
      <c r="R3712">
        <v>7.2447849999999994E-2</v>
      </c>
      <c r="S3712">
        <v>3.0087280000000001</v>
      </c>
      <c r="T3712">
        <v>-5.9546830000000002E-2</v>
      </c>
      <c r="U3712">
        <v>1.5792850000000001E-2</v>
      </c>
      <c r="V3712">
        <v>-6.176334E-2</v>
      </c>
      <c r="W3712">
        <v>-4.3162249999999999E-2</v>
      </c>
      <c r="X3712">
        <v>0.99715710000000002</v>
      </c>
      <c r="Y3712">
        <v>5.4629930000000002E-3</v>
      </c>
      <c r="Z3712">
        <v>-1.9327020000000001E-4</v>
      </c>
      <c r="AA3712">
        <v>0.99998500000000001</v>
      </c>
      <c r="AB3712">
        <v>37</v>
      </c>
      <c r="AC3712">
        <v>55.661000000000001</v>
      </c>
      <c r="AD3712">
        <v>-1.1091785078695999</v>
      </c>
      <c r="AE3712">
        <v>0.28999999999999199</v>
      </c>
      <c r="AF3712">
        <v>0.306244410968599</v>
      </c>
      <c r="AG3712">
        <v>-1.1091785078695999</v>
      </c>
      <c r="AH3712">
        <v>55.6388186992953</v>
      </c>
      <c r="AI3712">
        <v>91.142042007106198</v>
      </c>
      <c r="AJ3712">
        <v>89.684638612627893</v>
      </c>
      <c r="AK3712">
        <v>55.650716157607697</v>
      </c>
      <c r="AL3712">
        <v>92.473783301064898</v>
      </c>
      <c r="AM3712">
        <v>93.544339803471303</v>
      </c>
      <c r="AN3712">
        <v>0.99999998603671403</v>
      </c>
    </row>
    <row r="3713" spans="1:40" x14ac:dyDescent="0.25">
      <c r="A3713" t="str">
        <f>"20190305135007244"</f>
        <v>20190305135007244</v>
      </c>
      <c r="B3713" t="str">
        <f>"1551765007234426"</f>
        <v>1551765007234426</v>
      </c>
      <c r="C3713" t="s">
        <v>40</v>
      </c>
      <c r="D3713">
        <v>3.888001</v>
      </c>
      <c r="E3713">
        <v>0.52668939999999997</v>
      </c>
      <c r="F3713" t="s">
        <v>74</v>
      </c>
      <c r="G3713">
        <v>-372.09219999999999</v>
      </c>
      <c r="H3713" s="1">
        <v>-4.2344500000000002E-7</v>
      </c>
      <c r="I3713">
        <v>214.3304</v>
      </c>
      <c r="J3713">
        <v>-429.09739999999999</v>
      </c>
      <c r="K3713">
        <v>1.1090990000000001</v>
      </c>
      <c r="L3713">
        <v>214.25550000000001</v>
      </c>
      <c r="M3713">
        <v>0.99990219999999996</v>
      </c>
      <c r="N3713">
        <v>-9.1325599999999996E-3</v>
      </c>
      <c r="O3713">
        <v>1.059158E-2</v>
      </c>
      <c r="P3713">
        <v>0.9963109</v>
      </c>
      <c r="Q3713">
        <v>-5.2050249999999999E-2</v>
      </c>
      <c r="R3713">
        <v>6.8231070000000005E-2</v>
      </c>
      <c r="S3713">
        <v>3.0086979999999999</v>
      </c>
      <c r="T3713">
        <v>-5.8157800000000003E-2</v>
      </c>
      <c r="U3713">
        <v>4.1351319999999997E-3</v>
      </c>
      <c r="V3713">
        <v>-5.7673750000000003E-2</v>
      </c>
      <c r="W3713">
        <v>-4.2943700000000001E-2</v>
      </c>
      <c r="X3713">
        <v>0.99741139999999995</v>
      </c>
      <c r="Y3713">
        <v>9.2146120000000005E-3</v>
      </c>
      <c r="Z3713">
        <v>-2.3911829999999999E-4</v>
      </c>
      <c r="AA3713">
        <v>0.99995750000000005</v>
      </c>
      <c r="AB3713">
        <v>37</v>
      </c>
      <c r="AC3713">
        <v>57.005200000000002</v>
      </c>
      <c r="AD3713">
        <v>-1.109099423445</v>
      </c>
      <c r="AE3713">
        <v>7.4899999999985298E-2</v>
      </c>
      <c r="AF3713">
        <v>0.52870438403989495</v>
      </c>
      <c r="AG3713">
        <v>-1.109099423445</v>
      </c>
      <c r="AH3713">
        <v>56.981225872068102</v>
      </c>
      <c r="AI3713">
        <v>91.115033198768998</v>
      </c>
      <c r="AJ3713">
        <v>89.468392262835096</v>
      </c>
      <c r="AK3713">
        <v>56.994471062906001</v>
      </c>
      <c r="AL3713">
        <v>92.461249746587001</v>
      </c>
      <c r="AM3713">
        <v>93.309353549348302</v>
      </c>
      <c r="AN3713">
        <v>0.99999996182935502</v>
      </c>
    </row>
    <row r="3714" spans="1:40" x14ac:dyDescent="0.25">
      <c r="A3714" t="str">
        <f>"20190305135007267"</f>
        <v>20190305135007267</v>
      </c>
      <c r="B3714" t="str">
        <f>"1551765007264214"</f>
        <v>1551765007264214</v>
      </c>
      <c r="C3714" t="s">
        <v>40</v>
      </c>
      <c r="D3714">
        <v>3.8714339999999998</v>
      </c>
      <c r="E3714">
        <v>0.52629099999999995</v>
      </c>
      <c r="F3714" t="s">
        <v>74</v>
      </c>
      <c r="G3714">
        <v>-370.96879999999999</v>
      </c>
      <c r="H3714" s="1">
        <v>-1.021228E-6</v>
      </c>
      <c r="I3714">
        <v>214.13730000000001</v>
      </c>
      <c r="J3714">
        <v>-428.7353</v>
      </c>
      <c r="K3714">
        <v>1.108997</v>
      </c>
      <c r="L3714">
        <v>214.25909999999999</v>
      </c>
      <c r="M3714">
        <v>0.99990460000000003</v>
      </c>
      <c r="N3714">
        <v>-9.1441270000000002E-3</v>
      </c>
      <c r="O3714">
        <v>1.034706E-2</v>
      </c>
      <c r="P3714">
        <v>0.99653630000000004</v>
      </c>
      <c r="Q3714">
        <v>-5.182324E-2</v>
      </c>
      <c r="R3714">
        <v>6.5035930000000006E-2</v>
      </c>
      <c r="S3714">
        <v>3.0085139999999999</v>
      </c>
      <c r="T3714">
        <v>-5.7402849999999998E-2</v>
      </c>
      <c r="U3714">
        <v>-6.1187739999999996E-3</v>
      </c>
      <c r="V3714">
        <v>-5.473107E-2</v>
      </c>
      <c r="W3714">
        <v>-4.2689680000000001E-2</v>
      </c>
      <c r="X3714">
        <v>0.99758820000000004</v>
      </c>
      <c r="Y3714">
        <v>1.2377330000000001E-2</v>
      </c>
      <c r="Z3714">
        <v>-2.7745820000000003E-4</v>
      </c>
      <c r="AA3714">
        <v>0.99992329999999996</v>
      </c>
      <c r="AB3714">
        <v>37</v>
      </c>
      <c r="AC3714">
        <v>57.766500000000001</v>
      </c>
      <c r="AD3714">
        <v>-1.108998021228</v>
      </c>
      <c r="AE3714">
        <v>-0.12179999999997899</v>
      </c>
      <c r="AF3714">
        <v>0.71926685276944002</v>
      </c>
      <c r="AG3714">
        <v>-1.108998021228</v>
      </c>
      <c r="AH3714">
        <v>57.7408661057502</v>
      </c>
      <c r="AI3714">
        <v>91.100228857930503</v>
      </c>
      <c r="AJ3714">
        <v>89.286314418385203</v>
      </c>
      <c r="AK3714">
        <v>57.755993975160301</v>
      </c>
      <c r="AL3714">
        <v>92.446681877828794</v>
      </c>
      <c r="AM3714">
        <v>93.140292443260194</v>
      </c>
      <c r="AN3714">
        <v>1.0000000577905399</v>
      </c>
    </row>
    <row r="3715" spans="1:40" x14ac:dyDescent="0.25">
      <c r="A3715" t="str">
        <f>"20190305135007290"</f>
        <v>20190305135007290</v>
      </c>
      <c r="B3715" t="str">
        <f>"1551765007283734"</f>
        <v>1551765007283734</v>
      </c>
      <c r="C3715" t="s">
        <v>40</v>
      </c>
      <c r="D3715">
        <v>3.8788339999999999</v>
      </c>
      <c r="E3715">
        <v>0.52594940000000001</v>
      </c>
      <c r="F3715" t="s">
        <v>74</v>
      </c>
      <c r="G3715">
        <v>-368.70330000000001</v>
      </c>
      <c r="H3715" s="1">
        <v>3.094685E-6</v>
      </c>
      <c r="I3715">
        <v>214.01310000000001</v>
      </c>
      <c r="J3715">
        <v>-428.35379999999998</v>
      </c>
      <c r="K3715">
        <v>1.1088659999999999</v>
      </c>
      <c r="L3715">
        <v>214.2628</v>
      </c>
      <c r="M3715">
        <v>0.99990869999999998</v>
      </c>
      <c r="N3715">
        <v>-9.1564300000000001E-3</v>
      </c>
      <c r="O3715">
        <v>9.9410820000000004E-3</v>
      </c>
      <c r="P3715">
        <v>0.996722</v>
      </c>
      <c r="Q3715">
        <v>-5.1640720000000001E-2</v>
      </c>
      <c r="R3715">
        <v>6.2279340000000002E-2</v>
      </c>
      <c r="S3715">
        <v>3.008362</v>
      </c>
      <c r="T3715">
        <v>-5.5574659999999998E-2</v>
      </c>
      <c r="U3715">
        <v>-1.2329100000000001E-2</v>
      </c>
      <c r="V3715">
        <v>-5.2391489999999999E-2</v>
      </c>
      <c r="W3715">
        <v>-4.2477689999999999E-2</v>
      </c>
      <c r="X3715">
        <v>0.99772280000000002</v>
      </c>
      <c r="Y3715">
        <v>1.403544E-2</v>
      </c>
      <c r="Z3715">
        <v>-2.8650129999999998E-4</v>
      </c>
      <c r="AA3715">
        <v>0.9999015</v>
      </c>
      <c r="AB3715">
        <v>37</v>
      </c>
      <c r="AC3715">
        <v>59.650499999999901</v>
      </c>
      <c r="AD3715">
        <v>-1.1088629053150001</v>
      </c>
      <c r="AE3715">
        <v>-0.24969999999999001</v>
      </c>
      <c r="AF3715">
        <v>0.84241190864800497</v>
      </c>
      <c r="AG3715">
        <v>-1.1088629053150001</v>
      </c>
      <c r="AH3715">
        <v>59.6244661419369</v>
      </c>
      <c r="AI3715">
        <v>91.065326156928805</v>
      </c>
      <c r="AJ3715">
        <v>89.190543096618001</v>
      </c>
      <c r="AK3715">
        <v>59.640725997237801</v>
      </c>
      <c r="AL3715">
        <v>92.434524849511803</v>
      </c>
      <c r="AM3715">
        <v>93.005901777625994</v>
      </c>
      <c r="AN3715">
        <v>1.00000000400599</v>
      </c>
    </row>
    <row r="3716" spans="1:40" x14ac:dyDescent="0.25">
      <c r="A3716" t="str">
        <f>"20190305135007311"</f>
        <v>20190305135007311</v>
      </c>
      <c r="B3716" t="str">
        <f>"1551765007304230"</f>
        <v>1551765007304230</v>
      </c>
      <c r="C3716" t="s">
        <v>40</v>
      </c>
      <c r="D3716">
        <v>3.9096869999999999</v>
      </c>
      <c r="E3716">
        <v>0.52566709999999905</v>
      </c>
      <c r="F3716" t="s">
        <v>74</v>
      </c>
      <c r="G3716">
        <v>-368.02050000000003</v>
      </c>
      <c r="H3716" s="1">
        <v>2.7313099999999999E-6</v>
      </c>
      <c r="I3716">
        <v>213.90350000000001</v>
      </c>
      <c r="J3716">
        <v>-428.00009999999997</v>
      </c>
      <c r="K3716">
        <v>1.108727</v>
      </c>
      <c r="L3716">
        <v>214.26580000000001</v>
      </c>
      <c r="M3716">
        <v>0.99991379999999996</v>
      </c>
      <c r="N3716">
        <v>-9.1676770000000008E-3</v>
      </c>
      <c r="O3716">
        <v>9.4066440000000005E-3</v>
      </c>
      <c r="P3716">
        <v>0.99682519999999997</v>
      </c>
      <c r="Q3716">
        <v>-5.2640279999999998E-2</v>
      </c>
      <c r="R3716">
        <v>5.9737600000000002E-2</v>
      </c>
      <c r="S3716">
        <v>3.0081479999999998</v>
      </c>
      <c r="T3716">
        <v>-5.528665E-2</v>
      </c>
      <c r="U3716">
        <v>-1.791382E-2</v>
      </c>
      <c r="V3716">
        <v>-5.0395879999999997E-2</v>
      </c>
      <c r="W3716">
        <v>-4.3450429999999998E-2</v>
      </c>
      <c r="X3716">
        <v>0.99778370000000005</v>
      </c>
      <c r="Y3716">
        <v>1.5357320000000001E-2</v>
      </c>
      <c r="Z3716">
        <v>-2.9815190000000001E-4</v>
      </c>
      <c r="AA3716">
        <v>0.99988200000000005</v>
      </c>
      <c r="AB3716">
        <v>37</v>
      </c>
      <c r="AC3716">
        <v>59.979599999999898</v>
      </c>
      <c r="AD3716">
        <v>-1.1087242686900001</v>
      </c>
      <c r="AE3716">
        <v>-0.36230000000000401</v>
      </c>
      <c r="AF3716">
        <v>0.92619791918786198</v>
      </c>
      <c r="AG3716">
        <v>-1.1087242686900001</v>
      </c>
      <c r="AH3716">
        <v>59.953052927656501</v>
      </c>
      <c r="AI3716">
        <v>91.059335616199704</v>
      </c>
      <c r="AJ3716">
        <v>89.114923960511902</v>
      </c>
      <c r="AK3716">
        <v>59.970456621872401</v>
      </c>
      <c r="AL3716">
        <v>92.490310273534305</v>
      </c>
      <c r="AM3716">
        <v>92.891427900421604</v>
      </c>
      <c r="AN3716">
        <v>0.99999999828692399</v>
      </c>
    </row>
    <row r="3717" spans="1:40" x14ac:dyDescent="0.25">
      <c r="A3717" t="str">
        <f>"20190305135007333"</f>
        <v>20190305135007333</v>
      </c>
      <c r="B3717" t="str">
        <f>"1551765007323753"</f>
        <v>1551765007323753</v>
      </c>
      <c r="C3717" t="s">
        <v>40</v>
      </c>
      <c r="D3717">
        <v>3.8762629999999998</v>
      </c>
      <c r="E3717">
        <v>0.54084149999999998</v>
      </c>
      <c r="F3717" t="s">
        <v>74</v>
      </c>
      <c r="G3717">
        <v>-370.69979999999998</v>
      </c>
      <c r="H3717" s="1">
        <v>-1.1643889999999999E-6</v>
      </c>
      <c r="I3717">
        <v>213.82050000000001</v>
      </c>
      <c r="J3717">
        <v>-427.63889999999998</v>
      </c>
      <c r="K3717">
        <v>1.108595</v>
      </c>
      <c r="L3717">
        <v>214.26859999999999</v>
      </c>
      <c r="M3717">
        <v>0.99991980000000003</v>
      </c>
      <c r="N3717">
        <v>-9.1787970000000007E-3</v>
      </c>
      <c r="O3717">
        <v>8.7356039999999992E-3</v>
      </c>
      <c r="P3717">
        <v>0.99687579999999998</v>
      </c>
      <c r="Q3717">
        <v>-5.3637549999999999E-2</v>
      </c>
      <c r="R3717">
        <v>5.7979959999999997E-2</v>
      </c>
      <c r="S3717">
        <v>3.0078130000000001</v>
      </c>
      <c r="T3717">
        <v>-5.819941E-2</v>
      </c>
      <c r="U3717">
        <v>-2.3376460000000002E-2</v>
      </c>
      <c r="V3717">
        <v>-4.9321810000000001E-2</v>
      </c>
      <c r="W3717">
        <v>-4.4422259999999998E-2</v>
      </c>
      <c r="X3717">
        <v>0.99779459999999998</v>
      </c>
      <c r="Y3717">
        <v>1.6502090000000001E-2</v>
      </c>
      <c r="Z3717">
        <v>-3.2421469999999999E-4</v>
      </c>
      <c r="AA3717">
        <v>0.99986379999999997</v>
      </c>
      <c r="AB3717">
        <v>37</v>
      </c>
      <c r="AC3717">
        <v>56.939100000000003</v>
      </c>
      <c r="AD3717">
        <v>-1.1085961643889899</v>
      </c>
      <c r="AE3717">
        <v>-0.44809999999998201</v>
      </c>
      <c r="AF3717">
        <v>0.94514298490231397</v>
      </c>
      <c r="AG3717">
        <v>-1.1085961643889899</v>
      </c>
      <c r="AH3717">
        <v>56.9114402654548</v>
      </c>
      <c r="AI3717">
        <v>91.115787881942893</v>
      </c>
      <c r="AJ3717">
        <v>89.048561656754799</v>
      </c>
      <c r="AK3717">
        <v>56.930082678721199</v>
      </c>
      <c r="AL3717">
        <v>92.546045797522495</v>
      </c>
      <c r="AM3717">
        <v>92.829874291012899</v>
      </c>
      <c r="AN3717">
        <v>1.00000002095717</v>
      </c>
    </row>
    <row r="3718" spans="1:40" x14ac:dyDescent="0.25">
      <c r="A3718" t="str">
        <f>"20190305135007354"</f>
        <v>20190305135007354</v>
      </c>
      <c r="B3718" t="str">
        <f>"1551765007344249"</f>
        <v>1551765007344249</v>
      </c>
      <c r="C3718" t="s">
        <v>40</v>
      </c>
      <c r="D3718">
        <v>3.839537</v>
      </c>
      <c r="E3718">
        <v>0.54743459999999999</v>
      </c>
      <c r="F3718" t="s">
        <v>74</v>
      </c>
      <c r="G3718">
        <v>-375.03590000000003</v>
      </c>
      <c r="H3718" s="1">
        <v>1.1430760000000001E-6</v>
      </c>
      <c r="I3718">
        <v>211.6602</v>
      </c>
      <c r="J3718">
        <v>-427.28210000000001</v>
      </c>
      <c r="K3718">
        <v>1.108484</v>
      </c>
      <c r="L3718">
        <v>214.27109999999999</v>
      </c>
      <c r="M3718">
        <v>0.99992619999999999</v>
      </c>
      <c r="N3718">
        <v>-9.1895689999999999E-3</v>
      </c>
      <c r="O3718">
        <v>7.9522440000000007E-3</v>
      </c>
      <c r="P3718">
        <v>0.99687990000000004</v>
      </c>
      <c r="Q3718">
        <v>-5.3976160000000002E-2</v>
      </c>
      <c r="R3718">
        <v>5.7596359999999999E-2</v>
      </c>
      <c r="S3718">
        <v>3.0146790000000001</v>
      </c>
      <c r="T3718">
        <v>-6.3533539999999999E-2</v>
      </c>
      <c r="U3718">
        <v>-0.1494904</v>
      </c>
      <c r="V3718">
        <v>-4.9732659999999998E-2</v>
      </c>
      <c r="W3718">
        <v>-4.4735919999999998E-2</v>
      </c>
      <c r="X3718">
        <v>0.99776019999999999</v>
      </c>
      <c r="Y3718">
        <v>5.7449050000000002E-2</v>
      </c>
      <c r="Z3718">
        <v>-9.6354850000000001E-4</v>
      </c>
      <c r="AA3718">
        <v>0.99834800000000001</v>
      </c>
      <c r="AB3718">
        <v>37</v>
      </c>
      <c r="AC3718">
        <v>52.246199999999902</v>
      </c>
      <c r="AD3718">
        <v>-1.1084828569239999</v>
      </c>
      <c r="AE3718">
        <v>-2.61089999999998</v>
      </c>
      <c r="AF3718">
        <v>3.02495123048796</v>
      </c>
      <c r="AG3718">
        <v>-1.1084828569239999</v>
      </c>
      <c r="AH3718">
        <v>52.200345487381497</v>
      </c>
      <c r="AI3718">
        <v>91.214465588139603</v>
      </c>
      <c r="AJ3718">
        <v>86.683483155321696</v>
      </c>
      <c r="AK3718">
        <v>52.299666664261999</v>
      </c>
      <c r="AL3718">
        <v>92.564035056329502</v>
      </c>
      <c r="AM3718">
        <v>92.853506523329401</v>
      </c>
      <c r="AN3718">
        <v>1.0000000283564801</v>
      </c>
    </row>
    <row r="3719" spans="1:40" x14ac:dyDescent="0.25">
      <c r="A3719" t="str">
        <f>"20190305135007377"</f>
        <v>20190305135007377</v>
      </c>
      <c r="B3719" t="str">
        <f>"1551765007374502"</f>
        <v>1551765007374502</v>
      </c>
      <c r="C3719" t="s">
        <v>40</v>
      </c>
      <c r="D3719">
        <v>3.8309259999999998</v>
      </c>
      <c r="E3719">
        <v>0.54901119999999903</v>
      </c>
      <c r="F3719" t="s">
        <v>74</v>
      </c>
      <c r="G3719">
        <v>-378.87729999999999</v>
      </c>
      <c r="H3719" s="1">
        <v>3.1873010000000002E-6</v>
      </c>
      <c r="I3719">
        <v>211.01519999999999</v>
      </c>
      <c r="J3719">
        <v>-426.91239999999999</v>
      </c>
      <c r="K3719">
        <v>1.108365</v>
      </c>
      <c r="L3719">
        <v>214.2732</v>
      </c>
      <c r="M3719">
        <v>0.99993319999999997</v>
      </c>
      <c r="N3719">
        <v>-9.2002079999999997E-3</v>
      </c>
      <c r="O3719">
        <v>7.0184089999999998E-3</v>
      </c>
      <c r="P3719">
        <v>0.99679059999999997</v>
      </c>
      <c r="Q3719">
        <v>-5.4133359999999998E-2</v>
      </c>
      <c r="R3719">
        <v>5.8975880000000001E-2</v>
      </c>
      <c r="S3719">
        <v>3.0173649999999999</v>
      </c>
      <c r="T3719">
        <v>-6.9098350000000003E-2</v>
      </c>
      <c r="U3719">
        <v>-0.2029572</v>
      </c>
      <c r="V3719">
        <v>-5.2056350000000001E-2</v>
      </c>
      <c r="W3719">
        <v>-4.4866169999999997E-2</v>
      </c>
      <c r="X3719">
        <v>0.99763579999999996</v>
      </c>
      <c r="Y3719">
        <v>7.4084849999999994E-2</v>
      </c>
      <c r="Z3719">
        <v>-1.284503E-3</v>
      </c>
      <c r="AA3719">
        <v>0.99725109999999995</v>
      </c>
      <c r="AB3719">
        <v>37</v>
      </c>
      <c r="AC3719">
        <v>48.0351</v>
      </c>
      <c r="AD3719">
        <v>-1.108361812699</v>
      </c>
      <c r="AE3719">
        <v>-3.258</v>
      </c>
      <c r="AF3719">
        <v>3.5931596744826901</v>
      </c>
      <c r="AG3719">
        <v>-1.108361812699</v>
      </c>
      <c r="AH3719">
        <v>47.9856188823696</v>
      </c>
      <c r="AI3719">
        <v>91.319478009734596</v>
      </c>
      <c r="AJ3719">
        <v>85.717687884651099</v>
      </c>
      <c r="AK3719">
        <v>48.132721529934301</v>
      </c>
      <c r="AL3719">
        <v>92.571505371314103</v>
      </c>
      <c r="AM3719">
        <v>92.986968417158394</v>
      </c>
      <c r="AN3719">
        <v>1.0000000131137099</v>
      </c>
    </row>
    <row r="3720" spans="1:40" x14ac:dyDescent="0.25">
      <c r="A3720" t="str">
        <f>"20190305135007400"</f>
        <v>20190305135007400</v>
      </c>
      <c r="B3720" t="str">
        <f>"1551765007394022"</f>
        <v>1551765007394022</v>
      </c>
      <c r="C3720" t="s">
        <v>40</v>
      </c>
      <c r="D3720">
        <v>3.849532</v>
      </c>
      <c r="E3720">
        <v>0.54910969999999903</v>
      </c>
      <c r="F3720" t="s">
        <v>74</v>
      </c>
      <c r="G3720">
        <v>-384.46409999999997</v>
      </c>
      <c r="H3720" s="1">
        <v>9.8378290000000002E-7</v>
      </c>
      <c r="I3720">
        <v>211.29910000000001</v>
      </c>
      <c r="J3720">
        <v>-426.52300000000002</v>
      </c>
      <c r="K3720">
        <v>1.1082559999999999</v>
      </c>
      <c r="L3720">
        <v>214.27500000000001</v>
      </c>
      <c r="M3720">
        <v>0.9999401</v>
      </c>
      <c r="N3720">
        <v>-9.2111439999999992E-3</v>
      </c>
      <c r="O3720">
        <v>5.9210139999999996E-3</v>
      </c>
      <c r="P3720">
        <v>0.99665530000000002</v>
      </c>
      <c r="Q3720">
        <v>-5.3272050000000001E-2</v>
      </c>
      <c r="R3720">
        <v>6.197333E-2</v>
      </c>
      <c r="S3720">
        <v>3.0178530000000001</v>
      </c>
      <c r="T3720">
        <v>-7.8798889999999996E-2</v>
      </c>
      <c r="U3720">
        <v>-0.21144099999999999</v>
      </c>
      <c r="V3720">
        <v>-5.6159220000000003E-2</v>
      </c>
      <c r="W3720">
        <v>-4.397359E-2</v>
      </c>
      <c r="X3720">
        <v>0.99745300000000003</v>
      </c>
      <c r="Y3720">
        <v>7.5761990000000001E-2</v>
      </c>
      <c r="Z3720">
        <v>-1.4371010000000001E-3</v>
      </c>
      <c r="AA3720">
        <v>0.99712489999999998</v>
      </c>
      <c r="AB3720">
        <v>37</v>
      </c>
      <c r="AC3720">
        <v>42.058900000000001</v>
      </c>
      <c r="AD3720">
        <v>-1.1082550162171001</v>
      </c>
      <c r="AE3720">
        <v>-2.97589999999999</v>
      </c>
      <c r="AF3720">
        <v>3.22266328411887</v>
      </c>
      <c r="AG3720">
        <v>-1.1082550162171001</v>
      </c>
      <c r="AH3720">
        <v>42.011517186402202</v>
      </c>
      <c r="AI3720">
        <v>91.506675897545506</v>
      </c>
      <c r="AJ3720">
        <v>85.613485940289706</v>
      </c>
      <c r="AK3720">
        <v>42.1495120271533</v>
      </c>
      <c r="AL3720">
        <v>92.520313780292398</v>
      </c>
      <c r="AM3720">
        <v>93.2225004414355</v>
      </c>
      <c r="AN3720">
        <v>1.0000000109087399</v>
      </c>
    </row>
    <row r="3721" spans="1:40" x14ac:dyDescent="0.25">
      <c r="A3721" t="str">
        <f>"20190305135007422"</f>
        <v>20190305135007422</v>
      </c>
      <c r="B3721" t="str">
        <f>"1551765007414518"</f>
        <v>1551765007414518</v>
      </c>
      <c r="C3721" t="s">
        <v>40</v>
      </c>
      <c r="D3721">
        <v>3.6241620000000001</v>
      </c>
      <c r="E3721">
        <v>0.55689519999999904</v>
      </c>
      <c r="F3721" t="s">
        <v>74</v>
      </c>
      <c r="G3721">
        <v>-382.76299999999998</v>
      </c>
      <c r="H3721" s="1">
        <v>7.7149140000000003E-8</v>
      </c>
      <c r="I3721">
        <v>211.33099999999999</v>
      </c>
      <c r="J3721">
        <v>-426.16199999999998</v>
      </c>
      <c r="K3721">
        <v>1.108174</v>
      </c>
      <c r="L3721">
        <v>214.27619999999999</v>
      </c>
      <c r="M3721">
        <v>0.99994590000000005</v>
      </c>
      <c r="N3721">
        <v>-9.2210639999999993E-3</v>
      </c>
      <c r="O3721">
        <v>4.8226450000000004E-3</v>
      </c>
      <c r="P3721">
        <v>0.99655669999999996</v>
      </c>
      <c r="Q3721">
        <v>-5.212431E-2</v>
      </c>
      <c r="R3721">
        <v>6.4479549999999997E-2</v>
      </c>
      <c r="S3721">
        <v>3.0186459999999999</v>
      </c>
      <c r="T3721">
        <v>-7.6449509999999998E-2</v>
      </c>
      <c r="U3721">
        <v>-0.20307919999999999</v>
      </c>
      <c r="V3721">
        <v>-5.9767609999999999E-2</v>
      </c>
      <c r="W3721">
        <v>-4.2796960000000002E-2</v>
      </c>
      <c r="X3721">
        <v>0.99729449999999997</v>
      </c>
      <c r="Y3721">
        <v>7.1902450000000007E-2</v>
      </c>
      <c r="Z3721">
        <v>-1.318851E-3</v>
      </c>
      <c r="AA3721">
        <v>0.99741080000000004</v>
      </c>
      <c r="AB3721">
        <v>37</v>
      </c>
      <c r="AC3721">
        <v>43.398999999999901</v>
      </c>
      <c r="AD3721">
        <v>-1.10817392285086</v>
      </c>
      <c r="AE3721">
        <v>-2.9451999999999998</v>
      </c>
      <c r="AF3721">
        <v>3.15242660588379</v>
      </c>
      <c r="AG3721">
        <v>-1.10817392285086</v>
      </c>
      <c r="AH3721">
        <v>43.356151820495199</v>
      </c>
      <c r="AI3721">
        <v>91.460295679792097</v>
      </c>
      <c r="AJ3721">
        <v>85.841341094022198</v>
      </c>
      <c r="AK3721">
        <v>43.484730005262797</v>
      </c>
      <c r="AL3721">
        <v>92.452834251343305</v>
      </c>
      <c r="AM3721">
        <v>93.4296197517141</v>
      </c>
      <c r="AN3721">
        <v>1.0000000333603001</v>
      </c>
    </row>
    <row r="3722" spans="1:40" x14ac:dyDescent="0.25">
      <c r="A3722" t="str">
        <f>"20190305135007445"</f>
        <v>20190305135007445</v>
      </c>
      <c r="B3722" t="str">
        <f>"1551765007434038"</f>
        <v>1551765007434038</v>
      </c>
      <c r="C3722" t="s">
        <v>40</v>
      </c>
      <c r="D3722">
        <v>3.6219510000000001</v>
      </c>
      <c r="E3722">
        <v>0.55830119999999905</v>
      </c>
      <c r="F3722" t="s">
        <v>60</v>
      </c>
      <c r="G3722">
        <v>-168.42959999999999</v>
      </c>
      <c r="H3722">
        <v>45.070279999999997</v>
      </c>
      <c r="I3722">
        <v>193.751</v>
      </c>
      <c r="J3722">
        <v>-425.77960000000002</v>
      </c>
      <c r="K3722">
        <v>1.108088</v>
      </c>
      <c r="L3722">
        <v>214.27699999999999</v>
      </c>
      <c r="M3722">
        <v>0.99995089999999998</v>
      </c>
      <c r="N3722">
        <v>-9.2311479999999998E-3</v>
      </c>
      <c r="O3722">
        <v>3.6019480000000002E-3</v>
      </c>
      <c r="P3722">
        <v>0.99643680000000001</v>
      </c>
      <c r="Q3722">
        <v>-5.2361989999999997E-2</v>
      </c>
      <c r="R3722">
        <v>6.6118830000000003E-2</v>
      </c>
      <c r="S3722">
        <v>3.053375</v>
      </c>
      <c r="T3722">
        <v>0.52082289999999998</v>
      </c>
      <c r="U3722">
        <v>-0.24316409999999999</v>
      </c>
      <c r="V3722">
        <v>-6.263386E-2</v>
      </c>
      <c r="W3722">
        <v>-4.3007440000000001E-2</v>
      </c>
      <c r="X3722">
        <v>0.99710949999999998</v>
      </c>
      <c r="Y3722">
        <v>8.1809670000000001E-2</v>
      </c>
      <c r="Z3722">
        <v>7.1777799999999999E-3</v>
      </c>
      <c r="AA3722">
        <v>0.99662209999999996</v>
      </c>
      <c r="AB3722">
        <v>37</v>
      </c>
      <c r="AC3722">
        <v>257.35000000000002</v>
      </c>
      <c r="AD3722">
        <v>43.962192000000002</v>
      </c>
      <c r="AE3722">
        <v>-20.526</v>
      </c>
      <c r="AF3722">
        <v>20.8483242794555</v>
      </c>
      <c r="AG3722">
        <v>43.962192000000002</v>
      </c>
      <c r="AH3722">
        <v>250.02438249468301</v>
      </c>
      <c r="AI3722">
        <v>80.061329744639096</v>
      </c>
      <c r="AJ3722">
        <v>85.233409091898494</v>
      </c>
      <c r="AK3722">
        <v>254.71458299939101</v>
      </c>
      <c r="AL3722">
        <v>92.464905068507306</v>
      </c>
      <c r="AM3722">
        <v>93.594336391959501</v>
      </c>
      <c r="AN3722">
        <v>0.99999999765205105</v>
      </c>
    </row>
    <row r="3723" spans="1:40" x14ac:dyDescent="0.25">
      <c r="A3723" t="str">
        <f>"20190305135007469"</f>
        <v>20190305135007469</v>
      </c>
      <c r="B3723" t="str">
        <f>"1551765007464294"</f>
        <v>1551765007464294</v>
      </c>
      <c r="C3723" t="s">
        <v>40</v>
      </c>
      <c r="D3723">
        <v>3.5221870000000002</v>
      </c>
      <c r="E3723">
        <v>0.55909900000000001</v>
      </c>
      <c r="F3723" t="s">
        <v>60</v>
      </c>
      <c r="G3723">
        <v>-168.4299</v>
      </c>
      <c r="H3723">
        <v>45.118609999999997</v>
      </c>
      <c r="I3723">
        <v>193.12110000000001</v>
      </c>
      <c r="J3723">
        <v>-425.39249999999998</v>
      </c>
      <c r="K3723">
        <v>1.1080110000000001</v>
      </c>
      <c r="L3723">
        <v>214.2773</v>
      </c>
      <c r="M3723">
        <v>0.99995460000000003</v>
      </c>
      <c r="N3723">
        <v>-9.2407610000000001E-3</v>
      </c>
      <c r="O3723">
        <v>2.3266749999999998E-3</v>
      </c>
      <c r="P3723">
        <v>0.99635759999999995</v>
      </c>
      <c r="Q3723">
        <v>-5.3369920000000001E-2</v>
      </c>
      <c r="R3723">
        <v>6.6505460000000002E-2</v>
      </c>
      <c r="S3723">
        <v>3.05484</v>
      </c>
      <c r="T3723">
        <v>0.52242230000000001</v>
      </c>
      <c r="U3723">
        <v>-0.2511292</v>
      </c>
      <c r="V3723">
        <v>-6.4301289999999997E-2</v>
      </c>
      <c r="W3723">
        <v>-4.3992730000000001E-2</v>
      </c>
      <c r="X3723">
        <v>0.99696039999999997</v>
      </c>
      <c r="Y3723">
        <v>8.3079899999999998E-2</v>
      </c>
      <c r="Z3723">
        <v>7.0696989999999996E-3</v>
      </c>
      <c r="AA3723">
        <v>0.99651780000000001</v>
      </c>
      <c r="AB3723">
        <v>37</v>
      </c>
      <c r="AC3723">
        <v>256.96259999999899</v>
      </c>
      <c r="AD3723">
        <v>44.010598999999999</v>
      </c>
      <c r="AE3723">
        <v>-21.156199999999899</v>
      </c>
      <c r="AF3723">
        <v>21.138140467960501</v>
      </c>
      <c r="AG3723">
        <v>44.010598999999999</v>
      </c>
      <c r="AH3723">
        <v>249.63901467422301</v>
      </c>
      <c r="AI3723">
        <v>80.036604223578095</v>
      </c>
      <c r="AJ3723">
        <v>85.160034964705005</v>
      </c>
      <c r="AK3723">
        <v>254.368613343508</v>
      </c>
      <c r="AL3723">
        <v>92.521411441467706</v>
      </c>
      <c r="AM3723">
        <v>93.690313692850495</v>
      </c>
      <c r="AN3723">
        <v>1.0000000276783301</v>
      </c>
    </row>
    <row r="3724" spans="1:40" x14ac:dyDescent="0.25">
      <c r="A3724" t="str">
        <f>"20190305135007491"</f>
        <v>20190305135007491</v>
      </c>
      <c r="B3724" t="str">
        <f>"1551765007484791"</f>
        <v>1551765007484791</v>
      </c>
      <c r="C3724" t="s">
        <v>40</v>
      </c>
      <c r="D3724">
        <v>3.8189540000000002</v>
      </c>
      <c r="E3724">
        <v>0.55807709999999999</v>
      </c>
      <c r="F3724" t="s">
        <v>60</v>
      </c>
      <c r="G3724">
        <v>-168.4299</v>
      </c>
      <c r="H3724">
        <v>44.658479999999997</v>
      </c>
      <c r="I3724">
        <v>192.7149</v>
      </c>
      <c r="J3724">
        <v>-425.0213</v>
      </c>
      <c r="K3724">
        <v>1.1079570000000001</v>
      </c>
      <c r="L3724">
        <v>214.27719999999999</v>
      </c>
      <c r="M3724">
        <v>0.99995670000000003</v>
      </c>
      <c r="N3724">
        <v>-9.2497929999999992E-3</v>
      </c>
      <c r="O3724">
        <v>1.0830169999999999E-3</v>
      </c>
      <c r="P3724">
        <v>0.99630569999999896</v>
      </c>
      <c r="Q3724">
        <v>-5.4668269999999998E-2</v>
      </c>
      <c r="R3724">
        <v>6.6230330000000004E-2</v>
      </c>
      <c r="S3724">
        <v>3.055847</v>
      </c>
      <c r="T3724">
        <v>0.51791049999999905</v>
      </c>
      <c r="U3724">
        <v>-0.25642399999999999</v>
      </c>
      <c r="V3724">
        <v>-6.5273990000000004E-2</v>
      </c>
      <c r="W3724">
        <v>-4.5273130000000002E-2</v>
      </c>
      <c r="X3724">
        <v>0.99683980000000005</v>
      </c>
      <c r="Y3724">
        <v>8.356326E-2</v>
      </c>
      <c r="Z3724">
        <v>6.8211610000000001E-3</v>
      </c>
      <c r="AA3724">
        <v>0.99647920000000001</v>
      </c>
      <c r="AB3724">
        <v>37</v>
      </c>
      <c r="AC3724">
        <v>256.59140000000002</v>
      </c>
      <c r="AD3724">
        <v>43.550522999999998</v>
      </c>
      <c r="AE3724">
        <v>-21.5623</v>
      </c>
      <c r="AF3724">
        <v>21.232820869797699</v>
      </c>
      <c r="AG3724">
        <v>43.550522999999998</v>
      </c>
      <c r="AH3724">
        <v>249.43279630437701</v>
      </c>
      <c r="AI3724">
        <v>80.1310780004507</v>
      </c>
      <c r="AJ3724">
        <v>85.1344598339562</v>
      </c>
      <c r="AK3724">
        <v>254.09486537095401</v>
      </c>
      <c r="AL3724">
        <v>92.594846295361705</v>
      </c>
      <c r="AM3724">
        <v>93.746432034941904</v>
      </c>
      <c r="AN3724">
        <v>0.99999996846727801</v>
      </c>
    </row>
    <row r="3725" spans="1:40" x14ac:dyDescent="0.25">
      <c r="A3725" t="str">
        <f>"20190305135007512"</f>
        <v>20190305135007512</v>
      </c>
      <c r="B3725" t="str">
        <f>"1551765007504310"</f>
        <v>1551765007504310</v>
      </c>
      <c r="C3725" t="s">
        <v>40</v>
      </c>
      <c r="D3725">
        <v>3.8149769999999998</v>
      </c>
      <c r="E3725">
        <v>0.55530089999999999</v>
      </c>
      <c r="F3725" t="s">
        <v>60</v>
      </c>
      <c r="G3725">
        <v>-168.42769999999999</v>
      </c>
      <c r="H3725">
        <v>38.571080000000002</v>
      </c>
      <c r="I3725">
        <v>193.2396</v>
      </c>
      <c r="J3725">
        <v>-424.66090000000003</v>
      </c>
      <c r="K3725">
        <v>1.107923</v>
      </c>
      <c r="L3725">
        <v>214.2765</v>
      </c>
      <c r="M3725">
        <v>0.99995730000000005</v>
      </c>
      <c r="N3725">
        <v>-9.2583200000000004E-3</v>
      </c>
      <c r="O3725">
        <v>-1.2625639999999999E-4</v>
      </c>
      <c r="P3725">
        <v>0.99633430000000001</v>
      </c>
      <c r="Q3725">
        <v>-5.5566150000000002E-2</v>
      </c>
      <c r="R3725">
        <v>6.5044099999999994E-2</v>
      </c>
      <c r="S3725">
        <v>3.052216</v>
      </c>
      <c r="T3725">
        <v>0.4456291</v>
      </c>
      <c r="U3725">
        <v>-0.25024410000000002</v>
      </c>
      <c r="V3725">
        <v>-6.5298889999999998E-2</v>
      </c>
      <c r="W3725">
        <v>-4.6157829999999997E-2</v>
      </c>
      <c r="X3725">
        <v>0.99679759999999995</v>
      </c>
      <c r="Y3725">
        <v>8.0793100000000007E-2</v>
      </c>
      <c r="Z3725">
        <v>5.4612599999999999E-3</v>
      </c>
      <c r="AA3725">
        <v>0.99671600000000005</v>
      </c>
      <c r="AB3725">
        <v>37</v>
      </c>
      <c r="AC3725">
        <v>256.23320000000001</v>
      </c>
      <c r="AD3725">
        <v>37.463157000000002</v>
      </c>
      <c r="AE3725">
        <v>-21.036899999999999</v>
      </c>
      <c r="AF3725">
        <v>20.5678217203664</v>
      </c>
      <c r="AG3725">
        <v>37.463157000000002</v>
      </c>
      <c r="AH3725">
        <v>250.90820920912199</v>
      </c>
      <c r="AI3725">
        <v>81.535867883085601</v>
      </c>
      <c r="AJ3725">
        <v>85.313742889625999</v>
      </c>
      <c r="AK3725">
        <v>254.522008618619</v>
      </c>
      <c r="AL3725">
        <v>92.645588914574802</v>
      </c>
      <c r="AM3725">
        <v>93.748015325435205</v>
      </c>
      <c r="AN3725">
        <v>0.99999997283565001</v>
      </c>
    </row>
    <row r="3726" spans="1:40" x14ac:dyDescent="0.25">
      <c r="A3726" t="str">
        <f>"20190305135007534"</f>
        <v>20190305135007534</v>
      </c>
      <c r="B3726" t="str">
        <f>"1551765007523832"</f>
        <v>1551765007523832</v>
      </c>
      <c r="C3726" t="s">
        <v>40</v>
      </c>
      <c r="D3726">
        <v>3.8198620000000001</v>
      </c>
      <c r="E3726">
        <v>0.55659879999999995</v>
      </c>
      <c r="F3726" t="s">
        <v>74</v>
      </c>
      <c r="G3726">
        <v>-356.79689999999999</v>
      </c>
      <c r="H3726">
        <v>8.000119E-2</v>
      </c>
      <c r="I3726">
        <v>208.84110000000001</v>
      </c>
      <c r="J3726">
        <v>-424.29329999999999</v>
      </c>
      <c r="K3726">
        <v>1.1078889999999999</v>
      </c>
      <c r="L3726">
        <v>214.27539999999999</v>
      </c>
      <c r="M3726">
        <v>0.99995610000000001</v>
      </c>
      <c r="N3726">
        <v>-9.2660350000000006E-3</v>
      </c>
      <c r="O3726">
        <v>-1.3521879999999901E-3</v>
      </c>
      <c r="P3726">
        <v>0.9963919</v>
      </c>
      <c r="Q3726">
        <v>-5.5901699999999901E-2</v>
      </c>
      <c r="R3726">
        <v>6.3861180000000003E-2</v>
      </c>
      <c r="S3726">
        <v>3.0242309999999999</v>
      </c>
      <c r="T3726">
        <v>-4.5807359999999998E-2</v>
      </c>
      <c r="U3726">
        <v>-0.24221799999999999</v>
      </c>
      <c r="V3726">
        <v>-6.5340690000000007E-2</v>
      </c>
      <c r="W3726">
        <v>-4.6482349999999999E-2</v>
      </c>
      <c r="X3726">
        <v>0.99677979999999999</v>
      </c>
      <c r="Y3726">
        <v>7.8474370000000002E-2</v>
      </c>
      <c r="Z3726">
        <v>-9.4959099999999996E-4</v>
      </c>
      <c r="AA3726">
        <v>0.99691569999999996</v>
      </c>
      <c r="AB3726">
        <v>37</v>
      </c>
      <c r="AC3726">
        <v>67.496399999999994</v>
      </c>
      <c r="AD3726">
        <v>-1.02788781</v>
      </c>
      <c r="AE3726">
        <v>-5.4342999999999702</v>
      </c>
      <c r="AF3726">
        <v>5.3417924190791597</v>
      </c>
      <c r="AG3726">
        <v>-1.02788781</v>
      </c>
      <c r="AH3726">
        <v>67.488136043580994</v>
      </c>
      <c r="AI3726">
        <v>90.869864020573701</v>
      </c>
      <c r="AJ3726">
        <v>85.4743838923537</v>
      </c>
      <c r="AK3726">
        <v>67.707014453713597</v>
      </c>
      <c r="AL3726">
        <v>92.664202468950805</v>
      </c>
      <c r="AM3726">
        <v>93.7504744918499</v>
      </c>
      <c r="AN3726">
        <v>0.99999999215961899</v>
      </c>
    </row>
    <row r="3727" spans="1:40" x14ac:dyDescent="0.25">
      <c r="A3727" t="str">
        <f>"20190305135007556"</f>
        <v>20190305135007556</v>
      </c>
      <c r="B3727" t="str">
        <f>"1551765007544329"</f>
        <v>1551765007544329</v>
      </c>
      <c r="C3727" t="s">
        <v>40</v>
      </c>
      <c r="D3727">
        <v>3.803518</v>
      </c>
      <c r="E3727">
        <v>0.55723210000000001</v>
      </c>
      <c r="F3727" t="s">
        <v>74</v>
      </c>
      <c r="G3727">
        <v>-349.39019999999999</v>
      </c>
      <c r="H3727">
        <v>8.0000180000000004E-2</v>
      </c>
      <c r="I3727">
        <v>207.93940000000001</v>
      </c>
      <c r="J3727">
        <v>-423.93950000000001</v>
      </c>
      <c r="K3727">
        <v>1.1078779999999999</v>
      </c>
      <c r="L3727">
        <v>214.274</v>
      </c>
      <c r="M3727">
        <v>0.99995400000000001</v>
      </c>
      <c r="N3727">
        <v>-9.2695380000000008E-3</v>
      </c>
      <c r="O3727">
        <v>-2.5138000000000001E-3</v>
      </c>
      <c r="P3727">
        <v>0.9965136</v>
      </c>
      <c r="Q3727">
        <v>-5.6146700000000001E-2</v>
      </c>
      <c r="R3727">
        <v>6.1712400000000001E-2</v>
      </c>
      <c r="S3727">
        <v>3.024902</v>
      </c>
      <c r="T3727">
        <v>-4.1510459999999999E-2</v>
      </c>
      <c r="U3727">
        <v>-0.25587460000000001</v>
      </c>
      <c r="V3727">
        <v>-6.4351309999999995E-2</v>
      </c>
      <c r="W3727">
        <v>-4.6724509999999997E-2</v>
      </c>
      <c r="X3727">
        <v>0.99683279999999996</v>
      </c>
      <c r="Y3727">
        <v>8.1770319999999994E-2</v>
      </c>
      <c r="Z3727">
        <v>-9.285653E-4</v>
      </c>
      <c r="AA3727">
        <v>0.99665079999999995</v>
      </c>
      <c r="AB3727">
        <v>37</v>
      </c>
      <c r="AC3727">
        <v>74.549300000000002</v>
      </c>
      <c r="AD3727">
        <v>-1.0278778200000001</v>
      </c>
      <c r="AE3727">
        <v>-6.3345999999999902</v>
      </c>
      <c r="AF3727">
        <v>6.1460099066162099</v>
      </c>
      <c r="AG3727">
        <v>-1.0278778200000001</v>
      </c>
      <c r="AH3727">
        <v>74.5509180516366</v>
      </c>
      <c r="AI3727">
        <v>90.787250540448895</v>
      </c>
      <c r="AJ3727">
        <v>85.287168691988001</v>
      </c>
      <c r="AK3727">
        <v>74.810890603754402</v>
      </c>
      <c r="AL3727">
        <v>92.678092416978103</v>
      </c>
      <c r="AM3727">
        <v>93.693647885515006</v>
      </c>
      <c r="AN3727">
        <v>0.99999995104464701</v>
      </c>
    </row>
    <row r="3728" spans="1:40" x14ac:dyDescent="0.25">
      <c r="A3728" t="str">
        <f>"20190305135007578"</f>
        <v>20190305135007578</v>
      </c>
      <c r="B3728" t="str">
        <f>"1551765007574582"</f>
        <v>1551765007574582</v>
      </c>
      <c r="C3728" t="s">
        <v>40</v>
      </c>
      <c r="D3728">
        <v>3.6886420000000002</v>
      </c>
      <c r="E3728">
        <v>0.55756649999999996</v>
      </c>
      <c r="F3728" t="s">
        <v>74</v>
      </c>
      <c r="G3728">
        <v>-350.50549999999998</v>
      </c>
      <c r="H3728">
        <v>8.0001610000000001E-2</v>
      </c>
      <c r="I3728">
        <v>207.7817</v>
      </c>
      <c r="J3728">
        <v>-423.55880000000002</v>
      </c>
      <c r="K3728">
        <v>1.1078709999999901</v>
      </c>
      <c r="L3728">
        <v>214.27189999999999</v>
      </c>
      <c r="M3728">
        <v>0.99995009999999995</v>
      </c>
      <c r="N3728">
        <v>-9.2700590000000006E-3</v>
      </c>
      <c r="O3728">
        <v>-3.7304320000000001E-3</v>
      </c>
      <c r="P3728">
        <v>0.99665870000000001</v>
      </c>
      <c r="Q3728">
        <v>-5.5584179999999997E-2</v>
      </c>
      <c r="R3728">
        <v>5.9849119999999999E-2</v>
      </c>
      <c r="S3728">
        <v>3.024689</v>
      </c>
      <c r="T3728">
        <v>-4.2337420000000001E-2</v>
      </c>
      <c r="U3728">
        <v>-0.26741029999999999</v>
      </c>
      <c r="V3728">
        <v>-6.3699859999999997E-2</v>
      </c>
      <c r="W3728">
        <v>-4.616265E-2</v>
      </c>
      <c r="X3728">
        <v>0.99690089999999998</v>
      </c>
      <c r="Y3728">
        <v>8.4335370000000007E-2</v>
      </c>
      <c r="Z3728">
        <v>-9.6315949999999995E-4</v>
      </c>
      <c r="AA3728">
        <v>0.99643700000000002</v>
      </c>
      <c r="AB3728">
        <v>37</v>
      </c>
      <c r="AC3728">
        <v>73.053299999999993</v>
      </c>
      <c r="AD3728">
        <v>-1.02786938999999</v>
      </c>
      <c r="AE3728">
        <v>-6.4901999999999802</v>
      </c>
      <c r="AF3728">
        <v>6.2164017511035397</v>
      </c>
      <c r="AG3728">
        <v>-1.02786938999999</v>
      </c>
      <c r="AH3728">
        <v>73.062653097371097</v>
      </c>
      <c r="AI3728">
        <v>90.803101405156696</v>
      </c>
      <c r="AJ3728">
        <v>85.136806304668298</v>
      </c>
      <c r="AK3728">
        <v>73.333835600224901</v>
      </c>
      <c r="AL3728">
        <v>92.645865214521095</v>
      </c>
      <c r="AM3728">
        <v>93.656108699579704</v>
      </c>
      <c r="AN3728">
        <v>1.0000000334199199</v>
      </c>
    </row>
    <row r="3729" spans="1:40" x14ac:dyDescent="0.25">
      <c r="A3729" t="str">
        <f>"20190305135007592"</f>
        <v>20190305135007592</v>
      </c>
      <c r="B3729" t="str">
        <f>"1551765007584342"</f>
        <v>1551765007584342</v>
      </c>
      <c r="C3729" t="s">
        <v>40</v>
      </c>
      <c r="D3729">
        <v>3.8341669999999999</v>
      </c>
      <c r="E3729">
        <v>0.55801699999999999</v>
      </c>
      <c r="F3729" t="s">
        <v>74</v>
      </c>
      <c r="G3729">
        <v>-340.91289999999998</v>
      </c>
      <c r="H3729">
        <v>8.000119E-2</v>
      </c>
      <c r="I3729">
        <v>206.74109999999999</v>
      </c>
      <c r="J3729">
        <v>-423.315</v>
      </c>
      <c r="K3729">
        <v>1.107874</v>
      </c>
      <c r="L3729">
        <v>214.2704</v>
      </c>
      <c r="M3729">
        <v>0.99994700000000003</v>
      </c>
      <c r="N3729">
        <v>-9.2697709999999996E-3</v>
      </c>
      <c r="O3729">
        <v>-4.4901769999999997E-3</v>
      </c>
      <c r="P3729">
        <v>0.99672130000000003</v>
      </c>
      <c r="Q3729">
        <v>-5.5530789999999997E-2</v>
      </c>
      <c r="R3729">
        <v>5.884694E-2</v>
      </c>
      <c r="S3729">
        <v>3.0245669999999998</v>
      </c>
      <c r="T3729">
        <v>-3.7616610000000002E-2</v>
      </c>
      <c r="U3729">
        <v>-0.27560420000000002</v>
      </c>
      <c r="V3729">
        <v>-6.3454239999999995E-2</v>
      </c>
      <c r="W3729">
        <v>-4.6110900000000003E-2</v>
      </c>
      <c r="X3729">
        <v>0.99691890000000005</v>
      </c>
      <c r="Y3729">
        <v>8.6261599999999994E-2</v>
      </c>
      <c r="Z3729">
        <v>-9.2177980000000001E-4</v>
      </c>
      <c r="AA3729">
        <v>0.99627209999999999</v>
      </c>
      <c r="AB3729">
        <v>37</v>
      </c>
      <c r="AC3729">
        <v>82.402100000000004</v>
      </c>
      <c r="AD3729">
        <v>-1.0278728100000001</v>
      </c>
      <c r="AE3729">
        <v>-7.5293000000000001</v>
      </c>
      <c r="AF3729">
        <v>7.1581036366105204</v>
      </c>
      <c r="AG3729">
        <v>-1.0278728100000001</v>
      </c>
      <c r="AH3729">
        <v>82.422360068083194</v>
      </c>
      <c r="AI3729">
        <v>90.711808170332702</v>
      </c>
      <c r="AJ3729">
        <v>85.036508806572101</v>
      </c>
      <c r="AK3729">
        <v>82.738989656502</v>
      </c>
      <c r="AL3729">
        <v>92.642897153299003</v>
      </c>
      <c r="AM3729">
        <v>93.641983561782496</v>
      </c>
      <c r="AN3729">
        <v>0.99999997442499799</v>
      </c>
    </row>
    <row r="3730" spans="1:40" x14ac:dyDescent="0.25">
      <c r="A3730" t="str">
        <f>"20190305135007604"</f>
        <v>20190305135007604</v>
      </c>
      <c r="B3730" t="str">
        <f>"1551765007594102"</f>
        <v>1551765007594102</v>
      </c>
      <c r="C3730" t="s">
        <v>40</v>
      </c>
      <c r="D3730">
        <v>3.8223039999999999</v>
      </c>
      <c r="E3730">
        <v>0.55832919999999997</v>
      </c>
      <c r="F3730" t="s">
        <v>74</v>
      </c>
      <c r="G3730">
        <v>-334.93189999999998</v>
      </c>
      <c r="H3730">
        <v>8.0000390000000005E-2</v>
      </c>
      <c r="I3730">
        <v>206.02019999999999</v>
      </c>
      <c r="J3730">
        <v>-423.10149999999999</v>
      </c>
      <c r="K3730">
        <v>1.107883</v>
      </c>
      <c r="L3730">
        <v>214.26900000000001</v>
      </c>
      <c r="M3730">
        <v>0.9999439</v>
      </c>
      <c r="N3730">
        <v>-9.2694460000000006E-3</v>
      </c>
      <c r="O3730">
        <v>-5.1366190000000003E-3</v>
      </c>
      <c r="P3730">
        <v>0.99675829999999999</v>
      </c>
      <c r="Q3730">
        <v>-5.5587530000000003E-2</v>
      </c>
      <c r="R3730">
        <v>5.8164880000000002E-2</v>
      </c>
      <c r="S3730">
        <v>3.0245669999999998</v>
      </c>
      <c r="T3730">
        <v>-3.517497E-2</v>
      </c>
      <c r="U3730">
        <v>-0.28233340000000001</v>
      </c>
      <c r="V3730">
        <v>-6.3415100000000002E-2</v>
      </c>
      <c r="W3730">
        <v>-4.6169469999999997E-2</v>
      </c>
      <c r="X3730">
        <v>0.99691870000000005</v>
      </c>
      <c r="Y3730">
        <v>8.7816229999999995E-2</v>
      </c>
      <c r="Z3730">
        <v>-9.0534779999999998E-4</v>
      </c>
      <c r="AA3730">
        <v>0.99613629999999997</v>
      </c>
      <c r="AB3730">
        <v>38</v>
      </c>
      <c r="AC3730">
        <v>88.169600000000003</v>
      </c>
      <c r="AD3730">
        <v>-1.02788261</v>
      </c>
      <c r="AE3730">
        <v>-8.2488000000000099</v>
      </c>
      <c r="AF3730">
        <v>7.7947279082388103</v>
      </c>
      <c r="AG3730">
        <v>-1.02788261</v>
      </c>
      <c r="AH3730">
        <v>88.198926433852805</v>
      </c>
      <c r="AI3730">
        <v>90.665110674631094</v>
      </c>
      <c r="AJ3730">
        <v>84.949511048539193</v>
      </c>
      <c r="AK3730">
        <v>88.548658656738496</v>
      </c>
      <c r="AL3730">
        <v>92.646256491500196</v>
      </c>
      <c r="AM3730">
        <v>93.639743873464596</v>
      </c>
      <c r="AN3730">
        <v>0.99999999463889</v>
      </c>
    </row>
    <row r="3731" spans="1:40" x14ac:dyDescent="0.25">
      <c r="A3731" t="str">
        <f>"20190305135007623"</f>
        <v>20190305135007623</v>
      </c>
      <c r="B3731" t="str">
        <f>"1551765007614601"</f>
        <v>1551765007614601</v>
      </c>
      <c r="C3731" t="s">
        <v>40</v>
      </c>
      <c r="D3731">
        <v>3.8566600000000002</v>
      </c>
      <c r="E3731">
        <v>0.55892749999999902</v>
      </c>
      <c r="F3731" t="s">
        <v>74</v>
      </c>
      <c r="G3731">
        <v>-330.77050000000003</v>
      </c>
      <c r="H3731">
        <v>8.0001630000000004E-2</v>
      </c>
      <c r="I3731">
        <v>205.5138</v>
      </c>
      <c r="J3731">
        <v>-422.791</v>
      </c>
      <c r="K3731">
        <v>1.1079030000000001</v>
      </c>
      <c r="L3731">
        <v>214.26660000000001</v>
      </c>
      <c r="M3731">
        <v>0.99993889999999996</v>
      </c>
      <c r="N3731">
        <v>-9.2691749999999993E-3</v>
      </c>
      <c r="O3731">
        <v>-6.0479150000000001E-3</v>
      </c>
      <c r="P3731">
        <v>0.9968612</v>
      </c>
      <c r="Q3731">
        <v>-5.5237689999999999E-2</v>
      </c>
      <c r="R3731">
        <v>5.6716170000000003E-2</v>
      </c>
      <c r="S3731">
        <v>3.0246279999999999</v>
      </c>
      <c r="T3731">
        <v>-3.3671859999999998E-2</v>
      </c>
      <c r="U3731">
        <v>-0.28680420000000001</v>
      </c>
      <c r="V3731">
        <v>-6.2871780000000002E-2</v>
      </c>
      <c r="W3731">
        <v>-4.5823860000000001E-2</v>
      </c>
      <c r="X3731">
        <v>0.99696899999999999</v>
      </c>
      <c r="Y3731">
        <v>8.836666E-2</v>
      </c>
      <c r="Z3731">
        <v>-8.9001749999999995E-4</v>
      </c>
      <c r="AA3731">
        <v>0.99608759999999996</v>
      </c>
      <c r="AB3731">
        <v>38</v>
      </c>
      <c r="AC3731">
        <v>92.020499999999899</v>
      </c>
      <c r="AD3731">
        <v>-1.0279013699999999</v>
      </c>
      <c r="AE3731">
        <v>-8.7528000000000006</v>
      </c>
      <c r="AF3731">
        <v>8.1950705335516094</v>
      </c>
      <c r="AG3731">
        <v>-1.0279013699999999</v>
      </c>
      <c r="AH3731">
        <v>92.0603713683943</v>
      </c>
      <c r="AI3731">
        <v>90.637190798937297</v>
      </c>
      <c r="AJ3731">
        <v>84.913027750089597</v>
      </c>
      <c r="AK3731">
        <v>92.430123546184902</v>
      </c>
      <c r="AL3731">
        <v>92.626433667885394</v>
      </c>
      <c r="AM3731">
        <v>93.608460900524904</v>
      </c>
      <c r="AN3731">
        <v>0.999999936913332</v>
      </c>
    </row>
    <row r="3732" spans="1:40" x14ac:dyDescent="0.25">
      <c r="A3732" t="str">
        <f>"20190305135007637"</f>
        <v>20190305135007637</v>
      </c>
      <c r="B3732" t="str">
        <f>"1551765007634118"</f>
        <v>1551765007634118</v>
      </c>
      <c r="C3732" t="s">
        <v>40</v>
      </c>
      <c r="D3732">
        <v>3.8067700000000002</v>
      </c>
      <c r="E3732">
        <v>0.55922969999999905</v>
      </c>
      <c r="F3732" t="s">
        <v>78</v>
      </c>
      <c r="G3732">
        <v>-308.78410000000002</v>
      </c>
      <c r="H3732" s="1">
        <v>2.3020690000000002E-6</v>
      </c>
      <c r="I3732">
        <v>203.10550000000001</v>
      </c>
      <c r="J3732">
        <v>-422.56720000000001</v>
      </c>
      <c r="K3732">
        <v>1.1079190000000001</v>
      </c>
      <c r="L3732">
        <v>214.2647</v>
      </c>
      <c r="M3732">
        <v>0.99993480000000001</v>
      </c>
      <c r="N3732">
        <v>-9.2691649999999993E-3</v>
      </c>
      <c r="O3732">
        <v>-6.6801639999999997E-3</v>
      </c>
      <c r="P3732">
        <v>0.99691229999999997</v>
      </c>
      <c r="Q3732">
        <v>-5.5247480000000002E-2</v>
      </c>
      <c r="R3732">
        <v>5.579945E-2</v>
      </c>
      <c r="S3732">
        <v>3.024689</v>
      </c>
      <c r="T3732">
        <v>-2.9393430000000002E-2</v>
      </c>
      <c r="U3732">
        <v>-0.29611209999999999</v>
      </c>
      <c r="V3732">
        <v>-6.2584119999999993E-2</v>
      </c>
      <c r="W3732">
        <v>-4.5837030000000001E-2</v>
      </c>
      <c r="X3732">
        <v>0.99698659999999995</v>
      </c>
      <c r="Y3732">
        <v>9.0773400000000004E-2</v>
      </c>
      <c r="Z3732">
        <v>-8.5875070000000005E-4</v>
      </c>
      <c r="AA3732">
        <v>0.99587119999999996</v>
      </c>
      <c r="AB3732">
        <v>38</v>
      </c>
      <c r="AC3732">
        <v>113.7831</v>
      </c>
      <c r="AD3732">
        <v>-1.107916697931</v>
      </c>
      <c r="AE3732">
        <v>-11.159199999999901</v>
      </c>
      <c r="AF3732">
        <v>10.3978521823433</v>
      </c>
      <c r="AG3732">
        <v>-1.107916697931</v>
      </c>
      <c r="AH3732">
        <v>113.84441860359701</v>
      </c>
      <c r="AI3732">
        <v>90.555265254037195</v>
      </c>
      <c r="AJ3732">
        <v>84.781433035294498</v>
      </c>
      <c r="AK3732">
        <v>114.323639097986</v>
      </c>
      <c r="AL3732">
        <v>92.627188768204505</v>
      </c>
      <c r="AM3732">
        <v>93.591931031983805</v>
      </c>
      <c r="AN3732">
        <v>1.00000004298747</v>
      </c>
    </row>
    <row r="3733" spans="1:40" x14ac:dyDescent="0.25">
      <c r="A3733" t="str">
        <f>"20190305135007656"</f>
        <v>20190305135007656</v>
      </c>
      <c r="B3733" t="str">
        <f>"1551765007653638"</f>
        <v>1551765007653638</v>
      </c>
      <c r="C3733" t="s">
        <v>40</v>
      </c>
      <c r="D3733">
        <v>3.8457560000000002</v>
      </c>
      <c r="E3733">
        <v>0.55961749999999999</v>
      </c>
      <c r="F3733" t="s">
        <v>78</v>
      </c>
      <c r="G3733">
        <v>-299.56079999999997</v>
      </c>
      <c r="H3733" s="1">
        <v>4.597176E-6</v>
      </c>
      <c r="I3733">
        <v>202.0078</v>
      </c>
      <c r="J3733">
        <v>-422.23840000000001</v>
      </c>
      <c r="K3733">
        <v>1.1079540000000001</v>
      </c>
      <c r="L3733">
        <v>214.26179999999999</v>
      </c>
      <c r="M3733">
        <v>0.9999285</v>
      </c>
      <c r="N3733">
        <v>-9.2694760000000005E-3</v>
      </c>
      <c r="O3733">
        <v>-7.5710109999999999E-3</v>
      </c>
      <c r="P3733">
        <v>0.99699289999999996</v>
      </c>
      <c r="Q3733">
        <v>-5.521554E-2</v>
      </c>
      <c r="R3733">
        <v>5.4378030000000001E-2</v>
      </c>
      <c r="S3733">
        <v>3.0246580000000001</v>
      </c>
      <c r="T3733">
        <v>-2.724302E-2</v>
      </c>
      <c r="U3733">
        <v>-0.30139159999999998</v>
      </c>
      <c r="V3733">
        <v>-6.2046999999999998E-2</v>
      </c>
      <c r="W3733">
        <v>-4.5810709999999998E-2</v>
      </c>
      <c r="X3733">
        <v>0.9970213</v>
      </c>
      <c r="Y3733">
        <v>9.160944E-2</v>
      </c>
      <c r="Z3733">
        <v>-8.3919500000000005E-4</v>
      </c>
      <c r="AA3733">
        <v>0.99579470000000003</v>
      </c>
      <c r="AB3733">
        <v>38</v>
      </c>
      <c r="AC3733">
        <v>122.6776</v>
      </c>
      <c r="AD3733">
        <v>-1.107949402824</v>
      </c>
      <c r="AE3733">
        <v>-12.2539999999999</v>
      </c>
      <c r="AF3733">
        <v>11.323900994392799</v>
      </c>
      <c r="AG3733">
        <v>-1.107949402824</v>
      </c>
      <c r="AH3733">
        <v>122.75694895870799</v>
      </c>
      <c r="AI3733">
        <v>90.514925977496901</v>
      </c>
      <c r="AJ3733">
        <v>84.729579528414106</v>
      </c>
      <c r="AK3733">
        <v>123.283116456637</v>
      </c>
      <c r="AL3733">
        <v>92.625679370337593</v>
      </c>
      <c r="AM3733">
        <v>93.561059806357207</v>
      </c>
      <c r="AN3733">
        <v>0.99999996200669605</v>
      </c>
    </row>
    <row r="3734" spans="1:40" x14ac:dyDescent="0.25">
      <c r="A3734" t="str">
        <f>"20190305135007672"</f>
        <v>20190305135007672</v>
      </c>
      <c r="B3734" t="str">
        <f>"1551765007664374"</f>
        <v>1551765007664374</v>
      </c>
      <c r="C3734" t="s">
        <v>40</v>
      </c>
      <c r="D3734">
        <v>3.765088</v>
      </c>
      <c r="E3734">
        <v>0.55971219999999999</v>
      </c>
      <c r="F3734" t="s">
        <v>78</v>
      </c>
      <c r="G3734">
        <v>-290.7758</v>
      </c>
      <c r="H3734" s="1">
        <v>2.6610480000000001E-6</v>
      </c>
      <c r="I3734">
        <v>200.84180000000001</v>
      </c>
      <c r="J3734">
        <v>-421.98469999999998</v>
      </c>
      <c r="K3734">
        <v>1.1079810000000001</v>
      </c>
      <c r="L3734">
        <v>214.2594</v>
      </c>
      <c r="M3734">
        <v>0.99992329999999996</v>
      </c>
      <c r="N3734">
        <v>-9.2699919999999995E-3</v>
      </c>
      <c r="O3734">
        <v>-8.2305480000000007E-3</v>
      </c>
      <c r="P3734">
        <v>0.99704340000000002</v>
      </c>
      <c r="Q3734">
        <v>-5.5268589999999999E-2</v>
      </c>
      <c r="R3734">
        <v>5.3386320000000001E-2</v>
      </c>
      <c r="S3734">
        <v>3.0244749999999998</v>
      </c>
      <c r="T3734">
        <v>-2.5489930000000001E-2</v>
      </c>
      <c r="U3734">
        <v>-0.30874629999999997</v>
      </c>
      <c r="V3734">
        <v>-6.171024E-2</v>
      </c>
      <c r="W3734">
        <v>-4.586805E-2</v>
      </c>
      <c r="X3734">
        <v>0.99703960000000003</v>
      </c>
      <c r="Y3734">
        <v>9.3356149999999999E-2</v>
      </c>
      <c r="Z3734">
        <v>-8.3315570000000005E-4</v>
      </c>
      <c r="AA3734">
        <v>0.99563239999999997</v>
      </c>
      <c r="AB3734">
        <v>38</v>
      </c>
      <c r="AC3734">
        <v>131.20889999999901</v>
      </c>
      <c r="AD3734">
        <v>-1.1079783389519999</v>
      </c>
      <c r="AE3734">
        <v>-13.417599999999901</v>
      </c>
      <c r="AF3734">
        <v>12.3363075162453</v>
      </c>
      <c r="AG3734">
        <v>-1.1079783389519999</v>
      </c>
      <c r="AH3734">
        <v>131.30562811132</v>
      </c>
      <c r="AI3734">
        <v>90.481340091842597</v>
      </c>
      <c r="AJ3734">
        <v>84.632753670916301</v>
      </c>
      <c r="AK3734">
        <v>131.88851380178301</v>
      </c>
      <c r="AL3734">
        <v>92.628968073271096</v>
      </c>
      <c r="AM3734">
        <v>93.5417166504335</v>
      </c>
      <c r="AN3734">
        <v>0.99999999784991001</v>
      </c>
    </row>
    <row r="3735" spans="1:40" x14ac:dyDescent="0.25">
      <c r="A3735" t="str">
        <f>"20190305135007693"</f>
        <v>20190305135007693</v>
      </c>
      <c r="B3735" t="str">
        <f>"1551765007683894"</f>
        <v>1551765007683894</v>
      </c>
      <c r="C3735" t="s">
        <v>40</v>
      </c>
      <c r="D3735">
        <v>3.8282029999999998</v>
      </c>
      <c r="E3735">
        <v>0.55981890000000001</v>
      </c>
      <c r="F3735" t="s">
        <v>78</v>
      </c>
      <c r="G3735">
        <v>-289.95780000000002</v>
      </c>
      <c r="H3735">
        <v>2.1881999999999999E-2</v>
      </c>
      <c r="I3735">
        <v>200.6216</v>
      </c>
      <c r="J3735">
        <v>-421.6234</v>
      </c>
      <c r="K3735">
        <v>1.1080190000000001</v>
      </c>
      <c r="L3735">
        <v>214.25559999999999</v>
      </c>
      <c r="M3735">
        <v>0.99991540000000001</v>
      </c>
      <c r="N3735">
        <v>-9.2713940000000005E-3</v>
      </c>
      <c r="O3735">
        <v>-9.1209299999999993E-3</v>
      </c>
      <c r="P3735">
        <v>0.99708620000000003</v>
      </c>
      <c r="Q3735">
        <v>-5.562603E-2</v>
      </c>
      <c r="R3735">
        <v>5.2199660000000002E-2</v>
      </c>
      <c r="S3735">
        <v>3.0242610000000001</v>
      </c>
      <c r="T3735">
        <v>-2.4878620000000001E-2</v>
      </c>
      <c r="U3735">
        <v>-0.31239319999999998</v>
      </c>
      <c r="V3735">
        <v>-6.1407789999999997E-2</v>
      </c>
      <c r="W3735">
        <v>-4.6230889999999997E-2</v>
      </c>
      <c r="X3735">
        <v>0.99704150000000002</v>
      </c>
      <c r="Y3735">
        <v>9.366497E-2</v>
      </c>
      <c r="Z3735">
        <v>-8.291412E-4</v>
      </c>
      <c r="AA3735">
        <v>0.99560340000000003</v>
      </c>
      <c r="AB3735">
        <v>38</v>
      </c>
      <c r="AC3735">
        <v>131.66559999999899</v>
      </c>
      <c r="AD3735">
        <v>-1.0861369999999999</v>
      </c>
      <c r="AE3735">
        <v>-13.633999999999901</v>
      </c>
      <c r="AF3735">
        <v>12.4316314685872</v>
      </c>
      <c r="AG3735">
        <v>-1.0861369999999999</v>
      </c>
      <c r="AH3735">
        <v>131.77561067769599</v>
      </c>
      <c r="AI3735">
        <v>90.470152133863095</v>
      </c>
      <c r="AJ3735">
        <v>84.610701132744794</v>
      </c>
      <c r="AK3735">
        <v>132.36516431460799</v>
      </c>
      <c r="AL3735">
        <v>92.649779392749096</v>
      </c>
      <c r="AM3735">
        <v>93.524395393278198</v>
      </c>
      <c r="AN3735">
        <v>0.99999998229256204</v>
      </c>
    </row>
    <row r="3736" spans="1:40" x14ac:dyDescent="0.25">
      <c r="A3736" t="str">
        <f>"20190305135007713"</f>
        <v>20190305135007713</v>
      </c>
      <c r="B3736" t="str">
        <f>"1551765007704393"</f>
        <v>1551765007704393</v>
      </c>
      <c r="C3736" t="s">
        <v>40</v>
      </c>
      <c r="D3736">
        <v>3.8198979999999998</v>
      </c>
      <c r="E3736">
        <v>0.55991309999999905</v>
      </c>
      <c r="F3736" t="s">
        <v>78</v>
      </c>
      <c r="G3736">
        <v>-290.5693</v>
      </c>
      <c r="H3736" s="1">
        <v>2.6639149999999998E-6</v>
      </c>
      <c r="I3736">
        <v>200.51570000000001</v>
      </c>
      <c r="J3736">
        <v>-421.2747</v>
      </c>
      <c r="K3736">
        <v>1.1080540000000001</v>
      </c>
      <c r="L3736">
        <v>214.2517</v>
      </c>
      <c r="M3736">
        <v>0.99990769999999995</v>
      </c>
      <c r="N3736">
        <v>-9.2732530000000004E-3</v>
      </c>
      <c r="O3736">
        <v>-9.9350610000000002E-3</v>
      </c>
      <c r="P3736">
        <v>0.99712940000000005</v>
      </c>
      <c r="Q3736">
        <v>-5.5427879999999999E-2</v>
      </c>
      <c r="R3736">
        <v>5.1582889999999999E-2</v>
      </c>
      <c r="S3736">
        <v>3.0239259999999999</v>
      </c>
      <c r="T3736">
        <v>-2.5566220000000001E-2</v>
      </c>
      <c r="U3736">
        <v>-0.31703189999999998</v>
      </c>
      <c r="V3736">
        <v>-6.1598510000000002E-2</v>
      </c>
      <c r="W3736">
        <v>-4.6036069999999998E-2</v>
      </c>
      <c r="X3736">
        <v>0.9970388</v>
      </c>
      <c r="Y3736">
        <v>9.4376150000000006E-2</v>
      </c>
      <c r="Z3736">
        <v>-8.448091E-4</v>
      </c>
      <c r="AA3736">
        <v>0.99553630000000004</v>
      </c>
      <c r="AB3736">
        <v>38</v>
      </c>
      <c r="AC3736">
        <v>130.7054</v>
      </c>
      <c r="AD3736">
        <v>-1.1080513360849999</v>
      </c>
      <c r="AE3736">
        <v>-13.735999999999899</v>
      </c>
      <c r="AF3736">
        <v>12.4358161574758</v>
      </c>
      <c r="AG3736">
        <v>-1.1080513360849999</v>
      </c>
      <c r="AH3736">
        <v>130.82612303330799</v>
      </c>
      <c r="AI3736">
        <v>90.483086048163699</v>
      </c>
      <c r="AJ3736">
        <v>84.570004090979296</v>
      </c>
      <c r="AK3736">
        <v>131.42051502407099</v>
      </c>
      <c r="AL3736">
        <v>92.638604998942</v>
      </c>
      <c r="AM3736">
        <v>93.535323272975901</v>
      </c>
      <c r="AN3736">
        <v>1.00000003244035</v>
      </c>
    </row>
    <row r="3737" spans="1:40" x14ac:dyDescent="0.25">
      <c r="A3737" t="str">
        <f>"20190305135007734"</f>
        <v>20190305135007734</v>
      </c>
      <c r="B3737" t="str">
        <f>"1551765007723910"</f>
        <v>1551765007723910</v>
      </c>
      <c r="C3737" t="s">
        <v>40</v>
      </c>
      <c r="D3737">
        <v>3.902396</v>
      </c>
      <c r="E3737">
        <v>0.55998740000000002</v>
      </c>
      <c r="F3737" t="s">
        <v>78</v>
      </c>
      <c r="G3737">
        <v>-289.95780000000002</v>
      </c>
      <c r="H3737">
        <v>3.0497020000000001E-3</v>
      </c>
      <c r="I3737">
        <v>200.37479999999999</v>
      </c>
      <c r="J3737">
        <v>-420.91460000000001</v>
      </c>
      <c r="K3737">
        <v>1.1080920000000001</v>
      </c>
      <c r="L3737">
        <v>214.2475</v>
      </c>
      <c r="M3737">
        <v>0.9998996</v>
      </c>
      <c r="N3737">
        <v>-9.2758460000000008E-3</v>
      </c>
      <c r="O3737">
        <v>-1.073204E-2</v>
      </c>
      <c r="P3737">
        <v>0.99718859999999998</v>
      </c>
      <c r="Q3737">
        <v>-5.492234E-2</v>
      </c>
      <c r="R3737">
        <v>5.0979879999999998E-2</v>
      </c>
      <c r="S3737">
        <v>3.0237430000000001</v>
      </c>
      <c r="T3737">
        <v>-2.5444149999999999E-2</v>
      </c>
      <c r="U3737">
        <v>-0.31953429999999999</v>
      </c>
      <c r="V3737">
        <v>-6.178488E-2</v>
      </c>
      <c r="W3737">
        <v>-4.5532959999999997E-2</v>
      </c>
      <c r="X3737">
        <v>0.99705029999999994</v>
      </c>
      <c r="Y3737">
        <v>9.4403840000000003E-2</v>
      </c>
      <c r="Z3737">
        <v>-8.4441210000000004E-4</v>
      </c>
      <c r="AA3737">
        <v>0.99553360000000002</v>
      </c>
      <c r="AB3737">
        <v>38</v>
      </c>
      <c r="AC3737">
        <v>130.95679999999999</v>
      </c>
      <c r="AD3737">
        <v>-1.1050422979999901</v>
      </c>
      <c r="AE3737">
        <v>-13.8727</v>
      </c>
      <c r="AF3737">
        <v>12.4655294810598</v>
      </c>
      <c r="AG3737">
        <v>-1.1050422979999901</v>
      </c>
      <c r="AH3737">
        <v>131.088915882507</v>
      </c>
      <c r="AI3737">
        <v>90.4808068364934</v>
      </c>
      <c r="AJ3737">
        <v>84.567953826198305</v>
      </c>
      <c r="AK3737">
        <v>131.68490578260901</v>
      </c>
      <c r="AL3737">
        <v>92.609748845253094</v>
      </c>
      <c r="AM3737">
        <v>93.545951559776199</v>
      </c>
      <c r="AN3737">
        <v>0.99999996128653201</v>
      </c>
    </row>
    <row r="3738" spans="1:40" x14ac:dyDescent="0.25">
      <c r="A3738" t="str">
        <f>"20190305135007757"</f>
        <v>20190305135007757</v>
      </c>
      <c r="B3738" t="str">
        <f>"1551765007754166"</f>
        <v>1551765007754166</v>
      </c>
      <c r="C3738" t="s">
        <v>40</v>
      </c>
      <c r="D3738">
        <v>3.8441890000000001</v>
      </c>
      <c r="E3738">
        <v>0.56002450000000004</v>
      </c>
      <c r="F3738" t="s">
        <v>78</v>
      </c>
      <c r="G3738">
        <v>-289.93279999999999</v>
      </c>
      <c r="H3738">
        <v>7.4943940000000001E-2</v>
      </c>
      <c r="I3738">
        <v>200.30160000000001</v>
      </c>
      <c r="J3738">
        <v>-420.54360000000003</v>
      </c>
      <c r="K3738">
        <v>1.108133</v>
      </c>
      <c r="L3738">
        <v>214.24279999999999</v>
      </c>
      <c r="M3738">
        <v>0.99989079999999997</v>
      </c>
      <c r="N3738">
        <v>-9.2791190000000006E-3</v>
      </c>
      <c r="O3738">
        <v>-1.1509719999999999E-2</v>
      </c>
      <c r="P3738">
        <v>0.99718790000000002</v>
      </c>
      <c r="Q3738">
        <v>-5.4654179999999997E-2</v>
      </c>
      <c r="R3738">
        <v>5.1279459999999999E-2</v>
      </c>
      <c r="S3738">
        <v>3.0236209999999999</v>
      </c>
      <c r="T3738">
        <v>-2.3849490000000001E-2</v>
      </c>
      <c r="U3738">
        <v>-0.32192989999999999</v>
      </c>
      <c r="V3738">
        <v>-6.2854859999999999E-2</v>
      </c>
      <c r="W3738">
        <v>-4.526521E-2</v>
      </c>
      <c r="X3738">
        <v>0.99699559999999998</v>
      </c>
      <c r="Y3738">
        <v>9.4414380000000006E-2</v>
      </c>
      <c r="Z3738">
        <v>-8.266088E-4</v>
      </c>
      <c r="AA3738">
        <v>0.99553259999999999</v>
      </c>
      <c r="AB3738">
        <v>38</v>
      </c>
      <c r="AC3738">
        <v>130.61080000000001</v>
      </c>
      <c r="AD3738">
        <v>-1.03318906</v>
      </c>
      <c r="AE3738">
        <v>-13.941199999999901</v>
      </c>
      <c r="AF3738">
        <v>12.4361487239205</v>
      </c>
      <c r="AG3738">
        <v>-1.03318906</v>
      </c>
      <c r="AH3738">
        <v>130.754524120002</v>
      </c>
      <c r="AI3738">
        <v>90.4506934629146</v>
      </c>
      <c r="AJ3738">
        <v>84.566904083508703</v>
      </c>
      <c r="AK3738">
        <v>131.34866140378199</v>
      </c>
      <c r="AL3738">
        <v>92.594392096226599</v>
      </c>
      <c r="AM3738">
        <v>93.607396365095596</v>
      </c>
      <c r="AN3738">
        <v>0.99999994954065996</v>
      </c>
    </row>
    <row r="3739" spans="1:40" x14ac:dyDescent="0.25">
      <c r="A3739" t="str">
        <f>"20190305135007779"</f>
        <v>20190305135007779</v>
      </c>
      <c r="B3739" t="str">
        <f>"1551765007773687"</f>
        <v>1551765007773687</v>
      </c>
      <c r="C3739" t="s">
        <v>40</v>
      </c>
      <c r="D3739">
        <v>3.8610329999999999</v>
      </c>
      <c r="E3739">
        <v>0.56003590000000003</v>
      </c>
      <c r="F3739" t="s">
        <v>43</v>
      </c>
      <c r="G3739">
        <v>-263.23039999999997</v>
      </c>
      <c r="H3739">
        <v>-0.05</v>
      </c>
      <c r="I3739">
        <v>197.54089999999999</v>
      </c>
      <c r="J3739">
        <v>-420.1456</v>
      </c>
      <c r="K3739">
        <v>1.108174</v>
      </c>
      <c r="L3739">
        <v>214.23750000000001</v>
      </c>
      <c r="M3739">
        <v>0.99988129999999997</v>
      </c>
      <c r="N3739">
        <v>-9.2832279999999993E-3</v>
      </c>
      <c r="O3739">
        <v>-1.2299539999999999E-2</v>
      </c>
      <c r="P3739">
        <v>0.99712690000000004</v>
      </c>
      <c r="Q3739">
        <v>-5.485193E-2</v>
      </c>
      <c r="R3739">
        <v>5.2240679999999998E-2</v>
      </c>
      <c r="S3739">
        <v>3.0237430000000001</v>
      </c>
      <c r="T3739">
        <v>-2.226067E-2</v>
      </c>
      <c r="U3739">
        <v>-0.32102969999999997</v>
      </c>
      <c r="V3739">
        <v>-6.4598429999999998E-2</v>
      </c>
      <c r="W3739">
        <v>-4.5462309999999999E-2</v>
      </c>
      <c r="X3739">
        <v>0.99687519999999996</v>
      </c>
      <c r="Y3739">
        <v>9.3331310000000001E-2</v>
      </c>
      <c r="Z3739">
        <v>-8.0063349999999998E-4</v>
      </c>
      <c r="AA3739">
        <v>0.99563480000000004</v>
      </c>
      <c r="AB3739">
        <v>38</v>
      </c>
      <c r="AC3739">
        <v>156.9152</v>
      </c>
      <c r="AD3739">
        <v>-1.158174</v>
      </c>
      <c r="AE3739">
        <v>-16.6966</v>
      </c>
      <c r="AF3739">
        <v>14.7644737187955</v>
      </c>
      <c r="AG3739">
        <v>-1.158174</v>
      </c>
      <c r="AH3739">
        <v>157.10023628604699</v>
      </c>
      <c r="AI3739">
        <v>90.420535129163</v>
      </c>
      <c r="AJ3739">
        <v>84.631042062924294</v>
      </c>
      <c r="AK3739">
        <v>157.796753110889</v>
      </c>
      <c r="AL3739">
        <v>92.605696675215796</v>
      </c>
      <c r="AM3739">
        <v>93.707635367751095</v>
      </c>
      <c r="AN3739">
        <v>0.99999997158202003</v>
      </c>
    </row>
    <row r="3740" spans="1:40" x14ac:dyDescent="0.25">
      <c r="A3740" t="str">
        <f>"20190305135007802"</f>
        <v>20190305135007802</v>
      </c>
      <c r="B3740" t="str">
        <f>"1551765007794182"</f>
        <v>1551765007794182</v>
      </c>
      <c r="C3740" t="s">
        <v>40</v>
      </c>
      <c r="D3740">
        <v>3.8620969999999999</v>
      </c>
      <c r="E3740">
        <v>0.56003329999999996</v>
      </c>
      <c r="F3740" t="s">
        <v>43</v>
      </c>
      <c r="G3740">
        <v>-265.47399999999999</v>
      </c>
      <c r="H3740">
        <v>-0.05</v>
      </c>
      <c r="I3740">
        <v>197.96459999999999</v>
      </c>
      <c r="J3740">
        <v>-419.76249999999999</v>
      </c>
      <c r="K3740">
        <v>1.108209</v>
      </c>
      <c r="L3740">
        <v>214.23220000000001</v>
      </c>
      <c r="M3740">
        <v>0.99987210000000004</v>
      </c>
      <c r="N3740">
        <v>-9.2876279999999992E-3</v>
      </c>
      <c r="O3740">
        <v>-1.3018439999999999E-2</v>
      </c>
      <c r="P3740">
        <v>0.99706229999999996</v>
      </c>
      <c r="Q3740">
        <v>-5.4870420000000003E-2</v>
      </c>
      <c r="R3740">
        <v>5.3439880000000002E-2</v>
      </c>
      <c r="S3740">
        <v>3.0240779999999998</v>
      </c>
      <c r="T3740">
        <v>-2.264416E-2</v>
      </c>
      <c r="U3740">
        <v>-0.31816100000000003</v>
      </c>
      <c r="V3740">
        <v>-6.6508670000000006E-2</v>
      </c>
      <c r="W3740">
        <v>-4.5479739999999998E-2</v>
      </c>
      <c r="X3740">
        <v>0.99674879999999999</v>
      </c>
      <c r="Y3740">
        <v>9.1669650000000005E-2</v>
      </c>
      <c r="Z3740">
        <v>-7.9256140000000003E-4</v>
      </c>
      <c r="AA3740">
        <v>0.99578920000000004</v>
      </c>
      <c r="AB3740">
        <v>38</v>
      </c>
      <c r="AC3740">
        <v>154.2885</v>
      </c>
      <c r="AD3740">
        <v>-1.158209</v>
      </c>
      <c r="AE3740">
        <v>-16.267600000000002</v>
      </c>
      <c r="AF3740">
        <v>14.256744489282701</v>
      </c>
      <c r="AG3740">
        <v>-1.158209</v>
      </c>
      <c r="AH3740">
        <v>154.47860242334599</v>
      </c>
      <c r="AI3740">
        <v>90.427751441832001</v>
      </c>
      <c r="AJ3740">
        <v>84.7271407023443</v>
      </c>
      <c r="AK3740">
        <v>155.13940446640501</v>
      </c>
      <c r="AL3740">
        <v>92.606696326359895</v>
      </c>
      <c r="AM3740">
        <v>93.817436984879294</v>
      </c>
      <c r="AN3740">
        <v>0.99999999011853802</v>
      </c>
    </row>
    <row r="3741" spans="1:40" x14ac:dyDescent="0.25">
      <c r="A3741" t="str">
        <f>"20190305135007816"</f>
        <v>20190305135007816</v>
      </c>
      <c r="B3741" t="str">
        <f>"1551765007803942"</f>
        <v>1551765007803942</v>
      </c>
      <c r="C3741" t="s">
        <v>40</v>
      </c>
      <c r="D3741">
        <v>3.9025919999999998</v>
      </c>
      <c r="E3741">
        <v>0.56002510000000005</v>
      </c>
      <c r="F3741" t="s">
        <v>43</v>
      </c>
      <c r="G3741">
        <v>-261.57650000000001</v>
      </c>
      <c r="H3741">
        <v>-0.05</v>
      </c>
      <c r="I3741">
        <v>197.7895</v>
      </c>
      <c r="J3741">
        <v>-419.53399999999999</v>
      </c>
      <c r="K3741">
        <v>1.108233</v>
      </c>
      <c r="L3741">
        <v>214.22890000000001</v>
      </c>
      <c r="M3741">
        <v>0.9998667</v>
      </c>
      <c r="N3741">
        <v>-9.2904359999999991E-3</v>
      </c>
      <c r="O3741">
        <v>-1.3428320000000001E-2</v>
      </c>
      <c r="P3741">
        <v>0.99702760000000001</v>
      </c>
      <c r="Q3741">
        <v>-5.5029679999999997E-2</v>
      </c>
      <c r="R3741">
        <v>5.392537E-2</v>
      </c>
      <c r="S3741">
        <v>3.0244450000000001</v>
      </c>
      <c r="T3741">
        <v>-2.2144440000000001E-2</v>
      </c>
      <c r="U3741">
        <v>-0.31437680000000001</v>
      </c>
      <c r="V3741">
        <v>-6.7400269999999998E-2</v>
      </c>
      <c r="W3741">
        <v>-4.5638869999999998E-2</v>
      </c>
      <c r="X3741">
        <v>0.99668159999999895</v>
      </c>
      <c r="Y3741">
        <v>9.0016609999999997E-2</v>
      </c>
      <c r="Z3741">
        <v>-7.7435739999999996E-4</v>
      </c>
      <c r="AA3741">
        <v>0.99594000000000005</v>
      </c>
      <c r="AB3741">
        <v>38</v>
      </c>
      <c r="AC3741">
        <v>157.95749999999899</v>
      </c>
      <c r="AD3741">
        <v>-1.1582330000000001</v>
      </c>
      <c r="AE3741">
        <v>-16.439399999999999</v>
      </c>
      <c r="AF3741">
        <v>14.315960812213</v>
      </c>
      <c r="AG3741">
        <v>-1.1582330000000001</v>
      </c>
      <c r="AH3741">
        <v>158.15560739764601</v>
      </c>
      <c r="AI3741">
        <v>90.417882626489401</v>
      </c>
      <c r="AJ3741">
        <v>84.827784728449899</v>
      </c>
      <c r="AK3741">
        <v>158.80643686254501</v>
      </c>
      <c r="AL3741">
        <v>92.615823366825595</v>
      </c>
      <c r="AM3741">
        <v>93.868718343392203</v>
      </c>
      <c r="AN3741">
        <v>0.999999957314753</v>
      </c>
    </row>
    <row r="3742" spans="1:40" x14ac:dyDescent="0.25">
      <c r="A3742" t="str">
        <f>"20190305135007836"</f>
        <v>20190305135007836</v>
      </c>
      <c r="B3742" t="str">
        <f>"1551765007824441"</f>
        <v>1551765007824441</v>
      </c>
      <c r="C3742" t="s">
        <v>40</v>
      </c>
      <c r="D3742">
        <v>3.8724880000000002</v>
      </c>
      <c r="E3742">
        <v>0.56006149999999999</v>
      </c>
      <c r="F3742" t="s">
        <v>43</v>
      </c>
      <c r="G3742">
        <v>-262.4246</v>
      </c>
      <c r="H3742">
        <v>-0.05</v>
      </c>
      <c r="I3742">
        <v>197.9785</v>
      </c>
      <c r="J3742">
        <v>-419.20440000000002</v>
      </c>
      <c r="K3742">
        <v>1.1082669999999999</v>
      </c>
      <c r="L3742">
        <v>214.22399999999999</v>
      </c>
      <c r="M3742">
        <v>0.99985900000000005</v>
      </c>
      <c r="N3742">
        <v>-9.2947189999999999E-3</v>
      </c>
      <c r="O3742">
        <v>-1.3994589999999999E-2</v>
      </c>
      <c r="P3742">
        <v>0.99691830000000003</v>
      </c>
      <c r="Q3742">
        <v>-5.5419860000000001E-2</v>
      </c>
      <c r="R3742">
        <v>5.5522090000000003E-2</v>
      </c>
      <c r="S3742">
        <v>3.0246580000000001</v>
      </c>
      <c r="T3742">
        <v>-2.2298220000000001E-2</v>
      </c>
      <c r="U3742">
        <v>-0.31285099999999999</v>
      </c>
      <c r="V3742">
        <v>-6.9556060000000003E-2</v>
      </c>
      <c r="W3742">
        <v>-4.6027869999999999E-2</v>
      </c>
      <c r="X3742">
        <v>0.99651559999999995</v>
      </c>
      <c r="Y3742">
        <v>8.8948180000000002E-2</v>
      </c>
      <c r="Z3742">
        <v>-7.683748E-4</v>
      </c>
      <c r="AA3742">
        <v>0.99603589999999997</v>
      </c>
      <c r="AB3742">
        <v>38</v>
      </c>
      <c r="AC3742">
        <v>156.77979999999999</v>
      </c>
      <c r="AD3742">
        <v>-1.1582669999999999</v>
      </c>
      <c r="AE3742">
        <v>-16.2455</v>
      </c>
      <c r="AF3742">
        <v>14.048986785195</v>
      </c>
      <c r="AG3742">
        <v>-1.1582669999999999</v>
      </c>
      <c r="AH3742">
        <v>156.98332707977599</v>
      </c>
      <c r="AI3742">
        <v>90.421053948998207</v>
      </c>
      <c r="AJ3742">
        <v>84.886024094083496</v>
      </c>
      <c r="AK3742">
        <v>157.61497578964301</v>
      </c>
      <c r="AL3742">
        <v>92.638134824876403</v>
      </c>
      <c r="AM3742">
        <v>93.992727797571902</v>
      </c>
      <c r="AN3742">
        <v>0.99999997567140997</v>
      </c>
    </row>
    <row r="3743" spans="1:40" x14ac:dyDescent="0.25">
      <c r="A3743" t="str">
        <f>"20190305135007859"</f>
        <v>20190305135007859</v>
      </c>
      <c r="B3743" t="str">
        <f>"1551765007853718"</f>
        <v>1551765007853718</v>
      </c>
      <c r="C3743" t="s">
        <v>40</v>
      </c>
      <c r="D3743">
        <v>3.8400650000000001</v>
      </c>
      <c r="E3743">
        <v>0.5319798</v>
      </c>
      <c r="F3743" t="s">
        <v>43</v>
      </c>
      <c r="G3743">
        <v>-266.03250000000003</v>
      </c>
      <c r="H3743">
        <v>-0.05</v>
      </c>
      <c r="I3743">
        <v>198.62289999999999</v>
      </c>
      <c r="J3743">
        <v>-418.79700000000003</v>
      </c>
      <c r="K3743">
        <v>1.108306</v>
      </c>
      <c r="L3743">
        <v>214.21770000000001</v>
      </c>
      <c r="M3743">
        <v>0.9998494</v>
      </c>
      <c r="N3743">
        <v>-9.3004630000000001E-3</v>
      </c>
      <c r="O3743">
        <v>-1.4655049999999999E-2</v>
      </c>
      <c r="P3743">
        <v>0.9968728</v>
      </c>
      <c r="Q3743">
        <v>-5.5382269999999997E-2</v>
      </c>
      <c r="R3743">
        <v>5.6369330000000002E-2</v>
      </c>
      <c r="S3743">
        <v>3.0251459999999999</v>
      </c>
      <c r="T3743">
        <v>-2.287579E-2</v>
      </c>
      <c r="U3743">
        <v>-0.30812070000000003</v>
      </c>
      <c r="V3743">
        <v>-7.1055750000000001E-2</v>
      </c>
      <c r="W3743">
        <v>-4.5989990000000001E-2</v>
      </c>
      <c r="X3743">
        <v>0.99641159999999995</v>
      </c>
      <c r="Y3743">
        <v>8.6732310000000007E-2</v>
      </c>
      <c r="Z3743">
        <v>-7.5693729999999995E-4</v>
      </c>
      <c r="AA3743">
        <v>0.99623139999999999</v>
      </c>
      <c r="AB3743">
        <v>38</v>
      </c>
      <c r="AC3743">
        <v>152.764499999999</v>
      </c>
      <c r="AD3743">
        <v>-1.1583060000000001</v>
      </c>
      <c r="AE3743">
        <v>-15.594799999999999</v>
      </c>
      <c r="AF3743">
        <v>13.353497208041</v>
      </c>
      <c r="AG3743">
        <v>-1.1583060000000001</v>
      </c>
      <c r="AH3743">
        <v>152.96794188007101</v>
      </c>
      <c r="AI3743">
        <v>90.432203976551804</v>
      </c>
      <c r="AJ3743">
        <v>85.010952255624602</v>
      </c>
      <c r="AK3743">
        <v>153.55405824497001</v>
      </c>
      <c r="AL3743">
        <v>92.635961996280898</v>
      </c>
      <c r="AM3743">
        <v>94.078951324040503</v>
      </c>
      <c r="AN3743">
        <v>1.00000003770141</v>
      </c>
    </row>
    <row r="3744" spans="1:40" x14ac:dyDescent="0.25">
      <c r="A3744" t="str">
        <f>"20190305135007882"</f>
        <v>20190305135007882</v>
      </c>
      <c r="B3744" t="str">
        <f>"1551765007874214"</f>
        <v>1551765007874214</v>
      </c>
      <c r="C3744" t="s">
        <v>40</v>
      </c>
      <c r="D3744">
        <v>3.9687619999999999</v>
      </c>
      <c r="E3744">
        <v>0.52146040000000005</v>
      </c>
      <c r="F3744" t="s">
        <v>74</v>
      </c>
      <c r="G3744">
        <v>-384.09539999999998</v>
      </c>
      <c r="H3744" s="1">
        <v>7.021767E-7</v>
      </c>
      <c r="I3744">
        <v>213.25239999999999</v>
      </c>
      <c r="J3744">
        <v>-418.42070000000001</v>
      </c>
      <c r="K3744">
        <v>1.1083430000000001</v>
      </c>
      <c r="L3744">
        <v>214.21170000000001</v>
      </c>
      <c r="M3744">
        <v>0.99984090000000003</v>
      </c>
      <c r="N3744">
        <v>-9.3061180000000004E-3</v>
      </c>
      <c r="O3744">
        <v>-1.5228419999999999E-2</v>
      </c>
      <c r="P3744">
        <v>0.99685489999999999</v>
      </c>
      <c r="Q3744">
        <v>-5.514906E-2</v>
      </c>
      <c r="R3744">
        <v>5.6915229999999997E-2</v>
      </c>
      <c r="S3744">
        <v>3.0087890000000002</v>
      </c>
      <c r="T3744">
        <v>-9.6095089999999994E-2</v>
      </c>
      <c r="U3744">
        <v>-8.3694459999999998E-2</v>
      </c>
      <c r="V3744">
        <v>-7.2167809999999999E-2</v>
      </c>
      <c r="W3744">
        <v>-4.5756480000000002E-2</v>
      </c>
      <c r="X3744">
        <v>0.99634239999999996</v>
      </c>
      <c r="Y3744">
        <v>1.257511E-2</v>
      </c>
      <c r="Z3744" s="1">
        <v>8.5163090000000004E-5</v>
      </c>
      <c r="AA3744">
        <v>0.9999209</v>
      </c>
      <c r="AB3744">
        <v>38</v>
      </c>
      <c r="AC3744">
        <v>34.325299999999999</v>
      </c>
      <c r="AD3744">
        <v>-1.1083422978233</v>
      </c>
      <c r="AE3744">
        <v>-0.95930000000001303</v>
      </c>
      <c r="AF3744">
        <v>0.43599190495995499</v>
      </c>
      <c r="AG3744">
        <v>-1.1083422978233</v>
      </c>
      <c r="AH3744">
        <v>34.300194989076601</v>
      </c>
      <c r="AI3744">
        <v>91.850605329825996</v>
      </c>
      <c r="AJ3744">
        <v>89.271749014282406</v>
      </c>
      <c r="AK3744">
        <v>34.320866653961602</v>
      </c>
      <c r="AL3744">
        <v>92.622568824239707</v>
      </c>
      <c r="AM3744">
        <v>94.142855242833903</v>
      </c>
      <c r="AN3744">
        <v>1.00000001314997</v>
      </c>
    </row>
    <row r="3745" spans="1:40" x14ac:dyDescent="0.25">
      <c r="A3745" t="str">
        <f>"20190305135007904"</f>
        <v>20190305135007904</v>
      </c>
      <c r="B3745" t="str">
        <f>"1551765007893734"</f>
        <v>1551765007893734</v>
      </c>
      <c r="C3745" t="s">
        <v>40</v>
      </c>
      <c r="D3745">
        <v>3.9488750000000001</v>
      </c>
      <c r="E3745">
        <v>0.51779979999999903</v>
      </c>
      <c r="F3745" t="s">
        <v>74</v>
      </c>
      <c r="G3745">
        <v>-374.84480000000002</v>
      </c>
      <c r="H3745" s="1">
        <v>1.0413460000000001E-6</v>
      </c>
      <c r="I3745">
        <v>214.2424</v>
      </c>
      <c r="J3745">
        <v>-418.01929999999999</v>
      </c>
      <c r="K3745">
        <v>1.10839</v>
      </c>
      <c r="L3745">
        <v>214.20500000000001</v>
      </c>
      <c r="M3745">
        <v>0.9998319</v>
      </c>
      <c r="N3745">
        <v>-9.3123649999999995E-3</v>
      </c>
      <c r="O3745">
        <v>-1.579819E-2</v>
      </c>
      <c r="P3745">
        <v>0.99687669999999995</v>
      </c>
      <c r="Q3745">
        <v>-5.4738130000000003E-2</v>
      </c>
      <c r="R3745">
        <v>5.6929670000000002E-2</v>
      </c>
      <c r="S3745">
        <v>3.0051570000000001</v>
      </c>
      <c r="T3745">
        <v>-7.6435450000000002E-2</v>
      </c>
      <c r="U3745">
        <v>2.120972E-3</v>
      </c>
      <c r="V3745">
        <v>-7.2744970000000006E-2</v>
      </c>
      <c r="W3745">
        <v>-4.5345839999999998E-2</v>
      </c>
      <c r="X3745">
        <v>0.99631919999999996</v>
      </c>
      <c r="Y3745">
        <v>-1.6495220000000001E-2</v>
      </c>
      <c r="Z3745">
        <v>5.4120060000000002E-4</v>
      </c>
      <c r="AA3745">
        <v>0.99986379999999997</v>
      </c>
      <c r="AB3745">
        <v>38</v>
      </c>
      <c r="AC3745">
        <v>43.174499999999902</v>
      </c>
      <c r="AD3745">
        <v>-1.1083889586539999</v>
      </c>
      <c r="AE3745">
        <v>3.7399999999991003E-2</v>
      </c>
      <c r="AF3745">
        <v>-0.71902992968294899</v>
      </c>
      <c r="AG3745">
        <v>-1.1083889586539999</v>
      </c>
      <c r="AH3745">
        <v>43.140088313682199</v>
      </c>
      <c r="AI3745">
        <v>91.471559986000997</v>
      </c>
      <c r="AJ3745">
        <v>90.954879039106601</v>
      </c>
      <c r="AK3745">
        <v>43.160314524291202</v>
      </c>
      <c r="AL3745">
        <v>92.599016441066894</v>
      </c>
      <c r="AM3745">
        <v>94.175967760149703</v>
      </c>
      <c r="AN3745">
        <v>1.00000001207712</v>
      </c>
    </row>
    <row r="3746" spans="1:40" x14ac:dyDescent="0.25">
      <c r="A3746" t="str">
        <f>"20190305135007924"</f>
        <v>20190305135007924</v>
      </c>
      <c r="B3746" t="str">
        <f>"1551765007914234"</f>
        <v>1551765007914234</v>
      </c>
      <c r="C3746" t="s">
        <v>40</v>
      </c>
      <c r="D3746">
        <v>3.9344009999999998</v>
      </c>
      <c r="E3746">
        <v>0.51691659999999995</v>
      </c>
      <c r="F3746" t="s">
        <v>74</v>
      </c>
      <c r="G3746">
        <v>-370.94130000000001</v>
      </c>
      <c r="H3746" s="1">
        <v>-1.035858E-6</v>
      </c>
      <c r="I3746">
        <v>214.69649999999999</v>
      </c>
      <c r="J3746">
        <v>-417.66789999999997</v>
      </c>
      <c r="K3746">
        <v>1.10843</v>
      </c>
      <c r="L3746">
        <v>214.19909999999999</v>
      </c>
      <c r="M3746">
        <v>0.99982439999999995</v>
      </c>
      <c r="N3746">
        <v>-9.3180559999999999E-3</v>
      </c>
      <c r="O3746">
        <v>-1.6256909999999999E-2</v>
      </c>
      <c r="P3746">
        <v>0.99691770000000002</v>
      </c>
      <c r="Q3746">
        <v>-5.462057E-2</v>
      </c>
      <c r="R3746">
        <v>5.631883E-2</v>
      </c>
      <c r="S3746">
        <v>3.0036930000000002</v>
      </c>
      <c r="T3746">
        <v>-7.0718169999999997E-2</v>
      </c>
      <c r="U3746">
        <v>3.1356809999999999E-2</v>
      </c>
      <c r="V3746">
        <v>-7.2587150000000003E-2</v>
      </c>
      <c r="W3746">
        <v>-4.522934E-2</v>
      </c>
      <c r="X3746">
        <v>0.996336</v>
      </c>
      <c r="Y3746">
        <v>-2.6682239999999999E-2</v>
      </c>
      <c r="Z3746">
        <v>6.6960070000000003E-4</v>
      </c>
      <c r="AA3746">
        <v>0.99964370000000002</v>
      </c>
      <c r="AB3746">
        <v>38</v>
      </c>
      <c r="AC3746">
        <v>46.726599999999898</v>
      </c>
      <c r="AD3746">
        <v>-1.1084310358580001</v>
      </c>
      <c r="AE3746">
        <v>0.49739999999999901</v>
      </c>
      <c r="AF3746">
        <v>-1.2562905395534301</v>
      </c>
      <c r="AG3746">
        <v>-1.1084310358580001</v>
      </c>
      <c r="AH3746">
        <v>46.686069892185401</v>
      </c>
      <c r="AI3746">
        <v>91.359581630211807</v>
      </c>
      <c r="AJ3746">
        <v>91.541418662599597</v>
      </c>
      <c r="AK3746">
        <v>46.716121492040003</v>
      </c>
      <c r="AL3746">
        <v>92.592334642424504</v>
      </c>
      <c r="AM3746">
        <v>94.166869942290205</v>
      </c>
      <c r="AN3746">
        <v>1.00000000621897</v>
      </c>
    </row>
    <row r="3747" spans="1:40" x14ac:dyDescent="0.25">
      <c r="A3747" t="str">
        <f>"20190305135007946"</f>
        <v>20190305135007946</v>
      </c>
      <c r="B3747" t="str">
        <f>"1551765007933750"</f>
        <v>1551765007933750</v>
      </c>
      <c r="C3747" t="s">
        <v>40</v>
      </c>
      <c r="D3747">
        <v>3.927365</v>
      </c>
      <c r="E3747">
        <v>0.51676299999999997</v>
      </c>
      <c r="F3747" t="s">
        <v>74</v>
      </c>
      <c r="G3747">
        <v>-368.73329999999999</v>
      </c>
      <c r="H3747" s="1">
        <v>3.1106349999999998E-6</v>
      </c>
      <c r="I3747">
        <v>214.79750000000001</v>
      </c>
      <c r="J3747">
        <v>-417.29939999999999</v>
      </c>
      <c r="K3747">
        <v>1.1084620000000001</v>
      </c>
      <c r="L3747">
        <v>214.1927</v>
      </c>
      <c r="M3747">
        <v>0.99981719999999996</v>
      </c>
      <c r="N3747">
        <v>-9.3242210000000006E-3</v>
      </c>
      <c r="O3747">
        <v>-1.6695310000000001E-2</v>
      </c>
      <c r="P3747">
        <v>0.99696090000000004</v>
      </c>
      <c r="Q3747">
        <v>-5.4227259999999999E-2</v>
      </c>
      <c r="R3747">
        <v>5.5934820000000003E-2</v>
      </c>
      <c r="S3747">
        <v>3.003479</v>
      </c>
      <c r="T3747">
        <v>-6.8032380000000003E-2</v>
      </c>
      <c r="U3747">
        <v>3.6727910000000002E-2</v>
      </c>
      <c r="V3747">
        <v>-7.2635950000000005E-2</v>
      </c>
      <c r="W3747">
        <v>-4.4837130000000003E-2</v>
      </c>
      <c r="X3747">
        <v>0.99635019999999996</v>
      </c>
      <c r="Y3747">
        <v>-2.8908670000000001E-2</v>
      </c>
      <c r="Z3747">
        <v>6.8460600000000004E-4</v>
      </c>
      <c r="AA3747">
        <v>0.99958179999999996</v>
      </c>
      <c r="AB3747">
        <v>38</v>
      </c>
      <c r="AC3747">
        <v>48.566099999999999</v>
      </c>
      <c r="AD3747">
        <v>-1.108458889365</v>
      </c>
      <c r="AE3747">
        <v>0.604800000000011</v>
      </c>
      <c r="AF3747">
        <v>-1.41484009134319</v>
      </c>
      <c r="AG3747">
        <v>-1.108458889365</v>
      </c>
      <c r="AH3747">
        <v>48.523959402115501</v>
      </c>
      <c r="AI3747">
        <v>91.308054981703606</v>
      </c>
      <c r="AJ3747">
        <v>91.670131744920397</v>
      </c>
      <c r="AK3747">
        <v>48.557235193651998</v>
      </c>
      <c r="AL3747">
        <v>92.569839768867297</v>
      </c>
      <c r="AM3747">
        <v>94.169602215774106</v>
      </c>
      <c r="AN3747">
        <v>1.00000003524953</v>
      </c>
    </row>
    <row r="3748" spans="1:40" x14ac:dyDescent="0.25">
      <c r="A3748" t="str">
        <f>"20190305135007970"</f>
        <v>20190305135007970</v>
      </c>
      <c r="B3748" t="str">
        <f>"1551765007964007"</f>
        <v>1551765007964007</v>
      </c>
      <c r="C3748" t="s">
        <v>40</v>
      </c>
      <c r="D3748">
        <v>3.9522349999999999</v>
      </c>
      <c r="E3748">
        <v>0.51667459999999998</v>
      </c>
      <c r="F3748" t="s">
        <v>74</v>
      </c>
      <c r="G3748">
        <v>-367.91520000000003</v>
      </c>
      <c r="H3748" s="1">
        <v>2.6752900000000002E-6</v>
      </c>
      <c r="I3748">
        <v>214.8004</v>
      </c>
      <c r="J3748">
        <v>-416.88600000000002</v>
      </c>
      <c r="K3748">
        <v>1.1085160000000001</v>
      </c>
      <c r="L3748">
        <v>214.18539999999999</v>
      </c>
      <c r="M3748">
        <v>0.99980970000000002</v>
      </c>
      <c r="N3748">
        <v>-9.3313509999999999E-3</v>
      </c>
      <c r="O3748">
        <v>-1.7130490000000002E-2</v>
      </c>
      <c r="P3748">
        <v>0.99702080000000004</v>
      </c>
      <c r="Q3748">
        <v>-5.3699150000000001E-2</v>
      </c>
      <c r="R3748">
        <v>5.5368819999999999E-2</v>
      </c>
      <c r="S3748">
        <v>3.003387</v>
      </c>
      <c r="T3748">
        <v>-6.7412849999999996E-2</v>
      </c>
      <c r="U3748">
        <v>3.6956790000000003E-2</v>
      </c>
      <c r="V3748">
        <v>-7.2497500000000006E-2</v>
      </c>
      <c r="W3748">
        <v>-4.4310950000000002E-2</v>
      </c>
      <c r="X3748">
        <v>0.99638380000000004</v>
      </c>
      <c r="Y3748">
        <v>-2.942028E-2</v>
      </c>
      <c r="Z3748">
        <v>6.9202139999999896E-4</v>
      </c>
      <c r="AA3748">
        <v>0.99956690000000004</v>
      </c>
      <c r="AB3748">
        <v>38</v>
      </c>
      <c r="AC3748">
        <v>48.970799999999898</v>
      </c>
      <c r="AD3748">
        <v>-1.1085133247100001</v>
      </c>
      <c r="AE3748">
        <v>0.61500000000000898</v>
      </c>
      <c r="AF3748">
        <v>-1.4530956427366899</v>
      </c>
      <c r="AG3748">
        <v>-1.1085133247100001</v>
      </c>
      <c r="AH3748">
        <v>48.928011143215201</v>
      </c>
      <c r="AI3748">
        <v>91.297299710181207</v>
      </c>
      <c r="AJ3748">
        <v>91.7011070132898</v>
      </c>
      <c r="AK3748">
        <v>48.962133972781402</v>
      </c>
      <c r="AL3748">
        <v>92.539661940216106</v>
      </c>
      <c r="AM3748">
        <v>94.161542720092996</v>
      </c>
      <c r="AN3748">
        <v>1.00000001234929</v>
      </c>
    </row>
    <row r="3749" spans="1:40" x14ac:dyDescent="0.25">
      <c r="A3749" t="str">
        <f>"20190305135007992"</f>
        <v>20190305135007992</v>
      </c>
      <c r="B3749" t="str">
        <f>"1551765007984503"</f>
        <v>1551765007984503</v>
      </c>
      <c r="C3749" t="s">
        <v>40</v>
      </c>
      <c r="D3749">
        <v>4.1474599999999997</v>
      </c>
      <c r="E3749">
        <v>0.51678489999999999</v>
      </c>
      <c r="F3749" t="s">
        <v>74</v>
      </c>
      <c r="G3749">
        <v>-364.78250000000003</v>
      </c>
      <c r="H3749" s="1">
        <v>1.008218E-6</v>
      </c>
      <c r="I3749">
        <v>214.80770000000001</v>
      </c>
      <c r="J3749">
        <v>-416.5093</v>
      </c>
      <c r="K3749">
        <v>1.1085700000000001</v>
      </c>
      <c r="L3749">
        <v>214.17869999999999</v>
      </c>
      <c r="M3749">
        <v>0.99980400000000003</v>
      </c>
      <c r="N3749">
        <v>-9.3380660000000008E-3</v>
      </c>
      <c r="O3749">
        <v>-1.746267E-2</v>
      </c>
      <c r="P3749">
        <v>0.99703450000000005</v>
      </c>
      <c r="Q3749">
        <v>-5.3878809999999999E-2</v>
      </c>
      <c r="R3749">
        <v>5.494864E-2</v>
      </c>
      <c r="S3749">
        <v>3.003571</v>
      </c>
      <c r="T3749">
        <v>-6.3901659999999999E-2</v>
      </c>
      <c r="U3749">
        <v>3.5873410000000001E-2</v>
      </c>
      <c r="V3749">
        <v>-7.2403309999999999E-2</v>
      </c>
      <c r="W3749">
        <v>-4.4493350000000001E-2</v>
      </c>
      <c r="X3749">
        <v>0.99638249999999995</v>
      </c>
      <c r="Y3749">
        <v>-2.9392290000000001E-2</v>
      </c>
      <c r="Z3749">
        <v>6.5828689999999999E-4</v>
      </c>
      <c r="AA3749">
        <v>0.99956769999999995</v>
      </c>
      <c r="AB3749">
        <v>38</v>
      </c>
      <c r="AC3749">
        <v>51.726799999999898</v>
      </c>
      <c r="AD3749">
        <v>-1.1085689917820001</v>
      </c>
      <c r="AE3749">
        <v>0.62900000000001899</v>
      </c>
      <c r="AF3749">
        <v>-1.53152809763152</v>
      </c>
      <c r="AG3749">
        <v>-1.1085689917820001</v>
      </c>
      <c r="AH3749">
        <v>51.684192385564501</v>
      </c>
      <c r="AI3749">
        <v>91.2282039996267</v>
      </c>
      <c r="AJ3749">
        <v>91.697316370501795</v>
      </c>
      <c r="AK3749">
        <v>51.718761064737599</v>
      </c>
      <c r="AL3749">
        <v>92.550123059819299</v>
      </c>
      <c r="AM3749">
        <v>94.156160334392695</v>
      </c>
      <c r="AN3749">
        <v>0.999999991899714</v>
      </c>
    </row>
    <row r="3750" spans="1:40" x14ac:dyDescent="0.25">
      <c r="A3750" t="str">
        <f>"20190305135008004"</f>
        <v>20190305135008004</v>
      </c>
      <c r="B3750" t="str">
        <f>"1551765007994262"</f>
        <v>1551765007994262</v>
      </c>
      <c r="C3750" t="s">
        <v>40</v>
      </c>
      <c r="D3750">
        <v>3.8575499999999998</v>
      </c>
      <c r="E3750">
        <v>0.51694719999999905</v>
      </c>
      <c r="F3750" t="s">
        <v>74</v>
      </c>
      <c r="G3750">
        <v>-364.04489999999998</v>
      </c>
      <c r="H3750" s="1">
        <v>6.1568150000000001E-7</v>
      </c>
      <c r="I3750">
        <v>214.7664</v>
      </c>
      <c r="J3750">
        <v>-416.2801</v>
      </c>
      <c r="K3750">
        <v>1.1086</v>
      </c>
      <c r="L3750">
        <v>214.17449999999999</v>
      </c>
      <c r="M3750">
        <v>0.99980069999999999</v>
      </c>
      <c r="N3750">
        <v>-9.3421440000000001E-3</v>
      </c>
      <c r="O3750">
        <v>-1.7640260000000001E-2</v>
      </c>
      <c r="P3750">
        <v>0.99703359999999996</v>
      </c>
      <c r="Q3750">
        <v>-5.4038290000000003E-2</v>
      </c>
      <c r="R3750">
        <v>5.4807069999999999E-2</v>
      </c>
      <c r="S3750">
        <v>3.0036320000000001</v>
      </c>
      <c r="T3750">
        <v>-6.3466430000000004E-2</v>
      </c>
      <c r="U3750">
        <v>3.3645630000000003E-2</v>
      </c>
      <c r="V3750">
        <v>-7.2435089999999994E-2</v>
      </c>
      <c r="W3750">
        <v>-4.4654480000000003E-2</v>
      </c>
      <c r="X3750">
        <v>0.99637299999999995</v>
      </c>
      <c r="Y3750">
        <v>-2.8828619999999999E-2</v>
      </c>
      <c r="Z3750">
        <v>6.4710859999999996E-4</v>
      </c>
      <c r="AA3750">
        <v>0.99958409999999998</v>
      </c>
      <c r="AB3750">
        <v>39</v>
      </c>
      <c r="AC3750">
        <v>52.235199999999999</v>
      </c>
      <c r="AD3750">
        <v>-1.1085993843185</v>
      </c>
      <c r="AE3750">
        <v>0.59190000000000897</v>
      </c>
      <c r="AF3750">
        <v>-1.51260943170286</v>
      </c>
      <c r="AG3750">
        <v>-1.1085993843185</v>
      </c>
      <c r="AH3750">
        <v>52.193123605178897</v>
      </c>
      <c r="AI3750">
        <v>91.216288016983796</v>
      </c>
      <c r="AJ3750">
        <v>91.660024906061395</v>
      </c>
      <c r="AK3750">
        <v>52.226804722797901</v>
      </c>
      <c r="AL3750">
        <v>92.559364267514297</v>
      </c>
      <c r="AM3750">
        <v>94.1580177074445</v>
      </c>
      <c r="AN3750">
        <v>1.0000000099881801</v>
      </c>
    </row>
    <row r="3751" spans="1:40" x14ac:dyDescent="0.25">
      <c r="A3751" t="str">
        <f>"20190305135008025"</f>
        <v>20190305135008025</v>
      </c>
      <c r="B3751" t="str">
        <f>"1551765008013783"</f>
        <v>1551765008013783</v>
      </c>
      <c r="C3751" t="s">
        <v>40</v>
      </c>
      <c r="D3751">
        <v>3.9430679999999998</v>
      </c>
      <c r="E3751">
        <v>0.51723019999999997</v>
      </c>
      <c r="F3751" t="s">
        <v>74</v>
      </c>
      <c r="G3751">
        <v>-363.63099999999997</v>
      </c>
      <c r="H3751" s="1">
        <v>3.9543279999999998E-7</v>
      </c>
      <c r="I3751">
        <v>214.7362</v>
      </c>
      <c r="J3751">
        <v>-415.93920000000003</v>
      </c>
      <c r="K3751">
        <v>1.1086499999999999</v>
      </c>
      <c r="L3751">
        <v>214.16829999999999</v>
      </c>
      <c r="M3751">
        <v>0.99979689999999999</v>
      </c>
      <c r="N3751">
        <v>-9.3457769999999996E-3</v>
      </c>
      <c r="O3751">
        <v>-1.786662E-2</v>
      </c>
      <c r="P3751">
        <v>0.99705029999999994</v>
      </c>
      <c r="Q3751">
        <v>-5.4094169999999997E-2</v>
      </c>
      <c r="R3751">
        <v>5.4450709999999999E-2</v>
      </c>
      <c r="S3751">
        <v>3.0037229999999999</v>
      </c>
      <c r="T3751">
        <v>-6.3247559999999994E-2</v>
      </c>
      <c r="U3751">
        <v>3.2043460000000003E-2</v>
      </c>
      <c r="V3751">
        <v>-7.2299489999999994E-2</v>
      </c>
      <c r="W3751">
        <v>-4.471543E-2</v>
      </c>
      <c r="X3751">
        <v>0.99638009999999999</v>
      </c>
      <c r="Y3751">
        <v>-2.8521640000000001E-2</v>
      </c>
      <c r="Z3751">
        <v>6.4272540000000005E-4</v>
      </c>
      <c r="AA3751">
        <v>0.99959299999999995</v>
      </c>
      <c r="AB3751">
        <v>39</v>
      </c>
      <c r="AC3751">
        <v>52.308199999999999</v>
      </c>
      <c r="AD3751">
        <v>-1.1086496045672001</v>
      </c>
      <c r="AE3751">
        <v>0.56790000000000795</v>
      </c>
      <c r="AF3751">
        <v>-1.5017461860764101</v>
      </c>
      <c r="AG3751">
        <v>-1.1086496045672001</v>
      </c>
      <c r="AH3751">
        <v>52.2662271772192</v>
      </c>
      <c r="AI3751">
        <v>91.214651033969602</v>
      </c>
      <c r="AJ3751">
        <v>91.645805647919602</v>
      </c>
      <c r="AK3751">
        <v>52.299549222663401</v>
      </c>
      <c r="AL3751">
        <v>92.562859975903706</v>
      </c>
      <c r="AM3751">
        <v>94.150231565488994</v>
      </c>
      <c r="AN3751">
        <v>0.99999999480517698</v>
      </c>
    </row>
    <row r="3752" spans="1:40" x14ac:dyDescent="0.25">
      <c r="A3752" t="str">
        <f>"20190305135008046"</f>
        <v>20190305135008046</v>
      </c>
      <c r="B3752" t="str">
        <f>"1551765008044039"</f>
        <v>1551765008044039</v>
      </c>
      <c r="C3752" t="s">
        <v>40</v>
      </c>
      <c r="D3752">
        <v>3.9606219999999999</v>
      </c>
      <c r="E3752">
        <v>0.51759759999999999</v>
      </c>
      <c r="F3752" t="s">
        <v>74</v>
      </c>
      <c r="G3752">
        <v>-362.25369999999998</v>
      </c>
      <c r="H3752" s="1">
        <v>-3.3750359999999998E-7</v>
      </c>
      <c r="I3752">
        <v>214.68260000000001</v>
      </c>
      <c r="J3752">
        <v>-415.56040000000002</v>
      </c>
      <c r="K3752">
        <v>1.1087009999999999</v>
      </c>
      <c r="L3752">
        <v>214.16139999999999</v>
      </c>
      <c r="M3752">
        <v>0.99979340000000005</v>
      </c>
      <c r="N3752">
        <v>-9.3405680000000005E-3</v>
      </c>
      <c r="O3752">
        <v>-1.805708E-2</v>
      </c>
      <c r="P3752">
        <v>0.99704870000000001</v>
      </c>
      <c r="Q3752">
        <v>-5.4340760000000002E-2</v>
      </c>
      <c r="R3752">
        <v>5.4232809999999999E-2</v>
      </c>
      <c r="S3752">
        <v>3.0039060000000002</v>
      </c>
      <c r="T3752">
        <v>-6.2033060000000001E-2</v>
      </c>
      <c r="U3752">
        <v>2.8778080000000001E-2</v>
      </c>
      <c r="V3752">
        <v>-7.2265389999999999E-2</v>
      </c>
      <c r="W3752">
        <v>-4.4977589999999998E-2</v>
      </c>
      <c r="X3752">
        <v>0.9963708</v>
      </c>
      <c r="Y3752">
        <v>-2.7625549999999999E-2</v>
      </c>
      <c r="Z3752">
        <v>6.1843379999999999E-4</v>
      </c>
      <c r="AA3752">
        <v>0.99961820000000001</v>
      </c>
      <c r="AB3752">
        <v>39</v>
      </c>
      <c r="AC3752">
        <v>53.306699999999999</v>
      </c>
      <c r="AD3752">
        <v>-1.1087013375035999</v>
      </c>
      <c r="AE3752">
        <v>0.52120000000002098</v>
      </c>
      <c r="AF3752">
        <v>-1.48307879574452</v>
      </c>
      <c r="AG3752">
        <v>-1.1087013375035999</v>
      </c>
      <c r="AH3752">
        <v>53.2655568677839</v>
      </c>
      <c r="AI3752">
        <v>91.191954829670294</v>
      </c>
      <c r="AJ3752">
        <v>91.594880678321701</v>
      </c>
      <c r="AK3752">
        <v>53.297732501536103</v>
      </c>
      <c r="AL3752">
        <v>92.577895698600202</v>
      </c>
      <c r="AM3752">
        <v>94.148319531250095</v>
      </c>
      <c r="AN3752">
        <v>1.0000000206433499</v>
      </c>
    </row>
    <row r="3753" spans="1:40" x14ac:dyDescent="0.25">
      <c r="A3753" t="str">
        <f>"20190305135008071"</f>
        <v>20190305135008071</v>
      </c>
      <c r="B3753" t="str">
        <f>"1551765008064534"</f>
        <v>1551765008064534</v>
      </c>
      <c r="C3753" t="s">
        <v>40</v>
      </c>
      <c r="D3753">
        <v>3.953157</v>
      </c>
      <c r="E3753">
        <v>0.51782950000000005</v>
      </c>
      <c r="F3753" t="s">
        <v>74</v>
      </c>
      <c r="G3753">
        <v>-360.54640000000001</v>
      </c>
      <c r="H3753" s="1">
        <v>-1.2459950000000001E-6</v>
      </c>
      <c r="I3753">
        <v>214.62350000000001</v>
      </c>
      <c r="J3753">
        <v>-415.15230000000003</v>
      </c>
      <c r="K3753">
        <v>1.1087530000000001</v>
      </c>
      <c r="L3753">
        <v>214.15389999999999</v>
      </c>
      <c r="M3753">
        <v>0.99979110000000004</v>
      </c>
      <c r="N3753">
        <v>-9.3245900000000007E-3</v>
      </c>
      <c r="O3753">
        <v>-1.818875E-2</v>
      </c>
      <c r="P3753">
        <v>0.99707610000000002</v>
      </c>
      <c r="Q3753">
        <v>-5.4205370000000003E-2</v>
      </c>
      <c r="R3753">
        <v>5.386295E-2</v>
      </c>
      <c r="S3753">
        <v>3.0042110000000002</v>
      </c>
      <c r="T3753">
        <v>-6.0544250000000001E-2</v>
      </c>
      <c r="U3753">
        <v>2.523804E-2</v>
      </c>
      <c r="V3753">
        <v>-7.2019630000000001E-2</v>
      </c>
      <c r="W3753">
        <v>-4.4869659999999999E-2</v>
      </c>
      <c r="X3753">
        <v>0.99639339999999998</v>
      </c>
      <c r="Y3753">
        <v>-2.6579140000000001E-2</v>
      </c>
      <c r="Z3753">
        <v>5.8864799999999999E-4</v>
      </c>
      <c r="AA3753">
        <v>0.99964649999999999</v>
      </c>
      <c r="AB3753">
        <v>39</v>
      </c>
      <c r="AC3753">
        <v>54.605899999999998</v>
      </c>
      <c r="AD3753">
        <v>-1.1087542459949999</v>
      </c>
      <c r="AE3753">
        <v>0.46960000000001401</v>
      </c>
      <c r="AF3753">
        <v>-1.46217576200274</v>
      </c>
      <c r="AG3753">
        <v>-1.1087542459949999</v>
      </c>
      <c r="AH3753">
        <v>54.565829312824903</v>
      </c>
      <c r="AI3753">
        <v>91.163647880691002</v>
      </c>
      <c r="AJ3753">
        <v>91.534961673208898</v>
      </c>
      <c r="AK3753">
        <v>54.596675929339703</v>
      </c>
      <c r="AL3753">
        <v>92.5717056704854</v>
      </c>
      <c r="AM3753">
        <v>94.134167486793004</v>
      </c>
      <c r="AN3753">
        <v>0.99999996052870499</v>
      </c>
    </row>
    <row r="3754" spans="1:40" x14ac:dyDescent="0.25">
      <c r="A3754" t="str">
        <f>"20190305135008093"</f>
        <v>20190305135008093</v>
      </c>
      <c r="B3754" t="str">
        <f>"1551765008084054"</f>
        <v>1551765008084054</v>
      </c>
      <c r="C3754" t="s">
        <v>40</v>
      </c>
      <c r="D3754">
        <v>3.9316010000000001</v>
      </c>
      <c r="E3754">
        <v>0.5177794</v>
      </c>
      <c r="F3754" t="s">
        <v>74</v>
      </c>
      <c r="G3754">
        <v>-358.74799999999999</v>
      </c>
      <c r="H3754" s="1">
        <v>3.1204070000000002E-6</v>
      </c>
      <c r="I3754">
        <v>214.5712</v>
      </c>
      <c r="J3754">
        <v>-414.75709999999998</v>
      </c>
      <c r="K3754">
        <v>1.1088169999999999</v>
      </c>
      <c r="L3754">
        <v>214.14660000000001</v>
      </c>
      <c r="M3754">
        <v>0.99979050000000003</v>
      </c>
      <c r="N3754">
        <v>-9.3016179999999993E-3</v>
      </c>
      <c r="O3754">
        <v>-1.823203E-2</v>
      </c>
      <c r="P3754">
        <v>0.99704890000000002</v>
      </c>
      <c r="Q3754">
        <v>-5.4499369999999998E-2</v>
      </c>
      <c r="R3754">
        <v>5.4067839999999999E-2</v>
      </c>
      <c r="S3754">
        <v>3.0044249999999999</v>
      </c>
      <c r="T3754">
        <v>-5.9058550000000001E-2</v>
      </c>
      <c r="U3754">
        <v>2.2232060000000001E-2</v>
      </c>
      <c r="V3754">
        <v>-7.2259439999999994E-2</v>
      </c>
      <c r="W3754">
        <v>-4.5198870000000002E-2</v>
      </c>
      <c r="X3754">
        <v>0.99636119999999995</v>
      </c>
      <c r="Y3754">
        <v>-2.5622389999999998E-2</v>
      </c>
      <c r="Z3754">
        <v>5.5974810000000003E-4</v>
      </c>
      <c r="AA3754">
        <v>0.99967150000000005</v>
      </c>
      <c r="AB3754">
        <v>39</v>
      </c>
      <c r="AC3754">
        <v>56.009099999999897</v>
      </c>
      <c r="AD3754">
        <v>-1.108813879593</v>
      </c>
      <c r="AE3754">
        <v>0.42459999999999798</v>
      </c>
      <c r="AF3754">
        <v>-1.44516684189566</v>
      </c>
      <c r="AG3754">
        <v>-1.108813879593</v>
      </c>
      <c r="AH3754">
        <v>55.970113177127097</v>
      </c>
      <c r="AI3754">
        <v>91.134549924397803</v>
      </c>
      <c r="AJ3754">
        <v>91.479067350864298</v>
      </c>
      <c r="AK3754">
        <v>55.999745932288903</v>
      </c>
      <c r="AL3754">
        <v>92.590587061950899</v>
      </c>
      <c r="AM3754">
        <v>94.148018996441493</v>
      </c>
      <c r="AN3754">
        <v>1.00000000269191</v>
      </c>
    </row>
    <row r="3755" spans="1:40" x14ac:dyDescent="0.25">
      <c r="A3755" t="str">
        <f>"20190305135008116"</f>
        <v>20190305135008116</v>
      </c>
      <c r="B3755" t="str">
        <f>"1551765008103574"</f>
        <v>1551765008103574</v>
      </c>
      <c r="C3755" t="s">
        <v>40</v>
      </c>
      <c r="D3755">
        <v>3.9400780000000002</v>
      </c>
      <c r="E3755">
        <v>0.51766369999999995</v>
      </c>
      <c r="F3755" t="s">
        <v>74</v>
      </c>
      <c r="G3755">
        <v>-358.85969999999998</v>
      </c>
      <c r="H3755" s="1">
        <v>3.1794649999999999E-6</v>
      </c>
      <c r="I3755">
        <v>214.58070000000001</v>
      </c>
      <c r="J3755">
        <v>-414.36700000000002</v>
      </c>
      <c r="K3755">
        <v>1.1088709999999999</v>
      </c>
      <c r="L3755">
        <v>214.1395</v>
      </c>
      <c r="M3755">
        <v>0.99979130000000005</v>
      </c>
      <c r="N3755">
        <v>-9.2763989999999994E-3</v>
      </c>
      <c r="O3755">
        <v>-1.8205590000000001E-2</v>
      </c>
      <c r="P3755">
        <v>0.99701919999999999</v>
      </c>
      <c r="Q3755">
        <v>-5.4683500000000003E-2</v>
      </c>
      <c r="R3755">
        <v>5.4428549999999999E-2</v>
      </c>
      <c r="S3755">
        <v>3.0043329999999999</v>
      </c>
      <c r="T3755">
        <v>-5.9595700000000001E-2</v>
      </c>
      <c r="U3755">
        <v>2.3330690000000001E-2</v>
      </c>
      <c r="V3755">
        <v>-7.2585579999999997E-2</v>
      </c>
      <c r="W3755">
        <v>-4.5420450000000001E-2</v>
      </c>
      <c r="X3755">
        <v>0.99632739999999997</v>
      </c>
      <c r="Y3755">
        <v>-2.596147E-2</v>
      </c>
      <c r="Z3755">
        <v>5.7010899999999996E-4</v>
      </c>
      <c r="AA3755">
        <v>0.99966279999999996</v>
      </c>
      <c r="AB3755">
        <v>39</v>
      </c>
      <c r="AC3755">
        <v>55.507300000000001</v>
      </c>
      <c r="AD3755">
        <v>-1.108867820535</v>
      </c>
      <c r="AE3755">
        <v>0.44120000000000897</v>
      </c>
      <c r="AF3755">
        <v>-1.4511343478899601</v>
      </c>
      <c r="AG3755">
        <v>-1.108867820535</v>
      </c>
      <c r="AH3755">
        <v>55.467932315720901</v>
      </c>
      <c r="AI3755">
        <v>91.144864420252901</v>
      </c>
      <c r="AJ3755">
        <v>91.498612065336999</v>
      </c>
      <c r="AK3755">
        <v>55.497990000723803</v>
      </c>
      <c r="AL3755">
        <v>92.6032957565629</v>
      </c>
      <c r="AM3755">
        <v>94.1668159734988</v>
      </c>
      <c r="AN3755">
        <v>0.999999985846449</v>
      </c>
    </row>
    <row r="3756" spans="1:40" x14ac:dyDescent="0.25">
      <c r="A3756" t="str">
        <f>"20190305135008137"</f>
        <v>20190305135008137</v>
      </c>
      <c r="B3756" t="str">
        <f>"1551765008133831"</f>
        <v>1551765008133831</v>
      </c>
      <c r="C3756" t="s">
        <v>40</v>
      </c>
      <c r="D3756">
        <v>3.8756900000000001</v>
      </c>
      <c r="E3756">
        <v>0.49825199999999997</v>
      </c>
      <c r="F3756" t="s">
        <v>74</v>
      </c>
      <c r="G3756">
        <v>-359.5804</v>
      </c>
      <c r="H3756" s="1">
        <v>3.5621179999999998E-6</v>
      </c>
      <c r="I3756">
        <v>214.59970000000001</v>
      </c>
      <c r="J3756">
        <v>-414.0034</v>
      </c>
      <c r="K3756">
        <v>1.1089310000000001</v>
      </c>
      <c r="L3756">
        <v>214.13290000000001</v>
      </c>
      <c r="M3756">
        <v>0.99979340000000005</v>
      </c>
      <c r="N3756">
        <v>-9.2535640000000006E-3</v>
      </c>
      <c r="O3756">
        <v>-1.8109090000000001E-2</v>
      </c>
      <c r="P3756">
        <v>0.99699939999999998</v>
      </c>
      <c r="Q3756">
        <v>-5.5003320000000001E-2</v>
      </c>
      <c r="R3756">
        <v>5.4470449999999997E-2</v>
      </c>
      <c r="S3756">
        <v>3.0042420000000001</v>
      </c>
      <c r="T3756">
        <v>-6.0805079999999997E-2</v>
      </c>
      <c r="U3756">
        <v>2.523804E-2</v>
      </c>
      <c r="V3756">
        <v>-7.2524069999999996E-2</v>
      </c>
      <c r="W3756">
        <v>-4.5775219999999998E-2</v>
      </c>
      <c r="X3756">
        <v>0.99631570000000003</v>
      </c>
      <c r="Y3756">
        <v>-2.6499350000000001E-2</v>
      </c>
      <c r="Z3756">
        <v>5.8967039999999996E-4</v>
      </c>
      <c r="AA3756">
        <v>0.9996486</v>
      </c>
      <c r="AB3756">
        <v>39</v>
      </c>
      <c r="AC3756">
        <v>54.423000000000002</v>
      </c>
      <c r="AD3756">
        <v>-1.108927437882</v>
      </c>
      <c r="AE3756">
        <v>0.46680000000000599</v>
      </c>
      <c r="AF3756">
        <v>-1.45171376243726</v>
      </c>
      <c r="AG3756">
        <v>-1.108927437882</v>
      </c>
      <c r="AH3756">
        <v>54.383043763563698</v>
      </c>
      <c r="AI3756">
        <v>91.167743427893896</v>
      </c>
      <c r="AJ3756">
        <v>91.529103880605902</v>
      </c>
      <c r="AK3756">
        <v>54.413717405634202</v>
      </c>
      <c r="AL3756">
        <v>92.623643595570897</v>
      </c>
      <c r="AM3756">
        <v>94.163346097376206</v>
      </c>
      <c r="AN3756">
        <v>1.0000000427809499</v>
      </c>
    </row>
    <row r="3757" spans="1:40" x14ac:dyDescent="0.25">
      <c r="A3757" t="str">
        <f>"20190305135008161"</f>
        <v>20190305135008161</v>
      </c>
      <c r="B3757" t="str">
        <f>"1551765008154327"</f>
        <v>1551765008154327</v>
      </c>
      <c r="C3757" t="s">
        <v>40</v>
      </c>
      <c r="D3757">
        <v>3.891032</v>
      </c>
      <c r="E3757">
        <v>0.49540729999999999</v>
      </c>
      <c r="F3757" t="s">
        <v>78</v>
      </c>
      <c r="G3757">
        <v>-280.65890000000002</v>
      </c>
      <c r="H3757">
        <v>7.9998609999999998E-2</v>
      </c>
      <c r="I3757">
        <v>222.1926</v>
      </c>
      <c r="J3757">
        <v>-413.59710000000001</v>
      </c>
      <c r="K3757">
        <v>1.109011</v>
      </c>
      <c r="L3757">
        <v>214.1258</v>
      </c>
      <c r="M3757">
        <v>0.9997973</v>
      </c>
      <c r="N3757">
        <v>-9.2285030000000007E-3</v>
      </c>
      <c r="O3757">
        <v>-1.7906209999999999E-2</v>
      </c>
      <c r="P3757">
        <v>0.9969848</v>
      </c>
      <c r="Q3757">
        <v>-5.4968290000000003E-2</v>
      </c>
      <c r="R3757">
        <v>5.4773820000000001E-2</v>
      </c>
      <c r="S3757">
        <v>2.9978639999999999</v>
      </c>
      <c r="T3757">
        <v>-2.313256E-2</v>
      </c>
      <c r="U3757">
        <v>0.1811981</v>
      </c>
      <c r="V3757">
        <v>-7.2615739999999998E-2</v>
      </c>
      <c r="W3757">
        <v>-4.5780080000000001E-2</v>
      </c>
      <c r="X3757">
        <v>0.99630870000000005</v>
      </c>
      <c r="Y3757">
        <v>-7.8191860000000002E-2</v>
      </c>
      <c r="Z3757">
        <v>6.3551419999999996E-4</v>
      </c>
      <c r="AA3757">
        <v>0.99693810000000005</v>
      </c>
      <c r="AB3757">
        <v>39</v>
      </c>
      <c r="AC3757">
        <v>132.93819999999999</v>
      </c>
      <c r="AD3757">
        <v>-1.0290123900000001</v>
      </c>
      <c r="AE3757">
        <v>8.0668000000000006</v>
      </c>
      <c r="AF3757">
        <v>-10.445403174121401</v>
      </c>
      <c r="AG3757">
        <v>-1.0290123900000001</v>
      </c>
      <c r="AH3757">
        <v>132.76450689332501</v>
      </c>
      <c r="AI3757">
        <v>90.442703159504006</v>
      </c>
      <c r="AJ3757">
        <v>94.498545963175403</v>
      </c>
      <c r="AK3757">
        <v>133.17875057454299</v>
      </c>
      <c r="AL3757">
        <v>92.623922605808801</v>
      </c>
      <c r="AM3757">
        <v>94.168619188014603</v>
      </c>
      <c r="AN3757">
        <v>0.99999994355812005</v>
      </c>
    </row>
    <row r="3758" spans="1:40" x14ac:dyDescent="0.25">
      <c r="A3758" t="str">
        <f>"20190305135008182"</f>
        <v>20190305135008182</v>
      </c>
      <c r="B3758" t="str">
        <f>"1551765008173847"</f>
        <v>1551765008173847</v>
      </c>
      <c r="C3758" t="s">
        <v>40</v>
      </c>
      <c r="D3758">
        <v>3.889586</v>
      </c>
      <c r="E3758">
        <v>0.49465009999999998</v>
      </c>
      <c r="F3758" t="s">
        <v>74</v>
      </c>
      <c r="G3758">
        <v>-338.26670000000001</v>
      </c>
      <c r="H3758" s="1">
        <v>2.6593359999999998E-6</v>
      </c>
      <c r="I3758">
        <v>219.26009999999999</v>
      </c>
      <c r="J3758">
        <v>-413.21539999999999</v>
      </c>
      <c r="K3758">
        <v>1.109091</v>
      </c>
      <c r="L3758">
        <v>214.11920000000001</v>
      </c>
      <c r="M3758">
        <v>0.99980239999999998</v>
      </c>
      <c r="N3758">
        <v>-9.2015780000000002E-3</v>
      </c>
      <c r="O3758">
        <v>-1.7622860000000001E-2</v>
      </c>
      <c r="P3758">
        <v>0.99695089999999997</v>
      </c>
      <c r="Q3758">
        <v>-5.4694109999999997E-2</v>
      </c>
      <c r="R3758">
        <v>5.5653189999999998E-2</v>
      </c>
      <c r="S3758">
        <v>2.995422</v>
      </c>
      <c r="T3758">
        <v>-4.409838E-2</v>
      </c>
      <c r="U3758">
        <v>0.2041626</v>
      </c>
      <c r="V3758">
        <v>-7.320227E-2</v>
      </c>
      <c r="W3758">
        <v>-4.5548350000000001E-2</v>
      </c>
      <c r="X3758">
        <v>0.99627639999999995</v>
      </c>
      <c r="Y3758">
        <v>-8.5557419999999995E-2</v>
      </c>
      <c r="Z3758">
        <v>1.1203560000000001E-3</v>
      </c>
      <c r="AA3758">
        <v>0.99633260000000001</v>
      </c>
      <c r="AB3758">
        <v>39</v>
      </c>
      <c r="AC3758">
        <v>74.948699999999903</v>
      </c>
      <c r="AD3758">
        <v>-1.109088340664</v>
      </c>
      <c r="AE3758">
        <v>5.1408999999999798</v>
      </c>
      <c r="AF3758">
        <v>-6.4595600072282</v>
      </c>
      <c r="AG3758">
        <v>-1.109088340664</v>
      </c>
      <c r="AH3758">
        <v>74.8301491324615</v>
      </c>
      <c r="AI3758">
        <v>90.845996354352096</v>
      </c>
      <c r="AJ3758">
        <v>94.933710800459906</v>
      </c>
      <c r="AK3758">
        <v>75.116624069647898</v>
      </c>
      <c r="AL3758">
        <v>92.610631586061501</v>
      </c>
      <c r="AM3758">
        <v>94.202305468936302</v>
      </c>
      <c r="AN3758">
        <v>0.99999994485891597</v>
      </c>
    </row>
    <row r="3759" spans="1:40" x14ac:dyDescent="0.25">
      <c r="A3759" t="str">
        <f>"20190305135008196"</f>
        <v>20190305135008196</v>
      </c>
      <c r="B3759" t="str">
        <f>"1551765008183606"</f>
        <v>1551765008183606</v>
      </c>
      <c r="C3759" t="s">
        <v>40</v>
      </c>
      <c r="D3759">
        <v>3.9322590000000002</v>
      </c>
      <c r="E3759">
        <v>0.49342019999999998</v>
      </c>
      <c r="F3759" t="s">
        <v>61</v>
      </c>
      <c r="G3759">
        <v>-157.25</v>
      </c>
      <c r="H3759">
        <v>0.20622779999999999</v>
      </c>
      <c r="I3759">
        <v>232.37129999999999</v>
      </c>
      <c r="J3759">
        <v>-412.97980000000001</v>
      </c>
      <c r="K3759">
        <v>1.1091439999999999</v>
      </c>
      <c r="L3759">
        <v>214.11519999999999</v>
      </c>
      <c r="M3759">
        <v>0.99980650000000004</v>
      </c>
      <c r="N3759">
        <v>-9.1831240000000008E-3</v>
      </c>
      <c r="O3759">
        <v>-1.7404639999999999E-2</v>
      </c>
      <c r="P3759">
        <v>0.99691649999999998</v>
      </c>
      <c r="Q3759">
        <v>-5.4572620000000002E-2</v>
      </c>
      <c r="R3759">
        <v>5.6390780000000001E-2</v>
      </c>
      <c r="S3759">
        <v>2.9966740000000001</v>
      </c>
      <c r="T3759">
        <v>-1.0569449999999999E-2</v>
      </c>
      <c r="U3759">
        <v>0.21368409999999999</v>
      </c>
      <c r="V3759">
        <v>-7.3715639999999999E-2</v>
      </c>
      <c r="W3759">
        <v>-4.5455460000000003E-2</v>
      </c>
      <c r="X3759">
        <v>0.99624279999999998</v>
      </c>
      <c r="Y3759">
        <v>-8.8474769999999994E-2</v>
      </c>
      <c r="Z3759">
        <v>4.6429989999999998E-4</v>
      </c>
      <c r="AA3759">
        <v>0.99607829999999997</v>
      </c>
      <c r="AB3759">
        <v>39</v>
      </c>
      <c r="AC3759">
        <v>255.72980000000001</v>
      </c>
      <c r="AD3759">
        <v>-0.90291619999999995</v>
      </c>
      <c r="AE3759">
        <v>18.2561</v>
      </c>
      <c r="AF3759">
        <v>-22.704125024377198</v>
      </c>
      <c r="AG3759">
        <v>-0.90291619999999995</v>
      </c>
      <c r="AH3759">
        <v>255.37013924328201</v>
      </c>
      <c r="AI3759">
        <v>90.201784822250204</v>
      </c>
      <c r="AJ3759">
        <v>95.080622288931494</v>
      </c>
      <c r="AK3759">
        <v>256.37901740961502</v>
      </c>
      <c r="AL3759">
        <v>92.605303834915802</v>
      </c>
      <c r="AM3759">
        <v>94.231811897128793</v>
      </c>
      <c r="AN3759">
        <v>0.99999995548812903</v>
      </c>
    </row>
    <row r="3760" spans="1:40" x14ac:dyDescent="0.25">
      <c r="A3760" t="str">
        <f>"20190305135008214"</f>
        <v>20190305135008214</v>
      </c>
      <c r="B3760" t="str">
        <f>"1551765008204102"</f>
        <v>1551765008204102</v>
      </c>
      <c r="C3760" t="s">
        <v>40</v>
      </c>
      <c r="D3760">
        <v>3.8984610000000002</v>
      </c>
      <c r="E3760">
        <v>0.4923244</v>
      </c>
      <c r="F3760" t="s">
        <v>43</v>
      </c>
      <c r="G3760">
        <v>-215.37139999999999</v>
      </c>
      <c r="H3760">
        <v>-0.05</v>
      </c>
      <c r="I3760">
        <v>229.0078</v>
      </c>
      <c r="J3760">
        <v>-412.6456</v>
      </c>
      <c r="K3760">
        <v>1.109224</v>
      </c>
      <c r="L3760">
        <v>214.1096</v>
      </c>
      <c r="M3760">
        <v>0.99981299999999995</v>
      </c>
      <c r="N3760">
        <v>-9.1552160000000007E-3</v>
      </c>
      <c r="O3760">
        <v>-1.704025E-2</v>
      </c>
      <c r="P3760">
        <v>0.99682349999999997</v>
      </c>
      <c r="Q3760">
        <v>-5.4464720000000001E-2</v>
      </c>
      <c r="R3760">
        <v>5.8108420000000001E-2</v>
      </c>
      <c r="S3760">
        <v>2.9954830000000001</v>
      </c>
      <c r="T3760">
        <v>-1.7571090000000001E-2</v>
      </c>
      <c r="U3760">
        <v>0.2257538</v>
      </c>
      <c r="V3760">
        <v>-7.5059699999999993E-2</v>
      </c>
      <c r="W3760">
        <v>-4.5390819999999998E-2</v>
      </c>
      <c r="X3760">
        <v>0.99614539999999996</v>
      </c>
      <c r="Y3760">
        <v>-9.2129329999999995E-2</v>
      </c>
      <c r="Z3760">
        <v>6.3622599999999896E-4</v>
      </c>
      <c r="AA3760">
        <v>0.99574689999999999</v>
      </c>
      <c r="AB3760">
        <v>39</v>
      </c>
      <c r="AC3760">
        <v>197.27420000000001</v>
      </c>
      <c r="AD3760">
        <v>-1.159224</v>
      </c>
      <c r="AE3760">
        <v>14.898199999999999</v>
      </c>
      <c r="AF3760">
        <v>-18.257152026937302</v>
      </c>
      <c r="AG3760">
        <v>-1.159224</v>
      </c>
      <c r="AH3760">
        <v>196.984911317056</v>
      </c>
      <c r="AI3760">
        <v>90.335733521533399</v>
      </c>
      <c r="AJ3760">
        <v>95.295216946593797</v>
      </c>
      <c r="AK3760">
        <v>197.83256225152999</v>
      </c>
      <c r="AL3760">
        <v>92.601596367148105</v>
      </c>
      <c r="AM3760">
        <v>94.309102402265097</v>
      </c>
      <c r="AN3760">
        <v>0.99999997152275999</v>
      </c>
    </row>
    <row r="3761" spans="1:40" x14ac:dyDescent="0.25">
      <c r="A3761" t="str">
        <f>"20190305135008228"</f>
        <v>20190305135008228</v>
      </c>
      <c r="B3761" t="str">
        <f>"1551765008223623"</f>
        <v>1551765008223623</v>
      </c>
      <c r="C3761" t="s">
        <v>40</v>
      </c>
      <c r="D3761">
        <v>3.930355</v>
      </c>
      <c r="E3761">
        <v>0.49171890000000001</v>
      </c>
      <c r="F3761" t="s">
        <v>78</v>
      </c>
      <c r="G3761">
        <v>-298.1302</v>
      </c>
      <c r="H3761" s="1">
        <v>1.5283409999999999E-6</v>
      </c>
      <c r="I3761">
        <v>223.26310000000001</v>
      </c>
      <c r="J3761">
        <v>-412.40249999999997</v>
      </c>
      <c r="K3761">
        <v>1.109278</v>
      </c>
      <c r="L3761">
        <v>214.10570000000001</v>
      </c>
      <c r="M3761">
        <v>0.99981819999999999</v>
      </c>
      <c r="N3761">
        <v>-9.1337039999999994E-3</v>
      </c>
      <c r="O3761">
        <v>-1.6742300000000002E-2</v>
      </c>
      <c r="P3761">
        <v>0.99677649999999995</v>
      </c>
      <c r="Q3761">
        <v>-5.4458350000000003E-2</v>
      </c>
      <c r="R3761">
        <v>5.8916429999999999E-2</v>
      </c>
      <c r="S3761">
        <v>2.9940190000000002</v>
      </c>
      <c r="T3761">
        <v>-2.900076E-2</v>
      </c>
      <c r="U3761">
        <v>0.2393188</v>
      </c>
      <c r="V3761">
        <v>-7.5564510000000001E-2</v>
      </c>
      <c r="W3761">
        <v>-4.5416440000000002E-2</v>
      </c>
      <c r="X3761">
        <v>0.99610609999999999</v>
      </c>
      <c r="Y3761">
        <v>-9.6348020000000006E-2</v>
      </c>
      <c r="Z3761">
        <v>9.1587839999999999E-4</v>
      </c>
      <c r="AA3761">
        <v>0.99534730000000005</v>
      </c>
      <c r="AB3761">
        <v>39</v>
      </c>
      <c r="AC3761">
        <v>114.27229999999901</v>
      </c>
      <c r="AD3761">
        <v>-1.109276471659</v>
      </c>
      <c r="AE3761">
        <v>9.1573999999999902</v>
      </c>
      <c r="AF3761">
        <v>-11.0683408187968</v>
      </c>
      <c r="AG3761">
        <v>-1.109276471659</v>
      </c>
      <c r="AH3761">
        <v>114.092277173261</v>
      </c>
      <c r="AI3761">
        <v>90.554445080478203</v>
      </c>
      <c r="AJ3761">
        <v>95.541049090182199</v>
      </c>
      <c r="AK3761">
        <v>114.633269051143</v>
      </c>
      <c r="AL3761">
        <v>92.6030657124019</v>
      </c>
      <c r="AM3761">
        <v>94.338143279388305</v>
      </c>
      <c r="AN3761">
        <v>1.00000000532551</v>
      </c>
    </row>
    <row r="3762" spans="1:40" x14ac:dyDescent="0.25">
      <c r="A3762" t="str">
        <f>"20190305135008249"</f>
        <v>20190305135008249</v>
      </c>
      <c r="B3762" t="str">
        <f>"1551765008244119"</f>
        <v>1551765008244119</v>
      </c>
      <c r="C3762" t="s">
        <v>40</v>
      </c>
      <c r="D3762">
        <v>3.9287260000000002</v>
      </c>
      <c r="E3762">
        <v>0.49151149999999999</v>
      </c>
      <c r="F3762" t="s">
        <v>74</v>
      </c>
      <c r="G3762">
        <v>-323.69749999999999</v>
      </c>
      <c r="H3762">
        <v>8.0001100000000006E-2</v>
      </c>
      <c r="I3762">
        <v>221.40960000000001</v>
      </c>
      <c r="J3762">
        <v>-412.05020000000002</v>
      </c>
      <c r="K3762">
        <v>1.1093459999999999</v>
      </c>
      <c r="L3762">
        <v>214.1002</v>
      </c>
      <c r="M3762">
        <v>0.99982649999999995</v>
      </c>
      <c r="N3762">
        <v>-9.0987759999999994E-3</v>
      </c>
      <c r="O3762">
        <v>-1.6258539999999998E-2</v>
      </c>
      <c r="P3762">
        <v>0.99671050000000005</v>
      </c>
      <c r="Q3762">
        <v>-5.3872910000000003E-2</v>
      </c>
      <c r="R3762">
        <v>6.0550010000000001E-2</v>
      </c>
      <c r="S3762">
        <v>2.9932249999999998</v>
      </c>
      <c r="T3762">
        <v>-3.473151E-2</v>
      </c>
      <c r="U3762">
        <v>0.24646000000000001</v>
      </c>
      <c r="V3762">
        <v>-7.6708180000000001E-2</v>
      </c>
      <c r="W3762">
        <v>-4.4880259999999998E-2</v>
      </c>
      <c r="X3762">
        <v>0.99604300000000001</v>
      </c>
      <c r="Y3762">
        <v>-9.8243289999999997E-2</v>
      </c>
      <c r="Z3762">
        <v>1.0574219999999999E-3</v>
      </c>
      <c r="AA3762">
        <v>0.99516190000000004</v>
      </c>
      <c r="AB3762">
        <v>39</v>
      </c>
      <c r="AC3762">
        <v>88.352699999999999</v>
      </c>
      <c r="AD3762">
        <v>-1.0293448999999999</v>
      </c>
      <c r="AE3762">
        <v>7.3094000000000099</v>
      </c>
      <c r="AF3762">
        <v>-8.7438002857175903</v>
      </c>
      <c r="AG3762">
        <v>-1.0293448999999999</v>
      </c>
      <c r="AH3762">
        <v>88.210284030843994</v>
      </c>
      <c r="AI3762">
        <v>90.665306255426202</v>
      </c>
      <c r="AJ3762">
        <v>95.660923038576101</v>
      </c>
      <c r="AK3762">
        <v>88.648563457970596</v>
      </c>
      <c r="AL3762">
        <v>92.572313464530893</v>
      </c>
      <c r="AM3762">
        <v>94.403822675895</v>
      </c>
      <c r="AN3762">
        <v>1.0000000202327799</v>
      </c>
    </row>
    <row r="3763" spans="1:40" x14ac:dyDescent="0.25">
      <c r="A3763" t="str">
        <f>"20190305135008271"</f>
        <v>20190305135008271</v>
      </c>
      <c r="B3763" t="str">
        <f>"1551765008263638"</f>
        <v>1551765008263638</v>
      </c>
      <c r="C3763" t="s">
        <v>40</v>
      </c>
      <c r="D3763">
        <v>3.9230049999999999</v>
      </c>
      <c r="E3763">
        <v>0.4913034</v>
      </c>
      <c r="F3763" t="s">
        <v>74</v>
      </c>
      <c r="G3763">
        <v>-331.48270000000002</v>
      </c>
      <c r="H3763">
        <v>8.0000180000000004E-2</v>
      </c>
      <c r="I3763">
        <v>220.90649999999999</v>
      </c>
      <c r="J3763">
        <v>-411.65410000000003</v>
      </c>
      <c r="K3763">
        <v>1.1093999999999999</v>
      </c>
      <c r="L3763">
        <v>214.0942</v>
      </c>
      <c r="M3763">
        <v>0.99983650000000002</v>
      </c>
      <c r="N3763">
        <v>-9.0423810000000004E-3</v>
      </c>
      <c r="O3763">
        <v>-1.566246E-2</v>
      </c>
      <c r="P3763">
        <v>0.99661180000000005</v>
      </c>
      <c r="Q3763">
        <v>-5.4133300000000002E-2</v>
      </c>
      <c r="R3763">
        <v>6.1924840000000002E-2</v>
      </c>
      <c r="S3763">
        <v>2.9925229999999998</v>
      </c>
      <c r="T3763">
        <v>-3.8233040000000003E-2</v>
      </c>
      <c r="U3763">
        <v>0.25280760000000002</v>
      </c>
      <c r="V3763">
        <v>-7.7479740000000005E-2</v>
      </c>
      <c r="W3763">
        <v>-4.5210710000000001E-2</v>
      </c>
      <c r="X3763">
        <v>0.99596830000000003</v>
      </c>
      <c r="Y3763">
        <v>-9.9763130000000005E-2</v>
      </c>
      <c r="Z3763">
        <v>1.146441E-3</v>
      </c>
      <c r="AA3763">
        <v>0.99501059999999997</v>
      </c>
      <c r="AB3763">
        <v>39</v>
      </c>
      <c r="AC3763">
        <v>80.171400000000006</v>
      </c>
      <c r="AD3763">
        <v>-1.0293998200000001</v>
      </c>
      <c r="AE3763">
        <v>6.8122999999999898</v>
      </c>
      <c r="AF3763">
        <v>-8.0658766767800003</v>
      </c>
      <c r="AG3763">
        <v>-1.0293998200000001</v>
      </c>
      <c r="AH3763">
        <v>80.041761818072402</v>
      </c>
      <c r="AI3763">
        <v>90.733115532317896</v>
      </c>
      <c r="AJ3763">
        <v>95.754319166441206</v>
      </c>
      <c r="AK3763">
        <v>80.453723751579503</v>
      </c>
      <c r="AL3763">
        <v>92.591266180138305</v>
      </c>
      <c r="AM3763">
        <v>94.448273390646094</v>
      </c>
      <c r="AN3763">
        <v>0.99999998650703004</v>
      </c>
    </row>
    <row r="3764" spans="1:40" x14ac:dyDescent="0.25">
      <c r="A3764" t="str">
        <f>"20190305135008294"</f>
        <v>20190305135008294</v>
      </c>
      <c r="B3764" t="str">
        <f>"1551765008284134"</f>
        <v>1551765008284134</v>
      </c>
      <c r="C3764" t="s">
        <v>40</v>
      </c>
      <c r="D3764">
        <v>3.9033790000000002</v>
      </c>
      <c r="E3764">
        <v>0.49145899999999998</v>
      </c>
      <c r="F3764" t="s">
        <v>74</v>
      </c>
      <c r="G3764">
        <v>-338.76679999999999</v>
      </c>
      <c r="H3764">
        <v>8.0000859999999993E-2</v>
      </c>
      <c r="I3764">
        <v>220.3921</v>
      </c>
      <c r="J3764">
        <v>-411.24250000000001</v>
      </c>
      <c r="K3764">
        <v>1.10944</v>
      </c>
      <c r="L3764">
        <v>214.0883</v>
      </c>
      <c r="M3764">
        <v>0.99984740000000005</v>
      </c>
      <c r="N3764">
        <v>-8.9666720000000002E-3</v>
      </c>
      <c r="O3764">
        <v>-1.5000650000000001E-2</v>
      </c>
      <c r="P3764">
        <v>0.99653230000000004</v>
      </c>
      <c r="Q3764">
        <v>-5.4118449999999999E-2</v>
      </c>
      <c r="R3764">
        <v>6.3202079999999994E-2</v>
      </c>
      <c r="S3764">
        <v>2.9918520000000002</v>
      </c>
      <c r="T3764">
        <v>-4.2254449999999999E-2</v>
      </c>
      <c r="U3764">
        <v>0.25851439999999998</v>
      </c>
      <c r="V3764">
        <v>-7.8090690000000004E-2</v>
      </c>
      <c r="W3764">
        <v>-4.528269E-2</v>
      </c>
      <c r="X3764">
        <v>0.99591730000000001</v>
      </c>
      <c r="Y3764">
        <v>-0.1010047</v>
      </c>
      <c r="Z3764">
        <v>1.2428599999999999E-3</v>
      </c>
      <c r="AA3764">
        <v>0.99488509999999997</v>
      </c>
      <c r="AB3764">
        <v>39</v>
      </c>
      <c r="AC3764">
        <v>72.475700000000003</v>
      </c>
      <c r="AD3764">
        <v>-1.02943914</v>
      </c>
      <c r="AE3764">
        <v>6.3037999999999901</v>
      </c>
      <c r="AF3764">
        <v>-7.3888373335460997</v>
      </c>
      <c r="AG3764">
        <v>-1.02943914</v>
      </c>
      <c r="AH3764">
        <v>72.358490962233105</v>
      </c>
      <c r="AI3764">
        <v>90.810871933845405</v>
      </c>
      <c r="AJ3764">
        <v>95.830509448466998</v>
      </c>
      <c r="AK3764">
        <v>72.742050262665401</v>
      </c>
      <c r="AL3764">
        <v>92.595394593177005</v>
      </c>
      <c r="AM3764">
        <v>94.483435510230095</v>
      </c>
      <c r="AN3764">
        <v>0.99999997315879996</v>
      </c>
    </row>
    <row r="3765" spans="1:40" x14ac:dyDescent="0.25">
      <c r="A3765" t="str">
        <f>"20190305135008316"</f>
        <v>20190305135008316</v>
      </c>
      <c r="B3765" t="str">
        <f>"1551765008303655"</f>
        <v>1551765008303655</v>
      </c>
      <c r="C3765" t="s">
        <v>40</v>
      </c>
      <c r="D3765">
        <v>3.904245</v>
      </c>
      <c r="E3765">
        <v>0.49156060000000001</v>
      </c>
      <c r="F3765" t="s">
        <v>74</v>
      </c>
      <c r="G3765">
        <v>-342.18689999999998</v>
      </c>
      <c r="H3765">
        <v>8.0000660000000001E-2</v>
      </c>
      <c r="I3765">
        <v>220.11619999999999</v>
      </c>
      <c r="J3765">
        <v>-410.86259999999999</v>
      </c>
      <c r="K3765">
        <v>1.109459</v>
      </c>
      <c r="L3765">
        <v>214.0831</v>
      </c>
      <c r="M3765">
        <v>0.99985740000000001</v>
      </c>
      <c r="N3765">
        <v>-8.8909909999999905E-3</v>
      </c>
      <c r="O3765">
        <v>-1.4367120000000001E-2</v>
      </c>
      <c r="P3765">
        <v>0.99645059999999996</v>
      </c>
      <c r="Q3765">
        <v>-5.4060080000000003E-2</v>
      </c>
      <c r="R3765">
        <v>6.4529039999999996E-2</v>
      </c>
      <c r="S3765">
        <v>2.9914550000000002</v>
      </c>
      <c r="T3765">
        <v>-4.4594759999999997E-2</v>
      </c>
      <c r="U3765">
        <v>0.26112370000000001</v>
      </c>
      <c r="V3765">
        <v>-7.8781069999999995E-2</v>
      </c>
      <c r="W3765">
        <v>-4.5308649999999999E-2</v>
      </c>
      <c r="X3765">
        <v>0.99586180000000002</v>
      </c>
      <c r="Y3765">
        <v>-0.1012453</v>
      </c>
      <c r="Z3765">
        <v>1.2904730000000001E-3</v>
      </c>
      <c r="AA3765">
        <v>0.99486059999999998</v>
      </c>
      <c r="AB3765">
        <v>39</v>
      </c>
      <c r="AC3765">
        <v>68.675700000000006</v>
      </c>
      <c r="AD3765">
        <v>-1.0294583399999999</v>
      </c>
      <c r="AE3765">
        <v>6.0330999999999904</v>
      </c>
      <c r="AF3765">
        <v>-7.0176233297336399</v>
      </c>
      <c r="AG3765">
        <v>-1.0294583399999999</v>
      </c>
      <c r="AH3765">
        <v>68.566640348545405</v>
      </c>
      <c r="AI3765">
        <v>90.855703796256407</v>
      </c>
      <c r="AJ3765">
        <v>95.843731355130103</v>
      </c>
      <c r="AK3765">
        <v>68.932510402266601</v>
      </c>
      <c r="AL3765">
        <v>92.5968833780463</v>
      </c>
      <c r="AM3765">
        <v>94.5231597027785</v>
      </c>
      <c r="AN3765">
        <v>1.0000000277272001</v>
      </c>
    </row>
    <row r="3766" spans="1:40" x14ac:dyDescent="0.25">
      <c r="A3766" t="str">
        <f>"20190305135008338"</f>
        <v>20190305135008338</v>
      </c>
      <c r="B3766" t="str">
        <f>"1551765008333911"</f>
        <v>1551765008333911</v>
      </c>
      <c r="C3766" t="s">
        <v>40</v>
      </c>
      <c r="D3766">
        <v>3.8818169999999999</v>
      </c>
      <c r="E3766">
        <v>0.49199369999999998</v>
      </c>
      <c r="F3766" t="s">
        <v>74</v>
      </c>
      <c r="G3766">
        <v>-344.81740000000002</v>
      </c>
      <c r="H3766">
        <v>8.0001429999999998E-2</v>
      </c>
      <c r="I3766">
        <v>219.91839999999999</v>
      </c>
      <c r="J3766">
        <v>-410.4785</v>
      </c>
      <c r="K3766">
        <v>1.109475</v>
      </c>
      <c r="L3766">
        <v>214.07810000000001</v>
      </c>
      <c r="M3766">
        <v>0.99986719999999896</v>
      </c>
      <c r="N3766">
        <v>-8.8093930000000004E-3</v>
      </c>
      <c r="O3766">
        <v>-1.3713019999999999E-2</v>
      </c>
      <c r="P3766">
        <v>0.99638400000000005</v>
      </c>
      <c r="Q3766">
        <v>-5.4233280000000002E-2</v>
      </c>
      <c r="R3766">
        <v>6.5406690000000003E-2</v>
      </c>
      <c r="S3766">
        <v>2.991028</v>
      </c>
      <c r="T3766">
        <v>-4.6621679999999999E-2</v>
      </c>
      <c r="U3766">
        <v>0.26426699999999997</v>
      </c>
      <c r="V3766">
        <v>-7.9002379999999997E-2</v>
      </c>
      <c r="W3766">
        <v>-4.5569940000000003E-2</v>
      </c>
      <c r="X3766">
        <v>0.9958323</v>
      </c>
      <c r="Y3766">
        <v>-0.10164289999999999</v>
      </c>
      <c r="Z3766">
        <v>1.3319969999999999E-3</v>
      </c>
      <c r="AA3766">
        <v>0.99482009999999998</v>
      </c>
      <c r="AB3766">
        <v>39</v>
      </c>
      <c r="AC3766">
        <v>65.661099999999905</v>
      </c>
      <c r="AD3766">
        <v>-1.0294735699999999</v>
      </c>
      <c r="AE3766">
        <v>5.8402999999999796</v>
      </c>
      <c r="AF3766">
        <v>-6.7385542354327201</v>
      </c>
      <c r="AG3766">
        <v>-1.0294735699999999</v>
      </c>
      <c r="AH3766">
        <v>65.558845228029995</v>
      </c>
      <c r="AI3766">
        <v>90.8949300375224</v>
      </c>
      <c r="AJ3766">
        <v>95.868614431187595</v>
      </c>
      <c r="AK3766">
        <v>65.912291089355904</v>
      </c>
      <c r="AL3766">
        <v>92.611869789164899</v>
      </c>
      <c r="AM3766">
        <v>94.535946918941804</v>
      </c>
      <c r="AN3766">
        <v>0.999999982600278</v>
      </c>
    </row>
    <row r="3767" spans="1:40" x14ac:dyDescent="0.25">
      <c r="A3767" t="str">
        <f>"20190305135008361"</f>
        <v>20190305135008361</v>
      </c>
      <c r="B3767" t="str">
        <f>"1551765008354407"</f>
        <v>1551765008354407</v>
      </c>
      <c r="C3767" t="s">
        <v>40</v>
      </c>
      <c r="D3767">
        <v>3.8861150000000002</v>
      </c>
      <c r="E3767">
        <v>0.49208970000000002</v>
      </c>
      <c r="F3767" t="s">
        <v>74</v>
      </c>
      <c r="G3767">
        <v>-347.6046</v>
      </c>
      <c r="H3767">
        <v>3.8549319999999998E-2</v>
      </c>
      <c r="I3767">
        <v>219.6163</v>
      </c>
      <c r="J3767">
        <v>-410.06869999999998</v>
      </c>
      <c r="K3767">
        <v>1.1094820000000001</v>
      </c>
      <c r="L3767">
        <v>214.07300000000001</v>
      </c>
      <c r="M3767">
        <v>0.99987740000000003</v>
      </c>
      <c r="N3767">
        <v>-8.7171039999999998E-3</v>
      </c>
      <c r="O3767">
        <v>-1.3008509999999999E-2</v>
      </c>
      <c r="P3767">
        <v>0.99631239999999999</v>
      </c>
      <c r="Q3767">
        <v>-5.4524389999999999E-2</v>
      </c>
      <c r="R3767">
        <v>6.6248630000000003E-2</v>
      </c>
      <c r="S3767">
        <v>2.9908139999999999</v>
      </c>
      <c r="T3767">
        <v>-5.0942179999999997E-2</v>
      </c>
      <c r="U3767">
        <v>0.26344299999999998</v>
      </c>
      <c r="V3767">
        <v>-7.913866E-2</v>
      </c>
      <c r="W3767">
        <v>-4.595904E-2</v>
      </c>
      <c r="X3767">
        <v>0.99580360000000001</v>
      </c>
      <c r="Y3767">
        <v>-0.10067329999999999</v>
      </c>
      <c r="Z3767">
        <v>1.4033470000000001E-3</v>
      </c>
      <c r="AA3767">
        <v>0.99491850000000004</v>
      </c>
      <c r="AB3767">
        <v>40</v>
      </c>
      <c r="AC3767">
        <v>62.464099999999902</v>
      </c>
      <c r="AD3767">
        <v>-1.0709326800000001</v>
      </c>
      <c r="AE3767">
        <v>5.5433000000000101</v>
      </c>
      <c r="AF3767">
        <v>-6.3535736597872097</v>
      </c>
      <c r="AG3767">
        <v>-1.0709326800000001</v>
      </c>
      <c r="AH3767">
        <v>62.368511886320398</v>
      </c>
      <c r="AI3767">
        <v>90.978667766260202</v>
      </c>
      <c r="AJ3767">
        <v>95.816740543995394</v>
      </c>
      <c r="AK3767">
        <v>62.7004471273493</v>
      </c>
      <c r="AL3767">
        <v>92.634186953001404</v>
      </c>
      <c r="AM3767">
        <v>94.5438691486941</v>
      </c>
      <c r="AN3767">
        <v>0.99999998531863799</v>
      </c>
    </row>
    <row r="3768" spans="1:40" x14ac:dyDescent="0.25">
      <c r="A3768" t="str">
        <f>"20190305135008383"</f>
        <v>20190305135008383</v>
      </c>
      <c r="B3768" t="str">
        <f>"1551765008373927"</f>
        <v>1551765008373927</v>
      </c>
      <c r="C3768" t="s">
        <v>40</v>
      </c>
      <c r="D3768">
        <v>3.8801890000000001</v>
      </c>
      <c r="E3768">
        <v>0.49209940000000002</v>
      </c>
      <c r="F3768" t="s">
        <v>74</v>
      </c>
      <c r="G3768">
        <v>-347.83949999999999</v>
      </c>
      <c r="H3768" s="1">
        <v>2.6350050000000001E-6</v>
      </c>
      <c r="I3768">
        <v>219.58629999999999</v>
      </c>
      <c r="J3768">
        <v>-409.68099999999998</v>
      </c>
      <c r="K3768">
        <v>1.1094809999999999</v>
      </c>
      <c r="L3768">
        <v>214.0685</v>
      </c>
      <c r="M3768">
        <v>0.99988670000000002</v>
      </c>
      <c r="N3768">
        <v>-8.6266740000000008E-3</v>
      </c>
      <c r="O3768">
        <v>-1.23402999999999E-2</v>
      </c>
      <c r="P3768">
        <v>0.99624389999999996</v>
      </c>
      <c r="Q3768">
        <v>-5.5034510000000002E-2</v>
      </c>
      <c r="R3768">
        <v>6.6853839999999998E-2</v>
      </c>
      <c r="S3768">
        <v>2.9906009999999998</v>
      </c>
      <c r="T3768">
        <v>-5.3319220000000001E-2</v>
      </c>
      <c r="U3768">
        <v>0.26495360000000001</v>
      </c>
      <c r="V3768">
        <v>-7.9074249999999999E-2</v>
      </c>
      <c r="W3768">
        <v>-4.6563899999999998E-2</v>
      </c>
      <c r="X3768">
        <v>0.99578060000000002</v>
      </c>
      <c r="Y3768">
        <v>-0.10051160000000001</v>
      </c>
      <c r="Z3768">
        <v>1.441992E-3</v>
      </c>
      <c r="AA3768">
        <v>0.99493489999999996</v>
      </c>
      <c r="AB3768">
        <v>40</v>
      </c>
      <c r="AC3768">
        <v>61.841500000000003</v>
      </c>
      <c r="AD3768">
        <v>-1.109478364995</v>
      </c>
      <c r="AE3768">
        <v>5.5177999999999896</v>
      </c>
      <c r="AF3768">
        <v>-6.2785459344456402</v>
      </c>
      <c r="AG3768">
        <v>-1.109478364995</v>
      </c>
      <c r="AH3768">
        <v>61.748978892503999</v>
      </c>
      <c r="AI3768">
        <v>91.024075516017902</v>
      </c>
      <c r="AJ3768">
        <v>95.8057981959643</v>
      </c>
      <c r="AK3768">
        <v>62.077270200615601</v>
      </c>
      <c r="AL3768">
        <v>92.668880067595296</v>
      </c>
      <c r="AM3768">
        <v>94.540290844667993</v>
      </c>
      <c r="AN3768">
        <v>0.99999996856631501</v>
      </c>
    </row>
    <row r="3769" spans="1:40" x14ac:dyDescent="0.25">
      <c r="A3769" t="str">
        <f>"20190305135008405"</f>
        <v>20190305135008405</v>
      </c>
      <c r="B3769" t="str">
        <f>"1551765008394426"</f>
        <v>1551765008394426</v>
      </c>
      <c r="C3769" t="s">
        <v>40</v>
      </c>
      <c r="D3769">
        <v>3.8843869999999998</v>
      </c>
      <c r="E3769">
        <v>0.49212640000000002</v>
      </c>
      <c r="F3769" t="s">
        <v>74</v>
      </c>
      <c r="G3769">
        <v>-349.99430000000001</v>
      </c>
      <c r="H3769" s="1">
        <v>-1.7487230000000001E-6</v>
      </c>
      <c r="I3769">
        <v>219.39529999999999</v>
      </c>
      <c r="J3769">
        <v>-409.29419999999999</v>
      </c>
      <c r="K3769">
        <v>1.109475</v>
      </c>
      <c r="L3769">
        <v>214.0642</v>
      </c>
      <c r="M3769">
        <v>0.99989550000000005</v>
      </c>
      <c r="N3769">
        <v>-8.5350459999999993E-3</v>
      </c>
      <c r="O3769">
        <v>-1.167427E-2</v>
      </c>
      <c r="P3769">
        <v>0.9961525</v>
      </c>
      <c r="Q3769">
        <v>-5.5557599999999999E-2</v>
      </c>
      <c r="R3769">
        <v>6.7778240000000003E-2</v>
      </c>
      <c r="S3769">
        <v>2.9903559999999998</v>
      </c>
      <c r="T3769">
        <v>-5.5586099999999999E-2</v>
      </c>
      <c r="U3769">
        <v>0.26687620000000001</v>
      </c>
      <c r="V3769">
        <v>-7.9330709999999999E-2</v>
      </c>
      <c r="W3769">
        <v>-4.7183030000000001E-2</v>
      </c>
      <c r="X3769">
        <v>0.99573109999999998</v>
      </c>
      <c r="Y3769">
        <v>-0.10048899999999999</v>
      </c>
      <c r="Z3769">
        <v>1.4789390000000001E-3</v>
      </c>
      <c r="AA3769">
        <v>0.99493710000000002</v>
      </c>
      <c r="AB3769">
        <v>40</v>
      </c>
      <c r="AC3769">
        <v>59.299899999999901</v>
      </c>
      <c r="AD3769">
        <v>-1.109476748723</v>
      </c>
      <c r="AE3769">
        <v>5.3310999999999904</v>
      </c>
      <c r="AF3769">
        <v>-6.02095415706592</v>
      </c>
      <c r="AG3769">
        <v>-1.109476748723</v>
      </c>
      <c r="AH3769">
        <v>59.213058379507103</v>
      </c>
      <c r="AI3769">
        <v>91.0679216775779</v>
      </c>
      <c r="AJ3769">
        <v>95.8060442477408</v>
      </c>
      <c r="AK3769">
        <v>59.528725085225503</v>
      </c>
      <c r="AL3769">
        <v>92.704392522723197</v>
      </c>
      <c r="AM3769">
        <v>94.555179900791401</v>
      </c>
      <c r="AN3769">
        <v>1.00000001168814</v>
      </c>
    </row>
    <row r="3770" spans="1:40" x14ac:dyDescent="0.25">
      <c r="A3770" t="str">
        <f>"20190305135008418"</f>
        <v>20190305135008418</v>
      </c>
      <c r="B3770" t="str">
        <f>"1551765008413942"</f>
        <v>1551765008413942</v>
      </c>
      <c r="C3770" t="s">
        <v>40</v>
      </c>
      <c r="D3770">
        <v>3.7691819999999998</v>
      </c>
      <c r="E3770">
        <v>0.49212250000000002</v>
      </c>
      <c r="F3770" t="s">
        <v>74</v>
      </c>
      <c r="G3770">
        <v>-351.86840000000001</v>
      </c>
      <c r="H3770" s="1">
        <v>-7.4449790000000003E-7</v>
      </c>
      <c r="I3770">
        <v>219.23689999999999</v>
      </c>
      <c r="J3770">
        <v>-409.0539</v>
      </c>
      <c r="K3770">
        <v>1.109477</v>
      </c>
      <c r="L3770">
        <v>214.0617</v>
      </c>
      <c r="M3770">
        <v>0.99990060000000003</v>
      </c>
      <c r="N3770">
        <v>-8.4789180000000002E-3</v>
      </c>
      <c r="O3770">
        <v>-1.1261159999999999E-2</v>
      </c>
      <c r="P3770">
        <v>0.99610969999999999</v>
      </c>
      <c r="Q3770">
        <v>-5.5698289999999998E-2</v>
      </c>
      <c r="R3770">
        <v>6.828774E-2</v>
      </c>
      <c r="S3770">
        <v>2.9900820000000001</v>
      </c>
      <c r="T3770">
        <v>-5.7768819999999999E-2</v>
      </c>
      <c r="U3770">
        <v>0.26933289999999999</v>
      </c>
      <c r="V3770">
        <v>-7.9426819999999995E-2</v>
      </c>
      <c r="W3770">
        <v>-4.7382109999999998E-2</v>
      </c>
      <c r="X3770">
        <v>0.99571390000000004</v>
      </c>
      <c r="Y3770">
        <v>-0.1008951</v>
      </c>
      <c r="Z3770">
        <v>1.5231209999999999E-3</v>
      </c>
      <c r="AA3770">
        <v>0.99489590000000006</v>
      </c>
      <c r="AB3770">
        <v>40</v>
      </c>
      <c r="AC3770">
        <v>57.185499999999898</v>
      </c>
      <c r="AD3770">
        <v>-1.1094777444978901</v>
      </c>
      <c r="AE3770">
        <v>5.1751999999999896</v>
      </c>
      <c r="AF3770">
        <v>-5.8166983662987297</v>
      </c>
      <c r="AG3770">
        <v>-1.1094777444978901</v>
      </c>
      <c r="AH3770">
        <v>57.102273349888101</v>
      </c>
      <c r="AI3770">
        <v>91.1073684697365</v>
      </c>
      <c r="AJ3770">
        <v>95.816347589602501</v>
      </c>
      <c r="AK3770">
        <v>57.4084884183113</v>
      </c>
      <c r="AL3770">
        <v>92.7158119673404</v>
      </c>
      <c r="AM3770">
        <v>94.560753731526603</v>
      </c>
      <c r="AN3770">
        <v>0.99999992736828403</v>
      </c>
    </row>
    <row r="3771" spans="1:40" x14ac:dyDescent="0.25">
      <c r="A3771" t="str">
        <f>"20190305135008439"</f>
        <v>20190305135008439</v>
      </c>
      <c r="B3771" t="str">
        <f>"1551765008434439"</f>
        <v>1551765008434439</v>
      </c>
      <c r="C3771" t="s">
        <v>40</v>
      </c>
      <c r="D3771">
        <v>3.8862920000000001</v>
      </c>
      <c r="E3771">
        <v>0.4922609</v>
      </c>
      <c r="F3771" t="s">
        <v>74</v>
      </c>
      <c r="G3771">
        <v>-352.4468</v>
      </c>
      <c r="H3771" s="1">
        <v>-4.3456990000000001E-7</v>
      </c>
      <c r="I3771">
        <v>219.1884</v>
      </c>
      <c r="J3771">
        <v>-408.69240000000002</v>
      </c>
      <c r="K3771">
        <v>1.109488</v>
      </c>
      <c r="L3771">
        <v>214.0581</v>
      </c>
      <c r="M3771">
        <v>0.99990829999999997</v>
      </c>
      <c r="N3771">
        <v>-8.3977280000000001E-3</v>
      </c>
      <c r="O3771">
        <v>-1.064065E-2</v>
      </c>
      <c r="P3771">
        <v>0.99606079999999997</v>
      </c>
      <c r="Q3771">
        <v>-5.5687720000000003E-2</v>
      </c>
      <c r="R3771">
        <v>6.9008479999999997E-2</v>
      </c>
      <c r="S3771">
        <v>2.989868</v>
      </c>
      <c r="T3771">
        <v>-5.8600310000000003E-2</v>
      </c>
      <c r="U3771">
        <v>0.27078249999999998</v>
      </c>
      <c r="V3771">
        <v>-7.952766E-2</v>
      </c>
      <c r="W3771">
        <v>-4.7455600000000001E-2</v>
      </c>
      <c r="X3771">
        <v>0.99570239999999999</v>
      </c>
      <c r="Y3771">
        <v>-0.1007619</v>
      </c>
      <c r="Z3771">
        <v>1.528319E-3</v>
      </c>
      <c r="AA3771">
        <v>0.99490940000000005</v>
      </c>
      <c r="AB3771">
        <v>40</v>
      </c>
      <c r="AC3771">
        <v>56.245600000000003</v>
      </c>
      <c r="AD3771">
        <v>-1.1094884345698901</v>
      </c>
      <c r="AE3771">
        <v>5.1303000000000001</v>
      </c>
      <c r="AF3771">
        <v>-5.7263105186213297</v>
      </c>
      <c r="AG3771">
        <v>-1.1094884345698901</v>
      </c>
      <c r="AH3771">
        <v>56.1661495961865</v>
      </c>
      <c r="AI3771">
        <v>91.125821118101399</v>
      </c>
      <c r="AJ3771">
        <v>95.821365428683393</v>
      </c>
      <c r="AK3771">
        <v>56.468203063346401</v>
      </c>
      <c r="AL3771">
        <v>92.720027243989406</v>
      </c>
      <c r="AM3771">
        <v>94.566572091994999</v>
      </c>
      <c r="AN3771">
        <v>0.99999997602109703</v>
      </c>
    </row>
    <row r="3772" spans="1:40" x14ac:dyDescent="0.25">
      <c r="A3772" t="str">
        <f>"20190305135008461"</f>
        <v>20190305135008461</v>
      </c>
      <c r="B3772" t="str">
        <f>"1551765008453960"</f>
        <v>1551765008453960</v>
      </c>
      <c r="C3772" t="s">
        <v>40</v>
      </c>
      <c r="D3772">
        <v>3.8631310000000001</v>
      </c>
      <c r="E3772">
        <v>0.492398</v>
      </c>
      <c r="F3772" t="s">
        <v>74</v>
      </c>
      <c r="G3772">
        <v>-353.03469999999999</v>
      </c>
      <c r="H3772" s="1">
        <v>-1.1871410000000001E-7</v>
      </c>
      <c r="I3772">
        <v>219.1199</v>
      </c>
      <c r="J3772">
        <v>-408.27670000000001</v>
      </c>
      <c r="K3772">
        <v>1.109497</v>
      </c>
      <c r="L3772">
        <v>214.05420000000001</v>
      </c>
      <c r="M3772">
        <v>0.99991620000000003</v>
      </c>
      <c r="N3772">
        <v>-8.3124840000000002E-3</v>
      </c>
      <c r="O3772">
        <v>-9.9276169999999997E-3</v>
      </c>
      <c r="P3772">
        <v>0.99603339999999996</v>
      </c>
      <c r="Q3772">
        <v>-5.5275070000000003E-2</v>
      </c>
      <c r="R3772">
        <v>6.9728520000000002E-2</v>
      </c>
      <c r="S3772">
        <v>2.9896850000000001</v>
      </c>
      <c r="T3772">
        <v>-5.9596780000000002E-2</v>
      </c>
      <c r="U3772">
        <v>0.27189639999999998</v>
      </c>
      <c r="V3772">
        <v>-7.9536029999999994E-2</v>
      </c>
      <c r="W3772">
        <v>-4.7130600000000002E-2</v>
      </c>
      <c r="X3772">
        <v>0.99571719999999997</v>
      </c>
      <c r="Y3772">
        <v>-0.100425</v>
      </c>
      <c r="Z3772">
        <v>1.5322479999999999E-3</v>
      </c>
      <c r="AA3772">
        <v>0.99494340000000003</v>
      </c>
      <c r="AB3772">
        <v>40</v>
      </c>
      <c r="AC3772">
        <v>55.241999999999997</v>
      </c>
      <c r="AD3772">
        <v>-1.1094971187141001</v>
      </c>
      <c r="AE3772">
        <v>5.0656999999999899</v>
      </c>
      <c r="AF3772">
        <v>-5.6116459488537096</v>
      </c>
      <c r="AG3772">
        <v>-1.1094971187141001</v>
      </c>
      <c r="AH3772">
        <v>55.166917794747803</v>
      </c>
      <c r="AI3772">
        <v>91.146243336425897</v>
      </c>
      <c r="AJ3772">
        <v>95.808218385926295</v>
      </c>
      <c r="AK3772">
        <v>55.462693525325498</v>
      </c>
      <c r="AL3772">
        <v>92.701385169447306</v>
      </c>
      <c r="AM3772">
        <v>94.566983078263505</v>
      </c>
      <c r="AN3772">
        <v>1.0000000079501801</v>
      </c>
    </row>
    <row r="3773" spans="1:40" x14ac:dyDescent="0.25">
      <c r="A3773" t="str">
        <f>"20190305135008485"</f>
        <v>20190305135008485</v>
      </c>
      <c r="B3773" t="str">
        <f>"1551765008474455"</f>
        <v>1551765008474455</v>
      </c>
      <c r="C3773" t="s">
        <v>40</v>
      </c>
      <c r="D3773">
        <v>3.8924629999999998</v>
      </c>
      <c r="E3773">
        <v>0.49250969999999999</v>
      </c>
      <c r="F3773" t="s">
        <v>74</v>
      </c>
      <c r="G3773">
        <v>-351.69130000000001</v>
      </c>
      <c r="H3773" s="1">
        <v>-8.3801059999999998E-7</v>
      </c>
      <c r="I3773">
        <v>219.2208</v>
      </c>
      <c r="J3773">
        <v>-407.86930000000001</v>
      </c>
      <c r="K3773">
        <v>1.1095109999999999</v>
      </c>
      <c r="L3773">
        <v>214.05070000000001</v>
      </c>
      <c r="M3773">
        <v>0.99992360000000002</v>
      </c>
      <c r="N3773">
        <v>-8.2364729999999994E-3</v>
      </c>
      <c r="O3773">
        <v>-9.228478E-3</v>
      </c>
      <c r="P3773">
        <v>0.99600120000000003</v>
      </c>
      <c r="Q3773">
        <v>-5.4506840000000001E-2</v>
      </c>
      <c r="R3773">
        <v>7.0786799999999997E-2</v>
      </c>
      <c r="S3773">
        <v>2.989563</v>
      </c>
      <c r="T3773">
        <v>-5.8617830000000003E-2</v>
      </c>
      <c r="U3773">
        <v>0.2729645</v>
      </c>
      <c r="V3773">
        <v>-7.9898490000000003E-2</v>
      </c>
      <c r="W3773">
        <v>-4.6440919999999997E-2</v>
      </c>
      <c r="X3773">
        <v>0.99572059999999996</v>
      </c>
      <c r="Y3773">
        <v>-0.10008649999999999</v>
      </c>
      <c r="Z3773">
        <v>1.496921E-3</v>
      </c>
      <c r="AA3773">
        <v>0.99497760000000002</v>
      </c>
      <c r="AB3773">
        <v>40</v>
      </c>
      <c r="AC3773">
        <v>56.177999999999997</v>
      </c>
      <c r="AD3773">
        <v>-1.1095118380105999</v>
      </c>
      <c r="AE3773">
        <v>5.1700999999999899</v>
      </c>
      <c r="AF3773">
        <v>-5.6861354876738401</v>
      </c>
      <c r="AG3773">
        <v>-1.1095118380105999</v>
      </c>
      <c r="AH3773">
        <v>56.106192847711803</v>
      </c>
      <c r="AI3773">
        <v>91.127116486250799</v>
      </c>
      <c r="AJ3773">
        <v>95.786936709285499</v>
      </c>
      <c r="AK3773">
        <v>56.404503624865796</v>
      </c>
      <c r="AL3773">
        <v>92.661826063011503</v>
      </c>
      <c r="AM3773">
        <v>94.587691400628799</v>
      </c>
      <c r="AN3773">
        <v>1.0000000205095401</v>
      </c>
    </row>
    <row r="3774" spans="1:40" x14ac:dyDescent="0.25">
      <c r="A3774" t="str">
        <f>"20190305135008509"</f>
        <v>20190305135008509</v>
      </c>
      <c r="B3774" t="str">
        <f>"1551765008503735"</f>
        <v>1551765008503735</v>
      </c>
      <c r="C3774" t="s">
        <v>40</v>
      </c>
      <c r="D3774">
        <v>3.8826520000000002</v>
      </c>
      <c r="E3774">
        <v>0.49270340000000001</v>
      </c>
      <c r="F3774" t="s">
        <v>74</v>
      </c>
      <c r="G3774">
        <v>-349.08940000000001</v>
      </c>
      <c r="H3774" s="1">
        <v>3.3001399999999998E-6</v>
      </c>
      <c r="I3774">
        <v>219.4605</v>
      </c>
      <c r="J3774">
        <v>-407.44349999999997</v>
      </c>
      <c r="K3774">
        <v>1.109515</v>
      </c>
      <c r="L3774">
        <v>214.04730000000001</v>
      </c>
      <c r="M3774">
        <v>0.9999306</v>
      </c>
      <c r="N3774">
        <v>-8.1628800000000008E-3</v>
      </c>
      <c r="O3774">
        <v>-8.4976559999999993E-3</v>
      </c>
      <c r="P3774">
        <v>0.99597449999999998</v>
      </c>
      <c r="Q3774">
        <v>-5.3801830000000002E-2</v>
      </c>
      <c r="R3774">
        <v>7.1693789999999993E-2</v>
      </c>
      <c r="S3774">
        <v>2.9894409999999998</v>
      </c>
      <c r="T3774">
        <v>-5.6427600000000001E-2</v>
      </c>
      <c r="U3774">
        <v>0.27513120000000002</v>
      </c>
      <c r="V3774">
        <v>-8.007744E-2</v>
      </c>
      <c r="W3774">
        <v>-4.5811360000000002E-2</v>
      </c>
      <c r="X3774">
        <v>0.99573529999999999</v>
      </c>
      <c r="Y3774">
        <v>-0.10008010000000001</v>
      </c>
      <c r="Z3774">
        <v>1.4427019999999999E-3</v>
      </c>
      <c r="AA3774">
        <v>0.99497840000000004</v>
      </c>
      <c r="AB3774">
        <v>40</v>
      </c>
      <c r="AC3774">
        <v>58.354099999999903</v>
      </c>
      <c r="AD3774">
        <v>-1.1095116998600001</v>
      </c>
      <c r="AE3774">
        <v>5.4131999999999802</v>
      </c>
      <c r="AF3774">
        <v>-5.9067769733316897</v>
      </c>
      <c r="AG3774">
        <v>-1.1095116998600001</v>
      </c>
      <c r="AH3774">
        <v>58.285100990443802</v>
      </c>
      <c r="AI3774">
        <v>91.084991263095802</v>
      </c>
      <c r="AJ3774">
        <v>95.786759585412895</v>
      </c>
      <c r="AK3774">
        <v>58.594146703327297</v>
      </c>
      <c r="AL3774">
        <v>92.625716729571707</v>
      </c>
      <c r="AM3774">
        <v>94.597854934692705</v>
      </c>
      <c r="AN3774">
        <v>0.99999993238404405</v>
      </c>
    </row>
    <row r="3775" spans="1:40" x14ac:dyDescent="0.25">
      <c r="A3775" t="str">
        <f>"20190305135008539"</f>
        <v>20190305135008539</v>
      </c>
      <c r="B3775" t="str">
        <f>"1551765008533991"</f>
        <v>1551765008533991</v>
      </c>
      <c r="C3775" t="s">
        <v>40</v>
      </c>
      <c r="D3775">
        <v>3.9186100000000001</v>
      </c>
      <c r="E3775">
        <v>0.49263020000000002</v>
      </c>
      <c r="F3775" t="s">
        <v>74</v>
      </c>
      <c r="G3775">
        <v>-347.20710000000003</v>
      </c>
      <c r="H3775">
        <v>8.681612E-3</v>
      </c>
      <c r="I3775">
        <v>219.6163</v>
      </c>
      <c r="J3775">
        <v>-406.88580000000002</v>
      </c>
      <c r="K3775">
        <v>1.109515</v>
      </c>
      <c r="L3775">
        <v>214.04339999999999</v>
      </c>
      <c r="M3775">
        <v>0.99993900000000002</v>
      </c>
      <c r="N3775">
        <v>-8.0794109999999999E-3</v>
      </c>
      <c r="O3775">
        <v>-7.5394729999999997E-3</v>
      </c>
      <c r="P3775">
        <v>0.99593730000000003</v>
      </c>
      <c r="Q3775">
        <v>-5.3498509999999999E-2</v>
      </c>
      <c r="R3775">
        <v>7.2434460000000006E-2</v>
      </c>
      <c r="S3775">
        <v>2.9892880000000002</v>
      </c>
      <c r="T3775">
        <v>-5.4629919999999998E-2</v>
      </c>
      <c r="U3775">
        <v>0.27636719999999998</v>
      </c>
      <c r="V3775">
        <v>-7.9862680000000005E-2</v>
      </c>
      <c r="W3775">
        <v>-4.5592689999999998E-2</v>
      </c>
      <c r="X3775">
        <v>0.99576260000000005</v>
      </c>
      <c r="Y3775">
        <v>-9.9540799999999999E-2</v>
      </c>
      <c r="Z3775">
        <v>1.3872940000000001E-3</v>
      </c>
      <c r="AA3775">
        <v>0.99503249999999999</v>
      </c>
      <c r="AB3775">
        <v>40</v>
      </c>
      <c r="AC3775">
        <v>59.6786999999999</v>
      </c>
      <c r="AD3775">
        <v>-1.1008333880000001</v>
      </c>
      <c r="AE3775">
        <v>5.5728999999999997</v>
      </c>
      <c r="AF3775">
        <v>-6.0206713470472</v>
      </c>
      <c r="AG3775">
        <v>-1.1008333880000001</v>
      </c>
      <c r="AH3775">
        <v>59.614876684326802</v>
      </c>
      <c r="AI3775">
        <v>91.0525364282326</v>
      </c>
      <c r="AJ3775">
        <v>95.766905758063601</v>
      </c>
      <c r="AK3775">
        <v>59.9282390839643</v>
      </c>
      <c r="AL3775">
        <v>92.613174714074702</v>
      </c>
      <c r="AM3775">
        <v>94.585451405762896</v>
      </c>
      <c r="AN3775">
        <v>0.99999994829848704</v>
      </c>
    </row>
    <row r="3776" spans="1:40" x14ac:dyDescent="0.25">
      <c r="A3776" t="str">
        <f>"20190305135008562"</f>
        <v>20190305135008562</v>
      </c>
      <c r="B3776" t="str">
        <f>"1551765008554487"</f>
        <v>1551765008554487</v>
      </c>
      <c r="C3776" t="s">
        <v>40</v>
      </c>
      <c r="D3776">
        <v>3.8184450000000001</v>
      </c>
      <c r="E3776">
        <v>0.4926681</v>
      </c>
      <c r="F3776" t="s">
        <v>74</v>
      </c>
      <c r="G3776">
        <v>-347.18419999999998</v>
      </c>
      <c r="H3776">
        <v>8.1051040000000001E-3</v>
      </c>
      <c r="I3776">
        <v>219.6163</v>
      </c>
      <c r="J3776">
        <v>-406.48289999999997</v>
      </c>
      <c r="K3776">
        <v>1.109518</v>
      </c>
      <c r="L3776">
        <v>214.04089999999999</v>
      </c>
      <c r="M3776">
        <v>0.99994439999999996</v>
      </c>
      <c r="N3776">
        <v>-8.0282459999999993E-3</v>
      </c>
      <c r="O3776">
        <v>-6.8447539999999998E-3</v>
      </c>
      <c r="P3776">
        <v>0.99585400000000002</v>
      </c>
      <c r="Q3776">
        <v>-5.4348420000000001E-2</v>
      </c>
      <c r="R3776">
        <v>7.2947109999999996E-2</v>
      </c>
      <c r="S3776">
        <v>2.988953</v>
      </c>
      <c r="T3776">
        <v>-5.5141929999999999E-2</v>
      </c>
      <c r="U3776">
        <v>0.27900700000000001</v>
      </c>
      <c r="V3776">
        <v>-7.9681299999999997E-2</v>
      </c>
      <c r="W3776">
        <v>-4.6494880000000002E-2</v>
      </c>
      <c r="X3776">
        <v>0.9957355</v>
      </c>
      <c r="Y3776">
        <v>-9.9730600000000003E-2</v>
      </c>
      <c r="Z3776">
        <v>1.3902999999999999E-3</v>
      </c>
      <c r="AA3776">
        <v>0.9950135</v>
      </c>
      <c r="AB3776">
        <v>40</v>
      </c>
      <c r="AC3776">
        <v>59.298699999999997</v>
      </c>
      <c r="AD3776">
        <v>-1.101412896</v>
      </c>
      <c r="AE3776">
        <v>5.5754000000000001</v>
      </c>
      <c r="AF3776">
        <v>-5.9791227790661603</v>
      </c>
      <c r="AG3776">
        <v>-1.101412896</v>
      </c>
      <c r="AH3776">
        <v>59.238889429846203</v>
      </c>
      <c r="AI3776">
        <v>91.059779190049795</v>
      </c>
      <c r="AJ3776">
        <v>95.763481405332001</v>
      </c>
      <c r="AK3776">
        <v>59.550054915643599</v>
      </c>
      <c r="AL3776">
        <v>92.664921048667097</v>
      </c>
      <c r="AM3776">
        <v>94.575205413539194</v>
      </c>
      <c r="AN3776">
        <v>1.00000003469807</v>
      </c>
    </row>
    <row r="3777" spans="1:40" x14ac:dyDescent="0.25">
      <c r="A3777" t="str">
        <f>"20190305135008583"</f>
        <v>20190305135008583</v>
      </c>
      <c r="B3777" t="str">
        <f>"1551765008574007"</f>
        <v>1551765008574007</v>
      </c>
      <c r="C3777" t="s">
        <v>40</v>
      </c>
      <c r="D3777">
        <v>3.93736</v>
      </c>
      <c r="E3777">
        <v>0.49253400000000003</v>
      </c>
      <c r="F3777" t="s">
        <v>74</v>
      </c>
      <c r="G3777">
        <v>-347.327</v>
      </c>
      <c r="H3777" s="1">
        <v>2.3622710000000001E-6</v>
      </c>
      <c r="I3777">
        <v>219.58930000000001</v>
      </c>
      <c r="J3777">
        <v>-406.08260000000001</v>
      </c>
      <c r="K3777">
        <v>1.1095189999999999</v>
      </c>
      <c r="L3777">
        <v>214.03870000000001</v>
      </c>
      <c r="M3777">
        <v>0.99994919999999998</v>
      </c>
      <c r="N3777">
        <v>-7.9851609999999993E-3</v>
      </c>
      <c r="O3777">
        <v>-6.1526870000000004E-3</v>
      </c>
      <c r="P3777">
        <v>0.99581129999999995</v>
      </c>
      <c r="Q3777">
        <v>-5.4685089999999999E-2</v>
      </c>
      <c r="R3777">
        <v>7.3275809999999997E-2</v>
      </c>
      <c r="S3777">
        <v>2.9888919999999999</v>
      </c>
      <c r="T3777">
        <v>-5.6058999999999998E-2</v>
      </c>
      <c r="U3777">
        <v>0.28033449999999999</v>
      </c>
      <c r="V3777">
        <v>-7.9319039999999993E-2</v>
      </c>
      <c r="W3777">
        <v>-4.6875100000000003E-2</v>
      </c>
      <c r="X3777">
        <v>0.99574660000000004</v>
      </c>
      <c r="Y3777">
        <v>-9.9481379999999994E-2</v>
      </c>
      <c r="Z3777">
        <v>1.39504E-3</v>
      </c>
      <c r="AA3777">
        <v>0.99503839999999999</v>
      </c>
      <c r="AB3777">
        <v>40</v>
      </c>
      <c r="AC3777">
        <v>58.755600000000001</v>
      </c>
      <c r="AD3777">
        <v>-1.109516637729</v>
      </c>
      <c r="AE3777">
        <v>5.5506000000000002</v>
      </c>
      <c r="AF3777">
        <v>-5.9099224923059603</v>
      </c>
      <c r="AG3777">
        <v>-1.109516637729</v>
      </c>
      <c r="AH3777">
        <v>58.699589080063397</v>
      </c>
      <c r="AI3777">
        <v>91.077407855746898</v>
      </c>
      <c r="AJ3777">
        <v>95.749212161238205</v>
      </c>
      <c r="AK3777">
        <v>59.006779010574299</v>
      </c>
      <c r="AL3777">
        <v>92.686729818707505</v>
      </c>
      <c r="AM3777">
        <v>94.554442029072902</v>
      </c>
      <c r="AN3777">
        <v>1.0000000382590399</v>
      </c>
    </row>
    <row r="3778" spans="1:40" x14ac:dyDescent="0.25">
      <c r="A3778" t="str">
        <f>"20190305135008605"</f>
        <v>20190305135008605</v>
      </c>
      <c r="B3778" t="str">
        <f>"1551765008594506"</f>
        <v>1551765008594506</v>
      </c>
      <c r="C3778" t="s">
        <v>40</v>
      </c>
      <c r="D3778">
        <v>4.1246210000000003</v>
      </c>
      <c r="E3778">
        <v>0.49280089999999999</v>
      </c>
      <c r="F3778" t="s">
        <v>74</v>
      </c>
      <c r="G3778">
        <v>-349.20339999999999</v>
      </c>
      <c r="H3778" s="1">
        <v>3.3608070000000001E-6</v>
      </c>
      <c r="I3778">
        <v>219.41409999999999</v>
      </c>
      <c r="J3778">
        <v>-405.69459999999998</v>
      </c>
      <c r="K3778">
        <v>1.1095120000000001</v>
      </c>
      <c r="L3778">
        <v>214.0368</v>
      </c>
      <c r="M3778">
        <v>0.9999536</v>
      </c>
      <c r="N3778">
        <v>-7.950057E-3</v>
      </c>
      <c r="O3778">
        <v>-5.4791229999999998E-3</v>
      </c>
      <c r="P3778">
        <v>0.99576290000000001</v>
      </c>
      <c r="Q3778">
        <v>-5.484166E-2</v>
      </c>
      <c r="R3778">
        <v>7.3816049999999994E-2</v>
      </c>
      <c r="S3778">
        <v>2.9885860000000002</v>
      </c>
      <c r="T3778">
        <v>-5.8296920000000002E-2</v>
      </c>
      <c r="U3778">
        <v>0.28244019999999997</v>
      </c>
      <c r="V3778">
        <v>-7.9187270000000004E-2</v>
      </c>
      <c r="W3778">
        <v>-4.7067730000000002E-2</v>
      </c>
      <c r="X3778">
        <v>0.99574799999999997</v>
      </c>
      <c r="Y3778">
        <v>-9.9513790000000005E-2</v>
      </c>
      <c r="Z3778">
        <v>1.4280229999999901E-3</v>
      </c>
      <c r="AA3778">
        <v>0.99503520000000001</v>
      </c>
      <c r="AB3778">
        <v>40</v>
      </c>
      <c r="AC3778">
        <v>56.4911999999999</v>
      </c>
      <c r="AD3778">
        <v>-1.109508639193</v>
      </c>
      <c r="AE3778">
        <v>5.3772999999999902</v>
      </c>
      <c r="AF3778">
        <v>-5.6845781232266104</v>
      </c>
      <c r="AG3778">
        <v>-1.109508639193</v>
      </c>
      <c r="AH3778">
        <v>56.439312509140599</v>
      </c>
      <c r="AI3778">
        <v>91.120532527180202</v>
      </c>
      <c r="AJ3778">
        <v>95.751445355120694</v>
      </c>
      <c r="AK3778">
        <v>56.735715685659102</v>
      </c>
      <c r="AL3778">
        <v>92.697778902713296</v>
      </c>
      <c r="AM3778">
        <v>94.546901277509704</v>
      </c>
      <c r="AN3778">
        <v>1.0000000372207001</v>
      </c>
    </row>
    <row r="3779" spans="1:40" x14ac:dyDescent="0.25">
      <c r="A3779" t="str">
        <f>"20190305135008627"</f>
        <v>20190305135008627</v>
      </c>
      <c r="B3779" t="str">
        <f>"1551765008623783"</f>
        <v>1551765008623783</v>
      </c>
      <c r="C3779" t="s">
        <v>40</v>
      </c>
      <c r="D3779">
        <v>3.919638</v>
      </c>
      <c r="E3779">
        <v>0.4926085</v>
      </c>
      <c r="F3779" t="s">
        <v>74</v>
      </c>
      <c r="G3779">
        <v>-348.72449999999998</v>
      </c>
      <c r="H3779" s="1">
        <v>3.1059490000000001E-6</v>
      </c>
      <c r="I3779">
        <v>219.41149999999999</v>
      </c>
      <c r="J3779">
        <v>-405.28879999999998</v>
      </c>
      <c r="K3779">
        <v>1.1095139999999999</v>
      </c>
      <c r="L3779">
        <v>214.0351</v>
      </c>
      <c r="M3779">
        <v>0.99995730000000005</v>
      </c>
      <c r="N3779">
        <v>-7.9196019999999995E-3</v>
      </c>
      <c r="O3779">
        <v>-4.7710010000000004E-3</v>
      </c>
      <c r="P3779">
        <v>0.99570510000000001</v>
      </c>
      <c r="Q3779">
        <v>-5.5211980000000001E-2</v>
      </c>
      <c r="R3779">
        <v>7.4316549999999995E-2</v>
      </c>
      <c r="S3779">
        <v>2.9886170000000001</v>
      </c>
      <c r="T3779">
        <v>-5.820417E-2</v>
      </c>
      <c r="U3779">
        <v>0.28195189999999998</v>
      </c>
      <c r="V3779">
        <v>-7.8981120000000002E-2</v>
      </c>
      <c r="W3779">
        <v>-4.7469440000000002E-2</v>
      </c>
      <c r="X3779">
        <v>0.9957452</v>
      </c>
      <c r="Y3779">
        <v>-9.8647390000000001E-2</v>
      </c>
      <c r="Z3779">
        <v>1.404932E-3</v>
      </c>
      <c r="AA3779">
        <v>0.99512149999999999</v>
      </c>
      <c r="AB3779">
        <v>41</v>
      </c>
      <c r="AC3779">
        <v>56.564300000000003</v>
      </c>
      <c r="AD3779">
        <v>-1.1095108940509999</v>
      </c>
      <c r="AE3779">
        <v>5.3763999999999896</v>
      </c>
      <c r="AF3779">
        <v>-5.64406348090702</v>
      </c>
      <c r="AG3779">
        <v>-1.1095108940509999</v>
      </c>
      <c r="AH3779">
        <v>56.516454572851799</v>
      </c>
      <c r="AI3779">
        <v>91.119100627017303</v>
      </c>
      <c r="AJ3779">
        <v>95.702982613809695</v>
      </c>
      <c r="AK3779">
        <v>56.808415789262703</v>
      </c>
      <c r="AL3779">
        <v>92.720821226180504</v>
      </c>
      <c r="AM3779">
        <v>94.535126369237602</v>
      </c>
      <c r="AN3779">
        <v>0.99999993418670097</v>
      </c>
    </row>
    <row r="3780" spans="1:40" x14ac:dyDescent="0.25">
      <c r="A3780" t="str">
        <f>"20190305135008651"</f>
        <v>20190305135008651</v>
      </c>
      <c r="B3780" t="str">
        <f>"1551765008644279"</f>
        <v>1551765008644279</v>
      </c>
      <c r="C3780" t="s">
        <v>40</v>
      </c>
      <c r="D3780">
        <v>3.940191</v>
      </c>
      <c r="E3780">
        <v>0.49250139999999998</v>
      </c>
      <c r="F3780" t="s">
        <v>74</v>
      </c>
      <c r="G3780">
        <v>-351.1225</v>
      </c>
      <c r="H3780" s="1">
        <v>-1.1398840000000001E-6</v>
      </c>
      <c r="I3780">
        <v>219.20140000000001</v>
      </c>
      <c r="J3780">
        <v>-404.87049999999999</v>
      </c>
      <c r="K3780">
        <v>1.109523</v>
      </c>
      <c r="L3780">
        <v>214.03370000000001</v>
      </c>
      <c r="M3780">
        <v>0.99996079999999998</v>
      </c>
      <c r="N3780">
        <v>-7.8944280000000002E-3</v>
      </c>
      <c r="O3780">
        <v>-4.0385789999999996E-3</v>
      </c>
      <c r="P3780">
        <v>0.99560919999999997</v>
      </c>
      <c r="Q3780">
        <v>-5.5482860000000002E-2</v>
      </c>
      <c r="R3780">
        <v>7.5394870000000003E-2</v>
      </c>
      <c r="S3780">
        <v>2.9882810000000002</v>
      </c>
      <c r="T3780">
        <v>-6.1210390000000003E-2</v>
      </c>
      <c r="U3780">
        <v>0.28501890000000002</v>
      </c>
      <c r="V3780">
        <v>-7.9328969999999999E-2</v>
      </c>
      <c r="W3780">
        <v>-4.7767770000000001E-2</v>
      </c>
      <c r="X3780">
        <v>0.99570329999999996</v>
      </c>
      <c r="Y3780">
        <v>-9.8938819999999997E-2</v>
      </c>
      <c r="Z3780">
        <v>1.4531100000000001E-3</v>
      </c>
      <c r="AA3780">
        <v>0.99509250000000005</v>
      </c>
      <c r="AB3780">
        <v>41</v>
      </c>
      <c r="AC3780">
        <v>53.747999999999898</v>
      </c>
      <c r="AD3780">
        <v>-1.1095241398839999</v>
      </c>
      <c r="AE3780">
        <v>5.1676999999999902</v>
      </c>
      <c r="AF3780">
        <v>-5.3824574837906303</v>
      </c>
      <c r="AG3780">
        <v>-1.1095241398839999</v>
      </c>
      <c r="AH3780">
        <v>53.704015209082698</v>
      </c>
      <c r="AI3780">
        <v>91.177663230243795</v>
      </c>
      <c r="AJ3780">
        <v>95.723327779595195</v>
      </c>
      <c r="AK3780">
        <v>53.984471303877598</v>
      </c>
      <c r="AL3780">
        <v>92.7379336369425</v>
      </c>
      <c r="AM3780">
        <v>94.555207052676195</v>
      </c>
      <c r="AN3780">
        <v>0.99999995348146098</v>
      </c>
    </row>
    <row r="3781" spans="1:40" x14ac:dyDescent="0.25">
      <c r="A3781" t="str">
        <f>"20190305135008674"</f>
        <v>20190305135008674</v>
      </c>
      <c r="B3781" t="str">
        <f>"1551765008663799"</f>
        <v>1551765008663799</v>
      </c>
      <c r="C3781" t="s">
        <v>40</v>
      </c>
      <c r="D3781">
        <v>3.935003</v>
      </c>
      <c r="E3781">
        <v>0.49237649999999999</v>
      </c>
      <c r="F3781" t="s">
        <v>74</v>
      </c>
      <c r="G3781">
        <v>-352.18779999999998</v>
      </c>
      <c r="H3781" s="1">
        <v>-5.6990479999999998E-7</v>
      </c>
      <c r="I3781">
        <v>219.1317</v>
      </c>
      <c r="J3781">
        <v>-404.44279999999998</v>
      </c>
      <c r="K3781">
        <v>1.1095280000000001</v>
      </c>
      <c r="L3781">
        <v>214.0325</v>
      </c>
      <c r="M3781">
        <v>0.99996370000000001</v>
      </c>
      <c r="N3781">
        <v>-7.8747780000000007E-3</v>
      </c>
      <c r="O3781">
        <v>-3.287224E-3</v>
      </c>
      <c r="P3781">
        <v>0.99551279999999998</v>
      </c>
      <c r="Q3781">
        <v>-5.5288469999999999E-2</v>
      </c>
      <c r="R3781">
        <v>7.6797030000000002E-2</v>
      </c>
      <c r="S3781">
        <v>2.9877929999999999</v>
      </c>
      <c r="T3781">
        <v>-6.2924389999999997E-2</v>
      </c>
      <c r="U3781">
        <v>0.28912349999999998</v>
      </c>
      <c r="V3781">
        <v>-7.9982440000000002E-2</v>
      </c>
      <c r="W3781">
        <v>-4.7595749999999999E-2</v>
      </c>
      <c r="X3781">
        <v>0.99565930000000002</v>
      </c>
      <c r="Y3781">
        <v>-9.9559469999999997E-2</v>
      </c>
      <c r="Z3781">
        <v>1.482052E-3</v>
      </c>
      <c r="AA3781">
        <v>0.99503050000000004</v>
      </c>
      <c r="AB3781">
        <v>41</v>
      </c>
      <c r="AC3781">
        <v>52.255000000000003</v>
      </c>
      <c r="AD3781">
        <v>-1.1095285699048001</v>
      </c>
      <c r="AE3781">
        <v>5.09919999999999</v>
      </c>
      <c r="AF3781">
        <v>-5.2685987617243804</v>
      </c>
      <c r="AG3781">
        <v>-1.1095285699048001</v>
      </c>
      <c r="AH3781">
        <v>52.214636585599699</v>
      </c>
      <c r="AI3781">
        <v>91.211168290809695</v>
      </c>
      <c r="AJ3781">
        <v>95.761798392192901</v>
      </c>
      <c r="AK3781">
        <v>52.4914989338819</v>
      </c>
      <c r="AL3781">
        <v>92.728066282907093</v>
      </c>
      <c r="AM3781">
        <v>94.592772654347399</v>
      </c>
      <c r="AN3781">
        <v>0.999999993901453</v>
      </c>
    </row>
    <row r="3782" spans="1:40" x14ac:dyDescent="0.25">
      <c r="A3782" t="str">
        <f>"20190305135008695"</f>
        <v>20190305135008695</v>
      </c>
      <c r="B3782" t="str">
        <f>"1551765008684298"</f>
        <v>1551765008684298</v>
      </c>
      <c r="C3782" t="s">
        <v>40</v>
      </c>
      <c r="D3782">
        <v>3.7405810000000002</v>
      </c>
      <c r="E3782">
        <v>0.49239719999999998</v>
      </c>
      <c r="F3782" t="s">
        <v>74</v>
      </c>
      <c r="G3782">
        <v>-352.29300000000001</v>
      </c>
      <c r="H3782" s="1">
        <v>-5.1566869999999995E-7</v>
      </c>
      <c r="I3782">
        <v>219.17160000000001</v>
      </c>
      <c r="J3782">
        <v>-404.06110000000001</v>
      </c>
      <c r="K3782">
        <v>1.1095379999999999</v>
      </c>
      <c r="L3782">
        <v>214.0318</v>
      </c>
      <c r="M3782">
        <v>0.99996580000000002</v>
      </c>
      <c r="N3782">
        <v>-7.8613439999999993E-3</v>
      </c>
      <c r="O3782">
        <v>-2.6154110000000002E-3</v>
      </c>
      <c r="P3782">
        <v>0.99543709999999996</v>
      </c>
      <c r="Q3782">
        <v>-5.4765189999999998E-2</v>
      </c>
      <c r="R3782">
        <v>7.8141100000000005E-2</v>
      </c>
      <c r="S3782">
        <v>2.9872130000000001</v>
      </c>
      <c r="T3782">
        <v>-6.3555360000000005E-2</v>
      </c>
      <c r="U3782">
        <v>0.29437259999999998</v>
      </c>
      <c r="V3782">
        <v>-8.0658079999999993E-2</v>
      </c>
      <c r="W3782">
        <v>-4.7088320000000003E-2</v>
      </c>
      <c r="X3782">
        <v>0.99562899999999999</v>
      </c>
      <c r="Y3782">
        <v>-0.1006406</v>
      </c>
      <c r="Z3782">
        <v>1.4995029999999999E-3</v>
      </c>
      <c r="AA3782">
        <v>0.99492170000000002</v>
      </c>
      <c r="AB3782">
        <v>41</v>
      </c>
      <c r="AC3782">
        <v>51.768099999999997</v>
      </c>
      <c r="AD3782">
        <v>-1.1095385156687001</v>
      </c>
      <c r="AE3782">
        <v>5.1398000000000001</v>
      </c>
      <c r="AF3782">
        <v>-5.2727829434535503</v>
      </c>
      <c r="AG3782">
        <v>-1.1095385156687001</v>
      </c>
      <c r="AH3782">
        <v>51.730948272920202</v>
      </c>
      <c r="AI3782">
        <v>91.222374682141094</v>
      </c>
      <c r="AJ3782">
        <v>95.819890788235995</v>
      </c>
      <c r="AK3782">
        <v>52.010809692813602</v>
      </c>
      <c r="AL3782">
        <v>92.698959841863598</v>
      </c>
      <c r="AM3782">
        <v>94.631541689836894</v>
      </c>
      <c r="AN3782">
        <v>1.00000007069535</v>
      </c>
    </row>
    <row r="3783" spans="1:40" x14ac:dyDescent="0.25">
      <c r="A3783" t="str">
        <f>"20190305135008719"</f>
        <v>20190305135008719</v>
      </c>
      <c r="B3783" t="str">
        <f>"1551765008714552"</f>
        <v>1551765008714552</v>
      </c>
      <c r="C3783" t="s">
        <v>40</v>
      </c>
      <c r="D3783">
        <v>3.9564409999999999</v>
      </c>
      <c r="E3783">
        <v>0.49225809999999998</v>
      </c>
      <c r="F3783" t="s">
        <v>74</v>
      </c>
      <c r="G3783">
        <v>-351.11430000000001</v>
      </c>
      <c r="H3783" s="1">
        <v>-1.149249E-6</v>
      </c>
      <c r="I3783">
        <v>219.31620000000001</v>
      </c>
      <c r="J3783">
        <v>-403.63670000000002</v>
      </c>
      <c r="K3783">
        <v>1.109542</v>
      </c>
      <c r="L3783">
        <v>214.03129999999999</v>
      </c>
      <c r="M3783">
        <v>0.99996759999999996</v>
      </c>
      <c r="N3783">
        <v>-7.8506359999999994E-3</v>
      </c>
      <c r="O3783">
        <v>-1.8670760000000001E-3</v>
      </c>
      <c r="P3783">
        <v>0.99535200000000001</v>
      </c>
      <c r="Q3783">
        <v>-5.4501790000000001E-2</v>
      </c>
      <c r="R3783">
        <v>7.9400369999999998E-2</v>
      </c>
      <c r="S3783">
        <v>2.9869080000000001</v>
      </c>
      <c r="T3783">
        <v>-6.259286E-2</v>
      </c>
      <c r="U3783">
        <v>0.29811100000000001</v>
      </c>
      <c r="V3783">
        <v>-8.1172240000000007E-2</v>
      </c>
      <c r="W3783">
        <v>-4.6837780000000002E-2</v>
      </c>
      <c r="X3783">
        <v>0.99559900000000001</v>
      </c>
      <c r="Y3783">
        <v>-0.1011397</v>
      </c>
      <c r="Z3783">
        <v>1.479448E-3</v>
      </c>
      <c r="AA3783">
        <v>0.99487110000000001</v>
      </c>
      <c r="AB3783">
        <v>41</v>
      </c>
      <c r="AC3783">
        <v>52.522399999999998</v>
      </c>
      <c r="AD3783">
        <v>-1.109543149249</v>
      </c>
      <c r="AE3783">
        <v>5.2849000000000199</v>
      </c>
      <c r="AF3783">
        <v>-5.38057997458447</v>
      </c>
      <c r="AG3783">
        <v>-1.109543149249</v>
      </c>
      <c r="AH3783">
        <v>52.4892511627122</v>
      </c>
      <c r="AI3783">
        <v>91.204654718998697</v>
      </c>
      <c r="AJ3783">
        <v>95.852845353460395</v>
      </c>
      <c r="AK3783">
        <v>52.775971942591703</v>
      </c>
      <c r="AL3783">
        <v>92.684589185791793</v>
      </c>
      <c r="AM3783">
        <v>94.661075899748994</v>
      </c>
      <c r="AN3783">
        <v>1.0000000394914701</v>
      </c>
    </row>
    <row r="3784" spans="1:40" x14ac:dyDescent="0.25">
      <c r="A3784" t="str">
        <f>"20190305135008740"</f>
        <v>20190305135008740</v>
      </c>
      <c r="B3784" t="str">
        <f>"1551765008734071"</f>
        <v>1551765008734071</v>
      </c>
      <c r="C3784" t="s">
        <v>40</v>
      </c>
      <c r="D3784">
        <v>3.9377749999999998</v>
      </c>
      <c r="E3784">
        <v>0.49220029999999998</v>
      </c>
      <c r="F3784" t="s">
        <v>74</v>
      </c>
      <c r="G3784">
        <v>-351.12709999999998</v>
      </c>
      <c r="H3784" s="1">
        <v>-1.1441049999999999E-6</v>
      </c>
      <c r="I3784">
        <v>219.35470000000001</v>
      </c>
      <c r="J3784">
        <v>-403.23020000000002</v>
      </c>
      <c r="K3784">
        <v>1.109545</v>
      </c>
      <c r="L3784">
        <v>214.03110000000001</v>
      </c>
      <c r="M3784">
        <v>0.99996859999999999</v>
      </c>
      <c r="N3784">
        <v>-7.8439389999999994E-3</v>
      </c>
      <c r="O3784">
        <v>-1.149871E-3</v>
      </c>
      <c r="P3784">
        <v>0.99526110000000001</v>
      </c>
      <c r="Q3784">
        <v>-5.3801219999999997E-2</v>
      </c>
      <c r="R3784">
        <v>8.1001130000000005E-2</v>
      </c>
      <c r="S3784">
        <v>2.9864199999999999</v>
      </c>
      <c r="T3784">
        <v>-6.3104030000000005E-2</v>
      </c>
      <c r="U3784">
        <v>0.3027649</v>
      </c>
      <c r="V3784">
        <v>-8.2059759999999995E-2</v>
      </c>
      <c r="W3784">
        <v>-4.6146699999999999E-2</v>
      </c>
      <c r="X3784">
        <v>0.99555850000000001</v>
      </c>
      <c r="Y3784">
        <v>-0.1019765</v>
      </c>
      <c r="Z3784">
        <v>1.4908E-3</v>
      </c>
      <c r="AA3784">
        <v>0.99478569999999999</v>
      </c>
      <c r="AB3784">
        <v>41</v>
      </c>
      <c r="AC3784">
        <v>52.103099999999998</v>
      </c>
      <c r="AD3784">
        <v>-1.1095461441050001</v>
      </c>
      <c r="AE3784">
        <v>5.3235999999999901</v>
      </c>
      <c r="AF3784">
        <v>-5.3810951279748904</v>
      </c>
      <c r="AG3784">
        <v>-1.1095461441050001</v>
      </c>
      <c r="AH3784">
        <v>52.073573269512202</v>
      </c>
      <c r="AI3784">
        <v>91.214168917247704</v>
      </c>
      <c r="AJ3784">
        <v>95.899798386791502</v>
      </c>
      <c r="AK3784">
        <v>52.362623219978801</v>
      </c>
      <c r="AL3784">
        <v>92.644950395462999</v>
      </c>
      <c r="AM3784">
        <v>94.712001699653399</v>
      </c>
      <c r="AN3784">
        <v>1.0000000245271901</v>
      </c>
    </row>
    <row r="3785" spans="1:40" x14ac:dyDescent="0.25">
      <c r="A3785" t="str">
        <f>"20190305135008763"</f>
        <v>20190305135008763</v>
      </c>
      <c r="B3785" t="str">
        <f>"1551765008754576"</f>
        <v>1551765008754576</v>
      </c>
      <c r="C3785" t="s">
        <v>40</v>
      </c>
      <c r="D3785">
        <v>3.9154019999999998</v>
      </c>
      <c r="E3785">
        <v>0.49216900000000002</v>
      </c>
      <c r="F3785" t="s">
        <v>74</v>
      </c>
      <c r="G3785">
        <v>-349.49279999999999</v>
      </c>
      <c r="H3785" s="1">
        <v>3.5147840000000002E-6</v>
      </c>
      <c r="I3785">
        <v>219.5778</v>
      </c>
      <c r="J3785">
        <v>-402.81439999999998</v>
      </c>
      <c r="K3785">
        <v>1.1095469999999901</v>
      </c>
      <c r="L3785">
        <v>214.03110000000001</v>
      </c>
      <c r="M3785">
        <v>0.9999692</v>
      </c>
      <c r="N3785">
        <v>-7.8402330000000003E-3</v>
      </c>
      <c r="O3785">
        <v>-4.1598749999999999E-4</v>
      </c>
      <c r="P3785">
        <v>0.99521979999999999</v>
      </c>
      <c r="Q3785">
        <v>-5.3240059999999999E-2</v>
      </c>
      <c r="R3785">
        <v>8.187171E-2</v>
      </c>
      <c r="S3785">
        <v>2.9858699999999998</v>
      </c>
      <c r="T3785">
        <v>-6.1650629999999998E-2</v>
      </c>
      <c r="U3785">
        <v>0.308197</v>
      </c>
      <c r="V3785">
        <v>-8.2200469999999998E-2</v>
      </c>
      <c r="W3785">
        <v>-4.5590209999999999E-2</v>
      </c>
      <c r="X3785">
        <v>0.99557249999999997</v>
      </c>
      <c r="Y3785">
        <v>-0.1030567</v>
      </c>
      <c r="Z3785">
        <v>1.471441E-3</v>
      </c>
      <c r="AA3785">
        <v>0.99467439999999996</v>
      </c>
      <c r="AB3785">
        <v>41</v>
      </c>
      <c r="AC3785">
        <v>53.321599999999897</v>
      </c>
      <c r="AD3785">
        <v>-1.10954348521599</v>
      </c>
      <c r="AE3785">
        <v>5.54669999999998</v>
      </c>
      <c r="AF3785">
        <v>-5.5664968602588996</v>
      </c>
      <c r="AG3785">
        <v>-1.10954348521599</v>
      </c>
      <c r="AH3785">
        <v>53.296457929232702</v>
      </c>
      <c r="AI3785">
        <v>91.186180074125105</v>
      </c>
      <c r="AJ3785">
        <v>95.962583777109501</v>
      </c>
      <c r="AK3785">
        <v>53.597848854625902</v>
      </c>
      <c r="AL3785">
        <v>92.613032354076097</v>
      </c>
      <c r="AM3785">
        <v>94.719978941470004</v>
      </c>
      <c r="AN3785">
        <v>0.99999999363615699</v>
      </c>
    </row>
    <row r="3786" spans="1:40" x14ac:dyDescent="0.25">
      <c r="A3786" t="str">
        <f>"20190305135008784"</f>
        <v>20190305135008784</v>
      </c>
      <c r="B3786" t="str">
        <f>"1551765008774087"</f>
        <v>1551765008774087</v>
      </c>
      <c r="C3786" t="s">
        <v>40</v>
      </c>
      <c r="D3786">
        <v>3.9478249999999999</v>
      </c>
      <c r="E3786">
        <v>0.49214970000000002</v>
      </c>
      <c r="F3786" t="s">
        <v>74</v>
      </c>
      <c r="G3786">
        <v>-349.18680000000001</v>
      </c>
      <c r="H3786">
        <v>2.0187960000000001E-2</v>
      </c>
      <c r="I3786">
        <v>219.6163</v>
      </c>
      <c r="J3786">
        <v>-402.41559999999998</v>
      </c>
      <c r="K3786">
        <v>1.109553</v>
      </c>
      <c r="L3786">
        <v>214.03149999999999</v>
      </c>
      <c r="M3786">
        <v>0.99996929999999995</v>
      </c>
      <c r="N3786">
        <v>-7.8414560000000001E-3</v>
      </c>
      <c r="O3786">
        <v>2.8753980000000001E-4</v>
      </c>
      <c r="P3786">
        <v>0.9951972</v>
      </c>
      <c r="Q3786">
        <v>-5.3211010000000003E-2</v>
      </c>
      <c r="R3786">
        <v>8.2166900000000001E-2</v>
      </c>
      <c r="S3786">
        <v>2.9855960000000001</v>
      </c>
      <c r="T3786">
        <v>-6.0647729999999997E-2</v>
      </c>
      <c r="U3786">
        <v>0.31094359999999999</v>
      </c>
      <c r="V3786">
        <v>-8.1795160000000006E-2</v>
      </c>
      <c r="W3786">
        <v>-4.5559669999999997E-2</v>
      </c>
      <c r="X3786">
        <v>0.99560729999999997</v>
      </c>
      <c r="Y3786">
        <v>-0.1032724</v>
      </c>
      <c r="Z3786">
        <v>1.448455E-3</v>
      </c>
      <c r="AA3786">
        <v>0.99465199999999998</v>
      </c>
      <c r="AB3786">
        <v>41</v>
      </c>
      <c r="AC3786">
        <v>53.2287999999999</v>
      </c>
      <c r="AD3786">
        <v>-1.0893650399999999</v>
      </c>
      <c r="AE3786">
        <v>5.5848000000000004</v>
      </c>
      <c r="AF3786">
        <v>-5.5671875013661998</v>
      </c>
      <c r="AG3786">
        <v>-1.0893650399999999</v>
      </c>
      <c r="AH3786">
        <v>53.208360297271597</v>
      </c>
      <c r="AI3786">
        <v>91.166519203754703</v>
      </c>
      <c r="AJ3786">
        <v>95.973120433538298</v>
      </c>
      <c r="AK3786">
        <v>53.5099046755833</v>
      </c>
      <c r="AL3786">
        <v>92.611280668260306</v>
      </c>
      <c r="AM3786">
        <v>94.696646844979995</v>
      </c>
      <c r="AN3786">
        <v>1.0000000137716101</v>
      </c>
    </row>
    <row r="3787" spans="1:40" x14ac:dyDescent="0.25">
      <c r="A3787" t="str">
        <f>"20190305135008806"</f>
        <v>20190305135008806</v>
      </c>
      <c r="B3787" t="str">
        <f>"1551765008794583"</f>
        <v>1551765008794583</v>
      </c>
      <c r="C3787" t="s">
        <v>40</v>
      </c>
      <c r="D3787">
        <v>3.9142269999999999</v>
      </c>
      <c r="E3787">
        <v>0.49216530000000003</v>
      </c>
      <c r="F3787" t="s">
        <v>74</v>
      </c>
      <c r="G3787">
        <v>-348.98270000000002</v>
      </c>
      <c r="H3787">
        <v>1.343575E-2</v>
      </c>
      <c r="I3787">
        <v>219.6163</v>
      </c>
      <c r="J3787">
        <v>-402.02140000000003</v>
      </c>
      <c r="K3787">
        <v>1.109553</v>
      </c>
      <c r="L3787">
        <v>214.03210000000001</v>
      </c>
      <c r="M3787">
        <v>0.99996859999999999</v>
      </c>
      <c r="N3787">
        <v>-7.8505150000000006E-3</v>
      </c>
      <c r="O3787">
        <v>9.8084639999999998E-4</v>
      </c>
      <c r="P3787">
        <v>0.99516110000000002</v>
      </c>
      <c r="Q3787">
        <v>-5.3632680000000002E-2</v>
      </c>
      <c r="R3787">
        <v>8.2328709999999999E-2</v>
      </c>
      <c r="S3787">
        <v>2.985474</v>
      </c>
      <c r="T3787">
        <v>-6.1243770000000003E-2</v>
      </c>
      <c r="U3787">
        <v>0.31204219999999999</v>
      </c>
      <c r="V3787">
        <v>-8.1265699999999996E-2</v>
      </c>
      <c r="W3787">
        <v>-4.597176E-2</v>
      </c>
      <c r="X3787">
        <v>0.99563170000000001</v>
      </c>
      <c r="Y3787">
        <v>-0.1029487</v>
      </c>
      <c r="Z3787">
        <v>1.4458400000000001E-3</v>
      </c>
      <c r="AA3787">
        <v>0.99468559999999995</v>
      </c>
      <c r="AB3787">
        <v>41</v>
      </c>
      <c r="AC3787">
        <v>53.038699999999999</v>
      </c>
      <c r="AD3787">
        <v>-1.09611725</v>
      </c>
      <c r="AE3787">
        <v>5.5841999999999796</v>
      </c>
      <c r="AF3787">
        <v>-5.5298369941974101</v>
      </c>
      <c r="AG3787">
        <v>-1.09611725</v>
      </c>
      <c r="AH3787">
        <v>53.021754646599398</v>
      </c>
      <c r="AI3787">
        <v>91.177918276983903</v>
      </c>
      <c r="AJ3787">
        <v>95.954065465857695</v>
      </c>
      <c r="AK3787">
        <v>53.320606110699202</v>
      </c>
      <c r="AL3787">
        <v>92.634916489387905</v>
      </c>
      <c r="AM3787">
        <v>94.666266292300506</v>
      </c>
      <c r="AN3787">
        <v>0.99999999937943795</v>
      </c>
    </row>
    <row r="3788" spans="1:40" x14ac:dyDescent="0.25">
      <c r="A3788" t="str">
        <f>"20190305135008829"</f>
        <v>20190305135008829</v>
      </c>
      <c r="B3788" t="str">
        <f>"1551765008823864"</f>
        <v>1551765008823864</v>
      </c>
      <c r="C3788" t="s">
        <v>40</v>
      </c>
      <c r="D3788">
        <v>3.93927</v>
      </c>
      <c r="E3788">
        <v>0.49209950000000002</v>
      </c>
      <c r="F3788" t="s">
        <v>74</v>
      </c>
      <c r="G3788">
        <v>-350.07350000000002</v>
      </c>
      <c r="H3788" s="1">
        <v>-1.709626E-6</v>
      </c>
      <c r="I3788">
        <v>219.46539999999999</v>
      </c>
      <c r="J3788">
        <v>-401.59190000000001</v>
      </c>
      <c r="K3788">
        <v>1.1095489999999999</v>
      </c>
      <c r="L3788">
        <v>214.03309999999999</v>
      </c>
      <c r="M3788">
        <v>0.99996759999999996</v>
      </c>
      <c r="N3788">
        <v>-7.8682519999999992E-3</v>
      </c>
      <c r="O3788">
        <v>1.7305020000000001E-3</v>
      </c>
      <c r="P3788">
        <v>0.99512990000000001</v>
      </c>
      <c r="Q3788">
        <v>-5.4013760000000001E-2</v>
      </c>
      <c r="R3788">
        <v>8.245595E-2</v>
      </c>
      <c r="S3788">
        <v>2.9853519999999998</v>
      </c>
      <c r="T3788">
        <v>-6.3764099999999893E-2</v>
      </c>
      <c r="U3788">
        <v>0.31224059999999998</v>
      </c>
      <c r="V3788">
        <v>-8.0645729999999999E-2</v>
      </c>
      <c r="W3788">
        <v>-4.633408E-2</v>
      </c>
      <c r="X3788">
        <v>0.99566529999999998</v>
      </c>
      <c r="Y3788">
        <v>-0.10227070000000001</v>
      </c>
      <c r="Z3788">
        <v>1.4693359999999999E-3</v>
      </c>
      <c r="AA3788">
        <v>0.99475550000000001</v>
      </c>
      <c r="AB3788">
        <v>41</v>
      </c>
      <c r="AC3788">
        <v>51.5183999999999</v>
      </c>
      <c r="AD3788">
        <v>-1.109550709626</v>
      </c>
      <c r="AE3788">
        <v>5.4322999999999899</v>
      </c>
      <c r="AF3788">
        <v>-5.34068642439071</v>
      </c>
      <c r="AG3788">
        <v>-1.109550709626</v>
      </c>
      <c r="AH3788">
        <v>51.504096711311298</v>
      </c>
      <c r="AI3788">
        <v>91.227549849951203</v>
      </c>
      <c r="AJ3788">
        <v>95.920093342610897</v>
      </c>
      <c r="AK3788">
        <v>51.792142379988597</v>
      </c>
      <c r="AL3788">
        <v>92.655698079192106</v>
      </c>
      <c r="AM3788">
        <v>94.630667516783404</v>
      </c>
      <c r="AN3788">
        <v>0.99999998518038402</v>
      </c>
    </row>
    <row r="3789" spans="1:40" x14ac:dyDescent="0.25">
      <c r="A3789" t="str">
        <f>"20190305135008853"</f>
        <v>20190305135008853</v>
      </c>
      <c r="B3789" t="str">
        <f>"1551765008844360"</f>
        <v>1551765008844360</v>
      </c>
      <c r="C3789" t="s">
        <v>40</v>
      </c>
      <c r="D3789">
        <v>3.9360729999999999</v>
      </c>
      <c r="E3789">
        <v>0.4920911</v>
      </c>
      <c r="F3789" t="s">
        <v>74</v>
      </c>
      <c r="G3789">
        <v>-351.36070000000001</v>
      </c>
      <c r="H3789" s="1">
        <v>-1.0177129999999999E-6</v>
      </c>
      <c r="I3789">
        <v>219.30609999999999</v>
      </c>
      <c r="J3789">
        <v>-401.16399999999999</v>
      </c>
      <c r="K3789">
        <v>1.109551</v>
      </c>
      <c r="L3789">
        <v>214.03440000000001</v>
      </c>
      <c r="M3789">
        <v>0.99996589999999996</v>
      </c>
      <c r="N3789">
        <v>-7.8905309999999992E-3</v>
      </c>
      <c r="O3789">
        <v>2.468858E-3</v>
      </c>
      <c r="P3789">
        <v>0.99512129999999999</v>
      </c>
      <c r="Q3789">
        <v>-5.3765319999999998E-2</v>
      </c>
      <c r="R3789">
        <v>8.272446E-2</v>
      </c>
      <c r="S3789">
        <v>2.9851679999999998</v>
      </c>
      <c r="T3789">
        <v>-6.5938949999999996E-2</v>
      </c>
      <c r="U3789">
        <v>0.31336979999999998</v>
      </c>
      <c r="V3789">
        <v>-8.0180039999999994E-2</v>
      </c>
      <c r="W3789">
        <v>-4.6061970000000001E-2</v>
      </c>
      <c r="X3789">
        <v>0.99571560000000003</v>
      </c>
      <c r="Y3789">
        <v>-0.1019129</v>
      </c>
      <c r="Z3789">
        <v>1.49064799999999E-3</v>
      </c>
      <c r="AA3789">
        <v>0.99479220000000002</v>
      </c>
      <c r="AB3789">
        <v>41</v>
      </c>
      <c r="AC3789">
        <v>49.803299999999901</v>
      </c>
      <c r="AD3789">
        <v>-1.109552017713</v>
      </c>
      <c r="AE3789">
        <v>5.2716999999999796</v>
      </c>
      <c r="AF3789">
        <v>-5.1461968782937797</v>
      </c>
      <c r="AG3789">
        <v>-1.109552017713</v>
      </c>
      <c r="AH3789">
        <v>49.791723908224398</v>
      </c>
      <c r="AI3789">
        <v>91.269798265029607</v>
      </c>
      <c r="AJ3789">
        <v>95.900822885077304</v>
      </c>
      <c r="AK3789">
        <v>50.069254215965799</v>
      </c>
      <c r="AL3789">
        <v>92.640090489105404</v>
      </c>
      <c r="AM3789">
        <v>94.603811366324393</v>
      </c>
      <c r="AN3789">
        <v>1.00000004998902</v>
      </c>
    </row>
    <row r="3790" spans="1:40" x14ac:dyDescent="0.25">
      <c r="A3790" t="str">
        <f>"20190305135008873"</f>
        <v>20190305135008873</v>
      </c>
      <c r="B3790" t="str">
        <f>"1551765008864054"</f>
        <v>1551765008864054</v>
      </c>
      <c r="C3790" t="s">
        <v>40</v>
      </c>
      <c r="D3790">
        <v>3.962043</v>
      </c>
      <c r="E3790">
        <v>0.49208420000000003</v>
      </c>
      <c r="F3790" t="s">
        <v>74</v>
      </c>
      <c r="G3790">
        <v>-350.7285</v>
      </c>
      <c r="H3790" s="1">
        <v>-1.3557579999999999E-6</v>
      </c>
      <c r="I3790">
        <v>219.34350000000001</v>
      </c>
      <c r="J3790">
        <v>-400.75869999999998</v>
      </c>
      <c r="K3790">
        <v>1.1095440000000001</v>
      </c>
      <c r="L3790">
        <v>214.0359</v>
      </c>
      <c r="M3790">
        <v>0.99996379999999996</v>
      </c>
      <c r="N3790">
        <v>-7.9127739999999992E-3</v>
      </c>
      <c r="O3790">
        <v>3.1595149999999999E-3</v>
      </c>
      <c r="P3790">
        <v>0.99509510000000001</v>
      </c>
      <c r="Q3790">
        <v>-5.362956E-2</v>
      </c>
      <c r="R3790">
        <v>8.3123950000000002E-2</v>
      </c>
      <c r="S3790">
        <v>2.9850460000000001</v>
      </c>
      <c r="T3790">
        <v>-6.56693E-2</v>
      </c>
      <c r="U3790">
        <v>0.31422420000000001</v>
      </c>
      <c r="V3790">
        <v>-7.9892879999999999E-2</v>
      </c>
      <c r="W3790">
        <v>-4.5902640000000001E-2</v>
      </c>
      <c r="X3790">
        <v>0.99574600000000002</v>
      </c>
      <c r="Y3790">
        <v>-0.10151209999999999</v>
      </c>
      <c r="Z3790">
        <v>1.4718209999999999E-3</v>
      </c>
      <c r="AA3790">
        <v>0.99483319999999997</v>
      </c>
      <c r="AB3790">
        <v>41</v>
      </c>
      <c r="AC3790">
        <v>50.030199999999901</v>
      </c>
      <c r="AD3790">
        <v>-1.109545355758</v>
      </c>
      <c r="AE3790">
        <v>5.3075999999999999</v>
      </c>
      <c r="AF3790">
        <v>-5.1469940720545999</v>
      </c>
      <c r="AG3790">
        <v>-1.109545355758</v>
      </c>
      <c r="AH3790">
        <v>50.022390938011199</v>
      </c>
      <c r="AI3790">
        <v>91.263996586409107</v>
      </c>
      <c r="AJ3790">
        <v>95.874706793012507</v>
      </c>
      <c r="AK3790">
        <v>50.298729944497403</v>
      </c>
      <c r="AL3790">
        <v>92.630951990456396</v>
      </c>
      <c r="AM3790">
        <v>94.587254137344502</v>
      </c>
      <c r="AN3790">
        <v>1.0000000105748299</v>
      </c>
    </row>
    <row r="3791" spans="1:40" x14ac:dyDescent="0.25">
      <c r="A3791" t="str">
        <f>"20190305135008896"</f>
        <v>20190305135008896</v>
      </c>
      <c r="B3791" t="str">
        <f>"1551765008884556"</f>
        <v>1551765008884556</v>
      </c>
      <c r="C3791" t="s">
        <v>40</v>
      </c>
      <c r="D3791">
        <v>3.9351579999999999</v>
      </c>
      <c r="E3791">
        <v>0.49208160000000001</v>
      </c>
      <c r="F3791" t="s">
        <v>74</v>
      </c>
      <c r="G3791">
        <v>-350.34429999999998</v>
      </c>
      <c r="H3791" s="1">
        <v>-1.561062E-6</v>
      </c>
      <c r="I3791">
        <v>219.363</v>
      </c>
      <c r="J3791">
        <v>-400.3562</v>
      </c>
      <c r="K3791">
        <v>1.109542</v>
      </c>
      <c r="L3791">
        <v>214.0377</v>
      </c>
      <c r="M3791">
        <v>0.99996110000000005</v>
      </c>
      <c r="N3791">
        <v>-7.9354490000000007E-3</v>
      </c>
      <c r="O3791">
        <v>3.8371099999999999E-3</v>
      </c>
      <c r="P3791">
        <v>0.99503900000000001</v>
      </c>
      <c r="Q3791">
        <v>-5.3455700000000002E-2</v>
      </c>
      <c r="R3791">
        <v>8.3904969999999995E-2</v>
      </c>
      <c r="S3791">
        <v>2.9848940000000002</v>
      </c>
      <c r="T3791">
        <v>-6.5693020000000005E-2</v>
      </c>
      <c r="U3791">
        <v>0.31539919999999999</v>
      </c>
      <c r="V3791">
        <v>-8.0000909999999995E-2</v>
      </c>
      <c r="W3791">
        <v>-4.5705580000000003E-2</v>
      </c>
      <c r="X3791">
        <v>0.99574640000000003</v>
      </c>
      <c r="Y3791">
        <v>-0.10123070000000001</v>
      </c>
      <c r="Z3791">
        <v>1.459749E-3</v>
      </c>
      <c r="AA3791">
        <v>0.99486189999999997</v>
      </c>
      <c r="AB3791">
        <v>42</v>
      </c>
      <c r="AC3791">
        <v>50.011899999999997</v>
      </c>
      <c r="AD3791">
        <v>-1.1095435610619999</v>
      </c>
      <c r="AE3791">
        <v>5.3252999999999897</v>
      </c>
      <c r="AF3791">
        <v>-5.1308564826471397</v>
      </c>
      <c r="AG3791">
        <v>-1.1095435610619999</v>
      </c>
      <c r="AH3791">
        <v>50.007628377138097</v>
      </c>
      <c r="AI3791">
        <v>91.264405128582297</v>
      </c>
      <c r="AJ3791">
        <v>95.858132626297603</v>
      </c>
      <c r="AK3791">
        <v>50.282399217473397</v>
      </c>
      <c r="AL3791">
        <v>92.619649398454996</v>
      </c>
      <c r="AM3791">
        <v>94.593428592564806</v>
      </c>
      <c r="AN3791">
        <v>1.0000000193784599</v>
      </c>
    </row>
    <row r="3792" spans="1:40" x14ac:dyDescent="0.25">
      <c r="A3792" t="str">
        <f>"20190305135008919"</f>
        <v>20190305135008919</v>
      </c>
      <c r="B3792" t="str">
        <f>"1551765008913829"</f>
        <v>1551765008913829</v>
      </c>
      <c r="C3792" t="s">
        <v>40</v>
      </c>
      <c r="D3792">
        <v>3.9320439999999999</v>
      </c>
      <c r="E3792">
        <v>0.49208360000000001</v>
      </c>
      <c r="F3792" t="s">
        <v>74</v>
      </c>
      <c r="G3792">
        <v>-349.87759999999997</v>
      </c>
      <c r="H3792" s="1">
        <v>3.7195519999999999E-6</v>
      </c>
      <c r="I3792">
        <v>219.41220000000001</v>
      </c>
      <c r="J3792">
        <v>-399.9228</v>
      </c>
      <c r="K3792">
        <v>1.1095440000000001</v>
      </c>
      <c r="L3792">
        <v>214.03989999999999</v>
      </c>
      <c r="M3792">
        <v>0.99995789999999996</v>
      </c>
      <c r="N3792">
        <v>-7.9601459999999995E-3</v>
      </c>
      <c r="O3792">
        <v>4.5570089999999999E-3</v>
      </c>
      <c r="P3792">
        <v>0.99491339999999995</v>
      </c>
      <c r="Q3792">
        <v>-5.3488979999999998E-2</v>
      </c>
      <c r="R3792">
        <v>8.536059E-2</v>
      </c>
      <c r="S3792">
        <v>2.9846499999999998</v>
      </c>
      <c r="T3792">
        <v>-6.5603610000000007E-2</v>
      </c>
      <c r="U3792">
        <v>0.31777949999999999</v>
      </c>
      <c r="V3792">
        <v>-8.0740619999999999E-2</v>
      </c>
      <c r="W3792">
        <v>-4.571513E-2</v>
      </c>
      <c r="X3792">
        <v>0.99568619999999997</v>
      </c>
      <c r="Y3792">
        <v>-0.1013077</v>
      </c>
      <c r="Z3792">
        <v>1.4508469999999999E-3</v>
      </c>
      <c r="AA3792">
        <v>0.99485409999999996</v>
      </c>
      <c r="AB3792">
        <v>42</v>
      </c>
      <c r="AC3792">
        <v>50.045200000000001</v>
      </c>
      <c r="AD3792">
        <v>-1.1095402804479999</v>
      </c>
      <c r="AE3792">
        <v>5.3723000000000196</v>
      </c>
      <c r="AF3792">
        <v>-5.1416819909900902</v>
      </c>
      <c r="AG3792">
        <v>-1.1095402804479999</v>
      </c>
      <c r="AH3792">
        <v>50.044843799401697</v>
      </c>
      <c r="AI3792">
        <v>91.263443467017694</v>
      </c>
      <c r="AJ3792">
        <v>95.866071349332501</v>
      </c>
      <c r="AK3792">
        <v>50.320516335158203</v>
      </c>
      <c r="AL3792">
        <v>92.620197288655305</v>
      </c>
      <c r="AM3792">
        <v>94.635995461407404</v>
      </c>
      <c r="AN3792">
        <v>0.99999996484966902</v>
      </c>
    </row>
    <row r="3793" spans="1:40" x14ac:dyDescent="0.25">
      <c r="A3793" t="str">
        <f>"20190305135008943"</f>
        <v>20190305135008943</v>
      </c>
      <c r="B3793" t="str">
        <f>"1551765008934327"</f>
        <v>1551765008934327</v>
      </c>
      <c r="C3793" t="s">
        <v>40</v>
      </c>
      <c r="D3793">
        <v>4.1675139999999997</v>
      </c>
      <c r="E3793">
        <v>0.49207079999999997</v>
      </c>
      <c r="F3793" t="s">
        <v>74</v>
      </c>
      <c r="G3793">
        <v>-349.83449999999999</v>
      </c>
      <c r="H3793" s="1">
        <v>3.6966319999999999E-6</v>
      </c>
      <c r="I3793">
        <v>219.44739999999999</v>
      </c>
      <c r="J3793">
        <v>-399.48079999999999</v>
      </c>
      <c r="K3793">
        <v>1.109529</v>
      </c>
      <c r="L3793">
        <v>214.04249999999999</v>
      </c>
      <c r="M3793">
        <v>0.99995420000000002</v>
      </c>
      <c r="N3793">
        <v>-7.9850519999999994E-3</v>
      </c>
      <c r="O3793">
        <v>5.2803619999999898E-3</v>
      </c>
      <c r="P3793">
        <v>0.99489839999999996</v>
      </c>
      <c r="Q3793">
        <v>-5.2697340000000002E-2</v>
      </c>
      <c r="R3793">
        <v>8.6025850000000001E-2</v>
      </c>
      <c r="S3793">
        <v>2.9841000000000002</v>
      </c>
      <c r="T3793">
        <v>-6.6102859999999999E-2</v>
      </c>
      <c r="U3793">
        <v>0.32215880000000002</v>
      </c>
      <c r="V3793">
        <v>-8.0688540000000003E-2</v>
      </c>
      <c r="W3793">
        <v>-4.489717E-2</v>
      </c>
      <c r="X3793">
        <v>0.99572769999999999</v>
      </c>
      <c r="Y3793">
        <v>-0.10205</v>
      </c>
      <c r="Z3793">
        <v>1.461005E-3</v>
      </c>
      <c r="AA3793">
        <v>0.99477819999999995</v>
      </c>
      <c r="AB3793">
        <v>42</v>
      </c>
      <c r="AC3793">
        <v>49.646299999999997</v>
      </c>
      <c r="AD3793">
        <v>-1.1095253033679999</v>
      </c>
      <c r="AE3793">
        <v>5.4048999999999898</v>
      </c>
      <c r="AF3793">
        <v>-5.1401286399657398</v>
      </c>
      <c r="AG3793">
        <v>-1.1095253033679999</v>
      </c>
      <c r="AH3793">
        <v>49.649641028275703</v>
      </c>
      <c r="AI3793">
        <v>91.273377604198501</v>
      </c>
      <c r="AJ3793">
        <v>95.910661257128396</v>
      </c>
      <c r="AK3793">
        <v>49.927335429310197</v>
      </c>
      <c r="AL3793">
        <v>92.573283302886594</v>
      </c>
      <c r="AM3793">
        <v>94.632825879818796</v>
      </c>
      <c r="AN3793">
        <v>1.0000000244543099</v>
      </c>
    </row>
    <row r="3794" spans="1:40" x14ac:dyDescent="0.25">
      <c r="A3794" t="str">
        <f>"20190305135008963"</f>
        <v>20190305135008963</v>
      </c>
      <c r="B3794" t="str">
        <f>"1551765008953850"</f>
        <v>1551765008953850</v>
      </c>
      <c r="C3794" t="s">
        <v>40</v>
      </c>
      <c r="D3794">
        <v>3.9694159999999998</v>
      </c>
      <c r="E3794">
        <v>0.49209649999999999</v>
      </c>
      <c r="F3794" t="s">
        <v>74</v>
      </c>
      <c r="G3794">
        <v>-348.19639999999998</v>
      </c>
      <c r="H3794">
        <v>1.100489E-2</v>
      </c>
      <c r="I3794">
        <v>219.6163</v>
      </c>
      <c r="J3794">
        <v>-399.08749999999998</v>
      </c>
      <c r="K3794">
        <v>1.109521</v>
      </c>
      <c r="L3794">
        <v>214.04499999999999</v>
      </c>
      <c r="M3794">
        <v>0.99995049999999996</v>
      </c>
      <c r="N3794">
        <v>-8.00679199999999E-3</v>
      </c>
      <c r="O3794">
        <v>5.9155750000000002E-3</v>
      </c>
      <c r="P3794">
        <v>0.99483529999999998</v>
      </c>
      <c r="Q3794">
        <v>-5.2110940000000001E-2</v>
      </c>
      <c r="R3794">
        <v>8.7106039999999996E-2</v>
      </c>
      <c r="S3794">
        <v>2.9839479999999998</v>
      </c>
      <c r="T3794">
        <v>-6.3916920000000002E-2</v>
      </c>
      <c r="U3794">
        <v>0.3243103</v>
      </c>
      <c r="V3794">
        <v>-8.1137989999999993E-2</v>
      </c>
      <c r="W3794">
        <v>-4.428907E-2</v>
      </c>
      <c r="X3794">
        <v>0.9957184</v>
      </c>
      <c r="Y3794">
        <v>-0.1021343</v>
      </c>
      <c r="Z3794">
        <v>1.4216019999999999E-3</v>
      </c>
      <c r="AA3794">
        <v>0.99476960000000003</v>
      </c>
      <c r="AB3794">
        <v>42</v>
      </c>
      <c r="AC3794">
        <v>50.891100000000002</v>
      </c>
      <c r="AD3794">
        <v>-1.09851611</v>
      </c>
      <c r="AE3794">
        <v>5.5712999999999999</v>
      </c>
      <c r="AF3794">
        <v>-5.26771739011875</v>
      </c>
      <c r="AG3794">
        <v>-1.09851611</v>
      </c>
      <c r="AH3794">
        <v>50.899732680139898</v>
      </c>
      <c r="AI3794">
        <v>91.229797057230201</v>
      </c>
      <c r="AJ3794">
        <v>95.908622297620397</v>
      </c>
      <c r="AK3794">
        <v>51.1833798322834</v>
      </c>
      <c r="AL3794">
        <v>92.5384070734126</v>
      </c>
      <c r="AM3794">
        <v>94.658561623351403</v>
      </c>
      <c r="AN3794">
        <v>1.00000001362063</v>
      </c>
    </row>
    <row r="3795" spans="1:40" x14ac:dyDescent="0.25">
      <c r="A3795" t="str">
        <f>"20190305135008985"</f>
        <v>20190305135008985</v>
      </c>
      <c r="B3795" t="str">
        <f>"1551765008974345"</f>
        <v>1551765008974345</v>
      </c>
      <c r="C3795" t="s">
        <v>40</v>
      </c>
      <c r="D3795">
        <v>3.956286</v>
      </c>
      <c r="E3795">
        <v>0.4921142</v>
      </c>
      <c r="F3795" t="s">
        <v>74</v>
      </c>
      <c r="G3795">
        <v>-348.27159999999998</v>
      </c>
      <c r="H3795">
        <v>4.3797509999999998E-2</v>
      </c>
      <c r="I3795">
        <v>219.6163</v>
      </c>
      <c r="J3795">
        <v>-398.68700000000001</v>
      </c>
      <c r="K3795">
        <v>1.1095159999999999</v>
      </c>
      <c r="L3795">
        <v>214.0479</v>
      </c>
      <c r="M3795">
        <v>0.99994649999999996</v>
      </c>
      <c r="N3795">
        <v>-8.0284550000000003E-3</v>
      </c>
      <c r="O3795">
        <v>6.5559169999999996E-3</v>
      </c>
      <c r="P3795">
        <v>0.99471770000000004</v>
      </c>
      <c r="Q3795">
        <v>-5.2509889999999997E-2</v>
      </c>
      <c r="R3795">
        <v>8.8203459999999997E-2</v>
      </c>
      <c r="S3795">
        <v>2.9836429999999998</v>
      </c>
      <c r="T3795">
        <v>-6.2573669999999998E-2</v>
      </c>
      <c r="U3795">
        <v>0.32711790000000002</v>
      </c>
      <c r="V3795">
        <v>-8.1598589999999999E-2</v>
      </c>
      <c r="W3795">
        <v>-4.4666890000000001E-2</v>
      </c>
      <c r="X3795">
        <v>0.99566390000000005</v>
      </c>
      <c r="Y3795">
        <v>-0.10243430000000001</v>
      </c>
      <c r="Z3795">
        <v>1.3987299999999999E-3</v>
      </c>
      <c r="AA3795">
        <v>0.99473880000000003</v>
      </c>
      <c r="AB3795">
        <v>42</v>
      </c>
      <c r="AC3795">
        <v>50.415399999999899</v>
      </c>
      <c r="AD3795">
        <v>-1.0657184900000001</v>
      </c>
      <c r="AE3795">
        <v>5.5683999999999898</v>
      </c>
      <c r="AF3795">
        <v>-5.2354393248048101</v>
      </c>
      <c r="AG3795">
        <v>-1.0657184900000001</v>
      </c>
      <c r="AH3795">
        <v>50.4285613743643</v>
      </c>
      <c r="AI3795">
        <v>91.204194480303798</v>
      </c>
      <c r="AJ3795">
        <v>95.927152418618306</v>
      </c>
      <c r="AK3795">
        <v>50.710801444186103</v>
      </c>
      <c r="AL3795">
        <v>92.560075963561999</v>
      </c>
      <c r="AM3795">
        <v>94.685145019607504</v>
      </c>
      <c r="AN3795">
        <v>1.00000003135773</v>
      </c>
    </row>
    <row r="3796" spans="1:40" x14ac:dyDescent="0.25">
      <c r="A3796" t="str">
        <f>"20190305135009007"</f>
        <v>20190305135009007</v>
      </c>
      <c r="B3796" t="str">
        <f>"1551765009003622"</f>
        <v>1551765009003622</v>
      </c>
      <c r="C3796" t="s">
        <v>40</v>
      </c>
      <c r="D3796">
        <v>3.948718</v>
      </c>
      <c r="E3796">
        <v>0.49215049999999999</v>
      </c>
      <c r="F3796" t="s">
        <v>74</v>
      </c>
      <c r="G3796">
        <v>-348.41079999999999</v>
      </c>
      <c r="H3796">
        <v>2.8630139999999998E-2</v>
      </c>
      <c r="I3796">
        <v>219.6163</v>
      </c>
      <c r="J3796">
        <v>-398.27010000000001</v>
      </c>
      <c r="K3796">
        <v>1.1095170000000001</v>
      </c>
      <c r="L3796">
        <v>214.05109999999999</v>
      </c>
      <c r="M3796">
        <v>0.99994170000000004</v>
      </c>
      <c r="N3796">
        <v>-8.0503269999999995E-3</v>
      </c>
      <c r="O3796">
        <v>7.21778099999999E-3</v>
      </c>
      <c r="P3796">
        <v>0.9946625</v>
      </c>
      <c r="Q3796">
        <v>-5.2923310000000001E-2</v>
      </c>
      <c r="R3796">
        <v>8.857603E-2</v>
      </c>
      <c r="S3796">
        <v>2.983215</v>
      </c>
      <c r="T3796">
        <v>-6.4136029999999997E-2</v>
      </c>
      <c r="U3796">
        <v>0.33041379999999998</v>
      </c>
      <c r="V3796">
        <v>-8.1312300000000004E-2</v>
      </c>
      <c r="W3796">
        <v>-4.505729E-2</v>
      </c>
      <c r="X3796">
        <v>0.99566969999999999</v>
      </c>
      <c r="Y3796">
        <v>-0.1028757</v>
      </c>
      <c r="Z3796">
        <v>1.4210529999999901E-3</v>
      </c>
      <c r="AA3796">
        <v>0.99469319999999894</v>
      </c>
      <c r="AB3796">
        <v>42</v>
      </c>
      <c r="AC3796">
        <v>49.859299999999998</v>
      </c>
      <c r="AD3796">
        <v>-1.0808868599999999</v>
      </c>
      <c r="AE3796">
        <v>5.5651999999999999</v>
      </c>
      <c r="AF3796">
        <v>-5.2027548713304697</v>
      </c>
      <c r="AG3796">
        <v>-1.0808868599999999</v>
      </c>
      <c r="AH3796">
        <v>49.875019623135501</v>
      </c>
      <c r="AI3796">
        <v>91.2348163060052</v>
      </c>
      <c r="AJ3796">
        <v>95.955318526787906</v>
      </c>
      <c r="AK3796">
        <v>50.157298143574501</v>
      </c>
      <c r="AL3796">
        <v>92.582466858357805</v>
      </c>
      <c r="AM3796">
        <v>94.668752828998606</v>
      </c>
      <c r="AN3796">
        <v>1.0000000005057601</v>
      </c>
    </row>
    <row r="3797" spans="1:40" x14ac:dyDescent="0.25">
      <c r="A3797" t="str">
        <f>"20190305135009030"</f>
        <v>20190305135009030</v>
      </c>
      <c r="B3797" t="str">
        <f>"1551765009024118"</f>
        <v>1551765009024118</v>
      </c>
      <c r="C3797" t="s">
        <v>40</v>
      </c>
      <c r="D3797">
        <v>4.2351760000000001</v>
      </c>
      <c r="E3797">
        <v>0.4921642</v>
      </c>
      <c r="F3797" t="s">
        <v>74</v>
      </c>
      <c r="G3797">
        <v>-348.11900000000003</v>
      </c>
      <c r="H3797">
        <v>1.581594E-3</v>
      </c>
      <c r="I3797">
        <v>219.6163</v>
      </c>
      <c r="J3797">
        <v>-397.82929999999999</v>
      </c>
      <c r="K3797">
        <v>1.1095109999999999</v>
      </c>
      <c r="L3797">
        <v>214.0548</v>
      </c>
      <c r="M3797">
        <v>0.99993609999999999</v>
      </c>
      <c r="N3797">
        <v>-8.0726089999999997E-3</v>
      </c>
      <c r="O3797">
        <v>7.9134459999999993E-3</v>
      </c>
      <c r="P3797">
        <v>0.99459419999999998</v>
      </c>
      <c r="Q3797">
        <v>-5.344173E-2</v>
      </c>
      <c r="R3797">
        <v>8.9031620000000006E-2</v>
      </c>
      <c r="S3797">
        <v>2.9831539999999999</v>
      </c>
      <c r="T3797">
        <v>-6.5903660000000003E-2</v>
      </c>
      <c r="U3797">
        <v>0.33103939999999998</v>
      </c>
      <c r="V3797">
        <v>-8.1075930000000004E-2</v>
      </c>
      <c r="W3797">
        <v>-4.5552660000000002E-2</v>
      </c>
      <c r="X3797">
        <v>0.99566639999999995</v>
      </c>
      <c r="Y3797">
        <v>-0.1023907</v>
      </c>
      <c r="Z3797">
        <v>1.4314709999999999E-3</v>
      </c>
      <c r="AA3797">
        <v>0.99474320000000005</v>
      </c>
      <c r="AB3797">
        <v>42</v>
      </c>
      <c r="AC3797">
        <v>49.710299999999897</v>
      </c>
      <c r="AD3797">
        <v>-1.107929406</v>
      </c>
      <c r="AE3797">
        <v>5.5614999999999899</v>
      </c>
      <c r="AF3797">
        <v>-5.1653990993444099</v>
      </c>
      <c r="AG3797">
        <v>-1.107929406</v>
      </c>
      <c r="AH3797">
        <v>49.728358617780501</v>
      </c>
      <c r="AI3797">
        <v>91.269489663867006</v>
      </c>
      <c r="AJ3797">
        <v>95.9301777542032</v>
      </c>
      <c r="AK3797">
        <v>50.008184392584802</v>
      </c>
      <c r="AL3797">
        <v>92.6108787330882</v>
      </c>
      <c r="AM3797">
        <v>94.655256141158702</v>
      </c>
      <c r="AN3797">
        <v>0.99999996567369898</v>
      </c>
    </row>
    <row r="3798" spans="1:40" x14ac:dyDescent="0.25">
      <c r="A3798" t="str">
        <f>"20190305135009053"</f>
        <v>20190305135009053</v>
      </c>
      <c r="B3798" t="str">
        <f>"1551765009043637"</f>
        <v>1551765009043637</v>
      </c>
      <c r="C3798" t="s">
        <v>40</v>
      </c>
      <c r="D3798">
        <v>3.9432640000000001</v>
      </c>
      <c r="E3798">
        <v>0.53487379999999995</v>
      </c>
      <c r="F3798" t="s">
        <v>74</v>
      </c>
      <c r="G3798">
        <v>-348.91359999999997</v>
      </c>
      <c r="H3798" s="1">
        <v>3.2065940000000002E-6</v>
      </c>
      <c r="I3798">
        <v>219.50309999999999</v>
      </c>
      <c r="J3798">
        <v>-397.40129999999999</v>
      </c>
      <c r="K3798">
        <v>1.1095060000000001</v>
      </c>
      <c r="L3798">
        <v>214.05869999999999</v>
      </c>
      <c r="M3798">
        <v>0.9999304</v>
      </c>
      <c r="N3798">
        <v>-8.0935520000000004E-3</v>
      </c>
      <c r="O3798">
        <v>8.5861150000000001E-3</v>
      </c>
      <c r="P3798">
        <v>0.99452790000000002</v>
      </c>
      <c r="Q3798">
        <v>-5.3727240000000002E-2</v>
      </c>
      <c r="R3798">
        <v>8.9598399999999995E-2</v>
      </c>
      <c r="S3798">
        <v>2.9829409999999998</v>
      </c>
      <c r="T3798">
        <v>-6.7659259999999999E-2</v>
      </c>
      <c r="U3798">
        <v>0.33224490000000001</v>
      </c>
      <c r="V3798">
        <v>-8.0972870000000002E-2</v>
      </c>
      <c r="W3798">
        <v>-4.5816879999999997E-2</v>
      </c>
      <c r="X3798">
        <v>0.99566270000000001</v>
      </c>
      <c r="Y3798">
        <v>-0.10212499999999999</v>
      </c>
      <c r="Z3798">
        <v>1.444297E-3</v>
      </c>
      <c r="AA3798">
        <v>0.9947705</v>
      </c>
      <c r="AB3798">
        <v>42</v>
      </c>
      <c r="AC3798">
        <v>48.487699999999997</v>
      </c>
      <c r="AD3798">
        <v>-1.10950279340599</v>
      </c>
      <c r="AE3798">
        <v>5.4443999999999999</v>
      </c>
      <c r="AF3798">
        <v>-5.0252662681405003</v>
      </c>
      <c r="AG3798">
        <v>-1.10950279340599</v>
      </c>
      <c r="AH3798">
        <v>48.507578345232901</v>
      </c>
      <c r="AI3798">
        <v>91.303312074673002</v>
      </c>
      <c r="AJ3798">
        <v>95.914603198008706</v>
      </c>
      <c r="AK3798">
        <v>48.779805805611701</v>
      </c>
      <c r="AL3798">
        <v>92.626033151348196</v>
      </c>
      <c r="AM3798">
        <v>94.649381754527795</v>
      </c>
      <c r="AN3798">
        <v>1.0000000021701301</v>
      </c>
    </row>
    <row r="3799" spans="1:40" x14ac:dyDescent="0.25">
      <c r="A3799" t="str">
        <f>"20190305135009074"</f>
        <v>20190305135009074</v>
      </c>
      <c r="B3799" t="str">
        <f>"1551765009064134"</f>
        <v>1551765009064134</v>
      </c>
      <c r="C3799" t="s">
        <v>40</v>
      </c>
      <c r="D3799">
        <v>4.0462319999999998</v>
      </c>
      <c r="E3799">
        <v>0.54536439999999997</v>
      </c>
      <c r="F3799" t="s">
        <v>74</v>
      </c>
      <c r="G3799">
        <v>-346.0967</v>
      </c>
      <c r="H3799" s="1">
        <v>1.70755999999999E-6</v>
      </c>
      <c r="I3799">
        <v>213.97139999999999</v>
      </c>
      <c r="J3799">
        <v>-397.00319999999999</v>
      </c>
      <c r="K3799">
        <v>1.1094980000000001</v>
      </c>
      <c r="L3799">
        <v>214.0625</v>
      </c>
      <c r="M3799">
        <v>0.99992479999999995</v>
      </c>
      <c r="N3799">
        <v>-8.1124630000000003E-3</v>
      </c>
      <c r="O3799">
        <v>9.2103979999999998E-3</v>
      </c>
      <c r="P3799">
        <v>0.99444840000000001</v>
      </c>
      <c r="Q3799">
        <v>-5.4389100000000003E-2</v>
      </c>
      <c r="R3799">
        <v>9.0078149999999996E-2</v>
      </c>
      <c r="S3799">
        <v>3.013458</v>
      </c>
      <c r="T3799">
        <v>-6.5168499999999893E-2</v>
      </c>
      <c r="U3799">
        <v>-5.1269530000000001E-3</v>
      </c>
      <c r="V3799">
        <v>-8.0830890000000002E-2</v>
      </c>
      <c r="W3799">
        <v>-4.6459689999999998E-2</v>
      </c>
      <c r="X3799">
        <v>0.99564450000000004</v>
      </c>
      <c r="Y3799">
        <v>1.090762E-2</v>
      </c>
      <c r="Z3799">
        <v>-2.866228E-4</v>
      </c>
      <c r="AA3799">
        <v>0.99994050000000001</v>
      </c>
      <c r="AB3799">
        <v>42</v>
      </c>
      <c r="AC3799">
        <v>50.906500000000001</v>
      </c>
      <c r="AD3799">
        <v>-1.10949629243999</v>
      </c>
      <c r="AE3799">
        <v>-9.1100000000011505E-2</v>
      </c>
      <c r="AF3799">
        <v>0.55971476157288003</v>
      </c>
      <c r="AG3799">
        <v>-1.10949629243999</v>
      </c>
      <c r="AH3799">
        <v>50.879333229516199</v>
      </c>
      <c r="AI3799">
        <v>91.249142495463204</v>
      </c>
      <c r="AJ3799">
        <v>89.369724444648796</v>
      </c>
      <c r="AK3799">
        <v>50.894506702761298</v>
      </c>
      <c r="AL3799">
        <v>92.662902580335796</v>
      </c>
      <c r="AM3799">
        <v>94.641349521241906</v>
      </c>
      <c r="AN3799">
        <v>1.0000000529766599</v>
      </c>
    </row>
    <row r="3800" spans="1:40" x14ac:dyDescent="0.25">
      <c r="A3800" t="str">
        <f>"20190305135009086"</f>
        <v>20190305135009086</v>
      </c>
      <c r="B3800" t="str">
        <f>"1551765009084630"</f>
        <v>1551765009084630</v>
      </c>
      <c r="C3800" t="s">
        <v>40</v>
      </c>
      <c r="D3800">
        <v>3.875203</v>
      </c>
      <c r="E3800">
        <v>0.55140999999999996</v>
      </c>
      <c r="F3800" t="s">
        <v>74</v>
      </c>
      <c r="G3800">
        <v>-353.08249999999998</v>
      </c>
      <c r="H3800" s="1">
        <v>1.833272E-7</v>
      </c>
      <c r="I3800">
        <v>212.79179999999999</v>
      </c>
      <c r="J3800">
        <v>-396.7611</v>
      </c>
      <c r="K3800">
        <v>1.1094919999999999</v>
      </c>
      <c r="L3800">
        <v>214.065</v>
      </c>
      <c r="M3800">
        <v>0.99992110000000001</v>
      </c>
      <c r="N3800">
        <v>-8.1237219999999999E-3</v>
      </c>
      <c r="O3800">
        <v>9.5897369999999992E-3</v>
      </c>
      <c r="P3800">
        <v>0.99441020000000002</v>
      </c>
      <c r="Q3800">
        <v>-5.4929440000000003E-2</v>
      </c>
      <c r="R3800">
        <v>9.0174589999999999E-2</v>
      </c>
      <c r="S3800">
        <v>3.0204469999999999</v>
      </c>
      <c r="T3800">
        <v>-7.630062E-2</v>
      </c>
      <c r="U3800">
        <v>-8.7387080000000006E-2</v>
      </c>
      <c r="V3800">
        <v>-8.0549259999999998E-2</v>
      </c>
      <c r="W3800">
        <v>-4.6988259999999997E-2</v>
      </c>
      <c r="X3800">
        <v>0.99564249999999999</v>
      </c>
      <c r="Y3800">
        <v>3.8486819999999998E-2</v>
      </c>
      <c r="Z3800">
        <v>-8.0661920000000002E-4</v>
      </c>
      <c r="AA3800">
        <v>0.9992588</v>
      </c>
      <c r="AB3800">
        <v>42</v>
      </c>
      <c r="AC3800">
        <v>43.678600000000003</v>
      </c>
      <c r="AD3800">
        <v>-1.1094918166727901</v>
      </c>
      <c r="AE3800">
        <v>-1.2732000000000001</v>
      </c>
      <c r="AF3800">
        <v>1.69093142147855</v>
      </c>
      <c r="AG3800">
        <v>-1.1094918166727901</v>
      </c>
      <c r="AH3800">
        <v>43.636250086796103</v>
      </c>
      <c r="AI3800">
        <v>91.455392280299293</v>
      </c>
      <c r="AJ3800">
        <v>87.780863760329893</v>
      </c>
      <c r="AK3800">
        <v>43.683092184514798</v>
      </c>
      <c r="AL3800">
        <v>92.693220572933399</v>
      </c>
      <c r="AM3800">
        <v>94.625257724234402</v>
      </c>
      <c r="AN3800">
        <v>1.0000000338353101</v>
      </c>
    </row>
    <row r="3801" spans="1:40" x14ac:dyDescent="0.25">
      <c r="A3801" t="str">
        <f>"20190305135009099"</f>
        <v>20190305135009099</v>
      </c>
      <c r="B3801" t="str">
        <f>"1551765009094391"</f>
        <v>1551765009094391</v>
      </c>
      <c r="C3801" t="s">
        <v>40</v>
      </c>
      <c r="D3801">
        <v>3.8709750000000001</v>
      </c>
      <c r="E3801">
        <v>0.55314509999999995</v>
      </c>
      <c r="F3801" t="s">
        <v>74</v>
      </c>
      <c r="G3801">
        <v>-336.59539999999998</v>
      </c>
      <c r="H3801" s="1">
        <v>2.1139089999999998E-6</v>
      </c>
      <c r="I3801">
        <v>211.39150000000001</v>
      </c>
      <c r="J3801">
        <v>-396.52820000000003</v>
      </c>
      <c r="K3801">
        <v>1.109488</v>
      </c>
      <c r="L3801">
        <v>214.0675</v>
      </c>
      <c r="M3801">
        <v>0.99991739999999996</v>
      </c>
      <c r="N3801">
        <v>-8.1343330000000005E-3</v>
      </c>
      <c r="O3801">
        <v>9.9542390000000001E-3</v>
      </c>
      <c r="P3801">
        <v>0.99435450000000003</v>
      </c>
      <c r="Q3801">
        <v>-5.5313029999999999E-2</v>
      </c>
      <c r="R3801">
        <v>9.0554190000000007E-2</v>
      </c>
      <c r="S3801">
        <v>3.0259399999999999</v>
      </c>
      <c r="T3801">
        <v>-5.5800080000000002E-2</v>
      </c>
      <c r="U3801">
        <v>-0.13446040000000001</v>
      </c>
      <c r="V3801">
        <v>-8.056634E-2</v>
      </c>
      <c r="W3801">
        <v>-4.7361460000000001E-2</v>
      </c>
      <c r="X3801">
        <v>0.99562340000000005</v>
      </c>
      <c r="Y3801">
        <v>5.4320859999999999E-2</v>
      </c>
      <c r="Z3801">
        <v>-8.2417470000000002E-4</v>
      </c>
      <c r="AA3801">
        <v>0.99852320000000006</v>
      </c>
      <c r="AB3801">
        <v>42</v>
      </c>
      <c r="AC3801">
        <v>59.9328</v>
      </c>
      <c r="AD3801">
        <v>-1.109485886091</v>
      </c>
      <c r="AE3801">
        <v>-2.6759999999999802</v>
      </c>
      <c r="AF3801">
        <v>3.2713536817079198</v>
      </c>
      <c r="AG3801">
        <v>-1.109485886091</v>
      </c>
      <c r="AH3801">
        <v>59.882711040185796</v>
      </c>
      <c r="AI3801">
        <v>91.059854724370098</v>
      </c>
      <c r="AJ3801">
        <v>86.873076866582593</v>
      </c>
      <c r="AK3801">
        <v>59.982262339500402</v>
      </c>
      <c r="AL3801">
        <v>92.714627285474904</v>
      </c>
      <c r="AM3801">
        <v>94.626322590708696</v>
      </c>
      <c r="AN3801">
        <v>0.99999999883094304</v>
      </c>
    </row>
    <row r="3802" spans="1:40" x14ac:dyDescent="0.25">
      <c r="A3802" t="str">
        <f>"20190305135009113"</f>
        <v>20190305135009113</v>
      </c>
      <c r="B3802" t="str">
        <f>"1551765009104150"</f>
        <v>1551765009104150</v>
      </c>
      <c r="C3802" t="s">
        <v>40</v>
      </c>
      <c r="D3802">
        <v>3.8561239999999999</v>
      </c>
      <c r="E3802">
        <v>0.55325290000000005</v>
      </c>
      <c r="F3802" t="s">
        <v>74</v>
      </c>
      <c r="G3802">
        <v>-329.11829999999998</v>
      </c>
      <c r="H3802" s="1">
        <v>3.3155089999999999E-6</v>
      </c>
      <c r="I3802">
        <v>210.79949999999999</v>
      </c>
      <c r="J3802">
        <v>-396.26519999999999</v>
      </c>
      <c r="K3802">
        <v>1.109488</v>
      </c>
      <c r="L3802">
        <v>214.0703</v>
      </c>
      <c r="M3802">
        <v>0.9999131</v>
      </c>
      <c r="N3802">
        <v>-8.1461769999999992E-3</v>
      </c>
      <c r="O3802">
        <v>1.036576E-2</v>
      </c>
      <c r="P3802">
        <v>0.99429330000000005</v>
      </c>
      <c r="Q3802">
        <v>-5.5783529999999998E-2</v>
      </c>
      <c r="R3802">
        <v>9.0935340000000003E-2</v>
      </c>
      <c r="S3802">
        <v>3.0276179999999999</v>
      </c>
      <c r="T3802">
        <v>-4.9830909999999999E-2</v>
      </c>
      <c r="U3802">
        <v>-0.1467743</v>
      </c>
      <c r="V3802">
        <v>-8.0537540000000005E-2</v>
      </c>
      <c r="W3802">
        <v>-4.7820300000000003E-2</v>
      </c>
      <c r="X3802">
        <v>0.99560380000000004</v>
      </c>
      <c r="Y3802">
        <v>5.8760720000000002E-2</v>
      </c>
      <c r="Z3802">
        <v>-8.0887319999999995E-4</v>
      </c>
      <c r="AA3802">
        <v>0.99827180000000004</v>
      </c>
      <c r="AB3802">
        <v>42</v>
      </c>
      <c r="AC3802">
        <v>67.146900000000002</v>
      </c>
      <c r="AD3802">
        <v>-1.109484684491</v>
      </c>
      <c r="AE3802">
        <v>-3.2707999999999999</v>
      </c>
      <c r="AF3802">
        <v>3.9655958866124799</v>
      </c>
      <c r="AG3802">
        <v>-1.109484684491</v>
      </c>
      <c r="AH3802">
        <v>67.091113081021007</v>
      </c>
      <c r="AI3802">
        <v>90.9457626802281</v>
      </c>
      <c r="AJ3802">
        <v>86.617318654957998</v>
      </c>
      <c r="AK3802">
        <v>67.217366516781894</v>
      </c>
      <c r="AL3802">
        <v>92.740946696080599</v>
      </c>
      <c r="AM3802">
        <v>94.624766645818895</v>
      </c>
      <c r="AN3802">
        <v>1.00000000150789</v>
      </c>
    </row>
    <row r="3803" spans="1:40" x14ac:dyDescent="0.25">
      <c r="A3803" t="str">
        <f>"20190305135009132"</f>
        <v>20190305135009132</v>
      </c>
      <c r="B3803" t="str">
        <f>"1551765009123669"</f>
        <v>1551765009123669</v>
      </c>
      <c r="C3803" t="s">
        <v>40</v>
      </c>
      <c r="D3803">
        <v>3.9123770000000002</v>
      </c>
      <c r="E3803">
        <v>0.55527839999999995</v>
      </c>
      <c r="F3803" t="s">
        <v>74</v>
      </c>
      <c r="G3803">
        <v>-342.45400000000001</v>
      </c>
      <c r="H3803" s="1">
        <v>-2.308846E-7</v>
      </c>
      <c r="I3803">
        <v>211.4599</v>
      </c>
      <c r="J3803">
        <v>-395.90690000000001</v>
      </c>
      <c r="K3803">
        <v>1.109486</v>
      </c>
      <c r="L3803">
        <v>214.0744</v>
      </c>
      <c r="M3803">
        <v>0.99990710000000005</v>
      </c>
      <c r="N3803">
        <v>-8.1619969999999903E-3</v>
      </c>
      <c r="O3803">
        <v>1.092629E-2</v>
      </c>
      <c r="P3803">
        <v>0.99420699999999995</v>
      </c>
      <c r="Q3803">
        <v>-5.629601E-2</v>
      </c>
      <c r="R3803">
        <v>9.1562000000000004E-2</v>
      </c>
      <c r="S3803">
        <v>3.027161</v>
      </c>
      <c r="T3803">
        <v>-6.2414530000000003E-2</v>
      </c>
      <c r="U3803">
        <v>-0.1468506</v>
      </c>
      <c r="V3803">
        <v>-8.0605860000000001E-2</v>
      </c>
      <c r="W3803">
        <v>-4.8317430000000001E-2</v>
      </c>
      <c r="X3803">
        <v>0.99557430000000002</v>
      </c>
      <c r="Y3803">
        <v>5.9346530000000002E-2</v>
      </c>
      <c r="Z3803">
        <v>-9.8977580000000009E-4</v>
      </c>
      <c r="AA3803">
        <v>0.99823700000000004</v>
      </c>
      <c r="AB3803">
        <v>42</v>
      </c>
      <c r="AC3803">
        <v>53.4529</v>
      </c>
      <c r="AD3803">
        <v>-1.1094862308846001</v>
      </c>
      <c r="AE3803">
        <v>-2.6144999999999898</v>
      </c>
      <c r="AF3803">
        <v>3.1970311257544899</v>
      </c>
      <c r="AG3803">
        <v>-1.1094862308846001</v>
      </c>
      <c r="AH3803">
        <v>53.398190863808402</v>
      </c>
      <c r="AI3803">
        <v>91.188170458782693</v>
      </c>
      <c r="AJ3803">
        <v>86.573704357359006</v>
      </c>
      <c r="AK3803">
        <v>53.505315205531502</v>
      </c>
      <c r="AL3803">
        <v>92.769463024864606</v>
      </c>
      <c r="AM3803">
        <v>94.628809352641795</v>
      </c>
      <c r="AN3803">
        <v>1.0000000327643099</v>
      </c>
    </row>
    <row r="3804" spans="1:40" x14ac:dyDescent="0.25">
      <c r="A3804" t="str">
        <f>"20190305135009155"</f>
        <v>20190305135009155</v>
      </c>
      <c r="B3804" t="str">
        <f>"1551765009144165"</f>
        <v>1551765009144165</v>
      </c>
      <c r="C3804" t="s">
        <v>40</v>
      </c>
      <c r="D3804">
        <v>3.8846569999999998</v>
      </c>
      <c r="E3804">
        <v>0.5567143</v>
      </c>
      <c r="F3804" t="s">
        <v>74</v>
      </c>
      <c r="G3804">
        <v>-335.29539999999997</v>
      </c>
      <c r="H3804" s="1">
        <v>1.4454059999999999E-6</v>
      </c>
      <c r="I3804">
        <v>210.85849999999999</v>
      </c>
      <c r="J3804">
        <v>-395.4676</v>
      </c>
      <c r="K3804">
        <v>1.109475</v>
      </c>
      <c r="L3804">
        <v>214.07980000000001</v>
      </c>
      <c r="M3804">
        <v>0.99989910000000004</v>
      </c>
      <c r="N3804">
        <v>-8.1809610000000005E-3</v>
      </c>
      <c r="O3804">
        <v>1.161388E-2</v>
      </c>
      <c r="P3804">
        <v>0.99414429999999998</v>
      </c>
      <c r="Q3804">
        <v>-5.6155669999999998E-2</v>
      </c>
      <c r="R3804">
        <v>9.2323849999999999E-2</v>
      </c>
      <c r="S3804">
        <v>3.0291139999999999</v>
      </c>
      <c r="T3804">
        <v>-5.5447459999999997E-2</v>
      </c>
      <c r="U3804">
        <v>-0.1607208</v>
      </c>
      <c r="V3804">
        <v>-8.0684809999999996E-2</v>
      </c>
      <c r="W3804">
        <v>-4.8158439999999997E-2</v>
      </c>
      <c r="X3804">
        <v>0.99557549999999995</v>
      </c>
      <c r="Y3804">
        <v>6.4562339999999996E-2</v>
      </c>
      <c r="Z3804">
        <v>-9.7224840000000002E-4</v>
      </c>
      <c r="AA3804">
        <v>0.99791319999999994</v>
      </c>
      <c r="AB3804">
        <v>42</v>
      </c>
      <c r="AC3804">
        <v>60.172199999999997</v>
      </c>
      <c r="AD3804">
        <v>-1.109473554594</v>
      </c>
      <c r="AE3804">
        <v>-3.22130000000001</v>
      </c>
      <c r="AF3804">
        <v>3.9186104125093899</v>
      </c>
      <c r="AG3804">
        <v>-1.109473554594</v>
      </c>
      <c r="AH3804">
        <v>60.110351081313397</v>
      </c>
      <c r="AI3804">
        <v>91.055164935272202</v>
      </c>
      <c r="AJ3804">
        <v>86.270149982862904</v>
      </c>
      <c r="AK3804">
        <v>60.248159691829002</v>
      </c>
      <c r="AL3804">
        <v>92.760343249795895</v>
      </c>
      <c r="AM3804">
        <v>94.633317783605904</v>
      </c>
      <c r="AN3804">
        <v>0.99999992505410695</v>
      </c>
    </row>
    <row r="3805" spans="1:40" x14ac:dyDescent="0.25">
      <c r="A3805" t="str">
        <f>"20190305135009175"</f>
        <v>20190305135009175</v>
      </c>
      <c r="B3805" t="str">
        <f>"1551765009164662"</f>
        <v>1551765009164662</v>
      </c>
      <c r="C3805" t="s">
        <v>40</v>
      </c>
      <c r="D3805">
        <v>3.8984390000000002</v>
      </c>
      <c r="E3805">
        <v>0.55774820000000003</v>
      </c>
      <c r="F3805" t="s">
        <v>74</v>
      </c>
      <c r="G3805">
        <v>-326.70429999999999</v>
      </c>
      <c r="H3805" s="1">
        <v>2.030936E-6</v>
      </c>
      <c r="I3805">
        <v>210.23</v>
      </c>
      <c r="J3805">
        <v>-395.09339999999997</v>
      </c>
      <c r="K3805">
        <v>1.109483</v>
      </c>
      <c r="L3805">
        <v>214.08449999999999</v>
      </c>
      <c r="M3805">
        <v>0.99989189999999994</v>
      </c>
      <c r="N3805">
        <v>-8.196821E-3</v>
      </c>
      <c r="O3805">
        <v>1.2201170000000001E-2</v>
      </c>
      <c r="P3805">
        <v>0.99415819999999999</v>
      </c>
      <c r="Q3805">
        <v>-5.5404370000000001E-2</v>
      </c>
      <c r="R3805">
        <v>9.2627150000000005E-2</v>
      </c>
      <c r="S3805">
        <v>3.0307010000000001</v>
      </c>
      <c r="T3805">
        <v>-4.8899409999999997E-2</v>
      </c>
      <c r="U3805">
        <v>-0.16967769999999999</v>
      </c>
      <c r="V3805">
        <v>-8.0404359999999994E-2</v>
      </c>
      <c r="W3805">
        <v>-4.739061E-2</v>
      </c>
      <c r="X3805">
        <v>0.9956351</v>
      </c>
      <c r="Y3805">
        <v>6.8063390000000001E-2</v>
      </c>
      <c r="Z3805">
        <v>-9.2461170000000001E-4</v>
      </c>
      <c r="AA3805">
        <v>0.99768049999999997</v>
      </c>
      <c r="AB3805">
        <v>43</v>
      </c>
      <c r="AC3805">
        <v>68.3890999999999</v>
      </c>
      <c r="AD3805">
        <v>-1.109480969064</v>
      </c>
      <c r="AE3805">
        <v>-3.8544999999999998</v>
      </c>
      <c r="AF3805">
        <v>4.6874384158350901</v>
      </c>
      <c r="AG3805">
        <v>-1.109480969064</v>
      </c>
      <c r="AH3805">
        <v>68.319054169476303</v>
      </c>
      <c r="AI3805">
        <v>90.928202713437102</v>
      </c>
      <c r="AJ3805">
        <v>86.075030625782901</v>
      </c>
      <c r="AK3805">
        <v>68.488657378684294</v>
      </c>
      <c r="AL3805">
        <v>92.716299354369895</v>
      </c>
      <c r="AM3805">
        <v>94.617007522364304</v>
      </c>
      <c r="AN3805">
        <v>0.99999999168759501</v>
      </c>
    </row>
    <row r="3806" spans="1:40" x14ac:dyDescent="0.25">
      <c r="A3806" t="str">
        <f>"20190305135009197"</f>
        <v>20190305135009197</v>
      </c>
      <c r="B3806" t="str">
        <f>"1551765009193942"</f>
        <v>1551765009193942</v>
      </c>
      <c r="C3806" t="s">
        <v>40</v>
      </c>
      <c r="D3806">
        <v>3.9212560000000001</v>
      </c>
      <c r="E3806">
        <v>0.55901630000000002</v>
      </c>
      <c r="F3806" t="s">
        <v>78</v>
      </c>
      <c r="G3806">
        <v>-318.52199999999999</v>
      </c>
      <c r="H3806">
        <v>1.817881E-2</v>
      </c>
      <c r="I3806">
        <v>209.6163</v>
      </c>
      <c r="J3806">
        <v>-394.66809999999998</v>
      </c>
      <c r="K3806">
        <v>1.1094930000000001</v>
      </c>
      <c r="L3806">
        <v>214.09020000000001</v>
      </c>
      <c r="M3806">
        <v>0.99988350000000004</v>
      </c>
      <c r="N3806">
        <v>-8.2145499999999993E-3</v>
      </c>
      <c r="O3806">
        <v>1.287192E-2</v>
      </c>
      <c r="P3806">
        <v>0.9942126</v>
      </c>
      <c r="Q3806">
        <v>-5.4289490000000003E-2</v>
      </c>
      <c r="R3806">
        <v>9.2704220000000004E-2</v>
      </c>
      <c r="S3806">
        <v>3.0317080000000001</v>
      </c>
      <c r="T3806">
        <v>-4.3208240000000002E-2</v>
      </c>
      <c r="U3806">
        <v>-0.1769104</v>
      </c>
      <c r="V3806">
        <v>-7.9814659999999996E-2</v>
      </c>
      <c r="W3806">
        <v>-4.6256800000000001E-2</v>
      </c>
      <c r="X3806">
        <v>0.99573590000000001</v>
      </c>
      <c r="Y3806">
        <v>7.1088349999999995E-2</v>
      </c>
      <c r="Z3806">
        <v>-8.7604049999999998E-4</v>
      </c>
      <c r="AA3806">
        <v>0.99746970000000001</v>
      </c>
      <c r="AB3806">
        <v>43</v>
      </c>
      <c r="AC3806">
        <v>76.146099999999905</v>
      </c>
      <c r="AD3806">
        <v>-1.0913141900000001</v>
      </c>
      <c r="AE3806">
        <v>-4.4739000000000102</v>
      </c>
      <c r="AF3806">
        <v>5.4525926993032297</v>
      </c>
      <c r="AG3806">
        <v>-1.0913141900000001</v>
      </c>
      <c r="AH3806">
        <v>76.066631035617803</v>
      </c>
      <c r="AI3806">
        <v>90.819852459809695</v>
      </c>
      <c r="AJ3806">
        <v>85.899948450832895</v>
      </c>
      <c r="AK3806">
        <v>76.269614466801897</v>
      </c>
      <c r="AL3806">
        <v>92.651265397628706</v>
      </c>
      <c r="AM3806">
        <v>94.582828362115507</v>
      </c>
      <c r="AN3806">
        <v>1.0000000270229801</v>
      </c>
    </row>
    <row r="3807" spans="1:40" x14ac:dyDescent="0.25">
      <c r="A3807" t="str">
        <f>"20190305135009221"</f>
        <v>20190305135009221</v>
      </c>
      <c r="B3807" t="str">
        <f>"1551765009214438"</f>
        <v>1551765009214438</v>
      </c>
      <c r="C3807" t="s">
        <v>40</v>
      </c>
      <c r="D3807">
        <v>3.9181550000000001</v>
      </c>
      <c r="E3807">
        <v>0.55979069999999997</v>
      </c>
      <c r="F3807" t="s">
        <v>78</v>
      </c>
      <c r="G3807">
        <v>-289.66379999999998</v>
      </c>
      <c r="H3807">
        <v>4.1116599999999996E-3</v>
      </c>
      <c r="I3807">
        <v>207.63499999999999</v>
      </c>
      <c r="J3807">
        <v>-394.2253</v>
      </c>
      <c r="K3807">
        <v>1.109505</v>
      </c>
      <c r="L3807">
        <v>214.09639999999999</v>
      </c>
      <c r="M3807">
        <v>0.99987400000000004</v>
      </c>
      <c r="N3807">
        <v>-8.2327389999999993E-3</v>
      </c>
      <c r="O3807">
        <v>1.3578450000000001E-2</v>
      </c>
      <c r="P3807">
        <v>0.99429480000000003</v>
      </c>
      <c r="Q3807">
        <v>-5.290007E-2</v>
      </c>
      <c r="R3807">
        <v>9.2625719999999995E-2</v>
      </c>
      <c r="S3807">
        <v>3.033112</v>
      </c>
      <c r="T3807">
        <v>-3.1929609999999997E-2</v>
      </c>
      <c r="U3807">
        <v>-0.1864624</v>
      </c>
      <c r="V3807">
        <v>-7.9033919999999994E-2</v>
      </c>
      <c r="W3807">
        <v>-4.4847999999999999E-2</v>
      </c>
      <c r="X3807">
        <v>0.99586260000000004</v>
      </c>
      <c r="Y3807">
        <v>7.4900049999999996E-2</v>
      </c>
      <c r="Z3807">
        <v>-7.3362060000000003E-4</v>
      </c>
      <c r="AA3807">
        <v>0.99719080000000004</v>
      </c>
      <c r="AB3807">
        <v>43</v>
      </c>
      <c r="AC3807">
        <v>104.5615</v>
      </c>
      <c r="AD3807">
        <v>-1.10539334</v>
      </c>
      <c r="AE3807">
        <v>-6.4613999999999896</v>
      </c>
      <c r="AF3807">
        <v>7.8797580728092402</v>
      </c>
      <c r="AG3807">
        <v>-1.10539334</v>
      </c>
      <c r="AH3807">
        <v>104.45249161275601</v>
      </c>
      <c r="AI3807">
        <v>90.604605747019207</v>
      </c>
      <c r="AJ3807">
        <v>85.685853578081804</v>
      </c>
      <c r="AK3807">
        <v>104.75512152556099</v>
      </c>
      <c r="AL3807">
        <v>92.570463263869001</v>
      </c>
      <c r="AM3807">
        <v>94.537612748236597</v>
      </c>
      <c r="AN3807">
        <v>1.00000001084666</v>
      </c>
    </row>
    <row r="3808" spans="1:40" x14ac:dyDescent="0.25">
      <c r="A3808" t="str">
        <f>"20190305135009232"</f>
        <v>20190305135009232</v>
      </c>
      <c r="B3808" t="str">
        <f>"1551765009224199"</f>
        <v>1551765009224199</v>
      </c>
      <c r="C3808" t="s">
        <v>40</v>
      </c>
      <c r="D3808">
        <v>3.904334</v>
      </c>
      <c r="E3808">
        <v>0.56004200000000004</v>
      </c>
      <c r="F3808" t="s">
        <v>74</v>
      </c>
      <c r="G3808">
        <v>-247.45410000000001</v>
      </c>
      <c r="H3808">
        <v>8.0001180000000005E-2</v>
      </c>
      <c r="I3808">
        <v>204.78550000000001</v>
      </c>
      <c r="J3808">
        <v>-393.97770000000003</v>
      </c>
      <c r="K3808">
        <v>1.1095120000000001</v>
      </c>
      <c r="L3808">
        <v>214.1</v>
      </c>
      <c r="M3808">
        <v>0.99986839999999999</v>
      </c>
      <c r="N3808">
        <v>-8.2428550000000003E-3</v>
      </c>
      <c r="O3808">
        <v>1.3977379999999999E-2</v>
      </c>
      <c r="P3808">
        <v>0.99432489999999996</v>
      </c>
      <c r="Q3808">
        <v>-5.2406979999999999E-2</v>
      </c>
      <c r="R3808">
        <v>9.2583260000000001E-2</v>
      </c>
      <c r="S3808">
        <v>3.034027</v>
      </c>
      <c r="T3808">
        <v>-2.128172E-2</v>
      </c>
      <c r="U3808">
        <v>-0.19247439999999999</v>
      </c>
      <c r="V3808">
        <v>-7.8594049999999999E-2</v>
      </c>
      <c r="W3808">
        <v>-4.4344439999999999E-2</v>
      </c>
      <c r="X3808">
        <v>0.99591989999999997</v>
      </c>
      <c r="Y3808">
        <v>7.7250819999999998E-2</v>
      </c>
      <c r="Z3808">
        <v>-5.7223479999999997E-4</v>
      </c>
      <c r="AA3808">
        <v>0.99701150000000005</v>
      </c>
      <c r="AB3808">
        <v>43</v>
      </c>
      <c r="AC3808">
        <v>146.52359999999999</v>
      </c>
      <c r="AD3808">
        <v>-1.02951082</v>
      </c>
      <c r="AE3808">
        <v>-9.3144999999999794</v>
      </c>
      <c r="AF3808">
        <v>11.3611168838958</v>
      </c>
      <c r="AG3808">
        <v>-1.02951082</v>
      </c>
      <c r="AH3808">
        <v>146.37189163782801</v>
      </c>
      <c r="AI3808">
        <v>90.401776423111798</v>
      </c>
      <c r="AJ3808">
        <v>85.561705703576195</v>
      </c>
      <c r="AK3808">
        <v>146.815753688131</v>
      </c>
      <c r="AL3808">
        <v>92.541582820788406</v>
      </c>
      <c r="AM3808">
        <v>94.512204318872904</v>
      </c>
      <c r="AN3808">
        <v>0.99999995063516101</v>
      </c>
    </row>
    <row r="3809" spans="1:40" x14ac:dyDescent="0.25">
      <c r="A3809" t="str">
        <f>"20190305135009246"</f>
        <v>20190305135009246</v>
      </c>
      <c r="B3809" t="str">
        <f>"1551765009233958"</f>
        <v>1551765009233958</v>
      </c>
      <c r="C3809" t="s">
        <v>40</v>
      </c>
      <c r="D3809">
        <v>3.8993639999999998</v>
      </c>
      <c r="E3809">
        <v>0.56025309999999995</v>
      </c>
      <c r="F3809" t="s">
        <v>43</v>
      </c>
      <c r="G3809">
        <v>-191.64099999999999</v>
      </c>
      <c r="H3809">
        <v>-0.05</v>
      </c>
      <c r="I3809">
        <v>201.1318</v>
      </c>
      <c r="J3809">
        <v>-393.72179999999997</v>
      </c>
      <c r="K3809">
        <v>1.109518</v>
      </c>
      <c r="L3809">
        <v>214.10390000000001</v>
      </c>
      <c r="M3809">
        <v>0.99986229999999998</v>
      </c>
      <c r="N3809">
        <v>-8.2532990000000004E-3</v>
      </c>
      <c r="O3809">
        <v>1.439289E-2</v>
      </c>
      <c r="P3809">
        <v>0.99430700000000005</v>
      </c>
      <c r="Q3809">
        <v>-5.2368070000000003E-2</v>
      </c>
      <c r="R3809">
        <v>9.2796050000000005E-2</v>
      </c>
      <c r="S3809">
        <v>3.0342709999999999</v>
      </c>
      <c r="T3809">
        <v>-1.7388219999999999E-2</v>
      </c>
      <c r="U3809">
        <v>-0.19447329999999999</v>
      </c>
      <c r="V3809">
        <v>-7.8392859999999995E-2</v>
      </c>
      <c r="W3809">
        <v>-4.4295719999999997E-2</v>
      </c>
      <c r="X3809">
        <v>0.99593799999999999</v>
      </c>
      <c r="Y3809">
        <v>7.8315120000000002E-2</v>
      </c>
      <c r="Z3809">
        <v>-5.1143040000000003E-4</v>
      </c>
      <c r="AA3809">
        <v>0.9969285</v>
      </c>
      <c r="AB3809">
        <v>43</v>
      </c>
      <c r="AC3809">
        <v>202.08080000000001</v>
      </c>
      <c r="AD3809">
        <v>-1.159518</v>
      </c>
      <c r="AE3809">
        <v>-12.972099999999999</v>
      </c>
      <c r="AF3809">
        <v>15.8788615270541</v>
      </c>
      <c r="AG3809">
        <v>-1.159518</v>
      </c>
      <c r="AH3809">
        <v>201.86653519569299</v>
      </c>
      <c r="AI3809">
        <v>90.328088953661194</v>
      </c>
      <c r="AJ3809">
        <v>85.502363676340593</v>
      </c>
      <c r="AK3809">
        <v>202.49340917003099</v>
      </c>
      <c r="AL3809">
        <v>92.538788434260894</v>
      </c>
      <c r="AM3809">
        <v>94.500619751868001</v>
      </c>
      <c r="AN3809">
        <v>1.0000000255766399</v>
      </c>
    </row>
    <row r="3810" spans="1:40" x14ac:dyDescent="0.25">
      <c r="A3810" t="str">
        <f>"20190305135009264"</f>
        <v>20190305135009264</v>
      </c>
      <c r="B3810" t="str">
        <f>"1551765009254454"</f>
        <v>1551765009254454</v>
      </c>
      <c r="C3810" t="s">
        <v>40</v>
      </c>
      <c r="D3810">
        <v>3.8360989999999999</v>
      </c>
      <c r="E3810">
        <v>0.56066210000000005</v>
      </c>
      <c r="F3810" t="s">
        <v>62</v>
      </c>
      <c r="G3810">
        <v>-179.95779999999999</v>
      </c>
      <c r="H3810">
        <v>2.6041100000000001E-2</v>
      </c>
      <c r="I3810">
        <v>200.3306</v>
      </c>
      <c r="J3810">
        <v>-393.38299999999998</v>
      </c>
      <c r="K3810">
        <v>1.109526</v>
      </c>
      <c r="L3810">
        <v>214.10910000000001</v>
      </c>
      <c r="M3810">
        <v>0.99985409999999997</v>
      </c>
      <c r="N3810">
        <v>-8.2668999999999902E-3</v>
      </c>
      <c r="O3810">
        <v>1.4948960000000001E-2</v>
      </c>
      <c r="P3810">
        <v>0.9942607</v>
      </c>
      <c r="Q3810">
        <v>-5.2669210000000001E-2</v>
      </c>
      <c r="R3810">
        <v>9.3121819999999994E-2</v>
      </c>
      <c r="S3810">
        <v>3.0346069999999998</v>
      </c>
      <c r="T3810">
        <v>-1.53811E-2</v>
      </c>
      <c r="U3810">
        <v>-0.19552610000000001</v>
      </c>
      <c r="V3810">
        <v>-7.816439E-2</v>
      </c>
      <c r="W3810">
        <v>-4.4584480000000003E-2</v>
      </c>
      <c r="X3810">
        <v>0.99594309999999997</v>
      </c>
      <c r="Y3810">
        <v>7.9207390000000003E-2</v>
      </c>
      <c r="Z3810">
        <v>-4.8052769999999998E-4</v>
      </c>
      <c r="AA3810">
        <v>0.99685809999999997</v>
      </c>
      <c r="AB3810">
        <v>43</v>
      </c>
      <c r="AC3810">
        <v>213.42519999999999</v>
      </c>
      <c r="AD3810">
        <v>-1.08348489999999</v>
      </c>
      <c r="AE3810">
        <v>-13.778499999999999</v>
      </c>
      <c r="AF3810">
        <v>16.967118540643401</v>
      </c>
      <c r="AG3810">
        <v>-1.08348489999999</v>
      </c>
      <c r="AH3810">
        <v>213.18989693943399</v>
      </c>
      <c r="AI3810">
        <v>90.290271282605502</v>
      </c>
      <c r="AJ3810">
        <v>85.449599073312001</v>
      </c>
      <c r="AK3810">
        <v>213.86675573390801</v>
      </c>
      <c r="AL3810">
        <v>92.555349454378799</v>
      </c>
      <c r="AM3810">
        <v>94.487533808051396</v>
      </c>
      <c r="AN3810">
        <v>1.0000000530792701</v>
      </c>
    </row>
    <row r="3811" spans="1:40" x14ac:dyDescent="0.25">
      <c r="A3811" t="str">
        <f>"20190305135009278"</f>
        <v>20190305135009278</v>
      </c>
      <c r="B3811" t="str">
        <f>"1551765009273975"</f>
        <v>1551765009273975</v>
      </c>
      <c r="C3811" t="s">
        <v>40</v>
      </c>
      <c r="D3811">
        <v>3.8574660000000001</v>
      </c>
      <c r="E3811">
        <v>0.56119949999999996</v>
      </c>
      <c r="F3811" t="s">
        <v>60</v>
      </c>
      <c r="G3811">
        <v>-168.41290000000001</v>
      </c>
      <c r="H3811">
        <v>0.12615589999999999</v>
      </c>
      <c r="I3811">
        <v>199.45570000000001</v>
      </c>
      <c r="J3811">
        <v>-393.11630000000002</v>
      </c>
      <c r="K3811">
        <v>1.109529</v>
      </c>
      <c r="L3811">
        <v>214.11340000000001</v>
      </c>
      <c r="M3811">
        <v>0.99984740000000005</v>
      </c>
      <c r="N3811">
        <v>-8.2774210000000001E-3</v>
      </c>
      <c r="O3811">
        <v>1.5390640000000001E-2</v>
      </c>
      <c r="P3811">
        <v>0.99419440000000003</v>
      </c>
      <c r="Q3811">
        <v>-5.3225450000000001E-2</v>
      </c>
      <c r="R3811">
        <v>9.3514650000000005E-2</v>
      </c>
      <c r="S3811">
        <v>3.035126</v>
      </c>
      <c r="T3811">
        <v>-1.3266439999999999E-2</v>
      </c>
      <c r="U3811">
        <v>-0.1976929</v>
      </c>
      <c r="V3811">
        <v>-7.811593E-2</v>
      </c>
      <c r="W3811">
        <v>-4.5131619999999997E-2</v>
      </c>
      <c r="X3811">
        <v>0.99592219999999998</v>
      </c>
      <c r="Y3811">
        <v>8.0345849999999996E-2</v>
      </c>
      <c r="Z3811">
        <v>-4.4825479999999998E-4</v>
      </c>
      <c r="AA3811">
        <v>0.99676690000000001</v>
      </c>
      <c r="AB3811">
        <v>43</v>
      </c>
      <c r="AC3811">
        <v>224.70339999999999</v>
      </c>
      <c r="AD3811">
        <v>-0.9833731</v>
      </c>
      <c r="AE3811">
        <v>-14.6577</v>
      </c>
      <c r="AF3811">
        <v>18.114065580145699</v>
      </c>
      <c r="AG3811">
        <v>-0.9833731</v>
      </c>
      <c r="AH3811">
        <v>224.446904142216</v>
      </c>
      <c r="AI3811">
        <v>90.250215843612594</v>
      </c>
      <c r="AJ3811">
        <v>85.385924517225206</v>
      </c>
      <c r="AK3811">
        <v>225.17881599635601</v>
      </c>
      <c r="AL3811">
        <v>92.586730004540996</v>
      </c>
      <c r="AM3811">
        <v>94.484856732204904</v>
      </c>
      <c r="AN3811">
        <v>0.99999999504821402</v>
      </c>
    </row>
    <row r="3812" spans="1:40" x14ac:dyDescent="0.25">
      <c r="A3812" t="str">
        <f>"20190305135009298"</f>
        <v>20190305135009298</v>
      </c>
      <c r="B3812" t="str">
        <f>"1551765009294472"</f>
        <v>1551765009294472</v>
      </c>
      <c r="C3812" t="s">
        <v>40</v>
      </c>
      <c r="D3812">
        <v>3.8409080000000002</v>
      </c>
      <c r="E3812">
        <v>0.56161049999999901</v>
      </c>
      <c r="F3812" t="s">
        <v>60</v>
      </c>
      <c r="G3812">
        <v>-168.41290000000001</v>
      </c>
      <c r="H3812">
        <v>0.1262865</v>
      </c>
      <c r="I3812">
        <v>199.251</v>
      </c>
      <c r="J3812">
        <v>-392.74639999999999</v>
      </c>
      <c r="K3812">
        <v>1.109531</v>
      </c>
      <c r="L3812">
        <v>214.11949999999999</v>
      </c>
      <c r="M3812">
        <v>0.99983759999999999</v>
      </c>
      <c r="N3812">
        <v>-8.2919009999999904E-3</v>
      </c>
      <c r="O3812">
        <v>1.600822E-2</v>
      </c>
      <c r="P3812">
        <v>0.9941238</v>
      </c>
      <c r="Q3812">
        <v>-5.2983620000000002E-2</v>
      </c>
      <c r="R3812">
        <v>9.4397839999999997E-2</v>
      </c>
      <c r="S3812">
        <v>3.035736</v>
      </c>
      <c r="T3812">
        <v>-1.3283130000000001E-2</v>
      </c>
      <c r="U3812">
        <v>-0.20079040000000001</v>
      </c>
      <c r="V3812">
        <v>-7.8385620000000003E-2</v>
      </c>
      <c r="W3812">
        <v>-4.4877689999999998E-2</v>
      </c>
      <c r="X3812">
        <v>0.99591249999999998</v>
      </c>
      <c r="Y3812">
        <v>8.1961049999999994E-2</v>
      </c>
      <c r="Z3812">
        <v>-4.5669770000000002E-4</v>
      </c>
      <c r="AA3812">
        <v>0.99663539999999995</v>
      </c>
      <c r="AB3812">
        <v>43</v>
      </c>
      <c r="AC3812">
        <v>224.33349999999999</v>
      </c>
      <c r="AD3812">
        <v>-0.98324449999999997</v>
      </c>
      <c r="AE3812">
        <v>-14.868499999999999</v>
      </c>
      <c r="AF3812">
        <v>18.457544643162201</v>
      </c>
      <c r="AG3812">
        <v>-0.98324449999999997</v>
      </c>
      <c r="AH3812">
        <v>224.062440128243</v>
      </c>
      <c r="AI3812">
        <v>90.250578472779097</v>
      </c>
      <c r="AJ3812">
        <v>85.290790509378894</v>
      </c>
      <c r="AK3812">
        <v>224.82354147247099</v>
      </c>
      <c r="AL3812">
        <v>92.572166092025796</v>
      </c>
      <c r="AM3812">
        <v>94.500320555910903</v>
      </c>
      <c r="AN3812">
        <v>1.00000001006938</v>
      </c>
    </row>
    <row r="3813" spans="1:40" x14ac:dyDescent="0.25">
      <c r="A3813" t="str">
        <f>"20190305135009311"</f>
        <v>20190305135009311</v>
      </c>
      <c r="B3813" t="str">
        <f>"1551765009304230"</f>
        <v>1551765009304230</v>
      </c>
      <c r="C3813" t="s">
        <v>40</v>
      </c>
      <c r="D3813">
        <v>3.8597969999999999</v>
      </c>
      <c r="E3813">
        <v>0.56179950000000001</v>
      </c>
      <c r="F3813" t="s">
        <v>60</v>
      </c>
      <c r="G3813">
        <v>-168.41299999999899</v>
      </c>
      <c r="H3813">
        <v>0.30864429999999998</v>
      </c>
      <c r="I3813">
        <v>199.23320000000001</v>
      </c>
      <c r="J3813">
        <v>-392.47890000000001</v>
      </c>
      <c r="K3813">
        <v>1.109532</v>
      </c>
      <c r="L3813">
        <v>214.124</v>
      </c>
      <c r="M3813">
        <v>0.9998302</v>
      </c>
      <c r="N3813">
        <v>-8.3023619999999902E-3</v>
      </c>
      <c r="O3813">
        <v>1.6457340000000001E-2</v>
      </c>
      <c r="P3813">
        <v>0.99403799999999998</v>
      </c>
      <c r="Q3813">
        <v>-5.3252019999999997E-2</v>
      </c>
      <c r="R3813">
        <v>9.5147579999999995E-2</v>
      </c>
      <c r="S3813">
        <v>3.0362239999999998</v>
      </c>
      <c r="T3813">
        <v>-1.0839100000000001E-2</v>
      </c>
      <c r="U3813">
        <v>-0.20147709999999999</v>
      </c>
      <c r="V3813">
        <v>-7.8688140000000004E-2</v>
      </c>
      <c r="W3813">
        <v>-4.5137759999999999E-2</v>
      </c>
      <c r="X3813">
        <v>0.99587689999999995</v>
      </c>
      <c r="Y3813">
        <v>8.262303E-2</v>
      </c>
      <c r="Z3813">
        <v>-4.1290540000000001E-4</v>
      </c>
      <c r="AA3813">
        <v>0.99658080000000004</v>
      </c>
      <c r="AB3813">
        <v>43</v>
      </c>
      <c r="AC3813">
        <v>224.0659</v>
      </c>
      <c r="AD3813">
        <v>-0.80088769999999998</v>
      </c>
      <c r="AE3813">
        <v>-14.8908</v>
      </c>
      <c r="AF3813">
        <v>18.5762023202191</v>
      </c>
      <c r="AG3813">
        <v>-0.80088769999999998</v>
      </c>
      <c r="AH3813">
        <v>223.78763450438399</v>
      </c>
      <c r="AI3813">
        <v>90.2043455753318</v>
      </c>
      <c r="AJ3813">
        <v>85.254860727894993</v>
      </c>
      <c r="AK3813">
        <v>224.55872744299501</v>
      </c>
      <c r="AL3813">
        <v>92.587082093993601</v>
      </c>
      <c r="AM3813">
        <v>94.517778075135197</v>
      </c>
      <c r="AN3813">
        <v>1.00000002035404</v>
      </c>
    </row>
    <row r="3814" spans="1:40" x14ac:dyDescent="0.25">
      <c r="A3814" t="str">
        <f>"20190305135009333"</f>
        <v>20190305135009333</v>
      </c>
      <c r="B3814" t="str">
        <f>"1551765009323750"</f>
        <v>1551765009323750</v>
      </c>
      <c r="C3814" t="s">
        <v>40</v>
      </c>
      <c r="D3814">
        <v>3.94882</v>
      </c>
      <c r="E3814">
        <v>0.56167319999999998</v>
      </c>
      <c r="F3814" t="s">
        <v>60</v>
      </c>
      <c r="G3814">
        <v>-168.41299999999899</v>
      </c>
      <c r="H3814">
        <v>0.321579</v>
      </c>
      <c r="I3814">
        <v>199.32499999999999</v>
      </c>
      <c r="J3814">
        <v>-392.06580000000002</v>
      </c>
      <c r="K3814">
        <v>1.109537</v>
      </c>
      <c r="L3814">
        <v>214.13140000000001</v>
      </c>
      <c r="M3814">
        <v>0.9998184</v>
      </c>
      <c r="N3814">
        <v>-8.3182359999999997E-3</v>
      </c>
      <c r="O3814">
        <v>1.7156390000000001E-2</v>
      </c>
      <c r="P3814">
        <v>0.99391410000000002</v>
      </c>
      <c r="Q3814">
        <v>-5.3283110000000002E-2</v>
      </c>
      <c r="R3814">
        <v>9.6414490000000005E-2</v>
      </c>
      <c r="S3814">
        <v>3.0366209999999998</v>
      </c>
      <c r="T3814">
        <v>-1.0678170000000001E-2</v>
      </c>
      <c r="U3814">
        <v>-0.2005615</v>
      </c>
      <c r="V3814">
        <v>-7.925981E-2</v>
      </c>
      <c r="W3814">
        <v>-4.5156099999999998E-2</v>
      </c>
      <c r="X3814">
        <v>0.99583069999999896</v>
      </c>
      <c r="Y3814">
        <v>8.3012059999999999E-2</v>
      </c>
      <c r="Z3814">
        <v>-4.0916409999999998E-4</v>
      </c>
      <c r="AA3814">
        <v>0.99654849999999995</v>
      </c>
      <c r="AB3814">
        <v>43</v>
      </c>
      <c r="AC3814">
        <v>223.65280000000001</v>
      </c>
      <c r="AD3814">
        <v>-0.78795799999999905</v>
      </c>
      <c r="AE3814">
        <v>-14.8064</v>
      </c>
      <c r="AF3814">
        <v>18.6411969579177</v>
      </c>
      <c r="AG3814">
        <v>-0.78795799999999905</v>
      </c>
      <c r="AH3814">
        <v>223.36308663737401</v>
      </c>
      <c r="AI3814">
        <v>90.201421260544294</v>
      </c>
      <c r="AJ3814">
        <v>85.229325786821406</v>
      </c>
      <c r="AK3814">
        <v>224.140990392227</v>
      </c>
      <c r="AL3814">
        <v>92.588134057605799</v>
      </c>
      <c r="AM3814">
        <v>94.550672645636098</v>
      </c>
      <c r="AN3814">
        <v>0.99999998695546699</v>
      </c>
    </row>
    <row r="3815" spans="1:40" x14ac:dyDescent="0.25">
      <c r="A3815" t="str">
        <f>"20190305135009354"</f>
        <v>20190305135009354</v>
      </c>
      <c r="B3815" t="str">
        <f>"1551765009344246"</f>
        <v>1551765009344246</v>
      </c>
      <c r="C3815" t="s">
        <v>40</v>
      </c>
      <c r="D3815">
        <v>3.8350680000000001</v>
      </c>
      <c r="E3815">
        <v>0.56207559999999901</v>
      </c>
      <c r="F3815" t="s">
        <v>60</v>
      </c>
      <c r="G3815">
        <v>-168.4128</v>
      </c>
      <c r="H3815">
        <v>7.883453E-2</v>
      </c>
      <c r="I3815">
        <v>199.7079</v>
      </c>
      <c r="J3815">
        <v>-391.63889999999998</v>
      </c>
      <c r="K3815">
        <v>1.1095429999999999</v>
      </c>
      <c r="L3815">
        <v>214.13919999999999</v>
      </c>
      <c r="M3815">
        <v>0.99980550000000001</v>
      </c>
      <c r="N3815">
        <v>-8.334681E-3</v>
      </c>
      <c r="O3815">
        <v>1.7883489999999998E-2</v>
      </c>
      <c r="P3815">
        <v>0.99388410000000005</v>
      </c>
      <c r="Q3815">
        <v>-5.3225309999999998E-2</v>
      </c>
      <c r="R3815">
        <v>9.6755179999999996E-2</v>
      </c>
      <c r="S3815">
        <v>3.036591</v>
      </c>
      <c r="T3815">
        <v>-1.399362E-2</v>
      </c>
      <c r="U3815">
        <v>-0.19583130000000001</v>
      </c>
      <c r="V3815">
        <v>-7.8876379999999996E-2</v>
      </c>
      <c r="W3815">
        <v>-4.5082259999999999E-2</v>
      </c>
      <c r="X3815">
        <v>0.99586450000000004</v>
      </c>
      <c r="Y3815">
        <v>8.2191009999999995E-2</v>
      </c>
      <c r="Z3815">
        <v>-4.6551809999999998E-4</v>
      </c>
      <c r="AA3815">
        <v>0.99661650000000002</v>
      </c>
      <c r="AB3815">
        <v>43</v>
      </c>
      <c r="AC3815">
        <v>223.2261</v>
      </c>
      <c r="AD3815">
        <v>-1.03070847</v>
      </c>
      <c r="AE3815">
        <v>-14.431299999999901</v>
      </c>
      <c r="AF3815">
        <v>18.420800606082899</v>
      </c>
      <c r="AG3815">
        <v>-1.03070847</v>
      </c>
      <c r="AH3815">
        <v>222.92757477192799</v>
      </c>
      <c r="AI3815">
        <v>90.264006113530201</v>
      </c>
      <c r="AJ3815">
        <v>85.276305414949206</v>
      </c>
      <c r="AK3815">
        <v>223.68972226862101</v>
      </c>
      <c r="AL3815">
        <v>92.583898995918105</v>
      </c>
      <c r="AM3815">
        <v>94.528596884152194</v>
      </c>
      <c r="AN3815">
        <v>0.99999999792443095</v>
      </c>
    </row>
    <row r="3816" spans="1:40" x14ac:dyDescent="0.25">
      <c r="A3816" t="str">
        <f>"20190305135009376"</f>
        <v>20190305135009376</v>
      </c>
      <c r="B3816" t="str">
        <f>"1551765009363766"</f>
        <v>1551765009363766</v>
      </c>
      <c r="C3816" t="s">
        <v>40</v>
      </c>
      <c r="D3816">
        <v>3.8909449999999999</v>
      </c>
      <c r="E3816">
        <v>0.56218020000000002</v>
      </c>
      <c r="F3816" t="s">
        <v>60</v>
      </c>
      <c r="G3816">
        <v>-168.41290000000001</v>
      </c>
      <c r="H3816">
        <v>0.25762370000000001</v>
      </c>
      <c r="I3816">
        <v>199.59200000000001</v>
      </c>
      <c r="J3816">
        <v>-391.23140000000001</v>
      </c>
      <c r="K3816">
        <v>1.1095600000000001</v>
      </c>
      <c r="L3816">
        <v>214.14699999999999</v>
      </c>
      <c r="M3816">
        <v>0.99979260000000003</v>
      </c>
      <c r="N3816">
        <v>-8.3502779999999992E-3</v>
      </c>
      <c r="O3816">
        <v>1.8579660000000001E-2</v>
      </c>
      <c r="P3816">
        <v>0.99387440000000005</v>
      </c>
      <c r="Q3816">
        <v>-5.3122089999999997E-2</v>
      </c>
      <c r="R3816">
        <v>9.6911540000000004E-2</v>
      </c>
      <c r="S3816">
        <v>3.0371090000000001</v>
      </c>
      <c r="T3816">
        <v>-1.1590359999999999E-2</v>
      </c>
      <c r="U3816">
        <v>-0.19792180000000001</v>
      </c>
      <c r="V3816">
        <v>-7.8338770000000002E-2</v>
      </c>
      <c r="W3816">
        <v>-4.496315E-2</v>
      </c>
      <c r="X3816">
        <v>0.99591229999999997</v>
      </c>
      <c r="Y3816">
        <v>8.3557489999999998E-2</v>
      </c>
      <c r="Z3816">
        <v>-4.2438179999999999E-4</v>
      </c>
      <c r="AA3816">
        <v>0.99650289999999997</v>
      </c>
      <c r="AB3816">
        <v>43</v>
      </c>
      <c r="AC3816">
        <v>222.8185</v>
      </c>
      <c r="AD3816">
        <v>-0.85193629999999998</v>
      </c>
      <c r="AE3816">
        <v>-14.555</v>
      </c>
      <c r="AF3816">
        <v>18.692251241339399</v>
      </c>
      <c r="AG3816">
        <v>-0.85193629999999998</v>
      </c>
      <c r="AH3816">
        <v>222.506359800247</v>
      </c>
      <c r="AI3816">
        <v>90.2186040126618</v>
      </c>
      <c r="AJ3816">
        <v>85.1979876130668</v>
      </c>
      <c r="AK3816">
        <v>223.29175131089201</v>
      </c>
      <c r="AL3816">
        <v>92.577067618335306</v>
      </c>
      <c r="AM3816">
        <v>94.497642715478705</v>
      </c>
      <c r="AN3816">
        <v>0.99999997851716205</v>
      </c>
    </row>
    <row r="3817" spans="1:40" x14ac:dyDescent="0.25">
      <c r="A3817" t="str">
        <f>"20190305135009398"</f>
        <v>20190305135009398</v>
      </c>
      <c r="B3817" t="str">
        <f>"1551765009394022"</f>
        <v>1551765009394022</v>
      </c>
      <c r="C3817" t="s">
        <v>40</v>
      </c>
      <c r="D3817">
        <v>3.8677160000000002</v>
      </c>
      <c r="E3817">
        <v>0.5613184</v>
      </c>
      <c r="F3817" t="s">
        <v>60</v>
      </c>
      <c r="G3817">
        <v>-168.41290000000001</v>
      </c>
      <c r="H3817">
        <v>0.33973219999999998</v>
      </c>
      <c r="I3817">
        <v>199.60570000000001</v>
      </c>
      <c r="J3817">
        <v>-390.78840000000002</v>
      </c>
      <c r="K3817">
        <v>1.1095680000000001</v>
      </c>
      <c r="L3817">
        <v>214.1558</v>
      </c>
      <c r="M3817">
        <v>0.99977800000000006</v>
      </c>
      <c r="N3817">
        <v>-8.3671470000000001E-3</v>
      </c>
      <c r="O3817">
        <v>1.9334400000000002E-2</v>
      </c>
      <c r="P3817">
        <v>0.99380619999999997</v>
      </c>
      <c r="Q3817">
        <v>-5.3122790000000003E-2</v>
      </c>
      <c r="R3817">
        <v>9.7607540000000007E-2</v>
      </c>
      <c r="S3817">
        <v>3.0372309999999998</v>
      </c>
      <c r="T3817">
        <v>-1.049304E-2</v>
      </c>
      <c r="U3817">
        <v>-0.19821169999999999</v>
      </c>
      <c r="V3817">
        <v>-7.8284199999999998E-2</v>
      </c>
      <c r="W3817">
        <v>-4.4947729999999998E-2</v>
      </c>
      <c r="X3817">
        <v>0.99591730000000001</v>
      </c>
      <c r="Y3817">
        <v>8.4402030000000003E-2</v>
      </c>
      <c r="Z3817">
        <v>-4.0427330000000002E-4</v>
      </c>
      <c r="AA3817">
        <v>0.99643170000000003</v>
      </c>
      <c r="AB3817">
        <v>43</v>
      </c>
      <c r="AC3817">
        <v>222.37549999999999</v>
      </c>
      <c r="AD3817">
        <v>-0.76983579999999996</v>
      </c>
      <c r="AE3817">
        <v>-14.550099999999899</v>
      </c>
      <c r="AF3817">
        <v>18.846802735659999</v>
      </c>
      <c r="AG3817">
        <v>-0.76983579999999996</v>
      </c>
      <c r="AH3817">
        <v>222.049951956315</v>
      </c>
      <c r="AI3817">
        <v>90.197929078490702</v>
      </c>
      <c r="AJ3817">
        <v>85.148567552006597</v>
      </c>
      <c r="AK3817">
        <v>222.84967081940599</v>
      </c>
      <c r="AL3817">
        <v>92.576183190002794</v>
      </c>
      <c r="AM3817">
        <v>94.494500071761706</v>
      </c>
      <c r="AN3817">
        <v>0.99999999142054097</v>
      </c>
    </row>
    <row r="3818" spans="1:40" x14ac:dyDescent="0.25">
      <c r="A3818" t="str">
        <f>"20190305135009422"</f>
        <v>20190305135009422</v>
      </c>
      <c r="B3818" t="str">
        <f>"1551765009414519"</f>
        <v>1551765009414519</v>
      </c>
      <c r="C3818" t="s">
        <v>40</v>
      </c>
      <c r="D3818">
        <v>3.6973069999999999</v>
      </c>
      <c r="E3818">
        <v>0.56081150000000002</v>
      </c>
      <c r="F3818" t="s">
        <v>60</v>
      </c>
      <c r="G3818">
        <v>-168.4127</v>
      </c>
      <c r="H3818">
        <v>0.48403069999999998</v>
      </c>
      <c r="I3818">
        <v>200.31489999999999</v>
      </c>
      <c r="J3818">
        <v>-390.34059999999999</v>
      </c>
      <c r="K3818">
        <v>1.109569</v>
      </c>
      <c r="L3818">
        <v>214.16499999999999</v>
      </c>
      <c r="M3818">
        <v>0.99976330000000002</v>
      </c>
      <c r="N3818">
        <v>-8.3838109999999997E-3</v>
      </c>
      <c r="O3818">
        <v>2.0080259999999999E-2</v>
      </c>
      <c r="P3818">
        <v>0.993726</v>
      </c>
      <c r="Q3818">
        <v>-5.2848729999999997E-2</v>
      </c>
      <c r="R3818">
        <v>9.8569589999999999E-2</v>
      </c>
      <c r="S3818">
        <v>3.036743</v>
      </c>
      <c r="T3818">
        <v>-8.5418219999999993E-3</v>
      </c>
      <c r="U3818">
        <v>-0.1890106</v>
      </c>
      <c r="V3818">
        <v>-7.8506049999999994E-2</v>
      </c>
      <c r="W3818">
        <v>-4.4657019999999999E-2</v>
      </c>
      <c r="X3818">
        <v>0.99591289999999999</v>
      </c>
      <c r="Y3818">
        <v>8.2149070000000005E-2</v>
      </c>
      <c r="Z3818">
        <v>-3.4838749999999998E-4</v>
      </c>
      <c r="AA3818">
        <v>0.99661999999999995</v>
      </c>
      <c r="AB3818">
        <v>43</v>
      </c>
      <c r="AC3818">
        <v>221.92789999999999</v>
      </c>
      <c r="AD3818">
        <v>-0.62553829999999999</v>
      </c>
      <c r="AE3818">
        <v>-13.8500999999999</v>
      </c>
      <c r="AF3818">
        <v>18.303688568189301</v>
      </c>
      <c r="AG3818">
        <v>-0.62553829999999999</v>
      </c>
      <c r="AH3818">
        <v>221.603272688332</v>
      </c>
      <c r="AI3818">
        <v>90.161184334091502</v>
      </c>
      <c r="AJ3818">
        <v>85.278278449937403</v>
      </c>
      <c r="AK3818">
        <v>222.35877940739201</v>
      </c>
      <c r="AL3818">
        <v>92.559510028978195</v>
      </c>
      <c r="AM3818">
        <v>94.507204482265394</v>
      </c>
      <c r="AN3818">
        <v>0.99999997685414599</v>
      </c>
    </row>
    <row r="3819" spans="1:40" x14ac:dyDescent="0.25">
      <c r="A3819" t="str">
        <f>"20190305135009443"</f>
        <v>20190305135009443</v>
      </c>
      <c r="B3819" t="str">
        <f>"1551765009434038"</f>
        <v>1551765009434038</v>
      </c>
      <c r="C3819" t="s">
        <v>40</v>
      </c>
      <c r="D3819">
        <v>3.8300749999999999</v>
      </c>
      <c r="E3819">
        <v>0.56040730000000005</v>
      </c>
      <c r="F3819" t="s">
        <v>60</v>
      </c>
      <c r="G3819">
        <v>-168.4126</v>
      </c>
      <c r="H3819">
        <v>0.66281319999999999</v>
      </c>
      <c r="I3819">
        <v>200.87129999999999</v>
      </c>
      <c r="J3819">
        <v>-389.91160000000002</v>
      </c>
      <c r="K3819">
        <v>1.10955</v>
      </c>
      <c r="L3819">
        <v>214.17410000000001</v>
      </c>
      <c r="M3819">
        <v>0.99974929999999995</v>
      </c>
      <c r="N3819">
        <v>-8.3993939999999993E-3</v>
      </c>
      <c r="O3819">
        <v>2.0760049999999999E-2</v>
      </c>
      <c r="P3819">
        <v>0.99371399999999999</v>
      </c>
      <c r="Q3819">
        <v>-5.2334039999999998E-2</v>
      </c>
      <c r="R3819">
        <v>9.8965510000000007E-2</v>
      </c>
      <c r="S3819">
        <v>3.0366819999999999</v>
      </c>
      <c r="T3819">
        <v>-6.1125759999999998E-3</v>
      </c>
      <c r="U3819">
        <v>-0.18190000000000001</v>
      </c>
      <c r="V3819">
        <v>-7.8228210000000006E-2</v>
      </c>
      <c r="W3819">
        <v>-4.4122929999999998E-2</v>
      </c>
      <c r="X3819">
        <v>0.99595860000000003</v>
      </c>
      <c r="Y3819">
        <v>8.0503210000000006E-2</v>
      </c>
      <c r="Z3819">
        <v>-2.8690330000000002E-4</v>
      </c>
      <c r="AA3819">
        <v>0.99675429999999998</v>
      </c>
      <c r="AB3819">
        <v>43</v>
      </c>
      <c r="AC3819">
        <v>221.499</v>
      </c>
      <c r="AD3819">
        <v>-0.44673679999999899</v>
      </c>
      <c r="AE3819">
        <v>-13.3028</v>
      </c>
      <c r="AF3819">
        <v>17.898352412741399</v>
      </c>
      <c r="AG3819">
        <v>-0.44673679999999899</v>
      </c>
      <c r="AH3819">
        <v>221.17418774495101</v>
      </c>
      <c r="AI3819">
        <v>90.1153511505224</v>
      </c>
      <c r="AJ3819">
        <v>85.373464490478696</v>
      </c>
      <c r="AK3819">
        <v>221.89766091038001</v>
      </c>
      <c r="AL3819">
        <v>92.528878648876997</v>
      </c>
      <c r="AM3819">
        <v>94.491113215145106</v>
      </c>
      <c r="AN3819">
        <v>1.0000000093527699</v>
      </c>
    </row>
    <row r="3820" spans="1:40" x14ac:dyDescent="0.25">
      <c r="A3820" t="str">
        <f>"20190305135009466"</f>
        <v>20190305135009466</v>
      </c>
      <c r="B3820" t="str">
        <f>"1551765009454534"</f>
        <v>1551765009454534</v>
      </c>
      <c r="C3820" t="s">
        <v>40</v>
      </c>
      <c r="D3820">
        <v>3.8470870000000001</v>
      </c>
      <c r="E3820">
        <v>0.56003119999999995</v>
      </c>
      <c r="F3820" t="s">
        <v>60</v>
      </c>
      <c r="G3820">
        <v>-168.41249999999999</v>
      </c>
      <c r="H3820">
        <v>0.85116769999999997</v>
      </c>
      <c r="I3820">
        <v>201.24440000000001</v>
      </c>
      <c r="J3820">
        <v>-389.48509999999999</v>
      </c>
      <c r="K3820">
        <v>1.1095159999999999</v>
      </c>
      <c r="L3820">
        <v>214.18340000000001</v>
      </c>
      <c r="M3820">
        <v>0.99973599999999996</v>
      </c>
      <c r="N3820">
        <v>-8.4144969999999999E-3</v>
      </c>
      <c r="O3820">
        <v>2.1381710000000002E-2</v>
      </c>
      <c r="P3820">
        <v>0.99369399999999997</v>
      </c>
      <c r="Q3820">
        <v>-5.2014810000000002E-2</v>
      </c>
      <c r="R3820">
        <v>9.9331669999999997E-2</v>
      </c>
      <c r="S3820">
        <v>3.0364070000000001</v>
      </c>
      <c r="T3820">
        <v>-3.5415889999999999E-3</v>
      </c>
      <c r="U3820">
        <v>-0.17724609999999999</v>
      </c>
      <c r="V3820">
        <v>-7.7979580000000007E-2</v>
      </c>
      <c r="W3820">
        <v>-4.3781809999999997E-2</v>
      </c>
      <c r="X3820">
        <v>0.99599309999999996</v>
      </c>
      <c r="Y3820">
        <v>7.960623E-2</v>
      </c>
      <c r="Z3820">
        <v>-2.26772E-4</v>
      </c>
      <c r="AA3820">
        <v>0.9968264</v>
      </c>
      <c r="AB3820">
        <v>43</v>
      </c>
      <c r="AC3820">
        <v>221.07259999999999</v>
      </c>
      <c r="AD3820">
        <v>-0.25834829999999998</v>
      </c>
      <c r="AE3820">
        <v>-12.938999999999901</v>
      </c>
      <c r="AF3820">
        <v>17.663095155238199</v>
      </c>
      <c r="AG3820">
        <v>-0.25834829999999998</v>
      </c>
      <c r="AH3820">
        <v>220.74508776840599</v>
      </c>
      <c r="AI3820">
        <v>90.066842261614397</v>
      </c>
      <c r="AJ3820">
        <v>85.425179131616204</v>
      </c>
      <c r="AK3820">
        <v>221.450774322846</v>
      </c>
      <c r="AL3820">
        <v>92.509315134542206</v>
      </c>
      <c r="AM3820">
        <v>94.476742941316303</v>
      </c>
      <c r="AN3820">
        <v>0.99999995851572998</v>
      </c>
    </row>
    <row r="3821" spans="1:40" x14ac:dyDescent="0.25">
      <c r="A3821" t="str">
        <f>"20190305135009488"</f>
        <v>20190305135009488</v>
      </c>
      <c r="B3821" t="str">
        <f>"1551765009483815"</f>
        <v>1551765009483815</v>
      </c>
      <c r="C3821" t="s">
        <v>40</v>
      </c>
      <c r="D3821">
        <v>3.8212709999999999</v>
      </c>
      <c r="E3821">
        <v>0.55951340000000005</v>
      </c>
      <c r="F3821" t="s">
        <v>60</v>
      </c>
      <c r="G3821">
        <v>-168.41239999999999</v>
      </c>
      <c r="H3821">
        <v>0.98189159999999998</v>
      </c>
      <c r="I3821">
        <v>201.57570000000001</v>
      </c>
      <c r="J3821">
        <v>-389.0514</v>
      </c>
      <c r="K3821">
        <v>1.109456</v>
      </c>
      <c r="L3821">
        <v>214.19300000000001</v>
      </c>
      <c r="M3821">
        <v>0.9997239</v>
      </c>
      <c r="N3821">
        <v>-8.4296470000000002E-3</v>
      </c>
      <c r="O3821">
        <v>2.1939670000000001E-2</v>
      </c>
      <c r="P3821">
        <v>0.99366019999999999</v>
      </c>
      <c r="Q3821">
        <v>-5.2088969999999998E-2</v>
      </c>
      <c r="R3821">
        <v>9.9631639999999994E-2</v>
      </c>
      <c r="S3821">
        <v>3.0362550000000001</v>
      </c>
      <c r="T3821">
        <v>-1.7523770000000001E-3</v>
      </c>
      <c r="U3821">
        <v>-0.1731567</v>
      </c>
      <c r="V3821">
        <v>-7.7729580000000006E-2</v>
      </c>
      <c r="W3821">
        <v>-4.3830599999999997E-2</v>
      </c>
      <c r="X3821">
        <v>0.99601050000000002</v>
      </c>
      <c r="Y3821">
        <v>7.8827480000000005E-2</v>
      </c>
      <c r="Z3821">
        <v>-1.8312330000000001E-4</v>
      </c>
      <c r="AA3821">
        <v>0.99688829999999995</v>
      </c>
      <c r="AB3821">
        <v>44</v>
      </c>
      <c r="AC3821">
        <v>220.63900000000001</v>
      </c>
      <c r="AD3821">
        <v>-0.12756439999999999</v>
      </c>
      <c r="AE3821">
        <v>-12.617299999999901</v>
      </c>
      <c r="AF3821">
        <v>17.455175099998399</v>
      </c>
      <c r="AG3821">
        <v>-0.12756439999999999</v>
      </c>
      <c r="AH3821">
        <v>220.308985057764</v>
      </c>
      <c r="AI3821">
        <v>90.033072040608701</v>
      </c>
      <c r="AJ3821">
        <v>85.469894257741899</v>
      </c>
      <c r="AK3821">
        <v>220.99943055951499</v>
      </c>
      <c r="AL3821">
        <v>92.5121132715459</v>
      </c>
      <c r="AM3821">
        <v>94.462371068898406</v>
      </c>
      <c r="AN3821">
        <v>0.99999996260679203</v>
      </c>
    </row>
    <row r="3822" spans="1:40" x14ac:dyDescent="0.25">
      <c r="A3822" t="str">
        <f>"20190305135009511"</f>
        <v>20190305135009511</v>
      </c>
      <c r="B3822" t="str">
        <f>"1551765009504311"</f>
        <v>1551765009504311</v>
      </c>
      <c r="C3822" t="s">
        <v>40</v>
      </c>
      <c r="D3822">
        <v>3.8239920000000001</v>
      </c>
      <c r="E3822">
        <v>0.55918089999999998</v>
      </c>
      <c r="F3822" t="s">
        <v>60</v>
      </c>
      <c r="G3822">
        <v>-168.41229999999999</v>
      </c>
      <c r="H3822">
        <v>1.0097290000000001</v>
      </c>
      <c r="I3822">
        <v>201.99010000000001</v>
      </c>
      <c r="J3822">
        <v>-388.60860000000002</v>
      </c>
      <c r="K3822">
        <v>1.109381</v>
      </c>
      <c r="L3822">
        <v>214.20310000000001</v>
      </c>
      <c r="M3822">
        <v>0.99971330000000003</v>
      </c>
      <c r="N3822">
        <v>-8.4450619999999997E-3</v>
      </c>
      <c r="O3822">
        <v>2.241396E-2</v>
      </c>
      <c r="P3822">
        <v>0.99360530000000002</v>
      </c>
      <c r="Q3822">
        <v>-5.2438369999999998E-2</v>
      </c>
      <c r="R3822">
        <v>9.9995870000000001E-2</v>
      </c>
      <c r="S3822">
        <v>3.0359189999999998</v>
      </c>
      <c r="T3822">
        <v>-1.3717410000000001E-3</v>
      </c>
      <c r="U3822">
        <v>-0.16790769999999999</v>
      </c>
      <c r="V3822">
        <v>-7.7629710000000005E-2</v>
      </c>
      <c r="W3822">
        <v>-4.4151339999999997E-2</v>
      </c>
      <c r="X3822">
        <v>0.99600420000000001</v>
      </c>
      <c r="Y3822">
        <v>7.7588459999999998E-2</v>
      </c>
      <c r="Z3822">
        <v>-1.6638309999999999E-4</v>
      </c>
      <c r="AA3822">
        <v>0.99698540000000002</v>
      </c>
      <c r="AB3822">
        <v>44</v>
      </c>
      <c r="AC3822">
        <v>220.19630000000001</v>
      </c>
      <c r="AD3822">
        <v>-9.9651999999999796E-2</v>
      </c>
      <c r="AE3822">
        <v>-12.2129999999999</v>
      </c>
      <c r="AF3822">
        <v>17.145574189984</v>
      </c>
      <c r="AG3822">
        <v>-9.9651999999999796E-2</v>
      </c>
      <c r="AH3822">
        <v>219.86718110566099</v>
      </c>
      <c r="AI3822">
        <v>90.025889980014696</v>
      </c>
      <c r="AJ3822">
        <v>85.541012679508697</v>
      </c>
      <c r="AK3822">
        <v>220.53470922323001</v>
      </c>
      <c r="AL3822">
        <v>92.530507933315107</v>
      </c>
      <c r="AM3822">
        <v>94.456688828923006</v>
      </c>
      <c r="AN3822">
        <v>1.0000000395580499</v>
      </c>
    </row>
    <row r="3823" spans="1:40" x14ac:dyDescent="0.25">
      <c r="A3823" t="str">
        <f>"20190305135009534"</f>
        <v>20190305135009534</v>
      </c>
      <c r="B3823" t="str">
        <f>"1551765009523830"</f>
        <v>1551765009523830</v>
      </c>
      <c r="C3823" t="s">
        <v>40</v>
      </c>
      <c r="D3823">
        <v>3.7966479999999998</v>
      </c>
      <c r="E3823">
        <v>0.55888769999999999</v>
      </c>
      <c r="F3823" t="s">
        <v>60</v>
      </c>
      <c r="G3823">
        <v>-168.41220000000001</v>
      </c>
      <c r="H3823">
        <v>0.90945819999999999</v>
      </c>
      <c r="I3823">
        <v>202.2894</v>
      </c>
      <c r="J3823">
        <v>-388.154</v>
      </c>
      <c r="K3823">
        <v>1.1093</v>
      </c>
      <c r="L3823">
        <v>214.21350000000001</v>
      </c>
      <c r="M3823">
        <v>0.99970440000000005</v>
      </c>
      <c r="N3823">
        <v>-8.4611200000000008E-3</v>
      </c>
      <c r="O3823">
        <v>2.2793230000000001E-2</v>
      </c>
      <c r="P3823">
        <v>0.99357519999999999</v>
      </c>
      <c r="Q3823">
        <v>-5.2529199999999901E-2</v>
      </c>
      <c r="R3823">
        <v>0.1002456</v>
      </c>
      <c r="S3823">
        <v>3.0357059999999998</v>
      </c>
      <c r="T3823">
        <v>-2.7557609999999998E-3</v>
      </c>
      <c r="U3823">
        <v>-0.16424559999999999</v>
      </c>
      <c r="V3823">
        <v>-7.7510759999999998E-2</v>
      </c>
      <c r="W3823">
        <v>-4.4210359999999997E-2</v>
      </c>
      <c r="X3823">
        <v>0.99601079999999997</v>
      </c>
      <c r="Y3823">
        <v>7.6771329999999999E-2</v>
      </c>
      <c r="Z3823">
        <v>-1.8782599999999999E-4</v>
      </c>
      <c r="AA3823">
        <v>0.99704870000000001</v>
      </c>
      <c r="AB3823">
        <v>44</v>
      </c>
      <c r="AC3823">
        <v>219.74180000000001</v>
      </c>
      <c r="AD3823">
        <v>-0.19984180000000001</v>
      </c>
      <c r="AE3823">
        <v>-11.924099999999999</v>
      </c>
      <c r="AF3823">
        <v>16.929792602391199</v>
      </c>
      <c r="AG3823">
        <v>-0.19984180000000001</v>
      </c>
      <c r="AH3823">
        <v>219.41272770078399</v>
      </c>
      <c r="AI3823">
        <v>90.052030506630601</v>
      </c>
      <c r="AJ3823">
        <v>85.587824311312602</v>
      </c>
      <c r="AK3823">
        <v>220.06499696999401</v>
      </c>
      <c r="AL3823">
        <v>92.533892951345294</v>
      </c>
      <c r="AM3823">
        <v>94.449858039679697</v>
      </c>
      <c r="AN3823">
        <v>0.99999999378187299</v>
      </c>
    </row>
    <row r="3824" spans="1:40" x14ac:dyDescent="0.25">
      <c r="A3824" t="str">
        <f>"20190305135009565"</f>
        <v>20190305135009565</v>
      </c>
      <c r="B3824" t="str">
        <f>"1551765009554086"</f>
        <v>1551765009554086</v>
      </c>
      <c r="C3824" t="s">
        <v>40</v>
      </c>
      <c r="D3824">
        <v>3.8412489999999999</v>
      </c>
      <c r="E3824">
        <v>0.55851649999999997</v>
      </c>
      <c r="F3824" t="s">
        <v>60</v>
      </c>
      <c r="G3824">
        <v>-168.41210000000001</v>
      </c>
      <c r="H3824">
        <v>0.85288619999999904</v>
      </c>
      <c r="I3824">
        <v>202.5444</v>
      </c>
      <c r="J3824">
        <v>-387.53910000000002</v>
      </c>
      <c r="K3824">
        <v>1.1092040000000001</v>
      </c>
      <c r="L3824">
        <v>214.2278</v>
      </c>
      <c r="M3824">
        <v>0.99969580000000002</v>
      </c>
      <c r="N3824">
        <v>-8.4829469999999994E-3</v>
      </c>
      <c r="O3824">
        <v>2.3165959999999999E-2</v>
      </c>
      <c r="P3824">
        <v>0.99366279999999996</v>
      </c>
      <c r="Q3824">
        <v>-5.2051069999999998E-2</v>
      </c>
      <c r="R3824">
        <v>9.9625699999999998E-2</v>
      </c>
      <c r="S3824">
        <v>3.0354610000000002</v>
      </c>
      <c r="T3824">
        <v>-3.5415889999999999E-3</v>
      </c>
      <c r="U3824">
        <v>-0.1611938</v>
      </c>
      <c r="V3824">
        <v>-7.6530810000000005E-2</v>
      </c>
      <c r="W3824">
        <v>-4.3687990000000003E-2</v>
      </c>
      <c r="X3824">
        <v>0.99610960000000004</v>
      </c>
      <c r="Y3824">
        <v>7.6147779999999998E-2</v>
      </c>
      <c r="Z3824">
        <v>-1.9825149999999999E-4</v>
      </c>
      <c r="AA3824">
        <v>0.99709650000000005</v>
      </c>
      <c r="AB3824">
        <v>44</v>
      </c>
      <c r="AC3824">
        <v>219.12700000000001</v>
      </c>
      <c r="AD3824">
        <v>-0.25631779999999998</v>
      </c>
      <c r="AE3824">
        <v>-11.683400000000001</v>
      </c>
      <c r="AF3824">
        <v>16.756710649451399</v>
      </c>
      <c r="AG3824">
        <v>-0.25631779999999998</v>
      </c>
      <c r="AH3824">
        <v>218.797223966416</v>
      </c>
      <c r="AI3824">
        <v>90.066925168040896</v>
      </c>
      <c r="AJ3824">
        <v>85.620518971445506</v>
      </c>
      <c r="AK3824">
        <v>219.43809666057101</v>
      </c>
      <c r="AL3824">
        <v>92.503934466456698</v>
      </c>
      <c r="AM3824">
        <v>94.393387157236305</v>
      </c>
      <c r="AN3824">
        <v>0.99999997028082699</v>
      </c>
    </row>
    <row r="3825" spans="1:40" x14ac:dyDescent="0.25">
      <c r="A3825" t="str">
        <f>"20190305135009588"</f>
        <v>20190305135009588</v>
      </c>
      <c r="B3825" t="str">
        <f>"1551765009584343"</f>
        <v>1551765009584343</v>
      </c>
      <c r="C3825" t="s">
        <v>40</v>
      </c>
      <c r="D3825">
        <v>3.7790520000000001</v>
      </c>
      <c r="E3825">
        <v>0.55824940000000001</v>
      </c>
      <c r="F3825" t="s">
        <v>60</v>
      </c>
      <c r="G3825">
        <v>-168.41200000000001</v>
      </c>
      <c r="H3825">
        <v>0.8933392</v>
      </c>
      <c r="I3825">
        <v>202.64599999999999</v>
      </c>
      <c r="J3825">
        <v>-387.09339999999997</v>
      </c>
      <c r="K3825">
        <v>1.1091310000000001</v>
      </c>
      <c r="L3825">
        <v>214.23820000000001</v>
      </c>
      <c r="M3825">
        <v>0.99969140000000001</v>
      </c>
      <c r="N3825">
        <v>-8.4987410000000006E-3</v>
      </c>
      <c r="O3825">
        <v>2.334435E-2</v>
      </c>
      <c r="P3825">
        <v>0.99370139999999996</v>
      </c>
      <c r="Q3825">
        <v>-5.1892019999999997E-2</v>
      </c>
      <c r="R3825">
        <v>9.9321499999999993E-2</v>
      </c>
      <c r="S3825">
        <v>3.0350649999999999</v>
      </c>
      <c r="T3825">
        <v>-2.989411E-3</v>
      </c>
      <c r="U3825">
        <v>-0.16041559999999999</v>
      </c>
      <c r="V3825">
        <v>-7.6055479999999995E-2</v>
      </c>
      <c r="W3825">
        <v>-4.349894E-2</v>
      </c>
      <c r="X3825">
        <v>0.99615430000000005</v>
      </c>
      <c r="Y3825">
        <v>7.6077699999999998E-2</v>
      </c>
      <c r="Z3825">
        <v>-1.8568799999999999E-4</v>
      </c>
      <c r="AA3825">
        <v>0.99710189999999999</v>
      </c>
      <c r="AB3825">
        <v>44</v>
      </c>
      <c r="AC3825">
        <v>218.6814</v>
      </c>
      <c r="AD3825">
        <v>-0.21579179999999901</v>
      </c>
      <c r="AE3825">
        <v>-11.5922</v>
      </c>
      <c r="AF3825">
        <v>16.694183798290901</v>
      </c>
      <c r="AG3825">
        <v>-0.21579179999999901</v>
      </c>
      <c r="AH3825">
        <v>218.35096725694299</v>
      </c>
      <c r="AI3825">
        <v>90.056459454161299</v>
      </c>
      <c r="AJ3825">
        <v>85.627914775745893</v>
      </c>
      <c r="AK3825">
        <v>218.98832672276001</v>
      </c>
      <c r="AL3825">
        <v>92.493092338797098</v>
      </c>
      <c r="AM3825">
        <v>94.366010674061798</v>
      </c>
      <c r="AN3825">
        <v>0.99999999161382203</v>
      </c>
    </row>
    <row r="3826" spans="1:40" x14ac:dyDescent="0.25">
      <c r="A3826" t="str">
        <f>"20190305135009611"</f>
        <v>20190305135009611</v>
      </c>
      <c r="B3826" t="str">
        <f>"1551765009603863"</f>
        <v>1551765009603863</v>
      </c>
      <c r="C3826" t="s">
        <v>40</v>
      </c>
      <c r="D3826">
        <v>3.7903190000000002</v>
      </c>
      <c r="E3826">
        <v>0.55813310000000005</v>
      </c>
      <c r="F3826" t="s">
        <v>60</v>
      </c>
      <c r="G3826">
        <v>-168.41200000000001</v>
      </c>
      <c r="H3826">
        <v>0.9646072</v>
      </c>
      <c r="I3826">
        <v>202.76480000000001</v>
      </c>
      <c r="J3826">
        <v>-386.63319999999999</v>
      </c>
      <c r="K3826">
        <v>1.1090599999999999</v>
      </c>
      <c r="L3826">
        <v>214.249</v>
      </c>
      <c r="M3826">
        <v>0.99968860000000004</v>
      </c>
      <c r="N3826">
        <v>-8.5150490000000002E-3</v>
      </c>
      <c r="O3826">
        <v>2.3461639999999999E-2</v>
      </c>
      <c r="P3826">
        <v>0.99369719999999995</v>
      </c>
      <c r="Q3826">
        <v>-5.2018099999999998E-2</v>
      </c>
      <c r="R3826">
        <v>9.9297659999999996E-2</v>
      </c>
      <c r="S3826">
        <v>3.034821</v>
      </c>
      <c r="T3826">
        <v>-2.0052189999999999E-3</v>
      </c>
      <c r="U3826">
        <v>-0.15922549999999999</v>
      </c>
      <c r="V3826">
        <v>-7.592169E-2</v>
      </c>
      <c r="W3826">
        <v>-4.3596639999999999E-2</v>
      </c>
      <c r="X3826">
        <v>0.9961603</v>
      </c>
      <c r="Y3826">
        <v>7.5809020000000005E-2</v>
      </c>
      <c r="Z3826">
        <v>-1.638806E-4</v>
      </c>
      <c r="AA3826">
        <v>0.99712230000000002</v>
      </c>
      <c r="AB3826">
        <v>44</v>
      </c>
      <c r="AC3826">
        <v>218.22120000000001</v>
      </c>
      <c r="AD3826">
        <v>-0.14445279999999899</v>
      </c>
      <c r="AE3826">
        <v>-11.4842</v>
      </c>
      <c r="AF3826">
        <v>16.601043561610599</v>
      </c>
      <c r="AG3826">
        <v>-0.14445279999999899</v>
      </c>
      <c r="AH3826">
        <v>217.89158450603301</v>
      </c>
      <c r="AI3826">
        <v>90.037874875770598</v>
      </c>
      <c r="AJ3826">
        <v>85.643082515652196</v>
      </c>
      <c r="AK3826">
        <v>218.523129468017</v>
      </c>
      <c r="AL3826">
        <v>92.498695289282495</v>
      </c>
      <c r="AM3826">
        <v>94.3583338472977</v>
      </c>
      <c r="AN3826">
        <v>1.00000005666391</v>
      </c>
    </row>
    <row r="3827" spans="1:40" x14ac:dyDescent="0.25">
      <c r="A3827" t="str">
        <f>"20190305135009634"</f>
        <v>20190305135009634</v>
      </c>
      <c r="B3827" t="str">
        <f>"1551765009624358"</f>
        <v>1551765009624358</v>
      </c>
      <c r="C3827" t="s">
        <v>40</v>
      </c>
      <c r="D3827">
        <v>3.760961</v>
      </c>
      <c r="E3827">
        <v>0.55804880000000001</v>
      </c>
      <c r="F3827" t="s">
        <v>60</v>
      </c>
      <c r="G3827">
        <v>-168.41200000000001</v>
      </c>
      <c r="H3827">
        <v>1.003986</v>
      </c>
      <c r="I3827">
        <v>202.86969999999999</v>
      </c>
      <c r="J3827">
        <v>-386.19659999999999</v>
      </c>
      <c r="K3827">
        <v>1.1090100000000001</v>
      </c>
      <c r="L3827">
        <v>214.2593</v>
      </c>
      <c r="M3827">
        <v>0.99968679999999999</v>
      </c>
      <c r="N3827">
        <v>-8.5305109999999993E-3</v>
      </c>
      <c r="O3827">
        <v>2.352951E-2</v>
      </c>
      <c r="P3827">
        <v>0.99364359999999996</v>
      </c>
      <c r="Q3827">
        <v>-5.2069459999999998E-2</v>
      </c>
      <c r="R3827">
        <v>9.9805160000000004E-2</v>
      </c>
      <c r="S3827">
        <v>3.0347599999999999</v>
      </c>
      <c r="T3827">
        <v>-1.4607909999999999E-3</v>
      </c>
      <c r="U3827">
        <v>-0.1582489</v>
      </c>
      <c r="V3827">
        <v>-7.6368080000000005E-2</v>
      </c>
      <c r="W3827">
        <v>-4.3623660000000002E-2</v>
      </c>
      <c r="X3827">
        <v>0.99612489999999998</v>
      </c>
      <c r="Y3827">
        <v>7.5557799999999994E-2</v>
      </c>
      <c r="Z3827">
        <v>-1.5142070000000001E-4</v>
      </c>
      <c r="AA3827">
        <v>0.99714139999999996</v>
      </c>
      <c r="AB3827">
        <v>44</v>
      </c>
      <c r="AC3827">
        <v>217.78460000000001</v>
      </c>
      <c r="AD3827">
        <v>-0.10502400000000001</v>
      </c>
      <c r="AE3827">
        <v>-11.3896</v>
      </c>
      <c r="AF3827">
        <v>16.510993760608699</v>
      </c>
      <c r="AG3827">
        <v>-0.10502400000000001</v>
      </c>
      <c r="AH3827">
        <v>217.45624849675701</v>
      </c>
      <c r="AI3827">
        <v>90.027592496346699</v>
      </c>
      <c r="AJ3827">
        <v>85.657983632385495</v>
      </c>
      <c r="AK3827">
        <v>218.08219541101201</v>
      </c>
      <c r="AL3827">
        <v>92.500245132554099</v>
      </c>
      <c r="AM3827">
        <v>94.384014736330698</v>
      </c>
      <c r="AN3827">
        <v>0.99999996187734497</v>
      </c>
    </row>
    <row r="3828" spans="1:40" x14ac:dyDescent="0.25">
      <c r="A3828" t="str">
        <f>"20190305135009654"</f>
        <v>20190305135009654</v>
      </c>
      <c r="B3828" t="str">
        <f>"1551765009643878"</f>
        <v>1551765009643878</v>
      </c>
      <c r="C3828" t="s">
        <v>40</v>
      </c>
      <c r="D3828">
        <v>3.784481</v>
      </c>
      <c r="E3828">
        <v>0.55792719999999996</v>
      </c>
      <c r="F3828" t="s">
        <v>60</v>
      </c>
      <c r="G3828">
        <v>-168.41200000000001</v>
      </c>
      <c r="H3828">
        <v>1.0831580000000001</v>
      </c>
      <c r="I3828">
        <v>203.07050000000001</v>
      </c>
      <c r="J3828">
        <v>-385.77850000000001</v>
      </c>
      <c r="K3828">
        <v>1.1089659999999999</v>
      </c>
      <c r="L3828">
        <v>214.26910000000001</v>
      </c>
      <c r="M3828">
        <v>0.99968570000000001</v>
      </c>
      <c r="N3828">
        <v>-8.5453690000000006E-3</v>
      </c>
      <c r="O3828">
        <v>2.3570529999999999E-2</v>
      </c>
      <c r="P3828">
        <v>0.99356719999999998</v>
      </c>
      <c r="Q3828">
        <v>-5.1739670000000001E-2</v>
      </c>
      <c r="R3828">
        <v>0.1007342</v>
      </c>
      <c r="S3828">
        <v>3.034821</v>
      </c>
      <c r="T3828">
        <v>-3.5977360000000001E-4</v>
      </c>
      <c r="U3828">
        <v>-0.15591429999999901</v>
      </c>
      <c r="V3828">
        <v>-7.7262699999999906E-2</v>
      </c>
      <c r="W3828">
        <v>-4.3272119999999997E-2</v>
      </c>
      <c r="X3828">
        <v>0.99607129999999999</v>
      </c>
      <c r="Y3828">
        <v>7.4832689999999993E-2</v>
      </c>
      <c r="Z3828">
        <v>-1.259051E-4</v>
      </c>
      <c r="AA3828">
        <v>0.99719610000000003</v>
      </c>
      <c r="AB3828">
        <v>44</v>
      </c>
      <c r="AC3828">
        <v>217.3665</v>
      </c>
      <c r="AD3828">
        <v>-2.58079999999998E-2</v>
      </c>
      <c r="AE3828">
        <v>-11.198600000000001</v>
      </c>
      <c r="AF3828">
        <v>16.319118758210099</v>
      </c>
      <c r="AG3828">
        <v>-2.58079999999998E-2</v>
      </c>
      <c r="AH3828">
        <v>217.042136450643</v>
      </c>
      <c r="AI3828">
        <v>90.006793737681704</v>
      </c>
      <c r="AJ3828">
        <v>85.700094882996495</v>
      </c>
      <c r="AK3828">
        <v>217.65478009489499</v>
      </c>
      <c r="AL3828">
        <v>92.480084196292594</v>
      </c>
      <c r="AM3828">
        <v>94.4354056084387</v>
      </c>
      <c r="AN3828">
        <v>1.00000001793213</v>
      </c>
    </row>
    <row r="3829" spans="1:40" x14ac:dyDescent="0.25">
      <c r="A3829" t="str">
        <f>"20190305135009677"</f>
        <v>20190305135009677</v>
      </c>
      <c r="B3829" t="str">
        <f>"1551765009674134"</f>
        <v>1551765009674134</v>
      </c>
      <c r="C3829" t="s">
        <v>40</v>
      </c>
      <c r="D3829">
        <v>3.7538079999999998</v>
      </c>
      <c r="E3829">
        <v>0.55778019999999995</v>
      </c>
      <c r="F3829" t="s">
        <v>60</v>
      </c>
      <c r="G3829">
        <v>-168.4119</v>
      </c>
      <c r="H3829">
        <v>1.2145629999999901</v>
      </c>
      <c r="I3829">
        <v>203.38210000000001</v>
      </c>
      <c r="J3829">
        <v>-385.33859999999999</v>
      </c>
      <c r="K3829">
        <v>1.1089359999999999</v>
      </c>
      <c r="L3829">
        <v>214.27959999999999</v>
      </c>
      <c r="M3829">
        <v>0.99968500000000005</v>
      </c>
      <c r="N3829">
        <v>-8.5610730000000006E-3</v>
      </c>
      <c r="O3829">
        <v>2.3597739999999999E-2</v>
      </c>
      <c r="P3829">
        <v>0.99346820000000002</v>
      </c>
      <c r="Q3829">
        <v>-5.1811419999999997E-2</v>
      </c>
      <c r="R3829">
        <v>0.1016706</v>
      </c>
      <c r="S3829">
        <v>3.0349430000000002</v>
      </c>
      <c r="T3829">
        <v>1.474857E-3</v>
      </c>
      <c r="U3829">
        <v>-0.15200810000000001</v>
      </c>
      <c r="V3829">
        <v>-7.8178230000000001E-2</v>
      </c>
      <c r="W3829">
        <v>-4.3322050000000001E-2</v>
      </c>
      <c r="X3829">
        <v>0.99599769999999999</v>
      </c>
      <c r="Y3829">
        <v>7.3577580000000004E-2</v>
      </c>
      <c r="Z3829" s="1">
        <v>-8.3943189999999897E-5</v>
      </c>
      <c r="AA3829">
        <v>0.99728950000000005</v>
      </c>
      <c r="AB3829">
        <v>44</v>
      </c>
      <c r="AC3829">
        <v>216.92670000000001</v>
      </c>
      <c r="AD3829">
        <v>0.105626999999999</v>
      </c>
      <c r="AE3829">
        <v>-10.8974999999999</v>
      </c>
      <c r="AF3829">
        <v>16.013628254060698</v>
      </c>
      <c r="AG3829">
        <v>0.105626999999999</v>
      </c>
      <c r="AH3829">
        <v>216.60907200568101</v>
      </c>
      <c r="AI3829">
        <v>89.972136393711494</v>
      </c>
      <c r="AJ3829">
        <v>85.771888853990305</v>
      </c>
      <c r="AK3829">
        <v>217.20022449823699</v>
      </c>
      <c r="AL3829">
        <v>92.482947637136803</v>
      </c>
      <c r="AM3829">
        <v>94.488080094630206</v>
      </c>
      <c r="AN3829">
        <v>1.0000000270337099</v>
      </c>
    </row>
    <row r="3830" spans="1:40" x14ac:dyDescent="0.25">
      <c r="A3830" t="str">
        <f>"20190305135009700"</f>
        <v>20190305135009700</v>
      </c>
      <c r="B3830" t="str">
        <f>"1551765009694630"</f>
        <v>1551765009694630</v>
      </c>
      <c r="C3830" t="s">
        <v>40</v>
      </c>
      <c r="D3830">
        <v>3.7910270000000001</v>
      </c>
      <c r="E3830">
        <v>0.55766990000000005</v>
      </c>
      <c r="F3830" t="s">
        <v>54</v>
      </c>
      <c r="G3830">
        <v>-234.55940000000001</v>
      </c>
      <c r="H3830">
        <v>1.174455</v>
      </c>
      <c r="I3830">
        <v>206.9383</v>
      </c>
      <c r="J3830">
        <v>-384.87630000000001</v>
      </c>
      <c r="K3830">
        <v>1.1089020000000001</v>
      </c>
      <c r="L3830">
        <v>214.29050000000001</v>
      </c>
      <c r="M3830">
        <v>0.99968429999999997</v>
      </c>
      <c r="N3830">
        <v>-8.5774400000000004E-3</v>
      </c>
      <c r="O3830">
        <v>2.3618489999999999E-2</v>
      </c>
      <c r="P3830">
        <v>0.99337129999999996</v>
      </c>
      <c r="Q3830">
        <v>-5.158314E-2</v>
      </c>
      <c r="R3830">
        <v>0.102727399999999</v>
      </c>
      <c r="S3830">
        <v>3.0349119999999998</v>
      </c>
      <c r="T3830">
        <v>1.319766E-3</v>
      </c>
      <c r="U3830">
        <v>-0.14776610000000001</v>
      </c>
      <c r="V3830">
        <v>-7.9219620000000004E-2</v>
      </c>
      <c r="W3830">
        <v>-4.3071930000000001E-2</v>
      </c>
      <c r="X3830">
        <v>0.99592630000000004</v>
      </c>
      <c r="Y3830">
        <v>7.2208170000000002E-2</v>
      </c>
      <c r="Z3830" s="1">
        <v>-8.1458130000000001E-5</v>
      </c>
      <c r="AA3830">
        <v>0.99738959999999999</v>
      </c>
      <c r="AB3830">
        <v>44</v>
      </c>
      <c r="AC3830">
        <v>150.3169</v>
      </c>
      <c r="AD3830">
        <v>6.5552999999999903E-2</v>
      </c>
      <c r="AE3830">
        <v>-7.3522000000000096</v>
      </c>
      <c r="AF3830">
        <v>10.9005354654894</v>
      </c>
      <c r="AG3830">
        <v>6.5552999999999903E-2</v>
      </c>
      <c r="AH3830">
        <v>150.10128248161701</v>
      </c>
      <c r="AI3830">
        <v>89.975043218114607</v>
      </c>
      <c r="AJ3830">
        <v>85.846403216034105</v>
      </c>
      <c r="AK3830">
        <v>150.49658126767</v>
      </c>
      <c r="AL3830">
        <v>92.468603328673595</v>
      </c>
      <c r="AM3830">
        <v>94.5479400646675</v>
      </c>
      <c r="AN3830">
        <v>1.0000000671892699</v>
      </c>
    </row>
    <row r="3831" spans="1:40" x14ac:dyDescent="0.25">
      <c r="A3831" t="str">
        <f>"20190305135009723"</f>
        <v>20190305135009723</v>
      </c>
      <c r="B3831" t="str">
        <f>"1551765009714154"</f>
        <v>1551765009714154</v>
      </c>
      <c r="C3831" t="s">
        <v>40</v>
      </c>
      <c r="D3831">
        <v>3.7798020000000001</v>
      </c>
      <c r="E3831">
        <v>0.55762009999999995</v>
      </c>
      <c r="F3831" t="s">
        <v>60</v>
      </c>
      <c r="G3831">
        <v>-168.4117</v>
      </c>
      <c r="H3831">
        <v>1.2937970000000001</v>
      </c>
      <c r="I3831">
        <v>204.0626</v>
      </c>
      <c r="J3831">
        <v>-384.41840000000002</v>
      </c>
      <c r="K3831">
        <v>1.1088720000000001</v>
      </c>
      <c r="L3831">
        <v>214.3014</v>
      </c>
      <c r="M3831">
        <v>0.99968360000000001</v>
      </c>
      <c r="N3831">
        <v>-8.5936209999999992E-3</v>
      </c>
      <c r="O3831">
        <v>2.364146E-2</v>
      </c>
      <c r="P3831">
        <v>0.99329109999999998</v>
      </c>
      <c r="Q3831">
        <v>-5.1998019999999999E-2</v>
      </c>
      <c r="R3831">
        <v>0.1032901</v>
      </c>
      <c r="S3831">
        <v>3.0349729999999999</v>
      </c>
      <c r="T3831">
        <v>2.592802E-3</v>
      </c>
      <c r="U3831">
        <v>-0.1434021</v>
      </c>
      <c r="V3831">
        <v>-7.9764370000000001E-2</v>
      </c>
      <c r="W3831">
        <v>-4.3466270000000001E-2</v>
      </c>
      <c r="X3831">
        <v>0.99586560000000002</v>
      </c>
      <c r="Y3831">
        <v>7.0799189999999998E-2</v>
      </c>
      <c r="Z3831" s="1">
        <v>-5.0931270000000003E-5</v>
      </c>
      <c r="AA3831">
        <v>0.99749060000000001</v>
      </c>
      <c r="AB3831">
        <v>44</v>
      </c>
      <c r="AC3831">
        <v>216.0067</v>
      </c>
      <c r="AD3831">
        <v>0.18492500000000001</v>
      </c>
      <c r="AE3831">
        <v>-10.2387999999999</v>
      </c>
      <c r="AF3831">
        <v>15.3428289990814</v>
      </c>
      <c r="AG3831">
        <v>0.18492500000000001</v>
      </c>
      <c r="AH3831">
        <v>215.70409517252699</v>
      </c>
      <c r="AI3831">
        <v>89.951003629381304</v>
      </c>
      <c r="AJ3831">
        <v>85.931457353079907</v>
      </c>
      <c r="AK3831">
        <v>216.24914629461401</v>
      </c>
      <c r="AL3831">
        <v>92.491218736762093</v>
      </c>
      <c r="AM3831">
        <v>94.579359131487493</v>
      </c>
      <c r="AN3831">
        <v>0.99999998230628395</v>
      </c>
    </row>
    <row r="3832" spans="1:40" x14ac:dyDescent="0.25">
      <c r="A3832" t="str">
        <f>"20190305135009746"</f>
        <v>20190305135009746</v>
      </c>
      <c r="B3832" t="str">
        <f>"1551765009744407"</f>
        <v>1551765009744407</v>
      </c>
      <c r="C3832" t="s">
        <v>40</v>
      </c>
      <c r="D3832">
        <v>3.8083230000000001</v>
      </c>
      <c r="E3832">
        <v>0.55742239999999998</v>
      </c>
      <c r="F3832" t="s">
        <v>60</v>
      </c>
      <c r="G3832">
        <v>-168.41159999999999</v>
      </c>
      <c r="H3832">
        <v>1.2213750000000001</v>
      </c>
      <c r="I3832">
        <v>204.2526</v>
      </c>
      <c r="J3832">
        <v>-383.96699999999998</v>
      </c>
      <c r="K3832">
        <v>1.1088610000000001</v>
      </c>
      <c r="L3832">
        <v>214.31209999999999</v>
      </c>
      <c r="M3832">
        <v>0.99968270000000004</v>
      </c>
      <c r="N3832">
        <v>-8.6095210000000002E-3</v>
      </c>
      <c r="O3832">
        <v>2.367524E-2</v>
      </c>
      <c r="P3832">
        <v>0.99332609999999999</v>
      </c>
      <c r="Q3832">
        <v>-5.1536440000000003E-2</v>
      </c>
      <c r="R3832">
        <v>0.10318479999999999</v>
      </c>
      <c r="S3832">
        <v>3.0350039999999998</v>
      </c>
      <c r="T3832">
        <v>1.5811919999999999E-3</v>
      </c>
      <c r="U3832">
        <v>-0.1411896</v>
      </c>
      <c r="V3832">
        <v>-7.9626409999999995E-2</v>
      </c>
      <c r="W3832">
        <v>-4.2985000000000002E-2</v>
      </c>
      <c r="X3832">
        <v>0.99589749999999999</v>
      </c>
      <c r="Y3832">
        <v>7.010682E-2</v>
      </c>
      <c r="Z3832" s="1">
        <v>-6.7668299999999997E-5</v>
      </c>
      <c r="AA3832">
        <v>0.99753950000000002</v>
      </c>
      <c r="AB3832">
        <v>44</v>
      </c>
      <c r="AC3832">
        <v>215.55539999999999</v>
      </c>
      <c r="AD3832">
        <v>0.112514</v>
      </c>
      <c r="AE3832">
        <v>-10.0594999999999</v>
      </c>
      <c r="AF3832">
        <v>15.160190631097899</v>
      </c>
      <c r="AG3832">
        <v>0.112514</v>
      </c>
      <c r="AH3832">
        <v>215.25674742188301</v>
      </c>
      <c r="AI3832">
        <v>89.970125684643406</v>
      </c>
      <c r="AJ3832">
        <v>85.971401349526303</v>
      </c>
      <c r="AK3832">
        <v>215.78997045743299</v>
      </c>
      <c r="AL3832">
        <v>92.463618271320797</v>
      </c>
      <c r="AM3832">
        <v>94.571326488407493</v>
      </c>
      <c r="AN3832">
        <v>0.99999995295036803</v>
      </c>
    </row>
    <row r="3833" spans="1:40" x14ac:dyDescent="0.25">
      <c r="A3833" t="str">
        <f>"20190305135009767"</f>
        <v>20190305135009767</v>
      </c>
      <c r="B3833" t="str">
        <f>"1551765009763928"</f>
        <v>1551765009763928</v>
      </c>
      <c r="C3833" t="s">
        <v>40</v>
      </c>
      <c r="D3833">
        <v>3.8370959999999998</v>
      </c>
      <c r="E3833">
        <v>0.51486229999999999</v>
      </c>
      <c r="F3833" t="s">
        <v>60</v>
      </c>
      <c r="G3833">
        <v>-168.41159999999999</v>
      </c>
      <c r="H3833">
        <v>1.1706920000000001</v>
      </c>
      <c r="I3833">
        <v>204.36269999999999</v>
      </c>
      <c r="J3833">
        <v>-383.54239999999999</v>
      </c>
      <c r="K3833">
        <v>1.1088610000000001</v>
      </c>
      <c r="L3833">
        <v>214.32220000000001</v>
      </c>
      <c r="M3833">
        <v>0.9996815</v>
      </c>
      <c r="N3833">
        <v>-8.6244589999999993E-3</v>
      </c>
      <c r="O3833">
        <v>2.372121E-2</v>
      </c>
      <c r="P3833">
        <v>0.99351239999999996</v>
      </c>
      <c r="Q3833">
        <v>-4.9545020000000002E-2</v>
      </c>
      <c r="R3833">
        <v>0.1023651</v>
      </c>
      <c r="S3833">
        <v>3.0347599999999999</v>
      </c>
      <c r="T3833">
        <v>8.7094309999999895E-4</v>
      </c>
      <c r="U3833">
        <v>-0.1400757</v>
      </c>
      <c r="V3833">
        <v>-7.8758309999999998E-2</v>
      </c>
      <c r="W3833">
        <v>-4.0975230000000001E-2</v>
      </c>
      <c r="X3833">
        <v>0.99605129999999997</v>
      </c>
      <c r="Y3833">
        <v>6.9791060000000002E-2</v>
      </c>
      <c r="Z3833" s="1">
        <v>-7.9842779999999999E-5</v>
      </c>
      <c r="AA3833">
        <v>0.99756160000000005</v>
      </c>
      <c r="AB3833">
        <v>44</v>
      </c>
      <c r="AC3833">
        <v>215.13079999999999</v>
      </c>
      <c r="AD3833">
        <v>6.18309999999999E-2</v>
      </c>
      <c r="AE3833">
        <v>-9.9595000000000198</v>
      </c>
      <c r="AF3833">
        <v>15.0600483010807</v>
      </c>
      <c r="AG3833">
        <v>6.18309999999999E-2</v>
      </c>
      <c r="AH3833">
        <v>214.83398252584399</v>
      </c>
      <c r="AI3833">
        <v>89.983550169214396</v>
      </c>
      <c r="AJ3833">
        <v>85.990076062424095</v>
      </c>
      <c r="AK3833">
        <v>215.36120571221301</v>
      </c>
      <c r="AL3833">
        <v>92.348365156480298</v>
      </c>
      <c r="AM3833">
        <v>94.521001651142896</v>
      </c>
      <c r="AN3833">
        <v>1.0000000165496401</v>
      </c>
    </row>
    <row r="3834" spans="1:40" x14ac:dyDescent="0.25">
      <c r="A3834" t="str">
        <f>"20190305135009790"</f>
        <v>20190305135009790</v>
      </c>
      <c r="B3834" t="str">
        <f>"1551765009784423"</f>
        <v>1551765009784423</v>
      </c>
      <c r="C3834" t="s">
        <v>40</v>
      </c>
      <c r="D3834">
        <v>3.8131710000000001</v>
      </c>
      <c r="E3834">
        <v>0.50826629999999995</v>
      </c>
      <c r="F3834" t="s">
        <v>78</v>
      </c>
      <c r="G3834">
        <v>-318.27780000000001</v>
      </c>
      <c r="H3834" s="1">
        <v>4.5765059999999999E-6</v>
      </c>
      <c r="I3834">
        <v>218.52029999999999</v>
      </c>
      <c r="J3834">
        <v>-383.10180000000003</v>
      </c>
      <c r="K3834">
        <v>1.108862</v>
      </c>
      <c r="L3834">
        <v>214.33269999999999</v>
      </c>
      <c r="M3834">
        <v>0.99967980000000001</v>
      </c>
      <c r="N3834">
        <v>-8.6399579999999997E-3</v>
      </c>
      <c r="O3834">
        <v>2.3783390000000001E-2</v>
      </c>
      <c r="P3834">
        <v>0.99364980000000003</v>
      </c>
      <c r="Q3834">
        <v>-4.8287869999999997E-2</v>
      </c>
      <c r="R3834">
        <v>0.1016295</v>
      </c>
      <c r="S3834">
        <v>2.997223</v>
      </c>
      <c r="T3834">
        <v>-5.0923349999999999E-2</v>
      </c>
      <c r="U3834">
        <v>0.19279479999999999</v>
      </c>
      <c r="V3834">
        <v>-7.7958689999999997E-2</v>
      </c>
      <c r="W3834">
        <v>-3.9700600000000003E-2</v>
      </c>
      <c r="X3834">
        <v>0.99616579999999999</v>
      </c>
      <c r="Y3834">
        <v>-4.0430489999999999E-2</v>
      </c>
      <c r="Z3834">
        <v>3.1973629999999998E-4</v>
      </c>
      <c r="AA3834">
        <v>0.99918229999999997</v>
      </c>
      <c r="AB3834">
        <v>44</v>
      </c>
      <c r="AC3834">
        <v>64.823999999999998</v>
      </c>
      <c r="AD3834">
        <v>-1.1088574234940001</v>
      </c>
      <c r="AE3834">
        <v>4.1875999999999998</v>
      </c>
      <c r="AF3834">
        <v>-2.6438529804831501</v>
      </c>
      <c r="AG3834">
        <v>-1.1088574234940001</v>
      </c>
      <c r="AH3834">
        <v>64.886354158859504</v>
      </c>
      <c r="AI3834">
        <v>90.978233544341705</v>
      </c>
      <c r="AJ3834">
        <v>92.333277488638998</v>
      </c>
      <c r="AK3834">
        <v>64.949661118415307</v>
      </c>
      <c r="AL3834">
        <v>92.275274786769401</v>
      </c>
      <c r="AM3834">
        <v>94.474775786168607</v>
      </c>
      <c r="AN3834">
        <v>0.99999999803825801</v>
      </c>
    </row>
    <row r="3835" spans="1:40" x14ac:dyDescent="0.25">
      <c r="A3835" t="str">
        <f>"20190305135009812"</f>
        <v>20190305135009812</v>
      </c>
      <c r="B3835" t="str">
        <f>"1551765009803942"</f>
        <v>1551765009803942</v>
      </c>
      <c r="C3835" t="s">
        <v>40</v>
      </c>
      <c r="D3835">
        <v>3.7595369999999999</v>
      </c>
      <c r="E3835">
        <v>0.50615250000000001</v>
      </c>
      <c r="F3835" t="s">
        <v>74</v>
      </c>
      <c r="G3835">
        <v>-338.68400000000003</v>
      </c>
      <c r="H3835" s="1">
        <v>2.9396420000000001E-6</v>
      </c>
      <c r="I3835">
        <v>217.92750000000001</v>
      </c>
      <c r="J3835">
        <v>-382.64580000000001</v>
      </c>
      <c r="K3835">
        <v>1.1088659999999999</v>
      </c>
      <c r="L3835">
        <v>214.34360000000001</v>
      </c>
      <c r="M3835">
        <v>0.99967779999999995</v>
      </c>
      <c r="N3835">
        <v>-8.656001E-3</v>
      </c>
      <c r="O3835">
        <v>2.3861750000000001E-2</v>
      </c>
      <c r="P3835">
        <v>0.99370270000000005</v>
      </c>
      <c r="Q3835">
        <v>-4.8071999999999997E-2</v>
      </c>
      <c r="R3835">
        <v>0.10121380000000001</v>
      </c>
      <c r="S3835">
        <v>2.9907840000000001</v>
      </c>
      <c r="T3835">
        <v>-7.4662690000000004E-2</v>
      </c>
      <c r="U3835">
        <v>0.24205019999999999</v>
      </c>
      <c r="V3835">
        <v>-7.7463480000000001E-2</v>
      </c>
      <c r="W3835">
        <v>-3.9468030000000001E-2</v>
      </c>
      <c r="X3835">
        <v>0.99621369999999998</v>
      </c>
      <c r="Y3835">
        <v>-5.6839849999999997E-2</v>
      </c>
      <c r="Z3835">
        <v>5.6649199999999895E-4</v>
      </c>
      <c r="AA3835">
        <v>0.99838320000000003</v>
      </c>
      <c r="AB3835">
        <v>45</v>
      </c>
      <c r="AC3835">
        <v>43.961799999999897</v>
      </c>
      <c r="AD3835">
        <v>-1.1088630603580001</v>
      </c>
      <c r="AE3835">
        <v>3.5838999999999999</v>
      </c>
      <c r="AF3835">
        <v>-2.5322342839481999</v>
      </c>
      <c r="AG3835">
        <v>-1.1088630603580001</v>
      </c>
      <c r="AH3835">
        <v>44.006989930949899</v>
      </c>
      <c r="AI3835">
        <v>91.441018328461894</v>
      </c>
      <c r="AJ3835">
        <v>93.293261500225398</v>
      </c>
      <c r="AK3835">
        <v>44.093729152093204</v>
      </c>
      <c r="AL3835">
        <v>92.261938991677098</v>
      </c>
      <c r="AM3835">
        <v>94.446252482981706</v>
      </c>
      <c r="AN3835">
        <v>1.0000000260967401</v>
      </c>
    </row>
    <row r="3836" spans="1:40" x14ac:dyDescent="0.25">
      <c r="A3836" t="str">
        <f>"20190305135009834"</f>
        <v>20190305135009834</v>
      </c>
      <c r="B3836" t="str">
        <f>"1551765009824438"</f>
        <v>1551765009824438</v>
      </c>
      <c r="C3836" t="s">
        <v>40</v>
      </c>
      <c r="D3836">
        <v>3.796656</v>
      </c>
      <c r="E3836">
        <v>0.50632879999999902</v>
      </c>
      <c r="F3836" t="s">
        <v>74</v>
      </c>
      <c r="G3836">
        <v>-330.07740000000001</v>
      </c>
      <c r="H3836" s="1">
        <v>-1.6819369999999999E-6</v>
      </c>
      <c r="I3836">
        <v>218.87889999999999</v>
      </c>
      <c r="J3836">
        <v>-382.21870000000001</v>
      </c>
      <c r="K3836">
        <v>1.108868</v>
      </c>
      <c r="L3836">
        <v>214.35390000000001</v>
      </c>
      <c r="M3836">
        <v>0.9996758</v>
      </c>
      <c r="N3836">
        <v>-8.6709660000000004E-3</v>
      </c>
      <c r="O3836">
        <v>2.3943639999999999E-2</v>
      </c>
      <c r="P3836">
        <v>0.99370630000000004</v>
      </c>
      <c r="Q3836">
        <v>-4.8265349999999999E-2</v>
      </c>
      <c r="R3836">
        <v>0.1010862</v>
      </c>
      <c r="S3836">
        <v>2.9896850000000001</v>
      </c>
      <c r="T3836">
        <v>-6.3063859999999999E-2</v>
      </c>
      <c r="U3836">
        <v>0.25793460000000001</v>
      </c>
      <c r="V3836">
        <v>-7.7254390000000006E-2</v>
      </c>
      <c r="W3836">
        <v>-3.9646359999999999E-2</v>
      </c>
      <c r="X3836">
        <v>0.99622290000000002</v>
      </c>
      <c r="Y3836">
        <v>-6.2057429999999997E-2</v>
      </c>
      <c r="Z3836">
        <v>6.2620699999999896E-4</v>
      </c>
      <c r="AA3836">
        <v>0.99807239999999997</v>
      </c>
      <c r="AB3836">
        <v>45</v>
      </c>
      <c r="AC3836">
        <v>52.141300000000001</v>
      </c>
      <c r="AD3836">
        <v>-1.1088696819370001</v>
      </c>
      <c r="AE3836">
        <v>4.5249999999999702</v>
      </c>
      <c r="AF3836">
        <v>-3.2737337538759501</v>
      </c>
      <c r="AG3836">
        <v>-1.1088696819370001</v>
      </c>
      <c r="AH3836">
        <v>52.211262471953802</v>
      </c>
      <c r="AI3836">
        <v>91.214288487512803</v>
      </c>
      <c r="AJ3836">
        <v>93.587844551412005</v>
      </c>
      <c r="AK3836">
        <v>52.325546854075398</v>
      </c>
      <c r="AL3836">
        <v>92.272164450168702</v>
      </c>
      <c r="AM3836">
        <v>94.434258268349396</v>
      </c>
      <c r="AN3836">
        <v>1.0000000705599601</v>
      </c>
    </row>
    <row r="3837" spans="1:40" x14ac:dyDescent="0.25">
      <c r="A3837" t="str">
        <f>"20190305135009855"</f>
        <v>20190305135009855</v>
      </c>
      <c r="B3837" t="str">
        <f>"1551765009843958"</f>
        <v>1551765009843958</v>
      </c>
      <c r="C3837" t="s">
        <v>40</v>
      </c>
      <c r="D3837">
        <v>3.5493420000000002</v>
      </c>
      <c r="E3837">
        <v>0.50602539999999996</v>
      </c>
      <c r="F3837" t="s">
        <v>74</v>
      </c>
      <c r="G3837">
        <v>-333.53870000000001</v>
      </c>
      <c r="H3837" s="1">
        <v>1.757367E-7</v>
      </c>
      <c r="I3837">
        <v>218.51929999999999</v>
      </c>
      <c r="J3837">
        <v>-381.77890000000002</v>
      </c>
      <c r="K3837">
        <v>1.10887</v>
      </c>
      <c r="L3837">
        <v>214.36449999999999</v>
      </c>
      <c r="M3837">
        <v>0.99967340000000005</v>
      </c>
      <c r="N3837">
        <v>-8.6863349999999999E-3</v>
      </c>
      <c r="O3837">
        <v>2.4034529999999998E-2</v>
      </c>
      <c r="P3837">
        <v>0.99374180000000001</v>
      </c>
      <c r="Q3837">
        <v>-4.8351360000000003E-2</v>
      </c>
      <c r="R3837">
        <v>0.1006958</v>
      </c>
      <c r="S3837">
        <v>2.989655</v>
      </c>
      <c r="T3837">
        <v>-6.8100450000000007E-2</v>
      </c>
      <c r="U3837">
        <v>0.25581359999999997</v>
      </c>
      <c r="V3837">
        <v>-7.6772480000000004E-2</v>
      </c>
      <c r="W3837">
        <v>-3.9716719999999997E-2</v>
      </c>
      <c r="X3837">
        <v>0.99625730000000001</v>
      </c>
      <c r="Y3837">
        <v>-6.1262730000000001E-2</v>
      </c>
      <c r="Z3837">
        <v>6.2521300000000001E-4</v>
      </c>
      <c r="AA3837">
        <v>0.99812149999999999</v>
      </c>
      <c r="AB3837">
        <v>45</v>
      </c>
      <c r="AC3837">
        <v>48.240200000000002</v>
      </c>
      <c r="AD3837">
        <v>-1.1088698242632999</v>
      </c>
      <c r="AE3837">
        <v>4.1547999999999901</v>
      </c>
      <c r="AF3837">
        <v>-2.9925558894670701</v>
      </c>
      <c r="AG3837">
        <v>-1.1088698242632999</v>
      </c>
      <c r="AH3837">
        <v>48.300793131282802</v>
      </c>
      <c r="AI3837">
        <v>91.312625975543099</v>
      </c>
      <c r="AJ3837">
        <v>93.545323457558496</v>
      </c>
      <c r="AK3837">
        <v>48.406111185982702</v>
      </c>
      <c r="AL3837">
        <v>92.276199074501704</v>
      </c>
      <c r="AM3837">
        <v>94.406555263394495</v>
      </c>
      <c r="AN3837">
        <v>1.00000001966809</v>
      </c>
    </row>
    <row r="3838" spans="1:40" x14ac:dyDescent="0.25">
      <c r="A3838" t="str">
        <f>"20190305135009879"</f>
        <v>20190305135009879</v>
      </c>
      <c r="B3838" t="str">
        <f>"1551765009874215"</f>
        <v>1551765009874215</v>
      </c>
      <c r="C3838" t="s">
        <v>40</v>
      </c>
      <c r="D3838">
        <v>3.7799489999999998</v>
      </c>
      <c r="E3838">
        <v>0.50576279999999996</v>
      </c>
      <c r="F3838" t="s">
        <v>74</v>
      </c>
      <c r="G3838">
        <v>-332.10180000000003</v>
      </c>
      <c r="H3838" s="1">
        <v>-5.9395959999999898E-7</v>
      </c>
      <c r="I3838">
        <v>218.6345</v>
      </c>
      <c r="J3838">
        <v>-381.31610000000001</v>
      </c>
      <c r="K3838">
        <v>1.108865</v>
      </c>
      <c r="L3838">
        <v>214.37569999999999</v>
      </c>
      <c r="M3838">
        <v>0.99967090000000003</v>
      </c>
      <c r="N3838">
        <v>-8.7024010000000002E-3</v>
      </c>
      <c r="O3838">
        <v>2.4135549999999999E-2</v>
      </c>
      <c r="P3838">
        <v>0.99377729999999997</v>
      </c>
      <c r="Q3838">
        <v>-4.834219E-2</v>
      </c>
      <c r="R3838">
        <v>0.1003489</v>
      </c>
      <c r="S3838">
        <v>2.9896240000000001</v>
      </c>
      <c r="T3838">
        <v>-6.6733120000000007E-2</v>
      </c>
      <c r="U3838">
        <v>0.25697330000000002</v>
      </c>
      <c r="V3838">
        <v>-7.6324100000000006E-2</v>
      </c>
      <c r="W3838">
        <v>-3.969118E-2</v>
      </c>
      <c r="X3838">
        <v>0.99629279999999998</v>
      </c>
      <c r="Y3838">
        <v>-6.1547570000000003E-2</v>
      </c>
      <c r="Z3838">
        <v>6.2612170000000001E-4</v>
      </c>
      <c r="AA3838">
        <v>0.99810399999999999</v>
      </c>
      <c r="AB3838">
        <v>45</v>
      </c>
      <c r="AC3838">
        <v>49.214299999999902</v>
      </c>
      <c r="AD3838">
        <v>-1.1088655939595999</v>
      </c>
      <c r="AE3838">
        <v>4.2587999999999999</v>
      </c>
      <c r="AF3838">
        <v>-3.06815420663539</v>
      </c>
      <c r="AG3838">
        <v>-1.1088655939595999</v>
      </c>
      <c r="AH3838">
        <v>49.277924300403399</v>
      </c>
      <c r="AI3838">
        <v>91.286577549790806</v>
      </c>
      <c r="AJ3838">
        <v>93.562764834075793</v>
      </c>
      <c r="AK3838">
        <v>49.385797315599298</v>
      </c>
      <c r="AL3838">
        <v>92.274734514992602</v>
      </c>
      <c r="AM3838">
        <v>94.380764321561401</v>
      </c>
      <c r="AN3838">
        <v>1.0000000506712099</v>
      </c>
    </row>
    <row r="3839" spans="1:40" x14ac:dyDescent="0.25">
      <c r="A3839" t="str">
        <f>"20190305135009901"</f>
        <v>20190305135009901</v>
      </c>
      <c r="B3839" t="str">
        <f>"1551765009893742"</f>
        <v>1551765009893742</v>
      </c>
      <c r="C3839" t="s">
        <v>40</v>
      </c>
      <c r="D3839">
        <v>3.7678940000000001</v>
      </c>
      <c r="E3839">
        <v>0.50554929999999998</v>
      </c>
      <c r="F3839" t="s">
        <v>74</v>
      </c>
      <c r="G3839">
        <v>-327.85730000000001</v>
      </c>
      <c r="H3839" s="1">
        <v>2.6444590000000002E-6</v>
      </c>
      <c r="I3839">
        <v>218.994</v>
      </c>
      <c r="J3839">
        <v>-380.8596</v>
      </c>
      <c r="K3839">
        <v>1.10886</v>
      </c>
      <c r="L3839">
        <v>214.38679999999999</v>
      </c>
      <c r="M3839">
        <v>0.99966829999999995</v>
      </c>
      <c r="N3839">
        <v>-8.7182709999999997E-3</v>
      </c>
      <c r="O3839">
        <v>2.4237399999999999E-2</v>
      </c>
      <c r="P3839">
        <v>0.99380760000000001</v>
      </c>
      <c r="Q3839">
        <v>-4.7538209999999997E-2</v>
      </c>
      <c r="R3839">
        <v>0.1004332</v>
      </c>
      <c r="S3839">
        <v>2.9897459999999998</v>
      </c>
      <c r="T3839">
        <v>-6.2014340000000001E-2</v>
      </c>
      <c r="U3839">
        <v>0.2582855</v>
      </c>
      <c r="V3839">
        <v>-7.6306600000000002E-2</v>
      </c>
      <c r="W3839">
        <v>-3.8871059999999999E-2</v>
      </c>
      <c r="X3839">
        <v>0.99632639999999995</v>
      </c>
      <c r="Y3839">
        <v>-6.1879160000000002E-2</v>
      </c>
      <c r="Z3839">
        <v>6.2017780000000002E-4</v>
      </c>
      <c r="AA3839">
        <v>0.99808350000000001</v>
      </c>
      <c r="AB3839">
        <v>45</v>
      </c>
      <c r="AC3839">
        <v>53.002299999999899</v>
      </c>
      <c r="AD3839">
        <v>-1.108857355541</v>
      </c>
      <c r="AE3839">
        <v>4.6072000000000299</v>
      </c>
      <c r="AF3839">
        <v>-3.3197176886321298</v>
      </c>
      <c r="AG3839">
        <v>-1.108857355541</v>
      </c>
      <c r="AH3839">
        <v>53.075343086784798</v>
      </c>
      <c r="AI3839">
        <v>91.194523552937497</v>
      </c>
      <c r="AJ3839">
        <v>93.579032064912298</v>
      </c>
      <c r="AK3839">
        <v>53.190620732860999</v>
      </c>
      <c r="AL3839">
        <v>92.227708973469106</v>
      </c>
      <c r="AM3839">
        <v>94.379616657084298</v>
      </c>
      <c r="AN3839">
        <v>0.99999997592302103</v>
      </c>
    </row>
    <row r="3840" spans="1:40" x14ac:dyDescent="0.25">
      <c r="A3840" t="str">
        <f>"20190305135009924"</f>
        <v>20190305135009924</v>
      </c>
      <c r="B3840" t="str">
        <f>"1551765009914234"</f>
        <v>1551765009914234</v>
      </c>
      <c r="C3840" t="s">
        <v>40</v>
      </c>
      <c r="D3840">
        <v>3.7860520000000002</v>
      </c>
      <c r="E3840">
        <v>0.50598750000000003</v>
      </c>
      <c r="F3840" t="s">
        <v>74</v>
      </c>
      <c r="G3840">
        <v>-322.77480000000003</v>
      </c>
      <c r="H3840" s="1">
        <v>-6.0175579999999994E-8</v>
      </c>
      <c r="I3840">
        <v>219.44499999999999</v>
      </c>
      <c r="J3840">
        <v>-380.40100000000001</v>
      </c>
      <c r="K3840">
        <v>1.1088579999999999</v>
      </c>
      <c r="L3840">
        <v>214.398</v>
      </c>
      <c r="M3840">
        <v>0.99966580000000005</v>
      </c>
      <c r="N3840">
        <v>-8.7342059999999996E-3</v>
      </c>
      <c r="O3840">
        <v>2.433387E-2</v>
      </c>
      <c r="P3840">
        <v>0.99374229999999997</v>
      </c>
      <c r="Q3840">
        <v>-4.8187389999999997E-2</v>
      </c>
      <c r="R3840">
        <v>0.1007687</v>
      </c>
      <c r="S3840">
        <v>2.9896240000000001</v>
      </c>
      <c r="T3840">
        <v>-5.7072999999999999E-2</v>
      </c>
      <c r="U3840">
        <v>0.26034550000000001</v>
      </c>
      <c r="V3840">
        <v>-7.6547459999999998E-2</v>
      </c>
      <c r="W3840">
        <v>-3.950439E-2</v>
      </c>
      <c r="X3840">
        <v>0.99628309999999998</v>
      </c>
      <c r="Y3840">
        <v>-6.2470749999999999E-2</v>
      </c>
      <c r="Z3840">
        <v>6.1722229999999995E-4</v>
      </c>
      <c r="AA3840">
        <v>0.99804660000000001</v>
      </c>
      <c r="AB3840">
        <v>45</v>
      </c>
      <c r="AC3840">
        <v>57.626199999999898</v>
      </c>
      <c r="AD3840">
        <v>-1.10885806017558</v>
      </c>
      <c r="AE3840">
        <v>5.0469999999999899</v>
      </c>
      <c r="AF3840">
        <v>-3.6418453709481602</v>
      </c>
      <c r="AG3840">
        <v>-1.10885806017558</v>
      </c>
      <c r="AH3840">
        <v>57.710747006707699</v>
      </c>
      <c r="AI3840">
        <v>91.098564727950802</v>
      </c>
      <c r="AJ3840">
        <v>93.610870722235504</v>
      </c>
      <c r="AK3840">
        <v>57.836173144285198</v>
      </c>
      <c r="AL3840">
        <v>92.264023808772293</v>
      </c>
      <c r="AM3840">
        <v>94.393576971038897</v>
      </c>
      <c r="AN3840">
        <v>1.0000000629036601</v>
      </c>
    </row>
    <row r="3841" spans="1:40" x14ac:dyDescent="0.25">
      <c r="A3841" t="str">
        <f>"20190305135009947"</f>
        <v>20190305135009947</v>
      </c>
      <c r="B3841" t="str">
        <f>"1551765009934729"</f>
        <v>1551765009934729</v>
      </c>
      <c r="C3841" t="s">
        <v>40</v>
      </c>
      <c r="D3841">
        <v>3.7814070000000002</v>
      </c>
      <c r="E3841">
        <v>0.50590219999999997</v>
      </c>
      <c r="F3841" t="s">
        <v>74</v>
      </c>
      <c r="G3841">
        <v>-328.00470000000001</v>
      </c>
      <c r="H3841" s="1">
        <v>2.7229019999999999E-6</v>
      </c>
      <c r="I3841">
        <v>218.91579999999999</v>
      </c>
      <c r="J3841">
        <v>-379.9529</v>
      </c>
      <c r="K3841">
        <v>1.1088450000000001</v>
      </c>
      <c r="L3841">
        <v>214.40889999999999</v>
      </c>
      <c r="M3841">
        <v>0.99966379999999999</v>
      </c>
      <c r="N3841">
        <v>-8.7494649999999997E-3</v>
      </c>
      <c r="O3841">
        <v>2.4412159999999999E-2</v>
      </c>
      <c r="P3841">
        <v>0.99362119999999998</v>
      </c>
      <c r="Q3841">
        <v>-4.9684930000000002E-2</v>
      </c>
      <c r="R3841">
        <v>0.1012357</v>
      </c>
      <c r="S3841">
        <v>2.9896850000000001</v>
      </c>
      <c r="T3841">
        <v>-6.3270209999999993E-2</v>
      </c>
      <c r="U3841">
        <v>0.25778200000000001</v>
      </c>
      <c r="V3841">
        <v>-7.6940019999999998E-2</v>
      </c>
      <c r="W3841">
        <v>-4.0986210000000002E-2</v>
      </c>
      <c r="X3841">
        <v>0.99619290000000005</v>
      </c>
      <c r="Y3841">
        <v>-6.1539110000000001E-2</v>
      </c>
      <c r="Z3841">
        <v>6.1747359999999999E-4</v>
      </c>
      <c r="AA3841">
        <v>0.99810449999999995</v>
      </c>
      <c r="AB3841">
        <v>45</v>
      </c>
      <c r="AC3841">
        <v>51.9481999999999</v>
      </c>
      <c r="AD3841">
        <v>-1.108842277098</v>
      </c>
      <c r="AE3841">
        <v>4.5068999999999999</v>
      </c>
      <c r="AF3841">
        <v>-3.2358772691654898</v>
      </c>
      <c r="AG3841">
        <v>-1.108842277098</v>
      </c>
      <c r="AH3841">
        <v>52.019220810949903</v>
      </c>
      <c r="AI3841">
        <v>91.218777483838295</v>
      </c>
      <c r="AJ3841">
        <v>93.559521320495193</v>
      </c>
      <c r="AK3841">
        <v>52.131562097015099</v>
      </c>
      <c r="AL3841">
        <v>92.348994914105504</v>
      </c>
      <c r="AM3841">
        <v>94.416418012776802</v>
      </c>
      <c r="AN3841">
        <v>0.99999996504908595</v>
      </c>
    </row>
    <row r="3842" spans="1:40" x14ac:dyDescent="0.25">
      <c r="A3842" t="str">
        <f>"20190305135009970"</f>
        <v>20190305135009970</v>
      </c>
      <c r="B3842" t="str">
        <f>"1551765009964185"</f>
        <v>1551765009964185</v>
      </c>
      <c r="C3842" t="s">
        <v>40</v>
      </c>
      <c r="D3842">
        <v>3.8196279999999998</v>
      </c>
      <c r="E3842">
        <v>0.50588440000000001</v>
      </c>
      <c r="F3842" t="s">
        <v>74</v>
      </c>
      <c r="G3842">
        <v>-329.32600000000002</v>
      </c>
      <c r="H3842" s="1">
        <v>3.4260279999999998E-6</v>
      </c>
      <c r="I3842">
        <v>218.80959999999999</v>
      </c>
      <c r="J3842">
        <v>-379.50740000000002</v>
      </c>
      <c r="K3842">
        <v>1.108824</v>
      </c>
      <c r="L3842">
        <v>214.41980000000001</v>
      </c>
      <c r="M3842">
        <v>0.9996621</v>
      </c>
      <c r="N3842">
        <v>-8.7642109999999992E-3</v>
      </c>
      <c r="O3842">
        <v>2.4471929999999999E-2</v>
      </c>
      <c r="P3842">
        <v>0.99352289999999999</v>
      </c>
      <c r="Q3842">
        <v>-5.0019580000000001E-2</v>
      </c>
      <c r="R3842">
        <v>0.1020324</v>
      </c>
      <c r="S3842">
        <v>2.989471</v>
      </c>
      <c r="T3842">
        <v>-6.5476060000000003E-2</v>
      </c>
      <c r="U3842">
        <v>0.25985720000000001</v>
      </c>
      <c r="V3842">
        <v>-7.7680009999999994E-2</v>
      </c>
      <c r="W3842">
        <v>-4.1304630000000002E-2</v>
      </c>
      <c r="X3842">
        <v>0.99612239999999996</v>
      </c>
      <c r="Y3842">
        <v>-6.217205E-2</v>
      </c>
      <c r="Z3842">
        <v>6.31899E-4</v>
      </c>
      <c r="AA3842">
        <v>0.99806519999999999</v>
      </c>
      <c r="AB3842">
        <v>45</v>
      </c>
      <c r="AC3842">
        <v>50.181399999999996</v>
      </c>
      <c r="AD3842">
        <v>-1.1088205739720001</v>
      </c>
      <c r="AE3842">
        <v>4.3897999999999797</v>
      </c>
      <c r="AF3842">
        <v>-3.15887176912964</v>
      </c>
      <c r="AG3842">
        <v>-1.1088205739720001</v>
      </c>
      <c r="AH3842">
        <v>50.249453718909699</v>
      </c>
      <c r="AI3842">
        <v>91.261612323023002</v>
      </c>
      <c r="AJ3842">
        <v>93.597097184779599</v>
      </c>
      <c r="AK3842">
        <v>50.360853378074502</v>
      </c>
      <c r="AL3842">
        <v>92.367254307752802</v>
      </c>
      <c r="AM3842">
        <v>94.459037847528506</v>
      </c>
      <c r="AN3842">
        <v>1.0000000460973899</v>
      </c>
    </row>
    <row r="3843" spans="1:40" x14ac:dyDescent="0.25">
      <c r="A3843" t="str">
        <f>"20190305135009991"</f>
        <v>20190305135009991</v>
      </c>
      <c r="B3843" t="str">
        <f>"1551765009983706"</f>
        <v>1551765009983706</v>
      </c>
      <c r="C3843" t="s">
        <v>40</v>
      </c>
      <c r="D3843">
        <v>3.797987</v>
      </c>
      <c r="E3843">
        <v>0.50583429999999996</v>
      </c>
      <c r="F3843" t="s">
        <v>74</v>
      </c>
      <c r="G3843">
        <v>-326.61059999999998</v>
      </c>
      <c r="H3843" s="1">
        <v>1.981063E-6</v>
      </c>
      <c r="I3843">
        <v>219.06620000000001</v>
      </c>
      <c r="J3843">
        <v>-379.05329999999998</v>
      </c>
      <c r="K3843">
        <v>1.108808</v>
      </c>
      <c r="L3843">
        <v>214.43100000000001</v>
      </c>
      <c r="M3843">
        <v>0.99966089999999996</v>
      </c>
      <c r="N3843">
        <v>-8.7793339999999997E-3</v>
      </c>
      <c r="O3843">
        <v>2.4515820000000001E-2</v>
      </c>
      <c r="P3843">
        <v>0.9933921</v>
      </c>
      <c r="Q3843">
        <v>-5.022538E-2</v>
      </c>
      <c r="R3843">
        <v>0.1031981</v>
      </c>
      <c r="S3843">
        <v>2.9894409999999998</v>
      </c>
      <c r="T3843">
        <v>-6.2664629999999999E-2</v>
      </c>
      <c r="U3843">
        <v>0.2625885</v>
      </c>
      <c r="V3843">
        <v>-7.8806490000000007E-2</v>
      </c>
      <c r="W3843">
        <v>-4.1493759999999998E-2</v>
      </c>
      <c r="X3843">
        <v>0.99602599999999997</v>
      </c>
      <c r="Y3843">
        <v>-6.3034999999999994E-2</v>
      </c>
      <c r="Z3843">
        <v>6.388136E-4</v>
      </c>
      <c r="AA3843">
        <v>0.99801110000000004</v>
      </c>
      <c r="AB3843">
        <v>45</v>
      </c>
      <c r="AC3843">
        <v>52.442700000000002</v>
      </c>
      <c r="AD3843">
        <v>-1.1088060189369999</v>
      </c>
      <c r="AE3843">
        <v>4.6352000000000197</v>
      </c>
      <c r="AF3843">
        <v>-3.3465969657790202</v>
      </c>
      <c r="AG3843">
        <v>-1.1088060189369999</v>
      </c>
      <c r="AH3843">
        <v>52.517281770635002</v>
      </c>
      <c r="AI3843">
        <v>91.2070679608304</v>
      </c>
      <c r="AJ3843">
        <v>93.646170636503498</v>
      </c>
      <c r="AK3843">
        <v>52.635482771750702</v>
      </c>
      <c r="AL3843">
        <v>92.378100080543305</v>
      </c>
      <c r="AM3843">
        <v>94.523870305787398</v>
      </c>
      <c r="AN3843">
        <v>0.99999999383052796</v>
      </c>
    </row>
    <row r="3844" spans="1:40" x14ac:dyDescent="0.25">
      <c r="A3844" t="str">
        <f>"20190305135010013"</f>
        <v>20190305135010013</v>
      </c>
      <c r="B3844" t="str">
        <f>"1551765010004205"</f>
        <v>1551765010004205</v>
      </c>
      <c r="C3844" t="s">
        <v>40</v>
      </c>
      <c r="D3844">
        <v>3.7904390000000001</v>
      </c>
      <c r="E3844">
        <v>0.50583599999999995</v>
      </c>
      <c r="F3844" t="s">
        <v>74</v>
      </c>
      <c r="G3844">
        <v>-324.75560000000002</v>
      </c>
      <c r="H3844" s="1">
        <v>9.9387759999999998E-7</v>
      </c>
      <c r="I3844">
        <v>219.27440000000001</v>
      </c>
      <c r="J3844">
        <v>-378.60090000000002</v>
      </c>
      <c r="K3844">
        <v>1.108797</v>
      </c>
      <c r="L3844">
        <v>214.44210000000001</v>
      </c>
      <c r="M3844">
        <v>0.99966029999999995</v>
      </c>
      <c r="N3844">
        <v>-8.7945739999999994E-3</v>
      </c>
      <c r="O3844">
        <v>2.4543740000000001E-2</v>
      </c>
      <c r="P3844">
        <v>0.99326289999999995</v>
      </c>
      <c r="Q3844">
        <v>-4.986645E-2</v>
      </c>
      <c r="R3844">
        <v>0.10460750000000001</v>
      </c>
      <c r="S3844">
        <v>2.9891359999999998</v>
      </c>
      <c r="T3844">
        <v>-6.1040759999999999E-2</v>
      </c>
      <c r="U3844">
        <v>0.26663209999999998</v>
      </c>
      <c r="V3844">
        <v>-8.0192120000000006E-2</v>
      </c>
      <c r="W3844">
        <v>-4.1118059999999998E-2</v>
      </c>
      <c r="X3844">
        <v>0.99593100000000001</v>
      </c>
      <c r="Y3844">
        <v>-6.4355809999999999E-2</v>
      </c>
      <c r="Z3844">
        <v>6.5483529999999998E-4</v>
      </c>
      <c r="AA3844">
        <v>0.9979268</v>
      </c>
      <c r="AB3844">
        <v>45</v>
      </c>
      <c r="AC3844">
        <v>53.845300000000002</v>
      </c>
      <c r="AD3844">
        <v>-1.10879600612239</v>
      </c>
      <c r="AE3844">
        <v>4.8323</v>
      </c>
      <c r="AF3844">
        <v>-3.50775279171086</v>
      </c>
      <c r="AG3844">
        <v>-1.10879600612239</v>
      </c>
      <c r="AH3844">
        <v>53.925001800503303</v>
      </c>
      <c r="AI3844">
        <v>91.175455781753499</v>
      </c>
      <c r="AJ3844">
        <v>93.721774145132599</v>
      </c>
      <c r="AK3844">
        <v>54.050342990727003</v>
      </c>
      <c r="AL3844">
        <v>92.356555621532394</v>
      </c>
      <c r="AM3844">
        <v>94.603510417471497</v>
      </c>
      <c r="AN3844">
        <v>1.0000000138646199</v>
      </c>
    </row>
    <row r="3845" spans="1:40" x14ac:dyDescent="0.25">
      <c r="A3845" t="str">
        <f>"20190305135010034"</f>
        <v>20190305135010034</v>
      </c>
      <c r="B3845" t="str">
        <f>"1551765010024698"</f>
        <v>1551765010024698</v>
      </c>
      <c r="C3845" t="s">
        <v>40</v>
      </c>
      <c r="D3845">
        <v>3.810927</v>
      </c>
      <c r="E3845">
        <v>0.50571520000000003</v>
      </c>
      <c r="F3845" t="s">
        <v>74</v>
      </c>
      <c r="G3845">
        <v>-321.68380000000002</v>
      </c>
      <c r="H3845" s="1">
        <v>-6.4073370000000002E-7</v>
      </c>
      <c r="I3845">
        <v>219.6</v>
      </c>
      <c r="J3845">
        <v>-378.1669</v>
      </c>
      <c r="K3845">
        <v>1.108795</v>
      </c>
      <c r="L3845">
        <v>214.4528</v>
      </c>
      <c r="M3845">
        <v>0.99965970000000004</v>
      </c>
      <c r="N3845">
        <v>-8.8092109999999904E-3</v>
      </c>
      <c r="O3845">
        <v>2.455684E-2</v>
      </c>
      <c r="P3845">
        <v>0.99315600000000004</v>
      </c>
      <c r="Q3845">
        <v>-4.8666719999999997E-2</v>
      </c>
      <c r="R3845">
        <v>0.10617459999999999</v>
      </c>
      <c r="S3845">
        <v>2.9889220000000001</v>
      </c>
      <c r="T3845">
        <v>-5.8227059999999997E-2</v>
      </c>
      <c r="U3845">
        <v>0.27085880000000001</v>
      </c>
      <c r="V3845">
        <v>-8.1749909999999995E-2</v>
      </c>
      <c r="W3845">
        <v>-3.9902149999999997E-2</v>
      </c>
      <c r="X3845">
        <v>0.99585380000000001</v>
      </c>
      <c r="Y3845">
        <v>-6.5749660000000001E-2</v>
      </c>
      <c r="Z3845">
        <v>6.6805670000000001E-4</v>
      </c>
      <c r="AA3845">
        <v>0.9978359</v>
      </c>
      <c r="AB3845">
        <v>45</v>
      </c>
      <c r="AC3845">
        <v>56.483099999999901</v>
      </c>
      <c r="AD3845">
        <v>-1.1087956407336901</v>
      </c>
      <c r="AE3845">
        <v>5.14719999999999</v>
      </c>
      <c r="AF3845">
        <v>-3.7571115891248001</v>
      </c>
      <c r="AG3845">
        <v>-1.1087956407336901</v>
      </c>
      <c r="AH3845">
        <v>56.570848670511303</v>
      </c>
      <c r="AI3845">
        <v>91.120393006235403</v>
      </c>
      <c r="AJ3845">
        <v>93.799677288688798</v>
      </c>
      <c r="AK3845">
        <v>56.706315649739899</v>
      </c>
      <c r="AL3845">
        <v>92.286831881154001</v>
      </c>
      <c r="AM3845">
        <v>94.692903508018304</v>
      </c>
      <c r="AN3845">
        <v>1.0000000101670301</v>
      </c>
    </row>
    <row r="3846" spans="1:40" x14ac:dyDescent="0.25">
      <c r="A3846" t="str">
        <f>"20190305135010056"</f>
        <v>20190305135010056</v>
      </c>
      <c r="B3846" t="str">
        <f>"1551765010044218"</f>
        <v>1551765010044218</v>
      </c>
      <c r="C3846" t="s">
        <v>40</v>
      </c>
      <c r="D3846">
        <v>3.8563480000000001</v>
      </c>
      <c r="E3846">
        <v>0.50530220000000003</v>
      </c>
      <c r="F3846" t="s">
        <v>74</v>
      </c>
      <c r="G3846">
        <v>-320.4348</v>
      </c>
      <c r="H3846">
        <v>8.0000150000000006E-2</v>
      </c>
      <c r="I3846">
        <v>219.8014</v>
      </c>
      <c r="J3846">
        <v>-377.72809999999998</v>
      </c>
      <c r="K3846">
        <v>1.1087849999999999</v>
      </c>
      <c r="L3846">
        <v>214.46350000000001</v>
      </c>
      <c r="M3846">
        <v>0.99965970000000004</v>
      </c>
      <c r="N3846">
        <v>-8.8240239999999998E-3</v>
      </c>
      <c r="O3846">
        <v>2.454665E-2</v>
      </c>
      <c r="P3846">
        <v>0.9931219</v>
      </c>
      <c r="Q3846">
        <v>-4.8139609999999999E-2</v>
      </c>
      <c r="R3846">
        <v>0.1067314</v>
      </c>
      <c r="S3846">
        <v>2.988464</v>
      </c>
      <c r="T3846">
        <v>-5.3254839999999998E-2</v>
      </c>
      <c r="U3846">
        <v>0.27687070000000003</v>
      </c>
      <c r="V3846">
        <v>-8.2318660000000002E-2</v>
      </c>
      <c r="W3846">
        <v>-3.9357410000000002E-2</v>
      </c>
      <c r="X3846">
        <v>0.99582859999999995</v>
      </c>
      <c r="Y3846">
        <v>-6.7765679999999995E-2</v>
      </c>
      <c r="Z3846">
        <v>6.8203429999999998E-4</v>
      </c>
      <c r="AA3846">
        <v>0.99770099999999995</v>
      </c>
      <c r="AB3846">
        <v>45</v>
      </c>
      <c r="AC3846">
        <v>57.293299999999903</v>
      </c>
      <c r="AD3846">
        <v>-1.0287848500000001</v>
      </c>
      <c r="AE3846">
        <v>5.3378999999999897</v>
      </c>
      <c r="AF3846">
        <v>-3.9286222703334199</v>
      </c>
      <c r="AG3846">
        <v>-1.0287848500000001</v>
      </c>
      <c r="AH3846">
        <v>57.3887231638004</v>
      </c>
      <c r="AI3846">
        <v>91.024611197418295</v>
      </c>
      <c r="AJ3846">
        <v>93.916149933367294</v>
      </c>
      <c r="AK3846">
        <v>57.532234595762702</v>
      </c>
      <c r="AL3846">
        <v>92.255596099223297</v>
      </c>
      <c r="AM3846">
        <v>94.725524641909502</v>
      </c>
      <c r="AN3846">
        <v>0.99999998404203105</v>
      </c>
    </row>
    <row r="3847" spans="1:40" x14ac:dyDescent="0.25">
      <c r="A3847" t="str">
        <f>"20190305135010080"</f>
        <v>20190305135010080</v>
      </c>
      <c r="B3847" t="str">
        <f>"1551765010074474"</f>
        <v>1551765010074474</v>
      </c>
      <c r="C3847" t="s">
        <v>40</v>
      </c>
      <c r="D3847">
        <v>3.872106</v>
      </c>
      <c r="E3847">
        <v>0.50420520000000002</v>
      </c>
      <c r="F3847" t="s">
        <v>78</v>
      </c>
      <c r="G3847">
        <v>-318.53579999999999</v>
      </c>
      <c r="H3847">
        <v>7.9999790000000001E-2</v>
      </c>
      <c r="I3847">
        <v>220.0437</v>
      </c>
      <c r="J3847">
        <v>-377.2552</v>
      </c>
      <c r="K3847">
        <v>1.1087659999999999</v>
      </c>
      <c r="L3847">
        <v>214.4751</v>
      </c>
      <c r="M3847">
        <v>0.99966069999999996</v>
      </c>
      <c r="N3847">
        <v>-8.8398720000000004E-3</v>
      </c>
      <c r="O3847">
        <v>2.450186E-2</v>
      </c>
      <c r="P3847">
        <v>0.99309999999999998</v>
      </c>
      <c r="Q3847">
        <v>-4.7145579999999999E-2</v>
      </c>
      <c r="R3847">
        <v>0.1073762</v>
      </c>
      <c r="S3847">
        <v>2.987946</v>
      </c>
      <c r="T3847">
        <v>-5.1931619999999998E-2</v>
      </c>
      <c r="U3847">
        <v>0.28167720000000002</v>
      </c>
      <c r="V3847">
        <v>-8.3010929999999997E-2</v>
      </c>
      <c r="W3847">
        <v>-3.8342889999999998E-2</v>
      </c>
      <c r="X3847">
        <v>0.99581070000000005</v>
      </c>
      <c r="Y3847">
        <v>-6.9417419999999994E-2</v>
      </c>
      <c r="Z3847">
        <v>7.008769E-4</v>
      </c>
      <c r="AA3847">
        <v>0.99758740000000001</v>
      </c>
      <c r="AB3847">
        <v>45</v>
      </c>
      <c r="AC3847">
        <v>58.7194</v>
      </c>
      <c r="AD3847">
        <v>-1.0287662099999999</v>
      </c>
      <c r="AE3847">
        <v>5.5686</v>
      </c>
      <c r="AF3847">
        <v>-4.12688189035807</v>
      </c>
      <c r="AG3847">
        <v>-1.0287662099999999</v>
      </c>
      <c r="AH3847">
        <v>58.8203224563688</v>
      </c>
      <c r="AI3847">
        <v>90.999543198390896</v>
      </c>
      <c r="AJ3847">
        <v>94.013342054469305</v>
      </c>
      <c r="AK3847">
        <v>58.973891239454403</v>
      </c>
      <c r="AL3847">
        <v>92.197424493490502</v>
      </c>
      <c r="AM3847">
        <v>94.765167611382694</v>
      </c>
      <c r="AN3847">
        <v>0.99999997097375304</v>
      </c>
    </row>
    <row r="3848" spans="1:40" x14ac:dyDescent="0.25">
      <c r="A3848" t="str">
        <f>"20190305135010102"</f>
        <v>20190305135010102</v>
      </c>
      <c r="B3848" t="str">
        <f>"1551765010093993"</f>
        <v>1551765010093993</v>
      </c>
      <c r="C3848" t="s">
        <v>40</v>
      </c>
      <c r="D3848">
        <v>3.8363860000000001</v>
      </c>
      <c r="E3848">
        <v>0.5035385</v>
      </c>
      <c r="F3848" t="s">
        <v>78</v>
      </c>
      <c r="G3848">
        <v>-316.53289999999998</v>
      </c>
      <c r="H3848">
        <v>7.9999479999999998E-2</v>
      </c>
      <c r="I3848">
        <v>220.41909999999999</v>
      </c>
      <c r="J3848">
        <v>-376.78699999999998</v>
      </c>
      <c r="K3848">
        <v>1.1087499999999999</v>
      </c>
      <c r="L3848">
        <v>214.48650000000001</v>
      </c>
      <c r="M3848">
        <v>0.99966250000000001</v>
      </c>
      <c r="N3848">
        <v>-8.8555319999999993E-3</v>
      </c>
      <c r="O3848">
        <v>2.4422369999999999E-2</v>
      </c>
      <c r="P3848">
        <v>0.99304230000000004</v>
      </c>
      <c r="Q3848">
        <v>-4.640503E-2</v>
      </c>
      <c r="R3848">
        <v>0.1082283</v>
      </c>
      <c r="S3848">
        <v>2.986847</v>
      </c>
      <c r="T3848">
        <v>-5.0603629999999997E-2</v>
      </c>
      <c r="U3848">
        <v>0.29237370000000001</v>
      </c>
      <c r="V3848">
        <v>-8.3945909999999999E-2</v>
      </c>
      <c r="W3848">
        <v>-3.7581059999999999E-2</v>
      </c>
      <c r="X3848">
        <v>0.99576140000000002</v>
      </c>
      <c r="Y3848">
        <v>-7.3070140000000006E-2</v>
      </c>
      <c r="Z3848">
        <v>7.4505070000000005E-4</v>
      </c>
      <c r="AA3848">
        <v>0.99732659999999995</v>
      </c>
      <c r="AB3848">
        <v>45</v>
      </c>
      <c r="AC3848">
        <v>60.254100000000001</v>
      </c>
      <c r="AD3848">
        <v>-1.02875052</v>
      </c>
      <c r="AE3848">
        <v>5.9325999999999697</v>
      </c>
      <c r="AF3848">
        <v>-4.4579376670527999</v>
      </c>
      <c r="AG3848">
        <v>-1.02875052</v>
      </c>
      <c r="AH3848">
        <v>60.363593020531098</v>
      </c>
      <c r="AI3848">
        <v>90.973721353062999</v>
      </c>
      <c r="AJ3848">
        <v>94.223707640707403</v>
      </c>
      <c r="AK3848">
        <v>60.536723550453502</v>
      </c>
      <c r="AL3848">
        <v>92.153743279900596</v>
      </c>
      <c r="AM3848">
        <v>94.818825419888498</v>
      </c>
      <c r="AN3848">
        <v>1.0000000088031999</v>
      </c>
    </row>
    <row r="3849" spans="1:40" x14ac:dyDescent="0.25">
      <c r="A3849" t="str">
        <f>"20190305135010124"</f>
        <v>20190305135010124</v>
      </c>
      <c r="B3849" t="str">
        <f>"1551765010114493"</f>
        <v>1551765010114493</v>
      </c>
      <c r="C3849" t="s">
        <v>40</v>
      </c>
      <c r="D3849">
        <v>3.8606189999999998</v>
      </c>
      <c r="E3849">
        <v>0.50298989999999999</v>
      </c>
      <c r="F3849" t="s">
        <v>78</v>
      </c>
      <c r="G3849">
        <v>-315.09100000000001</v>
      </c>
      <c r="H3849">
        <v>7.9999249999999994E-2</v>
      </c>
      <c r="I3849">
        <v>220.68379999999999</v>
      </c>
      <c r="J3849">
        <v>-376.3433</v>
      </c>
      <c r="K3849">
        <v>1.108724</v>
      </c>
      <c r="L3849">
        <v>214.4973</v>
      </c>
      <c r="M3849">
        <v>0.99966489999999997</v>
      </c>
      <c r="N3849">
        <v>-8.8704079999999998E-3</v>
      </c>
      <c r="O3849">
        <v>2.4318079999999999E-2</v>
      </c>
      <c r="P3849">
        <v>0.9930852</v>
      </c>
      <c r="Q3849">
        <v>-4.5659110000000003E-2</v>
      </c>
      <c r="R3849">
        <v>0.10815279999999999</v>
      </c>
      <c r="S3849">
        <v>2.9860229999999999</v>
      </c>
      <c r="T3849">
        <v>-4.9790500000000001E-2</v>
      </c>
      <c r="U3849">
        <v>0.29994199999999999</v>
      </c>
      <c r="V3849">
        <v>-8.3975839999999996E-2</v>
      </c>
      <c r="W3849">
        <v>-3.681384E-2</v>
      </c>
      <c r="X3849">
        <v>0.99578750000000005</v>
      </c>
      <c r="Y3849">
        <v>-7.5703580000000006E-2</v>
      </c>
      <c r="Z3849">
        <v>7.771341E-4</v>
      </c>
      <c r="AA3849">
        <v>0.99712999999999996</v>
      </c>
      <c r="AB3849">
        <v>46</v>
      </c>
      <c r="AC3849">
        <v>61.252299999999899</v>
      </c>
      <c r="AD3849">
        <v>-1.0287247500000001</v>
      </c>
      <c r="AE3849">
        <v>6.1864999999999899</v>
      </c>
      <c r="AF3849">
        <v>-4.6937627807924001</v>
      </c>
      <c r="AG3849">
        <v>-1.0287247500000001</v>
      </c>
      <c r="AH3849">
        <v>61.367499259933602</v>
      </c>
      <c r="AI3849">
        <v>90.957582759219605</v>
      </c>
      <c r="AJ3849">
        <v>94.373816812687494</v>
      </c>
      <c r="AK3849">
        <v>61.5553381037872</v>
      </c>
      <c r="AL3849">
        <v>92.109754443988905</v>
      </c>
      <c r="AM3849">
        <v>94.820409671886395</v>
      </c>
      <c r="AN3849">
        <v>0.99999997283775</v>
      </c>
    </row>
    <row r="3850" spans="1:40" x14ac:dyDescent="0.25">
      <c r="A3850" t="str">
        <f>"20190305135010137"</f>
        <v>20190305135010137</v>
      </c>
      <c r="B3850" t="str">
        <f>"1551765010134009"</f>
        <v>1551765010134009</v>
      </c>
      <c r="C3850" t="s">
        <v>40</v>
      </c>
      <c r="D3850">
        <v>3.8577919999999999</v>
      </c>
      <c r="E3850">
        <v>0.50249529999999998</v>
      </c>
      <c r="F3850" t="s">
        <v>78</v>
      </c>
      <c r="G3850">
        <v>-313.77249999999998</v>
      </c>
      <c r="H3850">
        <v>7.9999310000000004E-2</v>
      </c>
      <c r="I3850">
        <v>220.86850000000001</v>
      </c>
      <c r="J3850">
        <v>-376.07619999999997</v>
      </c>
      <c r="K3850">
        <v>1.108706</v>
      </c>
      <c r="L3850">
        <v>214.50370000000001</v>
      </c>
      <c r="M3850">
        <v>0.99966670000000002</v>
      </c>
      <c r="N3850">
        <v>-8.8793750000000001E-3</v>
      </c>
      <c r="O3850">
        <v>2.42437E-2</v>
      </c>
      <c r="P3850">
        <v>0.99309009999999998</v>
      </c>
      <c r="Q3850">
        <v>-4.5377760000000003E-2</v>
      </c>
      <c r="R3850">
        <v>0.1082283</v>
      </c>
      <c r="S3850">
        <v>2.985535</v>
      </c>
      <c r="T3850">
        <v>-4.9085139999999999E-2</v>
      </c>
      <c r="U3850">
        <v>0.30400090000000002</v>
      </c>
      <c r="V3850">
        <v>-8.4127279999999999E-2</v>
      </c>
      <c r="W3850">
        <v>-3.6519919999999997E-2</v>
      </c>
      <c r="X3850">
        <v>0.99578560000000005</v>
      </c>
      <c r="Y3850">
        <v>-7.7135830000000002E-2</v>
      </c>
      <c r="Z3850">
        <v>7.9321060000000002E-4</v>
      </c>
      <c r="AA3850">
        <v>0.99702029999999997</v>
      </c>
      <c r="AB3850">
        <v>46</v>
      </c>
      <c r="AC3850">
        <v>62.3036999999999</v>
      </c>
      <c r="AD3850">
        <v>-1.0287066899999999</v>
      </c>
      <c r="AE3850">
        <v>6.3647999999999998</v>
      </c>
      <c r="AF3850">
        <v>-4.8510885859091903</v>
      </c>
      <c r="AG3850">
        <v>-1.0287066899999999</v>
      </c>
      <c r="AH3850">
        <v>62.422856659976901</v>
      </c>
      <c r="AI3850">
        <v>90.941291194335406</v>
      </c>
      <c r="AJ3850">
        <v>94.443714930271199</v>
      </c>
      <c r="AK3850">
        <v>62.619520371162302</v>
      </c>
      <c r="AL3850">
        <v>92.092902611035299</v>
      </c>
      <c r="AM3850">
        <v>94.829070779873703</v>
      </c>
      <c r="AN3850">
        <v>1.0000000324821801</v>
      </c>
    </row>
    <row r="3851" spans="1:40" x14ac:dyDescent="0.25">
      <c r="A3851" t="str">
        <f>"20190305135010153"</f>
        <v>20190305135010153</v>
      </c>
      <c r="B3851" t="str">
        <f>"1551765010144746"</f>
        <v>1551765010144746</v>
      </c>
      <c r="C3851" t="s">
        <v>40</v>
      </c>
      <c r="D3851">
        <v>3.8087049999999998</v>
      </c>
      <c r="E3851">
        <v>0.5022875</v>
      </c>
      <c r="F3851" t="s">
        <v>78</v>
      </c>
      <c r="G3851">
        <v>-313.77210000000002</v>
      </c>
      <c r="H3851">
        <v>7.9999319999999999E-2</v>
      </c>
      <c r="I3851">
        <v>220.93289999999999</v>
      </c>
      <c r="J3851">
        <v>-375.76510000000002</v>
      </c>
      <c r="K3851">
        <v>1.108687</v>
      </c>
      <c r="L3851">
        <v>214.5112</v>
      </c>
      <c r="M3851">
        <v>0.99966900000000003</v>
      </c>
      <c r="N3851">
        <v>-8.8898239999999993E-3</v>
      </c>
      <c r="O3851">
        <v>2.4149380000000002E-2</v>
      </c>
      <c r="P3851">
        <v>0.99311020000000005</v>
      </c>
      <c r="Q3851">
        <v>-4.5150669999999997E-2</v>
      </c>
      <c r="R3851">
        <v>0.10813830000000001</v>
      </c>
      <c r="S3851">
        <v>2.985077</v>
      </c>
      <c r="T3851">
        <v>-4.9286719999999999E-2</v>
      </c>
      <c r="U3851">
        <v>0.3080292</v>
      </c>
      <c r="V3851">
        <v>-8.4132299999999993E-2</v>
      </c>
      <c r="W3851">
        <v>-3.6278379999999999E-2</v>
      </c>
      <c r="X3851">
        <v>0.99579399999999996</v>
      </c>
      <c r="Y3851">
        <v>-7.8576300000000002E-2</v>
      </c>
      <c r="Z3851">
        <v>8.1385869999999903E-4</v>
      </c>
      <c r="AA3851">
        <v>0.99690780000000001</v>
      </c>
      <c r="AB3851">
        <v>46</v>
      </c>
      <c r="AC3851">
        <v>61.993000000000002</v>
      </c>
      <c r="AD3851">
        <v>-1.02868768</v>
      </c>
      <c r="AE3851">
        <v>6.42169999999998</v>
      </c>
      <c r="AF3851">
        <v>-4.9213349157442403</v>
      </c>
      <c r="AG3851">
        <v>-1.02868768</v>
      </c>
      <c r="AH3851">
        <v>62.113084051390601</v>
      </c>
      <c r="AI3851">
        <v>90.945855300125004</v>
      </c>
      <c r="AJ3851">
        <v>94.530187056232506</v>
      </c>
      <c r="AK3851">
        <v>62.316233407283399</v>
      </c>
      <c r="AL3851">
        <v>92.079054222128804</v>
      </c>
      <c r="AM3851">
        <v>94.829317029605605</v>
      </c>
      <c r="AN3851">
        <v>1.00000002759735</v>
      </c>
    </row>
    <row r="3852" spans="1:40" x14ac:dyDescent="0.25">
      <c r="A3852" t="str">
        <f>"20190305135010171"</f>
        <v>20190305135010171</v>
      </c>
      <c r="B3852" t="str">
        <f>"1551765010164266"</f>
        <v>1551765010164266</v>
      </c>
      <c r="C3852" t="s">
        <v>40</v>
      </c>
      <c r="D3852">
        <v>3.8136160000000001</v>
      </c>
      <c r="E3852">
        <v>0.50191940000000002</v>
      </c>
      <c r="F3852" t="s">
        <v>78</v>
      </c>
      <c r="G3852">
        <v>-313.15769999999998</v>
      </c>
      <c r="H3852">
        <v>7.9999340000000002E-2</v>
      </c>
      <c r="I3852">
        <v>221.0035</v>
      </c>
      <c r="J3852">
        <v>-375.41320000000002</v>
      </c>
      <c r="K3852">
        <v>1.10867</v>
      </c>
      <c r="L3852">
        <v>214.5197</v>
      </c>
      <c r="M3852">
        <v>0.99967159999999999</v>
      </c>
      <c r="N3852">
        <v>-8.9016259999999993E-3</v>
      </c>
      <c r="O3852">
        <v>2.4032700000000001E-2</v>
      </c>
      <c r="P3852">
        <v>0.99316369999999998</v>
      </c>
      <c r="Q3852">
        <v>-4.4981989999999999E-2</v>
      </c>
      <c r="R3852">
        <v>0.10771459999999999</v>
      </c>
      <c r="S3852">
        <v>2.9848629999999998</v>
      </c>
      <c r="T3852">
        <v>-4.9043660000000003E-2</v>
      </c>
      <c r="U3852">
        <v>0.30952449999999998</v>
      </c>
      <c r="V3852">
        <v>-8.3825159999999996E-2</v>
      </c>
      <c r="W3852">
        <v>-3.6093809999999997E-2</v>
      </c>
      <c r="X3852">
        <v>0.99582660000000001</v>
      </c>
      <c r="Y3852">
        <v>-7.9194029999999999E-2</v>
      </c>
      <c r="Z3852">
        <v>8.2208539999999999E-4</v>
      </c>
      <c r="AA3852">
        <v>0.99685889999999999</v>
      </c>
      <c r="AB3852">
        <v>46</v>
      </c>
      <c r="AC3852">
        <v>62.255499999999998</v>
      </c>
      <c r="AD3852">
        <v>-1.02867066</v>
      </c>
      <c r="AE3852">
        <v>6.4837999999999996</v>
      </c>
      <c r="AF3852">
        <v>-4.9843539724693997</v>
      </c>
      <c r="AG3852">
        <v>-1.02867066</v>
      </c>
      <c r="AH3852">
        <v>62.376499489869197</v>
      </c>
      <c r="AI3852">
        <v>90.941795791487706</v>
      </c>
      <c r="AJ3852">
        <v>94.568658569359499</v>
      </c>
      <c r="AK3852">
        <v>62.583780937710003</v>
      </c>
      <c r="AL3852">
        <v>92.068472227851004</v>
      </c>
      <c r="AM3852">
        <v>94.811612892463899</v>
      </c>
      <c r="AN3852">
        <v>1.0000000189184499</v>
      </c>
    </row>
    <row r="3853" spans="1:40" x14ac:dyDescent="0.25">
      <c r="A3853" t="str">
        <f>"20190305135010192"</f>
        <v>20190305135010192</v>
      </c>
      <c r="B3853" t="str">
        <f>"1551765010183789"</f>
        <v>1551765010183789</v>
      </c>
      <c r="C3853" t="s">
        <v>40</v>
      </c>
      <c r="D3853">
        <v>3.8070819999999999</v>
      </c>
      <c r="E3853">
        <v>0.50152249999999998</v>
      </c>
      <c r="F3853" t="s">
        <v>78</v>
      </c>
      <c r="G3853">
        <v>-313.5204</v>
      </c>
      <c r="H3853">
        <v>7.9999329999999994E-2</v>
      </c>
      <c r="I3853">
        <v>220.9683</v>
      </c>
      <c r="J3853">
        <v>-374.94330000000002</v>
      </c>
      <c r="K3853">
        <v>1.108644</v>
      </c>
      <c r="L3853">
        <v>214.5308</v>
      </c>
      <c r="M3853">
        <v>0.99967550000000005</v>
      </c>
      <c r="N3853">
        <v>-8.917477E-3</v>
      </c>
      <c r="O3853">
        <v>2.386282E-2</v>
      </c>
      <c r="P3853">
        <v>0.99320269999999999</v>
      </c>
      <c r="Q3853">
        <v>-4.5383800000000002E-2</v>
      </c>
      <c r="R3853">
        <v>0.1071843</v>
      </c>
      <c r="S3853">
        <v>2.98468</v>
      </c>
      <c r="T3853">
        <v>-4.9605969999999999E-2</v>
      </c>
      <c r="U3853">
        <v>0.31097409999999998</v>
      </c>
      <c r="V3853">
        <v>-8.3465010000000006E-2</v>
      </c>
      <c r="W3853">
        <v>-3.6475519999999997E-2</v>
      </c>
      <c r="X3853">
        <v>0.99584289999999998</v>
      </c>
      <c r="Y3853">
        <v>-7.9848230000000006E-2</v>
      </c>
      <c r="Z3853">
        <v>8.3568229999999904E-4</v>
      </c>
      <c r="AA3853">
        <v>0.99680670000000005</v>
      </c>
      <c r="AB3853">
        <v>46</v>
      </c>
      <c r="AC3853">
        <v>61.422899999999998</v>
      </c>
      <c r="AD3853">
        <v>-1.02864467</v>
      </c>
      <c r="AE3853">
        <v>6.4375</v>
      </c>
      <c r="AF3853">
        <v>-4.9685065586307502</v>
      </c>
      <c r="AG3853">
        <v>-1.02864467</v>
      </c>
      <c r="AH3853">
        <v>61.541958481957899</v>
      </c>
      <c r="AI3853">
        <v>90.9544776569752</v>
      </c>
      <c r="AJ3853">
        <v>94.6156862025137</v>
      </c>
      <c r="AK3853">
        <v>61.750763728680397</v>
      </c>
      <c r="AL3853">
        <v>92.090357099591202</v>
      </c>
      <c r="AM3853">
        <v>94.790958455348303</v>
      </c>
      <c r="AN3853">
        <v>0.99999997646699001</v>
      </c>
    </row>
    <row r="3854" spans="1:40" x14ac:dyDescent="0.25">
      <c r="A3854" t="str">
        <f>"20190305135010214"</f>
        <v>20190305135010214</v>
      </c>
      <c r="B3854" t="str">
        <f>"1551765010204285"</f>
        <v>1551765010204285</v>
      </c>
      <c r="C3854" t="s">
        <v>40</v>
      </c>
      <c r="D3854">
        <v>3.8124440000000002</v>
      </c>
      <c r="E3854">
        <v>0.50118779999999996</v>
      </c>
      <c r="F3854" t="s">
        <v>78</v>
      </c>
      <c r="G3854">
        <v>-315.4375</v>
      </c>
      <c r="H3854">
        <v>7.9999310000000004E-2</v>
      </c>
      <c r="I3854">
        <v>220.7646</v>
      </c>
      <c r="J3854">
        <v>-374.50619999999998</v>
      </c>
      <c r="K3854">
        <v>1.108625</v>
      </c>
      <c r="L3854">
        <v>214.5411</v>
      </c>
      <c r="M3854">
        <v>0.9996794</v>
      </c>
      <c r="N3854">
        <v>-8.9320559999999903E-3</v>
      </c>
      <c r="O3854">
        <v>2.3695210000000001E-2</v>
      </c>
      <c r="P3854">
        <v>0.99320120000000001</v>
      </c>
      <c r="Q3854">
        <v>-4.6084170000000001E-2</v>
      </c>
      <c r="R3854">
        <v>0.1069016</v>
      </c>
      <c r="S3854">
        <v>2.984467</v>
      </c>
      <c r="T3854">
        <v>-5.1590919999999998E-2</v>
      </c>
      <c r="U3854">
        <v>0.3126526</v>
      </c>
      <c r="V3854">
        <v>-8.3351309999999998E-2</v>
      </c>
      <c r="W3854">
        <v>-3.7158339999999998E-2</v>
      </c>
      <c r="X3854">
        <v>0.99582720000000002</v>
      </c>
      <c r="Y3854">
        <v>-8.057607E-2</v>
      </c>
      <c r="Z3854">
        <v>8.5821390000000001E-4</v>
      </c>
      <c r="AA3854">
        <v>0.99674810000000003</v>
      </c>
      <c r="AB3854">
        <v>46</v>
      </c>
      <c r="AC3854">
        <v>59.0686999999999</v>
      </c>
      <c r="AD3854">
        <v>-1.0286256899999999</v>
      </c>
      <c r="AE3854">
        <v>6.2234999999999996</v>
      </c>
      <c r="AF3854">
        <v>-4.8206057028567004</v>
      </c>
      <c r="AG3854">
        <v>-1.0286256899999999</v>
      </c>
      <c r="AH3854">
        <v>59.181837100639299</v>
      </c>
      <c r="AI3854">
        <v>90.992458037887502</v>
      </c>
      <c r="AJ3854">
        <v>94.656697942816393</v>
      </c>
      <c r="AK3854">
        <v>59.386750649948397</v>
      </c>
      <c r="AL3854">
        <v>92.129506302372306</v>
      </c>
      <c r="AM3854">
        <v>94.784537382591694</v>
      </c>
      <c r="AN3854">
        <v>0.99999999768505499</v>
      </c>
    </row>
    <row r="3855" spans="1:40" x14ac:dyDescent="0.25">
      <c r="A3855" t="str">
        <f>"20190305135010236"</f>
        <v>20190305135010236</v>
      </c>
      <c r="B3855" t="str">
        <f>"1551765010223802"</f>
        <v>1551765010223802</v>
      </c>
      <c r="C3855" t="s">
        <v>40</v>
      </c>
      <c r="D3855">
        <v>3.7693989999999999</v>
      </c>
      <c r="E3855">
        <v>0.50088449999999995</v>
      </c>
      <c r="F3855" t="s">
        <v>78</v>
      </c>
      <c r="G3855">
        <v>-317.99529999999999</v>
      </c>
      <c r="H3855">
        <v>7.9999710000000002E-2</v>
      </c>
      <c r="I3855">
        <v>220.49529999999999</v>
      </c>
      <c r="J3855">
        <v>-374.06270000000001</v>
      </c>
      <c r="K3855">
        <v>1.1086119999999999</v>
      </c>
      <c r="L3855">
        <v>214.5515</v>
      </c>
      <c r="M3855">
        <v>0.9996834</v>
      </c>
      <c r="N3855">
        <v>-8.9467350000000008E-3</v>
      </c>
      <c r="O3855">
        <v>2.3519390000000001E-2</v>
      </c>
      <c r="P3855">
        <v>0.99321510000000002</v>
      </c>
      <c r="Q3855">
        <v>-4.6421669999999998E-2</v>
      </c>
      <c r="R3855">
        <v>0.1066256</v>
      </c>
      <c r="S3855">
        <v>2.9841609999999998</v>
      </c>
      <c r="T3855">
        <v>-5.4318430000000001E-2</v>
      </c>
      <c r="U3855">
        <v>0.314422599999999</v>
      </c>
      <c r="V3855">
        <v>-8.3251549999999994E-2</v>
      </c>
      <c r="W3855">
        <v>-3.7478570000000003E-2</v>
      </c>
      <c r="X3855">
        <v>0.99582360000000003</v>
      </c>
      <c r="Y3855">
        <v>-8.1345000000000001E-2</v>
      </c>
      <c r="Z3855">
        <v>8.8635750000000001E-4</v>
      </c>
      <c r="AA3855">
        <v>0.99668559999999995</v>
      </c>
      <c r="AB3855">
        <v>46</v>
      </c>
      <c r="AC3855">
        <v>56.067399999999999</v>
      </c>
      <c r="AD3855">
        <v>-1.0286122900000001</v>
      </c>
      <c r="AE3855">
        <v>5.94379999999998</v>
      </c>
      <c r="AF3855">
        <v>-4.6218936158244404</v>
      </c>
      <c r="AG3855">
        <v>-1.0286122900000001</v>
      </c>
      <c r="AH3855">
        <v>56.172993245069001</v>
      </c>
      <c r="AI3855">
        <v>91.045522653897606</v>
      </c>
      <c r="AJ3855">
        <v>94.703680616139707</v>
      </c>
      <c r="AK3855">
        <v>56.372201606374198</v>
      </c>
      <c r="AL3855">
        <v>92.1478668005591</v>
      </c>
      <c r="AM3855">
        <v>94.778854685099205</v>
      </c>
      <c r="AN3855">
        <v>1.0000000530518001</v>
      </c>
    </row>
    <row r="3856" spans="1:40" x14ac:dyDescent="0.25">
      <c r="A3856" t="str">
        <f>"20190305135010258"</f>
        <v>20190305135010258</v>
      </c>
      <c r="B3856" t="str">
        <f>"1551765010254058"</f>
        <v>1551765010254058</v>
      </c>
      <c r="C3856" t="s">
        <v>40</v>
      </c>
      <c r="D3856">
        <v>3.7765270000000002</v>
      </c>
      <c r="E3856">
        <v>0.50050079999999997</v>
      </c>
      <c r="F3856" t="s">
        <v>78</v>
      </c>
      <c r="G3856">
        <v>-318.68579999999997</v>
      </c>
      <c r="H3856">
        <v>7.9999810000000005E-2</v>
      </c>
      <c r="I3856">
        <v>220.41630000000001</v>
      </c>
      <c r="J3856">
        <v>-373.59179999999998</v>
      </c>
      <c r="K3856">
        <v>1.10859</v>
      </c>
      <c r="L3856">
        <v>214.5625</v>
      </c>
      <c r="M3856">
        <v>0.99968769999999996</v>
      </c>
      <c r="N3856">
        <v>-8.96239699999999E-3</v>
      </c>
      <c r="O3856">
        <v>2.3329269999999999E-2</v>
      </c>
      <c r="P3856">
        <v>0.99325110000000005</v>
      </c>
      <c r="Q3856">
        <v>-4.6110320000000003E-2</v>
      </c>
      <c r="R3856">
        <v>0.1064237</v>
      </c>
      <c r="S3856">
        <v>2.983978</v>
      </c>
      <c r="T3856">
        <v>-5.5426719999999999E-2</v>
      </c>
      <c r="U3856">
        <v>0.31602479999999999</v>
      </c>
      <c r="V3856">
        <v>-8.3238329999999999E-2</v>
      </c>
      <c r="W3856">
        <v>-3.7148929999999997E-2</v>
      </c>
      <c r="X3856">
        <v>0.99583699999999997</v>
      </c>
      <c r="Y3856">
        <v>-8.2069329999999996E-2</v>
      </c>
      <c r="Z3856">
        <v>9.0551640000000001E-4</v>
      </c>
      <c r="AA3856">
        <v>0.99662620000000002</v>
      </c>
      <c r="AB3856">
        <v>46</v>
      </c>
      <c r="AC3856">
        <v>54.905999999999999</v>
      </c>
      <c r="AD3856">
        <v>-1.0285901900000001</v>
      </c>
      <c r="AE3856">
        <v>5.8537999999999997</v>
      </c>
      <c r="AF3856">
        <v>-4.5696526838033797</v>
      </c>
      <c r="AG3856">
        <v>-1.0285901900000001</v>
      </c>
      <c r="AH3856">
        <v>55.008537429344102</v>
      </c>
      <c r="AI3856">
        <v>91.067557521586707</v>
      </c>
      <c r="AJ3856">
        <v>94.748754229423</v>
      </c>
      <c r="AK3856">
        <v>55.207598331616502</v>
      </c>
      <c r="AL3856">
        <v>92.128966778942598</v>
      </c>
      <c r="AM3856">
        <v>94.778035340043402</v>
      </c>
      <c r="AN3856">
        <v>0.99999999657516603</v>
      </c>
    </row>
    <row r="3857" spans="1:40" x14ac:dyDescent="0.25">
      <c r="A3857" t="str">
        <f>"20190305135010281"</f>
        <v>20190305135010281</v>
      </c>
      <c r="B3857" t="str">
        <f>"1551765010274554"</f>
        <v>1551765010274554</v>
      </c>
      <c r="C3857" t="s">
        <v>40</v>
      </c>
      <c r="D3857">
        <v>3.7456070000000001</v>
      </c>
      <c r="E3857">
        <v>0.5002799</v>
      </c>
      <c r="F3857" t="s">
        <v>78</v>
      </c>
      <c r="G3857">
        <v>-317.81479999999999</v>
      </c>
      <c r="H3857">
        <v>7.9999689999999998E-2</v>
      </c>
      <c r="I3857">
        <v>220.51390000000001</v>
      </c>
      <c r="J3857">
        <v>-373.13119999999998</v>
      </c>
      <c r="K3857">
        <v>1.108584</v>
      </c>
      <c r="L3857">
        <v>214.57310000000001</v>
      </c>
      <c r="M3857">
        <v>0.99969200000000003</v>
      </c>
      <c r="N3857">
        <v>-8.9777039999999995E-3</v>
      </c>
      <c r="O3857">
        <v>2.3141620000000002E-2</v>
      </c>
      <c r="P3857">
        <v>0.99332359999999997</v>
      </c>
      <c r="Q3857">
        <v>-4.5901749999999998E-2</v>
      </c>
      <c r="R3857">
        <v>0.1058375</v>
      </c>
      <c r="S3857">
        <v>2.9837039999999999</v>
      </c>
      <c r="T3857">
        <v>-5.5022840000000003E-2</v>
      </c>
      <c r="U3857">
        <v>0.31835940000000001</v>
      </c>
      <c r="V3857">
        <v>-8.2838739999999994E-2</v>
      </c>
      <c r="W3857">
        <v>-3.6922669999999998E-2</v>
      </c>
      <c r="X3857">
        <v>0.99587879999999995</v>
      </c>
      <c r="Y3857">
        <v>-8.3037020000000003E-2</v>
      </c>
      <c r="Z3857">
        <v>9.191561E-4</v>
      </c>
      <c r="AA3857">
        <v>0.99654600000000004</v>
      </c>
      <c r="AB3857">
        <v>46</v>
      </c>
      <c r="AC3857">
        <v>55.316399999999902</v>
      </c>
      <c r="AD3857">
        <v>-1.0285843100000001</v>
      </c>
      <c r="AE3857">
        <v>5.9407999999999896</v>
      </c>
      <c r="AF3857">
        <v>-4.6574543648371796</v>
      </c>
      <c r="AG3857">
        <v>-1.0285843100000001</v>
      </c>
      <c r="AH3857">
        <v>55.4201267184283</v>
      </c>
      <c r="AI3857">
        <v>91.059539808993804</v>
      </c>
      <c r="AJ3857">
        <v>94.803794619303801</v>
      </c>
      <c r="AK3857">
        <v>55.624997189482798</v>
      </c>
      <c r="AL3857">
        <v>92.115993996542301</v>
      </c>
      <c r="AM3857">
        <v>94.7550048885888</v>
      </c>
      <c r="AN3857">
        <v>1.00000006234707</v>
      </c>
    </row>
    <row r="3858" spans="1:40" x14ac:dyDescent="0.25">
      <c r="A3858" t="str">
        <f>"20190305135010293"</f>
        <v>20190305135010293</v>
      </c>
      <c r="B3858" t="str">
        <f>"1551765010284313"</f>
        <v>1551765010284313</v>
      </c>
      <c r="C3858" t="s">
        <v>40</v>
      </c>
      <c r="D3858">
        <v>3.7440150000000001</v>
      </c>
      <c r="E3858">
        <v>0.50014650000000005</v>
      </c>
      <c r="F3858" t="s">
        <v>78</v>
      </c>
      <c r="G3858">
        <v>-317.22680000000003</v>
      </c>
      <c r="H3858">
        <v>7.9999600000000004E-2</v>
      </c>
      <c r="I3858">
        <v>220.5343</v>
      </c>
      <c r="J3858">
        <v>-372.87430000000001</v>
      </c>
      <c r="K3858">
        <v>1.1085799999999999</v>
      </c>
      <c r="L3858">
        <v>214.57900000000001</v>
      </c>
      <c r="M3858">
        <v>0.99969430000000004</v>
      </c>
      <c r="N3858">
        <v>-8.9862190000000002E-3</v>
      </c>
      <c r="O3858">
        <v>2.3036669999999999E-2</v>
      </c>
      <c r="P3858">
        <v>0.99337249999999999</v>
      </c>
      <c r="Q3858">
        <v>-4.5558069999999999E-2</v>
      </c>
      <c r="R3858">
        <v>0.10552739999999999</v>
      </c>
      <c r="S3858">
        <v>2.9837039999999999</v>
      </c>
      <c r="T3858">
        <v>-5.4897189999999998E-2</v>
      </c>
      <c r="U3858">
        <v>0.31816100000000003</v>
      </c>
      <c r="V3858">
        <v>-8.2633219999999993E-2</v>
      </c>
      <c r="W3858">
        <v>-3.6569169999999998E-2</v>
      </c>
      <c r="X3858">
        <v>0.99590889999999999</v>
      </c>
      <c r="Y3858">
        <v>-8.3076179999999999E-2</v>
      </c>
      <c r="Z3858">
        <v>9.2045419999999998E-4</v>
      </c>
      <c r="AA3858">
        <v>0.99654279999999995</v>
      </c>
      <c r="AB3858">
        <v>46</v>
      </c>
      <c r="AC3858">
        <v>55.647499999999901</v>
      </c>
      <c r="AD3858">
        <v>-1.0285803999999901</v>
      </c>
      <c r="AE3858">
        <v>5.9552999999999896</v>
      </c>
      <c r="AF3858">
        <v>-4.6701571826775199</v>
      </c>
      <c r="AG3858">
        <v>-1.0285803999999901</v>
      </c>
      <c r="AH3858">
        <v>55.751095079583102</v>
      </c>
      <c r="AI3858">
        <v>91.053271012122593</v>
      </c>
      <c r="AJ3858">
        <v>94.788373048146099</v>
      </c>
      <c r="AK3858">
        <v>55.955812462360797</v>
      </c>
      <c r="AL3858">
        <v>92.095726287644595</v>
      </c>
      <c r="AM3858">
        <v>94.743119076796106</v>
      </c>
      <c r="AN3858">
        <v>1.0000000451706299</v>
      </c>
    </row>
    <row r="3859" spans="1:40" x14ac:dyDescent="0.25">
      <c r="A3859" t="str">
        <f>"20190305135010314"</f>
        <v>20190305135010314</v>
      </c>
      <c r="B3859" t="str">
        <f>"1551765010303837"</f>
        <v>1551765010303837</v>
      </c>
      <c r="C3859" t="s">
        <v>40</v>
      </c>
      <c r="D3859">
        <v>3.7486290000000002</v>
      </c>
      <c r="E3859">
        <v>0.49992439999999999</v>
      </c>
      <c r="F3859" t="s">
        <v>78</v>
      </c>
      <c r="G3859">
        <v>-316.04320000000001</v>
      </c>
      <c r="H3859">
        <v>7.9999410000000007E-2</v>
      </c>
      <c r="I3859">
        <v>220.6448</v>
      </c>
      <c r="J3859">
        <v>-372.44119999999998</v>
      </c>
      <c r="K3859">
        <v>1.1085750000000001</v>
      </c>
      <c r="L3859">
        <v>214.5889</v>
      </c>
      <c r="M3859">
        <v>0.99969819999999998</v>
      </c>
      <c r="N3859">
        <v>-9.0005160000000001E-3</v>
      </c>
      <c r="O3859">
        <v>2.2860370000000001E-2</v>
      </c>
      <c r="P3859">
        <v>0.99350050000000001</v>
      </c>
      <c r="Q3859">
        <v>-4.5203939999999998E-2</v>
      </c>
      <c r="R3859">
        <v>0.104467</v>
      </c>
      <c r="S3859">
        <v>2.983765</v>
      </c>
      <c r="T3859">
        <v>-5.4002880000000003E-2</v>
      </c>
      <c r="U3859">
        <v>0.31846619999999998</v>
      </c>
      <c r="V3859">
        <v>-8.1746269999999996E-2</v>
      </c>
      <c r="W3859">
        <v>-3.6198670000000002E-2</v>
      </c>
      <c r="X3859">
        <v>0.99599559999999998</v>
      </c>
      <c r="Y3859">
        <v>-8.3350960000000002E-2</v>
      </c>
      <c r="Z3859">
        <v>9.2115420000000005E-4</v>
      </c>
      <c r="AA3859">
        <v>0.99651979999999996</v>
      </c>
      <c r="AB3859">
        <v>46</v>
      </c>
      <c r="AC3859">
        <v>56.397999999999897</v>
      </c>
      <c r="AD3859">
        <v>-1.02857559</v>
      </c>
      <c r="AE3859">
        <v>6.0559000000000003</v>
      </c>
      <c r="AF3859">
        <v>-4.7634196226789696</v>
      </c>
      <c r="AG3859">
        <v>-1.02857559</v>
      </c>
      <c r="AH3859">
        <v>56.503126196913499</v>
      </c>
      <c r="AI3859">
        <v>91.039204244634604</v>
      </c>
      <c r="AJ3859">
        <v>94.818848722866093</v>
      </c>
      <c r="AK3859">
        <v>56.712885698669901</v>
      </c>
      <c r="AL3859">
        <v>92.074484198415703</v>
      </c>
      <c r="AM3859">
        <v>94.692030368418202</v>
      </c>
      <c r="AN3859">
        <v>1.0000000157940201</v>
      </c>
    </row>
    <row r="3860" spans="1:40" x14ac:dyDescent="0.25">
      <c r="A3860" t="str">
        <f>"20190305135010327"</f>
        <v>20190305135010327</v>
      </c>
      <c r="B3860" t="str">
        <f>"1551765010324330"</f>
        <v>1551765010324330</v>
      </c>
      <c r="C3860" t="s">
        <v>40</v>
      </c>
      <c r="D3860">
        <v>3.726591</v>
      </c>
      <c r="E3860">
        <v>0.49970979999999998</v>
      </c>
      <c r="F3860" t="s">
        <v>78</v>
      </c>
      <c r="G3860">
        <v>-314.7878</v>
      </c>
      <c r="H3860">
        <v>7.9999230000000005E-2</v>
      </c>
      <c r="I3860">
        <v>220.71260000000001</v>
      </c>
      <c r="J3860">
        <v>-372.16860000000003</v>
      </c>
      <c r="K3860">
        <v>1.108571</v>
      </c>
      <c r="L3860">
        <v>214.595</v>
      </c>
      <c r="M3860">
        <v>0.99970079999999995</v>
      </c>
      <c r="N3860">
        <v>-9.0095190000000006E-3</v>
      </c>
      <c r="O3860">
        <v>2.2749640000000002E-2</v>
      </c>
      <c r="P3860">
        <v>0.99353849999999999</v>
      </c>
      <c r="Q3860">
        <v>-4.5033789999999997E-2</v>
      </c>
      <c r="R3860">
        <v>0.10418040000000001</v>
      </c>
      <c r="S3860">
        <v>2.9839169999999999</v>
      </c>
      <c r="T3860">
        <v>-5.3235049999999999E-2</v>
      </c>
      <c r="U3860">
        <v>0.31694029999999901</v>
      </c>
      <c r="V3860">
        <v>-8.1568699999999994E-2</v>
      </c>
      <c r="W3860">
        <v>-3.6018410000000001E-2</v>
      </c>
      <c r="X3860">
        <v>0.99601669999999998</v>
      </c>
      <c r="Y3860">
        <v>-8.2952579999999998E-2</v>
      </c>
      <c r="Z3860">
        <v>9.1252170000000004E-4</v>
      </c>
      <c r="AA3860">
        <v>0.99655309999999997</v>
      </c>
      <c r="AB3860">
        <v>46</v>
      </c>
      <c r="AC3860">
        <v>57.380800000000001</v>
      </c>
      <c r="AD3860">
        <v>-1.0285717700000001</v>
      </c>
      <c r="AE3860">
        <v>6.1176000000000004</v>
      </c>
      <c r="AF3860">
        <v>-4.8090434674540603</v>
      </c>
      <c r="AG3860">
        <v>-1.0285717700000001</v>
      </c>
      <c r="AH3860">
        <v>57.486863086224503</v>
      </c>
      <c r="AI3860">
        <v>91.021476266809003</v>
      </c>
      <c r="AJ3860">
        <v>94.781924382495902</v>
      </c>
      <c r="AK3860">
        <v>57.696830818098</v>
      </c>
      <c r="AL3860">
        <v>92.064149307491206</v>
      </c>
      <c r="AM3860">
        <v>94.681784913207395</v>
      </c>
      <c r="AN3860">
        <v>1.00000002267875</v>
      </c>
    </row>
    <row r="3861" spans="1:40" x14ac:dyDescent="0.25">
      <c r="A3861" t="str">
        <f>"20190305135010347"</f>
        <v>20190305135010347</v>
      </c>
      <c r="B3861" t="str">
        <f>"1551765010343850"</f>
        <v>1551765010343850</v>
      </c>
      <c r="C3861" t="s">
        <v>40</v>
      </c>
      <c r="D3861">
        <v>3.7380429999999998</v>
      </c>
      <c r="E3861">
        <v>0.49957099999999999</v>
      </c>
      <c r="F3861" t="s">
        <v>78</v>
      </c>
      <c r="G3861">
        <v>-313.44889999999998</v>
      </c>
      <c r="H3861">
        <v>7.9999319999999999E-2</v>
      </c>
      <c r="I3861">
        <v>220.84819999999999</v>
      </c>
      <c r="J3861">
        <v>-371.7527</v>
      </c>
      <c r="K3861">
        <v>1.1085590000000001</v>
      </c>
      <c r="L3861">
        <v>214.6044</v>
      </c>
      <c r="M3861">
        <v>0.99970440000000005</v>
      </c>
      <c r="N3861">
        <v>-9.0233759999999996E-3</v>
      </c>
      <c r="O3861">
        <v>2.2580159999999998E-2</v>
      </c>
      <c r="P3861">
        <v>0.99360199999999999</v>
      </c>
      <c r="Q3861">
        <v>-4.4972770000000002E-2</v>
      </c>
      <c r="R3861">
        <v>0.1035997</v>
      </c>
      <c r="S3861">
        <v>2.9837950000000002</v>
      </c>
      <c r="T3861">
        <v>-5.2266E-2</v>
      </c>
      <c r="U3861">
        <v>0.317749</v>
      </c>
      <c r="V3861">
        <v>-8.1156179999999994E-2</v>
      </c>
      <c r="W3861">
        <v>-3.5942130000000003E-2</v>
      </c>
      <c r="X3861">
        <v>0.99605319999999997</v>
      </c>
      <c r="Y3861">
        <v>-8.339328E-2</v>
      </c>
      <c r="Z3861">
        <v>9.146321E-4</v>
      </c>
      <c r="AA3861">
        <v>0.99651630000000002</v>
      </c>
      <c r="AB3861">
        <v>46</v>
      </c>
      <c r="AC3861">
        <v>58.303800000000003</v>
      </c>
      <c r="AD3861">
        <v>-1.0285596800000001</v>
      </c>
      <c r="AE3861">
        <v>6.2437999999999896</v>
      </c>
      <c r="AF3861">
        <v>-4.9241302019827202</v>
      </c>
      <c r="AG3861">
        <v>-1.0285596800000001</v>
      </c>
      <c r="AH3861">
        <v>58.411952379199498</v>
      </c>
      <c r="AI3861">
        <v>91.005236252941202</v>
      </c>
      <c r="AJ3861">
        <v>94.818643770512196</v>
      </c>
      <c r="AK3861">
        <v>58.628160247540301</v>
      </c>
      <c r="AL3861">
        <v>92.059775856794502</v>
      </c>
      <c r="AM3861">
        <v>94.658042086351401</v>
      </c>
      <c r="AN3861">
        <v>1.0000000697456799</v>
      </c>
    </row>
    <row r="3862" spans="1:40" x14ac:dyDescent="0.25">
      <c r="A3862" t="str">
        <f>"20190305135010372"</f>
        <v>20190305135010372</v>
      </c>
      <c r="B3862" t="str">
        <f>"1551765010364346"</f>
        <v>1551765010364346</v>
      </c>
      <c r="C3862" t="s">
        <v>40</v>
      </c>
      <c r="D3862">
        <v>3.7382070000000001</v>
      </c>
      <c r="E3862">
        <v>0.49932949999999998</v>
      </c>
      <c r="F3862" t="s">
        <v>78</v>
      </c>
      <c r="G3862">
        <v>-313.78829999999999</v>
      </c>
      <c r="H3862">
        <v>7.9999310000000004E-2</v>
      </c>
      <c r="I3862">
        <v>220.7628</v>
      </c>
      <c r="J3862">
        <v>-371.26280000000003</v>
      </c>
      <c r="K3862">
        <v>1.1085529999999999</v>
      </c>
      <c r="L3862">
        <v>214.61539999999999</v>
      </c>
      <c r="M3862">
        <v>0.99970879999999995</v>
      </c>
      <c r="N3862">
        <v>-9.0394039999999991E-3</v>
      </c>
      <c r="O3862">
        <v>2.2380509999999999E-2</v>
      </c>
      <c r="P3862">
        <v>0.99366940000000004</v>
      </c>
      <c r="Q3862">
        <v>-4.4755940000000001E-2</v>
      </c>
      <c r="R3862">
        <v>0.103044899999999</v>
      </c>
      <c r="S3862">
        <v>2.9838559999999998</v>
      </c>
      <c r="T3862">
        <v>-5.2947639999999997E-2</v>
      </c>
      <c r="U3862">
        <v>0.31701659999999998</v>
      </c>
      <c r="V3862">
        <v>-8.0799689999999993E-2</v>
      </c>
      <c r="W3862">
        <v>-3.5707849999999999E-2</v>
      </c>
      <c r="X3862">
        <v>0.99609049999999999</v>
      </c>
      <c r="Y3862">
        <v>-8.3347889999999994E-2</v>
      </c>
      <c r="Z3862">
        <v>9.2113589999999999E-4</v>
      </c>
      <c r="AA3862">
        <v>0.99652010000000002</v>
      </c>
      <c r="AB3862">
        <v>46</v>
      </c>
      <c r="AC3862">
        <v>57.474499999999999</v>
      </c>
      <c r="AD3862">
        <v>-1.0285536900000001</v>
      </c>
      <c r="AE3862">
        <v>6.1474000000000002</v>
      </c>
      <c r="AF3862">
        <v>-4.8579608926642903</v>
      </c>
      <c r="AG3862">
        <v>-1.0285536900000001</v>
      </c>
      <c r="AH3862">
        <v>57.5794585950674</v>
      </c>
      <c r="AI3862">
        <v>91.019755202190694</v>
      </c>
      <c r="AJ3862">
        <v>94.822605789138393</v>
      </c>
      <c r="AK3862">
        <v>57.793180902498797</v>
      </c>
      <c r="AL3862">
        <v>92.046344200190703</v>
      </c>
      <c r="AM3862">
        <v>94.637497519681901</v>
      </c>
      <c r="AN3862">
        <v>0.99999996232298305</v>
      </c>
    </row>
    <row r="3863" spans="1:40" x14ac:dyDescent="0.25">
      <c r="A3863" t="str">
        <f>"20190305135010393"</f>
        <v>20190305135010393</v>
      </c>
      <c r="B3863" t="str">
        <f>"1551765010383866"</f>
        <v>1551765010383866</v>
      </c>
      <c r="C3863" t="s">
        <v>40</v>
      </c>
      <c r="D3863">
        <v>3.7426729999999999</v>
      </c>
      <c r="E3863">
        <v>0.49909559999999997</v>
      </c>
      <c r="F3863" t="s">
        <v>78</v>
      </c>
      <c r="G3863">
        <v>-312.90929999999997</v>
      </c>
      <c r="H3863">
        <v>7.9999329999999994E-2</v>
      </c>
      <c r="I3863">
        <v>220.81950000000001</v>
      </c>
      <c r="J3863">
        <v>-370.80059999999997</v>
      </c>
      <c r="K3863">
        <v>1.108544</v>
      </c>
      <c r="L3863">
        <v>214.62559999999999</v>
      </c>
      <c r="M3863">
        <v>0.99971290000000002</v>
      </c>
      <c r="N3863">
        <v>-9.0545560000000001E-3</v>
      </c>
      <c r="O3863">
        <v>2.2191789999999999E-2</v>
      </c>
      <c r="P3863">
        <v>0.99368789999999996</v>
      </c>
      <c r="Q3863">
        <v>-4.4726729999999999E-2</v>
      </c>
      <c r="R3863">
        <v>0.1028786</v>
      </c>
      <c r="S3863">
        <v>2.9838559999999998</v>
      </c>
      <c r="T3863">
        <v>-5.2594179999999997E-2</v>
      </c>
      <c r="U3863">
        <v>0.31724550000000001</v>
      </c>
      <c r="V3863">
        <v>-8.0821190000000001E-2</v>
      </c>
      <c r="W3863">
        <v>-3.5662480000000003E-2</v>
      </c>
      <c r="X3863">
        <v>0.99609040000000004</v>
      </c>
      <c r="Y3863">
        <v>-8.361172E-2</v>
      </c>
      <c r="Z3863">
        <v>9.2495269999999996E-4</v>
      </c>
      <c r="AA3863">
        <v>0.99649799999999999</v>
      </c>
      <c r="AB3863">
        <v>46</v>
      </c>
      <c r="AC3863">
        <v>57.891300000000001</v>
      </c>
      <c r="AD3863">
        <v>-1.02854467</v>
      </c>
      <c r="AE3863">
        <v>6.19390000000001</v>
      </c>
      <c r="AF3863">
        <v>-4.90607937024234</v>
      </c>
      <c r="AG3863">
        <v>-1.02854467</v>
      </c>
      <c r="AH3863">
        <v>57.996401439233303</v>
      </c>
      <c r="AI3863">
        <v>91.012397773132193</v>
      </c>
      <c r="AJ3863">
        <v>94.835299995215294</v>
      </c>
      <c r="AK3863">
        <v>58.212628344939098</v>
      </c>
      <c r="AL3863">
        <v>92.043742995448596</v>
      </c>
      <c r="AM3863">
        <v>94.638726591143694</v>
      </c>
      <c r="AN3863">
        <v>0.99999998110246302</v>
      </c>
    </row>
    <row r="3864" spans="1:40" x14ac:dyDescent="0.25">
      <c r="A3864" t="str">
        <f>"20190305135010414"</f>
        <v>20190305135010414</v>
      </c>
      <c r="B3864" t="str">
        <f>"1551765010404366"</f>
        <v>1551765010404366</v>
      </c>
      <c r="C3864" t="s">
        <v>40</v>
      </c>
      <c r="D3864">
        <v>3.723392</v>
      </c>
      <c r="E3864">
        <v>0.4989111</v>
      </c>
      <c r="F3864" t="s">
        <v>78</v>
      </c>
      <c r="G3864">
        <v>-312.26400000000001</v>
      </c>
      <c r="H3864">
        <v>7.9999429999999996E-2</v>
      </c>
      <c r="I3864">
        <v>220.87129999999999</v>
      </c>
      <c r="J3864">
        <v>-370.37169999999998</v>
      </c>
      <c r="K3864">
        <v>1.1085309999999999</v>
      </c>
      <c r="L3864">
        <v>214.63499999999999</v>
      </c>
      <c r="M3864">
        <v>0.99971659999999996</v>
      </c>
      <c r="N3864">
        <v>-9.0686210000000007E-3</v>
      </c>
      <c r="O3864">
        <v>2.2016500000000001E-2</v>
      </c>
      <c r="P3864">
        <v>0.99366019999999999</v>
      </c>
      <c r="Q3864">
        <v>-4.5073660000000002E-2</v>
      </c>
      <c r="R3864">
        <v>0.1029949</v>
      </c>
      <c r="S3864">
        <v>2.983765</v>
      </c>
      <c r="T3864">
        <v>-5.2427649999999999E-2</v>
      </c>
      <c r="U3864">
        <v>0.31835940000000001</v>
      </c>
      <c r="V3864">
        <v>-8.1113290000000005E-2</v>
      </c>
      <c r="W3864">
        <v>-3.599484E-2</v>
      </c>
      <c r="X3864">
        <v>0.99605469999999896</v>
      </c>
      <c r="Y3864">
        <v>-8.4157419999999997E-2</v>
      </c>
      <c r="Z3864">
        <v>9.3351410000000001E-4</v>
      </c>
      <c r="AA3864">
        <v>0.996452</v>
      </c>
      <c r="AB3864">
        <v>46</v>
      </c>
      <c r="AC3864">
        <v>58.107699999999902</v>
      </c>
      <c r="AD3864">
        <v>-1.02853157</v>
      </c>
      <c r="AE3864">
        <v>6.2363</v>
      </c>
      <c r="AF3864">
        <v>-4.9538732134763501</v>
      </c>
      <c r="AG3864">
        <v>-1.02853157</v>
      </c>
      <c r="AH3864">
        <v>58.212890371218997</v>
      </c>
      <c r="AI3864">
        <v>91.008577665968403</v>
      </c>
      <c r="AJ3864">
        <v>94.864108591609295</v>
      </c>
      <c r="AK3864">
        <v>58.432348424286701</v>
      </c>
      <c r="AL3864">
        <v>92.062798058096902</v>
      </c>
      <c r="AM3864">
        <v>94.655584214730098</v>
      </c>
      <c r="AN3864">
        <v>0.999999979856669</v>
      </c>
    </row>
    <row r="3865" spans="1:40" x14ac:dyDescent="0.25">
      <c r="A3865" t="str">
        <f>"20190305135010436"</f>
        <v>20190305135010436</v>
      </c>
      <c r="B3865" t="str">
        <f>"1551765010423882"</f>
        <v>1551765010423882</v>
      </c>
      <c r="C3865" t="s">
        <v>40</v>
      </c>
      <c r="D3865">
        <v>3.7284809999999999</v>
      </c>
      <c r="E3865">
        <v>0.49869950000000002</v>
      </c>
      <c r="F3865" t="s">
        <v>78</v>
      </c>
      <c r="G3865">
        <v>-313.36110000000002</v>
      </c>
      <c r="H3865">
        <v>7.9999310000000004E-2</v>
      </c>
      <c r="I3865">
        <v>220.75630000000001</v>
      </c>
      <c r="J3865">
        <v>-369.90940000000001</v>
      </c>
      <c r="K3865">
        <v>1.108527</v>
      </c>
      <c r="L3865">
        <v>214.64510000000001</v>
      </c>
      <c r="M3865">
        <v>0.99972050000000001</v>
      </c>
      <c r="N3865">
        <v>-9.083341E-3</v>
      </c>
      <c r="O3865">
        <v>2.1829000000000001E-2</v>
      </c>
      <c r="P3865">
        <v>0.99366569999999999</v>
      </c>
      <c r="Q3865">
        <v>-4.5131020000000001E-2</v>
      </c>
      <c r="R3865">
        <v>0.1029149</v>
      </c>
      <c r="S3865">
        <v>2.9835210000000001</v>
      </c>
      <c r="T3865">
        <v>-5.3825860000000003E-2</v>
      </c>
      <c r="U3865">
        <v>0.32034299999999999</v>
      </c>
      <c r="V3865">
        <v>-8.1220500000000001E-2</v>
      </c>
      <c r="W3865">
        <v>-3.6037069999999997E-2</v>
      </c>
      <c r="X3865">
        <v>0.9960445</v>
      </c>
      <c r="Y3865">
        <v>-8.5006860000000004E-2</v>
      </c>
      <c r="Z3865">
        <v>9.570402E-4</v>
      </c>
      <c r="AA3865">
        <v>0.99637989999999999</v>
      </c>
      <c r="AB3865">
        <v>46</v>
      </c>
      <c r="AC3865">
        <v>56.548299999999898</v>
      </c>
      <c r="AD3865">
        <v>-1.02852769</v>
      </c>
      <c r="AE3865">
        <v>6.1111999999999904</v>
      </c>
      <c r="AF3865">
        <v>-4.8737062756140102</v>
      </c>
      <c r="AG3865">
        <v>-1.02852769</v>
      </c>
      <c r="AH3865">
        <v>56.649706833960899</v>
      </c>
      <c r="AI3865">
        <v>91.036316186219693</v>
      </c>
      <c r="AJ3865">
        <v>94.9171816579519</v>
      </c>
      <c r="AK3865">
        <v>56.8682702958668</v>
      </c>
      <c r="AL3865">
        <v>92.065219099258002</v>
      </c>
      <c r="AM3865">
        <v>94.661758072803295</v>
      </c>
      <c r="AN3865">
        <v>1.0000000430073399</v>
      </c>
    </row>
    <row r="3866" spans="1:40" x14ac:dyDescent="0.25">
      <c r="A3866" t="str">
        <f>"20190305135010460"</f>
        <v>20190305135010460</v>
      </c>
      <c r="B3866" t="str">
        <f>"1551765010454138"</f>
        <v>1551765010454138</v>
      </c>
      <c r="C3866" t="s">
        <v>40</v>
      </c>
      <c r="D3866">
        <v>3.7607059999999999</v>
      </c>
      <c r="E3866">
        <v>0.4984249</v>
      </c>
      <c r="F3866" t="s">
        <v>78</v>
      </c>
      <c r="G3866">
        <v>-312.91239999999999</v>
      </c>
      <c r="H3866">
        <v>7.9999340000000002E-2</v>
      </c>
      <c r="I3866">
        <v>220.79400000000001</v>
      </c>
      <c r="J3866">
        <v>-369.40539999999999</v>
      </c>
      <c r="K3866">
        <v>1.108525</v>
      </c>
      <c r="L3866">
        <v>214.65600000000001</v>
      </c>
      <c r="M3866">
        <v>0.99972470000000002</v>
      </c>
      <c r="N3866">
        <v>-9.0992069999999998E-3</v>
      </c>
      <c r="O3866">
        <v>2.1626800000000002E-2</v>
      </c>
      <c r="P3866">
        <v>0.99369240000000003</v>
      </c>
      <c r="Q3866">
        <v>-4.5121939999999999E-2</v>
      </c>
      <c r="R3866">
        <v>0.10266210000000001</v>
      </c>
      <c r="S3866">
        <v>2.983276</v>
      </c>
      <c r="T3866">
        <v>-5.3834079999999999E-2</v>
      </c>
      <c r="U3866">
        <v>0.32183840000000002</v>
      </c>
      <c r="V3866">
        <v>-8.1168329999999997E-2</v>
      </c>
      <c r="W3866">
        <v>-3.6011950000000001E-2</v>
      </c>
      <c r="X3866">
        <v>0.99604959999999998</v>
      </c>
      <c r="Y3866">
        <v>-8.5710529999999993E-2</v>
      </c>
      <c r="Z3866">
        <v>9.6948569999999999E-4</v>
      </c>
      <c r="AA3866">
        <v>0.99631959999999997</v>
      </c>
      <c r="AB3866">
        <v>47</v>
      </c>
      <c r="AC3866">
        <v>56.493000000000002</v>
      </c>
      <c r="AD3866">
        <v>-1.0285256599999999</v>
      </c>
      <c r="AE3866">
        <v>6.1380000000000301</v>
      </c>
      <c r="AF3866">
        <v>-4.9131413390097203</v>
      </c>
      <c r="AG3866">
        <v>-1.0285256599999999</v>
      </c>
      <c r="AH3866">
        <v>56.593996539675999</v>
      </c>
      <c r="AI3866">
        <v>91.037264527009299</v>
      </c>
      <c r="AJ3866">
        <v>94.961626092578797</v>
      </c>
      <c r="AK3866">
        <v>56.816170824715201</v>
      </c>
      <c r="AL3866">
        <v>92.063779020473604</v>
      </c>
      <c r="AM3866">
        <v>94.658753142513902</v>
      </c>
      <c r="AN3866">
        <v>0.999999981998975</v>
      </c>
    </row>
    <row r="3867" spans="1:40" x14ac:dyDescent="0.25">
      <c r="A3867" t="str">
        <f>"20190305135010483"</f>
        <v>20190305135010483</v>
      </c>
      <c r="B3867" t="str">
        <f>"1551765010474635"</f>
        <v>1551765010474635</v>
      </c>
      <c r="C3867" t="s">
        <v>40</v>
      </c>
      <c r="D3867">
        <v>3.7617219999999998</v>
      </c>
      <c r="E3867">
        <v>0.49825560000000002</v>
      </c>
      <c r="F3867" t="s">
        <v>78</v>
      </c>
      <c r="G3867">
        <v>-312.77429999999998</v>
      </c>
      <c r="H3867">
        <v>7.9999360000000005E-2</v>
      </c>
      <c r="I3867">
        <v>220.7937</v>
      </c>
      <c r="J3867">
        <v>-368.935</v>
      </c>
      <c r="K3867">
        <v>1.1085309999999999</v>
      </c>
      <c r="L3867">
        <v>214.666</v>
      </c>
      <c r="M3867">
        <v>0.99972870000000003</v>
      </c>
      <c r="N3867">
        <v>-9.1139410000000004E-3</v>
      </c>
      <c r="O3867">
        <v>2.143981E-2</v>
      </c>
      <c r="P3867">
        <v>0.99372419999999995</v>
      </c>
      <c r="Q3867">
        <v>-4.4728579999999997E-2</v>
      </c>
      <c r="R3867">
        <v>0.1025276</v>
      </c>
      <c r="S3867">
        <v>2.9831539999999999</v>
      </c>
      <c r="T3867">
        <v>-5.4179669999999999E-2</v>
      </c>
      <c r="U3867">
        <v>0.32331850000000001</v>
      </c>
      <c r="V3867">
        <v>-8.1219399999999997E-2</v>
      </c>
      <c r="W3867">
        <v>-3.5603750000000003E-2</v>
      </c>
      <c r="X3867">
        <v>0.9960601</v>
      </c>
      <c r="Y3867">
        <v>-8.6389450000000007E-2</v>
      </c>
      <c r="Z3867">
        <v>9.8383379999999999E-4</v>
      </c>
      <c r="AA3867">
        <v>0.9962609</v>
      </c>
      <c r="AB3867">
        <v>47</v>
      </c>
      <c r="AC3867">
        <v>56.160699999999999</v>
      </c>
      <c r="AD3867">
        <v>-1.02853164</v>
      </c>
      <c r="AE3867">
        <v>6.1276999999999999</v>
      </c>
      <c r="AF3867">
        <v>-4.9205357908486196</v>
      </c>
      <c r="AG3867">
        <v>-1.02853164</v>
      </c>
      <c r="AH3867">
        <v>56.260523958704397</v>
      </c>
      <c r="AI3867">
        <v>91.043359129682202</v>
      </c>
      <c r="AJ3867">
        <v>94.998360434606397</v>
      </c>
      <c r="AK3867">
        <v>56.4846537203819</v>
      </c>
      <c r="AL3867">
        <v>92.0403758978117</v>
      </c>
      <c r="AM3867">
        <v>94.661622526785706</v>
      </c>
      <c r="AN3867">
        <v>0.99999997038121502</v>
      </c>
    </row>
    <row r="3868" spans="1:40" x14ac:dyDescent="0.25">
      <c r="A3868" t="str">
        <f>"20190305135010504"</f>
        <v>20190305135010504</v>
      </c>
      <c r="B3868" t="str">
        <f>"1551765010494154"</f>
        <v>1551765010494154</v>
      </c>
      <c r="C3868" t="s">
        <v>40</v>
      </c>
      <c r="D3868">
        <v>3.768869</v>
      </c>
      <c r="E3868">
        <v>0.4981759</v>
      </c>
      <c r="F3868" t="s">
        <v>78</v>
      </c>
      <c r="G3868">
        <v>-311.00790000000001</v>
      </c>
      <c r="H3868">
        <v>7.9999310000000004E-2</v>
      </c>
      <c r="I3868">
        <v>220.96180000000001</v>
      </c>
      <c r="J3868">
        <v>-368.48480000000001</v>
      </c>
      <c r="K3868">
        <v>1.108535</v>
      </c>
      <c r="L3868">
        <v>214.6756</v>
      </c>
      <c r="M3868">
        <v>0.99973239999999997</v>
      </c>
      <c r="N3868">
        <v>-9.1281399999999999E-3</v>
      </c>
      <c r="O3868">
        <v>2.1262119999999999E-2</v>
      </c>
      <c r="P3868">
        <v>0.99376089999999995</v>
      </c>
      <c r="Q3868">
        <v>-4.4145009999999998E-2</v>
      </c>
      <c r="R3868">
        <v>0.1024243</v>
      </c>
      <c r="S3868">
        <v>2.9831240000000001</v>
      </c>
      <c r="T3868">
        <v>-5.2967189999999997E-2</v>
      </c>
      <c r="U3868">
        <v>0.32421879999999997</v>
      </c>
      <c r="V3868">
        <v>-8.1291879999999997E-2</v>
      </c>
      <c r="W3868">
        <v>-3.5005849999999998E-2</v>
      </c>
      <c r="X3868">
        <v>0.99607540000000006</v>
      </c>
      <c r="Y3868">
        <v>-8.6865319999999996E-2</v>
      </c>
      <c r="Z3868">
        <v>9.83851E-4</v>
      </c>
      <c r="AA3868">
        <v>0.99621959999999998</v>
      </c>
      <c r="AB3868">
        <v>47</v>
      </c>
      <c r="AC3868">
        <v>57.476900000000001</v>
      </c>
      <c r="AD3868">
        <v>-1.02853569</v>
      </c>
      <c r="AE3868">
        <v>6.2862</v>
      </c>
      <c r="AF3868">
        <v>-5.0610457953141399</v>
      </c>
      <c r="AG3868">
        <v>-1.02853569</v>
      </c>
      <c r="AH3868">
        <v>57.579348659195801</v>
      </c>
      <c r="AI3868">
        <v>91.019431893437499</v>
      </c>
      <c r="AJ3868">
        <v>95.023211277825098</v>
      </c>
      <c r="AK3868">
        <v>57.810496125055899</v>
      </c>
      <c r="AL3868">
        <v>92.006097339030802</v>
      </c>
      <c r="AM3868">
        <v>94.665692838163906</v>
      </c>
      <c r="AN3868">
        <v>0.99999999088665803</v>
      </c>
    </row>
    <row r="3869" spans="1:40" x14ac:dyDescent="0.25">
      <c r="A3869" t="str">
        <f>"20190305135010526"</f>
        <v>20190305135010526</v>
      </c>
      <c r="B3869" t="str">
        <f>"1551765010514650"</f>
        <v>1551765010514650</v>
      </c>
      <c r="C3869" t="s">
        <v>40</v>
      </c>
      <c r="D3869">
        <v>3.778416</v>
      </c>
      <c r="E3869">
        <v>0.49798730000000002</v>
      </c>
      <c r="F3869" t="s">
        <v>78</v>
      </c>
      <c r="G3869">
        <v>-303.88630000000001</v>
      </c>
      <c r="H3869" s="1">
        <v>1.4078019999999999E-6</v>
      </c>
      <c r="I3869">
        <v>221.7063</v>
      </c>
      <c r="J3869">
        <v>-368.04489999999998</v>
      </c>
      <c r="K3869">
        <v>1.1085400000000001</v>
      </c>
      <c r="L3869">
        <v>214.6848</v>
      </c>
      <c r="M3869">
        <v>0.99973590000000001</v>
      </c>
      <c r="N3869">
        <v>-9.1421249999999992E-3</v>
      </c>
      <c r="O3869">
        <v>2.1089730000000001E-2</v>
      </c>
      <c r="P3869">
        <v>0.99376359999999997</v>
      </c>
      <c r="Q3869">
        <v>-4.3749400000000001E-2</v>
      </c>
      <c r="R3869">
        <v>0.102567699999999</v>
      </c>
      <c r="S3869">
        <v>2.9831240000000001</v>
      </c>
      <c r="T3869">
        <v>-5.1191449999999999E-2</v>
      </c>
      <c r="U3869">
        <v>0.32467649999999998</v>
      </c>
      <c r="V3869">
        <v>-8.1606509999999993E-2</v>
      </c>
      <c r="W3869">
        <v>-3.4596189999999999E-2</v>
      </c>
      <c r="X3869">
        <v>0.99606399999999995</v>
      </c>
      <c r="Y3869">
        <v>-8.718911E-2</v>
      </c>
      <c r="Z3869">
        <v>9.772228999999999E-4</v>
      </c>
      <c r="AA3869">
        <v>0.9961913</v>
      </c>
      <c r="AB3869">
        <v>47</v>
      </c>
      <c r="AC3869">
        <v>64.158599999999893</v>
      </c>
      <c r="AD3869">
        <v>-1.10853859219799</v>
      </c>
      <c r="AE3869">
        <v>7.0214999999999996</v>
      </c>
      <c r="AF3869">
        <v>-5.6651230410734996</v>
      </c>
      <c r="AG3869">
        <v>-1.10853859219799</v>
      </c>
      <c r="AH3869">
        <v>64.273456174600199</v>
      </c>
      <c r="AI3869">
        <v>90.984279886334207</v>
      </c>
      <c r="AJ3869">
        <v>95.037086870035296</v>
      </c>
      <c r="AK3869">
        <v>64.532159777192803</v>
      </c>
      <c r="AL3869">
        <v>91.982611294304107</v>
      </c>
      <c r="AM3869">
        <v>94.683723997048006</v>
      </c>
      <c r="AN3869">
        <v>1.00000000546644</v>
      </c>
    </row>
    <row r="3870" spans="1:40" x14ac:dyDescent="0.25">
      <c r="A3870" t="str">
        <f>"20190305135010540"</f>
        <v>20190305135010540</v>
      </c>
      <c r="B3870" t="str">
        <f>"1551765010534170"</f>
        <v>1551765010534170</v>
      </c>
      <c r="C3870" t="s">
        <v>40</v>
      </c>
      <c r="D3870">
        <v>3.6706699999999999</v>
      </c>
      <c r="E3870">
        <v>0.49804739999999997</v>
      </c>
      <c r="F3870" t="s">
        <v>78</v>
      </c>
      <c r="G3870">
        <v>-302.2518</v>
      </c>
      <c r="H3870" s="1">
        <v>1.6505300000000001E-6</v>
      </c>
      <c r="I3870">
        <v>221.8837</v>
      </c>
      <c r="J3870">
        <v>-367.76</v>
      </c>
      <c r="K3870">
        <v>1.108538</v>
      </c>
      <c r="L3870">
        <v>214.6908</v>
      </c>
      <c r="M3870">
        <v>0.99973809999999996</v>
      </c>
      <c r="N3870">
        <v>-9.1511639999999998E-3</v>
      </c>
      <c r="O3870">
        <v>2.0978770000000001E-2</v>
      </c>
      <c r="P3870">
        <v>0.9937319</v>
      </c>
      <c r="Q3870">
        <v>-4.3822809999999997E-2</v>
      </c>
      <c r="R3870">
        <v>0.10284219999999999</v>
      </c>
      <c r="S3870">
        <v>2.9829409999999998</v>
      </c>
      <c r="T3870">
        <v>-5.0259110000000003E-2</v>
      </c>
      <c r="U3870">
        <v>0.3263855</v>
      </c>
      <c r="V3870">
        <v>-8.1991990000000001E-2</v>
      </c>
      <c r="W3870">
        <v>-3.4660660000000003E-2</v>
      </c>
      <c r="X3870">
        <v>0.99603010000000003</v>
      </c>
      <c r="Y3870">
        <v>-8.7870619999999997E-2</v>
      </c>
      <c r="Z3870">
        <v>9.8051379999999997E-4</v>
      </c>
      <c r="AA3870">
        <v>0.9961314</v>
      </c>
      <c r="AB3870">
        <v>47</v>
      </c>
      <c r="AC3870">
        <v>65.508199999999903</v>
      </c>
      <c r="AD3870">
        <v>-1.10853634947</v>
      </c>
      <c r="AE3870">
        <v>7.1928999999999998</v>
      </c>
      <c r="AF3870">
        <v>-5.8153325129835602</v>
      </c>
      <c r="AG3870">
        <v>-1.10853634947</v>
      </c>
      <c r="AH3870">
        <v>65.626117685274593</v>
      </c>
      <c r="AI3870">
        <v>90.963954284748397</v>
      </c>
      <c r="AJ3870">
        <v>95.063928759190702</v>
      </c>
      <c r="AK3870">
        <v>65.892596454504499</v>
      </c>
      <c r="AL3870">
        <v>91.986307372919399</v>
      </c>
      <c r="AM3870">
        <v>94.705908551160206</v>
      </c>
      <c r="AN3870">
        <v>1.0000000039409001</v>
      </c>
    </row>
    <row r="3871" spans="1:40" x14ac:dyDescent="0.25">
      <c r="A3871" t="str">
        <f>"20190305135010561"</f>
        <v>20190305135010561</v>
      </c>
      <c r="B3871" t="str">
        <f>"1551765010554666"</f>
        <v>1551765010554666</v>
      </c>
      <c r="C3871" t="s">
        <v>40</v>
      </c>
      <c r="D3871">
        <v>3.7660960000000001</v>
      </c>
      <c r="E3871">
        <v>0.47847149999999999</v>
      </c>
      <c r="F3871" t="s">
        <v>78</v>
      </c>
      <c r="G3871">
        <v>-301.04770000000002</v>
      </c>
      <c r="H3871" s="1">
        <v>1.83247E-6</v>
      </c>
      <c r="I3871">
        <v>222.0026</v>
      </c>
      <c r="J3871">
        <v>-367.30880000000002</v>
      </c>
      <c r="K3871">
        <v>1.108536</v>
      </c>
      <c r="L3871">
        <v>214.7002</v>
      </c>
      <c r="M3871">
        <v>0.99974169999999996</v>
      </c>
      <c r="N3871">
        <v>-9.1654049999999997E-3</v>
      </c>
      <c r="O3871">
        <v>2.0803749999999999E-2</v>
      </c>
      <c r="P3871">
        <v>0.99368509999999999</v>
      </c>
      <c r="Q3871">
        <v>-4.4194009999999999E-2</v>
      </c>
      <c r="R3871">
        <v>0.10313659999999999</v>
      </c>
      <c r="S3871">
        <v>2.98291</v>
      </c>
      <c r="T3871">
        <v>-4.9566029999999997E-2</v>
      </c>
      <c r="U3871">
        <v>0.32693480000000003</v>
      </c>
      <c r="V3871">
        <v>-8.2462099999999997E-2</v>
      </c>
      <c r="W3871">
        <v>-3.5017810000000003E-2</v>
      </c>
      <c r="X3871">
        <v>0.99597880000000005</v>
      </c>
      <c r="Y3871">
        <v>-8.8227680000000003E-2</v>
      </c>
      <c r="Z3871">
        <v>9.8201800000000008E-4</v>
      </c>
      <c r="AA3871">
        <v>0.99609979999999998</v>
      </c>
      <c r="AB3871">
        <v>47</v>
      </c>
      <c r="AC3871">
        <v>66.261099999999999</v>
      </c>
      <c r="AD3871">
        <v>-1.10853416753</v>
      </c>
      <c r="AE3871">
        <v>7.3023999999999996</v>
      </c>
      <c r="AF3871">
        <v>-5.9206451742189001</v>
      </c>
      <c r="AG3871">
        <v>-1.10853416753</v>
      </c>
      <c r="AH3871">
        <v>66.380326172323194</v>
      </c>
      <c r="AI3871">
        <v>90.952953343085497</v>
      </c>
      <c r="AJ3871">
        <v>95.0968820189604</v>
      </c>
      <c r="AK3871">
        <v>66.653061370229594</v>
      </c>
      <c r="AL3871">
        <v>92.006782983594505</v>
      </c>
      <c r="AM3871">
        <v>94.733010833992793</v>
      </c>
      <c r="AN3871">
        <v>1.0000000075015201</v>
      </c>
    </row>
    <row r="3872" spans="1:40" x14ac:dyDescent="0.25">
      <c r="A3872" t="str">
        <f>"20190305135010583"</f>
        <v>20190305135010583</v>
      </c>
      <c r="B3872" t="str">
        <f>"1551765010574186"</f>
        <v>1551765010574186</v>
      </c>
      <c r="C3872" t="s">
        <v>40</v>
      </c>
      <c r="D3872">
        <v>3.7715920000000001</v>
      </c>
      <c r="E3872">
        <v>0.47778720000000002</v>
      </c>
      <c r="F3872" t="s">
        <v>92</v>
      </c>
      <c r="G3872">
        <v>-274.99669999999998</v>
      </c>
      <c r="H3872">
        <v>5.0416210000000001</v>
      </c>
      <c r="I3872">
        <v>229.88890000000001</v>
      </c>
      <c r="J3872">
        <v>-366.82600000000002</v>
      </c>
      <c r="K3872">
        <v>1.1085290000000001</v>
      </c>
      <c r="L3872">
        <v>214.71010000000001</v>
      </c>
      <c r="M3872">
        <v>0.9997452</v>
      </c>
      <c r="N3872">
        <v>-9.1806040000000002E-3</v>
      </c>
      <c r="O3872">
        <v>2.0617650000000001E-2</v>
      </c>
      <c r="P3872">
        <v>0.99367609999999995</v>
      </c>
      <c r="Q3872">
        <v>-4.4100809999999997E-2</v>
      </c>
      <c r="R3872">
        <v>0.1032612</v>
      </c>
      <c r="S3872">
        <v>2.9739070000000001</v>
      </c>
      <c r="T3872">
        <v>0.1267083</v>
      </c>
      <c r="U3872">
        <v>0.4893188</v>
      </c>
      <c r="V3872">
        <v>-8.277205E-2</v>
      </c>
      <c r="W3872">
        <v>-3.4909410000000002E-2</v>
      </c>
      <c r="X3872">
        <v>0.99595690000000003</v>
      </c>
      <c r="Y3872">
        <v>-0.14190410000000001</v>
      </c>
      <c r="Z3872">
        <v>-1.285743E-3</v>
      </c>
      <c r="AA3872">
        <v>0.98987959999999997</v>
      </c>
      <c r="AB3872">
        <v>47</v>
      </c>
      <c r="AC3872">
        <v>91.829300000000003</v>
      </c>
      <c r="AD3872">
        <v>3.9330919999999998</v>
      </c>
      <c r="AE3872">
        <v>15.178799999999899</v>
      </c>
      <c r="AF3872">
        <v>-13.258513696474999</v>
      </c>
      <c r="AG3872">
        <v>3.9330919999999998</v>
      </c>
      <c r="AH3872">
        <v>91.958536137712599</v>
      </c>
      <c r="AI3872">
        <v>87.575971290394193</v>
      </c>
      <c r="AJ3872">
        <v>98.204325275226196</v>
      </c>
      <c r="AK3872">
        <v>92.992632862560995</v>
      </c>
      <c r="AL3872">
        <v>92.000568310578103</v>
      </c>
      <c r="AM3872">
        <v>94.750823495787401</v>
      </c>
      <c r="AN3872">
        <v>1.00000001291268</v>
      </c>
    </row>
    <row r="3873" spans="1:40" x14ac:dyDescent="0.25">
      <c r="A3873" t="str">
        <f>"20190305135010604"</f>
        <v>20190305135010604</v>
      </c>
      <c r="B3873" t="str">
        <f>"1551765010594683"</f>
        <v>1551765010594683</v>
      </c>
      <c r="C3873" t="s">
        <v>40</v>
      </c>
      <c r="D3873">
        <v>3.7328049999999999</v>
      </c>
      <c r="E3873">
        <v>0.47773979999999999</v>
      </c>
      <c r="F3873" t="s">
        <v>92</v>
      </c>
      <c r="G3873">
        <v>-274.99669999999998</v>
      </c>
      <c r="H3873">
        <v>4.6943020000000004</v>
      </c>
      <c r="I3873">
        <v>229.9966</v>
      </c>
      <c r="J3873">
        <v>-366.40210000000002</v>
      </c>
      <c r="K3873">
        <v>1.108527</v>
      </c>
      <c r="L3873">
        <v>214.71879999999999</v>
      </c>
      <c r="M3873">
        <v>0.99974859999999999</v>
      </c>
      <c r="N3873">
        <v>-9.1939229999999997E-3</v>
      </c>
      <c r="O3873">
        <v>2.045421E-2</v>
      </c>
      <c r="P3873">
        <v>0.99372210000000005</v>
      </c>
      <c r="Q3873">
        <v>-4.393068E-2</v>
      </c>
      <c r="R3873">
        <v>0.1028913</v>
      </c>
      <c r="S3873">
        <v>2.9728089999999998</v>
      </c>
      <c r="T3873">
        <v>0.1160839</v>
      </c>
      <c r="U3873">
        <v>0.49487300000000001</v>
      </c>
      <c r="V3873">
        <v>-8.2564090000000007E-2</v>
      </c>
      <c r="W3873">
        <v>-3.4725859999999997E-2</v>
      </c>
      <c r="X3873">
        <v>0.99598059999999999</v>
      </c>
      <c r="Y3873">
        <v>-0.14393719999999999</v>
      </c>
      <c r="Z3873">
        <v>-1.1442760000000001E-3</v>
      </c>
      <c r="AA3873">
        <v>0.98958619999999997</v>
      </c>
      <c r="AB3873">
        <v>47</v>
      </c>
      <c r="AC3873">
        <v>91.4054</v>
      </c>
      <c r="AD3873">
        <v>3.5857749999999902</v>
      </c>
      <c r="AE3873">
        <v>15.277799999999999</v>
      </c>
      <c r="AF3873">
        <v>-13.3848606485685</v>
      </c>
      <c r="AG3873">
        <v>3.5857749999999902</v>
      </c>
      <c r="AH3873">
        <v>91.561705404024195</v>
      </c>
      <c r="AI3873">
        <v>87.780868413122306</v>
      </c>
      <c r="AJ3873">
        <v>98.316819942419997</v>
      </c>
      <c r="AK3873">
        <v>92.604309691425996</v>
      </c>
      <c r="AL3873">
        <v>91.990045246216795</v>
      </c>
      <c r="AM3873">
        <v>94.738829503410798</v>
      </c>
      <c r="AN3873">
        <v>1.00000003494331</v>
      </c>
    </row>
    <row r="3874" spans="1:40" x14ac:dyDescent="0.25">
      <c r="A3874" t="str">
        <f>"20190305135010626"</f>
        <v>20190305135010626</v>
      </c>
      <c r="B3874" t="str">
        <f>"1551765010623962"</f>
        <v>1551765010623962</v>
      </c>
      <c r="C3874" t="s">
        <v>40</v>
      </c>
      <c r="D3874">
        <v>3.6925680000000001</v>
      </c>
      <c r="E3874">
        <v>0.47734339999999997</v>
      </c>
      <c r="F3874" t="s">
        <v>92</v>
      </c>
      <c r="G3874">
        <v>-274.99669999999998</v>
      </c>
      <c r="H3874">
        <v>4.3964829999999999</v>
      </c>
      <c r="I3874">
        <v>229.90710000000001</v>
      </c>
      <c r="J3874">
        <v>-365.93790000000001</v>
      </c>
      <c r="K3874">
        <v>1.108519</v>
      </c>
      <c r="L3874">
        <v>214.72810000000001</v>
      </c>
      <c r="M3874">
        <v>0.99975210000000003</v>
      </c>
      <c r="N3874">
        <v>-9.2084899999999997E-3</v>
      </c>
      <c r="O3874">
        <v>2.0275080000000001E-2</v>
      </c>
      <c r="P3874">
        <v>0.99384280000000003</v>
      </c>
      <c r="Q3874">
        <v>-4.355345E-2</v>
      </c>
      <c r="R3874">
        <v>0.10188079999999999</v>
      </c>
      <c r="S3874">
        <v>2.9725039999999998</v>
      </c>
      <c r="T3874">
        <v>0.1069252</v>
      </c>
      <c r="U3874">
        <v>0.493927</v>
      </c>
      <c r="V3874">
        <v>-8.1729309999999999E-2</v>
      </c>
      <c r="W3874">
        <v>-3.4333799999999998E-2</v>
      </c>
      <c r="X3874">
        <v>0.99606300000000003</v>
      </c>
      <c r="Y3874">
        <v>-0.14383570000000001</v>
      </c>
      <c r="Z3874">
        <v>-9.9238920000000006E-4</v>
      </c>
      <c r="AA3874">
        <v>0.98960110000000001</v>
      </c>
      <c r="AB3874">
        <v>47</v>
      </c>
      <c r="AC3874">
        <v>90.941199999999995</v>
      </c>
      <c r="AD3874">
        <v>3.2879640000000001</v>
      </c>
      <c r="AE3874">
        <v>15.179</v>
      </c>
      <c r="AF3874">
        <v>-13.315028083902501</v>
      </c>
      <c r="AG3874">
        <v>3.2879640000000001</v>
      </c>
      <c r="AH3874">
        <v>91.114398897859502</v>
      </c>
      <c r="AI3874">
        <v>87.955016861782994</v>
      </c>
      <c r="AJ3874">
        <v>98.314084171121095</v>
      </c>
      <c r="AK3874">
        <v>92.140839841292305</v>
      </c>
      <c r="AL3874">
        <v>91.9675685386227</v>
      </c>
      <c r="AM3874">
        <v>94.690745241314502</v>
      </c>
      <c r="AN3874">
        <v>0.999999994952258</v>
      </c>
    </row>
    <row r="3875" spans="1:40" x14ac:dyDescent="0.25">
      <c r="A3875" t="str">
        <f>"20190305135010649"</f>
        <v>20190305135010649</v>
      </c>
      <c r="B3875" t="str">
        <f>"1551765010644457"</f>
        <v>1551765010644457</v>
      </c>
      <c r="C3875" t="s">
        <v>40</v>
      </c>
      <c r="D3875">
        <v>3.7136</v>
      </c>
      <c r="E3875">
        <v>0.47729569999999999</v>
      </c>
      <c r="F3875" t="s">
        <v>92</v>
      </c>
      <c r="G3875">
        <v>-274.99669999999998</v>
      </c>
      <c r="H3875">
        <v>4.3114210000000002</v>
      </c>
      <c r="I3875">
        <v>229.8434</v>
      </c>
      <c r="J3875">
        <v>-365.46080000000001</v>
      </c>
      <c r="K3875">
        <v>1.1085039999999999</v>
      </c>
      <c r="L3875">
        <v>214.73769999999999</v>
      </c>
      <c r="M3875">
        <v>0.99975559999999997</v>
      </c>
      <c r="N3875">
        <v>-9.2234480000000004E-3</v>
      </c>
      <c r="O3875">
        <v>2.0091129999999999E-2</v>
      </c>
      <c r="P3875">
        <v>0.99390420000000002</v>
      </c>
      <c r="Q3875">
        <v>-4.4324330000000002E-2</v>
      </c>
      <c r="R3875">
        <v>0.10094409999999999</v>
      </c>
      <c r="S3875">
        <v>2.972534</v>
      </c>
      <c r="T3875">
        <v>0.10469199999999999</v>
      </c>
      <c r="U3875">
        <v>0.49406430000000001</v>
      </c>
      <c r="V3875">
        <v>-8.09753E-2</v>
      </c>
      <c r="W3875">
        <v>-3.5089950000000002E-2</v>
      </c>
      <c r="X3875">
        <v>0.99609820000000004</v>
      </c>
      <c r="Y3875">
        <v>-0.14406289999999999</v>
      </c>
      <c r="Z3875">
        <v>-9.6350649999999999E-4</v>
      </c>
      <c r="AA3875">
        <v>0.98956809999999995</v>
      </c>
      <c r="AB3875">
        <v>47</v>
      </c>
      <c r="AC3875">
        <v>90.464100000000002</v>
      </c>
      <c r="AD3875">
        <v>3.2029169999999998</v>
      </c>
      <c r="AE3875">
        <v>15.105700000000001</v>
      </c>
      <c r="AF3875">
        <v>-13.268865487146</v>
      </c>
      <c r="AG3875">
        <v>3.2029169999999998</v>
      </c>
      <c r="AH3875">
        <v>90.638804531932806</v>
      </c>
      <c r="AI3875">
        <v>87.997498818508006</v>
      </c>
      <c r="AJ3875">
        <v>98.328528214975506</v>
      </c>
      <c r="AK3875">
        <v>91.660865998542604</v>
      </c>
      <c r="AL3875">
        <v>92.010918930569304</v>
      </c>
      <c r="AM3875">
        <v>94.647496779893501</v>
      </c>
      <c r="AN3875">
        <v>0.99999996392216495</v>
      </c>
    </row>
    <row r="3876" spans="1:40" x14ac:dyDescent="0.25">
      <c r="A3876" t="str">
        <f>"20190305135010672"</f>
        <v>20190305135010672</v>
      </c>
      <c r="B3876" t="str">
        <f>"1551765010664488"</f>
        <v>1551765010664488</v>
      </c>
      <c r="C3876" t="s">
        <v>40</v>
      </c>
      <c r="D3876">
        <v>3.714286</v>
      </c>
      <c r="E3876">
        <v>0.47717199999999999</v>
      </c>
      <c r="F3876" t="s">
        <v>92</v>
      </c>
      <c r="G3876">
        <v>-274.99669999999998</v>
      </c>
      <c r="H3876">
        <v>4.1865119999999996</v>
      </c>
      <c r="I3876">
        <v>229.70249999999999</v>
      </c>
      <c r="J3876">
        <v>-364.97039999999998</v>
      </c>
      <c r="K3876">
        <v>1.108501</v>
      </c>
      <c r="L3876">
        <v>214.7474</v>
      </c>
      <c r="M3876">
        <v>0.99975939999999996</v>
      </c>
      <c r="N3876">
        <v>-9.2387999999999897E-3</v>
      </c>
      <c r="O3876">
        <v>1.9901990000000001E-2</v>
      </c>
      <c r="P3876">
        <v>0.99391549999999995</v>
      </c>
      <c r="Q3876">
        <v>-4.5485390000000001E-2</v>
      </c>
      <c r="R3876">
        <v>0.1003169</v>
      </c>
      <c r="S3876">
        <v>2.972931</v>
      </c>
      <c r="T3876">
        <v>0.10115399999999999</v>
      </c>
      <c r="U3876">
        <v>0.49179079999999997</v>
      </c>
      <c r="V3876">
        <v>-8.0536919999999998E-2</v>
      </c>
      <c r="W3876">
        <v>-3.6236039999999997E-2</v>
      </c>
      <c r="X3876">
        <v>0.99609270000000005</v>
      </c>
      <c r="Y3876">
        <v>-0.14349629999999999</v>
      </c>
      <c r="Z3876">
        <v>-9.0182969999999996E-4</v>
      </c>
      <c r="AA3876">
        <v>0.98965040000000004</v>
      </c>
      <c r="AB3876">
        <v>47</v>
      </c>
      <c r="AC3876">
        <v>89.973699999999994</v>
      </c>
      <c r="AD3876">
        <v>3.0780110000000001</v>
      </c>
      <c r="AE3876">
        <v>14.9550999999999</v>
      </c>
      <c r="AF3876">
        <v>-13.146433795498201</v>
      </c>
      <c r="AG3876">
        <v>3.0780110000000001</v>
      </c>
      <c r="AH3876">
        <v>90.150856918075604</v>
      </c>
      <c r="AI3876">
        <v>88.064966705555804</v>
      </c>
      <c r="AJ3876">
        <v>98.296792629890504</v>
      </c>
      <c r="AK3876">
        <v>91.156348524493197</v>
      </c>
      <c r="AL3876">
        <v>92.076626870422203</v>
      </c>
      <c r="AM3876">
        <v>94.622471136461797</v>
      </c>
      <c r="AN3876">
        <v>0.99999995653562801</v>
      </c>
    </row>
    <row r="3877" spans="1:40" x14ac:dyDescent="0.25">
      <c r="A3877" t="str">
        <f>"20190305135010693"</f>
        <v>20190305135010693</v>
      </c>
      <c r="B3877" t="str">
        <f>"1551765010684004"</f>
        <v>1551765010684004</v>
      </c>
      <c r="C3877" t="s">
        <v>40</v>
      </c>
      <c r="D3877">
        <v>3.8020719999999999</v>
      </c>
      <c r="E3877">
        <v>0.47715020000000002</v>
      </c>
      <c r="F3877" t="s">
        <v>92</v>
      </c>
      <c r="G3877">
        <v>-274.99669999999998</v>
      </c>
      <c r="H3877">
        <v>4.0385600000000004</v>
      </c>
      <c r="I3877">
        <v>229.59399999999999</v>
      </c>
      <c r="J3877">
        <v>-364.50889999999998</v>
      </c>
      <c r="K3877">
        <v>1.1085050000000001</v>
      </c>
      <c r="L3877">
        <v>214.75649999999999</v>
      </c>
      <c r="M3877">
        <v>0.99976259999999995</v>
      </c>
      <c r="N3877">
        <v>-9.2531780000000008E-3</v>
      </c>
      <c r="O3877">
        <v>1.97243E-2</v>
      </c>
      <c r="P3877">
        <v>0.99384280000000003</v>
      </c>
      <c r="Q3877">
        <v>-4.6011059999999999E-2</v>
      </c>
      <c r="R3877">
        <v>0.1007946</v>
      </c>
      <c r="S3877">
        <v>2.973236</v>
      </c>
      <c r="T3877">
        <v>9.6826549999999997E-2</v>
      </c>
      <c r="U3877">
        <v>0.49061579999999999</v>
      </c>
      <c r="V3877">
        <v>-8.1193219999999997E-2</v>
      </c>
      <c r="W3877">
        <v>-3.674765E-2</v>
      </c>
      <c r="X3877">
        <v>0.99602069999999998</v>
      </c>
      <c r="Y3877">
        <v>-0.14327970000000001</v>
      </c>
      <c r="Z3877">
        <v>-8.3038579999999995E-4</v>
      </c>
      <c r="AA3877">
        <v>0.9896819</v>
      </c>
      <c r="AB3877">
        <v>47</v>
      </c>
      <c r="AC3877">
        <v>89.512200000000007</v>
      </c>
      <c r="AD3877">
        <v>2.9300549999999901</v>
      </c>
      <c r="AE3877">
        <v>14.8375</v>
      </c>
      <c r="AF3877">
        <v>-13.055357505466301</v>
      </c>
      <c r="AG3877">
        <v>2.9300549999999901</v>
      </c>
      <c r="AH3877">
        <v>89.693920487867004</v>
      </c>
      <c r="AI3877">
        <v>88.148465823832097</v>
      </c>
      <c r="AJ3877">
        <v>98.281503414888903</v>
      </c>
      <c r="AK3877">
        <v>90.686421003270198</v>
      </c>
      <c r="AL3877">
        <v>92.105959449540194</v>
      </c>
      <c r="AM3877">
        <v>94.660310064089202</v>
      </c>
      <c r="AN3877">
        <v>0.99999998179148997</v>
      </c>
    </row>
    <row r="3878" spans="1:40" x14ac:dyDescent="0.25">
      <c r="A3878" t="str">
        <f>"20190305135010716"</f>
        <v>20190305135010716</v>
      </c>
      <c r="B3878" t="str">
        <f>"1551765010704505"</f>
        <v>1551765010704505</v>
      </c>
      <c r="C3878" t="s">
        <v>40</v>
      </c>
      <c r="D3878">
        <v>3.6975440000000002</v>
      </c>
      <c r="E3878">
        <v>0.47700880000000001</v>
      </c>
      <c r="F3878" t="s">
        <v>92</v>
      </c>
      <c r="G3878">
        <v>-274.99669999999998</v>
      </c>
      <c r="H3878">
        <v>3.9743620000000002</v>
      </c>
      <c r="I3878">
        <v>229.57599999999999</v>
      </c>
      <c r="J3878">
        <v>-364.0532</v>
      </c>
      <c r="K3878">
        <v>1.1085160000000001</v>
      </c>
      <c r="L3878">
        <v>214.7654</v>
      </c>
      <c r="M3878">
        <v>0.99976589999999999</v>
      </c>
      <c r="N3878">
        <v>-9.2852190000000008E-3</v>
      </c>
      <c r="O3878">
        <v>1.9548900000000001E-2</v>
      </c>
      <c r="P3878">
        <v>0.99377420000000005</v>
      </c>
      <c r="Q3878">
        <v>-4.569202E-2</v>
      </c>
      <c r="R3878">
        <v>0.1016147</v>
      </c>
      <c r="S3878">
        <v>2.9730829999999999</v>
      </c>
      <c r="T3878">
        <v>9.5188620000000002E-2</v>
      </c>
      <c r="U3878">
        <v>0.49221799999999999</v>
      </c>
      <c r="V3878">
        <v>-8.2188769999999994E-2</v>
      </c>
      <c r="W3878">
        <v>-3.6396650000000003E-2</v>
      </c>
      <c r="X3878">
        <v>0.99595199999999995</v>
      </c>
      <c r="Y3878">
        <v>-0.143982</v>
      </c>
      <c r="Z3878">
        <v>-8.1412050000000005E-4</v>
      </c>
      <c r="AA3878">
        <v>0.98958000000000002</v>
      </c>
      <c r="AB3878">
        <v>47</v>
      </c>
      <c r="AC3878">
        <v>89.0565</v>
      </c>
      <c r="AD3878">
        <v>2.8658459999999999</v>
      </c>
      <c r="AE3878">
        <v>14.8105999999999</v>
      </c>
      <c r="AF3878">
        <v>-13.0535840759282</v>
      </c>
      <c r="AG3878">
        <v>2.8658459999999999</v>
      </c>
      <c r="AH3878">
        <v>89.239098248002094</v>
      </c>
      <c r="AI3878">
        <v>88.179976689863096</v>
      </c>
      <c r="AJ3878">
        <v>98.322006912879104</v>
      </c>
      <c r="AK3878">
        <v>90.234282767912603</v>
      </c>
      <c r="AL3878">
        <v>92.085835029095406</v>
      </c>
      <c r="AM3878">
        <v>94.717520018383397</v>
      </c>
      <c r="AN3878">
        <v>1.00000004817466</v>
      </c>
    </row>
    <row r="3879" spans="1:40" x14ac:dyDescent="0.25">
      <c r="A3879" t="str">
        <f>"20190305135010739"</f>
        <v>20190305135010739</v>
      </c>
      <c r="B3879" t="str">
        <f>"1551765010733780"</f>
        <v>1551765010733780</v>
      </c>
      <c r="C3879" t="s">
        <v>40</v>
      </c>
      <c r="D3879">
        <v>3.6793339999999999</v>
      </c>
      <c r="E3879">
        <v>0.47194730000000001</v>
      </c>
      <c r="F3879" t="s">
        <v>92</v>
      </c>
      <c r="G3879">
        <v>-274.99669999999998</v>
      </c>
      <c r="H3879">
        <v>4.0203860000000002</v>
      </c>
      <c r="I3879">
        <v>229.62110000000001</v>
      </c>
      <c r="J3879">
        <v>-363.5634</v>
      </c>
      <c r="K3879">
        <v>1.1085480000000001</v>
      </c>
      <c r="L3879">
        <v>214.7749</v>
      </c>
      <c r="M3879">
        <v>0.99976830000000005</v>
      </c>
      <c r="N3879">
        <v>-9.4210470000000001E-3</v>
      </c>
      <c r="O3879">
        <v>1.9359359999999999E-2</v>
      </c>
      <c r="P3879">
        <v>0.99360619999999999</v>
      </c>
      <c r="Q3879">
        <v>-4.570482E-2</v>
      </c>
      <c r="R3879">
        <v>0.10323740000000001</v>
      </c>
      <c r="S3879">
        <v>2.9725950000000001</v>
      </c>
      <c r="T3879">
        <v>9.7195509999999999E-2</v>
      </c>
      <c r="U3879">
        <v>0.4958649</v>
      </c>
      <c r="V3879">
        <v>-8.4003629999999996E-2</v>
      </c>
      <c r="W3879">
        <v>-3.627412E-2</v>
      </c>
      <c r="X3879">
        <v>0.99580500000000005</v>
      </c>
      <c r="Y3879">
        <v>-0.1453747</v>
      </c>
      <c r="Z3879">
        <v>-8.6075039999999902E-4</v>
      </c>
      <c r="AA3879">
        <v>0.98937629999999999</v>
      </c>
      <c r="AB3879">
        <v>47</v>
      </c>
      <c r="AC3879">
        <v>88.566699999999997</v>
      </c>
      <c r="AD3879">
        <v>2.9118379999999999</v>
      </c>
      <c r="AE3879">
        <v>14.8462</v>
      </c>
      <c r="AF3879">
        <v>-13.114958100770499</v>
      </c>
      <c r="AG3879">
        <v>2.9118379999999999</v>
      </c>
      <c r="AH3879">
        <v>88.744222246199399</v>
      </c>
      <c r="AI3879">
        <v>88.140886772968202</v>
      </c>
      <c r="AJ3879">
        <v>98.406540483720306</v>
      </c>
      <c r="AK3879">
        <v>89.755322452799703</v>
      </c>
      <c r="AL3879">
        <v>92.078810018306797</v>
      </c>
      <c r="AM3879">
        <v>94.821913021478906</v>
      </c>
      <c r="AN3879">
        <v>1.0000000098299699</v>
      </c>
    </row>
    <row r="3880" spans="1:40" x14ac:dyDescent="0.25">
      <c r="A3880" t="str">
        <f>"20190305135010762"</f>
        <v>20190305135010762</v>
      </c>
      <c r="B3880" t="str">
        <f>"1551765010754276"</f>
        <v>1551765010754276</v>
      </c>
      <c r="C3880" t="s">
        <v>40</v>
      </c>
      <c r="D3880">
        <v>3.6580159999999999</v>
      </c>
      <c r="E3880">
        <v>0.47169410000000001</v>
      </c>
      <c r="F3880" t="s">
        <v>92</v>
      </c>
      <c r="G3880">
        <v>-274.99669999999998</v>
      </c>
      <c r="H3880">
        <v>8.8047199999999997</v>
      </c>
      <c r="I3880">
        <v>231.06870000000001</v>
      </c>
      <c r="J3880">
        <v>-363.07069999999999</v>
      </c>
      <c r="K3880">
        <v>1.1086119999999999</v>
      </c>
      <c r="L3880">
        <v>214.7843</v>
      </c>
      <c r="M3880">
        <v>0.99976909999999997</v>
      </c>
      <c r="N3880">
        <v>-9.7205799999999995E-3</v>
      </c>
      <c r="O3880">
        <v>1.9169479999999999E-2</v>
      </c>
      <c r="P3880">
        <v>0.99348890000000001</v>
      </c>
      <c r="Q3880">
        <v>-4.5642160000000001E-2</v>
      </c>
      <c r="R3880">
        <v>0.10438799999999999</v>
      </c>
      <c r="S3880">
        <v>2.974335</v>
      </c>
      <c r="T3880">
        <v>0.25846140000000001</v>
      </c>
      <c r="U3880">
        <v>0.5471954</v>
      </c>
      <c r="V3880">
        <v>-8.5345130000000005E-2</v>
      </c>
      <c r="W3880">
        <v>-3.5912649999999997E-2</v>
      </c>
      <c r="X3880">
        <v>0.99570400000000003</v>
      </c>
      <c r="Y3880">
        <v>-0.16161410000000001</v>
      </c>
      <c r="Z3880">
        <v>-4.3248000000000002E-3</v>
      </c>
      <c r="AA3880">
        <v>0.98684450000000001</v>
      </c>
      <c r="AB3880">
        <v>47</v>
      </c>
      <c r="AC3880">
        <v>88.073999999999998</v>
      </c>
      <c r="AD3880">
        <v>7.6961079999999997</v>
      </c>
      <c r="AE3880">
        <v>16.284400000000002</v>
      </c>
      <c r="AF3880">
        <v>-14.4860408442806</v>
      </c>
      <c r="AG3880">
        <v>7.6961079999999997</v>
      </c>
      <c r="AH3880">
        <v>87.722316201262899</v>
      </c>
      <c r="AI3880">
        <v>85.052790527488</v>
      </c>
      <c r="AJ3880">
        <v>99.376925134790497</v>
      </c>
      <c r="AK3880">
        <v>89.242816054874595</v>
      </c>
      <c r="AL3880">
        <v>92.058085865531098</v>
      </c>
      <c r="AM3880">
        <v>94.899039492321407</v>
      </c>
      <c r="AN3880">
        <v>0.99999998263036904</v>
      </c>
    </row>
    <row r="3881" spans="1:40" x14ac:dyDescent="0.25">
      <c r="A3881" t="str">
        <f>"20190305135010785"</f>
        <v>20190305135010785</v>
      </c>
      <c r="B3881" t="str">
        <f>"1551765010774303"</f>
        <v>1551765010774303</v>
      </c>
      <c r="C3881" t="s">
        <v>40</v>
      </c>
      <c r="D3881">
        <v>3.6641780000000002</v>
      </c>
      <c r="E3881">
        <v>0.47201539999999997</v>
      </c>
      <c r="F3881" t="s">
        <v>92</v>
      </c>
      <c r="G3881">
        <v>-274.99669999999998</v>
      </c>
      <c r="H3881">
        <v>8.8079300000000007</v>
      </c>
      <c r="I3881">
        <v>231.1592</v>
      </c>
      <c r="J3881">
        <v>-362.60250000000002</v>
      </c>
      <c r="K3881">
        <v>1.108684</v>
      </c>
      <c r="L3881">
        <v>214.79320000000001</v>
      </c>
      <c r="M3881">
        <v>0.99976869999999995</v>
      </c>
      <c r="N3881">
        <v>-1.0095079999999999E-2</v>
      </c>
      <c r="O3881">
        <v>1.899458E-2</v>
      </c>
      <c r="P3881">
        <v>0.99337169999999997</v>
      </c>
      <c r="Q3881">
        <v>-4.6330940000000001E-2</v>
      </c>
      <c r="R3881">
        <v>0.105197</v>
      </c>
      <c r="S3881">
        <v>2.9735109999999998</v>
      </c>
      <c r="T3881">
        <v>0.25994149999999999</v>
      </c>
      <c r="U3881">
        <v>0.55284119999999903</v>
      </c>
      <c r="V3881">
        <v>-8.6331169999999999E-2</v>
      </c>
      <c r="W3881">
        <v>-3.6228370000000003E-2</v>
      </c>
      <c r="X3881">
        <v>0.99560760000000004</v>
      </c>
      <c r="Y3881">
        <v>-0.16363710000000001</v>
      </c>
      <c r="Z3881">
        <v>-4.4118739999999997E-3</v>
      </c>
      <c r="AA3881">
        <v>0.98651080000000002</v>
      </c>
      <c r="AB3881">
        <v>47</v>
      </c>
      <c r="AC3881">
        <v>87.605800000000002</v>
      </c>
      <c r="AD3881">
        <v>7.6992459999999996</v>
      </c>
      <c r="AE3881">
        <v>16.3659999999999</v>
      </c>
      <c r="AF3881">
        <v>-14.5900367920886</v>
      </c>
      <c r="AG3881">
        <v>7.6992459999999996</v>
      </c>
      <c r="AH3881">
        <v>87.2497011729468</v>
      </c>
      <c r="AI3881">
        <v>85.025778824438206</v>
      </c>
      <c r="AJ3881">
        <v>99.493256807228605</v>
      </c>
      <c r="AK3881">
        <v>88.795596272177505</v>
      </c>
      <c r="AL3881">
        <v>92.076186971601501</v>
      </c>
      <c r="AM3881">
        <v>94.955838013654002</v>
      </c>
      <c r="AN3881">
        <v>1.0000000294420901</v>
      </c>
    </row>
    <row r="3882" spans="1:40" x14ac:dyDescent="0.25">
      <c r="A3882" t="str">
        <f>"20190305135010804"</f>
        <v>20190305135010804</v>
      </c>
      <c r="B3882" t="str">
        <f>"1551765010793823"</f>
        <v>1551765010793823</v>
      </c>
      <c r="C3882" t="s">
        <v>40</v>
      </c>
      <c r="D3882">
        <v>3.6672630000000002</v>
      </c>
      <c r="E3882">
        <v>0.47212759999999998</v>
      </c>
      <c r="F3882" t="s">
        <v>92</v>
      </c>
      <c r="G3882">
        <v>-274.99669999999998</v>
      </c>
      <c r="H3882">
        <v>8.6596449999999994</v>
      </c>
      <c r="I3882">
        <v>231.06200000000001</v>
      </c>
      <c r="J3882">
        <v>-362.17059999999998</v>
      </c>
      <c r="K3882">
        <v>1.1087279999999999</v>
      </c>
      <c r="L3882">
        <v>214.8013</v>
      </c>
      <c r="M3882">
        <v>0.9997684</v>
      </c>
      <c r="N3882">
        <v>-1.041856E-2</v>
      </c>
      <c r="O3882">
        <v>1.883249E-2</v>
      </c>
      <c r="P3882">
        <v>0.99333879999999997</v>
      </c>
      <c r="Q3882">
        <v>-4.6592410000000001E-2</v>
      </c>
      <c r="R3882">
        <v>0.1053915</v>
      </c>
      <c r="S3882">
        <v>2.9734500000000001</v>
      </c>
      <c r="T3882">
        <v>0.25629010000000002</v>
      </c>
      <c r="U3882">
        <v>0.55218509999999998</v>
      </c>
      <c r="V3882">
        <v>-8.6687420000000001E-2</v>
      </c>
      <c r="W3882">
        <v>-3.6167489999999997E-2</v>
      </c>
      <c r="X3882">
        <v>0.99557879999999999</v>
      </c>
      <c r="Y3882">
        <v>-0.163606</v>
      </c>
      <c r="Z3882">
        <v>-4.3175599999999998E-3</v>
      </c>
      <c r="AA3882">
        <v>0.98651630000000001</v>
      </c>
      <c r="AB3882">
        <v>47</v>
      </c>
      <c r="AC3882">
        <v>87.173900000000003</v>
      </c>
      <c r="AD3882">
        <v>7.5509169999999903</v>
      </c>
      <c r="AE3882">
        <v>16.2607</v>
      </c>
      <c r="AF3882">
        <v>-14.510813489657201</v>
      </c>
      <c r="AG3882">
        <v>7.5509169999999903</v>
      </c>
      <c r="AH3882">
        <v>86.835080034967902</v>
      </c>
      <c r="AI3882">
        <v>85.097869350041194</v>
      </c>
      <c r="AJ3882">
        <v>99.486908758019993</v>
      </c>
      <c r="AK3882">
        <v>88.362385551499202</v>
      </c>
      <c r="AL3882">
        <v>92.072696637158899</v>
      </c>
      <c r="AM3882">
        <v>94.976329285702207</v>
      </c>
      <c r="AN3882">
        <v>0.99999997156429699</v>
      </c>
    </row>
    <row r="3883" spans="1:40" x14ac:dyDescent="0.25">
      <c r="A3883" t="str">
        <f>"20190305135010827"</f>
        <v>20190305135010827</v>
      </c>
      <c r="B3883" t="str">
        <f>"1551765010814319"</f>
        <v>1551765010814319</v>
      </c>
      <c r="C3883" t="s">
        <v>40</v>
      </c>
      <c r="D3883">
        <v>3.6738010000000001</v>
      </c>
      <c r="E3883">
        <v>0.47232420000000003</v>
      </c>
      <c r="F3883" t="s">
        <v>92</v>
      </c>
      <c r="G3883">
        <v>-274.99669999999998</v>
      </c>
      <c r="H3883">
        <v>8.5982819999999993</v>
      </c>
      <c r="I3883">
        <v>230.99600000000001</v>
      </c>
      <c r="J3883">
        <v>-361.70030000000003</v>
      </c>
      <c r="K3883">
        <v>1.1087579999999999</v>
      </c>
      <c r="L3883">
        <v>214.81</v>
      </c>
      <c r="M3883">
        <v>0.99976860000000001</v>
      </c>
      <c r="N3883">
        <v>-1.071418E-2</v>
      </c>
      <c r="O3883">
        <v>1.8650050000000001E-2</v>
      </c>
      <c r="P3883">
        <v>0.99338550000000003</v>
      </c>
      <c r="Q3883">
        <v>-4.7058259999999998E-2</v>
      </c>
      <c r="R3883">
        <v>0.1047396</v>
      </c>
      <c r="S3883">
        <v>2.9734799999999999</v>
      </c>
      <c r="T3883">
        <v>0.25546790000000003</v>
      </c>
      <c r="U3883">
        <v>0.55239869999999902</v>
      </c>
      <c r="V3883">
        <v>-8.6216420000000002E-2</v>
      </c>
      <c r="W3883">
        <v>-3.6338469999999998E-2</v>
      </c>
      <c r="X3883">
        <v>0.99561350000000004</v>
      </c>
      <c r="Y3883">
        <v>-0.16385659999999999</v>
      </c>
      <c r="Z3883">
        <v>-4.297103E-3</v>
      </c>
      <c r="AA3883">
        <v>0.98647479999999999</v>
      </c>
      <c r="AB3883">
        <v>47</v>
      </c>
      <c r="AC3883">
        <v>86.703599999999994</v>
      </c>
      <c r="AD3883">
        <v>7.4895240000000003</v>
      </c>
      <c r="AE3883">
        <v>16.1859999999999</v>
      </c>
      <c r="AF3883">
        <v>-14.4617904339862</v>
      </c>
      <c r="AG3883">
        <v>7.4895240000000003</v>
      </c>
      <c r="AH3883">
        <v>86.367663607659296</v>
      </c>
      <c r="AI3883">
        <v>85.111612845242206</v>
      </c>
      <c r="AJ3883">
        <v>99.505678915711499</v>
      </c>
      <c r="AK3883">
        <v>87.889758614692397</v>
      </c>
      <c r="AL3883">
        <v>92.082499457829897</v>
      </c>
      <c r="AM3883">
        <v>94.949254350642505</v>
      </c>
      <c r="AN3883">
        <v>0.99999999843090304</v>
      </c>
    </row>
    <row r="3884" spans="1:40" x14ac:dyDescent="0.25">
      <c r="A3884" t="str">
        <f>"20190305135010851"</f>
        <v>20190305135010851</v>
      </c>
      <c r="B3884" t="str">
        <f>"1551765010844575"</f>
        <v>1551765010844575</v>
      </c>
      <c r="C3884" t="s">
        <v>40</v>
      </c>
      <c r="D3884">
        <v>3.6935889999999998</v>
      </c>
      <c r="E3884">
        <v>0.47242089999999998</v>
      </c>
      <c r="F3884" t="s">
        <v>92</v>
      </c>
      <c r="G3884">
        <v>-274.99669999999998</v>
      </c>
      <c r="H3884">
        <v>8.5208469999999998</v>
      </c>
      <c r="I3884">
        <v>230.81450000000001</v>
      </c>
      <c r="J3884">
        <v>-361.20069999999998</v>
      </c>
      <c r="K3884">
        <v>1.108773</v>
      </c>
      <c r="L3884">
        <v>214.8192</v>
      </c>
      <c r="M3884">
        <v>0.99976960000000004</v>
      </c>
      <c r="N3884">
        <v>-1.0974080000000001E-2</v>
      </c>
      <c r="O3884">
        <v>1.8453069999999999E-2</v>
      </c>
      <c r="P3884">
        <v>0.9934655</v>
      </c>
      <c r="Q3884">
        <v>-4.760756E-2</v>
      </c>
      <c r="R3884">
        <v>0.10373019999999999</v>
      </c>
      <c r="S3884">
        <v>2.9741520000000001</v>
      </c>
      <c r="T3884">
        <v>0.2542546</v>
      </c>
      <c r="U3884">
        <v>0.54899600000000004</v>
      </c>
      <c r="V3884">
        <v>-8.5403199999999999E-2</v>
      </c>
      <c r="W3884">
        <v>-3.6627809999999997E-2</v>
      </c>
      <c r="X3884">
        <v>0.99567300000000003</v>
      </c>
      <c r="Y3884">
        <v>-0.1629284</v>
      </c>
      <c r="Z3884">
        <v>-4.2294419999999999E-3</v>
      </c>
      <c r="AA3884">
        <v>0.98662879999999997</v>
      </c>
      <c r="AB3884">
        <v>47</v>
      </c>
      <c r="AC3884">
        <v>86.203999999999994</v>
      </c>
      <c r="AD3884">
        <v>7.4120739999999996</v>
      </c>
      <c r="AE3884">
        <v>15.9953</v>
      </c>
      <c r="AF3884">
        <v>-14.2995531251696</v>
      </c>
      <c r="AG3884">
        <v>7.4120739999999996</v>
      </c>
      <c r="AH3884">
        <v>85.870781728450496</v>
      </c>
      <c r="AI3884">
        <v>85.133337888835499</v>
      </c>
      <c r="AJ3884">
        <v>99.454373339617703</v>
      </c>
      <c r="AK3884">
        <v>87.368227721616407</v>
      </c>
      <c r="AL3884">
        <v>92.099088432020594</v>
      </c>
      <c r="AM3884">
        <v>94.902508516186799</v>
      </c>
      <c r="AN3884">
        <v>1.0000000129823099</v>
      </c>
    </row>
    <row r="3885" spans="1:40" x14ac:dyDescent="0.25">
      <c r="A3885" t="str">
        <f>"20190305135010872"</f>
        <v>20190305135010872</v>
      </c>
      <c r="B3885" t="str">
        <f>"1551765010864095"</f>
        <v>1551765010864095</v>
      </c>
      <c r="C3885" t="s">
        <v>40</v>
      </c>
      <c r="D3885">
        <v>3.6879840000000002</v>
      </c>
      <c r="E3885">
        <v>0.47256769999999998</v>
      </c>
      <c r="F3885" t="s">
        <v>92</v>
      </c>
      <c r="G3885">
        <v>-274.99669999999998</v>
      </c>
      <c r="H3885">
        <v>8.4201060000000005</v>
      </c>
      <c r="I3885">
        <v>230.62280000000001</v>
      </c>
      <c r="J3885">
        <v>-360.73509999999999</v>
      </c>
      <c r="K3885">
        <v>1.108778</v>
      </c>
      <c r="L3885">
        <v>214.82759999999999</v>
      </c>
      <c r="M3885">
        <v>0.99977050000000001</v>
      </c>
      <c r="N3885">
        <v>-1.1181780000000001E-2</v>
      </c>
      <c r="O3885">
        <v>1.8276850000000001E-2</v>
      </c>
      <c r="P3885">
        <v>0.9936239</v>
      </c>
      <c r="Q3885">
        <v>-4.741194E-2</v>
      </c>
      <c r="R3885">
        <v>0.10229240000000001</v>
      </c>
      <c r="S3885">
        <v>2.9748839999999999</v>
      </c>
      <c r="T3885">
        <v>0.25231389999999998</v>
      </c>
      <c r="U3885">
        <v>0.54537959999999996</v>
      </c>
      <c r="V3885">
        <v>-8.413814E-2</v>
      </c>
      <c r="W3885">
        <v>-3.6223329999999998E-2</v>
      </c>
      <c r="X3885">
        <v>0.99579549999999994</v>
      </c>
      <c r="Y3885">
        <v>-0.16190979999999999</v>
      </c>
      <c r="Z3885">
        <v>-4.1471110000000002E-3</v>
      </c>
      <c r="AA3885">
        <v>0.98679689999999998</v>
      </c>
      <c r="AB3885">
        <v>47</v>
      </c>
      <c r="AC3885">
        <v>85.738399999999999</v>
      </c>
      <c r="AD3885">
        <v>7.3113279999999996</v>
      </c>
      <c r="AE3885">
        <v>15.795199999999999</v>
      </c>
      <c r="AF3885">
        <v>-14.1260853758197</v>
      </c>
      <c r="AG3885">
        <v>7.3113279999999996</v>
      </c>
      <c r="AH3885">
        <v>85.412069668514704</v>
      </c>
      <c r="AI3885">
        <v>85.172631358862503</v>
      </c>
      <c r="AJ3885">
        <v>99.390995279857805</v>
      </c>
      <c r="AK3885">
        <v>86.880512488289</v>
      </c>
      <c r="AL3885">
        <v>92.075898036994204</v>
      </c>
      <c r="AM3885">
        <v>94.829643427874501</v>
      </c>
      <c r="AN3885">
        <v>1.00000001702959</v>
      </c>
    </row>
    <row r="3886" spans="1:40" x14ac:dyDescent="0.25">
      <c r="A3886" t="str">
        <f>"20190305135010894"</f>
        <v>20190305135010894</v>
      </c>
      <c r="B3886" t="str">
        <f>"1551765010884595"</f>
        <v>1551765010884595</v>
      </c>
      <c r="C3886" t="s">
        <v>40</v>
      </c>
      <c r="D3886">
        <v>3.7111649999999998</v>
      </c>
      <c r="E3886">
        <v>0.47256320000000002</v>
      </c>
      <c r="F3886" t="s">
        <v>92</v>
      </c>
      <c r="G3886">
        <v>-274.99669999999998</v>
      </c>
      <c r="H3886">
        <v>8.3350770000000001</v>
      </c>
      <c r="I3886">
        <v>230.38630000000001</v>
      </c>
      <c r="J3886">
        <v>-360.27690000000001</v>
      </c>
      <c r="K3886">
        <v>1.1087880000000001</v>
      </c>
      <c r="L3886">
        <v>214.83580000000001</v>
      </c>
      <c r="M3886">
        <v>0.99977159999999998</v>
      </c>
      <c r="N3886">
        <v>-1.136332E-2</v>
      </c>
      <c r="O3886">
        <v>1.8106170000000001E-2</v>
      </c>
      <c r="P3886">
        <v>0.99374010000000002</v>
      </c>
      <c r="Q3886">
        <v>-4.7657680000000001E-2</v>
      </c>
      <c r="R3886">
        <v>0.1010421</v>
      </c>
      <c r="S3886">
        <v>2.975616</v>
      </c>
      <c r="T3886">
        <v>0.2507952</v>
      </c>
      <c r="U3886">
        <v>0.53997799999999996</v>
      </c>
      <c r="V3886">
        <v>-8.3056249999999998E-2</v>
      </c>
      <c r="W3886">
        <v>-3.6287180000000002E-2</v>
      </c>
      <c r="X3886">
        <v>0.99588399999999999</v>
      </c>
      <c r="Y3886">
        <v>-0.16031219999999999</v>
      </c>
      <c r="Z3886">
        <v>-4.055772E-3</v>
      </c>
      <c r="AA3886">
        <v>0.98705799999999999</v>
      </c>
      <c r="AB3886">
        <v>47</v>
      </c>
      <c r="AC3886">
        <v>85.280199999999994</v>
      </c>
      <c r="AD3886">
        <v>7.2262889999999897</v>
      </c>
      <c r="AE3886">
        <v>15.5505</v>
      </c>
      <c r="AF3886">
        <v>-13.9071111802379</v>
      </c>
      <c r="AG3886">
        <v>7.2262889999999897</v>
      </c>
      <c r="AH3886">
        <v>84.957418432519901</v>
      </c>
      <c r="AI3886">
        <v>85.2018078482877</v>
      </c>
      <c r="AJ3886">
        <v>99.296584886203505</v>
      </c>
      <c r="AK3886">
        <v>86.390913531512595</v>
      </c>
      <c r="AL3886">
        <v>92.079558771370202</v>
      </c>
      <c r="AM3886">
        <v>94.767407872047798</v>
      </c>
      <c r="AN3886">
        <v>1.0000000207762001</v>
      </c>
    </row>
    <row r="3887" spans="1:40" x14ac:dyDescent="0.25">
      <c r="A3887" t="str">
        <f>"20190305135010916"</f>
        <v>20190305135010916</v>
      </c>
      <c r="B3887" t="str">
        <f>"1551765010904112"</f>
        <v>1551765010904112</v>
      </c>
      <c r="C3887" t="s">
        <v>40</v>
      </c>
      <c r="D3887">
        <v>3.6482679999999998</v>
      </c>
      <c r="E3887">
        <v>0.4725644</v>
      </c>
      <c r="F3887" t="s">
        <v>92</v>
      </c>
      <c r="G3887">
        <v>-274.99669999999998</v>
      </c>
      <c r="H3887">
        <v>8.2174370000000003</v>
      </c>
      <c r="I3887">
        <v>230.21420000000001</v>
      </c>
      <c r="J3887">
        <v>-359.81689999999998</v>
      </c>
      <c r="K3887">
        <v>1.1088070000000001</v>
      </c>
      <c r="L3887">
        <v>214.84389999999999</v>
      </c>
      <c r="M3887">
        <v>0.99977280000000002</v>
      </c>
      <c r="N3887">
        <v>-1.1524680000000001E-2</v>
      </c>
      <c r="O3887">
        <v>1.7931909999999999E-2</v>
      </c>
      <c r="P3887">
        <v>0.99384499999999998</v>
      </c>
      <c r="Q3887">
        <v>-4.6723849999999997E-2</v>
      </c>
      <c r="R3887">
        <v>0.1004443</v>
      </c>
      <c r="S3887">
        <v>2.9762270000000002</v>
      </c>
      <c r="T3887">
        <v>0.24808859999999999</v>
      </c>
      <c r="U3887">
        <v>0.53669739999999999</v>
      </c>
      <c r="V3887">
        <v>-8.2629229999999998E-2</v>
      </c>
      <c r="W3887">
        <v>-3.5192099999999997E-2</v>
      </c>
      <c r="X3887">
        <v>0.99595880000000003</v>
      </c>
      <c r="Y3887">
        <v>-0.15940770000000001</v>
      </c>
      <c r="Z3887">
        <v>-3.967964E-3</v>
      </c>
      <c r="AA3887">
        <v>0.98720479999999999</v>
      </c>
      <c r="AB3887">
        <v>47</v>
      </c>
      <c r="AC3887">
        <v>84.8202</v>
      </c>
      <c r="AD3887">
        <v>7.1086299999999998</v>
      </c>
      <c r="AE3887">
        <v>15.3703</v>
      </c>
      <c r="AF3887">
        <v>-13.7532102761446</v>
      </c>
      <c r="AG3887">
        <v>7.1086299999999998</v>
      </c>
      <c r="AH3887">
        <v>84.507503156086102</v>
      </c>
      <c r="AI3887">
        <v>85.253846289468001</v>
      </c>
      <c r="AJ3887">
        <v>99.243586262444495</v>
      </c>
      <c r="AK3887">
        <v>85.913919146158406</v>
      </c>
      <c r="AL3887">
        <v>92.016775234091796</v>
      </c>
      <c r="AM3887">
        <v>94.742654550379399</v>
      </c>
      <c r="AN3887">
        <v>1.0000000024251201</v>
      </c>
    </row>
    <row r="3888" spans="1:40" x14ac:dyDescent="0.25">
      <c r="A3888" t="str">
        <f>"20190305135010941"</f>
        <v>20190305135010941</v>
      </c>
      <c r="B3888" t="str">
        <f>"1551765010934367"</f>
        <v>1551765010934367</v>
      </c>
      <c r="C3888" t="s">
        <v>40</v>
      </c>
      <c r="D3888">
        <v>3.7069549999999998</v>
      </c>
      <c r="E3888">
        <v>0.47772130000000002</v>
      </c>
      <c r="F3888" t="s">
        <v>92</v>
      </c>
      <c r="G3888">
        <v>-274.99669999999998</v>
      </c>
      <c r="H3888">
        <v>8.2161899999999992</v>
      </c>
      <c r="I3888">
        <v>230.09049999999999</v>
      </c>
      <c r="J3888">
        <v>-359.28930000000003</v>
      </c>
      <c r="K3888">
        <v>1.108824</v>
      </c>
      <c r="L3888">
        <v>214.85310000000001</v>
      </c>
      <c r="M3888">
        <v>0.99977479999999996</v>
      </c>
      <c r="N3888">
        <v>-1.1686240000000001E-2</v>
      </c>
      <c r="O3888">
        <v>1.7725339999999999E-2</v>
      </c>
      <c r="P3888">
        <v>0.99391240000000003</v>
      </c>
      <c r="Q3888">
        <v>-4.5950110000000002E-2</v>
      </c>
      <c r="R3888">
        <v>0.10013619999999999</v>
      </c>
      <c r="S3888">
        <v>2.9762569999999999</v>
      </c>
      <c r="T3888">
        <v>0.24939220000000001</v>
      </c>
      <c r="U3888">
        <v>0.53498840000000003</v>
      </c>
      <c r="V3888">
        <v>-8.2524589999999995E-2</v>
      </c>
      <c r="W3888">
        <v>-3.4257919999999997E-2</v>
      </c>
      <c r="X3888">
        <v>0.99600010000000005</v>
      </c>
      <c r="Y3888">
        <v>-0.1590577</v>
      </c>
      <c r="Z3888">
        <v>-3.9860950000000003E-3</v>
      </c>
      <c r="AA3888">
        <v>0.98726119999999995</v>
      </c>
      <c r="AB3888">
        <v>47</v>
      </c>
      <c r="AC3888">
        <v>84.292599999999993</v>
      </c>
      <c r="AD3888">
        <v>7.1073659999999901</v>
      </c>
      <c r="AE3888">
        <v>15.2373999999999</v>
      </c>
      <c r="AF3888">
        <v>-13.6468370776533</v>
      </c>
      <c r="AG3888">
        <v>7.1073659999999901</v>
      </c>
      <c r="AH3888">
        <v>83.971358934147204</v>
      </c>
      <c r="AI3888">
        <v>85.224356469334396</v>
      </c>
      <c r="AJ3888">
        <v>99.230877581484506</v>
      </c>
      <c r="AK3888">
        <v>85.3694320874243</v>
      </c>
      <c r="AL3888">
        <v>91.963218255623502</v>
      </c>
      <c r="AM3888">
        <v>94.736480375917793</v>
      </c>
      <c r="AN3888">
        <v>1.0000000561186999</v>
      </c>
    </row>
    <row r="3889" spans="1:40" x14ac:dyDescent="0.25">
      <c r="A3889" t="str">
        <f>"20190305135010963"</f>
        <v>20190305135010963</v>
      </c>
      <c r="B3889" t="str">
        <f>"1551765010953890"</f>
        <v>1551765010953890</v>
      </c>
      <c r="C3889" t="s">
        <v>40</v>
      </c>
      <c r="D3889">
        <v>3.6754859999999998</v>
      </c>
      <c r="E3889">
        <v>0.4760549</v>
      </c>
      <c r="F3889" t="s">
        <v>92</v>
      </c>
      <c r="G3889">
        <v>-269.28609999999998</v>
      </c>
      <c r="H3889">
        <v>5.665845</v>
      </c>
      <c r="I3889">
        <v>229.64189999999999</v>
      </c>
      <c r="J3889">
        <v>-358.82350000000002</v>
      </c>
      <c r="K3889">
        <v>1.1088340000000001</v>
      </c>
      <c r="L3889">
        <v>214.8612</v>
      </c>
      <c r="M3889">
        <v>0.99977640000000001</v>
      </c>
      <c r="N3889">
        <v>-1.1810029999999999E-2</v>
      </c>
      <c r="O3889">
        <v>1.7539329999999999E-2</v>
      </c>
      <c r="P3889">
        <v>0.99391039999999997</v>
      </c>
      <c r="Q3889">
        <v>-4.5450270000000001E-2</v>
      </c>
      <c r="R3889">
        <v>0.1003795</v>
      </c>
      <c r="S3889">
        <v>2.976105</v>
      </c>
      <c r="T3889">
        <v>0.1506863</v>
      </c>
      <c r="U3889">
        <v>0.4890137</v>
      </c>
      <c r="V3889">
        <v>-8.2952349999999994E-2</v>
      </c>
      <c r="W3889">
        <v>-3.3635680000000001E-2</v>
      </c>
      <c r="X3889">
        <v>0.99598569999999997</v>
      </c>
      <c r="Y3889">
        <v>-0.14470150000000001</v>
      </c>
      <c r="Z3889">
        <v>-1.6890710000000001E-3</v>
      </c>
      <c r="AA3889">
        <v>0.98947390000000002</v>
      </c>
      <c r="AB3889">
        <v>47</v>
      </c>
      <c r="AC3889">
        <v>89.537400000000005</v>
      </c>
      <c r="AD3889">
        <v>4.5570110000000001</v>
      </c>
      <c r="AE3889">
        <v>14.7806999999999</v>
      </c>
      <c r="AF3889">
        <v>-13.1746693280142</v>
      </c>
      <c r="AG3889">
        <v>4.5570110000000001</v>
      </c>
      <c r="AH3889">
        <v>89.5570602859286</v>
      </c>
      <c r="AI3889">
        <v>87.118044846673598</v>
      </c>
      <c r="AJ3889">
        <v>98.368712511903993</v>
      </c>
      <c r="AK3889">
        <v>90.635563153842</v>
      </c>
      <c r="AL3889">
        <v>91.927546112219503</v>
      </c>
      <c r="AM3889">
        <v>94.760987517150497</v>
      </c>
      <c r="AN3889">
        <v>0.99999998297203696</v>
      </c>
    </row>
    <row r="3890" spans="1:40" x14ac:dyDescent="0.25">
      <c r="A3890" t="str">
        <f>"20190305135010985"</f>
        <v>20190305135010985</v>
      </c>
      <c r="B3890" t="str">
        <f>"1551765010974383"</f>
        <v>1551765010974383</v>
      </c>
      <c r="C3890" t="s">
        <v>40</v>
      </c>
      <c r="D3890">
        <v>3.6753179999999999</v>
      </c>
      <c r="E3890">
        <v>0.47527360000000002</v>
      </c>
      <c r="F3890" t="s">
        <v>92</v>
      </c>
      <c r="G3890">
        <v>-273.10399999999998</v>
      </c>
      <c r="H3890">
        <v>6.0578409999999998</v>
      </c>
      <c r="I3890">
        <v>229.37780000000001</v>
      </c>
      <c r="J3890">
        <v>-358.36590000000001</v>
      </c>
      <c r="K3890">
        <v>1.10884</v>
      </c>
      <c r="L3890">
        <v>214.869</v>
      </c>
      <c r="M3890">
        <v>0.99977850000000001</v>
      </c>
      <c r="N3890">
        <v>-1.191623E-2</v>
      </c>
      <c r="O3890">
        <v>1.7354729999999999E-2</v>
      </c>
      <c r="P3890">
        <v>0.99387959999999997</v>
      </c>
      <c r="Q3890">
        <v>-4.5432590000000002E-2</v>
      </c>
      <c r="R3890">
        <v>0.1006938</v>
      </c>
      <c r="S3890">
        <v>2.9753419999999999</v>
      </c>
      <c r="T3890">
        <v>0.17178199999999999</v>
      </c>
      <c r="U3890">
        <v>0.50387570000000004</v>
      </c>
      <c r="V3890">
        <v>-8.3450389999999999E-2</v>
      </c>
      <c r="W3890">
        <v>-3.3513290000000001E-2</v>
      </c>
      <c r="X3890">
        <v>0.99594830000000001</v>
      </c>
      <c r="Y3890">
        <v>-0.1496854</v>
      </c>
      <c r="Z3890">
        <v>-2.1893580000000002E-3</v>
      </c>
      <c r="AA3890">
        <v>0.98873129999999998</v>
      </c>
      <c r="AB3890">
        <v>47</v>
      </c>
      <c r="AC3890">
        <v>85.261899999999898</v>
      </c>
      <c r="AD3890">
        <v>4.949001</v>
      </c>
      <c r="AE3890">
        <v>14.5087999999999</v>
      </c>
      <c r="AF3890">
        <v>-12.9842970447871</v>
      </c>
      <c r="AG3890">
        <v>4.949001</v>
      </c>
      <c r="AH3890">
        <v>85.221823643182304</v>
      </c>
      <c r="AI3890">
        <v>86.714285396024295</v>
      </c>
      <c r="AJ3890">
        <v>98.662896479345605</v>
      </c>
      <c r="AK3890">
        <v>86.347228129888094</v>
      </c>
      <c r="AL3890">
        <v>91.920529573644401</v>
      </c>
      <c r="AM3890">
        <v>94.789618586474404</v>
      </c>
      <c r="AN3890">
        <v>1.00000006223533</v>
      </c>
    </row>
    <row r="3891" spans="1:40" x14ac:dyDescent="0.25">
      <c r="A3891" t="str">
        <f>"20190305135011005"</f>
        <v>20190305135011005</v>
      </c>
      <c r="B3891" t="str">
        <f>"1551765010993904"</f>
        <v>1551765010993904</v>
      </c>
      <c r="C3891" t="s">
        <v>40</v>
      </c>
      <c r="D3891">
        <v>3.7050260000000002</v>
      </c>
      <c r="E3891">
        <v>0.47469250000000002</v>
      </c>
      <c r="F3891" t="s">
        <v>92</v>
      </c>
      <c r="G3891">
        <v>-273.97480000000002</v>
      </c>
      <c r="H3891">
        <v>6.2494579999999997</v>
      </c>
      <c r="I3891">
        <v>229.37790000000001</v>
      </c>
      <c r="J3891">
        <v>-357.92849999999999</v>
      </c>
      <c r="K3891">
        <v>1.1088450000000001</v>
      </c>
      <c r="L3891">
        <v>214.87649999999999</v>
      </c>
      <c r="M3891">
        <v>0.99978040000000001</v>
      </c>
      <c r="N3891">
        <v>-1.200532E-2</v>
      </c>
      <c r="O3891">
        <v>1.7179570000000002E-2</v>
      </c>
      <c r="P3891">
        <v>0.99383359999999998</v>
      </c>
      <c r="Q3891">
        <v>-4.5856290000000001E-2</v>
      </c>
      <c r="R3891">
        <v>0.1009562</v>
      </c>
      <c r="S3891">
        <v>2.9749150000000002</v>
      </c>
      <c r="T3891">
        <v>0.1812155</v>
      </c>
      <c r="U3891">
        <v>0.51145940000000001</v>
      </c>
      <c r="V3891">
        <v>-8.3888260000000006E-2</v>
      </c>
      <c r="W3891">
        <v>-3.3849230000000001E-2</v>
      </c>
      <c r="X3891">
        <v>0.99590009999999995</v>
      </c>
      <c r="Y3891">
        <v>-0.15230629999999901</v>
      </c>
      <c r="Z3891">
        <v>-2.4371729999999999E-3</v>
      </c>
      <c r="AA3891">
        <v>0.98833040000000005</v>
      </c>
      <c r="AB3891">
        <v>47</v>
      </c>
      <c r="AC3891">
        <v>83.953699999999898</v>
      </c>
      <c r="AD3891">
        <v>5.1406130000000001</v>
      </c>
      <c r="AE3891">
        <v>14.5014</v>
      </c>
      <c r="AF3891">
        <v>-13.009503853422499</v>
      </c>
      <c r="AG3891">
        <v>5.1406130000000001</v>
      </c>
      <c r="AH3891">
        <v>83.885055766079901</v>
      </c>
      <c r="AI3891">
        <v>86.534532082575495</v>
      </c>
      <c r="AJ3891">
        <v>98.815615519792601</v>
      </c>
      <c r="AK3891">
        <v>85.043375247025097</v>
      </c>
      <c r="AL3891">
        <v>91.939788545337706</v>
      </c>
      <c r="AM3891">
        <v>94.814864140255594</v>
      </c>
      <c r="AN3891">
        <v>1.0000000098587101</v>
      </c>
    </row>
    <row r="3892" spans="1:40" x14ac:dyDescent="0.25">
      <c r="A3892" t="str">
        <f>"20190305135011029"</f>
        <v>20190305135011029</v>
      </c>
      <c r="B3892" t="str">
        <f>"1551765011024159"</f>
        <v>1551765011024159</v>
      </c>
      <c r="C3892" t="s">
        <v>40</v>
      </c>
      <c r="D3892">
        <v>3.7554750000000001</v>
      </c>
      <c r="E3892">
        <v>0.47408509999999998</v>
      </c>
      <c r="F3892" t="s">
        <v>92</v>
      </c>
      <c r="G3892">
        <v>-274.50569999999999</v>
      </c>
      <c r="H3892">
        <v>6.3266289999999996</v>
      </c>
      <c r="I3892">
        <v>229.37790000000001</v>
      </c>
      <c r="J3892">
        <v>-357.45269999999999</v>
      </c>
      <c r="K3892">
        <v>1.108846</v>
      </c>
      <c r="L3892">
        <v>214.8844</v>
      </c>
      <c r="M3892">
        <v>0.99978259999999997</v>
      </c>
      <c r="N3892">
        <v>-1.2090129999999999E-2</v>
      </c>
      <c r="O3892">
        <v>1.6991180000000002E-2</v>
      </c>
      <c r="P3892">
        <v>0.99382610000000005</v>
      </c>
      <c r="Q3892">
        <v>-4.6084970000000003E-2</v>
      </c>
      <c r="R3892">
        <v>0.1009253</v>
      </c>
      <c r="S3892">
        <v>2.9746700000000001</v>
      </c>
      <c r="T3892">
        <v>0.18605569999999999</v>
      </c>
      <c r="U3892">
        <v>0.51708980000000004</v>
      </c>
      <c r="V3892">
        <v>-8.4044549999999996E-2</v>
      </c>
      <c r="W3892">
        <v>-3.3994030000000001E-2</v>
      </c>
      <c r="X3892">
        <v>0.99588200000000004</v>
      </c>
      <c r="Y3892">
        <v>-0.15430779999999999</v>
      </c>
      <c r="Z3892">
        <v>-2.5875910000000002E-3</v>
      </c>
      <c r="AA3892">
        <v>0.98801939999999999</v>
      </c>
      <c r="AB3892">
        <v>47</v>
      </c>
      <c r="AC3892">
        <v>82.947000000000003</v>
      </c>
      <c r="AD3892">
        <v>5.2177829999999998</v>
      </c>
      <c r="AE3892">
        <v>14.493499999999999</v>
      </c>
      <c r="AF3892">
        <v>-13.0318970866182</v>
      </c>
      <c r="AG3892">
        <v>5.2177829999999998</v>
      </c>
      <c r="AH3892">
        <v>82.863125164383604</v>
      </c>
      <c r="AI3892">
        <v>86.440552632914702</v>
      </c>
      <c r="AJ3892">
        <v>98.937708193690696</v>
      </c>
      <c r="AK3892">
        <v>84.043757133528999</v>
      </c>
      <c r="AL3892">
        <v>91.948089733325304</v>
      </c>
      <c r="AM3892">
        <v>94.823879554300802</v>
      </c>
      <c r="AN3892">
        <v>1.0000000191921701</v>
      </c>
    </row>
    <row r="3893" spans="1:40" x14ac:dyDescent="0.25">
      <c r="A3893" t="str">
        <f>"20190305135011052"</f>
        <v>20190305135011052</v>
      </c>
      <c r="B3893" t="str">
        <f>"1551765011044655"</f>
        <v>1551765011044655</v>
      </c>
      <c r="C3893" t="s">
        <v>40</v>
      </c>
      <c r="D3893">
        <v>3.773987</v>
      </c>
      <c r="E3893">
        <v>0.47391529999999998</v>
      </c>
      <c r="F3893" t="s">
        <v>92</v>
      </c>
      <c r="G3893">
        <v>-274.83100000000002</v>
      </c>
      <c r="H3893">
        <v>6.3671559999999996</v>
      </c>
      <c r="I3893">
        <v>229.37790000000001</v>
      </c>
      <c r="J3893">
        <v>-356.95150000000001</v>
      </c>
      <c r="K3893">
        <v>1.1088199999999999</v>
      </c>
      <c r="L3893">
        <v>214.89279999999999</v>
      </c>
      <c r="M3893">
        <v>0.99978610000000001</v>
      </c>
      <c r="N3893">
        <v>-1.206437E-2</v>
      </c>
      <c r="O3893">
        <v>1.6796019999999998E-2</v>
      </c>
      <c r="P3893">
        <v>0.99382250000000005</v>
      </c>
      <c r="Q3893">
        <v>-4.6442610000000002E-2</v>
      </c>
      <c r="R3893">
        <v>0.1007965</v>
      </c>
      <c r="S3893">
        <v>2.9744259999999998</v>
      </c>
      <c r="T3893">
        <v>0.189303</v>
      </c>
      <c r="U3893">
        <v>0.52177429999999902</v>
      </c>
      <c r="V3893">
        <v>-8.4110389999999993E-2</v>
      </c>
      <c r="W3893">
        <v>-3.4378079999999998E-2</v>
      </c>
      <c r="X3893">
        <v>0.99586330000000001</v>
      </c>
      <c r="Y3893">
        <v>-0.15601289999999901</v>
      </c>
      <c r="Z3893">
        <v>-2.712781E-3</v>
      </c>
      <c r="AA3893">
        <v>0.9877513</v>
      </c>
      <c r="AB3893">
        <v>47</v>
      </c>
      <c r="AC3893">
        <v>82.120500000000007</v>
      </c>
      <c r="AD3893">
        <v>5.2583359999999999</v>
      </c>
      <c r="AE3893">
        <v>14.485099999999999</v>
      </c>
      <c r="AF3893">
        <v>-13.051759685594901</v>
      </c>
      <c r="AG3893">
        <v>5.2583359999999999</v>
      </c>
      <c r="AH3893">
        <v>82.026057553187897</v>
      </c>
      <c r="AI3893">
        <v>86.377481991614303</v>
      </c>
      <c r="AJ3893">
        <v>99.040954069581701</v>
      </c>
      <c r="AK3893">
        <v>83.224231123503401</v>
      </c>
      <c r="AL3893">
        <v>91.970106963818196</v>
      </c>
      <c r="AM3893">
        <v>94.827730922689696</v>
      </c>
      <c r="AN3893">
        <v>1.0000000611886599</v>
      </c>
    </row>
    <row r="3894" spans="1:40" x14ac:dyDescent="0.25">
      <c r="A3894" t="str">
        <f>"20190305135011065"</f>
        <v>20190305135011065</v>
      </c>
      <c r="B3894" t="str">
        <f>"1551765011054416"</f>
        <v>1551765011054416</v>
      </c>
      <c r="C3894" t="s">
        <v>40</v>
      </c>
      <c r="D3894">
        <v>3.7784249999999999</v>
      </c>
      <c r="E3894">
        <v>0.47373989999999999</v>
      </c>
      <c r="F3894" t="s">
        <v>92</v>
      </c>
      <c r="G3894">
        <v>-274.55169999999998</v>
      </c>
      <c r="H3894">
        <v>6.3223729999999998</v>
      </c>
      <c r="I3894">
        <v>229.37790000000001</v>
      </c>
      <c r="J3894">
        <v>-356.67540000000002</v>
      </c>
      <c r="K3894">
        <v>1.1086560000000001</v>
      </c>
      <c r="L3894">
        <v>214.8973</v>
      </c>
      <c r="M3894">
        <v>0.99979479999999998</v>
      </c>
      <c r="N3894">
        <v>-1.147623E-2</v>
      </c>
      <c r="O3894">
        <v>1.669385E-2</v>
      </c>
      <c r="P3894">
        <v>0.99384669999999997</v>
      </c>
      <c r="Q3894">
        <v>-4.5861550000000001E-2</v>
      </c>
      <c r="R3894">
        <v>0.1008249</v>
      </c>
      <c r="S3894">
        <v>2.974396</v>
      </c>
      <c r="T3894">
        <v>0.18819530000000001</v>
      </c>
      <c r="U3894">
        <v>0.52287289999999997</v>
      </c>
      <c r="V3894">
        <v>-8.4240019999999999E-2</v>
      </c>
      <c r="W3894">
        <v>-3.4383940000000002E-2</v>
      </c>
      <c r="X3894">
        <v>0.99585210000000002</v>
      </c>
      <c r="Y3894">
        <v>-0.15646769999999999</v>
      </c>
      <c r="Z3894">
        <v>-2.7653790000000001E-3</v>
      </c>
      <c r="AA3894">
        <v>0.98767919999999998</v>
      </c>
      <c r="AB3894">
        <v>47</v>
      </c>
      <c r="AC3894">
        <v>82.123699999999999</v>
      </c>
      <c r="AD3894">
        <v>5.2137169999999999</v>
      </c>
      <c r="AE3894">
        <v>14.480600000000001</v>
      </c>
      <c r="AF3894">
        <v>-13.0564935684163</v>
      </c>
      <c r="AG3894">
        <v>5.2137169999999999</v>
      </c>
      <c r="AH3894">
        <v>82.033342490685001</v>
      </c>
      <c r="AI3894">
        <v>86.408481999525407</v>
      </c>
      <c r="AJ3894">
        <v>99.043389148605002</v>
      </c>
      <c r="AK3894">
        <v>83.229346684040493</v>
      </c>
      <c r="AL3894">
        <v>91.970442995518596</v>
      </c>
      <c r="AM3894">
        <v>94.835190241710194</v>
      </c>
      <c r="AN3894">
        <v>1.0000000206869599</v>
      </c>
    </row>
    <row r="3895" spans="1:40" x14ac:dyDescent="0.25">
      <c r="A3895" t="str">
        <f>"20190305135011083"</f>
        <v>20190305135011083</v>
      </c>
      <c r="B3895" t="str">
        <f>"1551765011073936"</f>
        <v>1551765011073936</v>
      </c>
      <c r="C3895" t="s">
        <v>40</v>
      </c>
      <c r="D3895">
        <v>3.7559429999999998</v>
      </c>
      <c r="E3895">
        <v>0.47342420000000002</v>
      </c>
      <c r="F3895" t="s">
        <v>92</v>
      </c>
      <c r="G3895">
        <v>-274.53489999999999</v>
      </c>
      <c r="H3895">
        <v>6.3731730000000004</v>
      </c>
      <c r="I3895">
        <v>229.37790000000001</v>
      </c>
      <c r="J3895">
        <v>-356.27550000000002</v>
      </c>
      <c r="K3895">
        <v>1.1083809999999901</v>
      </c>
      <c r="L3895">
        <v>214.90389999999999</v>
      </c>
      <c r="M3895">
        <v>0.99980930000000001</v>
      </c>
      <c r="N3895">
        <v>-1.038618E-2</v>
      </c>
      <c r="O3895">
        <v>1.654595E-2</v>
      </c>
      <c r="P3895">
        <v>0.99387530000000002</v>
      </c>
      <c r="Q3895">
        <v>-4.5471539999999998E-2</v>
      </c>
      <c r="R3895">
        <v>0.1007184</v>
      </c>
      <c r="S3895">
        <v>2.9741819999999999</v>
      </c>
      <c r="T3895">
        <v>0.19062129999999999</v>
      </c>
      <c r="U3895">
        <v>0.52432250000000002</v>
      </c>
      <c r="V3895">
        <v>-8.4279290000000007E-2</v>
      </c>
      <c r="W3895">
        <v>-3.5082519999999999E-2</v>
      </c>
      <c r="X3895">
        <v>0.99582440000000005</v>
      </c>
      <c r="Y3895">
        <v>-0.15707869999999999</v>
      </c>
      <c r="Z3895">
        <v>-2.9462759999999998E-3</v>
      </c>
      <c r="AA3895">
        <v>0.98758170000000001</v>
      </c>
      <c r="AB3895">
        <v>47</v>
      </c>
      <c r="AC3895">
        <v>81.740600000000001</v>
      </c>
      <c r="AD3895">
        <v>5.2647919999999999</v>
      </c>
      <c r="AE3895">
        <v>14.474</v>
      </c>
      <c r="AF3895">
        <v>-13.0669101870745</v>
      </c>
      <c r="AG3895">
        <v>5.2647919999999999</v>
      </c>
      <c r="AH3895">
        <v>81.640522059494799</v>
      </c>
      <c r="AI3895">
        <v>86.356494424499203</v>
      </c>
      <c r="AJ3895">
        <v>99.093306003304804</v>
      </c>
      <c r="AK3895">
        <v>82.8470700676083</v>
      </c>
      <c r="AL3895">
        <v>92.010492870406296</v>
      </c>
      <c r="AM3895">
        <v>94.837567479042704</v>
      </c>
      <c r="AN3895">
        <v>1.0000000087839001</v>
      </c>
    </row>
    <row r="3896" spans="1:40" x14ac:dyDescent="0.25">
      <c r="A3896" t="str">
        <f>"20190305135011098"</f>
        <v>20190305135011098</v>
      </c>
      <c r="B3896" t="str">
        <f>"1551765011094432"</f>
        <v>1551765011094432</v>
      </c>
      <c r="C3896" t="s">
        <v>40</v>
      </c>
      <c r="D3896">
        <v>3.79318</v>
      </c>
      <c r="E3896">
        <v>0.47325830000000002</v>
      </c>
      <c r="F3896" t="s">
        <v>92</v>
      </c>
      <c r="G3896">
        <v>-274.51089999999999</v>
      </c>
      <c r="H3896">
        <v>6.4769540000000001</v>
      </c>
      <c r="I3896">
        <v>229.37799999999999</v>
      </c>
      <c r="J3896">
        <v>-355.98039999999997</v>
      </c>
      <c r="K3896">
        <v>1.1081939999999999</v>
      </c>
      <c r="L3896">
        <v>214.90860000000001</v>
      </c>
      <c r="M3896">
        <v>0.99981949999999997</v>
      </c>
      <c r="N3896">
        <v>-9.5244779999999994E-3</v>
      </c>
      <c r="O3896">
        <v>1.6436220000000001E-2</v>
      </c>
      <c r="P3896">
        <v>0.99394539999999998</v>
      </c>
      <c r="Q3896">
        <v>-4.4874900000000002E-2</v>
      </c>
      <c r="R3896">
        <v>0.10029399999999999</v>
      </c>
      <c r="S3896">
        <v>2.9740600000000001</v>
      </c>
      <c r="T3896">
        <v>0.19527459999999999</v>
      </c>
      <c r="U3896">
        <v>0.526474</v>
      </c>
      <c r="V3896">
        <v>-8.3962250000000002E-2</v>
      </c>
      <c r="W3896">
        <v>-3.534636E-2</v>
      </c>
      <c r="X3896">
        <v>0.99584189999999995</v>
      </c>
      <c r="Y3896">
        <v>-0.1578676</v>
      </c>
      <c r="Z3896">
        <v>-3.1545290000000001E-3</v>
      </c>
      <c r="AA3896">
        <v>0.98745519999999998</v>
      </c>
      <c r="AB3896">
        <v>48</v>
      </c>
      <c r="AC3896">
        <v>81.469499999999897</v>
      </c>
      <c r="AD3896">
        <v>5.36876</v>
      </c>
      <c r="AE3896">
        <v>14.469399999999901</v>
      </c>
      <c r="AF3896">
        <v>-13.0732967224614</v>
      </c>
      <c r="AG3896">
        <v>5.36876</v>
      </c>
      <c r="AH3896">
        <v>81.353836485070502</v>
      </c>
      <c r="AI3896">
        <v>86.272060836880499</v>
      </c>
      <c r="AJ3896">
        <v>99.1291967796965</v>
      </c>
      <c r="AK3896">
        <v>82.572279743087606</v>
      </c>
      <c r="AL3896">
        <v>92.025619072329803</v>
      </c>
      <c r="AM3896">
        <v>94.819371206438106</v>
      </c>
      <c r="AN3896">
        <v>1.0000000571929499</v>
      </c>
    </row>
    <row r="3897" spans="1:40" x14ac:dyDescent="0.25">
      <c r="A3897" t="str">
        <f>"20190305135011111"</f>
        <v>20190305135011111</v>
      </c>
      <c r="B3897" t="str">
        <f>"1551765011104191"</f>
        <v>1551765011104191</v>
      </c>
      <c r="C3897" t="s">
        <v>40</v>
      </c>
      <c r="D3897">
        <v>3.7518560000000001</v>
      </c>
      <c r="E3897">
        <v>0.47337200000000001</v>
      </c>
      <c r="F3897" t="s">
        <v>92</v>
      </c>
      <c r="G3897">
        <v>-274.24579999999997</v>
      </c>
      <c r="H3897">
        <v>6.5709720000000003</v>
      </c>
      <c r="I3897">
        <v>229.37799999999999</v>
      </c>
      <c r="J3897">
        <v>-355.67950000000002</v>
      </c>
      <c r="K3897">
        <v>1.1080270000000001</v>
      </c>
      <c r="L3897">
        <v>214.9135</v>
      </c>
      <c r="M3897">
        <v>0.99982930000000003</v>
      </c>
      <c r="N3897">
        <v>-8.6572230000000003E-3</v>
      </c>
      <c r="O3897">
        <v>1.6323540000000001E-2</v>
      </c>
      <c r="P3897">
        <v>0.99402420000000002</v>
      </c>
      <c r="Q3897">
        <v>-4.3864479999999997E-2</v>
      </c>
      <c r="R3897">
        <v>9.9958980000000003E-2</v>
      </c>
      <c r="S3897">
        <v>2.9741209999999998</v>
      </c>
      <c r="T3897">
        <v>0.19877800000000001</v>
      </c>
      <c r="U3897">
        <v>0.52650450000000004</v>
      </c>
      <c r="V3897">
        <v>-8.3736649999999996E-2</v>
      </c>
      <c r="W3897">
        <v>-3.520181E-2</v>
      </c>
      <c r="X3897">
        <v>0.99586589999999997</v>
      </c>
      <c r="Y3897">
        <v>-0.15796959999999999</v>
      </c>
      <c r="Z3897">
        <v>-3.3217839999999999E-3</v>
      </c>
      <c r="AA3897">
        <v>0.98743840000000005</v>
      </c>
      <c r="AB3897">
        <v>48</v>
      </c>
      <c r="AC3897">
        <v>81.433700000000002</v>
      </c>
      <c r="AD3897">
        <v>5.4629449999999897</v>
      </c>
      <c r="AE3897">
        <v>14.4644999999999</v>
      </c>
      <c r="AF3897">
        <v>-13.0761891315206</v>
      </c>
      <c r="AG3897">
        <v>5.4629449999999897</v>
      </c>
      <c r="AH3897">
        <v>81.304263945988794</v>
      </c>
      <c r="AI3897">
        <v>86.204623517189603</v>
      </c>
      <c r="AJ3897">
        <v>99.136656106356</v>
      </c>
      <c r="AK3897">
        <v>82.530078311336496</v>
      </c>
      <c r="AL3897">
        <v>92.017332042212999</v>
      </c>
      <c r="AM3897">
        <v>94.806367389170305</v>
      </c>
      <c r="AN3897">
        <v>0.99999994238165202</v>
      </c>
    </row>
    <row r="3898" spans="1:40" x14ac:dyDescent="0.25">
      <c r="A3898" t="str">
        <f>"20190305135011129"</f>
        <v>20190305135011129</v>
      </c>
      <c r="B3898" t="str">
        <f>"1551765011124688"</f>
        <v>1551765011124688</v>
      </c>
      <c r="C3898" t="s">
        <v>40</v>
      </c>
      <c r="D3898">
        <v>3.9501580000000001</v>
      </c>
      <c r="E3898">
        <v>0.50337489999999996</v>
      </c>
      <c r="F3898" t="s">
        <v>92</v>
      </c>
      <c r="G3898">
        <v>-273.64150000000001</v>
      </c>
      <c r="H3898">
        <v>6.5072729999999996</v>
      </c>
      <c r="I3898">
        <v>229.37799999999999</v>
      </c>
      <c r="J3898">
        <v>-355.3005</v>
      </c>
      <c r="K3898">
        <v>1.1078650000000001</v>
      </c>
      <c r="L3898">
        <v>214.91970000000001</v>
      </c>
      <c r="M3898">
        <v>0.9998397</v>
      </c>
      <c r="N3898">
        <v>-7.6634900000000002E-3</v>
      </c>
      <c r="O3898">
        <v>1.6182240000000001E-2</v>
      </c>
      <c r="P3898">
        <v>0.99410900000000002</v>
      </c>
      <c r="Q3898">
        <v>-4.3468270000000003E-2</v>
      </c>
      <c r="R3898">
        <v>9.9286570000000005E-2</v>
      </c>
      <c r="S3898">
        <v>2.9739689999999999</v>
      </c>
      <c r="T3898">
        <v>0.19572970000000001</v>
      </c>
      <c r="U3898">
        <v>0.52435299999999996</v>
      </c>
      <c r="V3898">
        <v>-8.3203509999999994E-2</v>
      </c>
      <c r="W3898">
        <v>-3.5797429999999998E-2</v>
      </c>
      <c r="X3898">
        <v>0.99588940000000004</v>
      </c>
      <c r="Y3898">
        <v>-0.15742799999999901</v>
      </c>
      <c r="Z3898">
        <v>-3.34871E-3</v>
      </c>
      <c r="AA3898">
        <v>0.98752479999999998</v>
      </c>
      <c r="AB3898">
        <v>48</v>
      </c>
      <c r="AC3898">
        <v>81.658999999999907</v>
      </c>
      <c r="AD3898">
        <v>5.3994080000000002</v>
      </c>
      <c r="AE3898">
        <v>14.4582999999999</v>
      </c>
      <c r="AF3898">
        <v>-13.0794964722995</v>
      </c>
      <c r="AG3898">
        <v>5.3994080000000002</v>
      </c>
      <c r="AH3898">
        <v>81.536635649937807</v>
      </c>
      <c r="AI3898">
        <v>86.259055616793304</v>
      </c>
      <c r="AJ3898">
        <v>99.113320625549605</v>
      </c>
      <c r="AK3898">
        <v>82.755361082107896</v>
      </c>
      <c r="AL3898">
        <v>92.051479985980606</v>
      </c>
      <c r="AM3898">
        <v>94.775795719595706</v>
      </c>
      <c r="AN3898">
        <v>0.99999998855164196</v>
      </c>
    </row>
    <row r="3899" spans="1:40" x14ac:dyDescent="0.25">
      <c r="A3899" t="str">
        <f>"20190305135011152"</f>
        <v>20190305135011152</v>
      </c>
      <c r="B3899" t="str">
        <f>"1551765011144211"</f>
        <v>1551765011144211</v>
      </c>
      <c r="C3899" t="s">
        <v>40</v>
      </c>
      <c r="D3899">
        <v>3.8507039999999999</v>
      </c>
      <c r="E3899">
        <v>0.52043099999999998</v>
      </c>
      <c r="F3899" t="s">
        <v>61</v>
      </c>
      <c r="G3899">
        <v>-157.25</v>
      </c>
      <c r="H3899">
        <v>3.5641769999999902</v>
      </c>
      <c r="I3899">
        <v>233.30449999999999</v>
      </c>
      <c r="J3899">
        <v>-354.80970000000002</v>
      </c>
      <c r="K3899">
        <v>1.107758</v>
      </c>
      <c r="L3899">
        <v>214.92760000000001</v>
      </c>
      <c r="M3899">
        <v>0.99984960000000001</v>
      </c>
      <c r="N3899">
        <v>-6.7002310000000001E-3</v>
      </c>
      <c r="O3899">
        <v>1.6004580000000001E-2</v>
      </c>
      <c r="P3899">
        <v>0.99421300000000001</v>
      </c>
      <c r="Q3899">
        <v>-4.2925480000000002E-2</v>
      </c>
      <c r="R3899">
        <v>9.8478070000000001E-2</v>
      </c>
      <c r="S3899">
        <v>2.991638</v>
      </c>
      <c r="T3899">
        <v>3.7104489999999997E-2</v>
      </c>
      <c r="U3899">
        <v>0.27771000000000001</v>
      </c>
      <c r="V3899">
        <v>-8.2570169999999998E-2</v>
      </c>
      <c r="W3899">
        <v>-3.6214459999999997E-2</v>
      </c>
      <c r="X3899">
        <v>0.99592700000000001</v>
      </c>
      <c r="Y3899">
        <v>-7.6483309999999999E-2</v>
      </c>
      <c r="Z3899" s="1">
        <v>8.8566099999999999E-5</v>
      </c>
      <c r="AA3899">
        <v>0.99707080000000003</v>
      </c>
      <c r="AB3899">
        <v>48</v>
      </c>
      <c r="AC3899">
        <v>197.55969999999999</v>
      </c>
      <c r="AD3899">
        <v>2.4564189999999901</v>
      </c>
      <c r="AE3899">
        <v>18.3768999999999</v>
      </c>
      <c r="AF3899">
        <v>-15.210284239469001</v>
      </c>
      <c r="AG3899">
        <v>2.4564189999999901</v>
      </c>
      <c r="AH3899">
        <v>197.79819907276999</v>
      </c>
      <c r="AI3899">
        <v>89.290585145567306</v>
      </c>
      <c r="AJ3899">
        <v>94.397276520460693</v>
      </c>
      <c r="AK3899">
        <v>198.397364643234</v>
      </c>
      <c r="AL3899">
        <v>92.075389619169201</v>
      </c>
      <c r="AM3899">
        <v>94.739430777141607</v>
      </c>
      <c r="AN3899">
        <v>0.99999995470795899</v>
      </c>
    </row>
    <row r="3900" spans="1:40" x14ac:dyDescent="0.25">
      <c r="A3900" t="str">
        <f>"20190305135011165"</f>
        <v>20190305135011165</v>
      </c>
      <c r="B3900" t="str">
        <f>"1551765011153968"</f>
        <v>1551765011153968</v>
      </c>
      <c r="C3900" t="s">
        <v>40</v>
      </c>
      <c r="D3900">
        <v>3.8400829999999999</v>
      </c>
      <c r="E3900">
        <v>0.52618039999999999</v>
      </c>
      <c r="F3900" t="s">
        <v>74</v>
      </c>
      <c r="G3900">
        <v>-247.9742</v>
      </c>
      <c r="H3900">
        <v>8.0000669999999996E-2</v>
      </c>
      <c r="I3900">
        <v>219.80680000000001</v>
      </c>
      <c r="J3900">
        <v>-354.50979999999998</v>
      </c>
      <c r="K3900">
        <v>1.107761</v>
      </c>
      <c r="L3900">
        <v>214.9324</v>
      </c>
      <c r="M3900">
        <v>0.99985349999999995</v>
      </c>
      <c r="N3900">
        <v>-6.3639459999999997E-3</v>
      </c>
      <c r="O3900">
        <v>1.5901019999999998E-2</v>
      </c>
      <c r="P3900">
        <v>0.99427909999999997</v>
      </c>
      <c r="Q3900">
        <v>-4.2236830000000003E-2</v>
      </c>
      <c r="R3900">
        <v>9.8108719999999996E-2</v>
      </c>
      <c r="S3900">
        <v>3.0026250000000001</v>
      </c>
      <c r="T3900">
        <v>-2.8885250000000001E-2</v>
      </c>
      <c r="U3900">
        <v>0.13713069999999999</v>
      </c>
      <c r="V3900">
        <v>-8.2302899999999998E-2</v>
      </c>
      <c r="W3900">
        <v>-3.5859719999999998E-2</v>
      </c>
      <c r="X3900">
        <v>0.99596200000000001</v>
      </c>
      <c r="Y3900">
        <v>-2.9729990000000001E-2</v>
      </c>
      <c r="Z3900">
        <v>1.8586460000000001E-4</v>
      </c>
      <c r="AA3900">
        <v>0.99955799999999995</v>
      </c>
      <c r="AB3900">
        <v>49</v>
      </c>
      <c r="AC3900">
        <v>106.5356</v>
      </c>
      <c r="AD3900">
        <v>-1.02776033</v>
      </c>
      <c r="AE3900">
        <v>4.8743999999999996</v>
      </c>
      <c r="AF3900">
        <v>-3.1794297248049399</v>
      </c>
      <c r="AG3900">
        <v>-1.02776033</v>
      </c>
      <c r="AH3900">
        <v>106.58974050544001</v>
      </c>
      <c r="AI3900">
        <v>90.552195051976895</v>
      </c>
      <c r="AJ3900">
        <v>91.708550039894803</v>
      </c>
      <c r="AK3900">
        <v>106.64210165637201</v>
      </c>
      <c r="AL3900">
        <v>92.055051217412498</v>
      </c>
      <c r="AM3900">
        <v>94.723994074882896</v>
      </c>
      <c r="AN3900">
        <v>0.99999999615544399</v>
      </c>
    </row>
    <row r="3901" spans="1:40" x14ac:dyDescent="0.25">
      <c r="A3901" t="str">
        <f>"20190305135011186"</f>
        <v>20190305135011186</v>
      </c>
      <c r="B3901" t="str">
        <f>"1551765011174463"</f>
        <v>1551765011174463</v>
      </c>
      <c r="C3901" t="s">
        <v>40</v>
      </c>
      <c r="D3901">
        <v>3.829942</v>
      </c>
      <c r="E3901">
        <v>0.53192059999999997</v>
      </c>
      <c r="F3901" t="s">
        <v>78</v>
      </c>
      <c r="G3901">
        <v>-287.37580000000003</v>
      </c>
      <c r="H3901" s="1">
        <v>3.5440490000000002E-6</v>
      </c>
      <c r="I3901">
        <v>216.9315</v>
      </c>
      <c r="J3901">
        <v>-354.08319999999998</v>
      </c>
      <c r="K3901">
        <v>1.1078250000000001</v>
      </c>
      <c r="L3901">
        <v>214.9391</v>
      </c>
      <c r="M3901">
        <v>0.99985679999999999</v>
      </c>
      <c r="N3901">
        <v>-6.1713979999999998E-3</v>
      </c>
      <c r="O3901">
        <v>1.5759260000000001E-2</v>
      </c>
      <c r="P3901">
        <v>0.99435989999999996</v>
      </c>
      <c r="Q3901">
        <v>-4.1773780000000003E-2</v>
      </c>
      <c r="R3901">
        <v>9.7485559999999999E-2</v>
      </c>
      <c r="S3901">
        <v>3.0063170000000001</v>
      </c>
      <c r="T3901">
        <v>-4.9606320000000002E-2</v>
      </c>
      <c r="U3901">
        <v>8.9523320000000003E-2</v>
      </c>
      <c r="V3901">
        <v>-8.1821199999999997E-2</v>
      </c>
      <c r="W3901">
        <v>-3.558629E-2</v>
      </c>
      <c r="X3901">
        <v>0.99601150000000005</v>
      </c>
      <c r="Y3901">
        <v>-1.4007159999999999E-2</v>
      </c>
      <c r="Z3901" s="1">
        <v>-3.9331569999999998E-6</v>
      </c>
      <c r="AA3901">
        <v>0.99990190000000001</v>
      </c>
      <c r="AB3901">
        <v>49</v>
      </c>
      <c r="AC3901">
        <v>66.707399999999893</v>
      </c>
      <c r="AD3901">
        <v>-1.107821455951</v>
      </c>
      <c r="AE3901">
        <v>1.9923999999999999</v>
      </c>
      <c r="AF3901">
        <v>-0.94061412790341803</v>
      </c>
      <c r="AG3901">
        <v>-1.107821455951</v>
      </c>
      <c r="AH3901">
        <v>66.712132292287194</v>
      </c>
      <c r="AI3901">
        <v>90.951271555227095</v>
      </c>
      <c r="AJ3901">
        <v>90.807793829313397</v>
      </c>
      <c r="AK3901">
        <v>66.727959794223494</v>
      </c>
      <c r="AL3901">
        <v>92.0393748177368</v>
      </c>
      <c r="AM3901">
        <v>94.696237298500705</v>
      </c>
      <c r="AN3901">
        <v>1.0000000004688201</v>
      </c>
    </row>
    <row r="3902" spans="1:40" x14ac:dyDescent="0.25">
      <c r="A3902" t="str">
        <f>"20190305135011207"</f>
        <v>20190305135011207</v>
      </c>
      <c r="B3902" t="str">
        <f>"1551765011204720"</f>
        <v>1551765011204720</v>
      </c>
      <c r="C3902" t="s">
        <v>40</v>
      </c>
      <c r="D3902">
        <v>3.8205629999999999</v>
      </c>
      <c r="E3902">
        <v>0.53551490000000002</v>
      </c>
      <c r="F3902" t="s">
        <v>78</v>
      </c>
      <c r="G3902">
        <v>-308.34890000000001</v>
      </c>
      <c r="H3902" s="1">
        <v>1.1723030000000001E-6</v>
      </c>
      <c r="I3902">
        <v>215.5609</v>
      </c>
      <c r="J3902">
        <v>-353.59859999999998</v>
      </c>
      <c r="K3902">
        <v>1.1079490000000001</v>
      </c>
      <c r="L3902">
        <v>214.94669999999999</v>
      </c>
      <c r="M3902">
        <v>0.99985900000000005</v>
      </c>
      <c r="N3902">
        <v>-6.2117500000000003E-3</v>
      </c>
      <c r="O3902">
        <v>1.5599989999999999E-2</v>
      </c>
      <c r="P3902">
        <v>0.99442140000000001</v>
      </c>
      <c r="Q3902">
        <v>-4.1299429999999998E-2</v>
      </c>
      <c r="R3902">
        <v>9.7059179999999995E-2</v>
      </c>
      <c r="S3902">
        <v>3.0099179999999999</v>
      </c>
      <c r="T3902">
        <v>-7.2909360000000006E-2</v>
      </c>
      <c r="U3902">
        <v>4.092407E-2</v>
      </c>
      <c r="V3902">
        <v>-8.1552920000000001E-2</v>
      </c>
      <c r="W3902">
        <v>-3.50689E-2</v>
      </c>
      <c r="X3902">
        <v>0.99605180000000004</v>
      </c>
      <c r="Y3902">
        <v>2.0020820000000001E-3</v>
      </c>
      <c r="Z3902">
        <v>-3.1135329999999999E-4</v>
      </c>
      <c r="AA3902">
        <v>0.99999800000000005</v>
      </c>
      <c r="AB3902">
        <v>49</v>
      </c>
      <c r="AC3902">
        <v>45.249699999999898</v>
      </c>
      <c r="AD3902">
        <v>-1.1079478276970001</v>
      </c>
      <c r="AE3902">
        <v>0.61420000000001096</v>
      </c>
      <c r="AF3902">
        <v>9.1728258830957296E-2</v>
      </c>
      <c r="AG3902">
        <v>-1.1079478276970001</v>
      </c>
      <c r="AH3902">
        <v>45.226665658066501</v>
      </c>
      <c r="AI3902">
        <v>91.403329398467207</v>
      </c>
      <c r="AJ3902">
        <v>89.883793447732899</v>
      </c>
      <c r="AK3902">
        <v>45.240327684588003</v>
      </c>
      <c r="AL3902">
        <v>92.009712144830601</v>
      </c>
      <c r="AM3902">
        <v>94.680718998987302</v>
      </c>
      <c r="AN3902">
        <v>0.99999994739548603</v>
      </c>
    </row>
    <row r="3903" spans="1:40" x14ac:dyDescent="0.25">
      <c r="A3903" t="str">
        <f>"20190305135011230"</f>
        <v>20190305135011230</v>
      </c>
      <c r="B3903" t="str">
        <f>"1551765011224240"</f>
        <v>1551765011224240</v>
      </c>
      <c r="C3903" t="s">
        <v>40</v>
      </c>
      <c r="D3903">
        <v>3.8326950000000002</v>
      </c>
      <c r="E3903">
        <v>0.53711450000000005</v>
      </c>
      <c r="F3903" t="s">
        <v>78</v>
      </c>
      <c r="G3903">
        <v>-315.24950000000001</v>
      </c>
      <c r="H3903" s="1">
        <v>3.2335590000000002E-6</v>
      </c>
      <c r="I3903">
        <v>215.08189999999999</v>
      </c>
      <c r="J3903">
        <v>-353.11340000000001</v>
      </c>
      <c r="K3903">
        <v>1.10806</v>
      </c>
      <c r="L3903">
        <v>214.95419999999999</v>
      </c>
      <c r="M3903">
        <v>0.99986059999999999</v>
      </c>
      <c r="N3903">
        <v>-6.3554419999999898E-3</v>
      </c>
      <c r="O3903">
        <v>1.543779E-2</v>
      </c>
      <c r="P3903">
        <v>0.9944655</v>
      </c>
      <c r="Q3903">
        <v>-4.1372480000000003E-2</v>
      </c>
      <c r="R3903">
        <v>9.6575289999999994E-2</v>
      </c>
      <c r="S3903">
        <v>3.0121769999999999</v>
      </c>
      <c r="T3903">
        <v>-8.7024809999999994E-2</v>
      </c>
      <c r="U3903">
        <v>1.062012E-2</v>
      </c>
      <c r="V3903">
        <v>-8.1231100000000001E-2</v>
      </c>
      <c r="W3903">
        <v>-3.4996300000000001E-2</v>
      </c>
      <c r="X3903">
        <v>0.99608070000000004</v>
      </c>
      <c r="Y3903">
        <v>1.190275E-2</v>
      </c>
      <c r="Z3903">
        <v>-5.5753889999999998E-4</v>
      </c>
      <c r="AA3903">
        <v>0.99992899999999996</v>
      </c>
      <c r="AB3903">
        <v>49</v>
      </c>
      <c r="AC3903">
        <v>37.863900000000001</v>
      </c>
      <c r="AD3903">
        <v>-1.1080567664409999</v>
      </c>
      <c r="AE3903">
        <v>0.127700000000004</v>
      </c>
      <c r="AF3903">
        <v>0.456471065098839</v>
      </c>
      <c r="AG3903">
        <v>-1.1080567664409999</v>
      </c>
      <c r="AH3903">
        <v>37.828962923280898</v>
      </c>
      <c r="AI3903">
        <v>91.677661936472305</v>
      </c>
      <c r="AJ3903">
        <v>89.308662088301801</v>
      </c>
      <c r="AK3903">
        <v>37.8479403862599</v>
      </c>
      <c r="AL3903">
        <v>92.005549817060597</v>
      </c>
      <c r="AM3903">
        <v>94.662195097105098</v>
      </c>
      <c r="AN3903">
        <v>0.99999999676669504</v>
      </c>
    </row>
    <row r="3904" spans="1:40" x14ac:dyDescent="0.25">
      <c r="A3904" t="str">
        <f>"20190305135011242"</f>
        <v>20190305135011242</v>
      </c>
      <c r="B3904" t="str">
        <f>"1551765011234001"</f>
        <v>1551765011234001</v>
      </c>
      <c r="C3904" t="s">
        <v>40</v>
      </c>
      <c r="D3904">
        <v>3.8492250000000001</v>
      </c>
      <c r="E3904">
        <v>0.53750739999999997</v>
      </c>
      <c r="F3904" t="s">
        <v>78</v>
      </c>
      <c r="G3904">
        <v>-316.68439999999998</v>
      </c>
      <c r="H3904" s="1">
        <v>3.869907E-6</v>
      </c>
      <c r="I3904">
        <v>214.90770000000001</v>
      </c>
      <c r="J3904">
        <v>-352.82709999999997</v>
      </c>
      <c r="K3904">
        <v>1.1081110000000001</v>
      </c>
      <c r="L3904">
        <v>214.95849999999999</v>
      </c>
      <c r="M3904">
        <v>0.99986160000000002</v>
      </c>
      <c r="N3904">
        <v>-6.4523050000000002E-3</v>
      </c>
      <c r="O3904">
        <v>1.5338040000000001E-2</v>
      </c>
      <c r="P3904">
        <v>0.9944537</v>
      </c>
      <c r="Q3904">
        <v>-4.2080350000000002E-2</v>
      </c>
      <c r="R3904">
        <v>9.6390459999999997E-2</v>
      </c>
      <c r="S3904">
        <v>3.0132140000000001</v>
      </c>
      <c r="T3904">
        <v>-9.1652629999999999E-2</v>
      </c>
      <c r="U3904">
        <v>-3.8452149999999999E-3</v>
      </c>
      <c r="V3904">
        <v>-8.1146709999999997E-2</v>
      </c>
      <c r="W3904">
        <v>-3.5606680000000002E-2</v>
      </c>
      <c r="X3904">
        <v>0.99606600000000001</v>
      </c>
      <c r="Y3904">
        <v>1.6600609999999998E-2</v>
      </c>
      <c r="Z3904">
        <v>-6.7344629999999996E-4</v>
      </c>
      <c r="AA3904">
        <v>0.99986200000000003</v>
      </c>
      <c r="AB3904">
        <v>49</v>
      </c>
      <c r="AC3904">
        <v>36.142699999999898</v>
      </c>
      <c r="AD3904">
        <v>-1.1081071300929899</v>
      </c>
      <c r="AE3904">
        <v>-5.0799999999980999E-2</v>
      </c>
      <c r="AF3904">
        <v>0.60459540123945399</v>
      </c>
      <c r="AG3904">
        <v>-1.1081071300929899</v>
      </c>
      <c r="AH3904">
        <v>36.103731992739498</v>
      </c>
      <c r="AI3904">
        <v>91.757741966097001</v>
      </c>
      <c r="AJ3904">
        <v>89.040610891833694</v>
      </c>
      <c r="AK3904">
        <v>36.125792736139701</v>
      </c>
      <c r="AL3904">
        <v>92.040543717856806</v>
      </c>
      <c r="AM3904">
        <v>94.657441349240202</v>
      </c>
      <c r="AN3904">
        <v>1.00000005028022</v>
      </c>
    </row>
    <row r="3905" spans="1:40" x14ac:dyDescent="0.25">
      <c r="A3905" t="str">
        <f>"20190305135011254"</f>
        <v>20190305135011254</v>
      </c>
      <c r="B3905" t="str">
        <f>"1551765011243759"</f>
        <v>1551765011243759</v>
      </c>
      <c r="C3905" t="s">
        <v>40</v>
      </c>
      <c r="D3905">
        <v>3.8284150000000001</v>
      </c>
      <c r="E3905">
        <v>0.53793590000000002</v>
      </c>
      <c r="F3905" t="s">
        <v>78</v>
      </c>
      <c r="G3905">
        <v>-317.74290000000002</v>
      </c>
      <c r="H3905" s="1">
        <v>4.3392790000000002E-6</v>
      </c>
      <c r="I3905">
        <v>214.87219999999999</v>
      </c>
      <c r="J3905">
        <v>-352.56900000000002</v>
      </c>
      <c r="K3905">
        <v>1.10815</v>
      </c>
      <c r="L3905">
        <v>214.96250000000001</v>
      </c>
      <c r="M3905">
        <v>0.99986240000000004</v>
      </c>
      <c r="N3905">
        <v>-6.5420640000000002E-3</v>
      </c>
      <c r="O3905">
        <v>1.524666E-2</v>
      </c>
      <c r="P3905">
        <v>0.99445729999999999</v>
      </c>
      <c r="Q3905">
        <v>-4.1793789999999997E-2</v>
      </c>
      <c r="R3905">
        <v>9.6479250000000003E-2</v>
      </c>
      <c r="S3905">
        <v>3.013458</v>
      </c>
      <c r="T3905">
        <v>-9.5177410000000004E-2</v>
      </c>
      <c r="U3905">
        <v>-7.4157709999999998E-3</v>
      </c>
      <c r="V3905">
        <v>-8.1326389999999998E-2</v>
      </c>
      <c r="W3905">
        <v>-3.5229700000000003E-2</v>
      </c>
      <c r="X3905">
        <v>0.99606470000000003</v>
      </c>
      <c r="Y3905">
        <v>1.769211E-2</v>
      </c>
      <c r="Z3905">
        <v>-7.1890579999999999E-4</v>
      </c>
      <c r="AA3905">
        <v>0.99984320000000004</v>
      </c>
      <c r="AB3905">
        <v>49</v>
      </c>
      <c r="AC3905">
        <v>34.826099999999997</v>
      </c>
      <c r="AD3905">
        <v>-1.1081456607210001</v>
      </c>
      <c r="AE3905">
        <v>-9.03000000000133E-2</v>
      </c>
      <c r="AF3905">
        <v>0.62065415924461498</v>
      </c>
      <c r="AG3905">
        <v>-1.1081456607210001</v>
      </c>
      <c r="AH3905">
        <v>34.785455796428202</v>
      </c>
      <c r="AI3905">
        <v>91.8243403529668</v>
      </c>
      <c r="AJ3905">
        <v>88.977817303925804</v>
      </c>
      <c r="AK3905">
        <v>34.808635901971499</v>
      </c>
      <c r="AL3905">
        <v>92.018930896950195</v>
      </c>
      <c r="AM3905">
        <v>94.667714686190394</v>
      </c>
      <c r="AN3905">
        <v>1.0000000000292999</v>
      </c>
    </row>
    <row r="3906" spans="1:40" x14ac:dyDescent="0.25">
      <c r="A3906" t="str">
        <f>"20190305135011274"</f>
        <v>20190305135011274</v>
      </c>
      <c r="B3906" t="str">
        <f>"1551765011264256"</f>
        <v>1551765011264256</v>
      </c>
      <c r="C3906" t="s">
        <v>40</v>
      </c>
      <c r="D3906">
        <v>3.8584909999999999</v>
      </c>
      <c r="E3906">
        <v>0.53851230000000005</v>
      </c>
      <c r="F3906" t="s">
        <v>78</v>
      </c>
      <c r="G3906">
        <v>-317.72859999999997</v>
      </c>
      <c r="H3906" s="1">
        <v>4.3329810000000004E-6</v>
      </c>
      <c r="I3906">
        <v>214.83920000000001</v>
      </c>
      <c r="J3906">
        <v>-352.14659999999998</v>
      </c>
      <c r="K3906">
        <v>1.108212</v>
      </c>
      <c r="L3906">
        <v>214.96879999999999</v>
      </c>
      <c r="M3906">
        <v>0.99986370000000002</v>
      </c>
      <c r="N3906">
        <v>-6.6966530000000003E-3</v>
      </c>
      <c r="O3906">
        <v>1.5090599999999999E-2</v>
      </c>
      <c r="P3906">
        <v>0.99448389999999998</v>
      </c>
      <c r="Q3906">
        <v>-4.163443E-2</v>
      </c>
      <c r="R3906">
        <v>9.6271280000000001E-2</v>
      </c>
      <c r="S3906">
        <v>3.013763</v>
      </c>
      <c r="T3906">
        <v>-9.5856899999999995E-2</v>
      </c>
      <c r="U3906">
        <v>-1.0665890000000001E-2</v>
      </c>
      <c r="V3906">
        <v>-8.1274079999999999E-2</v>
      </c>
      <c r="W3906">
        <v>-3.4915210000000002E-2</v>
      </c>
      <c r="X3906">
        <v>0.99607999999999997</v>
      </c>
      <c r="Y3906">
        <v>1.8613330000000001E-2</v>
      </c>
      <c r="Z3906">
        <v>-7.3708379999999998E-4</v>
      </c>
      <c r="AA3906">
        <v>0.99982649999999995</v>
      </c>
      <c r="AB3906">
        <v>49</v>
      </c>
      <c r="AC3906">
        <v>34.417999999999999</v>
      </c>
      <c r="AD3906">
        <v>-1.108207667019</v>
      </c>
      <c r="AE3906">
        <v>-0.12959999999998201</v>
      </c>
      <c r="AF3906">
        <v>0.64831303730438405</v>
      </c>
      <c r="AG3906">
        <v>-1.108207667019</v>
      </c>
      <c r="AH3906">
        <v>34.376485805254397</v>
      </c>
      <c r="AI3906">
        <v>91.846098036450101</v>
      </c>
      <c r="AJ3906">
        <v>88.919575487177596</v>
      </c>
      <c r="AK3906">
        <v>34.400453635765203</v>
      </c>
      <c r="AL3906">
        <v>92.000900940356601</v>
      </c>
      <c r="AM3906">
        <v>94.664654281094002</v>
      </c>
      <c r="AN3906">
        <v>0.999999957184594</v>
      </c>
    </row>
    <row r="3907" spans="1:40" x14ac:dyDescent="0.25">
      <c r="A3907" t="str">
        <f>"20190305135011288"</f>
        <v>20190305135011288</v>
      </c>
      <c r="B3907" t="str">
        <f>"1551765011284752"</f>
        <v>1551765011284752</v>
      </c>
      <c r="C3907" t="s">
        <v>40</v>
      </c>
      <c r="D3907">
        <v>3.8469009999999999</v>
      </c>
      <c r="E3907">
        <v>0.53900969999999904</v>
      </c>
      <c r="F3907" t="s">
        <v>78</v>
      </c>
      <c r="G3907">
        <v>-317.57400000000001</v>
      </c>
      <c r="H3907" s="1">
        <v>4.2643949999999999E-6</v>
      </c>
      <c r="I3907">
        <v>214.7851</v>
      </c>
      <c r="J3907">
        <v>-351.82420000000002</v>
      </c>
      <c r="K3907">
        <v>1.10825</v>
      </c>
      <c r="L3907">
        <v>214.9736</v>
      </c>
      <c r="M3907">
        <v>0.9998648</v>
      </c>
      <c r="N3907">
        <v>-6.8205039999999998E-3</v>
      </c>
      <c r="O3907">
        <v>1.496667E-2</v>
      </c>
      <c r="P3907">
        <v>0.99447249999999998</v>
      </c>
      <c r="Q3907">
        <v>-4.176974E-2</v>
      </c>
      <c r="R3907">
        <v>9.6330719999999995E-2</v>
      </c>
      <c r="S3907">
        <v>3.0141300000000002</v>
      </c>
      <c r="T3907">
        <v>-9.6616389999999996E-2</v>
      </c>
      <c r="U3907">
        <v>-1.6021730000000001E-2</v>
      </c>
      <c r="V3907">
        <v>-8.1457379999999996E-2</v>
      </c>
      <c r="W3907">
        <v>-3.4926489999999998E-2</v>
      </c>
      <c r="X3907">
        <v>0.99606470000000003</v>
      </c>
      <c r="Y3907">
        <v>2.0264279999999999E-2</v>
      </c>
      <c r="Z3907">
        <v>-7.7137600000000005E-4</v>
      </c>
      <c r="AA3907">
        <v>0.99979439999999997</v>
      </c>
      <c r="AB3907">
        <v>49</v>
      </c>
      <c r="AC3907">
        <v>34.2502</v>
      </c>
      <c r="AD3907">
        <v>-1.1082457356049999</v>
      </c>
      <c r="AE3907">
        <v>-0.188500000000004</v>
      </c>
      <c r="AF3907">
        <v>0.70036895177570901</v>
      </c>
      <c r="AG3907">
        <v>-1.1082457356049999</v>
      </c>
      <c r="AH3907">
        <v>34.207727938316502</v>
      </c>
      <c r="AI3907">
        <v>91.855203921454901</v>
      </c>
      <c r="AJ3907">
        <v>88.827090197807095</v>
      </c>
      <c r="AK3907">
        <v>34.232840606367702</v>
      </c>
      <c r="AL3907">
        <v>92.001547494367699</v>
      </c>
      <c r="AM3907">
        <v>94.675199535141999</v>
      </c>
      <c r="AN3907">
        <v>1.0000000255231301</v>
      </c>
    </row>
    <row r="3908" spans="1:40" x14ac:dyDescent="0.25">
      <c r="A3908" t="str">
        <f>"20190305135011308"</f>
        <v>20190305135011308</v>
      </c>
      <c r="B3908" t="str">
        <f>"1551765011304272"</f>
        <v>1551765011304272</v>
      </c>
      <c r="C3908" t="s">
        <v>40</v>
      </c>
      <c r="D3908">
        <v>3.8508770000000001</v>
      </c>
      <c r="E3908">
        <v>0.53939219999999999</v>
      </c>
      <c r="F3908" t="s">
        <v>78</v>
      </c>
      <c r="G3908">
        <v>-317.12119999999999</v>
      </c>
      <c r="H3908" s="1">
        <v>4.0636079999999997E-6</v>
      </c>
      <c r="I3908">
        <v>214.7465</v>
      </c>
      <c r="J3908">
        <v>-351.40550000000002</v>
      </c>
      <c r="K3908">
        <v>1.1082780000000001</v>
      </c>
      <c r="L3908">
        <v>214.97980000000001</v>
      </c>
      <c r="M3908">
        <v>0.99986620000000004</v>
      </c>
      <c r="N3908">
        <v>-6.9854729999999999E-3</v>
      </c>
      <c r="O3908">
        <v>1.4797799999999899E-2</v>
      </c>
      <c r="P3908">
        <v>0.99449189999999998</v>
      </c>
      <c r="Q3908">
        <v>-4.1610460000000002E-2</v>
      </c>
      <c r="R3908">
        <v>9.6200599999999997E-2</v>
      </c>
      <c r="S3908">
        <v>3.014526</v>
      </c>
      <c r="T3908">
        <v>-9.6269489999999999E-2</v>
      </c>
      <c r="U3908">
        <v>-1.9729610000000002E-2</v>
      </c>
      <c r="V3908">
        <v>-8.1494880000000006E-2</v>
      </c>
      <c r="W3908">
        <v>-3.4602029999999999E-2</v>
      </c>
      <c r="X3908">
        <v>0.99607290000000004</v>
      </c>
      <c r="Y3908">
        <v>2.1323979999999999E-2</v>
      </c>
      <c r="Z3908">
        <v>-7.8399329999999997E-4</v>
      </c>
      <c r="AA3908">
        <v>0.99977229999999995</v>
      </c>
      <c r="AB3908">
        <v>49</v>
      </c>
      <c r="AC3908">
        <v>34.284300000000002</v>
      </c>
      <c r="AD3908">
        <v>-1.108273936392</v>
      </c>
      <c r="AE3908">
        <v>-0.233300000000014</v>
      </c>
      <c r="AF3908">
        <v>0.73984591821831702</v>
      </c>
      <c r="AG3908">
        <v>-1.108273936392</v>
      </c>
      <c r="AH3908">
        <v>34.2413140247779</v>
      </c>
      <c r="AI3908">
        <v>91.853388490894204</v>
      </c>
      <c r="AJ3908">
        <v>88.7622129876152</v>
      </c>
      <c r="AK3908">
        <v>34.267232588060601</v>
      </c>
      <c r="AL3908">
        <v>91.982946174393206</v>
      </c>
      <c r="AM3908">
        <v>94.677303944134096</v>
      </c>
      <c r="AN3908">
        <v>0.99999996903037203</v>
      </c>
    </row>
    <row r="3909" spans="1:40" x14ac:dyDescent="0.25">
      <c r="A3909" t="str">
        <f>"20190305135011330"</f>
        <v>20190305135011330</v>
      </c>
      <c r="B3909" t="str">
        <f>"1551765011323792"</f>
        <v>1551765011323792</v>
      </c>
      <c r="C3909" t="s">
        <v>40</v>
      </c>
      <c r="D3909">
        <v>3.8526340000000001</v>
      </c>
      <c r="E3909">
        <v>0.53952999999999995</v>
      </c>
      <c r="F3909" t="s">
        <v>78</v>
      </c>
      <c r="G3909">
        <v>-316.17880000000002</v>
      </c>
      <c r="H3909" s="1">
        <v>3.6456989999999999E-6</v>
      </c>
      <c r="I3909">
        <v>214.70939999999999</v>
      </c>
      <c r="J3909">
        <v>-350.90929999999997</v>
      </c>
      <c r="K3909">
        <v>1.108301</v>
      </c>
      <c r="L3909">
        <v>214.98699999999999</v>
      </c>
      <c r="M3909">
        <v>0.99986790000000003</v>
      </c>
      <c r="N3909">
        <v>-7.1791219999999996E-3</v>
      </c>
      <c r="O3909">
        <v>1.45843E-2</v>
      </c>
      <c r="P3909">
        <v>0.99445689999999998</v>
      </c>
      <c r="Q3909">
        <v>-4.1927550000000001E-2</v>
      </c>
      <c r="R3909">
        <v>9.6423499999999995E-2</v>
      </c>
      <c r="S3909">
        <v>3.0148929999999998</v>
      </c>
      <c r="T3909">
        <v>-9.4852329999999999E-2</v>
      </c>
      <c r="U3909">
        <v>-2.3147580000000001E-2</v>
      </c>
      <c r="V3909">
        <v>-8.1931959999999998E-2</v>
      </c>
      <c r="W3909">
        <v>-3.4724749999999999E-2</v>
      </c>
      <c r="X3909">
        <v>0.99603280000000005</v>
      </c>
      <c r="Y3909">
        <v>2.2243140000000002E-2</v>
      </c>
      <c r="Z3909">
        <v>-7.8370740000000005E-4</v>
      </c>
      <c r="AA3909">
        <v>0.99975230000000004</v>
      </c>
      <c r="AB3909">
        <v>49</v>
      </c>
      <c r="AC3909">
        <v>34.7304999999999</v>
      </c>
      <c r="AD3909">
        <v>-1.108297354301</v>
      </c>
      <c r="AE3909">
        <v>-0.27760000000000601</v>
      </c>
      <c r="AF3909">
        <v>0.783305926956819</v>
      </c>
      <c r="AG3909">
        <v>-1.108297354301</v>
      </c>
      <c r="AH3909">
        <v>34.687436125889697</v>
      </c>
      <c r="AI3909">
        <v>91.829567259077606</v>
      </c>
      <c r="AJ3909">
        <v>88.706376074014003</v>
      </c>
      <c r="AK3909">
        <v>34.713975804975597</v>
      </c>
      <c r="AL3909">
        <v>91.989981686048594</v>
      </c>
      <c r="AM3909">
        <v>94.702465912295807</v>
      </c>
      <c r="AN3909">
        <v>0.99999999650392202</v>
      </c>
    </row>
    <row r="3910" spans="1:40" x14ac:dyDescent="0.25">
      <c r="A3910" t="str">
        <f>"20190305135011343"</f>
        <v>20190305135011343</v>
      </c>
      <c r="B3910" t="str">
        <f>"1551765011334528"</f>
        <v>1551765011334528</v>
      </c>
      <c r="C3910" t="s">
        <v>40</v>
      </c>
      <c r="D3910">
        <v>3.8662100000000001</v>
      </c>
      <c r="E3910">
        <v>0.53970030000000002</v>
      </c>
      <c r="F3910" t="s">
        <v>78</v>
      </c>
      <c r="G3910">
        <v>-317.83909999999997</v>
      </c>
      <c r="H3910" s="1">
        <v>4.3819660000000001E-6</v>
      </c>
      <c r="I3910">
        <v>214.72559999999999</v>
      </c>
      <c r="J3910">
        <v>-350.62049999999999</v>
      </c>
      <c r="K3910">
        <v>1.108301</v>
      </c>
      <c r="L3910">
        <v>214.99119999999999</v>
      </c>
      <c r="M3910">
        <v>0.99986909999999896</v>
      </c>
      <c r="N3910">
        <v>-7.2870169999999998E-3</v>
      </c>
      <c r="O3910">
        <v>1.4449750000000001E-2</v>
      </c>
      <c r="P3910">
        <v>0.99443590000000004</v>
      </c>
      <c r="Q3910">
        <v>-4.1997020000000003E-2</v>
      </c>
      <c r="R3910">
        <v>9.6610829999999995E-2</v>
      </c>
      <c r="S3910">
        <v>3.0147710000000001</v>
      </c>
      <c r="T3910">
        <v>-0.1010355</v>
      </c>
      <c r="U3910">
        <v>-2.3834230000000001E-2</v>
      </c>
      <c r="V3910">
        <v>-8.2254079999999993E-2</v>
      </c>
      <c r="W3910">
        <v>-3.4685300000000002E-2</v>
      </c>
      <c r="X3910">
        <v>0.99600759999999999</v>
      </c>
      <c r="Y3910">
        <v>2.233419E-2</v>
      </c>
      <c r="Z3910">
        <v>-8.3438130000000003E-4</v>
      </c>
      <c r="AA3910">
        <v>0.99975020000000003</v>
      </c>
      <c r="AB3910">
        <v>49</v>
      </c>
      <c r="AC3910">
        <v>32.781399999999998</v>
      </c>
      <c r="AD3910">
        <v>-1.1082966180339999</v>
      </c>
      <c r="AE3910">
        <v>-0.265600000000006</v>
      </c>
      <c r="AF3910">
        <v>0.73842386982807895</v>
      </c>
      <c r="AG3910">
        <v>-1.1082966180339999</v>
      </c>
      <c r="AH3910">
        <v>32.736722836202397</v>
      </c>
      <c r="AI3910">
        <v>91.938506351958395</v>
      </c>
      <c r="AJ3910">
        <v>88.707830401945898</v>
      </c>
      <c r="AK3910">
        <v>32.763800348241297</v>
      </c>
      <c r="AL3910">
        <v>91.9877200548503</v>
      </c>
      <c r="AM3910">
        <v>94.720989418797899</v>
      </c>
      <c r="AN3910">
        <v>0.999999971485247</v>
      </c>
    </row>
    <row r="3911" spans="1:40" x14ac:dyDescent="0.25">
      <c r="A3911" t="str">
        <f>"20190305135011356"</f>
        <v>20190305135011356</v>
      </c>
      <c r="B3911" t="str">
        <f>"1551765011344289"</f>
        <v>1551765011344289</v>
      </c>
      <c r="C3911" t="s">
        <v>40</v>
      </c>
      <c r="D3911">
        <v>3.861059</v>
      </c>
      <c r="E3911">
        <v>0.53990360000000004</v>
      </c>
      <c r="F3911" t="s">
        <v>78</v>
      </c>
      <c r="G3911">
        <v>-317.50659999999999</v>
      </c>
      <c r="H3911" s="1">
        <v>4.23450499999999E-6</v>
      </c>
      <c r="I3911">
        <v>214.72239999999999</v>
      </c>
      <c r="J3911">
        <v>-350.3578</v>
      </c>
      <c r="K3911">
        <v>1.108304</v>
      </c>
      <c r="L3911">
        <v>214.9949</v>
      </c>
      <c r="M3911">
        <v>0.99987020000000004</v>
      </c>
      <c r="N3911">
        <v>-7.3824059999999898E-3</v>
      </c>
      <c r="O3911">
        <v>1.432394E-2</v>
      </c>
      <c r="P3911">
        <v>0.99441170000000001</v>
      </c>
      <c r="Q3911">
        <v>-4.2323689999999997E-2</v>
      </c>
      <c r="R3911">
        <v>9.6717549999999999E-2</v>
      </c>
      <c r="S3911">
        <v>3.014923</v>
      </c>
      <c r="T3911">
        <v>-0.100907</v>
      </c>
      <c r="U3911">
        <v>-2.44751E-2</v>
      </c>
      <c r="V3911">
        <v>-8.2487089999999999E-2</v>
      </c>
      <c r="W3911">
        <v>-3.4915559999999998E-2</v>
      </c>
      <c r="X3911">
        <v>0.99598030000000004</v>
      </c>
      <c r="Y3911">
        <v>2.2420550000000001E-2</v>
      </c>
      <c r="Z3911">
        <v>-8.3141720000000005E-4</v>
      </c>
      <c r="AA3911">
        <v>0.99974830000000003</v>
      </c>
      <c r="AB3911">
        <v>49</v>
      </c>
      <c r="AC3911">
        <v>32.851199999999999</v>
      </c>
      <c r="AD3911">
        <v>-1.108299765495</v>
      </c>
      <c r="AE3911">
        <v>-0.27250000000000801</v>
      </c>
      <c r="AF3911">
        <v>0.742198761498302</v>
      </c>
      <c r="AG3911">
        <v>-1.108299765495</v>
      </c>
      <c r="AH3911">
        <v>32.806588812172102</v>
      </c>
      <c r="AI3911">
        <v>91.9343837496356</v>
      </c>
      <c r="AJ3911">
        <v>88.703991932146906</v>
      </c>
      <c r="AK3911">
        <v>32.8336939265551</v>
      </c>
      <c r="AL3911">
        <v>92.000920946097295</v>
      </c>
      <c r="AM3911">
        <v>94.734431547861007</v>
      </c>
      <c r="AN3911">
        <v>0.99999998716743499</v>
      </c>
    </row>
    <row r="3912" spans="1:40" x14ac:dyDescent="0.25">
      <c r="A3912" t="str">
        <f>"20190305135011372"</f>
        <v>20190305135011372</v>
      </c>
      <c r="B3912" t="str">
        <f>"1551765011364784"</f>
        <v>1551765011364784</v>
      </c>
      <c r="C3912" t="s">
        <v>40</v>
      </c>
      <c r="D3912">
        <v>3.8397579999999998</v>
      </c>
      <c r="E3912">
        <v>0.5401302</v>
      </c>
      <c r="F3912" t="s">
        <v>78</v>
      </c>
      <c r="G3912">
        <v>-317.60329999999999</v>
      </c>
      <c r="H3912" s="1">
        <v>4.2774120000000002E-6</v>
      </c>
      <c r="I3912">
        <v>214.71510000000001</v>
      </c>
      <c r="J3912">
        <v>-350.0018</v>
      </c>
      <c r="K3912">
        <v>1.1083000000000001</v>
      </c>
      <c r="L3912">
        <v>214.9999</v>
      </c>
      <c r="M3912">
        <v>0.99987170000000003</v>
      </c>
      <c r="N3912">
        <v>-7.50643199999999E-3</v>
      </c>
      <c r="O3912">
        <v>1.414671E-2</v>
      </c>
      <c r="P3912">
        <v>0.99442390000000003</v>
      </c>
      <c r="Q3912">
        <v>-4.254604E-2</v>
      </c>
      <c r="R3912">
        <v>9.6493599999999999E-2</v>
      </c>
      <c r="S3912">
        <v>3.0150450000000002</v>
      </c>
      <c r="T3912">
        <v>-0.102019</v>
      </c>
      <c r="U3912">
        <v>-2.575684E-2</v>
      </c>
      <c r="V3912">
        <v>-8.2440739999999998E-2</v>
      </c>
      <c r="W3912">
        <v>-3.5012130000000002E-2</v>
      </c>
      <c r="X3912">
        <v>0.99598070000000005</v>
      </c>
      <c r="Y3912">
        <v>2.2667449999999999E-2</v>
      </c>
      <c r="Z3912">
        <v>-8.4084489999999997E-4</v>
      </c>
      <c r="AA3912">
        <v>0.99974269999999998</v>
      </c>
      <c r="AB3912">
        <v>49</v>
      </c>
      <c r="AC3912">
        <v>32.398499999999999</v>
      </c>
      <c r="AD3912">
        <v>-1.1082957225879999</v>
      </c>
      <c r="AE3912">
        <v>-0.28479999999998901</v>
      </c>
      <c r="AF3912">
        <v>0.74224810594689905</v>
      </c>
      <c r="AG3912">
        <v>-1.1082957225879999</v>
      </c>
      <c r="AH3912">
        <v>32.3533714985548</v>
      </c>
      <c r="AI3912">
        <v>91.9614388901566</v>
      </c>
      <c r="AJ3912">
        <v>88.685755981749494</v>
      </c>
      <c r="AK3912">
        <v>32.380856983455303</v>
      </c>
      <c r="AL3912">
        <v>92.006457479747397</v>
      </c>
      <c r="AM3912">
        <v>94.731781433082105</v>
      </c>
      <c r="AN3912">
        <v>0.99999993981568502</v>
      </c>
    </row>
    <row r="3913" spans="1:40" x14ac:dyDescent="0.25">
      <c r="A3913" t="str">
        <f>"20190305135011386"</f>
        <v>20190305135011386</v>
      </c>
      <c r="B3913" t="str">
        <f>"1551765011374544"</f>
        <v>1551765011374544</v>
      </c>
      <c r="C3913" t="s">
        <v>40</v>
      </c>
      <c r="D3913">
        <v>3.8487640000000001</v>
      </c>
      <c r="E3913">
        <v>0.54021750000000002</v>
      </c>
      <c r="F3913" t="s">
        <v>78</v>
      </c>
      <c r="G3913">
        <v>-317.31040000000002</v>
      </c>
      <c r="H3913" s="1">
        <v>4.1475090000000001E-6</v>
      </c>
      <c r="I3913">
        <v>214.69290000000001</v>
      </c>
      <c r="J3913">
        <v>-349.67899999999997</v>
      </c>
      <c r="K3913">
        <v>1.1082909999999999</v>
      </c>
      <c r="L3913">
        <v>215.0044</v>
      </c>
      <c r="M3913">
        <v>0.99987340000000002</v>
      </c>
      <c r="N3913">
        <v>-7.6117829999999996E-3</v>
      </c>
      <c r="O3913">
        <v>1.397526E-2</v>
      </c>
      <c r="P3913">
        <v>0.99441829999999998</v>
      </c>
      <c r="Q3913">
        <v>-4.2971559999999999E-2</v>
      </c>
      <c r="R3913">
        <v>9.6362790000000004E-2</v>
      </c>
      <c r="S3913">
        <v>3.0151669999999999</v>
      </c>
      <c r="T3913">
        <v>-0.1022193</v>
      </c>
      <c r="U3913">
        <v>-2.8320310000000001E-2</v>
      </c>
      <c r="V3913">
        <v>-8.2482089999999994E-2</v>
      </c>
      <c r="W3913">
        <v>-3.533029E-2</v>
      </c>
      <c r="X3913">
        <v>0.99596609999999997</v>
      </c>
      <c r="Y3913">
        <v>2.3345080000000001E-2</v>
      </c>
      <c r="Z3913">
        <v>-8.5176199999999896E-4</v>
      </c>
      <c r="AA3913">
        <v>0.99972709999999998</v>
      </c>
      <c r="AB3913">
        <v>49</v>
      </c>
      <c r="AC3913">
        <v>32.368600000000001</v>
      </c>
      <c r="AD3913">
        <v>-1.1082868524909999</v>
      </c>
      <c r="AE3913">
        <v>-0.311499999999995</v>
      </c>
      <c r="AF3913">
        <v>0.76294791175689902</v>
      </c>
      <c r="AG3913">
        <v>-1.1082868524909999</v>
      </c>
      <c r="AH3913">
        <v>32.3231947994256</v>
      </c>
      <c r="AI3913">
        <v>91.963222743836397</v>
      </c>
      <c r="AJ3913">
        <v>88.647857052554798</v>
      </c>
      <c r="AK3913">
        <v>32.351187169949</v>
      </c>
      <c r="AL3913">
        <v>92.024697872730698</v>
      </c>
      <c r="AM3913">
        <v>94.734213062484301</v>
      </c>
      <c r="AN3913">
        <v>0.99999999845573095</v>
      </c>
    </row>
    <row r="3914" spans="1:40" x14ac:dyDescent="0.25">
      <c r="A3914" t="str">
        <f>"20190305135011410"</f>
        <v>20190305135011410</v>
      </c>
      <c r="B3914" t="str">
        <f>"1551765011403824"</f>
        <v>1551765011403824</v>
      </c>
      <c r="C3914" t="s">
        <v>40</v>
      </c>
      <c r="D3914">
        <v>3.837297</v>
      </c>
      <c r="E3914">
        <v>0.540554599999999</v>
      </c>
      <c r="F3914" t="s">
        <v>78</v>
      </c>
      <c r="G3914">
        <v>-317.3861</v>
      </c>
      <c r="H3914" s="1">
        <v>4.181098E-6</v>
      </c>
      <c r="I3914">
        <v>214.68889999999999</v>
      </c>
      <c r="J3914">
        <v>-349.1592</v>
      </c>
      <c r="K3914">
        <v>1.1082700000000001</v>
      </c>
      <c r="L3914">
        <v>215.01150000000001</v>
      </c>
      <c r="M3914">
        <v>0.99987619999999999</v>
      </c>
      <c r="N3914">
        <v>-7.7701150000000002E-3</v>
      </c>
      <c r="O3914">
        <v>1.368103E-2</v>
      </c>
      <c r="P3914">
        <v>0.99444909999999997</v>
      </c>
      <c r="Q3914">
        <v>-4.3286079999999998E-2</v>
      </c>
      <c r="R3914">
        <v>9.5902200000000007E-2</v>
      </c>
      <c r="S3914">
        <v>3.0152589999999999</v>
      </c>
      <c r="T3914">
        <v>-0.1034834</v>
      </c>
      <c r="U3914">
        <v>-2.946472E-2</v>
      </c>
      <c r="V3914">
        <v>-8.2316379999999995E-2</v>
      </c>
      <c r="W3914">
        <v>-3.5482649999999998E-2</v>
      </c>
      <c r="X3914">
        <v>0.99597440000000004</v>
      </c>
      <c r="Y3914">
        <v>2.342955E-2</v>
      </c>
      <c r="Z3914">
        <v>-8.560846E-4</v>
      </c>
      <c r="AA3914">
        <v>0.99972510000000003</v>
      </c>
      <c r="AB3914">
        <v>49</v>
      </c>
      <c r="AC3914">
        <v>31.773099999999999</v>
      </c>
      <c r="AD3914">
        <v>-1.108265818902</v>
      </c>
      <c r="AE3914">
        <v>-0.32260000000002198</v>
      </c>
      <c r="AF3914">
        <v>0.75635154500816604</v>
      </c>
      <c r="AG3914">
        <v>-1.108265818902</v>
      </c>
      <c r="AH3914">
        <v>31.727115466607302</v>
      </c>
      <c r="AI3914">
        <v>92.000028403265901</v>
      </c>
      <c r="AJ3914">
        <v>88.634368611188606</v>
      </c>
      <c r="AK3914">
        <v>31.7554747502917</v>
      </c>
      <c r="AL3914">
        <v>92.033432921011098</v>
      </c>
      <c r="AM3914">
        <v>94.724705735268699</v>
      </c>
      <c r="AN3914">
        <v>1.00000000516134</v>
      </c>
    </row>
    <row r="3915" spans="1:40" x14ac:dyDescent="0.25">
      <c r="A3915" t="str">
        <f>"20190305135011431"</f>
        <v>20190305135011431</v>
      </c>
      <c r="B3915" t="str">
        <f>"1551765011424319"</f>
        <v>1551765011424319</v>
      </c>
      <c r="C3915" t="s">
        <v>40</v>
      </c>
      <c r="D3915">
        <v>3.9588939999999999</v>
      </c>
      <c r="E3915">
        <v>0.54081899999999905</v>
      </c>
      <c r="F3915" t="s">
        <v>78</v>
      </c>
      <c r="G3915">
        <v>-317.25990000000002</v>
      </c>
      <c r="H3915" s="1">
        <v>4.1251340000000002E-6</v>
      </c>
      <c r="I3915">
        <v>214.65870000000001</v>
      </c>
      <c r="J3915">
        <v>-348.6859</v>
      </c>
      <c r="K3915">
        <v>1.108244</v>
      </c>
      <c r="L3915">
        <v>215.01779999999999</v>
      </c>
      <c r="M3915">
        <v>0.99987919999999997</v>
      </c>
      <c r="N3915">
        <v>-7.8992819999999901E-3</v>
      </c>
      <c r="O3915">
        <v>1.3387029999999999E-2</v>
      </c>
      <c r="P3915">
        <v>0.99447260000000004</v>
      </c>
      <c r="Q3915">
        <v>-4.3290700000000001E-2</v>
      </c>
      <c r="R3915">
        <v>9.5656229999999995E-2</v>
      </c>
      <c r="S3915">
        <v>3.0154109999999998</v>
      </c>
      <c r="T3915">
        <v>-0.1047635</v>
      </c>
      <c r="U3915">
        <v>-3.3355709999999997E-2</v>
      </c>
      <c r="V3915">
        <v>-8.2364240000000005E-2</v>
      </c>
      <c r="W3915">
        <v>-3.5353820000000001E-2</v>
      </c>
      <c r="X3915">
        <v>0.99597500000000005</v>
      </c>
      <c r="Y3915">
        <v>2.4423790000000001E-2</v>
      </c>
      <c r="Z3915">
        <v>-8.7986149999999996E-4</v>
      </c>
      <c r="AA3915">
        <v>0.99970130000000001</v>
      </c>
      <c r="AB3915">
        <v>49</v>
      </c>
      <c r="AC3915">
        <v>31.425999999999899</v>
      </c>
      <c r="AD3915">
        <v>-1.1082398748660001</v>
      </c>
      <c r="AE3915">
        <v>-0.35909999999998299</v>
      </c>
      <c r="AF3915">
        <v>0.77881331946328103</v>
      </c>
      <c r="AG3915">
        <v>-1.1082398748660001</v>
      </c>
      <c r="AH3915">
        <v>31.379357250324698</v>
      </c>
      <c r="AI3915">
        <v>92.022079749799204</v>
      </c>
      <c r="AJ3915">
        <v>88.5782514034549</v>
      </c>
      <c r="AK3915">
        <v>31.408578561442798</v>
      </c>
      <c r="AL3915">
        <v>92.026046921333901</v>
      </c>
      <c r="AM3915">
        <v>94.727437469422696</v>
      </c>
      <c r="AN3915">
        <v>0.99999998062218398</v>
      </c>
    </row>
    <row r="3916" spans="1:40" x14ac:dyDescent="0.25">
      <c r="A3916" t="str">
        <f>"20190305135011454"</f>
        <v>20190305135011454</v>
      </c>
      <c r="B3916" t="str">
        <f>"1551765011443839"</f>
        <v>1551765011443839</v>
      </c>
      <c r="C3916" t="s">
        <v>40</v>
      </c>
      <c r="D3916">
        <v>3.817593</v>
      </c>
      <c r="E3916">
        <v>0.54124059999999996</v>
      </c>
      <c r="F3916" t="s">
        <v>78</v>
      </c>
      <c r="G3916">
        <v>-316.786</v>
      </c>
      <c r="H3916" s="1">
        <v>3.9149770000000002E-6</v>
      </c>
      <c r="I3916">
        <v>214.6337</v>
      </c>
      <c r="J3916">
        <v>-348.17700000000002</v>
      </c>
      <c r="K3916">
        <v>1.1082160000000001</v>
      </c>
      <c r="L3916">
        <v>215.02440000000001</v>
      </c>
      <c r="M3916">
        <v>0.99988279999999996</v>
      </c>
      <c r="N3916">
        <v>-8.0240889999999999E-3</v>
      </c>
      <c r="O3916">
        <v>1.304686E-2</v>
      </c>
      <c r="P3916">
        <v>0.99453040000000004</v>
      </c>
      <c r="Q3916">
        <v>-4.3136269999999997E-2</v>
      </c>
      <c r="R3916">
        <v>9.5126779999999994E-2</v>
      </c>
      <c r="S3916">
        <v>3.0155639999999999</v>
      </c>
      <c r="T3916">
        <v>-0.1047643</v>
      </c>
      <c r="U3916">
        <v>-3.6315920000000002E-2</v>
      </c>
      <c r="V3916">
        <v>-8.2175570000000003E-2</v>
      </c>
      <c r="W3916">
        <v>-3.506985E-2</v>
      </c>
      <c r="X3916">
        <v>0.99600060000000001</v>
      </c>
      <c r="Y3916">
        <v>2.5063999999999999E-2</v>
      </c>
      <c r="Z3916">
        <v>-8.8427709999999997E-4</v>
      </c>
      <c r="AA3916">
        <v>0.9996855</v>
      </c>
      <c r="AB3916">
        <v>49</v>
      </c>
      <c r="AC3916">
        <v>31.390999999999899</v>
      </c>
      <c r="AD3916">
        <v>-1.1082120850229999</v>
      </c>
      <c r="AE3916">
        <v>-0.39070000000000898</v>
      </c>
      <c r="AF3916">
        <v>0.79923790099479097</v>
      </c>
      <c r="AG3916">
        <v>-1.1082120850229999</v>
      </c>
      <c r="AH3916">
        <v>31.344171099189399</v>
      </c>
      <c r="AI3916">
        <v>92.024262522030796</v>
      </c>
      <c r="AJ3916">
        <v>88.539344441094698</v>
      </c>
      <c r="AK3916">
        <v>31.3739378647794</v>
      </c>
      <c r="AL3916">
        <v>92.009766590131903</v>
      </c>
      <c r="AM3916">
        <v>94.716536658782402</v>
      </c>
      <c r="AN3916">
        <v>0.99999995694210198</v>
      </c>
    </row>
    <row r="3917" spans="1:40" x14ac:dyDescent="0.25">
      <c r="A3917" t="str">
        <f>"20190305135011476"</f>
        <v>20190305135011476</v>
      </c>
      <c r="B3917" t="str">
        <f>"1551765011464336"</f>
        <v>1551765011464336</v>
      </c>
      <c r="C3917" t="s">
        <v>40</v>
      </c>
      <c r="D3917">
        <v>3.814651</v>
      </c>
      <c r="E3917">
        <v>0.54161530000000002</v>
      </c>
      <c r="F3917" t="s">
        <v>78</v>
      </c>
      <c r="G3917">
        <v>-315.89280000000002</v>
      </c>
      <c r="H3917" s="1">
        <v>3.5188629999999999E-6</v>
      </c>
      <c r="I3917">
        <v>214.5823</v>
      </c>
      <c r="J3917">
        <v>-347.70429999999999</v>
      </c>
      <c r="K3917">
        <v>1.108185</v>
      </c>
      <c r="L3917">
        <v>215.03039999999999</v>
      </c>
      <c r="M3917">
        <v>0.99988630000000001</v>
      </c>
      <c r="N3917">
        <v>-8.1283280000000006E-3</v>
      </c>
      <c r="O3917">
        <v>1.2710020000000001E-2</v>
      </c>
      <c r="P3917">
        <v>0.9945408</v>
      </c>
      <c r="Q3917">
        <v>-4.3324219999999997E-2</v>
      </c>
      <c r="R3917">
        <v>9.4930700000000007E-2</v>
      </c>
      <c r="S3917">
        <v>3.01593</v>
      </c>
      <c r="T3917">
        <v>-0.1035272</v>
      </c>
      <c r="U3917">
        <v>-4.1305540000000002E-2</v>
      </c>
      <c r="V3917">
        <v>-8.231687E-2</v>
      </c>
      <c r="W3917">
        <v>-3.5149149999999997E-2</v>
      </c>
      <c r="X3917">
        <v>0.99598620000000004</v>
      </c>
      <c r="Y3917">
        <v>2.6379070000000001E-2</v>
      </c>
      <c r="Z3917">
        <v>-8.9271559999999997E-4</v>
      </c>
      <c r="AA3917">
        <v>0.99965159999999997</v>
      </c>
      <c r="AB3917">
        <v>50</v>
      </c>
      <c r="AC3917">
        <v>31.811499999999899</v>
      </c>
      <c r="AD3917">
        <v>-1.1081814811370001</v>
      </c>
      <c r="AE3917">
        <v>-0.44809999999998201</v>
      </c>
      <c r="AF3917">
        <v>0.85136895098743104</v>
      </c>
      <c r="AG3917">
        <v>-1.1081814811370001</v>
      </c>
      <c r="AH3917">
        <v>31.764694665426301</v>
      </c>
      <c r="AI3917">
        <v>91.997362646879907</v>
      </c>
      <c r="AJ3917">
        <v>88.464705150223097</v>
      </c>
      <c r="AK3917">
        <v>31.795419834837801</v>
      </c>
      <c r="AL3917">
        <v>92.014312821107495</v>
      </c>
      <c r="AM3917">
        <v>94.724678009304299</v>
      </c>
      <c r="AN3917">
        <v>1.0000000202113699</v>
      </c>
    </row>
    <row r="3918" spans="1:40" x14ac:dyDescent="0.25">
      <c r="A3918" t="str">
        <f>"20190305135011497"</f>
        <v>20190305135011497</v>
      </c>
      <c r="B3918" t="str">
        <f>"1551765011494592"</f>
        <v>1551765011494592</v>
      </c>
      <c r="C3918" t="s">
        <v>40</v>
      </c>
      <c r="D3918">
        <v>3.8117679999999998</v>
      </c>
      <c r="E3918">
        <v>0.54213269999999902</v>
      </c>
      <c r="F3918" t="s">
        <v>78</v>
      </c>
      <c r="G3918">
        <v>-315.41550000000001</v>
      </c>
      <c r="H3918" s="1">
        <v>3.3072049999999998E-6</v>
      </c>
      <c r="I3918">
        <v>214.55170000000001</v>
      </c>
      <c r="J3918">
        <v>-347.2115</v>
      </c>
      <c r="K3918">
        <v>1.1081490000000001</v>
      </c>
      <c r="L3918">
        <v>215.03649999999999</v>
      </c>
      <c r="M3918">
        <v>0.99988999999999995</v>
      </c>
      <c r="N3918">
        <v>-8.2253150000000004E-3</v>
      </c>
      <c r="O3918">
        <v>1.233939E-2</v>
      </c>
      <c r="P3918">
        <v>0.99459350000000002</v>
      </c>
      <c r="Q3918">
        <v>-4.3471589999999997E-2</v>
      </c>
      <c r="R3918">
        <v>9.4308219999999998E-2</v>
      </c>
      <c r="S3918">
        <v>3.0162049999999998</v>
      </c>
      <c r="T3918">
        <v>-0.1035191</v>
      </c>
      <c r="U3918">
        <v>-4.4723510000000001E-2</v>
      </c>
      <c r="V3918">
        <v>-8.2064540000000005E-2</v>
      </c>
      <c r="W3918">
        <v>-3.5195190000000001E-2</v>
      </c>
      <c r="X3918">
        <v>0.99600540000000004</v>
      </c>
      <c r="Y3918">
        <v>2.7139429999999999E-2</v>
      </c>
      <c r="Z3918">
        <v>-8.9911229999999997E-4</v>
      </c>
      <c r="AA3918">
        <v>0.99963120000000005</v>
      </c>
      <c r="AB3918">
        <v>50</v>
      </c>
      <c r="AC3918">
        <v>31.7959999999999</v>
      </c>
      <c r="AD3918">
        <v>-1.108145692795</v>
      </c>
      <c r="AE3918">
        <v>-0.48479999999997803</v>
      </c>
      <c r="AF3918">
        <v>0.87605577151022995</v>
      </c>
      <c r="AG3918">
        <v>-1.108145692795</v>
      </c>
      <c r="AH3918">
        <v>31.7490419697621</v>
      </c>
      <c r="AI3918">
        <v>91.998239180560205</v>
      </c>
      <c r="AJ3918">
        <v>88.419430570908006</v>
      </c>
      <c r="AK3918">
        <v>31.780451956965202</v>
      </c>
      <c r="AL3918">
        <v>92.016952345316795</v>
      </c>
      <c r="AM3918">
        <v>94.710170092486607</v>
      </c>
      <c r="AN3918">
        <v>1.00000002347685</v>
      </c>
    </row>
    <row r="3919" spans="1:40" x14ac:dyDescent="0.25">
      <c r="A3919" t="str">
        <f>"20190305135011520"</f>
        <v>20190305135011520</v>
      </c>
      <c r="B3919" t="str">
        <f>"1551765011514112"</f>
        <v>1551765011514112</v>
      </c>
      <c r="C3919" t="s">
        <v>40</v>
      </c>
      <c r="D3919">
        <v>3.832532</v>
      </c>
      <c r="E3919">
        <v>0.54221569999999997</v>
      </c>
      <c r="F3919" t="s">
        <v>78</v>
      </c>
      <c r="G3919">
        <v>-314.59750000000003</v>
      </c>
      <c r="H3919" s="1">
        <v>2.9444460000000001E-6</v>
      </c>
      <c r="I3919">
        <v>214.4888</v>
      </c>
      <c r="J3919">
        <v>-346.70569999999998</v>
      </c>
      <c r="K3919">
        <v>1.1081240000000001</v>
      </c>
      <c r="L3919">
        <v>215.04249999999999</v>
      </c>
      <c r="M3919">
        <v>0.99989430000000001</v>
      </c>
      <c r="N3919">
        <v>-8.3137030000000004E-3</v>
      </c>
      <c r="O3919">
        <v>1.194073E-2</v>
      </c>
      <c r="P3919">
        <v>0.99463360000000001</v>
      </c>
      <c r="Q3919">
        <v>-4.4142340000000002E-2</v>
      </c>
      <c r="R3919">
        <v>9.3571979999999999E-2</v>
      </c>
      <c r="S3919">
        <v>3.016632</v>
      </c>
      <c r="T3919">
        <v>-0.1024979</v>
      </c>
      <c r="U3919">
        <v>-5.0659179999999998E-2</v>
      </c>
      <c r="V3919">
        <v>-8.1727560000000005E-2</v>
      </c>
      <c r="W3919">
        <v>-3.57735E-2</v>
      </c>
      <c r="X3919">
        <v>0.99601249999999997</v>
      </c>
      <c r="Y3919">
        <v>2.870464E-2</v>
      </c>
      <c r="Z3919">
        <v>-9.1318729999999998E-4</v>
      </c>
      <c r="AA3919">
        <v>0.99958749999999996</v>
      </c>
      <c r="AB3919">
        <v>50</v>
      </c>
      <c r="AC3919">
        <v>32.108199999999897</v>
      </c>
      <c r="AD3919">
        <v>-1.108121055554</v>
      </c>
      <c r="AE3919">
        <v>-0.55369999999999198</v>
      </c>
      <c r="AF3919">
        <v>0.93595459089754496</v>
      </c>
      <c r="AG3919">
        <v>-1.108121055554</v>
      </c>
      <c r="AH3919">
        <v>32.061122794447201</v>
      </c>
      <c r="AI3919">
        <v>91.978670304957106</v>
      </c>
      <c r="AJ3919">
        <v>88.327849520352302</v>
      </c>
      <c r="AK3919">
        <v>32.093917462824699</v>
      </c>
      <c r="AL3919">
        <v>92.050107957250702</v>
      </c>
      <c r="AM3919">
        <v>94.690882015183703</v>
      </c>
      <c r="AN3919">
        <v>1.0000000187610201</v>
      </c>
    </row>
    <row r="3920" spans="1:40" x14ac:dyDescent="0.25">
      <c r="A3920" t="str">
        <f>"20190305135011532"</f>
        <v>20190305135011532</v>
      </c>
      <c r="B3920" t="str">
        <f>"1551765011523872"</f>
        <v>1551765011523872</v>
      </c>
      <c r="C3920" t="s">
        <v>40</v>
      </c>
      <c r="D3920">
        <v>3.802162</v>
      </c>
      <c r="E3920">
        <v>0.54227729999999996</v>
      </c>
      <c r="F3920" t="s">
        <v>78</v>
      </c>
      <c r="G3920">
        <v>-314.86149999999998</v>
      </c>
      <c r="H3920" s="1">
        <v>3.061499E-6</v>
      </c>
      <c r="I3920">
        <v>214.47550000000001</v>
      </c>
      <c r="J3920">
        <v>-346.42509999999999</v>
      </c>
      <c r="K3920">
        <v>1.1081080000000001</v>
      </c>
      <c r="L3920">
        <v>215.04570000000001</v>
      </c>
      <c r="M3920">
        <v>0.99989649999999997</v>
      </c>
      <c r="N3920">
        <v>-8.3587550000000007E-3</v>
      </c>
      <c r="O3920">
        <v>1.17143E-2</v>
      </c>
      <c r="P3920">
        <v>0.99464419999999998</v>
      </c>
      <c r="Q3920">
        <v>-4.459349E-2</v>
      </c>
      <c r="R3920">
        <v>9.3244779999999999E-2</v>
      </c>
      <c r="S3920">
        <v>3.0165410000000001</v>
      </c>
      <c r="T3920">
        <v>-0.10496999999999999</v>
      </c>
      <c r="U3920">
        <v>-5.3710939999999999E-2</v>
      </c>
      <c r="V3920">
        <v>-8.1627110000000003E-2</v>
      </c>
      <c r="W3920">
        <v>-3.6177529999999999E-2</v>
      </c>
      <c r="X3920">
        <v>0.99600610000000001</v>
      </c>
      <c r="Y3920">
        <v>2.948806E-2</v>
      </c>
      <c r="Z3920">
        <v>-9.4576489999999996E-4</v>
      </c>
      <c r="AA3920">
        <v>0.99956469999999997</v>
      </c>
      <c r="AB3920">
        <v>50</v>
      </c>
      <c r="AC3920">
        <v>31.563600000000001</v>
      </c>
      <c r="AD3920">
        <v>-1.108104938501</v>
      </c>
      <c r="AE3920">
        <v>-0.57019999999999904</v>
      </c>
      <c r="AF3920">
        <v>0.93876259863045697</v>
      </c>
      <c r="AG3920">
        <v>-1.108104938501</v>
      </c>
      <c r="AH3920">
        <v>31.515923529452301</v>
      </c>
      <c r="AI3920">
        <v>92.012807279995002</v>
      </c>
      <c r="AJ3920">
        <v>88.293839127587702</v>
      </c>
      <c r="AK3920">
        <v>31.549367785830601</v>
      </c>
      <c r="AL3920">
        <v>92.073272256386801</v>
      </c>
      <c r="AM3920">
        <v>94.685172182397693</v>
      </c>
      <c r="AN3920">
        <v>0.99999997500053095</v>
      </c>
    </row>
    <row r="3921" spans="1:40" x14ac:dyDescent="0.25">
      <c r="A3921" t="str">
        <f>"20190305135011553"</f>
        <v>20190305135011553</v>
      </c>
      <c r="B3921" t="str">
        <f>"1551765011544370"</f>
        <v>1551765011544370</v>
      </c>
      <c r="C3921" t="s">
        <v>40</v>
      </c>
      <c r="D3921">
        <v>3.8154979999999998</v>
      </c>
      <c r="E3921">
        <v>0.54248859999999999</v>
      </c>
      <c r="F3921" t="s">
        <v>78</v>
      </c>
      <c r="G3921">
        <v>-314.93310000000002</v>
      </c>
      <c r="H3921" s="1">
        <v>3.093264E-6</v>
      </c>
      <c r="I3921">
        <v>214.47049999999999</v>
      </c>
      <c r="J3921">
        <v>-345.9699</v>
      </c>
      <c r="K3921">
        <v>1.1080859999999999</v>
      </c>
      <c r="L3921">
        <v>215.05090000000001</v>
      </c>
      <c r="M3921">
        <v>0.99990040000000002</v>
      </c>
      <c r="N3921">
        <v>-8.4250999999999996E-3</v>
      </c>
      <c r="O3921">
        <v>1.133815E-2</v>
      </c>
      <c r="P3921">
        <v>0.99470510000000001</v>
      </c>
      <c r="Q3921">
        <v>-4.4599960000000001E-2</v>
      </c>
      <c r="R3921">
        <v>9.2591839999999995E-2</v>
      </c>
      <c r="S3921">
        <v>3.0165709999999999</v>
      </c>
      <c r="T3921">
        <v>-0.1061435</v>
      </c>
      <c r="U3921">
        <v>-5.5099490000000001E-2</v>
      </c>
      <c r="V3921">
        <v>-8.1349930000000001E-2</v>
      </c>
      <c r="W3921">
        <v>-3.611441E-2</v>
      </c>
      <c r="X3921">
        <v>0.99603109999999995</v>
      </c>
      <c r="Y3921">
        <v>2.9571299999999901E-2</v>
      </c>
      <c r="Z3921">
        <v>-9.4799130000000002E-4</v>
      </c>
      <c r="AA3921">
        <v>0.99956219999999996</v>
      </c>
      <c r="AB3921">
        <v>50</v>
      </c>
      <c r="AC3921">
        <v>31.0367999999999</v>
      </c>
      <c r="AD3921">
        <v>-1.1080829067360001</v>
      </c>
      <c r="AE3921">
        <v>-0.58040000000002501</v>
      </c>
      <c r="AF3921">
        <v>0.93108861659532205</v>
      </c>
      <c r="AG3921">
        <v>-1.1080829067360001</v>
      </c>
      <c r="AH3921">
        <v>30.988737995500401</v>
      </c>
      <c r="AI3921">
        <v>92.046964097987996</v>
      </c>
      <c r="AJ3921">
        <v>88.279006928414702</v>
      </c>
      <c r="AK3921">
        <v>31.022518535636699</v>
      </c>
      <c r="AL3921">
        <v>92.069653315693401</v>
      </c>
      <c r="AM3921">
        <v>94.669216597131793</v>
      </c>
      <c r="AN3921">
        <v>1.0000000069439301</v>
      </c>
    </row>
    <row r="3922" spans="1:40" x14ac:dyDescent="0.25">
      <c r="A3922" t="str">
        <f>"20190305135011566"</f>
        <v>20190305135011566</v>
      </c>
      <c r="B3922" t="str">
        <f>"1551765011554128"</f>
        <v>1551765011554128</v>
      </c>
      <c r="C3922" t="s">
        <v>40</v>
      </c>
      <c r="D3922">
        <v>3.8171580000000001</v>
      </c>
      <c r="E3922">
        <v>0.54254720000000001</v>
      </c>
      <c r="F3922" t="s">
        <v>78</v>
      </c>
      <c r="G3922">
        <v>-314.33640000000003</v>
      </c>
      <c r="H3922" s="1">
        <v>2.8286590000000001E-6</v>
      </c>
      <c r="I3922">
        <v>214.4365</v>
      </c>
      <c r="J3922">
        <v>-345.67680000000001</v>
      </c>
      <c r="K3922">
        <v>1.1080719999999999</v>
      </c>
      <c r="L3922">
        <v>215.05410000000001</v>
      </c>
      <c r="M3922">
        <v>0.99990279999999998</v>
      </c>
      <c r="N3922">
        <v>-8.4639899999999994E-3</v>
      </c>
      <c r="O3922">
        <v>1.109244E-2</v>
      </c>
      <c r="P3922">
        <v>0.99474510000000005</v>
      </c>
      <c r="Q3922">
        <v>-4.4511759999999997E-2</v>
      </c>
      <c r="R3922">
        <v>9.2202099999999995E-2</v>
      </c>
      <c r="S3922">
        <v>3.016632</v>
      </c>
      <c r="T3922">
        <v>-0.10566879999999999</v>
      </c>
      <c r="U3922">
        <v>-5.859375E-2</v>
      </c>
      <c r="V3922">
        <v>-8.1204970000000001E-2</v>
      </c>
      <c r="W3922">
        <v>-3.5985339999999998E-2</v>
      </c>
      <c r="X3922">
        <v>0.99604760000000003</v>
      </c>
      <c r="Y3922">
        <v>3.048234E-2</v>
      </c>
      <c r="Z3922">
        <v>-9.5727609999999999E-4</v>
      </c>
      <c r="AA3922">
        <v>0.99953479999999995</v>
      </c>
      <c r="AB3922">
        <v>50</v>
      </c>
      <c r="AC3922">
        <v>31.340399999999899</v>
      </c>
      <c r="AD3922">
        <v>-1.108069171341</v>
      </c>
      <c r="AE3922">
        <v>-0.61760000000001003</v>
      </c>
      <c r="AF3922">
        <v>0.96401132268937295</v>
      </c>
      <c r="AG3922">
        <v>-1.108069171341</v>
      </c>
      <c r="AH3922">
        <v>31.292518986799401</v>
      </c>
      <c r="AI3922">
        <v>92.027037350560093</v>
      </c>
      <c r="AJ3922">
        <v>88.235478671791</v>
      </c>
      <c r="AK3922">
        <v>31.3269672911048</v>
      </c>
      <c r="AL3922">
        <v>92.0622533400268</v>
      </c>
      <c r="AM3922">
        <v>94.660856193310806</v>
      </c>
      <c r="AN3922">
        <v>1.0000000066566801</v>
      </c>
    </row>
    <row r="3923" spans="1:40" x14ac:dyDescent="0.25">
      <c r="A3923" t="str">
        <f>"20190305135011587"</f>
        <v>20190305135011587</v>
      </c>
      <c r="B3923" t="str">
        <f>"1551765011584383"</f>
        <v>1551765011584383</v>
      </c>
      <c r="C3923" t="s">
        <v>40</v>
      </c>
      <c r="D3923">
        <v>3.8116629999999998</v>
      </c>
      <c r="E3923">
        <v>0.54272159999999903</v>
      </c>
      <c r="F3923" t="s">
        <v>78</v>
      </c>
      <c r="G3923">
        <v>-313.98419999999999</v>
      </c>
      <c r="H3923" s="1">
        <v>2.6724649999999999E-6</v>
      </c>
      <c r="I3923">
        <v>214.41829999999999</v>
      </c>
      <c r="J3923">
        <v>-345.21100000000001</v>
      </c>
      <c r="K3923">
        <v>1.1080449999999999</v>
      </c>
      <c r="L3923">
        <v>215.0591</v>
      </c>
      <c r="M3923">
        <v>0.99990659999999998</v>
      </c>
      <c r="N3923">
        <v>-8.5207400000000006E-3</v>
      </c>
      <c r="O3923">
        <v>1.069662E-2</v>
      </c>
      <c r="P3923">
        <v>0.99480290000000005</v>
      </c>
      <c r="Q3923">
        <v>-4.4442170000000003E-2</v>
      </c>
      <c r="R3923">
        <v>9.16101E-2</v>
      </c>
      <c r="S3923">
        <v>3.016724</v>
      </c>
      <c r="T3923">
        <v>-0.105473499999999</v>
      </c>
      <c r="U3923">
        <v>-6.0516359999999998E-2</v>
      </c>
      <c r="V3923">
        <v>-8.1008239999999995E-2</v>
      </c>
      <c r="W3923">
        <v>-3.5856060000000002E-2</v>
      </c>
      <c r="X3923">
        <v>0.99606830000000002</v>
      </c>
      <c r="Y3923">
        <v>3.0722880000000001E-2</v>
      </c>
      <c r="Z3923">
        <v>-9.5054389999999996E-4</v>
      </c>
      <c r="AA3923">
        <v>0.99952750000000001</v>
      </c>
      <c r="AB3923">
        <v>50</v>
      </c>
      <c r="AC3923">
        <v>31.226800000000001</v>
      </c>
      <c r="AD3923">
        <v>-1.108042327535</v>
      </c>
      <c r="AE3923">
        <v>-0.64080000000001203</v>
      </c>
      <c r="AF3923">
        <v>0.97357133742839697</v>
      </c>
      <c r="AG3923">
        <v>-1.108042327535</v>
      </c>
      <c r="AH3923">
        <v>31.178918101753801</v>
      </c>
      <c r="AI3923">
        <v>92.034341073336705</v>
      </c>
      <c r="AJ3923">
        <v>88.211502729524696</v>
      </c>
      <c r="AK3923">
        <v>31.213787545643001</v>
      </c>
      <c r="AL3923">
        <v>92.054841320356999</v>
      </c>
      <c r="AM3923">
        <v>94.6495180049439</v>
      </c>
      <c r="AN3923">
        <v>1.0000000251257499</v>
      </c>
    </row>
    <row r="3924" spans="1:40" x14ac:dyDescent="0.25">
      <c r="A3924" t="str">
        <f>"20190305135011609"</f>
        <v>20190305135011609</v>
      </c>
      <c r="B3924" t="str">
        <f>"1551765011603904"</f>
        <v>1551765011603904</v>
      </c>
      <c r="C3924" t="s">
        <v>40</v>
      </c>
      <c r="D3924">
        <v>3.856757</v>
      </c>
      <c r="E3924">
        <v>0.54280050000000002</v>
      </c>
      <c r="F3924" t="s">
        <v>78</v>
      </c>
      <c r="G3924">
        <v>-313.26150000000001</v>
      </c>
      <c r="H3924" s="1">
        <v>2.3519950000000002E-6</v>
      </c>
      <c r="I3924">
        <v>214.38570000000001</v>
      </c>
      <c r="J3924">
        <v>-344.71730000000002</v>
      </c>
      <c r="K3924">
        <v>1.108028</v>
      </c>
      <c r="L3924">
        <v>215.0642</v>
      </c>
      <c r="M3924">
        <v>0.99991050000000004</v>
      </c>
      <c r="N3924">
        <v>-8.5743940000000008E-3</v>
      </c>
      <c r="O3924">
        <v>1.0268370000000001E-2</v>
      </c>
      <c r="P3924">
        <v>0.99482870000000001</v>
      </c>
      <c r="Q3924">
        <v>-4.4521720000000001E-2</v>
      </c>
      <c r="R3924">
        <v>9.1289250000000002E-2</v>
      </c>
      <c r="S3924">
        <v>3.0168759999999999</v>
      </c>
      <c r="T3924">
        <v>-0.10462870000000001</v>
      </c>
      <c r="U3924">
        <v>-6.358337E-2</v>
      </c>
      <c r="V3924">
        <v>-8.1114569999999997E-2</v>
      </c>
      <c r="W3924">
        <v>-3.5878710000000001E-2</v>
      </c>
      <c r="X3924">
        <v>0.99605880000000002</v>
      </c>
      <c r="Y3924">
        <v>3.13096E-2</v>
      </c>
      <c r="Z3924">
        <v>-9.4496249999999999E-4</v>
      </c>
      <c r="AA3924">
        <v>0.99950930000000004</v>
      </c>
      <c r="AB3924">
        <v>50</v>
      </c>
      <c r="AC3924">
        <v>31.4558</v>
      </c>
      <c r="AD3924">
        <v>-1.1080256480049999</v>
      </c>
      <c r="AE3924">
        <v>-0.678499999999985</v>
      </c>
      <c r="AF3924">
        <v>1.0002353939859701</v>
      </c>
      <c r="AG3924">
        <v>-1.1080256480049999</v>
      </c>
      <c r="AH3924">
        <v>31.408221276220999</v>
      </c>
      <c r="AI3924">
        <v>92.019431376582901</v>
      </c>
      <c r="AJ3924">
        <v>88.1759583333167</v>
      </c>
      <c r="AK3924">
        <v>31.4436727405702</v>
      </c>
      <c r="AL3924">
        <v>92.056139968955307</v>
      </c>
      <c r="AM3924">
        <v>94.655638279266796</v>
      </c>
      <c r="AN3924">
        <v>0.99999999417749397</v>
      </c>
    </row>
    <row r="3925" spans="1:40" x14ac:dyDescent="0.25">
      <c r="A3925" t="str">
        <f>"20190305135011632"</f>
        <v>20190305135011632</v>
      </c>
      <c r="B3925" t="str">
        <f>"1551765011624403"</f>
        <v>1551765011624403</v>
      </c>
      <c r="C3925" t="s">
        <v>40</v>
      </c>
      <c r="D3925">
        <v>3.9177960000000001</v>
      </c>
      <c r="E3925">
        <v>0.57077880000000003</v>
      </c>
      <c r="F3925" t="s">
        <v>78</v>
      </c>
      <c r="G3925">
        <v>-312.72199999999998</v>
      </c>
      <c r="H3925" s="1">
        <v>2.1127199999999998E-6</v>
      </c>
      <c r="I3925">
        <v>214.3724</v>
      </c>
      <c r="J3925">
        <v>-344.2056</v>
      </c>
      <c r="K3925">
        <v>1.1080030000000001</v>
      </c>
      <c r="L3925">
        <v>215.0692</v>
      </c>
      <c r="M3925">
        <v>0.99991459999999999</v>
      </c>
      <c r="N3925">
        <v>-8.6232089999999997E-3</v>
      </c>
      <c r="O3925">
        <v>9.8136590000000006E-3</v>
      </c>
      <c r="P3925">
        <v>0.99484660000000003</v>
      </c>
      <c r="Q3925">
        <v>-4.436118E-2</v>
      </c>
      <c r="R3925">
        <v>9.1173260000000006E-2</v>
      </c>
      <c r="S3925">
        <v>3.0169069999999998</v>
      </c>
      <c r="T3925">
        <v>-0.104478</v>
      </c>
      <c r="U3925">
        <v>-6.5231319999999995E-2</v>
      </c>
      <c r="V3925">
        <v>-8.145289E-2</v>
      </c>
      <c r="W3925">
        <v>-3.5665519999999999E-2</v>
      </c>
      <c r="X3925">
        <v>0.99603889999999995</v>
      </c>
      <c r="Y3925">
        <v>3.1400730000000002E-2</v>
      </c>
      <c r="Z3925">
        <v>-9.3406890000000001E-4</v>
      </c>
      <c r="AA3925">
        <v>0.99950640000000002</v>
      </c>
      <c r="AB3925">
        <v>50</v>
      </c>
      <c r="AC3925">
        <v>31.483599999999999</v>
      </c>
      <c r="AD3925">
        <v>-1.10800088727999</v>
      </c>
      <c r="AE3925">
        <v>-0.69679999999999598</v>
      </c>
      <c r="AF3925">
        <v>1.0045037519189</v>
      </c>
      <c r="AG3925">
        <v>-1.10800088727999</v>
      </c>
      <c r="AH3925">
        <v>31.436329163687901</v>
      </c>
      <c r="AI3925">
        <v>92.017575309766102</v>
      </c>
      <c r="AJ3925">
        <v>88.169816549596504</v>
      </c>
      <c r="AK3925">
        <v>31.471884040228101</v>
      </c>
      <c r="AL3925">
        <v>92.043917151857002</v>
      </c>
      <c r="AM3925">
        <v>94.675063532871405</v>
      </c>
      <c r="AN3925">
        <v>1.0000000464597101</v>
      </c>
    </row>
    <row r="3926" spans="1:40" x14ac:dyDescent="0.25">
      <c r="A3926" t="str">
        <f>"20190305135011644"</f>
        <v>20190305135011644</v>
      </c>
      <c r="B3926" t="str">
        <f>"1551765011634160"</f>
        <v>1551765011634160</v>
      </c>
      <c r="C3926" t="s">
        <v>40</v>
      </c>
      <c r="D3926">
        <v>3.9073090000000001</v>
      </c>
      <c r="E3926">
        <v>0.57506610000000002</v>
      </c>
      <c r="F3926" t="s">
        <v>78</v>
      </c>
      <c r="G3926">
        <v>-305.15260000000001</v>
      </c>
      <c r="H3926" s="1">
        <v>1.73927E-6</v>
      </c>
      <c r="I3926">
        <v>211.37909999999999</v>
      </c>
      <c r="J3926">
        <v>-343.92110000000002</v>
      </c>
      <c r="K3926">
        <v>1.10799</v>
      </c>
      <c r="L3926">
        <v>215.0719</v>
      </c>
      <c r="M3926">
        <v>0.99991699999999994</v>
      </c>
      <c r="N3926">
        <v>-8.6480029999999996E-3</v>
      </c>
      <c r="O3926">
        <v>9.5551960000000002E-3</v>
      </c>
      <c r="P3926">
        <v>0.99484470000000003</v>
      </c>
      <c r="Q3926">
        <v>-4.4344380000000003E-2</v>
      </c>
      <c r="R3926">
        <v>9.1203290000000006E-2</v>
      </c>
      <c r="S3926">
        <v>3.0380250000000002</v>
      </c>
      <c r="T3926">
        <v>-8.619404E-2</v>
      </c>
      <c r="U3926">
        <v>-0.28706359999999997</v>
      </c>
      <c r="V3926">
        <v>-8.1741309999999998E-2</v>
      </c>
      <c r="W3926">
        <v>-3.5621609999999998E-2</v>
      </c>
      <c r="X3926">
        <v>0.99601680000000004</v>
      </c>
      <c r="Y3926">
        <v>0.1035243</v>
      </c>
      <c r="Z3926">
        <v>-2.1018209999999998E-3</v>
      </c>
      <c r="AA3926">
        <v>0.99462470000000003</v>
      </c>
      <c r="AB3926">
        <v>50</v>
      </c>
      <c r="AC3926">
        <v>38.768500000000003</v>
      </c>
      <c r="AD3926">
        <v>-1.10798826073</v>
      </c>
      <c r="AE3926">
        <v>-3.6928000000000001</v>
      </c>
      <c r="AF3926">
        <v>4.0597996527790299</v>
      </c>
      <c r="AG3926">
        <v>-1.10798826073</v>
      </c>
      <c r="AH3926">
        <v>38.700117478062303</v>
      </c>
      <c r="AI3926">
        <v>91.630990973170995</v>
      </c>
      <c r="AJ3926">
        <v>84.011343816142102</v>
      </c>
      <c r="AK3926">
        <v>38.928250718757504</v>
      </c>
      <c r="AL3926">
        <v>92.041399782616907</v>
      </c>
      <c r="AM3926">
        <v>94.691647530857495</v>
      </c>
      <c r="AN3926">
        <v>1.00000000337087</v>
      </c>
    </row>
    <row r="3927" spans="1:40" x14ac:dyDescent="0.25">
      <c r="A3927" t="str">
        <f>"20190305135011657"</f>
        <v>20190305135011657</v>
      </c>
      <c r="B3927" t="str">
        <f>"1551765011654656"</f>
        <v>1551765011654656</v>
      </c>
      <c r="C3927" t="s">
        <v>40</v>
      </c>
      <c r="D3927">
        <v>3.8760590000000001</v>
      </c>
      <c r="E3927">
        <v>0.5788411</v>
      </c>
      <c r="F3927" t="s">
        <v>78</v>
      </c>
      <c r="G3927">
        <v>-310.64210000000003</v>
      </c>
      <c r="H3927" s="1">
        <v>1.1904010000000001E-6</v>
      </c>
      <c r="I3927">
        <v>211.55160000000001</v>
      </c>
      <c r="J3927">
        <v>-343.64569999999998</v>
      </c>
      <c r="K3927">
        <v>1.1079810000000001</v>
      </c>
      <c r="L3927">
        <v>215.0744</v>
      </c>
      <c r="M3927">
        <v>0.99991920000000001</v>
      </c>
      <c r="N3927">
        <v>-8.6705800000000006E-3</v>
      </c>
      <c r="O3927">
        <v>9.3022920000000002E-3</v>
      </c>
      <c r="P3927">
        <v>0.99484159999999999</v>
      </c>
      <c r="Q3927">
        <v>-4.458488E-2</v>
      </c>
      <c r="R3927">
        <v>9.1118179999999993E-2</v>
      </c>
      <c r="S3927">
        <v>3.040527</v>
      </c>
      <c r="T3927">
        <v>-0.1012311</v>
      </c>
      <c r="U3927">
        <v>-0.32162479999999999</v>
      </c>
      <c r="V3927">
        <v>-8.1908789999999995E-2</v>
      </c>
      <c r="W3927">
        <v>-3.5837479999999998E-2</v>
      </c>
      <c r="X3927">
        <v>0.99599530000000003</v>
      </c>
      <c r="Y3927">
        <v>0.1143569</v>
      </c>
      <c r="Z3927">
        <v>-2.6235989999999999E-3</v>
      </c>
      <c r="AA3927">
        <v>0.99343630000000005</v>
      </c>
      <c r="AB3927">
        <v>50</v>
      </c>
      <c r="AC3927">
        <v>33.003599999999899</v>
      </c>
      <c r="AD3927">
        <v>-1.1079798095990001</v>
      </c>
      <c r="AE3927">
        <v>-3.5227999999999802</v>
      </c>
      <c r="AF3927">
        <v>3.8254053798419601</v>
      </c>
      <c r="AG3927">
        <v>-1.1079798095990001</v>
      </c>
      <c r="AH3927">
        <v>32.932702073469997</v>
      </c>
      <c r="AI3927">
        <v>91.914058434351801</v>
      </c>
      <c r="AJ3927">
        <v>83.3743150111993</v>
      </c>
      <c r="AK3927">
        <v>33.172642515159097</v>
      </c>
      <c r="AL3927">
        <v>92.053776118978206</v>
      </c>
      <c r="AM3927">
        <v>94.701318245125904</v>
      </c>
      <c r="AN3927">
        <v>1.00000000623705</v>
      </c>
    </row>
    <row r="3928" spans="1:40" x14ac:dyDescent="0.25">
      <c r="A3928" t="str">
        <f>"20190305135011669"</f>
        <v>20190305135011669</v>
      </c>
      <c r="B3928" t="str">
        <f>"1551765011664416"</f>
        <v>1551765011664416</v>
      </c>
      <c r="C3928" t="s">
        <v>40</v>
      </c>
      <c r="D3928">
        <v>3.8845589999999999</v>
      </c>
      <c r="E3928">
        <v>0.57957539999999996</v>
      </c>
      <c r="F3928" t="s">
        <v>78</v>
      </c>
      <c r="G3928">
        <v>-313.6748</v>
      </c>
      <c r="H3928" s="1">
        <v>2.53528E-6</v>
      </c>
      <c r="I3928">
        <v>211.60380000000001</v>
      </c>
      <c r="J3928">
        <v>-343.36959999999999</v>
      </c>
      <c r="K3928">
        <v>1.1079680000000001</v>
      </c>
      <c r="L3928">
        <v>215.07689999999999</v>
      </c>
      <c r="M3928">
        <v>0.99992130000000001</v>
      </c>
      <c r="N3928">
        <v>-8.6923190000000004E-3</v>
      </c>
      <c r="O3928">
        <v>9.0468289999999993E-3</v>
      </c>
      <c r="P3928">
        <v>0.99483080000000002</v>
      </c>
      <c r="Q3928">
        <v>-4.4613970000000003E-2</v>
      </c>
      <c r="R3928">
        <v>9.1222899999999996E-2</v>
      </c>
      <c r="S3928">
        <v>3.0428160000000002</v>
      </c>
      <c r="T3928">
        <v>-0.11248850000000001</v>
      </c>
      <c r="U3928">
        <v>-0.352356</v>
      </c>
      <c r="V3928">
        <v>-8.2269729999999999E-2</v>
      </c>
      <c r="W3928">
        <v>-3.5842560000000002E-2</v>
      </c>
      <c r="X3928">
        <v>0.9959654</v>
      </c>
      <c r="Y3928">
        <v>0.12390610000000001</v>
      </c>
      <c r="Z3928">
        <v>-3.077373E-3</v>
      </c>
      <c r="AA3928">
        <v>0.99228919999999998</v>
      </c>
      <c r="AB3928">
        <v>50</v>
      </c>
      <c r="AC3928">
        <v>29.694799999999901</v>
      </c>
      <c r="AD3928">
        <v>-1.1079654647199999</v>
      </c>
      <c r="AE3928">
        <v>-3.4730999999999801</v>
      </c>
      <c r="AF3928">
        <v>3.73648017482539</v>
      </c>
      <c r="AG3928">
        <v>-1.1079654647199999</v>
      </c>
      <c r="AH3928">
        <v>29.621481397794302</v>
      </c>
      <c r="AI3928">
        <v>92.125273824488502</v>
      </c>
      <c r="AJ3928">
        <v>82.810629914797502</v>
      </c>
      <c r="AK3928">
        <v>29.8767640779209</v>
      </c>
      <c r="AL3928">
        <v>92.054067303814193</v>
      </c>
      <c r="AM3928">
        <v>94.722082758470805</v>
      </c>
      <c r="AN3928">
        <v>1.0000000377893901</v>
      </c>
    </row>
    <row r="3929" spans="1:40" x14ac:dyDescent="0.25">
      <c r="A3929" t="str">
        <f>"20190305135011688"</f>
        <v>20190305135011688</v>
      </c>
      <c r="B3929" t="str">
        <f>"1551765011683937"</f>
        <v>1551765011683937</v>
      </c>
      <c r="C3929" t="s">
        <v>40</v>
      </c>
      <c r="D3929">
        <v>3.9268399999999999</v>
      </c>
      <c r="E3929">
        <v>0.58035959999999998</v>
      </c>
      <c r="F3929" t="s">
        <v>78</v>
      </c>
      <c r="G3929">
        <v>-314.483</v>
      </c>
      <c r="H3929" s="1">
        <v>2.893663E-6</v>
      </c>
      <c r="I3929">
        <v>211.67910000000001</v>
      </c>
      <c r="J3929">
        <v>-342.95440000000002</v>
      </c>
      <c r="K3929">
        <v>1.10795</v>
      </c>
      <c r="L3929">
        <v>215.0805</v>
      </c>
      <c r="M3929">
        <v>0.99992449999999999</v>
      </c>
      <c r="N3929">
        <v>-8.7248329999999995E-3</v>
      </c>
      <c r="O3929">
        <v>8.6550529999999994E-3</v>
      </c>
      <c r="P3929">
        <v>0.99482570000000003</v>
      </c>
      <c r="Q3929">
        <v>-4.4762040000000003E-2</v>
      </c>
      <c r="R3929">
        <v>9.1204830000000001E-2</v>
      </c>
      <c r="S3929">
        <v>3.0431819999999998</v>
      </c>
      <c r="T3929">
        <v>-0.1167234</v>
      </c>
      <c r="U3929">
        <v>-0.35795589999999999</v>
      </c>
      <c r="V3929">
        <v>-8.2642670000000001E-2</v>
      </c>
      <c r="W3929">
        <v>-3.5954890000000003E-2</v>
      </c>
      <c r="X3929">
        <v>0.99593039999999999</v>
      </c>
      <c r="Y3929">
        <v>0.1252963</v>
      </c>
      <c r="Z3929">
        <v>-3.1980390000000002E-3</v>
      </c>
      <c r="AA3929">
        <v>0.99211419999999995</v>
      </c>
      <c r="AB3929">
        <v>50</v>
      </c>
      <c r="AC3929">
        <v>28.471399999999999</v>
      </c>
      <c r="AD3929">
        <v>-1.1079471063370001</v>
      </c>
      <c r="AE3929">
        <v>-3.40139999999999</v>
      </c>
      <c r="AF3929">
        <v>3.6422654622572099</v>
      </c>
      <c r="AG3929">
        <v>-1.1079471063370001</v>
      </c>
      <c r="AH3929">
        <v>28.398493551145101</v>
      </c>
      <c r="AI3929">
        <v>92.216087033708106</v>
      </c>
      <c r="AJ3929">
        <v>82.691396155864297</v>
      </c>
      <c r="AK3929">
        <v>28.652540558603601</v>
      </c>
      <c r="AL3929">
        <v>92.060507643104103</v>
      </c>
      <c r="AM3929">
        <v>94.743557090306098</v>
      </c>
      <c r="AN3929">
        <v>0.999999963331899</v>
      </c>
    </row>
    <row r="3930" spans="1:40" x14ac:dyDescent="0.25">
      <c r="A3930" t="str">
        <f>"20190305135011702"</f>
        <v>20190305135011702</v>
      </c>
      <c r="B3930" t="str">
        <f>"1551765011694672"</f>
        <v>1551765011694672</v>
      </c>
      <c r="C3930" t="s">
        <v>40</v>
      </c>
      <c r="D3930">
        <v>3.9198919999999999</v>
      </c>
      <c r="E3930">
        <v>0.58065630000000001</v>
      </c>
      <c r="F3930" t="s">
        <v>78</v>
      </c>
      <c r="G3930">
        <v>-315.45749999999998</v>
      </c>
      <c r="H3930" s="1">
        <v>3.3258E-6</v>
      </c>
      <c r="I3930">
        <v>211.78790000000001</v>
      </c>
      <c r="J3930">
        <v>-342.65129999999999</v>
      </c>
      <c r="K3930">
        <v>1.107939</v>
      </c>
      <c r="L3930">
        <v>215.0829</v>
      </c>
      <c r="M3930">
        <v>0.9999268</v>
      </c>
      <c r="N3930">
        <v>-8.7501590000000004E-3</v>
      </c>
      <c r="O3930">
        <v>8.3645779999999992E-3</v>
      </c>
      <c r="P3930">
        <v>0.99485400000000002</v>
      </c>
      <c r="Q3930">
        <v>-4.4536840000000001E-2</v>
      </c>
      <c r="R3930">
        <v>9.1008370000000005E-2</v>
      </c>
      <c r="S3930">
        <v>3.043488</v>
      </c>
      <c r="T3930">
        <v>-0.1226324</v>
      </c>
      <c r="U3930">
        <v>-0.36444090000000001</v>
      </c>
      <c r="V3930">
        <v>-8.2736489999999996E-2</v>
      </c>
      <c r="W3930">
        <v>-3.5702089999999999E-2</v>
      </c>
      <c r="X3930">
        <v>0.99593169999999998</v>
      </c>
      <c r="Y3930">
        <v>0.1270684</v>
      </c>
      <c r="Z3930">
        <v>-3.3709090000000001E-3</v>
      </c>
      <c r="AA3930">
        <v>0.9918882</v>
      </c>
      <c r="AB3930">
        <v>50</v>
      </c>
      <c r="AC3930">
        <v>27.1938</v>
      </c>
      <c r="AD3930">
        <v>-1.1079356741999999</v>
      </c>
      <c r="AE3930">
        <v>-3.2949999999999799</v>
      </c>
      <c r="AF3930">
        <v>3.51660522256606</v>
      </c>
      <c r="AG3930">
        <v>-1.1079356741999999</v>
      </c>
      <c r="AH3930">
        <v>27.120918853617301</v>
      </c>
      <c r="AI3930">
        <v>92.319929896050496</v>
      </c>
      <c r="AJ3930">
        <v>82.612023448194194</v>
      </c>
      <c r="AK3930">
        <v>27.370390446868601</v>
      </c>
      <c r="AL3930">
        <v>92.046013973673098</v>
      </c>
      <c r="AM3930">
        <v>94.748911422411297</v>
      </c>
      <c r="AN3930">
        <v>0.99999995853638801</v>
      </c>
    </row>
    <row r="3931" spans="1:40" x14ac:dyDescent="0.25">
      <c r="A3931" t="str">
        <f>"20190305135011721"</f>
        <v>20190305135011721</v>
      </c>
      <c r="B3931" t="str">
        <f>"1551765011714195"</f>
        <v>1551765011714195</v>
      </c>
      <c r="C3931" t="s">
        <v>40</v>
      </c>
      <c r="D3931">
        <v>3.9029219999999998</v>
      </c>
      <c r="E3931">
        <v>0.58100689999999999</v>
      </c>
      <c r="F3931" t="s">
        <v>78</v>
      </c>
      <c r="G3931">
        <v>-315.37529999999998</v>
      </c>
      <c r="H3931" s="1">
        <v>3.289369E-6</v>
      </c>
      <c r="I3931">
        <v>211.78819999999999</v>
      </c>
      <c r="J3931">
        <v>-342.19439999999997</v>
      </c>
      <c r="K3931">
        <v>1.10792</v>
      </c>
      <c r="L3931">
        <v>215.0865</v>
      </c>
      <c r="M3931">
        <v>0.99992999999999999</v>
      </c>
      <c r="N3931">
        <v>-8.7912990000000007E-3</v>
      </c>
      <c r="O3931">
        <v>7.9219159999999993E-3</v>
      </c>
      <c r="P3931">
        <v>0.99489419999999995</v>
      </c>
      <c r="Q3931">
        <v>-4.4527890000000001E-2</v>
      </c>
      <c r="R3931">
        <v>9.0569269999999993E-2</v>
      </c>
      <c r="S3931">
        <v>3.0436100000000001</v>
      </c>
      <c r="T3931">
        <v>-0.1236298</v>
      </c>
      <c r="U3931">
        <v>-0.36764530000000001</v>
      </c>
      <c r="V3931">
        <v>-8.2738539999999999E-2</v>
      </c>
      <c r="W3931">
        <v>-3.5649100000000003E-2</v>
      </c>
      <c r="X3931">
        <v>0.99593350000000003</v>
      </c>
      <c r="Y3931">
        <v>0.1276516</v>
      </c>
      <c r="Z3931">
        <v>-3.3967229999999999E-3</v>
      </c>
      <c r="AA3931">
        <v>0.99181319999999995</v>
      </c>
      <c r="AB3931">
        <v>50</v>
      </c>
      <c r="AC3931">
        <v>26.819099999999899</v>
      </c>
      <c r="AD3931">
        <v>-1.1079167106309999</v>
      </c>
      <c r="AE3931">
        <v>-3.29830000000001</v>
      </c>
      <c r="AF3931">
        <v>3.5047713131333702</v>
      </c>
      <c r="AG3931">
        <v>-1.1079167106309999</v>
      </c>
      <c r="AH3931">
        <v>26.747162536411601</v>
      </c>
      <c r="AI3931">
        <v>92.351859095321501</v>
      </c>
      <c r="AJ3931">
        <v>82.534870838342798</v>
      </c>
      <c r="AK3931">
        <v>26.998548204380899</v>
      </c>
      <c r="AL3931">
        <v>92.042975789415294</v>
      </c>
      <c r="AM3931">
        <v>94.749020006299901</v>
      </c>
      <c r="AN3931">
        <v>1.0000000303771901</v>
      </c>
    </row>
    <row r="3932" spans="1:40" x14ac:dyDescent="0.25">
      <c r="A3932" t="str">
        <f>"20190305135011734"</f>
        <v>20190305135011734</v>
      </c>
      <c r="B3932" t="str">
        <f>"1551765011723952"</f>
        <v>1551765011723952</v>
      </c>
      <c r="C3932" t="s">
        <v>40</v>
      </c>
      <c r="D3932">
        <v>3.8960650000000001</v>
      </c>
      <c r="E3932">
        <v>0.58139929999999995</v>
      </c>
      <c r="F3932" t="s">
        <v>78</v>
      </c>
      <c r="G3932">
        <v>-315.12299999999999</v>
      </c>
      <c r="H3932" s="1">
        <v>3.177496E-6</v>
      </c>
      <c r="I3932">
        <v>211.78020000000001</v>
      </c>
      <c r="J3932">
        <v>-341.90190000000001</v>
      </c>
      <c r="K3932">
        <v>1.1079129999999999</v>
      </c>
      <c r="L3932">
        <v>215.08869999999999</v>
      </c>
      <c r="M3932">
        <v>0.99993200000000004</v>
      </c>
      <c r="N3932">
        <v>-8.8190590000000006E-3</v>
      </c>
      <c r="O3932">
        <v>7.6352039999999996E-3</v>
      </c>
      <c r="P3932">
        <v>0.99491640000000003</v>
      </c>
      <c r="Q3932">
        <v>-4.4378330000000001E-2</v>
      </c>
      <c r="R3932">
        <v>9.0399409999999999E-2</v>
      </c>
      <c r="S3932">
        <v>3.043701</v>
      </c>
      <c r="T3932">
        <v>-0.1245657</v>
      </c>
      <c r="U3932">
        <v>-0.37173460000000003</v>
      </c>
      <c r="V3932">
        <v>-8.2854479999999994E-2</v>
      </c>
      <c r="W3932">
        <v>-3.5469920000000002E-2</v>
      </c>
      <c r="X3932">
        <v>0.99593030000000005</v>
      </c>
      <c r="Y3932">
        <v>0.12867410000000001</v>
      </c>
      <c r="Z3932">
        <v>-3.4361639999999998E-3</v>
      </c>
      <c r="AA3932">
        <v>0.99168100000000003</v>
      </c>
      <c r="AB3932">
        <v>50</v>
      </c>
      <c r="AC3932">
        <v>26.7789</v>
      </c>
      <c r="AD3932">
        <v>-1.1079098225039901</v>
      </c>
      <c r="AE3932">
        <v>-3.30849999999998</v>
      </c>
      <c r="AF3932">
        <v>3.5069613071605601</v>
      </c>
      <c r="AG3932">
        <v>-1.1079098225039901</v>
      </c>
      <c r="AH3932">
        <v>26.707829299612602</v>
      </c>
      <c r="AI3932">
        <v>92.3552207876198</v>
      </c>
      <c r="AJ3932">
        <v>82.519382472804594</v>
      </c>
      <c r="AK3932">
        <v>26.959866240060698</v>
      </c>
      <c r="AL3932">
        <v>92.032702951889604</v>
      </c>
      <c r="AM3932">
        <v>94.755659430360197</v>
      </c>
      <c r="AN3932">
        <v>1.0000000712694801</v>
      </c>
    </row>
    <row r="3933" spans="1:40" x14ac:dyDescent="0.25">
      <c r="A3933" t="str">
        <f>"20190305135011747"</f>
        <v>20190305135011747</v>
      </c>
      <c r="B3933" t="str">
        <f>"1551765011744448"</f>
        <v>1551765011744448</v>
      </c>
      <c r="C3933" t="s">
        <v>40</v>
      </c>
      <c r="D3933">
        <v>3.9305669999999999</v>
      </c>
      <c r="E3933">
        <v>0.58212589999999997</v>
      </c>
      <c r="F3933" t="s">
        <v>78</v>
      </c>
      <c r="G3933">
        <v>-314.88409999999999</v>
      </c>
      <c r="H3933" s="1">
        <v>3.0715250000000002E-6</v>
      </c>
      <c r="I3933">
        <v>211.75729999999999</v>
      </c>
      <c r="J3933">
        <v>-341.62139999999999</v>
      </c>
      <c r="K3933">
        <v>1.1079060000000001</v>
      </c>
      <c r="L3933">
        <v>215.0908</v>
      </c>
      <c r="M3933">
        <v>0.99993399999999999</v>
      </c>
      <c r="N3933">
        <v>-8.8460889999999997E-3</v>
      </c>
      <c r="O3933">
        <v>7.3579830000000002E-3</v>
      </c>
      <c r="P3933">
        <v>0.9949597</v>
      </c>
      <c r="Q3933">
        <v>-4.4088969999999998E-2</v>
      </c>
      <c r="R3933">
        <v>9.0065770000000003E-2</v>
      </c>
      <c r="S3933">
        <v>3.0438540000000001</v>
      </c>
      <c r="T3933">
        <v>-0.124818</v>
      </c>
      <c r="U3933">
        <v>-0.3753204</v>
      </c>
      <c r="V3933">
        <v>-8.2796999999999996E-2</v>
      </c>
      <c r="W3933">
        <v>-3.5151950000000001E-2</v>
      </c>
      <c r="X3933">
        <v>0.99594629999999995</v>
      </c>
      <c r="Y3933">
        <v>0.12954280000000001</v>
      </c>
      <c r="Z3933">
        <v>-3.4560459999999999E-3</v>
      </c>
      <c r="AA3933">
        <v>0.9915678</v>
      </c>
      <c r="AB3933">
        <v>50</v>
      </c>
      <c r="AC3933">
        <v>26.737300000000001</v>
      </c>
      <c r="AD3933">
        <v>-1.1079029284749999</v>
      </c>
      <c r="AE3933">
        <v>-3.3335000000000101</v>
      </c>
      <c r="AF3933">
        <v>3.5241916201016701</v>
      </c>
      <c r="AG3933">
        <v>-1.1079029284749999</v>
      </c>
      <c r="AH3933">
        <v>26.666961224484201</v>
      </c>
      <c r="AI3933">
        <v>92.358553008003199</v>
      </c>
      <c r="AJ3933">
        <v>82.471660213258104</v>
      </c>
      <c r="AK3933">
        <v>26.921630641962601</v>
      </c>
      <c r="AL3933">
        <v>92.014473353668805</v>
      </c>
      <c r="AM3933">
        <v>94.752299327180694</v>
      </c>
      <c r="AN3933">
        <v>1.00000001764074</v>
      </c>
    </row>
    <row r="3934" spans="1:40" x14ac:dyDescent="0.25">
      <c r="A3934" t="str">
        <f>"20190305135011764"</f>
        <v>20190305135011764</v>
      </c>
      <c r="B3934" t="str">
        <f>"1551765011754208"</f>
        <v>1551765011754208</v>
      </c>
      <c r="C3934" t="s">
        <v>40</v>
      </c>
      <c r="D3934">
        <v>3.940976</v>
      </c>
      <c r="E3934">
        <v>0.58239110000000005</v>
      </c>
      <c r="F3934" t="s">
        <v>78</v>
      </c>
      <c r="G3934">
        <v>-314.82810000000001</v>
      </c>
      <c r="H3934" s="1">
        <v>3.0467189999999999E-6</v>
      </c>
      <c r="I3934">
        <v>211.72659999999999</v>
      </c>
      <c r="J3934">
        <v>-341.21940000000001</v>
      </c>
      <c r="K3934">
        <v>1.107899</v>
      </c>
      <c r="L3934">
        <v>215.09360000000001</v>
      </c>
      <c r="M3934">
        <v>0.9999363</v>
      </c>
      <c r="N3934">
        <v>-8.8905459999999992E-3</v>
      </c>
      <c r="O3934">
        <v>6.9578569999999996E-3</v>
      </c>
      <c r="P3934">
        <v>0.99498450000000005</v>
      </c>
      <c r="Q3934">
        <v>-4.458488E-2</v>
      </c>
      <c r="R3934">
        <v>8.9543769999999995E-2</v>
      </c>
      <c r="S3934">
        <v>3.0442499999999999</v>
      </c>
      <c r="T3934">
        <v>-0.12587989999999999</v>
      </c>
      <c r="U3934">
        <v>-0.38224789999999997</v>
      </c>
      <c r="V3934">
        <v>-8.2674590000000006E-2</v>
      </c>
      <c r="W3934">
        <v>-3.5601760000000003E-2</v>
      </c>
      <c r="X3934">
        <v>0.99594039999999995</v>
      </c>
      <c r="Y3934">
        <v>0.1313483</v>
      </c>
      <c r="Z3934">
        <v>-3.5152389999999999E-3</v>
      </c>
      <c r="AA3934">
        <v>0.99133000000000004</v>
      </c>
      <c r="AB3934">
        <v>50</v>
      </c>
      <c r="AC3934">
        <v>26.391300000000001</v>
      </c>
      <c r="AD3934">
        <v>-1.107895953281</v>
      </c>
      <c r="AE3934">
        <v>-3.3670000000000102</v>
      </c>
      <c r="AF3934">
        <v>3.5444064170714702</v>
      </c>
      <c r="AG3934">
        <v>-1.107895953281</v>
      </c>
      <c r="AH3934">
        <v>26.321589837185101</v>
      </c>
      <c r="AI3934">
        <v>92.388666850403197</v>
      </c>
      <c r="AJ3934">
        <v>82.330810842694305</v>
      </c>
      <c r="AK3934">
        <v>26.582256146717199</v>
      </c>
      <c r="AL3934">
        <v>92.040261895933696</v>
      </c>
      <c r="AM3934">
        <v>94.745333452162399</v>
      </c>
      <c r="AN3934">
        <v>0.99999992674946003</v>
      </c>
    </row>
    <row r="3935" spans="1:40" x14ac:dyDescent="0.25">
      <c r="A3935" t="str">
        <f>"20190305135011781"</f>
        <v>20190305135011781</v>
      </c>
      <c r="B3935" t="str">
        <f>"1551765011774704"</f>
        <v>1551765011774704</v>
      </c>
      <c r="C3935" t="s">
        <v>40</v>
      </c>
      <c r="D3935">
        <v>3.882517</v>
      </c>
      <c r="E3935">
        <v>0.58303629999999995</v>
      </c>
      <c r="F3935" t="s">
        <v>78</v>
      </c>
      <c r="G3935">
        <v>-315.18180000000001</v>
      </c>
      <c r="H3935" s="1">
        <v>3.2035630000000002E-6</v>
      </c>
      <c r="I3935">
        <v>211.79040000000001</v>
      </c>
      <c r="J3935">
        <v>-340.87139999999999</v>
      </c>
      <c r="K3935">
        <v>1.1078969999999999</v>
      </c>
      <c r="L3935">
        <v>215.0959</v>
      </c>
      <c r="M3935">
        <v>0.9999382</v>
      </c>
      <c r="N3935">
        <v>-8.9461899999999997E-3</v>
      </c>
      <c r="O3935">
        <v>6.6096710000000001E-3</v>
      </c>
      <c r="P3935">
        <v>0.99499570000000004</v>
      </c>
      <c r="Q3935">
        <v>-4.4858799999999997E-2</v>
      </c>
      <c r="R3935">
        <v>8.928142E-2</v>
      </c>
      <c r="S3935">
        <v>3.0441280000000002</v>
      </c>
      <c r="T3935">
        <v>-0.12952710000000001</v>
      </c>
      <c r="U3935">
        <v>-0.38618469999999999</v>
      </c>
      <c r="V3935">
        <v>-8.2759890000000003E-2</v>
      </c>
      <c r="W3935">
        <v>-3.5818639999999999E-2</v>
      </c>
      <c r="X3935">
        <v>0.99592559999999997</v>
      </c>
      <c r="Y3935">
        <v>0.1322615</v>
      </c>
      <c r="Z3935">
        <v>-3.6168289999999998E-3</v>
      </c>
      <c r="AA3935">
        <v>0.99120830000000004</v>
      </c>
      <c r="AB3935">
        <v>50</v>
      </c>
      <c r="AC3935">
        <v>25.689599999999899</v>
      </c>
      <c r="AD3935">
        <v>-1.1078937964369999</v>
      </c>
      <c r="AE3935">
        <v>-3.3054999999999901</v>
      </c>
      <c r="AF3935">
        <v>3.4688877871347401</v>
      </c>
      <c r="AG3935">
        <v>-1.1078937964369999</v>
      </c>
      <c r="AH3935">
        <v>25.620315361506002</v>
      </c>
      <c r="AI3935">
        <v>92.453725430207996</v>
      </c>
      <c r="AJ3935">
        <v>82.289271328174607</v>
      </c>
      <c r="AK3935">
        <v>25.8778123180252</v>
      </c>
      <c r="AL3935">
        <v>92.052696011387297</v>
      </c>
      <c r="AM3935">
        <v>94.750277352786298</v>
      </c>
      <c r="AN3935">
        <v>0.99999998754981001</v>
      </c>
    </row>
    <row r="3936" spans="1:40" x14ac:dyDescent="0.25">
      <c r="A3936" t="str">
        <f>"20190305135011801"</f>
        <v>20190305135011801</v>
      </c>
      <c r="B3936" t="str">
        <f>"1551765011794224"</f>
        <v>1551765011794224</v>
      </c>
      <c r="C3936" t="s">
        <v>40</v>
      </c>
      <c r="D3936">
        <v>3.9271189999999998</v>
      </c>
      <c r="E3936">
        <v>0.58339949999999996</v>
      </c>
      <c r="F3936" t="s">
        <v>78</v>
      </c>
      <c r="G3936">
        <v>-315.23180000000002</v>
      </c>
      <c r="H3936" s="1">
        <v>3.2257420000000002E-6</v>
      </c>
      <c r="I3936">
        <v>211.79349999999999</v>
      </c>
      <c r="J3936">
        <v>-340.42520000000002</v>
      </c>
      <c r="K3936">
        <v>1.10791</v>
      </c>
      <c r="L3936">
        <v>215.0986</v>
      </c>
      <c r="M3936">
        <v>0.99994000000000005</v>
      </c>
      <c r="N3936">
        <v>-9.059994E-3</v>
      </c>
      <c r="O3936">
        <v>6.1619070000000003E-3</v>
      </c>
      <c r="P3936">
        <v>0.99503710000000001</v>
      </c>
      <c r="Q3936">
        <v>-4.5040499999999997E-2</v>
      </c>
      <c r="R3936">
        <v>8.872766E-2</v>
      </c>
      <c r="S3936">
        <v>3.0443419999999999</v>
      </c>
      <c r="T3936">
        <v>-0.1315471</v>
      </c>
      <c r="U3936">
        <v>-0.39210509999999998</v>
      </c>
      <c r="V3936">
        <v>-8.2652379999999998E-2</v>
      </c>
      <c r="W3936">
        <v>-3.5885109999999998E-2</v>
      </c>
      <c r="X3936">
        <v>0.99593220000000005</v>
      </c>
      <c r="Y3936">
        <v>0.1336997</v>
      </c>
      <c r="Z3936">
        <v>-3.6933920000000002E-3</v>
      </c>
      <c r="AA3936">
        <v>0.99101499999999998</v>
      </c>
      <c r="AB3936">
        <v>50</v>
      </c>
      <c r="AC3936">
        <v>25.1934</v>
      </c>
      <c r="AD3936">
        <v>-1.107906774258</v>
      </c>
      <c r="AE3936">
        <v>-3.3050999999999999</v>
      </c>
      <c r="AF3936">
        <v>3.4537168847898299</v>
      </c>
      <c r="AG3936">
        <v>-1.107906774258</v>
      </c>
      <c r="AH3936">
        <v>25.124788507310001</v>
      </c>
      <c r="AI3936">
        <v>92.501396143589304</v>
      </c>
      <c r="AJ3936">
        <v>82.173030781561806</v>
      </c>
      <c r="AK3936">
        <v>25.385244046055298</v>
      </c>
      <c r="AL3936">
        <v>92.056506779234496</v>
      </c>
      <c r="AM3936">
        <v>94.7441033499003</v>
      </c>
      <c r="AN3936">
        <v>1.0000000520181</v>
      </c>
    </row>
    <row r="3937" spans="1:40" x14ac:dyDescent="0.25">
      <c r="A3937" t="str">
        <f>"20190305135011822"</f>
        <v>20190305135011822</v>
      </c>
      <c r="B3937" t="str">
        <f>"1551765011814723"</f>
        <v>1551765011814723</v>
      </c>
      <c r="C3937" t="s">
        <v>40</v>
      </c>
      <c r="D3937">
        <v>3.9420829999999998</v>
      </c>
      <c r="E3937">
        <v>0.5837194</v>
      </c>
      <c r="F3937" t="s">
        <v>78</v>
      </c>
      <c r="G3937">
        <v>-314.86099999999999</v>
      </c>
      <c r="H3937" s="1">
        <v>3.0612750000000002E-6</v>
      </c>
      <c r="I3937">
        <v>211.76820000000001</v>
      </c>
      <c r="J3937">
        <v>-339.92529999999999</v>
      </c>
      <c r="K3937">
        <v>1.1079490000000001</v>
      </c>
      <c r="L3937">
        <v>215.10140000000001</v>
      </c>
      <c r="M3937">
        <v>0.99994110000000003</v>
      </c>
      <c r="N3937">
        <v>-9.2745669999999992E-3</v>
      </c>
      <c r="O3937">
        <v>5.6578890000000001E-3</v>
      </c>
      <c r="P3937">
        <v>0.99508700000000005</v>
      </c>
      <c r="Q3937">
        <v>-4.4961000000000001E-2</v>
      </c>
      <c r="R3937">
        <v>8.8208789999999995E-2</v>
      </c>
      <c r="S3937">
        <v>3.0443419999999999</v>
      </c>
      <c r="T3937">
        <v>-0.1319361</v>
      </c>
      <c r="U3937">
        <v>-0.39660640000000003</v>
      </c>
      <c r="V3937">
        <v>-8.263616E-2</v>
      </c>
      <c r="W3937">
        <v>-3.5589450000000002E-2</v>
      </c>
      <c r="X3937">
        <v>0.9959441</v>
      </c>
      <c r="Y3937">
        <v>0.13463910000000001</v>
      </c>
      <c r="Z3937">
        <v>-3.7230800000000001E-3</v>
      </c>
      <c r="AA3937">
        <v>0.99088770000000004</v>
      </c>
      <c r="AB3937">
        <v>51</v>
      </c>
      <c r="AC3937">
        <v>25.064299999999999</v>
      </c>
      <c r="AD3937">
        <v>-1.1079459387249999</v>
      </c>
      <c r="AE3937">
        <v>-3.3332000000000002</v>
      </c>
      <c r="AF3937">
        <v>3.46830443731533</v>
      </c>
      <c r="AG3937">
        <v>-1.1079459387249999</v>
      </c>
      <c r="AH3937">
        <v>24.997043533853301</v>
      </c>
      <c r="AI3937">
        <v>92.513814083942293</v>
      </c>
      <c r="AJ3937">
        <v>82.1007240932651</v>
      </c>
      <c r="AK3937">
        <v>25.260816798084601</v>
      </c>
      <c r="AL3937">
        <v>92.039555994019395</v>
      </c>
      <c r="AM3937">
        <v>94.743120183060597</v>
      </c>
      <c r="AN3937">
        <v>0.99999999710782805</v>
      </c>
    </row>
    <row r="3938" spans="1:40" x14ac:dyDescent="0.25">
      <c r="A3938" t="str">
        <f>"20190305135011835"</f>
        <v>20190305135011835</v>
      </c>
      <c r="B3938" t="str">
        <f>"1551765011824480"</f>
        <v>1551765011824480</v>
      </c>
      <c r="C3938" t="s">
        <v>40</v>
      </c>
      <c r="D3938">
        <v>3.9542079999999999</v>
      </c>
      <c r="E3938">
        <v>0.58383350000000001</v>
      </c>
      <c r="F3938" t="s">
        <v>78</v>
      </c>
      <c r="G3938">
        <v>-314.52800000000002</v>
      </c>
      <c r="H3938" s="1">
        <v>2.9136119999999998E-6</v>
      </c>
      <c r="I3938">
        <v>211.75899999999999</v>
      </c>
      <c r="J3938">
        <v>-339.63440000000003</v>
      </c>
      <c r="K3938">
        <v>1.10798</v>
      </c>
      <c r="L3938">
        <v>215.10300000000001</v>
      </c>
      <c r="M3938">
        <v>0.99994099999999997</v>
      </c>
      <c r="N3938">
        <v>-9.4541509999999992E-3</v>
      </c>
      <c r="O3938">
        <v>5.3655710000000004E-3</v>
      </c>
      <c r="P3938">
        <v>0.99510940000000003</v>
      </c>
      <c r="Q3938">
        <v>-4.50686E-2</v>
      </c>
      <c r="R3938">
        <v>8.7900270000000003E-2</v>
      </c>
      <c r="S3938">
        <v>3.0443419999999999</v>
      </c>
      <c r="T3938">
        <v>-0.13280810000000001</v>
      </c>
      <c r="U3938">
        <v>-0.40065000000000001</v>
      </c>
      <c r="V3938">
        <v>-8.2618789999999998E-2</v>
      </c>
      <c r="W3938">
        <v>-3.5516720000000002E-2</v>
      </c>
      <c r="X3938">
        <v>0.9959481</v>
      </c>
      <c r="Y3938">
        <v>0.13564000000000001</v>
      </c>
      <c r="Z3938">
        <v>-3.7713360000000001E-3</v>
      </c>
      <c r="AA3938">
        <v>0.99075100000000005</v>
      </c>
      <c r="AB3938">
        <v>51</v>
      </c>
      <c r="AC3938">
        <v>25.106400000000001</v>
      </c>
      <c r="AD3938">
        <v>-1.1079770863880001</v>
      </c>
      <c r="AE3938">
        <v>-3.3439999999999599</v>
      </c>
      <c r="AF3938">
        <v>3.4720239066459602</v>
      </c>
      <c r="AG3938">
        <v>-1.1079770863880001</v>
      </c>
      <c r="AH3938">
        <v>25.040177917094098</v>
      </c>
      <c r="AI3938">
        <v>92.509590627339705</v>
      </c>
      <c r="AJ3938">
        <v>82.105809756544801</v>
      </c>
      <c r="AK3938">
        <v>25.3040129890895</v>
      </c>
      <c r="AL3938">
        <v>92.035386311607098</v>
      </c>
      <c r="AM3938">
        <v>94.742108774614394</v>
      </c>
      <c r="AN3938">
        <v>0.99999995987711499</v>
      </c>
    </row>
    <row r="3939" spans="1:40" x14ac:dyDescent="0.25">
      <c r="A3939" t="str">
        <f>"20190305135011854"</f>
        <v>20190305135011854</v>
      </c>
      <c r="B3939" t="str">
        <f>"1551765011844000"</f>
        <v>1551765011844000</v>
      </c>
      <c r="C3939" t="s">
        <v>40</v>
      </c>
      <c r="D3939">
        <v>3.9469270000000001</v>
      </c>
      <c r="E3939">
        <v>0.58401449999999999</v>
      </c>
      <c r="F3939" t="s">
        <v>78</v>
      </c>
      <c r="G3939">
        <v>-314.3999</v>
      </c>
      <c r="H3939" s="1">
        <v>2.856834E-6</v>
      </c>
      <c r="I3939">
        <v>211.76509999999999</v>
      </c>
      <c r="J3939">
        <v>-339.19470000000001</v>
      </c>
      <c r="K3939">
        <v>1.108044</v>
      </c>
      <c r="L3939">
        <v>215.10509999999999</v>
      </c>
      <c r="M3939">
        <v>0.99993980000000005</v>
      </c>
      <c r="N3939">
        <v>-9.8130679999999994E-3</v>
      </c>
      <c r="O3939">
        <v>4.9304129999999998E-3</v>
      </c>
      <c r="P3939">
        <v>0.99512299999999998</v>
      </c>
      <c r="Q3939">
        <v>-4.5619390000000003E-2</v>
      </c>
      <c r="R3939">
        <v>8.7459850000000006E-2</v>
      </c>
      <c r="S3939">
        <v>3.0442200000000001</v>
      </c>
      <c r="T3939">
        <v>-0.13366329999999901</v>
      </c>
      <c r="U3939">
        <v>-0.40266420000000003</v>
      </c>
      <c r="V3939">
        <v>-8.2612519999999995E-2</v>
      </c>
      <c r="W3939">
        <v>-3.5707919999999997E-2</v>
      </c>
      <c r="X3939">
        <v>0.99594179999999999</v>
      </c>
      <c r="Y3939">
        <v>0.13585539999999999</v>
      </c>
      <c r="Z3939">
        <v>-3.8053509999999998E-3</v>
      </c>
      <c r="AA3939">
        <v>0.99072130000000003</v>
      </c>
      <c r="AB3939">
        <v>51</v>
      </c>
      <c r="AC3939">
        <v>24.794799999999999</v>
      </c>
      <c r="AD3939">
        <v>-1.108041143166</v>
      </c>
      <c r="AE3939">
        <v>-3.34</v>
      </c>
      <c r="AF3939">
        <v>3.4554361592406</v>
      </c>
      <c r="AG3939">
        <v>-1.108041143166</v>
      </c>
      <c r="AH3939">
        <v>24.729524123794501</v>
      </c>
      <c r="AI3939">
        <v>92.540850764637895</v>
      </c>
      <c r="AJ3939">
        <v>82.045608658619003</v>
      </c>
      <c r="AK3939">
        <v>24.994342512153999</v>
      </c>
      <c r="AL3939">
        <v>92.046348184432603</v>
      </c>
      <c r="AM3939">
        <v>94.741780391568497</v>
      </c>
      <c r="AN3939">
        <v>0.99999997649935801</v>
      </c>
    </row>
    <row r="3940" spans="1:40" x14ac:dyDescent="0.25">
      <c r="A3940" t="str">
        <f>"20190305135011867"</f>
        <v>20190305135011867</v>
      </c>
      <c r="B3940" t="str">
        <f>"1551765011864496"</f>
        <v>1551765011864496</v>
      </c>
      <c r="C3940" t="s">
        <v>40</v>
      </c>
      <c r="D3940">
        <v>3.9894090000000002</v>
      </c>
      <c r="E3940">
        <v>0.58435579999999998</v>
      </c>
      <c r="F3940" t="s">
        <v>78</v>
      </c>
      <c r="G3940">
        <v>-314.50470000000001</v>
      </c>
      <c r="H3940" s="1">
        <v>2.9032739999999999E-6</v>
      </c>
      <c r="I3940">
        <v>211.81649999999999</v>
      </c>
      <c r="J3940">
        <v>-338.90069999999997</v>
      </c>
      <c r="K3940">
        <v>1.108093</v>
      </c>
      <c r="L3940">
        <v>215.10640000000001</v>
      </c>
      <c r="M3940">
        <v>0.99993829999999995</v>
      </c>
      <c r="N3940">
        <v>-1.009855E-2</v>
      </c>
      <c r="O3940">
        <v>4.6454620000000004E-3</v>
      </c>
      <c r="P3940">
        <v>0.99512279999999997</v>
      </c>
      <c r="Q3940">
        <v>-4.6002099999999997E-2</v>
      </c>
      <c r="R3940">
        <v>8.7261560000000002E-2</v>
      </c>
      <c r="S3940">
        <v>3.0440670000000001</v>
      </c>
      <c r="T3940">
        <v>-0.1366116</v>
      </c>
      <c r="U3940">
        <v>-0.4054565</v>
      </c>
      <c r="V3940">
        <v>-8.2699159999999994E-2</v>
      </c>
      <c r="W3940">
        <v>-3.5804879999999997E-2</v>
      </c>
      <c r="X3940">
        <v>0.99593109999999996</v>
      </c>
      <c r="Y3940">
        <v>0.13646469999999999</v>
      </c>
      <c r="Z3940">
        <v>-3.9004560000000001E-3</v>
      </c>
      <c r="AA3940">
        <v>0.9906372</v>
      </c>
      <c r="AB3940">
        <v>51</v>
      </c>
      <c r="AC3940">
        <v>24.395999999999901</v>
      </c>
      <c r="AD3940">
        <v>-1.1080900967259999</v>
      </c>
      <c r="AE3940">
        <v>-3.28990000000001</v>
      </c>
      <c r="AF3940">
        <v>3.39631927888253</v>
      </c>
      <c r="AG3940">
        <v>-1.1080900967259999</v>
      </c>
      <c r="AH3940">
        <v>24.3311526583114</v>
      </c>
      <c r="AI3940">
        <v>92.582560060652099</v>
      </c>
      <c r="AJ3940">
        <v>82.053583782413</v>
      </c>
      <c r="AK3940">
        <v>24.592027935666898</v>
      </c>
      <c r="AL3940">
        <v>92.051907196148406</v>
      </c>
      <c r="AM3940">
        <v>94.746781393677097</v>
      </c>
      <c r="AN3940">
        <v>0.999999948221863</v>
      </c>
    </row>
    <row r="3941" spans="1:40" x14ac:dyDescent="0.25">
      <c r="A3941" t="str">
        <f>"20190305135011881"</f>
        <v>20190305135011881</v>
      </c>
      <c r="B3941" t="str">
        <f>"1551765011874256"</f>
        <v>1551765011874256</v>
      </c>
      <c r="C3941" t="s">
        <v>40</v>
      </c>
      <c r="D3941">
        <v>3.9877889999999998</v>
      </c>
      <c r="E3941">
        <v>0.58455669999999904</v>
      </c>
      <c r="F3941" t="s">
        <v>78</v>
      </c>
      <c r="G3941">
        <v>-314.57209999999998</v>
      </c>
      <c r="H3941" s="1">
        <v>2.933173E-6</v>
      </c>
      <c r="I3941">
        <v>211.8391</v>
      </c>
      <c r="J3941">
        <v>-338.59620000000001</v>
      </c>
      <c r="K3941">
        <v>1.1081479999999999</v>
      </c>
      <c r="L3941">
        <v>215.10769999999999</v>
      </c>
      <c r="M3941">
        <v>0.99993639999999995</v>
      </c>
      <c r="N3941">
        <v>-1.041013E-2</v>
      </c>
      <c r="O3941">
        <v>4.3503350000000003E-3</v>
      </c>
      <c r="P3941">
        <v>0.99509409999999998</v>
      </c>
      <c r="Q3941">
        <v>-4.6623810000000002E-2</v>
      </c>
      <c r="R3941">
        <v>8.7258749999999996E-2</v>
      </c>
      <c r="S3941">
        <v>3.0440670000000001</v>
      </c>
      <c r="T3941">
        <v>-0.1386473</v>
      </c>
      <c r="U3941">
        <v>-0.4088135</v>
      </c>
      <c r="V3941">
        <v>-8.2991220000000004E-2</v>
      </c>
      <c r="W3941">
        <v>-3.6115359999999999E-2</v>
      </c>
      <c r="X3941">
        <v>0.99589559999999999</v>
      </c>
      <c r="Y3941">
        <v>0.13723920000000001</v>
      </c>
      <c r="Z3941">
        <v>-3.9799459999999998E-3</v>
      </c>
      <c r="AA3941">
        <v>0.99053000000000002</v>
      </c>
      <c r="AB3941">
        <v>51</v>
      </c>
      <c r="AC3941">
        <v>24.024100000000001</v>
      </c>
      <c r="AD3941">
        <v>-1.1081450668270001</v>
      </c>
      <c r="AE3941">
        <v>-3.26859999999999</v>
      </c>
      <c r="AF3941">
        <v>3.3660560008226899</v>
      </c>
      <c r="AG3941">
        <v>-1.1081450668270001</v>
      </c>
      <c r="AH3941">
        <v>23.959601355312302</v>
      </c>
      <c r="AI3941">
        <v>92.6223590302221</v>
      </c>
      <c r="AJ3941">
        <v>82.002922803828696</v>
      </c>
      <c r="AK3941">
        <v>24.220256307382201</v>
      </c>
      <c r="AL3941">
        <v>92.069707891919506</v>
      </c>
      <c r="AM3941">
        <v>94.763637119914804</v>
      </c>
      <c r="AN3941">
        <v>0.99999995396218799</v>
      </c>
    </row>
    <row r="3942" spans="1:40" x14ac:dyDescent="0.25">
      <c r="A3942" t="str">
        <f>"20190305135011899"</f>
        <v>20190305135011899</v>
      </c>
      <c r="B3942" t="str">
        <f>"1551765011893777"</f>
        <v>1551765011893777</v>
      </c>
      <c r="C3942" t="s">
        <v>40</v>
      </c>
      <c r="D3942">
        <v>3.9521190000000002</v>
      </c>
      <c r="E3942">
        <v>0.58494419999999903</v>
      </c>
      <c r="F3942" t="s">
        <v>78</v>
      </c>
      <c r="G3942">
        <v>-314.58159999999998</v>
      </c>
      <c r="H3942" s="1">
        <v>2.9374099999999999E-6</v>
      </c>
      <c r="I3942">
        <v>211.86949999999999</v>
      </c>
      <c r="J3942">
        <v>-338.173</v>
      </c>
      <c r="K3942">
        <v>1.108215</v>
      </c>
      <c r="L3942">
        <v>215.10919999999999</v>
      </c>
      <c r="M3942">
        <v>0.99993370000000004</v>
      </c>
      <c r="N3942">
        <v>-1.083777E-2</v>
      </c>
      <c r="O3942">
        <v>3.9371459999999999E-3</v>
      </c>
      <c r="P3942">
        <v>0.99509910000000001</v>
      </c>
      <c r="Q3942">
        <v>-4.6944699999999902E-2</v>
      </c>
      <c r="R3942">
        <v>8.7030140000000006E-2</v>
      </c>
      <c r="S3942">
        <v>3.0441889999999998</v>
      </c>
      <c r="T3942">
        <v>-0.14047309999999999</v>
      </c>
      <c r="U3942">
        <v>-0.41047670000000003</v>
      </c>
      <c r="V3942">
        <v>-8.3173419999999998E-2</v>
      </c>
      <c r="W3942">
        <v>-3.6009609999999997E-2</v>
      </c>
      <c r="X3942">
        <v>0.99588429999999994</v>
      </c>
      <c r="Y3942">
        <v>0.1373509</v>
      </c>
      <c r="Z3942">
        <v>-4.0395379999999996E-3</v>
      </c>
      <c r="AA3942">
        <v>0.99051420000000001</v>
      </c>
      <c r="AB3942">
        <v>50</v>
      </c>
      <c r="AC3942">
        <v>23.5914</v>
      </c>
      <c r="AD3942">
        <v>-1.10821206259</v>
      </c>
      <c r="AE3942">
        <v>-3.2396999999999898</v>
      </c>
      <c r="AF3942">
        <v>3.32536094278993</v>
      </c>
      <c r="AG3942">
        <v>-1.10821206259</v>
      </c>
      <c r="AH3942">
        <v>23.527504617119799</v>
      </c>
      <c r="AI3942">
        <v>92.670298997669803</v>
      </c>
      <c r="AJ3942">
        <v>81.955142583349101</v>
      </c>
      <c r="AK3942">
        <v>23.787173705257501</v>
      </c>
      <c r="AL3942">
        <v>92.063644773799993</v>
      </c>
      <c r="AM3942">
        <v>94.7741009044382</v>
      </c>
      <c r="AN3942">
        <v>1.00000002439666</v>
      </c>
    </row>
    <row r="3943" spans="1:40" x14ac:dyDescent="0.25">
      <c r="A3943" t="str">
        <f>"20190305135011923"</f>
        <v>20190305135011923</v>
      </c>
      <c r="B3943" t="str">
        <f>"1551765011914272"</f>
        <v>1551765011914272</v>
      </c>
      <c r="C3943" t="s">
        <v>40</v>
      </c>
      <c r="D3943">
        <v>3.990945</v>
      </c>
      <c r="E3943">
        <v>0.58536109999999997</v>
      </c>
      <c r="F3943" t="s">
        <v>78</v>
      </c>
      <c r="G3943">
        <v>-314.2998</v>
      </c>
      <c r="H3943" s="1">
        <v>2.8124279999999999E-6</v>
      </c>
      <c r="I3943">
        <v>211.8613</v>
      </c>
      <c r="J3943">
        <v>-337.6551</v>
      </c>
      <c r="K3943">
        <v>1.1082829999999999</v>
      </c>
      <c r="L3943">
        <v>215.11089999999999</v>
      </c>
      <c r="M3943">
        <v>0.99992999999999999</v>
      </c>
      <c r="N3943">
        <v>-1.132814E-2</v>
      </c>
      <c r="O3943">
        <v>3.4259809999999998E-3</v>
      </c>
      <c r="P3943">
        <v>0.99507939999999995</v>
      </c>
      <c r="Q3943">
        <v>-4.7273419999999997E-2</v>
      </c>
      <c r="R3943">
        <v>8.7077340000000003E-2</v>
      </c>
      <c r="S3943">
        <v>3.0443419999999999</v>
      </c>
      <c r="T3943">
        <v>-0.14132049999999999</v>
      </c>
      <c r="U3943">
        <v>-0.41418460000000001</v>
      </c>
      <c r="V3943">
        <v>-8.3729970000000001E-2</v>
      </c>
      <c r="W3943">
        <v>-3.5849440000000003E-2</v>
      </c>
      <c r="X3943">
        <v>0.99584340000000005</v>
      </c>
      <c r="Y3943">
        <v>0.13801859999999999</v>
      </c>
      <c r="Z3943">
        <v>-4.0925680000000004E-3</v>
      </c>
      <c r="AA3943">
        <v>0.9904212</v>
      </c>
      <c r="AB3943">
        <v>50</v>
      </c>
      <c r="AC3943">
        <v>23.3553</v>
      </c>
      <c r="AD3943">
        <v>-1.1082801875720001</v>
      </c>
      <c r="AE3943">
        <v>-3.2495999999999801</v>
      </c>
      <c r="AF3943">
        <v>3.32226190723632</v>
      </c>
      <c r="AG3943">
        <v>-1.1082801875720001</v>
      </c>
      <c r="AH3943">
        <v>23.292575215187401</v>
      </c>
      <c r="AI3943">
        <v>92.696873207090405</v>
      </c>
      <c r="AJ3943">
        <v>81.882551069451296</v>
      </c>
      <c r="AK3943">
        <v>23.554400211204701</v>
      </c>
      <c r="AL3943">
        <v>92.054461863284303</v>
      </c>
      <c r="AM3943">
        <v>94.806093839868197</v>
      </c>
      <c r="AN3943">
        <v>0.99999998377403698</v>
      </c>
    </row>
    <row r="3944" spans="1:40" x14ac:dyDescent="0.25">
      <c r="A3944" t="str">
        <f>"20190305135011935"</f>
        <v>20190305135011935</v>
      </c>
      <c r="B3944" t="str">
        <f>"1551765011924033"</f>
        <v>1551765011924033</v>
      </c>
      <c r="C3944" t="s">
        <v>40</v>
      </c>
      <c r="D3944">
        <v>3.9778069999999999</v>
      </c>
      <c r="E3944">
        <v>0.58556030000000003</v>
      </c>
      <c r="F3944" t="s">
        <v>78</v>
      </c>
      <c r="G3944">
        <v>-313.87990000000002</v>
      </c>
      <c r="H3944" s="1">
        <v>2.6262240000000002E-6</v>
      </c>
      <c r="I3944">
        <v>211.8518</v>
      </c>
      <c r="J3944">
        <v>-337.37450000000001</v>
      </c>
      <c r="K3944">
        <v>1.1083130000000001</v>
      </c>
      <c r="L3944">
        <v>215.11170000000001</v>
      </c>
      <c r="M3944">
        <v>0.99992820000000004</v>
      </c>
      <c r="N3944">
        <v>-1.1574869999999999E-2</v>
      </c>
      <c r="O3944">
        <v>3.146841E-3</v>
      </c>
      <c r="P3944">
        <v>0.99508920000000001</v>
      </c>
      <c r="Q3944">
        <v>-4.7411170000000002E-2</v>
      </c>
      <c r="R3944">
        <v>8.6891140000000006E-2</v>
      </c>
      <c r="S3944">
        <v>3.0446170000000001</v>
      </c>
      <c r="T3944">
        <v>-0.14192489999999999</v>
      </c>
      <c r="U3944">
        <v>-0.41735840000000002</v>
      </c>
      <c r="V3944">
        <v>-8.382146E-2</v>
      </c>
      <c r="W3944">
        <v>-3.5741490000000001E-2</v>
      </c>
      <c r="X3944">
        <v>0.99583960000000005</v>
      </c>
      <c r="Y3944">
        <v>0.1387408</v>
      </c>
      <c r="Z3944">
        <v>-4.1338820000000002E-3</v>
      </c>
      <c r="AA3944">
        <v>0.99032010000000004</v>
      </c>
      <c r="AB3944">
        <v>50</v>
      </c>
      <c r="AC3944">
        <v>23.494599999999899</v>
      </c>
      <c r="AD3944">
        <v>-1.1083103737759901</v>
      </c>
      <c r="AE3944">
        <v>-3.2599000000000098</v>
      </c>
      <c r="AF3944">
        <v>3.3265598299605901</v>
      </c>
      <c r="AG3944">
        <v>-1.1083103737759901</v>
      </c>
      <c r="AH3944">
        <v>23.433064143881701</v>
      </c>
      <c r="AI3944">
        <v>92.681051926191699</v>
      </c>
      <c r="AJ3944">
        <v>81.920273510784099</v>
      </c>
      <c r="AK3944">
        <v>23.6939411529235</v>
      </c>
      <c r="AL3944">
        <v>92.048272784005604</v>
      </c>
      <c r="AM3944">
        <v>94.811338992699405</v>
      </c>
      <c r="AN3944">
        <v>1.0000000000960501</v>
      </c>
    </row>
    <row r="3945" spans="1:40" x14ac:dyDescent="0.25">
      <c r="A3945" t="str">
        <f>"20190305135011955"</f>
        <v>20190305135011955</v>
      </c>
      <c r="B3945" t="str">
        <f>"1551765011944528"</f>
        <v>1551765011944528</v>
      </c>
      <c r="C3945" t="s">
        <v>40</v>
      </c>
      <c r="D3945">
        <v>3.9498359999999999</v>
      </c>
      <c r="E3945">
        <v>0.58604239999999996</v>
      </c>
      <c r="F3945" t="s">
        <v>78</v>
      </c>
      <c r="G3945">
        <v>-313.64769999999999</v>
      </c>
      <c r="H3945" s="1">
        <v>2.5232639999999999E-6</v>
      </c>
      <c r="I3945">
        <v>211.84379999999999</v>
      </c>
      <c r="J3945">
        <v>-336.93130000000002</v>
      </c>
      <c r="K3945">
        <v>1.1083499999999999</v>
      </c>
      <c r="L3945">
        <v>215.11279999999999</v>
      </c>
      <c r="M3945">
        <v>0.99992510000000001</v>
      </c>
      <c r="N3945">
        <v>-1.1937390000000001E-2</v>
      </c>
      <c r="O3945">
        <v>2.7053709999999998E-3</v>
      </c>
      <c r="P3945">
        <v>0.99510330000000002</v>
      </c>
      <c r="Q3945">
        <v>-4.7878900000000002E-2</v>
      </c>
      <c r="R3945">
        <v>8.6469599999999994E-2</v>
      </c>
      <c r="S3945">
        <v>3.0446780000000002</v>
      </c>
      <c r="T3945">
        <v>-0.14222119999999999</v>
      </c>
      <c r="U3945">
        <v>-0.41935729999999999</v>
      </c>
      <c r="V3945">
        <v>-8.3839179999999999E-2</v>
      </c>
      <c r="W3945">
        <v>-3.584859E-2</v>
      </c>
      <c r="X3945">
        <v>0.9958342</v>
      </c>
      <c r="Y3945">
        <v>0.13893720000000001</v>
      </c>
      <c r="Z3945">
        <v>-4.1553409999999999E-3</v>
      </c>
      <c r="AA3945">
        <v>0.99029250000000002</v>
      </c>
      <c r="AB3945">
        <v>50</v>
      </c>
      <c r="AC3945">
        <v>23.2836</v>
      </c>
      <c r="AD3945">
        <v>-1.108347476736</v>
      </c>
      <c r="AE3945">
        <v>-3.2690000000000001</v>
      </c>
      <c r="AF3945">
        <v>3.3245955368647899</v>
      </c>
      <c r="AG3945">
        <v>-1.108347476736</v>
      </c>
      <c r="AH3945">
        <v>23.223065071815501</v>
      </c>
      <c r="AI3945">
        <v>92.704897887976699</v>
      </c>
      <c r="AJ3945">
        <v>81.852937606828206</v>
      </c>
      <c r="AK3945">
        <v>23.485998402084299</v>
      </c>
      <c r="AL3945">
        <v>92.054413217023196</v>
      </c>
      <c r="AM3945">
        <v>94.812377314511707</v>
      </c>
      <c r="AN3945">
        <v>0.99999994169884798</v>
      </c>
    </row>
    <row r="3946" spans="1:40" x14ac:dyDescent="0.25">
      <c r="A3946" t="str">
        <f>"20190305135011977"</f>
        <v>20190305135011977</v>
      </c>
      <c r="B3946" t="str">
        <f>"1551765011973808"</f>
        <v>1551765011973808</v>
      </c>
      <c r="C3946" t="s">
        <v>40</v>
      </c>
      <c r="D3946">
        <v>3.9704540000000001</v>
      </c>
      <c r="E3946">
        <v>0.58668540000000002</v>
      </c>
      <c r="F3946" t="s">
        <v>78</v>
      </c>
      <c r="G3946">
        <v>-313.68439999999998</v>
      </c>
      <c r="H3946" s="1">
        <v>2.5395180000000001E-6</v>
      </c>
      <c r="I3946">
        <v>211.87039999999999</v>
      </c>
      <c r="J3946">
        <v>-336.42189999999999</v>
      </c>
      <c r="K3946">
        <v>1.108384</v>
      </c>
      <c r="L3946">
        <v>215.1138</v>
      </c>
      <c r="M3946">
        <v>0.99992170000000002</v>
      </c>
      <c r="N3946">
        <v>-1.231574E-2</v>
      </c>
      <c r="O3946">
        <v>2.198471E-3</v>
      </c>
      <c r="P3946">
        <v>0.99509080000000005</v>
      </c>
      <c r="Q3946">
        <v>-4.881953E-2</v>
      </c>
      <c r="R3946">
        <v>8.6088540000000005E-2</v>
      </c>
      <c r="S3946">
        <v>3.0446780000000002</v>
      </c>
      <c r="T3946">
        <v>-0.1451614</v>
      </c>
      <c r="U3946">
        <v>-0.42466739999999997</v>
      </c>
      <c r="V3946">
        <v>-8.3963780000000002E-2</v>
      </c>
      <c r="W3946">
        <v>-3.6413099999999997E-2</v>
      </c>
      <c r="X3946">
        <v>0.99580329999999995</v>
      </c>
      <c r="Y3946">
        <v>0.14011999999999999</v>
      </c>
      <c r="Z3946">
        <v>-4.2672710000000004E-3</v>
      </c>
      <c r="AA3946">
        <v>0.99012529999999999</v>
      </c>
      <c r="AB3946">
        <v>50</v>
      </c>
      <c r="AC3946">
        <v>22.737500000000001</v>
      </c>
      <c r="AD3946">
        <v>-1.1083814604819999</v>
      </c>
      <c r="AE3946">
        <v>-3.2433999999999998</v>
      </c>
      <c r="AF3946">
        <v>3.2857316530286802</v>
      </c>
      <c r="AG3946">
        <v>-1.1083814604819999</v>
      </c>
      <c r="AH3946">
        <v>22.677501073205601</v>
      </c>
      <c r="AI3946">
        <v>92.769280494946798</v>
      </c>
      <c r="AJ3946">
        <v>81.755814023221504</v>
      </c>
      <c r="AK3946">
        <v>22.941089705654701</v>
      </c>
      <c r="AL3946">
        <v>92.086778226025899</v>
      </c>
      <c r="AM3946">
        <v>94.819644548763193</v>
      </c>
      <c r="AN3946">
        <v>1.00000002124719</v>
      </c>
    </row>
    <row r="3947" spans="1:40" x14ac:dyDescent="0.25">
      <c r="A3947" t="str">
        <f>"20190305135012001"</f>
        <v>20190305135012001</v>
      </c>
      <c r="B3947" t="str">
        <f>"1551765011994304"</f>
        <v>1551765011994304</v>
      </c>
      <c r="C3947" t="s">
        <v>40</v>
      </c>
      <c r="D3947">
        <v>3.958971</v>
      </c>
      <c r="E3947">
        <v>0.5870919</v>
      </c>
      <c r="F3947" t="s">
        <v>78</v>
      </c>
      <c r="G3947">
        <v>-313.92599999999999</v>
      </c>
      <c r="H3947" s="1">
        <v>2.6466510000000001E-6</v>
      </c>
      <c r="I3947">
        <v>211.92920000000001</v>
      </c>
      <c r="J3947">
        <v>-335.89670000000001</v>
      </c>
      <c r="K3947">
        <v>1.108414</v>
      </c>
      <c r="L3947">
        <v>215.1146</v>
      </c>
      <c r="M3947">
        <v>0.99991850000000004</v>
      </c>
      <c r="N3947">
        <v>-1.2665859999999999E-2</v>
      </c>
      <c r="O3947">
        <v>1.678674E-3</v>
      </c>
      <c r="P3947">
        <v>0.99511300000000003</v>
      </c>
      <c r="Q3947">
        <v>-4.9426499999999998E-2</v>
      </c>
      <c r="R3947">
        <v>8.5482630000000004E-2</v>
      </c>
      <c r="S3947">
        <v>3.0447389999999999</v>
      </c>
      <c r="T3947">
        <v>-0.15001500000000001</v>
      </c>
      <c r="U3947">
        <v>-0.43103029999999998</v>
      </c>
      <c r="V3947">
        <v>-8.3875630000000007E-2</v>
      </c>
      <c r="W3947">
        <v>-3.667231E-2</v>
      </c>
      <c r="X3947">
        <v>0.99580119999999905</v>
      </c>
      <c r="Y3947">
        <v>0.14161650000000001</v>
      </c>
      <c r="Z3947">
        <v>-4.4324689999999996E-3</v>
      </c>
      <c r="AA3947">
        <v>0.98991169999999995</v>
      </c>
      <c r="AB3947">
        <v>50</v>
      </c>
      <c r="AC3947">
        <v>21.970700000000001</v>
      </c>
      <c r="AD3947">
        <v>-1.1084113533490001</v>
      </c>
      <c r="AE3947">
        <v>-3.18539999999998</v>
      </c>
      <c r="AF3947">
        <v>3.2142677235045798</v>
      </c>
      <c r="AG3947">
        <v>-1.1084113533490001</v>
      </c>
      <c r="AH3947">
        <v>21.9107033289967</v>
      </c>
      <c r="AI3947">
        <v>92.865375043783601</v>
      </c>
      <c r="AJ3947">
        <v>81.654321864117506</v>
      </c>
      <c r="AK3947">
        <v>22.172934246461502</v>
      </c>
      <c r="AL3947">
        <v>92.101639825546897</v>
      </c>
      <c r="AM3947">
        <v>94.814618512791597</v>
      </c>
      <c r="AN3947">
        <v>1.0000000047750299</v>
      </c>
    </row>
    <row r="3948" spans="1:40" x14ac:dyDescent="0.25">
      <c r="A3948" t="str">
        <f>"20190305135012023"</f>
        <v>20190305135012023</v>
      </c>
      <c r="B3948" t="str">
        <f>"1551765012013827"</f>
        <v>1551765012013827</v>
      </c>
      <c r="C3948" t="s">
        <v>40</v>
      </c>
      <c r="D3948">
        <v>3.970456</v>
      </c>
      <c r="E3948">
        <v>0.58752360000000003</v>
      </c>
      <c r="F3948" t="s">
        <v>78</v>
      </c>
      <c r="G3948">
        <v>-313.79989999999998</v>
      </c>
      <c r="H3948" s="1">
        <v>2.5907279999999898E-6</v>
      </c>
      <c r="I3948">
        <v>211.9495</v>
      </c>
      <c r="J3948">
        <v>-335.38869999999997</v>
      </c>
      <c r="K3948">
        <v>1.1084369999999999</v>
      </c>
      <c r="L3948">
        <v>215.11519999999999</v>
      </c>
      <c r="M3948">
        <v>0.99991540000000001</v>
      </c>
      <c r="N3948">
        <v>-1.296687E-2</v>
      </c>
      <c r="O3948">
        <v>1.1813289999999901E-3</v>
      </c>
      <c r="P3948">
        <v>0.99516830000000001</v>
      </c>
      <c r="Q3948">
        <v>-4.9554500000000001E-2</v>
      </c>
      <c r="R3948">
        <v>8.4762950000000004E-2</v>
      </c>
      <c r="S3948">
        <v>3.0446170000000001</v>
      </c>
      <c r="T3948">
        <v>-0.152723</v>
      </c>
      <c r="U3948">
        <v>-0.43611149999999999</v>
      </c>
      <c r="V3948">
        <v>-8.3650119999999994E-2</v>
      </c>
      <c r="W3948">
        <v>-3.6501680000000002E-2</v>
      </c>
      <c r="X3948">
        <v>0.9958264</v>
      </c>
      <c r="Y3948">
        <v>0.14273939999999999</v>
      </c>
      <c r="Z3948">
        <v>-4.5342259999999997E-3</v>
      </c>
      <c r="AA3948">
        <v>0.98974989999999996</v>
      </c>
      <c r="AB3948">
        <v>50</v>
      </c>
      <c r="AC3948">
        <v>21.5887999999999</v>
      </c>
      <c r="AD3948">
        <v>-1.108434409272</v>
      </c>
      <c r="AE3948">
        <v>-3.1656999999999802</v>
      </c>
      <c r="AF3948">
        <v>3.1829893271695799</v>
      </c>
      <c r="AG3948">
        <v>-1.108434409272</v>
      </c>
      <c r="AH3948">
        <v>21.529485512186799</v>
      </c>
      <c r="AI3948">
        <v>92.9156050385849</v>
      </c>
      <c r="AJ3948">
        <v>81.590125361106402</v>
      </c>
      <c r="AK3948">
        <v>21.791713891201699</v>
      </c>
      <c r="AL3948">
        <v>92.091856975668406</v>
      </c>
      <c r="AM3948">
        <v>94.801613479937799</v>
      </c>
      <c r="AN3948">
        <v>0.99999996707789696</v>
      </c>
    </row>
    <row r="3949" spans="1:40" x14ac:dyDescent="0.25">
      <c r="A3949" t="str">
        <f>"20190305135012037"</f>
        <v>20190305135012037</v>
      </c>
      <c r="B3949" t="str">
        <f>"1551765012034320"</f>
        <v>1551765012034320</v>
      </c>
      <c r="C3949" t="s">
        <v>40</v>
      </c>
      <c r="D3949">
        <v>3.97681</v>
      </c>
      <c r="E3949">
        <v>0.58789219999999998</v>
      </c>
      <c r="F3949" t="s">
        <v>78</v>
      </c>
      <c r="G3949">
        <v>-313.42239999999998</v>
      </c>
      <c r="H3949" s="1">
        <v>2.423331E-6</v>
      </c>
      <c r="I3949">
        <v>211.92830000000001</v>
      </c>
      <c r="J3949">
        <v>-335.10300000000001</v>
      </c>
      <c r="K3949">
        <v>1.108449</v>
      </c>
      <c r="L3949">
        <v>215.11529999999999</v>
      </c>
      <c r="M3949">
        <v>0.99991350000000001</v>
      </c>
      <c r="N3949">
        <v>-1.312027E-2</v>
      </c>
      <c r="O3949">
        <v>9.0406459999999998E-4</v>
      </c>
      <c r="P3949">
        <v>0.99519060000000004</v>
      </c>
      <c r="Q3949">
        <v>-4.9425810000000001E-2</v>
      </c>
      <c r="R3949">
        <v>8.4574650000000001E-2</v>
      </c>
      <c r="S3949">
        <v>3.044556</v>
      </c>
      <c r="T3949">
        <v>-0.153630399999999</v>
      </c>
      <c r="U3949">
        <v>-0.44169619999999998</v>
      </c>
      <c r="V3949">
        <v>-8.3736920000000006E-2</v>
      </c>
      <c r="W3949">
        <v>-3.6220830000000002E-2</v>
      </c>
      <c r="X3949">
        <v>0.99582939999999998</v>
      </c>
      <c r="Y3949">
        <v>0.14424110000000001</v>
      </c>
      <c r="Z3949">
        <v>-4.6035499999999997E-3</v>
      </c>
      <c r="AA3949">
        <v>0.98953190000000002</v>
      </c>
      <c r="AB3949">
        <v>50</v>
      </c>
      <c r="AC3949">
        <v>21.680599999999998</v>
      </c>
      <c r="AD3949">
        <v>-1.1084465766689999</v>
      </c>
      <c r="AE3949">
        <v>-3.1869999999999798</v>
      </c>
      <c r="AF3949">
        <v>3.19841757461406</v>
      </c>
      <c r="AG3949">
        <v>-1.1084465766689999</v>
      </c>
      <c r="AH3949">
        <v>21.6223865839194</v>
      </c>
      <c r="AI3949">
        <v>92.903098516248306</v>
      </c>
      <c r="AJ3949">
        <v>81.5857340308267</v>
      </c>
      <c r="AK3949">
        <v>21.885751766375002</v>
      </c>
      <c r="AL3949">
        <v>92.075754724106503</v>
      </c>
      <c r="AM3949">
        <v>94.8065581565386</v>
      </c>
      <c r="AN3949">
        <v>1.0000000071006601</v>
      </c>
    </row>
    <row r="3950" spans="1:40" x14ac:dyDescent="0.25">
      <c r="A3950" t="str">
        <f>"20190305135012055"</f>
        <v>20190305135012055</v>
      </c>
      <c r="B3950" t="str">
        <f>"1551765012044080"</f>
        <v>1551765012044080</v>
      </c>
      <c r="C3950" t="s">
        <v>40</v>
      </c>
      <c r="D3950">
        <v>3.9514800000000001</v>
      </c>
      <c r="E3950">
        <v>0.58814449999999996</v>
      </c>
      <c r="F3950" t="s">
        <v>78</v>
      </c>
      <c r="G3950">
        <v>-313.24099999999999</v>
      </c>
      <c r="H3950" s="1">
        <v>2.3428959999999999E-6</v>
      </c>
      <c r="I3950">
        <v>211.917</v>
      </c>
      <c r="J3950">
        <v>-334.67689999999999</v>
      </c>
      <c r="K3950">
        <v>1.108466</v>
      </c>
      <c r="L3950">
        <v>215.11539999999999</v>
      </c>
      <c r="M3950">
        <v>0.99991110000000005</v>
      </c>
      <c r="N3950">
        <v>-1.33299E-2</v>
      </c>
      <c r="O3950">
        <v>4.9416620000000005E-4</v>
      </c>
      <c r="P3950">
        <v>0.99521230000000005</v>
      </c>
      <c r="Q3950">
        <v>-4.9576969999999998E-2</v>
      </c>
      <c r="R3950">
        <v>8.4231440000000005E-2</v>
      </c>
      <c r="S3950">
        <v>3.044708</v>
      </c>
      <c r="T3950">
        <v>-0.15437290000000001</v>
      </c>
      <c r="U3950">
        <v>-0.44541930000000002</v>
      </c>
      <c r="V3950">
        <v>-8.3801199999999895E-2</v>
      </c>
      <c r="W3950">
        <v>-3.6164580000000002E-2</v>
      </c>
      <c r="X3950">
        <v>0.99582599999999999</v>
      </c>
      <c r="Y3950">
        <v>0.14500959999999999</v>
      </c>
      <c r="Z3950">
        <v>-4.6451410000000002E-3</v>
      </c>
      <c r="AA3950">
        <v>0.9894193</v>
      </c>
      <c r="AB3950">
        <v>50</v>
      </c>
      <c r="AC3950">
        <v>21.4359</v>
      </c>
      <c r="AD3950">
        <v>-1.1084636571040001</v>
      </c>
      <c r="AE3950">
        <v>-3.1983999999999901</v>
      </c>
      <c r="AF3950">
        <v>3.2006214095408301</v>
      </c>
      <c r="AG3950">
        <v>-1.1084636571040001</v>
      </c>
      <c r="AH3950">
        <v>21.378396079951301</v>
      </c>
      <c r="AI3950">
        <v>92.935454609247799</v>
      </c>
      <c r="AJ3950">
        <v>81.485323407970697</v>
      </c>
      <c r="AK3950">
        <v>21.645056896150798</v>
      </c>
      <c r="AL3950">
        <v>92.072529800278801</v>
      </c>
      <c r="AM3950">
        <v>94.810246913501004</v>
      </c>
      <c r="AN3950">
        <v>0.99999997012200703</v>
      </c>
    </row>
    <row r="3951" spans="1:40" x14ac:dyDescent="0.25">
      <c r="A3951" t="str">
        <f>"20190305135012078"</f>
        <v>20190305135012078</v>
      </c>
      <c r="B3951" t="str">
        <f>"1551765012074337"</f>
        <v>1551765012074337</v>
      </c>
      <c r="C3951" t="s">
        <v>40</v>
      </c>
      <c r="D3951">
        <v>3.9824280000000001</v>
      </c>
      <c r="E3951">
        <v>0.58832759999999995</v>
      </c>
      <c r="F3951" t="s">
        <v>78</v>
      </c>
      <c r="G3951">
        <v>-312.89330000000001</v>
      </c>
      <c r="H3951" s="1">
        <v>2.1887010000000001E-6</v>
      </c>
      <c r="I3951">
        <v>211.90700000000001</v>
      </c>
      <c r="J3951">
        <v>-334.17590000000001</v>
      </c>
      <c r="K3951">
        <v>1.108492</v>
      </c>
      <c r="L3951">
        <v>215.11529999999999</v>
      </c>
      <c r="M3951">
        <v>0.99990829999999997</v>
      </c>
      <c r="N3951">
        <v>-1.3547750000000001E-2</v>
      </c>
      <c r="O3951" s="1">
        <v>1.7543039999999899E-5</v>
      </c>
      <c r="P3951">
        <v>0.99524659999999998</v>
      </c>
      <c r="Q3951">
        <v>-4.9327349999999999E-2</v>
      </c>
      <c r="R3951">
        <v>8.3971399999999904E-2</v>
      </c>
      <c r="S3951">
        <v>3.0446780000000002</v>
      </c>
      <c r="T3951">
        <v>-0.15492929999999999</v>
      </c>
      <c r="U3951">
        <v>-0.44844060000000002</v>
      </c>
      <c r="V3951">
        <v>-8.4013889999999994E-2</v>
      </c>
      <c r="W3951">
        <v>-3.5699649999999999E-2</v>
      </c>
      <c r="X3951">
        <v>0.99582490000000001</v>
      </c>
      <c r="Y3951">
        <v>0.14549770000000001</v>
      </c>
      <c r="Z3951">
        <v>-4.6720039999999996E-3</v>
      </c>
      <c r="AA3951">
        <v>0.98934759999999999</v>
      </c>
      <c r="AB3951">
        <v>50</v>
      </c>
      <c r="AC3951">
        <v>21.282599999999999</v>
      </c>
      <c r="AD3951">
        <v>-1.108489811299</v>
      </c>
      <c r="AE3951">
        <v>-3.2082999999999799</v>
      </c>
      <c r="AF3951">
        <v>3.2001849076197102</v>
      </c>
      <c r="AG3951">
        <v>-1.108489811299</v>
      </c>
      <c r="AH3951">
        <v>21.226241122471102</v>
      </c>
      <c r="AI3951">
        <v>92.956072721020504</v>
      </c>
      <c r="AJ3951">
        <v>81.426344291640802</v>
      </c>
      <c r="AK3951">
        <v>21.494725987878802</v>
      </c>
      <c r="AL3951">
        <v>92.045873967033799</v>
      </c>
      <c r="AM3951">
        <v>94.822403265283796</v>
      </c>
      <c r="AN3951">
        <v>1.00000001509153</v>
      </c>
    </row>
    <row r="3952" spans="1:40" x14ac:dyDescent="0.25">
      <c r="A3952" t="str">
        <f>"20190305135012133"</f>
        <v>20190305135012133</v>
      </c>
      <c r="B3952" t="str">
        <f>"1551765012124112"</f>
        <v>1551765012124112</v>
      </c>
      <c r="C3952" t="s">
        <v>40</v>
      </c>
      <c r="D3952">
        <v>3.9474360000000002</v>
      </c>
      <c r="E3952">
        <v>0.58832759999999995</v>
      </c>
      <c r="F3952" t="s">
        <v>78</v>
      </c>
      <c r="G3952">
        <v>-311.23590000000002</v>
      </c>
      <c r="H3952" s="1">
        <v>1.453716E-6</v>
      </c>
      <c r="I3952">
        <v>211.7217</v>
      </c>
      <c r="J3952">
        <v>-332.91969999999998</v>
      </c>
      <c r="K3952">
        <v>1.108538</v>
      </c>
      <c r="L3952">
        <v>215.11410000000001</v>
      </c>
      <c r="M3952">
        <v>0.9999017</v>
      </c>
      <c r="N3952">
        <v>-1.398132E-2</v>
      </c>
      <c r="O3952">
        <v>-1.1471459999999999E-3</v>
      </c>
      <c r="P3952">
        <v>0.99534679999999998</v>
      </c>
      <c r="Q3952">
        <v>-4.8702639999999998E-2</v>
      </c>
      <c r="R3952">
        <v>8.3144750000000003E-2</v>
      </c>
      <c r="S3952">
        <v>3.0450439999999999</v>
      </c>
      <c r="T3952">
        <v>-0.1471404</v>
      </c>
      <c r="U3952">
        <v>-0.45046999999999998</v>
      </c>
      <c r="V3952">
        <v>-8.434229E-2</v>
      </c>
      <c r="W3952">
        <v>-3.464772E-2</v>
      </c>
      <c r="X3952">
        <v>0.99583429999999995</v>
      </c>
      <c r="Y3952">
        <v>0.14499409999999999</v>
      </c>
      <c r="Z3952">
        <v>-4.4629279999999997E-3</v>
      </c>
      <c r="AA3952">
        <v>0.98942240000000004</v>
      </c>
      <c r="AB3952">
        <v>50</v>
      </c>
      <c r="AC3952">
        <v>21.683799999999898</v>
      </c>
      <c r="AD3952">
        <v>-1.108536546284</v>
      </c>
      <c r="AE3952">
        <v>-3.3923999999999999</v>
      </c>
      <c r="AF3952">
        <v>3.3589518338474198</v>
      </c>
      <c r="AG3952">
        <v>-1.108536546284</v>
      </c>
      <c r="AH3952">
        <v>21.632491052150201</v>
      </c>
      <c r="AI3952">
        <v>92.898825409489504</v>
      </c>
      <c r="AJ3952">
        <v>81.173966880528994</v>
      </c>
      <c r="AK3952">
        <v>21.919764593122601</v>
      </c>
      <c r="AL3952">
        <v>91.985565488608103</v>
      </c>
      <c r="AM3952">
        <v>94.841118551842698</v>
      </c>
      <c r="AN3952">
        <v>1.00000001972006</v>
      </c>
    </row>
    <row r="3953" spans="1:40" x14ac:dyDescent="0.25">
      <c r="A3953" t="str">
        <f>"20190305135012146"</f>
        <v>20190305135012146</v>
      </c>
      <c r="B3953" t="str">
        <f>"1551765012144608"</f>
        <v>1551765012144608</v>
      </c>
      <c r="C3953" t="s">
        <v>40</v>
      </c>
      <c r="D3953">
        <v>3.8712879999999998</v>
      </c>
      <c r="E3953">
        <v>0.52872450000000004</v>
      </c>
      <c r="F3953" t="s">
        <v>78</v>
      </c>
      <c r="G3953">
        <v>-309.75749999999999</v>
      </c>
      <c r="H3953" s="1">
        <v>9.2243820000000003E-7</v>
      </c>
      <c r="I3953">
        <v>211.66800000000001</v>
      </c>
      <c r="J3953">
        <v>-332.61770000000001</v>
      </c>
      <c r="K3953">
        <v>1.108552</v>
      </c>
      <c r="L3953">
        <v>215.11359999999999</v>
      </c>
      <c r="M3953">
        <v>0.99990020000000002</v>
      </c>
      <c r="N3953">
        <v>-1.406483E-2</v>
      </c>
      <c r="O3953">
        <v>-1.420305E-3</v>
      </c>
      <c r="P3953">
        <v>0.99534409999999895</v>
      </c>
      <c r="Q3953">
        <v>-4.8905469999999999E-2</v>
      </c>
      <c r="R3953">
        <v>8.3057539999999999E-2</v>
      </c>
      <c r="S3953">
        <v>3.0447389999999999</v>
      </c>
      <c r="T3953">
        <v>-0.14572019999999999</v>
      </c>
      <c r="U3953">
        <v>-0.45300289999999999</v>
      </c>
      <c r="V3953">
        <v>-8.4526669999999998E-2</v>
      </c>
      <c r="W3953">
        <v>-3.4768630000000002E-2</v>
      </c>
      <c r="X3953">
        <v>0.99581439999999999</v>
      </c>
      <c r="Y3953">
        <v>0.14554619999999999</v>
      </c>
      <c r="Z3953">
        <v>-4.444122E-3</v>
      </c>
      <c r="AA3953">
        <v>0.98934149999999998</v>
      </c>
      <c r="AB3953">
        <v>50</v>
      </c>
      <c r="AC3953">
        <v>22.860199999999999</v>
      </c>
      <c r="AD3953">
        <v>-1.1085510775617999</v>
      </c>
      <c r="AE3953">
        <v>-3.4455999999999798</v>
      </c>
      <c r="AF3953">
        <v>3.4052950676920601</v>
      </c>
      <c r="AG3953">
        <v>-1.1085510775617999</v>
      </c>
      <c r="AH3953">
        <v>22.812618191079501</v>
      </c>
      <c r="AI3953">
        <v>92.751590117415603</v>
      </c>
      <c r="AJ3953">
        <v>81.510007830251496</v>
      </c>
      <c r="AK3953">
        <v>23.092000102234199</v>
      </c>
      <c r="AL3953">
        <v>91.992497401931203</v>
      </c>
      <c r="AM3953">
        <v>94.8517477110301</v>
      </c>
      <c r="AN3953">
        <v>0.99999996741036201</v>
      </c>
    </row>
    <row r="3954" spans="1:40" x14ac:dyDescent="0.25">
      <c r="A3954" t="str">
        <f>"20190305135012167"</f>
        <v>20190305135012167</v>
      </c>
      <c r="B3954" t="str">
        <f>"1551765012164129"</f>
        <v>1551765012164129</v>
      </c>
      <c r="C3954" t="s">
        <v>40</v>
      </c>
      <c r="D3954">
        <v>3.8776060000000001</v>
      </c>
      <c r="E3954">
        <v>0.52913900000000003</v>
      </c>
      <c r="F3954" t="s">
        <v>43</v>
      </c>
      <c r="G3954">
        <v>-93.819209999999998</v>
      </c>
      <c r="H3954">
        <v>-0.05</v>
      </c>
      <c r="I3954">
        <v>217.161</v>
      </c>
      <c r="J3954">
        <v>-332.1816</v>
      </c>
      <c r="K3954">
        <v>1.1085659999999999</v>
      </c>
      <c r="L3954">
        <v>215.11269999999999</v>
      </c>
      <c r="M3954">
        <v>0.99989799999999995</v>
      </c>
      <c r="N3954">
        <v>-1.4172550000000001E-2</v>
      </c>
      <c r="O3954">
        <v>-1.8101980000000001E-3</v>
      </c>
      <c r="P3954">
        <v>0.99538450000000001</v>
      </c>
      <c r="Q3954">
        <v>-4.9131929999999997E-2</v>
      </c>
      <c r="R3954">
        <v>8.2438940000000002E-2</v>
      </c>
      <c r="S3954">
        <v>3.0112000000000001</v>
      </c>
      <c r="T3954">
        <v>-1.46091E-2</v>
      </c>
      <c r="U3954">
        <v>2.581787E-2</v>
      </c>
      <c r="V3954">
        <v>-8.4295519999999999E-2</v>
      </c>
      <c r="W3954">
        <v>-3.4889650000000001E-2</v>
      </c>
      <c r="X3954">
        <v>0.99582979999999999</v>
      </c>
      <c r="Y3954">
        <v>-1.0383369999999999E-2</v>
      </c>
      <c r="Z3954" s="1">
        <v>8.189944E-5</v>
      </c>
      <c r="AA3954">
        <v>0.99994609999999995</v>
      </c>
      <c r="AB3954">
        <v>50</v>
      </c>
      <c r="AC3954">
        <v>238.36239</v>
      </c>
      <c r="AD3954">
        <v>-1.158566</v>
      </c>
      <c r="AE3954">
        <v>2.0482999999999798</v>
      </c>
      <c r="AF3954">
        <v>-2.4797644942939199</v>
      </c>
      <c r="AG3954">
        <v>-1.158566</v>
      </c>
      <c r="AH3954">
        <v>238.35266059397</v>
      </c>
      <c r="AI3954">
        <v>90.278481587076698</v>
      </c>
      <c r="AJ3954">
        <v>90.596070182401505</v>
      </c>
      <c r="AK3954">
        <v>238.36837525004901</v>
      </c>
      <c r="AL3954">
        <v>91.999435468773498</v>
      </c>
      <c r="AM3954">
        <v>94.838468533742002</v>
      </c>
      <c r="AN3954">
        <v>1.0000000064686101</v>
      </c>
    </row>
    <row r="3955" spans="1:40" x14ac:dyDescent="0.25">
      <c r="A3955" t="str">
        <f>"20190305135012182"</f>
        <v>20190305135012182</v>
      </c>
      <c r="B3955" t="str">
        <f>"1551765012173888"</f>
        <v>1551765012173888</v>
      </c>
      <c r="C3955" t="s">
        <v>40</v>
      </c>
      <c r="D3955">
        <v>3.863683</v>
      </c>
      <c r="E3955">
        <v>0.52943370000000001</v>
      </c>
      <c r="F3955" t="s">
        <v>62</v>
      </c>
      <c r="G3955">
        <v>-198.8758</v>
      </c>
      <c r="H3955" s="1">
        <v>2.2681200000000001E-6</v>
      </c>
      <c r="I3955">
        <v>216.01249999999999</v>
      </c>
      <c r="J3955">
        <v>-331.8322</v>
      </c>
      <c r="K3955">
        <v>1.1085769999999999</v>
      </c>
      <c r="L3955">
        <v>215.11189999999999</v>
      </c>
      <c r="M3955">
        <v>0.99989629999999996</v>
      </c>
      <c r="N3955">
        <v>-1.4249100000000001E-2</v>
      </c>
      <c r="O3955">
        <v>-2.1196639999999998E-3</v>
      </c>
      <c r="P3955">
        <v>0.99540130000000004</v>
      </c>
      <c r="Q3955">
        <v>-4.9209870000000003E-2</v>
      </c>
      <c r="R3955">
        <v>8.2190540000000006E-2</v>
      </c>
      <c r="S3955">
        <v>3.0109859999999999</v>
      </c>
      <c r="T3955">
        <v>-2.5039200000000001E-2</v>
      </c>
      <c r="U3955">
        <v>2.0324709999999999E-2</v>
      </c>
      <c r="V3955">
        <v>-8.4354879999999993E-2</v>
      </c>
      <c r="W3955">
        <v>-3.4892560000000003E-2</v>
      </c>
      <c r="X3955">
        <v>0.99582470000000001</v>
      </c>
      <c r="Y3955">
        <v>-8.8689759999999902E-3</v>
      </c>
      <c r="Z3955" s="1">
        <v>8.7491949999999897E-5</v>
      </c>
      <c r="AA3955">
        <v>0.99996070000000004</v>
      </c>
      <c r="AB3955">
        <v>50</v>
      </c>
      <c r="AC3955">
        <v>132.9564</v>
      </c>
      <c r="AD3955">
        <v>-1.1085747318799899</v>
      </c>
      <c r="AE3955">
        <v>0.90059999999999696</v>
      </c>
      <c r="AF3955">
        <v>-1.1823672710867399</v>
      </c>
      <c r="AG3955">
        <v>-1.1085747318799899</v>
      </c>
      <c r="AH3955">
        <v>132.944950146129</v>
      </c>
      <c r="AI3955">
        <v>90.477736608876398</v>
      </c>
      <c r="AJ3955">
        <v>90.509555784860396</v>
      </c>
      <c r="AK3955">
        <v>132.95482954619001</v>
      </c>
      <c r="AL3955">
        <v>91.999602244343805</v>
      </c>
      <c r="AM3955">
        <v>94.841884217984102</v>
      </c>
      <c r="AN3955">
        <v>1.00000003482662</v>
      </c>
    </row>
    <row r="3956" spans="1:40" x14ac:dyDescent="0.25">
      <c r="A3956" t="str">
        <f>"20190305135012202"</f>
        <v>20190305135012202</v>
      </c>
      <c r="B3956" t="str">
        <f>"1551765012194385"</f>
        <v>1551765012194385</v>
      </c>
      <c r="C3956" t="s">
        <v>40</v>
      </c>
      <c r="D3956">
        <v>3.8639100000000002</v>
      </c>
      <c r="E3956">
        <v>0.5304179</v>
      </c>
      <c r="F3956" t="s">
        <v>62</v>
      </c>
      <c r="G3956">
        <v>-199.29310000000001</v>
      </c>
      <c r="H3956" s="1">
        <v>2.2064920000000002E-6</v>
      </c>
      <c r="I3956">
        <v>215.8708</v>
      </c>
      <c r="J3956">
        <v>-331.3929</v>
      </c>
      <c r="K3956">
        <v>1.1085910000000001</v>
      </c>
      <c r="L3956">
        <v>215.11070000000001</v>
      </c>
      <c r="M3956">
        <v>0.99989410000000001</v>
      </c>
      <c r="N3956">
        <v>-1.43356E-2</v>
      </c>
      <c r="O3956">
        <v>-2.5065560000000001E-3</v>
      </c>
      <c r="P3956">
        <v>0.99543859999999995</v>
      </c>
      <c r="Q3956">
        <v>-4.9415489999999999E-2</v>
      </c>
      <c r="R3956">
        <v>8.1610660000000002E-2</v>
      </c>
      <c r="S3956">
        <v>3.0112000000000001</v>
      </c>
      <c r="T3956">
        <v>-2.518606E-2</v>
      </c>
      <c r="U3956">
        <v>1.724243E-2</v>
      </c>
      <c r="V3956">
        <v>-8.4159819999999996E-2</v>
      </c>
      <c r="W3956">
        <v>-3.5013610000000001E-2</v>
      </c>
      <c r="X3956">
        <v>0.99583690000000002</v>
      </c>
      <c r="Y3956">
        <v>-8.2319349999999993E-3</v>
      </c>
      <c r="Z3956" s="1">
        <v>7.8466449999999995E-5</v>
      </c>
      <c r="AA3956">
        <v>0.99996609999999997</v>
      </c>
      <c r="AB3956">
        <v>50</v>
      </c>
      <c r="AC3956">
        <v>132.09979999999999</v>
      </c>
      <c r="AD3956">
        <v>-1.1085887935080001</v>
      </c>
      <c r="AE3956">
        <v>0.760099999999994</v>
      </c>
      <c r="AF3956">
        <v>-1.0911703415018801</v>
      </c>
      <c r="AG3956">
        <v>-1.1085887935080001</v>
      </c>
      <c r="AH3956">
        <v>132.08817729355201</v>
      </c>
      <c r="AI3956">
        <v>90.480843948615103</v>
      </c>
      <c r="AJ3956">
        <v>90.4733052909679</v>
      </c>
      <c r="AK3956">
        <v>132.097336091838</v>
      </c>
      <c r="AL3956">
        <v>92.006542249278596</v>
      </c>
      <c r="AM3956">
        <v>94.830682116325704</v>
      </c>
      <c r="AN3956">
        <v>0.99999997979463695</v>
      </c>
    </row>
    <row r="3957" spans="1:40" x14ac:dyDescent="0.25">
      <c r="A3957" t="str">
        <f>"20190305135012223"</f>
        <v>20190305135012223</v>
      </c>
      <c r="B3957" t="str">
        <f>"1551765012213904"</f>
        <v>1551765012213904</v>
      </c>
      <c r="C3957" t="s">
        <v>40</v>
      </c>
      <c r="D3957">
        <v>3.8550270000000002</v>
      </c>
      <c r="E3957">
        <v>0.53104629999999997</v>
      </c>
      <c r="F3957" t="s">
        <v>74</v>
      </c>
      <c r="G3957">
        <v>-210.02889999999999</v>
      </c>
      <c r="H3957" s="1">
        <v>-1.556354E-6</v>
      </c>
      <c r="I3957">
        <v>215.41560000000001</v>
      </c>
      <c r="J3957">
        <v>-330.92349999999999</v>
      </c>
      <c r="K3957">
        <v>1.1086020000000001</v>
      </c>
      <c r="L3957">
        <v>215.10919999999999</v>
      </c>
      <c r="M3957">
        <v>0.9998918</v>
      </c>
      <c r="N3957">
        <v>-1.441653E-2</v>
      </c>
      <c r="O3957">
        <v>-2.9168919999999999E-3</v>
      </c>
      <c r="P3957">
        <v>0.99548049999999999</v>
      </c>
      <c r="Q3957">
        <v>-4.951175E-2</v>
      </c>
      <c r="R3957">
        <v>8.1037689999999996E-2</v>
      </c>
      <c r="S3957">
        <v>3.011749</v>
      </c>
      <c r="T3957">
        <v>-2.7510639999999999E-2</v>
      </c>
      <c r="U3957">
        <v>7.5683590000000002E-3</v>
      </c>
      <c r="V3957">
        <v>-8.3995E-2</v>
      </c>
      <c r="W3957">
        <v>-3.5030720000000001E-2</v>
      </c>
      <c r="X3957">
        <v>0.99585020000000002</v>
      </c>
      <c r="Y3957">
        <v>-5.429489E-3</v>
      </c>
      <c r="Z3957" s="1">
        <v>4.8527979999999999E-5</v>
      </c>
      <c r="AA3957">
        <v>0.99998529999999997</v>
      </c>
      <c r="AB3957">
        <v>50</v>
      </c>
      <c r="AC3957">
        <v>120.8946</v>
      </c>
      <c r="AD3957">
        <v>-1.108603556354</v>
      </c>
      <c r="AE3957">
        <v>0.30640000000002399</v>
      </c>
      <c r="AF3957">
        <v>-0.65901643098438401</v>
      </c>
      <c r="AG3957">
        <v>-1.108603556354</v>
      </c>
      <c r="AH3957">
        <v>120.88302690523901</v>
      </c>
      <c r="AI3957">
        <v>90.525430096369504</v>
      </c>
      <c r="AJ3957">
        <v>90.312355564075801</v>
      </c>
      <c r="AK3957">
        <v>120.889906519421</v>
      </c>
      <c r="AL3957">
        <v>92.007523209347696</v>
      </c>
      <c r="AM3957">
        <v>94.821202179315193</v>
      </c>
      <c r="AN3957">
        <v>0.99999996610437802</v>
      </c>
    </row>
    <row r="3958" spans="1:40" x14ac:dyDescent="0.25">
      <c r="A3958" t="str">
        <f>"20190305135012237"</f>
        <v>20190305135012237</v>
      </c>
      <c r="B3958" t="str">
        <f>"1551765012234401"</f>
        <v>1551765012234401</v>
      </c>
      <c r="C3958" t="s">
        <v>40</v>
      </c>
      <c r="D3958">
        <v>3.8554499999999998</v>
      </c>
      <c r="E3958">
        <v>0.53134419999999905</v>
      </c>
      <c r="F3958" t="s">
        <v>62</v>
      </c>
      <c r="G3958">
        <v>-185.33410000000001</v>
      </c>
      <c r="H3958" s="1">
        <v>3.1041379999999998E-6</v>
      </c>
      <c r="I3958">
        <v>215.16300000000001</v>
      </c>
      <c r="J3958">
        <v>-330.62310000000002</v>
      </c>
      <c r="K3958">
        <v>1.108611</v>
      </c>
      <c r="L3958">
        <v>215.10820000000001</v>
      </c>
      <c r="M3958">
        <v>0.99989050000000002</v>
      </c>
      <c r="N3958">
        <v>-1.4462569999999999E-2</v>
      </c>
      <c r="O3958">
        <v>-3.1783549999999999E-3</v>
      </c>
      <c r="P3958">
        <v>0.99550590000000005</v>
      </c>
      <c r="Q3958">
        <v>-4.9452200000000002E-2</v>
      </c>
      <c r="R3958">
        <v>8.0763299999999996E-2</v>
      </c>
      <c r="S3958">
        <v>3.0123899999999999</v>
      </c>
      <c r="T3958">
        <v>-2.2938010000000002E-2</v>
      </c>
      <c r="U3958">
        <v>1.113892E-3</v>
      </c>
      <c r="V3958">
        <v>-8.3980589999999994E-2</v>
      </c>
      <c r="W3958">
        <v>-3.4926110000000003E-2</v>
      </c>
      <c r="X3958">
        <v>0.99585520000000005</v>
      </c>
      <c r="Y3958">
        <v>-3.5480820000000001E-3</v>
      </c>
      <c r="Z3958" s="1">
        <v>1.7399100000000001E-5</v>
      </c>
      <c r="AA3958">
        <v>0.99999369999999999</v>
      </c>
      <c r="AB3958">
        <v>50</v>
      </c>
      <c r="AC3958">
        <v>145.28899999999999</v>
      </c>
      <c r="AD3958">
        <v>-1.108607895862</v>
      </c>
      <c r="AE3958">
        <v>5.4799999999971698E-2</v>
      </c>
      <c r="AF3958">
        <v>-0.51659790241653702</v>
      </c>
      <c r="AG3958">
        <v>-1.108607895862</v>
      </c>
      <c r="AH3958">
        <v>145.27963326758899</v>
      </c>
      <c r="AI3958">
        <v>90.437204567085303</v>
      </c>
      <c r="AJ3958">
        <v>90.2037364363905</v>
      </c>
      <c r="AK3958">
        <v>145.284781471511</v>
      </c>
      <c r="AL3958">
        <v>92.001525607584995</v>
      </c>
      <c r="AM3958">
        <v>94.820354873909906</v>
      </c>
      <c r="AN3958">
        <v>1.00000007601175</v>
      </c>
    </row>
    <row r="3959" spans="1:40" x14ac:dyDescent="0.25">
      <c r="A3959" t="str">
        <f>"20190305135012256"</f>
        <v>20190305135012256</v>
      </c>
      <c r="B3959" t="str">
        <f>"1551765012244160"</f>
        <v>1551765012244160</v>
      </c>
      <c r="C3959" t="s">
        <v>40</v>
      </c>
      <c r="D3959">
        <v>3.8485019999999999</v>
      </c>
      <c r="E3959">
        <v>0.53132679999999999</v>
      </c>
      <c r="F3959" t="s">
        <v>62</v>
      </c>
      <c r="G3959">
        <v>-179.14269999999999</v>
      </c>
      <c r="H3959">
        <v>7.9980529999999994E-2</v>
      </c>
      <c r="I3959">
        <v>215</v>
      </c>
      <c r="J3959">
        <v>-330.19580000000002</v>
      </c>
      <c r="K3959">
        <v>1.108619</v>
      </c>
      <c r="L3959">
        <v>215.10659999999999</v>
      </c>
      <c r="M3959">
        <v>0.9998882</v>
      </c>
      <c r="N3959">
        <v>-1.452108E-2</v>
      </c>
      <c r="O3959">
        <v>-3.548842E-3</v>
      </c>
      <c r="P3959">
        <v>0.9955503</v>
      </c>
      <c r="Q3959">
        <v>-4.9126690000000001E-2</v>
      </c>
      <c r="R3959">
        <v>8.0410159999999994E-2</v>
      </c>
      <c r="S3959">
        <v>3.0126949999999999</v>
      </c>
      <c r="T3959">
        <v>-2.0457739999999999E-2</v>
      </c>
      <c r="U3959">
        <v>-2.1514889999999999E-3</v>
      </c>
      <c r="V3959">
        <v>-8.3995009999999995E-2</v>
      </c>
      <c r="W3959">
        <v>-3.4543230000000001E-2</v>
      </c>
      <c r="X3959">
        <v>0.99586730000000001</v>
      </c>
      <c r="Y3959">
        <v>-2.8347680000000001E-3</v>
      </c>
      <c r="Z3959" s="1">
        <v>2.770042E-6</v>
      </c>
      <c r="AA3959">
        <v>0.999996</v>
      </c>
      <c r="AB3959">
        <v>50</v>
      </c>
      <c r="AC3959">
        <v>151.0531</v>
      </c>
      <c r="AD3959">
        <v>-1.02863847</v>
      </c>
      <c r="AE3959">
        <v>-0.106599999999986</v>
      </c>
      <c r="AF3959">
        <v>-0.42950090148780201</v>
      </c>
      <c r="AG3959">
        <v>-1.02863847</v>
      </c>
      <c r="AH3959">
        <v>151.04552249283699</v>
      </c>
      <c r="AI3959">
        <v>90.390183652287206</v>
      </c>
      <c r="AJ3959">
        <v>90.162921232098796</v>
      </c>
      <c r="AK3959">
        <v>151.04963566079999</v>
      </c>
      <c r="AL3959">
        <v>91.979575030982801</v>
      </c>
      <c r="AM3959">
        <v>94.821120356114804</v>
      </c>
      <c r="AN3959">
        <v>1.0000000378265099</v>
      </c>
    </row>
    <row r="3960" spans="1:40" x14ac:dyDescent="0.25">
      <c r="A3960" t="str">
        <f>"20190305135012278"</f>
        <v>20190305135012278</v>
      </c>
      <c r="B3960" t="str">
        <f>"1551765012273949"</f>
        <v>1551765012273949</v>
      </c>
      <c r="C3960" t="s">
        <v>40</v>
      </c>
      <c r="D3960">
        <v>4.0659739999999998</v>
      </c>
      <c r="E3960">
        <v>0.53161420000000004</v>
      </c>
      <c r="F3960" t="s">
        <v>43</v>
      </c>
      <c r="G3960">
        <v>-144.5762</v>
      </c>
      <c r="H3960">
        <v>-0.05</v>
      </c>
      <c r="I3960">
        <v>214.91569999999999</v>
      </c>
      <c r="J3960">
        <v>-329.6857</v>
      </c>
      <c r="K3960">
        <v>1.1086400000000001</v>
      </c>
      <c r="L3960">
        <v>215.1044</v>
      </c>
      <c r="M3960">
        <v>0.99988580000000005</v>
      </c>
      <c r="N3960">
        <v>-1.4581119999999999E-2</v>
      </c>
      <c r="O3960">
        <v>-3.9900209999999998E-3</v>
      </c>
      <c r="P3960">
        <v>0.99557050000000002</v>
      </c>
      <c r="Q3960">
        <v>-4.8483569999999997E-2</v>
      </c>
      <c r="R3960">
        <v>8.0554109999999998E-2</v>
      </c>
      <c r="S3960">
        <v>3.0127869999999999</v>
      </c>
      <c r="T3960">
        <v>-1.8805499999999999E-2</v>
      </c>
      <c r="U3960">
        <v>-3.0975339999999999E-3</v>
      </c>
      <c r="V3960">
        <v>-8.4576360000000003E-2</v>
      </c>
      <c r="W3960">
        <v>-3.3840950000000002E-2</v>
      </c>
      <c r="X3960">
        <v>0.99584220000000001</v>
      </c>
      <c r="Y3960">
        <v>-2.9619910000000002E-3</v>
      </c>
      <c r="Z3960" s="1">
        <v>-2.437401E-6</v>
      </c>
      <c r="AA3960">
        <v>0.99999559999999998</v>
      </c>
      <c r="AB3960">
        <v>50</v>
      </c>
      <c r="AC3960">
        <v>185.1095</v>
      </c>
      <c r="AD3960">
        <v>-1.1586399999999999</v>
      </c>
      <c r="AE3960">
        <v>-0.188700000000011</v>
      </c>
      <c r="AF3960">
        <v>-0.54994922442070404</v>
      </c>
      <c r="AG3960">
        <v>-1.1586399999999999</v>
      </c>
      <c r="AH3960">
        <v>185.101527325587</v>
      </c>
      <c r="AI3960">
        <v>90.3586357333362</v>
      </c>
      <c r="AJ3960">
        <v>90.170229156110807</v>
      </c>
      <c r="AK3960">
        <v>185.10597048464999</v>
      </c>
      <c r="AL3960">
        <v>91.939313827331205</v>
      </c>
      <c r="AM3960">
        <v>94.8544513681084</v>
      </c>
      <c r="AN3960">
        <v>1.0000000289342901</v>
      </c>
    </row>
    <row r="3961" spans="1:40" x14ac:dyDescent="0.25">
      <c r="A3961" t="str">
        <f>"20190305135012292"</f>
        <v>20190305135012292</v>
      </c>
      <c r="B3961" t="str">
        <f>"1551765012284685"</f>
        <v>1551765012284685</v>
      </c>
      <c r="C3961" t="s">
        <v>40</v>
      </c>
      <c r="D3961">
        <v>3.864563</v>
      </c>
      <c r="E3961">
        <v>0.53165220000000002</v>
      </c>
      <c r="F3961" t="s">
        <v>91</v>
      </c>
      <c r="G3961">
        <v>-107.39749999999999</v>
      </c>
      <c r="H3961">
        <v>0.1876756</v>
      </c>
      <c r="I3961">
        <v>214.76</v>
      </c>
      <c r="J3961">
        <v>-329.37979999999999</v>
      </c>
      <c r="K3961">
        <v>1.108649</v>
      </c>
      <c r="L3961">
        <v>215.10310000000001</v>
      </c>
      <c r="M3961">
        <v>0.9998842</v>
      </c>
      <c r="N3961">
        <v>-1.4613269999999999E-2</v>
      </c>
      <c r="O3961">
        <v>-4.2536559999999998E-3</v>
      </c>
      <c r="P3961">
        <v>0.99560400000000004</v>
      </c>
      <c r="Q3961">
        <v>-4.8014349999999997E-2</v>
      </c>
      <c r="R3961">
        <v>8.0420989999999998E-2</v>
      </c>
      <c r="S3961">
        <v>3.0131230000000002</v>
      </c>
      <c r="T3961">
        <v>-1.2482999999999999E-2</v>
      </c>
      <c r="U3961">
        <v>-4.6691889999999998E-3</v>
      </c>
      <c r="V3961">
        <v>-8.4705530000000001E-2</v>
      </c>
      <c r="W3961">
        <v>-3.3340040000000001E-2</v>
      </c>
      <c r="X3961">
        <v>0.99584810000000001</v>
      </c>
      <c r="Y3961">
        <v>-2.7041639999999998E-3</v>
      </c>
      <c r="Z3961" s="1">
        <v>-1.9180460000000001E-5</v>
      </c>
      <c r="AA3961">
        <v>0.99999640000000001</v>
      </c>
      <c r="AB3961">
        <v>50</v>
      </c>
      <c r="AC3961">
        <v>221.98230000000001</v>
      </c>
      <c r="AD3961">
        <v>-0.92097340000000005</v>
      </c>
      <c r="AE3961">
        <v>-0.343100000000021</v>
      </c>
      <c r="AF3961">
        <v>-0.60122990802064902</v>
      </c>
      <c r="AG3961">
        <v>-0.92097340000000005</v>
      </c>
      <c r="AH3961">
        <v>221.977930013975</v>
      </c>
      <c r="AI3961">
        <v>90.237714589631906</v>
      </c>
      <c r="AJ3961">
        <v>90.155185932257794</v>
      </c>
      <c r="AK3961">
        <v>221.98065474877501</v>
      </c>
      <c r="AL3961">
        <v>91.910597626787705</v>
      </c>
      <c r="AM3961">
        <v>94.861801195029798</v>
      </c>
      <c r="AN3961">
        <v>1.0000000116766901</v>
      </c>
    </row>
    <row r="3962" spans="1:40" x14ac:dyDescent="0.25">
      <c r="A3962" t="str">
        <f>"20190305135012312"</f>
        <v>20190305135012312</v>
      </c>
      <c r="B3962" t="str">
        <f>"1551765012304207"</f>
        <v>1551765012304207</v>
      </c>
      <c r="C3962" t="s">
        <v>40</v>
      </c>
      <c r="D3962">
        <v>3.8848980000000002</v>
      </c>
      <c r="E3962">
        <v>0.53130480000000002</v>
      </c>
      <c r="F3962" t="s">
        <v>91</v>
      </c>
      <c r="G3962">
        <v>-107.39749999999999</v>
      </c>
      <c r="H3962">
        <v>0.38489990000000002</v>
      </c>
      <c r="I3962">
        <v>214.6995</v>
      </c>
      <c r="J3962">
        <v>-328.93779999999998</v>
      </c>
      <c r="K3962">
        <v>1.1086560000000001</v>
      </c>
      <c r="L3962">
        <v>215.1009</v>
      </c>
      <c r="M3962">
        <v>0.99988200000000005</v>
      </c>
      <c r="N3962">
        <v>-1.465398E-2</v>
      </c>
      <c r="O3962">
        <v>-4.6346399999999998E-3</v>
      </c>
      <c r="P3962">
        <v>0.99562390000000001</v>
      </c>
      <c r="Q3962">
        <v>-4.7778370000000001E-2</v>
      </c>
      <c r="R3962">
        <v>8.0314780000000002E-2</v>
      </c>
      <c r="S3962">
        <v>3.0132140000000001</v>
      </c>
      <c r="T3962">
        <v>-9.8235609999999998E-3</v>
      </c>
      <c r="U3962">
        <v>-5.4779049999999999E-3</v>
      </c>
      <c r="V3962">
        <v>-8.4977449999999996E-2</v>
      </c>
      <c r="W3962">
        <v>-3.3064129999999997E-2</v>
      </c>
      <c r="X3962">
        <v>0.99583410000000006</v>
      </c>
      <c r="Y3962">
        <v>-2.8168080000000001E-3</v>
      </c>
      <c r="Z3962" s="1">
        <v>-2.7579050000000002E-5</v>
      </c>
      <c r="AA3962">
        <v>0.999996</v>
      </c>
      <c r="AB3962">
        <v>50</v>
      </c>
      <c r="AC3962">
        <v>221.5403</v>
      </c>
      <c r="AD3962">
        <v>-0.72375609999999901</v>
      </c>
      <c r="AE3962">
        <v>-0.40139999999999498</v>
      </c>
      <c r="AF3962">
        <v>-0.62546731333519301</v>
      </c>
      <c r="AG3962">
        <v>-0.72375609999999901</v>
      </c>
      <c r="AH3962">
        <v>221.53741627020199</v>
      </c>
      <c r="AI3962">
        <v>90.187182182699502</v>
      </c>
      <c r="AJ3962">
        <v>90.1617629322525</v>
      </c>
      <c r="AK3962">
        <v>221.539481447279</v>
      </c>
      <c r="AL3962">
        <v>91.894780489258906</v>
      </c>
      <c r="AM3962">
        <v>94.877401521206295</v>
      </c>
      <c r="AN3962">
        <v>0.99999997921198402</v>
      </c>
    </row>
    <row r="3963" spans="1:40" x14ac:dyDescent="0.25">
      <c r="A3963" t="str">
        <f>"20190305135012325"</f>
        <v>20190305135012325</v>
      </c>
      <c r="B3963" t="str">
        <f>"1551765012313964"</f>
        <v>1551765012313964</v>
      </c>
      <c r="C3963" t="s">
        <v>40</v>
      </c>
      <c r="D3963">
        <v>3.8733810000000002</v>
      </c>
      <c r="E3963">
        <v>0.53117630000000005</v>
      </c>
      <c r="F3963" t="s">
        <v>91</v>
      </c>
      <c r="G3963">
        <v>-107.39749999999999</v>
      </c>
      <c r="H3963">
        <v>0.20723920000000001</v>
      </c>
      <c r="I3963">
        <v>214.87200000000001</v>
      </c>
      <c r="J3963">
        <v>-328.64420000000001</v>
      </c>
      <c r="K3963">
        <v>1.1086640000000001</v>
      </c>
      <c r="L3963">
        <v>215.0994</v>
      </c>
      <c r="M3963">
        <v>0.9998804</v>
      </c>
      <c r="N3963">
        <v>-1.467794E-2</v>
      </c>
      <c r="O3963">
        <v>-4.8873759999999997E-3</v>
      </c>
      <c r="P3963">
        <v>0.99562030000000001</v>
      </c>
      <c r="Q3963">
        <v>-4.7910330000000001E-2</v>
      </c>
      <c r="R3963">
        <v>8.0281379999999999E-2</v>
      </c>
      <c r="S3963">
        <v>3.012848</v>
      </c>
      <c r="T3963">
        <v>-1.2258170000000001E-2</v>
      </c>
      <c r="U3963">
        <v>-3.112793E-3</v>
      </c>
      <c r="V3963">
        <v>-8.5196030000000006E-2</v>
      </c>
      <c r="W3963">
        <v>-3.3172750000000001E-2</v>
      </c>
      <c r="X3963">
        <v>0.99581180000000002</v>
      </c>
      <c r="Y3963">
        <v>-3.8543179999999998E-3</v>
      </c>
      <c r="Z3963" s="1">
        <v>-1.5727060000000001E-5</v>
      </c>
      <c r="AA3963">
        <v>0.99999249999999995</v>
      </c>
      <c r="AB3963">
        <v>50</v>
      </c>
      <c r="AC3963">
        <v>221.2467</v>
      </c>
      <c r="AD3963">
        <v>-0.90142479999999903</v>
      </c>
      <c r="AE3963">
        <v>-0.227399999999988</v>
      </c>
      <c r="AF3963">
        <v>-0.85402077354889905</v>
      </c>
      <c r="AG3963">
        <v>-0.90142479999999903</v>
      </c>
      <c r="AH3963">
        <v>221.241495943443</v>
      </c>
      <c r="AI3963">
        <v>90.233442491398407</v>
      </c>
      <c r="AJ3963">
        <v>90.221168016861995</v>
      </c>
      <c r="AK3963">
        <v>221.24498061073501</v>
      </c>
      <c r="AL3963">
        <v>91.901007394245696</v>
      </c>
      <c r="AM3963">
        <v>94.889995449716693</v>
      </c>
      <c r="AN3963">
        <v>0.99999996794478097</v>
      </c>
    </row>
    <row r="3964" spans="1:40" x14ac:dyDescent="0.25">
      <c r="A3964" t="str">
        <f>"20190305135012346"</f>
        <v>20190305135012346</v>
      </c>
      <c r="B3964" t="str">
        <f>"1551765012334460"</f>
        <v>1551765012334460</v>
      </c>
      <c r="C3964" t="s">
        <v>40</v>
      </c>
      <c r="D3964">
        <v>3.8880810000000001</v>
      </c>
      <c r="E3964">
        <v>0.53123920000000002</v>
      </c>
      <c r="F3964" t="s">
        <v>91</v>
      </c>
      <c r="G3964">
        <v>-107.39749999999999</v>
      </c>
      <c r="H3964">
        <v>0.11744789999999999</v>
      </c>
      <c r="I3964">
        <v>214.93020000000001</v>
      </c>
      <c r="J3964">
        <v>-328.20659999999998</v>
      </c>
      <c r="K3964">
        <v>1.1086780000000001</v>
      </c>
      <c r="L3964">
        <v>215.09700000000001</v>
      </c>
      <c r="M3964">
        <v>0.99987800000000004</v>
      </c>
      <c r="N3964">
        <v>-1.4709959999999999E-2</v>
      </c>
      <c r="O3964">
        <v>-5.2632989999999999E-3</v>
      </c>
      <c r="P3964">
        <v>0.99563559999999995</v>
      </c>
      <c r="Q3964">
        <v>-4.8293370000000002E-2</v>
      </c>
      <c r="R3964">
        <v>7.9861070000000006E-2</v>
      </c>
      <c r="S3964">
        <v>3.012756</v>
      </c>
      <c r="T3964">
        <v>-1.3496879999999999E-2</v>
      </c>
      <c r="U3964">
        <v>-2.3040769999999999E-3</v>
      </c>
      <c r="V3964">
        <v>-8.5149929999999999E-2</v>
      </c>
      <c r="W3964">
        <v>-3.35248E-2</v>
      </c>
      <c r="X3964">
        <v>0.99580400000000002</v>
      </c>
      <c r="Y3964">
        <v>-4.498635E-3</v>
      </c>
      <c r="Z3964" s="1">
        <v>-1.06828199999999E-5</v>
      </c>
      <c r="AA3964">
        <v>0.99998989999999999</v>
      </c>
      <c r="AB3964">
        <v>50</v>
      </c>
      <c r="AC3964">
        <v>220.8091</v>
      </c>
      <c r="AD3964">
        <v>-0.9912301</v>
      </c>
      <c r="AE3964">
        <v>-0.16679999999999401</v>
      </c>
      <c r="AF3964">
        <v>-0.99549226573486305</v>
      </c>
      <c r="AG3964">
        <v>-0.9912301</v>
      </c>
      <c r="AH3964">
        <v>220.80246929184099</v>
      </c>
      <c r="AI3964">
        <v>90.257208819866094</v>
      </c>
      <c r="AJ3964">
        <v>90.258317396040894</v>
      </c>
      <c r="AK3964">
        <v>220.80693826811</v>
      </c>
      <c r="AL3964">
        <v>91.921189510347602</v>
      </c>
      <c r="AM3964">
        <v>94.887400365205096</v>
      </c>
      <c r="AN3964">
        <v>1.0000000146050201</v>
      </c>
    </row>
    <row r="3965" spans="1:40" x14ac:dyDescent="0.25">
      <c r="A3965" t="str">
        <f>"20190305135012369"</f>
        <v>20190305135012369</v>
      </c>
      <c r="B3965" t="str">
        <f>"1551765012364716"</f>
        <v>1551765012364716</v>
      </c>
      <c r="C3965" t="s">
        <v>40</v>
      </c>
      <c r="D3965">
        <v>3.8786670000000001</v>
      </c>
      <c r="E3965">
        <v>0.53048130000000004</v>
      </c>
      <c r="F3965" t="s">
        <v>91</v>
      </c>
      <c r="G3965">
        <v>-107.39749999999999</v>
      </c>
      <c r="H3965">
        <v>4.8775760000000001E-2</v>
      </c>
      <c r="I3965">
        <v>214.79839999999999</v>
      </c>
      <c r="J3965">
        <v>-327.70460000000003</v>
      </c>
      <c r="K3965">
        <v>1.1086940000000001</v>
      </c>
      <c r="L3965">
        <v>215.0941</v>
      </c>
      <c r="M3965">
        <v>0.99987519999999996</v>
      </c>
      <c r="N3965">
        <v>-1.47419E-2</v>
      </c>
      <c r="O3965">
        <v>-5.6935689999999999E-3</v>
      </c>
      <c r="P3965">
        <v>0.9956467</v>
      </c>
      <c r="Q3965">
        <v>-4.8094900000000003E-2</v>
      </c>
      <c r="R3965">
        <v>7.9842769999999993E-2</v>
      </c>
      <c r="S3965">
        <v>3.0127869999999999</v>
      </c>
      <c r="T3965">
        <v>-1.446092E-2</v>
      </c>
      <c r="U3965">
        <v>-4.0740969999999996E-3</v>
      </c>
      <c r="V3965">
        <v>-8.5559410000000002E-2</v>
      </c>
      <c r="W3965">
        <v>-3.3295060000000001E-2</v>
      </c>
      <c r="X3965">
        <v>0.99577660000000001</v>
      </c>
      <c r="Y3965">
        <v>-4.341452E-3</v>
      </c>
      <c r="Z3965" s="1">
        <v>-1.4189770000000001E-5</v>
      </c>
      <c r="AA3965">
        <v>0.99999059999999995</v>
      </c>
      <c r="AB3965">
        <v>50</v>
      </c>
      <c r="AC3965">
        <v>220.30709999999999</v>
      </c>
      <c r="AD3965">
        <v>-1.05991824</v>
      </c>
      <c r="AE3965">
        <v>-0.29570000000001001</v>
      </c>
      <c r="AF3965">
        <v>-0.95875249965043197</v>
      </c>
      <c r="AG3965">
        <v>-1.05991824</v>
      </c>
      <c r="AH3965">
        <v>220.30011295322001</v>
      </c>
      <c r="AI3965">
        <v>90.275659405264093</v>
      </c>
      <c r="AJ3965">
        <v>90.249351324814299</v>
      </c>
      <c r="AK3965">
        <v>220.304748928007</v>
      </c>
      <c r="AL3965">
        <v>91.908019043072301</v>
      </c>
      <c r="AM3965">
        <v>94.9109233312806</v>
      </c>
      <c r="AN3965">
        <v>1.0000000053837499</v>
      </c>
    </row>
    <row r="3966" spans="1:40" x14ac:dyDescent="0.25">
      <c r="A3966" t="str">
        <f>"20190305135012392"</f>
        <v>20190305135012392</v>
      </c>
      <c r="B3966" t="str">
        <f>"1551765012384742"</f>
        <v>1551765012384742</v>
      </c>
      <c r="C3966" t="s">
        <v>40</v>
      </c>
      <c r="D3966">
        <v>3.8796729999999999</v>
      </c>
      <c r="E3966">
        <v>0.53006279999999995</v>
      </c>
      <c r="F3966" t="s">
        <v>91</v>
      </c>
      <c r="G3966">
        <v>-107.39749999999999</v>
      </c>
      <c r="H3966">
        <v>7.3381539999999995E-2</v>
      </c>
      <c r="I3966">
        <v>215.2604</v>
      </c>
      <c r="J3966">
        <v>-327.18599999999998</v>
      </c>
      <c r="K3966">
        <v>1.108708</v>
      </c>
      <c r="L3966">
        <v>215.0908</v>
      </c>
      <c r="M3966">
        <v>0.99987230000000005</v>
      </c>
      <c r="N3966">
        <v>-1.476938E-2</v>
      </c>
      <c r="O3966">
        <v>-6.1366779999999996E-3</v>
      </c>
      <c r="P3966">
        <v>0.99571140000000002</v>
      </c>
      <c r="Q3966">
        <v>-4.785296E-2</v>
      </c>
      <c r="R3966">
        <v>7.9178499999999999E-2</v>
      </c>
      <c r="S3966">
        <v>3.012238</v>
      </c>
      <c r="T3966">
        <v>-1.4155030000000001E-2</v>
      </c>
      <c r="U3966">
        <v>2.27356E-3</v>
      </c>
      <c r="V3966">
        <v>-8.5335579999999994E-2</v>
      </c>
      <c r="W3966">
        <v>-3.3026399999999997E-2</v>
      </c>
      <c r="X3966">
        <v>0.99580469999999999</v>
      </c>
      <c r="Y3966">
        <v>-6.8914780000000004E-3</v>
      </c>
      <c r="Z3966" s="1">
        <v>5.2831710000000003E-6</v>
      </c>
      <c r="AA3966">
        <v>0.99997630000000004</v>
      </c>
      <c r="AB3966">
        <v>50</v>
      </c>
      <c r="AC3966">
        <v>219.7885</v>
      </c>
      <c r="AD3966">
        <v>-1.0353264600000001</v>
      </c>
      <c r="AE3966">
        <v>0.169600000000002</v>
      </c>
      <c r="AF3966">
        <v>-1.5184812188172001</v>
      </c>
      <c r="AG3966">
        <v>-1.0353264600000001</v>
      </c>
      <c r="AH3966">
        <v>219.77844293922999</v>
      </c>
      <c r="AI3966">
        <v>90.269899000192694</v>
      </c>
      <c r="AJ3966">
        <v>90.395858572801799</v>
      </c>
      <c r="AK3966">
        <v>219.78612710287999</v>
      </c>
      <c r="AL3966">
        <v>91.892617588883297</v>
      </c>
      <c r="AM3966">
        <v>94.898001017676293</v>
      </c>
      <c r="AN3966">
        <v>0.99999995242649198</v>
      </c>
    </row>
    <row r="3967" spans="1:40" x14ac:dyDescent="0.25">
      <c r="A3967" t="str">
        <f>"20190305135012414"</f>
        <v>20190305135012414</v>
      </c>
      <c r="B3967" t="str">
        <f>"1551765012404263"</f>
        <v>1551765012404263</v>
      </c>
      <c r="C3967" t="s">
        <v>40</v>
      </c>
      <c r="D3967">
        <v>3.8659780000000001</v>
      </c>
      <c r="E3967">
        <v>0.52971610000000002</v>
      </c>
      <c r="F3967" t="s">
        <v>43</v>
      </c>
      <c r="G3967">
        <v>-94.098309999999998</v>
      </c>
      <c r="H3967">
        <v>-0.05</v>
      </c>
      <c r="I3967">
        <v>215.3518</v>
      </c>
      <c r="J3967">
        <v>-326.70460000000003</v>
      </c>
      <c r="K3967">
        <v>1.108716</v>
      </c>
      <c r="L3967">
        <v>215.08760000000001</v>
      </c>
      <c r="M3967">
        <v>0.99986929999999996</v>
      </c>
      <c r="N3967">
        <v>-1.479068E-2</v>
      </c>
      <c r="O3967">
        <v>-6.5449210000000004E-3</v>
      </c>
      <c r="P3967">
        <v>0.99572059999999996</v>
      </c>
      <c r="Q3967">
        <v>-4.8255920000000001E-2</v>
      </c>
      <c r="R3967">
        <v>7.8817360000000003E-2</v>
      </c>
      <c r="S3967">
        <v>3.0119319999999998</v>
      </c>
      <c r="T3967">
        <v>-1.497269E-2</v>
      </c>
      <c r="U3967">
        <v>3.372192E-3</v>
      </c>
      <c r="V3967">
        <v>-8.5381490000000004E-2</v>
      </c>
      <c r="W3967">
        <v>-3.3409210000000002E-2</v>
      </c>
      <c r="X3967">
        <v>0.99578800000000001</v>
      </c>
      <c r="Y3967">
        <v>-7.6645269999999904E-3</v>
      </c>
      <c r="Z3967" s="1">
        <v>1.1461360000000001E-5</v>
      </c>
      <c r="AA3967">
        <v>0.99997060000000004</v>
      </c>
      <c r="AB3967">
        <v>50</v>
      </c>
      <c r="AC3967">
        <v>232.60629</v>
      </c>
      <c r="AD3967">
        <v>-1.1587160000000001</v>
      </c>
      <c r="AE3967">
        <v>0.264199999999988</v>
      </c>
      <c r="AF3967">
        <v>-1.7867061795668</v>
      </c>
      <c r="AG3967">
        <v>-1.1587160000000001</v>
      </c>
      <c r="AH3967">
        <v>232.59380577444799</v>
      </c>
      <c r="AI3967">
        <v>90.285420449684196</v>
      </c>
      <c r="AJ3967">
        <v>90.440117953656895</v>
      </c>
      <c r="AK3967">
        <v>232.60355419980701</v>
      </c>
      <c r="AL3967">
        <v>91.914563088540106</v>
      </c>
      <c r="AM3967">
        <v>94.900705067899096</v>
      </c>
      <c r="AN3967">
        <v>0.99999995754572102</v>
      </c>
    </row>
    <row r="3968" spans="1:40" x14ac:dyDescent="0.25">
      <c r="A3968" t="str">
        <f>"20190305135012435"</f>
        <v>20190305135012435</v>
      </c>
      <c r="B3968" t="str">
        <f>"1551765012424766"</f>
        <v>1551765012424766</v>
      </c>
      <c r="C3968" t="s">
        <v>40</v>
      </c>
      <c r="D3968">
        <v>3.8980839999999999</v>
      </c>
      <c r="E3968">
        <v>0.52943499999999999</v>
      </c>
      <c r="F3968" t="s">
        <v>43</v>
      </c>
      <c r="G3968">
        <v>-132.68969999999999</v>
      </c>
      <c r="H3968">
        <v>-0.05</v>
      </c>
      <c r="I3968">
        <v>215.40309999999999</v>
      </c>
      <c r="J3968">
        <v>-326.22559999999999</v>
      </c>
      <c r="K3968">
        <v>1.1087149999999999</v>
      </c>
      <c r="L3968">
        <v>215.08420000000001</v>
      </c>
      <c r="M3968">
        <v>0.99986620000000004</v>
      </c>
      <c r="N3968">
        <v>-1.4808730000000001E-2</v>
      </c>
      <c r="O3968">
        <v>-6.9475159999999999E-3</v>
      </c>
      <c r="P3968">
        <v>0.99571759999999998</v>
      </c>
      <c r="Q3968">
        <v>-4.8600589999999999E-2</v>
      </c>
      <c r="R3968">
        <v>7.8643530000000003E-2</v>
      </c>
      <c r="S3968">
        <v>3.0116580000000002</v>
      </c>
      <c r="T3968">
        <v>-1.7986539999999999E-2</v>
      </c>
      <c r="U3968">
        <v>4.8980710000000004E-3</v>
      </c>
      <c r="V3968">
        <v>-8.5608000000000004E-2</v>
      </c>
      <c r="W3968">
        <v>-3.3737099999999999E-2</v>
      </c>
      <c r="X3968">
        <v>0.99575749999999996</v>
      </c>
      <c r="Y3968">
        <v>-8.5737959999999998E-3</v>
      </c>
      <c r="Z3968" s="1">
        <v>2.7692180000000001E-5</v>
      </c>
      <c r="AA3968">
        <v>0.99996320000000005</v>
      </c>
      <c r="AB3968">
        <v>49</v>
      </c>
      <c r="AC3968">
        <v>193.5359</v>
      </c>
      <c r="AD3968">
        <v>-1.1587149999999999</v>
      </c>
      <c r="AE3968">
        <v>0.31889999999998497</v>
      </c>
      <c r="AF3968">
        <v>-1.66357390130465</v>
      </c>
      <c r="AG3968">
        <v>-1.1587149999999999</v>
      </c>
      <c r="AH3968">
        <v>193.52207551430499</v>
      </c>
      <c r="AI3968">
        <v>90.343042171762505</v>
      </c>
      <c r="AJ3968">
        <v>90.492519602601703</v>
      </c>
      <c r="AK3968">
        <v>193.532694421228</v>
      </c>
      <c r="AL3968">
        <v>91.933360394191595</v>
      </c>
      <c r="AM3968">
        <v>94.9137924303201</v>
      </c>
      <c r="AN3968">
        <v>0.99999996019332904</v>
      </c>
    </row>
    <row r="3969" spans="1:40" x14ac:dyDescent="0.25">
      <c r="A3969" t="str">
        <f>"20190305135012457"</f>
        <v>20190305135012457</v>
      </c>
      <c r="B3969" t="str">
        <f>"1551765012454038"</f>
        <v>1551765012454038</v>
      </c>
      <c r="C3969" t="s">
        <v>40</v>
      </c>
      <c r="D3969">
        <v>3.8670900000000001</v>
      </c>
      <c r="E3969">
        <v>0.52916229999999997</v>
      </c>
      <c r="F3969" t="s">
        <v>43</v>
      </c>
      <c r="G3969">
        <v>-154.94399999999999</v>
      </c>
      <c r="H3969">
        <v>-0.05</v>
      </c>
      <c r="I3969">
        <v>215.45910000000001</v>
      </c>
      <c r="J3969">
        <v>-325.72730000000001</v>
      </c>
      <c r="K3969">
        <v>1.1087290000000001</v>
      </c>
      <c r="L3969">
        <v>215.0804</v>
      </c>
      <c r="M3969">
        <v>0.99986299999999995</v>
      </c>
      <c r="N3969">
        <v>-1.4824439999999999E-2</v>
      </c>
      <c r="O3969">
        <v>-7.359956E-3</v>
      </c>
      <c r="P3969">
        <v>0.9956931</v>
      </c>
      <c r="Q3969">
        <v>-4.8780690000000002E-2</v>
      </c>
      <c r="R3969">
        <v>7.8838199999999997E-2</v>
      </c>
      <c r="S3969">
        <v>3.0113829999999999</v>
      </c>
      <c r="T3969">
        <v>-2.037191E-2</v>
      </c>
      <c r="U3969">
        <v>6.5917969999999999E-3</v>
      </c>
      <c r="V3969">
        <v>-8.6212430000000007E-2</v>
      </c>
      <c r="W3969">
        <v>-3.3902969999999998E-2</v>
      </c>
      <c r="X3969">
        <v>0.99569980000000002</v>
      </c>
      <c r="Y3969">
        <v>-9.548707E-3</v>
      </c>
      <c r="Z3969" s="1">
        <v>4.3755540000000001E-5</v>
      </c>
      <c r="AA3969">
        <v>0.99995440000000002</v>
      </c>
      <c r="AB3969">
        <v>49</v>
      </c>
      <c r="AC3969">
        <v>170.7833</v>
      </c>
      <c r="AD3969">
        <v>-1.1587289999999999</v>
      </c>
      <c r="AE3969">
        <v>0.37870000000000897</v>
      </c>
      <c r="AF3969">
        <v>-1.6357101874694899</v>
      </c>
      <c r="AG3969">
        <v>-1.1587289999999999</v>
      </c>
      <c r="AH3969">
        <v>170.76802483011801</v>
      </c>
      <c r="AI3969">
        <v>90.388750863805299</v>
      </c>
      <c r="AJ3969">
        <v>90.548793746920296</v>
      </c>
      <c r="AK3969">
        <v>170.77978951003701</v>
      </c>
      <c r="AL3969">
        <v>91.942869324188905</v>
      </c>
      <c r="AM3969">
        <v>94.948599626823395</v>
      </c>
      <c r="AN3969">
        <v>1.0000000430906799</v>
      </c>
    </row>
    <row r="3970" spans="1:40" x14ac:dyDescent="0.25">
      <c r="A3970" t="str">
        <f>"20190305135012481"</f>
        <v>20190305135012481</v>
      </c>
      <c r="B3970" t="str">
        <f>"1551765012474535"</f>
        <v>1551765012474535</v>
      </c>
      <c r="C3970" t="s">
        <v>40</v>
      </c>
      <c r="D3970">
        <v>3.8712260000000001</v>
      </c>
      <c r="E3970">
        <v>0.52894779999999997</v>
      </c>
      <c r="F3970" t="s">
        <v>62</v>
      </c>
      <c r="G3970">
        <v>-179.95769999999999</v>
      </c>
      <c r="H3970">
        <v>4.6154260000000003E-2</v>
      </c>
      <c r="I3970">
        <v>215.53540000000001</v>
      </c>
      <c r="J3970">
        <v>-325.21519999999998</v>
      </c>
      <c r="K3970">
        <v>1.108752</v>
      </c>
      <c r="L3970">
        <v>215.0763</v>
      </c>
      <c r="M3970">
        <v>0.99985970000000002</v>
      </c>
      <c r="N3970">
        <v>-1.483784E-2</v>
      </c>
      <c r="O3970">
        <v>-7.7742380000000002E-3</v>
      </c>
      <c r="P3970">
        <v>0.99572269999999896</v>
      </c>
      <c r="Q3970">
        <v>-4.8245280000000001E-2</v>
      </c>
      <c r="R3970">
        <v>7.8795009999999999E-2</v>
      </c>
      <c r="S3970">
        <v>3.0111690000000002</v>
      </c>
      <c r="T3970">
        <v>-2.1949650000000001E-2</v>
      </c>
      <c r="U3970">
        <v>9.399414E-3</v>
      </c>
      <c r="V3970">
        <v>-8.6580530000000003E-2</v>
      </c>
      <c r="W3970">
        <v>-3.3355719999999998E-2</v>
      </c>
      <c r="X3970">
        <v>0.99568630000000002</v>
      </c>
      <c r="Y3970">
        <v>-1.089536E-2</v>
      </c>
      <c r="Z3970" s="1">
        <v>6.1856880000000006E-5</v>
      </c>
      <c r="AA3970">
        <v>0.99994059999999996</v>
      </c>
      <c r="AB3970">
        <v>49</v>
      </c>
      <c r="AC3970">
        <v>145.25749999999999</v>
      </c>
      <c r="AD3970">
        <v>-1.06259774</v>
      </c>
      <c r="AE3970">
        <v>0.459100000000006</v>
      </c>
      <c r="AF3970">
        <v>-1.58839182001896</v>
      </c>
      <c r="AG3970">
        <v>-1.06259774</v>
      </c>
      <c r="AH3970">
        <v>145.24176755955699</v>
      </c>
      <c r="AI3970">
        <v>90.419146918885701</v>
      </c>
      <c r="AJ3970">
        <v>90.626572652545903</v>
      </c>
      <c r="AK3970">
        <v>145.254339509549</v>
      </c>
      <c r="AL3970">
        <v>91.911496546661894</v>
      </c>
      <c r="AM3970">
        <v>94.969690047274796</v>
      </c>
      <c r="AN3970">
        <v>1.00000000011974</v>
      </c>
    </row>
    <row r="3971" spans="1:40" x14ac:dyDescent="0.25">
      <c r="A3971" t="str">
        <f>"20190305135012503"</f>
        <v>20190305135012503</v>
      </c>
      <c r="B3971" t="str">
        <f>"1551765012494054"</f>
        <v>1551765012494054</v>
      </c>
      <c r="C3971" t="s">
        <v>40</v>
      </c>
      <c r="D3971">
        <v>3.8674080000000002</v>
      </c>
      <c r="E3971">
        <v>0.52893590000000001</v>
      </c>
      <c r="F3971" t="s">
        <v>62</v>
      </c>
      <c r="G3971">
        <v>-179.93360000000001</v>
      </c>
      <c r="H3971">
        <v>7.4131970000000005E-2</v>
      </c>
      <c r="I3971">
        <v>215.60050000000001</v>
      </c>
      <c r="J3971">
        <v>-324.71409999999997</v>
      </c>
      <c r="K3971">
        <v>1.10877</v>
      </c>
      <c r="L3971">
        <v>215.07210000000001</v>
      </c>
      <c r="M3971">
        <v>0.99985630000000003</v>
      </c>
      <c r="N3971">
        <v>-1.484868E-2</v>
      </c>
      <c r="O3971">
        <v>-8.1666320000000001E-3</v>
      </c>
      <c r="P3971">
        <v>0.99576310000000001</v>
      </c>
      <c r="Q3971">
        <v>-4.7758170000000003E-2</v>
      </c>
      <c r="R3971">
        <v>7.8579830000000003E-2</v>
      </c>
      <c r="S3971">
        <v>3.0110169999999998</v>
      </c>
      <c r="T3971">
        <v>-2.1442889999999999E-2</v>
      </c>
      <c r="U3971">
        <v>1.0864260000000001E-2</v>
      </c>
      <c r="V3971">
        <v>-8.6754310000000001E-2</v>
      </c>
      <c r="W3971">
        <v>-3.2859939999999997E-2</v>
      </c>
      <c r="X3971">
        <v>0.99568769999999995</v>
      </c>
      <c r="Y3971">
        <v>-1.1774339999999999E-2</v>
      </c>
      <c r="Z3971" s="1">
        <v>6.6234969999999895E-5</v>
      </c>
      <c r="AA3971">
        <v>0.99993069999999895</v>
      </c>
      <c r="AB3971">
        <v>49</v>
      </c>
      <c r="AC3971">
        <v>144.78049999999899</v>
      </c>
      <c r="AD3971">
        <v>-1.03463803</v>
      </c>
      <c r="AE3971">
        <v>0.52840000000000398</v>
      </c>
      <c r="AF3971">
        <v>-1.7107945597271199</v>
      </c>
      <c r="AG3971">
        <v>-1.03463803</v>
      </c>
      <c r="AH3971">
        <v>144.76396230094301</v>
      </c>
      <c r="AI3971">
        <v>90.409461327536903</v>
      </c>
      <c r="AJ3971">
        <v>90.677079733540694</v>
      </c>
      <c r="AK3971">
        <v>144.777767889091</v>
      </c>
      <c r="AL3971">
        <v>91.883074786721807</v>
      </c>
      <c r="AM3971">
        <v>94.979607883425501</v>
      </c>
      <c r="AN3971">
        <v>1.0000000409458301</v>
      </c>
    </row>
    <row r="3972" spans="1:40" x14ac:dyDescent="0.25">
      <c r="A3972" t="str">
        <f>"20190305135012524"</f>
        <v>20190305135012524</v>
      </c>
      <c r="B3972" t="str">
        <f>"1551765012514554"</f>
        <v>1551765012514554</v>
      </c>
      <c r="C3972" t="s">
        <v>40</v>
      </c>
      <c r="D3972">
        <v>3.8802669999999999</v>
      </c>
      <c r="E3972">
        <v>0.52889410000000003</v>
      </c>
      <c r="F3972" t="s">
        <v>62</v>
      </c>
      <c r="G3972">
        <v>-175.5283</v>
      </c>
      <c r="H3972">
        <v>7.9980739999999995E-2</v>
      </c>
      <c r="I3972">
        <v>215.57640000000001</v>
      </c>
      <c r="J3972">
        <v>-324.26029999999997</v>
      </c>
      <c r="K3972">
        <v>1.108795</v>
      </c>
      <c r="L3972">
        <v>215.06819999999999</v>
      </c>
      <c r="M3972">
        <v>0.99985349999999995</v>
      </c>
      <c r="N3972">
        <v>-1.485679E-2</v>
      </c>
      <c r="O3972">
        <v>-8.5043559999999994E-3</v>
      </c>
      <c r="P3972">
        <v>0.99580709999999995</v>
      </c>
      <c r="Q3972">
        <v>-4.6950980000000003E-2</v>
      </c>
      <c r="R3972">
        <v>7.8511310000000001E-2</v>
      </c>
      <c r="S3972">
        <v>3.0109560000000002</v>
      </c>
      <c r="T3972">
        <v>-2.076364E-2</v>
      </c>
      <c r="U3972">
        <v>1.017761E-2</v>
      </c>
      <c r="V3972">
        <v>-8.7020109999999998E-2</v>
      </c>
      <c r="W3972">
        <v>-3.2047190000000003E-2</v>
      </c>
      <c r="X3972">
        <v>0.99569090000000005</v>
      </c>
      <c r="Y3972">
        <v>-1.188414E-2</v>
      </c>
      <c r="Z3972" s="1">
        <v>6.1553189999999998E-5</v>
      </c>
      <c r="AA3972">
        <v>0.99992939999999997</v>
      </c>
      <c r="AB3972">
        <v>49</v>
      </c>
      <c r="AC3972">
        <v>148.731999999999</v>
      </c>
      <c r="AD3972">
        <v>-1.0288142600000001</v>
      </c>
      <c r="AE3972">
        <v>0.50820000000001597</v>
      </c>
      <c r="AF3972">
        <v>-1.7731062284944701</v>
      </c>
      <c r="AG3972">
        <v>-1.0288142600000001</v>
      </c>
      <c r="AH3972">
        <v>148.71518221050499</v>
      </c>
      <c r="AI3972">
        <v>90.396338723919797</v>
      </c>
      <c r="AJ3972">
        <v>90.683095623084398</v>
      </c>
      <c r="AK3972">
        <v>148.729310441428</v>
      </c>
      <c r="AL3972">
        <v>91.836483276120305</v>
      </c>
      <c r="AM3972">
        <v>94.994771496291904</v>
      </c>
      <c r="AN3972">
        <v>0.99999994513705703</v>
      </c>
    </row>
    <row r="3973" spans="1:40" x14ac:dyDescent="0.25">
      <c r="A3973" t="str">
        <f>"20190305135012546"</f>
        <v>20190305135012546</v>
      </c>
      <c r="B3973" t="str">
        <f>"1551765012534071"</f>
        <v>1551765012534071</v>
      </c>
      <c r="C3973" t="s">
        <v>40</v>
      </c>
      <c r="D3973">
        <v>3.8887670000000001</v>
      </c>
      <c r="E3973">
        <v>0.52872989999999997</v>
      </c>
      <c r="F3973" t="s">
        <v>43</v>
      </c>
      <c r="G3973">
        <v>-137.96299999999999</v>
      </c>
      <c r="H3973">
        <v>-0.05</v>
      </c>
      <c r="I3973">
        <v>215.7045</v>
      </c>
      <c r="J3973">
        <v>-323.76940000000002</v>
      </c>
      <c r="K3973">
        <v>1.10883</v>
      </c>
      <c r="L3973">
        <v>215.06379999999999</v>
      </c>
      <c r="M3973">
        <v>0.99985049999999998</v>
      </c>
      <c r="N3973">
        <v>-1.486401E-2</v>
      </c>
      <c r="O3973">
        <v>-8.8466009999999904E-3</v>
      </c>
      <c r="P3973">
        <v>0.9958477</v>
      </c>
      <c r="Q3973">
        <v>-4.6236439999999997E-2</v>
      </c>
      <c r="R3973">
        <v>7.8420589999999998E-2</v>
      </c>
      <c r="S3973">
        <v>3.0109249999999999</v>
      </c>
      <c r="T3973">
        <v>-1.8728379999999999E-2</v>
      </c>
      <c r="U3973">
        <v>1.0284420000000001E-2</v>
      </c>
      <c r="V3973">
        <v>-8.7268020000000002E-2</v>
      </c>
      <c r="W3973">
        <v>-3.1329360000000001E-2</v>
      </c>
      <c r="X3973">
        <v>0.99569209999999997</v>
      </c>
      <c r="Y3973">
        <v>-1.2261940000000001E-2</v>
      </c>
      <c r="Z3973" s="1">
        <v>5.2794760000000002E-5</v>
      </c>
      <c r="AA3973">
        <v>0.99992479999999995</v>
      </c>
      <c r="AB3973">
        <v>49</v>
      </c>
      <c r="AC3973">
        <v>185.8064</v>
      </c>
      <c r="AD3973">
        <v>-1.15883</v>
      </c>
      <c r="AE3973">
        <v>0.64070000000000904</v>
      </c>
      <c r="AF3973">
        <v>-2.2845225772295001</v>
      </c>
      <c r="AG3973">
        <v>-1.15883</v>
      </c>
      <c r="AH3973">
        <v>185.78623231229901</v>
      </c>
      <c r="AI3973">
        <v>90.357347190849396</v>
      </c>
      <c r="AJ3973">
        <v>90.704502716004797</v>
      </c>
      <c r="AK3973">
        <v>185.803891367147</v>
      </c>
      <c r="AL3973">
        <v>91.795333885165704</v>
      </c>
      <c r="AM3973">
        <v>95.008922715314299</v>
      </c>
      <c r="AN3973">
        <v>0.99999999705756903</v>
      </c>
    </row>
    <row r="3974" spans="1:40" x14ac:dyDescent="0.25">
      <c r="A3974" t="str">
        <f>"20190305135012569"</f>
        <v>20190305135012569</v>
      </c>
      <c r="B3974" t="str">
        <f>"1551765012564327"</f>
        <v>1551765012564327</v>
      </c>
      <c r="C3974" t="s">
        <v>40</v>
      </c>
      <c r="D3974">
        <v>3.8809239999999998</v>
      </c>
      <c r="E3974">
        <v>0.5036294</v>
      </c>
      <c r="F3974" t="s">
        <v>43</v>
      </c>
      <c r="G3974">
        <v>-126.2287</v>
      </c>
      <c r="H3974">
        <v>-0.05</v>
      </c>
      <c r="I3974">
        <v>215.8176</v>
      </c>
      <c r="J3974">
        <v>-323.26580000000001</v>
      </c>
      <c r="K3974">
        <v>1.1088610000000001</v>
      </c>
      <c r="L3974">
        <v>215.0591</v>
      </c>
      <c r="M3974">
        <v>0.9998475</v>
      </c>
      <c r="N3974">
        <v>-1.486996E-2</v>
      </c>
      <c r="O3974">
        <v>-9.1667750000000003E-3</v>
      </c>
      <c r="P3974">
        <v>0.99588529999999997</v>
      </c>
      <c r="Q3974">
        <v>-4.6116530000000003E-2</v>
      </c>
      <c r="R3974">
        <v>7.8013239999999998E-2</v>
      </c>
      <c r="S3974">
        <v>3.0107729999999999</v>
      </c>
      <c r="T3974">
        <v>-1.7662049999999999E-2</v>
      </c>
      <c r="U3974">
        <v>1.1489869999999999E-2</v>
      </c>
      <c r="V3974">
        <v>-8.7177660000000004E-2</v>
      </c>
      <c r="W3974">
        <v>-3.1209190000000001E-2</v>
      </c>
      <c r="X3974">
        <v>0.99570380000000003</v>
      </c>
      <c r="Y3974">
        <v>-1.298262E-2</v>
      </c>
      <c r="Z3974" s="1">
        <v>5.2068270000000002E-5</v>
      </c>
      <c r="AA3974">
        <v>0.99991569999999996</v>
      </c>
      <c r="AB3974">
        <v>49</v>
      </c>
      <c r="AC3974">
        <v>197.03710000000001</v>
      </c>
      <c r="AD3974">
        <v>-1.1588609999999999</v>
      </c>
      <c r="AE3974">
        <v>0.75849999999999795</v>
      </c>
      <c r="AF3974">
        <v>-2.5647737385605001</v>
      </c>
      <c r="AG3974">
        <v>-1.1588609999999999</v>
      </c>
      <c r="AH3974">
        <v>197.015050836353</v>
      </c>
      <c r="AI3974">
        <v>90.336986706923298</v>
      </c>
      <c r="AJ3974">
        <v>90.745843576296707</v>
      </c>
      <c r="AK3974">
        <v>197.035152394688</v>
      </c>
      <c r="AL3974">
        <v>91.788445263837104</v>
      </c>
      <c r="AM3974">
        <v>95.003704168166493</v>
      </c>
      <c r="AN3974">
        <v>1.0000000076389799</v>
      </c>
    </row>
    <row r="3975" spans="1:40" x14ac:dyDescent="0.25">
      <c r="A3975" t="str">
        <f>"20190305135012593"</f>
        <v>20190305135012593</v>
      </c>
      <c r="B3975" t="str">
        <f>"1551765012584355"</f>
        <v>1551765012584355</v>
      </c>
      <c r="C3975" t="s">
        <v>40</v>
      </c>
      <c r="D3975">
        <v>3.8271500000000001</v>
      </c>
      <c r="E3975">
        <v>0.50069049999999904</v>
      </c>
      <c r="F3975" t="s">
        <v>74</v>
      </c>
      <c r="G3975">
        <v>-248.58510000000001</v>
      </c>
      <c r="H3975">
        <v>8.0000829999999995E-2</v>
      </c>
      <c r="I3975">
        <v>220.26329999999999</v>
      </c>
      <c r="J3975">
        <v>-322.75130000000001</v>
      </c>
      <c r="K3975">
        <v>1.1089020000000001</v>
      </c>
      <c r="L3975">
        <v>215.05420000000001</v>
      </c>
      <c r="M3975">
        <v>0.99984479999999998</v>
      </c>
      <c r="N3975">
        <v>-1.487455E-2</v>
      </c>
      <c r="O3975">
        <v>-9.4475559999999993E-3</v>
      </c>
      <c r="P3975">
        <v>0.99588929999999998</v>
      </c>
      <c r="Q3975">
        <v>-4.6650570000000002E-2</v>
      </c>
      <c r="R3975">
        <v>7.7643439999999994E-2</v>
      </c>
      <c r="S3975">
        <v>2.9941409999999999</v>
      </c>
      <c r="T3975">
        <v>-4.1249630000000002E-2</v>
      </c>
      <c r="U3975">
        <v>0.20864869999999999</v>
      </c>
      <c r="V3975">
        <v>-8.708552E-2</v>
      </c>
      <c r="W3975">
        <v>-3.1746480000000001E-2</v>
      </c>
      <c r="X3975">
        <v>0.99569490000000005</v>
      </c>
      <c r="Y3975">
        <v>-7.8924170000000002E-2</v>
      </c>
      <c r="Z3975">
        <v>1.1204050000000001E-3</v>
      </c>
      <c r="AA3975">
        <v>0.99687999999999999</v>
      </c>
      <c r="AB3975">
        <v>49</v>
      </c>
      <c r="AC3975">
        <v>74.166200000000003</v>
      </c>
      <c r="AD3975">
        <v>-1.0289011699999999</v>
      </c>
      <c r="AE3975">
        <v>5.2090999999999701</v>
      </c>
      <c r="AF3975">
        <v>-5.9085027247983497</v>
      </c>
      <c r="AG3975">
        <v>-1.0289011699999999</v>
      </c>
      <c r="AH3975">
        <v>74.099479577382695</v>
      </c>
      <c r="AI3975">
        <v>90.793007214830197</v>
      </c>
      <c r="AJ3975">
        <v>94.558972971997406</v>
      </c>
      <c r="AK3975">
        <v>74.341791179023502</v>
      </c>
      <c r="AL3975">
        <v>91.819244934834998</v>
      </c>
      <c r="AM3975">
        <v>94.998486900662996</v>
      </c>
      <c r="AN3975">
        <v>1.0000000303360299</v>
      </c>
    </row>
    <row r="3976" spans="1:40" x14ac:dyDescent="0.25">
      <c r="A3976" t="str">
        <f>"20190305135012614"</f>
        <v>20190305135012614</v>
      </c>
      <c r="B3976" t="str">
        <f>"1551765012603875"</f>
        <v>1551765012603875</v>
      </c>
      <c r="C3976" t="s">
        <v>40</v>
      </c>
      <c r="D3976">
        <v>3.8168299999999999</v>
      </c>
      <c r="E3976">
        <v>0.50007780000000002</v>
      </c>
      <c r="F3976" t="s">
        <v>61</v>
      </c>
      <c r="G3976">
        <v>-157.25</v>
      </c>
      <c r="H3976">
        <v>0.43154049999999999</v>
      </c>
      <c r="I3976">
        <v>227.87950000000001</v>
      </c>
      <c r="J3976">
        <v>-322.27670000000001</v>
      </c>
      <c r="K3976">
        <v>1.108951</v>
      </c>
      <c r="L3976">
        <v>215.04949999999999</v>
      </c>
      <c r="M3976">
        <v>0.99984280000000003</v>
      </c>
      <c r="N3976">
        <v>-1.487779E-2</v>
      </c>
      <c r="O3976">
        <v>-9.6628070000000007E-3</v>
      </c>
      <c r="P3976">
        <v>0.99588909999999997</v>
      </c>
      <c r="Q3976">
        <v>-4.6845860000000003E-2</v>
      </c>
      <c r="R3976">
        <v>7.7528659999999999E-2</v>
      </c>
      <c r="S3976">
        <v>2.9937130000000001</v>
      </c>
      <c r="T3976">
        <v>-1.225162E-2</v>
      </c>
      <c r="U3976">
        <v>0.2319946</v>
      </c>
      <c r="V3976">
        <v>-8.7181809999999998E-2</v>
      </c>
      <c r="W3976">
        <v>-3.1947099999999999E-2</v>
      </c>
      <c r="X3976">
        <v>0.99568000000000001</v>
      </c>
      <c r="Y3976">
        <v>-8.6889750000000002E-2</v>
      </c>
      <c r="Z3976">
        <v>7.2085330000000003E-4</v>
      </c>
      <c r="AA3976">
        <v>0.99621769999999998</v>
      </c>
      <c r="AB3976">
        <v>49</v>
      </c>
      <c r="AC3976">
        <v>165.02670000000001</v>
      </c>
      <c r="AD3976">
        <v>-0.67741049999999903</v>
      </c>
      <c r="AE3976">
        <v>12.83</v>
      </c>
      <c r="AF3976">
        <v>-14.423956696256299</v>
      </c>
      <c r="AG3976">
        <v>-0.67741049999999903</v>
      </c>
      <c r="AH3976">
        <v>164.892244630243</v>
      </c>
      <c r="AI3976">
        <v>90.2344858504337</v>
      </c>
      <c r="AJ3976">
        <v>94.999225703221498</v>
      </c>
      <c r="AK3976">
        <v>165.523296701585</v>
      </c>
      <c r="AL3976">
        <v>91.830745550828695</v>
      </c>
      <c r="AM3976">
        <v>95.004060158058095</v>
      </c>
      <c r="AN3976">
        <v>0.99999997379664196</v>
      </c>
    </row>
    <row r="3977" spans="1:40" x14ac:dyDescent="0.25">
      <c r="A3977" t="str">
        <f>"20190305135012636"</f>
        <v>20190305135012636</v>
      </c>
      <c r="B3977" t="str">
        <f>"1551765012624371"</f>
        <v>1551765012624371</v>
      </c>
      <c r="C3977" t="s">
        <v>40</v>
      </c>
      <c r="D3977">
        <v>3.8982549999999998</v>
      </c>
      <c r="E3977">
        <v>0.49896059999999998</v>
      </c>
      <c r="F3977" t="s">
        <v>61</v>
      </c>
      <c r="G3977">
        <v>-157.25</v>
      </c>
      <c r="H3977">
        <v>1.1066069999999999</v>
      </c>
      <c r="I3977">
        <v>228.1266</v>
      </c>
      <c r="J3977">
        <v>-321.80669999999998</v>
      </c>
      <c r="K3977">
        <v>1.108989</v>
      </c>
      <c r="L3977">
        <v>215.04490000000001</v>
      </c>
      <c r="M3977">
        <v>0.99984099999999998</v>
      </c>
      <c r="N3977">
        <v>-1.488022E-2</v>
      </c>
      <c r="O3977">
        <v>-9.8356769999999993E-3</v>
      </c>
      <c r="P3977">
        <v>0.99589179999999999</v>
      </c>
      <c r="Q3977">
        <v>-4.7176709999999997E-2</v>
      </c>
      <c r="R3977">
        <v>7.7293500000000001E-2</v>
      </c>
      <c r="S3977">
        <v>2.9938959999999999</v>
      </c>
      <c r="T3977" s="1">
        <v>-4.1484830000000002E-5</v>
      </c>
      <c r="U3977">
        <v>0.2372437</v>
      </c>
      <c r="V3977">
        <v>-8.7115819999999997E-2</v>
      </c>
      <c r="W3977">
        <v>-3.2284800000000002E-2</v>
      </c>
      <c r="X3977">
        <v>0.99567490000000003</v>
      </c>
      <c r="Y3977">
        <v>-8.879592E-2</v>
      </c>
      <c r="Z3977">
        <v>5.1634860000000001E-4</v>
      </c>
      <c r="AA3977">
        <v>0.99604970000000004</v>
      </c>
      <c r="AB3977">
        <v>49</v>
      </c>
      <c r="AC3977">
        <v>164.55669999999901</v>
      </c>
      <c r="AD3977">
        <v>-2.3820000000001002E-3</v>
      </c>
      <c r="AE3977">
        <v>13.0816999999999</v>
      </c>
      <c r="AF3977">
        <v>-14.6997726920261</v>
      </c>
      <c r="AG3977">
        <v>-2.3820000000001002E-3</v>
      </c>
      <c r="AH3977">
        <v>164.42005674866701</v>
      </c>
      <c r="AI3977">
        <v>90.000826762615304</v>
      </c>
      <c r="AJ3977">
        <v>95.108875695184807</v>
      </c>
      <c r="AK3977">
        <v>165.07585645425499</v>
      </c>
      <c r="AL3977">
        <v>91.850104291579001</v>
      </c>
      <c r="AM3977">
        <v>95.000317157626995</v>
      </c>
      <c r="AN3977">
        <v>0.99999999044766097</v>
      </c>
    </row>
    <row r="3978" spans="1:40" x14ac:dyDescent="0.25">
      <c r="A3978" t="str">
        <f>"20190305135012659"</f>
        <v>20190305135012659</v>
      </c>
      <c r="B3978" t="str">
        <f>"1551765012654627"</f>
        <v>1551765012654627</v>
      </c>
      <c r="C3978" t="s">
        <v>40</v>
      </c>
      <c r="D3978">
        <v>3.902218</v>
      </c>
      <c r="E3978">
        <v>0.49778519999999998</v>
      </c>
      <c r="F3978" t="s">
        <v>61</v>
      </c>
      <c r="G3978">
        <v>-157.25</v>
      </c>
      <c r="H3978">
        <v>0.60144900000000001</v>
      </c>
      <c r="I3978">
        <v>228.51779999999999</v>
      </c>
      <c r="J3978">
        <v>-321.30079999999998</v>
      </c>
      <c r="K3978">
        <v>1.10904</v>
      </c>
      <c r="L3978">
        <v>215.03980000000001</v>
      </c>
      <c r="M3978">
        <v>0.99983960000000005</v>
      </c>
      <c r="N3978">
        <v>-1.4882080000000001E-2</v>
      </c>
      <c r="O3978">
        <v>-9.9744559999999996E-3</v>
      </c>
      <c r="P3978">
        <v>0.99590210000000001</v>
      </c>
      <c r="Q3978">
        <v>-4.7451569999999998E-2</v>
      </c>
      <c r="R3978">
        <v>7.6991699999999996E-2</v>
      </c>
      <c r="S3978">
        <v>2.9928889999999999</v>
      </c>
      <c r="T3978">
        <v>-9.2298980000000003E-3</v>
      </c>
      <c r="U3978">
        <v>0.24504090000000001</v>
      </c>
      <c r="V3978">
        <v>-8.6948839999999999E-2</v>
      </c>
      <c r="W3978">
        <v>-3.256829E-2</v>
      </c>
      <c r="X3978">
        <v>0.99568029999999996</v>
      </c>
      <c r="Y3978">
        <v>-9.1536320000000004E-2</v>
      </c>
      <c r="Z3978">
        <v>7.0574339999999905E-4</v>
      </c>
      <c r="AA3978">
        <v>0.99580150000000001</v>
      </c>
      <c r="AB3978">
        <v>49</v>
      </c>
      <c r="AC3978">
        <v>164.05079999999899</v>
      </c>
      <c r="AD3978">
        <v>-0.50759100000000001</v>
      </c>
      <c r="AE3978">
        <v>13.4779999999999</v>
      </c>
      <c r="AF3978">
        <v>-15.1136842147208</v>
      </c>
      <c r="AG3978">
        <v>-0.50759100000000001</v>
      </c>
      <c r="AH3978">
        <v>163.90662806671699</v>
      </c>
      <c r="AI3978">
        <v>90.176685194560903</v>
      </c>
      <c r="AJ3978">
        <v>95.268295249438097</v>
      </c>
      <c r="AK3978">
        <v>164.602745491582</v>
      </c>
      <c r="AL3978">
        <v>91.866355550213399</v>
      </c>
      <c r="AM3978">
        <v>94.990754279029105</v>
      </c>
      <c r="AN3978">
        <v>1.00000002704947</v>
      </c>
    </row>
    <row r="3979" spans="1:40" x14ac:dyDescent="0.25">
      <c r="A3979" t="str">
        <f>"20190305135012681"</f>
        <v>20190305135012681</v>
      </c>
      <c r="B3979" t="str">
        <f>"1551765012674151"</f>
        <v>1551765012674151</v>
      </c>
      <c r="C3979" t="s">
        <v>40</v>
      </c>
      <c r="D3979">
        <v>3.915365</v>
      </c>
      <c r="E3979">
        <v>0.49702590000000002</v>
      </c>
      <c r="F3979" t="s">
        <v>62</v>
      </c>
      <c r="G3979">
        <v>-179.9556</v>
      </c>
      <c r="H3979">
        <v>5.2137000000000003E-2</v>
      </c>
      <c r="I3979">
        <v>226.99770000000001</v>
      </c>
      <c r="J3979">
        <v>-320.80439999999999</v>
      </c>
      <c r="K3979">
        <v>1.1090850000000001</v>
      </c>
      <c r="L3979">
        <v>215.03479999999999</v>
      </c>
      <c r="M3979">
        <v>0.99983869999999997</v>
      </c>
      <c r="N3979">
        <v>-1.488344E-2</v>
      </c>
      <c r="O3979">
        <v>-1.0070000000000001E-2</v>
      </c>
      <c r="P3979">
        <v>0.99586079999999999</v>
      </c>
      <c r="Q3979">
        <v>-4.8138170000000001E-2</v>
      </c>
      <c r="R3979">
        <v>7.7100370000000001E-2</v>
      </c>
      <c r="S3979">
        <v>2.9916689999999999</v>
      </c>
      <c r="T3979">
        <v>-2.23701E-2</v>
      </c>
      <c r="U3979">
        <v>0.25309749999999998</v>
      </c>
      <c r="V3979">
        <v>-8.7148630000000005E-2</v>
      </c>
      <c r="W3979">
        <v>-3.3264080000000001E-2</v>
      </c>
      <c r="X3979">
        <v>0.99563979999999996</v>
      </c>
      <c r="Y3979">
        <v>-9.4322500000000004E-2</v>
      </c>
      <c r="Z3979">
        <v>9.8081889999999993E-4</v>
      </c>
      <c r="AA3979">
        <v>0.99554120000000002</v>
      </c>
      <c r="AB3979">
        <v>49</v>
      </c>
      <c r="AC3979">
        <v>140.84879999999899</v>
      </c>
      <c r="AD3979">
        <v>-1.056948</v>
      </c>
      <c r="AE3979">
        <v>11.962899999999999</v>
      </c>
      <c r="AF3979">
        <v>-13.3800495304828</v>
      </c>
      <c r="AG3979">
        <v>-1.056948</v>
      </c>
      <c r="AH3979">
        <v>140.713310037187</v>
      </c>
      <c r="AI3979">
        <v>90.4284285908616</v>
      </c>
      <c r="AJ3979">
        <v>95.431769965628206</v>
      </c>
      <c r="AK3979">
        <v>141.351966686476</v>
      </c>
      <c r="AL3979">
        <v>91.906243051987303</v>
      </c>
      <c r="AM3979">
        <v>95.002366300186296</v>
      </c>
      <c r="AN3979">
        <v>0.99999999703658105</v>
      </c>
    </row>
    <row r="3980" spans="1:40" x14ac:dyDescent="0.25">
      <c r="A3980" t="str">
        <f>"20190305135012703"</f>
        <v>20190305135012703</v>
      </c>
      <c r="B3980" t="str">
        <f>"1551765012694647"</f>
        <v>1551765012694647</v>
      </c>
      <c r="C3980" t="s">
        <v>40</v>
      </c>
      <c r="D3980">
        <v>3.911003</v>
      </c>
      <c r="E3980">
        <v>0.49761349999999999</v>
      </c>
      <c r="F3980" t="s">
        <v>74</v>
      </c>
      <c r="G3980">
        <v>-233.1112</v>
      </c>
      <c r="H3980">
        <v>8.0000580000000002E-2</v>
      </c>
      <c r="I3980">
        <v>222.63050000000001</v>
      </c>
      <c r="J3980">
        <v>-320.32729999999998</v>
      </c>
      <c r="K3980">
        <v>1.109137</v>
      </c>
      <c r="L3980">
        <v>215.0299</v>
      </c>
      <c r="M3980">
        <v>0.99983789999999995</v>
      </c>
      <c r="N3980">
        <v>-1.48842E-2</v>
      </c>
      <c r="O3980">
        <v>-1.0131569999999999E-2</v>
      </c>
      <c r="P3980">
        <v>0.99581039999999998</v>
      </c>
      <c r="Q3980">
        <v>-4.8119849999999999E-2</v>
      </c>
      <c r="R3980">
        <v>7.7759110000000006E-2</v>
      </c>
      <c r="S3980">
        <v>2.990723</v>
      </c>
      <c r="T3980">
        <v>-3.5096290000000002E-2</v>
      </c>
      <c r="U3980">
        <v>0.25904850000000001</v>
      </c>
      <c r="V3980">
        <v>-8.786505E-2</v>
      </c>
      <c r="W3980">
        <v>-3.3254369999999998E-2</v>
      </c>
      <c r="X3980">
        <v>0.99557720000000005</v>
      </c>
      <c r="Y3980">
        <v>-9.6369640000000006E-2</v>
      </c>
      <c r="Z3980">
        <v>1.25117E-3</v>
      </c>
      <c r="AA3980">
        <v>0.99534480000000003</v>
      </c>
      <c r="AB3980">
        <v>49</v>
      </c>
      <c r="AC3980">
        <v>87.216099999999898</v>
      </c>
      <c r="AD3980">
        <v>-1.0291364199999999</v>
      </c>
      <c r="AE3980">
        <v>7.6006000000000098</v>
      </c>
      <c r="AF3980">
        <v>-8.4827715123524392</v>
      </c>
      <c r="AG3980">
        <v>-1.0291364199999999</v>
      </c>
      <c r="AH3980">
        <v>87.122568846921197</v>
      </c>
      <c r="AI3980">
        <v>90.673590590552493</v>
      </c>
      <c r="AJ3980">
        <v>95.561128694815196</v>
      </c>
      <c r="AK3980">
        <v>87.540610786013403</v>
      </c>
      <c r="AL3980">
        <v>91.905686318865193</v>
      </c>
      <c r="AM3980">
        <v>95.043593349486201</v>
      </c>
      <c r="AN3980">
        <v>1.0000000406477101</v>
      </c>
    </row>
    <row r="3981" spans="1:40" x14ac:dyDescent="0.25">
      <c r="A3981" t="str">
        <f>"20190305135012725"</f>
        <v>20190305135012725</v>
      </c>
      <c r="B3981" t="str">
        <f>"1551765012714163"</f>
        <v>1551765012714163</v>
      </c>
      <c r="C3981" t="s">
        <v>40</v>
      </c>
      <c r="D3981">
        <v>3.9501970000000002</v>
      </c>
      <c r="E3981">
        <v>0.49800529999999998</v>
      </c>
      <c r="F3981" t="s">
        <v>74</v>
      </c>
      <c r="G3981">
        <v>-250.99719999999999</v>
      </c>
      <c r="H3981">
        <v>8.0000039999999994E-2</v>
      </c>
      <c r="I3981">
        <v>220.96629999999999</v>
      </c>
      <c r="J3981">
        <v>-319.85109999999997</v>
      </c>
      <c r="K3981">
        <v>1.1091759999999999</v>
      </c>
      <c r="L3981">
        <v>215.02510000000001</v>
      </c>
      <c r="M3981">
        <v>0.99983759999999999</v>
      </c>
      <c r="N3981">
        <v>-1.4884090000000001E-2</v>
      </c>
      <c r="O3981">
        <v>-1.0168770000000001E-2</v>
      </c>
      <c r="P3981">
        <v>0.99576819999999999</v>
      </c>
      <c r="Q3981">
        <v>-4.8085210000000003E-2</v>
      </c>
      <c r="R3981">
        <v>7.8317310000000001E-2</v>
      </c>
      <c r="S3981">
        <v>2.9904790000000001</v>
      </c>
      <c r="T3981">
        <v>-4.4390680000000002E-2</v>
      </c>
      <c r="U3981">
        <v>0.2560577</v>
      </c>
      <c r="V3981">
        <v>-8.8456140000000003E-2</v>
      </c>
      <c r="W3981">
        <v>-3.3228279999999999E-2</v>
      </c>
      <c r="X3981">
        <v>0.99552569999999996</v>
      </c>
      <c r="Y3981">
        <v>-9.5419610000000002E-2</v>
      </c>
      <c r="Z3981">
        <v>1.418009E-3</v>
      </c>
      <c r="AA3981">
        <v>0.99543610000000005</v>
      </c>
      <c r="AB3981">
        <v>49</v>
      </c>
      <c r="AC3981">
        <v>68.853899999999896</v>
      </c>
      <c r="AD3981">
        <v>-1.0291759599999999</v>
      </c>
      <c r="AE3981">
        <v>5.9411999999999798</v>
      </c>
      <c r="AF3981">
        <v>-6.6396572656344297</v>
      </c>
      <c r="AG3981">
        <v>-1.0291759599999999</v>
      </c>
      <c r="AH3981">
        <v>68.774665773221002</v>
      </c>
      <c r="AI3981">
        <v>90.853369539599001</v>
      </c>
      <c r="AJ3981">
        <v>95.514370713117998</v>
      </c>
      <c r="AK3981">
        <v>69.102090445803299</v>
      </c>
      <c r="AL3981">
        <v>91.904190697502401</v>
      </c>
      <c r="AM3981">
        <v>95.077607376447602</v>
      </c>
      <c r="AN3981">
        <v>1.0000000133279701</v>
      </c>
    </row>
    <row r="3982" spans="1:40" x14ac:dyDescent="0.25">
      <c r="A3982" t="str">
        <f>"20190305135012747"</f>
        <v>20190305135012747</v>
      </c>
      <c r="B3982" t="str">
        <f>"1551765012734663"</f>
        <v>1551765012734663</v>
      </c>
      <c r="C3982" t="s">
        <v>40</v>
      </c>
      <c r="D3982">
        <v>3.9218060000000001</v>
      </c>
      <c r="E3982">
        <v>0.49737199999999998</v>
      </c>
      <c r="F3982" t="s">
        <v>74</v>
      </c>
      <c r="G3982">
        <v>-260.9796</v>
      </c>
      <c r="H3982">
        <v>8.0000070000000006E-2</v>
      </c>
      <c r="I3982">
        <v>220.03120000000001</v>
      </c>
      <c r="J3982">
        <v>-319.36399999999998</v>
      </c>
      <c r="K3982">
        <v>1.109221</v>
      </c>
      <c r="L3982">
        <v>215.02010000000001</v>
      </c>
      <c r="M3982">
        <v>0.99983739999999999</v>
      </c>
      <c r="N3982">
        <v>-1.488334E-2</v>
      </c>
      <c r="O3982">
        <v>-1.018443E-2</v>
      </c>
      <c r="P3982">
        <v>0.9957241</v>
      </c>
      <c r="Q3982">
        <v>-4.7843610000000002E-2</v>
      </c>
      <c r="R3982">
        <v>7.9024170000000005E-2</v>
      </c>
      <c r="S3982">
        <v>2.9902340000000001</v>
      </c>
      <c r="T3982">
        <v>-5.2274470000000003E-2</v>
      </c>
      <c r="U3982">
        <v>0.25427250000000001</v>
      </c>
      <c r="V3982">
        <v>-8.9175509999999999E-2</v>
      </c>
      <c r="W3982">
        <v>-3.2995620000000003E-2</v>
      </c>
      <c r="X3982">
        <v>0.9954693</v>
      </c>
      <c r="Y3982">
        <v>-9.4846299999999995E-2</v>
      </c>
      <c r="Z3982">
        <v>1.561134E-3</v>
      </c>
      <c r="AA3982">
        <v>0.99549069999999995</v>
      </c>
      <c r="AB3982">
        <v>49</v>
      </c>
      <c r="AC3982">
        <v>58.384399999999999</v>
      </c>
      <c r="AD3982">
        <v>-1.0292209299999999</v>
      </c>
      <c r="AE3982">
        <v>5.0110999999999901</v>
      </c>
      <c r="AF3982">
        <v>-5.6037890454277397</v>
      </c>
      <c r="AG3982">
        <v>-1.0292209299999999</v>
      </c>
      <c r="AH3982">
        <v>58.3123419474014</v>
      </c>
      <c r="AI3982">
        <v>91.006537362692796</v>
      </c>
      <c r="AJ3982">
        <v>95.489241344950003</v>
      </c>
      <c r="AK3982">
        <v>58.590024498877597</v>
      </c>
      <c r="AL3982">
        <v>91.890852869218193</v>
      </c>
      <c r="AM3982">
        <v>95.1189710216386</v>
      </c>
      <c r="AN3982">
        <v>1.0000000548827099</v>
      </c>
    </row>
    <row r="3983" spans="1:40" x14ac:dyDescent="0.25">
      <c r="A3983" t="str">
        <f>"20190305135012771"</f>
        <v>20190305135012771</v>
      </c>
      <c r="B3983" t="str">
        <f>"1551765012763942"</f>
        <v>1551765012763942</v>
      </c>
      <c r="C3983" t="s">
        <v>40</v>
      </c>
      <c r="D3983">
        <v>3.8513890000000002</v>
      </c>
      <c r="E3983">
        <v>0.49730419999999997</v>
      </c>
      <c r="F3983" t="s">
        <v>74</v>
      </c>
      <c r="G3983">
        <v>-264.53570000000002</v>
      </c>
      <c r="H3983">
        <v>8.0001119999999995E-2</v>
      </c>
      <c r="I3983">
        <v>219.8115</v>
      </c>
      <c r="J3983">
        <v>-318.8501</v>
      </c>
      <c r="K3983">
        <v>1.1092519999999999</v>
      </c>
      <c r="L3983">
        <v>215.01490000000001</v>
      </c>
      <c r="M3983">
        <v>0.99983750000000005</v>
      </c>
      <c r="N3983">
        <v>-1.4881780000000001E-2</v>
      </c>
      <c r="O3983">
        <v>-1.017936E-2</v>
      </c>
      <c r="P3983">
        <v>0.99561330000000003</v>
      </c>
      <c r="Q3983">
        <v>-4.7866869999999999E-2</v>
      </c>
      <c r="R3983">
        <v>8.0392580000000005E-2</v>
      </c>
      <c r="S3983">
        <v>2.9894409999999998</v>
      </c>
      <c r="T3983">
        <v>-5.6116939999999997E-2</v>
      </c>
      <c r="U3983">
        <v>0.26124570000000003</v>
      </c>
      <c r="V3983">
        <v>-9.0534799999999999E-2</v>
      </c>
      <c r="W3983">
        <v>-3.3029429999999999E-2</v>
      </c>
      <c r="X3983">
        <v>0.99534540000000005</v>
      </c>
      <c r="Y3983">
        <v>-9.7164390000000003E-2</v>
      </c>
      <c r="Z3983">
        <v>1.6742079999999999E-3</v>
      </c>
      <c r="AA3983">
        <v>0.99526689999999995</v>
      </c>
      <c r="AB3983">
        <v>49</v>
      </c>
      <c r="AC3983">
        <v>54.3143999999999</v>
      </c>
      <c r="AD3983">
        <v>-1.02925088</v>
      </c>
      <c r="AE3983">
        <v>4.7965999999999802</v>
      </c>
      <c r="AF3983">
        <v>-5.3473930848128202</v>
      </c>
      <c r="AG3983">
        <v>-1.02925088</v>
      </c>
      <c r="AH3983">
        <v>54.243425622256702</v>
      </c>
      <c r="AI3983">
        <v>91.081795192964194</v>
      </c>
      <c r="AJ3983">
        <v>95.630107100827203</v>
      </c>
      <c r="AK3983">
        <v>54.516081970504601</v>
      </c>
      <c r="AL3983">
        <v>91.892791239024604</v>
      </c>
      <c r="AM3983">
        <v>95.197218093325901</v>
      </c>
      <c r="AN3983">
        <v>0.99999997927916195</v>
      </c>
    </row>
    <row r="3984" spans="1:40" x14ac:dyDescent="0.25">
      <c r="A3984" t="str">
        <f>"20190305135012794"</f>
        <v>20190305135012794</v>
      </c>
      <c r="B3984" t="str">
        <f>"1551765012784435"</f>
        <v>1551765012784435</v>
      </c>
      <c r="C3984" t="s">
        <v>40</v>
      </c>
      <c r="D3984">
        <v>3.8369749999999998</v>
      </c>
      <c r="E3984">
        <v>0.49748540000000002</v>
      </c>
      <c r="F3984" t="s">
        <v>74</v>
      </c>
      <c r="G3984">
        <v>-258.68239999999997</v>
      </c>
      <c r="H3984">
        <v>8.0000849999999998E-2</v>
      </c>
      <c r="I3984">
        <v>220.3742</v>
      </c>
      <c r="J3984">
        <v>-318.36110000000002</v>
      </c>
      <c r="K3984">
        <v>1.109281</v>
      </c>
      <c r="L3984">
        <v>215.00989999999999</v>
      </c>
      <c r="M3984">
        <v>0.99983789999999995</v>
      </c>
      <c r="N3984">
        <v>-1.4874190000000001E-2</v>
      </c>
      <c r="O3984">
        <v>-1.016003E-2</v>
      </c>
      <c r="P3984">
        <v>0.9955444</v>
      </c>
      <c r="Q3984">
        <v>-4.7925479999999999E-2</v>
      </c>
      <c r="R3984">
        <v>8.1208530000000001E-2</v>
      </c>
      <c r="S3984">
        <v>2.989258</v>
      </c>
      <c r="T3984">
        <v>-5.1135420000000001E-2</v>
      </c>
      <c r="U3984">
        <v>0.2662659</v>
      </c>
      <c r="V3984">
        <v>-9.1328590000000001E-2</v>
      </c>
      <c r="W3984">
        <v>-3.3103149999999998E-2</v>
      </c>
      <c r="X3984">
        <v>0.9952704</v>
      </c>
      <c r="Y3984">
        <v>-9.8812540000000004E-2</v>
      </c>
      <c r="Z3984">
        <v>1.6025499999999999E-3</v>
      </c>
      <c r="AA3984">
        <v>0.99510480000000001</v>
      </c>
      <c r="AB3984">
        <v>49</v>
      </c>
      <c r="AC3984">
        <v>59.678699999999999</v>
      </c>
      <c r="AD3984">
        <v>-1.0292801499999999</v>
      </c>
      <c r="AE3984">
        <v>5.3643000000000098</v>
      </c>
      <c r="AF3984">
        <v>-5.9686662320041304</v>
      </c>
      <c r="AG3984">
        <v>-1.0292801499999999</v>
      </c>
      <c r="AH3984">
        <v>59.603524004822297</v>
      </c>
      <c r="AI3984">
        <v>90.984407393455797</v>
      </c>
      <c r="AJ3984">
        <v>95.718505834573307</v>
      </c>
      <c r="AK3984">
        <v>59.910470437225598</v>
      </c>
      <c r="AL3984">
        <v>91.897017451512198</v>
      </c>
      <c r="AM3984">
        <v>95.242926244298204</v>
      </c>
      <c r="AN3984">
        <v>0.99999994950373405</v>
      </c>
    </row>
    <row r="3985" spans="1:40" x14ac:dyDescent="0.25">
      <c r="A3985" t="str">
        <f>"20190305135012815"</f>
        <v>20190305135012815</v>
      </c>
      <c r="B3985" t="str">
        <f>"1551765012803956"</f>
        <v>1551765012803956</v>
      </c>
      <c r="C3985" t="s">
        <v>40</v>
      </c>
      <c r="D3985">
        <v>3.865138</v>
      </c>
      <c r="E3985">
        <v>0.49759550000000002</v>
      </c>
      <c r="F3985" t="s">
        <v>74</v>
      </c>
      <c r="G3985">
        <v>-251.1182</v>
      </c>
      <c r="H3985">
        <v>8.0000070000000006E-2</v>
      </c>
      <c r="I3985">
        <v>221.02780000000001</v>
      </c>
      <c r="J3985">
        <v>-317.88470000000001</v>
      </c>
      <c r="K3985">
        <v>1.1093090000000001</v>
      </c>
      <c r="L3985">
        <v>215.005</v>
      </c>
      <c r="M3985">
        <v>0.99983820000000001</v>
      </c>
      <c r="N3985">
        <v>-1.486293E-2</v>
      </c>
      <c r="O3985">
        <v>-1.013289E-2</v>
      </c>
      <c r="P3985">
        <v>0.99547249999999998</v>
      </c>
      <c r="Q3985">
        <v>-4.8274570000000003E-2</v>
      </c>
      <c r="R3985">
        <v>8.1879649999999998E-2</v>
      </c>
      <c r="S3985">
        <v>2.9893800000000001</v>
      </c>
      <c r="T3985">
        <v>-4.5758130000000001E-2</v>
      </c>
      <c r="U3985">
        <v>0.2675323</v>
      </c>
      <c r="V3985">
        <v>-9.1970029999999994E-2</v>
      </c>
      <c r="W3985">
        <v>-3.3470239999999998E-2</v>
      </c>
      <c r="X3985">
        <v>0.9951991</v>
      </c>
      <c r="Y3985">
        <v>-9.9204290000000001E-2</v>
      </c>
      <c r="Z3985">
        <v>1.5010290000000001E-3</v>
      </c>
      <c r="AA3985">
        <v>0.99506589999999995</v>
      </c>
      <c r="AB3985">
        <v>49</v>
      </c>
      <c r="AC3985">
        <v>66.766499999999994</v>
      </c>
      <c r="AD3985">
        <v>-1.02930893</v>
      </c>
      <c r="AE3985">
        <v>6.0228000000000099</v>
      </c>
      <c r="AF3985">
        <v>-6.6975241106715</v>
      </c>
      <c r="AG3985">
        <v>-1.02930893</v>
      </c>
      <c r="AH3985">
        <v>66.686314999516497</v>
      </c>
      <c r="AI3985">
        <v>90.879869282060795</v>
      </c>
      <c r="AJ3985">
        <v>95.735170352522204</v>
      </c>
      <c r="AK3985">
        <v>67.029701732151096</v>
      </c>
      <c r="AL3985">
        <v>91.9180617330112</v>
      </c>
      <c r="AM3985">
        <v>95.279918315528406</v>
      </c>
      <c r="AN3985">
        <v>0.99999999601233402</v>
      </c>
    </row>
    <row r="3986" spans="1:40" x14ac:dyDescent="0.25">
      <c r="A3986" t="str">
        <f>"20190305135012837"</f>
        <v>20190305135012837</v>
      </c>
      <c r="B3986" t="str">
        <f>"1551765012824452"</f>
        <v>1551765012824452</v>
      </c>
      <c r="C3986" t="s">
        <v>40</v>
      </c>
      <c r="D3986">
        <v>3.8362759999999998</v>
      </c>
      <c r="E3986">
        <v>0.49712640000000002</v>
      </c>
      <c r="F3986" t="s">
        <v>74</v>
      </c>
      <c r="G3986">
        <v>-244.4453</v>
      </c>
      <c r="H3986">
        <v>8.0001020000000006E-2</v>
      </c>
      <c r="I3986">
        <v>221.6112</v>
      </c>
      <c r="J3986">
        <v>-317.41559999999998</v>
      </c>
      <c r="K3986">
        <v>1.109329</v>
      </c>
      <c r="L3986">
        <v>215.00030000000001</v>
      </c>
      <c r="M3986">
        <v>0.99983880000000003</v>
      </c>
      <c r="N3986">
        <v>-1.485087E-2</v>
      </c>
      <c r="O3986">
        <v>-1.0100919999999999E-2</v>
      </c>
      <c r="P3986">
        <v>0.99536809999999998</v>
      </c>
      <c r="Q3986">
        <v>-4.8553409999999998E-2</v>
      </c>
      <c r="R3986">
        <v>8.2976309999999998E-2</v>
      </c>
      <c r="S3986">
        <v>2.9895320000000001</v>
      </c>
      <c r="T3986">
        <v>-4.1900519999999997E-2</v>
      </c>
      <c r="U3986">
        <v>0.26892090000000002</v>
      </c>
      <c r="V3986">
        <v>-9.3031559999999999E-2</v>
      </c>
      <c r="W3986">
        <v>-3.3767600000000002E-2</v>
      </c>
      <c r="X3986">
        <v>0.99509040000000004</v>
      </c>
      <c r="Y3986">
        <v>-9.9629190000000006E-2</v>
      </c>
      <c r="Z3986">
        <v>1.429739E-3</v>
      </c>
      <c r="AA3986">
        <v>0.99502360000000001</v>
      </c>
      <c r="AB3986">
        <v>49</v>
      </c>
      <c r="AC3986">
        <v>72.970299999999895</v>
      </c>
      <c r="AD3986">
        <v>-1.0293279799999999</v>
      </c>
      <c r="AE3986">
        <v>6.6108999999999796</v>
      </c>
      <c r="AF3986">
        <v>-7.3462611690461097</v>
      </c>
      <c r="AG3986">
        <v>-1.0293279799999999</v>
      </c>
      <c r="AH3986">
        <v>72.885408160463598</v>
      </c>
      <c r="AI3986">
        <v>90.805030563133201</v>
      </c>
      <c r="AJ3986">
        <v>95.755514767511301</v>
      </c>
      <c r="AK3986">
        <v>73.261925936816695</v>
      </c>
      <c r="AL3986">
        <v>91.935108809435306</v>
      </c>
      <c r="AM3986">
        <v>95.341089451938402</v>
      </c>
      <c r="AN3986">
        <v>1.0000000130689699</v>
      </c>
    </row>
    <row r="3987" spans="1:40" x14ac:dyDescent="0.25">
      <c r="A3987" t="str">
        <f>"20190305135012860"</f>
        <v>20190305135012860</v>
      </c>
      <c r="B3987" t="str">
        <f>"1551765012854708"</f>
        <v>1551765012854708</v>
      </c>
      <c r="C3987" t="s">
        <v>40</v>
      </c>
      <c r="D3987">
        <v>3.8717069999999998</v>
      </c>
      <c r="E3987">
        <v>0.46070159999999999</v>
      </c>
      <c r="F3987" t="s">
        <v>74</v>
      </c>
      <c r="G3987">
        <v>-246.48599999999999</v>
      </c>
      <c r="H3987">
        <v>8.0000150000000006E-2</v>
      </c>
      <c r="I3987">
        <v>221.5478</v>
      </c>
      <c r="J3987">
        <v>-316.91090000000003</v>
      </c>
      <c r="K3987">
        <v>1.1093489999999999</v>
      </c>
      <c r="L3987">
        <v>214.99520000000001</v>
      </c>
      <c r="M3987">
        <v>0.99983929999999999</v>
      </c>
      <c r="N3987">
        <v>-1.483845E-2</v>
      </c>
      <c r="O3987">
        <v>-1.006196E-2</v>
      </c>
      <c r="P3987">
        <v>0.99527200000000005</v>
      </c>
      <c r="Q3987">
        <v>-4.8646809999999999E-2</v>
      </c>
      <c r="R3987">
        <v>8.4067020000000006E-2</v>
      </c>
      <c r="S3987">
        <v>2.9887999999999999</v>
      </c>
      <c r="T3987">
        <v>-4.3373469999999997E-2</v>
      </c>
      <c r="U3987">
        <v>0.27589419999999998</v>
      </c>
      <c r="V3987">
        <v>-9.4080720000000007E-2</v>
      </c>
      <c r="W3987">
        <v>-3.3879380000000001E-2</v>
      </c>
      <c r="X3987">
        <v>0.99498799999999998</v>
      </c>
      <c r="Y3987">
        <v>-0.1019128</v>
      </c>
      <c r="Z3987">
        <v>1.492448E-3</v>
      </c>
      <c r="AA3987">
        <v>0.99479220000000002</v>
      </c>
      <c r="AB3987">
        <v>49</v>
      </c>
      <c r="AC3987">
        <v>70.424899999999994</v>
      </c>
      <c r="AD3987">
        <v>-1.0293488500000001</v>
      </c>
      <c r="AE3987">
        <v>6.5525999999999804</v>
      </c>
      <c r="AF3987">
        <v>-7.2594211929136998</v>
      </c>
      <c r="AG3987">
        <v>-1.0293488500000001</v>
      </c>
      <c r="AH3987">
        <v>70.340496626499103</v>
      </c>
      <c r="AI3987">
        <v>90.833966287112204</v>
      </c>
      <c r="AJ3987">
        <v>95.892293451269097</v>
      </c>
      <c r="AK3987">
        <v>70.721596565502196</v>
      </c>
      <c r="AL3987">
        <v>91.9415169124904</v>
      </c>
      <c r="AM3987">
        <v>95.401521731652906</v>
      </c>
      <c r="AN3987">
        <v>1.0000000572044401</v>
      </c>
    </row>
    <row r="3988" spans="1:40" x14ac:dyDescent="0.25">
      <c r="A3988" t="str">
        <f>"20190305135012882"</f>
        <v>20190305135012882</v>
      </c>
      <c r="B3988" t="str">
        <f>"1551765012874231"</f>
        <v>1551765012874231</v>
      </c>
      <c r="C3988" t="s">
        <v>40</v>
      </c>
      <c r="D3988">
        <v>3.7676639999999999</v>
      </c>
      <c r="E3988">
        <v>0.46066829999999998</v>
      </c>
      <c r="F3988" t="s">
        <v>78</v>
      </c>
      <c r="G3988">
        <v>-294.54610000000002</v>
      </c>
      <c r="H3988" s="1">
        <v>1.700811E-6</v>
      </c>
      <c r="I3988">
        <v>219.26179999999999</v>
      </c>
      <c r="J3988">
        <v>-316.42989999999998</v>
      </c>
      <c r="K3988">
        <v>1.1093679999999999</v>
      </c>
      <c r="L3988">
        <v>214.99039999999999</v>
      </c>
      <c r="M3988">
        <v>0.9998399</v>
      </c>
      <c r="N3988">
        <v>-1.48273E-2</v>
      </c>
      <c r="O3988">
        <v>-1.002166E-2</v>
      </c>
      <c r="P3988">
        <v>0.99521340000000003</v>
      </c>
      <c r="Q3988">
        <v>-4.863468E-2</v>
      </c>
      <c r="R3988">
        <v>8.4764759999999995E-2</v>
      </c>
      <c r="S3988">
        <v>2.959381</v>
      </c>
      <c r="T3988">
        <v>-0.14679210000000001</v>
      </c>
      <c r="U3988">
        <v>0.5645599</v>
      </c>
      <c r="V3988">
        <v>-9.4736860000000006E-2</v>
      </c>
      <c r="W3988">
        <v>-3.3882849999999999E-2</v>
      </c>
      <c r="X3988">
        <v>0.99492559999999997</v>
      </c>
      <c r="Y3988">
        <v>-0.19691449999999999</v>
      </c>
      <c r="Z3988">
        <v>6.6565729999999998E-3</v>
      </c>
      <c r="AA3988">
        <v>0.98039810000000005</v>
      </c>
      <c r="AB3988">
        <v>49</v>
      </c>
      <c r="AC3988">
        <v>21.883799999999901</v>
      </c>
      <c r="AD3988">
        <v>-1.1093662991889901</v>
      </c>
      <c r="AE3988">
        <v>4.2713999999999999</v>
      </c>
      <c r="AF3988">
        <v>-4.4794326309095096</v>
      </c>
      <c r="AG3988">
        <v>-1.1093662991889901</v>
      </c>
      <c r="AH3988">
        <v>21.785958006873599</v>
      </c>
      <c r="AI3988">
        <v>92.855418948923301</v>
      </c>
      <c r="AJ3988">
        <v>101.618718086952</v>
      </c>
      <c r="AK3988">
        <v>22.2693506092542</v>
      </c>
      <c r="AL3988">
        <v>91.941715886466497</v>
      </c>
      <c r="AM3988">
        <v>95.439307099962704</v>
      </c>
      <c r="AN3988">
        <v>1.00000003485107</v>
      </c>
    </row>
    <row r="3989" spans="1:40" x14ac:dyDescent="0.25">
      <c r="A3989" t="str">
        <f>"20190305135012897"</f>
        <v>20190305135012897</v>
      </c>
      <c r="B3989" t="str">
        <f>"1551765012894724"</f>
        <v>1551765012894724</v>
      </c>
      <c r="C3989" t="s">
        <v>40</v>
      </c>
      <c r="D3989">
        <v>3.7743639999999998</v>
      </c>
      <c r="E3989">
        <v>0.46089930000000001</v>
      </c>
      <c r="F3989" t="s">
        <v>78</v>
      </c>
      <c r="G3989">
        <v>-294.90359999999998</v>
      </c>
      <c r="H3989" s="1">
        <v>1.7642260000000001E-6</v>
      </c>
      <c r="I3989">
        <v>219.11259999999999</v>
      </c>
      <c r="J3989">
        <v>-316.09820000000002</v>
      </c>
      <c r="K3989">
        <v>1.1093789999999999</v>
      </c>
      <c r="L3989">
        <v>214.9871</v>
      </c>
      <c r="M3989">
        <v>0.99984039999999996</v>
      </c>
      <c r="N3989">
        <v>-1.481996E-2</v>
      </c>
      <c r="O3989">
        <v>-9.9925929999999993E-3</v>
      </c>
      <c r="P3989">
        <v>0.99521320000000002</v>
      </c>
      <c r="Q3989">
        <v>-4.8499920000000002E-2</v>
      </c>
      <c r="R3989">
        <v>8.4845539999999997E-2</v>
      </c>
      <c r="S3989">
        <v>2.95871</v>
      </c>
      <c r="T3989">
        <v>-0.15247849999999999</v>
      </c>
      <c r="U3989">
        <v>0.56657409999999997</v>
      </c>
      <c r="V3989">
        <v>-9.4787549999999998E-2</v>
      </c>
      <c r="W3989">
        <v>-3.3757469999999998E-2</v>
      </c>
      <c r="X3989">
        <v>0.99492499999999995</v>
      </c>
      <c r="Y3989">
        <v>-0.1975478</v>
      </c>
      <c r="Z3989">
        <v>6.8830310000000004E-3</v>
      </c>
      <c r="AA3989">
        <v>0.9802691</v>
      </c>
      <c r="AB3989">
        <v>49</v>
      </c>
      <c r="AC3989">
        <v>21.194600000000001</v>
      </c>
      <c r="AD3989">
        <v>-1.1093772357739999</v>
      </c>
      <c r="AE3989">
        <v>4.1254999999999802</v>
      </c>
      <c r="AF3989">
        <v>-4.32568762544983</v>
      </c>
      <c r="AG3989">
        <v>-1.1093772357739999</v>
      </c>
      <c r="AH3989">
        <v>21.0966234816892</v>
      </c>
      <c r="AI3989">
        <v>92.948917211446101</v>
      </c>
      <c r="AJ3989">
        <v>101.58741929697101</v>
      </c>
      <c r="AK3989">
        <v>21.564086199335701</v>
      </c>
      <c r="AL3989">
        <v>91.934528095425406</v>
      </c>
      <c r="AM3989">
        <v>95.442203254682497</v>
      </c>
      <c r="AN3989">
        <v>1.0000000010204</v>
      </c>
    </row>
    <row r="3990" spans="1:40" x14ac:dyDescent="0.25">
      <c r="A3990" t="str">
        <f>"20190305135012915"</f>
        <v>20190305135012915</v>
      </c>
      <c r="B3990" t="str">
        <f>"1551765012904484"</f>
        <v>1551765012904484</v>
      </c>
      <c r="C3990" t="s">
        <v>40</v>
      </c>
      <c r="D3990">
        <v>3.7941980000000002</v>
      </c>
      <c r="E3990">
        <v>0.46113559999999998</v>
      </c>
      <c r="F3990" t="s">
        <v>78</v>
      </c>
      <c r="G3990">
        <v>-294.4862</v>
      </c>
      <c r="H3990" s="1">
        <v>1.690189E-6</v>
      </c>
      <c r="I3990">
        <v>219.1156</v>
      </c>
      <c r="J3990">
        <v>-315.71660000000003</v>
      </c>
      <c r="K3990">
        <v>1.109391</v>
      </c>
      <c r="L3990">
        <v>214.98330000000001</v>
      </c>
      <c r="M3990">
        <v>0.99984070000000003</v>
      </c>
      <c r="N3990">
        <v>-1.481186E-2</v>
      </c>
      <c r="O3990">
        <v>-9.9580420000000003E-3</v>
      </c>
      <c r="P3990">
        <v>0.99518320000000005</v>
      </c>
      <c r="Q3990">
        <v>-4.8526519999999997E-2</v>
      </c>
      <c r="R3990">
        <v>8.5180779999999998E-2</v>
      </c>
      <c r="S3990">
        <v>2.9588320000000001</v>
      </c>
      <c r="T3990">
        <v>-0.15188119999999999</v>
      </c>
      <c r="U3990">
        <v>0.5652161</v>
      </c>
      <c r="V3990">
        <v>-9.5087260000000007E-2</v>
      </c>
      <c r="W3990">
        <v>-3.3794650000000002E-2</v>
      </c>
      <c r="X3990">
        <v>0.99489519999999998</v>
      </c>
      <c r="Y3990">
        <v>-0.19707549999999999</v>
      </c>
      <c r="Z3990">
        <v>6.8437339999999998E-3</v>
      </c>
      <c r="AA3990">
        <v>0.98036440000000002</v>
      </c>
      <c r="AB3990">
        <v>49</v>
      </c>
      <c r="AC3990">
        <v>21.230399999999999</v>
      </c>
      <c r="AD3990">
        <v>-1.1093893098109999</v>
      </c>
      <c r="AE3990">
        <v>4.1322999999999803</v>
      </c>
      <c r="AF3990">
        <v>-4.3321341174022896</v>
      </c>
      <c r="AG3990">
        <v>-1.1093893098109999</v>
      </c>
      <c r="AH3990">
        <v>21.132595487737198</v>
      </c>
      <c r="AI3990">
        <v>92.943963797208298</v>
      </c>
      <c r="AJ3990">
        <v>101.585001443659</v>
      </c>
      <c r="AK3990">
        <v>21.600572277146199</v>
      </c>
      <c r="AL3990">
        <v>91.936659450172399</v>
      </c>
      <c r="AM3990">
        <v>95.459469763065101</v>
      </c>
      <c r="AN3990">
        <v>1.0000000621829801</v>
      </c>
    </row>
    <row r="3991" spans="1:40" x14ac:dyDescent="0.25">
      <c r="A3991" t="str">
        <f>"20190305135012938"</f>
        <v>20190305135012938</v>
      </c>
      <c r="B3991" t="str">
        <f>"1551765012933764"</f>
        <v>1551765012933764</v>
      </c>
      <c r="C3991" t="s">
        <v>40</v>
      </c>
      <c r="D3991">
        <v>3.8013620000000001</v>
      </c>
      <c r="E3991">
        <v>0.46158749999999998</v>
      </c>
      <c r="F3991" t="s">
        <v>78</v>
      </c>
      <c r="G3991">
        <v>-294.10210000000001</v>
      </c>
      <c r="H3991" s="1">
        <v>1.6220530000000001E-6</v>
      </c>
      <c r="I3991">
        <v>219.1062</v>
      </c>
      <c r="J3991">
        <v>-315.21719999999999</v>
      </c>
      <c r="K3991">
        <v>1.1094029999999999</v>
      </c>
      <c r="L3991">
        <v>214.97839999999999</v>
      </c>
      <c r="M3991">
        <v>0.99984139999999999</v>
      </c>
      <c r="N3991">
        <v>-1.480189E-2</v>
      </c>
      <c r="O3991">
        <v>-9.9115450000000008E-3</v>
      </c>
      <c r="P3991">
        <v>0.9951911</v>
      </c>
      <c r="Q3991">
        <v>-4.8331789999999999E-2</v>
      </c>
      <c r="R3991">
        <v>8.5199620000000004E-2</v>
      </c>
      <c r="S3991">
        <v>2.9588009999999998</v>
      </c>
      <c r="T3991">
        <v>-0.1518641</v>
      </c>
      <c r="U3991">
        <v>0.56437680000000001</v>
      </c>
      <c r="V3991">
        <v>-9.5059379999999999E-2</v>
      </c>
      <c r="W3991">
        <v>-3.36119E-2</v>
      </c>
      <c r="X3991">
        <v>0.99490400000000001</v>
      </c>
      <c r="Y3991">
        <v>-0.1967641</v>
      </c>
      <c r="Z3991">
        <v>6.8304510000000004E-3</v>
      </c>
      <c r="AA3991">
        <v>0.9804271</v>
      </c>
      <c r="AB3991">
        <v>49</v>
      </c>
      <c r="AC3991">
        <v>21.115099999999899</v>
      </c>
      <c r="AD3991">
        <v>-1.109401377947</v>
      </c>
      <c r="AE3991">
        <v>4.1277999999999997</v>
      </c>
      <c r="AF3991">
        <v>-4.32540252904111</v>
      </c>
      <c r="AG3991">
        <v>-1.109401377947</v>
      </c>
      <c r="AH3991">
        <v>21.017262281472799</v>
      </c>
      <c r="AI3991">
        <v>92.959653870322995</v>
      </c>
      <c r="AJ3991">
        <v>101.62923796210499</v>
      </c>
      <c r="AK3991">
        <v>21.486395515857101</v>
      </c>
      <c r="AL3991">
        <v>91.926182800680394</v>
      </c>
      <c r="AM3991">
        <v>95.457830706181397</v>
      </c>
      <c r="AN3991">
        <v>1.0000000073817901</v>
      </c>
    </row>
    <row r="3992" spans="1:40" x14ac:dyDescent="0.25">
      <c r="A3992" t="str">
        <f>"20190305135012961"</f>
        <v>20190305135012961</v>
      </c>
      <c r="B3992" t="str">
        <f>"1551765012954259"</f>
        <v>1551765012954259</v>
      </c>
      <c r="C3992" t="s">
        <v>40</v>
      </c>
      <c r="D3992">
        <v>3.7724199999999999</v>
      </c>
      <c r="E3992">
        <v>0.46155259999999998</v>
      </c>
      <c r="F3992" t="s">
        <v>78</v>
      </c>
      <c r="G3992">
        <v>-293.02690000000001</v>
      </c>
      <c r="H3992" s="1">
        <v>1.4313419999999899E-6</v>
      </c>
      <c r="I3992">
        <v>219.1842</v>
      </c>
      <c r="J3992">
        <v>-314.72969999999998</v>
      </c>
      <c r="K3992">
        <v>1.1094109999999999</v>
      </c>
      <c r="L3992">
        <v>214.9736</v>
      </c>
      <c r="M3992">
        <v>0.99984189999999995</v>
      </c>
      <c r="N3992">
        <v>-1.4795630000000001E-2</v>
      </c>
      <c r="O3992">
        <v>-9.8652289999999997E-3</v>
      </c>
      <c r="P3992">
        <v>0.99516939999999998</v>
      </c>
      <c r="Q3992">
        <v>-4.8456680000000002E-2</v>
      </c>
      <c r="R3992">
        <v>8.5381310000000002E-2</v>
      </c>
      <c r="S3992">
        <v>2.9592900000000002</v>
      </c>
      <c r="T3992">
        <v>-0.14794959999999999</v>
      </c>
      <c r="U3992">
        <v>0.56088260000000001</v>
      </c>
      <c r="V3992">
        <v>-9.5194619999999994E-2</v>
      </c>
      <c r="W3992">
        <v>-3.3745079999999997E-2</v>
      </c>
      <c r="X3992">
        <v>0.99488659999999995</v>
      </c>
      <c r="Y3992">
        <v>-0.1955886</v>
      </c>
      <c r="Z3992">
        <v>6.648134E-3</v>
      </c>
      <c r="AA3992">
        <v>0.98066350000000002</v>
      </c>
      <c r="AB3992">
        <v>49</v>
      </c>
      <c r="AC3992">
        <v>21.7027999999999</v>
      </c>
      <c r="AD3992">
        <v>-1.1094095686579999</v>
      </c>
      <c r="AE3992">
        <v>4.2106000000000003</v>
      </c>
      <c r="AF3992">
        <v>-4.4134073518740902</v>
      </c>
      <c r="AG3992">
        <v>-1.1094095686579999</v>
      </c>
      <c r="AH3992">
        <v>21.605790980365999</v>
      </c>
      <c r="AI3992">
        <v>92.880060442752907</v>
      </c>
      <c r="AJ3992">
        <v>101.544962116728</v>
      </c>
      <c r="AK3992">
        <v>22.079836003282999</v>
      </c>
      <c r="AL3992">
        <v>91.933817708089805</v>
      </c>
      <c r="AM3992">
        <v>95.465643530506796</v>
      </c>
      <c r="AN3992">
        <v>1.00000004648035</v>
      </c>
    </row>
    <row r="3993" spans="1:40" x14ac:dyDescent="0.25">
      <c r="A3993" t="str">
        <f>"20190305135012974"</f>
        <v>20190305135012974</v>
      </c>
      <c r="B3993" t="str">
        <f>"1551765012964020"</f>
        <v>1551765012964020</v>
      </c>
      <c r="C3993" t="s">
        <v>40</v>
      </c>
      <c r="D3993">
        <v>3.8883589999999999</v>
      </c>
      <c r="E3993">
        <v>0.46155259999999998</v>
      </c>
      <c r="F3993" t="s">
        <v>78</v>
      </c>
      <c r="G3993">
        <v>-292.32799999999997</v>
      </c>
      <c r="H3993" s="1">
        <v>1.3073529999999999E-6</v>
      </c>
      <c r="I3993">
        <v>219.2268</v>
      </c>
      <c r="J3993">
        <v>-314.43009999999998</v>
      </c>
      <c r="K3993">
        <v>1.1094200000000001</v>
      </c>
      <c r="L3993">
        <v>214.97059999999999</v>
      </c>
      <c r="M3993">
        <v>0.99984229999999996</v>
      </c>
      <c r="N3993">
        <v>-1.479487E-2</v>
      </c>
      <c r="O3993">
        <v>-9.8366619999999995E-3</v>
      </c>
      <c r="P3993">
        <v>0.995147</v>
      </c>
      <c r="Q3993">
        <v>-4.8680830000000001E-2</v>
      </c>
      <c r="R3993">
        <v>8.5515690000000005E-2</v>
      </c>
      <c r="S3993">
        <v>2.9591980000000002</v>
      </c>
      <c r="T3993">
        <v>-0.14654929999999999</v>
      </c>
      <c r="U3993">
        <v>0.56184389999999995</v>
      </c>
      <c r="V3993">
        <v>-9.5299679999999998E-2</v>
      </c>
      <c r="W3993">
        <v>-3.3971210000000002E-2</v>
      </c>
      <c r="X3993">
        <v>0.9948688</v>
      </c>
      <c r="Y3993">
        <v>-0.19587840000000001</v>
      </c>
      <c r="Z3993">
        <v>6.6059869999999998E-3</v>
      </c>
      <c r="AA3993">
        <v>0.98060599999999998</v>
      </c>
      <c r="AB3993">
        <v>49</v>
      </c>
      <c r="AC3993">
        <v>22.1021</v>
      </c>
      <c r="AD3993">
        <v>-1.109418692647</v>
      </c>
      <c r="AE3993">
        <v>4.2561999999999998</v>
      </c>
      <c r="AF3993">
        <v>-4.4625870009825199</v>
      </c>
      <c r="AG3993">
        <v>-1.109418692647</v>
      </c>
      <c r="AH3993">
        <v>22.005697037083699</v>
      </c>
      <c r="AI3993">
        <v>92.828645746851294</v>
      </c>
      <c r="AJ3993">
        <v>101.463685917597</v>
      </c>
      <c r="AK3993">
        <v>22.4810185415352</v>
      </c>
      <c r="AL3993">
        <v>91.946781524132703</v>
      </c>
      <c r="AM3993">
        <v>95.471736315080094</v>
      </c>
      <c r="AN3993">
        <v>1.0000000006651999</v>
      </c>
    </row>
    <row r="3994" spans="1:40" x14ac:dyDescent="0.25">
      <c r="A3994" t="str">
        <f>"20190305135012989"</f>
        <v>20190305135012989</v>
      </c>
      <c r="B3994" t="str">
        <f>"1551765012984516"</f>
        <v>1551765012984516</v>
      </c>
      <c r="C3994" t="s">
        <v>40</v>
      </c>
      <c r="D3994">
        <v>3.784929</v>
      </c>
      <c r="E3994">
        <v>0.46122600000000002</v>
      </c>
      <c r="F3994" t="s">
        <v>78</v>
      </c>
      <c r="G3994">
        <v>-292.13130000000001</v>
      </c>
      <c r="H3994" s="1">
        <v>1.272474E-6</v>
      </c>
      <c r="I3994">
        <v>219.2072</v>
      </c>
      <c r="J3994">
        <v>-314.11840000000001</v>
      </c>
      <c r="K3994">
        <v>1.1094269999999999</v>
      </c>
      <c r="L3994">
        <v>214.9676</v>
      </c>
      <c r="M3994">
        <v>0.99984249999999997</v>
      </c>
      <c r="N3994">
        <v>-1.479624E-2</v>
      </c>
      <c r="O3994">
        <v>-9.806805E-3</v>
      </c>
      <c r="P3994">
        <v>0.99513890000000005</v>
      </c>
      <c r="Q3994">
        <v>-4.8743269999999998E-2</v>
      </c>
      <c r="R3994">
        <v>8.5575890000000002E-2</v>
      </c>
      <c r="S3994">
        <v>2.9591059999999998</v>
      </c>
      <c r="T3994">
        <v>-0.1472232</v>
      </c>
      <c r="U3994">
        <v>0.56221009999999905</v>
      </c>
      <c r="V3994">
        <v>-9.5329849999999994E-2</v>
      </c>
      <c r="W3994">
        <v>-3.4033220000000003E-2</v>
      </c>
      <c r="X3994">
        <v>0.99486379999999996</v>
      </c>
      <c r="Y3994">
        <v>-0.19596910000000001</v>
      </c>
      <c r="Z3994">
        <v>6.6324019999999999E-3</v>
      </c>
      <c r="AA3994">
        <v>0.98058769999999995</v>
      </c>
      <c r="AB3994">
        <v>48</v>
      </c>
      <c r="AC3994">
        <v>21.987100000000002</v>
      </c>
      <c r="AD3994">
        <v>-1.109425727526</v>
      </c>
      <c r="AE3994">
        <v>4.2395999999999896</v>
      </c>
      <c r="AF3994">
        <v>-4.4441336655228003</v>
      </c>
      <c r="AG3994">
        <v>-1.109425727526</v>
      </c>
      <c r="AH3994">
        <v>21.8907248430164</v>
      </c>
      <c r="AI3994">
        <v>92.843372874106194</v>
      </c>
      <c r="AJ3994">
        <v>101.475908667209</v>
      </c>
      <c r="AK3994">
        <v>22.364815752305802</v>
      </c>
      <c r="AL3994">
        <v>91.950336471945704</v>
      </c>
      <c r="AM3994">
        <v>95.473485382400597</v>
      </c>
      <c r="AN3994">
        <v>1.00000001045751</v>
      </c>
    </row>
    <row r="3995" spans="1:40" x14ac:dyDescent="0.25">
      <c r="A3995" t="str">
        <f>"20190305135013005"</f>
        <v>20190305135013005</v>
      </c>
      <c r="B3995" t="str">
        <f>"1551765012994276"</f>
        <v>1551765012994276</v>
      </c>
      <c r="C3995" t="s">
        <v>40</v>
      </c>
      <c r="D3995">
        <v>3.801679</v>
      </c>
      <c r="E3995">
        <v>0.46097510000000003</v>
      </c>
      <c r="F3995" t="s">
        <v>78</v>
      </c>
      <c r="G3995">
        <v>-291.61329999999998</v>
      </c>
      <c r="H3995" s="1">
        <v>1.180584E-6</v>
      </c>
      <c r="I3995">
        <v>219.26560000000001</v>
      </c>
      <c r="J3995">
        <v>-313.75349999999997</v>
      </c>
      <c r="K3995">
        <v>1.109432</v>
      </c>
      <c r="L3995">
        <v>214.964</v>
      </c>
      <c r="M3995">
        <v>0.99984289999999998</v>
      </c>
      <c r="N3995">
        <v>-1.4799079999999999E-2</v>
      </c>
      <c r="O3995">
        <v>-9.7715920000000008E-3</v>
      </c>
      <c r="P3995">
        <v>0.99510069999999995</v>
      </c>
      <c r="Q3995">
        <v>-4.8648869999999997E-2</v>
      </c>
      <c r="R3995">
        <v>8.6070720000000003E-2</v>
      </c>
      <c r="S3995">
        <v>2.9589539999999999</v>
      </c>
      <c r="T3995">
        <v>-0.14586650000000001</v>
      </c>
      <c r="U3995">
        <v>0.56510930000000004</v>
      </c>
      <c r="V3995">
        <v>-9.5788869999999998E-2</v>
      </c>
      <c r="W3995">
        <v>-3.393753E-2</v>
      </c>
      <c r="X3995">
        <v>0.99482300000000001</v>
      </c>
      <c r="Y3995">
        <v>-0.19687470000000001</v>
      </c>
      <c r="Z3995">
        <v>6.6113430000000004E-3</v>
      </c>
      <c r="AA3995">
        <v>0.98040629999999995</v>
      </c>
      <c r="AB3995">
        <v>48</v>
      </c>
      <c r="AC3995">
        <v>22.1402</v>
      </c>
      <c r="AD3995">
        <v>-1.1094308194159901</v>
      </c>
      <c r="AE3995">
        <v>4.3015999999999703</v>
      </c>
      <c r="AF3995">
        <v>-4.5068584052820304</v>
      </c>
      <c r="AG3995">
        <v>-1.1094308194159901</v>
      </c>
      <c r="AH3995">
        <v>22.043767330611601</v>
      </c>
      <c r="AI3995">
        <v>92.822885508079096</v>
      </c>
      <c r="AJ3995">
        <v>101.554906571071</v>
      </c>
      <c r="AK3995">
        <v>22.527101179567499</v>
      </c>
      <c r="AL3995">
        <v>91.944850627101502</v>
      </c>
      <c r="AM3995">
        <v>95.499903572064895</v>
      </c>
      <c r="AN3995">
        <v>1.00000003244368</v>
      </c>
    </row>
    <row r="3996" spans="1:40" x14ac:dyDescent="0.25">
      <c r="A3996" t="str">
        <f>"20190305135013028"</f>
        <v>20190305135013028</v>
      </c>
      <c r="B3996" t="str">
        <f>"1551765013024531"</f>
        <v>1551765013024531</v>
      </c>
      <c r="C3996" t="s">
        <v>40</v>
      </c>
      <c r="D3996">
        <v>3.784049</v>
      </c>
      <c r="E3996">
        <v>0.46070440000000001</v>
      </c>
      <c r="F3996" t="s">
        <v>78</v>
      </c>
      <c r="G3996">
        <v>-291.09690000000001</v>
      </c>
      <c r="H3996" s="1">
        <v>1.0889799999999999E-6</v>
      </c>
      <c r="I3996">
        <v>219.3184</v>
      </c>
      <c r="J3996">
        <v>-313.27839999999998</v>
      </c>
      <c r="K3996">
        <v>1.1094409999999999</v>
      </c>
      <c r="L3996">
        <v>214.95939999999999</v>
      </c>
      <c r="M3996">
        <v>0.99984320000000004</v>
      </c>
      <c r="N3996">
        <v>-1.480273E-2</v>
      </c>
      <c r="O3996">
        <v>-9.7226569999999991E-3</v>
      </c>
      <c r="P3996">
        <v>0.99506430000000001</v>
      </c>
      <c r="Q3996">
        <v>-4.8759259999999999E-2</v>
      </c>
      <c r="R3996">
        <v>8.6427240000000002E-2</v>
      </c>
      <c r="S3996">
        <v>2.9585270000000001</v>
      </c>
      <c r="T3996">
        <v>-0.1448709</v>
      </c>
      <c r="U3996">
        <v>0.56860350000000004</v>
      </c>
      <c r="V3996">
        <v>-9.6095910000000007E-2</v>
      </c>
      <c r="W3996">
        <v>-3.4045980000000003E-2</v>
      </c>
      <c r="X3996">
        <v>0.9947897</v>
      </c>
      <c r="Y3996">
        <v>-0.1979717</v>
      </c>
      <c r="Z3996">
        <v>6.6091209999999999E-3</v>
      </c>
      <c r="AA3996">
        <v>0.98018539999999998</v>
      </c>
      <c r="AB3996">
        <v>48</v>
      </c>
      <c r="AC3996">
        <v>22.1814999999999</v>
      </c>
      <c r="AD3996">
        <v>-1.1094399110199999</v>
      </c>
      <c r="AE3996">
        <v>4.359</v>
      </c>
      <c r="AF3996">
        <v>-4.5634889123481601</v>
      </c>
      <c r="AG3996">
        <v>-1.1094399110199999</v>
      </c>
      <c r="AH3996">
        <v>22.084871381066598</v>
      </c>
      <c r="AI3996">
        <v>92.816451912945794</v>
      </c>
      <c r="AJ3996">
        <v>101.67495177915001</v>
      </c>
      <c r="AK3996">
        <v>22.578703060351899</v>
      </c>
      <c r="AL3996">
        <v>91.951067912929105</v>
      </c>
      <c r="AM3996">
        <v>95.517607809295697</v>
      </c>
      <c r="AN3996">
        <v>1.0000000499494801</v>
      </c>
    </row>
    <row r="3997" spans="1:40" x14ac:dyDescent="0.25">
      <c r="A3997" t="str">
        <f>"20190305135013050"</f>
        <v>20190305135013050</v>
      </c>
      <c r="B3997" t="str">
        <f>"1551765013044052"</f>
        <v>1551765013044052</v>
      </c>
      <c r="C3997" t="s">
        <v>40</v>
      </c>
      <c r="D3997">
        <v>3.6818279999999999</v>
      </c>
      <c r="E3997">
        <v>0.46060600000000002</v>
      </c>
      <c r="F3997" t="s">
        <v>78</v>
      </c>
      <c r="G3997">
        <v>-290.69349999999997</v>
      </c>
      <c r="H3997" s="1">
        <v>1.0174289999999999E-6</v>
      </c>
      <c r="I3997">
        <v>219.3244</v>
      </c>
      <c r="J3997">
        <v>-312.79180000000002</v>
      </c>
      <c r="K3997">
        <v>1.109445</v>
      </c>
      <c r="L3997">
        <v>214.9547</v>
      </c>
      <c r="M3997">
        <v>0.99984379999999995</v>
      </c>
      <c r="N3997">
        <v>-1.480587E-2</v>
      </c>
      <c r="O3997">
        <v>-9.6672640000000001E-3</v>
      </c>
      <c r="P3997">
        <v>0.99501309999999998</v>
      </c>
      <c r="Q3997">
        <v>-4.8898610000000002E-2</v>
      </c>
      <c r="R3997">
        <v>8.6936760000000002E-2</v>
      </c>
      <c r="S3997">
        <v>2.9581300000000001</v>
      </c>
      <c r="T3997">
        <v>-0.14531250000000001</v>
      </c>
      <c r="U3997">
        <v>0.57171629999999996</v>
      </c>
      <c r="V3997">
        <v>-9.6548930000000005E-2</v>
      </c>
      <c r="W3997">
        <v>-3.4184340000000001E-2</v>
      </c>
      <c r="X3997">
        <v>0.99474099999999999</v>
      </c>
      <c r="Y3997">
        <v>-0.198933</v>
      </c>
      <c r="Z3997">
        <v>6.6544869999999997E-3</v>
      </c>
      <c r="AA3997">
        <v>0.97999049999999999</v>
      </c>
      <c r="AB3997">
        <v>48</v>
      </c>
      <c r="AC3997">
        <v>22.098299999999998</v>
      </c>
      <c r="AD3997">
        <v>-1.1094439825710001</v>
      </c>
      <c r="AE3997">
        <v>4.3696999999999901</v>
      </c>
      <c r="AF3997">
        <v>-4.5720588521340604</v>
      </c>
      <c r="AG3997">
        <v>-1.1094439825710001</v>
      </c>
      <c r="AH3997">
        <v>22.001650282389701</v>
      </c>
      <c r="AI3997">
        <v>92.826441552880794</v>
      </c>
      <c r="AJ3997">
        <v>101.739288574207</v>
      </c>
      <c r="AK3997">
        <v>22.4990489409312</v>
      </c>
      <c r="AL3997">
        <v>91.959000148032501</v>
      </c>
      <c r="AM3997">
        <v>95.543727240621294</v>
      </c>
      <c r="AN3997">
        <v>0.999999961033189</v>
      </c>
    </row>
    <row r="3998" spans="1:40" x14ac:dyDescent="0.25">
      <c r="A3998" t="str">
        <f>"20190305135013073"</f>
        <v>20190305135013073</v>
      </c>
      <c r="B3998" t="str">
        <f>"1551765013064547"</f>
        <v>1551765013064547</v>
      </c>
      <c r="C3998" t="s">
        <v>40</v>
      </c>
      <c r="D3998">
        <v>3.77861</v>
      </c>
      <c r="E3998">
        <v>0.4601326</v>
      </c>
      <c r="F3998" t="s">
        <v>78</v>
      </c>
      <c r="G3998">
        <v>-290.28949999999998</v>
      </c>
      <c r="H3998" s="1">
        <v>9.4575850000000003E-7</v>
      </c>
      <c r="I3998">
        <v>219.3211</v>
      </c>
      <c r="J3998">
        <v>-312.29880000000003</v>
      </c>
      <c r="K3998">
        <v>1.1094520000000001</v>
      </c>
      <c r="L3998">
        <v>214.95</v>
      </c>
      <c r="M3998">
        <v>0.99984430000000002</v>
      </c>
      <c r="N3998">
        <v>-1.480857E-2</v>
      </c>
      <c r="O3998">
        <v>-9.5995379999999995E-3</v>
      </c>
      <c r="P3998">
        <v>0.99494669999999996</v>
      </c>
      <c r="Q3998">
        <v>-4.9607829999999999E-2</v>
      </c>
      <c r="R3998">
        <v>8.7294369999999996E-2</v>
      </c>
      <c r="S3998">
        <v>2.9577330000000002</v>
      </c>
      <c r="T3998">
        <v>-0.14582679999999901</v>
      </c>
      <c r="U3998">
        <v>0.57392880000000002</v>
      </c>
      <c r="V3998">
        <v>-9.6838270000000004E-2</v>
      </c>
      <c r="W3998">
        <v>-3.489387E-2</v>
      </c>
      <c r="X3998">
        <v>0.99468829999999997</v>
      </c>
      <c r="Y3998">
        <v>-0.19959470000000001</v>
      </c>
      <c r="Z3998">
        <v>6.692735E-3</v>
      </c>
      <c r="AA3998">
        <v>0.9798557</v>
      </c>
      <c r="AB3998">
        <v>48</v>
      </c>
      <c r="AC3998">
        <v>22.0093</v>
      </c>
      <c r="AD3998">
        <v>-1.1094510542414999</v>
      </c>
      <c r="AE3998">
        <v>4.37110000000001</v>
      </c>
      <c r="AF3998">
        <v>-4.5710266117508498</v>
      </c>
      <c r="AG3998">
        <v>-1.1094510542414999</v>
      </c>
      <c r="AH3998">
        <v>21.9127531757626</v>
      </c>
      <c r="AI3998">
        <v>92.8374574271174</v>
      </c>
      <c r="AJ3998">
        <v>101.782997363954</v>
      </c>
      <c r="AK3998">
        <v>22.411914636393401</v>
      </c>
      <c r="AL3998">
        <v>91.999677370348493</v>
      </c>
      <c r="AM3998">
        <v>95.560529593248702</v>
      </c>
      <c r="AN3998">
        <v>1.00000002342852</v>
      </c>
    </row>
    <row r="3999" spans="1:40" x14ac:dyDescent="0.25">
      <c r="A3999" t="str">
        <f>"20190305135013086"</f>
        <v>20190305135013086</v>
      </c>
      <c r="B3999" t="str">
        <f>"1551765013074308"</f>
        <v>1551765013074308</v>
      </c>
      <c r="C3999" t="s">
        <v>40</v>
      </c>
      <c r="D3999">
        <v>3.7780179999999999</v>
      </c>
      <c r="E3999">
        <v>0.46001890000000001</v>
      </c>
      <c r="F3999" t="s">
        <v>78</v>
      </c>
      <c r="G3999">
        <v>-290.15820000000002</v>
      </c>
      <c r="H3999" s="1">
        <v>9.2247950000000003E-7</v>
      </c>
      <c r="I3999">
        <v>219.28380000000001</v>
      </c>
      <c r="J3999">
        <v>-311.99930000000001</v>
      </c>
      <c r="K3999">
        <v>1.109456</v>
      </c>
      <c r="L3999">
        <v>214.94710000000001</v>
      </c>
      <c r="M3999">
        <v>0.99984470000000003</v>
      </c>
      <c r="N3999">
        <v>-1.481007E-2</v>
      </c>
      <c r="O3999">
        <v>-9.5530700000000003E-3</v>
      </c>
      <c r="P3999">
        <v>0.99489939999999999</v>
      </c>
      <c r="Q3999">
        <v>-5.0073399999999997E-2</v>
      </c>
      <c r="R3999">
        <v>8.7565690000000002E-2</v>
      </c>
      <c r="S3999">
        <v>2.9570620000000001</v>
      </c>
      <c r="T3999">
        <v>-0.1481769</v>
      </c>
      <c r="U3999">
        <v>0.57882690000000003</v>
      </c>
      <c r="V3999">
        <v>-9.7061960000000003E-2</v>
      </c>
      <c r="W3999">
        <v>-3.5360030000000001E-2</v>
      </c>
      <c r="X3999">
        <v>0.99465000000000003</v>
      </c>
      <c r="Y3999">
        <v>-0.20114270000000001</v>
      </c>
      <c r="Z3999">
        <v>6.8278419999999998E-3</v>
      </c>
      <c r="AA3999">
        <v>0.97953809999999997</v>
      </c>
      <c r="AB3999">
        <v>48</v>
      </c>
      <c r="AC3999">
        <v>21.841099999999901</v>
      </c>
      <c r="AD3999">
        <v>-1.1094550775204901</v>
      </c>
      <c r="AE3999">
        <v>4.3367000000000004</v>
      </c>
      <c r="AF3999">
        <v>-4.5339193607587198</v>
      </c>
      <c r="AG3999">
        <v>-1.1094550775204901</v>
      </c>
      <c r="AH3999">
        <v>21.744690081735499</v>
      </c>
      <c r="AI3999">
        <v>92.859415785236607</v>
      </c>
      <c r="AJ3999">
        <v>101.777823205777</v>
      </c>
      <c r="AK3999">
        <v>22.240028374299001</v>
      </c>
      <c r="AL3999">
        <v>92.026402933450896</v>
      </c>
      <c r="AM3999">
        <v>95.573506526374103</v>
      </c>
      <c r="AN3999">
        <v>0.99999998915032096</v>
      </c>
    </row>
    <row r="4000" spans="1:40" x14ac:dyDescent="0.25">
      <c r="A4000" t="str">
        <f>"20190305135013105"</f>
        <v>20190305135013105</v>
      </c>
      <c r="B4000" t="str">
        <f>"1551765013094821"</f>
        <v>1551765013094821</v>
      </c>
      <c r="C4000" t="s">
        <v>40</v>
      </c>
      <c r="D4000">
        <v>3.824973</v>
      </c>
      <c r="E4000">
        <v>0.45965919999999999</v>
      </c>
      <c r="F4000" t="s">
        <v>78</v>
      </c>
      <c r="G4000">
        <v>-289.97899999999998</v>
      </c>
      <c r="H4000" s="1">
        <v>8.9068939999999998E-7</v>
      </c>
      <c r="I4000">
        <v>219.27080000000001</v>
      </c>
      <c r="J4000">
        <v>-311.59780000000001</v>
      </c>
      <c r="K4000">
        <v>1.1094569999999999</v>
      </c>
      <c r="L4000">
        <v>214.94329999999999</v>
      </c>
      <c r="M4000">
        <v>0.9998454</v>
      </c>
      <c r="N4000">
        <v>-1.481186E-2</v>
      </c>
      <c r="O4000">
        <v>-9.480657E-3</v>
      </c>
      <c r="P4000">
        <v>0.99485570000000001</v>
      </c>
      <c r="Q4000">
        <v>-5.0899380000000001E-2</v>
      </c>
      <c r="R4000">
        <v>8.7587570000000003E-2</v>
      </c>
      <c r="S4000">
        <v>2.9568180000000002</v>
      </c>
      <c r="T4000">
        <v>-0.14897469999999999</v>
      </c>
      <c r="U4000">
        <v>0.58056640000000004</v>
      </c>
      <c r="V4000">
        <v>-9.7010719999999995E-2</v>
      </c>
      <c r="W4000">
        <v>-3.6187179999999999E-2</v>
      </c>
      <c r="X4000">
        <v>0.99462530000000005</v>
      </c>
      <c r="Y4000">
        <v>-0.20163800000000001</v>
      </c>
      <c r="Z4000">
        <v>6.8711329999999998E-3</v>
      </c>
      <c r="AA4000">
        <v>0.97943599999999997</v>
      </c>
      <c r="AB4000">
        <v>48</v>
      </c>
      <c r="AC4000">
        <v>21.618799999999901</v>
      </c>
      <c r="AD4000">
        <v>-1.1094561093105999</v>
      </c>
      <c r="AE4000">
        <v>4.3275000000000103</v>
      </c>
      <c r="AF4000">
        <v>-4.5208407838714502</v>
      </c>
      <c r="AG4000">
        <v>-1.1094561093105999</v>
      </c>
      <c r="AH4000">
        <v>21.5222977779408</v>
      </c>
      <c r="AI4000">
        <v>92.888021016184794</v>
      </c>
      <c r="AJ4000">
        <v>101.862732299443</v>
      </c>
      <c r="AK4000">
        <v>22.019949952122001</v>
      </c>
      <c r="AL4000">
        <v>92.073825388931994</v>
      </c>
      <c r="AM4000">
        <v>95.570720193787196</v>
      </c>
      <c r="AN4000">
        <v>1.0000000395956701</v>
      </c>
    </row>
    <row r="4001" spans="1:40" x14ac:dyDescent="0.25">
      <c r="A4001" t="str">
        <f>"20190305135013127"</f>
        <v>20190305135013127</v>
      </c>
      <c r="B4001" t="str">
        <f>"1551765013124084"</f>
        <v>1551765013124084</v>
      </c>
      <c r="C4001" t="s">
        <v>40</v>
      </c>
      <c r="D4001">
        <v>3.8568799999999999</v>
      </c>
      <c r="E4001">
        <v>0.4883921</v>
      </c>
      <c r="F4001" t="s">
        <v>78</v>
      </c>
      <c r="G4001">
        <v>-289.82080000000002</v>
      </c>
      <c r="H4001" s="1">
        <v>2.1844249999999998E-6</v>
      </c>
      <c r="I4001">
        <v>219.2415</v>
      </c>
      <c r="J4001">
        <v>-311.11959999999999</v>
      </c>
      <c r="K4001">
        <v>1.109469</v>
      </c>
      <c r="L4001">
        <v>214.93889999999999</v>
      </c>
      <c r="M4001">
        <v>0.99984640000000002</v>
      </c>
      <c r="N4001">
        <v>-1.481363E-2</v>
      </c>
      <c r="O4001">
        <v>-9.3678990000000007E-3</v>
      </c>
      <c r="P4001">
        <v>0.99481989999999998</v>
      </c>
      <c r="Q4001">
        <v>-5.1405050000000001E-2</v>
      </c>
      <c r="R4001">
        <v>8.7698470000000001E-2</v>
      </c>
      <c r="S4001">
        <v>2.9564210000000002</v>
      </c>
      <c r="T4001">
        <v>-0.15061869999999999</v>
      </c>
      <c r="U4001">
        <v>0.58351140000000001</v>
      </c>
      <c r="V4001">
        <v>-9.7007019999999999E-2</v>
      </c>
      <c r="W4001">
        <v>-3.6696230000000003E-2</v>
      </c>
      <c r="X4001">
        <v>0.99460700000000002</v>
      </c>
      <c r="Y4001">
        <v>-0.20248369999999999</v>
      </c>
      <c r="Z4001">
        <v>6.9559369999999997E-3</v>
      </c>
      <c r="AA4001">
        <v>0.97926089999999999</v>
      </c>
      <c r="AB4001">
        <v>48</v>
      </c>
      <c r="AC4001">
        <v>21.2987999999999</v>
      </c>
      <c r="AD4001">
        <v>-1.109466815575</v>
      </c>
      <c r="AE4001">
        <v>4.3026000000000098</v>
      </c>
      <c r="AF4001">
        <v>-4.49025180165851</v>
      </c>
      <c r="AG4001">
        <v>-1.109466815575</v>
      </c>
      <c r="AH4001">
        <v>21.202279299978599</v>
      </c>
      <c r="AI4001">
        <v>92.930543550080898</v>
      </c>
      <c r="AJ4001">
        <v>101.957508504907</v>
      </c>
      <c r="AK4001">
        <v>21.7009199199357</v>
      </c>
      <c r="AL4001">
        <v>92.1030112109638</v>
      </c>
      <c r="AM4001">
        <v>95.570610910660207</v>
      </c>
      <c r="AN4001">
        <v>1.00000002983724</v>
      </c>
    </row>
    <row r="4002" spans="1:40" x14ac:dyDescent="0.25">
      <c r="A4002" t="str">
        <f>"20190305135013151"</f>
        <v>20190305135013151</v>
      </c>
      <c r="B4002" t="str">
        <f>"1551765013144579"</f>
        <v>1551765013144579</v>
      </c>
      <c r="C4002" t="s">
        <v>40</v>
      </c>
      <c r="D4002">
        <v>3.8656169999999999</v>
      </c>
      <c r="E4002">
        <v>0.49457099999999998</v>
      </c>
      <c r="F4002" t="s">
        <v>74</v>
      </c>
      <c r="G4002">
        <v>-251.73759999999999</v>
      </c>
      <c r="H4002">
        <v>8.0000199999999994E-2</v>
      </c>
      <c r="I4002">
        <v>222.10059999999999</v>
      </c>
      <c r="J4002">
        <v>-310.62909999999999</v>
      </c>
      <c r="K4002">
        <v>1.1095029999999999</v>
      </c>
      <c r="L4002">
        <v>214.93440000000001</v>
      </c>
      <c r="M4002">
        <v>0.99984779999999995</v>
      </c>
      <c r="N4002">
        <v>-1.481493E-2</v>
      </c>
      <c r="O4002">
        <v>-9.2066439999999999E-3</v>
      </c>
      <c r="P4002">
        <v>0.99473730000000005</v>
      </c>
      <c r="Q4002">
        <v>-5.201215E-2</v>
      </c>
      <c r="R4002">
        <v>8.8274930000000001E-2</v>
      </c>
      <c r="S4002">
        <v>2.981293</v>
      </c>
      <c r="T4002">
        <v>-5.1684859999999999E-2</v>
      </c>
      <c r="U4002">
        <v>0.35955809999999999</v>
      </c>
      <c r="V4002">
        <v>-9.7419759999999994E-2</v>
      </c>
      <c r="W4002">
        <v>-3.7310879999999998E-2</v>
      </c>
      <c r="X4002">
        <v>0.99454370000000003</v>
      </c>
      <c r="Y4002">
        <v>-0.1288378</v>
      </c>
      <c r="Z4002">
        <v>2.0938189999999998E-3</v>
      </c>
      <c r="AA4002">
        <v>0.99166350000000003</v>
      </c>
      <c r="AB4002">
        <v>48</v>
      </c>
      <c r="AC4002">
        <v>58.891500000000001</v>
      </c>
      <c r="AD4002">
        <v>-1.0295027999999999</v>
      </c>
      <c r="AE4002">
        <v>7.1661999999999697</v>
      </c>
      <c r="AF4002">
        <v>-7.70582831509335</v>
      </c>
      <c r="AG4002">
        <v>-1.0295027999999999</v>
      </c>
      <c r="AH4002">
        <v>58.805311067641</v>
      </c>
      <c r="AI4002">
        <v>90.994472845608698</v>
      </c>
      <c r="AJ4002">
        <v>97.4654828147617</v>
      </c>
      <c r="AK4002">
        <v>59.316981344290703</v>
      </c>
      <c r="AL4002">
        <v>92.138252386089206</v>
      </c>
      <c r="AM4002">
        <v>95.594516199181697</v>
      </c>
      <c r="AN4002">
        <v>0.999999941307259</v>
      </c>
    </row>
    <row r="4003" spans="1:40" x14ac:dyDescent="0.25">
      <c r="A4003" t="str">
        <f>"20190305135013165"</f>
        <v>20190305135013165</v>
      </c>
      <c r="B4003" t="str">
        <f>"1551765013154341"</f>
        <v>1551765013154341</v>
      </c>
      <c r="C4003" t="s">
        <v>40</v>
      </c>
      <c r="D4003">
        <v>3.8219080000000001</v>
      </c>
      <c r="E4003">
        <v>0.4957742</v>
      </c>
      <c r="F4003" t="s">
        <v>74</v>
      </c>
      <c r="G4003">
        <v>-258.30259999999998</v>
      </c>
      <c r="H4003">
        <v>8.0000730000000006E-2</v>
      </c>
      <c r="I4003">
        <v>220.39830000000001</v>
      </c>
      <c r="J4003">
        <v>-310.31689999999998</v>
      </c>
      <c r="K4003">
        <v>1.109531</v>
      </c>
      <c r="L4003">
        <v>214.9316</v>
      </c>
      <c r="M4003">
        <v>0.99984919999999999</v>
      </c>
      <c r="N4003">
        <v>-1.4815490000000001E-2</v>
      </c>
      <c r="O4003">
        <v>-9.0716930000000005E-3</v>
      </c>
      <c r="P4003">
        <v>0.9947165</v>
      </c>
      <c r="Q4003">
        <v>-5.1912609999999998E-2</v>
      </c>
      <c r="R4003">
        <v>8.8568320000000006E-2</v>
      </c>
      <c r="S4003">
        <v>2.9851380000000001</v>
      </c>
      <c r="T4003">
        <v>-5.8731440000000003E-2</v>
      </c>
      <c r="U4003">
        <v>0.3117065</v>
      </c>
      <c r="V4003">
        <v>-9.757565E-2</v>
      </c>
      <c r="W4003">
        <v>-3.721766E-2</v>
      </c>
      <c r="X4003">
        <v>0.99453199999999997</v>
      </c>
      <c r="Y4003">
        <v>-0.11283600000000001</v>
      </c>
      <c r="Z4003">
        <v>1.9891739999999998E-3</v>
      </c>
      <c r="AA4003">
        <v>0.99361160000000004</v>
      </c>
      <c r="AB4003">
        <v>48</v>
      </c>
      <c r="AC4003">
        <v>52.014299999999899</v>
      </c>
      <c r="AD4003">
        <v>-1.02953027</v>
      </c>
      <c r="AE4003">
        <v>5.4667000000000003</v>
      </c>
      <c r="AF4003">
        <v>-5.9360843276540596</v>
      </c>
      <c r="AG4003">
        <v>-1.02953027</v>
      </c>
      <c r="AH4003">
        <v>51.942434315196799</v>
      </c>
      <c r="AI4003">
        <v>91.128146916349493</v>
      </c>
      <c r="AJ4003">
        <v>96.519590647211103</v>
      </c>
      <c r="AK4003">
        <v>52.290663720308601</v>
      </c>
      <c r="AL4003">
        <v>92.132907370915504</v>
      </c>
      <c r="AM4003">
        <v>95.6034770534107</v>
      </c>
      <c r="AN4003">
        <v>1.0000000303563901</v>
      </c>
    </row>
    <row r="4004" spans="1:40" x14ac:dyDescent="0.25">
      <c r="A4004" t="str">
        <f>"20190305135013183"</f>
        <v>20190305135013183</v>
      </c>
      <c r="B4004" t="str">
        <f>"1551765013173860"</f>
        <v>1551765013173860</v>
      </c>
      <c r="C4004" t="s">
        <v>40</v>
      </c>
      <c r="D4004">
        <v>3.8157640000000002</v>
      </c>
      <c r="E4004">
        <v>0.49731619999999999</v>
      </c>
      <c r="F4004" t="s">
        <v>74</v>
      </c>
      <c r="G4004">
        <v>-258.75799999999998</v>
      </c>
      <c r="H4004">
        <v>8.0000879999999996E-2</v>
      </c>
      <c r="I4004">
        <v>220.16679999999999</v>
      </c>
      <c r="J4004">
        <v>-309.91730000000001</v>
      </c>
      <c r="K4004">
        <v>1.109569</v>
      </c>
      <c r="L4004">
        <v>214.9281</v>
      </c>
      <c r="M4004">
        <v>0.99985089999999999</v>
      </c>
      <c r="N4004">
        <v>-1.4816070000000001E-2</v>
      </c>
      <c r="O4004">
        <v>-8.8711129999999999E-3</v>
      </c>
      <c r="P4004">
        <v>0.99463840000000003</v>
      </c>
      <c r="Q4004">
        <v>-5.2565180000000003E-2</v>
      </c>
      <c r="R4004">
        <v>8.9059479999999996E-2</v>
      </c>
      <c r="S4004">
        <v>2.9858090000000002</v>
      </c>
      <c r="T4004">
        <v>-5.9620859999999998E-2</v>
      </c>
      <c r="U4004">
        <v>0.30317690000000003</v>
      </c>
      <c r="V4004">
        <v>-9.7862969999999994E-2</v>
      </c>
      <c r="W4004">
        <v>-3.7879870000000003E-2</v>
      </c>
      <c r="X4004">
        <v>0.9944788</v>
      </c>
      <c r="Y4004">
        <v>-0.1098045</v>
      </c>
      <c r="Z4004">
        <v>1.9546770000000002E-3</v>
      </c>
      <c r="AA4004">
        <v>0.99395129999999998</v>
      </c>
      <c r="AB4004">
        <v>48</v>
      </c>
      <c r="AC4004">
        <v>51.159300000000002</v>
      </c>
      <c r="AD4004">
        <v>-1.02956812</v>
      </c>
      <c r="AE4004">
        <v>5.2386999999999899</v>
      </c>
      <c r="AF4004">
        <v>-5.6901029512572903</v>
      </c>
      <c r="AG4004">
        <v>-1.02956812</v>
      </c>
      <c r="AH4004">
        <v>51.090331134585398</v>
      </c>
      <c r="AI4004">
        <v>91.147371373192101</v>
      </c>
      <c r="AJ4004">
        <v>96.355035060756904</v>
      </c>
      <c r="AK4004">
        <v>51.416526696687797</v>
      </c>
      <c r="AL4004">
        <v>92.170875909947597</v>
      </c>
      <c r="AM4004">
        <v>95.62017022149</v>
      </c>
      <c r="AN4004">
        <v>1.00000006454893</v>
      </c>
    </row>
    <row r="4005" spans="1:40" x14ac:dyDescent="0.25">
      <c r="A4005" t="str">
        <f>"20190305135013200"</f>
        <v>20190305135013200</v>
      </c>
      <c r="B4005" t="str">
        <f>"1551765013194357"</f>
        <v>1551765013194357</v>
      </c>
      <c r="C4005" t="s">
        <v>40</v>
      </c>
      <c r="D4005">
        <v>3.8145370000000001</v>
      </c>
      <c r="E4005">
        <v>0.49800100000000003</v>
      </c>
      <c r="F4005" t="s">
        <v>74</v>
      </c>
      <c r="G4005">
        <v>-261.97919999999999</v>
      </c>
      <c r="H4005">
        <v>3.4682360000000002E-2</v>
      </c>
      <c r="I4005">
        <v>219.6163</v>
      </c>
      <c r="J4005">
        <v>-309.58249999999998</v>
      </c>
      <c r="K4005">
        <v>1.1096090000000001</v>
      </c>
      <c r="L4005">
        <v>214.92529999999999</v>
      </c>
      <c r="M4005">
        <v>0.99985270000000004</v>
      </c>
      <c r="N4005">
        <v>-1.4816309999999999E-2</v>
      </c>
      <c r="O4005">
        <v>-8.6700890000000006E-3</v>
      </c>
      <c r="P4005">
        <v>0.99459520000000001</v>
      </c>
      <c r="Q4005">
        <v>-5.2904020000000003E-2</v>
      </c>
      <c r="R4005">
        <v>8.9340829999999996E-2</v>
      </c>
      <c r="S4005">
        <v>2.9864809999999999</v>
      </c>
      <c r="T4005">
        <v>-6.6963910000000001E-2</v>
      </c>
      <c r="U4005">
        <v>0.29206850000000001</v>
      </c>
      <c r="V4005">
        <v>-9.7940849999999996E-2</v>
      </c>
      <c r="W4005">
        <v>-3.8227700000000003E-2</v>
      </c>
      <c r="X4005">
        <v>0.99445779999999995</v>
      </c>
      <c r="Y4005">
        <v>-0.10591449999999999</v>
      </c>
      <c r="Z4005">
        <v>2.036951E-3</v>
      </c>
      <c r="AA4005">
        <v>0.99437310000000001</v>
      </c>
      <c r="AB4005">
        <v>48</v>
      </c>
      <c r="AC4005">
        <v>47.603299999999898</v>
      </c>
      <c r="AD4005">
        <v>-1.0749266399999999</v>
      </c>
      <c r="AE4005">
        <v>4.6909999999999998</v>
      </c>
      <c r="AF4005">
        <v>-5.1010177932699898</v>
      </c>
      <c r="AG4005">
        <v>-1.0749266399999999</v>
      </c>
      <c r="AH4005">
        <v>47.536828713486699</v>
      </c>
      <c r="AI4005">
        <v>91.287988504174805</v>
      </c>
      <c r="AJ4005">
        <v>96.124781478794404</v>
      </c>
      <c r="AK4005">
        <v>47.821814415013698</v>
      </c>
      <c r="AL4005">
        <v>92.190819595456304</v>
      </c>
      <c r="AM4005">
        <v>95.624732135687907</v>
      </c>
      <c r="AN4005">
        <v>1.00000004156342</v>
      </c>
    </row>
    <row r="4006" spans="1:40" x14ac:dyDescent="0.25">
      <c r="A4006" t="str">
        <f>"20190305135013217"</f>
        <v>20190305135013217</v>
      </c>
      <c r="B4006" t="str">
        <f>"1551765013214852"</f>
        <v>1551765013214852</v>
      </c>
      <c r="C4006" t="s">
        <v>40</v>
      </c>
      <c r="D4006">
        <v>3.8282919999999998</v>
      </c>
      <c r="E4006">
        <v>0.49837160000000003</v>
      </c>
      <c r="F4006" t="s">
        <v>74</v>
      </c>
      <c r="G4006">
        <v>-263.81880000000001</v>
      </c>
      <c r="H4006" s="1">
        <v>2.8932159999999998E-7</v>
      </c>
      <c r="I4006">
        <v>219.33019999999999</v>
      </c>
      <c r="J4006">
        <v>-309.1934</v>
      </c>
      <c r="K4006">
        <v>1.109661</v>
      </c>
      <c r="L4006">
        <v>214.9221</v>
      </c>
      <c r="M4006">
        <v>0.99985500000000005</v>
      </c>
      <c r="N4006">
        <v>-1.4816330000000001E-2</v>
      </c>
      <c r="O4006">
        <v>-8.3930459999999995E-3</v>
      </c>
      <c r="P4006">
        <v>0.99456500000000003</v>
      </c>
      <c r="Q4006">
        <v>-5.279847E-2</v>
      </c>
      <c r="R4006">
        <v>8.9739369999999999E-2</v>
      </c>
      <c r="S4006">
        <v>2.9866329999999999</v>
      </c>
      <c r="T4006">
        <v>-7.2415350000000003E-2</v>
      </c>
      <c r="U4006">
        <v>0.2874756</v>
      </c>
      <c r="V4006">
        <v>-9.8059289999999993E-2</v>
      </c>
      <c r="W4006">
        <v>-3.8134059999999997E-2</v>
      </c>
      <c r="X4006">
        <v>0.99444969999999999</v>
      </c>
      <c r="Y4006">
        <v>-0.10411380000000001</v>
      </c>
      <c r="Z4006">
        <v>2.1113640000000001E-3</v>
      </c>
      <c r="AA4006">
        <v>0.99456319999999998</v>
      </c>
      <c r="AB4006">
        <v>48</v>
      </c>
      <c r="AC4006">
        <v>45.374600000000001</v>
      </c>
      <c r="AD4006">
        <v>-1.1096607106784</v>
      </c>
      <c r="AE4006">
        <v>4.4080999999999904</v>
      </c>
      <c r="AF4006">
        <v>-4.7859820094380998</v>
      </c>
      <c r="AG4006">
        <v>-1.1096607106784</v>
      </c>
      <c r="AH4006">
        <v>45.309155146776497</v>
      </c>
      <c r="AI4006">
        <v>91.395184380313395</v>
      </c>
      <c r="AJ4006">
        <v>96.029763252000095</v>
      </c>
      <c r="AK4006">
        <v>45.574735444126802</v>
      </c>
      <c r="AL4006">
        <v>92.185450554718003</v>
      </c>
      <c r="AM4006">
        <v>95.631536009933598</v>
      </c>
      <c r="AN4006">
        <v>1.0000000183587301</v>
      </c>
    </row>
    <row r="4007" spans="1:40" x14ac:dyDescent="0.25">
      <c r="A4007" t="str">
        <f>"20190305135013240"</f>
        <v>20190305135013240</v>
      </c>
      <c r="B4007" t="str">
        <f>"1551765013234373"</f>
        <v>1551765013234373</v>
      </c>
      <c r="C4007" t="s">
        <v>40</v>
      </c>
      <c r="D4007">
        <v>3.876004</v>
      </c>
      <c r="E4007">
        <v>0.49847390000000003</v>
      </c>
      <c r="F4007" t="s">
        <v>74</v>
      </c>
      <c r="G4007">
        <v>-265.42399999999998</v>
      </c>
      <c r="H4007" s="1">
        <v>1.1532240000000001E-6</v>
      </c>
      <c r="I4007">
        <v>219.10810000000001</v>
      </c>
      <c r="J4007">
        <v>-308.70999999999998</v>
      </c>
      <c r="K4007">
        <v>1.109739</v>
      </c>
      <c r="L4007">
        <v>214.91839999999999</v>
      </c>
      <c r="M4007">
        <v>0.99985849999999998</v>
      </c>
      <c r="N4007">
        <v>-1.481612E-2</v>
      </c>
      <c r="O4007">
        <v>-7.9742719999999993E-3</v>
      </c>
      <c r="P4007">
        <v>0.99456449999999996</v>
      </c>
      <c r="Q4007">
        <v>-5.1868129999999998E-2</v>
      </c>
      <c r="R4007">
        <v>9.0284530000000002E-2</v>
      </c>
      <c r="S4007">
        <v>2.9866030000000001</v>
      </c>
      <c r="T4007">
        <v>-7.5717569999999998E-2</v>
      </c>
      <c r="U4007">
        <v>0.28562929999999997</v>
      </c>
      <c r="V4007">
        <v>-9.8182149999999996E-2</v>
      </c>
      <c r="W4007">
        <v>-3.7220429999999999E-2</v>
      </c>
      <c r="X4007">
        <v>0.99447209999999997</v>
      </c>
      <c r="Y4007">
        <v>-0.1030857</v>
      </c>
      <c r="Z4007">
        <v>2.153018E-3</v>
      </c>
      <c r="AA4007">
        <v>0.99467019999999995</v>
      </c>
      <c r="AB4007">
        <v>48</v>
      </c>
      <c r="AC4007">
        <v>43.285999999999902</v>
      </c>
      <c r="AD4007">
        <v>-1.109737846776</v>
      </c>
      <c r="AE4007">
        <v>4.18970000000001</v>
      </c>
      <c r="AF4007">
        <v>-4.5318279650167899</v>
      </c>
      <c r="AG4007">
        <v>-1.109737846776</v>
      </c>
      <c r="AH4007">
        <v>43.223064270292497</v>
      </c>
      <c r="AI4007">
        <v>91.462712735550497</v>
      </c>
      <c r="AJ4007">
        <v>95.985447516357198</v>
      </c>
      <c r="AK4007">
        <v>43.474156319667799</v>
      </c>
      <c r="AL4007">
        <v>92.133066412251793</v>
      </c>
      <c r="AM4007">
        <v>95.638420221549495</v>
      </c>
      <c r="AN4007">
        <v>0.999999926333206</v>
      </c>
    </row>
    <row r="4008" spans="1:40" x14ac:dyDescent="0.25">
      <c r="A4008" t="str">
        <f>"20190305135013262"</f>
        <v>20190305135013262</v>
      </c>
      <c r="B4008" t="str">
        <f>"1551765013253892"</f>
        <v>1551765013253892</v>
      </c>
      <c r="C4008" t="s">
        <v>40</v>
      </c>
      <c r="D4008">
        <v>3.8641169999999998</v>
      </c>
      <c r="E4008">
        <v>0.49871330000000003</v>
      </c>
      <c r="F4008" t="s">
        <v>74</v>
      </c>
      <c r="G4008">
        <v>-263.84829999999999</v>
      </c>
      <c r="H4008" s="1">
        <v>3.0992359999999999E-7</v>
      </c>
      <c r="I4008">
        <v>219.21850000000001</v>
      </c>
      <c r="J4008">
        <v>-308.22379999999998</v>
      </c>
      <c r="K4008">
        <v>1.1098190000000001</v>
      </c>
      <c r="L4008">
        <v>214.91489999999999</v>
      </c>
      <c r="M4008">
        <v>0.99986240000000004</v>
      </c>
      <c r="N4008">
        <v>-1.481561E-2</v>
      </c>
      <c r="O4008">
        <v>-7.4672590000000004E-3</v>
      </c>
      <c r="P4008">
        <v>0.99453720000000001</v>
      </c>
      <c r="Q4008">
        <v>-5.1609549999999997E-2</v>
      </c>
      <c r="R4008">
        <v>9.0732599999999997E-2</v>
      </c>
      <c r="S4008">
        <v>2.986542</v>
      </c>
      <c r="T4008">
        <v>-7.3877810000000002E-2</v>
      </c>
      <c r="U4008">
        <v>0.28627010000000003</v>
      </c>
      <c r="V4008">
        <v>-9.8119040000000005E-2</v>
      </c>
      <c r="W4008">
        <v>-3.6981170000000001E-2</v>
      </c>
      <c r="X4008">
        <v>0.99448729999999996</v>
      </c>
      <c r="Y4008">
        <v>-0.1027971</v>
      </c>
      <c r="Z4008">
        <v>2.105722E-3</v>
      </c>
      <c r="AA4008">
        <v>0.99470009999999998</v>
      </c>
      <c r="AB4008">
        <v>48</v>
      </c>
      <c r="AC4008">
        <v>44.375499999999903</v>
      </c>
      <c r="AD4008">
        <v>-1.1098186900764</v>
      </c>
      <c r="AE4008">
        <v>4.3036000000000101</v>
      </c>
      <c r="AF4008">
        <v>-4.6320094387017097</v>
      </c>
      <c r="AG4008">
        <v>-1.1098186900764</v>
      </c>
      <c r="AH4008">
        <v>44.314662974265602</v>
      </c>
      <c r="AI4008">
        <v>91.426848405468604</v>
      </c>
      <c r="AJ4008">
        <v>95.967197579441901</v>
      </c>
      <c r="AK4008">
        <v>44.569906478338197</v>
      </c>
      <c r="AL4008">
        <v>92.119348282961099</v>
      </c>
      <c r="AM4008">
        <v>95.6347336921866</v>
      </c>
      <c r="AN4008">
        <v>0.99999997140318897</v>
      </c>
    </row>
    <row r="4009" spans="1:40" x14ac:dyDescent="0.25">
      <c r="A4009" t="str">
        <f>"20190305135013295"</f>
        <v>20190305135013295</v>
      </c>
      <c r="B4009" t="str">
        <f>"1551765013284151"</f>
        <v>1551765013284151</v>
      </c>
      <c r="C4009" t="s">
        <v>40</v>
      </c>
      <c r="D4009">
        <v>3.99749</v>
      </c>
      <c r="E4009">
        <v>0.50834979999999996</v>
      </c>
      <c r="F4009" t="s">
        <v>74</v>
      </c>
      <c r="G4009">
        <v>-263.46190000000001</v>
      </c>
      <c r="H4009" s="1">
        <v>1.052672E-7</v>
      </c>
      <c r="I4009">
        <v>219.1969</v>
      </c>
      <c r="J4009">
        <v>-307.52859999999998</v>
      </c>
      <c r="K4009">
        <v>1.109937</v>
      </c>
      <c r="L4009">
        <v>214.91040000000001</v>
      </c>
      <c r="M4009">
        <v>0.9998686</v>
      </c>
      <c r="N4009">
        <v>-1.4814839999999999E-2</v>
      </c>
      <c r="O4009">
        <v>-6.5818300000000003E-3</v>
      </c>
      <c r="P4009">
        <v>0.99449719999999997</v>
      </c>
      <c r="Q4009">
        <v>-5.2367179999999999E-2</v>
      </c>
      <c r="R4009">
        <v>9.0735869999999996E-2</v>
      </c>
      <c r="S4009">
        <v>2.9865719999999998</v>
      </c>
      <c r="T4009">
        <v>-7.4048639999999999E-2</v>
      </c>
      <c r="U4009">
        <v>0.285705599999999</v>
      </c>
      <c r="V4009">
        <v>-9.7229339999999997E-2</v>
      </c>
      <c r="W4009">
        <v>-3.7768330000000003E-2</v>
      </c>
      <c r="X4009">
        <v>0.99454509999999996</v>
      </c>
      <c r="Y4009">
        <v>-0.10172920000000001</v>
      </c>
      <c r="Z4009">
        <v>2.0790829999999998E-3</v>
      </c>
      <c r="AA4009">
        <v>0.99480990000000002</v>
      </c>
      <c r="AB4009">
        <v>48</v>
      </c>
      <c r="AC4009">
        <v>44.066699999999898</v>
      </c>
      <c r="AD4009">
        <v>-1.1099368947327899</v>
      </c>
      <c r="AE4009">
        <v>4.2864999999999798</v>
      </c>
      <c r="AF4009">
        <v>-4.5736041122120898</v>
      </c>
      <c r="AG4009">
        <v>-1.1099368947327899</v>
      </c>
      <c r="AH4009">
        <v>44.009870228780201</v>
      </c>
      <c r="AI4009">
        <v>91.436968280734803</v>
      </c>
      <c r="AJ4009">
        <v>95.933008180438193</v>
      </c>
      <c r="AK4009">
        <v>44.260800851764998</v>
      </c>
      <c r="AL4009">
        <v>92.164480759586795</v>
      </c>
      <c r="AM4009">
        <v>95.583642326813404</v>
      </c>
      <c r="AN4009">
        <v>0.99999997362091597</v>
      </c>
    </row>
    <row r="4010" spans="1:40" x14ac:dyDescent="0.25">
      <c r="A4010" t="str">
        <f>"20190305135013317"</f>
        <v>20190305135013317</v>
      </c>
      <c r="B4010" t="str">
        <f>"1551765013314403"</f>
        <v>1551765013314403</v>
      </c>
      <c r="C4010" t="s">
        <v>40</v>
      </c>
      <c r="D4010">
        <v>3.979482</v>
      </c>
      <c r="E4010">
        <v>0.50022979999999995</v>
      </c>
      <c r="F4010" t="s">
        <v>78</v>
      </c>
      <c r="G4010">
        <v>-290.94319999999999</v>
      </c>
      <c r="H4010" s="1">
        <v>1.0617210000000001E-6</v>
      </c>
      <c r="I4010">
        <v>216.0444</v>
      </c>
      <c r="J4010">
        <v>-307.05489999999998</v>
      </c>
      <c r="K4010">
        <v>1.110034</v>
      </c>
      <c r="L4010">
        <v>214.90790000000001</v>
      </c>
      <c r="M4010">
        <v>0.99987320000000002</v>
      </c>
      <c r="N4010">
        <v>-1.481414E-2</v>
      </c>
      <c r="O4010">
        <v>-5.8661470000000004E-3</v>
      </c>
      <c r="P4010">
        <v>0.99443269999999995</v>
      </c>
      <c r="Q4010">
        <v>-5.3445689999999997E-2</v>
      </c>
      <c r="R4010">
        <v>9.0816220000000003E-2</v>
      </c>
      <c r="S4010">
        <v>2.9874269999999998</v>
      </c>
      <c r="T4010">
        <v>-0.19992660000000001</v>
      </c>
      <c r="U4010">
        <v>0.2042542</v>
      </c>
      <c r="V4010">
        <v>-9.6587419999999993E-2</v>
      </c>
      <c r="W4010">
        <v>-3.8868710000000001E-2</v>
      </c>
      <c r="X4010">
        <v>0.99456529999999999</v>
      </c>
      <c r="Y4010">
        <v>-7.3854970000000006E-2</v>
      </c>
      <c r="Z4010">
        <v>3.319093E-3</v>
      </c>
      <c r="AA4010">
        <v>0.99726349999999997</v>
      </c>
      <c r="AB4010">
        <v>48</v>
      </c>
      <c r="AC4010">
        <v>16.1116999999999</v>
      </c>
      <c r="AD4010">
        <v>-1.110032938279</v>
      </c>
      <c r="AE4010">
        <v>1.1364999999999801</v>
      </c>
      <c r="AF4010">
        <v>-1.22521749229701</v>
      </c>
      <c r="AG4010">
        <v>-1.110032938279</v>
      </c>
      <c r="AH4010">
        <v>16.029047225785899</v>
      </c>
      <c r="AI4010">
        <v>93.949998788343706</v>
      </c>
      <c r="AJ4010">
        <v>94.371036509406807</v>
      </c>
      <c r="AK4010">
        <v>16.114083467388699</v>
      </c>
      <c r="AL4010">
        <v>92.227574125774396</v>
      </c>
      <c r="AM4010">
        <v>95.546897149549295</v>
      </c>
      <c r="AN4010">
        <v>1.0000000211416999</v>
      </c>
    </row>
    <row r="4011" spans="1:40" x14ac:dyDescent="0.25">
      <c r="A4011" t="str">
        <f>"20190305135013340"</f>
        <v>20190305135013340</v>
      </c>
      <c r="B4011" t="str">
        <f>"1551765013333924"</f>
        <v>1551765013333924</v>
      </c>
      <c r="C4011" t="s">
        <v>40</v>
      </c>
      <c r="D4011">
        <v>3.8909050000000001</v>
      </c>
      <c r="E4011">
        <v>0.49884210000000001</v>
      </c>
      <c r="F4011" t="s">
        <v>74</v>
      </c>
      <c r="G4011">
        <v>-263.56650000000002</v>
      </c>
      <c r="H4011" s="1">
        <v>1.7402039999999999E-7</v>
      </c>
      <c r="I4011">
        <v>218.8965</v>
      </c>
      <c r="J4011">
        <v>-306.56830000000002</v>
      </c>
      <c r="K4011">
        <v>1.110131</v>
      </c>
      <c r="L4011">
        <v>214.90559999999999</v>
      </c>
      <c r="M4011">
        <v>0.99987769999999998</v>
      </c>
      <c r="N4011">
        <v>-1.481327E-2</v>
      </c>
      <c r="O4011">
        <v>-5.0454280000000002E-3</v>
      </c>
      <c r="P4011">
        <v>0.99438629999999995</v>
      </c>
      <c r="Q4011">
        <v>-5.3965859999999997E-2</v>
      </c>
      <c r="R4011">
        <v>9.1017260000000003E-2</v>
      </c>
      <c r="S4011">
        <v>2.9876710000000002</v>
      </c>
      <c r="T4011">
        <v>-7.6259729999999998E-2</v>
      </c>
      <c r="U4011">
        <v>0.27401730000000002</v>
      </c>
      <c r="V4011">
        <v>-9.5962660000000005E-2</v>
      </c>
      <c r="W4011">
        <v>-3.9410960000000002E-2</v>
      </c>
      <c r="X4011">
        <v>0.99460440000000006</v>
      </c>
      <c r="Y4011">
        <v>-9.6306859999999994E-2</v>
      </c>
      <c r="Z4011">
        <v>1.9952820000000001E-3</v>
      </c>
      <c r="AA4011">
        <v>0.9953497</v>
      </c>
      <c r="AB4011">
        <v>48</v>
      </c>
      <c r="AC4011">
        <v>43.001800000000003</v>
      </c>
      <c r="AD4011">
        <v>-1.1101308259796001</v>
      </c>
      <c r="AE4011">
        <v>3.9909000000000101</v>
      </c>
      <c r="AF4011">
        <v>-4.20505687691844</v>
      </c>
      <c r="AG4011">
        <v>-1.1101308259796001</v>
      </c>
      <c r="AH4011">
        <v>42.952732656258</v>
      </c>
      <c r="AI4011">
        <v>91.4734619932388</v>
      </c>
      <c r="AJ4011">
        <v>95.5914180180296</v>
      </c>
      <c r="AK4011">
        <v>43.172353843969198</v>
      </c>
      <c r="AL4011">
        <v>92.258666670256602</v>
      </c>
      <c r="AM4011">
        <v>95.511024238588405</v>
      </c>
      <c r="AN4011">
        <v>0.99999998419087799</v>
      </c>
    </row>
    <row r="4012" spans="1:40" x14ac:dyDescent="0.25">
      <c r="A4012" t="str">
        <f>"20190305135013363"</f>
        <v>20190305135013363</v>
      </c>
      <c r="B4012" t="str">
        <f>"1551765013354424"</f>
        <v>1551765013354424</v>
      </c>
      <c r="C4012" t="s">
        <v>40</v>
      </c>
      <c r="D4012">
        <v>3.8822559999999999</v>
      </c>
      <c r="E4012">
        <v>0.52449040000000002</v>
      </c>
      <c r="F4012" t="s">
        <v>74</v>
      </c>
      <c r="G4012">
        <v>-266.5444</v>
      </c>
      <c r="H4012" s="1">
        <v>1.7659159999999999E-6</v>
      </c>
      <c r="I4012">
        <v>218.7319</v>
      </c>
      <c r="J4012">
        <v>-306.0872</v>
      </c>
      <c r="K4012">
        <v>1.110231</v>
      </c>
      <c r="L4012">
        <v>214.90389999999999</v>
      </c>
      <c r="M4012">
        <v>0.99988169999999998</v>
      </c>
      <c r="N4012">
        <v>-1.4812209999999999E-2</v>
      </c>
      <c r="O4012">
        <v>-4.1480980000000002E-3</v>
      </c>
      <c r="P4012">
        <v>0.99429829999999997</v>
      </c>
      <c r="Q4012">
        <v>-5.4002769999999999E-2</v>
      </c>
      <c r="R4012">
        <v>9.1951169999999999E-2</v>
      </c>
      <c r="S4012">
        <v>2.9863279999999999</v>
      </c>
      <c r="T4012">
        <v>-8.2830790000000001E-2</v>
      </c>
      <c r="U4012">
        <v>0.28549190000000002</v>
      </c>
      <c r="V4012">
        <v>-9.5994670000000004E-2</v>
      </c>
      <c r="W4012">
        <v>-3.9471659999999999E-2</v>
      </c>
      <c r="X4012">
        <v>0.99459889999999995</v>
      </c>
      <c r="Y4012">
        <v>-9.923614E-2</v>
      </c>
      <c r="Z4012">
        <v>2.1632069999999999E-3</v>
      </c>
      <c r="AA4012">
        <v>0.99506159999999999</v>
      </c>
      <c r="AB4012">
        <v>48</v>
      </c>
      <c r="AC4012">
        <v>39.5428</v>
      </c>
      <c r="AD4012">
        <v>-1.1102292340840001</v>
      </c>
      <c r="AE4012">
        <v>3.8279999999999998</v>
      </c>
      <c r="AF4012">
        <v>-3.9888972180483502</v>
      </c>
      <c r="AG4012">
        <v>-1.1102292340840001</v>
      </c>
      <c r="AH4012">
        <v>39.495733716957801</v>
      </c>
      <c r="AI4012">
        <v>91.602020983908602</v>
      </c>
      <c r="AJ4012">
        <v>95.767069161242205</v>
      </c>
      <c r="AK4012">
        <v>39.712175611633299</v>
      </c>
      <c r="AL4012">
        <v>92.262147241320704</v>
      </c>
      <c r="AM4012">
        <v>95.512881510432095</v>
      </c>
      <c r="AN4012">
        <v>0.99999998024638703</v>
      </c>
    </row>
    <row r="4013" spans="1:40" x14ac:dyDescent="0.25">
      <c r="A4013" t="str">
        <f>"20190305135013384"</f>
        <v>20190305135013384</v>
      </c>
      <c r="B4013" t="str">
        <f>"1551765013373940"</f>
        <v>1551765013373940</v>
      </c>
      <c r="C4013" t="s">
        <v>40</v>
      </c>
      <c r="D4013">
        <v>3.8472729999999999</v>
      </c>
      <c r="E4013">
        <v>0.53744780000000003</v>
      </c>
      <c r="F4013" t="s">
        <v>74</v>
      </c>
      <c r="G4013">
        <v>-246.36859999999999</v>
      </c>
      <c r="H4013" s="1">
        <v>1.765353E-6</v>
      </c>
      <c r="I4013">
        <v>216.60489999999999</v>
      </c>
      <c r="J4013">
        <v>-305.62909999999999</v>
      </c>
      <c r="K4013">
        <v>1.1103289999999999</v>
      </c>
      <c r="L4013">
        <v>214.90260000000001</v>
      </c>
      <c r="M4013">
        <v>0.99988529999999998</v>
      </c>
      <c r="N4013">
        <v>-1.481118E-2</v>
      </c>
      <c r="O4013">
        <v>-3.2160660000000001E-3</v>
      </c>
      <c r="P4013">
        <v>0.99427140000000003</v>
      </c>
      <c r="Q4013">
        <v>-5.3073469999999998E-2</v>
      </c>
      <c r="R4013">
        <v>9.2779399999999998E-2</v>
      </c>
      <c r="S4013">
        <v>3.006256</v>
      </c>
      <c r="T4013">
        <v>-5.5889370000000001E-2</v>
      </c>
      <c r="U4013">
        <v>8.5632319999999998E-2</v>
      </c>
      <c r="V4013">
        <v>-9.5889940000000007E-2</v>
      </c>
      <c r="W4013">
        <v>-3.8563760000000002E-2</v>
      </c>
      <c r="X4013">
        <v>0.99464459999999999</v>
      </c>
      <c r="Y4013">
        <v>-3.1678280000000003E-2</v>
      </c>
      <c r="Z4013">
        <v>5.4122160000000003E-4</v>
      </c>
      <c r="AA4013">
        <v>0.999498</v>
      </c>
      <c r="AB4013">
        <v>48</v>
      </c>
      <c r="AC4013">
        <v>59.2605</v>
      </c>
      <c r="AD4013">
        <v>-1.1103272346469999</v>
      </c>
      <c r="AE4013">
        <v>1.7022999999999699</v>
      </c>
      <c r="AF4013">
        <v>-1.8922340257414001</v>
      </c>
      <c r="AG4013">
        <v>-1.1103272346469999</v>
      </c>
      <c r="AH4013">
        <v>59.233941110459</v>
      </c>
      <c r="AI4013">
        <v>91.073323668354007</v>
      </c>
      <c r="AJ4013">
        <v>91.829697038380502</v>
      </c>
      <c r="AK4013">
        <v>59.274557405800103</v>
      </c>
      <c r="AL4013">
        <v>92.210088798547503</v>
      </c>
      <c r="AM4013">
        <v>95.506652494528595</v>
      </c>
      <c r="AN4013">
        <v>0.99999996224384902</v>
      </c>
    </row>
    <row r="4014" spans="1:40" x14ac:dyDescent="0.25">
      <c r="A4014" t="str">
        <f>"20190305135013408"</f>
        <v>20190305135013408</v>
      </c>
      <c r="B4014" t="str">
        <f>"1551765013404196"</f>
        <v>1551765013404196</v>
      </c>
      <c r="C4014" t="s">
        <v>40</v>
      </c>
      <c r="D4014">
        <v>3.8139240000000001</v>
      </c>
      <c r="E4014">
        <v>0.5424736</v>
      </c>
      <c r="F4014" t="s">
        <v>62</v>
      </c>
      <c r="G4014">
        <v>-199.01169999999999</v>
      </c>
      <c r="H4014" s="1">
        <v>2.3841390000000002E-6</v>
      </c>
      <c r="I4014">
        <v>214.40969999999999</v>
      </c>
      <c r="J4014">
        <v>-305.14</v>
      </c>
      <c r="K4014">
        <v>1.110436</v>
      </c>
      <c r="L4014">
        <v>214.90180000000001</v>
      </c>
      <c r="M4014">
        <v>0.999888</v>
      </c>
      <c r="N4014">
        <v>-1.4809869999999999E-2</v>
      </c>
      <c r="O4014">
        <v>-2.1490770000000001E-3</v>
      </c>
      <c r="P4014">
        <v>0.99409689999999995</v>
      </c>
      <c r="Q4014">
        <v>-5.3010050000000003E-2</v>
      </c>
      <c r="R4014">
        <v>9.4663220000000006E-2</v>
      </c>
      <c r="S4014">
        <v>3.0169069999999998</v>
      </c>
      <c r="T4014">
        <v>-3.1418439999999999E-2</v>
      </c>
      <c r="U4014">
        <v>-1.394653E-2</v>
      </c>
      <c r="V4014">
        <v>-9.6703440000000002E-2</v>
      </c>
      <c r="W4014">
        <v>-3.8526879999999999E-2</v>
      </c>
      <c r="X4014">
        <v>0.99456730000000004</v>
      </c>
      <c r="Y4014">
        <v>2.4731390000000001E-3</v>
      </c>
      <c r="Z4014" s="1">
        <v>-4.064265E-5</v>
      </c>
      <c r="AA4014">
        <v>0.99999700000000002</v>
      </c>
      <c r="AB4014">
        <v>48</v>
      </c>
      <c r="AC4014">
        <v>106.1283</v>
      </c>
      <c r="AD4014">
        <v>-1.110433615861</v>
      </c>
      <c r="AE4014">
        <v>-0.49210000000002202</v>
      </c>
      <c r="AF4014">
        <v>0.26396705636998202</v>
      </c>
      <c r="AG4014">
        <v>-1.110433615861</v>
      </c>
      <c r="AH4014">
        <v>106.11749537173699</v>
      </c>
      <c r="AI4014">
        <v>90.599530176450301</v>
      </c>
      <c r="AJ4014">
        <v>89.857477157623904</v>
      </c>
      <c r="AK4014">
        <v>106.123633397056</v>
      </c>
      <c r="AL4014">
        <v>92.207974086248498</v>
      </c>
      <c r="AM4014">
        <v>95.553507309798803</v>
      </c>
      <c r="AN4014">
        <v>0.99999999500982895</v>
      </c>
    </row>
    <row r="4015" spans="1:40" x14ac:dyDescent="0.25">
      <c r="A4015" t="str">
        <f>"20190305135013431"</f>
        <v>20190305135013431</v>
      </c>
      <c r="B4015" t="str">
        <f>"1551765013424693"</f>
        <v>1551765013424693</v>
      </c>
      <c r="C4015" t="s">
        <v>40</v>
      </c>
      <c r="D4015">
        <v>3.781622</v>
      </c>
      <c r="E4015">
        <v>0.54358430000000002</v>
      </c>
      <c r="F4015" t="s">
        <v>91</v>
      </c>
      <c r="G4015">
        <v>-107.39749999999999</v>
      </c>
      <c r="H4015">
        <v>0.27772760000000002</v>
      </c>
      <c r="I4015">
        <v>211.79730000000001</v>
      </c>
      <c r="J4015">
        <v>-304.64940000000001</v>
      </c>
      <c r="K4015">
        <v>1.110535</v>
      </c>
      <c r="L4015">
        <v>214.9016</v>
      </c>
      <c r="M4015">
        <v>0.9998899</v>
      </c>
      <c r="N4015">
        <v>-1.480835E-2</v>
      </c>
      <c r="O4015">
        <v>-1.0143769999999999E-3</v>
      </c>
      <c r="P4015">
        <v>0.99407319999999999</v>
      </c>
      <c r="Q4015">
        <v>-5.1293140000000001E-2</v>
      </c>
      <c r="R4015">
        <v>9.5853729999999998E-2</v>
      </c>
      <c r="S4015">
        <v>3.0216669999999999</v>
      </c>
      <c r="T4015">
        <v>-1.2723679999999999E-2</v>
      </c>
      <c r="U4015">
        <v>-4.7439580000000002E-2</v>
      </c>
      <c r="V4015">
        <v>-9.6762280000000006E-2</v>
      </c>
      <c r="W4015">
        <v>-3.6831370000000002E-2</v>
      </c>
      <c r="X4015">
        <v>0.9946258</v>
      </c>
      <c r="Y4015">
        <v>1.468297E-2</v>
      </c>
      <c r="Z4015">
        <v>-1.503919E-4</v>
      </c>
      <c r="AA4015">
        <v>0.99989220000000001</v>
      </c>
      <c r="AB4015">
        <v>48</v>
      </c>
      <c r="AC4015">
        <v>197.25190000000001</v>
      </c>
      <c r="AD4015">
        <v>-0.83280739999999998</v>
      </c>
      <c r="AE4015">
        <v>-3.1042999999999901</v>
      </c>
      <c r="AF4015">
        <v>2.9041369273905699</v>
      </c>
      <c r="AG4015">
        <v>-0.83280739999999998</v>
      </c>
      <c r="AH4015">
        <v>197.251432495573</v>
      </c>
      <c r="AI4015">
        <v>90.241878572435297</v>
      </c>
      <c r="AJ4015">
        <v>89.156493995806301</v>
      </c>
      <c r="AK4015">
        <v>197.27456805430899</v>
      </c>
      <c r="AL4015">
        <v>92.110759494262894</v>
      </c>
      <c r="AM4015">
        <v>95.556540455856904</v>
      </c>
      <c r="AN4015">
        <v>0.999999985336257</v>
      </c>
    </row>
    <row r="4016" spans="1:40" x14ac:dyDescent="0.25">
      <c r="A4016" t="str">
        <f>"20190305135013452"</f>
        <v>20190305135013452</v>
      </c>
      <c r="B4016" t="str">
        <f>"1551765013444212"</f>
        <v>1551765013444212</v>
      </c>
      <c r="C4016" t="s">
        <v>40</v>
      </c>
      <c r="D4016">
        <v>3.8149579999999998</v>
      </c>
      <c r="E4016">
        <v>0.54505990000000004</v>
      </c>
      <c r="F4016" t="s">
        <v>91</v>
      </c>
      <c r="G4016">
        <v>-107.39749999999999</v>
      </c>
      <c r="H4016">
        <v>0.8999779</v>
      </c>
      <c r="I4016">
        <v>211.4624</v>
      </c>
      <c r="J4016">
        <v>-304.16269999999997</v>
      </c>
      <c r="K4016">
        <v>1.1106149999999999</v>
      </c>
      <c r="L4016">
        <v>214.90190000000001</v>
      </c>
      <c r="M4016">
        <v>0.99989039999999996</v>
      </c>
      <c r="N4016">
        <v>-1.480657E-2</v>
      </c>
      <c r="O4016">
        <v>1.6198260000000001E-4</v>
      </c>
      <c r="P4016">
        <v>0.99401859999999997</v>
      </c>
      <c r="Q4016">
        <v>-5.0271509999999998E-2</v>
      </c>
      <c r="R4016">
        <v>9.6953890000000001E-2</v>
      </c>
      <c r="S4016">
        <v>3.0227970000000002</v>
      </c>
      <c r="T4016">
        <v>-3.2259229999999999E-3</v>
      </c>
      <c r="U4016">
        <v>-5.2703859999999998E-2</v>
      </c>
      <c r="V4016">
        <v>-9.6688969999999999E-2</v>
      </c>
      <c r="W4016">
        <v>-3.582871E-2</v>
      </c>
      <c r="X4016">
        <v>0.99466960000000004</v>
      </c>
      <c r="Y4016">
        <v>1.7594619999999998E-2</v>
      </c>
      <c r="Z4016">
        <v>-1.374379E-4</v>
      </c>
      <c r="AA4016">
        <v>0.99984519999999999</v>
      </c>
      <c r="AB4016">
        <v>48</v>
      </c>
      <c r="AC4016">
        <v>196.76519999999999</v>
      </c>
      <c r="AD4016">
        <v>-0.21063709999999899</v>
      </c>
      <c r="AE4016">
        <v>-3.4394999999999998</v>
      </c>
      <c r="AF4016">
        <v>3.4713720098749499</v>
      </c>
      <c r="AG4016">
        <v>-0.21063709999999899</v>
      </c>
      <c r="AH4016">
        <v>196.76441480063301</v>
      </c>
      <c r="AI4016">
        <v>90.061325796657101</v>
      </c>
      <c r="AJ4016">
        <v>88.989276927969797</v>
      </c>
      <c r="AK4016">
        <v>196.79514659527101</v>
      </c>
      <c r="AL4016">
        <v>92.0532732565526</v>
      </c>
      <c r="AM4016">
        <v>95.552114002134701</v>
      </c>
      <c r="AN4016">
        <v>1.00000003327204</v>
      </c>
    </row>
    <row r="4017" spans="1:40" x14ac:dyDescent="0.25">
      <c r="A4017" t="str">
        <f>"20190305135013474"</f>
        <v>20190305135013474</v>
      </c>
      <c r="B4017" t="str">
        <f>"1551765013464708"</f>
        <v>1551765013464708</v>
      </c>
      <c r="C4017" t="s">
        <v>40</v>
      </c>
      <c r="D4017">
        <v>3.7402820000000001</v>
      </c>
      <c r="E4017">
        <v>0.54663739999999905</v>
      </c>
      <c r="F4017" t="s">
        <v>91</v>
      </c>
      <c r="G4017">
        <v>-107.39749999999999</v>
      </c>
      <c r="H4017">
        <v>1.9050499999999999</v>
      </c>
      <c r="I4017">
        <v>210.94909999999999</v>
      </c>
      <c r="J4017">
        <v>-303.71359999999999</v>
      </c>
      <c r="K4017">
        <v>1.1106750000000001</v>
      </c>
      <c r="L4017">
        <v>214.90280000000001</v>
      </c>
      <c r="M4017">
        <v>0.99988969999999999</v>
      </c>
      <c r="N4017">
        <v>-1.480473E-2</v>
      </c>
      <c r="O4017">
        <v>1.277486E-3</v>
      </c>
      <c r="P4017">
        <v>0.99398419999999998</v>
      </c>
      <c r="Q4017">
        <v>-4.9665250000000001E-2</v>
      </c>
      <c r="R4017">
        <v>9.7615430000000003E-2</v>
      </c>
      <c r="S4017">
        <v>3.024597</v>
      </c>
      <c r="T4017">
        <v>1.2212509999999999E-2</v>
      </c>
      <c r="U4017">
        <v>-6.0760500000000002E-2</v>
      </c>
      <c r="V4017">
        <v>-9.6238050000000006E-2</v>
      </c>
      <c r="W4017">
        <v>-3.5236360000000001E-2</v>
      </c>
      <c r="X4017">
        <v>0.99473449999999997</v>
      </c>
      <c r="Y4017">
        <v>2.1362329999999999E-2</v>
      </c>
      <c r="Z4017" s="1">
        <v>-9.0962299999999995E-5</v>
      </c>
      <c r="AA4017">
        <v>0.99977179999999999</v>
      </c>
      <c r="AB4017">
        <v>48</v>
      </c>
      <c r="AC4017">
        <v>196.31610000000001</v>
      </c>
      <c r="AD4017">
        <v>0.79437499999999905</v>
      </c>
      <c r="AE4017">
        <v>-3.95370000000002</v>
      </c>
      <c r="AF4017">
        <v>4.2044464898114802</v>
      </c>
      <c r="AG4017">
        <v>0.79437499999999905</v>
      </c>
      <c r="AH4017">
        <v>196.30767550026201</v>
      </c>
      <c r="AI4017">
        <v>89.768202384290007</v>
      </c>
      <c r="AJ4017">
        <v>88.773047390018903</v>
      </c>
      <c r="AK4017">
        <v>196.35430186843999</v>
      </c>
      <c r="AL4017">
        <v>92.019312634249204</v>
      </c>
      <c r="AM4017">
        <v>95.526023424782096</v>
      </c>
      <c r="AN4017">
        <v>1.00000004441205</v>
      </c>
    </row>
    <row r="4018" spans="1:40" x14ac:dyDescent="0.25">
      <c r="A4018" t="str">
        <f>"20190305135013496"</f>
        <v>20190305135013496</v>
      </c>
      <c r="B4018" t="str">
        <f>"1551765013484229"</f>
        <v>1551765013484229</v>
      </c>
      <c r="C4018" t="s">
        <v>40</v>
      </c>
      <c r="D4018">
        <v>3.7671269999999999</v>
      </c>
      <c r="E4018">
        <v>0.54784460000000001</v>
      </c>
      <c r="F4018" t="s">
        <v>91</v>
      </c>
      <c r="G4018">
        <v>-107.39749999999999</v>
      </c>
      <c r="H4018">
        <v>2.427556</v>
      </c>
      <c r="I4018">
        <v>210.29400000000001</v>
      </c>
      <c r="J4018">
        <v>-303.24779999999998</v>
      </c>
      <c r="K4018">
        <v>1.1107370000000001</v>
      </c>
      <c r="L4018">
        <v>214.9042</v>
      </c>
      <c r="M4018">
        <v>0.99988739999999998</v>
      </c>
      <c r="N4018">
        <v>-1.480267E-2</v>
      </c>
      <c r="O4018">
        <v>2.4559930000000001E-3</v>
      </c>
      <c r="P4018">
        <v>0.99397800000000003</v>
      </c>
      <c r="Q4018">
        <v>-4.9535080000000002E-2</v>
      </c>
      <c r="R4018">
        <v>9.7745310000000002E-2</v>
      </c>
      <c r="S4018">
        <v>3.0262150000000001</v>
      </c>
      <c r="T4018">
        <v>2.0300510000000001E-2</v>
      </c>
      <c r="U4018">
        <v>-7.1044919999999998E-2</v>
      </c>
      <c r="V4018">
        <v>-9.5192020000000002E-2</v>
      </c>
      <c r="W4018">
        <v>-3.5116000000000001E-2</v>
      </c>
      <c r="X4018">
        <v>0.99483940000000004</v>
      </c>
      <c r="Y4018">
        <v>2.592568E-2</v>
      </c>
      <c r="Z4018" s="1">
        <v>-5.2150780000000001E-5</v>
      </c>
      <c r="AA4018">
        <v>0.99966390000000005</v>
      </c>
      <c r="AB4018">
        <v>48</v>
      </c>
      <c r="AC4018">
        <v>195.8503</v>
      </c>
      <c r="AD4018">
        <v>1.316819</v>
      </c>
      <c r="AE4018">
        <v>-4.6101999999999901</v>
      </c>
      <c r="AF4018">
        <v>5.0910157539162801</v>
      </c>
      <c r="AG4018">
        <v>1.316819</v>
      </c>
      <c r="AH4018">
        <v>195.82953741248701</v>
      </c>
      <c r="AI4018">
        <v>89.614861204987704</v>
      </c>
      <c r="AJ4018">
        <v>88.510806732418203</v>
      </c>
      <c r="AK4018">
        <v>195.90012806752799</v>
      </c>
      <c r="AL4018">
        <v>92.012412246985306</v>
      </c>
      <c r="AM4018">
        <v>95.465752893503705</v>
      </c>
      <c r="AN4018">
        <v>1.00000004296001</v>
      </c>
    </row>
    <row r="4019" spans="1:40" x14ac:dyDescent="0.25">
      <c r="A4019" t="str">
        <f>"20190305135013519"</f>
        <v>20190305135013519</v>
      </c>
      <c r="B4019" t="str">
        <f>"1551765013514485"</f>
        <v>1551765013514485</v>
      </c>
      <c r="C4019" t="s">
        <v>40</v>
      </c>
      <c r="D4019">
        <v>3.7459440000000002</v>
      </c>
      <c r="E4019">
        <v>0.54933460000000001</v>
      </c>
      <c r="F4019" t="s">
        <v>60</v>
      </c>
      <c r="G4019">
        <v>-121.2535</v>
      </c>
      <c r="H4019">
        <v>2.7307190000000001</v>
      </c>
      <c r="I4019">
        <v>210.09569999999999</v>
      </c>
      <c r="J4019">
        <v>-302.77550000000002</v>
      </c>
      <c r="K4019">
        <v>1.1107849999999999</v>
      </c>
      <c r="L4019">
        <v>214.90620000000001</v>
      </c>
      <c r="M4019">
        <v>0.99988379999999999</v>
      </c>
      <c r="N4019">
        <v>-1.480034E-2</v>
      </c>
      <c r="O4019">
        <v>3.6660289999999999E-3</v>
      </c>
      <c r="P4019">
        <v>0.99398520000000001</v>
      </c>
      <c r="Q4019">
        <v>-4.9189530000000002E-2</v>
      </c>
      <c r="R4019">
        <v>9.7846859999999994E-2</v>
      </c>
      <c r="S4019">
        <v>3.027374</v>
      </c>
      <c r="T4019">
        <v>2.694798E-2</v>
      </c>
      <c r="U4019">
        <v>-7.9986570000000007E-2</v>
      </c>
      <c r="V4019">
        <v>-9.4087790000000004E-2</v>
      </c>
      <c r="W4019">
        <v>-3.4778040000000003E-2</v>
      </c>
      <c r="X4019">
        <v>0.99495630000000002</v>
      </c>
      <c r="Y4019">
        <v>3.0076619999999998E-2</v>
      </c>
      <c r="Z4019" s="1">
        <v>-1.9081640000000001E-6</v>
      </c>
      <c r="AA4019">
        <v>0.99954759999999998</v>
      </c>
      <c r="AB4019">
        <v>48</v>
      </c>
      <c r="AC4019">
        <v>181.52199999999999</v>
      </c>
      <c r="AD4019">
        <v>1.61993399999999</v>
      </c>
      <c r="AE4019">
        <v>-4.81050000000001</v>
      </c>
      <c r="AF4019">
        <v>5.4755696723951104</v>
      </c>
      <c r="AG4019">
        <v>1.61993399999999</v>
      </c>
      <c r="AH4019">
        <v>181.48869878081899</v>
      </c>
      <c r="AI4019">
        <v>89.488834804270198</v>
      </c>
      <c r="AJ4019">
        <v>88.271892977464901</v>
      </c>
      <c r="AK4019">
        <v>181.578505981728</v>
      </c>
      <c r="AL4019">
        <v>91.993036753511007</v>
      </c>
      <c r="AM4019">
        <v>95.402096336334907</v>
      </c>
      <c r="AN4019">
        <v>1.0000000316015001</v>
      </c>
    </row>
    <row r="4020" spans="1:40" x14ac:dyDescent="0.25">
      <c r="A4020" t="str">
        <f>"20190305135013541"</f>
        <v>20190305135013541</v>
      </c>
      <c r="B4020" t="str">
        <f>"1551765013534004"</f>
        <v>1551765013534004</v>
      </c>
      <c r="C4020" t="s">
        <v>40</v>
      </c>
      <c r="D4020">
        <v>3.777291</v>
      </c>
      <c r="E4020">
        <v>0.55010219999999999</v>
      </c>
      <c r="F4020" t="s">
        <v>60</v>
      </c>
      <c r="G4020">
        <v>-138.91380000000001</v>
      </c>
      <c r="H4020">
        <v>2.9077109999999999</v>
      </c>
      <c r="I4020">
        <v>209.97040000000001</v>
      </c>
      <c r="J4020">
        <v>-302.28530000000001</v>
      </c>
      <c r="K4020">
        <v>1.1108309999999999</v>
      </c>
      <c r="L4020">
        <v>214.90889999999999</v>
      </c>
      <c r="M4020">
        <v>0.99987839999999995</v>
      </c>
      <c r="N4020">
        <v>-1.4797799999999899E-2</v>
      </c>
      <c r="O4020">
        <v>4.9320630000000004E-3</v>
      </c>
      <c r="P4020">
        <v>0.99394899999999997</v>
      </c>
      <c r="Q4020">
        <v>-4.9233949999999999E-2</v>
      </c>
      <c r="R4020">
        <v>9.8192799999999997E-2</v>
      </c>
      <c r="S4020">
        <v>3.028778</v>
      </c>
      <c r="T4020">
        <v>3.3214569999999999E-2</v>
      </c>
      <c r="U4020">
        <v>-9.1232300000000002E-2</v>
      </c>
      <c r="V4020">
        <v>-9.3171450000000003E-2</v>
      </c>
      <c r="W4020">
        <v>-3.4829810000000003E-2</v>
      </c>
      <c r="X4020">
        <v>0.9950407</v>
      </c>
      <c r="Y4020">
        <v>3.5037260000000001E-2</v>
      </c>
      <c r="Z4020" s="1">
        <v>5.9796580000000001E-5</v>
      </c>
      <c r="AA4020">
        <v>0.999386</v>
      </c>
      <c r="AB4020">
        <v>48</v>
      </c>
      <c r="AC4020">
        <v>163.3715</v>
      </c>
      <c r="AD4020">
        <v>1.79688</v>
      </c>
      <c r="AE4020">
        <v>-4.9384999999999701</v>
      </c>
      <c r="AF4020">
        <v>5.7435924597392596</v>
      </c>
      <c r="AG4020">
        <v>1.79688</v>
      </c>
      <c r="AH4020">
        <v>163.32541307220399</v>
      </c>
      <c r="AI4020">
        <v>89.370055824242101</v>
      </c>
      <c r="AJ4020">
        <v>87.985934682226599</v>
      </c>
      <c r="AK4020">
        <v>163.436251141795</v>
      </c>
      <c r="AL4020">
        <v>91.996004787789602</v>
      </c>
      <c r="AM4020">
        <v>95.349339832148701</v>
      </c>
      <c r="AN4020">
        <v>1.0000000147081101</v>
      </c>
    </row>
    <row r="4021" spans="1:40" x14ac:dyDescent="0.25">
      <c r="A4021" t="str">
        <f>"20190305135013563"</f>
        <v>20190305135013563</v>
      </c>
      <c r="B4021" t="str">
        <f>"1551765013554504"</f>
        <v>1551765013554504</v>
      </c>
      <c r="C4021" t="s">
        <v>40</v>
      </c>
      <c r="D4021">
        <v>3.7654459999999998</v>
      </c>
      <c r="E4021">
        <v>0.55066179999999998</v>
      </c>
      <c r="F4021" t="s">
        <v>60</v>
      </c>
      <c r="G4021">
        <v>-151.66909999999999</v>
      </c>
      <c r="H4021">
        <v>2.9115099999999998</v>
      </c>
      <c r="I4021">
        <v>210.1275</v>
      </c>
      <c r="J4021">
        <v>-301.83530000000002</v>
      </c>
      <c r="K4021">
        <v>1.110865</v>
      </c>
      <c r="L4021">
        <v>214.9119</v>
      </c>
      <c r="M4021">
        <v>0.99987199999999998</v>
      </c>
      <c r="N4021">
        <v>-1.47954E-2</v>
      </c>
      <c r="O4021">
        <v>6.0992049999999999E-3</v>
      </c>
      <c r="P4021">
        <v>0.99383410000000005</v>
      </c>
      <c r="Q4021">
        <v>-4.9915939999999999E-2</v>
      </c>
      <c r="R4021">
        <v>9.9006350000000007E-2</v>
      </c>
      <c r="S4021">
        <v>3.0295719999999999</v>
      </c>
      <c r="T4021">
        <v>3.6220429999999998E-2</v>
      </c>
      <c r="U4021">
        <v>-9.6176150000000002E-2</v>
      </c>
      <c r="V4021">
        <v>-9.2819490000000004E-2</v>
      </c>
      <c r="W4021">
        <v>-3.551994E-2</v>
      </c>
      <c r="X4021">
        <v>0.99504919999999997</v>
      </c>
      <c r="Y4021">
        <v>3.7824490000000002E-2</v>
      </c>
      <c r="Z4021">
        <v>1.092588E-4</v>
      </c>
      <c r="AA4021">
        <v>0.99928439999999996</v>
      </c>
      <c r="AB4021">
        <v>47</v>
      </c>
      <c r="AC4021">
        <v>150.1662</v>
      </c>
      <c r="AD4021">
        <v>1.8006449999999901</v>
      </c>
      <c r="AE4021">
        <v>-4.7843999999999998</v>
      </c>
      <c r="AF4021">
        <v>5.6994869682890501</v>
      </c>
      <c r="AG4021">
        <v>1.8006449999999901</v>
      </c>
      <c r="AH4021">
        <v>150.11266004626901</v>
      </c>
      <c r="AI4021">
        <v>89.313248203632895</v>
      </c>
      <c r="AJ4021">
        <v>87.825634655327505</v>
      </c>
      <c r="AK4021">
        <v>150.231611787547</v>
      </c>
      <c r="AL4021">
        <v>92.035570803894302</v>
      </c>
      <c r="AM4021">
        <v>95.329203726129904</v>
      </c>
      <c r="AN4021">
        <v>1.0000000171410499</v>
      </c>
    </row>
    <row r="4022" spans="1:40" x14ac:dyDescent="0.25">
      <c r="A4022" t="str">
        <f>"20190305135013585"</f>
        <v>20190305135013585</v>
      </c>
      <c r="B4022" t="str">
        <f>"1551765013574020"</f>
        <v>1551765013574020</v>
      </c>
      <c r="C4022" t="s">
        <v>40</v>
      </c>
      <c r="D4022">
        <v>3.7547619999999999</v>
      </c>
      <c r="E4022">
        <v>0.551133599999999</v>
      </c>
      <c r="F4022" t="s">
        <v>60</v>
      </c>
      <c r="G4022">
        <v>-151.66909999999999</v>
      </c>
      <c r="H4022">
        <v>2.8590239999999998</v>
      </c>
      <c r="I4022">
        <v>210.04740000000001</v>
      </c>
      <c r="J4022">
        <v>-301.36219999999997</v>
      </c>
      <c r="K4022">
        <v>1.110886</v>
      </c>
      <c r="L4022">
        <v>214.91569999999999</v>
      </c>
      <c r="M4022">
        <v>0.99986390000000003</v>
      </c>
      <c r="N4022">
        <v>-1.479286E-2</v>
      </c>
      <c r="O4022">
        <v>7.3292369999999997E-3</v>
      </c>
      <c r="P4022">
        <v>0.99365879999999995</v>
      </c>
      <c r="Q4022">
        <v>-5.0673379999999997E-2</v>
      </c>
      <c r="R4022">
        <v>0.10037219999999999</v>
      </c>
      <c r="S4022">
        <v>3.030151</v>
      </c>
      <c r="T4022">
        <v>3.5276170000000003E-2</v>
      </c>
      <c r="U4022">
        <v>-9.8159789999999997E-2</v>
      </c>
      <c r="V4022">
        <v>-9.2958319999999997E-2</v>
      </c>
      <c r="W4022">
        <v>-3.6287300000000001E-2</v>
      </c>
      <c r="X4022">
        <v>0.99500849999999996</v>
      </c>
      <c r="Y4022">
        <v>3.9700880000000001E-2</v>
      </c>
      <c r="Z4022">
        <v>1.3097860000000001E-4</v>
      </c>
      <c r="AA4022">
        <v>0.99921159999999998</v>
      </c>
      <c r="AB4022">
        <v>47</v>
      </c>
      <c r="AC4022">
        <v>149.69309999999999</v>
      </c>
      <c r="AD4022">
        <v>1.748138</v>
      </c>
      <c r="AE4022">
        <v>-4.8682999999999703</v>
      </c>
      <c r="AF4022">
        <v>5.9646126926143896</v>
      </c>
      <c r="AG4022">
        <v>1.748138</v>
      </c>
      <c r="AH4022">
        <v>149.63300840310299</v>
      </c>
      <c r="AI4022">
        <v>89.331184314254699</v>
      </c>
      <c r="AJ4022">
        <v>87.717306471399695</v>
      </c>
      <c r="AK4022">
        <v>149.76204390566801</v>
      </c>
      <c r="AL4022">
        <v>92.079565764865904</v>
      </c>
      <c r="AM4022">
        <v>95.337345664899203</v>
      </c>
      <c r="AN4022">
        <v>0.99999996623538001</v>
      </c>
    </row>
    <row r="4023" spans="1:40" x14ac:dyDescent="0.25">
      <c r="A4023" t="str">
        <f>"20190305135013608"</f>
        <v>20190305135013608</v>
      </c>
      <c r="B4023" t="str">
        <f>"1551765013604277"</f>
        <v>1551765013604277</v>
      </c>
      <c r="C4023" t="s">
        <v>40</v>
      </c>
      <c r="D4023">
        <v>3.7716569999999998</v>
      </c>
      <c r="E4023">
        <v>0.55173890000000003</v>
      </c>
      <c r="F4023" t="s">
        <v>60</v>
      </c>
      <c r="G4023">
        <v>-151.66909999999999</v>
      </c>
      <c r="H4023">
        <v>2.775064</v>
      </c>
      <c r="I4023">
        <v>210.09829999999999</v>
      </c>
      <c r="J4023">
        <v>-300.87790000000001</v>
      </c>
      <c r="K4023">
        <v>1.1109100000000001</v>
      </c>
      <c r="L4023">
        <v>214.92009999999999</v>
      </c>
      <c r="M4023">
        <v>0.99985369999999996</v>
      </c>
      <c r="N4023">
        <v>-1.479021E-2</v>
      </c>
      <c r="O4023">
        <v>8.5905010000000004E-3</v>
      </c>
      <c r="P4023">
        <v>0.99343999999999999</v>
      </c>
      <c r="Q4023">
        <v>-5.1840990000000003E-2</v>
      </c>
      <c r="R4023">
        <v>0.1019294</v>
      </c>
      <c r="S4023">
        <v>3.0307309999999998</v>
      </c>
      <c r="T4023">
        <v>3.3694149999999999E-2</v>
      </c>
      <c r="U4023">
        <v>-9.7534179999999998E-2</v>
      </c>
      <c r="V4023">
        <v>-9.3256489999999997E-2</v>
      </c>
      <c r="W4023">
        <v>-3.7465070000000003E-2</v>
      </c>
      <c r="X4023">
        <v>0.99493699999999996</v>
      </c>
      <c r="Y4023">
        <v>4.0748840000000001E-2</v>
      </c>
      <c r="Z4023">
        <v>1.4751019999999999E-4</v>
      </c>
      <c r="AA4023">
        <v>0.99916939999999999</v>
      </c>
      <c r="AB4023">
        <v>47</v>
      </c>
      <c r="AC4023">
        <v>149.2088</v>
      </c>
      <c r="AD4023">
        <v>1.6641539999999999</v>
      </c>
      <c r="AE4023">
        <v>-4.8217999999999899</v>
      </c>
      <c r="AF4023">
        <v>6.1027822695661804</v>
      </c>
      <c r="AG4023">
        <v>1.6641539999999999</v>
      </c>
      <c r="AH4023">
        <v>149.143333798128</v>
      </c>
      <c r="AI4023">
        <v>89.361249830351397</v>
      </c>
      <c r="AJ4023">
        <v>87.656826488188599</v>
      </c>
      <c r="AK4023">
        <v>149.27741750306799</v>
      </c>
      <c r="AL4023">
        <v>92.147092836712304</v>
      </c>
      <c r="AM4023">
        <v>95.354748763042394</v>
      </c>
      <c r="AN4023">
        <v>1.00000001918311</v>
      </c>
    </row>
    <row r="4024" spans="1:40" x14ac:dyDescent="0.25">
      <c r="A4024" t="str">
        <f>"20190305135013631"</f>
        <v>20190305135013631</v>
      </c>
      <c r="B4024" t="str">
        <f>"1551765013624772"</f>
        <v>1551765013624772</v>
      </c>
      <c r="C4024" t="s">
        <v>40</v>
      </c>
      <c r="D4024">
        <v>3.775131</v>
      </c>
      <c r="E4024">
        <v>0.55212050000000001</v>
      </c>
      <c r="F4024" t="s">
        <v>60</v>
      </c>
      <c r="G4024">
        <v>-151.66899999999899</v>
      </c>
      <c r="H4024">
        <v>2.6170900000000001</v>
      </c>
      <c r="I4024">
        <v>210.0992</v>
      </c>
      <c r="J4024">
        <v>-300.39049999999997</v>
      </c>
      <c r="K4024">
        <v>1.1109279999999999</v>
      </c>
      <c r="L4024">
        <v>214.92519999999999</v>
      </c>
      <c r="M4024">
        <v>0.99984209999999996</v>
      </c>
      <c r="N4024">
        <v>-1.4787700000000001E-2</v>
      </c>
      <c r="O4024">
        <v>9.8584750000000002E-3</v>
      </c>
      <c r="P4024">
        <v>0.99326709999999996</v>
      </c>
      <c r="Q4024">
        <v>-5.2414229999999999E-2</v>
      </c>
      <c r="R4024">
        <v>0.1033123</v>
      </c>
      <c r="S4024">
        <v>3.0314939999999999</v>
      </c>
      <c r="T4024">
        <v>3.0601860000000002E-2</v>
      </c>
      <c r="U4024">
        <v>-9.7946169999999999E-2</v>
      </c>
      <c r="V4024">
        <v>-9.3376849999999997E-2</v>
      </c>
      <c r="W4024">
        <v>-3.8045719999999998E-2</v>
      </c>
      <c r="X4024">
        <v>0.99490369999999995</v>
      </c>
      <c r="Y4024">
        <v>4.2143489999999999E-2</v>
      </c>
      <c r="Z4024">
        <v>1.4618659999999999E-4</v>
      </c>
      <c r="AA4024">
        <v>0.99911150000000004</v>
      </c>
      <c r="AB4024">
        <v>47</v>
      </c>
      <c r="AC4024">
        <v>148.72149999999999</v>
      </c>
      <c r="AD4024">
        <v>1.506162</v>
      </c>
      <c r="AE4024">
        <v>-4.8259999999999899</v>
      </c>
      <c r="AF4024">
        <v>6.2914482834595198</v>
      </c>
      <c r="AG4024">
        <v>1.506162</v>
      </c>
      <c r="AH4024">
        <v>148.65145867425801</v>
      </c>
      <c r="AI4024">
        <v>89.420008423640297</v>
      </c>
      <c r="AJ4024">
        <v>87.576489111449106</v>
      </c>
      <c r="AK4024">
        <v>148.792160450268</v>
      </c>
      <c r="AL4024">
        <v>92.180385317047197</v>
      </c>
      <c r="AM4024">
        <v>95.361797945253201</v>
      </c>
      <c r="AN4024">
        <v>1.00000004259996</v>
      </c>
    </row>
    <row r="4025" spans="1:40" x14ac:dyDescent="0.25">
      <c r="A4025" t="str">
        <f>"20190305135013653"</f>
        <v>20190305135013653</v>
      </c>
      <c r="B4025" t="str">
        <f>"1551765013644296"</f>
        <v>1551765013644296</v>
      </c>
      <c r="C4025" t="s">
        <v>40</v>
      </c>
      <c r="D4025">
        <v>3.7951060000000001</v>
      </c>
      <c r="E4025">
        <v>0.55241890000000005</v>
      </c>
      <c r="F4025" t="s">
        <v>60</v>
      </c>
      <c r="G4025">
        <v>-151.66899999999899</v>
      </c>
      <c r="H4025">
        <v>2.5478339999999999</v>
      </c>
      <c r="I4025">
        <v>210.17920000000001</v>
      </c>
      <c r="J4025">
        <v>-299.94150000000002</v>
      </c>
      <c r="K4025">
        <v>1.110941</v>
      </c>
      <c r="L4025">
        <v>214.93039999999999</v>
      </c>
      <c r="M4025">
        <v>0.99983010000000005</v>
      </c>
      <c r="N4025">
        <v>-1.478516E-2</v>
      </c>
      <c r="O4025">
        <v>1.1016720000000001E-2</v>
      </c>
      <c r="P4025">
        <v>0.99328970000000005</v>
      </c>
      <c r="Q4025">
        <v>-5.1014419999999998E-2</v>
      </c>
      <c r="R4025">
        <v>0.10379439999999999</v>
      </c>
      <c r="S4025">
        <v>3.031952</v>
      </c>
      <c r="T4025">
        <v>2.9294609999999999E-2</v>
      </c>
      <c r="U4025">
        <v>-9.6755980000000005E-2</v>
      </c>
      <c r="V4025">
        <v>-9.2711340000000003E-2</v>
      </c>
      <c r="W4025">
        <v>-3.6645959999999998E-2</v>
      </c>
      <c r="X4025">
        <v>0.99501839999999997</v>
      </c>
      <c r="Y4025">
        <v>4.2904030000000003E-2</v>
      </c>
      <c r="Z4025">
        <v>1.5919919999999999E-4</v>
      </c>
      <c r="AA4025">
        <v>0.99907919999999995</v>
      </c>
      <c r="AB4025">
        <v>47</v>
      </c>
      <c r="AC4025">
        <v>148.27250000000001</v>
      </c>
      <c r="AD4025">
        <v>1.436893</v>
      </c>
      <c r="AE4025">
        <v>-4.7511999999999803</v>
      </c>
      <c r="AF4025">
        <v>6.3839677044520498</v>
      </c>
      <c r="AG4025">
        <v>1.436893</v>
      </c>
      <c r="AH4025">
        <v>148.19724819334701</v>
      </c>
      <c r="AI4025">
        <v>89.445002843499907</v>
      </c>
      <c r="AJ4025">
        <v>87.533365769789597</v>
      </c>
      <c r="AK4025">
        <v>148.34164646930799</v>
      </c>
      <c r="AL4025">
        <v>92.100129144289298</v>
      </c>
      <c r="AM4025">
        <v>95.323193838119494</v>
      </c>
      <c r="AN4025">
        <v>0.999999967643738</v>
      </c>
    </row>
    <row r="4026" spans="1:40" x14ac:dyDescent="0.25">
      <c r="A4026" t="str">
        <f>"20190305135013674"</f>
        <v>20190305135013674</v>
      </c>
      <c r="B4026" t="str">
        <f>"1551765013664792"</f>
        <v>1551765013664792</v>
      </c>
      <c r="C4026" t="s">
        <v>40</v>
      </c>
      <c r="D4026">
        <v>3.7844669999999998</v>
      </c>
      <c r="E4026">
        <v>0.55271539999999997</v>
      </c>
      <c r="F4026" t="s">
        <v>60</v>
      </c>
      <c r="G4026">
        <v>-151.66899999999899</v>
      </c>
      <c r="H4026">
        <v>2.7391760000000001</v>
      </c>
      <c r="I4026">
        <v>210.161</v>
      </c>
      <c r="J4026">
        <v>-299.4796</v>
      </c>
      <c r="K4026">
        <v>1.1109530000000001</v>
      </c>
      <c r="L4026">
        <v>214.93639999999999</v>
      </c>
      <c r="M4026">
        <v>0.99981629999999999</v>
      </c>
      <c r="N4026">
        <v>-1.4782299999999899E-2</v>
      </c>
      <c r="O4026">
        <v>1.2196439999999999E-2</v>
      </c>
      <c r="P4026">
        <v>0.99327739999999998</v>
      </c>
      <c r="Q4026">
        <v>-5.0223530000000002E-2</v>
      </c>
      <c r="R4026">
        <v>0.104295899999999</v>
      </c>
      <c r="S4026">
        <v>3.0321660000000001</v>
      </c>
      <c r="T4026">
        <v>3.3298019999999998E-2</v>
      </c>
      <c r="U4026">
        <v>-9.7534179999999998E-2</v>
      </c>
      <c r="V4026">
        <v>-9.2041650000000003E-2</v>
      </c>
      <c r="W4026">
        <v>-3.5854219999999999E-2</v>
      </c>
      <c r="X4026">
        <v>0.99510940000000003</v>
      </c>
      <c r="Y4026">
        <v>4.4335840000000001E-2</v>
      </c>
      <c r="Z4026">
        <v>2.2971499999999999E-4</v>
      </c>
      <c r="AA4026">
        <v>0.99901660000000003</v>
      </c>
      <c r="AB4026">
        <v>47</v>
      </c>
      <c r="AC4026">
        <v>147.81059999999999</v>
      </c>
      <c r="AD4026">
        <v>1.628223</v>
      </c>
      <c r="AE4026">
        <v>-4.7754000000000101</v>
      </c>
      <c r="AF4026">
        <v>6.5772076622320501</v>
      </c>
      <c r="AG4026">
        <v>1.628223</v>
      </c>
      <c r="AH4026">
        <v>147.723447700544</v>
      </c>
      <c r="AI4026">
        <v>89.3691305578525</v>
      </c>
      <c r="AJ4026">
        <v>87.450658472282996</v>
      </c>
      <c r="AK4026">
        <v>147.878760379255</v>
      </c>
      <c r="AL4026">
        <v>92.054735974095195</v>
      </c>
      <c r="AM4026">
        <v>95.284480300130099</v>
      </c>
      <c r="AN4026">
        <v>0.99999995419744403</v>
      </c>
    </row>
    <row r="4027" spans="1:40" x14ac:dyDescent="0.25">
      <c r="A4027" t="str">
        <f>"20190305135013696"</f>
        <v>20190305135013696</v>
      </c>
      <c r="B4027" t="str">
        <f>"1551765013694068"</f>
        <v>1551765013694068</v>
      </c>
      <c r="C4027" t="s">
        <v>40</v>
      </c>
      <c r="D4027">
        <v>3.8318449999999999</v>
      </c>
      <c r="E4027">
        <v>0.553075599999999</v>
      </c>
      <c r="F4027" t="s">
        <v>60</v>
      </c>
      <c r="G4027">
        <v>-151.66909999999999</v>
      </c>
      <c r="H4027">
        <v>2.8147869999999999</v>
      </c>
      <c r="I4027">
        <v>210.1405</v>
      </c>
      <c r="J4027">
        <v>-299.01049999999998</v>
      </c>
      <c r="K4027">
        <v>1.1109450000000001</v>
      </c>
      <c r="L4027">
        <v>214.94290000000001</v>
      </c>
      <c r="M4027">
        <v>0.99980150000000001</v>
      </c>
      <c r="N4027">
        <v>-1.4779399999999899E-2</v>
      </c>
      <c r="O4027">
        <v>1.336964E-2</v>
      </c>
      <c r="P4027">
        <v>0.99328669999999997</v>
      </c>
      <c r="Q4027">
        <v>-4.9282739999999998E-2</v>
      </c>
      <c r="R4027">
        <v>0.104657399999999</v>
      </c>
      <c r="S4027">
        <v>3.03241</v>
      </c>
      <c r="T4027">
        <v>3.4955739999999999E-2</v>
      </c>
      <c r="U4027">
        <v>-9.8388669999999998E-2</v>
      </c>
      <c r="V4027">
        <v>-9.1240870000000002E-2</v>
      </c>
      <c r="W4027">
        <v>-3.4909580000000003E-2</v>
      </c>
      <c r="X4027">
        <v>0.99521680000000001</v>
      </c>
      <c r="Y4027">
        <v>4.5786050000000002E-2</v>
      </c>
      <c r="Z4027">
        <v>2.7697810000000002E-4</v>
      </c>
      <c r="AA4027">
        <v>0.99895129999999999</v>
      </c>
      <c r="AB4027">
        <v>47</v>
      </c>
      <c r="AC4027">
        <v>147.34139999999999</v>
      </c>
      <c r="AD4027">
        <v>1.7038420000000001</v>
      </c>
      <c r="AE4027">
        <v>-4.8023999999999996</v>
      </c>
      <c r="AF4027">
        <v>6.77118261074272</v>
      </c>
      <c r="AG4027">
        <v>1.7038420000000001</v>
      </c>
      <c r="AH4027">
        <v>147.24434554114299</v>
      </c>
      <c r="AI4027">
        <v>89.337729722938704</v>
      </c>
      <c r="AJ4027">
        <v>87.367049607871095</v>
      </c>
      <c r="AK4027">
        <v>147.40980050644001</v>
      </c>
      <c r="AL4027">
        <v>92.000578028470301</v>
      </c>
      <c r="AM4027">
        <v>95.238199033750305</v>
      </c>
      <c r="AN4027">
        <v>1.0000000270681799</v>
      </c>
    </row>
    <row r="4028" spans="1:40" x14ac:dyDescent="0.25">
      <c r="A4028" t="str">
        <f>"20190305135013719"</f>
        <v>20190305135013719</v>
      </c>
      <c r="B4028" t="str">
        <f>"1551765013714564"</f>
        <v>1551765013714564</v>
      </c>
      <c r="C4028" t="s">
        <v>40</v>
      </c>
      <c r="D4028">
        <v>3.8033709999999998</v>
      </c>
      <c r="E4028">
        <v>0.55338730000000003</v>
      </c>
      <c r="F4028" t="s">
        <v>60</v>
      </c>
      <c r="G4028">
        <v>-151.66909999999999</v>
      </c>
      <c r="H4028">
        <v>2.9385340000000002</v>
      </c>
      <c r="I4028">
        <v>210.07310000000001</v>
      </c>
      <c r="J4028">
        <v>-298.5299</v>
      </c>
      <c r="K4028">
        <v>1.110919</v>
      </c>
      <c r="L4028">
        <v>214.9502</v>
      </c>
      <c r="M4028">
        <v>0.99978529999999999</v>
      </c>
      <c r="N4028">
        <v>-1.4776269999999999E-2</v>
      </c>
      <c r="O4028">
        <v>1.452852E-2</v>
      </c>
      <c r="P4028">
        <v>0.99323700000000004</v>
      </c>
      <c r="Q4028">
        <v>-4.9352979999999998E-2</v>
      </c>
      <c r="R4028">
        <v>0.1050944</v>
      </c>
      <c r="S4028">
        <v>3.032715</v>
      </c>
      <c r="T4028">
        <v>3.76178E-2</v>
      </c>
      <c r="U4028">
        <v>-0.100235</v>
      </c>
      <c r="V4028">
        <v>-9.0526910000000002E-2</v>
      </c>
      <c r="W4028">
        <v>-3.4974100000000001E-2</v>
      </c>
      <c r="X4028">
        <v>0.99527969999999999</v>
      </c>
      <c r="Y4028">
        <v>4.7547230000000003E-2</v>
      </c>
      <c r="Z4028">
        <v>3.3816519999999999E-4</v>
      </c>
      <c r="AA4028">
        <v>0.99886889999999995</v>
      </c>
      <c r="AB4028">
        <v>47</v>
      </c>
      <c r="AC4028">
        <v>146.86080000000001</v>
      </c>
      <c r="AD4028">
        <v>1.827615</v>
      </c>
      <c r="AE4028">
        <v>-4.87709999999998</v>
      </c>
      <c r="AF4028">
        <v>7.0094037826823801</v>
      </c>
      <c r="AG4028">
        <v>1.827615</v>
      </c>
      <c r="AH4028">
        <v>146.75172958537999</v>
      </c>
      <c r="AI4028">
        <v>89.287299786515007</v>
      </c>
      <c r="AJ4028">
        <v>87.265420545737697</v>
      </c>
      <c r="AK4028">
        <v>146.93039867324001</v>
      </c>
      <c r="AL4028">
        <v>92.004277074819797</v>
      </c>
      <c r="AM4028">
        <v>95.197108810460193</v>
      </c>
      <c r="AN4028">
        <v>0.999999995168524</v>
      </c>
    </row>
    <row r="4029" spans="1:40" x14ac:dyDescent="0.25">
      <c r="A4029" t="str">
        <f>"20190305135013741"</f>
        <v>20190305135013741</v>
      </c>
      <c r="B4029" t="str">
        <f>"1551765013734084"</f>
        <v>1551765013734084</v>
      </c>
      <c r="C4029" t="s">
        <v>40</v>
      </c>
      <c r="D4029">
        <v>3.8140049999999999</v>
      </c>
      <c r="E4029">
        <v>0.55369919999999995</v>
      </c>
      <c r="F4029" t="s">
        <v>60</v>
      </c>
      <c r="G4029">
        <v>-151.66909999999999</v>
      </c>
      <c r="H4029">
        <v>2.9476619999999998</v>
      </c>
      <c r="I4029">
        <v>210.048</v>
      </c>
      <c r="J4029">
        <v>-298.05549999999999</v>
      </c>
      <c r="K4029">
        <v>1.110878</v>
      </c>
      <c r="L4029">
        <v>214.9579</v>
      </c>
      <c r="M4029">
        <v>0.99976900000000002</v>
      </c>
      <c r="N4029">
        <v>-1.477292E-2</v>
      </c>
      <c r="O4029">
        <v>1.560655E-2</v>
      </c>
      <c r="P4029">
        <v>0.99317390000000005</v>
      </c>
      <c r="Q4029">
        <v>-4.8805029999999999E-2</v>
      </c>
      <c r="R4029">
        <v>0.10594149999999999</v>
      </c>
      <c r="S4029">
        <v>3.03302</v>
      </c>
      <c r="T4029">
        <v>3.7933830000000002E-2</v>
      </c>
      <c r="U4029">
        <v>-0.1012421</v>
      </c>
      <c r="V4029">
        <v>-9.0308440000000004E-2</v>
      </c>
      <c r="W4029">
        <v>-3.4418499999999998E-2</v>
      </c>
      <c r="X4029">
        <v>0.99531890000000001</v>
      </c>
      <c r="Y4029">
        <v>4.8951769999999999E-2</v>
      </c>
      <c r="Z4029">
        <v>3.6993369999999999E-4</v>
      </c>
      <c r="AA4029">
        <v>0.9988011</v>
      </c>
      <c r="AB4029">
        <v>47</v>
      </c>
      <c r="AC4029">
        <v>146.38640000000001</v>
      </c>
      <c r="AD4029">
        <v>1.836784</v>
      </c>
      <c r="AE4029">
        <v>-4.9098999999999897</v>
      </c>
      <c r="AF4029">
        <v>7.1930068694123301</v>
      </c>
      <c r="AG4029">
        <v>1.836784</v>
      </c>
      <c r="AH4029">
        <v>146.26893011025001</v>
      </c>
      <c r="AI4029">
        <v>89.281409680404806</v>
      </c>
      <c r="AJ4029">
        <v>87.184657094626402</v>
      </c>
      <c r="AK4029">
        <v>146.45720548639201</v>
      </c>
      <c r="AL4029">
        <v>91.972424390463601</v>
      </c>
      <c r="AM4029">
        <v>95.184431902207194</v>
      </c>
      <c r="AN4029">
        <v>0.99999998008734603</v>
      </c>
    </row>
    <row r="4030" spans="1:40" x14ac:dyDescent="0.25">
      <c r="A4030" t="str">
        <f>"20190305135013763"</f>
        <v>20190305135013763</v>
      </c>
      <c r="B4030" t="str">
        <f>"1551765013754584"</f>
        <v>1551765013754584</v>
      </c>
      <c r="C4030" t="s">
        <v>40</v>
      </c>
      <c r="D4030">
        <v>3.8328929999999999</v>
      </c>
      <c r="E4030">
        <v>0.55395240000000001</v>
      </c>
      <c r="F4030" t="s">
        <v>60</v>
      </c>
      <c r="G4030">
        <v>-151.66919999999999</v>
      </c>
      <c r="H4030">
        <v>3.0515919999999999</v>
      </c>
      <c r="I4030">
        <v>210.0788</v>
      </c>
      <c r="J4030">
        <v>-297.59620000000001</v>
      </c>
      <c r="K4030">
        <v>1.1108180000000001</v>
      </c>
      <c r="L4030">
        <v>214.9657</v>
      </c>
      <c r="M4030">
        <v>0.99975400000000003</v>
      </c>
      <c r="N4030">
        <v>-1.4769330000000001E-2</v>
      </c>
      <c r="O4030">
        <v>1.6556230000000002E-2</v>
      </c>
      <c r="P4030">
        <v>0.99311649999999996</v>
      </c>
      <c r="Q4030">
        <v>-4.8954070000000002E-2</v>
      </c>
      <c r="R4030">
        <v>0.10641200000000001</v>
      </c>
      <c r="S4030">
        <v>3.0333860000000001</v>
      </c>
      <c r="T4030">
        <v>4.0215729999999998E-2</v>
      </c>
      <c r="U4030">
        <v>-0.10110470000000001</v>
      </c>
      <c r="V4030">
        <v>-8.9839569999999994E-2</v>
      </c>
      <c r="W4030">
        <v>-3.4554389999999997E-2</v>
      </c>
      <c r="X4030">
        <v>0.99535660000000004</v>
      </c>
      <c r="Y4030">
        <v>4.9850440000000003E-2</v>
      </c>
      <c r="Z4030">
        <v>4.2596879999999999E-4</v>
      </c>
      <c r="AA4030">
        <v>0.99875659999999999</v>
      </c>
      <c r="AB4030">
        <v>47</v>
      </c>
      <c r="AC4030">
        <v>145.92699999999999</v>
      </c>
      <c r="AD4030">
        <v>1.940774</v>
      </c>
      <c r="AE4030">
        <v>-4.88689999999999</v>
      </c>
      <c r="AF4030">
        <v>7.3012042049868597</v>
      </c>
      <c r="AG4030">
        <v>1.940774</v>
      </c>
      <c r="AH4030">
        <v>145.80031661944199</v>
      </c>
      <c r="AI4030">
        <v>89.238325015738297</v>
      </c>
      <c r="AJ4030">
        <v>87.133209011518801</v>
      </c>
      <c r="AK4030">
        <v>145.995912658169</v>
      </c>
      <c r="AL4030">
        <v>91.980214992573806</v>
      </c>
      <c r="AM4030">
        <v>95.157466240124705</v>
      </c>
      <c r="AN4030">
        <v>0.99999995768480698</v>
      </c>
    </row>
    <row r="4031" spans="1:40" x14ac:dyDescent="0.25">
      <c r="A4031" t="str">
        <f>"20190305135013786"</f>
        <v>20190305135013786</v>
      </c>
      <c r="B4031" t="str">
        <f>"1551765013774100"</f>
        <v>1551765013774100</v>
      </c>
      <c r="C4031" t="s">
        <v>40</v>
      </c>
      <c r="D4031">
        <v>3.8440310000000002</v>
      </c>
      <c r="E4031">
        <v>0.55422899999999997</v>
      </c>
      <c r="F4031" t="s">
        <v>60</v>
      </c>
      <c r="G4031">
        <v>-151.66919999999999</v>
      </c>
      <c r="H4031">
        <v>3.0559120000000002</v>
      </c>
      <c r="I4031">
        <v>210.07380000000001</v>
      </c>
      <c r="J4031">
        <v>-297.12950000000001</v>
      </c>
      <c r="K4031">
        <v>1.110725</v>
      </c>
      <c r="L4031">
        <v>214.97409999999999</v>
      </c>
      <c r="M4031">
        <v>0.99973979999999996</v>
      </c>
      <c r="N4031">
        <v>-1.4765500000000001E-2</v>
      </c>
      <c r="O4031">
        <v>1.739545E-2</v>
      </c>
      <c r="P4031">
        <v>0.99303140000000001</v>
      </c>
      <c r="Q4031">
        <v>-4.9360040000000001E-2</v>
      </c>
      <c r="R4031">
        <v>0.10701629999999999</v>
      </c>
      <c r="S4031">
        <v>3.0336910000000001</v>
      </c>
      <c r="T4031">
        <v>4.0437460000000001E-2</v>
      </c>
      <c r="U4031">
        <v>-0.10169980000000001</v>
      </c>
      <c r="V4031">
        <v>-8.9616710000000002E-2</v>
      </c>
      <c r="W4031">
        <v>-3.4942290000000001E-2</v>
      </c>
      <c r="X4031">
        <v>0.9953632</v>
      </c>
      <c r="Y4031">
        <v>5.0880769999999999E-2</v>
      </c>
      <c r="Z4031">
        <v>4.5179790000000002E-4</v>
      </c>
      <c r="AA4031">
        <v>0.99870460000000005</v>
      </c>
      <c r="AB4031">
        <v>47</v>
      </c>
      <c r="AC4031">
        <v>145.46029999999999</v>
      </c>
      <c r="AD4031">
        <v>1.945187</v>
      </c>
      <c r="AE4031">
        <v>-4.9002999999999801</v>
      </c>
      <c r="AF4031">
        <v>7.4288542747907496</v>
      </c>
      <c r="AG4031">
        <v>1.945187</v>
      </c>
      <c r="AH4031">
        <v>145.32707408650401</v>
      </c>
      <c r="AI4031">
        <v>89.234147887062505</v>
      </c>
      <c r="AJ4031">
        <v>87.073691631975606</v>
      </c>
      <c r="AK4031">
        <v>145.52982543398201</v>
      </c>
      <c r="AL4031">
        <v>92.002453353413998</v>
      </c>
      <c r="AM4031">
        <v>95.144707214101103</v>
      </c>
      <c r="AN4031">
        <v>1.00000000912795</v>
      </c>
    </row>
    <row r="4032" spans="1:40" x14ac:dyDescent="0.25">
      <c r="A4032" t="str">
        <f>"20190305135013810"</f>
        <v>20190305135013810</v>
      </c>
      <c r="B4032" t="str">
        <f>"1551765013804358"</f>
        <v>1551765013804358</v>
      </c>
      <c r="C4032" t="s">
        <v>40</v>
      </c>
      <c r="D4032">
        <v>3.850314</v>
      </c>
      <c r="E4032">
        <v>0.55449320000000002</v>
      </c>
      <c r="F4032" t="s">
        <v>60</v>
      </c>
      <c r="G4032">
        <v>-151.66909999999999</v>
      </c>
      <c r="H4032">
        <v>3.0055890000000001</v>
      </c>
      <c r="I4032">
        <v>210.08940000000001</v>
      </c>
      <c r="J4032">
        <v>-296.63850000000002</v>
      </c>
      <c r="K4032">
        <v>1.1105910000000001</v>
      </c>
      <c r="L4032">
        <v>214.98320000000001</v>
      </c>
      <c r="M4032">
        <v>0.99972709999999998</v>
      </c>
      <c r="N4032">
        <v>-1.476121E-2</v>
      </c>
      <c r="O4032">
        <v>1.8111059999999998E-2</v>
      </c>
      <c r="P4032">
        <v>0.99295230000000001</v>
      </c>
      <c r="Q4032">
        <v>-4.9648989999999997E-2</v>
      </c>
      <c r="R4032">
        <v>0.1076119</v>
      </c>
      <c r="S4032">
        <v>3.0339659999999999</v>
      </c>
      <c r="T4032">
        <v>3.9523120000000002E-2</v>
      </c>
      <c r="U4032">
        <v>-0.1018829</v>
      </c>
      <c r="V4032">
        <v>-8.9512889999999998E-2</v>
      </c>
      <c r="W4032">
        <v>-3.5205790000000001E-2</v>
      </c>
      <c r="X4032">
        <v>0.9953632</v>
      </c>
      <c r="Y4032">
        <v>5.1652780000000002E-2</v>
      </c>
      <c r="Z4032">
        <v>4.5808289999999999E-4</v>
      </c>
      <c r="AA4032">
        <v>0.99866500000000002</v>
      </c>
      <c r="AB4032">
        <v>47</v>
      </c>
      <c r="AC4032">
        <v>144.96940000000001</v>
      </c>
      <c r="AD4032">
        <v>1.894998</v>
      </c>
      <c r="AE4032">
        <v>-4.8937999999999899</v>
      </c>
      <c r="AF4032">
        <v>7.5175494509108702</v>
      </c>
      <c r="AG4032">
        <v>1.894998</v>
      </c>
      <c r="AH4032">
        <v>144.83225631221299</v>
      </c>
      <c r="AI4032">
        <v>89.251387392944594</v>
      </c>
      <c r="AJ4032">
        <v>87.028716674753397</v>
      </c>
      <c r="AK4032">
        <v>145.03960505894099</v>
      </c>
      <c r="AL4032">
        <v>92.017560200401206</v>
      </c>
      <c r="AM4032">
        <v>95.138779054941907</v>
      </c>
      <c r="AN4032">
        <v>0.99999995251995699</v>
      </c>
    </row>
    <row r="4033" spans="1:40" x14ac:dyDescent="0.25">
      <c r="A4033" t="str">
        <f>"20190305135013832"</f>
        <v>20190305135013832</v>
      </c>
      <c r="B4033" t="str">
        <f>"1551765013824853"</f>
        <v>1551765013824853</v>
      </c>
      <c r="C4033" t="s">
        <v>40</v>
      </c>
      <c r="D4033">
        <v>3.8737020000000002</v>
      </c>
      <c r="E4033">
        <v>0.56555279999999997</v>
      </c>
      <c r="F4033" t="s">
        <v>60</v>
      </c>
      <c r="G4033">
        <v>-151.66909999999999</v>
      </c>
      <c r="H4033">
        <v>2.9729190000000001</v>
      </c>
      <c r="I4033">
        <v>210.0966</v>
      </c>
      <c r="J4033">
        <v>-296.1585</v>
      </c>
      <c r="K4033">
        <v>1.110436</v>
      </c>
      <c r="L4033">
        <v>214.9922</v>
      </c>
      <c r="M4033">
        <v>0.999718</v>
      </c>
      <c r="N4033">
        <v>-1.475748E-2</v>
      </c>
      <c r="O4033">
        <v>1.860643E-2</v>
      </c>
      <c r="P4033">
        <v>0.99289329999999998</v>
      </c>
      <c r="Q4033">
        <v>-4.9691739999999998E-2</v>
      </c>
      <c r="R4033">
        <v>0.10813739999999999</v>
      </c>
      <c r="S4033">
        <v>3.034332</v>
      </c>
      <c r="T4033">
        <v>3.8980840000000003E-2</v>
      </c>
      <c r="U4033">
        <v>-0.1022797</v>
      </c>
      <c r="V4033">
        <v>-8.9559840000000002E-2</v>
      </c>
      <c r="W4033">
        <v>-3.5217560000000002E-2</v>
      </c>
      <c r="X4033">
        <v>0.99535859999999998</v>
      </c>
      <c r="Y4033">
        <v>5.2273970000000003E-2</v>
      </c>
      <c r="Z4033">
        <v>4.6326510000000001E-4</v>
      </c>
      <c r="AA4033">
        <v>0.99863270000000004</v>
      </c>
      <c r="AB4033">
        <v>47</v>
      </c>
      <c r="AC4033">
        <v>144.48939999999999</v>
      </c>
      <c r="AD4033">
        <v>1.8624830000000001</v>
      </c>
      <c r="AE4033">
        <v>-4.8956</v>
      </c>
      <c r="AF4033">
        <v>7.5822185578535004</v>
      </c>
      <c r="AG4033">
        <v>1.8624830000000001</v>
      </c>
      <c r="AH4033">
        <v>144.34932495283499</v>
      </c>
      <c r="AI4033">
        <v>89.261793507358504</v>
      </c>
      <c r="AJ4033">
        <v>86.993195205355804</v>
      </c>
      <c r="AK4033">
        <v>144.56032130402701</v>
      </c>
      <c r="AL4033">
        <v>92.018234910430195</v>
      </c>
      <c r="AM4033">
        <v>95.141483564066206</v>
      </c>
      <c r="AN4033">
        <v>0.99999999203356904</v>
      </c>
    </row>
    <row r="4034" spans="1:40" x14ac:dyDescent="0.25">
      <c r="A4034" t="str">
        <f>"20190305135013853"</f>
        <v>20190305135013853</v>
      </c>
      <c r="B4034" t="str">
        <f>"1551765013844373"</f>
        <v>1551765013844373</v>
      </c>
      <c r="C4034" t="s">
        <v>40</v>
      </c>
      <c r="D4034">
        <v>3.8775219999999999</v>
      </c>
      <c r="E4034">
        <v>0.58397169999999998</v>
      </c>
      <c r="F4034" t="s">
        <v>60</v>
      </c>
      <c r="G4034">
        <v>-168.41130000000001</v>
      </c>
      <c r="H4034">
        <v>3.136288</v>
      </c>
      <c r="I4034">
        <v>207.1052</v>
      </c>
      <c r="J4034">
        <v>-295.72050000000002</v>
      </c>
      <c r="K4034">
        <v>1.110277</v>
      </c>
      <c r="L4034">
        <v>215.00059999999999</v>
      </c>
      <c r="M4034">
        <v>0.99971270000000001</v>
      </c>
      <c r="N4034">
        <v>-1.475431E-2</v>
      </c>
      <c r="O4034">
        <v>1.8889699999999999E-2</v>
      </c>
      <c r="P4034">
        <v>0.99281169999999996</v>
      </c>
      <c r="Q4034">
        <v>-4.9591690000000001E-2</v>
      </c>
      <c r="R4034">
        <v>0.10893</v>
      </c>
      <c r="S4034">
        <v>3.0443730000000002</v>
      </c>
      <c r="T4034">
        <v>4.8279290000000002E-2</v>
      </c>
      <c r="U4034">
        <v>-0.18795780000000001</v>
      </c>
      <c r="V4034">
        <v>-9.008613E-2</v>
      </c>
      <c r="W4034">
        <v>-3.5087159999999999E-2</v>
      </c>
      <c r="X4034">
        <v>0.99531570000000003</v>
      </c>
      <c r="Y4034">
        <v>8.0457440000000005E-2</v>
      </c>
      <c r="Z4034">
        <v>6.2085760000000004E-4</v>
      </c>
      <c r="AA4034">
        <v>0.99675789999999997</v>
      </c>
      <c r="AB4034">
        <v>47</v>
      </c>
      <c r="AC4034">
        <v>127.3092</v>
      </c>
      <c r="AD4034">
        <v>2.026011</v>
      </c>
      <c r="AE4034">
        <v>-7.8953999999999898</v>
      </c>
      <c r="AF4034">
        <v>10.2964876644195</v>
      </c>
      <c r="AG4034">
        <v>2.026011</v>
      </c>
      <c r="AH4034">
        <v>127.105254620352</v>
      </c>
      <c r="AI4034">
        <v>89.089784817407406</v>
      </c>
      <c r="AJ4034">
        <v>85.368721029600906</v>
      </c>
      <c r="AK4034">
        <v>127.53771258298499</v>
      </c>
      <c r="AL4034">
        <v>92.010758942203395</v>
      </c>
      <c r="AM4034">
        <v>95.171755348118594</v>
      </c>
      <c r="AN4034">
        <v>0.99999998114086597</v>
      </c>
    </row>
    <row r="4035" spans="1:40" x14ac:dyDescent="0.25">
      <c r="A4035" t="str">
        <f>"20190305135013869"</f>
        <v>20190305135013869</v>
      </c>
      <c r="B4035" t="str">
        <f>"1551765013863892"</f>
        <v>1551765013863892</v>
      </c>
      <c r="C4035" t="s">
        <v>40</v>
      </c>
      <c r="D4035">
        <v>3.869243</v>
      </c>
      <c r="E4035">
        <v>0.58469799999999905</v>
      </c>
      <c r="F4035" t="s">
        <v>60</v>
      </c>
      <c r="G4035">
        <v>-168.41370000000001</v>
      </c>
      <c r="H4035">
        <v>4.4529230000000002</v>
      </c>
      <c r="I4035">
        <v>201.26689999999999</v>
      </c>
      <c r="J4035">
        <v>-295.38869999999997</v>
      </c>
      <c r="K4035">
        <v>1.1101570000000001</v>
      </c>
      <c r="L4035">
        <v>215.0069</v>
      </c>
      <c r="M4035">
        <v>0.99971049999999995</v>
      </c>
      <c r="N4035">
        <v>-1.4752009999999999E-2</v>
      </c>
      <c r="O4035">
        <v>1.9014300000000001E-2</v>
      </c>
      <c r="P4035">
        <v>0.99277119999999996</v>
      </c>
      <c r="Q4035">
        <v>-4.9801070000000003E-2</v>
      </c>
      <c r="R4035">
        <v>0.1092038</v>
      </c>
      <c r="S4035">
        <v>3.0619809999999998</v>
      </c>
      <c r="T4035">
        <v>8.0398079999999997E-2</v>
      </c>
      <c r="U4035">
        <v>-0.33032230000000001</v>
      </c>
      <c r="V4035">
        <v>-9.024691E-2</v>
      </c>
      <c r="W4035">
        <v>-3.5272350000000001E-2</v>
      </c>
      <c r="X4035">
        <v>0.99529460000000003</v>
      </c>
      <c r="Y4035">
        <v>0.1261091</v>
      </c>
      <c r="Z4035">
        <v>1.4949539999999999E-3</v>
      </c>
      <c r="AA4035">
        <v>0.99201519999999999</v>
      </c>
      <c r="AB4035">
        <v>47</v>
      </c>
      <c r="AC4035">
        <v>126.974999999999</v>
      </c>
      <c r="AD4035">
        <v>3.3427660000000001</v>
      </c>
      <c r="AE4035">
        <v>-13.74</v>
      </c>
      <c r="AF4035">
        <v>16.141061253323599</v>
      </c>
      <c r="AG4035">
        <v>3.3427660000000001</v>
      </c>
      <c r="AH4035">
        <v>126.60402497899101</v>
      </c>
      <c r="AI4035">
        <v>88.499691348498501</v>
      </c>
      <c r="AJ4035">
        <v>82.734415467235493</v>
      </c>
      <c r="AK4035">
        <v>127.67257764999999</v>
      </c>
      <c r="AL4035">
        <v>92.021376097660806</v>
      </c>
      <c r="AM4035">
        <v>95.181044617425698</v>
      </c>
      <c r="AN4035">
        <v>0.99999999211411505</v>
      </c>
    </row>
    <row r="4036" spans="1:40" x14ac:dyDescent="0.25">
      <c r="A4036" t="str">
        <f>"20190305135013886"</f>
        <v>20190305135013886</v>
      </c>
      <c r="B4036" t="str">
        <f>"1551765013884057"</f>
        <v>1551765013884057</v>
      </c>
      <c r="C4036" t="s">
        <v>40</v>
      </c>
      <c r="D4036">
        <v>3.8517130000000002</v>
      </c>
      <c r="E4036">
        <v>0.58501650000000005</v>
      </c>
      <c r="F4036" t="s">
        <v>60</v>
      </c>
      <c r="G4036">
        <v>-168.41380000000001</v>
      </c>
      <c r="H4036">
        <v>4.8084129999999998</v>
      </c>
      <c r="I4036">
        <v>201.13470000000001</v>
      </c>
      <c r="J4036">
        <v>-295.01650000000001</v>
      </c>
      <c r="K4036">
        <v>1.1100159999999999</v>
      </c>
      <c r="L4036">
        <v>215.01400000000001</v>
      </c>
      <c r="M4036">
        <v>0.99971010000000005</v>
      </c>
      <c r="N4036">
        <v>-1.4749679999999999E-2</v>
      </c>
      <c r="O4036">
        <v>1.9027579999999999E-2</v>
      </c>
      <c r="P4036">
        <v>0.99277300000000002</v>
      </c>
      <c r="Q4036">
        <v>-4.9237950000000003E-2</v>
      </c>
      <c r="R4036">
        <v>0.1094417</v>
      </c>
      <c r="S4036">
        <v>3.0631710000000001</v>
      </c>
      <c r="T4036">
        <v>8.921838E-2</v>
      </c>
      <c r="U4036">
        <v>-0.3346558</v>
      </c>
      <c r="V4036">
        <v>-9.0484629999999996E-2</v>
      </c>
      <c r="W4036">
        <v>-3.4680540000000003E-2</v>
      </c>
      <c r="X4036">
        <v>0.99529380000000001</v>
      </c>
      <c r="Y4036">
        <v>0.1274583</v>
      </c>
      <c r="Z4036">
        <v>1.7396130000000001E-3</v>
      </c>
      <c r="AA4036">
        <v>0.99184240000000001</v>
      </c>
      <c r="AB4036">
        <v>47</v>
      </c>
      <c r="AC4036">
        <v>126.6027</v>
      </c>
      <c r="AD4036">
        <v>3.6983969999999999</v>
      </c>
      <c r="AE4036">
        <v>-13.879300000000001</v>
      </c>
      <c r="AF4036">
        <v>16.272270476454398</v>
      </c>
      <c r="AG4036">
        <v>3.6983969999999999</v>
      </c>
      <c r="AH4036">
        <v>126.20923148368399</v>
      </c>
      <c r="AI4036">
        <v>88.335273849903601</v>
      </c>
      <c r="AJ4036">
        <v>82.653332696722302</v>
      </c>
      <c r="AK4036">
        <v>127.30763935652401</v>
      </c>
      <c r="AL4036">
        <v>91.987447149361401</v>
      </c>
      <c r="AM4036">
        <v>95.194621628718807</v>
      </c>
      <c r="AN4036">
        <v>0.999999978219684</v>
      </c>
    </row>
    <row r="4037" spans="1:40" x14ac:dyDescent="0.25">
      <c r="A4037" t="str">
        <f>"20190305135013902"</f>
        <v>20190305135013902</v>
      </c>
      <c r="B4037" t="str">
        <f>"1551765013894793"</f>
        <v>1551765013894793</v>
      </c>
      <c r="C4037" t="s">
        <v>40</v>
      </c>
      <c r="D4037">
        <v>3.9026190000000001</v>
      </c>
      <c r="E4037">
        <v>0.58526089999999997</v>
      </c>
      <c r="F4037" t="s">
        <v>60</v>
      </c>
      <c r="G4037">
        <v>-168.41390000000001</v>
      </c>
      <c r="H4037">
        <v>4.9872610000000002</v>
      </c>
      <c r="I4037">
        <v>201.10560000000001</v>
      </c>
      <c r="J4037">
        <v>-294.69260000000003</v>
      </c>
      <c r="K4037">
        <v>1.10988</v>
      </c>
      <c r="L4037">
        <v>215.02010000000001</v>
      </c>
      <c r="M4037">
        <v>0.9997125</v>
      </c>
      <c r="N4037">
        <v>-1.4747730000000001E-2</v>
      </c>
      <c r="O4037">
        <v>1.8915459999999999E-2</v>
      </c>
      <c r="P4037">
        <v>0.99278160000000004</v>
      </c>
      <c r="Q4037">
        <v>-4.932769E-2</v>
      </c>
      <c r="R4037">
        <v>0.1093232</v>
      </c>
      <c r="S4037">
        <v>3.063599</v>
      </c>
      <c r="T4037">
        <v>9.382451E-2</v>
      </c>
      <c r="U4037">
        <v>-0.3365631</v>
      </c>
      <c r="V4037">
        <v>-9.0488719999999995E-2</v>
      </c>
      <c r="W4037">
        <v>-3.4741849999999998E-2</v>
      </c>
      <c r="X4037">
        <v>0.99529129999999999</v>
      </c>
      <c r="Y4037">
        <v>0.12793679999999999</v>
      </c>
      <c r="Z4037">
        <v>1.8618910000000001E-3</v>
      </c>
      <c r="AA4037">
        <v>0.99178060000000001</v>
      </c>
      <c r="AB4037">
        <v>47</v>
      </c>
      <c r="AC4037">
        <v>126.2787</v>
      </c>
      <c r="AD4037">
        <v>3.87738099999999</v>
      </c>
      <c r="AE4037">
        <v>-13.9145</v>
      </c>
      <c r="AF4037">
        <v>16.2857191328211</v>
      </c>
      <c r="AG4037">
        <v>3.87738099999999</v>
      </c>
      <c r="AH4037">
        <v>125.875623253051</v>
      </c>
      <c r="AI4037">
        <v>88.250235169649997</v>
      </c>
      <c r="AJ4037">
        <v>82.628054543368094</v>
      </c>
      <c r="AK4037">
        <v>126.983980329947</v>
      </c>
      <c r="AL4037">
        <v>91.990962051903196</v>
      </c>
      <c r="AM4037">
        <v>95.194868123577905</v>
      </c>
      <c r="AN4037">
        <v>0.99999998822217495</v>
      </c>
    </row>
    <row r="4038" spans="1:40" x14ac:dyDescent="0.25">
      <c r="A4038" t="str">
        <f>"20190305135013922"</f>
        <v>20190305135013922</v>
      </c>
      <c r="B4038" t="str">
        <f>"1551765013914316"</f>
        <v>1551765013914316</v>
      </c>
      <c r="C4038" t="s">
        <v>40</v>
      </c>
      <c r="D4038">
        <v>3.9108480000000001</v>
      </c>
      <c r="E4038">
        <v>0.58550190000000002</v>
      </c>
      <c r="F4038" t="s">
        <v>60</v>
      </c>
      <c r="G4038">
        <v>-168.41390000000001</v>
      </c>
      <c r="H4038">
        <v>4.9881549999999999</v>
      </c>
      <c r="I4038">
        <v>201.05009999999999</v>
      </c>
      <c r="J4038">
        <v>-294.28500000000003</v>
      </c>
      <c r="K4038">
        <v>1.109686</v>
      </c>
      <c r="L4038">
        <v>215.02760000000001</v>
      </c>
      <c r="M4038">
        <v>0.999718</v>
      </c>
      <c r="N4038">
        <v>-1.474555E-2</v>
      </c>
      <c r="O4038">
        <v>1.8620149999999999E-2</v>
      </c>
      <c r="P4038">
        <v>0.99282859999999995</v>
      </c>
      <c r="Q4038">
        <v>-4.9567010000000002E-2</v>
      </c>
      <c r="R4038">
        <v>0.10878740000000001</v>
      </c>
      <c r="S4038">
        <v>3.063812</v>
      </c>
      <c r="T4038">
        <v>9.4096780000000005E-2</v>
      </c>
      <c r="U4038">
        <v>-0.33894350000000001</v>
      </c>
      <c r="V4038">
        <v>-9.0262190000000006E-2</v>
      </c>
      <c r="W4038">
        <v>-3.4940720000000001E-2</v>
      </c>
      <c r="X4038">
        <v>0.99530490000000005</v>
      </c>
      <c r="Y4038">
        <v>0.1283975</v>
      </c>
      <c r="Z4038">
        <v>1.8592560000000001E-3</v>
      </c>
      <c r="AA4038">
        <v>0.99172099999999996</v>
      </c>
      <c r="AB4038">
        <v>47</v>
      </c>
      <c r="AC4038">
        <v>125.8711</v>
      </c>
      <c r="AD4038">
        <v>3.8784689999999999</v>
      </c>
      <c r="AE4038">
        <v>-13.977499999999999</v>
      </c>
      <c r="AF4038">
        <v>16.303778599148199</v>
      </c>
      <c r="AG4038">
        <v>3.8784689999999999</v>
      </c>
      <c r="AH4038">
        <v>125.47130489689501</v>
      </c>
      <c r="AI4038">
        <v>88.244233487414803</v>
      </c>
      <c r="AJ4038">
        <v>82.596451788358706</v>
      </c>
      <c r="AK4038">
        <v>126.585560278112</v>
      </c>
      <c r="AL4038">
        <v>92.002363401603105</v>
      </c>
      <c r="AM4038">
        <v>95.181863728128107</v>
      </c>
      <c r="AN4038">
        <v>0.99999998041086202</v>
      </c>
    </row>
    <row r="4039" spans="1:40" x14ac:dyDescent="0.25">
      <c r="A4039" t="str">
        <f>"20190305135013943"</f>
        <v>20190305135013943</v>
      </c>
      <c r="B4039" t="str">
        <f>"1551765013934812"</f>
        <v>1551765013934812</v>
      </c>
      <c r="C4039" t="s">
        <v>40</v>
      </c>
      <c r="D4039">
        <v>3.893005</v>
      </c>
      <c r="E4039">
        <v>0.58564259999999901</v>
      </c>
      <c r="F4039" t="s">
        <v>60</v>
      </c>
      <c r="G4039">
        <v>-168.41390000000001</v>
      </c>
      <c r="H4039">
        <v>4.9186969999999999</v>
      </c>
      <c r="I4039">
        <v>200.95429999999999</v>
      </c>
      <c r="J4039">
        <v>-293.8365</v>
      </c>
      <c r="K4039">
        <v>1.1094539999999999</v>
      </c>
      <c r="L4039">
        <v>215.03559999999999</v>
      </c>
      <c r="M4039">
        <v>0.9997277</v>
      </c>
      <c r="N4039">
        <v>-1.474381E-2</v>
      </c>
      <c r="O4039">
        <v>1.8091759999999998E-2</v>
      </c>
      <c r="P4039">
        <v>0.99288690000000002</v>
      </c>
      <c r="Q4039">
        <v>-5.1240099999999997E-2</v>
      </c>
      <c r="R4039">
        <v>0.10747279999999999</v>
      </c>
      <c r="S4039">
        <v>3.0638429999999999</v>
      </c>
      <c r="T4039">
        <v>9.2716460000000001E-2</v>
      </c>
      <c r="U4039">
        <v>-0.34255980000000003</v>
      </c>
      <c r="V4039">
        <v>-8.9491899999999999E-2</v>
      </c>
      <c r="W4039">
        <v>-3.656471E-2</v>
      </c>
      <c r="X4039">
        <v>0.99531610000000004</v>
      </c>
      <c r="Y4039">
        <v>0.1290306</v>
      </c>
      <c r="Z4039">
        <v>1.803065E-3</v>
      </c>
      <c r="AA4039">
        <v>0.99163900000000005</v>
      </c>
      <c r="AB4039">
        <v>47</v>
      </c>
      <c r="AC4039">
        <v>125.4226</v>
      </c>
      <c r="AD4039">
        <v>3.8092429999999999</v>
      </c>
      <c r="AE4039">
        <v>-14.081300000000001</v>
      </c>
      <c r="AF4039">
        <v>16.3334782002309</v>
      </c>
      <c r="AG4039">
        <v>3.8092429999999999</v>
      </c>
      <c r="AH4039">
        <v>125.033387667143</v>
      </c>
      <c r="AI4039">
        <v>88.269670123320694</v>
      </c>
      <c r="AJ4039">
        <v>82.5574290337496</v>
      </c>
      <c r="AK4039">
        <v>126.15324361217399</v>
      </c>
      <c r="AL4039">
        <v>92.095470759051693</v>
      </c>
      <c r="AM4039">
        <v>95.137822322641796</v>
      </c>
      <c r="AN4039">
        <v>0.99999995855110102</v>
      </c>
    </row>
    <row r="4040" spans="1:40" x14ac:dyDescent="0.25">
      <c r="A4040" t="str">
        <f>"20190305135013958"</f>
        <v>20190305135013958</v>
      </c>
      <c r="B4040" t="str">
        <f>"1551765013954329"</f>
        <v>1551765013954329</v>
      </c>
      <c r="C4040" t="s">
        <v>40</v>
      </c>
      <c r="D4040">
        <v>3.8942990000000002</v>
      </c>
      <c r="E4040">
        <v>0.58576549999999905</v>
      </c>
      <c r="F4040" t="s">
        <v>60</v>
      </c>
      <c r="G4040">
        <v>-168.41399999999999</v>
      </c>
      <c r="H4040">
        <v>4.8036159999999999</v>
      </c>
      <c r="I4040">
        <v>200.79759999999999</v>
      </c>
      <c r="J4040">
        <v>-293.54390000000001</v>
      </c>
      <c r="K4040">
        <v>1.109289</v>
      </c>
      <c r="L4040">
        <v>215.04060000000001</v>
      </c>
      <c r="M4040">
        <v>0.99973590000000001</v>
      </c>
      <c r="N4040">
        <v>-1.47431E-2</v>
      </c>
      <c r="O4040">
        <v>1.763733E-2</v>
      </c>
      <c r="P4040">
        <v>0.9929346</v>
      </c>
      <c r="Q4040">
        <v>-5.1523840000000001E-2</v>
      </c>
      <c r="R4040">
        <v>0.1068952</v>
      </c>
      <c r="S4040">
        <v>3.0638429999999999</v>
      </c>
      <c r="T4040">
        <v>9.0242390000000006E-2</v>
      </c>
      <c r="U4040">
        <v>-0.34780879999999997</v>
      </c>
      <c r="V4040">
        <v>-8.9380029999999999E-2</v>
      </c>
      <c r="W4040">
        <v>-3.681471E-2</v>
      </c>
      <c r="X4040">
        <v>0.99531700000000001</v>
      </c>
      <c r="Y4040">
        <v>0.1302605</v>
      </c>
      <c r="Z4040">
        <v>1.7252420000000001E-3</v>
      </c>
      <c r="AA4040">
        <v>0.99147830000000003</v>
      </c>
      <c r="AB4040">
        <v>47</v>
      </c>
      <c r="AC4040">
        <v>125.12990000000001</v>
      </c>
      <c r="AD4040">
        <v>3.6943269999999999</v>
      </c>
      <c r="AE4040">
        <v>-14.243</v>
      </c>
      <c r="AF4040">
        <v>16.4338393735046</v>
      </c>
      <c r="AG4040">
        <v>3.6943269999999999</v>
      </c>
      <c r="AH4040">
        <v>124.751845417669</v>
      </c>
      <c r="AI4040">
        <v>88.318293002928698</v>
      </c>
      <c r="AJ4040">
        <v>82.495509284810694</v>
      </c>
      <c r="AK4040">
        <v>125.883843537012</v>
      </c>
      <c r="AL4040">
        <v>92.1098042222864</v>
      </c>
      <c r="AM4040">
        <v>95.131429445409907</v>
      </c>
      <c r="AN4040">
        <v>1.0000000215620899</v>
      </c>
    </row>
    <row r="4041" spans="1:40" x14ac:dyDescent="0.25">
      <c r="A4041" t="str">
        <f>"20190305135013970"</f>
        <v>20190305135013970</v>
      </c>
      <c r="B4041" t="str">
        <f>"1551765013964089"</f>
        <v>1551765013964089</v>
      </c>
      <c r="C4041" t="s">
        <v>40</v>
      </c>
      <c r="D4041">
        <v>3.91791</v>
      </c>
      <c r="E4041">
        <v>0.58584429999999998</v>
      </c>
      <c r="F4041" t="s">
        <v>60</v>
      </c>
      <c r="G4041">
        <v>-168.41399999999999</v>
      </c>
      <c r="H4041">
        <v>4.8677349999999997</v>
      </c>
      <c r="I4041">
        <v>200.73320000000001</v>
      </c>
      <c r="J4041">
        <v>-293.26799999999997</v>
      </c>
      <c r="K4041">
        <v>1.1091329999999999</v>
      </c>
      <c r="L4041">
        <v>215.0453</v>
      </c>
      <c r="M4041">
        <v>0.99974419999999997</v>
      </c>
      <c r="N4041">
        <v>-1.474256E-2</v>
      </c>
      <c r="O4041">
        <v>1.7152199999999999E-2</v>
      </c>
      <c r="P4041">
        <v>0.99295549999999999</v>
      </c>
      <c r="Q4041">
        <v>-5.2601019999999998E-2</v>
      </c>
      <c r="R4041">
        <v>0.1061718</v>
      </c>
      <c r="S4041">
        <v>3.0638730000000001</v>
      </c>
      <c r="T4041">
        <v>9.2028380000000007E-2</v>
      </c>
      <c r="U4041">
        <v>-0.35032649999999999</v>
      </c>
      <c r="V4041">
        <v>-8.9153479999999993E-2</v>
      </c>
      <c r="W4041">
        <v>-3.785993E-2</v>
      </c>
      <c r="X4041">
        <v>0.99529809999999996</v>
      </c>
      <c r="Y4041">
        <v>0.1305808</v>
      </c>
      <c r="Z4041">
        <v>1.753901E-3</v>
      </c>
      <c r="AA4041">
        <v>0.99143610000000004</v>
      </c>
      <c r="AB4041">
        <v>47</v>
      </c>
      <c r="AC4041">
        <v>124.853999999999</v>
      </c>
      <c r="AD4041">
        <v>3.7586020000000002</v>
      </c>
      <c r="AE4041">
        <v>-14.3120999999999</v>
      </c>
      <c r="AF4041">
        <v>16.4370447598236</v>
      </c>
      <c r="AG4041">
        <v>3.7586020000000002</v>
      </c>
      <c r="AH4041">
        <v>124.478772361712</v>
      </c>
      <c r="AI4041">
        <v>88.285370199882294</v>
      </c>
      <c r="AJ4041">
        <v>82.477784578137104</v>
      </c>
      <c r="AK4041">
        <v>125.615557548059</v>
      </c>
      <c r="AL4041">
        <v>92.1697327248786</v>
      </c>
      <c r="AM4041">
        <v>95.118588758270505</v>
      </c>
      <c r="AN4041">
        <v>1.00000001257966</v>
      </c>
    </row>
    <row r="4042" spans="1:40" x14ac:dyDescent="0.25">
      <c r="A4042" t="str">
        <f>"20190305135013982"</f>
        <v>20190305135013982</v>
      </c>
      <c r="B4042" t="str">
        <f>"1551765013974825"</f>
        <v>1551765013974825</v>
      </c>
      <c r="C4042" t="s">
        <v>40</v>
      </c>
      <c r="D4042">
        <v>3.9086280000000002</v>
      </c>
      <c r="E4042">
        <v>0.58593519999999999</v>
      </c>
      <c r="F4042" t="s">
        <v>60</v>
      </c>
      <c r="G4042">
        <v>-168.41399999999999</v>
      </c>
      <c r="H4042">
        <v>4.7282890000000002</v>
      </c>
      <c r="I4042">
        <v>200.6568</v>
      </c>
      <c r="J4042">
        <v>-293.0102</v>
      </c>
      <c r="K4042">
        <v>1.1089850000000001</v>
      </c>
      <c r="L4042">
        <v>215.04929999999999</v>
      </c>
      <c r="M4042">
        <v>0.99975360000000002</v>
      </c>
      <c r="N4042">
        <v>-1.4742190000000001E-2</v>
      </c>
      <c r="O4042">
        <v>1.660478E-2</v>
      </c>
      <c r="P4042">
        <v>0.99304939999999997</v>
      </c>
      <c r="Q4042">
        <v>-5.3596560000000001E-2</v>
      </c>
      <c r="R4042">
        <v>0.10478949999999999</v>
      </c>
      <c r="S4042">
        <v>3.0637509999999999</v>
      </c>
      <c r="T4042">
        <v>8.8810089999999994E-2</v>
      </c>
      <c r="U4042">
        <v>-0.35307309999999997</v>
      </c>
      <c r="V4042">
        <v>-8.8329119999999997E-2</v>
      </c>
      <c r="W4042">
        <v>-3.8825440000000003E-2</v>
      </c>
      <c r="X4042">
        <v>0.99533439999999995</v>
      </c>
      <c r="Y4042">
        <v>0.13092390000000001</v>
      </c>
      <c r="Z4042">
        <v>1.646142E-3</v>
      </c>
      <c r="AA4042">
        <v>0.99139109999999997</v>
      </c>
      <c r="AB4042">
        <v>47</v>
      </c>
      <c r="AC4042">
        <v>124.596199999999</v>
      </c>
      <c r="AD4042">
        <v>3.6193040000000001</v>
      </c>
      <c r="AE4042">
        <v>-14.392499999999901</v>
      </c>
      <c r="AF4042">
        <v>16.445937927578299</v>
      </c>
      <c r="AG4042">
        <v>3.6193040000000001</v>
      </c>
      <c r="AH4042">
        <v>124.23655742315199</v>
      </c>
      <c r="AI4042">
        <v>88.345733857115405</v>
      </c>
      <c r="AJ4042">
        <v>82.459256707054493</v>
      </c>
      <c r="AK4042">
        <v>125.37260640234901</v>
      </c>
      <c r="AL4042">
        <v>92.225093093857097</v>
      </c>
      <c r="AM4042">
        <v>95.071323563668003</v>
      </c>
      <c r="AN4042">
        <v>1.00000000802726</v>
      </c>
    </row>
    <row r="4043" spans="1:40" x14ac:dyDescent="0.25">
      <c r="A4043" t="str">
        <f>"20190305135013999"</f>
        <v>20190305135013999</v>
      </c>
      <c r="B4043" t="str">
        <f>"1551765013994345"</f>
        <v>1551765013994345</v>
      </c>
      <c r="C4043" t="s">
        <v>40</v>
      </c>
      <c r="D4043">
        <v>3.919813</v>
      </c>
      <c r="E4043">
        <v>0.58608309999999997</v>
      </c>
      <c r="F4043" t="s">
        <v>60</v>
      </c>
      <c r="G4043">
        <v>-168.41399999999999</v>
      </c>
      <c r="H4043">
        <v>4.6495829999999998</v>
      </c>
      <c r="I4043">
        <v>200.48840000000001</v>
      </c>
      <c r="J4043">
        <v>-292.68419999999998</v>
      </c>
      <c r="K4043">
        <v>1.1088020000000001</v>
      </c>
      <c r="L4043">
        <v>215.05420000000001</v>
      </c>
      <c r="M4043">
        <v>0.99976569999999998</v>
      </c>
      <c r="N4043">
        <v>-1.474169E-2</v>
      </c>
      <c r="O4043">
        <v>1.5847259999999998E-2</v>
      </c>
      <c r="P4043">
        <v>0.99314420000000003</v>
      </c>
      <c r="Q4043">
        <v>-5.5873630000000001E-2</v>
      </c>
      <c r="R4043">
        <v>0.1026784</v>
      </c>
      <c r="S4043">
        <v>3.063507</v>
      </c>
      <c r="T4043">
        <v>8.7055209999999994E-2</v>
      </c>
      <c r="U4043">
        <v>-0.35801699999999997</v>
      </c>
      <c r="V4043">
        <v>-8.6990429999999994E-2</v>
      </c>
      <c r="W4043">
        <v>-4.1067159999999998E-2</v>
      </c>
      <c r="X4043">
        <v>0.99536230000000003</v>
      </c>
      <c r="Y4043">
        <v>0.13176280000000001</v>
      </c>
      <c r="Z4043">
        <v>1.5722990000000001E-3</v>
      </c>
      <c r="AA4043">
        <v>0.99128000000000005</v>
      </c>
      <c r="AB4043">
        <v>47</v>
      </c>
      <c r="AC4043">
        <v>124.27019999999899</v>
      </c>
      <c r="AD4043">
        <v>3.540781</v>
      </c>
      <c r="AE4043">
        <v>-14.5657999999999</v>
      </c>
      <c r="AF4043">
        <v>16.520296886749001</v>
      </c>
      <c r="AG4043">
        <v>3.540781</v>
      </c>
      <c r="AH4043">
        <v>123.924496191553</v>
      </c>
      <c r="AI4043">
        <v>88.377729239277301</v>
      </c>
      <c r="AJ4043">
        <v>82.406705482073903</v>
      </c>
      <c r="AK4043">
        <v>125.070932257046</v>
      </c>
      <c r="AL4043">
        <v>92.353636886859107</v>
      </c>
      <c r="AM4043">
        <v>94.994716572644293</v>
      </c>
      <c r="AN4043">
        <v>0.99999997740167001</v>
      </c>
    </row>
    <row r="4044" spans="1:40" x14ac:dyDescent="0.25">
      <c r="A4044" t="str">
        <f>"20190305135014014"</f>
        <v>20190305135014014</v>
      </c>
      <c r="B4044" t="str">
        <f>"1551765014004106"</f>
        <v>1551765014004106</v>
      </c>
      <c r="C4044" t="s">
        <v>40</v>
      </c>
      <c r="D4044">
        <v>3.9398230000000001</v>
      </c>
      <c r="E4044">
        <v>0.58610139999999999</v>
      </c>
      <c r="F4044" t="s">
        <v>60</v>
      </c>
      <c r="G4044">
        <v>-168.41399999999999</v>
      </c>
      <c r="H4044">
        <v>4.4212210000000001</v>
      </c>
      <c r="I4044">
        <v>200.20400000000001</v>
      </c>
      <c r="J4044">
        <v>-292.34840000000003</v>
      </c>
      <c r="K4044">
        <v>1.108625</v>
      </c>
      <c r="L4044">
        <v>215.059</v>
      </c>
      <c r="M4044">
        <v>0.99977910000000003</v>
      </c>
      <c r="N4044">
        <v>-1.474108E-2</v>
      </c>
      <c r="O4044">
        <v>1.4979299999999999E-2</v>
      </c>
      <c r="P4044">
        <v>0.99331290000000005</v>
      </c>
      <c r="Q4044">
        <v>-5.6443010000000002E-2</v>
      </c>
      <c r="R4044">
        <v>0.10071670000000001</v>
      </c>
      <c r="S4044">
        <v>3.0631409999999999</v>
      </c>
      <c r="T4044">
        <v>8.1648830000000006E-2</v>
      </c>
      <c r="U4044">
        <v>-0.36604310000000001</v>
      </c>
      <c r="V4044">
        <v>-8.5908709999999999E-2</v>
      </c>
      <c r="W4044">
        <v>-4.1601399999999997E-2</v>
      </c>
      <c r="X4044">
        <v>0.99543409999999999</v>
      </c>
      <c r="Y4044">
        <v>0.1334835</v>
      </c>
      <c r="Z4044">
        <v>1.4027460000000001E-3</v>
      </c>
      <c r="AA4044">
        <v>0.99105010000000004</v>
      </c>
      <c r="AB4044">
        <v>47</v>
      </c>
      <c r="AC4044">
        <v>123.9344</v>
      </c>
      <c r="AD4044">
        <v>3.3125960000000001</v>
      </c>
      <c r="AE4044">
        <v>-14.855</v>
      </c>
      <c r="AF4044">
        <v>16.698224754215499</v>
      </c>
      <c r="AG4044">
        <v>3.3125960000000001</v>
      </c>
      <c r="AH4044">
        <v>123.610891096375</v>
      </c>
      <c r="AI4044">
        <v>88.478733125174998</v>
      </c>
      <c r="AJ4044">
        <v>82.306656633953494</v>
      </c>
      <c r="AK4044">
        <v>124.777627801788</v>
      </c>
      <c r="AL4044">
        <v>92.384272677254202</v>
      </c>
      <c r="AM4044">
        <v>94.932561943233907</v>
      </c>
      <c r="AN4044">
        <v>1.00000001518931</v>
      </c>
    </row>
    <row r="4045" spans="1:40" x14ac:dyDescent="0.25">
      <c r="A4045" t="str">
        <f>"20190305135014033"</f>
        <v>20190305135014033</v>
      </c>
      <c r="B4045" t="str">
        <f>"1551765014024600"</f>
        <v>1551765014024600</v>
      </c>
      <c r="C4045" t="s">
        <v>40</v>
      </c>
      <c r="D4045">
        <v>3.939152</v>
      </c>
      <c r="E4045">
        <v>0.58606800000000003</v>
      </c>
      <c r="F4045" t="s">
        <v>60</v>
      </c>
      <c r="G4045">
        <v>-168.41409999999999</v>
      </c>
      <c r="H4045">
        <v>4.3769619999999998</v>
      </c>
      <c r="I4045">
        <v>200.00059999999999</v>
      </c>
      <c r="J4045">
        <v>-291.95839999999998</v>
      </c>
      <c r="K4045">
        <v>1.1084229999999999</v>
      </c>
      <c r="L4045">
        <v>215.06399999999999</v>
      </c>
      <c r="M4045">
        <v>0.99979549999999995</v>
      </c>
      <c r="N4045">
        <v>-1.474019E-2</v>
      </c>
      <c r="O4045">
        <v>1.385631E-2</v>
      </c>
      <c r="P4045">
        <v>0.99338479999999996</v>
      </c>
      <c r="Q4045">
        <v>-5.9164019999999998E-2</v>
      </c>
      <c r="R4045">
        <v>9.8420610000000006E-2</v>
      </c>
      <c r="S4045">
        <v>3.0625</v>
      </c>
      <c r="T4045">
        <v>8.0763580000000001E-2</v>
      </c>
      <c r="U4045">
        <v>-0.37210080000000001</v>
      </c>
      <c r="V4045">
        <v>-8.475444E-2</v>
      </c>
      <c r="W4045">
        <v>-4.4286989999999998E-2</v>
      </c>
      <c r="X4045">
        <v>0.9954172</v>
      </c>
      <c r="Y4045">
        <v>0.1343287</v>
      </c>
      <c r="Z4045">
        <v>1.3381790000000001E-3</v>
      </c>
      <c r="AA4045">
        <v>0.99093589999999998</v>
      </c>
      <c r="AB4045">
        <v>47</v>
      </c>
      <c r="AC4045">
        <v>123.54430000000001</v>
      </c>
      <c r="AD4045">
        <v>3.2685390000000001</v>
      </c>
      <c r="AE4045">
        <v>-15.0634</v>
      </c>
      <c r="AF4045">
        <v>16.762446534236801</v>
      </c>
      <c r="AG4045">
        <v>3.2685390000000001</v>
      </c>
      <c r="AH4045">
        <v>123.238694646163</v>
      </c>
      <c r="AI4045">
        <v>88.494611250318599</v>
      </c>
      <c r="AJ4045">
        <v>82.254383782290105</v>
      </c>
      <c r="AK4045">
        <v>124.41639288734299</v>
      </c>
      <c r="AL4045">
        <v>92.538287746349596</v>
      </c>
      <c r="AM4045">
        <v>94.866690683057001</v>
      </c>
      <c r="AN4045">
        <v>1.0000000273194001</v>
      </c>
    </row>
    <row r="4046" spans="1:40" x14ac:dyDescent="0.25">
      <c r="A4046" t="str">
        <f>"20190305135014054"</f>
        <v>20190305135014054</v>
      </c>
      <c r="B4046" t="str">
        <f>"1551765014044122"</f>
        <v>1551765014044122</v>
      </c>
      <c r="C4046" t="s">
        <v>40</v>
      </c>
      <c r="D4046">
        <v>3.947851</v>
      </c>
      <c r="E4046">
        <v>0.5860109</v>
      </c>
      <c r="F4046" t="s">
        <v>60</v>
      </c>
      <c r="G4046">
        <v>-168.41399999999999</v>
      </c>
      <c r="H4046">
        <v>4.0483880000000001</v>
      </c>
      <c r="I4046">
        <v>199.7704</v>
      </c>
      <c r="J4046">
        <v>-291.51159999999999</v>
      </c>
      <c r="K4046">
        <v>1.108206</v>
      </c>
      <c r="L4046">
        <v>215.0692</v>
      </c>
      <c r="M4046">
        <v>0.99981399999999998</v>
      </c>
      <c r="N4046">
        <v>-1.473905E-2</v>
      </c>
      <c r="O4046">
        <v>1.243764E-2</v>
      </c>
      <c r="P4046">
        <v>0.99333970000000005</v>
      </c>
      <c r="Q4046">
        <v>-6.2968940000000001E-2</v>
      </c>
      <c r="R4046">
        <v>9.6494549999999998E-2</v>
      </c>
      <c r="S4046">
        <v>3.0618590000000001</v>
      </c>
      <c r="T4046">
        <v>7.2863339999999999E-2</v>
      </c>
      <c r="U4046">
        <v>-0.37902829999999998</v>
      </c>
      <c r="V4046">
        <v>-8.4272680000000003E-2</v>
      </c>
      <c r="W4046">
        <v>-4.8056460000000002E-2</v>
      </c>
      <c r="X4046">
        <v>0.99528320000000003</v>
      </c>
      <c r="Y4046">
        <v>0.1351646</v>
      </c>
      <c r="Z4046">
        <v>1.0793549999999999E-3</v>
      </c>
      <c r="AA4046">
        <v>0.9908226</v>
      </c>
      <c r="AB4046">
        <v>47</v>
      </c>
      <c r="AC4046">
        <v>123.09759999999901</v>
      </c>
      <c r="AD4046">
        <v>2.9401820000000001</v>
      </c>
      <c r="AE4046">
        <v>-15.2988</v>
      </c>
      <c r="AF4046">
        <v>16.819377001332199</v>
      </c>
      <c r="AG4046">
        <v>2.9401820000000001</v>
      </c>
      <c r="AH4046">
        <v>122.82876773492499</v>
      </c>
      <c r="AI4046">
        <v>88.641432034641596</v>
      </c>
      <c r="AJ4046">
        <v>82.202779906180595</v>
      </c>
      <c r="AK4046">
        <v>124.009847577465</v>
      </c>
      <c r="AL4046">
        <v>92.754493306517105</v>
      </c>
      <c r="AM4046">
        <v>94.839807673406995</v>
      </c>
      <c r="AN4046">
        <v>0.999999978072176</v>
      </c>
    </row>
    <row r="4047" spans="1:40" x14ac:dyDescent="0.25">
      <c r="A4047" t="str">
        <f>"20190305135014077"</f>
        <v>20190305135014077</v>
      </c>
      <c r="B4047" t="str">
        <f>"1551765014074377"</f>
        <v>1551765014074377</v>
      </c>
      <c r="C4047" t="s">
        <v>40</v>
      </c>
      <c r="D4047">
        <v>3.9574159999999998</v>
      </c>
      <c r="E4047">
        <v>0.58596530000000002</v>
      </c>
      <c r="F4047" t="s">
        <v>60</v>
      </c>
      <c r="G4047">
        <v>-168.41399999999999</v>
      </c>
      <c r="H4047">
        <v>3.5956220000000001</v>
      </c>
      <c r="I4047">
        <v>199.60659999999999</v>
      </c>
      <c r="J4047">
        <v>-291.05470000000003</v>
      </c>
      <c r="K4047">
        <v>1.1080159999999999</v>
      </c>
      <c r="L4047">
        <v>215.0737</v>
      </c>
      <c r="M4047">
        <v>0.99983230000000001</v>
      </c>
      <c r="N4047">
        <v>-1.473753E-2</v>
      </c>
      <c r="O4047">
        <v>1.087664E-2</v>
      </c>
      <c r="P4047">
        <v>0.99322719999999998</v>
      </c>
      <c r="Q4047">
        <v>-6.6483650000000005E-2</v>
      </c>
      <c r="R4047">
        <v>9.5287559999999993E-2</v>
      </c>
      <c r="S4047">
        <v>3.0614319999999999</v>
      </c>
      <c r="T4047">
        <v>6.1862710000000001E-2</v>
      </c>
      <c r="U4047">
        <v>-0.384552</v>
      </c>
      <c r="V4047">
        <v>-8.4651870000000004E-2</v>
      </c>
      <c r="W4047">
        <v>-5.1538960000000002E-2</v>
      </c>
      <c r="X4047">
        <v>0.99507679999999998</v>
      </c>
      <c r="Y4047">
        <v>0.13540429999999901</v>
      </c>
      <c r="Z4047">
        <v>7.3938559999999897E-4</v>
      </c>
      <c r="AA4047">
        <v>0.99079010000000001</v>
      </c>
      <c r="AB4047">
        <v>47</v>
      </c>
      <c r="AC4047">
        <v>122.6407</v>
      </c>
      <c r="AD4047">
        <v>2.487606</v>
      </c>
      <c r="AE4047">
        <v>-15.4671</v>
      </c>
      <c r="AF4047">
        <v>16.793447308780401</v>
      </c>
      <c r="AG4047">
        <v>2.487606</v>
      </c>
      <c r="AH4047">
        <v>122.415618911561</v>
      </c>
      <c r="AI4047">
        <v>88.846652642663599</v>
      </c>
      <c r="AJ4047">
        <v>82.188701548196605</v>
      </c>
      <c r="AK4047">
        <v>123.587183031351</v>
      </c>
      <c r="AL4047">
        <v>92.954273701676698</v>
      </c>
      <c r="AM4047">
        <v>94.8624840818281</v>
      </c>
      <c r="AN4047">
        <v>1.0000000206952999</v>
      </c>
    </row>
    <row r="4048" spans="1:40" x14ac:dyDescent="0.25">
      <c r="A4048" t="str">
        <f>"20190305135014091"</f>
        <v>20190305135014091</v>
      </c>
      <c r="B4048" t="str">
        <f>"1551765014084137"</f>
        <v>1551765014084137</v>
      </c>
      <c r="C4048" t="s">
        <v>40</v>
      </c>
      <c r="D4048">
        <v>3.9368500000000002</v>
      </c>
      <c r="E4048">
        <v>0.58593209999999996</v>
      </c>
      <c r="F4048" t="s">
        <v>60</v>
      </c>
      <c r="G4048">
        <v>-168.41390000000001</v>
      </c>
      <c r="H4048">
        <v>3.2546550000000001</v>
      </c>
      <c r="I4048">
        <v>199.54079999999999</v>
      </c>
      <c r="J4048">
        <v>-290.73329999999999</v>
      </c>
      <c r="K4048">
        <v>1.1079000000000001</v>
      </c>
      <c r="L4048">
        <v>215.07650000000001</v>
      </c>
      <c r="M4048">
        <v>0.99984419999999996</v>
      </c>
      <c r="N4048">
        <v>-1.47362E-2</v>
      </c>
      <c r="O4048">
        <v>9.7323719999999996E-3</v>
      </c>
      <c r="P4048">
        <v>0.99318799999999996</v>
      </c>
      <c r="Q4048">
        <v>-6.7928779999999994E-2</v>
      </c>
      <c r="R4048">
        <v>9.4676060000000006E-2</v>
      </c>
      <c r="S4048">
        <v>3.0613100000000002</v>
      </c>
      <c r="T4048">
        <v>5.3584340000000001E-2</v>
      </c>
      <c r="U4048">
        <v>-0.38772580000000001</v>
      </c>
      <c r="V4048">
        <v>-8.5197800000000004E-2</v>
      </c>
      <c r="W4048">
        <v>-5.2962820000000001E-2</v>
      </c>
      <c r="X4048">
        <v>0.99495540000000005</v>
      </c>
      <c r="Y4048">
        <v>0.1352921</v>
      </c>
      <c r="Z4048">
        <v>4.9088270000000002E-4</v>
      </c>
      <c r="AA4048">
        <v>0.99080559999999995</v>
      </c>
      <c r="AB4048">
        <v>47</v>
      </c>
      <c r="AC4048">
        <v>122.31939999999901</v>
      </c>
      <c r="AD4048">
        <v>2.1467550000000002</v>
      </c>
      <c r="AE4048">
        <v>-15.5357</v>
      </c>
      <c r="AF4048">
        <v>16.720482635994198</v>
      </c>
      <c r="AG4048">
        <v>2.1467550000000002</v>
      </c>
      <c r="AH4048">
        <v>122.125370527374</v>
      </c>
      <c r="AI4048">
        <v>89.002248086123302</v>
      </c>
      <c r="AJ4048">
        <v>82.203966072270603</v>
      </c>
      <c r="AK4048">
        <v>123.283369612689</v>
      </c>
      <c r="AL4048">
        <v>93.035966572046505</v>
      </c>
      <c r="AM4048">
        <v>94.894285224901097</v>
      </c>
      <c r="AN4048">
        <v>0.99999998670817603</v>
      </c>
    </row>
    <row r="4049" spans="1:40" x14ac:dyDescent="0.25">
      <c r="A4049" t="str">
        <f>"20190305135014111"</f>
        <v>20190305135014111</v>
      </c>
      <c r="B4049" t="str">
        <f>"1551765014104636"</f>
        <v>1551765014104636</v>
      </c>
      <c r="C4049" t="s">
        <v>40</v>
      </c>
      <c r="D4049">
        <v>3.9495689999999999</v>
      </c>
      <c r="E4049">
        <v>0.58593059999999997</v>
      </c>
      <c r="F4049" t="s">
        <v>60</v>
      </c>
      <c r="G4049">
        <v>-168.41380000000001</v>
      </c>
      <c r="H4049">
        <v>3.1315110000000002</v>
      </c>
      <c r="I4049">
        <v>199.52269999999999</v>
      </c>
      <c r="J4049">
        <v>-290.3383</v>
      </c>
      <c r="K4049">
        <v>1.1077589999999999</v>
      </c>
      <c r="L4049">
        <v>215.07939999999999</v>
      </c>
      <c r="M4049">
        <v>0.99985710000000005</v>
      </c>
      <c r="N4049">
        <v>-1.473406E-2</v>
      </c>
      <c r="O4049">
        <v>8.2818470000000002E-3</v>
      </c>
      <c r="P4049">
        <v>0.99306570000000005</v>
      </c>
      <c r="Q4049">
        <v>-7.036415E-2</v>
      </c>
      <c r="R4049">
        <v>9.4177789999999997E-2</v>
      </c>
      <c r="S4049">
        <v>3.061188</v>
      </c>
      <c r="T4049">
        <v>5.0644040000000001E-2</v>
      </c>
      <c r="U4049">
        <v>-0.38925169999999998</v>
      </c>
      <c r="V4049">
        <v>-8.6167599999999997E-2</v>
      </c>
      <c r="W4049">
        <v>-5.5375670000000002E-2</v>
      </c>
      <c r="X4049">
        <v>0.99474050000000003</v>
      </c>
      <c r="Y4049">
        <v>0.13434779999999999</v>
      </c>
      <c r="Z4049">
        <v>3.7099909999999998E-4</v>
      </c>
      <c r="AA4049">
        <v>0.99093419999999999</v>
      </c>
      <c r="AB4049">
        <v>46</v>
      </c>
      <c r="AC4049">
        <v>121.92449999999999</v>
      </c>
      <c r="AD4049">
        <v>2.023752</v>
      </c>
      <c r="AE4049">
        <v>-15.556699999999999</v>
      </c>
      <c r="AF4049">
        <v>16.561546364222401</v>
      </c>
      <c r="AG4049">
        <v>2.023752</v>
      </c>
      <c r="AH4049">
        <v>121.758457539906</v>
      </c>
      <c r="AI4049">
        <v>89.056459124871097</v>
      </c>
      <c r="AJ4049">
        <v>82.254182383795694</v>
      </c>
      <c r="AK4049">
        <v>122.8963074003</v>
      </c>
      <c r="AL4049">
        <v>93.174415990858606</v>
      </c>
      <c r="AM4049">
        <v>94.950785276857999</v>
      </c>
      <c r="AN4049">
        <v>0.99999999122897898</v>
      </c>
    </row>
    <row r="4050" spans="1:40" x14ac:dyDescent="0.25">
      <c r="A4050" t="str">
        <f>"20190305135014132"</f>
        <v>20190305135014132</v>
      </c>
      <c r="B4050" t="str">
        <f>"1551765014124156"</f>
        <v>1551765014124156</v>
      </c>
      <c r="C4050" t="s">
        <v>40</v>
      </c>
      <c r="D4050">
        <v>3.934536</v>
      </c>
      <c r="E4050">
        <v>0.5858797</v>
      </c>
      <c r="F4050" t="s">
        <v>60</v>
      </c>
      <c r="G4050">
        <v>-168.41380000000001</v>
      </c>
      <c r="H4050">
        <v>2.926555</v>
      </c>
      <c r="I4050">
        <v>199.51349999999999</v>
      </c>
      <c r="J4050">
        <v>-289.8929</v>
      </c>
      <c r="K4050">
        <v>1.107631</v>
      </c>
      <c r="L4050">
        <v>215.08189999999999</v>
      </c>
      <c r="M4050">
        <v>0.99986960000000003</v>
      </c>
      <c r="N4050">
        <v>-1.473143E-2</v>
      </c>
      <c r="O4050">
        <v>6.6084209999999997E-3</v>
      </c>
      <c r="P4050">
        <v>0.99300770000000005</v>
      </c>
      <c r="Q4050">
        <v>-7.2977130000000001E-2</v>
      </c>
      <c r="R4050">
        <v>9.2791180000000001E-2</v>
      </c>
      <c r="S4050">
        <v>3.0612490000000001</v>
      </c>
      <c r="T4050">
        <v>4.5666690000000003E-2</v>
      </c>
      <c r="U4050">
        <v>-0.39082339999999999</v>
      </c>
      <c r="V4050">
        <v>-8.6470729999999996E-2</v>
      </c>
      <c r="W4050">
        <v>-5.7969260000000002E-2</v>
      </c>
      <c r="X4050">
        <v>0.99456639999999996</v>
      </c>
      <c r="Y4050">
        <v>0.13319029999999901</v>
      </c>
      <c r="Z4050">
        <v>1.994447E-4</v>
      </c>
      <c r="AA4050">
        <v>0.99109049999999999</v>
      </c>
      <c r="AB4050">
        <v>46</v>
      </c>
      <c r="AC4050">
        <v>121.4791</v>
      </c>
      <c r="AD4050">
        <v>1.818924</v>
      </c>
      <c r="AE4050">
        <v>-15.568399999999899</v>
      </c>
      <c r="AF4050">
        <v>16.3673219957908</v>
      </c>
      <c r="AG4050">
        <v>1.818924</v>
      </c>
      <c r="AH4050">
        <v>121.34678737262399</v>
      </c>
      <c r="AI4050">
        <v>89.148936514967602</v>
      </c>
      <c r="AJ4050">
        <v>82.318273552081905</v>
      </c>
      <c r="AK4050">
        <v>122.45913816244401</v>
      </c>
      <c r="AL4050">
        <v>93.323257069015696</v>
      </c>
      <c r="AM4050">
        <v>94.968980006775297</v>
      </c>
      <c r="AN4050">
        <v>0.99999997313031896</v>
      </c>
    </row>
    <row r="4051" spans="1:40" x14ac:dyDescent="0.25">
      <c r="A4051" t="str">
        <f>"20190305135014148"</f>
        <v>20190305135014148</v>
      </c>
      <c r="B4051" t="str">
        <f>"1551765014144649"</f>
        <v>1551765014144649</v>
      </c>
      <c r="C4051" t="s">
        <v>40</v>
      </c>
      <c r="D4051">
        <v>3.9048500000000002</v>
      </c>
      <c r="E4051">
        <v>0.58587749999999905</v>
      </c>
      <c r="F4051" t="s">
        <v>60</v>
      </c>
      <c r="G4051">
        <v>-168.41370000000001</v>
      </c>
      <c r="H4051">
        <v>2.6772990000000001</v>
      </c>
      <c r="I4051">
        <v>199.42509999999999</v>
      </c>
      <c r="J4051">
        <v>-289.56779999999998</v>
      </c>
      <c r="K4051">
        <v>1.1075549999999901</v>
      </c>
      <c r="L4051">
        <v>215.08330000000001</v>
      </c>
      <c r="M4051">
        <v>0.99987709999999996</v>
      </c>
      <c r="N4051">
        <v>-1.472937E-2</v>
      </c>
      <c r="O4051">
        <v>5.372679E-3</v>
      </c>
      <c r="P4051">
        <v>0.99303580000000002</v>
      </c>
      <c r="Q4051">
        <v>-7.3615699999999895E-2</v>
      </c>
      <c r="R4051">
        <v>9.1983019999999999E-2</v>
      </c>
      <c r="S4051">
        <v>3.060883</v>
      </c>
      <c r="T4051">
        <v>3.9551379999999997E-2</v>
      </c>
      <c r="U4051">
        <v>-0.39450069999999998</v>
      </c>
      <c r="V4051">
        <v>-8.6903380000000002E-2</v>
      </c>
      <c r="W4051">
        <v>-5.8594159999999999E-2</v>
      </c>
      <c r="X4051">
        <v>0.99449209999999999</v>
      </c>
      <c r="Y4051">
        <v>0.133154299999999</v>
      </c>
      <c r="Z4051" s="1">
        <v>1.9917729999999999E-5</v>
      </c>
      <c r="AA4051">
        <v>0.99109530000000001</v>
      </c>
      <c r="AB4051">
        <v>46</v>
      </c>
      <c r="AC4051">
        <v>121.154099999999</v>
      </c>
      <c r="AD4051">
        <v>1.569744</v>
      </c>
      <c r="AE4051">
        <v>-15.658200000000001</v>
      </c>
      <c r="AF4051">
        <v>16.3062742420205</v>
      </c>
      <c r="AG4051">
        <v>1.569744</v>
      </c>
      <c r="AH4051">
        <v>121.048228496965</v>
      </c>
      <c r="AI4051">
        <v>89.263684431745602</v>
      </c>
      <c r="AJ4051">
        <v>82.327932884483602</v>
      </c>
      <c r="AK4051">
        <v>122.151677426612</v>
      </c>
      <c r="AL4051">
        <v>93.359122060345101</v>
      </c>
      <c r="AM4051">
        <v>94.9940877333553</v>
      </c>
      <c r="AN4051">
        <v>1.00000000500196</v>
      </c>
    </row>
    <row r="4052" spans="1:40" x14ac:dyDescent="0.25">
      <c r="A4052" t="str">
        <f>"20190305135014166"</f>
        <v>20190305135014166</v>
      </c>
      <c r="B4052" t="str">
        <f>"1551765014154409"</f>
        <v>1551765014154409</v>
      </c>
      <c r="C4052" t="s">
        <v>40</v>
      </c>
      <c r="D4052">
        <v>3.9618690000000001</v>
      </c>
      <c r="E4052">
        <v>0.58564659999999902</v>
      </c>
      <c r="F4052" t="s">
        <v>60</v>
      </c>
      <c r="G4052">
        <v>-168.41370000000001</v>
      </c>
      <c r="H4052">
        <v>2.6549770000000001</v>
      </c>
      <c r="I4052">
        <v>199.37139999999999</v>
      </c>
      <c r="J4052">
        <v>-289.2054</v>
      </c>
      <c r="K4052">
        <v>1.107469</v>
      </c>
      <c r="L4052">
        <v>215.08430000000001</v>
      </c>
      <c r="M4052">
        <v>0.99988370000000004</v>
      </c>
      <c r="N4052">
        <v>-1.4726990000000001E-2</v>
      </c>
      <c r="O4052">
        <v>3.9902779999999999E-3</v>
      </c>
      <c r="P4052">
        <v>0.99303889999999995</v>
      </c>
      <c r="Q4052">
        <v>-7.509014E-2</v>
      </c>
      <c r="R4052">
        <v>9.0749399999999994E-2</v>
      </c>
      <c r="S4052">
        <v>3.0606990000000001</v>
      </c>
      <c r="T4052">
        <v>3.9093139999999998E-2</v>
      </c>
      <c r="U4052">
        <v>-0.39692690000000003</v>
      </c>
      <c r="V4052">
        <v>-8.705939E-2</v>
      </c>
      <c r="W4052">
        <v>-6.0057720000000002E-2</v>
      </c>
      <c r="X4052">
        <v>0.99439109999999997</v>
      </c>
      <c r="Y4052">
        <v>0.13256490000000001</v>
      </c>
      <c r="Z4052" s="1">
        <v>-2.795225E-5</v>
      </c>
      <c r="AA4052">
        <v>0.99117429999999995</v>
      </c>
      <c r="AB4052">
        <v>46</v>
      </c>
      <c r="AC4052">
        <v>120.79170000000001</v>
      </c>
      <c r="AD4052">
        <v>1.5475079999999899</v>
      </c>
      <c r="AE4052">
        <v>-15.712899999999999</v>
      </c>
      <c r="AF4052">
        <v>16.192206140246199</v>
      </c>
      <c r="AG4052">
        <v>1.5475079999999899</v>
      </c>
      <c r="AH4052">
        <v>120.708550123414</v>
      </c>
      <c r="AI4052">
        <v>89.272016646526794</v>
      </c>
      <c r="AJ4052">
        <v>82.359781725647593</v>
      </c>
      <c r="AK4052">
        <v>121.79957468560799</v>
      </c>
      <c r="AL4052">
        <v>93.4431259806273</v>
      </c>
      <c r="AM4052">
        <v>95.003513292569593</v>
      </c>
      <c r="AN4052">
        <v>0.999999963438989</v>
      </c>
    </row>
    <row r="4053" spans="1:40" x14ac:dyDescent="0.25">
      <c r="A4053" t="str">
        <f>"20190305135014188"</f>
        <v>20190305135014188</v>
      </c>
      <c r="B4053" t="str">
        <f>"1551765014184041"</f>
        <v>1551765014184041</v>
      </c>
      <c r="C4053" t="s">
        <v>40</v>
      </c>
      <c r="D4053">
        <v>3.9431699999999998</v>
      </c>
      <c r="E4053">
        <v>0.58710189999999995</v>
      </c>
      <c r="F4053" t="s">
        <v>60</v>
      </c>
      <c r="G4053">
        <v>-168.41460000000001</v>
      </c>
      <c r="H4053">
        <v>5.2691670000000004</v>
      </c>
      <c r="I4053">
        <v>199.4787</v>
      </c>
      <c r="J4053">
        <v>-288.73090000000002</v>
      </c>
      <c r="K4053">
        <v>1.1073900000000001</v>
      </c>
      <c r="L4053">
        <v>215.08500000000001</v>
      </c>
      <c r="M4053">
        <v>0.99988920000000003</v>
      </c>
      <c r="N4053">
        <v>-1.4723750000000001E-2</v>
      </c>
      <c r="O4053">
        <v>2.1871809999999998E-3</v>
      </c>
      <c r="P4053">
        <v>0.99295140000000004</v>
      </c>
      <c r="Q4053">
        <v>-7.799507E-2</v>
      </c>
      <c r="R4053">
        <v>8.9243649999999994E-2</v>
      </c>
      <c r="S4053">
        <v>3.0652159999999999</v>
      </c>
      <c r="T4053">
        <v>0.1056091</v>
      </c>
      <c r="U4053">
        <v>-0.39601140000000001</v>
      </c>
      <c r="V4053">
        <v>-8.7369059999999998E-2</v>
      </c>
      <c r="W4053">
        <v>-6.2952850000000005E-2</v>
      </c>
      <c r="X4053">
        <v>0.99418490000000004</v>
      </c>
      <c r="Y4053">
        <v>0.1302537</v>
      </c>
      <c r="Z4053">
        <v>1.3779350000000001E-3</v>
      </c>
      <c r="AA4053">
        <v>0.99147980000000002</v>
      </c>
      <c r="AB4053">
        <v>46</v>
      </c>
      <c r="AC4053">
        <v>120.3163</v>
      </c>
      <c r="AD4053">
        <v>4.1617769999999998</v>
      </c>
      <c r="AE4053">
        <v>-15.606299999999999</v>
      </c>
      <c r="AF4053">
        <v>15.850793229930099</v>
      </c>
      <c r="AG4053">
        <v>4.1617769999999998</v>
      </c>
      <c r="AH4053">
        <v>120.140506367448</v>
      </c>
      <c r="AI4053">
        <v>88.033047060911699</v>
      </c>
      <c r="AJ4053">
        <v>82.4840641258006</v>
      </c>
      <c r="AK4053">
        <v>121.253079565191</v>
      </c>
      <c r="AL4053">
        <v>93.6093192349242</v>
      </c>
      <c r="AM4053">
        <v>95.022256054986798</v>
      </c>
      <c r="AN4053">
        <v>1.0000000146782</v>
      </c>
    </row>
    <row r="4054" spans="1:40" x14ac:dyDescent="0.25">
      <c r="A4054" t="str">
        <f>"20190305135014203"</f>
        <v>20190305135014203</v>
      </c>
      <c r="B4054" t="str">
        <f>"1551765014194777"</f>
        <v>1551765014194777</v>
      </c>
      <c r="C4054" t="s">
        <v>40</v>
      </c>
      <c r="D4054">
        <v>3.9656530000000001</v>
      </c>
      <c r="E4054">
        <v>0.58739819999999998</v>
      </c>
      <c r="F4054" t="s">
        <v>60</v>
      </c>
      <c r="G4054">
        <v>-168.41480000000001</v>
      </c>
      <c r="H4054">
        <v>5.3734339999999996</v>
      </c>
      <c r="I4054">
        <v>198.9383</v>
      </c>
      <c r="J4054">
        <v>-288.42970000000003</v>
      </c>
      <c r="K4054">
        <v>1.107348</v>
      </c>
      <c r="L4054">
        <v>215.0849</v>
      </c>
      <c r="M4054">
        <v>0.99989119999999998</v>
      </c>
      <c r="N4054">
        <v>-1.472161E-2</v>
      </c>
      <c r="O4054">
        <v>1.0534050000000001E-3</v>
      </c>
      <c r="P4054">
        <v>0.99295509999999998</v>
      </c>
      <c r="Q4054">
        <v>-7.9080120000000004E-2</v>
      </c>
      <c r="R4054">
        <v>8.8242730000000005E-2</v>
      </c>
      <c r="S4054">
        <v>3.0668329999999999</v>
      </c>
      <c r="T4054">
        <v>0.1087414</v>
      </c>
      <c r="U4054">
        <v>-0.41157529999999998</v>
      </c>
      <c r="V4054">
        <v>-8.7504289999999998E-2</v>
      </c>
      <c r="W4054">
        <v>-6.403383E-2</v>
      </c>
      <c r="X4054">
        <v>0.99410399999999999</v>
      </c>
      <c r="Y4054">
        <v>0.1340044</v>
      </c>
      <c r="Z4054">
        <v>1.425972E-3</v>
      </c>
      <c r="AA4054">
        <v>0.99097970000000002</v>
      </c>
      <c r="AB4054">
        <v>46</v>
      </c>
      <c r="AC4054">
        <v>120.0149</v>
      </c>
      <c r="AD4054">
        <v>4.2660859999999996</v>
      </c>
      <c r="AE4054">
        <v>-16.146599999999999</v>
      </c>
      <c r="AF4054">
        <v>16.2528579975139</v>
      </c>
      <c r="AG4054">
        <v>4.2660859999999996</v>
      </c>
      <c r="AH4054">
        <v>119.849080888557</v>
      </c>
      <c r="AI4054">
        <v>87.979865065145304</v>
      </c>
      <c r="AJ4054">
        <v>82.277171880428099</v>
      </c>
      <c r="AK4054">
        <v>121.021308341459</v>
      </c>
      <c r="AL4054">
        <v>93.6713799306564</v>
      </c>
      <c r="AM4054">
        <v>95.030396903759097</v>
      </c>
      <c r="AN4054">
        <v>1.0000000474844299</v>
      </c>
    </row>
    <row r="4055" spans="1:40" x14ac:dyDescent="0.25">
      <c r="A4055" t="str">
        <f>"20190305135014218"</f>
        <v>20190305135014218</v>
      </c>
      <c r="B4055" t="str">
        <f>"1551765014214297"</f>
        <v>1551765014214297</v>
      </c>
      <c r="C4055" t="s">
        <v>40</v>
      </c>
      <c r="D4055">
        <v>3.980432</v>
      </c>
      <c r="E4055">
        <v>0.58708729999999998</v>
      </c>
      <c r="F4055" t="s">
        <v>60</v>
      </c>
      <c r="G4055">
        <v>-168.41480000000001</v>
      </c>
      <c r="H4055">
        <v>5.3750119999999999</v>
      </c>
      <c r="I4055">
        <v>198.774</v>
      </c>
      <c r="J4055">
        <v>-288.13350000000003</v>
      </c>
      <c r="K4055">
        <v>1.107321</v>
      </c>
      <c r="L4055">
        <v>215.08449999999999</v>
      </c>
      <c r="M4055">
        <v>0.99989170000000005</v>
      </c>
      <c r="N4055">
        <v>-1.47195E-2</v>
      </c>
      <c r="O4055" s="1">
        <v>-5.4949469999999903E-5</v>
      </c>
      <c r="P4055">
        <v>0.99298319999999995</v>
      </c>
      <c r="Q4055">
        <v>-8.0320950000000002E-2</v>
      </c>
      <c r="R4055">
        <v>8.6792629999999996E-2</v>
      </c>
      <c r="S4055">
        <v>3.066986</v>
      </c>
      <c r="T4055">
        <v>0.10906109999999999</v>
      </c>
      <c r="U4055">
        <v>-0.41682429999999898</v>
      </c>
      <c r="V4055">
        <v>-8.7165450000000005E-2</v>
      </c>
      <c r="W4055">
        <v>-6.5273769999999995E-2</v>
      </c>
      <c r="X4055">
        <v>0.99405310000000002</v>
      </c>
      <c r="Y4055">
        <v>0.13456589999999999</v>
      </c>
      <c r="Z4055">
        <v>1.382989E-3</v>
      </c>
      <c r="AA4055">
        <v>0.99090370000000005</v>
      </c>
      <c r="AB4055">
        <v>46</v>
      </c>
      <c r="AC4055">
        <v>119.7187</v>
      </c>
      <c r="AD4055">
        <v>4.2676910000000001</v>
      </c>
      <c r="AE4055">
        <v>-16.310499999999902</v>
      </c>
      <c r="AF4055">
        <v>16.283605387010699</v>
      </c>
      <c r="AG4055">
        <v>4.2676910000000001</v>
      </c>
      <c r="AH4055">
        <v>119.57042032875</v>
      </c>
      <c r="AI4055">
        <v>87.974554658689399</v>
      </c>
      <c r="AJ4055">
        <v>82.244925909207694</v>
      </c>
      <c r="AK4055">
        <v>120.749552415176</v>
      </c>
      <c r="AL4055">
        <v>93.742572303611496</v>
      </c>
      <c r="AM4055">
        <v>95.011272512415005</v>
      </c>
      <c r="AN4055">
        <v>1.0000000231716599</v>
      </c>
    </row>
    <row r="4056" spans="1:40" x14ac:dyDescent="0.25">
      <c r="A4056" t="str">
        <f>"20190305135014234"</f>
        <v>20190305135014234</v>
      </c>
      <c r="B4056" t="str">
        <f>"1551765014224057"</f>
        <v>1551765014224057</v>
      </c>
      <c r="C4056" t="s">
        <v>40</v>
      </c>
      <c r="D4056">
        <v>3.9490189999999998</v>
      </c>
      <c r="E4056">
        <v>0.58721299999999998</v>
      </c>
      <c r="F4056" t="s">
        <v>60</v>
      </c>
      <c r="G4056">
        <v>-168.41480000000001</v>
      </c>
      <c r="H4056">
        <v>5.2184860000000004</v>
      </c>
      <c r="I4056">
        <v>198.73750000000001</v>
      </c>
      <c r="J4056">
        <v>-287.78559999999999</v>
      </c>
      <c r="K4056">
        <v>1.1073</v>
      </c>
      <c r="L4056">
        <v>215.08359999999999</v>
      </c>
      <c r="M4056">
        <v>0.99989090000000003</v>
      </c>
      <c r="N4056">
        <v>-1.4717060000000001E-2</v>
      </c>
      <c r="O4056">
        <v>-1.346154E-3</v>
      </c>
      <c r="P4056">
        <v>0.99310799999999999</v>
      </c>
      <c r="Q4056">
        <v>-8.0834500000000004E-2</v>
      </c>
      <c r="R4056">
        <v>8.4866639999999993E-2</v>
      </c>
      <c r="S4056">
        <v>3.066284</v>
      </c>
      <c r="T4056">
        <v>0.10529769999999899</v>
      </c>
      <c r="U4056">
        <v>-0.4186859</v>
      </c>
      <c r="V4056">
        <v>-8.6527359999999998E-2</v>
      </c>
      <c r="W4056">
        <v>-6.5787750000000006E-2</v>
      </c>
      <c r="X4056">
        <v>0.99407489999999998</v>
      </c>
      <c r="Y4056">
        <v>0.13391339999999999</v>
      </c>
      <c r="Z4056">
        <v>1.2321579999999999E-3</v>
      </c>
      <c r="AA4056">
        <v>0.99099230000000005</v>
      </c>
      <c r="AB4056">
        <v>46</v>
      </c>
      <c r="AC4056">
        <v>119.37079999999899</v>
      </c>
      <c r="AD4056">
        <v>4.111186</v>
      </c>
      <c r="AE4056">
        <v>-16.3460999999999</v>
      </c>
      <c r="AF4056">
        <v>16.1665533856299</v>
      </c>
      <c r="AG4056">
        <v>4.111186</v>
      </c>
      <c r="AH4056">
        <v>119.253849725935</v>
      </c>
      <c r="AI4056">
        <v>88.043435988601601</v>
      </c>
      <c r="AJ4056">
        <v>82.2798066236831</v>
      </c>
      <c r="AK4056">
        <v>120.414866080368</v>
      </c>
      <c r="AL4056">
        <v>93.772084864007894</v>
      </c>
      <c r="AM4056">
        <v>94.974663979626001</v>
      </c>
      <c r="AN4056">
        <v>0.99999995944431996</v>
      </c>
    </row>
    <row r="4057" spans="1:40" x14ac:dyDescent="0.25">
      <c r="A4057" t="str">
        <f>"20190305135014255"</f>
        <v>20190305135014255</v>
      </c>
      <c r="B4057" t="str">
        <f>"1551765014244553"</f>
        <v>1551765014244553</v>
      </c>
      <c r="C4057" t="s">
        <v>40</v>
      </c>
      <c r="D4057">
        <v>3.979924</v>
      </c>
      <c r="E4057">
        <v>0.58724299999999996</v>
      </c>
      <c r="F4057" t="s">
        <v>60</v>
      </c>
      <c r="G4057">
        <v>-168.41489999999999</v>
      </c>
      <c r="H4057">
        <v>5.3127589999999998</v>
      </c>
      <c r="I4057">
        <v>198.51929999999999</v>
      </c>
      <c r="J4057">
        <v>-287.34699999999998</v>
      </c>
      <c r="K4057">
        <v>1.107286</v>
      </c>
      <c r="L4057">
        <v>215.08189999999999</v>
      </c>
      <c r="M4057">
        <v>0.99988730000000003</v>
      </c>
      <c r="N4057">
        <v>-1.4714039999999999E-2</v>
      </c>
      <c r="O4057">
        <v>-2.957515E-3</v>
      </c>
      <c r="P4057">
        <v>0.99344310000000002</v>
      </c>
      <c r="Q4057">
        <v>-7.9620730000000001E-2</v>
      </c>
      <c r="R4057">
        <v>8.2044469999999994E-2</v>
      </c>
      <c r="S4057">
        <v>3.065979</v>
      </c>
      <c r="T4057">
        <v>0.108016</v>
      </c>
      <c r="U4057">
        <v>-0.42544559999999998</v>
      </c>
      <c r="V4057">
        <v>-8.5303509999999999E-2</v>
      </c>
      <c r="W4057">
        <v>-6.4576010000000003E-2</v>
      </c>
      <c r="X4057">
        <v>0.99426009999999998</v>
      </c>
      <c r="Y4057">
        <v>0.13447239999999999</v>
      </c>
      <c r="Z4057">
        <v>1.215535E-3</v>
      </c>
      <c r="AA4057">
        <v>0.99091660000000004</v>
      </c>
      <c r="AB4057">
        <v>46</v>
      </c>
      <c r="AC4057">
        <v>118.93210000000001</v>
      </c>
      <c r="AD4057">
        <v>4.2054729999999996</v>
      </c>
      <c r="AE4057">
        <v>-16.5626</v>
      </c>
      <c r="AF4057">
        <v>16.190886840195802</v>
      </c>
      <c r="AG4057">
        <v>4.2054729999999996</v>
      </c>
      <c r="AH4057">
        <v>118.83481088837701</v>
      </c>
      <c r="AI4057">
        <v>87.9917309398475</v>
      </c>
      <c r="AJ4057">
        <v>82.241394686586901</v>
      </c>
      <c r="AK4057">
        <v>120.006429405687</v>
      </c>
      <c r="AL4057">
        <v>93.702509351427494</v>
      </c>
      <c r="AM4057">
        <v>94.903738468693305</v>
      </c>
      <c r="AN4057">
        <v>0.99999994816892301</v>
      </c>
    </row>
    <row r="4058" spans="1:40" x14ac:dyDescent="0.25">
      <c r="A4058" t="str">
        <f>"20190305135014278"</f>
        <v>20190305135014278</v>
      </c>
      <c r="B4058" t="str">
        <f>"1551765014274809"</f>
        <v>1551765014274809</v>
      </c>
      <c r="C4058" t="s">
        <v>40</v>
      </c>
      <c r="D4058">
        <v>3.955864</v>
      </c>
      <c r="E4058">
        <v>0.58764949999999905</v>
      </c>
      <c r="F4058" t="s">
        <v>60</v>
      </c>
      <c r="G4058">
        <v>-168.4151</v>
      </c>
      <c r="H4058">
        <v>5.5080159999999996</v>
      </c>
      <c r="I4058">
        <v>198.21449999999999</v>
      </c>
      <c r="J4058">
        <v>-286.88069999999999</v>
      </c>
      <c r="K4058">
        <v>1.107273</v>
      </c>
      <c r="L4058">
        <v>215.07929999999999</v>
      </c>
      <c r="M4058">
        <v>0.99988100000000002</v>
      </c>
      <c r="N4058">
        <v>-1.471102E-2</v>
      </c>
      <c r="O4058">
        <v>-4.6527690000000002E-3</v>
      </c>
      <c r="P4058">
        <v>0.99360380000000004</v>
      </c>
      <c r="Q4058">
        <v>-7.9657980000000003E-2</v>
      </c>
      <c r="R4058">
        <v>8.0039719999999995E-2</v>
      </c>
      <c r="S4058">
        <v>3.0647890000000002</v>
      </c>
      <c r="T4058">
        <v>0.11340450000000001</v>
      </c>
      <c r="U4058">
        <v>-0.43466189999999999</v>
      </c>
      <c r="V4058">
        <v>-8.4986110000000004E-2</v>
      </c>
      <c r="W4058">
        <v>-6.4614649999999996E-2</v>
      </c>
      <c r="X4058">
        <v>0.99428479999999997</v>
      </c>
      <c r="Y4058">
        <v>0.135762299999999</v>
      </c>
      <c r="Z4058">
        <v>1.255274E-3</v>
      </c>
      <c r="AA4058">
        <v>0.99074070000000003</v>
      </c>
      <c r="AB4058">
        <v>46</v>
      </c>
      <c r="AC4058">
        <v>118.46559999999999</v>
      </c>
      <c r="AD4058">
        <v>4.4007430000000003</v>
      </c>
      <c r="AE4058">
        <v>-16.864799999999999</v>
      </c>
      <c r="AF4058">
        <v>16.2913298433953</v>
      </c>
      <c r="AG4058">
        <v>4.4007430000000003</v>
      </c>
      <c r="AH4058">
        <v>118.38267524300301</v>
      </c>
      <c r="AI4058">
        <v>87.890933039523503</v>
      </c>
      <c r="AJ4058">
        <v>82.164410293290899</v>
      </c>
      <c r="AK4058">
        <v>119.57939523475</v>
      </c>
      <c r="AL4058">
        <v>93.704727784243602</v>
      </c>
      <c r="AM4058">
        <v>94.885460181384602</v>
      </c>
      <c r="AN4058">
        <v>0.99999997769929705</v>
      </c>
    </row>
    <row r="4059" spans="1:40" x14ac:dyDescent="0.25">
      <c r="A4059" t="str">
        <f>"20190305135014300"</f>
        <v>20190305135014300</v>
      </c>
      <c r="B4059" t="str">
        <f>"1551765014294838"</f>
        <v>1551765014294838</v>
      </c>
      <c r="C4059" t="s">
        <v>40</v>
      </c>
      <c r="D4059">
        <v>3.8850479999999998</v>
      </c>
      <c r="E4059">
        <v>0.63224999999999998</v>
      </c>
      <c r="F4059" t="s">
        <v>60</v>
      </c>
      <c r="G4059">
        <v>-168.4152</v>
      </c>
      <c r="H4059">
        <v>5.6864359999999996</v>
      </c>
      <c r="I4059">
        <v>197.9058</v>
      </c>
      <c r="J4059">
        <v>-286.4085</v>
      </c>
      <c r="K4059">
        <v>1.1072649999999999</v>
      </c>
      <c r="L4059">
        <v>215.07589999999999</v>
      </c>
      <c r="M4059">
        <v>0.99987170000000003</v>
      </c>
      <c r="N4059">
        <v>-1.4708239999999999E-2</v>
      </c>
      <c r="O4059">
        <v>-6.3550580000000002E-3</v>
      </c>
      <c r="P4059">
        <v>0.99368369999999995</v>
      </c>
      <c r="Q4059">
        <v>-8.0418829999999997E-2</v>
      </c>
      <c r="R4059">
        <v>7.8266329999999995E-2</v>
      </c>
      <c r="S4059">
        <v>3.064575</v>
      </c>
      <c r="T4059">
        <v>0.11845890000000001</v>
      </c>
      <c r="U4059">
        <v>-0.44425959999999998</v>
      </c>
      <c r="V4059">
        <v>-8.4909360000000003E-2</v>
      </c>
      <c r="W4059">
        <v>-6.5377589999999999E-2</v>
      </c>
      <c r="X4059">
        <v>0.9942415</v>
      </c>
      <c r="Y4059">
        <v>0.13712089999999999</v>
      </c>
      <c r="Z4059">
        <v>1.284269E-3</v>
      </c>
      <c r="AA4059">
        <v>0.99055349999999998</v>
      </c>
      <c r="AB4059">
        <v>46</v>
      </c>
      <c r="AC4059">
        <v>117.9933</v>
      </c>
      <c r="AD4059">
        <v>4.5791709999999997</v>
      </c>
      <c r="AE4059">
        <v>-17.170099999999898</v>
      </c>
      <c r="AF4059">
        <v>16.395636154993401</v>
      </c>
      <c r="AG4059">
        <v>4.5791709999999997</v>
      </c>
      <c r="AH4059">
        <v>117.926117877311</v>
      </c>
      <c r="AI4059">
        <v>87.7974385190075</v>
      </c>
      <c r="AJ4059">
        <v>82.084729988833402</v>
      </c>
      <c r="AK4059">
        <v>119.148457688665</v>
      </c>
      <c r="AL4059">
        <v>93.748533592015505</v>
      </c>
      <c r="AM4059">
        <v>94.881281049820004</v>
      </c>
      <c r="AN4059">
        <v>0.99999999450603305</v>
      </c>
    </row>
    <row r="4060" spans="1:40" x14ac:dyDescent="0.25">
      <c r="A4060" t="str">
        <f>"20190305135014323"</f>
        <v>20190305135014323</v>
      </c>
      <c r="B4060" t="str">
        <f>"1551765014314362"</f>
        <v>1551765014314362</v>
      </c>
      <c r="C4060" t="s">
        <v>40</v>
      </c>
      <c r="D4060">
        <v>4.1240730000000001</v>
      </c>
      <c r="E4060">
        <v>0.63531990000000005</v>
      </c>
      <c r="F4060" t="s">
        <v>60</v>
      </c>
      <c r="G4060">
        <v>-169.40450000000001</v>
      </c>
      <c r="H4060">
        <v>12.6774</v>
      </c>
      <c r="I4060">
        <v>185.0146</v>
      </c>
      <c r="J4060">
        <v>-285.96080000000001</v>
      </c>
      <c r="K4060">
        <v>1.1072580000000001</v>
      </c>
      <c r="L4060">
        <v>215.0719</v>
      </c>
      <c r="M4060">
        <v>0.99986030000000004</v>
      </c>
      <c r="N4060">
        <v>-1.470572E-2</v>
      </c>
      <c r="O4060">
        <v>-7.9585569999999998E-3</v>
      </c>
      <c r="P4060">
        <v>0.99366350000000003</v>
      </c>
      <c r="Q4060">
        <v>-8.2059129999999994E-2</v>
      </c>
      <c r="R4060">
        <v>7.6806749999999993E-2</v>
      </c>
      <c r="S4060">
        <v>3.1068120000000001</v>
      </c>
      <c r="T4060">
        <v>0.30722280000000002</v>
      </c>
      <c r="U4060">
        <v>-0.79821779999999998</v>
      </c>
      <c r="V4060">
        <v>-8.5051280000000007E-2</v>
      </c>
      <c r="W4060">
        <v>-6.7020679999999999E-2</v>
      </c>
      <c r="X4060">
        <v>0.99411989999999995</v>
      </c>
      <c r="Y4060">
        <v>0.2402473</v>
      </c>
      <c r="Z4060">
        <v>8.9761890000000007E-3</v>
      </c>
      <c r="AA4060">
        <v>0.97067020000000004</v>
      </c>
      <c r="AB4060">
        <v>46</v>
      </c>
      <c r="AC4060">
        <v>116.55629999999999</v>
      </c>
      <c r="AD4060">
        <v>11.570142000000001</v>
      </c>
      <c r="AE4060">
        <v>-30.057300000000001</v>
      </c>
      <c r="AF4060">
        <v>28.861960011860699</v>
      </c>
      <c r="AG4060">
        <v>11.570142000000001</v>
      </c>
      <c r="AH4060">
        <v>115.72263671447</v>
      </c>
      <c r="AI4060">
        <v>84.459074859728702</v>
      </c>
      <c r="AJ4060">
        <v>75.995774035565901</v>
      </c>
      <c r="AK4060">
        <v>119.82741576857801</v>
      </c>
      <c r="AL4060">
        <v>93.842882920996303</v>
      </c>
      <c r="AM4060">
        <v>94.889995415536205</v>
      </c>
      <c r="AN4060">
        <v>0.99999993367665296</v>
      </c>
    </row>
    <row r="4061" spans="1:40" x14ac:dyDescent="0.25">
      <c r="A4061" t="str">
        <f>"20190305135014344"</f>
        <v>20190305135014344</v>
      </c>
      <c r="B4061" t="str">
        <f>"1551765014334859"</f>
        <v>1551765014334859</v>
      </c>
      <c r="C4061" t="s">
        <v>40</v>
      </c>
      <c r="D4061">
        <v>4.1051640000000003</v>
      </c>
      <c r="E4061">
        <v>0.63597709999999996</v>
      </c>
      <c r="F4061" t="s">
        <v>60</v>
      </c>
      <c r="G4061">
        <v>-168.42140000000001</v>
      </c>
      <c r="H4061">
        <v>10.01567</v>
      </c>
      <c r="I4061">
        <v>183.64240000000001</v>
      </c>
      <c r="J4061">
        <v>-285.51330000000002</v>
      </c>
      <c r="K4061">
        <v>1.1072580000000001</v>
      </c>
      <c r="L4061">
        <v>215.06710000000001</v>
      </c>
      <c r="M4061">
        <v>0.99984629999999997</v>
      </c>
      <c r="N4061">
        <v>-1.4703219999999999E-2</v>
      </c>
      <c r="O4061">
        <v>-9.5520759999999996E-3</v>
      </c>
      <c r="P4061">
        <v>0.99372419999999995</v>
      </c>
      <c r="Q4061">
        <v>-8.3015839999999994E-2</v>
      </c>
      <c r="R4061">
        <v>7.4971889999999999E-2</v>
      </c>
      <c r="S4061">
        <v>3.1026609999999999</v>
      </c>
      <c r="T4061">
        <v>0.23515430000000001</v>
      </c>
      <c r="U4061">
        <v>-0.82963560000000003</v>
      </c>
      <c r="V4061">
        <v>-8.4804480000000002E-2</v>
      </c>
      <c r="W4061">
        <v>-6.7981609999999998E-2</v>
      </c>
      <c r="X4061">
        <v>0.99407579999999995</v>
      </c>
      <c r="Y4061">
        <v>0.248586</v>
      </c>
      <c r="Z4061">
        <v>6.5358899999999999E-3</v>
      </c>
      <c r="AA4061">
        <v>0.9685878</v>
      </c>
      <c r="AB4061">
        <v>46</v>
      </c>
      <c r="AC4061">
        <v>117.0919</v>
      </c>
      <c r="AD4061">
        <v>8.9084120000000002</v>
      </c>
      <c r="AE4061">
        <v>-31.424700000000001</v>
      </c>
      <c r="AF4061">
        <v>30.1419275455297</v>
      </c>
      <c r="AG4061">
        <v>8.9084120000000002</v>
      </c>
      <c r="AH4061">
        <v>116.756351831656</v>
      </c>
      <c r="AI4061">
        <v>85.774833749569197</v>
      </c>
      <c r="AJ4061">
        <v>75.524527213132203</v>
      </c>
      <c r="AK4061">
        <v>120.912949238529</v>
      </c>
      <c r="AL4061">
        <v>93.898065772326404</v>
      </c>
      <c r="AM4061">
        <v>94.876089502790904</v>
      </c>
      <c r="AN4061">
        <v>0.99999999763595104</v>
      </c>
    </row>
    <row r="4062" spans="1:40" x14ac:dyDescent="0.25">
      <c r="A4062" t="str">
        <f>"20190305135014367"</f>
        <v>20190305135014367</v>
      </c>
      <c r="B4062" t="str">
        <f>"1551765014364134"</f>
        <v>1551765014364134</v>
      </c>
      <c r="C4062" t="s">
        <v>40</v>
      </c>
      <c r="D4062">
        <v>4.0504319999999998</v>
      </c>
      <c r="E4062">
        <v>0.63674489999999995</v>
      </c>
      <c r="F4062" t="s">
        <v>60</v>
      </c>
      <c r="G4062">
        <v>-168.4211</v>
      </c>
      <c r="H4062">
        <v>8.9293169999999993</v>
      </c>
      <c r="I4062">
        <v>183.25989999999999</v>
      </c>
      <c r="J4062">
        <v>-285.0453</v>
      </c>
      <c r="K4062">
        <v>1.107256</v>
      </c>
      <c r="L4062">
        <v>215.06139999999999</v>
      </c>
      <c r="M4062">
        <v>0.99982919999999997</v>
      </c>
      <c r="N4062">
        <v>-1.4700599999999999E-2</v>
      </c>
      <c r="O4062">
        <v>-1.1208299999999999E-2</v>
      </c>
      <c r="P4062">
        <v>0.99393330000000002</v>
      </c>
      <c r="Q4062">
        <v>-8.2553340000000003E-2</v>
      </c>
      <c r="R4062">
        <v>7.2676489999999996E-2</v>
      </c>
      <c r="S4062">
        <v>3.0997620000000001</v>
      </c>
      <c r="T4062">
        <v>0.20707300000000001</v>
      </c>
      <c r="U4062">
        <v>-0.84202579999999905</v>
      </c>
      <c r="V4062">
        <v>-8.4153430000000001E-2</v>
      </c>
      <c r="W4062">
        <v>-6.7524379999999995E-2</v>
      </c>
      <c r="X4062">
        <v>0.99416230000000005</v>
      </c>
      <c r="Y4062">
        <v>0.25094329999999998</v>
      </c>
      <c r="Z4062">
        <v>5.4490519999999898E-3</v>
      </c>
      <c r="AA4062">
        <v>0.96798649999999997</v>
      </c>
      <c r="AB4062">
        <v>46</v>
      </c>
      <c r="AC4062">
        <v>116.6242</v>
      </c>
      <c r="AD4062">
        <v>7.8220609999999997</v>
      </c>
      <c r="AE4062">
        <v>-31.801500000000001</v>
      </c>
      <c r="AF4062">
        <v>30.365059251986601</v>
      </c>
      <c r="AG4062">
        <v>7.8220609999999997</v>
      </c>
      <c r="AH4062">
        <v>116.485611231878</v>
      </c>
      <c r="AI4062">
        <v>86.2822043561725</v>
      </c>
      <c r="AJ4062">
        <v>75.389484503762901</v>
      </c>
      <c r="AK4062">
        <v>120.632164391296</v>
      </c>
      <c r="AL4062">
        <v>93.871808037151098</v>
      </c>
      <c r="AM4062">
        <v>94.838414825506902</v>
      </c>
      <c r="AN4062">
        <v>1.0000000102082101</v>
      </c>
    </row>
    <row r="4063" spans="1:40" x14ac:dyDescent="0.25">
      <c r="A4063" t="str">
        <f>"20190305135014390"</f>
        <v>20190305135014390</v>
      </c>
      <c r="B4063" t="str">
        <f>"1551765014384160"</f>
        <v>1551765014384160</v>
      </c>
      <c r="C4063" t="s">
        <v>40</v>
      </c>
      <c r="D4063">
        <v>4.0671629999999999</v>
      </c>
      <c r="E4063">
        <v>0.63821070000000002</v>
      </c>
      <c r="F4063" t="s">
        <v>60</v>
      </c>
      <c r="G4063">
        <v>-168.4211</v>
      </c>
      <c r="H4063">
        <v>8.3068349999999995</v>
      </c>
      <c r="I4063">
        <v>182.80260000000001</v>
      </c>
      <c r="J4063">
        <v>-284.57389999999998</v>
      </c>
      <c r="K4063">
        <v>1.1072660000000001</v>
      </c>
      <c r="L4063">
        <v>215.0549</v>
      </c>
      <c r="M4063">
        <v>0.99980930000000001</v>
      </c>
      <c r="N4063">
        <v>-1.469792E-2</v>
      </c>
      <c r="O4063">
        <v>-1.285801E-2</v>
      </c>
      <c r="P4063">
        <v>0.99413390000000001</v>
      </c>
      <c r="Q4063">
        <v>-8.2169080000000005E-2</v>
      </c>
      <c r="R4063">
        <v>7.0328719999999997E-2</v>
      </c>
      <c r="S4063">
        <v>3.096832</v>
      </c>
      <c r="T4063">
        <v>0.19117809999999999</v>
      </c>
      <c r="U4063">
        <v>-0.85659789999999902</v>
      </c>
      <c r="V4063">
        <v>-8.3443509999999999E-2</v>
      </c>
      <c r="W4063">
        <v>-6.7147410000000005E-2</v>
      </c>
      <c r="X4063">
        <v>0.99424769999999896</v>
      </c>
      <c r="Y4063">
        <v>0.25387670000000001</v>
      </c>
      <c r="Z4063">
        <v>4.8200810000000004E-3</v>
      </c>
      <c r="AA4063">
        <v>0.96722459999999999</v>
      </c>
      <c r="AB4063">
        <v>46</v>
      </c>
      <c r="AC4063">
        <v>116.152799999999</v>
      </c>
      <c r="AD4063">
        <v>7.1995690000000003</v>
      </c>
      <c r="AE4063">
        <v>-32.252299999999899</v>
      </c>
      <c r="AF4063">
        <v>30.6466628659661</v>
      </c>
      <c r="AG4063">
        <v>7.1995690000000003</v>
      </c>
      <c r="AH4063">
        <v>116.14366237636099</v>
      </c>
      <c r="AI4063">
        <v>86.569967301727999</v>
      </c>
      <c r="AJ4063">
        <v>75.218362005980694</v>
      </c>
      <c r="AK4063">
        <v>120.33454220962599</v>
      </c>
      <c r="AL4063">
        <v>93.850159993679299</v>
      </c>
      <c r="AM4063">
        <v>94.797379024666796</v>
      </c>
      <c r="AN4063">
        <v>1.0000000414930501</v>
      </c>
    </row>
    <row r="4064" spans="1:40" x14ac:dyDescent="0.25">
      <c r="A4064" t="str">
        <f>"20190305135014411"</f>
        <v>20190305135014411</v>
      </c>
      <c r="B4064" t="str">
        <f>"1551765014404660"</f>
        <v>1551765014404660</v>
      </c>
      <c r="C4064" t="s">
        <v>40</v>
      </c>
      <c r="D4064">
        <v>3.94069</v>
      </c>
      <c r="E4064">
        <v>0.63984039999999998</v>
      </c>
      <c r="F4064" t="s">
        <v>60</v>
      </c>
      <c r="G4064">
        <v>-168.42140000000001</v>
      </c>
      <c r="H4064">
        <v>8.5773799999999998</v>
      </c>
      <c r="I4064">
        <v>182.20140000000001</v>
      </c>
      <c r="J4064">
        <v>-284.12020000000001</v>
      </c>
      <c r="K4064">
        <v>1.1072949999999999</v>
      </c>
      <c r="L4064">
        <v>215.0479</v>
      </c>
      <c r="M4064">
        <v>0.99978820000000002</v>
      </c>
      <c r="N4064">
        <v>-1.469526E-2</v>
      </c>
      <c r="O4064">
        <v>-1.4411469999999999E-2</v>
      </c>
      <c r="P4064">
        <v>0.99426970000000003</v>
      </c>
      <c r="Q4064">
        <v>-8.2546729999999999E-2</v>
      </c>
      <c r="R4064">
        <v>6.792542E-2</v>
      </c>
      <c r="S4064">
        <v>3.096069</v>
      </c>
      <c r="T4064">
        <v>0.1991184</v>
      </c>
      <c r="U4064">
        <v>-0.87571719999999897</v>
      </c>
      <c r="V4064">
        <v>-8.2583180000000006E-2</v>
      </c>
      <c r="W4064">
        <v>-6.7536120000000005E-2</v>
      </c>
      <c r="X4064">
        <v>0.99429319999999999</v>
      </c>
      <c r="Y4064">
        <v>0.25794080000000003</v>
      </c>
      <c r="Z4064">
        <v>5.07859E-3</v>
      </c>
      <c r="AA4064">
        <v>0.96614739999999999</v>
      </c>
      <c r="AB4064">
        <v>46</v>
      </c>
      <c r="AC4064">
        <v>115.69880000000001</v>
      </c>
      <c r="AD4064">
        <v>7.4700849999999903</v>
      </c>
      <c r="AE4064">
        <v>-32.846499999999899</v>
      </c>
      <c r="AF4064">
        <v>31.055714435233298</v>
      </c>
      <c r="AG4064">
        <v>7.4700849999999903</v>
      </c>
      <c r="AH4064">
        <v>115.713809221784</v>
      </c>
      <c r="AI4064">
        <v>86.432222936546694</v>
      </c>
      <c r="AJ4064">
        <v>74.976768205955807</v>
      </c>
      <c r="AK4064">
        <v>120.041431237742</v>
      </c>
      <c r="AL4064">
        <v>93.872482119496695</v>
      </c>
      <c r="AM4064">
        <v>94.747927500252899</v>
      </c>
      <c r="AN4064">
        <v>1.0000000383448999</v>
      </c>
    </row>
    <row r="4065" spans="1:40" x14ac:dyDescent="0.25">
      <c r="A4065" t="str">
        <f>"20190305135014434"</f>
        <v>20190305135014434</v>
      </c>
      <c r="B4065" t="str">
        <f>"1551765014424176"</f>
        <v>1551765014424176</v>
      </c>
      <c r="C4065" t="s">
        <v>40</v>
      </c>
      <c r="D4065">
        <v>4.0416239999999997</v>
      </c>
      <c r="E4065">
        <v>0.64093199999999995</v>
      </c>
      <c r="F4065" t="s">
        <v>60</v>
      </c>
      <c r="G4065">
        <v>-168.42179999999999</v>
      </c>
      <c r="H4065">
        <v>9.0816180000000006</v>
      </c>
      <c r="I4065">
        <v>181.5609</v>
      </c>
      <c r="J4065">
        <v>-283.66239999999999</v>
      </c>
      <c r="K4065">
        <v>1.1073189999999999</v>
      </c>
      <c r="L4065">
        <v>215.0401</v>
      </c>
      <c r="M4065">
        <v>0.99976500000000001</v>
      </c>
      <c r="N4065">
        <v>-1.469207E-2</v>
      </c>
      <c r="O4065">
        <v>-1.5945529999999999E-2</v>
      </c>
      <c r="P4065">
        <v>0.99433490000000002</v>
      </c>
      <c r="Q4065">
        <v>-8.3635929999999997E-2</v>
      </c>
      <c r="R4065">
        <v>6.5600629999999993E-2</v>
      </c>
      <c r="S4065">
        <v>3.096222</v>
      </c>
      <c r="T4065">
        <v>0.2134027</v>
      </c>
      <c r="U4065">
        <v>-0.89614869999999902</v>
      </c>
      <c r="V4065">
        <v>-8.1783789999999995E-2</v>
      </c>
      <c r="W4065">
        <v>-6.863909E-2</v>
      </c>
      <c r="X4065">
        <v>0.99428369999999999</v>
      </c>
      <c r="Y4065">
        <v>0.26227549999999999</v>
      </c>
      <c r="Z4065">
        <v>5.5752129999999999E-3</v>
      </c>
      <c r="AA4065">
        <v>0.96497690000000003</v>
      </c>
      <c r="AB4065">
        <v>46</v>
      </c>
      <c r="AC4065">
        <v>115.2406</v>
      </c>
      <c r="AD4065">
        <v>7.9742989999999896</v>
      </c>
      <c r="AE4065">
        <v>-33.479199999999899</v>
      </c>
      <c r="AF4065">
        <v>31.498090578047599</v>
      </c>
      <c r="AG4065">
        <v>7.9742989999999896</v>
      </c>
      <c r="AH4065">
        <v>115.250950264511</v>
      </c>
      <c r="AI4065">
        <v>86.181570228527903</v>
      </c>
      <c r="AJ4065">
        <v>74.714339966093505</v>
      </c>
      <c r="AK4065">
        <v>119.74347870125099</v>
      </c>
      <c r="AL4065">
        <v>93.935824815017298</v>
      </c>
      <c r="AM4065">
        <v>94.702220246283701</v>
      </c>
      <c r="AN4065">
        <v>0.99999999453424104</v>
      </c>
    </row>
    <row r="4066" spans="1:40" x14ac:dyDescent="0.25">
      <c r="A4066" t="str">
        <f>"20190305135014458"</f>
        <v>20190305135014458</v>
      </c>
      <c r="B4066" t="str">
        <f>"1551765014454432"</f>
        <v>1551765014454432</v>
      </c>
      <c r="C4066" t="s">
        <v>40</v>
      </c>
      <c r="D4066">
        <v>4.0271400000000002</v>
      </c>
      <c r="E4066">
        <v>0.64118940000000002</v>
      </c>
      <c r="F4066" t="s">
        <v>60</v>
      </c>
      <c r="G4066">
        <v>-168.422</v>
      </c>
      <c r="H4066">
        <v>9.3554189999999995</v>
      </c>
      <c r="I4066">
        <v>181.10730000000001</v>
      </c>
      <c r="J4066">
        <v>-283.18430000000001</v>
      </c>
      <c r="K4066">
        <v>1.1073500000000001</v>
      </c>
      <c r="L4066">
        <v>215.03129999999999</v>
      </c>
      <c r="M4066">
        <v>0.99973900000000004</v>
      </c>
      <c r="N4066">
        <v>-1.468878E-2</v>
      </c>
      <c r="O4066">
        <v>-1.7494180000000002E-2</v>
      </c>
      <c r="P4066">
        <v>0.99429140000000005</v>
      </c>
      <c r="Q4066">
        <v>-8.5582839999999993E-2</v>
      </c>
      <c r="R4066">
        <v>6.3717430000000005E-2</v>
      </c>
      <c r="S4066">
        <v>3.0958860000000001</v>
      </c>
      <c r="T4066">
        <v>0.22158269999999999</v>
      </c>
      <c r="U4066">
        <v>-0.91159060000000003</v>
      </c>
      <c r="V4066">
        <v>-8.1439289999999998E-2</v>
      </c>
      <c r="W4066">
        <v>-7.0601739999999996E-2</v>
      </c>
      <c r="X4066">
        <v>0.99417449999999996</v>
      </c>
      <c r="Y4066">
        <v>0.26520709999999997</v>
      </c>
      <c r="Z4066">
        <v>5.8170490000000004E-3</v>
      </c>
      <c r="AA4066">
        <v>0.96417390000000003</v>
      </c>
      <c r="AB4066">
        <v>46</v>
      </c>
      <c r="AC4066">
        <v>114.7623</v>
      </c>
      <c r="AD4066">
        <v>8.2480689999999992</v>
      </c>
      <c r="AE4066">
        <v>-33.9239999999999</v>
      </c>
      <c r="AF4066">
        <v>31.760047301688001</v>
      </c>
      <c r="AG4066">
        <v>8.2480689999999992</v>
      </c>
      <c r="AH4066">
        <v>114.792964894862</v>
      </c>
      <c r="AI4066">
        <v>86.038586033845803</v>
      </c>
      <c r="AJ4066">
        <v>74.534701426217495</v>
      </c>
      <c r="AK4066">
        <v>119.39077031407101</v>
      </c>
      <c r="AL4066">
        <v>94.048550097350599</v>
      </c>
      <c r="AM4066">
        <v>94.683013261003296</v>
      </c>
      <c r="AN4066">
        <v>0.99999995004848896</v>
      </c>
    </row>
    <row r="4067" spans="1:40" x14ac:dyDescent="0.25">
      <c r="A4067" t="str">
        <f>"20190305135014479"</f>
        <v>20190305135014479</v>
      </c>
      <c r="B4067" t="str">
        <f>"1551765014474930"</f>
        <v>1551765014474930</v>
      </c>
      <c r="C4067" t="s">
        <v>40</v>
      </c>
      <c r="D4067">
        <v>4.0002940000000002</v>
      </c>
      <c r="E4067">
        <v>0.64138669999999998</v>
      </c>
      <c r="F4067" t="s">
        <v>60</v>
      </c>
      <c r="G4067">
        <v>-168.422</v>
      </c>
      <c r="H4067">
        <v>9.2542930000000005</v>
      </c>
      <c r="I4067">
        <v>180.96119999999999</v>
      </c>
      <c r="J4067">
        <v>-282.74090000000001</v>
      </c>
      <c r="K4067">
        <v>1.1073949999999999</v>
      </c>
      <c r="L4067">
        <v>215.02250000000001</v>
      </c>
      <c r="M4067">
        <v>0.99971429999999994</v>
      </c>
      <c r="N4067">
        <v>-1.4685470000000001E-2</v>
      </c>
      <c r="O4067">
        <v>-1.8861869999999999E-2</v>
      </c>
      <c r="P4067">
        <v>0.99422809999999995</v>
      </c>
      <c r="Q4067">
        <v>-8.7175139999999998E-2</v>
      </c>
      <c r="R4067">
        <v>6.2537990000000002E-2</v>
      </c>
      <c r="S4067">
        <v>3.0950319999999998</v>
      </c>
      <c r="T4067">
        <v>0.2197163</v>
      </c>
      <c r="U4067">
        <v>-0.9188385</v>
      </c>
      <c r="V4067">
        <v>-8.161525E-2</v>
      </c>
      <c r="W4067">
        <v>-7.2209739999999994E-2</v>
      </c>
      <c r="X4067">
        <v>0.99404459999999994</v>
      </c>
      <c r="Y4067">
        <v>0.26604830000000002</v>
      </c>
      <c r="Z4067">
        <v>5.6572640000000004E-3</v>
      </c>
      <c r="AA4067">
        <v>0.96394310000000005</v>
      </c>
      <c r="AB4067">
        <v>46</v>
      </c>
      <c r="AC4067">
        <v>114.3189</v>
      </c>
      <c r="AD4067">
        <v>8.1468979999999895</v>
      </c>
      <c r="AE4067">
        <v>-34.061300000000003</v>
      </c>
      <c r="AF4067">
        <v>31.750635750358601</v>
      </c>
      <c r="AG4067">
        <v>8.1468979999999895</v>
      </c>
      <c r="AH4067">
        <v>114.407426922794</v>
      </c>
      <c r="AI4067">
        <v>86.074736002994698</v>
      </c>
      <c r="AJ4067">
        <v>74.489468219516198</v>
      </c>
      <c r="AK4067">
        <v>119.010647223972</v>
      </c>
      <c r="AL4067">
        <v>94.140917377869897</v>
      </c>
      <c r="AM4067">
        <v>94.693696906345096</v>
      </c>
      <c r="AN4067">
        <v>0.99999998118629396</v>
      </c>
    </row>
    <row r="4068" spans="1:40" x14ac:dyDescent="0.25">
      <c r="A4068" t="str">
        <f>"20190305135014502"</f>
        <v>20190305135014502</v>
      </c>
      <c r="B4068" t="str">
        <f>"1551765014494448"</f>
        <v>1551765014494448</v>
      </c>
      <c r="C4068" t="s">
        <v>40</v>
      </c>
      <c r="D4068">
        <v>3.9830100000000002</v>
      </c>
      <c r="E4068">
        <v>0.64145769999999902</v>
      </c>
      <c r="F4068" t="s">
        <v>60</v>
      </c>
      <c r="G4068">
        <v>-168.422</v>
      </c>
      <c r="H4068">
        <v>9.2265080000000008</v>
      </c>
      <c r="I4068">
        <v>180.89349999999999</v>
      </c>
      <c r="J4068">
        <v>-282.27640000000002</v>
      </c>
      <c r="K4068">
        <v>1.107469</v>
      </c>
      <c r="L4068">
        <v>215.0127</v>
      </c>
      <c r="M4068">
        <v>0.99968840000000003</v>
      </c>
      <c r="N4068">
        <v>-1.468148E-2</v>
      </c>
      <c r="O4068">
        <v>-2.019986E-2</v>
      </c>
      <c r="P4068">
        <v>0.99415520000000002</v>
      </c>
      <c r="Q4068">
        <v>-8.8452680000000006E-2</v>
      </c>
      <c r="R4068">
        <v>6.1904969999999997E-2</v>
      </c>
      <c r="S4068">
        <v>3.0947269999999998</v>
      </c>
      <c r="T4068">
        <v>0.2197934</v>
      </c>
      <c r="U4068">
        <v>-0.92390439999999996</v>
      </c>
      <c r="V4068">
        <v>-8.230229E-2</v>
      </c>
      <c r="W4068">
        <v>-7.3505879999999996E-2</v>
      </c>
      <c r="X4068">
        <v>0.99389300000000003</v>
      </c>
      <c r="Y4068">
        <v>0.26623780000000002</v>
      </c>
      <c r="Z4068">
        <v>5.5524019999999997E-3</v>
      </c>
      <c r="AA4068">
        <v>0.96389139999999995</v>
      </c>
      <c r="AB4068">
        <v>46</v>
      </c>
      <c r="AC4068">
        <v>113.8544</v>
      </c>
      <c r="AD4068">
        <v>8.1190390000000008</v>
      </c>
      <c r="AE4068">
        <v>-34.119199999999999</v>
      </c>
      <c r="AF4068">
        <v>31.6643949879841</v>
      </c>
      <c r="AG4068">
        <v>8.1190390000000008</v>
      </c>
      <c r="AH4068">
        <v>113.988551037474</v>
      </c>
      <c r="AI4068">
        <v>86.074052419999902</v>
      </c>
      <c r="AJ4068">
        <v>74.475465021250599</v>
      </c>
      <c r="AK4068">
        <v>118.583061487978</v>
      </c>
      <c r="AL4068">
        <v>94.215378387489693</v>
      </c>
      <c r="AM4068">
        <v>94.733748504521202</v>
      </c>
      <c r="AN4068">
        <v>1.0000000383914001</v>
      </c>
    </row>
    <row r="4069" spans="1:40" x14ac:dyDescent="0.25">
      <c r="A4069" t="str">
        <f>"20190305135014522"</f>
        <v>20190305135014522</v>
      </c>
      <c r="B4069" t="str">
        <f>"1551765014514944"</f>
        <v>1551765014514944</v>
      </c>
      <c r="C4069" t="s">
        <v>40</v>
      </c>
      <c r="D4069">
        <v>4.0636749999999999</v>
      </c>
      <c r="E4069">
        <v>0.64208050000000005</v>
      </c>
      <c r="F4069" t="s">
        <v>60</v>
      </c>
      <c r="G4069">
        <v>-168.422</v>
      </c>
      <c r="H4069">
        <v>9.1974049999999998</v>
      </c>
      <c r="I4069">
        <v>180.9419</v>
      </c>
      <c r="J4069">
        <v>-281.83890000000002</v>
      </c>
      <c r="K4069">
        <v>1.1075630000000001</v>
      </c>
      <c r="L4069">
        <v>215.00299999999999</v>
      </c>
      <c r="M4069">
        <v>0.99966440000000001</v>
      </c>
      <c r="N4069">
        <v>-1.467765E-2</v>
      </c>
      <c r="O4069">
        <v>-2.1352179999999998E-2</v>
      </c>
      <c r="P4069">
        <v>0.99414499999999995</v>
      </c>
      <c r="Q4069">
        <v>-8.843964E-2</v>
      </c>
      <c r="R4069">
        <v>6.2086099999999998E-2</v>
      </c>
      <c r="S4069">
        <v>3.09491</v>
      </c>
      <c r="T4069">
        <v>0.21990989999999999</v>
      </c>
      <c r="U4069">
        <v>-0.92614750000000001</v>
      </c>
      <c r="V4069">
        <v>-8.3610699999999996E-2</v>
      </c>
      <c r="W4069">
        <v>-7.3511080000000006E-2</v>
      </c>
      <c r="X4069">
        <v>0.99378339999999998</v>
      </c>
      <c r="Y4069">
        <v>0.26575680000000002</v>
      </c>
      <c r="Z4069">
        <v>5.4462039999999996E-3</v>
      </c>
      <c r="AA4069">
        <v>0.96402469999999996</v>
      </c>
      <c r="AB4069">
        <v>46</v>
      </c>
      <c r="AC4069">
        <v>113.4169</v>
      </c>
      <c r="AD4069">
        <v>8.0898419999999902</v>
      </c>
      <c r="AE4069">
        <v>-34.061099999999897</v>
      </c>
      <c r="AF4069">
        <v>31.484441740322598</v>
      </c>
      <c r="AG4069">
        <v>8.0898419999999902</v>
      </c>
      <c r="AH4069">
        <v>113.588296850647</v>
      </c>
      <c r="AI4069">
        <v>86.073774854240995</v>
      </c>
      <c r="AJ4069">
        <v>74.507672975511696</v>
      </c>
      <c r="AK4069">
        <v>118.14828308831</v>
      </c>
      <c r="AL4069">
        <v>94.2156771393159</v>
      </c>
      <c r="AM4069">
        <v>94.809181500583804</v>
      </c>
      <c r="AN4069">
        <v>1.0000000370764</v>
      </c>
    </row>
    <row r="4070" spans="1:40" x14ac:dyDescent="0.25">
      <c r="A4070" t="str">
        <f>"20190305135014546"</f>
        <v>20190305135014546</v>
      </c>
      <c r="B4070" t="str">
        <f>"1551765014534464"</f>
        <v>1551765014534464</v>
      </c>
      <c r="C4070" t="s">
        <v>40</v>
      </c>
      <c r="D4070">
        <v>4.2997079999999999</v>
      </c>
      <c r="E4070">
        <v>0.63932929999999999</v>
      </c>
      <c r="F4070" t="s">
        <v>60</v>
      </c>
      <c r="G4070">
        <v>-168.4221</v>
      </c>
      <c r="H4070">
        <v>9.4711409999999994</v>
      </c>
      <c r="I4070">
        <v>180.92939999999999</v>
      </c>
      <c r="J4070">
        <v>-281.38069999999999</v>
      </c>
      <c r="K4070">
        <v>1.1076919999999999</v>
      </c>
      <c r="L4070">
        <v>214.9924</v>
      </c>
      <c r="M4070">
        <v>0.9996408</v>
      </c>
      <c r="N4070">
        <v>-1.4673530000000001E-2</v>
      </c>
      <c r="O4070">
        <v>-2.2433089999999999E-2</v>
      </c>
      <c r="P4070">
        <v>0.99418910000000005</v>
      </c>
      <c r="Q4070">
        <v>-8.7755449999999999E-2</v>
      </c>
      <c r="R4070">
        <v>6.2350299999999997E-2</v>
      </c>
      <c r="S4070">
        <v>3.096069</v>
      </c>
      <c r="T4070">
        <v>0.22831119999999999</v>
      </c>
      <c r="U4070">
        <v>-0.93014529999999995</v>
      </c>
      <c r="V4070">
        <v>-8.4925959999999995E-2</v>
      </c>
      <c r="W4070">
        <v>-7.2849810000000001E-2</v>
      </c>
      <c r="X4070">
        <v>0.99372050000000001</v>
      </c>
      <c r="Y4070">
        <v>0.26572410000000002</v>
      </c>
      <c r="Z4070">
        <v>5.643141E-3</v>
      </c>
      <c r="AA4070">
        <v>0.96403260000000002</v>
      </c>
      <c r="AB4070">
        <v>46</v>
      </c>
      <c r="AC4070">
        <v>112.9586</v>
      </c>
      <c r="AD4070">
        <v>8.3634489999999992</v>
      </c>
      <c r="AE4070">
        <v>-34.063000000000002</v>
      </c>
      <c r="AF4070">
        <v>31.362547229388401</v>
      </c>
      <c r="AG4070">
        <v>8.3634489999999992</v>
      </c>
      <c r="AH4070">
        <v>113.125933298476</v>
      </c>
      <c r="AI4070">
        <v>85.924947913345704</v>
      </c>
      <c r="AJ4070">
        <v>74.504726996859205</v>
      </c>
      <c r="AK4070">
        <v>117.69041351164699</v>
      </c>
      <c r="AL4070">
        <v>94.1776875673376</v>
      </c>
      <c r="AM4070">
        <v>94.884778074332999</v>
      </c>
      <c r="AN4070">
        <v>0.99999997280960295</v>
      </c>
    </row>
    <row r="4071" spans="1:40" x14ac:dyDescent="0.25">
      <c r="A4071" t="str">
        <f>"20190305135014568"</f>
        <v>20190305135014568</v>
      </c>
      <c r="B4071" t="str">
        <f>"1551765014564721"</f>
        <v>1551765014564721</v>
      </c>
      <c r="C4071" t="s">
        <v>40</v>
      </c>
      <c r="D4071">
        <v>4.2222879999999998</v>
      </c>
      <c r="E4071">
        <v>0.63588369999999905</v>
      </c>
      <c r="F4071" t="s">
        <v>60</v>
      </c>
      <c r="G4071">
        <v>-168.42150000000001</v>
      </c>
      <c r="H4071">
        <v>8.6467109999999998</v>
      </c>
      <c r="I4071">
        <v>181.82339999999999</v>
      </c>
      <c r="J4071">
        <v>-280.928</v>
      </c>
      <c r="K4071">
        <v>1.107826</v>
      </c>
      <c r="L4071">
        <v>214.98159999999999</v>
      </c>
      <c r="M4071">
        <v>0.99961940000000005</v>
      </c>
      <c r="N4071">
        <v>-1.4669140000000001E-2</v>
      </c>
      <c r="O4071">
        <v>-2.336305E-2</v>
      </c>
      <c r="P4071">
        <v>0.99421820000000005</v>
      </c>
      <c r="Q4071">
        <v>-8.6664130000000006E-2</v>
      </c>
      <c r="R4071">
        <v>6.340171E-2</v>
      </c>
      <c r="S4071">
        <v>3.0926819999999999</v>
      </c>
      <c r="T4071">
        <v>0.20640990000000001</v>
      </c>
      <c r="U4071">
        <v>-0.90812680000000001</v>
      </c>
      <c r="V4071">
        <v>-8.6874339999999994E-2</v>
      </c>
      <c r="W4071">
        <v>-7.1783390000000002E-2</v>
      </c>
      <c r="X4071">
        <v>0.99362969999999895</v>
      </c>
      <c r="Y4071">
        <v>0.25891150000000002</v>
      </c>
      <c r="Z4071">
        <v>4.6531469999999998E-3</v>
      </c>
      <c r="AA4071">
        <v>0.96588989999999997</v>
      </c>
      <c r="AB4071">
        <v>46</v>
      </c>
      <c r="AC4071">
        <v>112.5065</v>
      </c>
      <c r="AD4071">
        <v>7.5388849999999996</v>
      </c>
      <c r="AE4071">
        <v>-33.158199999999901</v>
      </c>
      <c r="AF4071">
        <v>30.394800029597299</v>
      </c>
      <c r="AG4071">
        <v>7.5388849999999996</v>
      </c>
      <c r="AH4071">
        <v>112.784599427478</v>
      </c>
      <c r="AI4071">
        <v>86.3072183659892</v>
      </c>
      <c r="AJ4071">
        <v>74.917437215610505</v>
      </c>
      <c r="AK4071">
        <v>117.05146100711001</v>
      </c>
      <c r="AL4071">
        <v>94.116425712678307</v>
      </c>
      <c r="AM4071">
        <v>94.996738468519297</v>
      </c>
      <c r="AN4071">
        <v>0.99999999337620804</v>
      </c>
    </row>
    <row r="4072" spans="1:40" x14ac:dyDescent="0.25">
      <c r="A4072" t="str">
        <f>"20190305135014591"</f>
        <v>20190305135014591</v>
      </c>
      <c r="B4072" t="str">
        <f>"1551765014584746"</f>
        <v>1551765014584746</v>
      </c>
      <c r="C4072" t="s">
        <v>40</v>
      </c>
      <c r="D4072">
        <v>4.0138389999999999</v>
      </c>
      <c r="E4072">
        <v>0.63512590000000002</v>
      </c>
      <c r="F4072" t="s">
        <v>60</v>
      </c>
      <c r="G4072">
        <v>-169.7192</v>
      </c>
      <c r="H4072">
        <v>7.6047549999999999</v>
      </c>
      <c r="I4072">
        <v>183.3545</v>
      </c>
      <c r="J4072">
        <v>-280.44709999999998</v>
      </c>
      <c r="K4072">
        <v>1.107977</v>
      </c>
      <c r="L4072">
        <v>214.96969999999999</v>
      </c>
      <c r="M4072">
        <v>0.99959989999999999</v>
      </c>
      <c r="N4072">
        <v>-1.466485E-2</v>
      </c>
      <c r="O4072">
        <v>-2.4190239999999998E-2</v>
      </c>
      <c r="P4072">
        <v>0.99421610000000005</v>
      </c>
      <c r="Q4072">
        <v>-8.6510000000000004E-2</v>
      </c>
      <c r="R4072">
        <v>6.3643610000000003E-2</v>
      </c>
      <c r="S4072">
        <v>3.089172</v>
      </c>
      <c r="T4072">
        <v>0.1804733</v>
      </c>
      <c r="U4072">
        <v>-0.87853999999999999</v>
      </c>
      <c r="V4072">
        <v>-8.7911260000000005E-2</v>
      </c>
      <c r="W4072">
        <v>-7.1662459999999997E-2</v>
      </c>
      <c r="X4072">
        <v>0.99354730000000002</v>
      </c>
      <c r="Y4072">
        <v>0.24996660000000001</v>
      </c>
      <c r="Z4072">
        <v>3.5531099999999999E-3</v>
      </c>
      <c r="AA4072">
        <v>0.968248</v>
      </c>
      <c r="AB4072">
        <v>46</v>
      </c>
      <c r="AC4072">
        <v>110.727899999999</v>
      </c>
      <c r="AD4072">
        <v>6.4967779999999999</v>
      </c>
      <c r="AE4072">
        <v>-31.615199999999898</v>
      </c>
      <c r="AF4072">
        <v>28.835339330009599</v>
      </c>
      <c r="AG4072">
        <v>6.4967779999999999</v>
      </c>
      <c r="AH4072">
        <v>111.106692044094</v>
      </c>
      <c r="AI4072">
        <v>86.760612446231207</v>
      </c>
      <c r="AJ4072">
        <v>75.451097755477207</v>
      </c>
      <c r="AK4072">
        <v>114.97122220642601</v>
      </c>
      <c r="AL4072">
        <v>94.109478738089805</v>
      </c>
      <c r="AM4072">
        <v>95.056488663138495</v>
      </c>
      <c r="AN4072">
        <v>1.0000000675726599</v>
      </c>
    </row>
    <row r="4073" spans="1:40" x14ac:dyDescent="0.25">
      <c r="A4073" t="str">
        <f>"20190305135014612"</f>
        <v>20190305135014612</v>
      </c>
      <c r="B4073" t="str">
        <f>"1551765014604270"</f>
        <v>1551765014604270</v>
      </c>
      <c r="C4073" t="s">
        <v>40</v>
      </c>
      <c r="D4073">
        <v>4.2420489999999997</v>
      </c>
      <c r="E4073">
        <v>0.63394019999999995</v>
      </c>
      <c r="F4073" t="s">
        <v>60</v>
      </c>
      <c r="G4073">
        <v>-169.71899999999999</v>
      </c>
      <c r="H4073">
        <v>7.3411979999999897</v>
      </c>
      <c r="I4073">
        <v>183.70189999999999</v>
      </c>
      <c r="J4073">
        <v>-280.01659999999998</v>
      </c>
      <c r="K4073">
        <v>1.1081160000000001</v>
      </c>
      <c r="L4073">
        <v>214.9588</v>
      </c>
      <c r="M4073">
        <v>0.9995851</v>
      </c>
      <c r="N4073">
        <v>-1.466133E-2</v>
      </c>
      <c r="O4073">
        <v>-2.4792809999999998E-2</v>
      </c>
      <c r="P4073">
        <v>0.99414789999999997</v>
      </c>
      <c r="Q4073">
        <v>-8.6686369999999999E-2</v>
      </c>
      <c r="R4073">
        <v>6.4463320000000005E-2</v>
      </c>
      <c r="S4073">
        <v>3.088409</v>
      </c>
      <c r="T4073">
        <v>0.1738567</v>
      </c>
      <c r="U4073">
        <v>-0.87211609999999995</v>
      </c>
      <c r="V4073">
        <v>-8.9303640000000004E-2</v>
      </c>
      <c r="W4073">
        <v>-7.1869390000000005E-2</v>
      </c>
      <c r="X4073">
        <v>0.99340810000000002</v>
      </c>
      <c r="Y4073">
        <v>0.2476054</v>
      </c>
      <c r="Z4073">
        <v>3.2563689999999998E-3</v>
      </c>
      <c r="AA4073">
        <v>0.96885549999999998</v>
      </c>
      <c r="AB4073">
        <v>46</v>
      </c>
      <c r="AC4073">
        <v>110.29759999999899</v>
      </c>
      <c r="AD4073">
        <v>6.2330819999999996</v>
      </c>
      <c r="AE4073">
        <v>-31.256900000000002</v>
      </c>
      <c r="AF4073">
        <v>28.428370112031502</v>
      </c>
      <c r="AG4073">
        <v>6.2330819999999996</v>
      </c>
      <c r="AH4073">
        <v>110.71143893523799</v>
      </c>
      <c r="AI4073">
        <v>86.878684998906294</v>
      </c>
      <c r="AJ4073">
        <v>75.598784273411098</v>
      </c>
      <c r="AK4073">
        <v>114.472906181141</v>
      </c>
      <c r="AL4073">
        <v>94.121365877072407</v>
      </c>
      <c r="AM4073">
        <v>95.136866518479806</v>
      </c>
      <c r="AN4073">
        <v>1.00000000124091</v>
      </c>
    </row>
    <row r="4074" spans="1:40" x14ac:dyDescent="0.25">
      <c r="A4074" t="str">
        <f>"20190305135014635"</f>
        <v>20190305135014635</v>
      </c>
      <c r="B4074" t="str">
        <f>"1551765014624762"</f>
        <v>1551765014624762</v>
      </c>
      <c r="C4074" t="s">
        <v>40</v>
      </c>
      <c r="D4074">
        <v>4.2743640000000003</v>
      </c>
      <c r="E4074">
        <v>0.63283719999999999</v>
      </c>
      <c r="F4074" t="s">
        <v>60</v>
      </c>
      <c r="G4074">
        <v>-169.71879999999999</v>
      </c>
      <c r="H4074">
        <v>7.4122259999999898</v>
      </c>
      <c r="I4074">
        <v>184.2663</v>
      </c>
      <c r="J4074">
        <v>-279.55860000000001</v>
      </c>
      <c r="K4074">
        <v>1.108257</v>
      </c>
      <c r="L4074">
        <v>214.94710000000001</v>
      </c>
      <c r="M4074">
        <v>0.99957200000000002</v>
      </c>
      <c r="N4074">
        <v>-1.465783E-2</v>
      </c>
      <c r="O4074">
        <v>-2.5315879999999999E-2</v>
      </c>
      <c r="P4074">
        <v>0.99411899999999997</v>
      </c>
      <c r="Q4074">
        <v>-8.6847099999999997E-2</v>
      </c>
      <c r="R4074">
        <v>6.4691799999999994E-2</v>
      </c>
      <c r="S4074">
        <v>3.0887760000000002</v>
      </c>
      <c r="T4074">
        <v>0.176541</v>
      </c>
      <c r="U4074">
        <v>-0.85951230000000001</v>
      </c>
      <c r="V4074">
        <v>-9.0026620000000002E-2</v>
      </c>
      <c r="W4074">
        <v>-7.2062899999999902E-2</v>
      </c>
      <c r="X4074">
        <v>0.99332880000000001</v>
      </c>
      <c r="Y4074">
        <v>0.2433979</v>
      </c>
      <c r="Z4074">
        <v>3.220948E-3</v>
      </c>
      <c r="AA4074">
        <v>0.96992120000000004</v>
      </c>
      <c r="AB4074">
        <v>46</v>
      </c>
      <c r="AC4074">
        <v>109.8398</v>
      </c>
      <c r="AD4074">
        <v>6.3039690000000004</v>
      </c>
      <c r="AE4074">
        <v>-30.680800000000001</v>
      </c>
      <c r="AF4074">
        <v>27.8050166509638</v>
      </c>
      <c r="AG4074">
        <v>6.3039690000000004</v>
      </c>
      <c r="AH4074">
        <v>110.244532513393</v>
      </c>
      <c r="AI4074">
        <v>86.826461376087707</v>
      </c>
      <c r="AJ4074">
        <v>75.844524631643097</v>
      </c>
      <c r="AK4074">
        <v>113.871488640528</v>
      </c>
      <c r="AL4074">
        <v>94.132482097123003</v>
      </c>
      <c r="AM4074">
        <v>95.178639267492201</v>
      </c>
      <c r="AN4074">
        <v>0.99999997938723695</v>
      </c>
    </row>
    <row r="4075" spans="1:40" x14ac:dyDescent="0.25">
      <c r="A4075" t="str">
        <f>"20190305135014657"</f>
        <v>20190305135014657</v>
      </c>
      <c r="B4075" t="str">
        <f>"1551765014654042"</f>
        <v>1551765014654042</v>
      </c>
      <c r="C4075" t="s">
        <v>40</v>
      </c>
      <c r="D4075">
        <v>4.2561790000000004</v>
      </c>
      <c r="E4075">
        <v>0.63151380000000001</v>
      </c>
      <c r="F4075" t="s">
        <v>93</v>
      </c>
      <c r="G4075">
        <v>-171.85849999999999</v>
      </c>
      <c r="H4075">
        <v>6.8166570000000002</v>
      </c>
      <c r="I4075">
        <v>185.29669999999999</v>
      </c>
      <c r="J4075">
        <v>-279.0949</v>
      </c>
      <c r="K4075">
        <v>1.1083879999999999</v>
      </c>
      <c r="L4075">
        <v>214.9349</v>
      </c>
      <c r="M4075">
        <v>0.99956140000000004</v>
      </c>
      <c r="N4075">
        <v>-1.4654399999999901E-2</v>
      </c>
      <c r="O4075">
        <v>-2.5737369999999999E-2</v>
      </c>
      <c r="P4075">
        <v>0.99416199999999999</v>
      </c>
      <c r="Q4075">
        <v>-8.6430080000000006E-2</v>
      </c>
      <c r="R4075">
        <v>6.4589309999999997E-2</v>
      </c>
      <c r="S4075">
        <v>3.0873409999999999</v>
      </c>
      <c r="T4075">
        <v>0.1636379</v>
      </c>
      <c r="U4075">
        <v>-0.8499603</v>
      </c>
      <c r="V4075">
        <v>-9.0319969999999999E-2</v>
      </c>
      <c r="W4075">
        <v>-7.1677130000000006E-2</v>
      </c>
      <c r="X4075">
        <v>0.99333009999999999</v>
      </c>
      <c r="Y4075">
        <v>0.24035780000000001</v>
      </c>
      <c r="Z4075">
        <v>2.7476990000000001E-3</v>
      </c>
      <c r="AA4075">
        <v>0.97068049999999995</v>
      </c>
      <c r="AB4075">
        <v>46</v>
      </c>
      <c r="AC4075">
        <v>107.2364</v>
      </c>
      <c r="AD4075">
        <v>5.7082689999999996</v>
      </c>
      <c r="AE4075">
        <v>-29.638200000000001</v>
      </c>
      <c r="AF4075">
        <v>26.797558262870499</v>
      </c>
      <c r="AG4075">
        <v>5.7082689999999996</v>
      </c>
      <c r="AH4075">
        <v>107.68030002096501</v>
      </c>
      <c r="AI4075">
        <v>87.055173470121105</v>
      </c>
      <c r="AJ4075">
        <v>76.025128350778701</v>
      </c>
      <c r="AK4075">
        <v>111.111387699161</v>
      </c>
      <c r="AL4075">
        <v>94.1103217216464</v>
      </c>
      <c r="AM4075">
        <v>95.195414803092902</v>
      </c>
      <c r="AN4075">
        <v>0.99999999775592396</v>
      </c>
    </row>
    <row r="4076" spans="1:40" x14ac:dyDescent="0.25">
      <c r="A4076" t="str">
        <f>"20190305135014680"</f>
        <v>20190305135014680</v>
      </c>
      <c r="B4076" t="str">
        <f>"1551765014674550"</f>
        <v>1551765014674550</v>
      </c>
      <c r="C4076" t="s">
        <v>40</v>
      </c>
      <c r="D4076">
        <v>4.2990789999999999</v>
      </c>
      <c r="E4076">
        <v>0.63075119999999996</v>
      </c>
      <c r="F4076" t="s">
        <v>93</v>
      </c>
      <c r="G4076">
        <v>-174.44309999999999</v>
      </c>
      <c r="H4076">
        <v>6.186591</v>
      </c>
      <c r="I4076">
        <v>186.44990000000001</v>
      </c>
      <c r="J4076">
        <v>-278.64269999999999</v>
      </c>
      <c r="K4076">
        <v>1.1085050000000001</v>
      </c>
      <c r="L4076">
        <v>214.923</v>
      </c>
      <c r="M4076">
        <v>0.99955309999999997</v>
      </c>
      <c r="N4076">
        <v>-1.4650989999999999E-2</v>
      </c>
      <c r="O4076">
        <v>-2.6059639999999998E-2</v>
      </c>
      <c r="P4076">
        <v>0.99421789999999999</v>
      </c>
      <c r="Q4076">
        <v>-8.6249409999999999E-2</v>
      </c>
      <c r="R4076">
        <v>6.3970860000000004E-2</v>
      </c>
      <c r="S4076">
        <v>3.0852360000000001</v>
      </c>
      <c r="T4076">
        <v>0.1497108</v>
      </c>
      <c r="U4076">
        <v>-0.839767499999999</v>
      </c>
      <c r="V4076">
        <v>-9.0002170000000006E-2</v>
      </c>
      <c r="W4076">
        <v>-7.1525740000000004E-2</v>
      </c>
      <c r="X4076">
        <v>0.99336990000000003</v>
      </c>
      <c r="Y4076">
        <v>0.23726849999999999</v>
      </c>
      <c r="Z4076">
        <v>2.2656479999999999E-3</v>
      </c>
      <c r="AA4076">
        <v>0.97144140000000001</v>
      </c>
      <c r="AB4076">
        <v>46</v>
      </c>
      <c r="AC4076">
        <v>104.1996</v>
      </c>
      <c r="AD4076">
        <v>5.0780859999999999</v>
      </c>
      <c r="AE4076">
        <v>-28.473099999999899</v>
      </c>
      <c r="AF4076">
        <v>25.690955671250499</v>
      </c>
      <c r="AG4076">
        <v>5.0780859999999999</v>
      </c>
      <c r="AH4076">
        <v>104.674951211955</v>
      </c>
      <c r="AI4076">
        <v>87.302527227670097</v>
      </c>
      <c r="AJ4076">
        <v>76.210158872939402</v>
      </c>
      <c r="AK4076">
        <v>107.901147222589</v>
      </c>
      <c r="AL4076">
        <v>94.101625218684404</v>
      </c>
      <c r="AM4076">
        <v>95.177027423255694</v>
      </c>
      <c r="AN4076">
        <v>1.00000004015663</v>
      </c>
    </row>
    <row r="4077" spans="1:40" x14ac:dyDescent="0.25">
      <c r="A4077" t="str">
        <f>"20190305135014701"</f>
        <v>20190305135014701</v>
      </c>
      <c r="B4077" t="str">
        <f>"1551765014694058"</f>
        <v>1551765014694058</v>
      </c>
      <c r="C4077" t="s">
        <v>40</v>
      </c>
      <c r="D4077">
        <v>4.3084790000000002</v>
      </c>
      <c r="E4077">
        <v>0.63009009999999999</v>
      </c>
      <c r="F4077" t="s">
        <v>93</v>
      </c>
      <c r="G4077">
        <v>-175.65649999999999</v>
      </c>
      <c r="H4077">
        <v>5.8068900000000001</v>
      </c>
      <c r="I4077">
        <v>187.0018</v>
      </c>
      <c r="J4077">
        <v>-278.19029999999998</v>
      </c>
      <c r="K4077">
        <v>1.108611</v>
      </c>
      <c r="L4077">
        <v>214.9109</v>
      </c>
      <c r="M4077">
        <v>0.9995465</v>
      </c>
      <c r="N4077">
        <v>-1.4647490000000001E-2</v>
      </c>
      <c r="O4077">
        <v>-2.6313739999999999E-2</v>
      </c>
      <c r="P4077">
        <v>0.99421040000000005</v>
      </c>
      <c r="Q4077">
        <v>-8.6859270000000002E-2</v>
      </c>
      <c r="R4077">
        <v>6.3256469999999995E-2</v>
      </c>
      <c r="S4077">
        <v>3.0834350000000001</v>
      </c>
      <c r="T4077">
        <v>0.1406714</v>
      </c>
      <c r="U4077">
        <v>-0.83596800000000004</v>
      </c>
      <c r="V4077">
        <v>-8.9522459999999998E-2</v>
      </c>
      <c r="W4077">
        <v>-7.2163459999999999E-2</v>
      </c>
      <c r="X4077">
        <v>0.99336709999999995</v>
      </c>
      <c r="Y4077">
        <v>0.23607230000000001</v>
      </c>
      <c r="Z4077">
        <v>1.9704639999999999E-3</v>
      </c>
      <c r="AA4077">
        <v>0.97173350000000003</v>
      </c>
      <c r="AB4077">
        <v>45</v>
      </c>
      <c r="AC4077">
        <v>102.5338</v>
      </c>
      <c r="AD4077">
        <v>4.6982790000000003</v>
      </c>
      <c r="AE4077">
        <v>-27.909099999999899</v>
      </c>
      <c r="AF4077">
        <v>25.151929872427601</v>
      </c>
      <c r="AG4077">
        <v>4.6982790000000003</v>
      </c>
      <c r="AH4077">
        <v>103.031353922847</v>
      </c>
      <c r="AI4077">
        <v>87.463479394393303</v>
      </c>
      <c r="AJ4077">
        <v>76.281318380570198</v>
      </c>
      <c r="AK4077">
        <v>106.160978203125</v>
      </c>
      <c r="AL4077">
        <v>94.138258650689593</v>
      </c>
      <c r="AM4077">
        <v>95.149597146701097</v>
      </c>
      <c r="AN4077">
        <v>1.00000001558301</v>
      </c>
    </row>
    <row r="4078" spans="1:40" x14ac:dyDescent="0.25">
      <c r="A4078" t="str">
        <f>"20190305135014724"</f>
        <v>20190305135014724</v>
      </c>
      <c r="B4078" t="str">
        <f>"1551765014714555"</f>
        <v>1551765014714555</v>
      </c>
      <c r="C4078" t="s">
        <v>40</v>
      </c>
      <c r="D4078">
        <v>4.3074450000000004</v>
      </c>
      <c r="E4078">
        <v>0.62949370000000004</v>
      </c>
      <c r="F4078" t="s">
        <v>93</v>
      </c>
      <c r="G4078">
        <v>-174.95930000000001</v>
      </c>
      <c r="H4078">
        <v>5.5002779999999998</v>
      </c>
      <c r="I4078">
        <v>187.01150000000001</v>
      </c>
      <c r="J4078">
        <v>-277.75119999999998</v>
      </c>
      <c r="K4078">
        <v>1.1087009999999999</v>
      </c>
      <c r="L4078">
        <v>214.89920000000001</v>
      </c>
      <c r="M4078">
        <v>0.99954120000000002</v>
      </c>
      <c r="N4078">
        <v>-1.4643990000000001E-2</v>
      </c>
      <c r="O4078">
        <v>-2.651572E-2</v>
      </c>
      <c r="P4078">
        <v>0.99419179999999996</v>
      </c>
      <c r="Q4078">
        <v>-8.7276399999999907E-2</v>
      </c>
      <c r="R4078">
        <v>6.2973769999999998E-2</v>
      </c>
      <c r="S4078">
        <v>3.0818789999999998</v>
      </c>
      <c r="T4078">
        <v>0.13111010000000001</v>
      </c>
      <c r="U4078">
        <v>-0.83291630000000005</v>
      </c>
      <c r="V4078">
        <v>-8.9424390000000006E-2</v>
      </c>
      <c r="W4078">
        <v>-7.260469E-2</v>
      </c>
      <c r="X4078">
        <v>0.9933438</v>
      </c>
      <c r="Y4078">
        <v>0.23512420000000001</v>
      </c>
      <c r="Z4078">
        <v>1.6703969999999999E-3</v>
      </c>
      <c r="AA4078">
        <v>0.97196389999999999</v>
      </c>
      <c r="AB4078">
        <v>45</v>
      </c>
      <c r="AC4078">
        <v>102.791899999999</v>
      </c>
      <c r="AD4078">
        <v>4.3915769999999998</v>
      </c>
      <c r="AE4078">
        <v>-27.887699999999899</v>
      </c>
      <c r="AF4078">
        <v>25.109310390545801</v>
      </c>
      <c r="AG4078">
        <v>4.3915769999999998</v>
      </c>
      <c r="AH4078">
        <v>103.31963653676701</v>
      </c>
      <c r="AI4078">
        <v>87.634881419333993</v>
      </c>
      <c r="AJ4078">
        <v>76.340470176642697</v>
      </c>
      <c r="AK4078">
        <v>106.417624061643</v>
      </c>
      <c r="AL4078">
        <v>94.163605681159893</v>
      </c>
      <c r="AM4078">
        <v>95.144106161815898</v>
      </c>
      <c r="AN4078">
        <v>1.00000003376765</v>
      </c>
    </row>
    <row r="4079" spans="1:40" x14ac:dyDescent="0.25">
      <c r="A4079" t="str">
        <f>"20190305135014746"</f>
        <v>20190305135014746</v>
      </c>
      <c r="B4079" t="str">
        <f>"1551765014734074"</f>
        <v>1551765014734074</v>
      </c>
      <c r="C4079" t="s">
        <v>40</v>
      </c>
      <c r="D4079">
        <v>4.3073319999999997</v>
      </c>
      <c r="E4079">
        <v>0.6289555</v>
      </c>
      <c r="F4079" t="s">
        <v>93</v>
      </c>
      <c r="G4079">
        <v>-174.07310000000001</v>
      </c>
      <c r="H4079">
        <v>5.2647779999999997</v>
      </c>
      <c r="I4079">
        <v>187.0112</v>
      </c>
      <c r="J4079">
        <v>-277.29840000000002</v>
      </c>
      <c r="K4079">
        <v>1.1087899999999999</v>
      </c>
      <c r="L4079">
        <v>214.8869</v>
      </c>
      <c r="M4079">
        <v>0.99953639999999999</v>
      </c>
      <c r="N4079">
        <v>-1.46404E-2</v>
      </c>
      <c r="O4079">
        <v>-2.6694900000000001E-2</v>
      </c>
      <c r="P4079">
        <v>0.99411870000000002</v>
      </c>
      <c r="Q4079">
        <v>-8.8174279999999994E-2</v>
      </c>
      <c r="R4079">
        <v>6.2877420000000003E-2</v>
      </c>
      <c r="S4079">
        <v>3.080902</v>
      </c>
      <c r="T4079">
        <v>0.1235025</v>
      </c>
      <c r="U4079">
        <v>-0.82872009999999996</v>
      </c>
      <c r="V4079">
        <v>-8.9490340000000002E-2</v>
      </c>
      <c r="W4079">
        <v>-7.3525209999999994E-2</v>
      </c>
      <c r="X4079">
        <v>0.99327010000000004</v>
      </c>
      <c r="Y4079">
        <v>0.23380860000000001</v>
      </c>
      <c r="Z4079">
        <v>1.426594E-3</v>
      </c>
      <c r="AA4079">
        <v>0.97228159999999997</v>
      </c>
      <c r="AB4079">
        <v>45</v>
      </c>
      <c r="AC4079">
        <v>103.2253</v>
      </c>
      <c r="AD4079">
        <v>4.1559879999999998</v>
      </c>
      <c r="AE4079">
        <v>-27.875699999999899</v>
      </c>
      <c r="AF4079">
        <v>25.072000523565301</v>
      </c>
      <c r="AG4079">
        <v>4.1559879999999998</v>
      </c>
      <c r="AH4079">
        <v>103.775939673171</v>
      </c>
      <c r="AI4079">
        <v>87.770731425356104</v>
      </c>
      <c r="AJ4079">
        <v>76.417756816651107</v>
      </c>
      <c r="AK4079">
        <v>106.84251542134101</v>
      </c>
      <c r="AL4079">
        <v>94.216489147502898</v>
      </c>
      <c r="AM4079">
        <v>95.148259452362296</v>
      </c>
      <c r="AN4079">
        <v>0.99999998450643401</v>
      </c>
    </row>
    <row r="4080" spans="1:40" x14ac:dyDescent="0.25">
      <c r="A4080" t="str">
        <f>"20190305135014768"</f>
        <v>20190305135014768</v>
      </c>
      <c r="B4080" t="str">
        <f>"1551765014764331"</f>
        <v>1551765014764331</v>
      </c>
      <c r="C4080" t="s">
        <v>40</v>
      </c>
      <c r="D4080">
        <v>4.2987789999999997</v>
      </c>
      <c r="E4080">
        <v>0.62828169999999905</v>
      </c>
      <c r="F4080" t="s">
        <v>93</v>
      </c>
      <c r="G4080">
        <v>-173.2123</v>
      </c>
      <c r="H4080">
        <v>4.9705519999999996</v>
      </c>
      <c r="I4080">
        <v>187.01089999999999</v>
      </c>
      <c r="J4080">
        <v>-276.84739999999999</v>
      </c>
      <c r="K4080">
        <v>1.108859</v>
      </c>
      <c r="L4080">
        <v>214.87469999999999</v>
      </c>
      <c r="M4080">
        <v>0.99953219999999998</v>
      </c>
      <c r="N4080">
        <v>-1.4637030000000001E-2</v>
      </c>
      <c r="O4080">
        <v>-2.685529E-2</v>
      </c>
      <c r="P4080">
        <v>0.99411919999999998</v>
      </c>
      <c r="Q4080">
        <v>-8.8049890000000006E-2</v>
      </c>
      <c r="R4080">
        <v>6.3042109999999998E-2</v>
      </c>
      <c r="S4080">
        <v>3.0800480000000001</v>
      </c>
      <c r="T4080">
        <v>0.11427519999999999</v>
      </c>
      <c r="U4080">
        <v>-0.82489009999999996</v>
      </c>
      <c r="V4080">
        <v>-8.9801720000000002E-2</v>
      </c>
      <c r="W4080">
        <v>-7.3419310000000002E-2</v>
      </c>
      <c r="X4080">
        <v>0.99324979999999996</v>
      </c>
      <c r="Y4080">
        <v>0.23260910000000001</v>
      </c>
      <c r="Z4080">
        <v>1.1423970000000001E-3</v>
      </c>
      <c r="AA4080">
        <v>0.97256960000000003</v>
      </c>
      <c r="AB4080">
        <v>45</v>
      </c>
      <c r="AC4080">
        <v>103.63509999999999</v>
      </c>
      <c r="AD4080">
        <v>3.8616929999999998</v>
      </c>
      <c r="AE4080">
        <v>-27.863800000000001</v>
      </c>
      <c r="AF4080">
        <v>25.037878401200899</v>
      </c>
      <c r="AG4080">
        <v>3.8616929999999998</v>
      </c>
      <c r="AH4080">
        <v>104.21114351436201</v>
      </c>
      <c r="AI4080">
        <v>87.936464609365402</v>
      </c>
      <c r="AJ4080">
        <v>76.490125287341201</v>
      </c>
      <c r="AK4080">
        <v>107.24630744333599</v>
      </c>
      <c r="AL4080">
        <v>94.210405206865204</v>
      </c>
      <c r="AM4080">
        <v>95.166180977183004</v>
      </c>
      <c r="AN4080">
        <v>0.999999954597936</v>
      </c>
    </row>
    <row r="4081" spans="1:40" x14ac:dyDescent="0.25">
      <c r="A4081" t="str">
        <f>"20190305135014791"</f>
        <v>20190305135014791</v>
      </c>
      <c r="B4081" t="str">
        <f>"1551765014784826"</f>
        <v>1551765014784826</v>
      </c>
      <c r="C4081" t="s">
        <v>40</v>
      </c>
      <c r="D4081">
        <v>4.4077809999999999</v>
      </c>
      <c r="E4081">
        <v>0.62769090000000005</v>
      </c>
      <c r="F4081" t="s">
        <v>60</v>
      </c>
      <c r="G4081">
        <v>-169.4014</v>
      </c>
      <c r="H4081">
        <v>4.8103610000000003</v>
      </c>
      <c r="I4081">
        <v>186.27500000000001</v>
      </c>
      <c r="J4081">
        <v>-276.38220000000001</v>
      </c>
      <c r="K4081">
        <v>1.108922</v>
      </c>
      <c r="L4081">
        <v>214.86199999999999</v>
      </c>
      <c r="M4081">
        <v>0.99952819999999998</v>
      </c>
      <c r="N4081">
        <v>-1.4633490000000001E-2</v>
      </c>
      <c r="O4081">
        <v>-2.700992E-2</v>
      </c>
      <c r="P4081">
        <v>0.99405739999999998</v>
      </c>
      <c r="Q4081">
        <v>-8.8219119999999998E-2</v>
      </c>
      <c r="R4081">
        <v>6.3778429999999997E-2</v>
      </c>
      <c r="S4081">
        <v>3.079132</v>
      </c>
      <c r="T4081">
        <v>0.1060767</v>
      </c>
      <c r="U4081">
        <v>-0.81959530000000003</v>
      </c>
      <c r="V4081">
        <v>-9.0679010000000004E-2</v>
      </c>
      <c r="W4081">
        <v>-7.3605619999999997E-2</v>
      </c>
      <c r="X4081">
        <v>0.99315640000000005</v>
      </c>
      <c r="Y4081">
        <v>0.23098279999999999</v>
      </c>
      <c r="Z4081">
        <v>8.8804029999999998E-4</v>
      </c>
      <c r="AA4081">
        <v>0.97295739999999997</v>
      </c>
      <c r="AB4081">
        <v>45</v>
      </c>
      <c r="AC4081">
        <v>106.9808</v>
      </c>
      <c r="AD4081">
        <v>3.7014390000000001</v>
      </c>
      <c r="AE4081">
        <v>-28.5869999999999</v>
      </c>
      <c r="AF4081">
        <v>25.658048245270201</v>
      </c>
      <c r="AG4081">
        <v>3.7014390000000001</v>
      </c>
      <c r="AH4081">
        <v>107.593760284201</v>
      </c>
      <c r="AI4081">
        <v>88.083390659608497</v>
      </c>
      <c r="AJ4081">
        <v>76.587100883499701</v>
      </c>
      <c r="AK4081">
        <v>110.672730799061</v>
      </c>
      <c r="AL4081">
        <v>94.221108531143798</v>
      </c>
      <c r="AM4081">
        <v>95.216861146407297</v>
      </c>
      <c r="AN4081">
        <v>1.0000000525055599</v>
      </c>
    </row>
    <row r="4082" spans="1:40" x14ac:dyDescent="0.25">
      <c r="A4082" t="str">
        <f>"20190305135014805"</f>
        <v>20190305135014805</v>
      </c>
      <c r="B4082" t="str">
        <f>"1551765014794587"</f>
        <v>1551765014794587</v>
      </c>
      <c r="C4082" t="s">
        <v>40</v>
      </c>
      <c r="D4082">
        <v>4.7456750000000003</v>
      </c>
      <c r="E4082">
        <v>0.62769090000000005</v>
      </c>
      <c r="F4082" t="s">
        <v>60</v>
      </c>
      <c r="G4082">
        <v>-168.60169999999999</v>
      </c>
      <c r="H4082">
        <v>4.6396940000000004</v>
      </c>
      <c r="I4082">
        <v>186.4034</v>
      </c>
      <c r="J4082">
        <v>-276.09460000000001</v>
      </c>
      <c r="K4082">
        <v>1.1089500000000001</v>
      </c>
      <c r="L4082">
        <v>214.85409999999999</v>
      </c>
      <c r="M4082">
        <v>0.99952569999999996</v>
      </c>
      <c r="N4082">
        <v>-1.463129E-2</v>
      </c>
      <c r="O4082">
        <v>-2.710193E-2</v>
      </c>
      <c r="P4082">
        <v>0.99401589999999995</v>
      </c>
      <c r="Q4082">
        <v>-8.8191459999999999E-2</v>
      </c>
      <c r="R4082">
        <v>6.4461190000000002E-2</v>
      </c>
      <c r="S4082">
        <v>3.0790099999999998</v>
      </c>
      <c r="T4082">
        <v>0.100866</v>
      </c>
      <c r="U4082">
        <v>-0.8129883</v>
      </c>
      <c r="V4082">
        <v>-9.1446299999999994E-2</v>
      </c>
      <c r="W4082">
        <v>-7.358729E-2</v>
      </c>
      <c r="X4082">
        <v>0.99308739999999995</v>
      </c>
      <c r="Y4082">
        <v>0.22895960000000001</v>
      </c>
      <c r="Z4082">
        <v>7.2069649999999903E-4</v>
      </c>
      <c r="AA4082">
        <v>0.97343559999999996</v>
      </c>
      <c r="AB4082">
        <v>45</v>
      </c>
      <c r="AC4082">
        <v>107.49290000000001</v>
      </c>
      <c r="AD4082">
        <v>3.5307439999999999</v>
      </c>
      <c r="AE4082">
        <v>-28.450699999999902</v>
      </c>
      <c r="AF4082">
        <v>25.5009591930786</v>
      </c>
      <c r="AG4082">
        <v>3.5307439999999999</v>
      </c>
      <c r="AH4082">
        <v>108.115550736535</v>
      </c>
      <c r="AI4082">
        <v>88.179469675118298</v>
      </c>
      <c r="AJ4082">
        <v>76.728347787689003</v>
      </c>
      <c r="AK4082">
        <v>111.138370439848</v>
      </c>
      <c r="AL4082">
        <v>94.220055456251302</v>
      </c>
      <c r="AM4082">
        <v>95.261120985192207</v>
      </c>
      <c r="AN4082">
        <v>1.00000004953599</v>
      </c>
    </row>
    <row r="4083" spans="1:40" x14ac:dyDescent="0.25">
      <c r="A4083" t="str">
        <f>"20190305135014818"</f>
        <v>20190305135014818</v>
      </c>
      <c r="B4083" t="str">
        <f>"1551765014814107"</f>
        <v>1551765014814107</v>
      </c>
      <c r="C4083" t="s">
        <v>40</v>
      </c>
      <c r="D4083">
        <v>4.4339259999999996</v>
      </c>
      <c r="E4083">
        <v>0.5612473</v>
      </c>
      <c r="F4083" t="s">
        <v>60</v>
      </c>
      <c r="G4083">
        <v>-168.4186</v>
      </c>
      <c r="H4083">
        <v>4.6322590000000003</v>
      </c>
      <c r="I4083">
        <v>186.4957</v>
      </c>
      <c r="J4083">
        <v>-275.85149999999999</v>
      </c>
      <c r="K4083">
        <v>1.108975</v>
      </c>
      <c r="L4083">
        <v>214.8475</v>
      </c>
      <c r="M4083">
        <v>0.99952359999999896</v>
      </c>
      <c r="N4083">
        <v>-1.4629420000000001E-2</v>
      </c>
      <c r="O4083">
        <v>-2.7178480000000001E-2</v>
      </c>
      <c r="P4083">
        <v>0.99395900000000004</v>
      </c>
      <c r="Q4083">
        <v>-8.8153090000000003E-2</v>
      </c>
      <c r="R4083">
        <v>6.5379499999999993E-2</v>
      </c>
      <c r="S4083">
        <v>3.07959</v>
      </c>
      <c r="T4083">
        <v>0.1007694</v>
      </c>
      <c r="U4083">
        <v>-0.811065699999999</v>
      </c>
      <c r="V4083">
        <v>-9.2434260000000004E-2</v>
      </c>
      <c r="W4083">
        <v>-7.3556449999999995E-2</v>
      </c>
      <c r="X4083">
        <v>0.99299820000000005</v>
      </c>
      <c r="Y4083">
        <v>0.2282719</v>
      </c>
      <c r="Z4083">
        <v>7.0857910000000001E-4</v>
      </c>
      <c r="AA4083">
        <v>0.97359720000000005</v>
      </c>
      <c r="AB4083">
        <v>45</v>
      </c>
      <c r="AC4083">
        <v>107.4329</v>
      </c>
      <c r="AD4083">
        <v>3.5232839999999901</v>
      </c>
      <c r="AE4083">
        <v>-28.351800000000001</v>
      </c>
      <c r="AF4083">
        <v>25.3956140158142</v>
      </c>
      <c r="AG4083">
        <v>3.5232839999999901</v>
      </c>
      <c r="AH4083">
        <v>108.055197419303</v>
      </c>
      <c r="AI4083">
        <v>88.181957918224398</v>
      </c>
      <c r="AJ4083">
        <v>76.774120910064298</v>
      </c>
      <c r="AK4083">
        <v>111.055285469488</v>
      </c>
      <c r="AL4083">
        <v>94.218283716387901</v>
      </c>
      <c r="AM4083">
        <v>95.318111475395298</v>
      </c>
      <c r="AN4083">
        <v>1.00000003448079</v>
      </c>
    </row>
    <row r="4084" spans="1:40" x14ac:dyDescent="0.25">
      <c r="A4084" t="str">
        <f>"20190305135014830"</f>
        <v>20190305135014830</v>
      </c>
      <c r="B4084" t="str">
        <f>"1551765014824842"</f>
        <v>1551765014824842</v>
      </c>
      <c r="C4084" t="s">
        <v>40</v>
      </c>
      <c r="D4084">
        <v>4.5405800000000003</v>
      </c>
      <c r="E4084">
        <v>0.49196590000000001</v>
      </c>
      <c r="F4084" t="s">
        <v>62</v>
      </c>
      <c r="G4084">
        <v>-182.4162</v>
      </c>
      <c r="H4084" s="1">
        <v>4.1092369999999999E-6</v>
      </c>
      <c r="I4084">
        <v>206.10900000000001</v>
      </c>
      <c r="J4084">
        <v>-275.57799999999997</v>
      </c>
      <c r="K4084">
        <v>1.108997</v>
      </c>
      <c r="L4084">
        <v>214.84</v>
      </c>
      <c r="M4084">
        <v>0.9995214</v>
      </c>
      <c r="N4084">
        <v>-1.4627340000000001E-2</v>
      </c>
      <c r="O4084">
        <v>-2.7264199999999999E-2</v>
      </c>
      <c r="P4084">
        <v>0.99393120000000001</v>
      </c>
      <c r="Q4084">
        <v>-8.7829809999999994E-2</v>
      </c>
      <c r="R4084">
        <v>6.6234249999999995E-2</v>
      </c>
      <c r="S4084">
        <v>3.0336609999999999</v>
      </c>
      <c r="T4084">
        <v>-3.6006089999999998E-2</v>
      </c>
      <c r="U4084">
        <v>-0.28372190000000003</v>
      </c>
      <c r="V4084">
        <v>-9.3368240000000005E-2</v>
      </c>
      <c r="W4084">
        <v>-7.324079E-2</v>
      </c>
      <c r="X4084">
        <v>0.99293410000000004</v>
      </c>
      <c r="Y4084">
        <v>6.5924759999999999E-2</v>
      </c>
      <c r="Z4084">
        <v>-9.4900219999999997E-4</v>
      </c>
      <c r="AA4084">
        <v>0.99782409999999999</v>
      </c>
      <c r="AB4084">
        <v>45</v>
      </c>
      <c r="AC4084">
        <v>93.1617999999999</v>
      </c>
      <c r="AD4084">
        <v>-1.108992890763</v>
      </c>
      <c r="AE4084">
        <v>-8.7309999999999892</v>
      </c>
      <c r="AF4084">
        <v>6.1866313255930798</v>
      </c>
      <c r="AG4084">
        <v>-1.108992890763</v>
      </c>
      <c r="AH4084">
        <v>93.352116852262796</v>
      </c>
      <c r="AI4084">
        <v>90.679133676899397</v>
      </c>
      <c r="AJ4084">
        <v>86.208438531510296</v>
      </c>
      <c r="AK4084">
        <v>93.563465055485807</v>
      </c>
      <c r="AL4084">
        <v>94.200149026959096</v>
      </c>
      <c r="AM4084">
        <v>95.3718790523465</v>
      </c>
      <c r="AN4084">
        <v>0.99999998425166503</v>
      </c>
    </row>
    <row r="4085" spans="1:40" x14ac:dyDescent="0.25">
      <c r="A4085" t="str">
        <f>"20190305135014844"</f>
        <v>20190305135014844</v>
      </c>
      <c r="B4085" t="str">
        <f>"1551765014834603"</f>
        <v>1551765014834603</v>
      </c>
      <c r="C4085" t="s">
        <v>40</v>
      </c>
      <c r="D4085">
        <v>4.4994899999999998</v>
      </c>
      <c r="E4085">
        <v>0.48605419999999999</v>
      </c>
      <c r="F4085" t="s">
        <v>74</v>
      </c>
      <c r="G4085">
        <v>-259.38869999999997</v>
      </c>
      <c r="H4085" s="1">
        <v>3.3868380000000001E-6</v>
      </c>
      <c r="I4085">
        <v>216.27629999999999</v>
      </c>
      <c r="J4085">
        <v>-275.30220000000003</v>
      </c>
      <c r="K4085">
        <v>1.1090230000000001</v>
      </c>
      <c r="L4085">
        <v>214.8323</v>
      </c>
      <c r="M4085">
        <v>0.99951909999999999</v>
      </c>
      <c r="N4085">
        <v>-1.4625229999999999E-2</v>
      </c>
      <c r="O4085">
        <v>-2.7349149999999999E-2</v>
      </c>
      <c r="P4085">
        <v>0.99392400000000003</v>
      </c>
      <c r="Q4085">
        <v>-8.7427920000000006E-2</v>
      </c>
      <c r="R4085">
        <v>6.687187E-2</v>
      </c>
      <c r="S4085">
        <v>2.982666</v>
      </c>
      <c r="T4085">
        <v>-0.2043172</v>
      </c>
      <c r="U4085">
        <v>0.26463320000000001</v>
      </c>
      <c r="V4085">
        <v>-9.4086359999999994E-2</v>
      </c>
      <c r="W4085">
        <v>-7.284562E-2</v>
      </c>
      <c r="X4085">
        <v>0.99289539999999998</v>
      </c>
      <c r="Y4085">
        <v>-0.1152234</v>
      </c>
      <c r="Z4085">
        <v>6.2488680000000003E-3</v>
      </c>
      <c r="AA4085">
        <v>0.99331990000000003</v>
      </c>
      <c r="AB4085">
        <v>45</v>
      </c>
      <c r="AC4085">
        <v>15.913500000000001</v>
      </c>
      <c r="AD4085">
        <v>-1.10901961316199</v>
      </c>
      <c r="AE4085">
        <v>1.44399999999998</v>
      </c>
      <c r="AF4085">
        <v>-1.8697202991153901</v>
      </c>
      <c r="AG4085">
        <v>-1.10901961316199</v>
      </c>
      <c r="AH4085">
        <v>15.791978209992401</v>
      </c>
      <c r="AI4085">
        <v>93.989329692554094</v>
      </c>
      <c r="AJ4085">
        <v>96.752205870154597</v>
      </c>
      <c r="AK4085">
        <v>15.9409019281902</v>
      </c>
      <c r="AL4085">
        <v>94.177446738754895</v>
      </c>
      <c r="AM4085">
        <v>95.413160856083493</v>
      </c>
      <c r="AN4085">
        <v>1.0000000014161901</v>
      </c>
    </row>
    <row r="4086" spans="1:40" x14ac:dyDescent="0.25">
      <c r="A4086" t="str">
        <f>"20190305135014859"</f>
        <v>20190305135014859</v>
      </c>
      <c r="B4086" t="str">
        <f>"1551765014854122"</f>
        <v>1551765014854122</v>
      </c>
      <c r="C4086" t="s">
        <v>40</v>
      </c>
      <c r="D4086">
        <v>4.319051</v>
      </c>
      <c r="E4086">
        <v>0.48420259999999998</v>
      </c>
      <c r="F4086" t="s">
        <v>74</v>
      </c>
      <c r="G4086">
        <v>-258.20400000000001</v>
      </c>
      <c r="H4086" s="1">
        <v>2.7407810000000002E-6</v>
      </c>
      <c r="I4086">
        <v>216.63390000000001</v>
      </c>
      <c r="J4086">
        <v>-275.01560000000001</v>
      </c>
      <c r="K4086">
        <v>1.109046</v>
      </c>
      <c r="L4086">
        <v>214.8244</v>
      </c>
      <c r="M4086">
        <v>0.99951670000000004</v>
      </c>
      <c r="N4086">
        <v>-1.462308E-2</v>
      </c>
      <c r="O4086">
        <v>-2.7437119999999999E-2</v>
      </c>
      <c r="P4086">
        <v>0.9938804</v>
      </c>
      <c r="Q4086">
        <v>-8.6923529999999999E-2</v>
      </c>
      <c r="R4086">
        <v>6.8163470000000004E-2</v>
      </c>
      <c r="S4086">
        <v>2.9802550000000001</v>
      </c>
      <c r="T4086">
        <v>-0.19330449999999999</v>
      </c>
      <c r="U4086">
        <v>0.31401059999999997</v>
      </c>
      <c r="V4086">
        <v>-9.54599E-2</v>
      </c>
      <c r="W4086">
        <v>-7.2348010000000004E-2</v>
      </c>
      <c r="X4086">
        <v>0.99280069999999998</v>
      </c>
      <c r="Y4086">
        <v>-0.1316628</v>
      </c>
      <c r="Z4086">
        <v>6.5939450000000004E-3</v>
      </c>
      <c r="AA4086">
        <v>0.99127259999999995</v>
      </c>
      <c r="AB4086">
        <v>45</v>
      </c>
      <c r="AC4086">
        <v>16.811599999999999</v>
      </c>
      <c r="AD4086">
        <v>-1.109043259219</v>
      </c>
      <c r="AE4086">
        <v>1.8095000000000101</v>
      </c>
      <c r="AF4086">
        <v>-2.2604053854388999</v>
      </c>
      <c r="AG4086">
        <v>-1.109043259219</v>
      </c>
      <c r="AH4086">
        <v>16.683841947721401</v>
      </c>
      <c r="AI4086">
        <v>93.768757877758304</v>
      </c>
      <c r="AJ4086">
        <v>97.715720424257896</v>
      </c>
      <c r="AK4086">
        <v>16.872758861368499</v>
      </c>
      <c r="AL4086">
        <v>94.148860244246706</v>
      </c>
      <c r="AM4086">
        <v>95.492227016834207</v>
      </c>
      <c r="AN4086">
        <v>1.0000000284897199</v>
      </c>
    </row>
    <row r="4087" spans="1:40" x14ac:dyDescent="0.25">
      <c r="A4087" t="str">
        <f>"20190305135014882"</f>
        <v>20190305135014882</v>
      </c>
      <c r="B4087" t="str">
        <f>"1551765014874618"</f>
        <v>1551765014874618</v>
      </c>
      <c r="C4087" t="s">
        <v>40</v>
      </c>
      <c r="D4087">
        <v>4.3473649999999999</v>
      </c>
      <c r="E4087">
        <v>0.48495070000000001</v>
      </c>
      <c r="F4087" t="s">
        <v>74</v>
      </c>
      <c r="G4087">
        <v>-258.16590000000002</v>
      </c>
      <c r="H4087" s="1">
        <v>2.7174099999999999E-6</v>
      </c>
      <c r="I4087">
        <v>216.70419999999999</v>
      </c>
      <c r="J4087">
        <v>-274.55380000000002</v>
      </c>
      <c r="K4087">
        <v>1.10907</v>
      </c>
      <c r="L4087">
        <v>214.8116</v>
      </c>
      <c r="M4087">
        <v>0.99951290000000004</v>
      </c>
      <c r="N4087">
        <v>-1.461963E-2</v>
      </c>
      <c r="O4087">
        <v>-2.7576929999999999E-2</v>
      </c>
      <c r="P4087">
        <v>0.99389709999999998</v>
      </c>
      <c r="Q4087">
        <v>-8.5990999999999998E-2</v>
      </c>
      <c r="R4087">
        <v>6.9095699999999996E-2</v>
      </c>
      <c r="S4087">
        <v>2.9785460000000001</v>
      </c>
      <c r="T4087">
        <v>-0.19604640000000001</v>
      </c>
      <c r="U4087">
        <v>0.33229059999999999</v>
      </c>
      <c r="V4087">
        <v>-9.6525769999999997E-2</v>
      </c>
      <c r="W4087">
        <v>-7.1424409999999994E-2</v>
      </c>
      <c r="X4087">
        <v>0.99276450000000005</v>
      </c>
      <c r="Y4087">
        <v>-0.13784449999999901</v>
      </c>
      <c r="Z4087">
        <v>6.9362410000000001E-3</v>
      </c>
      <c r="AA4087">
        <v>0.99042960000000002</v>
      </c>
      <c r="AB4087">
        <v>45</v>
      </c>
      <c r="AC4087">
        <v>16.387899999999998</v>
      </c>
      <c r="AD4087">
        <v>-1.1090672825900001</v>
      </c>
      <c r="AE4087">
        <v>1.8925999999999801</v>
      </c>
      <c r="AF4087">
        <v>-2.3333102811942101</v>
      </c>
      <c r="AG4087">
        <v>-1.1090672825900001</v>
      </c>
      <c r="AH4087">
        <v>16.255995269337401</v>
      </c>
      <c r="AI4087">
        <v>93.863489535652704</v>
      </c>
      <c r="AJ4087">
        <v>98.168181044580393</v>
      </c>
      <c r="AK4087">
        <v>16.460004535307998</v>
      </c>
      <c r="AL4087">
        <v>94.095804667968494</v>
      </c>
      <c r="AM4087">
        <v>95.553371195817107</v>
      </c>
      <c r="AN4087">
        <v>1.0000000115390899</v>
      </c>
    </row>
    <row r="4088" spans="1:40" x14ac:dyDescent="0.25">
      <c r="A4088" t="str">
        <f>"20190305135014903"</f>
        <v>20190305135014903</v>
      </c>
      <c r="B4088" t="str">
        <f>"1551765014894138"</f>
        <v>1551765014894138</v>
      </c>
      <c r="C4088" t="s">
        <v>40</v>
      </c>
      <c r="D4088">
        <v>4.3129739999999996</v>
      </c>
      <c r="E4088">
        <v>0.48561690000000002</v>
      </c>
      <c r="F4088" t="s">
        <v>74</v>
      </c>
      <c r="G4088">
        <v>-257.90929999999997</v>
      </c>
      <c r="H4088" s="1">
        <v>2.5831650000000002E-6</v>
      </c>
      <c r="I4088">
        <v>216.6515</v>
      </c>
      <c r="J4088">
        <v>-274.12889999999999</v>
      </c>
      <c r="K4088">
        <v>1.1090899999999999</v>
      </c>
      <c r="L4088">
        <v>214.7998</v>
      </c>
      <c r="M4088">
        <v>0.99950939999999999</v>
      </c>
      <c r="N4088">
        <v>-1.4616509999999999E-2</v>
      </c>
      <c r="O4088">
        <v>-2.7704240000000002E-2</v>
      </c>
      <c r="P4088">
        <v>0.99382099999999995</v>
      </c>
      <c r="Q4088">
        <v>-8.622146E-2</v>
      </c>
      <c r="R4088">
        <v>6.9898719999999998E-2</v>
      </c>
      <c r="S4088">
        <v>2.9783629999999999</v>
      </c>
      <c r="T4088">
        <v>-0.1984562</v>
      </c>
      <c r="U4088">
        <v>0.32922360000000001</v>
      </c>
      <c r="V4088">
        <v>-9.7449530000000006E-2</v>
      </c>
      <c r="W4088">
        <v>-7.1663279999999996E-2</v>
      </c>
      <c r="X4088">
        <v>0.99265700000000001</v>
      </c>
      <c r="Y4088">
        <v>-0.13696269999999999</v>
      </c>
      <c r="Z4088">
        <v>6.98527E-3</v>
      </c>
      <c r="AA4088">
        <v>0.99055159999999998</v>
      </c>
      <c r="AB4088">
        <v>45</v>
      </c>
      <c r="AC4088">
        <v>16.2196</v>
      </c>
      <c r="AD4088">
        <v>-1.109087416835</v>
      </c>
      <c r="AE4088">
        <v>1.8516999999999899</v>
      </c>
      <c r="AF4088">
        <v>-2.2898198755031101</v>
      </c>
      <c r="AG4088">
        <v>-1.109087416835</v>
      </c>
      <c r="AH4088">
        <v>16.0878127955956</v>
      </c>
      <c r="AI4088">
        <v>93.904480712826199</v>
      </c>
      <c r="AJ4088">
        <v>98.100645968833504</v>
      </c>
      <c r="AK4088">
        <v>16.287758302067299</v>
      </c>
      <c r="AL4088">
        <v>94.109526209959597</v>
      </c>
      <c r="AM4088">
        <v>95.606783720825106</v>
      </c>
      <c r="AN4088">
        <v>0.999999978123289</v>
      </c>
    </row>
    <row r="4089" spans="1:40" x14ac:dyDescent="0.25">
      <c r="A4089" t="str">
        <f>"20190305135014924"</f>
        <v>20190305135014924</v>
      </c>
      <c r="B4089" t="str">
        <f>"1551765014914635"</f>
        <v>1551765014914635</v>
      </c>
      <c r="C4089" t="s">
        <v>40</v>
      </c>
      <c r="D4089">
        <v>4.3153699999999997</v>
      </c>
      <c r="E4089">
        <v>0.4860775</v>
      </c>
      <c r="F4089" t="s">
        <v>74</v>
      </c>
      <c r="G4089">
        <v>-257.70859999999999</v>
      </c>
      <c r="H4089" s="1">
        <v>2.478691E-6</v>
      </c>
      <c r="I4089">
        <v>216.5986</v>
      </c>
      <c r="J4089">
        <v>-273.68950000000001</v>
      </c>
      <c r="K4089">
        <v>1.1091040000000001</v>
      </c>
      <c r="L4089">
        <v>214.78749999999999</v>
      </c>
      <c r="M4089">
        <v>0.9995058</v>
      </c>
      <c r="N4089">
        <v>-1.4613340000000001E-2</v>
      </c>
      <c r="O4089">
        <v>-2.783507E-2</v>
      </c>
      <c r="P4089">
        <v>0.99366869999999996</v>
      </c>
      <c r="Q4089">
        <v>-8.7478970000000003E-2</v>
      </c>
      <c r="R4089">
        <v>7.0500140000000003E-2</v>
      </c>
      <c r="S4089">
        <v>2.9782709999999999</v>
      </c>
      <c r="T4089">
        <v>-0.2011636</v>
      </c>
      <c r="U4089">
        <v>0.32626339999999998</v>
      </c>
      <c r="V4089">
        <v>-9.8174139999999993E-2</v>
      </c>
      <c r="W4089">
        <v>-7.2929519999999998E-2</v>
      </c>
      <c r="X4089">
        <v>0.99249339999999997</v>
      </c>
      <c r="Y4089">
        <v>-0.1361144</v>
      </c>
      <c r="Z4089">
        <v>7.0446830000000004E-3</v>
      </c>
      <c r="AA4089">
        <v>0.99066810000000005</v>
      </c>
      <c r="AB4089">
        <v>45</v>
      </c>
      <c r="AC4089">
        <v>15.9809</v>
      </c>
      <c r="AD4089">
        <v>-1.1091015213089901</v>
      </c>
      <c r="AE4089">
        <v>1.8111000000000099</v>
      </c>
      <c r="AF4089">
        <v>-2.2446007965632901</v>
      </c>
      <c r="AG4089">
        <v>-1.1091015213089901</v>
      </c>
      <c r="AH4089">
        <v>15.848919258821599</v>
      </c>
      <c r="AI4089">
        <v>93.9635868566412</v>
      </c>
      <c r="AJ4089">
        <v>98.060897315087303</v>
      </c>
      <c r="AK4089">
        <v>16.045453580162398</v>
      </c>
      <c r="AL4089">
        <v>94.182266626996395</v>
      </c>
      <c r="AM4089">
        <v>95.649130767103102</v>
      </c>
      <c r="AN4089">
        <v>1.0000000128478601</v>
      </c>
    </row>
    <row r="4090" spans="1:40" x14ac:dyDescent="0.25">
      <c r="A4090" t="str">
        <f>"20190305135014941"</f>
        <v>20190305135014941</v>
      </c>
      <c r="B4090" t="str">
        <f>"1551765014934155"</f>
        <v>1551765014934155</v>
      </c>
      <c r="C4090" t="s">
        <v>40</v>
      </c>
      <c r="D4090">
        <v>4.3188599999999999</v>
      </c>
      <c r="E4090">
        <v>0.48650680000000002</v>
      </c>
      <c r="F4090" t="s">
        <v>74</v>
      </c>
      <c r="G4090">
        <v>-257.79930000000002</v>
      </c>
      <c r="H4090" s="1">
        <v>2.5305070000000001E-6</v>
      </c>
      <c r="I4090">
        <v>216.5181</v>
      </c>
      <c r="J4090">
        <v>-273.35539999999997</v>
      </c>
      <c r="K4090">
        <v>1.1091150000000001</v>
      </c>
      <c r="L4090">
        <v>214.77809999999999</v>
      </c>
      <c r="M4090">
        <v>0.99950300000000003</v>
      </c>
      <c r="N4090">
        <v>-1.4610959999999999E-2</v>
      </c>
      <c r="O4090">
        <v>-2.793383E-2</v>
      </c>
      <c r="P4090">
        <v>0.9935872</v>
      </c>
      <c r="Q4090">
        <v>-8.8242340000000002E-2</v>
      </c>
      <c r="R4090">
        <v>7.0695850000000005E-2</v>
      </c>
      <c r="S4090">
        <v>2.977814</v>
      </c>
      <c r="T4090">
        <v>-0.207845</v>
      </c>
      <c r="U4090">
        <v>0.32432559999999999</v>
      </c>
      <c r="V4090">
        <v>-9.8464789999999996E-2</v>
      </c>
      <c r="W4090">
        <v>-7.3698559999999996E-2</v>
      </c>
      <c r="X4090">
        <v>0.99240779999999995</v>
      </c>
      <c r="Y4090">
        <v>-0.13556670000000001</v>
      </c>
      <c r="Z4090">
        <v>7.2420219999999999E-3</v>
      </c>
      <c r="AA4090">
        <v>0.99074169999999995</v>
      </c>
      <c r="AB4090">
        <v>45</v>
      </c>
      <c r="AC4090">
        <v>15.556099999999899</v>
      </c>
      <c r="AD4090">
        <v>-1.1091124694929999</v>
      </c>
      <c r="AE4090">
        <v>1.74</v>
      </c>
      <c r="AF4090">
        <v>-2.1630490389315802</v>
      </c>
      <c r="AG4090">
        <v>-1.1091124694929999</v>
      </c>
      <c r="AH4090">
        <v>15.423981639280999</v>
      </c>
      <c r="AI4090">
        <v>94.073240173415797</v>
      </c>
      <c r="AJ4090">
        <v>97.983059635222901</v>
      </c>
      <c r="AK4090">
        <v>15.614356253899301</v>
      </c>
      <c r="AL4090">
        <v>94.226448252996505</v>
      </c>
      <c r="AM4090">
        <v>95.666232196377294</v>
      </c>
      <c r="AN4090">
        <v>1.0000000170583201</v>
      </c>
    </row>
    <row r="4091" spans="1:40" x14ac:dyDescent="0.25">
      <c r="A4091" t="str">
        <f>"20190305135014953"</f>
        <v>20190305135014953</v>
      </c>
      <c r="B4091" t="str">
        <f>"1551765014944891"</f>
        <v>1551765014944891</v>
      </c>
      <c r="C4091" t="s">
        <v>40</v>
      </c>
      <c r="D4091">
        <v>4.3459960000000004</v>
      </c>
      <c r="E4091">
        <v>0.48723329999999998</v>
      </c>
      <c r="F4091" t="s">
        <v>74</v>
      </c>
      <c r="G4091">
        <v>-257.83330000000001</v>
      </c>
      <c r="H4091" s="1">
        <v>2.5513649999999999E-6</v>
      </c>
      <c r="I4091">
        <v>216.45359999999999</v>
      </c>
      <c r="J4091">
        <v>-273.11700000000002</v>
      </c>
      <c r="K4091">
        <v>1.109119</v>
      </c>
      <c r="L4091">
        <v>214.7714</v>
      </c>
      <c r="M4091">
        <v>0.99950099999999997</v>
      </c>
      <c r="N4091">
        <v>-1.4609280000000001E-2</v>
      </c>
      <c r="O4091">
        <v>-2.800416E-2</v>
      </c>
      <c r="P4091">
        <v>0.99350019999999994</v>
      </c>
      <c r="Q4091">
        <v>-8.8971560000000005E-2</v>
      </c>
      <c r="R4091">
        <v>7.1004719999999993E-2</v>
      </c>
      <c r="S4091">
        <v>2.9775700000000001</v>
      </c>
      <c r="T4091">
        <v>-0.21275810000000001</v>
      </c>
      <c r="U4091">
        <v>0.32141110000000001</v>
      </c>
      <c r="V4091">
        <v>-9.8839869999999996E-2</v>
      </c>
      <c r="W4091">
        <v>-7.4432020000000002E-2</v>
      </c>
      <c r="X4091">
        <v>0.99231579999999997</v>
      </c>
      <c r="Y4091">
        <v>-0.13466939999999999</v>
      </c>
      <c r="Z4091">
        <v>7.3652319999999898E-3</v>
      </c>
      <c r="AA4091">
        <v>0.99086320000000006</v>
      </c>
      <c r="AB4091">
        <v>45</v>
      </c>
      <c r="AC4091">
        <v>15.2837</v>
      </c>
      <c r="AD4091">
        <v>-1.109116448635</v>
      </c>
      <c r="AE4091">
        <v>1.6821999999999899</v>
      </c>
      <c r="AF4091">
        <v>-2.09867324615221</v>
      </c>
      <c r="AG4091">
        <v>-1.109116448635</v>
      </c>
      <c r="AH4091">
        <v>15.1517538274759</v>
      </c>
      <c r="AI4091">
        <v>94.147161767202505</v>
      </c>
      <c r="AJ4091">
        <v>97.885877895401805</v>
      </c>
      <c r="AK4091">
        <v>15.336564567698201</v>
      </c>
      <c r="AL4091">
        <v>94.268588032679801</v>
      </c>
      <c r="AM4091">
        <v>95.688199071025707</v>
      </c>
      <c r="AN4091">
        <v>1.0000000462162599</v>
      </c>
    </row>
    <row r="4092" spans="1:40" x14ac:dyDescent="0.25">
      <c r="A4092" t="str">
        <f>"20190305135014965"</f>
        <v>20190305135014965</v>
      </c>
      <c r="B4092" t="str">
        <f>"1551765014954652"</f>
        <v>1551765014954652</v>
      </c>
      <c r="C4092" t="s">
        <v>40</v>
      </c>
      <c r="D4092">
        <v>4.3267490000000004</v>
      </c>
      <c r="E4092">
        <v>0.4873574</v>
      </c>
      <c r="F4092" t="s">
        <v>74</v>
      </c>
      <c r="G4092">
        <v>-258.43380000000002</v>
      </c>
      <c r="H4092" s="1">
        <v>2.8763139999999999E-6</v>
      </c>
      <c r="I4092">
        <v>216.33109999999999</v>
      </c>
      <c r="J4092">
        <v>-272.85660000000001</v>
      </c>
      <c r="K4092">
        <v>1.1091230000000001</v>
      </c>
      <c r="L4092">
        <v>214.76400000000001</v>
      </c>
      <c r="M4092">
        <v>0.99949900000000003</v>
      </c>
      <c r="N4092">
        <v>-1.4607449999999999E-2</v>
      </c>
      <c r="O4092">
        <v>-2.8080460000000002E-2</v>
      </c>
      <c r="P4092">
        <v>0.99344149999999998</v>
      </c>
      <c r="Q4092">
        <v>-8.9430780000000001E-2</v>
      </c>
      <c r="R4092">
        <v>7.1247270000000001E-2</v>
      </c>
      <c r="S4092">
        <v>2.9768979999999998</v>
      </c>
      <c r="T4092">
        <v>-0.22486439999999999</v>
      </c>
      <c r="U4092">
        <v>0.31622309999999998</v>
      </c>
      <c r="V4092">
        <v>-9.9155800000000002E-2</v>
      </c>
      <c r="W4092">
        <v>-7.4895130000000004E-2</v>
      </c>
      <c r="X4092">
        <v>0.99224939999999995</v>
      </c>
      <c r="Y4092">
        <v>-0.133016299999999</v>
      </c>
      <c r="Z4092">
        <v>7.6828219999999997E-3</v>
      </c>
      <c r="AA4092">
        <v>0.99108410000000002</v>
      </c>
      <c r="AB4092">
        <v>45</v>
      </c>
      <c r="AC4092">
        <v>14.422799999999899</v>
      </c>
      <c r="AD4092">
        <v>-1.10912012368599</v>
      </c>
      <c r="AE4092">
        <v>1.56709999999998</v>
      </c>
      <c r="AF4092">
        <v>-1.9600679800415099</v>
      </c>
      <c r="AG4092">
        <v>-1.10912012368599</v>
      </c>
      <c r="AH4092">
        <v>14.289583739814899</v>
      </c>
      <c r="AI4092">
        <v>94.397239764132095</v>
      </c>
      <c r="AJ4092">
        <v>97.810384234654506</v>
      </c>
      <c r="AK4092">
        <v>14.4659675581114</v>
      </c>
      <c r="AL4092">
        <v>94.295196695521497</v>
      </c>
      <c r="AM4092">
        <v>95.706640265199795</v>
      </c>
      <c r="AN4092">
        <v>1.0000000124858499</v>
      </c>
    </row>
    <row r="4093" spans="1:40" x14ac:dyDescent="0.25">
      <c r="A4093" t="str">
        <f>"20190305135014981"</f>
        <v>20190305135014981</v>
      </c>
      <c r="B4093" t="str">
        <f>"1551765014974174"</f>
        <v>1551765014974174</v>
      </c>
      <c r="C4093" t="s">
        <v>40</v>
      </c>
      <c r="D4093">
        <v>4.1159689999999998</v>
      </c>
      <c r="E4093">
        <v>0.48753210000000002</v>
      </c>
      <c r="F4093" t="s">
        <v>74</v>
      </c>
      <c r="G4093">
        <v>-258.23559999999998</v>
      </c>
      <c r="H4093" s="1">
        <v>2.7715340000000002E-6</v>
      </c>
      <c r="I4093">
        <v>216.3152</v>
      </c>
      <c r="J4093">
        <v>-272.55090000000001</v>
      </c>
      <c r="K4093">
        <v>1.1091249999999999</v>
      </c>
      <c r="L4093">
        <v>214.75540000000001</v>
      </c>
      <c r="M4093">
        <v>0.99949650000000001</v>
      </c>
      <c r="N4093">
        <v>-1.460529E-2</v>
      </c>
      <c r="O4093">
        <v>-2.816987E-2</v>
      </c>
      <c r="P4093">
        <v>0.99336899999999995</v>
      </c>
      <c r="Q4093">
        <v>-9.0039599999999997E-2</v>
      </c>
      <c r="R4093">
        <v>7.1491730000000003E-2</v>
      </c>
      <c r="S4093">
        <v>2.9768370000000002</v>
      </c>
      <c r="T4093">
        <v>-0.22581770000000001</v>
      </c>
      <c r="U4093">
        <v>0.31581120000000001</v>
      </c>
      <c r="V4093">
        <v>-9.9486169999999999E-2</v>
      </c>
      <c r="W4093">
        <v>-7.5508409999999998E-2</v>
      </c>
      <c r="X4093">
        <v>0.99216990000000005</v>
      </c>
      <c r="Y4093">
        <v>-0.13296740000000001</v>
      </c>
      <c r="Z4093">
        <v>7.7162719999999997E-3</v>
      </c>
      <c r="AA4093">
        <v>0.99109040000000004</v>
      </c>
      <c r="AB4093">
        <v>45</v>
      </c>
      <c r="AC4093">
        <v>14.315300000000001</v>
      </c>
      <c r="AD4093">
        <v>-1.1091222284659901</v>
      </c>
      <c r="AE4093">
        <v>1.5597999999999901</v>
      </c>
      <c r="AF4093">
        <v>-1.9509103700731201</v>
      </c>
      <c r="AG4093">
        <v>-1.1091222284659901</v>
      </c>
      <c r="AH4093">
        <v>14.181542796013</v>
      </c>
      <c r="AI4093">
        <v>94.430377728572495</v>
      </c>
      <c r="AJ4093">
        <v>97.832836418531201</v>
      </c>
      <c r="AK4093">
        <v>14.358006806826801</v>
      </c>
      <c r="AL4093">
        <v>94.330434609289995</v>
      </c>
      <c r="AM4093">
        <v>95.725983410503005</v>
      </c>
      <c r="AN4093">
        <v>1.0000000642339999</v>
      </c>
    </row>
    <row r="4094" spans="1:40" x14ac:dyDescent="0.25">
      <c r="A4094" t="str">
        <f>"20190305135014996"</f>
        <v>20190305135014996</v>
      </c>
      <c r="B4094" t="str">
        <f>"1551765014994667"</f>
        <v>1551765014994667</v>
      </c>
      <c r="C4094" t="s">
        <v>40</v>
      </c>
      <c r="D4094">
        <v>4.376824</v>
      </c>
      <c r="E4094">
        <v>0.48784169999999999</v>
      </c>
      <c r="F4094" t="s">
        <v>74</v>
      </c>
      <c r="G4094">
        <v>-257.99849999999998</v>
      </c>
      <c r="H4094" s="1">
        <v>2.6461349999999999E-6</v>
      </c>
      <c r="I4094">
        <v>216.29759999999999</v>
      </c>
      <c r="J4094">
        <v>-272.2457</v>
      </c>
      <c r="K4094">
        <v>1.1091279999999999</v>
      </c>
      <c r="L4094">
        <v>214.7467</v>
      </c>
      <c r="M4094">
        <v>0.99949399999999999</v>
      </c>
      <c r="N4094">
        <v>-1.460316E-2</v>
      </c>
      <c r="O4094">
        <v>-2.825894E-2</v>
      </c>
      <c r="P4094">
        <v>0.99331970000000003</v>
      </c>
      <c r="Q4094">
        <v>-9.0404940000000003E-2</v>
      </c>
      <c r="R4094">
        <v>7.1715609999999999E-2</v>
      </c>
      <c r="S4094">
        <v>2.976715</v>
      </c>
      <c r="T4094">
        <v>-0.22687289999999999</v>
      </c>
      <c r="U4094">
        <v>0.31546020000000002</v>
      </c>
      <c r="V4094">
        <v>-9.9796070000000001E-2</v>
      </c>
      <c r="W4094">
        <v>-7.5877680000000003E-2</v>
      </c>
      <c r="X4094">
        <v>0.99211059999999995</v>
      </c>
      <c r="Y4094">
        <v>-0.1329398</v>
      </c>
      <c r="Z4094">
        <v>7.754075E-3</v>
      </c>
      <c r="AA4094">
        <v>0.99109380000000002</v>
      </c>
      <c r="AB4094">
        <v>45</v>
      </c>
      <c r="AC4094">
        <v>14.247199999999999</v>
      </c>
      <c r="AD4094">
        <v>-1.1091253538650001</v>
      </c>
      <c r="AE4094">
        <v>1.55089999999998</v>
      </c>
      <c r="AF4094">
        <v>-1.9413068448270601</v>
      </c>
      <c r="AG4094">
        <v>-1.1091253538650001</v>
      </c>
      <c r="AH4094">
        <v>14.1131476632952</v>
      </c>
      <c r="AI4094">
        <v>94.451782872920106</v>
      </c>
      <c r="AJ4094">
        <v>97.832060979057104</v>
      </c>
      <c r="AK4094">
        <v>14.289148619925999</v>
      </c>
      <c r="AL4094">
        <v>94.351653110125099</v>
      </c>
      <c r="AM4094">
        <v>95.744041822988194</v>
      </c>
      <c r="AN4094">
        <v>1.00000006027099</v>
      </c>
    </row>
    <row r="4095" spans="1:40" x14ac:dyDescent="0.25">
      <c r="A4095" t="str">
        <f>"20190305135015014"</f>
        <v>20190305135015014</v>
      </c>
      <c r="B4095" t="str">
        <f>"1551765015004427"</f>
        <v>1551765015004427</v>
      </c>
      <c r="C4095" t="s">
        <v>40</v>
      </c>
      <c r="D4095">
        <v>4.3531420000000001</v>
      </c>
      <c r="E4095">
        <v>0.48793940000000002</v>
      </c>
      <c r="F4095" t="s">
        <v>74</v>
      </c>
      <c r="G4095">
        <v>-257.66609999999997</v>
      </c>
      <c r="H4095" s="1">
        <v>2.4698309999999999E-6</v>
      </c>
      <c r="I4095">
        <v>216.28360000000001</v>
      </c>
      <c r="J4095">
        <v>-271.88670000000002</v>
      </c>
      <c r="K4095">
        <v>1.1091249999999999</v>
      </c>
      <c r="L4095">
        <v>214.7364</v>
      </c>
      <c r="M4095">
        <v>0.99949100000000002</v>
      </c>
      <c r="N4095">
        <v>-1.4600709999999999E-2</v>
      </c>
      <c r="O4095">
        <v>-2.8363389999999999E-2</v>
      </c>
      <c r="P4095">
        <v>0.99319170000000001</v>
      </c>
      <c r="Q4095">
        <v>-9.1484490000000002E-2</v>
      </c>
      <c r="R4095">
        <v>7.2119139999999998E-2</v>
      </c>
      <c r="S4095">
        <v>2.9769290000000002</v>
      </c>
      <c r="T4095">
        <v>-0.22646530000000001</v>
      </c>
      <c r="U4095">
        <v>0.31381229999999999</v>
      </c>
      <c r="V4095">
        <v>-0.1002996</v>
      </c>
      <c r="W4095">
        <v>-7.6962539999999996E-2</v>
      </c>
      <c r="X4095">
        <v>0.99197619999999997</v>
      </c>
      <c r="Y4095">
        <v>-0.13249639999999999</v>
      </c>
      <c r="Z4095">
        <v>7.7270940000000003E-3</v>
      </c>
      <c r="AA4095">
        <v>0.99115339999999996</v>
      </c>
      <c r="AB4095">
        <v>45</v>
      </c>
      <c r="AC4095">
        <v>14.220599999999999</v>
      </c>
      <c r="AD4095">
        <v>-1.109122530169</v>
      </c>
      <c r="AE4095">
        <v>1.5471999999999999</v>
      </c>
      <c r="AF4095">
        <v>-1.9383118771941501</v>
      </c>
      <c r="AG4095">
        <v>-1.109122530169</v>
      </c>
      <c r="AH4095">
        <v>14.086303414227499</v>
      </c>
      <c r="AI4095">
        <v>94.460191418353006</v>
      </c>
      <c r="AJ4095">
        <v>97.834845510948995</v>
      </c>
      <c r="AK4095">
        <v>14.262228072705801</v>
      </c>
      <c r="AL4095">
        <v>94.413993523984601</v>
      </c>
      <c r="AM4095">
        <v>95.773605502266193</v>
      </c>
      <c r="AN4095">
        <v>1.0000000118449199</v>
      </c>
    </row>
    <row r="4096" spans="1:40" x14ac:dyDescent="0.25">
      <c r="A4096" t="str">
        <f>"20190305135015031"</f>
        <v>20190305135015031</v>
      </c>
      <c r="B4096" t="str">
        <f>"1551765015024923"</f>
        <v>1551765015024923</v>
      </c>
      <c r="C4096" t="s">
        <v>40</v>
      </c>
      <c r="D4096">
        <v>4.3699659999999998</v>
      </c>
      <c r="E4096">
        <v>0.48822369999999998</v>
      </c>
      <c r="F4096" t="s">
        <v>74</v>
      </c>
      <c r="G4096">
        <v>-257.46719999999999</v>
      </c>
      <c r="H4096" s="1">
        <v>2.3650900000000002E-6</v>
      </c>
      <c r="I4096">
        <v>216.25829999999999</v>
      </c>
      <c r="J4096">
        <v>-271.5573</v>
      </c>
      <c r="K4096">
        <v>1.109127</v>
      </c>
      <c r="L4096">
        <v>214.727</v>
      </c>
      <c r="M4096">
        <v>0.9994885</v>
      </c>
      <c r="N4096">
        <v>-1.459856E-2</v>
      </c>
      <c r="O4096">
        <v>-2.845903E-2</v>
      </c>
      <c r="P4096">
        <v>0.99312840000000002</v>
      </c>
      <c r="Q4096">
        <v>-9.1990950000000002E-2</v>
      </c>
      <c r="R4096">
        <v>7.2347579999999995E-2</v>
      </c>
      <c r="S4096">
        <v>2.9766539999999999</v>
      </c>
      <c r="T4096">
        <v>-0.2289591</v>
      </c>
      <c r="U4096">
        <v>0.31416319999999998</v>
      </c>
      <c r="V4096">
        <v>-0.1006205</v>
      </c>
      <c r="W4096">
        <v>-7.7472869999999999E-2</v>
      </c>
      <c r="X4096">
        <v>0.99190400000000001</v>
      </c>
      <c r="Y4096">
        <v>-0.13270470000000001</v>
      </c>
      <c r="Z4096">
        <v>7.8218290000000006E-3</v>
      </c>
      <c r="AA4096">
        <v>0.99112469999999997</v>
      </c>
      <c r="AB4096">
        <v>45</v>
      </c>
      <c r="AC4096">
        <v>14.0901</v>
      </c>
      <c r="AD4096">
        <v>-1.1091246349099999</v>
      </c>
      <c r="AE4096">
        <v>1.5312999999999799</v>
      </c>
      <c r="AF4096">
        <v>-1.91995513648698</v>
      </c>
      <c r="AG4096">
        <v>-1.1091246349099999</v>
      </c>
      <c r="AH4096">
        <v>13.955345652117201</v>
      </c>
      <c r="AI4096">
        <v>94.501897963848094</v>
      </c>
      <c r="AJ4096">
        <v>97.833489172274994</v>
      </c>
      <c r="AK4096">
        <v>14.130394808778499</v>
      </c>
      <c r="AL4096">
        <v>94.443320726942801</v>
      </c>
      <c r="AM4096">
        <v>95.792370996780093</v>
      </c>
      <c r="AN4096">
        <v>1.00000003791114</v>
      </c>
    </row>
    <row r="4097" spans="1:40" x14ac:dyDescent="0.25">
      <c r="A4097" t="str">
        <f>"20190305135015048"</f>
        <v>20190305135015048</v>
      </c>
      <c r="B4097" t="str">
        <f>"1551765015044444"</f>
        <v>1551765015044444</v>
      </c>
      <c r="C4097" t="s">
        <v>40</v>
      </c>
      <c r="D4097">
        <v>4.3760339999999998</v>
      </c>
      <c r="E4097">
        <v>0.48831720000000001</v>
      </c>
      <c r="F4097" t="s">
        <v>74</v>
      </c>
      <c r="G4097">
        <v>-257.15350000000001</v>
      </c>
      <c r="H4097" s="1">
        <v>2.198984E-6</v>
      </c>
      <c r="I4097">
        <v>216.2396</v>
      </c>
      <c r="J4097">
        <v>-271.20519999999999</v>
      </c>
      <c r="K4097">
        <v>1.109127</v>
      </c>
      <c r="L4097">
        <v>214.71690000000001</v>
      </c>
      <c r="M4097">
        <v>0.99948559999999997</v>
      </c>
      <c r="N4097">
        <v>-1.459615E-2</v>
      </c>
      <c r="O4097">
        <v>-2.856088E-2</v>
      </c>
      <c r="P4097">
        <v>0.99299890000000002</v>
      </c>
      <c r="Q4097">
        <v>-9.3168929999999997E-2</v>
      </c>
      <c r="R4097">
        <v>7.2614029999999996E-2</v>
      </c>
      <c r="S4097">
        <v>2.9767760000000001</v>
      </c>
      <c r="T4097">
        <v>-0.22921900000000001</v>
      </c>
      <c r="U4097">
        <v>0.31260680000000002</v>
      </c>
      <c r="V4097">
        <v>-0.1009838</v>
      </c>
      <c r="W4097">
        <v>-7.8655820000000001E-2</v>
      </c>
      <c r="X4097">
        <v>0.99177389999999999</v>
      </c>
      <c r="Y4097">
        <v>-0.13228909999999999</v>
      </c>
      <c r="Z4097">
        <v>7.8171719999999903E-3</v>
      </c>
      <c r="AA4097">
        <v>0.99118039999999996</v>
      </c>
      <c r="AB4097">
        <v>45</v>
      </c>
      <c r="AC4097">
        <v>14.051699999999901</v>
      </c>
      <c r="AD4097">
        <v>-1.109124801016</v>
      </c>
      <c r="AE4097">
        <v>1.52269999999998</v>
      </c>
      <c r="AF4097">
        <v>-1.9116783839326601</v>
      </c>
      <c r="AG4097">
        <v>-1.109124801016</v>
      </c>
      <c r="AH4097">
        <v>13.9167740051055</v>
      </c>
      <c r="AI4097">
        <v>94.514454021702306</v>
      </c>
      <c r="AJ4097">
        <v>97.821487886932502</v>
      </c>
      <c r="AK4097">
        <v>14.0911770543487</v>
      </c>
      <c r="AL4097">
        <v>94.511306559834296</v>
      </c>
      <c r="AM4097">
        <v>95.813899276395503</v>
      </c>
      <c r="AN4097">
        <v>0.99999996730176</v>
      </c>
    </row>
    <row r="4098" spans="1:40" x14ac:dyDescent="0.25">
      <c r="A4098" t="str">
        <f>"20190305135015072"</f>
        <v>20190305135015072</v>
      </c>
      <c r="B4098" t="str">
        <f>"1551765015063962"</f>
        <v>1551765015063962</v>
      </c>
      <c r="C4098" t="s">
        <v>40</v>
      </c>
      <c r="D4098">
        <v>4.3301869999999996</v>
      </c>
      <c r="E4098">
        <v>0.48834319999999998</v>
      </c>
      <c r="F4098" t="s">
        <v>74</v>
      </c>
      <c r="G4098">
        <v>-256.98320000000001</v>
      </c>
      <c r="H4098" s="1">
        <v>2.1096239999999999E-6</v>
      </c>
      <c r="I4098">
        <v>216.2115</v>
      </c>
      <c r="J4098">
        <v>-270.74059999999997</v>
      </c>
      <c r="K4098">
        <v>1.1091299999999999</v>
      </c>
      <c r="L4098">
        <v>214.70349999999999</v>
      </c>
      <c r="M4098">
        <v>0.99948170000000003</v>
      </c>
      <c r="N4098">
        <v>-1.4593149999999999E-2</v>
      </c>
      <c r="O4098">
        <v>-2.869526E-2</v>
      </c>
      <c r="P4098">
        <v>0.99291560000000001</v>
      </c>
      <c r="Q4098">
        <v>-9.3839480000000003E-2</v>
      </c>
      <c r="R4098">
        <v>7.2888359999999999E-2</v>
      </c>
      <c r="S4098">
        <v>2.9765009999999998</v>
      </c>
      <c r="T4098">
        <v>-0.2321279</v>
      </c>
      <c r="U4098">
        <v>0.31280520000000001</v>
      </c>
      <c r="V4098">
        <v>-0.1013884</v>
      </c>
      <c r="W4098">
        <v>-7.9331349999999995E-2</v>
      </c>
      <c r="X4098">
        <v>0.99167879999999997</v>
      </c>
      <c r="Y4098">
        <v>-0.13248360000000001</v>
      </c>
      <c r="Z4098">
        <v>7.9271199999999993E-3</v>
      </c>
      <c r="AA4098">
        <v>0.99115350000000002</v>
      </c>
      <c r="AB4098">
        <v>45</v>
      </c>
      <c r="AC4098">
        <v>13.757399999999899</v>
      </c>
      <c r="AD4098">
        <v>-1.109127890376</v>
      </c>
      <c r="AE4098">
        <v>1.508</v>
      </c>
      <c r="AF4098">
        <v>-1.8900542293578799</v>
      </c>
      <c r="AG4098">
        <v>-1.109127890376</v>
      </c>
      <c r="AH4098">
        <v>13.620975927880099</v>
      </c>
      <c r="AI4098">
        <v>94.611217724513494</v>
      </c>
      <c r="AJ4098">
        <v>97.899948948600894</v>
      </c>
      <c r="AK4098">
        <v>13.7961391300252</v>
      </c>
      <c r="AL4098">
        <v>94.550132956291705</v>
      </c>
      <c r="AM4098">
        <v>95.837588521587307</v>
      </c>
      <c r="AN4098">
        <v>0.99999995655841001</v>
      </c>
    </row>
    <row r="4099" spans="1:40" x14ac:dyDescent="0.25">
      <c r="A4099" t="str">
        <f>"20190305135015093"</f>
        <v>20190305135015093</v>
      </c>
      <c r="B4099" t="str">
        <f>"1551765015084458"</f>
        <v>1551765015084458</v>
      </c>
      <c r="C4099" t="s">
        <v>40</v>
      </c>
      <c r="D4099">
        <v>4.328665</v>
      </c>
      <c r="E4099">
        <v>0.48842479999999999</v>
      </c>
      <c r="F4099" t="s">
        <v>74</v>
      </c>
      <c r="G4099">
        <v>-256.63220000000001</v>
      </c>
      <c r="H4099" s="1">
        <v>1.923835E-6</v>
      </c>
      <c r="I4099">
        <v>216.1885</v>
      </c>
      <c r="J4099">
        <v>-270.31060000000002</v>
      </c>
      <c r="K4099">
        <v>1.1091310000000001</v>
      </c>
      <c r="L4099">
        <v>214.69110000000001</v>
      </c>
      <c r="M4099">
        <v>0.99947830000000004</v>
      </c>
      <c r="N4099">
        <v>-1.4590290000000001E-2</v>
      </c>
      <c r="O4099">
        <v>-2.881941E-2</v>
      </c>
      <c r="P4099">
        <v>0.99290769999999995</v>
      </c>
      <c r="Q4099">
        <v>-9.4015550000000003E-2</v>
      </c>
      <c r="R4099">
        <v>7.2770029999999999E-2</v>
      </c>
      <c r="S4099">
        <v>2.9762569999999999</v>
      </c>
      <c r="T4099">
        <v>-0.2339782</v>
      </c>
      <c r="U4099">
        <v>0.31326290000000001</v>
      </c>
      <c r="V4099">
        <v>-0.1013926</v>
      </c>
      <c r="W4099">
        <v>-7.951105E-2</v>
      </c>
      <c r="X4099">
        <v>0.99166399999999999</v>
      </c>
      <c r="Y4099">
        <v>-0.1327566</v>
      </c>
      <c r="Z4099">
        <v>8.0067999999999997E-3</v>
      </c>
      <c r="AA4099">
        <v>0.99111629999999995</v>
      </c>
      <c r="AB4099">
        <v>45</v>
      </c>
      <c r="AC4099">
        <v>13.6784</v>
      </c>
      <c r="AD4099">
        <v>-1.1091290761649999</v>
      </c>
      <c r="AE4099">
        <v>1.4973999999999901</v>
      </c>
      <c r="AF4099">
        <v>-1.8788163542621299</v>
      </c>
      <c r="AG4099">
        <v>-1.1091290761649999</v>
      </c>
      <c r="AH4099">
        <v>13.5415774321763</v>
      </c>
      <c r="AI4099">
        <v>94.638152286667093</v>
      </c>
      <c r="AJ4099">
        <v>97.899033631906406</v>
      </c>
      <c r="AK4099">
        <v>13.716210757795499</v>
      </c>
      <c r="AL4099">
        <v>94.560461538711706</v>
      </c>
      <c r="AM4099">
        <v>95.837915197118704</v>
      </c>
      <c r="AN4099">
        <v>0.99999997765143001</v>
      </c>
    </row>
    <row r="4100" spans="1:40" x14ac:dyDescent="0.25">
      <c r="A4100" t="str">
        <f>"20190305135015108"</f>
        <v>20190305135015108</v>
      </c>
      <c r="B4100" t="str">
        <f>"1551765015104955"</f>
        <v>1551765015104955</v>
      </c>
      <c r="C4100" t="s">
        <v>40</v>
      </c>
      <c r="D4100">
        <v>4.2863860000000003</v>
      </c>
      <c r="E4100">
        <v>0.48842989999999997</v>
      </c>
      <c r="F4100" t="s">
        <v>74</v>
      </c>
      <c r="G4100">
        <v>-256.1635</v>
      </c>
      <c r="H4100" s="1">
        <v>1.674923E-6</v>
      </c>
      <c r="I4100">
        <v>216.17590000000001</v>
      </c>
      <c r="J4100">
        <v>-269.98989999999998</v>
      </c>
      <c r="K4100">
        <v>1.1091310000000001</v>
      </c>
      <c r="L4100">
        <v>214.68170000000001</v>
      </c>
      <c r="M4100">
        <v>0.99947549999999996</v>
      </c>
      <c r="N4100">
        <v>-1.458801E-2</v>
      </c>
      <c r="O4100">
        <v>-2.8911630000000001E-2</v>
      </c>
      <c r="P4100">
        <v>0.99291640000000003</v>
      </c>
      <c r="Q4100">
        <v>-9.4140970000000004E-2</v>
      </c>
      <c r="R4100">
        <v>7.2489689999999996E-2</v>
      </c>
      <c r="S4100">
        <v>2.9764400000000002</v>
      </c>
      <c r="T4100">
        <v>-0.23335120000000001</v>
      </c>
      <c r="U4100">
        <v>0.31239319999999998</v>
      </c>
      <c r="V4100">
        <v>-0.1012043</v>
      </c>
      <c r="W4100">
        <v>-7.963903E-2</v>
      </c>
      <c r="X4100">
        <v>0.99167300000000003</v>
      </c>
      <c r="Y4100">
        <v>-0.1325585</v>
      </c>
      <c r="Z4100">
        <v>7.9831090000000004E-3</v>
      </c>
      <c r="AA4100">
        <v>0.991143</v>
      </c>
      <c r="AB4100">
        <v>45</v>
      </c>
      <c r="AC4100">
        <v>13.8263999999999</v>
      </c>
      <c r="AD4100">
        <v>-1.10912932507699</v>
      </c>
      <c r="AE4100">
        <v>1.4942</v>
      </c>
      <c r="AF4100">
        <v>-1.88139461055014</v>
      </c>
      <c r="AG4100">
        <v>-1.10912932507699</v>
      </c>
      <c r="AH4100">
        <v>13.690334758428101</v>
      </c>
      <c r="AI4100">
        <v>94.588788822527505</v>
      </c>
      <c r="AJ4100">
        <v>97.8248604838532</v>
      </c>
      <c r="AK4100">
        <v>13.8634439926801</v>
      </c>
      <c r="AL4100">
        <v>94.567817421572599</v>
      </c>
      <c r="AM4100">
        <v>95.827095540614394</v>
      </c>
      <c r="AN4100">
        <v>1.0000000121834101</v>
      </c>
    </row>
    <row r="4101" spans="1:40" x14ac:dyDescent="0.25">
      <c r="A4101" t="str">
        <f>"20190305135015121"</f>
        <v>20190305135015121</v>
      </c>
      <c r="B4101" t="str">
        <f>"1551765015114715"</f>
        <v>1551765015114715</v>
      </c>
      <c r="C4101" t="s">
        <v>40</v>
      </c>
      <c r="D4101">
        <v>4.2896619999999999</v>
      </c>
      <c r="E4101">
        <v>0.48842750000000001</v>
      </c>
      <c r="F4101" t="s">
        <v>74</v>
      </c>
      <c r="G4101">
        <v>-255.74109999999999</v>
      </c>
      <c r="H4101" s="1">
        <v>1.4502750000000001E-6</v>
      </c>
      <c r="I4101">
        <v>216.1729</v>
      </c>
      <c r="J4101">
        <v>-269.73430000000002</v>
      </c>
      <c r="K4101">
        <v>1.109132</v>
      </c>
      <c r="L4101">
        <v>214.67429999999999</v>
      </c>
      <c r="M4101">
        <v>0.99947350000000001</v>
      </c>
      <c r="N4101">
        <v>-1.4586190000000001E-2</v>
      </c>
      <c r="O4101">
        <v>-2.8985629999999998E-2</v>
      </c>
      <c r="P4101">
        <v>0.99286560000000001</v>
      </c>
      <c r="Q4101">
        <v>-9.4864859999999995E-2</v>
      </c>
      <c r="R4101">
        <v>7.2243730000000006E-2</v>
      </c>
      <c r="S4101">
        <v>2.976715</v>
      </c>
      <c r="T4101">
        <v>-0.231707</v>
      </c>
      <c r="U4101">
        <v>0.31152340000000001</v>
      </c>
      <c r="V4101">
        <v>-0.1010306</v>
      </c>
      <c r="W4101">
        <v>-8.0365720000000002E-2</v>
      </c>
      <c r="X4101">
        <v>0.99163210000000002</v>
      </c>
      <c r="Y4101">
        <v>-0.13234379999999901</v>
      </c>
      <c r="Z4101">
        <v>7.9249799999999999E-3</v>
      </c>
      <c r="AA4101">
        <v>0.99117219999999995</v>
      </c>
      <c r="AB4101">
        <v>45</v>
      </c>
      <c r="AC4101">
        <v>13.9932</v>
      </c>
      <c r="AD4101">
        <v>-1.1091305497249999</v>
      </c>
      <c r="AE4101">
        <v>1.4986000000000099</v>
      </c>
      <c r="AF4101">
        <v>-1.89186419917649</v>
      </c>
      <c r="AG4101">
        <v>-1.1091305497249999</v>
      </c>
      <c r="AH4101">
        <v>13.857802538310199</v>
      </c>
      <c r="AI4101">
        <v>94.534121629890294</v>
      </c>
      <c r="AJ4101">
        <v>97.773949069067001</v>
      </c>
      <c r="AK4101">
        <v>14.030253451568701</v>
      </c>
      <c r="AL4101">
        <v>94.609587513270597</v>
      </c>
      <c r="AM4101">
        <v>95.817401250103202</v>
      </c>
      <c r="AN4101">
        <v>1.0000000264189399</v>
      </c>
    </row>
    <row r="4102" spans="1:40" x14ac:dyDescent="0.25">
      <c r="A4102" t="str">
        <f>"20190305135015137"</f>
        <v>20190305135015137</v>
      </c>
      <c r="B4102" t="str">
        <f>"1551765015134235"</f>
        <v>1551765015134235</v>
      </c>
      <c r="C4102" t="s">
        <v>40</v>
      </c>
      <c r="D4102">
        <v>4.2575099999999999</v>
      </c>
      <c r="E4102">
        <v>0.48823499999999997</v>
      </c>
      <c r="F4102" t="s">
        <v>74</v>
      </c>
      <c r="G4102">
        <v>-255.52430000000001</v>
      </c>
      <c r="H4102" s="1">
        <v>1.3355909999999999E-6</v>
      </c>
      <c r="I4102">
        <v>216.15819999999999</v>
      </c>
      <c r="J4102">
        <v>-269.43610000000001</v>
      </c>
      <c r="K4102">
        <v>1.109124</v>
      </c>
      <c r="L4102">
        <v>214.66550000000001</v>
      </c>
      <c r="M4102">
        <v>0.99947090000000005</v>
      </c>
      <c r="N4102">
        <v>-1.4584069999999999E-2</v>
      </c>
      <c r="O4102">
        <v>-2.9071650000000001E-2</v>
      </c>
      <c r="P4102">
        <v>0.9928787</v>
      </c>
      <c r="Q4102">
        <v>-9.5289550000000001E-2</v>
      </c>
      <c r="R4102">
        <v>7.1498999999999993E-2</v>
      </c>
      <c r="S4102">
        <v>2.9767459999999999</v>
      </c>
      <c r="T4102">
        <v>-0.2323432</v>
      </c>
      <c r="U4102">
        <v>0.31085210000000002</v>
      </c>
      <c r="V4102">
        <v>-0.10037119999999999</v>
      </c>
      <c r="W4102">
        <v>-8.0792639999999999E-2</v>
      </c>
      <c r="X4102">
        <v>0.9916644</v>
      </c>
      <c r="Y4102">
        <v>-0.1322045</v>
      </c>
      <c r="Z4102">
        <v>7.9441049999999999E-3</v>
      </c>
      <c r="AA4102">
        <v>0.99119060000000003</v>
      </c>
      <c r="AB4102">
        <v>45</v>
      </c>
      <c r="AC4102">
        <v>13.911799999999999</v>
      </c>
      <c r="AD4102">
        <v>-1.109122664409</v>
      </c>
      <c r="AE4102">
        <v>1.4926999999999799</v>
      </c>
      <c r="AF4102">
        <v>-1.8847078634021199</v>
      </c>
      <c r="AG4102">
        <v>-1.109122664409</v>
      </c>
      <c r="AH4102">
        <v>13.775953683641999</v>
      </c>
      <c r="AI4102">
        <v>94.560737480182297</v>
      </c>
      <c r="AJ4102">
        <v>97.790352571117893</v>
      </c>
      <c r="AK4102">
        <v>13.948447107435401</v>
      </c>
      <c r="AL4102">
        <v>94.634127893227998</v>
      </c>
      <c r="AM4102">
        <v>95.779503515156705</v>
      </c>
      <c r="AN4102">
        <v>1.0000000553474799</v>
      </c>
    </row>
    <row r="4103" spans="1:40" x14ac:dyDescent="0.25">
      <c r="A4103" t="str">
        <f>"20190305135015153"</f>
        <v>20190305135015153</v>
      </c>
      <c r="B4103" t="str">
        <f>"1551765015143995"</f>
        <v>1551765015143995</v>
      </c>
      <c r="C4103" t="s">
        <v>40</v>
      </c>
      <c r="D4103">
        <v>4.2300570000000004</v>
      </c>
      <c r="E4103">
        <v>0.48823499999999997</v>
      </c>
      <c r="F4103" t="s">
        <v>74</v>
      </c>
      <c r="G4103">
        <v>-255.13659999999999</v>
      </c>
      <c r="H4103" s="1">
        <v>1.1293370000000001E-6</v>
      </c>
      <c r="I4103">
        <v>216.1557</v>
      </c>
      <c r="J4103">
        <v>-269.10730000000001</v>
      </c>
      <c r="K4103">
        <v>1.1091249999999999</v>
      </c>
      <c r="L4103">
        <v>214.6559</v>
      </c>
      <c r="M4103">
        <v>0.99946829999999998</v>
      </c>
      <c r="N4103">
        <v>-1.4581739999999999E-2</v>
      </c>
      <c r="O4103">
        <v>-2.916639E-2</v>
      </c>
      <c r="P4103">
        <v>0.99286799999999997</v>
      </c>
      <c r="Q4103">
        <v>-9.5578629999999998E-2</v>
      </c>
      <c r="R4103">
        <v>7.1259980000000001E-2</v>
      </c>
      <c r="S4103">
        <v>2.97702</v>
      </c>
      <c r="T4103">
        <v>-0.23090759999999999</v>
      </c>
      <c r="U4103">
        <v>0.31024170000000001</v>
      </c>
      <c r="V4103">
        <v>-0.100226</v>
      </c>
      <c r="W4103">
        <v>-8.1084470000000006E-2</v>
      </c>
      <c r="X4103">
        <v>0.99165519999999996</v>
      </c>
      <c r="Y4103">
        <v>-0.1320945</v>
      </c>
      <c r="Z4103">
        <v>7.8986939999999995E-3</v>
      </c>
      <c r="AA4103">
        <v>0.99120560000000002</v>
      </c>
      <c r="AB4103">
        <v>45</v>
      </c>
      <c r="AC4103">
        <v>13.970700000000001</v>
      </c>
      <c r="AD4103">
        <v>-1.109123870663</v>
      </c>
      <c r="AE4103">
        <v>1.49979999999999</v>
      </c>
      <c r="AF4103">
        <v>-1.8948733078101201</v>
      </c>
      <c r="AG4103">
        <v>-1.109123870663</v>
      </c>
      <c r="AH4103">
        <v>13.834804203319599</v>
      </c>
      <c r="AI4103">
        <v>94.541330395549195</v>
      </c>
      <c r="AJ4103">
        <v>97.798946589309395</v>
      </c>
      <c r="AK4103">
        <v>14.0079444586747</v>
      </c>
      <c r="AL4103">
        <v>94.650903868258794</v>
      </c>
      <c r="AM4103">
        <v>95.771252368997594</v>
      </c>
      <c r="AN4103">
        <v>0.99999998901911002</v>
      </c>
    </row>
    <row r="4104" spans="1:40" x14ac:dyDescent="0.25">
      <c r="A4104" t="str">
        <f>"20190305135015171"</f>
        <v>20190305135015171</v>
      </c>
      <c r="B4104" t="str">
        <f>"1551765015164491"</f>
        <v>1551765015164491</v>
      </c>
      <c r="C4104" t="s">
        <v>40</v>
      </c>
      <c r="D4104">
        <v>4.1802099999999998</v>
      </c>
      <c r="E4104">
        <v>0.47622399999999998</v>
      </c>
      <c r="F4104" t="s">
        <v>74</v>
      </c>
      <c r="G4104">
        <v>-254.86099999999999</v>
      </c>
      <c r="H4104" s="1">
        <v>9.8352880000000006E-7</v>
      </c>
      <c r="I4104">
        <v>216.13720000000001</v>
      </c>
      <c r="J4104">
        <v>-268.74650000000003</v>
      </c>
      <c r="K4104">
        <v>1.1091279999999999</v>
      </c>
      <c r="L4104">
        <v>214.64529999999999</v>
      </c>
      <c r="M4104">
        <v>0.99946520000000005</v>
      </c>
      <c r="N4104">
        <v>-1.4579190000000001E-2</v>
      </c>
      <c r="O4104">
        <v>-2.9269940000000001E-2</v>
      </c>
      <c r="P4104">
        <v>0.99291929999999995</v>
      </c>
      <c r="Q4104">
        <v>-9.5562800000000003E-2</v>
      </c>
      <c r="R4104">
        <v>7.0563349999999997E-2</v>
      </c>
      <c r="S4104">
        <v>2.9770509999999999</v>
      </c>
      <c r="T4104">
        <v>-0.23177420000000001</v>
      </c>
      <c r="U4104">
        <v>0.30953979999999998</v>
      </c>
      <c r="V4104">
        <v>-9.9633159999999998E-2</v>
      </c>
      <c r="W4104">
        <v>-8.1070729999999994E-2</v>
      </c>
      <c r="X4104">
        <v>0.99171609999999999</v>
      </c>
      <c r="Y4104">
        <v>-0.13196150000000001</v>
      </c>
      <c r="Z4104">
        <v>7.9265299999999993E-3</v>
      </c>
      <c r="AA4104">
        <v>0.99122319999999997</v>
      </c>
      <c r="AB4104">
        <v>45</v>
      </c>
      <c r="AC4104">
        <v>13.8855</v>
      </c>
      <c r="AD4104">
        <v>-1.1091270164711999</v>
      </c>
      <c r="AE4104">
        <v>1.49190000000001</v>
      </c>
      <c r="AF4104">
        <v>-1.88583676225422</v>
      </c>
      <c r="AG4104">
        <v>-1.1091270164711999</v>
      </c>
      <c r="AH4104">
        <v>13.749154645890201</v>
      </c>
      <c r="AI4104">
        <v>94.569393855223893</v>
      </c>
      <c r="AJ4104">
        <v>97.809967627671</v>
      </c>
      <c r="AK4104">
        <v>13.922133331826</v>
      </c>
      <c r="AL4104">
        <v>94.650113849621505</v>
      </c>
      <c r="AM4104">
        <v>95.736993665193694</v>
      </c>
      <c r="AN4104">
        <v>1.0000000264167599</v>
      </c>
    </row>
    <row r="4105" spans="1:40" x14ac:dyDescent="0.25">
      <c r="A4105" t="str">
        <f>"20190305135015193"</f>
        <v>20190305135015193</v>
      </c>
      <c r="B4105" t="str">
        <f>"1551765015184987"</f>
        <v>1551765015184987</v>
      </c>
      <c r="C4105" t="s">
        <v>40</v>
      </c>
      <c r="D4105">
        <v>4.2841809999999896</v>
      </c>
      <c r="E4105">
        <v>0.47575390000000001</v>
      </c>
      <c r="F4105" t="s">
        <v>74</v>
      </c>
      <c r="G4105">
        <v>-243.3997</v>
      </c>
      <c r="H4105" s="1">
        <v>1.19809399999999E-7</v>
      </c>
      <c r="I4105">
        <v>218.1061</v>
      </c>
      <c r="J4105">
        <v>-268.31200000000001</v>
      </c>
      <c r="K4105">
        <v>1.109129</v>
      </c>
      <c r="L4105">
        <v>214.63249999999999</v>
      </c>
      <c r="M4105">
        <v>0.99946170000000001</v>
      </c>
      <c r="N4105">
        <v>-1.45763E-2</v>
      </c>
      <c r="O4105">
        <v>-2.9394590000000002E-2</v>
      </c>
      <c r="P4105">
        <v>0.99300960000000005</v>
      </c>
      <c r="Q4105">
        <v>-9.5145900000000005E-2</v>
      </c>
      <c r="R4105">
        <v>6.9853070000000003E-2</v>
      </c>
      <c r="S4105">
        <v>2.9799190000000002</v>
      </c>
      <c r="T4105">
        <v>-0.13039580000000001</v>
      </c>
      <c r="U4105">
        <v>0.4068756</v>
      </c>
      <c r="V4105">
        <v>-9.9049159999999997E-2</v>
      </c>
      <c r="W4105">
        <v>-8.0655749999999998E-2</v>
      </c>
      <c r="X4105">
        <v>0.99180840000000003</v>
      </c>
      <c r="Y4105">
        <v>-0.1641341</v>
      </c>
      <c r="Z4105">
        <v>5.6294120000000003E-3</v>
      </c>
      <c r="AA4105">
        <v>0.98642200000000002</v>
      </c>
      <c r="AB4105">
        <v>45</v>
      </c>
      <c r="AC4105">
        <v>24.912299999999998</v>
      </c>
      <c r="AD4105">
        <v>-1.1091288801906001</v>
      </c>
      <c r="AE4105">
        <v>3.4735999999999998</v>
      </c>
      <c r="AF4105">
        <v>-4.1963041902184699</v>
      </c>
      <c r="AG4105">
        <v>-1.1091288801906001</v>
      </c>
      <c r="AH4105">
        <v>24.751291738169002</v>
      </c>
      <c r="AI4105">
        <v>92.529711035797007</v>
      </c>
      <c r="AJ4105">
        <v>99.622360527415296</v>
      </c>
      <c r="AK4105">
        <v>25.128978857838099</v>
      </c>
      <c r="AL4105">
        <v>94.626259277531702</v>
      </c>
      <c r="AM4105">
        <v>95.703061333656805</v>
      </c>
      <c r="AN4105">
        <v>0.99999999420766394</v>
      </c>
    </row>
    <row r="4106" spans="1:40" x14ac:dyDescent="0.25">
      <c r="A4106" t="str">
        <f>"20190305135015209"</f>
        <v>20190305135015209</v>
      </c>
      <c r="B4106" t="str">
        <f>"1551765015204508"</f>
        <v>1551765015204508</v>
      </c>
      <c r="C4106" t="s">
        <v>40</v>
      </c>
      <c r="D4106">
        <v>4.1357049999999997</v>
      </c>
      <c r="E4106">
        <v>0.47498109999999999</v>
      </c>
      <c r="F4106" t="s">
        <v>74</v>
      </c>
      <c r="G4106">
        <v>-242.70419999999999</v>
      </c>
      <c r="H4106" s="1">
        <v>-2.5197310000000002E-7</v>
      </c>
      <c r="I4106">
        <v>218.14429999999999</v>
      </c>
      <c r="J4106">
        <v>-267.99220000000003</v>
      </c>
      <c r="K4106">
        <v>1.109127</v>
      </c>
      <c r="L4106">
        <v>214.62299999999999</v>
      </c>
      <c r="M4106">
        <v>0.99945910000000004</v>
      </c>
      <c r="N4106">
        <v>-1.457426E-2</v>
      </c>
      <c r="O4106">
        <v>-2.9486229999999999E-2</v>
      </c>
      <c r="P4106">
        <v>0.99302290000000004</v>
      </c>
      <c r="Q4106">
        <v>-9.5225610000000002E-2</v>
      </c>
      <c r="R4106">
        <v>6.9555350000000002E-2</v>
      </c>
      <c r="S4106">
        <v>2.9800110000000002</v>
      </c>
      <c r="T4106">
        <v>-0.1290705</v>
      </c>
      <c r="U4106">
        <v>0.40867609999999999</v>
      </c>
      <c r="V4106">
        <v>-9.8843249999999994E-2</v>
      </c>
      <c r="W4106">
        <v>-8.0737489999999995E-2</v>
      </c>
      <c r="X4106">
        <v>0.99182230000000005</v>
      </c>
      <c r="Y4106">
        <v>-0.1648086</v>
      </c>
      <c r="Z4106">
        <v>5.6018350000000003E-3</v>
      </c>
      <c r="AA4106">
        <v>0.98630960000000001</v>
      </c>
      <c r="AB4106">
        <v>45</v>
      </c>
      <c r="AC4106">
        <v>25.288</v>
      </c>
      <c r="AD4106">
        <v>-1.1091272519730999</v>
      </c>
      <c r="AE4106">
        <v>3.5212999999999899</v>
      </c>
      <c r="AF4106">
        <v>-4.2574612005514396</v>
      </c>
      <c r="AG4106">
        <v>-1.1091272519730999</v>
      </c>
      <c r="AH4106">
        <v>25.125746598088298</v>
      </c>
      <c r="AI4106">
        <v>92.4920923860968</v>
      </c>
      <c r="AJ4106">
        <v>99.617200945819903</v>
      </c>
      <c r="AK4106">
        <v>25.508023860083998</v>
      </c>
      <c r="AL4106">
        <v>94.630957919530999</v>
      </c>
      <c r="AM4106">
        <v>95.691204104709698</v>
      </c>
      <c r="AN4106">
        <v>1.00000000256967</v>
      </c>
    </row>
    <row r="4107" spans="1:40" x14ac:dyDescent="0.25">
      <c r="A4107" t="str">
        <f>"20190305135015222"</f>
        <v>20190305135015222</v>
      </c>
      <c r="B4107" t="str">
        <f>"1551765015214267"</f>
        <v>1551765015214267</v>
      </c>
      <c r="C4107" t="s">
        <v>40</v>
      </c>
      <c r="D4107">
        <v>4.2459749999999996</v>
      </c>
      <c r="E4107">
        <v>0.47498109999999999</v>
      </c>
      <c r="F4107" t="s">
        <v>74</v>
      </c>
      <c r="G4107">
        <v>-242.7525</v>
      </c>
      <c r="H4107" s="1">
        <v>-2.2555529999999999E-7</v>
      </c>
      <c r="I4107">
        <v>218.1277</v>
      </c>
      <c r="J4107">
        <v>-267.74950000000001</v>
      </c>
      <c r="K4107">
        <v>1.1091279999999999</v>
      </c>
      <c r="L4107">
        <v>214.61580000000001</v>
      </c>
      <c r="M4107">
        <v>0.99945700000000004</v>
      </c>
      <c r="N4107">
        <v>-1.4572699999999999E-2</v>
      </c>
      <c r="O4107">
        <v>-2.955607E-2</v>
      </c>
      <c r="P4107">
        <v>0.9929808</v>
      </c>
      <c r="Q4107">
        <v>-9.5680020000000005E-2</v>
      </c>
      <c r="R4107">
        <v>6.9532540000000004E-2</v>
      </c>
      <c r="S4107">
        <v>2.979584</v>
      </c>
      <c r="T4107">
        <v>-0.1309341</v>
      </c>
      <c r="U4107">
        <v>0.4137421</v>
      </c>
      <c r="V4107">
        <v>-9.8887810000000007E-2</v>
      </c>
      <c r="W4107">
        <v>-8.1194230000000006E-2</v>
      </c>
      <c r="X4107">
        <v>0.99178060000000001</v>
      </c>
      <c r="Y4107">
        <v>-0.16653399999999999</v>
      </c>
      <c r="Z4107">
        <v>5.7240549999999996E-3</v>
      </c>
      <c r="AA4107">
        <v>0.98601910000000004</v>
      </c>
      <c r="AB4107">
        <v>45</v>
      </c>
      <c r="AC4107">
        <v>24.997</v>
      </c>
      <c r="AD4107">
        <v>-1.1091282255553001</v>
      </c>
      <c r="AE4107">
        <v>3.51189999999999</v>
      </c>
      <c r="AF4107">
        <v>-4.2410689364198504</v>
      </c>
      <c r="AG4107">
        <v>-1.1091282255553001</v>
      </c>
      <c r="AH4107">
        <v>24.834322232159501</v>
      </c>
      <c r="AI4107">
        <v>92.520748210905495</v>
      </c>
      <c r="AJ4107">
        <v>99.691168880970906</v>
      </c>
      <c r="AK4107">
        <v>25.218255131450299</v>
      </c>
      <c r="AL4107">
        <v>94.657213264857901</v>
      </c>
      <c r="AM4107">
        <v>95.693990753665503</v>
      </c>
      <c r="AN4107">
        <v>1.0000000302441201</v>
      </c>
    </row>
    <row r="4108" spans="1:40" x14ac:dyDescent="0.25">
      <c r="A4108" t="str">
        <f>"20190305135015237"</f>
        <v>20190305135015237</v>
      </c>
      <c r="B4108" t="str">
        <f>"1551765015234763"</f>
        <v>1551765015234763</v>
      </c>
      <c r="C4108" t="s">
        <v>40</v>
      </c>
      <c r="D4108">
        <v>4.0686660000000003</v>
      </c>
      <c r="E4108">
        <v>0.48852329999999999</v>
      </c>
      <c r="F4108" t="s">
        <v>74</v>
      </c>
      <c r="G4108">
        <v>-242.77440000000001</v>
      </c>
      <c r="H4108" s="1">
        <v>-2.119857E-7</v>
      </c>
      <c r="I4108">
        <v>218.0838</v>
      </c>
      <c r="J4108">
        <v>-267.42619999999999</v>
      </c>
      <c r="K4108">
        <v>1.109129</v>
      </c>
      <c r="L4108">
        <v>214.6061</v>
      </c>
      <c r="M4108">
        <v>0.99945419999999996</v>
      </c>
      <c r="N4108">
        <v>-1.457058E-2</v>
      </c>
      <c r="O4108">
        <v>-2.9649020000000002E-2</v>
      </c>
      <c r="P4108">
        <v>0.99296059999999997</v>
      </c>
      <c r="Q4108">
        <v>-9.6094189999999996E-2</v>
      </c>
      <c r="R4108">
        <v>6.9249099999999994E-2</v>
      </c>
      <c r="S4108">
        <v>2.979492</v>
      </c>
      <c r="T4108">
        <v>-0.132317299999999</v>
      </c>
      <c r="U4108">
        <v>0.41372680000000001</v>
      </c>
      <c r="V4108">
        <v>-9.8696690000000004E-2</v>
      </c>
      <c r="W4108">
        <v>-8.1610970000000005E-2</v>
      </c>
      <c r="X4108">
        <v>0.99176540000000002</v>
      </c>
      <c r="Y4108">
        <v>-0.1666204</v>
      </c>
      <c r="Z4108">
        <v>5.7814700000000004E-3</v>
      </c>
      <c r="AA4108">
        <v>0.9860042</v>
      </c>
      <c r="AB4108">
        <v>45</v>
      </c>
      <c r="AC4108">
        <v>24.651799999999898</v>
      </c>
      <c r="AD4108">
        <v>-1.1091292119856999</v>
      </c>
      <c r="AE4108">
        <v>3.4776999999999898</v>
      </c>
      <c r="AF4108">
        <v>-4.19881640670304</v>
      </c>
      <c r="AG4108">
        <v>-1.1091292119856999</v>
      </c>
      <c r="AH4108">
        <v>24.489233379882901</v>
      </c>
      <c r="AI4108">
        <v>92.555935645824206</v>
      </c>
      <c r="AJ4108">
        <v>99.729083420102896</v>
      </c>
      <c r="AK4108">
        <v>24.8713244191066</v>
      </c>
      <c r="AL4108">
        <v>94.681170365383494</v>
      </c>
      <c r="AM4108">
        <v>95.6831446399909</v>
      </c>
      <c r="AN4108">
        <v>0.99999999783922799</v>
      </c>
    </row>
    <row r="4109" spans="1:40" x14ac:dyDescent="0.25">
      <c r="A4109" t="str">
        <f>"20190305135015255"</f>
        <v>20190305135015255</v>
      </c>
      <c r="B4109" t="str">
        <f>"1551765015244524"</f>
        <v>1551765015244524</v>
      </c>
      <c r="C4109" t="s">
        <v>40</v>
      </c>
      <c r="D4109">
        <v>4.1059659999999996</v>
      </c>
      <c r="E4109">
        <v>0.48580669999999998</v>
      </c>
      <c r="F4109" t="s">
        <v>74</v>
      </c>
      <c r="G4109">
        <v>-250.5445</v>
      </c>
      <c r="H4109" s="1">
        <v>-1.3214759999999999E-6</v>
      </c>
      <c r="I4109">
        <v>216.31970000000001</v>
      </c>
      <c r="J4109">
        <v>-267.08150000000001</v>
      </c>
      <c r="K4109">
        <v>1.1091299999999999</v>
      </c>
      <c r="L4109">
        <v>214.5958</v>
      </c>
      <c r="M4109">
        <v>0.99945130000000004</v>
      </c>
      <c r="N4109">
        <v>-1.4568279999999999E-2</v>
      </c>
      <c r="O4109">
        <v>-2.9748409999999999E-2</v>
      </c>
      <c r="P4109">
        <v>0.99296359999999995</v>
      </c>
      <c r="Q4109">
        <v>-9.6190929999999994E-2</v>
      </c>
      <c r="R4109">
        <v>6.9069560000000002E-2</v>
      </c>
      <c r="S4109">
        <v>2.981201</v>
      </c>
      <c r="T4109">
        <v>-0.19586600000000001</v>
      </c>
      <c r="U4109">
        <v>0.3026123</v>
      </c>
      <c r="V4109">
        <v>-9.861549E-2</v>
      </c>
      <c r="W4109">
        <v>-8.1710169999999999E-2</v>
      </c>
      <c r="X4109">
        <v>0.99176529999999996</v>
      </c>
      <c r="Y4109">
        <v>-0.130164</v>
      </c>
      <c r="Z4109">
        <v>6.7283300000000002E-3</v>
      </c>
      <c r="AA4109">
        <v>0.99146959999999995</v>
      </c>
      <c r="AB4109">
        <v>45</v>
      </c>
      <c r="AC4109">
        <v>16.536999999999999</v>
      </c>
      <c r="AD4109">
        <v>-1.1091313214759999</v>
      </c>
      <c r="AE4109">
        <v>1.72390000000001</v>
      </c>
      <c r="AF4109">
        <v>-2.2053248540311801</v>
      </c>
      <c r="AG4109">
        <v>-1.1091313214759999</v>
      </c>
      <c r="AH4109">
        <v>16.405387034775899</v>
      </c>
      <c r="AI4109">
        <v>93.833376628405404</v>
      </c>
      <c r="AJ4109">
        <v>97.656195233429798</v>
      </c>
      <c r="AK4109">
        <v>16.5900679251436</v>
      </c>
      <c r="AL4109">
        <v>94.686873196695302</v>
      </c>
      <c r="AM4109">
        <v>95.678500127205098</v>
      </c>
      <c r="AN4109">
        <v>0.999999988516729</v>
      </c>
    </row>
    <row r="4110" spans="1:40" x14ac:dyDescent="0.25">
      <c r="A4110" t="str">
        <f>"20190305135015273"</f>
        <v>20190305135015273</v>
      </c>
      <c r="B4110" t="str">
        <f>"1551765015264043"</f>
        <v>1551765015264043</v>
      </c>
      <c r="C4110" t="s">
        <v>40</v>
      </c>
      <c r="D4110">
        <v>4.074776</v>
      </c>
      <c r="E4110">
        <v>0.48282989999999998</v>
      </c>
      <c r="F4110" t="s">
        <v>74</v>
      </c>
      <c r="G4110">
        <v>-247.1748</v>
      </c>
      <c r="H4110" s="1">
        <v>2.1874200000000001E-6</v>
      </c>
      <c r="I4110">
        <v>216.76390000000001</v>
      </c>
      <c r="J4110">
        <v>-266.72770000000003</v>
      </c>
      <c r="K4110">
        <v>1.1091340000000001</v>
      </c>
      <c r="L4110">
        <v>214.58519999999999</v>
      </c>
      <c r="M4110">
        <v>0.99944840000000001</v>
      </c>
      <c r="N4110">
        <v>-1.456593E-2</v>
      </c>
      <c r="O4110">
        <v>-2.985018E-2</v>
      </c>
      <c r="P4110">
        <v>0.99294579999999999</v>
      </c>
      <c r="Q4110">
        <v>-9.6240919999999994E-2</v>
      </c>
      <c r="R4110">
        <v>6.9258169999999994E-2</v>
      </c>
      <c r="S4110">
        <v>2.9825740000000001</v>
      </c>
      <c r="T4110">
        <v>-0.1661783</v>
      </c>
      <c r="U4110">
        <v>0.32484439999999998</v>
      </c>
      <c r="V4110">
        <v>-9.8904010000000001E-2</v>
      </c>
      <c r="W4110">
        <v>-8.1762970000000004E-2</v>
      </c>
      <c r="X4110">
        <v>0.99173219999999995</v>
      </c>
      <c r="Y4110">
        <v>-0.1376116</v>
      </c>
      <c r="Z4110">
        <v>6.0498640000000003E-3</v>
      </c>
      <c r="AA4110">
        <v>0.99046780000000001</v>
      </c>
      <c r="AB4110">
        <v>45</v>
      </c>
      <c r="AC4110">
        <v>19.552900000000001</v>
      </c>
      <c r="AD4110">
        <v>-1.1091318125799901</v>
      </c>
      <c r="AE4110">
        <v>2.1787000000000201</v>
      </c>
      <c r="AF4110">
        <v>-2.7526996450864001</v>
      </c>
      <c r="AG4110">
        <v>-1.1091318125799901</v>
      </c>
      <c r="AH4110">
        <v>19.4174305667852</v>
      </c>
      <c r="AI4110">
        <v>93.236911946657798</v>
      </c>
      <c r="AJ4110">
        <v>98.068733460904198</v>
      </c>
      <c r="AK4110">
        <v>19.6429157339143</v>
      </c>
      <c r="AL4110">
        <v>94.689908650390805</v>
      </c>
      <c r="AM4110">
        <v>95.695193528489298</v>
      </c>
      <c r="AN4110">
        <v>0.99999997148706998</v>
      </c>
    </row>
    <row r="4111" spans="1:40" x14ac:dyDescent="0.25">
      <c r="A4111" t="str">
        <f>"20190305135015293"</f>
        <v>20190305135015293</v>
      </c>
      <c r="B4111" t="str">
        <f>"1551765015284539"</f>
        <v>1551765015284539</v>
      </c>
      <c r="C4111" t="s">
        <v>40</v>
      </c>
      <c r="D4111">
        <v>4.071447</v>
      </c>
      <c r="E4111">
        <v>0.48086770000000001</v>
      </c>
      <c r="F4111" t="s">
        <v>74</v>
      </c>
      <c r="G4111">
        <v>-242.95310000000001</v>
      </c>
      <c r="H4111" s="1">
        <v>-8.5975659999999999E-8</v>
      </c>
      <c r="I4111">
        <v>217.37690000000001</v>
      </c>
      <c r="J4111">
        <v>-266.31959999999998</v>
      </c>
      <c r="K4111">
        <v>1.109132</v>
      </c>
      <c r="L4111">
        <v>214.5729</v>
      </c>
      <c r="M4111">
        <v>0.99944500000000003</v>
      </c>
      <c r="N4111">
        <v>-1.456324E-2</v>
      </c>
      <c r="O4111">
        <v>-2.9967810000000001E-2</v>
      </c>
      <c r="P4111">
        <v>0.99291030000000002</v>
      </c>
      <c r="Q4111">
        <v>-9.6243579999999995E-2</v>
      </c>
      <c r="R4111">
        <v>6.9760520000000006E-2</v>
      </c>
      <c r="S4111">
        <v>2.9834290000000001</v>
      </c>
      <c r="T4111">
        <v>-0.1391829</v>
      </c>
      <c r="U4111">
        <v>0.35032649999999999</v>
      </c>
      <c r="V4111">
        <v>-9.9521529999999997E-2</v>
      </c>
      <c r="W4111">
        <v>-8.1769040000000001E-2</v>
      </c>
      <c r="X4111">
        <v>0.99167000000000005</v>
      </c>
      <c r="Y4111">
        <v>-0.146115299999999</v>
      </c>
      <c r="Z4111">
        <v>5.4215180000000002E-3</v>
      </c>
      <c r="AA4111">
        <v>0.98925269999999998</v>
      </c>
      <c r="AB4111">
        <v>44</v>
      </c>
      <c r="AC4111">
        <v>23.366499999999899</v>
      </c>
      <c r="AD4111">
        <v>-1.1091320859756599</v>
      </c>
      <c r="AE4111">
        <v>2.8039999999999998</v>
      </c>
      <c r="AF4111">
        <v>-3.4952938657818402</v>
      </c>
      <c r="AG4111">
        <v>-1.1091320859756599</v>
      </c>
      <c r="AH4111">
        <v>23.220389400632801</v>
      </c>
      <c r="AI4111">
        <v>92.704260102952006</v>
      </c>
      <c r="AJ4111">
        <v>98.560289688877504</v>
      </c>
      <c r="AK4111">
        <v>23.508163201520698</v>
      </c>
      <c r="AL4111">
        <v>94.690257235785296</v>
      </c>
      <c r="AM4111">
        <v>95.730873311816495</v>
      </c>
      <c r="AN4111">
        <v>1.0000000498680299</v>
      </c>
    </row>
    <row r="4112" spans="1:40" x14ac:dyDescent="0.25">
      <c r="A4112" t="str">
        <f>"20190305135015315"</f>
        <v>20190305135015315</v>
      </c>
      <c r="B4112" t="str">
        <f>"1551765015304059"</f>
        <v>1551765015304059</v>
      </c>
      <c r="C4112" t="s">
        <v>40</v>
      </c>
      <c r="D4112">
        <v>4.0556000000000001</v>
      </c>
      <c r="E4112">
        <v>0.47924240000000001</v>
      </c>
      <c r="F4112" t="s">
        <v>74</v>
      </c>
      <c r="G4112">
        <v>-240.9288</v>
      </c>
      <c r="H4112" s="1">
        <v>-1.1774909999999999E-6</v>
      </c>
      <c r="I4112">
        <v>217.70429999999999</v>
      </c>
      <c r="J4112">
        <v>-265.87729999999999</v>
      </c>
      <c r="K4112">
        <v>1.109135</v>
      </c>
      <c r="L4112">
        <v>214.55959999999999</v>
      </c>
      <c r="M4112">
        <v>0.99944100000000002</v>
      </c>
      <c r="N4112">
        <v>-1.456038E-2</v>
      </c>
      <c r="O4112">
        <v>-3.0095090000000001E-2</v>
      </c>
      <c r="P4112">
        <v>0.99285089999999998</v>
      </c>
      <c r="Q4112">
        <v>-9.6457989999999993E-2</v>
      </c>
      <c r="R4112">
        <v>7.0306540000000001E-2</v>
      </c>
      <c r="S4112">
        <v>2.9829409999999998</v>
      </c>
      <c r="T4112">
        <v>-0.13030220000000001</v>
      </c>
      <c r="U4112">
        <v>0.36787409999999998</v>
      </c>
      <c r="V4112">
        <v>-0.10019169999999999</v>
      </c>
      <c r="W4112">
        <v>-8.1987399999999905E-2</v>
      </c>
      <c r="X4112">
        <v>0.99158440000000003</v>
      </c>
      <c r="Y4112">
        <v>-0.15201149999999999</v>
      </c>
      <c r="Z4112">
        <v>5.290866E-3</v>
      </c>
      <c r="AA4112">
        <v>0.98836460000000004</v>
      </c>
      <c r="AB4112">
        <v>44</v>
      </c>
      <c r="AC4112">
        <v>24.948499999999999</v>
      </c>
      <c r="AD4112">
        <v>-1.109136177491</v>
      </c>
      <c r="AE4112">
        <v>3.1446999999999998</v>
      </c>
      <c r="AF4112">
        <v>-3.88662073165602</v>
      </c>
      <c r="AG4112">
        <v>-1.109136177491</v>
      </c>
      <c r="AH4112">
        <v>24.7943091243535</v>
      </c>
      <c r="AI4112">
        <v>92.530473261566797</v>
      </c>
      <c r="AJ4112">
        <v>98.908876521440504</v>
      </c>
      <c r="AK4112">
        <v>25.121579741846599</v>
      </c>
      <c r="AL4112">
        <v>94.702810884485501</v>
      </c>
      <c r="AM4112">
        <v>95.769699772012501</v>
      </c>
      <c r="AN4112">
        <v>0.99999996641550404</v>
      </c>
    </row>
    <row r="4113" spans="1:40" x14ac:dyDescent="0.25">
      <c r="A4113" t="str">
        <f>"20190305135015339"</f>
        <v>20190305135015339</v>
      </c>
      <c r="B4113" t="str">
        <f>"1551765015334316"</f>
        <v>1551765015334316</v>
      </c>
      <c r="C4113" t="s">
        <v>40</v>
      </c>
      <c r="D4113">
        <v>4.0630579999999998</v>
      </c>
      <c r="E4113">
        <v>0.47773060000000001</v>
      </c>
      <c r="F4113" t="s">
        <v>74</v>
      </c>
      <c r="G4113">
        <v>-240.38040000000001</v>
      </c>
      <c r="H4113" s="1">
        <v>-1.47478999999999E-6</v>
      </c>
      <c r="I4113">
        <v>217.8289</v>
      </c>
      <c r="J4113">
        <v>-265.42149999999998</v>
      </c>
      <c r="K4113">
        <v>1.1091310000000001</v>
      </c>
      <c r="L4113">
        <v>214.54570000000001</v>
      </c>
      <c r="M4113">
        <v>0.99943729999999997</v>
      </c>
      <c r="N4113">
        <v>-1.4557550000000001E-2</v>
      </c>
      <c r="O4113">
        <v>-3.0226300000000001E-2</v>
      </c>
      <c r="P4113">
        <v>0.99278409999999995</v>
      </c>
      <c r="Q4113">
        <v>-9.6994899999999995E-2</v>
      </c>
      <c r="R4113">
        <v>7.0512630000000007E-2</v>
      </c>
      <c r="S4113">
        <v>2.9819339999999999</v>
      </c>
      <c r="T4113">
        <v>-0.12971679999999999</v>
      </c>
      <c r="U4113">
        <v>0.38235469999999999</v>
      </c>
      <c r="V4113">
        <v>-0.1005262</v>
      </c>
      <c r="W4113">
        <v>-8.2528229999999994E-2</v>
      </c>
      <c r="X4113">
        <v>0.99150570000000005</v>
      </c>
      <c r="Y4113">
        <v>-0.15690029999999999</v>
      </c>
      <c r="Z4113">
        <v>5.4160500000000004E-3</v>
      </c>
      <c r="AA4113">
        <v>0.98759960000000002</v>
      </c>
      <c r="AB4113">
        <v>44</v>
      </c>
      <c r="AC4113">
        <v>25.041099999999901</v>
      </c>
      <c r="AD4113">
        <v>-1.10913247478999</v>
      </c>
      <c r="AE4113">
        <v>3.2831999999999901</v>
      </c>
      <c r="AF4113">
        <v>-4.0309050820138497</v>
      </c>
      <c r="AG4113">
        <v>-1.10913247478999</v>
      </c>
      <c r="AH4113">
        <v>24.882416392260701</v>
      </c>
      <c r="AI4113">
        <v>92.5194646309875</v>
      </c>
      <c r="AJ4113">
        <v>99.201869116119695</v>
      </c>
      <c r="AK4113">
        <v>25.231191334233198</v>
      </c>
      <c r="AL4113">
        <v>94.733903423768496</v>
      </c>
      <c r="AM4113">
        <v>95.789288248942597</v>
      </c>
      <c r="AN4113">
        <v>0.999999989382931</v>
      </c>
    </row>
    <row r="4114" spans="1:40" x14ac:dyDescent="0.25">
      <c r="A4114" t="str">
        <f>"20190305135015362"</f>
        <v>20190305135015362</v>
      </c>
      <c r="B4114" t="str">
        <f>"1551765015354815"</f>
        <v>1551765015354815</v>
      </c>
      <c r="C4114" t="s">
        <v>40</v>
      </c>
      <c r="D4114">
        <v>4.1277119999999998</v>
      </c>
      <c r="E4114">
        <v>0.47792000000000001</v>
      </c>
      <c r="F4114" t="s">
        <v>74</v>
      </c>
      <c r="G4114">
        <v>-239.4186</v>
      </c>
      <c r="H4114" s="1">
        <v>3.327812E-6</v>
      </c>
      <c r="I4114">
        <v>217.99080000000001</v>
      </c>
      <c r="J4114">
        <v>-264.9633</v>
      </c>
      <c r="K4114">
        <v>1.1091299999999999</v>
      </c>
      <c r="L4114">
        <v>214.5318</v>
      </c>
      <c r="M4114">
        <v>0.99943320000000002</v>
      </c>
      <c r="N4114">
        <v>-1.4554620000000001E-2</v>
      </c>
      <c r="O4114">
        <v>-3.0357990000000001E-2</v>
      </c>
      <c r="P4114">
        <v>0.99274220000000002</v>
      </c>
      <c r="Q4114">
        <v>-9.7426970000000002E-2</v>
      </c>
      <c r="R4114">
        <v>7.0506570000000005E-2</v>
      </c>
      <c r="S4114">
        <v>2.9813230000000002</v>
      </c>
      <c r="T4114">
        <v>-0.12716540000000001</v>
      </c>
      <c r="U4114">
        <v>0.39498899999999998</v>
      </c>
      <c r="V4114">
        <v>-0.10064919999999999</v>
      </c>
      <c r="W4114">
        <v>-8.2963980000000007E-2</v>
      </c>
      <c r="X4114">
        <v>0.99145689999999997</v>
      </c>
      <c r="Y4114">
        <v>-0.16117190000000001</v>
      </c>
      <c r="Z4114">
        <v>5.4491239999999996E-3</v>
      </c>
      <c r="AA4114">
        <v>0.98691130000000005</v>
      </c>
      <c r="AB4114">
        <v>44</v>
      </c>
      <c r="AC4114">
        <v>25.544699999999999</v>
      </c>
      <c r="AD4114">
        <v>-1.109126672188</v>
      </c>
      <c r="AE4114">
        <v>3.4590000000000001</v>
      </c>
      <c r="AF4114">
        <v>-4.225151314513</v>
      </c>
      <c r="AG4114">
        <v>-1.109126672188</v>
      </c>
      <c r="AH4114">
        <v>25.380917374456899</v>
      </c>
      <c r="AI4114">
        <v>92.468265935924407</v>
      </c>
      <c r="AJ4114">
        <v>99.451336266238201</v>
      </c>
      <c r="AK4114">
        <v>25.754087682822298</v>
      </c>
      <c r="AL4114">
        <v>94.758955761041506</v>
      </c>
      <c r="AM4114">
        <v>95.796606952697005</v>
      </c>
      <c r="AN4114">
        <v>1.0000000339978401</v>
      </c>
    </row>
    <row r="4115" spans="1:40" x14ac:dyDescent="0.25">
      <c r="A4115" t="str">
        <f>"20190305135015382"</f>
        <v>20190305135015382</v>
      </c>
      <c r="B4115" t="str">
        <f>"1551765015374335"</f>
        <v>1551765015374335</v>
      </c>
      <c r="C4115" t="s">
        <v>40</v>
      </c>
      <c r="D4115">
        <v>4.0412720000000002</v>
      </c>
      <c r="E4115">
        <v>0.47806589999999999</v>
      </c>
      <c r="F4115" t="s">
        <v>74</v>
      </c>
      <c r="G4115">
        <v>-239.59819999999999</v>
      </c>
      <c r="H4115" s="1">
        <v>3.4282679999999998E-6</v>
      </c>
      <c r="I4115">
        <v>217.87970000000001</v>
      </c>
      <c r="J4115">
        <v>-264.55270000000002</v>
      </c>
      <c r="K4115">
        <v>1.109129</v>
      </c>
      <c r="L4115">
        <v>214.51920000000001</v>
      </c>
      <c r="M4115">
        <v>0.99942960000000003</v>
      </c>
      <c r="N4115">
        <v>-1.4552000000000001E-2</v>
      </c>
      <c r="O4115">
        <v>-3.0476219999999998E-2</v>
      </c>
      <c r="P4115">
        <v>0.99272879999999997</v>
      </c>
      <c r="Q4115">
        <v>-9.7481440000000003E-2</v>
      </c>
      <c r="R4115">
        <v>7.0618550000000002E-2</v>
      </c>
      <c r="S4115">
        <v>2.981201</v>
      </c>
      <c r="T4115">
        <v>-0.1303579</v>
      </c>
      <c r="U4115">
        <v>0.3934937</v>
      </c>
      <c r="V4115">
        <v>-0.100878</v>
      </c>
      <c r="W4115">
        <v>-8.3021429999999993E-2</v>
      </c>
      <c r="X4115">
        <v>0.9914288</v>
      </c>
      <c r="Y4115">
        <v>-0.16079830000000001</v>
      </c>
      <c r="Z4115">
        <v>5.5600340000000002E-3</v>
      </c>
      <c r="AA4115">
        <v>0.98697159999999995</v>
      </c>
      <c r="AB4115">
        <v>44</v>
      </c>
      <c r="AC4115">
        <v>24.954499999999999</v>
      </c>
      <c r="AD4115">
        <v>-1.1091255717319899</v>
      </c>
      <c r="AE4115">
        <v>3.3605</v>
      </c>
      <c r="AF4115">
        <v>-4.1115605573256202</v>
      </c>
      <c r="AG4115">
        <v>-1.1091255717319899</v>
      </c>
      <c r="AH4115">
        <v>24.7923763120865</v>
      </c>
      <c r="AI4115">
        <v>92.527039047533805</v>
      </c>
      <c r="AJ4115">
        <v>99.416215613036499</v>
      </c>
      <c r="AK4115">
        <v>25.155456921919299</v>
      </c>
      <c r="AL4115">
        <v>94.762258974570599</v>
      </c>
      <c r="AM4115">
        <v>95.809857546579906</v>
      </c>
      <c r="AN4115">
        <v>0.99999999709634202</v>
      </c>
    </row>
    <row r="4116" spans="1:40" x14ac:dyDescent="0.25">
      <c r="A4116" t="str">
        <f>"20190305135015405"</f>
        <v>20190305135015405</v>
      </c>
      <c r="B4116" t="str">
        <f>"1551765015394827"</f>
        <v>1551765015394827</v>
      </c>
      <c r="C4116" t="s">
        <v>40</v>
      </c>
      <c r="D4116">
        <v>4.0222369999999996</v>
      </c>
      <c r="E4116">
        <v>0.47769260000000002</v>
      </c>
      <c r="F4116" t="s">
        <v>74</v>
      </c>
      <c r="G4116">
        <v>-240.10980000000001</v>
      </c>
      <c r="H4116" s="1">
        <v>-1.61487E-6</v>
      </c>
      <c r="I4116">
        <v>217.7388</v>
      </c>
      <c r="J4116">
        <v>-264.10739999999998</v>
      </c>
      <c r="K4116">
        <v>1.1091390000000001</v>
      </c>
      <c r="L4116">
        <v>214.50550000000001</v>
      </c>
      <c r="M4116">
        <v>0.99942580000000003</v>
      </c>
      <c r="N4116">
        <v>-1.454916E-2</v>
      </c>
      <c r="O4116">
        <v>-3.0604570000000001E-2</v>
      </c>
      <c r="P4116">
        <v>0.99274720000000005</v>
      </c>
      <c r="Q4116">
        <v>-9.7380649999999999E-2</v>
      </c>
      <c r="R4116">
        <v>7.0498530000000004E-2</v>
      </c>
      <c r="S4116">
        <v>2.9807739999999998</v>
      </c>
      <c r="T4116">
        <v>-0.1352563</v>
      </c>
      <c r="U4116">
        <v>0.39262390000000003</v>
      </c>
      <c r="V4116">
        <v>-0.1008855</v>
      </c>
      <c r="W4116">
        <v>-8.2923430000000006E-2</v>
      </c>
      <c r="X4116">
        <v>0.99143619999999999</v>
      </c>
      <c r="Y4116">
        <v>-0.16064539999999999</v>
      </c>
      <c r="Z4116">
        <v>5.7412499999999998E-3</v>
      </c>
      <c r="AA4116">
        <v>0.98699550000000003</v>
      </c>
      <c r="AB4116">
        <v>44</v>
      </c>
      <c r="AC4116">
        <v>23.997599999999899</v>
      </c>
      <c r="AD4116">
        <v>-1.10914061486999</v>
      </c>
      <c r="AE4116">
        <v>3.2332999999999799</v>
      </c>
      <c r="AF4116">
        <v>-3.9579947539316702</v>
      </c>
      <c r="AG4116">
        <v>-1.10914061486999</v>
      </c>
      <c r="AH4116">
        <v>23.837379217057201</v>
      </c>
      <c r="AI4116">
        <v>92.628090671565403</v>
      </c>
      <c r="AJ4116">
        <v>99.427468652252102</v>
      </c>
      <c r="AK4116">
        <v>24.189182774816899</v>
      </c>
      <c r="AL4116">
        <v>94.756624741384101</v>
      </c>
      <c r="AM4116">
        <v>95.810243467446199</v>
      </c>
      <c r="AN4116">
        <v>0.99999995901182603</v>
      </c>
    </row>
    <row r="4117" spans="1:40" x14ac:dyDescent="0.25">
      <c r="A4117" t="str">
        <f>"20190305135015428"</f>
        <v>20190305135015428</v>
      </c>
      <c r="B4117" t="str">
        <f>"1551765015424107"</f>
        <v>1551765015424107</v>
      </c>
      <c r="C4117" t="s">
        <v>40</v>
      </c>
      <c r="D4117">
        <v>4.0590310000000001</v>
      </c>
      <c r="E4117">
        <v>0.47753519999999999</v>
      </c>
      <c r="F4117" t="s">
        <v>74</v>
      </c>
      <c r="G4117">
        <v>-239.5042</v>
      </c>
      <c r="H4117" s="1">
        <v>3.3830430000000002E-6</v>
      </c>
      <c r="I4117">
        <v>217.76910000000001</v>
      </c>
      <c r="J4117">
        <v>-263.66550000000001</v>
      </c>
      <c r="K4117">
        <v>1.109145</v>
      </c>
      <c r="L4117">
        <v>214.49189999999999</v>
      </c>
      <c r="M4117">
        <v>0.99942200000000003</v>
      </c>
      <c r="N4117">
        <v>-1.454625E-2</v>
      </c>
      <c r="O4117">
        <v>-3.073174E-2</v>
      </c>
      <c r="P4117">
        <v>0.99278219999999995</v>
      </c>
      <c r="Q4117">
        <v>-9.7294400000000003E-2</v>
      </c>
      <c r="R4117">
        <v>7.0127030000000007E-2</v>
      </c>
      <c r="S4117">
        <v>2.9806520000000001</v>
      </c>
      <c r="T4117">
        <v>-0.1343704</v>
      </c>
      <c r="U4117">
        <v>0.39538570000000001</v>
      </c>
      <c r="V4117">
        <v>-0.1006413</v>
      </c>
      <c r="W4117">
        <v>-8.2839750000000004E-2</v>
      </c>
      <c r="X4117">
        <v>0.99146809999999996</v>
      </c>
      <c r="Y4117">
        <v>-0.1616764</v>
      </c>
      <c r="Z4117">
        <v>5.742848E-3</v>
      </c>
      <c r="AA4117">
        <v>0.98682709999999996</v>
      </c>
      <c r="AB4117">
        <v>44</v>
      </c>
      <c r="AC4117">
        <v>24.161300000000001</v>
      </c>
      <c r="AD4117">
        <v>-1.1091416169570001</v>
      </c>
      <c r="AE4117">
        <v>3.2772000000000201</v>
      </c>
      <c r="AF4117">
        <v>-4.0099513208407496</v>
      </c>
      <c r="AG4117">
        <v>-1.1091416169570001</v>
      </c>
      <c r="AH4117">
        <v>23.999499441913699</v>
      </c>
      <c r="AI4117">
        <v>92.609923808717596</v>
      </c>
      <c r="AJ4117">
        <v>99.485629842101204</v>
      </c>
      <c r="AK4117">
        <v>24.357460421488899</v>
      </c>
      <c r="AL4117">
        <v>94.751813270824599</v>
      </c>
      <c r="AM4117">
        <v>95.796090042546297</v>
      </c>
      <c r="AN4117">
        <v>1.0000000443816801</v>
      </c>
    </row>
    <row r="4118" spans="1:40" x14ac:dyDescent="0.25">
      <c r="A4118" t="str">
        <f>"20190305135015451"</f>
        <v>20190305135015451</v>
      </c>
      <c r="B4118" t="str">
        <f>"1551765015444603"</f>
        <v>1551765015444603</v>
      </c>
      <c r="C4118" t="s">
        <v>40</v>
      </c>
      <c r="D4118">
        <v>4.080082</v>
      </c>
      <c r="E4118">
        <v>0.47735349999999999</v>
      </c>
      <c r="F4118" t="s">
        <v>74</v>
      </c>
      <c r="G4118">
        <v>-238.5129</v>
      </c>
      <c r="H4118" s="1">
        <v>2.852922E-6</v>
      </c>
      <c r="I4118">
        <v>217.8288</v>
      </c>
      <c r="J4118">
        <v>-263.21339999999998</v>
      </c>
      <c r="K4118">
        <v>1.109143</v>
      </c>
      <c r="L4118">
        <v>214.4778</v>
      </c>
      <c r="M4118">
        <v>0.99941789999999997</v>
      </c>
      <c r="N4118">
        <v>-1.454342E-2</v>
      </c>
      <c r="O4118">
        <v>-3.0861880000000001E-2</v>
      </c>
      <c r="P4118">
        <v>0.9928323</v>
      </c>
      <c r="Q4118">
        <v>-9.7121230000000003E-2</v>
      </c>
      <c r="R4118">
        <v>6.9653389999999996E-2</v>
      </c>
      <c r="S4118">
        <v>2.980988</v>
      </c>
      <c r="T4118">
        <v>-0.13145090000000001</v>
      </c>
      <c r="U4118">
        <v>0.39547729999999998</v>
      </c>
      <c r="V4118">
        <v>-0.1002976</v>
      </c>
      <c r="W4118">
        <v>-8.2668859999999997E-2</v>
      </c>
      <c r="X4118">
        <v>0.99151710000000004</v>
      </c>
      <c r="Y4118">
        <v>-0.161829</v>
      </c>
      <c r="Z4118">
        <v>5.6417510000000004E-3</v>
      </c>
      <c r="AA4118">
        <v>0.98680270000000003</v>
      </c>
      <c r="AB4118">
        <v>44</v>
      </c>
      <c r="AC4118">
        <v>24.700499999999899</v>
      </c>
      <c r="AD4118">
        <v>-1.109140147078</v>
      </c>
      <c r="AE4118">
        <v>3.3509999999999902</v>
      </c>
      <c r="AF4118">
        <v>-4.10366310330049</v>
      </c>
      <c r="AG4118">
        <v>-1.109140147078</v>
      </c>
      <c r="AH4118">
        <v>24.536722567221499</v>
      </c>
      <c r="AI4118">
        <v>92.552786743631899</v>
      </c>
      <c r="AJ4118">
        <v>99.494602689127206</v>
      </c>
      <c r="AK4118">
        <v>24.902228757122302</v>
      </c>
      <c r="AL4118">
        <v>94.741988723838503</v>
      </c>
      <c r="AM4118">
        <v>95.776146367968195</v>
      </c>
      <c r="AN4118">
        <v>0.99999995428593302</v>
      </c>
    </row>
    <row r="4119" spans="1:40" x14ac:dyDescent="0.25">
      <c r="A4119" t="str">
        <f>"20190305135015474"</f>
        <v>20190305135015474</v>
      </c>
      <c r="B4119" t="str">
        <f>"1551765015464122"</f>
        <v>1551765015464122</v>
      </c>
      <c r="C4119" t="s">
        <v>40</v>
      </c>
      <c r="D4119">
        <v>4.083399</v>
      </c>
      <c r="E4119">
        <v>0.4772071</v>
      </c>
      <c r="F4119" t="s">
        <v>74</v>
      </c>
      <c r="G4119">
        <v>-237.93559999999999</v>
      </c>
      <c r="H4119" s="1">
        <v>2.545523E-6</v>
      </c>
      <c r="I4119">
        <v>217.833</v>
      </c>
      <c r="J4119">
        <v>-262.74829999999997</v>
      </c>
      <c r="K4119">
        <v>1.1091470000000001</v>
      </c>
      <c r="L4119">
        <v>214.46340000000001</v>
      </c>
      <c r="M4119">
        <v>0.99941380000000002</v>
      </c>
      <c r="N4119">
        <v>-1.4540580000000001E-2</v>
      </c>
      <c r="O4119">
        <v>-3.0995720000000001E-2</v>
      </c>
      <c r="P4119">
        <v>0.99292360000000002</v>
      </c>
      <c r="Q4119">
        <v>-9.6933500000000006E-2</v>
      </c>
      <c r="R4119">
        <v>6.8607039999999994E-2</v>
      </c>
      <c r="S4119">
        <v>2.9811100000000001</v>
      </c>
      <c r="T4119">
        <v>-0.13080530000000001</v>
      </c>
      <c r="U4119">
        <v>0.39569090000000001</v>
      </c>
      <c r="V4119">
        <v>-9.9387530000000002E-2</v>
      </c>
      <c r="W4119">
        <v>-8.2482769999999997E-2</v>
      </c>
      <c r="X4119">
        <v>0.99162430000000001</v>
      </c>
      <c r="Y4119">
        <v>-0.162027</v>
      </c>
      <c r="Z4119">
        <v>5.6269969999999999E-3</v>
      </c>
      <c r="AA4119">
        <v>0.98677029999999999</v>
      </c>
      <c r="AB4119">
        <v>44</v>
      </c>
      <c r="AC4119">
        <v>24.8126999999999</v>
      </c>
      <c r="AD4119">
        <v>-1.1091444544769999</v>
      </c>
      <c r="AE4119">
        <v>3.3695999999999899</v>
      </c>
      <c r="AF4119">
        <v>-4.1290483403209999</v>
      </c>
      <c r="AG4119">
        <v>-1.1091444544769999</v>
      </c>
      <c r="AH4119">
        <v>24.647962681783799</v>
      </c>
      <c r="AI4119">
        <v>92.541176931185404</v>
      </c>
      <c r="AJ4119">
        <v>99.509935509606706</v>
      </c>
      <c r="AK4119">
        <v>25.0160209861642</v>
      </c>
      <c r="AL4119">
        <v>94.731289699773797</v>
      </c>
      <c r="AM4119">
        <v>95.723470289579694</v>
      </c>
      <c r="AN4119">
        <v>1.0000000204084301</v>
      </c>
    </row>
    <row r="4120" spans="1:40" x14ac:dyDescent="0.25">
      <c r="A4120" t="str">
        <f>"20190305135015496"</f>
        <v>20190305135015496</v>
      </c>
      <c r="B4120" t="str">
        <f>"1551765015484619"</f>
        <v>1551765015484619</v>
      </c>
      <c r="C4120" t="s">
        <v>40</v>
      </c>
      <c r="D4120">
        <v>4.0669810000000002</v>
      </c>
      <c r="E4120">
        <v>0.47693249999999998</v>
      </c>
      <c r="F4120" t="s">
        <v>74</v>
      </c>
      <c r="G4120">
        <v>-237.2919</v>
      </c>
      <c r="H4120" s="1">
        <v>2.2033990000000001E-6</v>
      </c>
      <c r="I4120">
        <v>217.82320000000001</v>
      </c>
      <c r="J4120">
        <v>-262.32229999999998</v>
      </c>
      <c r="K4120">
        <v>1.1091489999999999</v>
      </c>
      <c r="L4120">
        <v>214.45</v>
      </c>
      <c r="M4120">
        <v>0.99941000000000002</v>
      </c>
      <c r="N4120">
        <v>-1.4537980000000001E-2</v>
      </c>
      <c r="O4120">
        <v>-3.1117880000000001E-2</v>
      </c>
      <c r="P4120">
        <v>0.99297570000000002</v>
      </c>
      <c r="Q4120">
        <v>-9.6933599999999995E-2</v>
      </c>
      <c r="R4120">
        <v>6.7847329999999997E-2</v>
      </c>
      <c r="S4120">
        <v>2.9814759999999998</v>
      </c>
      <c r="T4120">
        <v>-0.12990389999999999</v>
      </c>
      <c r="U4120">
        <v>0.39350889999999999</v>
      </c>
      <c r="V4120">
        <v>-9.8750569999999996E-2</v>
      </c>
      <c r="W4120">
        <v>-8.2484950000000001E-2</v>
      </c>
      <c r="X4120">
        <v>0.99168769999999995</v>
      </c>
      <c r="Y4120">
        <v>-0.1614255</v>
      </c>
      <c r="Z4120">
        <v>5.5788340000000004E-3</v>
      </c>
      <c r="AA4120">
        <v>0.9868692</v>
      </c>
      <c r="AB4120">
        <v>44</v>
      </c>
      <c r="AC4120">
        <v>25.030399999999901</v>
      </c>
      <c r="AD4120">
        <v>-1.109146796601</v>
      </c>
      <c r="AE4120">
        <v>3.3732000000000202</v>
      </c>
      <c r="AF4120">
        <v>-4.1425523578869798</v>
      </c>
      <c r="AG4120">
        <v>-1.109146796601</v>
      </c>
      <c r="AH4120">
        <v>24.8653443236574</v>
      </c>
      <c r="AI4120">
        <v>92.519371895406806</v>
      </c>
      <c r="AJ4120">
        <v>99.458574282231993</v>
      </c>
      <c r="AK4120">
        <v>25.232445283568701</v>
      </c>
      <c r="AL4120">
        <v>94.731415279274302</v>
      </c>
      <c r="AM4120">
        <v>95.6866694308398</v>
      </c>
      <c r="AN4120">
        <v>0.99999996819155801</v>
      </c>
    </row>
    <row r="4121" spans="1:40" x14ac:dyDescent="0.25">
      <c r="A4121" t="str">
        <f>"20190305135015516"</f>
        <v>20190305135015516</v>
      </c>
      <c r="B4121" t="str">
        <f>"1551765015514875"</f>
        <v>1551765015514875</v>
      </c>
      <c r="C4121" t="s">
        <v>40</v>
      </c>
      <c r="D4121">
        <v>4.0699189999999996</v>
      </c>
      <c r="E4121">
        <v>0.47655750000000002</v>
      </c>
      <c r="F4121" t="s">
        <v>74</v>
      </c>
      <c r="G4121">
        <v>-236.9794</v>
      </c>
      <c r="H4121" s="1">
        <v>2.0384139999999998E-6</v>
      </c>
      <c r="I4121">
        <v>217.7936</v>
      </c>
      <c r="J4121">
        <v>-261.9033</v>
      </c>
      <c r="K4121">
        <v>1.109154</v>
      </c>
      <c r="L4121">
        <v>214.43690000000001</v>
      </c>
      <c r="M4121">
        <v>0.99940640000000003</v>
      </c>
      <c r="N4121">
        <v>-1.453542E-2</v>
      </c>
      <c r="O4121">
        <v>-3.1234399999999999E-2</v>
      </c>
      <c r="P4121">
        <v>0.99293699999999996</v>
      </c>
      <c r="Q4121">
        <v>-9.7603780000000001E-2</v>
      </c>
      <c r="R4121">
        <v>6.7451730000000001E-2</v>
      </c>
      <c r="S4121">
        <v>2.981598</v>
      </c>
      <c r="T4121">
        <v>-0.13049149999999901</v>
      </c>
      <c r="U4121">
        <v>0.39337159999999999</v>
      </c>
      <c r="V4121">
        <v>-9.8469340000000002E-2</v>
      </c>
      <c r="W4121">
        <v>-8.3158720000000005E-2</v>
      </c>
      <c r="X4121">
        <v>0.99165939999999997</v>
      </c>
      <c r="Y4121">
        <v>-0.16148870000000001</v>
      </c>
      <c r="Z4121">
        <v>5.6056730000000003E-3</v>
      </c>
      <c r="AA4121">
        <v>0.98685860000000003</v>
      </c>
      <c r="AB4121">
        <v>44</v>
      </c>
      <c r="AC4121">
        <v>24.9239</v>
      </c>
      <c r="AD4121">
        <v>-1.1091519615859999</v>
      </c>
      <c r="AE4121">
        <v>3.35669999999998</v>
      </c>
      <c r="AF4121">
        <v>-4.1256024466854697</v>
      </c>
      <c r="AG4121">
        <v>-1.1091519615859999</v>
      </c>
      <c r="AH4121">
        <v>24.758722797169298</v>
      </c>
      <c r="AI4121">
        <v>92.530205618588397</v>
      </c>
      <c r="AJ4121">
        <v>99.460405273922603</v>
      </c>
      <c r="AK4121">
        <v>25.124592895588499</v>
      </c>
      <c r="AL4121">
        <v>94.770152514799193</v>
      </c>
      <c r="AM4121">
        <v>95.670740934655299</v>
      </c>
      <c r="AN4121">
        <v>0.99999997462021595</v>
      </c>
    </row>
    <row r="4122" spans="1:40" x14ac:dyDescent="0.25">
      <c r="A4122" t="str">
        <f>"20190305135015540"</f>
        <v>20190305135015540</v>
      </c>
      <c r="B4122" t="str">
        <f>"1551765015534399"</f>
        <v>1551765015534399</v>
      </c>
      <c r="C4122" t="s">
        <v>40</v>
      </c>
      <c r="D4122">
        <v>4.1395839999999904</v>
      </c>
      <c r="E4122">
        <v>0.47636539999999999</v>
      </c>
      <c r="F4122" t="s">
        <v>74</v>
      </c>
      <c r="G4122">
        <v>-237.2047</v>
      </c>
      <c r="H4122" s="1">
        <v>2.161946E-6</v>
      </c>
      <c r="I4122">
        <v>217.7107</v>
      </c>
      <c r="J4122">
        <v>-261.44600000000003</v>
      </c>
      <c r="K4122">
        <v>1.109164</v>
      </c>
      <c r="L4122">
        <v>214.42250000000001</v>
      </c>
      <c r="M4122">
        <v>0.99940289999999998</v>
      </c>
      <c r="N4122">
        <v>-1.453262E-2</v>
      </c>
      <c r="O4122">
        <v>-3.1352409999999997E-2</v>
      </c>
      <c r="P4122">
        <v>0.99291949999999995</v>
      </c>
      <c r="Q4122">
        <v>-9.7895529999999994E-2</v>
      </c>
      <c r="R4122">
        <v>6.7287609999999998E-2</v>
      </c>
      <c r="S4122">
        <v>2.9813230000000002</v>
      </c>
      <c r="T4122">
        <v>-0.13388410000000001</v>
      </c>
      <c r="U4122">
        <v>0.39517210000000003</v>
      </c>
      <c r="V4122">
        <v>-9.8420560000000004E-2</v>
      </c>
      <c r="W4122">
        <v>-8.3454890000000004E-2</v>
      </c>
      <c r="X4122">
        <v>0.99163939999999995</v>
      </c>
      <c r="Y4122">
        <v>-0.16219140000000001</v>
      </c>
      <c r="Z4122">
        <v>5.7570010000000003E-3</v>
      </c>
      <c r="AA4122">
        <v>0.98674260000000003</v>
      </c>
      <c r="AB4122">
        <v>44</v>
      </c>
      <c r="AC4122">
        <v>24.241299999999899</v>
      </c>
      <c r="AD4122">
        <v>-1.109161838054</v>
      </c>
      <c r="AE4122">
        <v>3.2881999999999798</v>
      </c>
      <c r="AF4122">
        <v>-4.0383847667313999</v>
      </c>
      <c r="AG4122">
        <v>-1.109161838054</v>
      </c>
      <c r="AH4122">
        <v>24.0767817557293</v>
      </c>
      <c r="AI4122">
        <v>92.601332583462096</v>
      </c>
      <c r="AJ4122">
        <v>99.521557843594593</v>
      </c>
      <c r="AK4122">
        <v>24.438293950687001</v>
      </c>
      <c r="AL4122">
        <v>94.787180816644295</v>
      </c>
      <c r="AM4122">
        <v>95.668063614364897</v>
      </c>
      <c r="AN4122">
        <v>1.0000000124639901</v>
      </c>
    </row>
    <row r="4123" spans="1:40" x14ac:dyDescent="0.25">
      <c r="A4123" t="str">
        <f>"20190305135015561"</f>
        <v>20190305135015561</v>
      </c>
      <c r="B4123" t="str">
        <f>"1551765015554895"</f>
        <v>1551765015554895</v>
      </c>
      <c r="C4123" t="s">
        <v>40</v>
      </c>
      <c r="D4123">
        <v>4.6054370000000002</v>
      </c>
      <c r="E4123">
        <v>0.47631479999999998</v>
      </c>
      <c r="F4123" t="s">
        <v>74</v>
      </c>
      <c r="G4123">
        <v>-237.0402</v>
      </c>
      <c r="H4123" s="1">
        <v>2.076318E-6</v>
      </c>
      <c r="I4123">
        <v>217.6671</v>
      </c>
      <c r="J4123">
        <v>-261.01569999999998</v>
      </c>
      <c r="K4123">
        <v>1.1091770000000001</v>
      </c>
      <c r="L4123">
        <v>214.40889999999999</v>
      </c>
      <c r="M4123">
        <v>0.99939979999999995</v>
      </c>
      <c r="N4123">
        <v>-1.453013E-2</v>
      </c>
      <c r="O4123">
        <v>-3.1446370000000001E-2</v>
      </c>
      <c r="P4123">
        <v>0.99285769999999995</v>
      </c>
      <c r="Q4123">
        <v>-9.8648559999999996E-2</v>
      </c>
      <c r="R4123">
        <v>6.7099359999999997E-2</v>
      </c>
      <c r="S4123">
        <v>2.9811709999999998</v>
      </c>
      <c r="T4123">
        <v>-0.135484299999999</v>
      </c>
      <c r="U4123">
        <v>0.39633180000000001</v>
      </c>
      <c r="V4123">
        <v>-9.8322049999999994E-2</v>
      </c>
      <c r="W4123">
        <v>-8.4213880000000005E-2</v>
      </c>
      <c r="X4123">
        <v>0.99158500000000005</v>
      </c>
      <c r="Y4123">
        <v>-0.16266220000000001</v>
      </c>
      <c r="Z4123">
        <v>5.8340609999999998E-3</v>
      </c>
      <c r="AA4123">
        <v>0.9866646</v>
      </c>
      <c r="AB4123">
        <v>44</v>
      </c>
      <c r="AC4123">
        <v>23.975499999999901</v>
      </c>
      <c r="AD4123">
        <v>-1.1091749236820001</v>
      </c>
      <c r="AE4123">
        <v>3.2582000000000102</v>
      </c>
      <c r="AF4123">
        <v>-4.0021999561892603</v>
      </c>
      <c r="AG4123">
        <v>-1.1091749236820001</v>
      </c>
      <c r="AH4123">
        <v>23.811133096075501</v>
      </c>
      <c r="AI4123">
        <v>92.6301939627336</v>
      </c>
      <c r="AJ4123">
        <v>99.541151358654503</v>
      </c>
      <c r="AK4123">
        <v>24.170600588724898</v>
      </c>
      <c r="AL4123">
        <v>94.830821391873897</v>
      </c>
      <c r="AM4123">
        <v>95.662735917362795</v>
      </c>
      <c r="AN4123">
        <v>1.0000000076629201</v>
      </c>
    </row>
    <row r="4124" spans="1:40" x14ac:dyDescent="0.25">
      <c r="A4124" t="str">
        <f>"20190305135015583"</f>
        <v>20190305135015583</v>
      </c>
      <c r="B4124" t="str">
        <f>"1551765015574411"</f>
        <v>1551765015574411</v>
      </c>
      <c r="C4124" t="s">
        <v>40</v>
      </c>
      <c r="D4124">
        <v>4.0894579999999996</v>
      </c>
      <c r="E4124">
        <v>0.53646769999999999</v>
      </c>
      <c r="F4124" t="s">
        <v>74</v>
      </c>
      <c r="G4124">
        <v>-236.93199999999999</v>
      </c>
      <c r="H4124" s="1">
        <v>2.021307E-6</v>
      </c>
      <c r="I4124">
        <v>217.60740000000001</v>
      </c>
      <c r="J4124">
        <v>-260.5881</v>
      </c>
      <c r="K4124">
        <v>1.109173</v>
      </c>
      <c r="L4124">
        <v>214.3954</v>
      </c>
      <c r="M4124">
        <v>0.9993976</v>
      </c>
      <c r="N4124">
        <v>-1.452762E-2</v>
      </c>
      <c r="O4124">
        <v>-3.1519249999999999E-2</v>
      </c>
      <c r="P4124">
        <v>0.99263020000000002</v>
      </c>
      <c r="Q4124">
        <v>-0.1014887</v>
      </c>
      <c r="R4124">
        <v>6.622691E-2</v>
      </c>
      <c r="S4124">
        <v>2.9811399999999999</v>
      </c>
      <c r="T4124">
        <v>-0.1372961</v>
      </c>
      <c r="U4124">
        <v>0.39591979999999999</v>
      </c>
      <c r="V4124">
        <v>-9.7512680000000004E-2</v>
      </c>
      <c r="W4124">
        <v>-8.7063399999999902E-2</v>
      </c>
      <c r="X4124">
        <v>0.99141880000000004</v>
      </c>
      <c r="Y4124">
        <v>-0.16259579999999901</v>
      </c>
      <c r="Z4124">
        <v>5.902465E-3</v>
      </c>
      <c r="AA4124">
        <v>0.98667510000000003</v>
      </c>
      <c r="AB4124">
        <v>44</v>
      </c>
      <c r="AC4124">
        <v>23.656099999999899</v>
      </c>
      <c r="AD4124">
        <v>-1.109170978693</v>
      </c>
      <c r="AE4124">
        <v>3.21200000000001</v>
      </c>
      <c r="AF4124">
        <v>-3.9475836122036601</v>
      </c>
      <c r="AG4124">
        <v>-1.109170978693</v>
      </c>
      <c r="AH4124">
        <v>23.492382136639002</v>
      </c>
      <c r="AI4124">
        <v>92.665839803583395</v>
      </c>
      <c r="AJ4124">
        <v>99.538683730103998</v>
      </c>
      <c r="AK4124">
        <v>23.847551134009301</v>
      </c>
      <c r="AL4124">
        <v>94.994688973214807</v>
      </c>
      <c r="AM4124">
        <v>95.617356029669594</v>
      </c>
      <c r="AN4124">
        <v>0.99999999768689096</v>
      </c>
    </row>
    <row r="4125" spans="1:40" x14ac:dyDescent="0.25">
      <c r="A4125" t="str">
        <f>"20190305135015606"</f>
        <v>20190305135015606</v>
      </c>
      <c r="B4125" t="str">
        <f>"1551765015594911"</f>
        <v>1551765015594911</v>
      </c>
      <c r="C4125" t="s">
        <v>40</v>
      </c>
      <c r="D4125">
        <v>4.0342289999999998</v>
      </c>
      <c r="E4125">
        <v>0.55350880000000002</v>
      </c>
      <c r="F4125" t="s">
        <v>62</v>
      </c>
      <c r="G4125">
        <v>-179.95179999999999</v>
      </c>
      <c r="H4125">
        <v>5.5898089999999998E-2</v>
      </c>
      <c r="I4125">
        <v>212.21950000000001</v>
      </c>
      <c r="J4125">
        <v>-260.14710000000002</v>
      </c>
      <c r="K4125">
        <v>1.1091789999999999</v>
      </c>
      <c r="L4125">
        <v>214.38140000000001</v>
      </c>
      <c r="M4125">
        <v>0.9993959</v>
      </c>
      <c r="N4125">
        <v>-1.452472E-2</v>
      </c>
      <c r="O4125">
        <v>-3.1573469999999999E-2</v>
      </c>
      <c r="P4125">
        <v>0.99221519999999996</v>
      </c>
      <c r="Q4125">
        <v>-0.1061363</v>
      </c>
      <c r="R4125">
        <v>6.5146480000000007E-2</v>
      </c>
      <c r="S4125">
        <v>3.023682</v>
      </c>
      <c r="T4125">
        <v>-3.9495469999999998E-2</v>
      </c>
      <c r="U4125">
        <v>-8.1588750000000002E-2</v>
      </c>
      <c r="V4125">
        <v>-9.6470360000000005E-2</v>
      </c>
      <c r="W4125">
        <v>-9.1723990000000005E-2</v>
      </c>
      <c r="X4125">
        <v>0.99110050000000005</v>
      </c>
      <c r="Y4125">
        <v>-4.6044679999999996E-3</v>
      </c>
      <c r="Z4125" s="1">
        <v>1.7096699999999998E-5</v>
      </c>
      <c r="AA4125">
        <v>0.99998940000000003</v>
      </c>
      <c r="AB4125">
        <v>44</v>
      </c>
      <c r="AC4125">
        <v>80.195300000000003</v>
      </c>
      <c r="AD4125">
        <v>-1.05328091</v>
      </c>
      <c r="AE4125">
        <v>-2.1619000000000002</v>
      </c>
      <c r="AF4125">
        <v>-0.37142506303999001</v>
      </c>
      <c r="AG4125">
        <v>-1.05328091</v>
      </c>
      <c r="AH4125">
        <v>80.209748592922793</v>
      </c>
      <c r="AI4125">
        <v>90.752332933212401</v>
      </c>
      <c r="AJ4125">
        <v>90.265316084164695</v>
      </c>
      <c r="AK4125">
        <v>80.217523812398397</v>
      </c>
      <c r="AL4125">
        <v>95.262794687250704</v>
      </c>
      <c r="AM4125">
        <v>95.559463366980196</v>
      </c>
      <c r="AN4125">
        <v>1.0000000109001499</v>
      </c>
    </row>
    <row r="4126" spans="1:40" x14ac:dyDescent="0.25">
      <c r="A4126" t="str">
        <f>"20190305135015629"</f>
        <v>20190305135015629</v>
      </c>
      <c r="B4126" t="str">
        <f>"1551765015624187"</f>
        <v>1551765015624187</v>
      </c>
      <c r="C4126" t="s">
        <v>40</v>
      </c>
      <c r="D4126">
        <v>4.0258580000000004</v>
      </c>
      <c r="E4126">
        <v>0.55784509999999998</v>
      </c>
      <c r="F4126" t="s">
        <v>62</v>
      </c>
      <c r="G4126">
        <v>-202.2337</v>
      </c>
      <c r="H4126" s="1">
        <v>3.5964570000000001E-6</v>
      </c>
      <c r="I4126">
        <v>210.1678</v>
      </c>
      <c r="J4126">
        <v>-259.70690000000002</v>
      </c>
      <c r="K4126">
        <v>1.1092059999999999</v>
      </c>
      <c r="L4126">
        <v>214.3674</v>
      </c>
      <c r="M4126">
        <v>0.99939529999999999</v>
      </c>
      <c r="N4126">
        <v>-1.452171E-2</v>
      </c>
      <c r="O4126">
        <v>-3.1597930000000003E-2</v>
      </c>
      <c r="P4126">
        <v>0.99194349999999998</v>
      </c>
      <c r="Q4126">
        <v>-0.10912760000000001</v>
      </c>
      <c r="R4126">
        <v>6.4338930000000003E-2</v>
      </c>
      <c r="S4126">
        <v>3.0317989999999999</v>
      </c>
      <c r="T4126">
        <v>-5.8066010000000001E-2</v>
      </c>
      <c r="U4126">
        <v>-0.2205811</v>
      </c>
      <c r="V4126">
        <v>-9.5673930000000004E-2</v>
      </c>
      <c r="W4126">
        <v>-9.4727279999999997E-2</v>
      </c>
      <c r="X4126">
        <v>0.99089519999999998</v>
      </c>
      <c r="Y4126">
        <v>4.0996989999999997E-2</v>
      </c>
      <c r="Z4126">
        <v>-5.4455219999999997E-4</v>
      </c>
      <c r="AA4126">
        <v>0.99915909999999997</v>
      </c>
      <c r="AB4126">
        <v>44</v>
      </c>
      <c r="AC4126">
        <v>57.473199999999999</v>
      </c>
      <c r="AD4126">
        <v>-1.1092024035429999</v>
      </c>
      <c r="AE4126">
        <v>-4.1996000000000002</v>
      </c>
      <c r="AF4126">
        <v>2.3803952031736699</v>
      </c>
      <c r="AG4126">
        <v>-1.1092024035429999</v>
      </c>
      <c r="AH4126">
        <v>57.555884007959001</v>
      </c>
      <c r="AI4126">
        <v>91.103110278253595</v>
      </c>
      <c r="AJ4126">
        <v>87.631711883680296</v>
      </c>
      <c r="AK4126">
        <v>57.6157651622622</v>
      </c>
      <c r="AL4126">
        <v>95.435623168312205</v>
      </c>
      <c r="AM4126">
        <v>95.514985492995095</v>
      </c>
      <c r="AN4126">
        <v>1.00000002792044</v>
      </c>
    </row>
    <row r="4127" spans="1:40" x14ac:dyDescent="0.25">
      <c r="A4127" t="str">
        <f>"20190305135015652"</f>
        <v>20190305135015652</v>
      </c>
      <c r="B4127" t="str">
        <f>"1551765015644686"</f>
        <v>1551765015644686</v>
      </c>
      <c r="C4127" t="s">
        <v>40</v>
      </c>
      <c r="D4127">
        <v>4.045839</v>
      </c>
      <c r="E4127">
        <v>0.55876789999999998</v>
      </c>
      <c r="F4127" t="s">
        <v>62</v>
      </c>
      <c r="G4127">
        <v>-206.65940000000001</v>
      </c>
      <c r="H4127" s="1">
        <v>5.5855750000000003E-6</v>
      </c>
      <c r="I4127">
        <v>209.8647</v>
      </c>
      <c r="J4127">
        <v>-259.25310000000002</v>
      </c>
      <c r="K4127">
        <v>1.1092569999999999</v>
      </c>
      <c r="L4127">
        <v>214.35310000000001</v>
      </c>
      <c r="M4127">
        <v>0.99939639999999996</v>
      </c>
      <c r="N4127">
        <v>-1.451879E-2</v>
      </c>
      <c r="O4127">
        <v>-3.1564099999999998E-2</v>
      </c>
      <c r="P4127">
        <v>0.99193849999999995</v>
      </c>
      <c r="Q4127">
        <v>-0.10913339999999901</v>
      </c>
      <c r="R4127">
        <v>6.4407430000000002E-2</v>
      </c>
      <c r="S4127">
        <v>3.0340880000000001</v>
      </c>
      <c r="T4127">
        <v>-6.3441510000000007E-2</v>
      </c>
      <c r="U4127">
        <v>-0.25753779999999998</v>
      </c>
      <c r="V4127">
        <v>-9.5700229999999997E-2</v>
      </c>
      <c r="W4127">
        <v>-9.4744770000000006E-2</v>
      </c>
      <c r="X4127">
        <v>0.99089099999999997</v>
      </c>
      <c r="Y4127">
        <v>5.3061940000000002E-2</v>
      </c>
      <c r="Z4127">
        <v>-7.3891199999999999E-4</v>
      </c>
      <c r="AA4127">
        <v>0.99859089999999995</v>
      </c>
      <c r="AB4127">
        <v>44</v>
      </c>
      <c r="AC4127">
        <v>52.593699999999998</v>
      </c>
      <c r="AD4127">
        <v>-1.1092514144250001</v>
      </c>
      <c r="AE4127">
        <v>-4.4884000000000102</v>
      </c>
      <c r="AF4127">
        <v>2.82466809229784</v>
      </c>
      <c r="AG4127">
        <v>-1.1092514144250001</v>
      </c>
      <c r="AH4127">
        <v>52.685909085714499</v>
      </c>
      <c r="AI4127">
        <v>91.2044004261694</v>
      </c>
      <c r="AJ4127">
        <v>86.931119447724598</v>
      </c>
      <c r="AK4127">
        <v>52.773233790627501</v>
      </c>
      <c r="AL4127">
        <v>95.436629734775195</v>
      </c>
      <c r="AM4127">
        <v>95.516515406092495</v>
      </c>
      <c r="AN4127">
        <v>1.0000000396727</v>
      </c>
    </row>
    <row r="4128" spans="1:40" x14ac:dyDescent="0.25">
      <c r="A4128" t="str">
        <f>"20190305135015674"</f>
        <v>20190305135015674</v>
      </c>
      <c r="B4128" t="str">
        <f>"1551765015664204"</f>
        <v>1551765015664204</v>
      </c>
      <c r="C4128" t="s">
        <v>40</v>
      </c>
      <c r="D4128">
        <v>4.0535809999999897</v>
      </c>
      <c r="E4128">
        <v>0.55948500000000001</v>
      </c>
      <c r="F4128" t="s">
        <v>62</v>
      </c>
      <c r="G4128">
        <v>-205.44390000000001</v>
      </c>
      <c r="H4128" s="1">
        <v>5.0644350000000001E-6</v>
      </c>
      <c r="I4128">
        <v>209.66</v>
      </c>
      <c r="J4128">
        <v>-258.8152</v>
      </c>
      <c r="K4128">
        <v>1.10931</v>
      </c>
      <c r="L4128">
        <v>214.33930000000001</v>
      </c>
      <c r="M4128">
        <v>0.99939979999999995</v>
      </c>
      <c r="N4128">
        <v>-1.451593E-2</v>
      </c>
      <c r="O4128">
        <v>-3.1457279999999997E-2</v>
      </c>
      <c r="P4128">
        <v>0.99180630000000003</v>
      </c>
      <c r="Q4128">
        <v>-0.1100201</v>
      </c>
      <c r="R4128">
        <v>6.4929599999999907E-2</v>
      </c>
      <c r="S4128">
        <v>3.0346980000000001</v>
      </c>
      <c r="T4128">
        <v>-6.2559009999999998E-2</v>
      </c>
      <c r="U4128">
        <v>-0.264679</v>
      </c>
      <c r="V4128">
        <v>-9.609964E-2</v>
      </c>
      <c r="W4128">
        <v>-9.5648590000000006E-2</v>
      </c>
      <c r="X4128">
        <v>0.99076549999999997</v>
      </c>
      <c r="Y4128">
        <v>5.5483659999999997E-2</v>
      </c>
      <c r="Z4128">
        <v>-7.8340739999999999E-4</v>
      </c>
      <c r="AA4128">
        <v>0.99845930000000005</v>
      </c>
      <c r="AB4128">
        <v>44</v>
      </c>
      <c r="AC4128">
        <v>53.371299999999898</v>
      </c>
      <c r="AD4128">
        <v>-1.109304935565</v>
      </c>
      <c r="AE4128">
        <v>-4.6793000000000102</v>
      </c>
      <c r="AF4128">
        <v>2.9966064030089901</v>
      </c>
      <c r="AG4128">
        <v>-1.109304935565</v>
      </c>
      <c r="AH4128">
        <v>53.469171763807502</v>
      </c>
      <c r="AI4128">
        <v>91.186662042692703</v>
      </c>
      <c r="AJ4128">
        <v>86.792292156003199</v>
      </c>
      <c r="AK4128">
        <v>53.564564186429898</v>
      </c>
      <c r="AL4128">
        <v>95.488651088606701</v>
      </c>
      <c r="AM4128">
        <v>95.5400932785343</v>
      </c>
      <c r="AN4128">
        <v>1.0000000347836799</v>
      </c>
    </row>
    <row r="4129" spans="1:40" x14ac:dyDescent="0.25">
      <c r="A4129" t="str">
        <f>"20190305135015695"</f>
        <v>20190305135015695</v>
      </c>
      <c r="B4129" t="str">
        <f>"1551765015684699"</f>
        <v>1551765015684699</v>
      </c>
      <c r="C4129" t="s">
        <v>40</v>
      </c>
      <c r="D4129">
        <v>4.0901059999999996</v>
      </c>
      <c r="E4129">
        <v>0.562417099999999</v>
      </c>
      <c r="F4129" t="s">
        <v>62</v>
      </c>
      <c r="G4129">
        <v>-206.77959999999999</v>
      </c>
      <c r="H4129" s="1">
        <v>5.6501379999999899E-6</v>
      </c>
      <c r="I4129">
        <v>209.73570000000001</v>
      </c>
      <c r="J4129">
        <v>-258.39830000000001</v>
      </c>
      <c r="K4129">
        <v>1.1093599999999999</v>
      </c>
      <c r="L4129">
        <v>214.3263</v>
      </c>
      <c r="M4129">
        <v>0.99940499999999999</v>
      </c>
      <c r="N4129">
        <v>-1.451329E-2</v>
      </c>
      <c r="O4129">
        <v>-3.1292189999999998E-2</v>
      </c>
      <c r="P4129">
        <v>0.99174300000000004</v>
      </c>
      <c r="Q4129">
        <v>-0.1107515</v>
      </c>
      <c r="R4129">
        <v>6.4652780000000007E-2</v>
      </c>
      <c r="S4129">
        <v>3.0351870000000001</v>
      </c>
      <c r="T4129">
        <v>-6.4704659999999997E-2</v>
      </c>
      <c r="U4129">
        <v>-0.26852419999999999</v>
      </c>
      <c r="V4129">
        <v>-9.5643889999999995E-2</v>
      </c>
      <c r="W4129">
        <v>-9.6397029999999995E-2</v>
      </c>
      <c r="X4129">
        <v>0.99073699999999998</v>
      </c>
      <c r="Y4129">
        <v>5.6888389999999997E-2</v>
      </c>
      <c r="Z4129">
        <v>-8.0693399999999895E-4</v>
      </c>
      <c r="AA4129">
        <v>0.99838020000000005</v>
      </c>
      <c r="AB4129">
        <v>44</v>
      </c>
      <c r="AC4129">
        <v>51.618699999999997</v>
      </c>
      <c r="AD4129">
        <v>-1.109354349862</v>
      </c>
      <c r="AE4129">
        <v>-4.5905999999999896</v>
      </c>
      <c r="AF4129">
        <v>2.9715575347374799</v>
      </c>
      <c r="AG4129">
        <v>-1.109354349862</v>
      </c>
      <c r="AH4129">
        <v>51.713383186147297</v>
      </c>
      <c r="AI4129">
        <v>91.226896056733693</v>
      </c>
      <c r="AJ4129">
        <v>86.711282949016393</v>
      </c>
      <c r="AK4129">
        <v>51.810566700366401</v>
      </c>
      <c r="AL4129">
        <v>95.531732963004998</v>
      </c>
      <c r="AM4129">
        <v>95.514139479038903</v>
      </c>
      <c r="AN4129">
        <v>0.99999997212807601</v>
      </c>
    </row>
    <row r="4130" spans="1:40" x14ac:dyDescent="0.25">
      <c r="A4130" t="str">
        <f>"20190305135015717"</f>
        <v>20190305135015717</v>
      </c>
      <c r="B4130" t="str">
        <f>"1551765015714955"</f>
        <v>1551765015714955</v>
      </c>
      <c r="C4130" t="s">
        <v>40</v>
      </c>
      <c r="D4130">
        <v>4.0784190000000002</v>
      </c>
      <c r="E4130">
        <v>0.5653958</v>
      </c>
      <c r="F4130" t="s">
        <v>62</v>
      </c>
      <c r="G4130">
        <v>-190.28020000000001</v>
      </c>
      <c r="H4130" s="1">
        <v>4.9874509999999901E-6</v>
      </c>
      <c r="I4130">
        <v>207.7783</v>
      </c>
      <c r="J4130">
        <v>-257.95979999999997</v>
      </c>
      <c r="K4130">
        <v>1.1094379999999999</v>
      </c>
      <c r="L4130">
        <v>214.31280000000001</v>
      </c>
      <c r="M4130">
        <v>0.99941310000000005</v>
      </c>
      <c r="N4130">
        <v>-1.451067E-2</v>
      </c>
      <c r="O4130">
        <v>-3.1034099999999998E-2</v>
      </c>
      <c r="P4130">
        <v>0.99202920000000006</v>
      </c>
      <c r="Q4130">
        <v>-0.1085767</v>
      </c>
      <c r="R4130">
        <v>6.3948290000000005E-2</v>
      </c>
      <c r="S4130">
        <v>3.0384980000000001</v>
      </c>
      <c r="T4130">
        <v>-4.948425E-2</v>
      </c>
      <c r="U4130">
        <v>-0.2920837</v>
      </c>
      <c r="V4130">
        <v>-9.4676129999999997E-2</v>
      </c>
      <c r="W4130">
        <v>-9.4237470000000004E-2</v>
      </c>
      <c r="X4130">
        <v>0.99103770000000002</v>
      </c>
      <c r="Y4130">
        <v>6.4729439999999999E-2</v>
      </c>
      <c r="Z4130">
        <v>-9.4219720000000005E-4</v>
      </c>
      <c r="AA4130">
        <v>0.99790239999999997</v>
      </c>
      <c r="AB4130">
        <v>44</v>
      </c>
      <c r="AC4130">
        <v>67.679599999999894</v>
      </c>
      <c r="AD4130">
        <v>-1.109433012549</v>
      </c>
      <c r="AE4130">
        <v>-6.5345000000000004</v>
      </c>
      <c r="AF4130">
        <v>4.4295761493497796</v>
      </c>
      <c r="AG4130">
        <v>-1.109433012549</v>
      </c>
      <c r="AH4130">
        <v>67.831748474001301</v>
      </c>
      <c r="AI4130">
        <v>90.935035530037098</v>
      </c>
      <c r="AJ4130">
        <v>86.263752867187193</v>
      </c>
      <c r="AK4130">
        <v>67.985278461681702</v>
      </c>
      <c r="AL4130">
        <v>95.407433185333602</v>
      </c>
      <c r="AM4130">
        <v>95.457037833141399</v>
      </c>
      <c r="AN4130">
        <v>0.99999999658253302</v>
      </c>
    </row>
    <row r="4131" spans="1:40" x14ac:dyDescent="0.25">
      <c r="A4131" t="str">
        <f>"20190305135015740"</f>
        <v>20190305135015740</v>
      </c>
      <c r="B4131" t="str">
        <f>"1551765015734479"</f>
        <v>1551765015734479</v>
      </c>
      <c r="C4131" t="s">
        <v>40</v>
      </c>
      <c r="D4131">
        <v>4.0523099999999896</v>
      </c>
      <c r="E4131">
        <v>0.56697889999999995</v>
      </c>
      <c r="F4131" t="s">
        <v>54</v>
      </c>
      <c r="G4131">
        <v>-177.78739999999999</v>
      </c>
      <c r="H4131">
        <v>0.45648349999999999</v>
      </c>
      <c r="I4131">
        <v>205.9401</v>
      </c>
      <c r="J4131">
        <v>-257.51760000000002</v>
      </c>
      <c r="K4131">
        <v>1.1095250000000001</v>
      </c>
      <c r="L4131">
        <v>214.29929999999999</v>
      </c>
      <c r="M4131">
        <v>0.9994246</v>
      </c>
      <c r="N4131">
        <v>-1.450831E-2</v>
      </c>
      <c r="O4131">
        <v>-3.0664899999999998E-2</v>
      </c>
      <c r="P4131">
        <v>0.9921932</v>
      </c>
      <c r="Q4131">
        <v>-0.1078808</v>
      </c>
      <c r="R4131">
        <v>6.2566029999999995E-2</v>
      </c>
      <c r="S4131">
        <v>3.0418699999999999</v>
      </c>
      <c r="T4131">
        <v>-2.4774190000000001E-2</v>
      </c>
      <c r="U4131">
        <v>-0.31767269999999997</v>
      </c>
      <c r="V4131">
        <v>-9.2913609999999994E-2</v>
      </c>
      <c r="W4131">
        <v>-9.3560630000000006E-2</v>
      </c>
      <c r="X4131">
        <v>0.99126860000000006</v>
      </c>
      <c r="Y4131">
        <v>7.3311269999999998E-2</v>
      </c>
      <c r="Z4131">
        <v>-1.0260410000000001E-3</v>
      </c>
      <c r="AA4131">
        <v>0.99730859999999999</v>
      </c>
      <c r="AB4131">
        <v>44</v>
      </c>
      <c r="AC4131">
        <v>79.730199999999996</v>
      </c>
      <c r="AD4131">
        <v>-0.65304149999999905</v>
      </c>
      <c r="AE4131">
        <v>-8.35919999999998</v>
      </c>
      <c r="AF4131">
        <v>5.9097003399989596</v>
      </c>
      <c r="AG4131">
        <v>-0.65304149999999905</v>
      </c>
      <c r="AH4131">
        <v>79.943752833221197</v>
      </c>
      <c r="AI4131">
        <v>90.466751661701593</v>
      </c>
      <c r="AJ4131">
        <v>85.772200924163002</v>
      </c>
      <c r="AK4131">
        <v>80.164547266035697</v>
      </c>
      <c r="AL4131">
        <v>95.368481075947003</v>
      </c>
      <c r="AM4131">
        <v>95.354803939257707</v>
      </c>
      <c r="AN4131">
        <v>0.99999998387759403</v>
      </c>
    </row>
    <row r="4132" spans="1:40" x14ac:dyDescent="0.25">
      <c r="A4132" t="str">
        <f>"20190305135015761"</f>
        <v>20190305135015761</v>
      </c>
      <c r="B4132" t="str">
        <f>"1551765015754972"</f>
        <v>1551765015754972</v>
      </c>
      <c r="C4132" t="s">
        <v>40</v>
      </c>
      <c r="D4132">
        <v>4.105213</v>
      </c>
      <c r="E4132">
        <v>0.56827329999999998</v>
      </c>
      <c r="F4132" t="s">
        <v>54</v>
      </c>
      <c r="G4132">
        <v>-177.71180000000001</v>
      </c>
      <c r="H4132">
        <v>0.79426629999999998</v>
      </c>
      <c r="I4132">
        <v>205.542</v>
      </c>
      <c r="J4132">
        <v>-257.0933</v>
      </c>
      <c r="K4132">
        <v>1.109618</v>
      </c>
      <c r="L4132">
        <v>214.2867</v>
      </c>
      <c r="M4132">
        <v>0.99943910000000002</v>
      </c>
      <c r="N4132">
        <v>-1.450632E-2</v>
      </c>
      <c r="O4132">
        <v>-3.0188570000000001E-2</v>
      </c>
      <c r="P4132">
        <v>0.99224659999999998</v>
      </c>
      <c r="Q4132">
        <v>-0.1077032</v>
      </c>
      <c r="R4132">
        <v>6.202353E-2</v>
      </c>
      <c r="S4132">
        <v>3.0433500000000002</v>
      </c>
      <c r="T4132">
        <v>-1.202226E-2</v>
      </c>
      <c r="U4132">
        <v>-0.33395390000000003</v>
      </c>
      <c r="V4132">
        <v>-9.187737E-2</v>
      </c>
      <c r="W4132">
        <v>-9.3406359999999994E-2</v>
      </c>
      <c r="X4132">
        <v>0.99137969999999997</v>
      </c>
      <c r="Y4132">
        <v>7.9015020000000005E-2</v>
      </c>
      <c r="Z4132">
        <v>-1.0485029999999999E-3</v>
      </c>
      <c r="AA4132">
        <v>0.99687289999999995</v>
      </c>
      <c r="AB4132">
        <v>44</v>
      </c>
      <c r="AC4132">
        <v>79.381499999999903</v>
      </c>
      <c r="AD4132">
        <v>-0.31535169999999901</v>
      </c>
      <c r="AE4132">
        <v>-8.7446999999999893</v>
      </c>
      <c r="AF4132">
        <v>6.3439488011420302</v>
      </c>
      <c r="AG4132">
        <v>-0.31535169999999901</v>
      </c>
      <c r="AH4132">
        <v>79.6080884408792</v>
      </c>
      <c r="AI4132">
        <v>90.226247470280796</v>
      </c>
      <c r="AJ4132">
        <v>85.443742050955294</v>
      </c>
      <c r="AK4132">
        <v>79.861084880541398</v>
      </c>
      <c r="AL4132">
        <v>95.359603336568298</v>
      </c>
      <c r="AM4132">
        <v>95.294834619039605</v>
      </c>
      <c r="AN4132">
        <v>0.99999995438932698</v>
      </c>
    </row>
    <row r="4133" spans="1:40" x14ac:dyDescent="0.25">
      <c r="A4133" t="str">
        <f>"20190305135015784"</f>
        <v>20190305135015784</v>
      </c>
      <c r="B4133" t="str">
        <f>"1551765015774492"</f>
        <v>1551765015774492</v>
      </c>
      <c r="C4133" t="s">
        <v>40</v>
      </c>
      <c r="D4133">
        <v>4.0416530000000002</v>
      </c>
      <c r="E4133">
        <v>0.56942869999999901</v>
      </c>
      <c r="F4133" t="s">
        <v>60</v>
      </c>
      <c r="G4133">
        <v>-168.41159999999999</v>
      </c>
      <c r="H4133">
        <v>1.0432490000000001</v>
      </c>
      <c r="I4133">
        <v>204.21340000000001</v>
      </c>
      <c r="J4133">
        <v>-256.65859999999998</v>
      </c>
      <c r="K4133">
        <v>1.1097440000000001</v>
      </c>
      <c r="L4133">
        <v>214.274</v>
      </c>
      <c r="M4133">
        <v>0.9994577</v>
      </c>
      <c r="N4133">
        <v>-1.4504639999999999E-2</v>
      </c>
      <c r="O4133">
        <v>-2.9563659999999999E-2</v>
      </c>
      <c r="P4133">
        <v>0.99220730000000001</v>
      </c>
      <c r="Q4133">
        <v>-0.1079912</v>
      </c>
      <c r="R4133">
        <v>6.2151310000000001E-2</v>
      </c>
      <c r="S4133">
        <v>3.0448149999999998</v>
      </c>
      <c r="T4133">
        <v>-2.2776129999999999E-3</v>
      </c>
      <c r="U4133">
        <v>-0.34585569999999999</v>
      </c>
      <c r="V4133">
        <v>-9.1356060000000003E-2</v>
      </c>
      <c r="W4133">
        <v>-9.3723299999999996E-2</v>
      </c>
      <c r="X4133">
        <v>0.991398</v>
      </c>
      <c r="Y4133">
        <v>8.3437709999999998E-2</v>
      </c>
      <c r="Z4133">
        <v>-1.0438520000000001E-3</v>
      </c>
      <c r="AA4133">
        <v>0.99651250000000002</v>
      </c>
      <c r="AB4133">
        <v>44</v>
      </c>
      <c r="AC4133">
        <v>88.2469999999999</v>
      </c>
      <c r="AD4133">
        <v>-6.6495000000000096E-2</v>
      </c>
      <c r="AE4133">
        <v>-10.0605999999999</v>
      </c>
      <c r="AF4133">
        <v>7.4470187390334903</v>
      </c>
      <c r="AG4133">
        <v>-6.6495000000000096E-2</v>
      </c>
      <c r="AH4133">
        <v>88.505828904642598</v>
      </c>
      <c r="AI4133">
        <v>90.042895103963403</v>
      </c>
      <c r="AJ4133">
        <v>85.190372638268997</v>
      </c>
      <c r="AK4133">
        <v>88.818603117716293</v>
      </c>
      <c r="AL4133">
        <v>95.377842479418007</v>
      </c>
      <c r="AM4133">
        <v>95.264864526915702</v>
      </c>
      <c r="AN4133">
        <v>0.99999999053280597</v>
      </c>
    </row>
    <row r="4134" spans="1:40" x14ac:dyDescent="0.25">
      <c r="A4134" t="str">
        <f>"20190305135015807"</f>
        <v>20190305135015807</v>
      </c>
      <c r="B4134" t="str">
        <f>"1551765015804747"</f>
        <v>1551765015804747</v>
      </c>
      <c r="C4134" t="s">
        <v>40</v>
      </c>
      <c r="D4134">
        <v>4.0756680000000003</v>
      </c>
      <c r="E4134">
        <v>0.57058659999999894</v>
      </c>
      <c r="F4134" t="s">
        <v>60</v>
      </c>
      <c r="G4134">
        <v>-168.4117</v>
      </c>
      <c r="H4134">
        <v>1.2157290000000001</v>
      </c>
      <c r="I4134">
        <v>204.00489999999999</v>
      </c>
      <c r="J4134">
        <v>-256.21559999999999</v>
      </c>
      <c r="K4134">
        <v>1.1098889999999999</v>
      </c>
      <c r="L4134">
        <v>214.26150000000001</v>
      </c>
      <c r="M4134">
        <v>0.9994807</v>
      </c>
      <c r="N4134">
        <v>-1.450333E-2</v>
      </c>
      <c r="O4134">
        <v>-2.8775579999999999E-2</v>
      </c>
      <c r="P4134">
        <v>0.99230960000000001</v>
      </c>
      <c r="Q4134">
        <v>-0.106981199999999</v>
      </c>
      <c r="R4134">
        <v>6.2265960000000002E-2</v>
      </c>
      <c r="S4134">
        <v>3.0461580000000001</v>
      </c>
      <c r="T4134">
        <v>3.6596060000000001E-3</v>
      </c>
      <c r="U4134">
        <v>-0.35447689999999998</v>
      </c>
      <c r="V4134">
        <v>-9.0661909999999998E-2</v>
      </c>
      <c r="W4134">
        <v>-9.2742959999999999E-2</v>
      </c>
      <c r="X4134">
        <v>0.99155389999999999</v>
      </c>
      <c r="Y4134">
        <v>8.6959120000000001E-2</v>
      </c>
      <c r="Z4134">
        <v>-1.031302E-3</v>
      </c>
      <c r="AA4134">
        <v>0.99621130000000002</v>
      </c>
      <c r="AB4134">
        <v>44</v>
      </c>
      <c r="AC4134">
        <v>87.803899999999999</v>
      </c>
      <c r="AD4134">
        <v>0.10584</v>
      </c>
      <c r="AE4134">
        <v>-10.256600000000001</v>
      </c>
      <c r="AF4134">
        <v>7.7254668872136696</v>
      </c>
      <c r="AG4134">
        <v>0.10584</v>
      </c>
      <c r="AH4134">
        <v>88.062576932437807</v>
      </c>
      <c r="AI4134">
        <v>89.931401267287995</v>
      </c>
      <c r="AJ4134">
        <v>84.986447561584697</v>
      </c>
      <c r="AK4134">
        <v>88.400856877705394</v>
      </c>
      <c r="AL4134">
        <v>95.321427421007499</v>
      </c>
      <c r="AM4134">
        <v>95.224265834254297</v>
      </c>
      <c r="AN4134">
        <v>0.99999998757980901</v>
      </c>
    </row>
    <row r="4135" spans="1:40" x14ac:dyDescent="0.25">
      <c r="A4135" t="str">
        <f>"20190305135015823"</f>
        <v>20190305135015823</v>
      </c>
      <c r="B4135" t="str">
        <f>"1551765015814509"</f>
        <v>1551765015814509</v>
      </c>
      <c r="C4135" t="s">
        <v>40</v>
      </c>
      <c r="D4135">
        <v>4.0952120000000001</v>
      </c>
      <c r="E4135">
        <v>0.57092189999999998</v>
      </c>
      <c r="F4135" t="s">
        <v>60</v>
      </c>
      <c r="G4135">
        <v>-168.4119</v>
      </c>
      <c r="H4135">
        <v>1.5071749999999999</v>
      </c>
      <c r="I4135">
        <v>203.79929999999999</v>
      </c>
      <c r="J4135">
        <v>-255.91149999999999</v>
      </c>
      <c r="K4135">
        <v>1.1100000000000001</v>
      </c>
      <c r="L4135">
        <v>214.2533</v>
      </c>
      <c r="M4135">
        <v>0.99949920000000003</v>
      </c>
      <c r="N4135">
        <v>-1.450253E-2</v>
      </c>
      <c r="O4135">
        <v>-2.8129879999999999E-2</v>
      </c>
      <c r="P4135">
        <v>0.9923459</v>
      </c>
      <c r="Q4135">
        <v>-0.1064132</v>
      </c>
      <c r="R4135">
        <v>6.2659989999999999E-2</v>
      </c>
      <c r="S4135">
        <v>3.0475460000000001</v>
      </c>
      <c r="T4135">
        <v>1.379037E-2</v>
      </c>
      <c r="U4135">
        <v>-0.36312870000000003</v>
      </c>
      <c r="V4135">
        <v>-9.0394649999999993E-2</v>
      </c>
      <c r="W4135">
        <v>-9.2197249999999994E-2</v>
      </c>
      <c r="X4135">
        <v>0.99162919999999999</v>
      </c>
      <c r="Y4135">
        <v>9.0342450000000005E-2</v>
      </c>
      <c r="Z4135">
        <v>-9.8726710000000004E-4</v>
      </c>
      <c r="AA4135">
        <v>0.99591030000000003</v>
      </c>
      <c r="AB4135">
        <v>44</v>
      </c>
      <c r="AC4135">
        <v>87.499599999999901</v>
      </c>
      <c r="AD4135">
        <v>0.397174999999999</v>
      </c>
      <c r="AE4135">
        <v>-10.454000000000001</v>
      </c>
      <c r="AF4135">
        <v>7.9880881646340001</v>
      </c>
      <c r="AG4135">
        <v>0.397174999999999</v>
      </c>
      <c r="AH4135">
        <v>87.757285038257706</v>
      </c>
      <c r="AI4135">
        <v>89.741758132652905</v>
      </c>
      <c r="AJ4135">
        <v>84.798996607241307</v>
      </c>
      <c r="AK4135">
        <v>88.120987158523107</v>
      </c>
      <c r="AL4135">
        <v>95.290025944624205</v>
      </c>
      <c r="AM4135">
        <v>95.2085568240649</v>
      </c>
      <c r="AN4135">
        <v>0.99999999797441197</v>
      </c>
    </row>
    <row r="4136" spans="1:40" x14ac:dyDescent="0.25">
      <c r="A4136" t="str">
        <f>"20190305135015836"</f>
        <v>20190305135015836</v>
      </c>
      <c r="B4136" t="str">
        <f>"1551765015824268"</f>
        <v>1551765015824268</v>
      </c>
      <c r="C4136" t="s">
        <v>40</v>
      </c>
      <c r="D4136">
        <v>4.0795620000000001</v>
      </c>
      <c r="E4136">
        <v>0.57126679999999996</v>
      </c>
      <c r="F4136" t="s">
        <v>60</v>
      </c>
      <c r="G4136">
        <v>-168.4119</v>
      </c>
      <c r="H4136">
        <v>1.589415</v>
      </c>
      <c r="I4136">
        <v>203.78059999999999</v>
      </c>
      <c r="J4136">
        <v>-255.66540000000001</v>
      </c>
      <c r="K4136">
        <v>1.11009</v>
      </c>
      <c r="L4136">
        <v>214.24680000000001</v>
      </c>
      <c r="M4136">
        <v>0.99951500000000004</v>
      </c>
      <c r="N4136">
        <v>-1.4501999999999999E-2</v>
      </c>
      <c r="O4136">
        <v>-2.7556730000000002E-2</v>
      </c>
      <c r="P4136">
        <v>0.99240620000000002</v>
      </c>
      <c r="Q4136">
        <v>-0.1058104</v>
      </c>
      <c r="R4136">
        <v>6.272258E-2</v>
      </c>
      <c r="S4136">
        <v>3.0479889999999998</v>
      </c>
      <c r="T4136">
        <v>1.6701219999999999E-2</v>
      </c>
      <c r="U4136">
        <v>-0.3648071</v>
      </c>
      <c r="V4136">
        <v>-8.9872289999999994E-2</v>
      </c>
      <c r="W4136">
        <v>-9.1611579999999998E-2</v>
      </c>
      <c r="X4136">
        <v>0.99173089999999997</v>
      </c>
      <c r="Y4136">
        <v>9.1437820000000003E-2</v>
      </c>
      <c r="Z4136">
        <v>-9.6457970000000004E-4</v>
      </c>
      <c r="AA4136">
        <v>0.99581030000000004</v>
      </c>
      <c r="AB4136">
        <v>44</v>
      </c>
      <c r="AC4136">
        <v>87.253500000000003</v>
      </c>
      <c r="AD4136">
        <v>0.479325</v>
      </c>
      <c r="AE4136">
        <v>-10.466200000000001</v>
      </c>
      <c r="AF4136">
        <v>8.0573107094527892</v>
      </c>
      <c r="AG4136">
        <v>0.479325</v>
      </c>
      <c r="AH4136">
        <v>87.506199005640894</v>
      </c>
      <c r="AI4136">
        <v>89.687481066403706</v>
      </c>
      <c r="AJ4136">
        <v>84.739208768582699</v>
      </c>
      <c r="AK4136">
        <v>87.8776699323504</v>
      </c>
      <c r="AL4136">
        <v>95.256327189133202</v>
      </c>
      <c r="AM4136">
        <v>95.178094297474601</v>
      </c>
      <c r="AN4136">
        <v>0.99999994405737302</v>
      </c>
    </row>
    <row r="4137" spans="1:40" x14ac:dyDescent="0.25">
      <c r="A4137" t="str">
        <f>"20190305135015848"</f>
        <v>20190305135015848</v>
      </c>
      <c r="B4137" t="str">
        <f>"1551765015844764"</f>
        <v>1551765015844764</v>
      </c>
      <c r="C4137" t="s">
        <v>40</v>
      </c>
      <c r="D4137">
        <v>4.0522410000000004</v>
      </c>
      <c r="E4137">
        <v>0.57180050000000004</v>
      </c>
      <c r="F4137" t="s">
        <v>60</v>
      </c>
      <c r="G4137">
        <v>-168.41200000000001</v>
      </c>
      <c r="H4137">
        <v>1.663816</v>
      </c>
      <c r="I4137">
        <v>203.72370000000001</v>
      </c>
      <c r="J4137">
        <v>-255.40309999999999</v>
      </c>
      <c r="K4137">
        <v>1.1101920000000001</v>
      </c>
      <c r="L4137">
        <v>214.24</v>
      </c>
      <c r="M4137">
        <v>0.99953289999999995</v>
      </c>
      <c r="N4137">
        <v>-1.450155E-2</v>
      </c>
      <c r="O4137">
        <v>-2.690029E-2</v>
      </c>
      <c r="P4137">
        <v>0.99239889999999997</v>
      </c>
      <c r="Q4137">
        <v>-0.1055455</v>
      </c>
      <c r="R4137">
        <v>6.3280210000000003E-2</v>
      </c>
      <c r="S4137">
        <v>3.0482480000000001</v>
      </c>
      <c r="T4137">
        <v>1.9345879999999999E-2</v>
      </c>
      <c r="U4137">
        <v>-0.36763000000000001</v>
      </c>
      <c r="V4137">
        <v>-8.9758920000000006E-2</v>
      </c>
      <c r="W4137">
        <v>-9.1366859999999994E-2</v>
      </c>
      <c r="X4137">
        <v>0.99176379999999997</v>
      </c>
      <c r="Y4137">
        <v>9.2991260000000006E-2</v>
      </c>
      <c r="Z4137">
        <v>-9.4161180000000002E-4</v>
      </c>
      <c r="AA4137">
        <v>0.99566650000000001</v>
      </c>
      <c r="AB4137">
        <v>44</v>
      </c>
      <c r="AC4137">
        <v>86.991099999999904</v>
      </c>
      <c r="AD4137">
        <v>0.55362399999999901</v>
      </c>
      <c r="AE4137">
        <v>-10.516299999999999</v>
      </c>
      <c r="AF4137">
        <v>8.1718353853805592</v>
      </c>
      <c r="AG4137">
        <v>0.55362399999999901</v>
      </c>
      <c r="AH4137">
        <v>87.239051971986498</v>
      </c>
      <c r="AI4137">
        <v>89.637987306549505</v>
      </c>
      <c r="AJ4137">
        <v>84.648618854686106</v>
      </c>
      <c r="AK4137">
        <v>87.622700152814801</v>
      </c>
      <c r="AL4137">
        <v>95.242246413705004</v>
      </c>
      <c r="AM4137">
        <v>95.171427169645</v>
      </c>
      <c r="AN4137">
        <v>1.00000000090813</v>
      </c>
    </row>
    <row r="4138" spans="1:40" x14ac:dyDescent="0.25">
      <c r="A4138" t="str">
        <f>"20190305135015863"</f>
        <v>20190305135015863</v>
      </c>
      <c r="B4138" t="str">
        <f>"1551765015854525"</f>
        <v>1551765015854525</v>
      </c>
      <c r="C4138" t="s">
        <v>40</v>
      </c>
      <c r="D4138">
        <v>4.0953109999999997</v>
      </c>
      <c r="E4138">
        <v>0.57211319999999999</v>
      </c>
      <c r="F4138" t="s">
        <v>60</v>
      </c>
      <c r="G4138">
        <v>-168.41200000000001</v>
      </c>
      <c r="H4138">
        <v>1.737309</v>
      </c>
      <c r="I4138">
        <v>203.67599999999999</v>
      </c>
      <c r="J4138">
        <v>-255.13229999999999</v>
      </c>
      <c r="K4138">
        <v>1.1102989999999999</v>
      </c>
      <c r="L4138">
        <v>214.23330000000001</v>
      </c>
      <c r="M4138">
        <v>0.99955309999999997</v>
      </c>
      <c r="N4138">
        <v>-1.4501170000000001E-2</v>
      </c>
      <c r="O4138">
        <v>-2.6142060000000002E-2</v>
      </c>
      <c r="P4138">
        <v>0.99257410000000001</v>
      </c>
      <c r="Q4138">
        <v>-0.10400520000000001</v>
      </c>
      <c r="R4138">
        <v>6.3088030000000003E-2</v>
      </c>
      <c r="S4138">
        <v>3.0489199999999999</v>
      </c>
      <c r="T4138">
        <v>2.1980759999999998E-2</v>
      </c>
      <c r="U4138">
        <v>-0.37025449999999999</v>
      </c>
      <c r="V4138">
        <v>-8.8802729999999996E-2</v>
      </c>
      <c r="W4138">
        <v>-8.9842080000000005E-2</v>
      </c>
      <c r="X4138">
        <v>0.99198909999999996</v>
      </c>
      <c r="Y4138">
        <v>9.4565510000000005E-2</v>
      </c>
      <c r="Z4138">
        <v>-9.141415E-4</v>
      </c>
      <c r="AA4138">
        <v>0.99551820000000002</v>
      </c>
      <c r="AB4138">
        <v>44</v>
      </c>
      <c r="AC4138">
        <v>86.720299999999895</v>
      </c>
      <c r="AD4138">
        <v>0.62700999999999996</v>
      </c>
      <c r="AE4138">
        <v>-10.5573</v>
      </c>
      <c r="AF4138">
        <v>8.2859787378196206</v>
      </c>
      <c r="AG4138">
        <v>0.62700999999999996</v>
      </c>
      <c r="AH4138">
        <v>86.962194943595506</v>
      </c>
      <c r="AI4138">
        <v>89.588758801627506</v>
      </c>
      <c r="AJ4138">
        <v>84.557144424650005</v>
      </c>
      <c r="AK4138">
        <v>87.358307759431796</v>
      </c>
      <c r="AL4138">
        <v>95.154522399008002</v>
      </c>
      <c r="AM4138">
        <v>95.115474701346201</v>
      </c>
      <c r="AN4138">
        <v>0.99999994935649295</v>
      </c>
    </row>
    <row r="4139" spans="1:40" x14ac:dyDescent="0.25">
      <c r="A4139" t="str">
        <f>"20190305135015886"</f>
        <v>20190305135015886</v>
      </c>
      <c r="B4139" t="str">
        <f>"1551765015874044"</f>
        <v>1551765015874044</v>
      </c>
      <c r="C4139" t="s">
        <v>40</v>
      </c>
      <c r="D4139">
        <v>4.0643399999999996</v>
      </c>
      <c r="E4139">
        <v>0.57257959999999997</v>
      </c>
      <c r="F4139" t="s">
        <v>60</v>
      </c>
      <c r="G4139">
        <v>-168.41210000000001</v>
      </c>
      <c r="H4139">
        <v>1.903151</v>
      </c>
      <c r="I4139">
        <v>203.6112</v>
      </c>
      <c r="J4139">
        <v>-254.69130000000001</v>
      </c>
      <c r="K4139">
        <v>1.110465</v>
      </c>
      <c r="L4139">
        <v>214.22280000000001</v>
      </c>
      <c r="M4139">
        <v>0.99958709999999995</v>
      </c>
      <c r="N4139">
        <v>-1.45005E-2</v>
      </c>
      <c r="O4139">
        <v>-2.480943E-2</v>
      </c>
      <c r="P4139">
        <v>0.99268699999999999</v>
      </c>
      <c r="Q4139">
        <v>-0.1023983</v>
      </c>
      <c r="R4139">
        <v>6.3932039999999996E-2</v>
      </c>
      <c r="S4139">
        <v>3.0491030000000001</v>
      </c>
      <c r="T4139">
        <v>2.7877929999999999E-2</v>
      </c>
      <c r="U4139">
        <v>-0.37347409999999998</v>
      </c>
      <c r="V4139">
        <v>-8.8299619999999995E-2</v>
      </c>
      <c r="W4139">
        <v>-8.8264549999999997E-2</v>
      </c>
      <c r="X4139">
        <v>0.99217560000000005</v>
      </c>
      <c r="Y4139">
        <v>9.6921759999999996E-2</v>
      </c>
      <c r="Z4139">
        <v>-8.4838699999999895E-4</v>
      </c>
      <c r="AA4139">
        <v>0.9952917</v>
      </c>
      <c r="AB4139">
        <v>44</v>
      </c>
      <c r="AC4139">
        <v>86.279200000000003</v>
      </c>
      <c r="AD4139">
        <v>0.792685999999999</v>
      </c>
      <c r="AE4139">
        <v>-10.611599999999999</v>
      </c>
      <c r="AF4139">
        <v>8.4668663221540506</v>
      </c>
      <c r="AG4139">
        <v>0.792685999999999</v>
      </c>
      <c r="AH4139">
        <v>86.508739653407901</v>
      </c>
      <c r="AI4139">
        <v>89.477505627267504</v>
      </c>
      <c r="AJ4139">
        <v>84.410095939390999</v>
      </c>
      <c r="AK4139">
        <v>86.925705132790995</v>
      </c>
      <c r="AL4139">
        <v>95.063776086089206</v>
      </c>
      <c r="AM4139">
        <v>95.085694432787406</v>
      </c>
      <c r="AN4139">
        <v>0.99999993745710103</v>
      </c>
    </row>
    <row r="4140" spans="1:40" x14ac:dyDescent="0.25">
      <c r="A4140" t="str">
        <f>"20190305135015908"</f>
        <v>20190305135015908</v>
      </c>
      <c r="B4140" t="str">
        <f>"1551765015904300"</f>
        <v>1551765015904300</v>
      </c>
      <c r="C4140" t="s">
        <v>40</v>
      </c>
      <c r="D4140">
        <v>4.1152930000000003</v>
      </c>
      <c r="E4140">
        <v>0.57236369999999903</v>
      </c>
      <c r="F4140" t="s">
        <v>60</v>
      </c>
      <c r="G4140">
        <v>-168.41210000000001</v>
      </c>
      <c r="H4140">
        <v>2.0805889999999998</v>
      </c>
      <c r="I4140">
        <v>203.62219999999999</v>
      </c>
      <c r="J4140">
        <v>-254.26140000000001</v>
      </c>
      <c r="K4140">
        <v>1.110616</v>
      </c>
      <c r="L4140">
        <v>214.2133</v>
      </c>
      <c r="M4140">
        <v>0.9996216</v>
      </c>
      <c r="N4140">
        <v>-1.449981E-2</v>
      </c>
      <c r="O4140">
        <v>-2.3380339999999999E-2</v>
      </c>
      <c r="P4140">
        <v>0.99264540000000001</v>
      </c>
      <c r="Q4140">
        <v>-0.1022179</v>
      </c>
      <c r="R4140">
        <v>6.4862349999999999E-2</v>
      </c>
      <c r="S4140">
        <v>3.0497740000000002</v>
      </c>
      <c r="T4140">
        <v>3.4292820000000002E-2</v>
      </c>
      <c r="U4140">
        <v>-0.37471009999999999</v>
      </c>
      <c r="V4140">
        <v>-8.7782280000000004E-2</v>
      </c>
      <c r="W4140">
        <v>-8.8112940000000001E-2</v>
      </c>
      <c r="X4140">
        <v>0.99223510000000004</v>
      </c>
      <c r="Y4140">
        <v>9.8715720000000007E-2</v>
      </c>
      <c r="Z4140">
        <v>-7.6516140000000002E-4</v>
      </c>
      <c r="AA4140">
        <v>0.99511539999999998</v>
      </c>
      <c r="AB4140">
        <v>43</v>
      </c>
      <c r="AC4140">
        <v>85.849299999999999</v>
      </c>
      <c r="AD4140">
        <v>0.96997299999999897</v>
      </c>
      <c r="AE4140">
        <v>-10.591100000000001</v>
      </c>
      <c r="AF4140">
        <v>8.5797287624571403</v>
      </c>
      <c r="AG4140">
        <v>0.96997299999999897</v>
      </c>
      <c r="AH4140">
        <v>86.062655220939206</v>
      </c>
      <c r="AI4140">
        <v>89.357457465820502</v>
      </c>
      <c r="AJ4140">
        <v>84.3068991921715</v>
      </c>
      <c r="AK4140">
        <v>86.494700513593997</v>
      </c>
      <c r="AL4140">
        <v>95.055054892887696</v>
      </c>
      <c r="AM4140">
        <v>95.055751059278805</v>
      </c>
      <c r="AN4140">
        <v>1.00000005627472</v>
      </c>
    </row>
    <row r="4141" spans="1:40" x14ac:dyDescent="0.25">
      <c r="A4141" t="str">
        <f>"20190305135015925"</f>
        <v>20190305135015925</v>
      </c>
      <c r="B4141" t="str">
        <f>"1551765015914060"</f>
        <v>1551765015914060</v>
      </c>
      <c r="C4141" t="s">
        <v>40</v>
      </c>
      <c r="D4141">
        <v>4.1210779999999998</v>
      </c>
      <c r="E4141">
        <v>0.57224969999999997</v>
      </c>
      <c r="F4141" t="s">
        <v>60</v>
      </c>
      <c r="G4141">
        <v>-168.41200000000001</v>
      </c>
      <c r="H4141">
        <v>1.9893799999999999</v>
      </c>
      <c r="I4141">
        <v>203.78819999999999</v>
      </c>
      <c r="J4141">
        <v>-253.92320000000001</v>
      </c>
      <c r="K4141">
        <v>1.1107229999999999</v>
      </c>
      <c r="L4141">
        <v>214.2063</v>
      </c>
      <c r="M4141">
        <v>0.99964909999999996</v>
      </c>
      <c r="N4141">
        <v>-1.449928E-2</v>
      </c>
      <c r="O4141">
        <v>-2.2168750000000001E-2</v>
      </c>
      <c r="P4141">
        <v>0.99256080000000002</v>
      </c>
      <c r="Q4141">
        <v>-0.10215059999999999</v>
      </c>
      <c r="R4141">
        <v>6.6245090000000006E-2</v>
      </c>
      <c r="S4141">
        <v>3.0496219999999998</v>
      </c>
      <c r="T4141">
        <v>3.1217459999999999E-2</v>
      </c>
      <c r="U4141">
        <v>-0.37033080000000002</v>
      </c>
      <c r="V4141">
        <v>-8.7939690000000001E-2</v>
      </c>
      <c r="W4141">
        <v>-8.8069389999999997E-2</v>
      </c>
      <c r="X4141">
        <v>0.99222500000000002</v>
      </c>
      <c r="Y4141">
        <v>9.8519229999999999E-2</v>
      </c>
      <c r="Z4141">
        <v>-7.6086890000000003E-4</v>
      </c>
      <c r="AA4141">
        <v>0.99513479999999999</v>
      </c>
      <c r="AB4141">
        <v>43</v>
      </c>
      <c r="AC4141">
        <v>85.511200000000002</v>
      </c>
      <c r="AD4141">
        <v>0.87865700000000002</v>
      </c>
      <c r="AE4141">
        <v>-10.418100000000001</v>
      </c>
      <c r="AF4141">
        <v>8.5187771569415194</v>
      </c>
      <c r="AG4141">
        <v>0.87865700000000002</v>
      </c>
      <c r="AH4141">
        <v>85.712243778147197</v>
      </c>
      <c r="AI4141">
        <v>89.415546958014104</v>
      </c>
      <c r="AJ4141">
        <v>84.324121060295695</v>
      </c>
      <c r="AK4141">
        <v>86.139017499956495</v>
      </c>
      <c r="AL4141">
        <v>95.0525500638539</v>
      </c>
      <c r="AM4141">
        <v>95.064821138924103</v>
      </c>
      <c r="AN4141">
        <v>1.0000000285786299</v>
      </c>
    </row>
    <row r="4142" spans="1:40" x14ac:dyDescent="0.25">
      <c r="A4142" t="str">
        <f>"20190305135015942"</f>
        <v>20190305135015942</v>
      </c>
      <c r="B4142" t="str">
        <f>"1551765015934559"</f>
        <v>1551765015934559</v>
      </c>
      <c r="C4142" t="s">
        <v>40</v>
      </c>
      <c r="D4142">
        <v>4.2191519999999896</v>
      </c>
      <c r="E4142">
        <v>0.55199869999999995</v>
      </c>
      <c r="F4142" t="s">
        <v>60</v>
      </c>
      <c r="G4142">
        <v>-168.41200000000001</v>
      </c>
      <c r="H4142">
        <v>1.982021</v>
      </c>
      <c r="I4142">
        <v>203.96369999999999</v>
      </c>
      <c r="J4142">
        <v>-253.60910000000001</v>
      </c>
      <c r="K4142">
        <v>1.1108199999999999</v>
      </c>
      <c r="L4142">
        <v>214.2003</v>
      </c>
      <c r="M4142">
        <v>0.99967470000000003</v>
      </c>
      <c r="N4142">
        <v>-1.449868E-2</v>
      </c>
      <c r="O4142">
        <v>-2.098823E-2</v>
      </c>
      <c r="P4142">
        <v>0.99246699999999999</v>
      </c>
      <c r="Q4142">
        <v>-0.1026223</v>
      </c>
      <c r="R4142">
        <v>6.6919430000000002E-2</v>
      </c>
      <c r="S4142">
        <v>3.0500790000000002</v>
      </c>
      <c r="T4142">
        <v>3.1079289999999999E-2</v>
      </c>
      <c r="U4142">
        <v>-0.36534119999999998</v>
      </c>
      <c r="V4142">
        <v>-8.7420159999999997E-2</v>
      </c>
      <c r="W4142">
        <v>-8.8559840000000001E-2</v>
      </c>
      <c r="X4142">
        <v>0.99222730000000003</v>
      </c>
      <c r="Y4142">
        <v>9.8071549999999993E-2</v>
      </c>
      <c r="Z4142">
        <v>-7.3199449999999998E-4</v>
      </c>
      <c r="AA4142">
        <v>0.99517909999999998</v>
      </c>
      <c r="AB4142">
        <v>43</v>
      </c>
      <c r="AC4142">
        <v>85.197100000000006</v>
      </c>
      <c r="AD4142">
        <v>0.871200999999999</v>
      </c>
      <c r="AE4142">
        <v>-10.236599999999999</v>
      </c>
      <c r="AF4142">
        <v>8.4451500318639603</v>
      </c>
      <c r="AG4142">
        <v>0.871200999999999</v>
      </c>
      <c r="AH4142">
        <v>85.384398582036695</v>
      </c>
      <c r="AI4142">
        <v>89.418253751070196</v>
      </c>
      <c r="AJ4142">
        <v>84.3513943213826</v>
      </c>
      <c r="AK4142">
        <v>85.805448961352099</v>
      </c>
      <c r="AL4142">
        <v>95.080760786511902</v>
      </c>
      <c r="AM4142">
        <v>95.035041848473597</v>
      </c>
      <c r="AN4142">
        <v>1.00000007225026</v>
      </c>
    </row>
    <row r="4143" spans="1:40" x14ac:dyDescent="0.25">
      <c r="A4143" t="str">
        <f>"20190305135015958"</f>
        <v>20190305135015958</v>
      </c>
      <c r="B4143" t="str">
        <f>"1551765015954076"</f>
        <v>1551765015954076</v>
      </c>
      <c r="C4143" t="s">
        <v>40</v>
      </c>
      <c r="D4143">
        <v>4.1882109999999999</v>
      </c>
      <c r="E4143">
        <v>0.54088939999999996</v>
      </c>
      <c r="F4143" t="s">
        <v>74</v>
      </c>
      <c r="G4143">
        <v>-211.34049999999999</v>
      </c>
      <c r="H4143" s="1">
        <v>-6.7966559999999997E-7</v>
      </c>
      <c r="I4143">
        <v>211.32660000000001</v>
      </c>
      <c r="J4143">
        <v>-253.29079999999999</v>
      </c>
      <c r="K4143">
        <v>1.110911</v>
      </c>
      <c r="L4143">
        <v>214.19450000000001</v>
      </c>
      <c r="M4143">
        <v>0.99969989999999997</v>
      </c>
      <c r="N4143">
        <v>-1.4497980000000001E-2</v>
      </c>
      <c r="O4143">
        <v>-1.974447E-2</v>
      </c>
      <c r="P4143">
        <v>0.99238899999999997</v>
      </c>
      <c r="Q4143">
        <v>-0.1025204</v>
      </c>
      <c r="R4143">
        <v>6.8218639999999997E-2</v>
      </c>
      <c r="S4143">
        <v>3.0284420000000001</v>
      </c>
      <c r="T4143">
        <v>-7.9587580000000005E-2</v>
      </c>
      <c r="U4143">
        <v>-0.20588680000000001</v>
      </c>
      <c r="V4143">
        <v>-8.7465730000000005E-2</v>
      </c>
      <c r="W4143">
        <v>-8.8478009999999996E-2</v>
      </c>
      <c r="X4143">
        <v>0.99223050000000002</v>
      </c>
      <c r="Y4143">
        <v>4.8089220000000002E-2</v>
      </c>
      <c r="Z4143">
        <v>-7.4806179999999903E-4</v>
      </c>
      <c r="AA4143">
        <v>0.99884280000000003</v>
      </c>
      <c r="AB4143">
        <v>43</v>
      </c>
      <c r="AC4143">
        <v>41.950299999999999</v>
      </c>
      <c r="AD4143">
        <v>-1.1109116796656</v>
      </c>
      <c r="AE4143">
        <v>-2.8678999999999899</v>
      </c>
      <c r="AF4143">
        <v>2.0375450430123498</v>
      </c>
      <c r="AG4143">
        <v>-1.1109116796656</v>
      </c>
      <c r="AH4143">
        <v>41.969456311492699</v>
      </c>
      <c r="AI4143">
        <v>91.514455315153199</v>
      </c>
      <c r="AJ4143">
        <v>87.220570555418803</v>
      </c>
      <c r="AK4143">
        <v>42.033569651465598</v>
      </c>
      <c r="AL4143">
        <v>95.076054221352194</v>
      </c>
      <c r="AM4143">
        <v>95.037636827757098</v>
      </c>
      <c r="AN4143">
        <v>0.99999998865412099</v>
      </c>
    </row>
    <row r="4144" spans="1:40" x14ac:dyDescent="0.25">
      <c r="A4144" t="str">
        <f>"20190305135015975"</f>
        <v>20190305135015975</v>
      </c>
      <c r="B4144" t="str">
        <f>"1551765015964812"</f>
        <v>1551765015964812</v>
      </c>
      <c r="C4144" t="s">
        <v>40</v>
      </c>
      <c r="D4144">
        <v>4.2208899999999998</v>
      </c>
      <c r="E4144">
        <v>0.53843830000000004</v>
      </c>
      <c r="F4144" t="s">
        <v>74</v>
      </c>
      <c r="G4144">
        <v>-214.65010000000001</v>
      </c>
      <c r="H4144" s="1">
        <v>1.0197909999999999E-6</v>
      </c>
      <c r="I4144">
        <v>212.74029999999999</v>
      </c>
      <c r="J4144">
        <v>-252.96680000000001</v>
      </c>
      <c r="K4144">
        <v>1.110994</v>
      </c>
      <c r="L4144">
        <v>214.1891</v>
      </c>
      <c r="M4144">
        <v>0.99972490000000003</v>
      </c>
      <c r="N4144">
        <v>-1.449717E-2</v>
      </c>
      <c r="O4144">
        <v>-1.843438E-2</v>
      </c>
      <c r="P4144">
        <v>0.99235799999999996</v>
      </c>
      <c r="Q4144">
        <v>-0.1024553</v>
      </c>
      <c r="R4144">
        <v>6.8764329999999999E-2</v>
      </c>
      <c r="S4144">
        <v>3.0218509999999998</v>
      </c>
      <c r="T4144">
        <v>-8.6877579999999996E-2</v>
      </c>
      <c r="U4144">
        <v>-0.1137238</v>
      </c>
      <c r="V4144">
        <v>-8.6693480000000003E-2</v>
      </c>
      <c r="W4144">
        <v>-8.8428259999999995E-2</v>
      </c>
      <c r="X4144">
        <v>0.99230269999999998</v>
      </c>
      <c r="Y4144">
        <v>1.9167489999999999E-2</v>
      </c>
      <c r="Z4144">
        <v>-1.51967E-4</v>
      </c>
      <c r="AA4144">
        <v>0.99981629999999999</v>
      </c>
      <c r="AB4144">
        <v>43</v>
      </c>
      <c r="AC4144">
        <v>38.316699999999997</v>
      </c>
      <c r="AD4144">
        <v>-1.1109929802089999</v>
      </c>
      <c r="AE4144">
        <v>-1.4488000000000001</v>
      </c>
      <c r="AF4144">
        <v>0.74151235861933895</v>
      </c>
      <c r="AG4144">
        <v>-1.1109929802089999</v>
      </c>
      <c r="AH4144">
        <v>38.304740882921401</v>
      </c>
      <c r="AI4144">
        <v>91.661033411220501</v>
      </c>
      <c r="AJ4144">
        <v>88.890993078403298</v>
      </c>
      <c r="AK4144">
        <v>38.328022647767902</v>
      </c>
      <c r="AL4144">
        <v>95.073192570596206</v>
      </c>
      <c r="AM4144">
        <v>94.993023050108505</v>
      </c>
      <c r="AN4144">
        <v>0.99999998253421296</v>
      </c>
    </row>
    <row r="4145" spans="1:40" x14ac:dyDescent="0.25">
      <c r="A4145" t="str">
        <f>"20190305135015992"</f>
        <v>20190305135015992</v>
      </c>
      <c r="B4145" t="str">
        <f>"1551765015984332"</f>
        <v>1551765015984332</v>
      </c>
      <c r="C4145" t="s">
        <v>40</v>
      </c>
      <c r="D4145">
        <v>4.1490850000000004</v>
      </c>
      <c r="E4145">
        <v>0.53541019999999995</v>
      </c>
      <c r="F4145" t="s">
        <v>74</v>
      </c>
      <c r="G4145">
        <v>-214.9836</v>
      </c>
      <c r="H4145" s="1">
        <v>1.18496E-6</v>
      </c>
      <c r="I4145">
        <v>213.02070000000001</v>
      </c>
      <c r="J4145">
        <v>-252.63380000000001</v>
      </c>
      <c r="K4145">
        <v>1.111073</v>
      </c>
      <c r="L4145">
        <v>214.18389999999999</v>
      </c>
      <c r="M4145">
        <v>0.99974960000000002</v>
      </c>
      <c r="N4145">
        <v>-1.449627E-2</v>
      </c>
      <c r="O4145">
        <v>-1.7045299999999999E-2</v>
      </c>
      <c r="P4145">
        <v>0.99232520000000002</v>
      </c>
      <c r="Q4145">
        <v>-0.10227840000000001</v>
      </c>
      <c r="R4145">
        <v>6.9496420000000003E-2</v>
      </c>
      <c r="S4145">
        <v>3.020416</v>
      </c>
      <c r="T4145">
        <v>-8.8345889999999996E-2</v>
      </c>
      <c r="U4145">
        <v>-9.2910770000000004E-2</v>
      </c>
      <c r="V4145">
        <v>-8.6030369999999995E-2</v>
      </c>
      <c r="W4145">
        <v>-8.8266339999999999E-2</v>
      </c>
      <c r="X4145">
        <v>0.9923748</v>
      </c>
      <c r="Y4145">
        <v>1.369597E-2</v>
      </c>
      <c r="Z4145" s="1">
        <v>-4.829474E-5</v>
      </c>
      <c r="AA4145">
        <v>0.99990619999999997</v>
      </c>
      <c r="AB4145">
        <v>43</v>
      </c>
      <c r="AC4145">
        <v>37.650199999999998</v>
      </c>
      <c r="AD4145">
        <v>-1.1110718150399901</v>
      </c>
      <c r="AE4145">
        <v>-1.16319999999998</v>
      </c>
      <c r="AF4145">
        <v>0.52075149025608103</v>
      </c>
      <c r="AG4145">
        <v>-1.1110718150399901</v>
      </c>
      <c r="AH4145">
        <v>37.631817248029101</v>
      </c>
      <c r="AI4145">
        <v>91.690993244356406</v>
      </c>
      <c r="AJ4145">
        <v>89.207187947315205</v>
      </c>
      <c r="AK4145">
        <v>37.651817115271399</v>
      </c>
      <c r="AL4145">
        <v>95.063878945603705</v>
      </c>
      <c r="AM4145">
        <v>94.954664556538305</v>
      </c>
      <c r="AN4145">
        <v>0.99999995750718496</v>
      </c>
    </row>
    <row r="4146" spans="1:40" x14ac:dyDescent="0.25">
      <c r="A4146" t="str">
        <f>"20190305135016007"</f>
        <v>20190305135016007</v>
      </c>
      <c r="B4146" t="str">
        <f>"1551765016004828"</f>
        <v>1551765016004828</v>
      </c>
      <c r="C4146" t="s">
        <v>40</v>
      </c>
      <c r="D4146">
        <v>4.1760989999999998</v>
      </c>
      <c r="E4146">
        <v>0.53311319999999995</v>
      </c>
      <c r="F4146" t="s">
        <v>74</v>
      </c>
      <c r="G4146">
        <v>-219.2962</v>
      </c>
      <c r="H4146" s="1">
        <v>3.4614789999999999E-6</v>
      </c>
      <c r="I4146">
        <v>213.4425</v>
      </c>
      <c r="J4146">
        <v>-252.32300000000001</v>
      </c>
      <c r="K4146">
        <v>1.111138</v>
      </c>
      <c r="L4146">
        <v>214.17959999999999</v>
      </c>
      <c r="M4146">
        <v>0.99977150000000004</v>
      </c>
      <c r="N4146">
        <v>-1.449549E-2</v>
      </c>
      <c r="O4146">
        <v>-1.5712050000000002E-2</v>
      </c>
      <c r="P4146">
        <v>0.99219009999999996</v>
      </c>
      <c r="Q4146">
        <v>-0.1035312</v>
      </c>
      <c r="R4146">
        <v>6.9572809999999999E-2</v>
      </c>
      <c r="S4146">
        <v>3.0175480000000001</v>
      </c>
      <c r="T4146">
        <v>-0.1005683</v>
      </c>
      <c r="U4146">
        <v>-6.7108150000000005E-2</v>
      </c>
      <c r="V4146">
        <v>-8.4761509999999998E-2</v>
      </c>
      <c r="W4146">
        <v>-8.9530079999999998E-2</v>
      </c>
      <c r="X4146">
        <v>0.9923708</v>
      </c>
      <c r="Y4146">
        <v>6.5188379999999999E-3</v>
      </c>
      <c r="Z4146">
        <v>1.39820499999999E-4</v>
      </c>
      <c r="AA4146">
        <v>0.9999787</v>
      </c>
      <c r="AB4146">
        <v>43</v>
      </c>
      <c r="AC4146">
        <v>33.026799999999902</v>
      </c>
      <c r="AD4146">
        <v>-1.1111345385210001</v>
      </c>
      <c r="AE4146">
        <v>-0.73709999999999798</v>
      </c>
      <c r="AF4146">
        <v>0.217789354668316</v>
      </c>
      <c r="AG4146">
        <v>-1.1111345385210001</v>
      </c>
      <c r="AH4146">
        <v>32.9969748075006</v>
      </c>
      <c r="AI4146">
        <v>91.928597636156496</v>
      </c>
      <c r="AJ4146">
        <v>89.621837161713401</v>
      </c>
      <c r="AK4146">
        <v>33.016395905860598</v>
      </c>
      <c r="AL4146">
        <v>95.136573642314701</v>
      </c>
      <c r="AM4146">
        <v>94.881963704368204</v>
      </c>
      <c r="AN4146">
        <v>0.99999997674746299</v>
      </c>
    </row>
    <row r="4147" spans="1:40" x14ac:dyDescent="0.25">
      <c r="A4147" t="str">
        <f>"20190305135016026"</f>
        <v>20190305135016026</v>
      </c>
      <c r="B4147" t="str">
        <f>"1551765016014588"</f>
        <v>1551765016014588</v>
      </c>
      <c r="C4147" t="s">
        <v>40</v>
      </c>
      <c r="D4147">
        <v>4.1733710000000004</v>
      </c>
      <c r="E4147">
        <v>0.53236890000000003</v>
      </c>
      <c r="F4147" t="s">
        <v>74</v>
      </c>
      <c r="G4147">
        <v>-221.8947</v>
      </c>
      <c r="H4147" s="1">
        <v>-4.8795450000000004E-7</v>
      </c>
      <c r="I4147">
        <v>213.68809999999999</v>
      </c>
      <c r="J4147">
        <v>-251.9838</v>
      </c>
      <c r="K4147">
        <v>1.1112059999999999</v>
      </c>
      <c r="L4147">
        <v>214.1754</v>
      </c>
      <c r="M4147">
        <v>0.99979390000000001</v>
      </c>
      <c r="N4147">
        <v>-1.449456E-2</v>
      </c>
      <c r="O4147">
        <v>-1.4218939999999999E-2</v>
      </c>
      <c r="P4147">
        <v>0.99209250000000004</v>
      </c>
      <c r="Q4147">
        <v>-0.1041401</v>
      </c>
      <c r="R4147">
        <v>7.0053790000000005E-2</v>
      </c>
      <c r="S4147">
        <v>3.015533</v>
      </c>
      <c r="T4147">
        <v>-0.1101172</v>
      </c>
      <c r="U4147">
        <v>-4.8706050000000001E-2</v>
      </c>
      <c r="V4147">
        <v>-8.3741750000000004E-2</v>
      </c>
      <c r="W4147">
        <v>-9.0150599999999997E-2</v>
      </c>
      <c r="X4147">
        <v>0.99240119999999998</v>
      </c>
      <c r="Y4147">
        <v>1.9310519999999999E-3</v>
      </c>
      <c r="Z4147">
        <v>2.6368220000000001E-4</v>
      </c>
      <c r="AA4147">
        <v>0.9999981</v>
      </c>
      <c r="AB4147">
        <v>43</v>
      </c>
      <c r="AC4147">
        <v>30.089099999999998</v>
      </c>
      <c r="AD4147">
        <v>-1.1112064879544901</v>
      </c>
      <c r="AE4147">
        <v>-0.48730000000000401</v>
      </c>
      <c r="AF4147">
        <v>5.9289851446363999E-2</v>
      </c>
      <c r="AG4147">
        <v>-1.1112064879544901</v>
      </c>
      <c r="AH4147">
        <v>30.052011027888302</v>
      </c>
      <c r="AI4147">
        <v>92.117606234013607</v>
      </c>
      <c r="AJ4147">
        <v>89.886960847806094</v>
      </c>
      <c r="AK4147">
        <v>30.072606504353399</v>
      </c>
      <c r="AL4147">
        <v>95.172271176156997</v>
      </c>
      <c r="AM4147">
        <v>94.823360862890098</v>
      </c>
      <c r="AN4147">
        <v>0.999999976567431</v>
      </c>
    </row>
    <row r="4148" spans="1:40" x14ac:dyDescent="0.25">
      <c r="A4148" t="str">
        <f>"20190305135016041"</f>
        <v>20190305135016041</v>
      </c>
      <c r="B4148" t="str">
        <f>"1551765016034107"</f>
        <v>1551765016034107</v>
      </c>
      <c r="C4148" t="s">
        <v>40</v>
      </c>
      <c r="D4148">
        <v>4.1529150000000001</v>
      </c>
      <c r="E4148">
        <v>0.53162149999999997</v>
      </c>
      <c r="F4148" t="s">
        <v>74</v>
      </c>
      <c r="G4148">
        <v>-222.93549999999999</v>
      </c>
      <c r="H4148" s="1">
        <v>6.2121019999999997E-8</v>
      </c>
      <c r="I4148">
        <v>213.77529999999999</v>
      </c>
      <c r="J4148">
        <v>-251.67179999999999</v>
      </c>
      <c r="K4148">
        <v>1.1112610000000001</v>
      </c>
      <c r="L4148">
        <v>214.172</v>
      </c>
      <c r="M4148">
        <v>0.9998129</v>
      </c>
      <c r="N4148">
        <v>-1.449366E-2</v>
      </c>
      <c r="O4148">
        <v>-1.2813700000000001E-2</v>
      </c>
      <c r="P4148">
        <v>0.99195409999999995</v>
      </c>
      <c r="Q4148">
        <v>-0.10553700000000001</v>
      </c>
      <c r="R4148">
        <v>6.9921140000000007E-2</v>
      </c>
      <c r="S4148">
        <v>3.0147400000000002</v>
      </c>
      <c r="T4148">
        <v>-0.1153251</v>
      </c>
      <c r="U4148">
        <v>-4.1519170000000001E-2</v>
      </c>
      <c r="V4148">
        <v>-8.2193600000000006E-2</v>
      </c>
      <c r="W4148">
        <v>-9.1554570000000002E-2</v>
      </c>
      <c r="X4148">
        <v>0.99240209999999995</v>
      </c>
      <c r="Y4148">
        <v>9.5843879999999999E-4</v>
      </c>
      <c r="Z4148">
        <v>2.7899050000000002E-4</v>
      </c>
      <c r="AA4148">
        <v>0.99999950000000004</v>
      </c>
      <c r="AB4148">
        <v>43</v>
      </c>
      <c r="AC4148">
        <v>28.7363</v>
      </c>
      <c r="AD4148">
        <v>-1.1112609378789799</v>
      </c>
      <c r="AE4148">
        <v>-0.39670000000000899</v>
      </c>
      <c r="AF4148">
        <v>2.8368018280432099E-2</v>
      </c>
      <c r="AG4148">
        <v>-1.1112609378789799</v>
      </c>
      <c r="AH4148">
        <v>28.696118730454401</v>
      </c>
      <c r="AI4148">
        <v>92.217677319668496</v>
      </c>
      <c r="AJ4148">
        <v>89.943359336974595</v>
      </c>
      <c r="AK4148">
        <v>28.7176415432893</v>
      </c>
      <c r="AL4148">
        <v>95.253046794407496</v>
      </c>
      <c r="AM4148">
        <v>94.734595344452003</v>
      </c>
      <c r="AN4148">
        <v>0.99999997762662696</v>
      </c>
    </row>
    <row r="4149" spans="1:40" x14ac:dyDescent="0.25">
      <c r="A4149" t="str">
        <f>"20190305135016059"</f>
        <v>20190305135016059</v>
      </c>
      <c r="B4149" t="str">
        <f>"1551765016054604"</f>
        <v>1551765016054604</v>
      </c>
      <c r="C4149" t="s">
        <v>40</v>
      </c>
      <c r="D4149">
        <v>4.1701969999999999</v>
      </c>
      <c r="E4149">
        <v>0.531111</v>
      </c>
      <c r="F4149" t="s">
        <v>74</v>
      </c>
      <c r="G4149">
        <v>-224.18029999999999</v>
      </c>
      <c r="H4149" s="1">
        <v>7.2150769999999998E-7</v>
      </c>
      <c r="I4149">
        <v>213.84450000000001</v>
      </c>
      <c r="J4149">
        <v>-251.34379999999999</v>
      </c>
      <c r="K4149">
        <v>1.1113200000000001</v>
      </c>
      <c r="L4149">
        <v>214.16890000000001</v>
      </c>
      <c r="M4149">
        <v>0.99983109999999997</v>
      </c>
      <c r="N4149">
        <v>-1.4492710000000001E-2</v>
      </c>
      <c r="O4149">
        <v>-1.130954E-2</v>
      </c>
      <c r="P4149">
        <v>0.99184669999999997</v>
      </c>
      <c r="Q4149">
        <v>-0.1060122</v>
      </c>
      <c r="R4149">
        <v>7.0721980000000004E-2</v>
      </c>
      <c r="S4149">
        <v>3.0139010000000002</v>
      </c>
      <c r="T4149">
        <v>-0.1218277</v>
      </c>
      <c r="U4149">
        <v>-3.5903930000000001E-2</v>
      </c>
      <c r="V4149">
        <v>-8.148532E-2</v>
      </c>
      <c r="W4149">
        <v>-9.2040049999999998E-2</v>
      </c>
      <c r="X4149">
        <v>0.99241559999999995</v>
      </c>
      <c r="Y4149">
        <v>6.0437360000000005E-4</v>
      </c>
      <c r="Z4149">
        <v>2.7647279999999999E-4</v>
      </c>
      <c r="AA4149">
        <v>0.99999979999999999</v>
      </c>
      <c r="AB4149">
        <v>43</v>
      </c>
      <c r="AC4149">
        <v>27.163499999999999</v>
      </c>
      <c r="AD4149">
        <v>-1.1113192784923001</v>
      </c>
      <c r="AE4149">
        <v>-0.32439999999999702</v>
      </c>
      <c r="AF4149">
        <v>1.7111680105078401E-2</v>
      </c>
      <c r="AG4149">
        <v>-1.1113192784923001</v>
      </c>
      <c r="AH4149">
        <v>27.120044259762999</v>
      </c>
      <c r="AI4149">
        <v>92.346540698706093</v>
      </c>
      <c r="AJ4149">
        <v>89.9638486238849</v>
      </c>
      <c r="AK4149">
        <v>27.142809802963399</v>
      </c>
      <c r="AL4149">
        <v>95.280980705760399</v>
      </c>
      <c r="AM4149">
        <v>94.6939158438459</v>
      </c>
      <c r="AN4149">
        <v>0.99999997565143195</v>
      </c>
    </row>
    <row r="4150" spans="1:40" x14ac:dyDescent="0.25">
      <c r="A4150" t="str">
        <f>"20190305135016076"</f>
        <v>20190305135016076</v>
      </c>
      <c r="B4150" t="str">
        <f>"1551765016064364"</f>
        <v>1551765016064364</v>
      </c>
      <c r="C4150" t="s">
        <v>40</v>
      </c>
      <c r="D4150">
        <v>4.1740339999999998</v>
      </c>
      <c r="E4150">
        <v>0.53092539999999999</v>
      </c>
      <c r="F4150" t="s">
        <v>74</v>
      </c>
      <c r="G4150">
        <v>-224.3948</v>
      </c>
      <c r="H4150" s="1">
        <v>8.328831E-7</v>
      </c>
      <c r="I4150">
        <v>213.90809999999999</v>
      </c>
      <c r="J4150">
        <v>-251.03</v>
      </c>
      <c r="K4150">
        <v>1.111367</v>
      </c>
      <c r="L4150">
        <v>214.16640000000001</v>
      </c>
      <c r="M4150">
        <v>0.99984649999999997</v>
      </c>
      <c r="N4150">
        <v>-1.4491860000000001E-2</v>
      </c>
      <c r="O4150">
        <v>-9.8480430000000008E-3</v>
      </c>
      <c r="P4150">
        <v>0.99171240000000005</v>
      </c>
      <c r="Q4150">
        <v>-0.1067736</v>
      </c>
      <c r="R4150">
        <v>7.1457000000000007E-2</v>
      </c>
      <c r="S4150">
        <v>3.0134430000000001</v>
      </c>
      <c r="T4150">
        <v>-0.12426810000000001</v>
      </c>
      <c r="U4150">
        <v>-2.9159549999999999E-2</v>
      </c>
      <c r="V4150">
        <v>-8.0753560000000002E-2</v>
      </c>
      <c r="W4150">
        <v>-9.2810089999999998E-2</v>
      </c>
      <c r="X4150">
        <v>0.9924037</v>
      </c>
      <c r="Y4150">
        <v>-1.693361E-4</v>
      </c>
      <c r="Z4150">
        <v>2.6795399999999999E-4</v>
      </c>
      <c r="AA4150">
        <v>0.99999990000000005</v>
      </c>
      <c r="AB4150">
        <v>43</v>
      </c>
      <c r="AC4150">
        <v>26.635200000000001</v>
      </c>
      <c r="AD4150">
        <v>-1.1113661671169</v>
      </c>
      <c r="AE4150">
        <v>-0.25830000000001901</v>
      </c>
      <c r="AF4150">
        <v>-4.0376397321142399E-3</v>
      </c>
      <c r="AG4150">
        <v>-1.1113661671169</v>
      </c>
      <c r="AH4150">
        <v>26.590162611930801</v>
      </c>
      <c r="AI4150">
        <v>92.393349398970599</v>
      </c>
      <c r="AJ4150">
        <v>90.008700199297095</v>
      </c>
      <c r="AK4150">
        <v>26.613378191970799</v>
      </c>
      <c r="AL4150">
        <v>95.325290404121404</v>
      </c>
      <c r="AM4150">
        <v>94.652004597476903</v>
      </c>
      <c r="AN4150">
        <v>0.99999997701608501</v>
      </c>
    </row>
    <row r="4151" spans="1:40" x14ac:dyDescent="0.25">
      <c r="A4151" t="str">
        <f>"20190305135016098"</f>
        <v>20190305135016098</v>
      </c>
      <c r="B4151" t="str">
        <f>"1551765016094620"</f>
        <v>1551765016094620</v>
      </c>
      <c r="C4151" t="s">
        <v>40</v>
      </c>
      <c r="D4151">
        <v>4.1586999999999996</v>
      </c>
      <c r="E4151">
        <v>0.53060839999999998</v>
      </c>
      <c r="F4151" t="s">
        <v>74</v>
      </c>
      <c r="G4151">
        <v>-224.58099999999999</v>
      </c>
      <c r="H4151" s="1">
        <v>9.3032020000000002E-7</v>
      </c>
      <c r="I4151">
        <v>213.94569999999999</v>
      </c>
      <c r="J4151">
        <v>-250.59780000000001</v>
      </c>
      <c r="K4151">
        <v>1.111432</v>
      </c>
      <c r="L4151">
        <v>214.16380000000001</v>
      </c>
      <c r="M4151">
        <v>0.99986459999999999</v>
      </c>
      <c r="N4151">
        <v>-1.44907E-2</v>
      </c>
      <c r="O4151">
        <v>-7.805195E-3</v>
      </c>
      <c r="P4151">
        <v>0.99147640000000004</v>
      </c>
      <c r="Q4151">
        <v>-0.1073253</v>
      </c>
      <c r="R4151">
        <v>7.3864769999999996E-2</v>
      </c>
      <c r="S4151">
        <v>3.0132599999999998</v>
      </c>
      <c r="T4151">
        <v>-0.1266148</v>
      </c>
      <c r="U4151">
        <v>-2.5146479999999999E-2</v>
      </c>
      <c r="V4151">
        <v>-8.111691E-2</v>
      </c>
      <c r="W4151">
        <v>-9.3379379999999998E-2</v>
      </c>
      <c r="X4151">
        <v>0.99232070000000006</v>
      </c>
      <c r="Y4151">
        <v>5.4130129999999999E-4</v>
      </c>
      <c r="Z4151">
        <v>1.99445E-4</v>
      </c>
      <c r="AA4151">
        <v>0.99999979999999999</v>
      </c>
      <c r="AB4151">
        <v>43</v>
      </c>
      <c r="AC4151">
        <v>26.0168</v>
      </c>
      <c r="AD4151">
        <v>-1.1114310696798</v>
      </c>
      <c r="AE4151">
        <v>-0.218100000000021</v>
      </c>
      <c r="AF4151">
        <v>1.4978513118958E-2</v>
      </c>
      <c r="AG4151">
        <v>-1.1114310696798</v>
      </c>
      <c r="AH4151">
        <v>25.970317934573998</v>
      </c>
      <c r="AI4151">
        <v>92.450546220305199</v>
      </c>
      <c r="AJ4151">
        <v>89.966954371059302</v>
      </c>
      <c r="AK4151">
        <v>25.9940938869075</v>
      </c>
      <c r="AL4151">
        <v>95.358050375661804</v>
      </c>
      <c r="AM4151">
        <v>94.673232883616095</v>
      </c>
      <c r="AN4151">
        <v>1.00000001667281</v>
      </c>
    </row>
    <row r="4152" spans="1:40" x14ac:dyDescent="0.25">
      <c r="A4152" t="str">
        <f>"20190305135016120"</f>
        <v>20190305135016120</v>
      </c>
      <c r="B4152" t="str">
        <f>"1551765016114143"</f>
        <v>1551765016114143</v>
      </c>
      <c r="C4152" t="s">
        <v>40</v>
      </c>
      <c r="D4152">
        <v>4.1677710000000001</v>
      </c>
      <c r="E4152">
        <v>0.53062940000000003</v>
      </c>
      <c r="F4152" t="s">
        <v>74</v>
      </c>
      <c r="G4152">
        <v>-224.1028</v>
      </c>
      <c r="H4152" s="1">
        <v>6.7213489999999996E-7</v>
      </c>
      <c r="I4152">
        <v>214.03059999999999</v>
      </c>
      <c r="J4152">
        <v>-250.1584</v>
      </c>
      <c r="K4152">
        <v>1.1114919999999999</v>
      </c>
      <c r="L4152">
        <v>214.16210000000001</v>
      </c>
      <c r="M4152">
        <v>0.99987879999999996</v>
      </c>
      <c r="N4152">
        <v>-1.448901E-2</v>
      </c>
      <c r="O4152">
        <v>-5.7027600000000003E-3</v>
      </c>
      <c r="P4152">
        <v>0.99117460000000002</v>
      </c>
      <c r="Q4152">
        <v>-0.1077133</v>
      </c>
      <c r="R4152">
        <v>7.7271740000000005E-2</v>
      </c>
      <c r="S4152">
        <v>3.0132289999999999</v>
      </c>
      <c r="T4152">
        <v>-0.12640119999999999</v>
      </c>
      <c r="U4152">
        <v>-1.5151980000000001E-2</v>
      </c>
      <c r="V4152">
        <v>-8.2423860000000002E-2</v>
      </c>
      <c r="W4152">
        <v>-9.378939E-2</v>
      </c>
      <c r="X4152">
        <v>0.99217429999999995</v>
      </c>
      <c r="Y4152">
        <v>-6.7200259999999998E-4</v>
      </c>
      <c r="Z4152">
        <v>1.7546710000000001E-4</v>
      </c>
      <c r="AA4152">
        <v>0.99999979999999999</v>
      </c>
      <c r="AB4152">
        <v>43</v>
      </c>
      <c r="AC4152">
        <v>26.055599999999998</v>
      </c>
      <c r="AD4152">
        <v>-1.1114913278651</v>
      </c>
      <c r="AE4152">
        <v>-0.13150000000001599</v>
      </c>
      <c r="AF4152">
        <v>-1.7075494159581799E-2</v>
      </c>
      <c r="AG4152">
        <v>-1.1114913278651</v>
      </c>
      <c r="AH4152">
        <v>26.008598462761899</v>
      </c>
      <c r="AI4152">
        <v>92.447076176418705</v>
      </c>
      <c r="AJ4152">
        <v>90.037616544746797</v>
      </c>
      <c r="AK4152">
        <v>26.032343316374799</v>
      </c>
      <c r="AL4152">
        <v>95.381645903186296</v>
      </c>
      <c r="AM4152">
        <v>94.748883548410802</v>
      </c>
      <c r="AN4152">
        <v>0.99999999197718004</v>
      </c>
    </row>
    <row r="4153" spans="1:40" x14ac:dyDescent="0.25">
      <c r="A4153" t="str">
        <f>"20190305135016137"</f>
        <v>20190305135016137</v>
      </c>
      <c r="B4153" t="str">
        <f>"1551765016134636"</f>
        <v>1551765016134636</v>
      </c>
      <c r="C4153" t="s">
        <v>40</v>
      </c>
      <c r="D4153">
        <v>4.1596739999999999</v>
      </c>
      <c r="E4153">
        <v>0.5306573</v>
      </c>
      <c r="F4153" t="s">
        <v>74</v>
      </c>
      <c r="G4153">
        <v>-223.45179999999999</v>
      </c>
      <c r="H4153" s="1">
        <v>3.2176520000000001E-7</v>
      </c>
      <c r="I4153">
        <v>214.12100000000001</v>
      </c>
      <c r="J4153">
        <v>-249.8554</v>
      </c>
      <c r="K4153">
        <v>1.111524</v>
      </c>
      <c r="L4153">
        <v>214.16149999999999</v>
      </c>
      <c r="M4153">
        <v>0.99988600000000005</v>
      </c>
      <c r="N4153">
        <v>-1.448762E-2</v>
      </c>
      <c r="O4153">
        <v>-4.2422720000000001E-3</v>
      </c>
      <c r="P4153">
        <v>0.99097710000000006</v>
      </c>
      <c r="Q4153">
        <v>-0.1078431</v>
      </c>
      <c r="R4153">
        <v>7.9587950000000005E-2</v>
      </c>
      <c r="S4153">
        <v>3.0134430000000001</v>
      </c>
      <c r="T4153">
        <v>-0.12541540000000001</v>
      </c>
      <c r="U4153">
        <v>-4.6386719999999999E-3</v>
      </c>
      <c r="V4153">
        <v>-8.3283300000000005E-2</v>
      </c>
      <c r="W4153">
        <v>-9.39329E-2</v>
      </c>
      <c r="X4153">
        <v>0.992089</v>
      </c>
      <c r="Y4153">
        <v>-2.6986919999999999E-3</v>
      </c>
      <c r="Z4153">
        <v>1.907291E-4</v>
      </c>
      <c r="AA4153">
        <v>0.99999640000000001</v>
      </c>
      <c r="AB4153">
        <v>43</v>
      </c>
      <c r="AC4153">
        <v>26.403600000000001</v>
      </c>
      <c r="AD4153">
        <v>-1.1115236782347999</v>
      </c>
      <c r="AE4153">
        <v>-4.0500000000008599E-2</v>
      </c>
      <c r="AF4153">
        <v>-7.1396851235037306E-2</v>
      </c>
      <c r="AG4153">
        <v>-1.1115236782347999</v>
      </c>
      <c r="AH4153">
        <v>26.356824903200899</v>
      </c>
      <c r="AI4153">
        <v>92.414845797641703</v>
      </c>
      <c r="AJ4153">
        <v>90.155205653774502</v>
      </c>
      <c r="AK4153">
        <v>26.380348772820199</v>
      </c>
      <c r="AL4153">
        <v>95.389904617354901</v>
      </c>
      <c r="AM4153">
        <v>94.798581146811898</v>
      </c>
      <c r="AN4153">
        <v>1.00000004084114</v>
      </c>
    </row>
    <row r="4154" spans="1:40" x14ac:dyDescent="0.25">
      <c r="A4154" t="str">
        <f>"20190305135016150"</f>
        <v>20190305135016150</v>
      </c>
      <c r="B4154" t="str">
        <f>"1551765016144396"</f>
        <v>1551765016144396</v>
      </c>
      <c r="C4154" t="s">
        <v>40</v>
      </c>
      <c r="D4154">
        <v>4.1938779999999998</v>
      </c>
      <c r="E4154">
        <v>0.53064140000000004</v>
      </c>
      <c r="F4154" t="s">
        <v>74</v>
      </c>
      <c r="G4154">
        <v>-222.83150000000001</v>
      </c>
      <c r="H4154" s="1">
        <v>-1.094802E-8</v>
      </c>
      <c r="I4154">
        <v>214.18029999999999</v>
      </c>
      <c r="J4154">
        <v>-249.5898</v>
      </c>
      <c r="K4154">
        <v>1.1115489999999999</v>
      </c>
      <c r="L4154">
        <v>214.16120000000001</v>
      </c>
      <c r="M4154">
        <v>0.99989090000000003</v>
      </c>
      <c r="N4154">
        <v>-1.448636E-2</v>
      </c>
      <c r="O4154">
        <v>-2.9569790000000002E-3</v>
      </c>
      <c r="P4154">
        <v>0.99078639999999996</v>
      </c>
      <c r="Q4154">
        <v>-0.1079862</v>
      </c>
      <c r="R4154">
        <v>8.174033E-2</v>
      </c>
      <c r="S4154">
        <v>3.0136569999999998</v>
      </c>
      <c r="T4154">
        <v>-0.123955</v>
      </c>
      <c r="U4154">
        <v>2.1057129999999999E-3</v>
      </c>
      <c r="V4154">
        <v>-8.4155759999999996E-2</v>
      </c>
      <c r="W4154">
        <v>-9.4088290000000005E-2</v>
      </c>
      <c r="X4154">
        <v>0.99200060000000001</v>
      </c>
      <c r="Y4154">
        <v>-3.6507839999999998E-3</v>
      </c>
      <c r="Z4154">
        <v>1.8025429999999999E-4</v>
      </c>
      <c r="AA4154">
        <v>0.99999329999999997</v>
      </c>
      <c r="AB4154">
        <v>43</v>
      </c>
      <c r="AC4154">
        <v>26.758299999999899</v>
      </c>
      <c r="AD4154">
        <v>-1.1115490109480199</v>
      </c>
      <c r="AE4154">
        <v>1.9099999999980299E-2</v>
      </c>
      <c r="AF4154">
        <v>-9.80627180024429E-2</v>
      </c>
      <c r="AG4154">
        <v>-1.1115490109480199</v>
      </c>
      <c r="AH4154">
        <v>26.7120322412704</v>
      </c>
      <c r="AI4154">
        <v>92.382818214266806</v>
      </c>
      <c r="AJ4154">
        <v>90.210337969720797</v>
      </c>
      <c r="AK4154">
        <v>26.7353291350429</v>
      </c>
      <c r="AL4154">
        <v>95.398847665923498</v>
      </c>
      <c r="AM4154">
        <v>94.849041766400802</v>
      </c>
      <c r="AN4154">
        <v>0.99999999432832998</v>
      </c>
    </row>
    <row r="4155" spans="1:40" x14ac:dyDescent="0.25">
      <c r="A4155" t="str">
        <f>"20190305135016163"</f>
        <v>20190305135016163</v>
      </c>
      <c r="B4155" t="str">
        <f>"1551765016154158"</f>
        <v>1551765016154158</v>
      </c>
      <c r="C4155" t="s">
        <v>40</v>
      </c>
      <c r="D4155">
        <v>4.1752379999999896</v>
      </c>
      <c r="E4155">
        <v>0.53060600000000002</v>
      </c>
      <c r="F4155" t="s">
        <v>74</v>
      </c>
      <c r="G4155">
        <v>-222.4692</v>
      </c>
      <c r="H4155" s="1">
        <v>-2.064612E-7</v>
      </c>
      <c r="I4155">
        <v>214.24260000000001</v>
      </c>
      <c r="J4155">
        <v>-249.3218</v>
      </c>
      <c r="K4155">
        <v>1.1115710000000001</v>
      </c>
      <c r="L4155">
        <v>214.16139999999999</v>
      </c>
      <c r="M4155">
        <v>0.99989380000000005</v>
      </c>
      <c r="N4155">
        <v>-1.4485069999999999E-2</v>
      </c>
      <c r="O4155">
        <v>-1.654331E-3</v>
      </c>
      <c r="P4155">
        <v>0.99051789999999995</v>
      </c>
      <c r="Q4155">
        <v>-0.1081033</v>
      </c>
      <c r="R4155">
        <v>8.4783670000000005E-2</v>
      </c>
      <c r="S4155">
        <v>3.013687</v>
      </c>
      <c r="T4155">
        <v>-0.1235173</v>
      </c>
      <c r="U4155">
        <v>9.0484620000000002E-3</v>
      </c>
      <c r="V4155">
        <v>-8.5902829999999999E-2</v>
      </c>
      <c r="W4155">
        <v>-9.4222890000000004E-2</v>
      </c>
      <c r="X4155">
        <v>0.991838</v>
      </c>
      <c r="Y4155">
        <v>-4.6510689999999999E-3</v>
      </c>
      <c r="Z4155">
        <v>1.7279639999999999E-4</v>
      </c>
      <c r="AA4155">
        <v>0.99998920000000002</v>
      </c>
      <c r="AB4155">
        <v>43</v>
      </c>
      <c r="AC4155">
        <v>26.852599999999899</v>
      </c>
      <c r="AD4155">
        <v>-1.11157120646119</v>
      </c>
      <c r="AE4155">
        <v>8.1200000000023906E-2</v>
      </c>
      <c r="AF4155">
        <v>-0.12541273334474801</v>
      </c>
      <c r="AG4155">
        <v>-1.11157120646119</v>
      </c>
      <c r="AH4155">
        <v>26.806494512083599</v>
      </c>
      <c r="AI4155">
        <v>92.374468514007205</v>
      </c>
      <c r="AJ4155">
        <v>90.2680532469235</v>
      </c>
      <c r="AK4155">
        <v>26.829824206041501</v>
      </c>
      <c r="AL4155">
        <v>95.406594420078505</v>
      </c>
      <c r="AM4155">
        <v>94.9500200456242</v>
      </c>
      <c r="AN4155">
        <v>0.99999993372297802</v>
      </c>
    </row>
    <row r="4156" spans="1:40" x14ac:dyDescent="0.25">
      <c r="A4156" t="str">
        <f>"20190305135016181"</f>
        <v>20190305135016181</v>
      </c>
      <c r="B4156" t="str">
        <f>"1551765016174653"</f>
        <v>1551765016174653</v>
      </c>
      <c r="C4156" t="s">
        <v>40</v>
      </c>
      <c r="D4156">
        <v>4.1536710000000001</v>
      </c>
      <c r="E4156">
        <v>0.53062959999999904</v>
      </c>
      <c r="F4156" t="s">
        <v>74</v>
      </c>
      <c r="G4156">
        <v>-222.32159999999999</v>
      </c>
      <c r="H4156" s="1">
        <v>-2.8870279999999998E-7</v>
      </c>
      <c r="I4156">
        <v>214.32749999999999</v>
      </c>
      <c r="J4156">
        <v>-248.99109999999999</v>
      </c>
      <c r="K4156">
        <v>1.1115969999999999</v>
      </c>
      <c r="L4156">
        <v>214.16210000000001</v>
      </c>
      <c r="M4156">
        <v>0.99989519999999998</v>
      </c>
      <c r="N4156">
        <v>-1.448351E-2</v>
      </c>
      <c r="O4156" s="1">
        <v>-4.4356210000000001E-5</v>
      </c>
      <c r="P4156">
        <v>0.99030879999999999</v>
      </c>
      <c r="Q4156">
        <v>-0.1082125</v>
      </c>
      <c r="R4156">
        <v>8.705533E-2</v>
      </c>
      <c r="S4156">
        <v>3.0135800000000001</v>
      </c>
      <c r="T4156">
        <v>-0.12406639999999999</v>
      </c>
      <c r="U4156">
        <v>1.8539429999999999E-2</v>
      </c>
      <c r="V4156">
        <v>-8.6573880000000006E-2</v>
      </c>
      <c r="W4156">
        <v>-9.434302E-2</v>
      </c>
      <c r="X4156">
        <v>0.99176830000000005</v>
      </c>
      <c r="Y4156">
        <v>-6.1891009999999998E-3</v>
      </c>
      <c r="Z4156">
        <v>1.733761E-4</v>
      </c>
      <c r="AA4156">
        <v>0.9999808</v>
      </c>
      <c r="AB4156">
        <v>43</v>
      </c>
      <c r="AC4156">
        <v>26.669499999999999</v>
      </c>
      <c r="AD4156">
        <v>-1.1115972887028001</v>
      </c>
      <c r="AE4156">
        <v>0.16539999999997601</v>
      </c>
      <c r="AF4156">
        <v>-0.166294196361879</v>
      </c>
      <c r="AG4156">
        <v>-1.1115972887028001</v>
      </c>
      <c r="AH4156">
        <v>26.623242878892398</v>
      </c>
      <c r="AI4156">
        <v>92.390829007609199</v>
      </c>
      <c r="AJ4156">
        <v>90.357876451942502</v>
      </c>
      <c r="AK4156">
        <v>26.646957869154299</v>
      </c>
      <c r="AL4156">
        <v>95.413507792178606</v>
      </c>
      <c r="AM4156">
        <v>94.988842728615793</v>
      </c>
      <c r="AN4156">
        <v>1.00000000150293</v>
      </c>
    </row>
    <row r="4157" spans="1:40" x14ac:dyDescent="0.25">
      <c r="A4157" t="str">
        <f>"20190305135016199"</f>
        <v>20190305135016199</v>
      </c>
      <c r="B4157" t="str">
        <f>"1551765016194178"</f>
        <v>1551765016194178</v>
      </c>
      <c r="C4157" t="s">
        <v>40</v>
      </c>
      <c r="D4157">
        <v>4.1423540000000001</v>
      </c>
      <c r="E4157">
        <v>0.53069509999999998</v>
      </c>
      <c r="F4157" t="s">
        <v>74</v>
      </c>
      <c r="G4157">
        <v>-222.1309</v>
      </c>
      <c r="H4157" s="1">
        <v>-3.9285410000000002E-7</v>
      </c>
      <c r="I4157">
        <v>214.3877</v>
      </c>
      <c r="J4157">
        <v>-248.67189999999999</v>
      </c>
      <c r="K4157">
        <v>1.111621</v>
      </c>
      <c r="L4157">
        <v>214.16319999999999</v>
      </c>
      <c r="M4157">
        <v>0.99989399999999995</v>
      </c>
      <c r="N4157">
        <v>-1.448201E-2</v>
      </c>
      <c r="O4157">
        <v>1.5088809999999999E-3</v>
      </c>
      <c r="P4157">
        <v>0.9900658</v>
      </c>
      <c r="Q4157">
        <v>-0.10838979999999999</v>
      </c>
      <c r="R4157">
        <v>8.9562000000000003E-2</v>
      </c>
      <c r="S4157">
        <v>3.0135040000000002</v>
      </c>
      <c r="T4157">
        <v>-0.12471260000000001</v>
      </c>
      <c r="U4157">
        <v>2.5314329999999999E-2</v>
      </c>
      <c r="V4157">
        <v>-8.7537939999999995E-2</v>
      </c>
      <c r="W4157">
        <v>-9.4532309999999994E-2</v>
      </c>
      <c r="X4157">
        <v>0.99166569999999998</v>
      </c>
      <c r="Y4157">
        <v>-6.8835959999999996E-3</v>
      </c>
      <c r="Z4157">
        <v>1.516802E-4</v>
      </c>
      <c r="AA4157">
        <v>0.99997630000000004</v>
      </c>
      <c r="AB4157">
        <v>43</v>
      </c>
      <c r="AC4157">
        <v>26.541</v>
      </c>
      <c r="AD4157">
        <v>-1.1116213928541001</v>
      </c>
      <c r="AE4157">
        <v>0.224500000000006</v>
      </c>
      <c r="AF4157">
        <v>-0.18412536421510101</v>
      </c>
      <c r="AG4157">
        <v>-1.1116213928541001</v>
      </c>
      <c r="AH4157">
        <v>26.494834632925201</v>
      </c>
      <c r="AI4157">
        <v>92.402443608834503</v>
      </c>
      <c r="AJ4157">
        <v>90.3981695522845</v>
      </c>
      <c r="AK4157">
        <v>26.5187832770821</v>
      </c>
      <c r="AL4157">
        <v>95.424401710232601</v>
      </c>
      <c r="AM4157">
        <v>95.0446310886432</v>
      </c>
      <c r="AN4157">
        <v>1.0000000545649299</v>
      </c>
    </row>
    <row r="4158" spans="1:40" x14ac:dyDescent="0.25">
      <c r="A4158" t="str">
        <f>"20190305135016215"</f>
        <v>20190305135016215</v>
      </c>
      <c r="B4158" t="str">
        <f>"1551765016204914"</f>
        <v>1551765016204914</v>
      </c>
      <c r="C4158" t="s">
        <v>40</v>
      </c>
      <c r="D4158">
        <v>4.1908310000000002</v>
      </c>
      <c r="E4158">
        <v>0.53075869999999903</v>
      </c>
      <c r="F4158" t="s">
        <v>74</v>
      </c>
      <c r="G4158">
        <v>-221.8939</v>
      </c>
      <c r="H4158" s="1">
        <v>-5.2163309999999896E-7</v>
      </c>
      <c r="I4158">
        <v>214.44890000000001</v>
      </c>
      <c r="J4158">
        <v>-248.34809999999999</v>
      </c>
      <c r="K4158">
        <v>1.111639</v>
      </c>
      <c r="L4158">
        <v>214.16489999999999</v>
      </c>
      <c r="M4158">
        <v>0.99989039999999996</v>
      </c>
      <c r="N4158">
        <v>-1.448047E-2</v>
      </c>
      <c r="O4158">
        <v>3.0798230000000002E-3</v>
      </c>
      <c r="P4158">
        <v>0.98992769999999997</v>
      </c>
      <c r="Q4158">
        <v>-0.1080063</v>
      </c>
      <c r="R4158">
        <v>9.1531539999999995E-2</v>
      </c>
      <c r="S4158">
        <v>3.013474</v>
      </c>
      <c r="T4158">
        <v>-0.1250966</v>
      </c>
      <c r="U4158">
        <v>3.2150270000000002E-2</v>
      </c>
      <c r="V4158">
        <v>-8.7951059999999998E-2</v>
      </c>
      <c r="W4158">
        <v>-9.4155080000000002E-2</v>
      </c>
      <c r="X4158">
        <v>0.99166500000000002</v>
      </c>
      <c r="Y4158">
        <v>-7.5805300000000003E-3</v>
      </c>
      <c r="Z4158">
        <v>1.289865E-4</v>
      </c>
      <c r="AA4158">
        <v>0.99997130000000001</v>
      </c>
      <c r="AB4158">
        <v>43</v>
      </c>
      <c r="AC4158">
        <v>26.454199999999901</v>
      </c>
      <c r="AD4158">
        <v>-1.1116395216331001</v>
      </c>
      <c r="AE4158">
        <v>0.28400000000002001</v>
      </c>
      <c r="AF4158">
        <v>-0.20215892638798</v>
      </c>
      <c r="AG4158">
        <v>-1.1116395216331001</v>
      </c>
      <c r="AH4158">
        <v>26.408323131290899</v>
      </c>
      <c r="AI4158">
        <v>92.410331407516793</v>
      </c>
      <c r="AJ4158">
        <v>90.438597595467797</v>
      </c>
      <c r="AK4158">
        <v>26.4324826920259</v>
      </c>
      <c r="AL4158">
        <v>95.402691375217202</v>
      </c>
      <c r="AM4158">
        <v>95.068318191139397</v>
      </c>
      <c r="AN4158">
        <v>1.0000000201349599</v>
      </c>
    </row>
    <row r="4159" spans="1:40" x14ac:dyDescent="0.25">
      <c r="A4159" t="str">
        <f>"20190305135016228"</f>
        <v>20190305135016228</v>
      </c>
      <c r="B4159" t="str">
        <f>"1551765016224433"</f>
        <v>1551765016224433</v>
      </c>
      <c r="C4159" t="s">
        <v>40</v>
      </c>
      <c r="D4159">
        <v>4.1945180000000004</v>
      </c>
      <c r="E4159">
        <v>0.53105380000000002</v>
      </c>
      <c r="F4159" t="s">
        <v>74</v>
      </c>
      <c r="G4159">
        <v>-221.2191</v>
      </c>
      <c r="H4159" s="1">
        <v>-8.8312819999999998E-7</v>
      </c>
      <c r="I4159">
        <v>214.5043</v>
      </c>
      <c r="J4159">
        <v>-248.09030000000001</v>
      </c>
      <c r="K4159">
        <v>1.11165</v>
      </c>
      <c r="L4159">
        <v>214.16650000000001</v>
      </c>
      <c r="M4159">
        <v>0.99988580000000005</v>
      </c>
      <c r="N4159">
        <v>-1.4479280000000001E-2</v>
      </c>
      <c r="O4159">
        <v>4.3240730000000003E-3</v>
      </c>
      <c r="P4159">
        <v>0.98986240000000003</v>
      </c>
      <c r="Q4159">
        <v>-0.1076536</v>
      </c>
      <c r="R4159">
        <v>9.2644539999999997E-2</v>
      </c>
      <c r="S4159">
        <v>3.0135649999999998</v>
      </c>
      <c r="T4159">
        <v>-0.12348430000000001</v>
      </c>
      <c r="U4159">
        <v>3.7704469999999997E-2</v>
      </c>
      <c r="V4159">
        <v>-8.7833399999999895E-2</v>
      </c>
      <c r="W4159">
        <v>-9.3803310000000001E-2</v>
      </c>
      <c r="X4159">
        <v>0.99170879999999995</v>
      </c>
      <c r="Y4159">
        <v>-8.1785269999999997E-3</v>
      </c>
      <c r="Z4159">
        <v>1.122269E-4</v>
      </c>
      <c r="AA4159">
        <v>0.99996660000000004</v>
      </c>
      <c r="AB4159">
        <v>43</v>
      </c>
      <c r="AC4159">
        <v>26.871200000000002</v>
      </c>
      <c r="AD4159">
        <v>-1.1116508831281999</v>
      </c>
      <c r="AE4159">
        <v>0.337799999999987</v>
      </c>
      <c r="AF4159">
        <v>-0.22121309274648601</v>
      </c>
      <c r="AG4159">
        <v>-1.1116508831281999</v>
      </c>
      <c r="AH4159">
        <v>26.826504749445299</v>
      </c>
      <c r="AI4159">
        <v>92.372814630666994</v>
      </c>
      <c r="AJ4159">
        <v>90.472453994186594</v>
      </c>
      <c r="AK4159">
        <v>26.850438729942098</v>
      </c>
      <c r="AL4159">
        <v>95.382446648879295</v>
      </c>
      <c r="AM4159">
        <v>95.061350704260605</v>
      </c>
      <c r="AN4159">
        <v>1.00000005555997</v>
      </c>
    </row>
    <row r="4160" spans="1:40" x14ac:dyDescent="0.25">
      <c r="A4160" t="str">
        <f>"20190305135016242"</f>
        <v>20190305135016242</v>
      </c>
      <c r="B4160" t="str">
        <f>"1551765016234193"</f>
        <v>1551765016234193</v>
      </c>
      <c r="C4160" t="s">
        <v>40</v>
      </c>
      <c r="D4160">
        <v>4.1862830000000004</v>
      </c>
      <c r="E4160">
        <v>0.53115760000000001</v>
      </c>
      <c r="F4160" t="s">
        <v>74</v>
      </c>
      <c r="G4160">
        <v>-220.80619999999999</v>
      </c>
      <c r="H4160" s="1">
        <v>-1.103442E-6</v>
      </c>
      <c r="I4160">
        <v>214.51730000000001</v>
      </c>
      <c r="J4160">
        <v>-247.8218</v>
      </c>
      <c r="K4160">
        <v>1.11165</v>
      </c>
      <c r="L4160">
        <v>214.1687</v>
      </c>
      <c r="M4160">
        <v>0.99987950000000003</v>
      </c>
      <c r="N4160">
        <v>-1.447786E-2</v>
      </c>
      <c r="O4160">
        <v>5.6059219999999898E-3</v>
      </c>
      <c r="P4160">
        <v>0.98986289999999999</v>
      </c>
      <c r="Q4160">
        <v>-0.106697</v>
      </c>
      <c r="R4160">
        <v>9.3739660000000002E-2</v>
      </c>
      <c r="S4160">
        <v>3.0137480000000001</v>
      </c>
      <c r="T4160">
        <v>-0.1227906</v>
      </c>
      <c r="U4160">
        <v>3.8742070000000003E-2</v>
      </c>
      <c r="V4160">
        <v>-8.7663980000000002E-2</v>
      </c>
      <c r="W4160">
        <v>-9.2845129999999998E-2</v>
      </c>
      <c r="X4160">
        <v>0.99181390000000003</v>
      </c>
      <c r="Y4160">
        <v>-7.2415889999999997E-3</v>
      </c>
      <c r="Z4160" s="1">
        <v>5.275656E-5</v>
      </c>
      <c r="AA4160">
        <v>0.99997380000000002</v>
      </c>
      <c r="AB4160">
        <v>43</v>
      </c>
      <c r="AC4160">
        <v>27.015599999999999</v>
      </c>
      <c r="AD4160">
        <v>-1.111651103442</v>
      </c>
      <c r="AE4160">
        <v>0.34860000000000402</v>
      </c>
      <c r="AF4160">
        <v>-0.19679814096515799</v>
      </c>
      <c r="AG4160">
        <v>-1.111651103442</v>
      </c>
      <c r="AH4160">
        <v>26.9714693978536</v>
      </c>
      <c r="AI4160">
        <v>92.360093689305302</v>
      </c>
      <c r="AJ4160">
        <v>90.418052966624899</v>
      </c>
      <c r="AK4160">
        <v>26.995085833599902</v>
      </c>
      <c r="AL4160">
        <v>95.327306621574607</v>
      </c>
      <c r="AM4160">
        <v>95.051105995190198</v>
      </c>
      <c r="AN4160">
        <v>1.0000000018936801</v>
      </c>
    </row>
    <row r="4161" spans="1:40" x14ac:dyDescent="0.25">
      <c r="A4161" t="str">
        <f>"20190305135016260"</f>
        <v>20190305135016260</v>
      </c>
      <c r="B4161" t="str">
        <f>"1551765016254689"</f>
        <v>1551765016254689</v>
      </c>
      <c r="C4161" t="s">
        <v>40</v>
      </c>
      <c r="D4161">
        <v>4.1801380000000004</v>
      </c>
      <c r="E4161">
        <v>0.53150799999999998</v>
      </c>
      <c r="F4161" t="s">
        <v>74</v>
      </c>
      <c r="G4161">
        <v>-219.82689999999999</v>
      </c>
      <c r="H4161" s="1">
        <v>3.6953480000000001E-6</v>
      </c>
      <c r="I4161">
        <v>214.5531</v>
      </c>
      <c r="J4161">
        <v>-247.48580000000001</v>
      </c>
      <c r="K4161">
        <v>1.11164</v>
      </c>
      <c r="L4161">
        <v>214.17179999999999</v>
      </c>
      <c r="M4161">
        <v>0.99986949999999997</v>
      </c>
      <c r="N4161">
        <v>-1.447586E-2</v>
      </c>
      <c r="O4161">
        <v>7.1865729999999999E-3</v>
      </c>
      <c r="P4161">
        <v>0.98976660000000005</v>
      </c>
      <c r="Q4161">
        <v>-0.106501</v>
      </c>
      <c r="R4161">
        <v>9.4974149999999993E-2</v>
      </c>
      <c r="S4161">
        <v>3.0138850000000001</v>
      </c>
      <c r="T4161">
        <v>-0.1196779</v>
      </c>
      <c r="U4161">
        <v>4.1381840000000003E-2</v>
      </c>
      <c r="V4161">
        <v>-8.7337860000000003E-2</v>
      </c>
      <c r="W4161">
        <v>-9.264617E-2</v>
      </c>
      <c r="X4161">
        <v>0.99186129999999995</v>
      </c>
      <c r="Y4161">
        <v>-6.5373530000000001E-3</v>
      </c>
      <c r="Z4161" s="1">
        <v>-4.145884E-6</v>
      </c>
      <c r="AA4161">
        <v>0.99997860000000005</v>
      </c>
      <c r="AB4161">
        <v>43</v>
      </c>
      <c r="AC4161">
        <v>27.658899999999999</v>
      </c>
      <c r="AD4161">
        <v>-1.1116363046519999</v>
      </c>
      <c r="AE4161">
        <v>0.38130000000001002</v>
      </c>
      <c r="AF4161">
        <v>-0.18220238173162101</v>
      </c>
      <c r="AG4161">
        <v>-1.1116363046519999</v>
      </c>
      <c r="AH4161">
        <v>27.6163256955642</v>
      </c>
      <c r="AI4161">
        <v>92.305024891430605</v>
      </c>
      <c r="AJ4161">
        <v>90.378011040922203</v>
      </c>
      <c r="AK4161">
        <v>27.639290473983099</v>
      </c>
      <c r="AL4161">
        <v>95.315857575260097</v>
      </c>
      <c r="AM4161">
        <v>95.032172716288997</v>
      </c>
      <c r="AN4161">
        <v>1.00000002652136</v>
      </c>
    </row>
    <row r="4162" spans="1:40" x14ac:dyDescent="0.25">
      <c r="A4162" t="str">
        <f>"20190305135016277"</f>
        <v>20190305135016277</v>
      </c>
      <c r="B4162" t="str">
        <f>"1551765016274209"</f>
        <v>1551765016274209</v>
      </c>
      <c r="C4162" t="s">
        <v>40</v>
      </c>
      <c r="D4162">
        <v>4.193594</v>
      </c>
      <c r="E4162">
        <v>0.53192340000000005</v>
      </c>
      <c r="F4162" t="s">
        <v>74</v>
      </c>
      <c r="G4162">
        <v>-219.2184</v>
      </c>
      <c r="H4162" s="1">
        <v>3.3708110000000001E-6</v>
      </c>
      <c r="I4162">
        <v>214.56950000000001</v>
      </c>
      <c r="J4162">
        <v>-247.16470000000001</v>
      </c>
      <c r="K4162">
        <v>1.1116220000000001</v>
      </c>
      <c r="L4162">
        <v>214.17519999999999</v>
      </c>
      <c r="M4162">
        <v>0.99985780000000002</v>
      </c>
      <c r="N4162">
        <v>-1.4473679999999999E-2</v>
      </c>
      <c r="O4162">
        <v>8.6649529999999995E-3</v>
      </c>
      <c r="P4162">
        <v>0.98974499999999999</v>
      </c>
      <c r="Q4162">
        <v>-0.10630240000000001</v>
      </c>
      <c r="R4162">
        <v>9.5418509999999998E-2</v>
      </c>
      <c r="S4162">
        <v>3.0141749999999998</v>
      </c>
      <c r="T4162">
        <v>-0.1185346</v>
      </c>
      <c r="U4162">
        <v>4.2404169999999998E-2</v>
      </c>
      <c r="V4162">
        <v>-8.6323579999999997E-2</v>
      </c>
      <c r="W4162">
        <v>-9.2437770000000002E-2</v>
      </c>
      <c r="X4162">
        <v>0.99196949999999995</v>
      </c>
      <c r="Y4162">
        <v>-5.3982939999999997E-3</v>
      </c>
      <c r="Z4162" s="1">
        <v>-7.0021129999999995E-5</v>
      </c>
      <c r="AA4162">
        <v>0.99998540000000002</v>
      </c>
      <c r="AB4162">
        <v>43</v>
      </c>
      <c r="AC4162">
        <v>27.946300000000001</v>
      </c>
      <c r="AD4162">
        <v>-1.11161862918899</v>
      </c>
      <c r="AE4162">
        <v>0.39430000000001503</v>
      </c>
      <c r="AF4162">
        <v>-0.15186623733473101</v>
      </c>
      <c r="AG4162">
        <v>-1.11161862918899</v>
      </c>
      <c r="AH4162">
        <v>27.9045256676606</v>
      </c>
      <c r="AI4162">
        <v>92.281223322762202</v>
      </c>
      <c r="AJ4162">
        <v>90.311820693407796</v>
      </c>
      <c r="AK4162">
        <v>27.927071312042901</v>
      </c>
      <c r="AL4162">
        <v>95.303865841038899</v>
      </c>
      <c r="AM4162">
        <v>94.973487693512197</v>
      </c>
      <c r="AN4162">
        <v>0.99999999535841899</v>
      </c>
    </row>
    <row r="4163" spans="1:40" x14ac:dyDescent="0.25">
      <c r="A4163" t="str">
        <f>"20190305135016299"</f>
        <v>20190305135016299</v>
      </c>
      <c r="B4163" t="str">
        <f>"1551765016294847"</f>
        <v>1551765016294847</v>
      </c>
      <c r="C4163" t="s">
        <v>40</v>
      </c>
      <c r="D4163">
        <v>4.209047</v>
      </c>
      <c r="E4163">
        <v>0.53228989999999998</v>
      </c>
      <c r="F4163" t="s">
        <v>74</v>
      </c>
      <c r="G4163">
        <v>-218.48140000000001</v>
      </c>
      <c r="H4163" s="1">
        <v>2.978985E-6</v>
      </c>
      <c r="I4163">
        <v>214.56129999999999</v>
      </c>
      <c r="J4163">
        <v>-246.74109999999999</v>
      </c>
      <c r="K4163">
        <v>1.111577</v>
      </c>
      <c r="L4163">
        <v>214.18049999999999</v>
      </c>
      <c r="M4163">
        <v>0.9998397</v>
      </c>
      <c r="N4163">
        <v>-1.447035E-2</v>
      </c>
      <c r="O4163">
        <v>1.055386E-2</v>
      </c>
      <c r="P4163">
        <v>0.98967550000000004</v>
      </c>
      <c r="Q4163">
        <v>-0.10679370000000001</v>
      </c>
      <c r="R4163">
        <v>9.5592659999999996E-2</v>
      </c>
      <c r="S4163">
        <v>3.014618</v>
      </c>
      <c r="T4163">
        <v>-0.1168313</v>
      </c>
      <c r="U4163">
        <v>4.0573119999999997E-2</v>
      </c>
      <c r="V4163">
        <v>-8.4634849999999998E-2</v>
      </c>
      <c r="W4163">
        <v>-9.2912159999999994E-2</v>
      </c>
      <c r="X4163">
        <v>0.99207069999999997</v>
      </c>
      <c r="Y4163">
        <v>-2.902937E-3</v>
      </c>
      <c r="Z4163">
        <v>-1.7889689999999901E-4</v>
      </c>
      <c r="AA4163">
        <v>0.99999579999999999</v>
      </c>
      <c r="AB4163">
        <v>43</v>
      </c>
      <c r="AC4163">
        <v>28.259699999999899</v>
      </c>
      <c r="AD4163">
        <v>-1.111574021015</v>
      </c>
      <c r="AE4163">
        <v>0.38079999999999298</v>
      </c>
      <c r="AF4163">
        <v>-8.2371249472252397E-2</v>
      </c>
      <c r="AG4163">
        <v>-1.111574021015</v>
      </c>
      <c r="AH4163">
        <v>28.218493870809802</v>
      </c>
      <c r="AI4163">
        <v>92.255801394336103</v>
      </c>
      <c r="AJ4163">
        <v>90.167248881703003</v>
      </c>
      <c r="AK4163">
        <v>28.240498900760699</v>
      </c>
      <c r="AL4163">
        <v>95.331163837861098</v>
      </c>
      <c r="AM4163">
        <v>94.876171197228999</v>
      </c>
      <c r="AN4163">
        <v>1.0000000005544301</v>
      </c>
    </row>
    <row r="4164" spans="1:40" x14ac:dyDescent="0.25">
      <c r="A4164" t="str">
        <f>"20190305135016321"</f>
        <v>20190305135016321</v>
      </c>
      <c r="B4164" t="str">
        <f>"1551765016314872"</f>
        <v>1551765016314872</v>
      </c>
      <c r="C4164" t="s">
        <v>40</v>
      </c>
      <c r="D4164">
        <v>4.2021329999999999</v>
      </c>
      <c r="E4164">
        <v>0.53259609999999902</v>
      </c>
      <c r="F4164" t="s">
        <v>74</v>
      </c>
      <c r="G4164">
        <v>-218.30179999999999</v>
      </c>
      <c r="H4164" s="1">
        <v>2.8842930000000001E-6</v>
      </c>
      <c r="I4164">
        <v>214.541</v>
      </c>
      <c r="J4164">
        <v>-246.3115</v>
      </c>
      <c r="K4164">
        <v>1.111523</v>
      </c>
      <c r="L4164">
        <v>214.1865</v>
      </c>
      <c r="M4164">
        <v>0.99981869999999995</v>
      </c>
      <c r="N4164">
        <v>-1.4466700000000001E-2</v>
      </c>
      <c r="O4164">
        <v>1.2386960000000001E-2</v>
      </c>
      <c r="P4164">
        <v>0.98967729999999998</v>
      </c>
      <c r="Q4164">
        <v>-0.1070662</v>
      </c>
      <c r="R4164">
        <v>9.5268790000000006E-2</v>
      </c>
      <c r="S4164">
        <v>3.0148769999999998</v>
      </c>
      <c r="T4164">
        <v>-0.117839</v>
      </c>
      <c r="U4164">
        <v>3.8223269999999997E-2</v>
      </c>
      <c r="V4164">
        <v>-8.250681E-2</v>
      </c>
      <c r="W4164">
        <v>-9.3161910000000001E-2</v>
      </c>
      <c r="X4164">
        <v>0.99222650000000001</v>
      </c>
      <c r="Y4164">
        <v>-2.9241359999999998E-4</v>
      </c>
      <c r="Z4164">
        <v>-2.9693839999999998E-4</v>
      </c>
      <c r="AA4164">
        <v>0.99999990000000005</v>
      </c>
      <c r="AB4164">
        <v>43</v>
      </c>
      <c r="AC4164">
        <v>28.009699999999999</v>
      </c>
      <c r="AD4164">
        <v>-1.111520115707</v>
      </c>
      <c r="AE4164">
        <v>0.35450000000000098</v>
      </c>
      <c r="AF4164">
        <v>-7.46971676262842E-3</v>
      </c>
      <c r="AG4164">
        <v>-1.111520115707</v>
      </c>
      <c r="AH4164">
        <v>27.967906218202</v>
      </c>
      <c r="AI4164">
        <v>92.275891175326606</v>
      </c>
      <c r="AJ4164">
        <v>90.015302655520202</v>
      </c>
      <c r="AK4164">
        <v>27.989985905577601</v>
      </c>
      <c r="AL4164">
        <v>95.345535952226498</v>
      </c>
      <c r="AM4164">
        <v>94.753391917065102</v>
      </c>
      <c r="AN4164">
        <v>0.99999997123673601</v>
      </c>
    </row>
    <row r="4165" spans="1:40" x14ac:dyDescent="0.25">
      <c r="A4165" t="str">
        <f>"20190305135016339"</f>
        <v>20190305135016339</v>
      </c>
      <c r="B4165" t="str">
        <f>"1551765016334392"</f>
        <v>1551765016334392</v>
      </c>
      <c r="C4165" t="s">
        <v>40</v>
      </c>
      <c r="D4165">
        <v>4.175567</v>
      </c>
      <c r="E4165">
        <v>0.54111869999999995</v>
      </c>
      <c r="F4165" t="s">
        <v>74</v>
      </c>
      <c r="G4165">
        <v>-218.12950000000001</v>
      </c>
      <c r="H4165" s="1">
        <v>2.793875E-6</v>
      </c>
      <c r="I4165">
        <v>214.51230000000001</v>
      </c>
      <c r="J4165">
        <v>-245.9853</v>
      </c>
      <c r="K4165">
        <v>1.111469</v>
      </c>
      <c r="L4165">
        <v>214.19159999999999</v>
      </c>
      <c r="M4165">
        <v>0.99980139999999995</v>
      </c>
      <c r="N4165">
        <v>-1.4463800000000001E-2</v>
      </c>
      <c r="O4165">
        <v>1.371175E-2</v>
      </c>
      <c r="P4165">
        <v>0.98967769999999999</v>
      </c>
      <c r="Q4165">
        <v>-0.1068206</v>
      </c>
      <c r="R4165">
        <v>9.5538629999999999E-2</v>
      </c>
      <c r="S4165">
        <v>3.0150760000000001</v>
      </c>
      <c r="T4165">
        <v>-0.11891690000000001</v>
      </c>
      <c r="U4165">
        <v>3.4851069999999998E-2</v>
      </c>
      <c r="V4165">
        <v>-8.1478309999999998E-2</v>
      </c>
      <c r="W4165">
        <v>-9.2900640000000007E-2</v>
      </c>
      <c r="X4165">
        <v>0.992336</v>
      </c>
      <c r="Y4165">
        <v>2.1486280000000001E-3</v>
      </c>
      <c r="Z4165">
        <v>-4.0016459999999999E-4</v>
      </c>
      <c r="AA4165">
        <v>0.99999760000000004</v>
      </c>
      <c r="AB4165">
        <v>43</v>
      </c>
      <c r="AC4165">
        <v>27.855799999999899</v>
      </c>
      <c r="AD4165">
        <v>-1.111466206125</v>
      </c>
      <c r="AE4165">
        <v>0.32070000000001597</v>
      </c>
      <c r="AF4165">
        <v>6.12244092687452E-2</v>
      </c>
      <c r="AG4165">
        <v>-1.111466206125</v>
      </c>
      <c r="AH4165">
        <v>27.813303767820699</v>
      </c>
      <c r="AI4165">
        <v>92.288412148454</v>
      </c>
      <c r="AJ4165">
        <v>89.873877097892901</v>
      </c>
      <c r="AK4165">
        <v>27.8355702660592</v>
      </c>
      <c r="AL4165">
        <v>95.330500977535607</v>
      </c>
      <c r="AM4165">
        <v>94.693888647790999</v>
      </c>
      <c r="AN4165">
        <v>0.99999999040443199</v>
      </c>
    </row>
    <row r="4166" spans="1:40" x14ac:dyDescent="0.25">
      <c r="A4166" t="str">
        <f>"20190305135016354"</f>
        <v>20190305135016354</v>
      </c>
      <c r="B4166" t="str">
        <f>"1551765016344152"</f>
        <v>1551765016344152</v>
      </c>
      <c r="C4166" t="s">
        <v>40</v>
      </c>
      <c r="D4166">
        <v>4.3408009999999999</v>
      </c>
      <c r="E4166">
        <v>0.54111869999999995</v>
      </c>
      <c r="F4166" t="s">
        <v>74</v>
      </c>
      <c r="G4166">
        <v>-215.0736</v>
      </c>
      <c r="H4166" s="1">
        <v>1.195768E-6</v>
      </c>
      <c r="I4166">
        <v>213.86949999999999</v>
      </c>
      <c r="J4166">
        <v>-245.6885</v>
      </c>
      <c r="K4166">
        <v>1.111424</v>
      </c>
      <c r="L4166">
        <v>214.19649999999999</v>
      </c>
      <c r="M4166">
        <v>0.99978489999999998</v>
      </c>
      <c r="N4166">
        <v>-1.4461089999999999E-2</v>
      </c>
      <c r="O4166">
        <v>1.486407E-2</v>
      </c>
      <c r="P4166">
        <v>0.98980109999999999</v>
      </c>
      <c r="Q4166">
        <v>-0.1069736</v>
      </c>
      <c r="R4166">
        <v>9.4078529999999994E-2</v>
      </c>
      <c r="S4166">
        <v>3.0225979999999999</v>
      </c>
      <c r="T4166">
        <v>-0.1086811</v>
      </c>
      <c r="U4166">
        <v>-3.1494139999999997E-2</v>
      </c>
      <c r="V4166">
        <v>-7.8886869999999998E-2</v>
      </c>
      <c r="W4166">
        <v>-9.3028479999999997E-2</v>
      </c>
      <c r="X4166">
        <v>0.99253340000000001</v>
      </c>
      <c r="Y4166">
        <v>2.525635E-2</v>
      </c>
      <c r="Z4166">
        <v>-9.5596349999999995E-4</v>
      </c>
      <c r="AA4166">
        <v>0.99968060000000003</v>
      </c>
      <c r="AB4166">
        <v>43</v>
      </c>
      <c r="AC4166">
        <v>30.614899999999999</v>
      </c>
      <c r="AD4166">
        <v>-1.111422804232</v>
      </c>
      <c r="AE4166">
        <v>-0.32699999999999801</v>
      </c>
      <c r="AF4166">
        <v>0.78104424767341696</v>
      </c>
      <c r="AG4166">
        <v>-1.111422804232</v>
      </c>
      <c r="AH4166">
        <v>30.566376207164499</v>
      </c>
      <c r="AI4166">
        <v>92.081733279416795</v>
      </c>
      <c r="AJ4166">
        <v>88.5362738804331</v>
      </c>
      <c r="AK4166">
        <v>30.596546295366501</v>
      </c>
      <c r="AL4166">
        <v>95.3378575130684</v>
      </c>
      <c r="AM4166">
        <v>94.544333792094406</v>
      </c>
      <c r="AN4166">
        <v>0.99999999323253297</v>
      </c>
    </row>
    <row r="4167" spans="1:40" x14ac:dyDescent="0.25">
      <c r="A4167" t="str">
        <f>"20190305135016373"</f>
        <v>20190305135016373</v>
      </c>
      <c r="B4167" t="str">
        <f>"1551765016364648"</f>
        <v>1551765016364648</v>
      </c>
      <c r="C4167" t="s">
        <v>40</v>
      </c>
      <c r="D4167">
        <v>4.3142500000000004</v>
      </c>
      <c r="E4167">
        <v>0.57504630000000001</v>
      </c>
      <c r="F4167" t="s">
        <v>74</v>
      </c>
      <c r="G4167">
        <v>-214.9725</v>
      </c>
      <c r="H4167" s="1">
        <v>1.1438190000000001E-6</v>
      </c>
      <c r="I4167">
        <v>213.82730000000001</v>
      </c>
      <c r="J4167">
        <v>-245.33609999999999</v>
      </c>
      <c r="K4167">
        <v>1.111351</v>
      </c>
      <c r="L4167">
        <v>214.20269999999999</v>
      </c>
      <c r="M4167">
        <v>0.99976500000000001</v>
      </c>
      <c r="N4167">
        <v>-1.445779E-2</v>
      </c>
      <c r="O4167">
        <v>1.6153890000000001E-2</v>
      </c>
      <c r="P4167">
        <v>0.98978710000000003</v>
      </c>
      <c r="Q4167">
        <v>-0.1071964</v>
      </c>
      <c r="R4167">
        <v>9.3971609999999997E-2</v>
      </c>
      <c r="S4167">
        <v>3.0225369999999998</v>
      </c>
      <c r="T4167">
        <v>-0.1093669</v>
      </c>
      <c r="U4167">
        <v>-3.6331179999999998E-2</v>
      </c>
      <c r="V4167">
        <v>-7.7518970000000006E-2</v>
      </c>
      <c r="W4167">
        <v>-9.3231209999999995E-2</v>
      </c>
      <c r="X4167">
        <v>0.99262209999999995</v>
      </c>
      <c r="Y4167">
        <v>2.8142469999999999E-2</v>
      </c>
      <c r="Z4167">
        <v>-1.063299E-3</v>
      </c>
      <c r="AA4167">
        <v>0.99960329999999997</v>
      </c>
      <c r="AB4167">
        <v>43</v>
      </c>
      <c r="AC4167">
        <v>30.363599999999899</v>
      </c>
      <c r="AD4167">
        <v>-1.111349856181</v>
      </c>
      <c r="AE4167">
        <v>-0.37539999999998402</v>
      </c>
      <c r="AF4167">
        <v>0.86473425031222295</v>
      </c>
      <c r="AG4167">
        <v>-1.111349856181</v>
      </c>
      <c r="AH4167">
        <v>30.312969534916199</v>
      </c>
      <c r="AI4167">
        <v>92.098814206878501</v>
      </c>
      <c r="AJ4167">
        <v>88.365973691313201</v>
      </c>
      <c r="AK4167">
        <v>30.345658434959901</v>
      </c>
      <c r="AL4167">
        <v>95.349524067035603</v>
      </c>
      <c r="AM4167">
        <v>94.465459050962494</v>
      </c>
      <c r="AN4167">
        <v>0.99999994131816505</v>
      </c>
    </row>
    <row r="4168" spans="1:40" x14ac:dyDescent="0.25">
      <c r="A4168" t="str">
        <f>"20190305135016388"</f>
        <v>20190305135016388</v>
      </c>
      <c r="B4168" t="str">
        <f>"1551765016384169"</f>
        <v>1551765016384169</v>
      </c>
      <c r="C4168" t="s">
        <v>40</v>
      </c>
      <c r="D4168">
        <v>4.2873679999999998</v>
      </c>
      <c r="E4168">
        <v>0.58227910000000005</v>
      </c>
      <c r="F4168" t="s">
        <v>74</v>
      </c>
      <c r="G4168">
        <v>-209.9753</v>
      </c>
      <c r="H4168" s="1">
        <v>-1.3768600000000001E-6</v>
      </c>
      <c r="I4168">
        <v>210.65710000000001</v>
      </c>
      <c r="J4168">
        <v>-245.0453</v>
      </c>
      <c r="K4168">
        <v>1.111297</v>
      </c>
      <c r="L4168">
        <v>214.20820000000001</v>
      </c>
      <c r="M4168">
        <v>0.99974850000000004</v>
      </c>
      <c r="N4168">
        <v>-1.4454989999999999E-2</v>
      </c>
      <c r="O4168">
        <v>1.715471E-2</v>
      </c>
      <c r="P4168">
        <v>0.99003140000000001</v>
      </c>
      <c r="Q4168">
        <v>-0.1073151</v>
      </c>
      <c r="R4168">
        <v>9.1223129999999999E-2</v>
      </c>
      <c r="S4168">
        <v>3.0495909999999999</v>
      </c>
      <c r="T4168">
        <v>-9.584558E-2</v>
      </c>
      <c r="U4168">
        <v>-0.30578610000000001</v>
      </c>
      <c r="V4168">
        <v>-7.3789960000000002E-2</v>
      </c>
      <c r="W4168">
        <v>-9.3317579999999997E-2</v>
      </c>
      <c r="X4168">
        <v>0.99289819999999995</v>
      </c>
      <c r="Y4168">
        <v>0.1167411</v>
      </c>
      <c r="Z4168">
        <v>-2.966177E-3</v>
      </c>
      <c r="AA4168">
        <v>0.99315799999999999</v>
      </c>
      <c r="AB4168">
        <v>43</v>
      </c>
      <c r="AC4168">
        <v>35.069999999999901</v>
      </c>
      <c r="AD4168">
        <v>-1.11129837686</v>
      </c>
      <c r="AE4168">
        <v>-3.5510999999999902</v>
      </c>
      <c r="AF4168">
        <v>4.1481328001305098</v>
      </c>
      <c r="AG4168">
        <v>-1.11129837686</v>
      </c>
      <c r="AH4168">
        <v>34.969156623219803</v>
      </c>
      <c r="AI4168">
        <v>91.807547803481697</v>
      </c>
      <c r="AJ4168">
        <v>83.235037277894307</v>
      </c>
      <c r="AK4168">
        <v>35.231859229243199</v>
      </c>
      <c r="AL4168">
        <v>95.3544941523446</v>
      </c>
      <c r="AM4168">
        <v>94.250279951173596</v>
      </c>
      <c r="AN4168">
        <v>0.99999998224854802</v>
      </c>
    </row>
    <row r="4169" spans="1:40" x14ac:dyDescent="0.25">
      <c r="A4169" t="str">
        <f>"20190305135016411"</f>
        <v>20190305135016411</v>
      </c>
      <c r="B4169" t="str">
        <f>"1551765016404196"</f>
        <v>1551765016404196</v>
      </c>
      <c r="C4169" t="s">
        <v>40</v>
      </c>
      <c r="D4169">
        <v>4.2727349999999999</v>
      </c>
      <c r="E4169">
        <v>0.58412589999999998</v>
      </c>
      <c r="F4169" t="s">
        <v>74</v>
      </c>
      <c r="G4169">
        <v>-213.5984</v>
      </c>
      <c r="H4169" s="1">
        <v>5.6359159999999895E-7</v>
      </c>
      <c r="I4169">
        <v>210.3733</v>
      </c>
      <c r="J4169">
        <v>-244.61519999999999</v>
      </c>
      <c r="K4169">
        <v>1.111194</v>
      </c>
      <c r="L4169">
        <v>214.2167</v>
      </c>
      <c r="M4169">
        <v>0.9997239</v>
      </c>
      <c r="N4169">
        <v>-1.445072E-2</v>
      </c>
      <c r="O4169">
        <v>1.8526520000000001E-2</v>
      </c>
      <c r="P4169">
        <v>0.99022160000000004</v>
      </c>
      <c r="Q4169">
        <v>-0.107139899999999</v>
      </c>
      <c r="R4169">
        <v>8.9344080000000006E-2</v>
      </c>
      <c r="S4169">
        <v>3.0528110000000002</v>
      </c>
      <c r="T4169">
        <v>-0.10788300000000001</v>
      </c>
      <c r="U4169">
        <v>-0.3722839</v>
      </c>
      <c r="V4169">
        <v>-7.0573880000000005E-2</v>
      </c>
      <c r="W4169">
        <v>-9.3108440000000001E-2</v>
      </c>
      <c r="X4169">
        <v>0.99315160000000002</v>
      </c>
      <c r="Y4169">
        <v>0.13929739999999999</v>
      </c>
      <c r="Z4169">
        <v>-3.8477569999999998E-3</v>
      </c>
      <c r="AA4169">
        <v>0.99024310000000004</v>
      </c>
      <c r="AB4169">
        <v>43</v>
      </c>
      <c r="AC4169">
        <v>31.0167999999999</v>
      </c>
      <c r="AD4169">
        <v>-1.1111934364084</v>
      </c>
      <c r="AE4169">
        <v>-3.8433999999999999</v>
      </c>
      <c r="AF4169">
        <v>4.4118567588170601</v>
      </c>
      <c r="AG4169">
        <v>-1.1111934364084</v>
      </c>
      <c r="AH4169">
        <v>30.901202218538799</v>
      </c>
      <c r="AI4169">
        <v>92.038786380061495</v>
      </c>
      <c r="AJ4169">
        <v>81.8746233754473</v>
      </c>
      <c r="AK4169">
        <v>31.234332543924602</v>
      </c>
      <c r="AL4169">
        <v>95.342458939824695</v>
      </c>
      <c r="AM4169">
        <v>94.064636106934998</v>
      </c>
      <c r="AN4169">
        <v>0.999999977360023</v>
      </c>
    </row>
    <row r="4170" spans="1:40" x14ac:dyDescent="0.25">
      <c r="A4170" t="str">
        <f>"20190305135016432"</f>
        <v>20190305135016432</v>
      </c>
      <c r="B4170" t="str">
        <f>"1551765016424696"</f>
        <v>1551765016424696</v>
      </c>
      <c r="C4170" t="s">
        <v>40</v>
      </c>
      <c r="D4170">
        <v>4.3263610000000003</v>
      </c>
      <c r="E4170">
        <v>0.58403649999999996</v>
      </c>
      <c r="F4170" t="s">
        <v>74</v>
      </c>
      <c r="G4170">
        <v>-214.81139999999999</v>
      </c>
      <c r="H4170" s="1">
        <v>1.208884E-6</v>
      </c>
      <c r="I4170">
        <v>210.37809999999999</v>
      </c>
      <c r="J4170">
        <v>-244.20230000000001</v>
      </c>
      <c r="K4170">
        <v>1.1110850000000001</v>
      </c>
      <c r="L4170">
        <v>214.22540000000001</v>
      </c>
      <c r="M4170">
        <v>0.99970130000000001</v>
      </c>
      <c r="N4170">
        <v>-1.4446820000000001E-2</v>
      </c>
      <c r="O4170">
        <v>1.9713959999999999E-2</v>
      </c>
      <c r="P4170">
        <v>0.99038610000000005</v>
      </c>
      <c r="Q4170">
        <v>-0.1072873</v>
      </c>
      <c r="R4170">
        <v>8.7319289999999994E-2</v>
      </c>
      <c r="S4170">
        <v>3.0527799999999998</v>
      </c>
      <c r="T4170">
        <v>-0.113819</v>
      </c>
      <c r="U4170">
        <v>-0.3931885</v>
      </c>
      <c r="V4170">
        <v>-6.7393690000000006E-2</v>
      </c>
      <c r="W4170">
        <v>-9.3223539999999994E-2</v>
      </c>
      <c r="X4170">
        <v>0.99336170000000001</v>
      </c>
      <c r="Y4170">
        <v>0.14712610000000001</v>
      </c>
      <c r="Z4170">
        <v>-4.2465929999999999E-3</v>
      </c>
      <c r="AA4170">
        <v>0.9891086</v>
      </c>
      <c r="AB4170">
        <v>43</v>
      </c>
      <c r="AC4170">
        <v>29.390899999999998</v>
      </c>
      <c r="AD4170">
        <v>-1.1110837911159901</v>
      </c>
      <c r="AE4170">
        <v>-3.8473000000000099</v>
      </c>
      <c r="AF4170">
        <v>4.4198136304535396</v>
      </c>
      <c r="AG4170">
        <v>-1.1110837911159901</v>
      </c>
      <c r="AH4170">
        <v>29.268210520312099</v>
      </c>
      <c r="AI4170">
        <v>92.149676785718896</v>
      </c>
      <c r="AJ4170">
        <v>81.412606951537001</v>
      </c>
      <c r="AK4170">
        <v>29.6208947667036</v>
      </c>
      <c r="AL4170">
        <v>95.349082358175494</v>
      </c>
      <c r="AM4170">
        <v>93.881230685733499</v>
      </c>
      <c r="AN4170">
        <v>1.00000000244441</v>
      </c>
    </row>
    <row r="4171" spans="1:40" x14ac:dyDescent="0.25">
      <c r="A4171" t="str">
        <f>"20190305135016455"</f>
        <v>20190305135016455</v>
      </c>
      <c r="B4171" t="str">
        <f>"1551765016444213"</f>
        <v>1551765016444213</v>
      </c>
      <c r="C4171" t="s">
        <v>40</v>
      </c>
      <c r="D4171">
        <v>4.3008579999999998</v>
      </c>
      <c r="E4171">
        <v>0.58399809999999996</v>
      </c>
      <c r="F4171" t="s">
        <v>74</v>
      </c>
      <c r="G4171">
        <v>-216.9941</v>
      </c>
      <c r="H4171" s="1">
        <v>2.3577159999999999E-6</v>
      </c>
      <c r="I4171">
        <v>210.66739999999999</v>
      </c>
      <c r="J4171">
        <v>-243.76759999999999</v>
      </c>
      <c r="K4171">
        <v>1.1109519999999999</v>
      </c>
      <c r="L4171">
        <v>214.23490000000001</v>
      </c>
      <c r="M4171">
        <v>0.99967830000000002</v>
      </c>
      <c r="N4171">
        <v>-1.4442679999999999E-2</v>
      </c>
      <c r="O4171">
        <v>2.0849389999999999E-2</v>
      </c>
      <c r="P4171">
        <v>0.99052439999999997</v>
      </c>
      <c r="Q4171">
        <v>-0.1079994</v>
      </c>
      <c r="R4171">
        <v>8.4839139999999993E-2</v>
      </c>
      <c r="S4171">
        <v>3.0507970000000002</v>
      </c>
      <c r="T4171">
        <v>-0.1245831</v>
      </c>
      <c r="U4171">
        <v>-0.39894099999999999</v>
      </c>
      <c r="V4171">
        <v>-6.3809160000000004E-2</v>
      </c>
      <c r="W4171">
        <v>-9.3903749999999994E-2</v>
      </c>
      <c r="X4171">
        <v>0.99353429999999998</v>
      </c>
      <c r="Y4171">
        <v>0.1501352</v>
      </c>
      <c r="Z4171">
        <v>-4.6886649999999998E-3</v>
      </c>
      <c r="AA4171">
        <v>0.98865440000000004</v>
      </c>
      <c r="AB4171">
        <v>43</v>
      </c>
      <c r="AC4171">
        <v>26.773499999999899</v>
      </c>
      <c r="AD4171">
        <v>-1.1109496422839999</v>
      </c>
      <c r="AE4171">
        <v>-3.5675000000000199</v>
      </c>
      <c r="AF4171">
        <v>4.1180270791260796</v>
      </c>
      <c r="AG4171">
        <v>-1.1109496422839999</v>
      </c>
      <c r="AH4171">
        <v>26.648209002992299</v>
      </c>
      <c r="AI4171">
        <v>92.359276285668997</v>
      </c>
      <c r="AJ4171">
        <v>81.215399495930299</v>
      </c>
      <c r="AK4171">
        <v>26.987393338358299</v>
      </c>
      <c r="AL4171">
        <v>95.3882274444302</v>
      </c>
      <c r="AM4171">
        <v>93.674741018788595</v>
      </c>
      <c r="AN4171">
        <v>0.99999996422022797</v>
      </c>
    </row>
    <row r="4172" spans="1:40" x14ac:dyDescent="0.25">
      <c r="A4172" t="str">
        <f>"20190305135016479"</f>
        <v>20190305135016479</v>
      </c>
      <c r="B4172" t="str">
        <f>"1551765016474469"</f>
        <v>1551765016474469</v>
      </c>
      <c r="C4172" t="s">
        <v>40</v>
      </c>
      <c r="D4172">
        <v>4.3424300000000002</v>
      </c>
      <c r="E4172">
        <v>0.58388680000000004</v>
      </c>
      <c r="F4172" t="s">
        <v>74</v>
      </c>
      <c r="G4172">
        <v>-218.40880000000001</v>
      </c>
      <c r="H4172" s="1">
        <v>3.1025329999999998E-6</v>
      </c>
      <c r="I4172">
        <v>210.85120000000001</v>
      </c>
      <c r="J4172">
        <v>-243.33250000000001</v>
      </c>
      <c r="K4172">
        <v>1.110833</v>
      </c>
      <c r="L4172">
        <v>214.2449</v>
      </c>
      <c r="M4172">
        <v>0.9996564</v>
      </c>
      <c r="N4172">
        <v>-1.4438650000000001E-2</v>
      </c>
      <c r="O4172">
        <v>2.1879699999999998E-2</v>
      </c>
      <c r="P4172">
        <v>0.99050519999999997</v>
      </c>
      <c r="Q4172">
        <v>-0.1094846</v>
      </c>
      <c r="R4172">
        <v>8.3144239999999994E-2</v>
      </c>
      <c r="S4172">
        <v>3.0489809999999999</v>
      </c>
      <c r="T4172">
        <v>-0.1335732</v>
      </c>
      <c r="U4172">
        <v>-0.40684510000000002</v>
      </c>
      <c r="V4172">
        <v>-6.1114219999999997E-2</v>
      </c>
      <c r="W4172">
        <v>-9.5364879999999999E-2</v>
      </c>
      <c r="X4172">
        <v>0.99356460000000002</v>
      </c>
      <c r="Y4172">
        <v>0.15371949999999901</v>
      </c>
      <c r="Z4172">
        <v>-5.1059180000000001E-3</v>
      </c>
      <c r="AA4172">
        <v>0.98810140000000002</v>
      </c>
      <c r="AB4172">
        <v>43</v>
      </c>
      <c r="AC4172">
        <v>24.9237</v>
      </c>
      <c r="AD4172">
        <v>-1.1108298974669999</v>
      </c>
      <c r="AE4172">
        <v>-3.3936999999999902</v>
      </c>
      <c r="AF4172">
        <v>3.9306016327568698</v>
      </c>
      <c r="AG4172">
        <v>-1.1108298974669999</v>
      </c>
      <c r="AH4172">
        <v>24.795114576302801</v>
      </c>
      <c r="AI4172">
        <v>92.533561742534204</v>
      </c>
      <c r="AJ4172">
        <v>80.992242745373204</v>
      </c>
      <c r="AK4172">
        <v>25.129291257584701</v>
      </c>
      <c r="AL4172">
        <v>95.472321184313699</v>
      </c>
      <c r="AM4172">
        <v>93.519832330791203</v>
      </c>
      <c r="AN4172">
        <v>1.00000001129839</v>
      </c>
    </row>
    <row r="4173" spans="1:40" x14ac:dyDescent="0.25">
      <c r="A4173" t="str">
        <f>"20190305135016501"</f>
        <v>20190305135016501</v>
      </c>
      <c r="B4173" t="str">
        <f>"1551765016494498"</f>
        <v>1551765016494498</v>
      </c>
      <c r="C4173" t="s">
        <v>40</v>
      </c>
      <c r="D4173">
        <v>4.3086419999999999</v>
      </c>
      <c r="E4173">
        <v>0.58364569999999905</v>
      </c>
      <c r="F4173" t="s">
        <v>74</v>
      </c>
      <c r="G4173">
        <v>-220.2731</v>
      </c>
      <c r="H4173" s="1">
        <v>-1.2391299999999999E-6</v>
      </c>
      <c r="I4173">
        <v>211.1309</v>
      </c>
      <c r="J4173">
        <v>-242.90530000000001</v>
      </c>
      <c r="K4173">
        <v>1.110725</v>
      </c>
      <c r="L4173">
        <v>214.2551</v>
      </c>
      <c r="M4173">
        <v>0.99963579999999996</v>
      </c>
      <c r="N4173">
        <v>-1.4434779999999999E-2</v>
      </c>
      <c r="O4173">
        <v>2.2801499999999999E-2</v>
      </c>
      <c r="P4173">
        <v>0.99055349999999998</v>
      </c>
      <c r="Q4173">
        <v>-0.1104422</v>
      </c>
      <c r="R4173">
        <v>8.1279169999999998E-2</v>
      </c>
      <c r="S4173">
        <v>3.0470579999999998</v>
      </c>
      <c r="T4173">
        <v>-0.1467851</v>
      </c>
      <c r="U4173">
        <v>-0.41148380000000001</v>
      </c>
      <c r="V4173">
        <v>-5.8355169999999998E-2</v>
      </c>
      <c r="W4173">
        <v>-9.6300360000000002E-2</v>
      </c>
      <c r="X4173">
        <v>0.99364019999999997</v>
      </c>
      <c r="Y4173">
        <v>0.15614729999999999</v>
      </c>
      <c r="Z4173">
        <v>-5.6405939999999996E-3</v>
      </c>
      <c r="AA4173">
        <v>0.98771770000000003</v>
      </c>
      <c r="AB4173">
        <v>43</v>
      </c>
      <c r="AC4173">
        <v>22.632200000000001</v>
      </c>
      <c r="AD4173">
        <v>-1.1107262391299999</v>
      </c>
      <c r="AE4173">
        <v>-3.1242000000000001</v>
      </c>
      <c r="AF4173">
        <v>3.6309076658539698</v>
      </c>
      <c r="AG4173">
        <v>-1.1107262391299999</v>
      </c>
      <c r="AH4173">
        <v>22.501886737351299</v>
      </c>
      <c r="AI4173">
        <v>92.789881614992794</v>
      </c>
      <c r="AJ4173">
        <v>80.833754001848206</v>
      </c>
      <c r="AK4173">
        <v>22.819993645854399</v>
      </c>
      <c r="AL4173">
        <v>95.526168324251898</v>
      </c>
      <c r="AM4173">
        <v>93.361044480063399</v>
      </c>
      <c r="AN4173">
        <v>0.99999996612894804</v>
      </c>
    </row>
    <row r="4174" spans="1:40" x14ac:dyDescent="0.25">
      <c r="A4174" t="str">
        <f>"20190305135016522"</f>
        <v>20190305135016522</v>
      </c>
      <c r="B4174" t="str">
        <f>"1551765016514018"</f>
        <v>1551765016514018</v>
      </c>
      <c r="C4174" t="s">
        <v>40</v>
      </c>
      <c r="D4174">
        <v>4.3350900000000001</v>
      </c>
      <c r="E4174">
        <v>0.58359069999999902</v>
      </c>
      <c r="F4174" t="s">
        <v>74</v>
      </c>
      <c r="G4174">
        <v>-220.95769999999999</v>
      </c>
      <c r="H4174" s="1">
        <v>-8.804517E-7</v>
      </c>
      <c r="I4174">
        <v>211.26</v>
      </c>
      <c r="J4174">
        <v>-242.5008</v>
      </c>
      <c r="K4174">
        <v>1.11063</v>
      </c>
      <c r="L4174">
        <v>214.26499999999999</v>
      </c>
      <c r="M4174">
        <v>0.99961719999999998</v>
      </c>
      <c r="N4174">
        <v>-1.44312E-2</v>
      </c>
      <c r="O4174">
        <v>2.3608150000000001E-2</v>
      </c>
      <c r="P4174">
        <v>0.9907686</v>
      </c>
      <c r="Q4174">
        <v>-0.10982749999999999</v>
      </c>
      <c r="R4174">
        <v>7.9472150000000005E-2</v>
      </c>
      <c r="S4174">
        <v>3.0455019999999999</v>
      </c>
      <c r="T4174">
        <v>-0.1541266</v>
      </c>
      <c r="U4174">
        <v>-0.41560360000000002</v>
      </c>
      <c r="V4174">
        <v>-5.5766690000000001E-2</v>
      </c>
      <c r="W4174">
        <v>-9.5665040000000007E-2</v>
      </c>
      <c r="X4174">
        <v>0.99385020000000002</v>
      </c>
      <c r="Y4174">
        <v>0.15829579999999999</v>
      </c>
      <c r="Z4174">
        <v>-5.9829949999999996E-3</v>
      </c>
      <c r="AA4174">
        <v>0.98737359999999996</v>
      </c>
      <c r="AB4174">
        <v>42</v>
      </c>
      <c r="AC4174">
        <v>21.543099999999999</v>
      </c>
      <c r="AD4174">
        <v>-1.1106308804517</v>
      </c>
      <c r="AE4174">
        <v>-3.0049999999999901</v>
      </c>
      <c r="AF4174">
        <v>3.5036736092357201</v>
      </c>
      <c r="AG4174">
        <v>-1.1106308804517</v>
      </c>
      <c r="AH4174">
        <v>21.410326154041002</v>
      </c>
      <c r="AI4174">
        <v>92.930566415855793</v>
      </c>
      <c r="AJ4174">
        <v>80.706259556277899</v>
      </c>
      <c r="AK4174">
        <v>21.723519414106899</v>
      </c>
      <c r="AL4174">
        <v>95.489598292811394</v>
      </c>
      <c r="AM4174">
        <v>93.211599599926799</v>
      </c>
      <c r="AN4174">
        <v>0.99999997181589795</v>
      </c>
    </row>
    <row r="4175" spans="1:40" x14ac:dyDescent="0.25">
      <c r="A4175" t="str">
        <f>"20190305135016545"</f>
        <v>20190305135016545</v>
      </c>
      <c r="B4175" t="str">
        <f>"1551765016534514"</f>
        <v>1551765016534514</v>
      </c>
      <c r="C4175" t="s">
        <v>40</v>
      </c>
      <c r="D4175">
        <v>4.3020519999999998</v>
      </c>
      <c r="E4175">
        <v>0.58333900000000005</v>
      </c>
      <c r="F4175" t="s">
        <v>74</v>
      </c>
      <c r="G4175">
        <v>-220.60400000000001</v>
      </c>
      <c r="H4175" s="1">
        <v>-1.0676759999999999E-6</v>
      </c>
      <c r="I4175">
        <v>211.2379</v>
      </c>
      <c r="J4175">
        <v>-242.0821</v>
      </c>
      <c r="K4175">
        <v>1.110557</v>
      </c>
      <c r="L4175">
        <v>214.2756</v>
      </c>
      <c r="M4175">
        <v>0.9995984</v>
      </c>
      <c r="N4175">
        <v>-1.4427590000000001E-2</v>
      </c>
      <c r="O4175">
        <v>2.4393080000000001E-2</v>
      </c>
      <c r="P4175">
        <v>0.99104000000000003</v>
      </c>
      <c r="Q4175">
        <v>-0.10911170000000001</v>
      </c>
      <c r="R4175">
        <v>7.7037120000000001E-2</v>
      </c>
      <c r="S4175">
        <v>3.0445859999999998</v>
      </c>
      <c r="T4175">
        <v>-0.15442510000000001</v>
      </c>
      <c r="U4175">
        <v>-0.42089840000000001</v>
      </c>
      <c r="V4175">
        <v>-5.2568429999999999E-2</v>
      </c>
      <c r="W4175">
        <v>-9.4928670000000007E-2</v>
      </c>
      <c r="X4175">
        <v>0.99409510000000001</v>
      </c>
      <c r="Y4175">
        <v>0.16079009999999999</v>
      </c>
      <c r="Z4175">
        <v>-6.1032969999999997E-3</v>
      </c>
      <c r="AA4175">
        <v>0.98696980000000001</v>
      </c>
      <c r="AB4175">
        <v>42</v>
      </c>
      <c r="AC4175">
        <v>21.478099999999898</v>
      </c>
      <c r="AD4175">
        <v>-1.1105580676760001</v>
      </c>
      <c r="AE4175">
        <v>-3.0377000000000001</v>
      </c>
      <c r="AF4175">
        <v>3.5514585885987899</v>
      </c>
      <c r="AG4175">
        <v>-1.1105580676760001</v>
      </c>
      <c r="AH4175">
        <v>21.341661809969398</v>
      </c>
      <c r="AI4175">
        <v>92.938482716479598</v>
      </c>
      <c r="AJ4175">
        <v>80.552006055901103</v>
      </c>
      <c r="AK4175">
        <v>21.663626800222499</v>
      </c>
      <c r="AL4175">
        <v>95.447214459646503</v>
      </c>
      <c r="AM4175">
        <v>93.027020624861805</v>
      </c>
      <c r="AN4175">
        <v>0.99999998003232105</v>
      </c>
    </row>
    <row r="4176" spans="1:40" x14ac:dyDescent="0.25">
      <c r="A4176" t="str">
        <f>"20190305135016566"</f>
        <v>20190305135016566</v>
      </c>
      <c r="B4176" t="str">
        <f>"1551765016555010"</f>
        <v>1551765016555010</v>
      </c>
      <c r="C4176" t="s">
        <v>40</v>
      </c>
      <c r="D4176">
        <v>4.4810879999999997</v>
      </c>
      <c r="E4176">
        <v>0.58284879999999994</v>
      </c>
      <c r="F4176" t="s">
        <v>74</v>
      </c>
      <c r="G4176">
        <v>-219.94329999999999</v>
      </c>
      <c r="H4176" s="1">
        <v>3.9049959999999998E-6</v>
      </c>
      <c r="I4176">
        <v>211.1748</v>
      </c>
      <c r="J4176">
        <v>-241.66460000000001</v>
      </c>
      <c r="K4176">
        <v>1.1104860000000001</v>
      </c>
      <c r="L4176">
        <v>214.28649999999999</v>
      </c>
      <c r="M4176">
        <v>0.99957989999999997</v>
      </c>
      <c r="N4176">
        <v>-1.442415E-2</v>
      </c>
      <c r="O4176">
        <v>2.5141030000000002E-2</v>
      </c>
      <c r="P4176">
        <v>0.99134460000000002</v>
      </c>
      <c r="Q4176">
        <v>-0.1084893</v>
      </c>
      <c r="R4176">
        <v>7.3933659999999998E-2</v>
      </c>
      <c r="S4176">
        <v>3.0434420000000002</v>
      </c>
      <c r="T4176">
        <v>-0.1526692</v>
      </c>
      <c r="U4176">
        <v>-0.42626950000000002</v>
      </c>
      <c r="V4176">
        <v>-4.8733829999999999E-2</v>
      </c>
      <c r="W4176">
        <v>-9.4286519999999999E-2</v>
      </c>
      <c r="X4176">
        <v>0.9943516</v>
      </c>
      <c r="Y4176">
        <v>0.163288299999999</v>
      </c>
      <c r="Z4176">
        <v>-6.1515959999999996E-3</v>
      </c>
      <c r="AA4176">
        <v>0.98655919999999997</v>
      </c>
      <c r="AB4176">
        <v>42</v>
      </c>
      <c r="AC4176">
        <v>21.721299999999999</v>
      </c>
      <c r="AD4176">
        <v>-1.110482095004</v>
      </c>
      <c r="AE4176">
        <v>-3.1116999999999799</v>
      </c>
      <c r="AF4176">
        <v>3.6475271407729899</v>
      </c>
      <c r="AG4176">
        <v>-1.110482095004</v>
      </c>
      <c r="AH4176">
        <v>21.580922083922399</v>
      </c>
      <c r="AI4176">
        <v>92.904529301789196</v>
      </c>
      <c r="AJ4176">
        <v>80.406743512788594</v>
      </c>
      <c r="AK4176">
        <v>21.915150529219002</v>
      </c>
      <c r="AL4176">
        <v>95.410255989721406</v>
      </c>
      <c r="AM4176">
        <v>92.805858911034903</v>
      </c>
      <c r="AN4176">
        <v>1.0000000192313601</v>
      </c>
    </row>
    <row r="4177" spans="1:40" x14ac:dyDescent="0.25">
      <c r="A4177" t="str">
        <f>"20190305135016589"</f>
        <v>20190305135016589</v>
      </c>
      <c r="B4177" t="str">
        <f>"1551765016584293"</f>
        <v>1551765016584293</v>
      </c>
      <c r="C4177" t="s">
        <v>40</v>
      </c>
      <c r="D4177">
        <v>4.2552289999999999</v>
      </c>
      <c r="E4177">
        <v>0.54544280000000001</v>
      </c>
      <c r="F4177" t="s">
        <v>74</v>
      </c>
      <c r="G4177">
        <v>-219.17670000000001</v>
      </c>
      <c r="H4177" s="1">
        <v>3.5004680000000002E-6</v>
      </c>
      <c r="I4177">
        <v>211.0958</v>
      </c>
      <c r="J4177">
        <v>-241.22540000000001</v>
      </c>
      <c r="K4177">
        <v>1.1104160000000001</v>
      </c>
      <c r="L4177">
        <v>214.29820000000001</v>
      </c>
      <c r="M4177">
        <v>0.99956049999999996</v>
      </c>
      <c r="N4177">
        <v>-1.4420499999999999E-2</v>
      </c>
      <c r="O4177">
        <v>2.590429E-2</v>
      </c>
      <c r="P4177">
        <v>0.99153369999999996</v>
      </c>
      <c r="Q4177">
        <v>-0.1086358</v>
      </c>
      <c r="R4177">
        <v>7.1128949999999996E-2</v>
      </c>
      <c r="S4177">
        <v>3.0419459999999998</v>
      </c>
      <c r="T4177">
        <v>-0.150215299999999</v>
      </c>
      <c r="U4177">
        <v>-0.4316101</v>
      </c>
      <c r="V4177">
        <v>-4.5180680000000001E-2</v>
      </c>
      <c r="W4177">
        <v>-9.4418050000000003E-2</v>
      </c>
      <c r="X4177">
        <v>0.99450689999999997</v>
      </c>
      <c r="Y4177">
        <v>0.1658095</v>
      </c>
      <c r="Z4177">
        <v>-6.1746869999999999E-3</v>
      </c>
      <c r="AA4177">
        <v>0.98613850000000003</v>
      </c>
      <c r="AB4177">
        <v>42</v>
      </c>
      <c r="AC4177">
        <v>22.0487</v>
      </c>
      <c r="AD4177">
        <v>-1.1104124995319999</v>
      </c>
      <c r="AE4177">
        <v>-3.2024000000000101</v>
      </c>
      <c r="AF4177">
        <v>3.7631929583117198</v>
      </c>
      <c r="AG4177">
        <v>-1.1104124995319999</v>
      </c>
      <c r="AH4177">
        <v>21.903927550752002</v>
      </c>
      <c r="AI4177">
        <v>92.860271662813702</v>
      </c>
      <c r="AJ4177">
        <v>80.251499475522493</v>
      </c>
      <c r="AK4177">
        <v>22.252565679246899</v>
      </c>
      <c r="AL4177">
        <v>95.417825879939102</v>
      </c>
      <c r="AM4177">
        <v>92.601172061341501</v>
      </c>
      <c r="AN4177">
        <v>1.00000001807933</v>
      </c>
    </row>
    <row r="4178" spans="1:40" x14ac:dyDescent="0.25">
      <c r="A4178" t="str">
        <f>"20190305135016612"</f>
        <v>20190305135016612</v>
      </c>
      <c r="B4178" t="str">
        <f>"1551765016604322"</f>
        <v>1551765016604322</v>
      </c>
      <c r="C4178" t="s">
        <v>40</v>
      </c>
      <c r="D4178">
        <v>4.2069910000000004</v>
      </c>
      <c r="E4178">
        <v>0.5417978</v>
      </c>
      <c r="F4178" t="s">
        <v>62</v>
      </c>
      <c r="G4178">
        <v>-199.30950000000001</v>
      </c>
      <c r="H4178" s="1">
        <v>2.5108269999999999E-6</v>
      </c>
      <c r="I4178">
        <v>212.35640000000001</v>
      </c>
      <c r="J4178">
        <v>-240.81</v>
      </c>
      <c r="K4178">
        <v>1.1103639999999999</v>
      </c>
      <c r="L4178">
        <v>214.30969999999999</v>
      </c>
      <c r="M4178">
        <v>0.99954180000000004</v>
      </c>
      <c r="N4178">
        <v>-1.441749E-2</v>
      </c>
      <c r="O4178">
        <v>2.6612750000000001E-2</v>
      </c>
      <c r="P4178">
        <v>0.99158780000000002</v>
      </c>
      <c r="Q4178">
        <v>-0.10991769999999999</v>
      </c>
      <c r="R4178">
        <v>6.8349690000000005E-2</v>
      </c>
      <c r="S4178">
        <v>3.0268709999999999</v>
      </c>
      <c r="T4178">
        <v>-8.0186129999999994E-2</v>
      </c>
      <c r="U4178">
        <v>-0.1402283</v>
      </c>
      <c r="V4178">
        <v>-4.1704999999999999E-2</v>
      </c>
      <c r="W4178">
        <v>-9.5688990000000002E-2</v>
      </c>
      <c r="X4178">
        <v>0.99453720000000001</v>
      </c>
      <c r="Y4178">
        <v>7.2807449999999996E-2</v>
      </c>
      <c r="Z4178">
        <v>-1.8101090000000001E-3</v>
      </c>
      <c r="AA4178">
        <v>0.99734440000000002</v>
      </c>
      <c r="AB4178">
        <v>42</v>
      </c>
      <c r="AC4178">
        <v>41.500499999999903</v>
      </c>
      <c r="AD4178">
        <v>-1.11036148917299</v>
      </c>
      <c r="AE4178">
        <v>-1.9532999999999801</v>
      </c>
      <c r="AF4178">
        <v>3.0549832407507602</v>
      </c>
      <c r="AG4178">
        <v>-1.11036148917299</v>
      </c>
      <c r="AH4178">
        <v>41.404236409089997</v>
      </c>
      <c r="AI4178">
        <v>91.532003496364496</v>
      </c>
      <c r="AJ4178">
        <v>85.780116901143799</v>
      </c>
      <c r="AK4178">
        <v>41.531633941583799</v>
      </c>
      <c r="AL4178">
        <v>95.490976882988704</v>
      </c>
      <c r="AM4178">
        <v>92.401238817070706</v>
      </c>
      <c r="AN4178">
        <v>0.99999996600802898</v>
      </c>
    </row>
    <row r="4179" spans="1:40" x14ac:dyDescent="0.25">
      <c r="A4179" t="str">
        <f>"20190305135016633"</f>
        <v>20190305135016633</v>
      </c>
      <c r="B4179" t="str">
        <f>"1551765016624818"</f>
        <v>1551765016624818</v>
      </c>
      <c r="C4179" t="s">
        <v>40</v>
      </c>
      <c r="D4179">
        <v>4.1946849999999998</v>
      </c>
      <c r="E4179">
        <v>0.54139079999999995</v>
      </c>
      <c r="F4179" t="s">
        <v>62</v>
      </c>
      <c r="G4179">
        <v>-204.66390000000001</v>
      </c>
      <c r="H4179" s="1">
        <v>4.4370440000000004E-6</v>
      </c>
      <c r="I4179">
        <v>212.87979999999999</v>
      </c>
      <c r="J4179">
        <v>-240.40170000000001</v>
      </c>
      <c r="K4179">
        <v>1.1103209999999999</v>
      </c>
      <c r="L4179">
        <v>214.3212</v>
      </c>
      <c r="M4179">
        <v>0.9995233</v>
      </c>
      <c r="N4179">
        <v>-1.4414369999999999E-2</v>
      </c>
      <c r="O4179">
        <v>2.7303439999999998E-2</v>
      </c>
      <c r="P4179">
        <v>0.99166759999999998</v>
      </c>
      <c r="Q4179">
        <v>-0.1108243</v>
      </c>
      <c r="R4179">
        <v>6.5678219999999995E-2</v>
      </c>
      <c r="S4179">
        <v>3.0233919999999999</v>
      </c>
      <c r="T4179">
        <v>-9.2874529999999997E-2</v>
      </c>
      <c r="U4179">
        <v>-0.11959839999999999</v>
      </c>
      <c r="V4179">
        <v>-3.8353350000000001E-2</v>
      </c>
      <c r="W4179">
        <v>-9.6586350000000001E-2</v>
      </c>
      <c r="X4179">
        <v>0.99458539999999995</v>
      </c>
      <c r="Y4179">
        <v>6.6747139999999996E-2</v>
      </c>
      <c r="Z4179">
        <v>-1.9508590000000001E-3</v>
      </c>
      <c r="AA4179">
        <v>0.99776799999999999</v>
      </c>
      <c r="AB4179">
        <v>42</v>
      </c>
      <c r="AC4179">
        <v>35.737799999999901</v>
      </c>
      <c r="AD4179">
        <v>-1.1103165629559999</v>
      </c>
      <c r="AE4179">
        <v>-1.44140000000001</v>
      </c>
      <c r="AF4179">
        <v>2.4144020398331998</v>
      </c>
      <c r="AG4179">
        <v>-1.1103165629559999</v>
      </c>
      <c r="AH4179">
        <v>35.650758748622003</v>
      </c>
      <c r="AI4179">
        <v>91.779783953463607</v>
      </c>
      <c r="AJ4179">
        <v>86.125632650164107</v>
      </c>
      <c r="AK4179">
        <v>35.749667682824303</v>
      </c>
      <c r="AL4179">
        <v>95.542630841523803</v>
      </c>
      <c r="AM4179">
        <v>92.208354161555405</v>
      </c>
      <c r="AN4179">
        <v>1.0000000101778499</v>
      </c>
    </row>
    <row r="4180" spans="1:40" x14ac:dyDescent="0.25">
      <c r="A4180" t="str">
        <f>"20190305135016656"</f>
        <v>20190305135016656</v>
      </c>
      <c r="B4180" t="str">
        <f>"1551765016644334"</f>
        <v>1551765016644334</v>
      </c>
      <c r="C4180" t="s">
        <v>40</v>
      </c>
      <c r="D4180">
        <v>4.161543</v>
      </c>
      <c r="E4180">
        <v>0.54119469999999903</v>
      </c>
      <c r="F4180" t="s">
        <v>62</v>
      </c>
      <c r="G4180">
        <v>-206.66919999999999</v>
      </c>
      <c r="H4180" s="1">
        <v>5.3216239999999998E-6</v>
      </c>
      <c r="I4180">
        <v>212.93350000000001</v>
      </c>
      <c r="J4180">
        <v>-239.98050000000001</v>
      </c>
      <c r="K4180">
        <v>1.110293</v>
      </c>
      <c r="L4180">
        <v>214.33330000000001</v>
      </c>
      <c r="M4180">
        <v>0.99950380000000005</v>
      </c>
      <c r="N4180">
        <v>-1.4410890000000001E-2</v>
      </c>
      <c r="O4180">
        <v>2.8014069999999999E-2</v>
      </c>
      <c r="P4180">
        <v>0.99179640000000002</v>
      </c>
      <c r="Q4180">
        <v>-0.1108142</v>
      </c>
      <c r="R4180">
        <v>6.3722360000000006E-2</v>
      </c>
      <c r="S4180">
        <v>3.0223080000000002</v>
      </c>
      <c r="T4180">
        <v>-9.9480150000000003E-2</v>
      </c>
      <c r="U4180">
        <v>-0.1243286</v>
      </c>
      <c r="V4180">
        <v>-3.5696499999999999E-2</v>
      </c>
      <c r="W4180">
        <v>-9.6569210000000003E-2</v>
      </c>
      <c r="X4180">
        <v>0.99468590000000001</v>
      </c>
      <c r="Y4180">
        <v>6.9020899999999996E-2</v>
      </c>
      <c r="Z4180">
        <v>-2.1509060000000002E-3</v>
      </c>
      <c r="AA4180">
        <v>0.99761290000000002</v>
      </c>
      <c r="AB4180">
        <v>42</v>
      </c>
      <c r="AC4180">
        <v>33.311300000000003</v>
      </c>
      <c r="AD4180">
        <v>-1.1102876783759901</v>
      </c>
      <c r="AE4180">
        <v>-1.3997999999999899</v>
      </c>
      <c r="AF4180">
        <v>2.32994851123643</v>
      </c>
      <c r="AG4180">
        <v>-1.1102876783759901</v>
      </c>
      <c r="AH4180">
        <v>33.222162864269997</v>
      </c>
      <c r="AI4180">
        <v>91.909431132921398</v>
      </c>
      <c r="AJ4180">
        <v>85.988280738206399</v>
      </c>
      <c r="AK4180">
        <v>33.322267392448701</v>
      </c>
      <c r="AL4180">
        <v>95.541644536174203</v>
      </c>
      <c r="AM4180">
        <v>92.055303535814204</v>
      </c>
      <c r="AN4180">
        <v>0.99999994604553999</v>
      </c>
    </row>
    <row r="4181" spans="1:40" x14ac:dyDescent="0.25">
      <c r="A4181" t="str">
        <f>"20190305135016678"</f>
        <v>20190305135016678</v>
      </c>
      <c r="B4181" t="str">
        <f>"1551765016674591"</f>
        <v>1551765016674591</v>
      </c>
      <c r="C4181" t="s">
        <v>40</v>
      </c>
      <c r="D4181">
        <v>4.157648</v>
      </c>
      <c r="E4181">
        <v>0.54093840000000004</v>
      </c>
      <c r="F4181" t="s">
        <v>62</v>
      </c>
      <c r="G4181">
        <v>-207.12389999999999</v>
      </c>
      <c r="H4181" s="1">
        <v>5.5235659999999901E-6</v>
      </c>
      <c r="I4181">
        <v>212.93</v>
      </c>
      <c r="J4181">
        <v>-239.55629999999999</v>
      </c>
      <c r="K4181">
        <v>1.110279</v>
      </c>
      <c r="L4181">
        <v>214.3459</v>
      </c>
      <c r="M4181">
        <v>0.99948349999999997</v>
      </c>
      <c r="N4181">
        <v>-1.4407410000000001E-2</v>
      </c>
      <c r="O4181">
        <v>2.8729729999999998E-2</v>
      </c>
      <c r="P4181">
        <v>0.99202820000000003</v>
      </c>
      <c r="Q4181">
        <v>-0.1099966</v>
      </c>
      <c r="R4181">
        <v>6.1491169999999998E-2</v>
      </c>
      <c r="S4181">
        <v>3.0216669999999999</v>
      </c>
      <c r="T4181">
        <v>-0.102108</v>
      </c>
      <c r="U4181">
        <v>-0.1290588</v>
      </c>
      <c r="V4181">
        <v>-3.275687E-2</v>
      </c>
      <c r="W4181">
        <v>-9.5743579999999995E-2</v>
      </c>
      <c r="X4181">
        <v>0.9948669</v>
      </c>
      <c r="Y4181">
        <v>7.129779E-2</v>
      </c>
      <c r="Z4181">
        <v>-2.2743279999999999E-3</v>
      </c>
      <c r="AA4181">
        <v>0.99745249999999996</v>
      </c>
      <c r="AB4181">
        <v>42</v>
      </c>
      <c r="AC4181">
        <v>32.432400000000001</v>
      </c>
      <c r="AD4181">
        <v>-1.1102734764340001</v>
      </c>
      <c r="AE4181">
        <v>-1.4158999999999899</v>
      </c>
      <c r="AF4181">
        <v>2.3444438254737801</v>
      </c>
      <c r="AG4181">
        <v>-1.1102734764340001</v>
      </c>
      <c r="AH4181">
        <v>32.3404983000218</v>
      </c>
      <c r="AI4181">
        <v>91.961092560377494</v>
      </c>
      <c r="AJ4181">
        <v>85.853738200785102</v>
      </c>
      <c r="AK4181">
        <v>32.4443670663643</v>
      </c>
      <c r="AL4181">
        <v>95.494118914850702</v>
      </c>
      <c r="AM4181">
        <v>91.8858327776029</v>
      </c>
      <c r="AN4181">
        <v>0.99999999717951105</v>
      </c>
    </row>
    <row r="4182" spans="1:40" x14ac:dyDescent="0.25">
      <c r="A4182" t="str">
        <f>"20190305135016701"</f>
        <v>20190305135016701</v>
      </c>
      <c r="B4182" t="str">
        <f>"1551765016694618"</f>
        <v>1551765016694618</v>
      </c>
      <c r="C4182" t="s">
        <v>40</v>
      </c>
      <c r="D4182">
        <v>4.1660899999999996</v>
      </c>
      <c r="E4182">
        <v>0.54066429999999999</v>
      </c>
      <c r="F4182" t="s">
        <v>62</v>
      </c>
      <c r="G4182">
        <v>-206.92590000000001</v>
      </c>
      <c r="H4182" s="1">
        <v>5.4384070000000003E-6</v>
      </c>
      <c r="I4182">
        <v>212.89959999999999</v>
      </c>
      <c r="J4182">
        <v>-239.11840000000001</v>
      </c>
      <c r="K4182">
        <v>1.110258</v>
      </c>
      <c r="L4182">
        <v>214.35919999999999</v>
      </c>
      <c r="M4182">
        <v>0.99946190000000001</v>
      </c>
      <c r="N4182">
        <v>-1.4403880000000001E-2</v>
      </c>
      <c r="O4182">
        <v>2.9468230000000002E-2</v>
      </c>
      <c r="P4182">
        <v>0.99218790000000001</v>
      </c>
      <c r="Q4182">
        <v>-0.1099367</v>
      </c>
      <c r="R4182">
        <v>5.8968909999999999E-2</v>
      </c>
      <c r="S4182">
        <v>3.0210110000000001</v>
      </c>
      <c r="T4182">
        <v>-0.1027921</v>
      </c>
      <c r="U4182">
        <v>-0.13389589999999901</v>
      </c>
      <c r="V4182">
        <v>-2.95021E-2</v>
      </c>
      <c r="W4182">
        <v>-9.5677010000000007E-2</v>
      </c>
      <c r="X4182">
        <v>0.9949751</v>
      </c>
      <c r="Y4182">
        <v>7.3634980000000003E-2</v>
      </c>
      <c r="Z4182">
        <v>-2.3603610000000001E-3</v>
      </c>
      <c r="AA4182">
        <v>0.99728240000000001</v>
      </c>
      <c r="AB4182">
        <v>42</v>
      </c>
      <c r="AC4182">
        <v>32.192499999999903</v>
      </c>
      <c r="AD4182">
        <v>-1.1102525615929999</v>
      </c>
      <c r="AE4182">
        <v>-1.45959999999999</v>
      </c>
      <c r="AF4182">
        <v>2.4048659177457399</v>
      </c>
      <c r="AG4182">
        <v>-1.1102525615929999</v>
      </c>
      <c r="AH4182">
        <v>32.097401285927901</v>
      </c>
      <c r="AI4182">
        <v>91.975544523177405</v>
      </c>
      <c r="AJ4182">
        <v>85.715176420757203</v>
      </c>
      <c r="AK4182">
        <v>32.206508816429398</v>
      </c>
      <c r="AL4182">
        <v>95.490287365943004</v>
      </c>
      <c r="AM4182">
        <v>91.6983849153943</v>
      </c>
      <c r="AN4182">
        <v>0.99999995688347898</v>
      </c>
    </row>
    <row r="4183" spans="1:40" x14ac:dyDescent="0.25">
      <c r="A4183" t="str">
        <f>"20190305135016722"</f>
        <v>20190305135016722</v>
      </c>
      <c r="B4183" t="str">
        <f>"1551765016714138"</f>
        <v>1551765016714138</v>
      </c>
      <c r="C4183" t="s">
        <v>40</v>
      </c>
      <c r="D4183">
        <v>4.1536280000000003</v>
      </c>
      <c r="E4183">
        <v>0.54015139999999995</v>
      </c>
      <c r="F4183" t="s">
        <v>62</v>
      </c>
      <c r="G4183">
        <v>-206.95519999999999</v>
      </c>
      <c r="H4183" s="1">
        <v>5.4537890000000001E-6</v>
      </c>
      <c r="I4183">
        <v>212.8724</v>
      </c>
      <c r="J4183">
        <v>-238.7124</v>
      </c>
      <c r="K4183">
        <v>1.1102479999999999</v>
      </c>
      <c r="L4183">
        <v>214.3717</v>
      </c>
      <c r="M4183">
        <v>0.99944169999999999</v>
      </c>
      <c r="N4183">
        <v>-1.440074E-2</v>
      </c>
      <c r="O4183">
        <v>3.0150050000000001E-2</v>
      </c>
      <c r="P4183">
        <v>0.99228479999999997</v>
      </c>
      <c r="Q4183">
        <v>-0.10995389999999999</v>
      </c>
      <c r="R4183">
        <v>5.7282439999999997E-2</v>
      </c>
      <c r="S4183">
        <v>3.0203700000000002</v>
      </c>
      <c r="T4183">
        <v>-0.1042612</v>
      </c>
      <c r="U4183">
        <v>-0.13961789999999999</v>
      </c>
      <c r="V4183">
        <v>-2.714022E-2</v>
      </c>
      <c r="W4183">
        <v>-9.5690209999999998E-2</v>
      </c>
      <c r="X4183">
        <v>0.99504110000000001</v>
      </c>
      <c r="Y4183">
        <v>7.6205800000000004E-2</v>
      </c>
      <c r="Z4183">
        <v>-2.4695419999999999E-3</v>
      </c>
      <c r="AA4183">
        <v>0.997089</v>
      </c>
      <c r="AB4183">
        <v>42</v>
      </c>
      <c r="AC4183">
        <v>31.757200000000001</v>
      </c>
      <c r="AD4183">
        <v>-1.1102425462109999</v>
      </c>
      <c r="AE4183">
        <v>-1.4993000000000001</v>
      </c>
      <c r="AF4183">
        <v>2.45320695740301</v>
      </c>
      <c r="AG4183">
        <v>-1.1102425462109999</v>
      </c>
      <c r="AH4183">
        <v>31.6589427057298</v>
      </c>
      <c r="AI4183">
        <v>92.002475701116694</v>
      </c>
      <c r="AJ4183">
        <v>85.569084898754994</v>
      </c>
      <c r="AK4183">
        <v>31.773251582611898</v>
      </c>
      <c r="AL4183">
        <v>95.4910469229292</v>
      </c>
      <c r="AM4183">
        <v>91.562382310842807</v>
      </c>
      <c r="AN4183">
        <v>0.99999999926035099</v>
      </c>
    </row>
    <row r="4184" spans="1:40" x14ac:dyDescent="0.25">
      <c r="A4184" t="str">
        <f>"20190305135016745"</f>
        <v>20190305135016745</v>
      </c>
      <c r="B4184" t="str">
        <f>"1551765016734634"</f>
        <v>1551765016734634</v>
      </c>
      <c r="C4184" t="s">
        <v>40</v>
      </c>
      <c r="D4184">
        <v>4.1640519999999999</v>
      </c>
      <c r="E4184">
        <v>0.53972430000000005</v>
      </c>
      <c r="F4184" t="s">
        <v>62</v>
      </c>
      <c r="G4184">
        <v>-206.88990000000001</v>
      </c>
      <c r="H4184" s="1">
        <v>5.4234819999999998E-6</v>
      </c>
      <c r="I4184">
        <v>212.8879</v>
      </c>
      <c r="J4184">
        <v>-238.292</v>
      </c>
      <c r="K4184">
        <v>1.1102369999999999</v>
      </c>
      <c r="L4184">
        <v>214.38499999999999</v>
      </c>
      <c r="M4184">
        <v>0.99942039999999999</v>
      </c>
      <c r="N4184">
        <v>-1.439762E-2</v>
      </c>
      <c r="O4184">
        <v>3.0847429999999999E-2</v>
      </c>
      <c r="P4184">
        <v>0.99251100000000003</v>
      </c>
      <c r="Q4184">
        <v>-0.1093273</v>
      </c>
      <c r="R4184">
        <v>5.4495189999999999E-2</v>
      </c>
      <c r="S4184">
        <v>3.0197449999999999</v>
      </c>
      <c r="T4184">
        <v>-0.1053547</v>
      </c>
      <c r="U4184">
        <v>-0.14080809999999999</v>
      </c>
      <c r="V4184">
        <v>-2.3659349999999999E-2</v>
      </c>
      <c r="W4184">
        <v>-9.5056290000000002E-2</v>
      </c>
      <c r="X4184">
        <v>0.99519069999999998</v>
      </c>
      <c r="Y4184">
        <v>7.7300679999999997E-2</v>
      </c>
      <c r="Z4184">
        <v>-2.53593E-3</v>
      </c>
      <c r="AA4184">
        <v>0.99700460000000002</v>
      </c>
      <c r="AB4184">
        <v>42</v>
      </c>
      <c r="AC4184">
        <v>31.402099999999901</v>
      </c>
      <c r="AD4184">
        <v>-1.110231576518</v>
      </c>
      <c r="AE4184">
        <v>-1.4970999999999799</v>
      </c>
      <c r="AF4184">
        <v>2.4620912568581699</v>
      </c>
      <c r="AG4184">
        <v>-1.110231576518</v>
      </c>
      <c r="AH4184">
        <v>31.3019276613607</v>
      </c>
      <c r="AI4184">
        <v>92.025092745634495</v>
      </c>
      <c r="AJ4184">
        <v>85.502590262992598</v>
      </c>
      <c r="AK4184">
        <v>31.418230103359701</v>
      </c>
      <c r="AL4184">
        <v>95.454559674046806</v>
      </c>
      <c r="AM4184">
        <v>91.361875268261002</v>
      </c>
      <c r="AN4184">
        <v>0.99999999623873803</v>
      </c>
    </row>
    <row r="4185" spans="1:40" x14ac:dyDescent="0.25">
      <c r="A4185" t="str">
        <f>"20190305135016767"</f>
        <v>20190305135016767</v>
      </c>
      <c r="B4185" t="str">
        <f>"1551765016764890"</f>
        <v>1551765016764890</v>
      </c>
      <c r="C4185" t="s">
        <v>40</v>
      </c>
      <c r="D4185">
        <v>4.1814929999999997</v>
      </c>
      <c r="E4185">
        <v>0.5389581</v>
      </c>
      <c r="F4185" t="s">
        <v>62</v>
      </c>
      <c r="G4185">
        <v>-206.3194</v>
      </c>
      <c r="H4185" s="1">
        <v>5.1748120000000003E-6</v>
      </c>
      <c r="I4185">
        <v>212.8383</v>
      </c>
      <c r="J4185">
        <v>-237.87710000000001</v>
      </c>
      <c r="K4185">
        <v>1.110231</v>
      </c>
      <c r="L4185">
        <v>214.39840000000001</v>
      </c>
      <c r="M4185">
        <v>0.9993997</v>
      </c>
      <c r="N4185">
        <v>-1.4394560000000001E-2</v>
      </c>
      <c r="O4185">
        <v>3.1518780000000003E-2</v>
      </c>
      <c r="P4185">
        <v>0.99281929999999996</v>
      </c>
      <c r="Q4185">
        <v>-0.10822519999999999</v>
      </c>
      <c r="R4185">
        <v>5.0962519999999997E-2</v>
      </c>
      <c r="S4185">
        <v>3.019104</v>
      </c>
      <c r="T4185">
        <v>-0.10483679999999999</v>
      </c>
      <c r="U4185">
        <v>-0.1460571</v>
      </c>
      <c r="V4185">
        <v>-1.9458179999999999E-2</v>
      </c>
      <c r="W4185">
        <v>-9.3944830000000007E-2</v>
      </c>
      <c r="X4185">
        <v>0.99538729999999997</v>
      </c>
      <c r="Y4185">
        <v>7.9708000000000001E-2</v>
      </c>
      <c r="Z4185">
        <v>-2.5972040000000001E-3</v>
      </c>
      <c r="AA4185">
        <v>0.9968148</v>
      </c>
      <c r="AB4185">
        <v>42</v>
      </c>
      <c r="AC4185">
        <v>31.557700000000001</v>
      </c>
      <c r="AD4185">
        <v>-1.1102258251879999</v>
      </c>
      <c r="AE4185">
        <v>-1.5601</v>
      </c>
      <c r="AF4185">
        <v>2.5509382158769101</v>
      </c>
      <c r="AG4185">
        <v>-1.1102258251879999</v>
      </c>
      <c r="AH4185">
        <v>31.454004686629801</v>
      </c>
      <c r="AI4185">
        <v>92.014908646929698</v>
      </c>
      <c r="AJ4185">
        <v>85.363426317476495</v>
      </c>
      <c r="AK4185">
        <v>31.5767999960519</v>
      </c>
      <c r="AL4185">
        <v>95.390591064513899</v>
      </c>
      <c r="AM4185">
        <v>91.119895353248396</v>
      </c>
      <c r="AN4185">
        <v>1.00000006442696</v>
      </c>
    </row>
    <row r="4186" spans="1:40" x14ac:dyDescent="0.25">
      <c r="A4186" t="str">
        <f>"20190305135016790"</f>
        <v>20190305135016790</v>
      </c>
      <c r="B4186" t="str">
        <f>"1551765016784413"</f>
        <v>1551765016784413</v>
      </c>
      <c r="C4186" t="s">
        <v>40</v>
      </c>
      <c r="D4186">
        <v>4.1358499999999996</v>
      </c>
      <c r="E4186">
        <v>0.53918859999999902</v>
      </c>
      <c r="F4186" t="s">
        <v>62</v>
      </c>
      <c r="G4186">
        <v>-205.79159999999999</v>
      </c>
      <c r="H4186" s="1">
        <v>4.9446479999999997E-6</v>
      </c>
      <c r="I4186">
        <v>212.79390000000001</v>
      </c>
      <c r="J4186">
        <v>-237.4496</v>
      </c>
      <c r="K4186">
        <v>1.110206</v>
      </c>
      <c r="L4186">
        <v>214.41249999999999</v>
      </c>
      <c r="M4186">
        <v>0.99937849999999995</v>
      </c>
      <c r="N4186">
        <v>-1.4391320000000001E-2</v>
      </c>
      <c r="O4186">
        <v>3.21812E-2</v>
      </c>
      <c r="P4186">
        <v>0.99310370000000003</v>
      </c>
      <c r="Q4186">
        <v>-0.1068921</v>
      </c>
      <c r="R4186">
        <v>4.8158529999999998E-2</v>
      </c>
      <c r="S4186">
        <v>3.0180359999999999</v>
      </c>
      <c r="T4186">
        <v>-0.10443040000000001</v>
      </c>
      <c r="U4186">
        <v>-0.15092469999999999</v>
      </c>
      <c r="V4186">
        <v>-1.5996650000000001E-2</v>
      </c>
      <c r="W4186">
        <v>-9.2604300000000001E-2</v>
      </c>
      <c r="X4186">
        <v>0.99557450000000003</v>
      </c>
      <c r="Y4186">
        <v>8.1987749999999998E-2</v>
      </c>
      <c r="Z4186">
        <v>-2.657609E-3</v>
      </c>
      <c r="AA4186">
        <v>0.99662980000000001</v>
      </c>
      <c r="AB4186">
        <v>42</v>
      </c>
      <c r="AC4186">
        <v>31.658000000000001</v>
      </c>
      <c r="AD4186">
        <v>-1.1102010553520001</v>
      </c>
      <c r="AE4186">
        <v>-1.6185999999999801</v>
      </c>
      <c r="AF4186">
        <v>2.6334291959801202</v>
      </c>
      <c r="AG4186">
        <v>-1.1102010553520001</v>
      </c>
      <c r="AH4186">
        <v>31.550805314232701</v>
      </c>
      <c r="AI4186">
        <v>92.008298999269599</v>
      </c>
      <c r="AJ4186">
        <v>85.228792118026604</v>
      </c>
      <c r="AK4186">
        <v>31.679974931968601</v>
      </c>
      <c r="AL4186">
        <v>95.313448293517894</v>
      </c>
      <c r="AM4186">
        <v>90.920535498119193</v>
      </c>
      <c r="AN4186">
        <v>1.0000000171199801</v>
      </c>
    </row>
    <row r="4187" spans="1:40" x14ac:dyDescent="0.25">
      <c r="A4187" t="str">
        <f>"20190305135016946"</f>
        <v>20190305135016946</v>
      </c>
      <c r="B4187" t="str">
        <f>"1551765016934752"</f>
        <v>1551765016934752</v>
      </c>
      <c r="C4187" t="s">
        <v>40</v>
      </c>
      <c r="D4187">
        <v>4.029045</v>
      </c>
      <c r="E4187">
        <v>0.54735109999999998</v>
      </c>
      <c r="F4187" t="s">
        <v>62</v>
      </c>
      <c r="G4187">
        <v>-203.56989999999999</v>
      </c>
      <c r="H4187" s="1">
        <v>3.9765040000000001E-6</v>
      </c>
      <c r="I4187">
        <v>212.5986</v>
      </c>
      <c r="J4187">
        <v>-234.54150000000001</v>
      </c>
      <c r="K4187">
        <v>1.109777</v>
      </c>
      <c r="L4187">
        <v>214.51329999999999</v>
      </c>
      <c r="M4187">
        <v>0.99927920000000003</v>
      </c>
      <c r="N4187">
        <v>-1.436956E-2</v>
      </c>
      <c r="O4187">
        <v>3.5139339999999998E-2</v>
      </c>
      <c r="P4187">
        <v>0.99340729999999999</v>
      </c>
      <c r="Q4187">
        <v>-0.11218110000000001</v>
      </c>
      <c r="R4187">
        <v>2.3611500000000001E-2</v>
      </c>
      <c r="S4187">
        <v>3.0180210000000001</v>
      </c>
      <c r="T4187">
        <v>-9.8897460000000006E-2</v>
      </c>
      <c r="U4187">
        <v>-0.16157530000000001</v>
      </c>
      <c r="V4187">
        <v>1.140391E-2</v>
      </c>
      <c r="W4187">
        <v>-9.7881159999999995E-2</v>
      </c>
      <c r="X4187">
        <v>0.99513269999999998</v>
      </c>
      <c r="Y4187">
        <v>8.8445869999999996E-2</v>
      </c>
      <c r="Z4187">
        <v>-2.7298679999999999E-3</v>
      </c>
      <c r="AA4187">
        <v>0.9960772</v>
      </c>
      <c r="AB4187">
        <v>42</v>
      </c>
      <c r="AC4187">
        <v>30.971599999999999</v>
      </c>
      <c r="AD4187">
        <v>-1.1097730234959999</v>
      </c>
      <c r="AE4187">
        <v>-1.9146999999999801</v>
      </c>
      <c r="AF4187">
        <v>2.9981164318408799</v>
      </c>
      <c r="AG4187">
        <v>-1.1097730234959999</v>
      </c>
      <c r="AH4187">
        <v>30.845727514885301</v>
      </c>
      <c r="AI4187">
        <v>92.0508524953311</v>
      </c>
      <c r="AJ4187">
        <v>84.448452736763699</v>
      </c>
      <c r="AK4187">
        <v>31.010952971895399</v>
      </c>
      <c r="AL4187">
        <v>95.617171646805801</v>
      </c>
      <c r="AM4187">
        <v>89.343436997984497</v>
      </c>
      <c r="AN4187">
        <v>0.99999993062775905</v>
      </c>
    </row>
    <row r="4188" spans="1:40" x14ac:dyDescent="0.25">
      <c r="A4188" t="str">
        <f>"20190305135016965"</f>
        <v>20190305135016965</v>
      </c>
      <c r="B4188" t="str">
        <f>"1551765016954272"</f>
        <v>1551765016954272</v>
      </c>
      <c r="C4188" t="s">
        <v>40</v>
      </c>
      <c r="D4188">
        <v>4.053337</v>
      </c>
      <c r="E4188">
        <v>0.61515369999999903</v>
      </c>
      <c r="F4188" t="s">
        <v>60</v>
      </c>
      <c r="G4188">
        <v>-168.41</v>
      </c>
      <c r="H4188">
        <v>4.2091370000000003E-2</v>
      </c>
      <c r="I4188">
        <v>207.9795</v>
      </c>
      <c r="J4188">
        <v>-234.1952</v>
      </c>
      <c r="K4188">
        <v>1.1097159999999999</v>
      </c>
      <c r="L4188">
        <v>214.5256</v>
      </c>
      <c r="M4188">
        <v>0.99927569999999999</v>
      </c>
      <c r="N4188">
        <v>-1.436726E-2</v>
      </c>
      <c r="O4188">
        <v>3.5239729999999997E-2</v>
      </c>
      <c r="P4188">
        <v>0.99353029999999998</v>
      </c>
      <c r="Q4188">
        <v>-0.11133759999999999</v>
      </c>
      <c r="R4188">
        <v>2.2406479999999999E-2</v>
      </c>
      <c r="S4188">
        <v>3.0214840000000001</v>
      </c>
      <c r="T4188">
        <v>-4.8779959999999997E-2</v>
      </c>
      <c r="U4188">
        <v>-0.29852289999999998</v>
      </c>
      <c r="V4188">
        <v>1.2695420000000001E-2</v>
      </c>
      <c r="W4188">
        <v>-9.7039849999999997E-2</v>
      </c>
      <c r="X4188">
        <v>0.99519950000000001</v>
      </c>
      <c r="Y4188">
        <v>0.13330020000000001</v>
      </c>
      <c r="Z4188">
        <v>-2.0961270000000001E-3</v>
      </c>
      <c r="AA4188">
        <v>0.99107350000000005</v>
      </c>
      <c r="AB4188">
        <v>42</v>
      </c>
      <c r="AC4188">
        <v>65.785200000000003</v>
      </c>
      <c r="AD4188">
        <v>-1.0676246300000001</v>
      </c>
      <c r="AE4188">
        <v>-6.5460999999999903</v>
      </c>
      <c r="AF4188">
        <v>8.8582148851373201</v>
      </c>
      <c r="AG4188">
        <v>-1.0676246300000001</v>
      </c>
      <c r="AH4188">
        <v>65.496543726157199</v>
      </c>
      <c r="AI4188">
        <v>90.925441451823602</v>
      </c>
      <c r="AJ4188">
        <v>82.297650637491003</v>
      </c>
      <c r="AK4188">
        <v>66.101475273811204</v>
      </c>
      <c r="AL4188">
        <v>95.568737303416199</v>
      </c>
      <c r="AM4188">
        <v>89.269136959817303</v>
      </c>
      <c r="AN4188">
        <v>0.99999997548862396</v>
      </c>
    </row>
    <row r="4189" spans="1:40" x14ac:dyDescent="0.25">
      <c r="A4189" t="str">
        <f>"20190305135016980"</f>
        <v>20190305135016980</v>
      </c>
      <c r="B4189" t="str">
        <f>"1551765016974771"</f>
        <v>1551765016974771</v>
      </c>
      <c r="C4189" t="s">
        <v>40</v>
      </c>
      <c r="D4189">
        <v>4.0805009999999999</v>
      </c>
      <c r="E4189">
        <v>0.61310849999999995</v>
      </c>
      <c r="F4189" t="s">
        <v>74</v>
      </c>
      <c r="G4189">
        <v>-230.04929999999999</v>
      </c>
      <c r="H4189" s="1">
        <v>-1.453495E-6</v>
      </c>
      <c r="I4189">
        <v>213.3107</v>
      </c>
      <c r="J4189">
        <v>-233.8939</v>
      </c>
      <c r="K4189">
        <v>1.109672</v>
      </c>
      <c r="L4189">
        <v>214.53630000000001</v>
      </c>
      <c r="M4189">
        <v>0.99927440000000001</v>
      </c>
      <c r="N4189">
        <v>-1.4365279999999999E-2</v>
      </c>
      <c r="O4189">
        <v>3.5274840000000002E-2</v>
      </c>
      <c r="P4189">
        <v>0.99386909999999895</v>
      </c>
      <c r="Q4189">
        <v>-0.1086493</v>
      </c>
      <c r="R4189">
        <v>2.049455E-2</v>
      </c>
      <c r="S4189">
        <v>2.9505460000000001</v>
      </c>
      <c r="T4189">
        <v>-0.78976000000000002</v>
      </c>
      <c r="U4189">
        <v>-0.86460879999999996</v>
      </c>
      <c r="V4189">
        <v>1.4636740000000001E-2</v>
      </c>
      <c r="W4189">
        <v>-9.4350649999999994E-2</v>
      </c>
      <c r="X4189">
        <v>0.99543139999999997</v>
      </c>
      <c r="Y4189">
        <v>0.3034037</v>
      </c>
      <c r="Z4189">
        <v>-5.0000790000000003E-2</v>
      </c>
      <c r="AA4189">
        <v>0.95154930000000004</v>
      </c>
      <c r="AB4189">
        <v>42</v>
      </c>
      <c r="AC4189">
        <v>3.84460000000001</v>
      </c>
      <c r="AD4189">
        <v>-1.1096734534949999</v>
      </c>
      <c r="AE4189">
        <v>-1.22560000000001</v>
      </c>
      <c r="AF4189">
        <v>1.2648191237392501</v>
      </c>
      <c r="AG4189">
        <v>-1.1096734534949999</v>
      </c>
      <c r="AH4189">
        <v>3.5318777758549902</v>
      </c>
      <c r="AI4189">
        <v>106.47783543281101</v>
      </c>
      <c r="AJ4189">
        <v>70.296782079805794</v>
      </c>
      <c r="AK4189">
        <v>3.9121992808069601</v>
      </c>
      <c r="AL4189">
        <v>95.413947057804805</v>
      </c>
      <c r="AM4189">
        <v>89.157588360751603</v>
      </c>
      <c r="AN4189">
        <v>0.99999997570960397</v>
      </c>
    </row>
    <row r="4190" spans="1:40" x14ac:dyDescent="0.25">
      <c r="A4190" t="str">
        <f>"20190305135017002"</f>
        <v>20190305135017002</v>
      </c>
      <c r="B4190" t="str">
        <f>"1551765016994654"</f>
        <v>1551765016994654</v>
      </c>
      <c r="C4190" t="s">
        <v>40</v>
      </c>
      <c r="D4190">
        <v>4.1128030000000004</v>
      </c>
      <c r="E4190">
        <v>0.61205750000000003</v>
      </c>
      <c r="F4190" t="s">
        <v>74</v>
      </c>
      <c r="G4190">
        <v>-229.91229999999999</v>
      </c>
      <c r="H4190" s="1">
        <v>3.7919940000000001E-6</v>
      </c>
      <c r="I4190">
        <v>213.38149999999999</v>
      </c>
      <c r="J4190">
        <v>-233.48869999999999</v>
      </c>
      <c r="K4190">
        <v>1.109586</v>
      </c>
      <c r="L4190">
        <v>214.5506</v>
      </c>
      <c r="M4190">
        <v>0.99927560000000004</v>
      </c>
      <c r="N4190">
        <v>-1.4362689999999999E-2</v>
      </c>
      <c r="O4190">
        <v>3.524236E-2</v>
      </c>
      <c r="P4190">
        <v>0.99410659999999895</v>
      </c>
      <c r="Q4190">
        <v>-0.1066912</v>
      </c>
      <c r="R4190">
        <v>1.9214579999999998E-2</v>
      </c>
      <c r="S4190">
        <v>2.9463810000000001</v>
      </c>
      <c r="T4190">
        <v>-0.82114889999999996</v>
      </c>
      <c r="U4190">
        <v>-0.85452269999999897</v>
      </c>
      <c r="V4190">
        <v>1.5870970000000002E-2</v>
      </c>
      <c r="W4190">
        <v>-9.2395210000000005E-2</v>
      </c>
      <c r="X4190">
        <v>0.99559589999999998</v>
      </c>
      <c r="Y4190">
        <v>0.29992039999999998</v>
      </c>
      <c r="Z4190">
        <v>-5.144116E-2</v>
      </c>
      <c r="AA4190">
        <v>0.95257630000000004</v>
      </c>
      <c r="AB4190">
        <v>42</v>
      </c>
      <c r="AC4190">
        <v>3.5764</v>
      </c>
      <c r="AD4190">
        <v>-1.109582208006</v>
      </c>
      <c r="AE4190">
        <v>-1.16910000000001</v>
      </c>
      <c r="AF4190">
        <v>1.1908660930405699</v>
      </c>
      <c r="AG4190">
        <v>-1.109582208006</v>
      </c>
      <c r="AH4190">
        <v>3.25031467121386</v>
      </c>
      <c r="AI4190">
        <v>107.77272427744199</v>
      </c>
      <c r="AJ4190">
        <v>69.877930565290896</v>
      </c>
      <c r="AK4190">
        <v>3.6350901212741999</v>
      </c>
      <c r="AL4190">
        <v>95.301416937385497</v>
      </c>
      <c r="AM4190">
        <v>89.086715220443594</v>
      </c>
      <c r="AN4190">
        <v>0.99999997930824702</v>
      </c>
    </row>
    <row r="4191" spans="1:40" x14ac:dyDescent="0.25">
      <c r="A4191" t="str">
        <f>"20190305135017024"</f>
        <v>20190305135017024</v>
      </c>
      <c r="B4191" t="str">
        <f>"1551765017014171"</f>
        <v>1551765017014171</v>
      </c>
      <c r="C4191" t="s">
        <v>40</v>
      </c>
      <c r="D4191">
        <v>4.1211330000000004</v>
      </c>
      <c r="E4191">
        <v>0.60917690000000002</v>
      </c>
      <c r="F4191" t="s">
        <v>74</v>
      </c>
      <c r="G4191">
        <v>-229.5752</v>
      </c>
      <c r="H4191" s="1">
        <v>3.6108479999999999E-6</v>
      </c>
      <c r="I4191">
        <v>213.42179999999999</v>
      </c>
      <c r="J4191">
        <v>-233.07839999999999</v>
      </c>
      <c r="K4191">
        <v>1.109491</v>
      </c>
      <c r="L4191">
        <v>214.565</v>
      </c>
      <c r="M4191">
        <v>0.99928050000000002</v>
      </c>
      <c r="N4191">
        <v>-1.436016E-2</v>
      </c>
      <c r="O4191">
        <v>3.5106209999999999E-2</v>
      </c>
      <c r="P4191">
        <v>0.9941894</v>
      </c>
      <c r="Q4191">
        <v>-0.1060648</v>
      </c>
      <c r="R4191">
        <v>1.8381080000000001E-2</v>
      </c>
      <c r="S4191">
        <v>2.9445800000000002</v>
      </c>
      <c r="T4191">
        <v>-0.83485699999999996</v>
      </c>
      <c r="U4191">
        <v>-0.84931950000000001</v>
      </c>
      <c r="V4191">
        <v>1.6549000000000001E-2</v>
      </c>
      <c r="W4191">
        <v>-9.1774369999999994E-2</v>
      </c>
      <c r="X4191">
        <v>0.99564229999999998</v>
      </c>
      <c r="Y4191">
        <v>0.29804920000000001</v>
      </c>
      <c r="Z4191">
        <v>-5.1977519999999999E-2</v>
      </c>
      <c r="AA4191">
        <v>0.95313429999999999</v>
      </c>
      <c r="AB4191">
        <v>42</v>
      </c>
      <c r="AC4191">
        <v>3.5031999999999899</v>
      </c>
      <c r="AD4191">
        <v>-1.1094873891519901</v>
      </c>
      <c r="AE4191">
        <v>-1.1432</v>
      </c>
      <c r="AF4191">
        <v>1.16031004880281</v>
      </c>
      <c r="AG4191">
        <v>-1.1094873891519901</v>
      </c>
      <c r="AH4191">
        <v>3.17324827429902</v>
      </c>
      <c r="AI4191">
        <v>108.178834495674</v>
      </c>
      <c r="AJ4191">
        <v>69.914872572136304</v>
      </c>
      <c r="AK4191">
        <v>3.5562320349468002</v>
      </c>
      <c r="AL4191">
        <v>95.265693548808699</v>
      </c>
      <c r="AM4191">
        <v>89.047749829040498</v>
      </c>
      <c r="AN4191">
        <v>0.99999999696959296</v>
      </c>
    </row>
    <row r="4192" spans="1:40" x14ac:dyDescent="0.25">
      <c r="A4192" t="str">
        <f>"20190305135017047"</f>
        <v>20190305135017047</v>
      </c>
      <c r="B4192" t="str">
        <f>"1551765017044427"</f>
        <v>1551765017044427</v>
      </c>
      <c r="C4192" t="s">
        <v>40</v>
      </c>
      <c r="D4192">
        <v>4.0602239999999998</v>
      </c>
      <c r="E4192">
        <v>0.6070778</v>
      </c>
      <c r="F4192" t="s">
        <v>41</v>
      </c>
      <c r="G4192">
        <v>-232.30799999999999</v>
      </c>
      <c r="H4192">
        <v>0.88774809999999904</v>
      </c>
      <c r="I4192">
        <v>214.34780000000001</v>
      </c>
      <c r="J4192">
        <v>-232.6627</v>
      </c>
      <c r="K4192">
        <v>1.109386</v>
      </c>
      <c r="L4192">
        <v>214.5795</v>
      </c>
      <c r="M4192">
        <v>0.99928910000000004</v>
      </c>
      <c r="N4192">
        <v>-1.4357750000000001E-2</v>
      </c>
      <c r="O4192">
        <v>3.485771E-2</v>
      </c>
      <c r="P4192">
        <v>0.99421999999999999</v>
      </c>
      <c r="Q4192">
        <v>-0.1058224</v>
      </c>
      <c r="R4192">
        <v>1.812797E-2</v>
      </c>
      <c r="S4192">
        <v>2.9424899999999998</v>
      </c>
      <c r="T4192">
        <v>-0.84690480000000001</v>
      </c>
      <c r="U4192">
        <v>-0.82858279999999995</v>
      </c>
      <c r="V4192">
        <v>1.6530799999999998E-2</v>
      </c>
      <c r="W4192">
        <v>-9.1538469999999997E-2</v>
      </c>
      <c r="X4192">
        <v>0.99566429999999995</v>
      </c>
      <c r="Y4192">
        <v>0.29163869999999997</v>
      </c>
      <c r="Z4192">
        <v>-5.1752579999999999E-2</v>
      </c>
      <c r="AA4192">
        <v>0.95512750000000002</v>
      </c>
      <c r="AB4192">
        <v>42</v>
      </c>
      <c r="AC4192">
        <v>0.35470000000000801</v>
      </c>
      <c r="AD4192">
        <v>-0.2216379</v>
      </c>
      <c r="AE4192">
        <v>-0.231699999999989</v>
      </c>
      <c r="AF4192">
        <v>0.19151273094063501</v>
      </c>
      <c r="AG4192">
        <v>-0.2216379</v>
      </c>
      <c r="AH4192">
        <v>0.271974999871609</v>
      </c>
      <c r="AI4192">
        <v>123.67572518301399</v>
      </c>
      <c r="AJ4192">
        <v>54.8484923822135</v>
      </c>
      <c r="AK4192">
        <v>0.39971350413003498</v>
      </c>
      <c r="AL4192">
        <v>95.252120437449406</v>
      </c>
      <c r="AM4192">
        <v>89.048817901030702</v>
      </c>
      <c r="AN4192">
        <v>0.999999978566535</v>
      </c>
    </row>
    <row r="4193" spans="1:40" x14ac:dyDescent="0.25">
      <c r="A4193" t="str">
        <f>"20190305135017069"</f>
        <v>20190305135017069</v>
      </c>
      <c r="B4193" t="str">
        <f>"1551765017064922"</f>
        <v>1551765017064922</v>
      </c>
      <c r="C4193" t="s">
        <v>40</v>
      </c>
      <c r="D4193">
        <v>3.979114</v>
      </c>
      <c r="E4193">
        <v>0.60598549999999995</v>
      </c>
      <c r="F4193" t="s">
        <v>41</v>
      </c>
      <c r="G4193">
        <v>-231.93620000000001</v>
      </c>
      <c r="H4193">
        <v>0.89733159999999901</v>
      </c>
      <c r="I4193">
        <v>214.37860000000001</v>
      </c>
      <c r="J4193">
        <v>-232.23949999999999</v>
      </c>
      <c r="K4193">
        <v>1.1092630000000001</v>
      </c>
      <c r="L4193">
        <v>214.59399999999999</v>
      </c>
      <c r="M4193">
        <v>0.99930220000000003</v>
      </c>
      <c r="N4193">
        <v>-1.435548E-2</v>
      </c>
      <c r="O4193">
        <v>3.4485050000000003E-2</v>
      </c>
      <c r="P4193">
        <v>0.99418740000000005</v>
      </c>
      <c r="Q4193">
        <v>-0.1060845</v>
      </c>
      <c r="R4193">
        <v>1.8380199999999999E-2</v>
      </c>
      <c r="S4193">
        <v>2.9409179999999999</v>
      </c>
      <c r="T4193">
        <v>-0.85839889999999996</v>
      </c>
      <c r="U4193">
        <v>-0.81277469999999996</v>
      </c>
      <c r="V4193">
        <v>1.587912E-2</v>
      </c>
      <c r="W4193">
        <v>-9.1807749999999994E-2</v>
      </c>
      <c r="X4193">
        <v>0.99565009999999998</v>
      </c>
      <c r="Y4193">
        <v>0.28650209999999998</v>
      </c>
      <c r="Z4193">
        <v>-5.1605020000000001E-2</v>
      </c>
      <c r="AA4193">
        <v>0.95668880000000001</v>
      </c>
      <c r="AB4193">
        <v>42</v>
      </c>
      <c r="AC4193">
        <v>0.30329999999997798</v>
      </c>
      <c r="AD4193">
        <v>-0.21193139999999999</v>
      </c>
      <c r="AE4193">
        <v>-0.215400000000016</v>
      </c>
      <c r="AF4193">
        <v>0.17042083979195899</v>
      </c>
      <c r="AG4193">
        <v>-0.21193139999999999</v>
      </c>
      <c r="AH4193">
        <v>0.223237312877033</v>
      </c>
      <c r="AI4193">
        <v>127.038211876348</v>
      </c>
      <c r="AJ4193">
        <v>52.641646646341997</v>
      </c>
      <c r="AK4193">
        <v>0.35184240620186003</v>
      </c>
      <c r="AL4193">
        <v>95.267614356454999</v>
      </c>
      <c r="AM4193">
        <v>89.0862960468111</v>
      </c>
      <c r="AN4193">
        <v>0.99999996552102199</v>
      </c>
    </row>
    <row r="4194" spans="1:40" x14ac:dyDescent="0.25">
      <c r="A4194" t="str">
        <f>"20190305135017092"</f>
        <v>20190305135017092</v>
      </c>
      <c r="B4194" t="str">
        <f>"1551765017084446"</f>
        <v>1551765017084446</v>
      </c>
      <c r="C4194" t="s">
        <v>40</v>
      </c>
      <c r="D4194">
        <v>4.0439290000000003</v>
      </c>
      <c r="E4194">
        <v>0.605340199999999</v>
      </c>
      <c r="F4194" t="s">
        <v>41</v>
      </c>
      <c r="G4194">
        <v>-231.56059999999999</v>
      </c>
      <c r="H4194">
        <v>0.91121350000000001</v>
      </c>
      <c r="I4194">
        <v>214.4083</v>
      </c>
      <c r="J4194">
        <v>-231.82900000000001</v>
      </c>
      <c r="K4194">
        <v>1.109132</v>
      </c>
      <c r="L4194">
        <v>214.6078</v>
      </c>
      <c r="M4194">
        <v>0.99931910000000002</v>
      </c>
      <c r="N4194">
        <v>-1.435355E-2</v>
      </c>
      <c r="O4194">
        <v>3.3991680000000003E-2</v>
      </c>
      <c r="P4194">
        <v>0.99415339999999996</v>
      </c>
      <c r="Q4194">
        <v>-0.10628029999999999</v>
      </c>
      <c r="R4194">
        <v>1.9066929999999999E-2</v>
      </c>
      <c r="S4194">
        <v>2.9408569999999998</v>
      </c>
      <c r="T4194">
        <v>-0.85783390000000004</v>
      </c>
      <c r="U4194">
        <v>-0.80390930000000005</v>
      </c>
      <c r="V4194">
        <v>1.467215E-2</v>
      </c>
      <c r="W4194">
        <v>-9.2009629999999995E-2</v>
      </c>
      <c r="X4194">
        <v>0.99565000000000003</v>
      </c>
      <c r="Y4194">
        <v>0.28349869999999999</v>
      </c>
      <c r="Z4194">
        <v>-5.1015339999999999E-2</v>
      </c>
      <c r="AA4194">
        <v>0.95761470000000004</v>
      </c>
      <c r="AB4194">
        <v>42</v>
      </c>
      <c r="AC4194">
        <v>0.26840000000001402</v>
      </c>
      <c r="AD4194">
        <v>-0.1979185</v>
      </c>
      <c r="AE4194">
        <v>-0.19950000000000001</v>
      </c>
      <c r="AF4194">
        <v>0.154422316691773</v>
      </c>
      <c r="AG4194">
        <v>-0.1979185</v>
      </c>
      <c r="AH4194">
        <v>0.19364006482783599</v>
      </c>
      <c r="AI4194">
        <v>128.628591127758</v>
      </c>
      <c r="AJ4194">
        <v>51.428658610850398</v>
      </c>
      <c r="AK4194">
        <v>0.31704015398878499</v>
      </c>
      <c r="AL4194">
        <v>95.279230300577396</v>
      </c>
      <c r="AM4194">
        <v>89.155736023607801</v>
      </c>
      <c r="AN4194">
        <v>0.99999998324917905</v>
      </c>
    </row>
    <row r="4195" spans="1:40" x14ac:dyDescent="0.25">
      <c r="A4195" t="str">
        <f>"20190305135017114"</f>
        <v>20190305135017114</v>
      </c>
      <c r="B4195" t="str">
        <f>"1551765017104939"</f>
        <v>1551765017104939</v>
      </c>
      <c r="C4195" t="s">
        <v>40</v>
      </c>
      <c r="D4195">
        <v>4.0086389999999996</v>
      </c>
      <c r="E4195">
        <v>0.5628514</v>
      </c>
      <c r="F4195" t="s">
        <v>74</v>
      </c>
      <c r="G4195">
        <v>-228.01499999999999</v>
      </c>
      <c r="H4195" s="1">
        <v>2.7739010000000001E-6</v>
      </c>
      <c r="I4195">
        <v>213.57499999999999</v>
      </c>
      <c r="J4195">
        <v>-231.4152</v>
      </c>
      <c r="K4195">
        <v>1.109002</v>
      </c>
      <c r="L4195">
        <v>214.62129999999999</v>
      </c>
      <c r="M4195">
        <v>0.99933989999999995</v>
      </c>
      <c r="N4195">
        <v>-1.435176E-2</v>
      </c>
      <c r="O4195">
        <v>3.3374550000000003E-2</v>
      </c>
      <c r="P4195">
        <v>0.99405500000000002</v>
      </c>
      <c r="Q4195">
        <v>-0.1070652</v>
      </c>
      <c r="R4195">
        <v>1.9795710000000001E-2</v>
      </c>
      <c r="S4195">
        <v>2.9414669999999998</v>
      </c>
      <c r="T4195">
        <v>-0.85537830000000004</v>
      </c>
      <c r="U4195">
        <v>-0.79647829999999997</v>
      </c>
      <c r="V4195">
        <v>1.3296479999999999E-2</v>
      </c>
      <c r="W4195">
        <v>-9.2800389999999996E-2</v>
      </c>
      <c r="X4195">
        <v>0.99559589999999998</v>
      </c>
      <c r="Y4195">
        <v>0.28080310000000003</v>
      </c>
      <c r="Z4195">
        <v>-5.0321329999999997E-2</v>
      </c>
      <c r="AA4195">
        <v>0.95844529999999994</v>
      </c>
      <c r="AB4195">
        <v>42</v>
      </c>
      <c r="AC4195">
        <v>3.4002000000000101</v>
      </c>
      <c r="AD4195">
        <v>-1.108999226099</v>
      </c>
      <c r="AE4195">
        <v>-1.0463</v>
      </c>
      <c r="AF4195">
        <v>1.0565378912649599</v>
      </c>
      <c r="AG4195">
        <v>-1.108999226099</v>
      </c>
      <c r="AH4195">
        <v>3.0654878155788698</v>
      </c>
      <c r="AI4195">
        <v>108.881969655351</v>
      </c>
      <c r="AJ4195">
        <v>70.9831954915566</v>
      </c>
      <c r="AK4195">
        <v>3.4268596625233001</v>
      </c>
      <c r="AL4195">
        <v>95.324732357396698</v>
      </c>
      <c r="AM4195">
        <v>89.234843276522497</v>
      </c>
      <c r="AN4195">
        <v>0.99999995243067497</v>
      </c>
    </row>
    <row r="4196" spans="1:40" x14ac:dyDescent="0.25">
      <c r="A4196" t="str">
        <f>"20190305135017137"</f>
        <v>20190305135017137</v>
      </c>
      <c r="B4196" t="str">
        <f>"1551765017124459"</f>
        <v>1551765017124459</v>
      </c>
      <c r="C4196" t="s">
        <v>40</v>
      </c>
      <c r="D4196">
        <v>3.9905710000000001</v>
      </c>
      <c r="E4196">
        <v>0.55682959999999904</v>
      </c>
      <c r="F4196" t="s">
        <v>41</v>
      </c>
      <c r="G4196">
        <v>-230.47540000000001</v>
      </c>
      <c r="H4196">
        <v>0.85451129999999997</v>
      </c>
      <c r="I4196">
        <v>214.47620000000001</v>
      </c>
      <c r="J4196">
        <v>-231.0035</v>
      </c>
      <c r="K4196">
        <v>1.108884</v>
      </c>
      <c r="L4196">
        <v>214.6345</v>
      </c>
      <c r="M4196">
        <v>0.99936360000000002</v>
      </c>
      <c r="N4196">
        <v>-1.435006E-2</v>
      </c>
      <c r="O4196">
        <v>3.2658140000000002E-2</v>
      </c>
      <c r="P4196">
        <v>0.99403629999999998</v>
      </c>
      <c r="Q4196">
        <v>-0.1071848</v>
      </c>
      <c r="R4196">
        <v>2.0089860000000001E-2</v>
      </c>
      <c r="S4196">
        <v>2.9411930000000002</v>
      </c>
      <c r="T4196">
        <v>-0.79641830000000002</v>
      </c>
      <c r="U4196">
        <v>-0.45401000000000002</v>
      </c>
      <c r="V4196">
        <v>1.22617E-2</v>
      </c>
      <c r="W4196">
        <v>-9.292417E-2</v>
      </c>
      <c r="X4196">
        <v>0.99559770000000003</v>
      </c>
      <c r="Y4196">
        <v>0.1771324</v>
      </c>
      <c r="Z4196">
        <v>-3.291231E-2</v>
      </c>
      <c r="AA4196">
        <v>0.98363659999999997</v>
      </c>
      <c r="AB4196">
        <v>41</v>
      </c>
      <c r="AC4196">
        <v>0.52809999999999402</v>
      </c>
      <c r="AD4196">
        <v>-0.25437269999999901</v>
      </c>
      <c r="AE4196">
        <v>-0.158299999999996</v>
      </c>
      <c r="AF4196">
        <v>0.144666946805388</v>
      </c>
      <c r="AG4196">
        <v>-0.25437269999999901</v>
      </c>
      <c r="AH4196">
        <v>0.43091371939093298</v>
      </c>
      <c r="AI4196">
        <v>119.232034374516</v>
      </c>
      <c r="AJ4196">
        <v>71.441997235040205</v>
      </c>
      <c r="AK4196">
        <v>0.52088446853655701</v>
      </c>
      <c r="AL4196">
        <v>95.331854870440196</v>
      </c>
      <c r="AM4196">
        <v>89.294385531577205</v>
      </c>
      <c r="AN4196">
        <v>1.0000000154511799</v>
      </c>
    </row>
    <row r="4197" spans="1:40" x14ac:dyDescent="0.25">
      <c r="A4197" t="str">
        <f>"20190305135017158"</f>
        <v>20190305135017158</v>
      </c>
      <c r="B4197" t="str">
        <f>"1551765017154714"</f>
        <v>1551765017154714</v>
      </c>
      <c r="C4197" t="s">
        <v>40</v>
      </c>
      <c r="D4197">
        <v>3.9633579999999999</v>
      </c>
      <c r="E4197">
        <v>0.55421500000000001</v>
      </c>
      <c r="F4197" t="s">
        <v>41</v>
      </c>
      <c r="G4197">
        <v>-230.1002</v>
      </c>
      <c r="H4197">
        <v>0.8702879</v>
      </c>
      <c r="I4197">
        <v>214.51009999999999</v>
      </c>
      <c r="J4197">
        <v>-230.59460000000001</v>
      </c>
      <c r="K4197">
        <v>1.1087800000000001</v>
      </c>
      <c r="L4197">
        <v>214.6472</v>
      </c>
      <c r="M4197">
        <v>0.99938979999999999</v>
      </c>
      <c r="N4197">
        <v>-1.4348410000000001E-2</v>
      </c>
      <c r="O4197">
        <v>3.1849589999999997E-2</v>
      </c>
      <c r="P4197">
        <v>0.9940658</v>
      </c>
      <c r="Q4197">
        <v>-0.106943</v>
      </c>
      <c r="R4197">
        <v>1.991451E-2</v>
      </c>
      <c r="S4197">
        <v>2.9423520000000001</v>
      </c>
      <c r="T4197">
        <v>-0.77716300000000005</v>
      </c>
      <c r="U4197">
        <v>-0.40452579999999999</v>
      </c>
      <c r="V4197">
        <v>1.160944E-2</v>
      </c>
      <c r="W4197">
        <v>-9.2685799999999999E-2</v>
      </c>
      <c r="X4197">
        <v>0.9956277</v>
      </c>
      <c r="Y4197">
        <v>0.16099430000000001</v>
      </c>
      <c r="Z4197">
        <v>-2.978049E-2</v>
      </c>
      <c r="AA4197">
        <v>0.98650590000000005</v>
      </c>
      <c r="AB4197">
        <v>41</v>
      </c>
      <c r="AC4197">
        <v>0.494400000000013</v>
      </c>
      <c r="AD4197">
        <v>-0.23849209999999901</v>
      </c>
      <c r="AE4197">
        <v>-0.137100000000003</v>
      </c>
      <c r="AF4197">
        <v>0.12563185005011099</v>
      </c>
      <c r="AG4197">
        <v>-0.23849209999999901</v>
      </c>
      <c r="AH4197">
        <v>0.40275455033926799</v>
      </c>
      <c r="AI4197">
        <v>119.479001921706</v>
      </c>
      <c r="AJ4197">
        <v>72.675652425457798</v>
      </c>
      <c r="AK4197">
        <v>0.48463705113044098</v>
      </c>
      <c r="AL4197">
        <v>95.318138284237307</v>
      </c>
      <c r="AM4197">
        <v>89.331937259110603</v>
      </c>
      <c r="AN4197">
        <v>0.999999976813021</v>
      </c>
    </row>
    <row r="4198" spans="1:40" x14ac:dyDescent="0.25">
      <c r="A4198" t="str">
        <f>"20190305135017181"</f>
        <v>20190305135017181</v>
      </c>
      <c r="B4198" t="str">
        <f>"1551765017174238"</f>
        <v>1551765017174238</v>
      </c>
      <c r="C4198" t="s">
        <v>40</v>
      </c>
      <c r="D4198">
        <v>3.9455309999999999</v>
      </c>
      <c r="E4198">
        <v>0.55377330000000002</v>
      </c>
      <c r="F4198" t="s">
        <v>41</v>
      </c>
      <c r="G4198">
        <v>-229.72489999999999</v>
      </c>
      <c r="H4198">
        <v>0.8847351</v>
      </c>
      <c r="I4198">
        <v>214.53380000000001</v>
      </c>
      <c r="J4198">
        <v>-230.1704</v>
      </c>
      <c r="K4198">
        <v>1.1086780000000001</v>
      </c>
      <c r="L4198">
        <v>214.65989999999999</v>
      </c>
      <c r="M4198">
        <v>0.99941919999999995</v>
      </c>
      <c r="N4198">
        <v>-1.4346329999999999E-2</v>
      </c>
      <c r="O4198">
        <v>3.0917589999999998E-2</v>
      </c>
      <c r="P4198">
        <v>0.99413439999999997</v>
      </c>
      <c r="Q4198">
        <v>-0.1063712</v>
      </c>
      <c r="R4198">
        <v>1.9560709999999999E-2</v>
      </c>
      <c r="S4198">
        <v>2.944016</v>
      </c>
      <c r="T4198">
        <v>-0.75841959999999997</v>
      </c>
      <c r="U4198">
        <v>-0.38365169999999998</v>
      </c>
      <c r="V4198">
        <v>1.101574E-2</v>
      </c>
      <c r="W4198">
        <v>-9.2116989999999996E-2</v>
      </c>
      <c r="X4198">
        <v>0.99568719999999999</v>
      </c>
      <c r="Y4198">
        <v>0.15370819999999999</v>
      </c>
      <c r="Z4198">
        <v>-2.790161E-2</v>
      </c>
      <c r="AA4198">
        <v>0.98772230000000005</v>
      </c>
      <c r="AB4198">
        <v>41</v>
      </c>
      <c r="AC4198">
        <v>0.445500000000009</v>
      </c>
      <c r="AD4198">
        <v>-0.223942899999999</v>
      </c>
      <c r="AE4198">
        <v>-0.12609999999997901</v>
      </c>
      <c r="AF4198">
        <v>0.113307545621158</v>
      </c>
      <c r="AG4198">
        <v>-0.223942899999999</v>
      </c>
      <c r="AH4198">
        <v>0.35770561357379899</v>
      </c>
      <c r="AI4198">
        <v>120.829892805369</v>
      </c>
      <c r="AJ4198">
        <v>72.423776969399896</v>
      </c>
      <c r="AK4198">
        <v>0.43696948215786002</v>
      </c>
      <c r="AL4198">
        <v>95.285408022196506</v>
      </c>
      <c r="AM4198">
        <v>89.3661366130261</v>
      </c>
      <c r="AN4198">
        <v>0.99999994330912201</v>
      </c>
    </row>
    <row r="4199" spans="1:40" x14ac:dyDescent="0.25">
      <c r="A4199" t="str">
        <f>"20190305135017199"</f>
        <v>20190305135017199</v>
      </c>
      <c r="B4199" t="str">
        <f>"1551765017194732"</f>
        <v>1551765017194732</v>
      </c>
      <c r="C4199" t="s">
        <v>40</v>
      </c>
      <c r="D4199">
        <v>3.815045</v>
      </c>
      <c r="E4199">
        <v>0.55059550000000002</v>
      </c>
      <c r="F4199" t="s">
        <v>41</v>
      </c>
      <c r="G4199">
        <v>-229.3485</v>
      </c>
      <c r="H4199">
        <v>0.90162889999999996</v>
      </c>
      <c r="I4199">
        <v>214.55359999999999</v>
      </c>
      <c r="J4199">
        <v>-229.8339</v>
      </c>
      <c r="K4199">
        <v>1.1086049999999901</v>
      </c>
      <c r="L4199">
        <v>214.66970000000001</v>
      </c>
      <c r="M4199">
        <v>0.99944330000000003</v>
      </c>
      <c r="N4199">
        <v>-1.43445E-2</v>
      </c>
      <c r="O4199">
        <v>3.0122550000000001E-2</v>
      </c>
      <c r="P4199">
        <v>0.99414210000000003</v>
      </c>
      <c r="Q4199">
        <v>-0.10640570000000001</v>
      </c>
      <c r="R4199">
        <v>1.895382E-2</v>
      </c>
      <c r="S4199">
        <v>2.945786</v>
      </c>
      <c r="T4199">
        <v>-0.74211470000000002</v>
      </c>
      <c r="U4199">
        <v>-0.38064579999999998</v>
      </c>
      <c r="V4199">
        <v>1.081533E-2</v>
      </c>
      <c r="W4199">
        <v>-9.215487E-2</v>
      </c>
      <c r="X4199">
        <v>0.99568590000000001</v>
      </c>
      <c r="Y4199">
        <v>0.1521856</v>
      </c>
      <c r="Z4199">
        <v>-2.693473E-2</v>
      </c>
      <c r="AA4199">
        <v>0.9879848</v>
      </c>
      <c r="AB4199">
        <v>41</v>
      </c>
      <c r="AC4199">
        <v>0.485399999999998</v>
      </c>
      <c r="AD4199">
        <v>-0.206976099999999</v>
      </c>
      <c r="AE4199">
        <v>-0.116100000000017</v>
      </c>
      <c r="AF4199">
        <v>0.111495251515994</v>
      </c>
      <c r="AG4199">
        <v>-0.206976099999999</v>
      </c>
      <c r="AH4199">
        <v>0.410998283537648</v>
      </c>
      <c r="AI4199">
        <v>115.92100792442599</v>
      </c>
      <c r="AJ4199">
        <v>74.822138553585305</v>
      </c>
      <c r="AK4199">
        <v>0.47348694401505698</v>
      </c>
      <c r="AL4199">
        <v>95.287587614528903</v>
      </c>
      <c r="AM4199">
        <v>89.377666798718096</v>
      </c>
      <c r="AN4199">
        <v>0.99999995144326603</v>
      </c>
    </row>
    <row r="4200" spans="1:40" x14ac:dyDescent="0.25">
      <c r="A4200" t="str">
        <f>"20190305135017214"</f>
        <v>20190305135017214</v>
      </c>
      <c r="B4200" t="str">
        <f>"1551765017204491"</f>
        <v>1551765017204491</v>
      </c>
      <c r="C4200" t="s">
        <v>40</v>
      </c>
      <c r="D4200">
        <v>3.9632770000000002</v>
      </c>
      <c r="E4200">
        <v>0.5512937</v>
      </c>
      <c r="F4200" t="s">
        <v>41</v>
      </c>
      <c r="G4200">
        <v>-228.95650000000001</v>
      </c>
      <c r="H4200">
        <v>0.95070180000000004</v>
      </c>
      <c r="I4200">
        <v>214.56549999999999</v>
      </c>
      <c r="J4200">
        <v>-229.56649999999999</v>
      </c>
      <c r="K4200">
        <v>1.108555</v>
      </c>
      <c r="L4200">
        <v>214.6772</v>
      </c>
      <c r="M4200">
        <v>0.99946299999999999</v>
      </c>
      <c r="N4200">
        <v>-1.4343E-2</v>
      </c>
      <c r="O4200">
        <v>2.9465640000000001E-2</v>
      </c>
      <c r="P4200">
        <v>0.99410580000000004</v>
      </c>
      <c r="Q4200">
        <v>-0.1068561</v>
      </c>
      <c r="R4200">
        <v>1.8324199999999999E-2</v>
      </c>
      <c r="S4200">
        <v>2.9672550000000002</v>
      </c>
      <c r="T4200">
        <v>-0.53399249999999998</v>
      </c>
      <c r="U4200">
        <v>-0.35209659999999998</v>
      </c>
      <c r="V4200">
        <v>1.077696E-2</v>
      </c>
      <c r="W4200">
        <v>-9.2608819999999994E-2</v>
      </c>
      <c r="X4200">
        <v>0.99564430000000004</v>
      </c>
      <c r="Y4200">
        <v>0.14417739999999901</v>
      </c>
      <c r="Z4200">
        <v>-1.869854E-2</v>
      </c>
      <c r="AA4200">
        <v>0.98937520000000001</v>
      </c>
      <c r="AB4200">
        <v>41</v>
      </c>
      <c r="AC4200">
        <v>0.609999999999985</v>
      </c>
      <c r="AD4200">
        <v>-0.157853199999999</v>
      </c>
      <c r="AE4200">
        <v>-0.111700000000013</v>
      </c>
      <c r="AF4200">
        <v>0.121739585224825</v>
      </c>
      <c r="AG4200">
        <v>-0.157853199999999</v>
      </c>
      <c r="AH4200">
        <v>0.56954150821902705</v>
      </c>
      <c r="AI4200">
        <v>105.164877030827</v>
      </c>
      <c r="AJ4200">
        <v>77.934584309640798</v>
      </c>
      <c r="AK4200">
        <v>0.60341999382300604</v>
      </c>
      <c r="AL4200">
        <v>95.313708190172093</v>
      </c>
      <c r="AM4200">
        <v>89.379848595545894</v>
      </c>
      <c r="AN4200">
        <v>1.00000005426556</v>
      </c>
    </row>
    <row r="4201" spans="1:40" x14ac:dyDescent="0.25">
      <c r="A4201" t="str">
        <f>"20190305135017236"</f>
        <v>20190305135017236</v>
      </c>
      <c r="B4201" t="str">
        <f>"1551765017224987"</f>
        <v>1551765017224987</v>
      </c>
      <c r="C4201" t="s">
        <v>40</v>
      </c>
      <c r="D4201">
        <v>3.9501080000000002</v>
      </c>
      <c r="E4201">
        <v>0.55084060000000001</v>
      </c>
      <c r="F4201" t="s">
        <v>41</v>
      </c>
      <c r="G4201">
        <v>-228.5951</v>
      </c>
      <c r="H4201">
        <v>0.93164400000000003</v>
      </c>
      <c r="I4201">
        <v>214.55930000000001</v>
      </c>
      <c r="J4201">
        <v>-229.1508</v>
      </c>
      <c r="K4201">
        <v>1.108487</v>
      </c>
      <c r="L4201">
        <v>214.68860000000001</v>
      </c>
      <c r="M4201">
        <v>0.99949379999999999</v>
      </c>
      <c r="N4201">
        <v>-1.434062E-2</v>
      </c>
      <c r="O4201">
        <v>2.8406399999999998E-2</v>
      </c>
      <c r="P4201">
        <v>0.99417610000000001</v>
      </c>
      <c r="Q4201">
        <v>-0.10643279999999999</v>
      </c>
      <c r="R4201">
        <v>1.6918510000000001E-2</v>
      </c>
      <c r="S4201">
        <v>2.9663240000000002</v>
      </c>
      <c r="T4201">
        <v>-0.54027320000000001</v>
      </c>
      <c r="U4201">
        <v>-0.35977170000000003</v>
      </c>
      <c r="V4201">
        <v>1.111529E-2</v>
      </c>
      <c r="W4201">
        <v>-9.2189999999999994E-2</v>
      </c>
      <c r="X4201">
        <v>0.99567939999999999</v>
      </c>
      <c r="Y4201">
        <v>0.14561170000000001</v>
      </c>
      <c r="Z4201">
        <v>-1.8874740000000001E-2</v>
      </c>
      <c r="AA4201">
        <v>0.98916170000000003</v>
      </c>
      <c r="AB4201">
        <v>41</v>
      </c>
      <c r="AC4201">
        <v>0.55570000000000097</v>
      </c>
      <c r="AD4201">
        <v>-0.176842999999999</v>
      </c>
      <c r="AE4201">
        <v>-0.1293</v>
      </c>
      <c r="AF4201">
        <v>0.132322392721128</v>
      </c>
      <c r="AG4201">
        <v>-0.176842999999999</v>
      </c>
      <c r="AH4201">
        <v>0.50343625983076601</v>
      </c>
      <c r="AI4201">
        <v>108.764308277496</v>
      </c>
      <c r="AJ4201">
        <v>75.273557363029994</v>
      </c>
      <c r="AK4201">
        <v>0.54975515457049995</v>
      </c>
      <c r="AL4201">
        <v>95.289608727361099</v>
      </c>
      <c r="AM4201">
        <v>89.360403809691306</v>
      </c>
      <c r="AN4201">
        <v>1.0000000066780701</v>
      </c>
    </row>
    <row r="4202" spans="1:40" x14ac:dyDescent="0.25">
      <c r="A4202" t="str">
        <f>"20190305135017260"</f>
        <v>20190305135017260</v>
      </c>
      <c r="B4202" t="str">
        <f>"1551765017254267"</f>
        <v>1551765017254267</v>
      </c>
      <c r="C4202" t="s">
        <v>40</v>
      </c>
      <c r="D4202">
        <v>3.957319</v>
      </c>
      <c r="E4202">
        <v>0.55239309999999997</v>
      </c>
      <c r="F4202" t="s">
        <v>41</v>
      </c>
      <c r="G4202">
        <v>-228.2253</v>
      </c>
      <c r="H4202">
        <v>0.93408389999999997</v>
      </c>
      <c r="I4202">
        <v>214.57579999999999</v>
      </c>
      <c r="J4202">
        <v>-228.72900000000001</v>
      </c>
      <c r="K4202">
        <v>1.1084369999999999</v>
      </c>
      <c r="L4202">
        <v>214.6996</v>
      </c>
      <c r="M4202">
        <v>0.99952439999999998</v>
      </c>
      <c r="N4202">
        <v>-1.4338170000000001E-2</v>
      </c>
      <c r="O4202">
        <v>2.7303879999999999E-2</v>
      </c>
      <c r="P4202">
        <v>0.9942512</v>
      </c>
      <c r="Q4202">
        <v>-0.10593</v>
      </c>
      <c r="R4202">
        <v>1.561239E-2</v>
      </c>
      <c r="S4202">
        <v>2.9638979999999999</v>
      </c>
      <c r="T4202">
        <v>-0.55856759999999905</v>
      </c>
      <c r="U4202">
        <v>-0.36100769999999999</v>
      </c>
      <c r="V4202">
        <v>1.13139E-2</v>
      </c>
      <c r="W4202">
        <v>-9.1691099999999998E-2</v>
      </c>
      <c r="X4202">
        <v>0.99572320000000003</v>
      </c>
      <c r="Y4202">
        <v>0.14485300000000001</v>
      </c>
      <c r="Z4202">
        <v>-1.9230830000000001E-2</v>
      </c>
      <c r="AA4202">
        <v>0.98926630000000004</v>
      </c>
      <c r="AB4202">
        <v>41</v>
      </c>
      <c r="AC4202">
        <v>0.50370000000000903</v>
      </c>
      <c r="AD4202">
        <v>-0.17435310000000001</v>
      </c>
      <c r="AE4202">
        <v>-0.12380000000001699</v>
      </c>
      <c r="AF4202">
        <v>0.123548405410631</v>
      </c>
      <c r="AG4202">
        <v>-0.17435310000000001</v>
      </c>
      <c r="AH4202">
        <v>0.44935833942480302</v>
      </c>
      <c r="AI4202">
        <v>110.511902342894</v>
      </c>
      <c r="AJ4202">
        <v>74.626728671708705</v>
      </c>
      <c r="AK4202">
        <v>0.49758027409628702</v>
      </c>
      <c r="AL4202">
        <v>95.260902435376806</v>
      </c>
      <c r="AM4202">
        <v>89.349004999822498</v>
      </c>
      <c r="AN4202">
        <v>0.99999997658532902</v>
      </c>
    </row>
    <row r="4203" spans="1:40" x14ac:dyDescent="0.25">
      <c r="A4203" t="str">
        <f>"20190305135017277"</f>
        <v>20190305135017277</v>
      </c>
      <c r="B4203" t="str">
        <f>"1551765017274763"</f>
        <v>1551765017274763</v>
      </c>
      <c r="C4203" t="s">
        <v>40</v>
      </c>
      <c r="D4203">
        <v>3.9571000000000001</v>
      </c>
      <c r="E4203">
        <v>0.55235489999999998</v>
      </c>
      <c r="F4203" t="s">
        <v>41</v>
      </c>
      <c r="G4203">
        <v>-227.8519</v>
      </c>
      <c r="H4203">
        <v>0.94431100000000001</v>
      </c>
      <c r="I4203">
        <v>214.58779999999999</v>
      </c>
      <c r="J4203">
        <v>-228.39590000000001</v>
      </c>
      <c r="K4203">
        <v>1.108398</v>
      </c>
      <c r="L4203">
        <v>214.708</v>
      </c>
      <c r="M4203">
        <v>0.99954810000000005</v>
      </c>
      <c r="N4203">
        <v>-1.433623E-2</v>
      </c>
      <c r="O4203">
        <v>2.6420760000000001E-2</v>
      </c>
      <c r="P4203">
        <v>0.9943343</v>
      </c>
      <c r="Q4203">
        <v>-0.10530340000000001</v>
      </c>
      <c r="R4203">
        <v>1.4513939999999999E-2</v>
      </c>
      <c r="S4203">
        <v>2.964188</v>
      </c>
      <c r="T4203">
        <v>-0.55469619999999997</v>
      </c>
      <c r="U4203">
        <v>-0.37744139999999998</v>
      </c>
      <c r="V4203">
        <v>1.152866E-2</v>
      </c>
      <c r="W4203">
        <v>-9.1067250000000002E-2</v>
      </c>
      <c r="X4203">
        <v>0.99577800000000005</v>
      </c>
      <c r="Y4203">
        <v>0.14934169999999999</v>
      </c>
      <c r="Z4203">
        <v>-1.939331E-2</v>
      </c>
      <c r="AA4203">
        <v>0.98859540000000001</v>
      </c>
      <c r="AB4203">
        <v>41</v>
      </c>
      <c r="AC4203">
        <v>0.54400000000001103</v>
      </c>
      <c r="AD4203">
        <v>-0.16408699999999901</v>
      </c>
      <c r="AE4203">
        <v>-0.12020000000001101</v>
      </c>
      <c r="AF4203">
        <v>0.123793797008871</v>
      </c>
      <c r="AG4203">
        <v>-0.16408699999999901</v>
      </c>
      <c r="AH4203">
        <v>0.497479634904884</v>
      </c>
      <c r="AI4203">
        <v>107.748597954012</v>
      </c>
      <c r="AJ4203">
        <v>76.026222471798405</v>
      </c>
      <c r="AK4203">
        <v>0.53827078212733204</v>
      </c>
      <c r="AL4203">
        <v>95.225008218430403</v>
      </c>
      <c r="AM4203">
        <v>89.336685435055401</v>
      </c>
      <c r="AN4203">
        <v>0.99999998965397896</v>
      </c>
    </row>
    <row r="4204" spans="1:40" x14ac:dyDescent="0.25">
      <c r="A4204" t="str">
        <f>"20190305135017292"</f>
        <v>20190305135017292</v>
      </c>
      <c r="B4204" t="str">
        <f>"1551765017284523"</f>
        <v>1551765017284523</v>
      </c>
      <c r="C4204" t="s">
        <v>40</v>
      </c>
      <c r="D4204">
        <v>3.9299300000000001</v>
      </c>
      <c r="E4204">
        <v>0.55258079999999998</v>
      </c>
      <c r="F4204" t="s">
        <v>41</v>
      </c>
      <c r="G4204">
        <v>-227.48679999999999</v>
      </c>
      <c r="H4204">
        <v>0.93611290000000003</v>
      </c>
      <c r="I4204">
        <v>214.59129999999999</v>
      </c>
      <c r="J4204">
        <v>-228.11930000000001</v>
      </c>
      <c r="K4204">
        <v>1.1083730000000001</v>
      </c>
      <c r="L4204">
        <v>214.7148</v>
      </c>
      <c r="M4204">
        <v>0.99956730000000005</v>
      </c>
      <c r="N4204">
        <v>-1.4334680000000001E-2</v>
      </c>
      <c r="O4204">
        <v>2.5682219999999999E-2</v>
      </c>
      <c r="P4204">
        <v>0.99443979999999998</v>
      </c>
      <c r="Q4204">
        <v>-0.1044543</v>
      </c>
      <c r="R4204">
        <v>1.3371569999999999E-2</v>
      </c>
      <c r="S4204">
        <v>2.9631500000000002</v>
      </c>
      <c r="T4204">
        <v>-0.56158649999999999</v>
      </c>
      <c r="U4204">
        <v>-0.38053890000000001</v>
      </c>
      <c r="V4204">
        <v>1.1934810000000001E-2</v>
      </c>
      <c r="W4204">
        <v>-9.022049E-2</v>
      </c>
      <c r="X4204">
        <v>0.99585029999999997</v>
      </c>
      <c r="Y4204">
        <v>0.14960000000000001</v>
      </c>
      <c r="Z4204">
        <v>-1.9525230000000001E-2</v>
      </c>
      <c r="AA4204">
        <v>0.98855380000000004</v>
      </c>
      <c r="AB4204">
        <v>41</v>
      </c>
      <c r="AC4204">
        <v>0.63250000000002105</v>
      </c>
      <c r="AD4204">
        <v>-0.172260099999999</v>
      </c>
      <c r="AE4204">
        <v>-0.12350000000000699</v>
      </c>
      <c r="AF4204">
        <v>0.13038873416313701</v>
      </c>
      <c r="AG4204">
        <v>-0.172260099999999</v>
      </c>
      <c r="AH4204">
        <v>0.58716655479579805</v>
      </c>
      <c r="AI4204">
        <v>105.98164061885799</v>
      </c>
      <c r="AJ4204">
        <v>77.479814665158202</v>
      </c>
      <c r="AK4204">
        <v>0.62565112252711796</v>
      </c>
      <c r="AL4204">
        <v>95.176291850484006</v>
      </c>
      <c r="AM4204">
        <v>89.313369181557405</v>
      </c>
      <c r="AN4204">
        <v>0.99999999825783303</v>
      </c>
    </row>
    <row r="4205" spans="1:40" x14ac:dyDescent="0.25">
      <c r="A4205" t="str">
        <f>"20190305135017314"</f>
        <v>20190305135017314</v>
      </c>
      <c r="B4205" t="str">
        <f>"1551765017304043"</f>
        <v>1551765017304043</v>
      </c>
      <c r="C4205" t="s">
        <v>40</v>
      </c>
      <c r="D4205">
        <v>3.889929</v>
      </c>
      <c r="E4205">
        <v>0.55218990000000001</v>
      </c>
      <c r="F4205" t="s">
        <v>41</v>
      </c>
      <c r="G4205">
        <v>-227.12450000000001</v>
      </c>
      <c r="H4205">
        <v>0.92099750000000002</v>
      </c>
      <c r="I4205">
        <v>214.58510000000001</v>
      </c>
      <c r="J4205">
        <v>-227.7071</v>
      </c>
      <c r="K4205">
        <v>1.1083369999999999</v>
      </c>
      <c r="L4205">
        <v>214.7244</v>
      </c>
      <c r="M4205">
        <v>0.99959540000000002</v>
      </c>
      <c r="N4205">
        <v>-1.433238E-2</v>
      </c>
      <c r="O4205">
        <v>2.4574760000000001E-2</v>
      </c>
      <c r="P4205">
        <v>0.99450430000000001</v>
      </c>
      <c r="Q4205">
        <v>-0.1040504</v>
      </c>
      <c r="R4205">
        <v>1.1630450000000001E-2</v>
      </c>
      <c r="S4205">
        <v>2.963333</v>
      </c>
      <c r="T4205">
        <v>-0.55814980000000003</v>
      </c>
      <c r="U4205">
        <v>-0.38578800000000002</v>
      </c>
      <c r="V4205">
        <v>1.256905E-2</v>
      </c>
      <c r="W4205">
        <v>-8.9821070000000003E-2</v>
      </c>
      <c r="X4205">
        <v>0.99587859999999995</v>
      </c>
      <c r="Y4205">
        <v>0.15026289999999901</v>
      </c>
      <c r="Z4205">
        <v>-1.9284929999999999E-2</v>
      </c>
      <c r="AA4205">
        <v>0.98845799999999995</v>
      </c>
      <c r="AB4205">
        <v>41</v>
      </c>
      <c r="AC4205">
        <v>0.58259999999998502</v>
      </c>
      <c r="AD4205">
        <v>-0.18733949999999999</v>
      </c>
      <c r="AE4205">
        <v>-0.13929999999999099</v>
      </c>
      <c r="AF4205">
        <v>0.139893934009791</v>
      </c>
      <c r="AG4205">
        <v>-0.18733949999999999</v>
      </c>
      <c r="AH4205">
        <v>0.52741511178682698</v>
      </c>
      <c r="AI4205">
        <v>108.94893204427601</v>
      </c>
      <c r="AJ4205">
        <v>75.144686529993393</v>
      </c>
      <c r="AK4205">
        <v>0.57691689277927805</v>
      </c>
      <c r="AL4205">
        <v>95.153313488014106</v>
      </c>
      <c r="AM4205">
        <v>89.276904551342597</v>
      </c>
      <c r="AN4205">
        <v>0.99999999578590304</v>
      </c>
    </row>
    <row r="4206" spans="1:40" x14ac:dyDescent="0.25">
      <c r="A4206" t="str">
        <f>"20190305135017337"</f>
        <v>20190305135017337</v>
      </c>
      <c r="B4206" t="str">
        <f>"1551765017334299"</f>
        <v>1551765017334299</v>
      </c>
      <c r="C4206" t="s">
        <v>40</v>
      </c>
      <c r="D4206">
        <v>3.932734</v>
      </c>
      <c r="E4206">
        <v>0.55247060000000003</v>
      </c>
      <c r="F4206" t="s">
        <v>41</v>
      </c>
      <c r="G4206">
        <v>-226.7543</v>
      </c>
      <c r="H4206">
        <v>0.92711710000000003</v>
      </c>
      <c r="I4206">
        <v>214.59950000000001</v>
      </c>
      <c r="J4206">
        <v>-227.2988</v>
      </c>
      <c r="K4206">
        <v>1.1083069999999999</v>
      </c>
      <c r="L4206">
        <v>214.73349999999999</v>
      </c>
      <c r="M4206">
        <v>0.99962169999999895</v>
      </c>
      <c r="N4206">
        <v>-1.4330020000000001E-2</v>
      </c>
      <c r="O4206">
        <v>2.347608E-2</v>
      </c>
      <c r="P4206">
        <v>0.99458299999999999</v>
      </c>
      <c r="Q4206">
        <v>-0.1034479</v>
      </c>
      <c r="R4206">
        <v>1.0191199999999999E-2</v>
      </c>
      <c r="S4206">
        <v>2.9621729999999999</v>
      </c>
      <c r="T4206">
        <v>-0.56344179999999999</v>
      </c>
      <c r="U4206">
        <v>-0.38810729999999999</v>
      </c>
      <c r="V4206">
        <v>1.291256E-2</v>
      </c>
      <c r="W4206">
        <v>-8.9221899999999896E-2</v>
      </c>
      <c r="X4206">
        <v>0.99592800000000004</v>
      </c>
      <c r="Y4206">
        <v>0.14994939999999901</v>
      </c>
      <c r="Z4206">
        <v>-1.924157E-2</v>
      </c>
      <c r="AA4206">
        <v>0.98850640000000001</v>
      </c>
      <c r="AB4206">
        <v>41</v>
      </c>
      <c r="AC4206">
        <v>0.54449999999999898</v>
      </c>
      <c r="AD4206">
        <v>-0.18118989999999899</v>
      </c>
      <c r="AE4206">
        <v>-0.13399999999998599</v>
      </c>
      <c r="AF4206">
        <v>0.13287394632237601</v>
      </c>
      <c r="AG4206">
        <v>-0.18118989999999899</v>
      </c>
      <c r="AH4206">
        <v>0.490039550422468</v>
      </c>
      <c r="AI4206">
        <v>109.639428846749</v>
      </c>
      <c r="AJ4206">
        <v>74.829059793145504</v>
      </c>
      <c r="AK4206">
        <v>0.53909556337586895</v>
      </c>
      <c r="AL4206">
        <v>95.118845511514607</v>
      </c>
      <c r="AM4206">
        <v>89.257181503730493</v>
      </c>
      <c r="AN4206">
        <v>0.99999993141467902</v>
      </c>
    </row>
    <row r="4207" spans="1:40" x14ac:dyDescent="0.25">
      <c r="A4207" t="str">
        <f>"20190305135017359"</f>
        <v>20190305135017359</v>
      </c>
      <c r="B4207" t="str">
        <f>"1551765017354798"</f>
        <v>1551765017354798</v>
      </c>
      <c r="C4207" t="s">
        <v>40</v>
      </c>
      <c r="D4207">
        <v>3.9273720000000001</v>
      </c>
      <c r="E4207">
        <v>0.55261019999999905</v>
      </c>
      <c r="F4207" t="s">
        <v>41</v>
      </c>
      <c r="G4207">
        <v>-226.38310000000001</v>
      </c>
      <c r="H4207">
        <v>0.93511149999999998</v>
      </c>
      <c r="I4207">
        <v>214.6114</v>
      </c>
      <c r="J4207">
        <v>-226.8811</v>
      </c>
      <c r="K4207">
        <v>1.108285</v>
      </c>
      <c r="L4207">
        <v>214.7424</v>
      </c>
      <c r="M4207">
        <v>0.99964759999999997</v>
      </c>
      <c r="N4207">
        <v>-1.4327629999999999E-2</v>
      </c>
      <c r="O4207">
        <v>2.2350910000000002E-2</v>
      </c>
      <c r="P4207">
        <v>0.99463190000000001</v>
      </c>
      <c r="Q4207">
        <v>-0.1031101</v>
      </c>
      <c r="R4207">
        <v>8.7240640000000001E-3</v>
      </c>
      <c r="S4207">
        <v>2.9621119999999999</v>
      </c>
      <c r="T4207">
        <v>-0.56025899999999995</v>
      </c>
      <c r="U4207">
        <v>-0.39463809999999999</v>
      </c>
      <c r="V4207">
        <v>1.3257430000000001E-2</v>
      </c>
      <c r="W4207">
        <v>-8.8887820000000006E-2</v>
      </c>
      <c r="X4207">
        <v>0.99595339999999999</v>
      </c>
      <c r="Y4207">
        <v>0.15101439999999999</v>
      </c>
      <c r="Z4207">
        <v>-1.9049610000000002E-2</v>
      </c>
      <c r="AA4207">
        <v>0.988348</v>
      </c>
      <c r="AB4207">
        <v>41</v>
      </c>
      <c r="AC4207">
        <v>0.49799999999999001</v>
      </c>
      <c r="AD4207">
        <v>-0.17317349999999901</v>
      </c>
      <c r="AE4207">
        <v>-0.13100000000000001</v>
      </c>
      <c r="AF4207">
        <v>0.12766120965817401</v>
      </c>
      <c r="AG4207">
        <v>-0.17317349999999901</v>
      </c>
      <c r="AH4207">
        <v>0.44465829075159502</v>
      </c>
      <c r="AI4207">
        <v>110.522437180119</v>
      </c>
      <c r="AJ4207">
        <v>73.981249632928893</v>
      </c>
      <c r="AK4207">
        <v>0.493971093372647</v>
      </c>
      <c r="AL4207">
        <v>95.099627481782505</v>
      </c>
      <c r="AM4207">
        <v>89.2373639905136</v>
      </c>
      <c r="AN4207">
        <v>0.99999998948305802</v>
      </c>
    </row>
    <row r="4208" spans="1:40" x14ac:dyDescent="0.25">
      <c r="A4208" t="str">
        <f>"20190305135017382"</f>
        <v>20190305135017382</v>
      </c>
      <c r="B4208" t="str">
        <f>"1551765017374318"</f>
        <v>1551765017374318</v>
      </c>
      <c r="C4208" t="s">
        <v>40</v>
      </c>
      <c r="D4208">
        <v>3.9405100000000002</v>
      </c>
      <c r="E4208">
        <v>0.55266680000000001</v>
      </c>
      <c r="F4208" t="s">
        <v>41</v>
      </c>
      <c r="G4208">
        <v>-226.01150000000001</v>
      </c>
      <c r="H4208">
        <v>0.94452990000000003</v>
      </c>
      <c r="I4208">
        <v>214.625</v>
      </c>
      <c r="J4208">
        <v>-226.47739999999999</v>
      </c>
      <c r="K4208">
        <v>1.1082700000000001</v>
      </c>
      <c r="L4208">
        <v>214.75040000000001</v>
      </c>
      <c r="M4208">
        <v>0.99967130000000004</v>
      </c>
      <c r="N4208">
        <v>-1.43254E-2</v>
      </c>
      <c r="O4208">
        <v>2.1263870000000001E-2</v>
      </c>
      <c r="P4208">
        <v>0.99474700000000005</v>
      </c>
      <c r="Q4208">
        <v>-0.10215639999999999</v>
      </c>
      <c r="R4208">
        <v>6.5259139999999998E-3</v>
      </c>
      <c r="S4208">
        <v>2.961884</v>
      </c>
      <c r="T4208">
        <v>-0.55775069999999904</v>
      </c>
      <c r="U4208">
        <v>-0.3998871</v>
      </c>
      <c r="V4208">
        <v>1.4375290000000001E-2</v>
      </c>
      <c r="W4208">
        <v>-8.793898E-2</v>
      </c>
      <c r="X4208">
        <v>0.99602210000000002</v>
      </c>
      <c r="Y4208">
        <v>0.15170169999999999</v>
      </c>
      <c r="Z4208">
        <v>-1.8850550000000001E-2</v>
      </c>
      <c r="AA4208">
        <v>0.98824659999999998</v>
      </c>
      <c r="AB4208">
        <v>41</v>
      </c>
      <c r="AC4208">
        <v>0.465899999999976</v>
      </c>
      <c r="AD4208">
        <v>-0.1637401</v>
      </c>
      <c r="AE4208">
        <v>-0.125400000000013</v>
      </c>
      <c r="AF4208">
        <v>0.121308111006113</v>
      </c>
      <c r="AG4208">
        <v>-0.1637401</v>
      </c>
      <c r="AH4208">
        <v>0.41529699609631598</v>
      </c>
      <c r="AI4208">
        <v>110.72951560291099</v>
      </c>
      <c r="AJ4208">
        <v>73.716934309273697</v>
      </c>
      <c r="AK4208">
        <v>0.46259925757669002</v>
      </c>
      <c r="AL4208">
        <v>95.045049322440804</v>
      </c>
      <c r="AM4208">
        <v>89.173124507657207</v>
      </c>
      <c r="AN4208">
        <v>0.99999996842721595</v>
      </c>
    </row>
    <row r="4209" spans="1:40" x14ac:dyDescent="0.25">
      <c r="A4209" t="str">
        <f>"20190305135017415"</f>
        <v>20190305135017415</v>
      </c>
      <c r="B4209" t="str">
        <f>"1551765017404576"</f>
        <v>1551765017404576</v>
      </c>
      <c r="C4209" t="s">
        <v>40</v>
      </c>
      <c r="D4209">
        <v>4.0184530000000001</v>
      </c>
      <c r="E4209">
        <v>0.55258699999999905</v>
      </c>
      <c r="F4209" t="s">
        <v>41</v>
      </c>
      <c r="G4209">
        <v>-225.64109999999999</v>
      </c>
      <c r="H4209">
        <v>0.95169269999999995</v>
      </c>
      <c r="I4209">
        <v>214.63550000000001</v>
      </c>
      <c r="J4209">
        <v>-225.8604</v>
      </c>
      <c r="K4209">
        <v>1.1082459999999901</v>
      </c>
      <c r="L4209">
        <v>214.7619</v>
      </c>
      <c r="M4209">
        <v>0.99970539999999997</v>
      </c>
      <c r="N4209">
        <v>-1.4322059999999999E-2</v>
      </c>
      <c r="O4209">
        <v>1.960278E-2</v>
      </c>
      <c r="P4209">
        <v>0.99482839999999995</v>
      </c>
      <c r="Q4209">
        <v>-0.10148450000000001</v>
      </c>
      <c r="R4209">
        <v>4.205131E-3</v>
      </c>
      <c r="S4209">
        <v>2.9615779999999998</v>
      </c>
      <c r="T4209">
        <v>-0.55454519999999996</v>
      </c>
      <c r="U4209">
        <v>-0.4065704</v>
      </c>
      <c r="V4209">
        <v>1.504248E-2</v>
      </c>
      <c r="W4209">
        <v>-8.7272260000000004E-2</v>
      </c>
      <c r="X4209">
        <v>0.99607089999999998</v>
      </c>
      <c r="Y4209">
        <v>0.15231169999999999</v>
      </c>
      <c r="Z4209">
        <v>-1.8524769999999999E-2</v>
      </c>
      <c r="AA4209">
        <v>0.98815889999999995</v>
      </c>
      <c r="AB4209">
        <v>41</v>
      </c>
      <c r="AC4209">
        <v>0.21930000000000399</v>
      </c>
      <c r="AD4209">
        <v>-0.15655329999999901</v>
      </c>
      <c r="AE4209">
        <v>-0.12639999999998899</v>
      </c>
      <c r="AF4209">
        <v>9.4518292173807597E-2</v>
      </c>
      <c r="AG4209">
        <v>-0.15655329999999901</v>
      </c>
      <c r="AH4209">
        <v>0.156798556331112</v>
      </c>
      <c r="AI4209">
        <v>130.533529938719</v>
      </c>
      <c r="AJ4209">
        <v>58.918394462512502</v>
      </c>
      <c r="AK4209">
        <v>0.24089091008974201</v>
      </c>
      <c r="AL4209">
        <v>95.006701579018895</v>
      </c>
      <c r="AM4209">
        <v>89.134795419108301</v>
      </c>
      <c r="AN4209">
        <v>0.99999998069843299</v>
      </c>
    </row>
    <row r="4210" spans="1:40" x14ac:dyDescent="0.25">
      <c r="A4210" t="str">
        <f>"20190305135017437"</f>
        <v>20190305135017437</v>
      </c>
      <c r="B4210" t="str">
        <f>"1551765017434829"</f>
        <v>1551765017434829</v>
      </c>
      <c r="C4210" t="s">
        <v>40</v>
      </c>
      <c r="D4210">
        <v>3.991168</v>
      </c>
      <c r="E4210">
        <v>0.55357789999999996</v>
      </c>
      <c r="F4210" t="s">
        <v>41</v>
      </c>
      <c r="G4210">
        <v>-224.91659999999999</v>
      </c>
      <c r="H4210">
        <v>0.93047670000000005</v>
      </c>
      <c r="I4210">
        <v>214.63</v>
      </c>
      <c r="J4210">
        <v>-225.45310000000001</v>
      </c>
      <c r="K4210">
        <v>1.1082369999999999</v>
      </c>
      <c r="L4210">
        <v>214.76900000000001</v>
      </c>
      <c r="M4210">
        <v>0.99972620000000001</v>
      </c>
      <c r="N4210">
        <v>-1.431991E-2</v>
      </c>
      <c r="O4210">
        <v>1.8505540000000001E-2</v>
      </c>
      <c r="P4210">
        <v>0.99475880000000005</v>
      </c>
      <c r="Q4210">
        <v>-0.10220220000000001</v>
      </c>
      <c r="R4210">
        <v>3.082755E-3</v>
      </c>
      <c r="S4210">
        <v>2.96048</v>
      </c>
      <c r="T4210">
        <v>-0.55764809999999998</v>
      </c>
      <c r="U4210">
        <v>-0.41340640000000001</v>
      </c>
      <c r="V4210">
        <v>1.5067830000000001E-2</v>
      </c>
      <c r="W4210">
        <v>-8.7993520000000006E-2</v>
      </c>
      <c r="X4210">
        <v>0.99600710000000003</v>
      </c>
      <c r="Y4210">
        <v>0.15347549999999999</v>
      </c>
      <c r="Z4210">
        <v>-1.855414E-2</v>
      </c>
      <c r="AA4210">
        <v>0.98797829999999998</v>
      </c>
      <c r="AB4210">
        <v>41</v>
      </c>
      <c r="AC4210">
        <v>0.53650000000001796</v>
      </c>
      <c r="AD4210">
        <v>-0.17776030000000001</v>
      </c>
      <c r="AE4210">
        <v>-0.13900000000001</v>
      </c>
      <c r="AF4210">
        <v>0.135015560371685</v>
      </c>
      <c r="AG4210">
        <v>-0.17776030000000001</v>
      </c>
      <c r="AH4210">
        <v>0.48403948776473399</v>
      </c>
      <c r="AI4210">
        <v>109.480714292804</v>
      </c>
      <c r="AJ4210">
        <v>74.414352365311402</v>
      </c>
      <c r="AK4210">
        <v>0.53303109807413296</v>
      </c>
      <c r="AL4210">
        <v>95.048186128478605</v>
      </c>
      <c r="AM4210">
        <v>89.133282068557506</v>
      </c>
      <c r="AN4210">
        <v>1.00000002115665</v>
      </c>
    </row>
    <row r="4211" spans="1:40" x14ac:dyDescent="0.25">
      <c r="A4211" t="str">
        <f>"20190305135017461"</f>
        <v>20190305135017461</v>
      </c>
      <c r="B4211" t="str">
        <f>"1551765017454347"</f>
        <v>1551765017454347</v>
      </c>
      <c r="C4211" t="s">
        <v>40</v>
      </c>
      <c r="D4211">
        <v>3.9967259999999998</v>
      </c>
      <c r="E4211">
        <v>0.55400550000000004</v>
      </c>
      <c r="F4211" t="s">
        <v>41</v>
      </c>
      <c r="G4211">
        <v>-224.5488</v>
      </c>
      <c r="H4211">
        <v>0.93397609999999998</v>
      </c>
      <c r="I4211">
        <v>214.63890000000001</v>
      </c>
      <c r="J4211">
        <v>-225.02780000000001</v>
      </c>
      <c r="K4211">
        <v>1.108233</v>
      </c>
      <c r="L4211">
        <v>214.7758</v>
      </c>
      <c r="M4211">
        <v>0.99974689999999999</v>
      </c>
      <c r="N4211">
        <v>-1.4317649999999999E-2</v>
      </c>
      <c r="O4211">
        <v>1.7358760000000001E-2</v>
      </c>
      <c r="P4211">
        <v>0.99461849999999996</v>
      </c>
      <c r="Q4211">
        <v>-0.1035823</v>
      </c>
      <c r="R4211">
        <v>2.1681550000000002E-3</v>
      </c>
      <c r="S4211">
        <v>2.9585569999999999</v>
      </c>
      <c r="T4211">
        <v>-0.57008099999999995</v>
      </c>
      <c r="U4211">
        <v>-0.42546079999999997</v>
      </c>
      <c r="V4211">
        <v>1.483375E-2</v>
      </c>
      <c r="W4211">
        <v>-8.9377209999999999E-2</v>
      </c>
      <c r="X4211">
        <v>0.99588739999999998</v>
      </c>
      <c r="Y4211">
        <v>0.1562026</v>
      </c>
      <c r="Z4211">
        <v>-1.902618E-2</v>
      </c>
      <c r="AA4211">
        <v>0.98754180000000003</v>
      </c>
      <c r="AB4211">
        <v>41</v>
      </c>
      <c r="AC4211">
        <v>0.47900000000001303</v>
      </c>
      <c r="AD4211">
        <v>-0.17425689999999899</v>
      </c>
      <c r="AE4211">
        <v>-0.136899999999997</v>
      </c>
      <c r="AF4211">
        <v>0.12936686125571401</v>
      </c>
      <c r="AG4211">
        <v>-0.17425689999999899</v>
      </c>
      <c r="AH4211">
        <v>0.42460070266899502</v>
      </c>
      <c r="AI4211">
        <v>111.43420141772</v>
      </c>
      <c r="AJ4211">
        <v>73.055129210272597</v>
      </c>
      <c r="AK4211">
        <v>0.47685113892678199</v>
      </c>
      <c r="AL4211">
        <v>95.127779360229894</v>
      </c>
      <c r="AM4211">
        <v>89.146642056526403</v>
      </c>
      <c r="AN4211">
        <v>1.0000000196426</v>
      </c>
    </row>
    <row r="4212" spans="1:40" x14ac:dyDescent="0.25">
      <c r="A4212" t="str">
        <f>"20190305135017482"</f>
        <v>20190305135017482</v>
      </c>
      <c r="B4212" t="str">
        <f>"1551765017474843"</f>
        <v>1551765017474843</v>
      </c>
      <c r="C4212" t="s">
        <v>40</v>
      </c>
      <c r="D4212">
        <v>4.0263580000000001</v>
      </c>
      <c r="E4212">
        <v>0.55426109999999995</v>
      </c>
      <c r="F4212" t="s">
        <v>41</v>
      </c>
      <c r="G4212">
        <v>-224.17949999999999</v>
      </c>
      <c r="H4212">
        <v>0.9416293</v>
      </c>
      <c r="I4212">
        <v>214.65170000000001</v>
      </c>
      <c r="J4212">
        <v>-224.62459999999999</v>
      </c>
      <c r="K4212">
        <v>1.1082369999999999</v>
      </c>
      <c r="L4212">
        <v>214.78190000000001</v>
      </c>
      <c r="M4212">
        <v>0.99976520000000002</v>
      </c>
      <c r="N4212">
        <v>-1.431555E-2</v>
      </c>
      <c r="O4212">
        <v>1.6270730000000001E-2</v>
      </c>
      <c r="P4212">
        <v>0.99456169999999999</v>
      </c>
      <c r="Q4212">
        <v>-0.1041424</v>
      </c>
      <c r="R4212">
        <v>1.1837659999999999E-3</v>
      </c>
      <c r="S4212">
        <v>2.956696</v>
      </c>
      <c r="T4212">
        <v>-0.5807078</v>
      </c>
      <c r="U4212">
        <v>-0.43188480000000001</v>
      </c>
      <c r="V4212">
        <v>1.4732139999999999E-2</v>
      </c>
      <c r="W4212">
        <v>-8.9939939999999996E-2</v>
      </c>
      <c r="X4212">
        <v>0.99583820000000001</v>
      </c>
      <c r="Y4212">
        <v>0.1571921</v>
      </c>
      <c r="Z4212">
        <v>-1.9274759999999998E-2</v>
      </c>
      <c r="AA4212">
        <v>0.98737989999999998</v>
      </c>
      <c r="AB4212">
        <v>41</v>
      </c>
      <c r="AC4212">
        <v>0.445099999999996</v>
      </c>
      <c r="AD4212">
        <v>-0.1666077</v>
      </c>
      <c r="AE4212">
        <v>-0.13020000000000201</v>
      </c>
      <c r="AF4212">
        <v>0.121715977709039</v>
      </c>
      <c r="AG4212">
        <v>-0.1666077</v>
      </c>
      <c r="AH4212">
        <v>0.39229031020990601</v>
      </c>
      <c r="AI4212">
        <v>112.07891092378701</v>
      </c>
      <c r="AJ4212">
        <v>72.762442923577296</v>
      </c>
      <c r="AK4212">
        <v>0.443243265502751</v>
      </c>
      <c r="AL4212">
        <v>95.1601520247754</v>
      </c>
      <c r="AM4212">
        <v>89.152444768755103</v>
      </c>
      <c r="AN4212">
        <v>0.99999997466771096</v>
      </c>
    </row>
    <row r="4213" spans="1:40" x14ac:dyDescent="0.25">
      <c r="A4213" t="str">
        <f>"20190305135017505"</f>
        <v>20190305135017505</v>
      </c>
      <c r="B4213" t="str">
        <f>"1551765017494364"</f>
        <v>1551765017494364</v>
      </c>
      <c r="C4213" t="s">
        <v>40</v>
      </c>
      <c r="D4213">
        <v>4.0363480000000003</v>
      </c>
      <c r="E4213">
        <v>0.55446700000000004</v>
      </c>
      <c r="F4213" t="s">
        <v>41</v>
      </c>
      <c r="G4213">
        <v>-223.8117</v>
      </c>
      <c r="H4213">
        <v>0.94636509999999996</v>
      </c>
      <c r="I4213">
        <v>214.66149999999999</v>
      </c>
      <c r="J4213">
        <v>-224.2193</v>
      </c>
      <c r="K4213">
        <v>1.108241</v>
      </c>
      <c r="L4213">
        <v>214.78749999999999</v>
      </c>
      <c r="M4213">
        <v>0.99978239999999996</v>
      </c>
      <c r="N4213">
        <v>-1.43134E-2</v>
      </c>
      <c r="O4213">
        <v>1.517695E-2</v>
      </c>
      <c r="P4213">
        <v>0.99457169999999895</v>
      </c>
      <c r="Q4213">
        <v>-0.1040526</v>
      </c>
      <c r="R4213">
        <v>3.7596469999999998E-4</v>
      </c>
      <c r="S4213">
        <v>2.9553219999999998</v>
      </c>
      <c r="T4213">
        <v>-0.5885205</v>
      </c>
      <c r="U4213">
        <v>-0.43724059999999998</v>
      </c>
      <c r="V4213">
        <v>1.445169E-2</v>
      </c>
      <c r="W4213">
        <v>-8.9851349999999996E-2</v>
      </c>
      <c r="X4213">
        <v>0.99585029999999997</v>
      </c>
      <c r="Y4213">
        <v>0.1578426</v>
      </c>
      <c r="Z4213">
        <v>-1.9392880000000001E-2</v>
      </c>
      <c r="AA4213">
        <v>0.98727390000000004</v>
      </c>
      <c r="AB4213">
        <v>41</v>
      </c>
      <c r="AC4213">
        <v>0.40760000000000202</v>
      </c>
      <c r="AD4213">
        <v>-0.16187589999999999</v>
      </c>
      <c r="AE4213">
        <v>-0.126000000000004</v>
      </c>
      <c r="AF4213">
        <v>0.115538603677212</v>
      </c>
      <c r="AG4213">
        <v>-0.16187589999999999</v>
      </c>
      <c r="AH4213">
        <v>0.35459141751923201</v>
      </c>
      <c r="AI4213">
        <v>113.463421438428</v>
      </c>
      <c r="AJ4213">
        <v>71.952532430889207</v>
      </c>
      <c r="AK4213">
        <v>0.40655632982255802</v>
      </c>
      <c r="AL4213">
        <v>95.155055590207795</v>
      </c>
      <c r="AM4213">
        <v>89.168587160796804</v>
      </c>
      <c r="AN4213">
        <v>0.99999996822538295</v>
      </c>
    </row>
    <row r="4214" spans="1:40" x14ac:dyDescent="0.25">
      <c r="A4214" t="str">
        <f>"20190305135017527"</f>
        <v>20190305135017527</v>
      </c>
      <c r="B4214" t="str">
        <f>"1551765017514859"</f>
        <v>1551765017514859</v>
      </c>
      <c r="C4214" t="s">
        <v>40</v>
      </c>
      <c r="D4214">
        <v>4.0525140000000004</v>
      </c>
      <c r="E4214">
        <v>0.5547358</v>
      </c>
      <c r="F4214" t="s">
        <v>41</v>
      </c>
      <c r="G4214">
        <v>-223.4436</v>
      </c>
      <c r="H4214">
        <v>0.95227300000000004</v>
      </c>
      <c r="I4214">
        <v>214.67140000000001</v>
      </c>
      <c r="J4214">
        <v>-223.8152</v>
      </c>
      <c r="K4214">
        <v>1.1082510000000001</v>
      </c>
      <c r="L4214">
        <v>214.7927</v>
      </c>
      <c r="M4214">
        <v>0.99979850000000003</v>
      </c>
      <c r="N4214">
        <v>-1.4311290000000001E-2</v>
      </c>
      <c r="O4214">
        <v>1.408527E-2</v>
      </c>
      <c r="P4214">
        <v>0.9946971</v>
      </c>
      <c r="Q4214">
        <v>-0.1028485</v>
      </c>
      <c r="R4214">
        <v>-4.6453949999999999E-4</v>
      </c>
      <c r="S4214">
        <v>2.9543910000000002</v>
      </c>
      <c r="T4214">
        <v>-0.59400069999999905</v>
      </c>
      <c r="U4214">
        <v>-0.44139099999999998</v>
      </c>
      <c r="V4214">
        <v>1.421124E-2</v>
      </c>
      <c r="W4214">
        <v>-8.8646939999999994E-2</v>
      </c>
      <c r="X4214">
        <v>0.99596169999999995</v>
      </c>
      <c r="Y4214">
        <v>0.15811500000000001</v>
      </c>
      <c r="Z4214">
        <v>-1.9393649999999998E-2</v>
      </c>
      <c r="AA4214">
        <v>0.98723019999999995</v>
      </c>
      <c r="AB4214">
        <v>41</v>
      </c>
      <c r="AC4214">
        <v>0.37159999999999999</v>
      </c>
      <c r="AD4214">
        <v>-0.15597800000000001</v>
      </c>
      <c r="AE4214">
        <v>-0.12129999999999</v>
      </c>
      <c r="AF4214">
        <v>0.109144412255957</v>
      </c>
      <c r="AG4214">
        <v>-0.15597800000000001</v>
      </c>
      <c r="AH4214">
        <v>0.31905404044674701</v>
      </c>
      <c r="AI4214">
        <v>114.823362897758</v>
      </c>
      <c r="AJ4214">
        <v>71.114821634105297</v>
      </c>
      <c r="AK4214">
        <v>0.37153347081533999</v>
      </c>
      <c r="AL4214">
        <v>95.085771456690296</v>
      </c>
      <c r="AM4214">
        <v>89.1825099095159</v>
      </c>
      <c r="AN4214">
        <v>0.99999997359029502</v>
      </c>
    </row>
    <row r="4215" spans="1:40" x14ac:dyDescent="0.25">
      <c r="A4215" t="str">
        <f>"20190305135017550"</f>
        <v>20190305135017550</v>
      </c>
      <c r="B4215" t="str">
        <f>"1551765017544139"</f>
        <v>1551765017544139</v>
      </c>
      <c r="C4215" t="s">
        <v>40</v>
      </c>
      <c r="D4215">
        <v>4.1084269999999998</v>
      </c>
      <c r="E4215">
        <v>0.55479529999999999</v>
      </c>
      <c r="F4215" t="s">
        <v>41</v>
      </c>
      <c r="G4215">
        <v>-223.0754</v>
      </c>
      <c r="H4215">
        <v>0.95884060000000004</v>
      </c>
      <c r="I4215">
        <v>214.68100000000001</v>
      </c>
      <c r="J4215">
        <v>-223.3991</v>
      </c>
      <c r="K4215">
        <v>1.1082529999999999</v>
      </c>
      <c r="L4215">
        <v>214.79759999999999</v>
      </c>
      <c r="M4215">
        <v>0.99981359999999997</v>
      </c>
      <c r="N4215">
        <v>-1.4308980000000001E-2</v>
      </c>
      <c r="O4215">
        <v>1.2960950000000001E-2</v>
      </c>
      <c r="P4215">
        <v>0.99482369999999998</v>
      </c>
      <c r="Q4215">
        <v>-0.1016006</v>
      </c>
      <c r="R4215">
        <v>-1.7781850000000001E-3</v>
      </c>
      <c r="S4215">
        <v>2.9541019999999998</v>
      </c>
      <c r="T4215">
        <v>-0.59666919999999901</v>
      </c>
      <c r="U4215">
        <v>-0.44602969999999997</v>
      </c>
      <c r="V4215">
        <v>1.441166E-2</v>
      </c>
      <c r="W4215">
        <v>-8.7400329999999998E-2</v>
      </c>
      <c r="X4215">
        <v>0.99606899999999998</v>
      </c>
      <c r="Y4215">
        <v>0.15851560000000001</v>
      </c>
      <c r="Z4215">
        <v>-1.93096E-2</v>
      </c>
      <c r="AA4215">
        <v>0.98716769999999998</v>
      </c>
      <c r="AB4215">
        <v>41</v>
      </c>
      <c r="AC4215">
        <v>0.32370000000000199</v>
      </c>
      <c r="AD4215">
        <v>-0.1494124</v>
      </c>
      <c r="AE4215">
        <v>-0.11660000000000501</v>
      </c>
      <c r="AF4215">
        <v>0.101621832859672</v>
      </c>
      <c r="AG4215">
        <v>-0.1494124</v>
      </c>
      <c r="AH4215">
        <v>0.27104637146725602</v>
      </c>
      <c r="AI4215">
        <v>117.30087021620901</v>
      </c>
      <c r="AJ4215">
        <v>69.447764516517793</v>
      </c>
      <c r="AK4215">
        <v>0.32575634709562401</v>
      </c>
      <c r="AL4215">
        <v>95.014067583497095</v>
      </c>
      <c r="AM4215">
        <v>89.171071801081993</v>
      </c>
      <c r="AN4215">
        <v>0.99999998319453198</v>
      </c>
    </row>
    <row r="4216" spans="1:40" x14ac:dyDescent="0.25">
      <c r="A4216" t="str">
        <f>"20190305135017572"</f>
        <v>20190305135017572</v>
      </c>
      <c r="B4216" t="str">
        <f>"1551765017564639"</f>
        <v>1551765017564639</v>
      </c>
      <c r="C4216" t="s">
        <v>40</v>
      </c>
      <c r="D4216">
        <v>4.1298769999999996</v>
      </c>
      <c r="E4216">
        <v>0.55486349999999995</v>
      </c>
      <c r="F4216" t="s">
        <v>41</v>
      </c>
      <c r="G4216">
        <v>-222.37029999999999</v>
      </c>
      <c r="H4216">
        <v>0.89875659999999902</v>
      </c>
      <c r="I4216">
        <v>214.6405</v>
      </c>
      <c r="J4216">
        <v>-222.9913</v>
      </c>
      <c r="K4216">
        <v>1.1082639999999999</v>
      </c>
      <c r="L4216">
        <v>214.80179999999999</v>
      </c>
      <c r="M4216">
        <v>0.99982740000000003</v>
      </c>
      <c r="N4216">
        <v>-1.430673E-2</v>
      </c>
      <c r="O4216">
        <v>1.18587E-2</v>
      </c>
      <c r="P4216">
        <v>0.99485489999999999</v>
      </c>
      <c r="Q4216">
        <v>-0.1012667</v>
      </c>
      <c r="R4216">
        <v>-3.0085369999999999E-3</v>
      </c>
      <c r="S4216">
        <v>2.9533839999999998</v>
      </c>
      <c r="T4216">
        <v>-0.60140109999999902</v>
      </c>
      <c r="U4216">
        <v>-0.45080569999999998</v>
      </c>
      <c r="V4216">
        <v>1.454658E-2</v>
      </c>
      <c r="W4216">
        <v>-8.7068699999999999E-2</v>
      </c>
      <c r="X4216">
        <v>0.99609610000000004</v>
      </c>
      <c r="Y4216">
        <v>0.15897720000000001</v>
      </c>
      <c r="Z4216">
        <v>-1.9298699999999998E-2</v>
      </c>
      <c r="AA4216">
        <v>0.98709360000000002</v>
      </c>
      <c r="AB4216">
        <v>41</v>
      </c>
      <c r="AC4216">
        <v>0.62100000000000899</v>
      </c>
      <c r="AD4216">
        <v>-0.20950740000000001</v>
      </c>
      <c r="AE4216">
        <v>-0.16129999999998201</v>
      </c>
      <c r="AF4216">
        <v>0.15240354377714199</v>
      </c>
      <c r="AG4216">
        <v>-0.20950740000000001</v>
      </c>
      <c r="AH4216">
        <v>0.55939725774478999</v>
      </c>
      <c r="AI4216">
        <v>109.867464055179</v>
      </c>
      <c r="AJ4216">
        <v>74.760073240239294</v>
      </c>
      <c r="AK4216">
        <v>0.61647829060152803</v>
      </c>
      <c r="AL4216">
        <v>94.994993781955799</v>
      </c>
      <c r="AM4216">
        <v>89.163335346005695</v>
      </c>
      <c r="AN4216">
        <v>1.00000000097229</v>
      </c>
    </row>
    <row r="4217" spans="1:40" x14ac:dyDescent="0.25">
      <c r="A4217" t="str">
        <f>"20190305135017593"</f>
        <v>20190305135017593</v>
      </c>
      <c r="B4217" t="str">
        <f>"1551765017584155"</f>
        <v>1551765017584155</v>
      </c>
      <c r="C4217" t="s">
        <v>40</v>
      </c>
      <c r="D4217">
        <v>4.029604</v>
      </c>
      <c r="E4217">
        <v>0.55504419999999899</v>
      </c>
      <c r="F4217" t="s">
        <v>41</v>
      </c>
      <c r="G4217">
        <v>-222.00319999999999</v>
      </c>
      <c r="H4217">
        <v>0.90578769999999997</v>
      </c>
      <c r="I4217">
        <v>214.64949999999999</v>
      </c>
      <c r="J4217">
        <v>-222.59979999999999</v>
      </c>
      <c r="K4217">
        <v>1.108266</v>
      </c>
      <c r="L4217">
        <v>214.80549999999999</v>
      </c>
      <c r="M4217">
        <v>0.99983949999999999</v>
      </c>
      <c r="N4217">
        <v>-1.430448E-2</v>
      </c>
      <c r="O4217">
        <v>1.0799370000000001E-2</v>
      </c>
      <c r="P4217">
        <v>0.99479439999999997</v>
      </c>
      <c r="Q4217">
        <v>-0.1017948</v>
      </c>
      <c r="R4217">
        <v>-4.7094809999999997E-3</v>
      </c>
      <c r="S4217">
        <v>2.9525600000000001</v>
      </c>
      <c r="T4217">
        <v>-0.60502119999999904</v>
      </c>
      <c r="U4217">
        <v>-0.45509339999999998</v>
      </c>
      <c r="V4217">
        <v>1.519146E-2</v>
      </c>
      <c r="W4217">
        <v>-8.7601730000000003E-2</v>
      </c>
      <c r="X4217">
        <v>0.99603969999999997</v>
      </c>
      <c r="Y4217">
        <v>0.15934100000000001</v>
      </c>
      <c r="Z4217">
        <v>-1.9250440000000001E-2</v>
      </c>
      <c r="AA4217">
        <v>0.98703589999999997</v>
      </c>
      <c r="AB4217">
        <v>41</v>
      </c>
      <c r="AC4217">
        <v>0.59659999999999502</v>
      </c>
      <c r="AD4217">
        <v>-0.202478299999999</v>
      </c>
      <c r="AE4217">
        <v>-0.156000000000005</v>
      </c>
      <c r="AF4217">
        <v>0.146626360829894</v>
      </c>
      <c r="AG4217">
        <v>-0.202478299999999</v>
      </c>
      <c r="AH4217">
        <v>0.53698664534866403</v>
      </c>
      <c r="AI4217">
        <v>109.98872828121399</v>
      </c>
      <c r="AJ4217">
        <v>74.727457724716402</v>
      </c>
      <c r="AK4217">
        <v>0.59232711312578001</v>
      </c>
      <c r="AL4217">
        <v>95.025651482087994</v>
      </c>
      <c r="AM4217">
        <v>89.126200430623399</v>
      </c>
      <c r="AN4217">
        <v>0.99999996376600597</v>
      </c>
    </row>
    <row r="4218" spans="1:40" x14ac:dyDescent="0.25">
      <c r="A4218" t="str">
        <f>"20190305135017616"</f>
        <v>20190305135017616</v>
      </c>
      <c r="B4218" t="str">
        <f>"1551765017604651"</f>
        <v>1551765017604651</v>
      </c>
      <c r="C4218" t="s">
        <v>40</v>
      </c>
      <c r="D4218">
        <v>4.0224140000000004</v>
      </c>
      <c r="E4218">
        <v>0.60071949999999996</v>
      </c>
      <c r="F4218" t="s">
        <v>41</v>
      </c>
      <c r="G4218">
        <v>-221.6371</v>
      </c>
      <c r="H4218">
        <v>0.91072319999999995</v>
      </c>
      <c r="I4218">
        <v>214.655</v>
      </c>
      <c r="J4218">
        <v>-222.1935</v>
      </c>
      <c r="K4218">
        <v>1.108266</v>
      </c>
      <c r="L4218">
        <v>214.80889999999999</v>
      </c>
      <c r="M4218">
        <v>0.99985069999999998</v>
      </c>
      <c r="N4218">
        <v>-1.4302179999999999E-2</v>
      </c>
      <c r="O4218">
        <v>9.6996329999999992E-3</v>
      </c>
      <c r="P4218">
        <v>0.99482099999999996</v>
      </c>
      <c r="Q4218">
        <v>-0.1014634</v>
      </c>
      <c r="R4218">
        <v>-6.0548989999999999E-3</v>
      </c>
      <c r="S4218">
        <v>2.9515380000000002</v>
      </c>
      <c r="T4218">
        <v>-0.60569969999999995</v>
      </c>
      <c r="U4218">
        <v>-0.46118160000000002</v>
      </c>
      <c r="V4218">
        <v>1.544384E-2</v>
      </c>
      <c r="W4218">
        <v>-8.727298E-2</v>
      </c>
      <c r="X4218">
        <v>0.99606470000000003</v>
      </c>
      <c r="Y4218">
        <v>0.16028519999999999</v>
      </c>
      <c r="Z4218">
        <v>-1.9169459999999999E-2</v>
      </c>
      <c r="AA4218">
        <v>0.9868846</v>
      </c>
      <c r="AB4218">
        <v>41</v>
      </c>
      <c r="AC4218">
        <v>0.55639999999999601</v>
      </c>
      <c r="AD4218">
        <v>-0.19754279999999999</v>
      </c>
      <c r="AE4218">
        <v>-0.15389999999999299</v>
      </c>
      <c r="AF4218">
        <v>0.14259347868094899</v>
      </c>
      <c r="AG4218">
        <v>-0.19754279999999999</v>
      </c>
      <c r="AH4218">
        <v>0.49671859095763099</v>
      </c>
      <c r="AI4218">
        <v>110.91968366166</v>
      </c>
      <c r="AJ4218">
        <v>73.9827651493178</v>
      </c>
      <c r="AK4218">
        <v>0.55324986814016397</v>
      </c>
      <c r="AL4218">
        <v>95.006742963831101</v>
      </c>
      <c r="AM4218">
        <v>89.111708351672803</v>
      </c>
      <c r="AN4218">
        <v>0.99999998590905703</v>
      </c>
    </row>
    <row r="4219" spans="1:40" x14ac:dyDescent="0.25">
      <c r="A4219" t="str">
        <f>"20190305135017638"</f>
        <v>20190305135017638</v>
      </c>
      <c r="B4219" t="str">
        <f>"1551765017634907"</f>
        <v>1551765017634907</v>
      </c>
      <c r="C4219" t="s">
        <v>40</v>
      </c>
      <c r="D4219">
        <v>4.120063</v>
      </c>
      <c r="E4219">
        <v>0.60664019999999996</v>
      </c>
      <c r="F4219" t="s">
        <v>62</v>
      </c>
      <c r="G4219">
        <v>-200.1653</v>
      </c>
      <c r="H4219" s="1">
        <v>2.926414E-6</v>
      </c>
      <c r="I4219">
        <v>208.79519999999999</v>
      </c>
      <c r="J4219">
        <v>-221.77760000000001</v>
      </c>
      <c r="K4219">
        <v>1.108271</v>
      </c>
      <c r="L4219">
        <v>214.81190000000001</v>
      </c>
      <c r="M4219">
        <v>0.99986120000000001</v>
      </c>
      <c r="N4219">
        <v>-1.429977E-2</v>
      </c>
      <c r="O4219">
        <v>8.5723569999999992E-3</v>
      </c>
      <c r="P4219">
        <v>0.99472709999999998</v>
      </c>
      <c r="Q4219">
        <v>-0.10231129999999999</v>
      </c>
      <c r="R4219">
        <v>-7.1123530000000001E-3</v>
      </c>
      <c r="S4219">
        <v>2.9952700000000001</v>
      </c>
      <c r="T4219">
        <v>-0.1506953</v>
      </c>
      <c r="U4219">
        <v>-0.81770319999999996</v>
      </c>
      <c r="V4219">
        <v>1.5376859999999999E-2</v>
      </c>
      <c r="W4219">
        <v>-8.8124259999999996E-2</v>
      </c>
      <c r="X4219">
        <v>0.99599079999999995</v>
      </c>
      <c r="Y4219">
        <v>0.27120070000000002</v>
      </c>
      <c r="Z4219">
        <v>-8.9741919999999902E-3</v>
      </c>
      <c r="AA4219">
        <v>0.96248100000000003</v>
      </c>
      <c r="AB4219">
        <v>41</v>
      </c>
      <c r="AC4219">
        <v>21.612300000000001</v>
      </c>
      <c r="AD4219">
        <v>-1.108268073586</v>
      </c>
      <c r="AE4219">
        <v>-6.0167000000000099</v>
      </c>
      <c r="AF4219">
        <v>6.1866679039158701</v>
      </c>
      <c r="AG4219">
        <v>-1.108268073586</v>
      </c>
      <c r="AH4219">
        <v>21.507435400505301</v>
      </c>
      <c r="AI4219">
        <v>92.835053769963494</v>
      </c>
      <c r="AJ4219">
        <v>73.951985651553599</v>
      </c>
      <c r="AK4219">
        <v>22.4069831834449</v>
      </c>
      <c r="AL4219">
        <v>95.055706282188893</v>
      </c>
      <c r="AM4219">
        <v>89.115494650280496</v>
      </c>
      <c r="AN4219">
        <v>1.0000000033543199</v>
      </c>
    </row>
    <row r="4220" spans="1:40" x14ac:dyDescent="0.25">
      <c r="A4220" t="str">
        <f>"20190305135017661"</f>
        <v>20190305135017661</v>
      </c>
      <c r="B4220" t="str">
        <f>"1551765017654427"</f>
        <v>1551765017654427</v>
      </c>
      <c r="C4220" t="s">
        <v>40</v>
      </c>
      <c r="D4220">
        <v>4.3930920000000002</v>
      </c>
      <c r="E4220">
        <v>0.60318130000000003</v>
      </c>
      <c r="F4220" t="s">
        <v>60</v>
      </c>
      <c r="G4220">
        <v>-168.41309999999999</v>
      </c>
      <c r="H4220">
        <v>0.90724850000000001</v>
      </c>
      <c r="I4220">
        <v>199.4802</v>
      </c>
      <c r="J4220">
        <v>-221.3672</v>
      </c>
      <c r="K4220">
        <v>1.1082609999999999</v>
      </c>
      <c r="L4220">
        <v>214.81440000000001</v>
      </c>
      <c r="M4220">
        <v>0.99986989999999998</v>
      </c>
      <c r="N4220">
        <v>-1.429737E-2</v>
      </c>
      <c r="O4220">
        <v>7.4568550000000001E-3</v>
      </c>
      <c r="P4220">
        <v>0.99459790000000003</v>
      </c>
      <c r="Q4220">
        <v>-0.1034534</v>
      </c>
      <c r="R4220">
        <v>-8.5158049999999996E-3</v>
      </c>
      <c r="S4220">
        <v>3.0085600000000001</v>
      </c>
      <c r="T4220">
        <v>-1.1331320000000001E-2</v>
      </c>
      <c r="U4220">
        <v>-0.86436460000000004</v>
      </c>
      <c r="V4220">
        <v>1.5665869999999998E-2</v>
      </c>
      <c r="W4220">
        <v>-8.9271290000000003E-2</v>
      </c>
      <c r="X4220">
        <v>0.99588410000000005</v>
      </c>
      <c r="Y4220">
        <v>0.28328120000000001</v>
      </c>
      <c r="Z4220">
        <v>-2.5113259999999999E-3</v>
      </c>
      <c r="AA4220">
        <v>0.95903360000000004</v>
      </c>
      <c r="AB4220">
        <v>41</v>
      </c>
      <c r="AC4220">
        <v>52.954099999999997</v>
      </c>
      <c r="AD4220">
        <v>-0.20101250000000001</v>
      </c>
      <c r="AE4220">
        <v>-15.334199999999999</v>
      </c>
      <c r="AF4220">
        <v>15.7284759184887</v>
      </c>
      <c r="AG4220">
        <v>-0.20101250000000001</v>
      </c>
      <c r="AH4220">
        <v>52.837568370362398</v>
      </c>
      <c r="AI4220">
        <v>90.208912579145505</v>
      </c>
      <c r="AJ4220">
        <v>73.422994761821002</v>
      </c>
      <c r="AK4220">
        <v>55.129248063404198</v>
      </c>
      <c r="AL4220">
        <v>95.121686532445096</v>
      </c>
      <c r="AM4220">
        <v>89.098776446332593</v>
      </c>
      <c r="AN4220">
        <v>0.99999996166696403</v>
      </c>
    </row>
    <row r="4221" spans="1:40" x14ac:dyDescent="0.25">
      <c r="A4221" t="str">
        <f>"20190305135017682"</f>
        <v>20190305135017682</v>
      </c>
      <c r="B4221" t="str">
        <f>"1551765017674941"</f>
        <v>1551765017674941</v>
      </c>
      <c r="C4221" t="s">
        <v>40</v>
      </c>
      <c r="D4221">
        <v>4.3609349999999996</v>
      </c>
      <c r="E4221">
        <v>0.59798229999999997</v>
      </c>
      <c r="F4221" t="s">
        <v>60</v>
      </c>
      <c r="G4221">
        <v>-168.41290000000001</v>
      </c>
      <c r="H4221">
        <v>0.72604939999999996</v>
      </c>
      <c r="I4221">
        <v>200.0059</v>
      </c>
      <c r="J4221">
        <v>-220.97399999999999</v>
      </c>
      <c r="K4221">
        <v>1.108247</v>
      </c>
      <c r="L4221">
        <v>214.81639999999999</v>
      </c>
      <c r="M4221">
        <v>0.99987749999999997</v>
      </c>
      <c r="N4221">
        <v>-1.429534E-2</v>
      </c>
      <c r="O4221">
        <v>6.3837049999999999E-3</v>
      </c>
      <c r="P4221">
        <v>0.99437830000000005</v>
      </c>
      <c r="Q4221">
        <v>-0.1054856</v>
      </c>
      <c r="R4221">
        <v>-9.2182340000000005E-3</v>
      </c>
      <c r="S4221">
        <v>3.0068359999999998</v>
      </c>
      <c r="T4221">
        <v>-2.170074E-2</v>
      </c>
      <c r="U4221">
        <v>-0.84085080000000001</v>
      </c>
      <c r="V4221">
        <v>1.529296E-2</v>
      </c>
      <c r="W4221">
        <v>-9.1307159999999998E-2</v>
      </c>
      <c r="X4221">
        <v>0.99570539999999996</v>
      </c>
      <c r="Y4221">
        <v>0.27543590000000001</v>
      </c>
      <c r="Z4221">
        <v>-2.9368549999999999E-3</v>
      </c>
      <c r="AA4221">
        <v>0.96131500000000003</v>
      </c>
      <c r="AB4221">
        <v>41</v>
      </c>
      <c r="AC4221">
        <v>52.561100000000003</v>
      </c>
      <c r="AD4221">
        <v>-0.38219759999999903</v>
      </c>
      <c r="AE4221">
        <v>-14.8104999999999</v>
      </c>
      <c r="AF4221">
        <v>15.145025101763</v>
      </c>
      <c r="AG4221">
        <v>-0.38219759999999903</v>
      </c>
      <c r="AH4221">
        <v>52.462903365914002</v>
      </c>
      <c r="AI4221">
        <v>90.401023186212697</v>
      </c>
      <c r="AJ4221">
        <v>73.897594489753899</v>
      </c>
      <c r="AK4221">
        <v>54.606538893430297</v>
      </c>
      <c r="AL4221">
        <v>95.238811198762804</v>
      </c>
      <c r="AM4221">
        <v>89.120067868676998</v>
      </c>
      <c r="AN4221">
        <v>1.00000005784099</v>
      </c>
    </row>
    <row r="4222" spans="1:40" x14ac:dyDescent="0.25">
      <c r="A4222" t="str">
        <f>"20190305135017705"</f>
        <v>20190305135017705</v>
      </c>
      <c r="B4222" t="str">
        <f>"1551765017694443"</f>
        <v>1551765017694443</v>
      </c>
      <c r="C4222" t="s">
        <v>40</v>
      </c>
      <c r="D4222">
        <v>4.3326820000000001</v>
      </c>
      <c r="E4222">
        <v>0.59426489999999998</v>
      </c>
      <c r="F4222" t="s">
        <v>62</v>
      </c>
      <c r="G4222">
        <v>-179.3571</v>
      </c>
      <c r="H4222">
        <v>8.0001669999999997E-2</v>
      </c>
      <c r="I4222">
        <v>203.68870000000001</v>
      </c>
      <c r="J4222">
        <v>-220.5701</v>
      </c>
      <c r="K4222">
        <v>1.108241</v>
      </c>
      <c r="L4222">
        <v>214.81800000000001</v>
      </c>
      <c r="M4222">
        <v>0.999884</v>
      </c>
      <c r="N4222">
        <v>-1.4293159999999999E-2</v>
      </c>
      <c r="O4222">
        <v>5.2763899999999997E-3</v>
      </c>
      <c r="P4222">
        <v>0.99429749999999995</v>
      </c>
      <c r="Q4222">
        <v>-0.10624309999999999</v>
      </c>
      <c r="R4222">
        <v>-9.2158499999999994E-3</v>
      </c>
      <c r="S4222">
        <v>3.0016630000000002</v>
      </c>
      <c r="T4222">
        <v>-7.4163199999999999E-2</v>
      </c>
      <c r="U4222">
        <v>-0.802597</v>
      </c>
      <c r="V4222">
        <v>1.4186219999999999E-2</v>
      </c>
      <c r="W4222">
        <v>-9.2064480000000004E-2</v>
      </c>
      <c r="X4222">
        <v>0.99565199999999998</v>
      </c>
      <c r="Y4222">
        <v>0.26328249999999997</v>
      </c>
      <c r="Z4222">
        <v>-5.1645010000000002E-3</v>
      </c>
      <c r="AA4222">
        <v>0.96470489999999998</v>
      </c>
      <c r="AB4222">
        <v>41</v>
      </c>
      <c r="AC4222">
        <v>41.213000000000001</v>
      </c>
      <c r="AD4222">
        <v>-1.0282393299999999</v>
      </c>
      <c r="AE4222">
        <v>-11.129299999999899</v>
      </c>
      <c r="AF4222">
        <v>11.3400440145888</v>
      </c>
      <c r="AG4222">
        <v>-1.0282393299999999</v>
      </c>
      <c r="AH4222">
        <v>41.129835591183003</v>
      </c>
      <c r="AI4222">
        <v>91.380594282482406</v>
      </c>
      <c r="AJ4222">
        <v>74.585758323886395</v>
      </c>
      <c r="AK4222">
        <v>42.6768936326242</v>
      </c>
      <c r="AL4222">
        <v>95.2823862216934</v>
      </c>
      <c r="AM4222">
        <v>89.183695169646001</v>
      </c>
      <c r="AN4222">
        <v>1.00000001120977</v>
      </c>
    </row>
    <row r="4223" spans="1:40" x14ac:dyDescent="0.25">
      <c r="A4223" t="str">
        <f>"20190305135017728"</f>
        <v>20190305135017728</v>
      </c>
      <c r="B4223" t="str">
        <f>"1551765017724699"</f>
        <v>1551765017724699</v>
      </c>
      <c r="C4223" t="s">
        <v>40</v>
      </c>
      <c r="D4223">
        <v>4.3518420000000004</v>
      </c>
      <c r="E4223">
        <v>0.59106899999999996</v>
      </c>
      <c r="F4223" t="s">
        <v>62</v>
      </c>
      <c r="G4223">
        <v>-190.7698</v>
      </c>
      <c r="H4223" s="1">
        <v>5.109157E-6</v>
      </c>
      <c r="I4223">
        <v>207.12690000000001</v>
      </c>
      <c r="J4223">
        <v>-220.1499</v>
      </c>
      <c r="K4223">
        <v>1.1082419999999999</v>
      </c>
      <c r="L4223">
        <v>214.8192</v>
      </c>
      <c r="M4223">
        <v>0.99988960000000005</v>
      </c>
      <c r="N4223">
        <v>-1.429045E-2</v>
      </c>
      <c r="O4223">
        <v>4.1199670000000004E-3</v>
      </c>
      <c r="P4223">
        <v>0.99437759999999997</v>
      </c>
      <c r="Q4223">
        <v>-0.105491</v>
      </c>
      <c r="R4223">
        <v>-9.2353339999999996E-3</v>
      </c>
      <c r="S4223">
        <v>2.9981080000000002</v>
      </c>
      <c r="T4223">
        <v>-0.111496</v>
      </c>
      <c r="U4223">
        <v>-0.77377320000000005</v>
      </c>
      <c r="V4223">
        <v>1.305803E-2</v>
      </c>
      <c r="W4223">
        <v>-9.1310470000000005E-2</v>
      </c>
      <c r="X4223">
        <v>0.99573679999999998</v>
      </c>
      <c r="Y4223">
        <v>0.25365389999999999</v>
      </c>
      <c r="Z4223">
        <v>-6.5743420000000004E-3</v>
      </c>
      <c r="AA4223">
        <v>0.96727269999999999</v>
      </c>
      <c r="AB4223">
        <v>41</v>
      </c>
      <c r="AC4223">
        <v>29.380099999999999</v>
      </c>
      <c r="AD4223">
        <v>-1.108236890843</v>
      </c>
      <c r="AE4223">
        <v>-7.6922999999999799</v>
      </c>
      <c r="AF4223">
        <v>7.8029019728508802</v>
      </c>
      <c r="AG4223">
        <v>-1.108236890843</v>
      </c>
      <c r="AH4223">
        <v>29.3091281967131</v>
      </c>
      <c r="AI4223">
        <v>92.092614999437203</v>
      </c>
      <c r="AJ4223">
        <v>75.092066216616402</v>
      </c>
      <c r="AK4223">
        <v>30.350262994832701</v>
      </c>
      <c r="AL4223">
        <v>95.239002238917095</v>
      </c>
      <c r="AM4223">
        <v>89.248669805869795</v>
      </c>
      <c r="AN4223">
        <v>0.99999994447666896</v>
      </c>
    </row>
    <row r="4224" spans="1:40" x14ac:dyDescent="0.25">
      <c r="A4224" t="str">
        <f>"20190305135017752"</f>
        <v>20190305135017752</v>
      </c>
      <c r="B4224" t="str">
        <f>"1551765017744220"</f>
        <v>1551765017744220</v>
      </c>
      <c r="C4224" t="s">
        <v>40</v>
      </c>
      <c r="D4224">
        <v>4.3537860000000004</v>
      </c>
      <c r="E4224">
        <v>0.58958199999999905</v>
      </c>
      <c r="F4224" t="s">
        <v>62</v>
      </c>
      <c r="G4224">
        <v>-197.28569999999999</v>
      </c>
      <c r="H4224" s="1">
        <v>3.2470520000000002E-6</v>
      </c>
      <c r="I4224">
        <v>209.09630000000001</v>
      </c>
      <c r="J4224">
        <v>-219.7407</v>
      </c>
      <c r="K4224">
        <v>1.108252</v>
      </c>
      <c r="L4224">
        <v>214.81979999999999</v>
      </c>
      <c r="M4224">
        <v>0.99989320000000004</v>
      </c>
      <c r="N4224">
        <v>-1.43037999999999E-2</v>
      </c>
      <c r="O4224">
        <v>2.9934060000000001E-3</v>
      </c>
      <c r="P4224">
        <v>0.99445450000000002</v>
      </c>
      <c r="Q4224">
        <v>-0.10477640000000001</v>
      </c>
      <c r="R4224">
        <v>-9.0630150000000007E-3</v>
      </c>
      <c r="S4224">
        <v>2.9945979999999999</v>
      </c>
      <c r="T4224">
        <v>-0.1451498</v>
      </c>
      <c r="U4224">
        <v>-0.74954219999999905</v>
      </c>
      <c r="V4224">
        <v>1.1767349999999999E-2</v>
      </c>
      <c r="W4224">
        <v>-9.0577500000000005E-2</v>
      </c>
      <c r="X4224">
        <v>0.99581989999999998</v>
      </c>
      <c r="Y4224">
        <v>0.24535380000000001</v>
      </c>
      <c r="Z4224">
        <v>-7.7360500000000004E-3</v>
      </c>
      <c r="AA4224">
        <v>0.96940269999999995</v>
      </c>
      <c r="AB4224">
        <v>41</v>
      </c>
      <c r="AC4224">
        <v>22.454999999999998</v>
      </c>
      <c r="AD4224">
        <v>-1.1082487529480001</v>
      </c>
      <c r="AE4224">
        <v>-5.7234999999999703</v>
      </c>
      <c r="AF4224">
        <v>5.7774836634935998</v>
      </c>
      <c r="AG4224">
        <v>-1.1082487529480001</v>
      </c>
      <c r="AH4224">
        <v>22.386561397786402</v>
      </c>
      <c r="AI4224">
        <v>92.744343804135497</v>
      </c>
      <c r="AJ4224">
        <v>75.528970363313604</v>
      </c>
      <c r="AK4224">
        <v>23.146612365467401</v>
      </c>
      <c r="AL4224">
        <v>95.196831032107596</v>
      </c>
      <c r="AM4224">
        <v>89.322981884544404</v>
      </c>
      <c r="AN4224">
        <v>1.00000001363414</v>
      </c>
    </row>
    <row r="4225" spans="1:40" x14ac:dyDescent="0.25">
      <c r="A4225" t="str">
        <f>"20190305135017772"</f>
        <v>20190305135017772</v>
      </c>
      <c r="B4225" t="str">
        <f>"1551765017764715"</f>
        <v>1551765017764715</v>
      </c>
      <c r="C4225" t="s">
        <v>40</v>
      </c>
      <c r="D4225">
        <v>4.3204710000000004</v>
      </c>
      <c r="E4225">
        <v>0.58855080000000004</v>
      </c>
      <c r="F4225" t="s">
        <v>62</v>
      </c>
      <c r="G4225">
        <v>-199.1283</v>
      </c>
      <c r="H4225" s="1">
        <v>2.771767E-6</v>
      </c>
      <c r="I4225">
        <v>209.73920000000001</v>
      </c>
      <c r="J4225">
        <v>-219.35069999999999</v>
      </c>
      <c r="K4225">
        <v>1.108282</v>
      </c>
      <c r="L4225">
        <v>214.82</v>
      </c>
      <c r="M4225">
        <v>0.99989479999999997</v>
      </c>
      <c r="N4225">
        <v>-1.438295E-2</v>
      </c>
      <c r="O4225">
        <v>1.92935E-3</v>
      </c>
      <c r="P4225">
        <v>0.99449339999999997</v>
      </c>
      <c r="Q4225">
        <v>-0.1043311</v>
      </c>
      <c r="R4225">
        <v>-9.9076070000000006E-3</v>
      </c>
      <c r="S4225">
        <v>2.9930569999999999</v>
      </c>
      <c r="T4225">
        <v>-0.16092490000000001</v>
      </c>
      <c r="U4225">
        <v>-0.7377319</v>
      </c>
      <c r="V4225">
        <v>1.155584E-2</v>
      </c>
      <c r="W4225">
        <v>-9.0051999999999993E-2</v>
      </c>
      <c r="X4225">
        <v>0.99587000000000003</v>
      </c>
      <c r="Y4225">
        <v>0.24077019999999999</v>
      </c>
      <c r="Z4225">
        <v>-8.2062369999999999E-3</v>
      </c>
      <c r="AA4225">
        <v>0.97054739999999995</v>
      </c>
      <c r="AB4225">
        <v>40</v>
      </c>
      <c r="AC4225">
        <v>20.2224</v>
      </c>
      <c r="AD4225">
        <v>-1.1082792282330001</v>
      </c>
      <c r="AE4225">
        <v>-5.0807999999999804</v>
      </c>
      <c r="AF4225">
        <v>5.1053869348787302</v>
      </c>
      <c r="AG4225">
        <v>-1.1082792282330001</v>
      </c>
      <c r="AH4225">
        <v>20.1556151059042</v>
      </c>
      <c r="AI4225">
        <v>93.051135398937802</v>
      </c>
      <c r="AJ4225">
        <v>75.7860223519084</v>
      </c>
      <c r="AK4225">
        <v>20.821673297310099</v>
      </c>
      <c r="AL4225">
        <v>95.166598730008005</v>
      </c>
      <c r="AM4225">
        <v>89.335183160025906</v>
      </c>
      <c r="AN4225">
        <v>0.99999997852105205</v>
      </c>
    </row>
    <row r="4226" spans="1:40" x14ac:dyDescent="0.25">
      <c r="A4226" t="str">
        <f>"20190305135017794"</f>
        <v>20190305135017794</v>
      </c>
      <c r="B4226" t="str">
        <f>"1551765017784235"</f>
        <v>1551765017784235</v>
      </c>
      <c r="C4226" t="s">
        <v>40</v>
      </c>
      <c r="D4226">
        <v>4.3292279999999996</v>
      </c>
      <c r="E4226">
        <v>0.58779820000000005</v>
      </c>
      <c r="F4226" t="s">
        <v>62</v>
      </c>
      <c r="G4226">
        <v>-200.12110000000001</v>
      </c>
      <c r="H4226" s="1">
        <v>2.664528E-6</v>
      </c>
      <c r="I4226">
        <v>210.1114</v>
      </c>
      <c r="J4226">
        <v>-218.9513</v>
      </c>
      <c r="K4226">
        <v>1.1083620000000001</v>
      </c>
      <c r="L4226">
        <v>214.81979999999999</v>
      </c>
      <c r="M4226">
        <v>0.99989280000000003</v>
      </c>
      <c r="N4226">
        <v>-1.4623270000000001E-2</v>
      </c>
      <c r="O4226">
        <v>8.5455579999999995E-4</v>
      </c>
      <c r="P4226">
        <v>0.99456889999999998</v>
      </c>
      <c r="Q4226">
        <v>-0.10343529999999999</v>
      </c>
      <c r="R4226">
        <v>-1.158151E-2</v>
      </c>
      <c r="S4226">
        <v>2.991241</v>
      </c>
      <c r="T4226">
        <v>-0.17239769999999999</v>
      </c>
      <c r="U4226">
        <v>-0.73243709999999995</v>
      </c>
      <c r="V4226">
        <v>1.2166130000000001E-2</v>
      </c>
      <c r="W4226">
        <v>-8.8917200000000002E-2</v>
      </c>
      <c r="X4226">
        <v>0.99596470000000004</v>
      </c>
      <c r="Y4226">
        <v>0.2381915</v>
      </c>
      <c r="Z4226">
        <v>-8.5636400000000008E-3</v>
      </c>
      <c r="AA4226">
        <v>0.97118040000000005</v>
      </c>
      <c r="AB4226">
        <v>40</v>
      </c>
      <c r="AC4226">
        <v>18.830199999999898</v>
      </c>
      <c r="AD4226">
        <v>-1.1083593354720001</v>
      </c>
      <c r="AE4226">
        <v>-4.7083999999999797</v>
      </c>
      <c r="AF4226">
        <v>4.7091362945823398</v>
      </c>
      <c r="AG4226">
        <v>-1.1083593354720001</v>
      </c>
      <c r="AH4226">
        <v>18.764981803318499</v>
      </c>
      <c r="AI4226">
        <v>93.278827450031102</v>
      </c>
      <c r="AJ4226">
        <v>75.912354671809695</v>
      </c>
      <c r="AK4226">
        <v>19.3785697907858</v>
      </c>
      <c r="AL4226">
        <v>95.101317554867094</v>
      </c>
      <c r="AM4226">
        <v>89.3001426318081</v>
      </c>
      <c r="AN4226">
        <v>0.99999998341055296</v>
      </c>
    </row>
    <row r="4227" spans="1:40" x14ac:dyDescent="0.25">
      <c r="A4227" t="str">
        <f>"20190305135017817"</f>
        <v>20190305135017817</v>
      </c>
      <c r="B4227" t="str">
        <f>"1551765017814492"</f>
        <v>1551765017814492</v>
      </c>
      <c r="C4227" t="s">
        <v>40</v>
      </c>
      <c r="D4227">
        <v>4.376042</v>
      </c>
      <c r="E4227">
        <v>0.58708260000000001</v>
      </c>
      <c r="F4227" t="s">
        <v>62</v>
      </c>
      <c r="G4227">
        <v>-200.6472</v>
      </c>
      <c r="H4227" s="1">
        <v>2.8780179999999999E-6</v>
      </c>
      <c r="I4227">
        <v>210.33789999999999</v>
      </c>
      <c r="J4227">
        <v>-218.55029999999999</v>
      </c>
      <c r="K4227">
        <v>1.1084639999999999</v>
      </c>
      <c r="L4227">
        <v>214.81909999999999</v>
      </c>
      <c r="M4227">
        <v>0.99988759999999999</v>
      </c>
      <c r="N4227">
        <v>-1.499111E-2</v>
      </c>
      <c r="O4227">
        <v>-2.1456630000000001E-4</v>
      </c>
      <c r="P4227">
        <v>0.99453849999999999</v>
      </c>
      <c r="Q4227">
        <v>-0.103294899999999</v>
      </c>
      <c r="R4227">
        <v>-1.4946849999999999E-2</v>
      </c>
      <c r="S4227">
        <v>2.9890289999999999</v>
      </c>
      <c r="T4227">
        <v>-0.18099299999999999</v>
      </c>
      <c r="U4227">
        <v>-0.73187259999999998</v>
      </c>
      <c r="V4227">
        <v>1.447266E-2</v>
      </c>
      <c r="W4227">
        <v>-8.8417109999999993E-2</v>
      </c>
      <c r="X4227">
        <v>0.99597840000000004</v>
      </c>
      <c r="Y4227">
        <v>0.23710300000000001</v>
      </c>
      <c r="Z4227">
        <v>-8.8634009999999999E-3</v>
      </c>
      <c r="AA4227">
        <v>0.97144410000000003</v>
      </c>
      <c r="AB4227">
        <v>40</v>
      </c>
      <c r="AC4227">
        <v>17.903099999999899</v>
      </c>
      <c r="AD4227">
        <v>-1.108461121982</v>
      </c>
      <c r="AE4227">
        <v>-4.4812000000000003</v>
      </c>
      <c r="AF4227">
        <v>4.4612645251771204</v>
      </c>
      <c r="AG4227">
        <v>-1.108461121982</v>
      </c>
      <c r="AH4227">
        <v>17.839706364233599</v>
      </c>
      <c r="AI4227">
        <v>93.449515414055199</v>
      </c>
      <c r="AJ4227">
        <v>75.959712328055303</v>
      </c>
      <c r="AK4227">
        <v>18.422450716031999</v>
      </c>
      <c r="AL4227">
        <v>95.072551079690101</v>
      </c>
      <c r="AM4227">
        <v>89.167487990191006</v>
      </c>
      <c r="AN4227">
        <v>1.0000000082473901</v>
      </c>
    </row>
    <row r="4228" spans="1:40" x14ac:dyDescent="0.25">
      <c r="A4228" t="str">
        <f>"20190305135017840"</f>
        <v>20190305135017840</v>
      </c>
      <c r="B4228" t="str">
        <f>"1551765017834987"</f>
        <v>1551765017834987</v>
      </c>
      <c r="C4228" t="s">
        <v>40</v>
      </c>
      <c r="D4228">
        <v>4.3409909999999998</v>
      </c>
      <c r="E4228">
        <v>0.58680299999999996</v>
      </c>
      <c r="F4228" t="s">
        <v>62</v>
      </c>
      <c r="G4228">
        <v>-201.33869999999999</v>
      </c>
      <c r="H4228" s="1">
        <v>3.1641049999999998E-6</v>
      </c>
      <c r="I4228">
        <v>210.57300000000001</v>
      </c>
      <c r="J4228">
        <v>-218.13200000000001</v>
      </c>
      <c r="K4228">
        <v>1.1086</v>
      </c>
      <c r="L4228">
        <v>214.81790000000001</v>
      </c>
      <c r="M4228">
        <v>0.99987859999999995</v>
      </c>
      <c r="N4228">
        <v>-1.553297E-2</v>
      </c>
      <c r="O4228">
        <v>-1.3088349999999999E-3</v>
      </c>
      <c r="P4228">
        <v>0.99437430000000004</v>
      </c>
      <c r="Q4228">
        <v>-0.104342</v>
      </c>
      <c r="R4228">
        <v>-1.8236289999999999E-2</v>
      </c>
      <c r="S4228">
        <v>2.9854430000000001</v>
      </c>
      <c r="T4228">
        <v>-0.19226770000000001</v>
      </c>
      <c r="U4228">
        <v>-0.73651119999999903</v>
      </c>
      <c r="V4228">
        <v>1.6676369999999999E-2</v>
      </c>
      <c r="W4228">
        <v>-8.8932349999999993E-2</v>
      </c>
      <c r="X4228">
        <v>0.99589810000000001</v>
      </c>
      <c r="Y4228">
        <v>0.2376683</v>
      </c>
      <c r="Z4228">
        <v>-9.3451699999999999E-3</v>
      </c>
      <c r="AA4228">
        <v>0.97130139999999998</v>
      </c>
      <c r="AB4228">
        <v>40</v>
      </c>
      <c r="AC4228">
        <v>16.793299999999999</v>
      </c>
      <c r="AD4228">
        <v>-1.108596835895</v>
      </c>
      <c r="AE4228">
        <v>-4.2449000000000296</v>
      </c>
      <c r="AF4228">
        <v>4.2056868985348004</v>
      </c>
      <c r="AG4228">
        <v>-1.108596835895</v>
      </c>
      <c r="AH4228">
        <v>16.730312161845401</v>
      </c>
      <c r="AI4228">
        <v>93.676964890853398</v>
      </c>
      <c r="AJ4228">
        <v>75.889295891731607</v>
      </c>
      <c r="AK4228">
        <v>17.286414731396899</v>
      </c>
      <c r="AL4228">
        <v>95.102188723956104</v>
      </c>
      <c r="AM4228">
        <v>89.040668589943394</v>
      </c>
      <c r="AN4228">
        <v>1.00000004488825</v>
      </c>
    </row>
    <row r="4229" spans="1:40" x14ac:dyDescent="0.25">
      <c r="A4229" t="str">
        <f>"20190305135017863"</f>
        <v>20190305135017863</v>
      </c>
      <c r="B4229" t="str">
        <f>"1551765017854511"</f>
        <v>1551765017854511</v>
      </c>
      <c r="C4229" t="s">
        <v>40</v>
      </c>
      <c r="D4229">
        <v>4.3389800000000003</v>
      </c>
      <c r="E4229">
        <v>0.58675549999999999</v>
      </c>
      <c r="F4229" t="s">
        <v>62</v>
      </c>
      <c r="G4229">
        <v>-201.74469999999999</v>
      </c>
      <c r="H4229" s="1">
        <v>3.3306229999999999E-6</v>
      </c>
      <c r="I4229">
        <v>210.72790000000001</v>
      </c>
      <c r="J4229">
        <v>-217.73240000000001</v>
      </c>
      <c r="K4229">
        <v>1.108741</v>
      </c>
      <c r="L4229">
        <v>214.81649999999999</v>
      </c>
      <c r="M4229">
        <v>0.99986699999999995</v>
      </c>
      <c r="N4229">
        <v>-1.6145840000000002E-2</v>
      </c>
      <c r="O4229">
        <v>-2.330726E-3</v>
      </c>
      <c r="P4229">
        <v>0.99426349999999997</v>
      </c>
      <c r="Q4229">
        <v>-0.10482569999999999</v>
      </c>
      <c r="R4229">
        <v>-2.125788E-2</v>
      </c>
      <c r="S4229">
        <v>2.9821620000000002</v>
      </c>
      <c r="T4229">
        <v>-0.2017419</v>
      </c>
      <c r="U4229">
        <v>-0.74430850000000004</v>
      </c>
      <c r="V4229">
        <v>1.868597E-2</v>
      </c>
      <c r="W4229">
        <v>-8.8811959999999995E-2</v>
      </c>
      <c r="X4229">
        <v>0.99587309999999996</v>
      </c>
      <c r="Y4229">
        <v>0.23925489999999999</v>
      </c>
      <c r="Z4229">
        <v>-9.8071170000000006E-3</v>
      </c>
      <c r="AA4229">
        <v>0.97090730000000003</v>
      </c>
      <c r="AB4229">
        <v>40</v>
      </c>
      <c r="AC4229">
        <v>15.9877</v>
      </c>
      <c r="AD4229">
        <v>-1.1087376693769999</v>
      </c>
      <c r="AE4229">
        <v>-4.08859999999998</v>
      </c>
      <c r="AF4229">
        <v>4.0331151285309703</v>
      </c>
      <c r="AG4229">
        <v>-1.1087376693769999</v>
      </c>
      <c r="AH4229">
        <v>15.925298525981599</v>
      </c>
      <c r="AI4229">
        <v>93.861064510515305</v>
      </c>
      <c r="AJ4229">
        <v>75.788520810011605</v>
      </c>
      <c r="AK4229">
        <v>16.465431971288002</v>
      </c>
      <c r="AL4229">
        <v>95.095263811371595</v>
      </c>
      <c r="AM4229">
        <v>88.925062239297105</v>
      </c>
      <c r="AN4229">
        <v>0.99999998050874594</v>
      </c>
    </row>
    <row r="4230" spans="1:40" x14ac:dyDescent="0.25">
      <c r="A4230" t="str">
        <f>"20190305135017884"</f>
        <v>20190305135017884</v>
      </c>
      <c r="B4230" t="str">
        <f>"1551765017874027"</f>
        <v>1551765017874027</v>
      </c>
      <c r="C4230" t="s">
        <v>40</v>
      </c>
      <c r="D4230">
        <v>4.3826229999999997</v>
      </c>
      <c r="E4230">
        <v>0.58672230000000003</v>
      </c>
      <c r="F4230" t="s">
        <v>62</v>
      </c>
      <c r="G4230">
        <v>-201.93700000000001</v>
      </c>
      <c r="H4230" s="1">
        <v>3.4075119999999999E-6</v>
      </c>
      <c r="I4230">
        <v>210.82380000000001</v>
      </c>
      <c r="J4230">
        <v>-217.35220000000001</v>
      </c>
      <c r="K4230">
        <v>1.1088530000000001</v>
      </c>
      <c r="L4230">
        <v>214.81460000000001</v>
      </c>
      <c r="M4230">
        <v>0.99985469999999999</v>
      </c>
      <c r="N4230">
        <v>-1.6737309999999998E-2</v>
      </c>
      <c r="O4230">
        <v>-3.2803350000000001E-3</v>
      </c>
      <c r="P4230">
        <v>0.99422279999999996</v>
      </c>
      <c r="Q4230">
        <v>-0.1047162</v>
      </c>
      <c r="R4230">
        <v>-2.357656E-2</v>
      </c>
      <c r="S4230">
        <v>2.9791409999999998</v>
      </c>
      <c r="T4230">
        <v>-0.20911669999999999</v>
      </c>
      <c r="U4230">
        <v>-0.75305180000000005</v>
      </c>
      <c r="V4230">
        <v>2.0065050000000001E-2</v>
      </c>
      <c r="W4230">
        <v>-8.8116920000000001E-2</v>
      </c>
      <c r="X4230">
        <v>0.99590800000000002</v>
      </c>
      <c r="Y4230">
        <v>0.24119109999999999</v>
      </c>
      <c r="Z4230">
        <v>-1.020458E-2</v>
      </c>
      <c r="AA4230">
        <v>0.97042399999999995</v>
      </c>
      <c r="AB4230">
        <v>40</v>
      </c>
      <c r="AC4230">
        <v>15.4152</v>
      </c>
      <c r="AD4230">
        <v>-1.108849592488</v>
      </c>
      <c r="AE4230">
        <v>-3.9908000000000001</v>
      </c>
      <c r="AF4230">
        <v>3.9211896520377301</v>
      </c>
      <c r="AG4230">
        <v>-1.108849592488</v>
      </c>
      <c r="AH4230">
        <v>15.353756045253901</v>
      </c>
      <c r="AI4230">
        <v>94.002698449703303</v>
      </c>
      <c r="AJ4230">
        <v>75.673490437654294</v>
      </c>
      <c r="AK4230">
        <v>15.8853108374744</v>
      </c>
      <c r="AL4230">
        <v>95.055284252019504</v>
      </c>
      <c r="AM4230">
        <v>88.845789808193601</v>
      </c>
      <c r="AN4230">
        <v>0.99999997114289396</v>
      </c>
    </row>
    <row r="4231" spans="1:40" x14ac:dyDescent="0.25">
      <c r="A4231" t="str">
        <f>"20190305135017907"</f>
        <v>20190305135017907</v>
      </c>
      <c r="B4231" t="str">
        <f>"1551765017904283"</f>
        <v>1551765017904283</v>
      </c>
      <c r="C4231" t="s">
        <v>40</v>
      </c>
      <c r="D4231">
        <v>4.3582809999999998</v>
      </c>
      <c r="E4231">
        <v>0.58674869999999901</v>
      </c>
      <c r="F4231" t="s">
        <v>62</v>
      </c>
      <c r="G4231">
        <v>-201.81100000000001</v>
      </c>
      <c r="H4231" s="1">
        <v>3.3495439999999998E-6</v>
      </c>
      <c r="I4231">
        <v>210.84780000000001</v>
      </c>
      <c r="J4231">
        <v>-216.95930000000001</v>
      </c>
      <c r="K4231">
        <v>1.1089469999999999</v>
      </c>
      <c r="L4231">
        <v>214.81229999999999</v>
      </c>
      <c r="M4231">
        <v>0.99984130000000004</v>
      </c>
      <c r="N4231">
        <v>-1.7311679999999999E-2</v>
      </c>
      <c r="O4231">
        <v>-4.2410700000000004E-3</v>
      </c>
      <c r="P4231">
        <v>0.99414809999999998</v>
      </c>
      <c r="Q4231">
        <v>-0.1050528</v>
      </c>
      <c r="R4231">
        <v>-2.5175570000000001E-2</v>
      </c>
      <c r="S4231">
        <v>2.97702</v>
      </c>
      <c r="T4231">
        <v>-0.21240700000000001</v>
      </c>
      <c r="U4231">
        <v>-0.7598724</v>
      </c>
      <c r="V4231">
        <v>2.0711429999999999E-2</v>
      </c>
      <c r="W4231">
        <v>-8.7883569999999994E-2</v>
      </c>
      <c r="X4231">
        <v>0.99591540000000001</v>
      </c>
      <c r="Y4231">
        <v>0.24248349999999999</v>
      </c>
      <c r="Z4231">
        <v>-1.0413779999999999E-2</v>
      </c>
      <c r="AA4231">
        <v>0.97009959999999995</v>
      </c>
      <c r="AB4231">
        <v>40</v>
      </c>
      <c r="AC4231">
        <v>15.148300000000001</v>
      </c>
      <c r="AD4231">
        <v>-1.108943650456</v>
      </c>
      <c r="AE4231">
        <v>-3.9644999999999802</v>
      </c>
      <c r="AF4231">
        <v>3.8807456086303902</v>
      </c>
      <c r="AG4231">
        <v>-1.108943650456</v>
      </c>
      <c r="AH4231">
        <v>15.0892987043806</v>
      </c>
      <c r="AI4231">
        <v>94.071208018197197</v>
      </c>
      <c r="AJ4231">
        <v>75.576946654481702</v>
      </c>
      <c r="AK4231">
        <v>15.619759213535101</v>
      </c>
      <c r="AL4231">
        <v>95.041862142069206</v>
      </c>
      <c r="AM4231">
        <v>88.808627222768806</v>
      </c>
      <c r="AN4231">
        <v>0.99999998458287398</v>
      </c>
    </row>
    <row r="4232" spans="1:40" x14ac:dyDescent="0.25">
      <c r="A4232" t="str">
        <f>"20190305135017929"</f>
        <v>20190305135017929</v>
      </c>
      <c r="B4232" t="str">
        <f>"1551765017924784"</f>
        <v>1551765017924784</v>
      </c>
      <c r="C4232" t="s">
        <v>40</v>
      </c>
      <c r="D4232">
        <v>4.39018</v>
      </c>
      <c r="E4232">
        <v>0.58669289999999996</v>
      </c>
      <c r="F4232" t="s">
        <v>62</v>
      </c>
      <c r="G4232">
        <v>-201.91409999999999</v>
      </c>
      <c r="H4232" s="1">
        <v>3.3869429999999998E-6</v>
      </c>
      <c r="I4232">
        <v>210.94319999999999</v>
      </c>
      <c r="J4232">
        <v>-216.55840000000001</v>
      </c>
      <c r="K4232">
        <v>1.109027</v>
      </c>
      <c r="L4232">
        <v>214.80959999999999</v>
      </c>
      <c r="M4232">
        <v>0.99982720000000003</v>
      </c>
      <c r="N4232">
        <v>-1.7851909999999999E-2</v>
      </c>
      <c r="O4232">
        <v>-5.2119059999999997E-3</v>
      </c>
      <c r="P4232">
        <v>0.99409800000000004</v>
      </c>
      <c r="Q4232">
        <v>-0.1049529</v>
      </c>
      <c r="R4232">
        <v>-2.74644E-2</v>
      </c>
      <c r="S4232">
        <v>2.9751129999999999</v>
      </c>
      <c r="T4232">
        <v>-0.21928819999999999</v>
      </c>
      <c r="U4232">
        <v>-0.76510619999999996</v>
      </c>
      <c r="V4232">
        <v>2.2039159999999999E-2</v>
      </c>
      <c r="W4232">
        <v>-8.7248939999999997E-2</v>
      </c>
      <c r="X4232">
        <v>0.99594269999999996</v>
      </c>
      <c r="Y4232">
        <v>0.24324319999999999</v>
      </c>
      <c r="Z4232">
        <v>-1.073315E-2</v>
      </c>
      <c r="AA4232">
        <v>0.96990589999999999</v>
      </c>
      <c r="AB4232">
        <v>40</v>
      </c>
      <c r="AC4232">
        <v>14.644299999999999</v>
      </c>
      <c r="AD4232">
        <v>-1.1090236130569999</v>
      </c>
      <c r="AE4232">
        <v>-3.8663999999999898</v>
      </c>
      <c r="AF4232">
        <v>3.7697991384887199</v>
      </c>
      <c r="AG4232">
        <v>-1.1090236130569999</v>
      </c>
      <c r="AH4232">
        <v>14.586053655317199</v>
      </c>
      <c r="AI4232">
        <v>94.210192489457796</v>
      </c>
      <c r="AJ4232">
        <v>75.508876683916299</v>
      </c>
      <c r="AK4232">
        <v>15.1061007594502</v>
      </c>
      <c r="AL4232">
        <v>95.005360319227805</v>
      </c>
      <c r="AM4232">
        <v>88.732311815059802</v>
      </c>
      <c r="AN4232">
        <v>0.999999981893959</v>
      </c>
    </row>
    <row r="4233" spans="1:40" x14ac:dyDescent="0.25">
      <c r="A4233" t="str">
        <f>"20190305135017953"</f>
        <v>20190305135017953</v>
      </c>
      <c r="B4233" t="str">
        <f>"1551765017944299"</f>
        <v>1551765017944299</v>
      </c>
      <c r="C4233" t="s">
        <v>40</v>
      </c>
      <c r="D4233">
        <v>4.3377689999999998</v>
      </c>
      <c r="E4233">
        <v>0.5865821</v>
      </c>
      <c r="F4233" t="s">
        <v>62</v>
      </c>
      <c r="G4233">
        <v>-201.84200000000001</v>
      </c>
      <c r="H4233" s="1">
        <v>3.350817E-6</v>
      </c>
      <c r="I4233">
        <v>210.99039999999999</v>
      </c>
      <c r="J4233">
        <v>-216.15729999999999</v>
      </c>
      <c r="K4233">
        <v>1.1090850000000001</v>
      </c>
      <c r="L4233">
        <v>214.8064</v>
      </c>
      <c r="M4233">
        <v>0.9998129</v>
      </c>
      <c r="N4233">
        <v>-1.8322229999999998E-2</v>
      </c>
      <c r="O4233">
        <v>-6.2036749999999996E-3</v>
      </c>
      <c r="P4233">
        <v>0.99401859999999997</v>
      </c>
      <c r="Q4233">
        <v>-0.1050832</v>
      </c>
      <c r="R4233">
        <v>-2.973868E-2</v>
      </c>
      <c r="S4233">
        <v>2.972839</v>
      </c>
      <c r="T4233">
        <v>-0.2240318</v>
      </c>
      <c r="U4233">
        <v>-0.77149959999999995</v>
      </c>
      <c r="V4233">
        <v>2.3331480000000002E-2</v>
      </c>
      <c r="W4233">
        <v>-8.6914459999999999E-2</v>
      </c>
      <c r="X4233">
        <v>0.99594249999999995</v>
      </c>
      <c r="Y4233">
        <v>0.24437800000000001</v>
      </c>
      <c r="Z4233">
        <v>-1.097761E-2</v>
      </c>
      <c r="AA4233">
        <v>0.96961790000000003</v>
      </c>
      <c r="AB4233">
        <v>39</v>
      </c>
      <c r="AC4233">
        <v>14.315299999999899</v>
      </c>
      <c r="AD4233">
        <v>-1.109081649183</v>
      </c>
      <c r="AE4233">
        <v>-3.8159999999999998</v>
      </c>
      <c r="AF4233">
        <v>3.7063331660732302</v>
      </c>
      <c r="AG4233">
        <v>-1.109081649183</v>
      </c>
      <c r="AH4233">
        <v>14.2587926346628</v>
      </c>
      <c r="AI4233">
        <v>94.305144997965002</v>
      </c>
      <c r="AJ4233">
        <v>75.429370496079798</v>
      </c>
      <c r="AK4233">
        <v>14.774306584094001</v>
      </c>
      <c r="AL4233">
        <v>94.986122994911796</v>
      </c>
      <c r="AM4233">
        <v>88.6580039823926</v>
      </c>
      <c r="AN4233">
        <v>0.999999972311165</v>
      </c>
    </row>
    <row r="4234" spans="1:40" x14ac:dyDescent="0.25">
      <c r="A4234" t="str">
        <f>"20190305135017973"</f>
        <v>20190305135017973</v>
      </c>
      <c r="B4234" t="str">
        <f>"1551765017964795"</f>
        <v>1551765017964795</v>
      </c>
      <c r="C4234" t="s">
        <v>40</v>
      </c>
      <c r="D4234">
        <v>4.3023350000000002</v>
      </c>
      <c r="E4234">
        <v>0.58652280000000001</v>
      </c>
      <c r="F4234" t="s">
        <v>62</v>
      </c>
      <c r="G4234">
        <v>-201.91399999999999</v>
      </c>
      <c r="H4234" s="1">
        <v>3.3751340000000002E-6</v>
      </c>
      <c r="I4234">
        <v>211.07749999999999</v>
      </c>
      <c r="J4234">
        <v>-215.78819999999999</v>
      </c>
      <c r="K4234">
        <v>1.1091139999999999</v>
      </c>
      <c r="L4234">
        <v>214.8031</v>
      </c>
      <c r="M4234">
        <v>0.99979960000000001</v>
      </c>
      <c r="N4234">
        <v>-1.8701079999999998E-2</v>
      </c>
      <c r="O4234">
        <v>-7.1547440000000002E-3</v>
      </c>
      <c r="P4234">
        <v>0.9939308</v>
      </c>
      <c r="Q4234">
        <v>-0.1052903</v>
      </c>
      <c r="R4234">
        <v>-3.1874609999999998E-2</v>
      </c>
      <c r="S4234">
        <v>2.9703520000000001</v>
      </c>
      <c r="T4234">
        <v>-0.23129240000000001</v>
      </c>
      <c r="U4234">
        <v>-0.77763369999999998</v>
      </c>
      <c r="V4234">
        <v>2.4523130000000001E-2</v>
      </c>
      <c r="W4234">
        <v>-8.6748169999999999E-2</v>
      </c>
      <c r="X4234">
        <v>0.99592840000000005</v>
      </c>
      <c r="Y4234">
        <v>0.24547369999999999</v>
      </c>
      <c r="Z4234">
        <v>-1.130741E-2</v>
      </c>
      <c r="AA4234">
        <v>0.96933729999999996</v>
      </c>
      <c r="AB4234">
        <v>39</v>
      </c>
      <c r="AC4234">
        <v>13.874199999999901</v>
      </c>
      <c r="AD4234">
        <v>-1.1091106248660001</v>
      </c>
      <c r="AE4234">
        <v>-3.7256000000000098</v>
      </c>
      <c r="AF4234">
        <v>3.6047342392066599</v>
      </c>
      <c r="AG4234">
        <v>-1.1091106248660001</v>
      </c>
      <c r="AH4234">
        <v>13.8181396339792</v>
      </c>
      <c r="AI4234">
        <v>94.440997988096996</v>
      </c>
      <c r="AJ4234">
        <v>75.379117622753199</v>
      </c>
      <c r="AK4234">
        <v>14.3235895730661</v>
      </c>
      <c r="AL4234">
        <v>94.976559001937503</v>
      </c>
      <c r="AM4234">
        <v>88.589468899109804</v>
      </c>
      <c r="AN4234">
        <v>1.0000000034149501</v>
      </c>
    </row>
    <row r="4235" spans="1:40" x14ac:dyDescent="0.25">
      <c r="A4235" t="str">
        <f>"20190305135017996"</f>
        <v>20190305135017996</v>
      </c>
      <c r="B4235" t="str">
        <f>"1551765017984315"</f>
        <v>1551765017984315</v>
      </c>
      <c r="C4235" t="s">
        <v>40</v>
      </c>
      <c r="D4235">
        <v>4.3425779999999996</v>
      </c>
      <c r="E4235">
        <v>0.5889894</v>
      </c>
      <c r="F4235" t="s">
        <v>62</v>
      </c>
      <c r="G4235">
        <v>-201.91810000000001</v>
      </c>
      <c r="H4235" s="1">
        <v>3.3713790000000001E-6</v>
      </c>
      <c r="I4235">
        <v>211.1414</v>
      </c>
      <c r="J4235">
        <v>-215.39599999999999</v>
      </c>
      <c r="K4235">
        <v>1.109121</v>
      </c>
      <c r="L4235">
        <v>214.79910000000001</v>
      </c>
      <c r="M4235">
        <v>0.99978469999999997</v>
      </c>
      <c r="N4235">
        <v>-1.9055389999999998E-2</v>
      </c>
      <c r="O4235">
        <v>-8.2110280000000004E-3</v>
      </c>
      <c r="P4235">
        <v>0.99380119999999905</v>
      </c>
      <c r="Q4235">
        <v>-0.10590239999999999</v>
      </c>
      <c r="R4235">
        <v>-3.382367E-2</v>
      </c>
      <c r="S4235">
        <v>2.9680629999999999</v>
      </c>
      <c r="T4235">
        <v>-0.2373391</v>
      </c>
      <c r="U4235">
        <v>-0.78355410000000003</v>
      </c>
      <c r="V4235">
        <v>2.5420620000000001E-2</v>
      </c>
      <c r="W4235">
        <v>-8.7011759999999994E-2</v>
      </c>
      <c r="X4235">
        <v>0.99588290000000002</v>
      </c>
      <c r="Y4235">
        <v>0.2463948</v>
      </c>
      <c r="Z4235">
        <v>-1.157187E-2</v>
      </c>
      <c r="AA4235">
        <v>0.96910050000000003</v>
      </c>
      <c r="AB4235">
        <v>39</v>
      </c>
      <c r="AC4235">
        <v>13.477899999999901</v>
      </c>
      <c r="AD4235">
        <v>-1.1091176286210001</v>
      </c>
      <c r="AE4235">
        <v>-3.6577000000000002</v>
      </c>
      <c r="AF4235">
        <v>3.5246578266505502</v>
      </c>
      <c r="AG4235">
        <v>-1.1091176286210001</v>
      </c>
      <c r="AH4235">
        <v>13.4228217496801</v>
      </c>
      <c r="AI4235">
        <v>94.569358617828897</v>
      </c>
      <c r="AJ4235">
        <v>75.287035472237903</v>
      </c>
      <c r="AK4235">
        <v>13.9221226266964</v>
      </c>
      <c r="AL4235">
        <v>94.991718924377693</v>
      </c>
      <c r="AM4235">
        <v>88.5378019542961</v>
      </c>
      <c r="AN4235">
        <v>1.0000000024059399</v>
      </c>
    </row>
    <row r="4236" spans="1:40" x14ac:dyDescent="0.25">
      <c r="A4236" t="str">
        <f>"20190305135018019"</f>
        <v>20190305135018019</v>
      </c>
      <c r="B4236" t="str">
        <f>"1551765018014571"</f>
        <v>1551765018014571</v>
      </c>
      <c r="C4236" t="s">
        <v>40</v>
      </c>
      <c r="D4236">
        <v>6.9146669999999997</v>
      </c>
      <c r="E4236">
        <v>0.59059539999999999</v>
      </c>
      <c r="F4236" t="s">
        <v>62</v>
      </c>
      <c r="G4236">
        <v>-205.95339999999999</v>
      </c>
      <c r="H4236" s="1">
        <v>5.0678790000000003E-6</v>
      </c>
      <c r="I4236">
        <v>212.20480000000001</v>
      </c>
      <c r="J4236">
        <v>-215.01079999999999</v>
      </c>
      <c r="K4236">
        <v>1.1090960000000001</v>
      </c>
      <c r="L4236">
        <v>214.79480000000001</v>
      </c>
      <c r="M4236">
        <v>0.99976909999999997</v>
      </c>
      <c r="N4236">
        <v>-1.9368549999999998E-2</v>
      </c>
      <c r="O4236">
        <v>-9.3199489999999992E-3</v>
      </c>
      <c r="P4236">
        <v>0.99372990000000005</v>
      </c>
      <c r="Q4236">
        <v>-0.1058255</v>
      </c>
      <c r="R4236">
        <v>-3.6085899999999997E-2</v>
      </c>
      <c r="S4236">
        <v>2.954132</v>
      </c>
      <c r="T4236">
        <v>-0.34698889999999999</v>
      </c>
      <c r="U4236">
        <v>-0.81164550000000002</v>
      </c>
      <c r="V4236">
        <v>2.6575919999999999E-2</v>
      </c>
      <c r="W4236">
        <v>-8.6628469999999999E-2</v>
      </c>
      <c r="X4236">
        <v>0.9958861</v>
      </c>
      <c r="Y4236">
        <v>0.25406400000000001</v>
      </c>
      <c r="Z4236">
        <v>-1.62226E-2</v>
      </c>
      <c r="AA4236">
        <v>0.96705129999999995</v>
      </c>
      <c r="AB4236">
        <v>39</v>
      </c>
      <c r="AC4236">
        <v>9.0573999999999995</v>
      </c>
      <c r="AD4236">
        <v>-1.1090909321210001</v>
      </c>
      <c r="AE4236">
        <v>-2.59</v>
      </c>
      <c r="AF4236">
        <v>2.4712039492148898</v>
      </c>
      <c r="AG4236">
        <v>-1.1090909321210001</v>
      </c>
      <c r="AH4236">
        <v>8.9569973469816802</v>
      </c>
      <c r="AI4236">
        <v>96.806866877545005</v>
      </c>
      <c r="AJ4236">
        <v>74.576007055039895</v>
      </c>
      <c r="AK4236">
        <v>9.3576029584592408</v>
      </c>
      <c r="AL4236">
        <v>94.969675058679101</v>
      </c>
      <c r="AM4236">
        <v>88.471384671305302</v>
      </c>
      <c r="AN4236">
        <v>0.99999994775579704</v>
      </c>
    </row>
    <row r="4237" spans="1:40" x14ac:dyDescent="0.25">
      <c r="A4237" t="str">
        <f>"20190305135018040"</f>
        <v>20190305135018040</v>
      </c>
      <c r="B4237" t="str">
        <f>"1551765018035068"</f>
        <v>1551765018035068</v>
      </c>
      <c r="C4237" t="s">
        <v>40</v>
      </c>
      <c r="D4237">
        <v>4.3528180000000001</v>
      </c>
      <c r="E4237">
        <v>0.59165900000000005</v>
      </c>
      <c r="F4237" t="s">
        <v>62</v>
      </c>
      <c r="G4237">
        <v>-205.09649999999999</v>
      </c>
      <c r="H4237" s="1">
        <v>4.7052929999999997E-6</v>
      </c>
      <c r="I4237">
        <v>212.00569999999999</v>
      </c>
      <c r="J4237">
        <v>-214.61689999999999</v>
      </c>
      <c r="K4237">
        <v>1.109057</v>
      </c>
      <c r="L4237">
        <v>214.78980000000001</v>
      </c>
      <c r="M4237">
        <v>0.99975069999999999</v>
      </c>
      <c r="N4237">
        <v>-1.9668990000000001E-2</v>
      </c>
      <c r="O4237">
        <v>-1.057028E-2</v>
      </c>
      <c r="P4237">
        <v>0.99374580000000001</v>
      </c>
      <c r="Q4237">
        <v>-0.10505200000000001</v>
      </c>
      <c r="R4237">
        <v>-3.786962E-2</v>
      </c>
      <c r="S4237">
        <v>2.9535830000000001</v>
      </c>
      <c r="T4237">
        <v>-0.33040930000000002</v>
      </c>
      <c r="U4237">
        <v>-0.83088680000000004</v>
      </c>
      <c r="V4237">
        <v>2.7105779999999999E-2</v>
      </c>
      <c r="W4237">
        <v>-8.556018E-2</v>
      </c>
      <c r="X4237">
        <v>0.99596419999999997</v>
      </c>
      <c r="Y4237">
        <v>0.25887559999999998</v>
      </c>
      <c r="Z4237">
        <v>-1.5813290000000001E-2</v>
      </c>
      <c r="AA4237">
        <v>0.96578120000000001</v>
      </c>
      <c r="AB4237">
        <v>39</v>
      </c>
      <c r="AC4237">
        <v>9.5203999999999898</v>
      </c>
      <c r="AD4237">
        <v>-1.1090522947070001</v>
      </c>
      <c r="AE4237">
        <v>-2.78410000000002</v>
      </c>
      <c r="AF4237">
        <v>2.6501610793702399</v>
      </c>
      <c r="AG4237">
        <v>-1.1090522947070001</v>
      </c>
      <c r="AH4237">
        <v>9.4313972447183598</v>
      </c>
      <c r="AI4237">
        <v>96.458793832985606</v>
      </c>
      <c r="AJ4237">
        <v>74.3049835227513</v>
      </c>
      <c r="AK4237">
        <v>9.8592395612787893</v>
      </c>
      <c r="AL4237">
        <v>94.908238282051997</v>
      </c>
      <c r="AM4237">
        <v>88.441044846034302</v>
      </c>
      <c r="AN4237">
        <v>0.99999997769633997</v>
      </c>
    </row>
    <row r="4238" spans="1:40" x14ac:dyDescent="0.25">
      <c r="A4238" t="str">
        <f>"20190305135018057"</f>
        <v>20190305135018057</v>
      </c>
      <c r="B4238" t="str">
        <f>"1551765018054588"</f>
        <v>1551765018054588</v>
      </c>
      <c r="C4238" t="s">
        <v>40</v>
      </c>
      <c r="D4238">
        <v>4.3528929999999999</v>
      </c>
      <c r="E4238">
        <v>0.59225890000000003</v>
      </c>
      <c r="F4238" t="s">
        <v>62</v>
      </c>
      <c r="G4238">
        <v>-203.90530000000001</v>
      </c>
      <c r="H4238" s="1">
        <v>4.2012499999999998E-6</v>
      </c>
      <c r="I4238">
        <v>211.72919999999999</v>
      </c>
      <c r="J4238">
        <v>-214.33519999999999</v>
      </c>
      <c r="K4238">
        <v>1.109</v>
      </c>
      <c r="L4238">
        <v>214.7859</v>
      </c>
      <c r="M4238">
        <v>0.9997357</v>
      </c>
      <c r="N4238">
        <v>-1.9871509999999998E-2</v>
      </c>
      <c r="O4238">
        <v>-1.156858E-2</v>
      </c>
      <c r="P4238">
        <v>0.99376750000000003</v>
      </c>
      <c r="Q4238">
        <v>-0.1045085</v>
      </c>
      <c r="R4238">
        <v>-3.878496E-2</v>
      </c>
      <c r="S4238">
        <v>2.9543910000000002</v>
      </c>
      <c r="T4238">
        <v>-0.30589060000000001</v>
      </c>
      <c r="U4238">
        <v>-0.84416199999999997</v>
      </c>
      <c r="V4238">
        <v>2.7015589999999999E-2</v>
      </c>
      <c r="W4238">
        <v>-8.4818420000000005E-2</v>
      </c>
      <c r="X4238">
        <v>0.99603010000000003</v>
      </c>
      <c r="Y4238">
        <v>0.26206889999999999</v>
      </c>
      <c r="Z4238">
        <v>-1.4984559999999999E-2</v>
      </c>
      <c r="AA4238">
        <v>0.96493280000000003</v>
      </c>
      <c r="AB4238">
        <v>38</v>
      </c>
      <c r="AC4238">
        <v>10.4298999999999</v>
      </c>
      <c r="AD4238">
        <v>-1.1089957987500001</v>
      </c>
      <c r="AE4238">
        <v>-3.0567000000000002</v>
      </c>
      <c r="AF4238">
        <v>2.9055611575771301</v>
      </c>
      <c r="AG4238">
        <v>-1.1089957987500001</v>
      </c>
      <c r="AH4238">
        <v>10.3567411825537</v>
      </c>
      <c r="AI4238">
        <v>95.886347807129297</v>
      </c>
      <c r="AJ4238">
        <v>74.328651829127693</v>
      </c>
      <c r="AK4238">
        <v>10.8136138845656</v>
      </c>
      <c r="AL4238">
        <v>94.865583476073596</v>
      </c>
      <c r="AM4238">
        <v>88.446332215689907</v>
      </c>
      <c r="AN4238">
        <v>0.99999998329017703</v>
      </c>
    </row>
    <row r="4239" spans="1:40" x14ac:dyDescent="0.25">
      <c r="A4239" t="str">
        <f>"20190305135018074"</f>
        <v>20190305135018074</v>
      </c>
      <c r="B4239" t="str">
        <f>"1551765018064348"</f>
        <v>1551765018064348</v>
      </c>
      <c r="C4239" t="s">
        <v>40</v>
      </c>
      <c r="D4239">
        <v>4.6259230000000002</v>
      </c>
      <c r="E4239">
        <v>0.59225890000000003</v>
      </c>
      <c r="F4239" t="s">
        <v>62</v>
      </c>
      <c r="G4239">
        <v>-203.19380000000001</v>
      </c>
      <c r="H4239" s="1">
        <v>3.8990999999999997E-6</v>
      </c>
      <c r="I4239">
        <v>211.57570000000001</v>
      </c>
      <c r="J4239">
        <v>-214.05539999999999</v>
      </c>
      <c r="K4239">
        <v>1.108927</v>
      </c>
      <c r="L4239">
        <v>214.7816</v>
      </c>
      <c r="M4239">
        <v>0.99971849999999995</v>
      </c>
      <c r="N4239">
        <v>-2.0065039999999999E-2</v>
      </c>
      <c r="O4239">
        <v>-1.2662400000000001E-2</v>
      </c>
      <c r="P4239">
        <v>0.99390219999999996</v>
      </c>
      <c r="Q4239">
        <v>-0.1032057</v>
      </c>
      <c r="R4239">
        <v>-3.8822790000000003E-2</v>
      </c>
      <c r="S4239">
        <v>2.954666</v>
      </c>
      <c r="T4239">
        <v>-0.29410199999999997</v>
      </c>
      <c r="U4239">
        <v>-0.85131840000000003</v>
      </c>
      <c r="V4239">
        <v>2.5949099999999999E-2</v>
      </c>
      <c r="W4239">
        <v>-8.3322530000000006E-2</v>
      </c>
      <c r="X4239">
        <v>0.99618470000000003</v>
      </c>
      <c r="Y4239">
        <v>0.2632486</v>
      </c>
      <c r="Z4239">
        <v>-1.452882E-2</v>
      </c>
      <c r="AA4239">
        <v>0.96461859999999999</v>
      </c>
      <c r="AB4239">
        <v>38</v>
      </c>
      <c r="AC4239">
        <v>10.8615999999999</v>
      </c>
      <c r="AD4239">
        <v>-1.1089231009</v>
      </c>
      <c r="AE4239">
        <v>-3.2058999999999802</v>
      </c>
      <c r="AF4239">
        <v>3.0389431877369999</v>
      </c>
      <c r="AG4239">
        <v>-1.1089231009</v>
      </c>
      <c r="AH4239">
        <v>10.7977996904019</v>
      </c>
      <c r="AI4239">
        <v>95.645822063625701</v>
      </c>
      <c r="AJ4239">
        <v>74.281223119900602</v>
      </c>
      <c r="AK4239">
        <v>11.271972511324099</v>
      </c>
      <c r="AL4239">
        <v>94.7795708062133</v>
      </c>
      <c r="AM4239">
        <v>88.507869295048195</v>
      </c>
      <c r="AN4239">
        <v>0.99999997815524999</v>
      </c>
    </row>
    <row r="4240" spans="1:40" x14ac:dyDescent="0.25">
      <c r="A4240" t="str">
        <f>"20190305135018096"</f>
        <v>20190305135018096</v>
      </c>
      <c r="B4240" t="str">
        <f>"1551765018084844"</f>
        <v>1551765018084844</v>
      </c>
      <c r="C4240" t="s">
        <v>40</v>
      </c>
      <c r="D4240">
        <v>4.3366769999999999</v>
      </c>
      <c r="E4240">
        <v>0.58631650000000002</v>
      </c>
      <c r="F4240" t="s">
        <v>62</v>
      </c>
      <c r="G4240">
        <v>-202.77269999999999</v>
      </c>
      <c r="H4240" s="1">
        <v>3.7162990000000001E-6</v>
      </c>
      <c r="I4240">
        <v>211.53100000000001</v>
      </c>
      <c r="J4240">
        <v>-213.67330000000001</v>
      </c>
      <c r="K4240">
        <v>1.108784</v>
      </c>
      <c r="L4240">
        <v>214.77510000000001</v>
      </c>
      <c r="M4240">
        <v>0.99969019999999997</v>
      </c>
      <c r="N4240">
        <v>-2.0318880000000001E-2</v>
      </c>
      <c r="O4240">
        <v>-1.43784E-2</v>
      </c>
      <c r="P4240">
        <v>0.99400750000000004</v>
      </c>
      <c r="Q4240">
        <v>-0.10172879999999999</v>
      </c>
      <c r="R4240">
        <v>-4.0004499999999998E-2</v>
      </c>
      <c r="S4240">
        <v>2.954987</v>
      </c>
      <c r="T4240">
        <v>-0.290433</v>
      </c>
      <c r="U4240">
        <v>-0.85136409999999996</v>
      </c>
      <c r="V4240">
        <v>2.5393909999999999E-2</v>
      </c>
      <c r="W4240">
        <v>-8.1598589999999999E-2</v>
      </c>
      <c r="X4240">
        <v>0.9963417</v>
      </c>
      <c r="Y4240">
        <v>0.2616211</v>
      </c>
      <c r="Z4240">
        <v>-1.4195279999999999E-2</v>
      </c>
      <c r="AA4240">
        <v>0.96506630000000004</v>
      </c>
      <c r="AB4240">
        <v>38</v>
      </c>
      <c r="AC4240">
        <v>10.900600000000001</v>
      </c>
      <c r="AD4240">
        <v>-1.1087802837009999</v>
      </c>
      <c r="AE4240">
        <v>-3.2441000000000302</v>
      </c>
      <c r="AF4240">
        <v>3.0579345226885701</v>
      </c>
      <c r="AG4240">
        <v>-1.1087802837009999</v>
      </c>
      <c r="AH4240">
        <v>10.843068285569201</v>
      </c>
      <c r="AI4240">
        <v>95.620842843246805</v>
      </c>
      <c r="AJ4240">
        <v>74.250621674445398</v>
      </c>
      <c r="AK4240">
        <v>11.320445534875899</v>
      </c>
      <c r="AL4240">
        <v>94.680458744933404</v>
      </c>
      <c r="AM4240">
        <v>88.540009973067896</v>
      </c>
      <c r="AN4240">
        <v>0.99999998185698202</v>
      </c>
    </row>
    <row r="4241" spans="1:40" x14ac:dyDescent="0.25">
      <c r="A4241" t="str">
        <f>"20190305135018119"</f>
        <v>20190305135018119</v>
      </c>
      <c r="B4241" t="str">
        <f>"1551765018115100"</f>
        <v>1551765018115100</v>
      </c>
      <c r="C4241" t="s">
        <v>40</v>
      </c>
      <c r="D4241">
        <v>4.4262969999999999</v>
      </c>
      <c r="E4241">
        <v>0.50186719999999996</v>
      </c>
      <c r="F4241" t="s">
        <v>62</v>
      </c>
      <c r="G4241">
        <v>-201.7</v>
      </c>
      <c r="H4241" s="1">
        <v>3.242812E-6</v>
      </c>
      <c r="I4241">
        <v>211.50579999999999</v>
      </c>
      <c r="J4241">
        <v>-213.29239999999999</v>
      </c>
      <c r="K4241">
        <v>1.108608</v>
      </c>
      <c r="L4241">
        <v>214.76759999999999</v>
      </c>
      <c r="M4241">
        <v>0.99965510000000002</v>
      </c>
      <c r="N4241">
        <v>-2.0558710000000001E-2</v>
      </c>
      <c r="O4241">
        <v>-1.6348709999999999E-2</v>
      </c>
      <c r="P4241">
        <v>0.99403739999999996</v>
      </c>
      <c r="Q4241">
        <v>-0.1005096</v>
      </c>
      <c r="R4241">
        <v>-4.2280119999999997E-2</v>
      </c>
      <c r="S4241">
        <v>2.9575499999999999</v>
      </c>
      <c r="T4241">
        <v>-0.27388370000000001</v>
      </c>
      <c r="U4241">
        <v>-0.80755619999999995</v>
      </c>
      <c r="V4241">
        <v>2.5674160000000001E-2</v>
      </c>
      <c r="W4241">
        <v>-8.0152349999999997E-2</v>
      </c>
      <c r="X4241">
        <v>0.99645189999999995</v>
      </c>
      <c r="Y4241">
        <v>0.24642359999999999</v>
      </c>
      <c r="Z4241">
        <v>-1.261428E-2</v>
      </c>
      <c r="AA4241">
        <v>0.96908019999999995</v>
      </c>
      <c r="AB4241">
        <v>38</v>
      </c>
      <c r="AC4241">
        <v>11.5923999999999</v>
      </c>
      <c r="AD4241">
        <v>-1.108604757188</v>
      </c>
      <c r="AE4241">
        <v>-3.2617999999999898</v>
      </c>
      <c r="AF4241">
        <v>3.0459896789881502</v>
      </c>
      <c r="AG4241">
        <v>-1.108604757188</v>
      </c>
      <c r="AH4241">
        <v>11.5463375693025</v>
      </c>
      <c r="AI4241">
        <v>95.303989930491696</v>
      </c>
      <c r="AJ4241">
        <v>75.221730047281</v>
      </c>
      <c r="AK4241">
        <v>11.9927048198665</v>
      </c>
      <c r="AL4241">
        <v>94.597322982705293</v>
      </c>
      <c r="AM4241">
        <v>88.524067624007799</v>
      </c>
      <c r="AN4241">
        <v>0.99999997535791796</v>
      </c>
    </row>
    <row r="4242" spans="1:40" x14ac:dyDescent="0.25">
      <c r="A4242" t="str">
        <f>"20190305135018137"</f>
        <v>20190305135018137</v>
      </c>
      <c r="B4242" t="str">
        <f>"1551765018124859"</f>
        <v>1551765018124859</v>
      </c>
      <c r="C4242" t="s">
        <v>40</v>
      </c>
      <c r="D4242">
        <v>4.3372400000000004</v>
      </c>
      <c r="E4242">
        <v>0.5007933</v>
      </c>
      <c r="F4242" t="s">
        <v>62</v>
      </c>
      <c r="G4242">
        <v>-196.381</v>
      </c>
      <c r="H4242" s="1">
        <v>2.8883419999999998E-6</v>
      </c>
      <c r="I4242">
        <v>213.98</v>
      </c>
      <c r="J4242">
        <v>-212.99189999999999</v>
      </c>
      <c r="K4242">
        <v>1.1084540000000001</v>
      </c>
      <c r="L4242">
        <v>214.761</v>
      </c>
      <c r="M4242">
        <v>0.99962099999999998</v>
      </c>
      <c r="N4242">
        <v>-2.0746279999999999E-2</v>
      </c>
      <c r="O4242">
        <v>-1.809537E-2</v>
      </c>
      <c r="P4242">
        <v>0.99398200000000003</v>
      </c>
      <c r="Q4242">
        <v>-9.9954719999999997E-2</v>
      </c>
      <c r="R4242">
        <v>-4.4824559999999999E-2</v>
      </c>
      <c r="S4242">
        <v>2.9922179999999998</v>
      </c>
      <c r="T4242">
        <v>-0.19615099999999999</v>
      </c>
      <c r="U4242">
        <v>-0.1393585</v>
      </c>
      <c r="V4242">
        <v>2.645049E-2</v>
      </c>
      <c r="W4242">
        <v>-7.9424670000000003E-2</v>
      </c>
      <c r="X4242">
        <v>0.99648990000000004</v>
      </c>
      <c r="Y4242">
        <v>2.8373949999999998E-2</v>
      </c>
      <c r="Z4242">
        <v>-4.1433829999999998E-4</v>
      </c>
      <c r="AA4242">
        <v>0.99959730000000002</v>
      </c>
      <c r="AB4242">
        <v>38</v>
      </c>
      <c r="AC4242">
        <v>16.610900000000001</v>
      </c>
      <c r="AD4242">
        <v>-1.108451111658</v>
      </c>
      <c r="AE4242">
        <v>-0.78100000000000502</v>
      </c>
      <c r="AF4242">
        <v>0.47810271246800001</v>
      </c>
      <c r="AG4242">
        <v>-1.108451111658</v>
      </c>
      <c r="AH4242">
        <v>16.5487863808486</v>
      </c>
      <c r="AI4242">
        <v>93.830400440434204</v>
      </c>
      <c r="AJ4242">
        <v>88.345156592243697</v>
      </c>
      <c r="AK4242">
        <v>16.5927567555715</v>
      </c>
      <c r="AL4242">
        <v>94.555496462648406</v>
      </c>
      <c r="AM4242">
        <v>88.479517283740705</v>
      </c>
      <c r="AN4242">
        <v>1.00000001371392</v>
      </c>
    </row>
    <row r="4243" spans="1:40" x14ac:dyDescent="0.25">
      <c r="A4243" t="str">
        <f>"20190305135018153"</f>
        <v>20190305135018153</v>
      </c>
      <c r="B4243" t="str">
        <f>"1551765018144380"</f>
        <v>1551765018144380</v>
      </c>
      <c r="C4243" t="s">
        <v>40</v>
      </c>
      <c r="D4243">
        <v>4.3032769999999996</v>
      </c>
      <c r="E4243">
        <v>0.50024179999999996</v>
      </c>
      <c r="F4243" t="s">
        <v>62</v>
      </c>
      <c r="G4243">
        <v>-194.8879</v>
      </c>
      <c r="H4243" s="1">
        <v>3.1579779999999999E-6</v>
      </c>
      <c r="I4243">
        <v>213.9254</v>
      </c>
      <c r="J4243">
        <v>-212.72579999999999</v>
      </c>
      <c r="K4243">
        <v>1.1083190000000001</v>
      </c>
      <c r="L4243">
        <v>214.75460000000001</v>
      </c>
      <c r="M4243">
        <v>0.99958539999999996</v>
      </c>
      <c r="N4243">
        <v>-2.091937E-2</v>
      </c>
      <c r="O4243">
        <v>-1.9784840000000001E-2</v>
      </c>
      <c r="P4243">
        <v>0.99382859999999995</v>
      </c>
      <c r="Q4243">
        <v>-0.1000224</v>
      </c>
      <c r="R4243">
        <v>-4.7960999999999997E-2</v>
      </c>
      <c r="S4243">
        <v>2.9935</v>
      </c>
      <c r="T4243">
        <v>-0.183282</v>
      </c>
      <c r="U4243">
        <v>-0.13816829999999999</v>
      </c>
      <c r="V4243">
        <v>2.7877760000000001E-2</v>
      </c>
      <c r="W4243">
        <v>-7.9338610000000004E-2</v>
      </c>
      <c r="X4243">
        <v>0.99645779999999995</v>
      </c>
      <c r="Y4243">
        <v>2.6279940000000002E-2</v>
      </c>
      <c r="Z4243">
        <v>-2.828757E-4</v>
      </c>
      <c r="AA4243">
        <v>0.99965459999999995</v>
      </c>
      <c r="AB4243">
        <v>38</v>
      </c>
      <c r="AC4243">
        <v>17.837899999999902</v>
      </c>
      <c r="AD4243">
        <v>-1.1083158420220001</v>
      </c>
      <c r="AE4243">
        <v>-0.82920000000001404</v>
      </c>
      <c r="AF4243">
        <v>0.47421364460535198</v>
      </c>
      <c r="AG4243">
        <v>-1.1083158420220001</v>
      </c>
      <c r="AH4243">
        <v>17.782316086242101</v>
      </c>
      <c r="AI4243">
        <v>93.565188184956895</v>
      </c>
      <c r="AJ4243">
        <v>88.472414834263304</v>
      </c>
      <c r="AK4243">
        <v>17.8231312618583</v>
      </c>
      <c r="AL4243">
        <v>94.550550196521598</v>
      </c>
      <c r="AM4243">
        <v>88.397462036465996</v>
      </c>
      <c r="AN4243">
        <v>0.99999996586009399</v>
      </c>
    </row>
    <row r="4244" spans="1:40" x14ac:dyDescent="0.25">
      <c r="A4244" t="str">
        <f>"20190305135018174"</f>
        <v>20190305135018174</v>
      </c>
      <c r="B4244" t="str">
        <f>"1551765018164876"</f>
        <v>1551765018164876</v>
      </c>
      <c r="C4244" t="s">
        <v>40</v>
      </c>
      <c r="D4244">
        <v>4.308611</v>
      </c>
      <c r="E4244">
        <v>0.50018379999999996</v>
      </c>
      <c r="F4244" t="s">
        <v>62</v>
      </c>
      <c r="G4244">
        <v>-193.75839999999999</v>
      </c>
      <c r="H4244" s="1">
        <v>3.3651679999999999E-6</v>
      </c>
      <c r="I4244">
        <v>213.84719999999999</v>
      </c>
      <c r="J4244">
        <v>-212.36060000000001</v>
      </c>
      <c r="K4244">
        <v>1.1081350000000001</v>
      </c>
      <c r="L4244">
        <v>214.74469999999999</v>
      </c>
      <c r="M4244">
        <v>0.99952540000000001</v>
      </c>
      <c r="N4244">
        <v>-2.118954E-2</v>
      </c>
      <c r="O4244">
        <v>-2.2362320000000002E-2</v>
      </c>
      <c r="P4244">
        <v>0.99360599999999999</v>
      </c>
      <c r="Q4244">
        <v>-0.1000012</v>
      </c>
      <c r="R4244">
        <v>-5.24115E-2</v>
      </c>
      <c r="S4244">
        <v>2.9940950000000002</v>
      </c>
      <c r="T4244">
        <v>-0.174953</v>
      </c>
      <c r="U4244">
        <v>-0.14323429999999901</v>
      </c>
      <c r="V4244">
        <v>2.9725209999999998E-2</v>
      </c>
      <c r="W4244">
        <v>-7.9075309999999996E-2</v>
      </c>
      <c r="X4244">
        <v>0.99642540000000002</v>
      </c>
      <c r="Y4244">
        <v>2.5387050000000001E-2</v>
      </c>
      <c r="Z4244">
        <v>-1.7901749999999999E-4</v>
      </c>
      <c r="AA4244">
        <v>0.9996777</v>
      </c>
      <c r="AB4244">
        <v>37</v>
      </c>
      <c r="AC4244">
        <v>18.6022</v>
      </c>
      <c r="AD4244">
        <v>-1.1081316348320001</v>
      </c>
      <c r="AE4244">
        <v>-0.89750000000000696</v>
      </c>
      <c r="AF4244">
        <v>0.47949613696271098</v>
      </c>
      <c r="AG4244">
        <v>-1.1081316348320001</v>
      </c>
      <c r="AH4244">
        <v>18.551940705324601</v>
      </c>
      <c r="AI4244">
        <v>93.417151797367296</v>
      </c>
      <c r="AJ4244">
        <v>88.519454634371598</v>
      </c>
      <c r="AK4244">
        <v>18.591190822520101</v>
      </c>
      <c r="AL4244">
        <v>94.535416355168394</v>
      </c>
      <c r="AM4244">
        <v>88.291267845346098</v>
      </c>
      <c r="AN4244">
        <v>1.00000003526314</v>
      </c>
    </row>
    <row r="4245" spans="1:40" x14ac:dyDescent="0.25">
      <c r="A4245" t="str">
        <f>"20190305135018197"</f>
        <v>20190305135018197</v>
      </c>
      <c r="B4245" t="str">
        <f>"1551765018195132"</f>
        <v>1551765018195132</v>
      </c>
      <c r="C4245" t="s">
        <v>40</v>
      </c>
      <c r="D4245">
        <v>4.343242</v>
      </c>
      <c r="E4245">
        <v>0.50041279999999999</v>
      </c>
      <c r="F4245" t="s">
        <v>62</v>
      </c>
      <c r="G4245">
        <v>-193.46190000000001</v>
      </c>
      <c r="H4245" s="1">
        <v>3.4253920000000001E-6</v>
      </c>
      <c r="I4245">
        <v>213.75980000000001</v>
      </c>
      <c r="J4245">
        <v>-211.988</v>
      </c>
      <c r="K4245">
        <v>1.1079669999999999</v>
      </c>
      <c r="L4245">
        <v>214.73339999999999</v>
      </c>
      <c r="M4245">
        <v>0.99944940000000004</v>
      </c>
      <c r="N4245">
        <v>-2.151846E-2</v>
      </c>
      <c r="O4245">
        <v>-2.5257249999999998E-2</v>
      </c>
      <c r="P4245">
        <v>0.99331400000000003</v>
      </c>
      <c r="Q4245">
        <v>-0.1002444</v>
      </c>
      <c r="R4245">
        <v>-5.7258490000000002E-2</v>
      </c>
      <c r="S4245">
        <v>2.9934080000000001</v>
      </c>
      <c r="T4245">
        <v>-0.17552010000000001</v>
      </c>
      <c r="U4245">
        <v>-0.1560059</v>
      </c>
      <c r="V4245">
        <v>3.1653689999999998E-2</v>
      </c>
      <c r="W4245">
        <v>-7.9021300000000003E-2</v>
      </c>
      <c r="X4245">
        <v>0.99637030000000004</v>
      </c>
      <c r="Y4245">
        <v>2.6754969999999999E-2</v>
      </c>
      <c r="Z4245">
        <v>-1.3631139999999999E-4</v>
      </c>
      <c r="AA4245">
        <v>0.99964200000000003</v>
      </c>
      <c r="AB4245">
        <v>37</v>
      </c>
      <c r="AC4245">
        <v>18.5260999999999</v>
      </c>
      <c r="AD4245">
        <v>-1.1079635746080001</v>
      </c>
      <c r="AE4245">
        <v>-0.97359999999997604</v>
      </c>
      <c r="AF4245">
        <v>0.50346677856182898</v>
      </c>
      <c r="AG4245">
        <v>-1.1079635746080001</v>
      </c>
      <c r="AH4245">
        <v>18.478871893049</v>
      </c>
      <c r="AI4245">
        <v>93.429985551178106</v>
      </c>
      <c r="AJ4245">
        <v>88.439331843155102</v>
      </c>
      <c r="AK4245">
        <v>18.518903005294099</v>
      </c>
      <c r="AL4245">
        <v>94.532312036977103</v>
      </c>
      <c r="AM4245">
        <v>88.180382266012003</v>
      </c>
      <c r="AN4245">
        <v>1.0000000483331899</v>
      </c>
    </row>
    <row r="4246" spans="1:40" x14ac:dyDescent="0.25">
      <c r="A4246" t="str">
        <f>"20190305135018220"</f>
        <v>20190305135018220</v>
      </c>
      <c r="B4246" t="str">
        <f>"1551765018214655"</f>
        <v>1551765018214655</v>
      </c>
      <c r="C4246" t="s">
        <v>40</v>
      </c>
      <c r="D4246">
        <v>4.3624879999999999</v>
      </c>
      <c r="E4246">
        <v>0.50019939999999996</v>
      </c>
      <c r="F4246" t="s">
        <v>62</v>
      </c>
      <c r="G4246">
        <v>-194.24189999999999</v>
      </c>
      <c r="H4246" s="1">
        <v>3.2915160000000002E-6</v>
      </c>
      <c r="I4246">
        <v>213.70859999999999</v>
      </c>
      <c r="J4246">
        <v>-211.6129</v>
      </c>
      <c r="K4246">
        <v>1.1078239999999999</v>
      </c>
      <c r="L4246">
        <v>214.72069999999999</v>
      </c>
      <c r="M4246">
        <v>0.99935620000000003</v>
      </c>
      <c r="N4246">
        <v>-2.1901690000000001E-2</v>
      </c>
      <c r="O4246">
        <v>-2.841552E-2</v>
      </c>
      <c r="P4246">
        <v>0.99309150000000002</v>
      </c>
      <c r="Q4246">
        <v>-9.9465979999999996E-2</v>
      </c>
      <c r="R4246">
        <v>-6.2258180000000003E-2</v>
      </c>
      <c r="S4246">
        <v>2.9913940000000001</v>
      </c>
      <c r="T4246">
        <v>-0.18676519999999999</v>
      </c>
      <c r="U4246">
        <v>-0.172744799999999</v>
      </c>
      <c r="V4246">
        <v>3.3479370000000001E-2</v>
      </c>
      <c r="W4246">
        <v>-7.7890689999999999E-2</v>
      </c>
      <c r="X4246">
        <v>0.99639960000000005</v>
      </c>
      <c r="Y4246">
        <v>2.9199429999999998E-2</v>
      </c>
      <c r="Z4246" s="1">
        <v>-8.1703240000000003E-5</v>
      </c>
      <c r="AA4246">
        <v>0.99957359999999995</v>
      </c>
      <c r="AB4246">
        <v>37</v>
      </c>
      <c r="AC4246">
        <v>17.370999999999999</v>
      </c>
      <c r="AD4246">
        <v>-1.1078207084839999</v>
      </c>
      <c r="AE4246">
        <v>-1.0121</v>
      </c>
      <c r="AF4246">
        <v>0.51587563166702599</v>
      </c>
      <c r="AG4246">
        <v>-1.1078207084839999</v>
      </c>
      <c r="AH4246">
        <v>17.322533584665798</v>
      </c>
      <c r="AI4246">
        <v>93.657612487600801</v>
      </c>
      <c r="AJ4246">
        <v>88.294200850048597</v>
      </c>
      <c r="AK4246">
        <v>17.365585627365601</v>
      </c>
      <c r="AL4246">
        <v>94.467332798343804</v>
      </c>
      <c r="AM4246">
        <v>88.075566059527503</v>
      </c>
      <c r="AN4246">
        <v>0.99999999534221595</v>
      </c>
    </row>
    <row r="4247" spans="1:40" x14ac:dyDescent="0.25">
      <c r="A4247" t="str">
        <f>"20190305135018241"</f>
        <v>20190305135018241</v>
      </c>
      <c r="B4247" t="str">
        <f>"1551765018234172"</f>
        <v>1551765018234172</v>
      </c>
      <c r="C4247" t="s">
        <v>40</v>
      </c>
      <c r="D4247">
        <v>4.3640689999999998</v>
      </c>
      <c r="E4247">
        <v>0.49991980000000003</v>
      </c>
      <c r="F4247" t="s">
        <v>62</v>
      </c>
      <c r="G4247">
        <v>-193.6559</v>
      </c>
      <c r="H4247" s="1">
        <v>3.404715E-6</v>
      </c>
      <c r="I4247">
        <v>213.6028</v>
      </c>
      <c r="J4247">
        <v>-211.24969999999999</v>
      </c>
      <c r="K4247">
        <v>1.1076969999999999</v>
      </c>
      <c r="L4247">
        <v>214.70689999999999</v>
      </c>
      <c r="M4247">
        <v>0.99924869999999999</v>
      </c>
      <c r="N4247">
        <v>-2.2323559999999999E-2</v>
      </c>
      <c r="O4247">
        <v>-3.168286E-2</v>
      </c>
      <c r="P4247">
        <v>0.9929038</v>
      </c>
      <c r="Q4247">
        <v>-9.8135249999999993E-2</v>
      </c>
      <c r="R4247">
        <v>-6.7169370000000006E-2</v>
      </c>
      <c r="S4247">
        <v>2.990707</v>
      </c>
      <c r="T4247">
        <v>-0.18450549999999999</v>
      </c>
      <c r="U4247">
        <v>-0.18617249999999999</v>
      </c>
      <c r="V4247">
        <v>3.5115519999999997E-2</v>
      </c>
      <c r="W4247">
        <v>-7.6167219999999994E-2</v>
      </c>
      <c r="X4247">
        <v>0.99647649999999999</v>
      </c>
      <c r="Y4247">
        <v>3.041518E-2</v>
      </c>
      <c r="Z4247" s="1">
        <v>-3.3073240000000003E-5</v>
      </c>
      <c r="AA4247">
        <v>0.99953729999999996</v>
      </c>
      <c r="AB4247">
        <v>37</v>
      </c>
      <c r="AC4247">
        <v>17.593799999999899</v>
      </c>
      <c r="AD4247">
        <v>-1.107693595285</v>
      </c>
      <c r="AE4247">
        <v>-1.1040999999999801</v>
      </c>
      <c r="AF4247">
        <v>0.54383737057583703</v>
      </c>
      <c r="AG4247">
        <v>-1.107693595285</v>
      </c>
      <c r="AH4247">
        <v>17.550657065722199</v>
      </c>
      <c r="AI4247">
        <v>93.609652435509403</v>
      </c>
      <c r="AJ4247">
        <v>88.225159388985702</v>
      </c>
      <c r="AK4247">
        <v>17.593984984228499</v>
      </c>
      <c r="AL4247">
        <v>94.368291027419701</v>
      </c>
      <c r="AM4247">
        <v>87.981749829850898</v>
      </c>
      <c r="AN4247">
        <v>0.99999998009982405</v>
      </c>
    </row>
    <row r="4248" spans="1:40" x14ac:dyDescent="0.25">
      <c r="A4248" t="str">
        <f>"20190305135018263"</f>
        <v>20190305135018263</v>
      </c>
      <c r="B4248" t="str">
        <f>"1551765018254667"</f>
        <v>1551765018254667</v>
      </c>
      <c r="C4248" t="s">
        <v>40</v>
      </c>
      <c r="D4248">
        <v>4.3240600000000002</v>
      </c>
      <c r="E4248">
        <v>0.49993029999999999</v>
      </c>
      <c r="F4248" t="s">
        <v>62</v>
      </c>
      <c r="G4248">
        <v>-192.75980000000001</v>
      </c>
      <c r="H4248" s="1">
        <v>3.5746040000000002E-6</v>
      </c>
      <c r="I4248">
        <v>213.4776</v>
      </c>
      <c r="J4248">
        <v>-210.89340000000001</v>
      </c>
      <c r="K4248">
        <v>1.107594</v>
      </c>
      <c r="L4248">
        <v>214.69200000000001</v>
      </c>
      <c r="M4248">
        <v>0.99912489999999998</v>
      </c>
      <c r="N4248">
        <v>-2.2800999999999998E-2</v>
      </c>
      <c r="O4248">
        <v>-3.5065390000000002E-2</v>
      </c>
      <c r="P4248">
        <v>0.99263840000000003</v>
      </c>
      <c r="Q4248">
        <v>-9.7113729999999995E-2</v>
      </c>
      <c r="R4248">
        <v>-7.2373960000000001E-2</v>
      </c>
      <c r="S4248">
        <v>2.990265</v>
      </c>
      <c r="T4248">
        <v>-0.1791412</v>
      </c>
      <c r="U4248">
        <v>-0.19880680000000001</v>
      </c>
      <c r="V4248">
        <v>3.6935530000000001E-2</v>
      </c>
      <c r="W4248">
        <v>-7.4699749999999995E-2</v>
      </c>
      <c r="X4248">
        <v>0.99652180000000001</v>
      </c>
      <c r="Y4248">
        <v>3.124702E-2</v>
      </c>
      <c r="Z4248" s="1">
        <v>5.6979479999999997E-6</v>
      </c>
      <c r="AA4248">
        <v>0.9995117</v>
      </c>
      <c r="AB4248">
        <v>37</v>
      </c>
      <c r="AC4248">
        <v>18.133600000000001</v>
      </c>
      <c r="AD4248">
        <v>-1.1075904253960001</v>
      </c>
      <c r="AE4248">
        <v>-1.2144000000000099</v>
      </c>
      <c r="AF4248">
        <v>0.57548829396360901</v>
      </c>
      <c r="AG4248">
        <v>-1.1075904253960001</v>
      </c>
      <c r="AH4248">
        <v>18.097820801030899</v>
      </c>
      <c r="AI4248">
        <v>93.500380807084497</v>
      </c>
      <c r="AJ4248">
        <v>88.178678868958698</v>
      </c>
      <c r="AK4248">
        <v>18.140812029045001</v>
      </c>
      <c r="AL4248">
        <v>94.283970887814903</v>
      </c>
      <c r="AM4248">
        <v>87.877335248942401</v>
      </c>
      <c r="AN4248">
        <v>0.99999999195084099</v>
      </c>
    </row>
    <row r="4249" spans="1:40" x14ac:dyDescent="0.25">
      <c r="A4249" t="str">
        <f>"20190305135018286"</f>
        <v>20190305135018286</v>
      </c>
      <c r="B4249" t="str">
        <f>"1551765018275164"</f>
        <v>1551765018275164</v>
      </c>
      <c r="C4249" t="s">
        <v>40</v>
      </c>
      <c r="D4249">
        <v>4.3605260000000001</v>
      </c>
      <c r="E4249">
        <v>0.49986969999999997</v>
      </c>
      <c r="F4249" t="s">
        <v>62</v>
      </c>
      <c r="G4249">
        <v>-192.54589999999999</v>
      </c>
      <c r="H4249" s="1">
        <v>3.6214289999999999E-6</v>
      </c>
      <c r="I4249">
        <v>213.376</v>
      </c>
      <c r="J4249">
        <v>-210.5326</v>
      </c>
      <c r="K4249">
        <v>1.107505</v>
      </c>
      <c r="L4249">
        <v>214.6755</v>
      </c>
      <c r="M4249">
        <v>0.99897990000000003</v>
      </c>
      <c r="N4249">
        <v>-2.3333960000000001E-2</v>
      </c>
      <c r="O4249">
        <v>-3.8659329999999999E-2</v>
      </c>
      <c r="P4249">
        <v>0.99224889999999999</v>
      </c>
      <c r="Q4249">
        <v>-9.7202239999999995E-2</v>
      </c>
      <c r="R4249">
        <v>-7.7419390000000005E-2</v>
      </c>
      <c r="S4249">
        <v>2.9889679999999998</v>
      </c>
      <c r="T4249">
        <v>-0.18043600000000001</v>
      </c>
      <c r="U4249">
        <v>-0.21440119999999999</v>
      </c>
      <c r="V4249">
        <v>3.838598E-2</v>
      </c>
      <c r="W4249">
        <v>-7.4286190000000002E-2</v>
      </c>
      <c r="X4249">
        <v>0.99649790000000005</v>
      </c>
      <c r="Y4249">
        <v>3.2866399999999997E-2</v>
      </c>
      <c r="Z4249" s="1">
        <v>5.2055980000000003E-5</v>
      </c>
      <c r="AA4249">
        <v>0.99945969999999995</v>
      </c>
      <c r="AB4249">
        <v>36</v>
      </c>
      <c r="AC4249">
        <v>17.986699999999999</v>
      </c>
      <c r="AD4249">
        <v>-1.107501378571</v>
      </c>
      <c r="AE4249">
        <v>-1.2995000000000201</v>
      </c>
      <c r="AF4249">
        <v>0.60071916216615595</v>
      </c>
      <c r="AG4249">
        <v>-1.107501378571</v>
      </c>
      <c r="AH4249">
        <v>17.955776335122899</v>
      </c>
      <c r="AI4249">
        <v>93.527529012791206</v>
      </c>
      <c r="AJ4249">
        <v>88.083856727511701</v>
      </c>
      <c r="AK4249">
        <v>17.999925739077099</v>
      </c>
      <c r="AL4249">
        <v>94.260209620245504</v>
      </c>
      <c r="AM4249">
        <v>87.794006620310995</v>
      </c>
      <c r="AN4249">
        <v>0.999999993094843</v>
      </c>
    </row>
    <row r="4250" spans="1:40" x14ac:dyDescent="0.25">
      <c r="A4250" t="str">
        <f>"20190305135018309"</f>
        <v>20190305135018309</v>
      </c>
      <c r="B4250" t="str">
        <f>"1551765018304447"</f>
        <v>1551765018304447</v>
      </c>
      <c r="C4250" t="s">
        <v>40</v>
      </c>
      <c r="D4250">
        <v>4.355105</v>
      </c>
      <c r="E4250">
        <v>0.4994304</v>
      </c>
      <c r="F4250" t="s">
        <v>62</v>
      </c>
      <c r="G4250">
        <v>-192.61320000000001</v>
      </c>
      <c r="H4250" s="1">
        <v>3.6161419999999999E-6</v>
      </c>
      <c r="I4250">
        <v>213.3</v>
      </c>
      <c r="J4250">
        <v>-210.1695</v>
      </c>
      <c r="K4250">
        <v>1.107416</v>
      </c>
      <c r="L4250">
        <v>214.65729999999999</v>
      </c>
      <c r="M4250">
        <v>0.99881390000000003</v>
      </c>
      <c r="N4250">
        <v>-2.3874969999999999E-2</v>
      </c>
      <c r="O4250">
        <v>-4.2435830000000001E-2</v>
      </c>
      <c r="P4250">
        <v>0.99176030000000004</v>
      </c>
      <c r="Q4250">
        <v>-9.7845199999999993E-2</v>
      </c>
      <c r="R4250">
        <v>-8.2693089999999997E-2</v>
      </c>
      <c r="S4250">
        <v>2.9874420000000002</v>
      </c>
      <c r="T4250">
        <v>-0.1846373</v>
      </c>
      <c r="U4250">
        <v>-0.22930909999999999</v>
      </c>
      <c r="V4250">
        <v>3.9884660000000002E-2</v>
      </c>
      <c r="W4250">
        <v>-7.4420780000000006E-2</v>
      </c>
      <c r="X4250">
        <v>0.99642900000000001</v>
      </c>
      <c r="Y4250">
        <v>3.4080609999999997E-2</v>
      </c>
      <c r="Z4250">
        <v>1.4422179999999999E-4</v>
      </c>
      <c r="AA4250">
        <v>0.9994191</v>
      </c>
      <c r="AB4250">
        <v>36</v>
      </c>
      <c r="AC4250">
        <v>17.556299999999901</v>
      </c>
      <c r="AD4250">
        <v>-1.1074123838579999</v>
      </c>
      <c r="AE4250">
        <v>-1.35729999999998</v>
      </c>
      <c r="AF4250">
        <v>0.60844157144448696</v>
      </c>
      <c r="AG4250">
        <v>-1.1074123838579999</v>
      </c>
      <c r="AH4250">
        <v>17.528761579068199</v>
      </c>
      <c r="AI4250">
        <v>93.612793908305406</v>
      </c>
      <c r="AJ4250">
        <v>88.012001977851796</v>
      </c>
      <c r="AK4250">
        <v>17.5742438195674</v>
      </c>
      <c r="AL4250">
        <v>94.267942454664606</v>
      </c>
      <c r="AM4250">
        <v>87.7078112044194</v>
      </c>
      <c r="AN4250">
        <v>0.99999999532006201</v>
      </c>
    </row>
    <row r="4251" spans="1:40" x14ac:dyDescent="0.25">
      <c r="A4251" t="str">
        <f>"20190305135018331"</f>
        <v>20190305135018331</v>
      </c>
      <c r="B4251" t="str">
        <f>"1551765018324943"</f>
        <v>1551765018324943</v>
      </c>
      <c r="C4251" t="s">
        <v>40</v>
      </c>
      <c r="D4251">
        <v>4.3924890000000003</v>
      </c>
      <c r="E4251">
        <v>0.49915809999999999</v>
      </c>
      <c r="F4251" t="s">
        <v>62</v>
      </c>
      <c r="G4251">
        <v>-192.79300000000001</v>
      </c>
      <c r="H4251" s="1">
        <v>3.5886689999999998E-6</v>
      </c>
      <c r="I4251">
        <v>213.24940000000001</v>
      </c>
      <c r="J4251">
        <v>-209.81319999999999</v>
      </c>
      <c r="K4251">
        <v>1.1073550000000001</v>
      </c>
      <c r="L4251">
        <v>214.6377</v>
      </c>
      <c r="M4251">
        <v>0.99863000000000002</v>
      </c>
      <c r="N4251">
        <v>-2.4423440000000001E-2</v>
      </c>
      <c r="O4251">
        <v>-4.6277569999999997E-2</v>
      </c>
      <c r="P4251">
        <v>0.99130110000000005</v>
      </c>
      <c r="Q4251">
        <v>-9.8648830000000007E-2</v>
      </c>
      <c r="R4251">
        <v>-8.712549E-2</v>
      </c>
      <c r="S4251">
        <v>2.9859770000000001</v>
      </c>
      <c r="T4251">
        <v>-0.19029760000000001</v>
      </c>
      <c r="U4251">
        <v>-0.24192810000000001</v>
      </c>
      <c r="V4251">
        <v>4.0480799999999997E-2</v>
      </c>
      <c r="W4251">
        <v>-7.469874E-2</v>
      </c>
      <c r="X4251">
        <v>0.99638409999999999</v>
      </c>
      <c r="Y4251">
        <v>3.4469140000000002E-2</v>
      </c>
      <c r="Z4251">
        <v>2.9289250000000001E-4</v>
      </c>
      <c r="AA4251">
        <v>0.99940569999999895</v>
      </c>
      <c r="AB4251">
        <v>36</v>
      </c>
      <c r="AC4251">
        <v>17.0201999999999</v>
      </c>
      <c r="AD4251">
        <v>-1.1073514113309999</v>
      </c>
      <c r="AE4251">
        <v>-1.3882999999999801</v>
      </c>
      <c r="AF4251">
        <v>0.59641528907682095</v>
      </c>
      <c r="AG4251">
        <v>-1.1073514113309999</v>
      </c>
      <c r="AH4251">
        <v>16.994758070210299</v>
      </c>
      <c r="AI4251">
        <v>93.725744779112901</v>
      </c>
      <c r="AJ4251">
        <v>87.990082564959906</v>
      </c>
      <c r="AK4251">
        <v>17.041236463654901</v>
      </c>
      <c r="AL4251">
        <v>94.283913097812999</v>
      </c>
      <c r="AM4251">
        <v>87.673483425473904</v>
      </c>
      <c r="AN4251">
        <v>0.99999993582951596</v>
      </c>
    </row>
    <row r="4252" spans="1:40" x14ac:dyDescent="0.25">
      <c r="A4252" t="str">
        <f>"20190305135018354"</f>
        <v>20190305135018354</v>
      </c>
      <c r="B4252" t="str">
        <f>"1551765018344460"</f>
        <v>1551765018344460</v>
      </c>
      <c r="C4252" t="s">
        <v>40</v>
      </c>
      <c r="D4252">
        <v>4.3515040000000003</v>
      </c>
      <c r="E4252">
        <v>0.49885600000000002</v>
      </c>
      <c r="F4252" t="s">
        <v>41</v>
      </c>
      <c r="G4252">
        <v>-208.79179999999999</v>
      </c>
      <c r="H4252">
        <v>1.0399430000000001</v>
      </c>
      <c r="I4252">
        <v>214.55090000000001</v>
      </c>
      <c r="J4252">
        <v>-209.4573</v>
      </c>
      <c r="K4252">
        <v>1.107359</v>
      </c>
      <c r="L4252">
        <v>214.6165</v>
      </c>
      <c r="M4252">
        <v>0.99842379999999997</v>
      </c>
      <c r="N4252">
        <v>-2.5038589999999999E-2</v>
      </c>
      <c r="O4252">
        <v>-5.0232949999999998E-2</v>
      </c>
      <c r="P4252">
        <v>0.99081529999999995</v>
      </c>
      <c r="Q4252">
        <v>-9.9991259999999998E-2</v>
      </c>
      <c r="R4252">
        <v>-9.1034370000000003E-2</v>
      </c>
      <c r="S4252">
        <v>2.984467</v>
      </c>
      <c r="T4252">
        <v>-0.19697200000000001</v>
      </c>
      <c r="U4252">
        <v>-0.25309749999999998</v>
      </c>
      <c r="V4252">
        <v>4.0445969999999998E-2</v>
      </c>
      <c r="W4252">
        <v>-7.5440049999999995E-2</v>
      </c>
      <c r="X4252">
        <v>0.99632969999999998</v>
      </c>
      <c r="Y4252">
        <v>3.4265280000000002E-2</v>
      </c>
      <c r="Z4252">
        <v>4.8913400000000001E-4</v>
      </c>
      <c r="AA4252">
        <v>0.99941270000000004</v>
      </c>
      <c r="AB4252">
        <v>35</v>
      </c>
      <c r="AC4252">
        <v>0.66550000000000797</v>
      </c>
      <c r="AD4252">
        <v>-6.7415999999999907E-2</v>
      </c>
      <c r="AE4252">
        <v>-6.5599999999989195E-2</v>
      </c>
      <c r="AF4252">
        <v>3.17539025077061E-2</v>
      </c>
      <c r="AG4252">
        <v>-6.7415999999999907E-2</v>
      </c>
      <c r="AH4252">
        <v>0.661235346918297</v>
      </c>
      <c r="AI4252">
        <v>95.814799362537102</v>
      </c>
      <c r="AJ4252">
        <v>87.250649138927997</v>
      </c>
      <c r="AK4252">
        <v>0.66542122854221397</v>
      </c>
      <c r="AL4252">
        <v>94.326507056138496</v>
      </c>
      <c r="AM4252">
        <v>87.675356201621497</v>
      </c>
      <c r="AN4252">
        <v>0.99999997436766597</v>
      </c>
    </row>
    <row r="4253" spans="1:40" x14ac:dyDescent="0.25">
      <c r="A4253" t="str">
        <f>"20190305135018375"</f>
        <v>20190305135018375</v>
      </c>
      <c r="B4253" t="str">
        <f>"1551765018364956"</f>
        <v>1551765018364956</v>
      </c>
      <c r="C4253" t="s">
        <v>40</v>
      </c>
      <c r="D4253">
        <v>4.3647619999999998</v>
      </c>
      <c r="E4253">
        <v>0.49857059999999997</v>
      </c>
      <c r="F4253" t="s">
        <v>41</v>
      </c>
      <c r="G4253">
        <v>-208.47540000000001</v>
      </c>
      <c r="H4253">
        <v>1.040124</v>
      </c>
      <c r="I4253">
        <v>214.53020000000001</v>
      </c>
      <c r="J4253">
        <v>-209.1249</v>
      </c>
      <c r="K4253">
        <v>1.107397</v>
      </c>
      <c r="L4253">
        <v>214.59530000000001</v>
      </c>
      <c r="M4253">
        <v>0.99820940000000002</v>
      </c>
      <c r="N4253">
        <v>-2.566268E-2</v>
      </c>
      <c r="O4253">
        <v>-5.4031969999999999E-2</v>
      </c>
      <c r="P4253">
        <v>0.99045810000000001</v>
      </c>
      <c r="Q4253">
        <v>-9.9834350000000002E-2</v>
      </c>
      <c r="R4253">
        <v>-9.5006309999999997E-2</v>
      </c>
      <c r="S4253">
        <v>2.9830930000000002</v>
      </c>
      <c r="T4253">
        <v>-0.20426939999999999</v>
      </c>
      <c r="U4253">
        <v>-0.26249689999999998</v>
      </c>
      <c r="V4253">
        <v>4.0644420000000001E-2</v>
      </c>
      <c r="W4253">
        <v>-7.4668219999999993E-2</v>
      </c>
      <c r="X4253">
        <v>0.99637980000000004</v>
      </c>
      <c r="Y4253">
        <v>3.3627579999999997E-2</v>
      </c>
      <c r="Z4253">
        <v>7.1956859999999995E-4</v>
      </c>
      <c r="AA4253">
        <v>0.99943419999999905</v>
      </c>
      <c r="AB4253">
        <v>35</v>
      </c>
      <c r="AC4253">
        <v>0.64949999999998898</v>
      </c>
      <c r="AD4253">
        <v>-6.7272999999999902E-2</v>
      </c>
      <c r="AE4253">
        <v>-6.5100000000001004E-2</v>
      </c>
      <c r="AF4253">
        <v>2.9585276813383601E-2</v>
      </c>
      <c r="AG4253">
        <v>-6.7272999999999902E-2</v>
      </c>
      <c r="AH4253">
        <v>0.64521612610541301</v>
      </c>
      <c r="AI4253">
        <v>95.946193360199402</v>
      </c>
      <c r="AJ4253">
        <v>87.374639409734698</v>
      </c>
      <c r="AK4253">
        <v>0.64938801538032798</v>
      </c>
      <c r="AL4253">
        <v>94.282159219820898</v>
      </c>
      <c r="AM4253">
        <v>87.664080166415999</v>
      </c>
      <c r="AN4253">
        <v>1.0000000089015699</v>
      </c>
    </row>
    <row r="4254" spans="1:40" x14ac:dyDescent="0.25">
      <c r="A4254" t="str">
        <f>"20190305135018398"</f>
        <v>20190305135018398</v>
      </c>
      <c r="B4254" t="str">
        <f>"1551765018394236"</f>
        <v>1551765018394236</v>
      </c>
      <c r="C4254" t="s">
        <v>40</v>
      </c>
      <c r="D4254">
        <v>4.390587</v>
      </c>
      <c r="E4254">
        <v>0.4979519</v>
      </c>
      <c r="F4254" t="s">
        <v>62</v>
      </c>
      <c r="G4254">
        <v>-193.07329999999999</v>
      </c>
      <c r="H4254" s="1">
        <v>3.5493800000000001E-6</v>
      </c>
      <c r="I4254">
        <v>213.13</v>
      </c>
      <c r="J4254">
        <v>-208.78299999999999</v>
      </c>
      <c r="K4254">
        <v>1.1074619999999999</v>
      </c>
      <c r="L4254">
        <v>214.572</v>
      </c>
      <c r="M4254">
        <v>0.99796490000000004</v>
      </c>
      <c r="N4254">
        <v>-2.6303509999999999E-2</v>
      </c>
      <c r="O4254">
        <v>-5.8086730000000003E-2</v>
      </c>
      <c r="P4254">
        <v>0.99020030000000003</v>
      </c>
      <c r="Q4254">
        <v>-9.7406950000000006E-2</v>
      </c>
      <c r="R4254">
        <v>-0.1000765</v>
      </c>
      <c r="S4254">
        <v>2.98204</v>
      </c>
      <c r="T4254">
        <v>-0.2057302</v>
      </c>
      <c r="U4254">
        <v>-0.27223209999999998</v>
      </c>
      <c r="V4254">
        <v>4.1703009999999999E-2</v>
      </c>
      <c r="W4254">
        <v>-7.1611090000000002E-2</v>
      </c>
      <c r="X4254">
        <v>0.99656049999999996</v>
      </c>
      <c r="Y4254">
        <v>3.2837720000000001E-2</v>
      </c>
      <c r="Z4254">
        <v>9.0190479999999998E-4</v>
      </c>
      <c r="AA4254">
        <v>0.99946029999999997</v>
      </c>
      <c r="AB4254">
        <v>35</v>
      </c>
      <c r="AC4254">
        <v>15.7096999999999</v>
      </c>
      <c r="AD4254">
        <v>-1.10745845062</v>
      </c>
      <c r="AE4254">
        <v>-1.4419999999999999</v>
      </c>
      <c r="AF4254">
        <v>0.524139571370554</v>
      </c>
      <c r="AG4254">
        <v>-1.10745845062</v>
      </c>
      <c r="AH4254">
        <v>15.6896271844205</v>
      </c>
      <c r="AI4254">
        <v>94.035304742053597</v>
      </c>
      <c r="AJ4254">
        <v>88.086645348805106</v>
      </c>
      <c r="AK4254">
        <v>15.7373945650553</v>
      </c>
      <c r="AL4254">
        <v>94.106527905045894</v>
      </c>
      <c r="AM4254">
        <v>87.603744900560997</v>
      </c>
      <c r="AN4254">
        <v>1.0000000597071399</v>
      </c>
    </row>
    <row r="4255" spans="1:40" x14ac:dyDescent="0.25">
      <c r="A4255" t="str">
        <f>"20190305135018432"</f>
        <v>20190305135018432</v>
      </c>
      <c r="B4255" t="str">
        <f>"1551765018424495"</f>
        <v>1551765018424495</v>
      </c>
      <c r="C4255" t="s">
        <v>40</v>
      </c>
      <c r="D4255">
        <v>4.4097249999999999</v>
      </c>
      <c r="E4255">
        <v>0.49748320000000001</v>
      </c>
      <c r="F4255" t="s">
        <v>62</v>
      </c>
      <c r="G4255">
        <v>-192.08519999999999</v>
      </c>
      <c r="H4255" s="1">
        <v>3.7371039999999999E-6</v>
      </c>
      <c r="I4255">
        <v>212.98759999999999</v>
      </c>
      <c r="J4255">
        <v>-208.26230000000001</v>
      </c>
      <c r="K4255">
        <v>1.1075330000000001</v>
      </c>
      <c r="L4255">
        <v>214.53360000000001</v>
      </c>
      <c r="M4255">
        <v>0.99754240000000005</v>
      </c>
      <c r="N4255">
        <v>-2.721341E-2</v>
      </c>
      <c r="O4255">
        <v>-6.4567070000000004E-2</v>
      </c>
      <c r="P4255">
        <v>0.98950769999999999</v>
      </c>
      <c r="Q4255">
        <v>-9.3921690000000002E-2</v>
      </c>
      <c r="R4255">
        <v>-0.109787</v>
      </c>
      <c r="S4255">
        <v>2.9816440000000002</v>
      </c>
      <c r="T4255">
        <v>-0.1977534</v>
      </c>
      <c r="U4255">
        <v>-0.28291319999999998</v>
      </c>
      <c r="V4255">
        <v>4.5007310000000002E-2</v>
      </c>
      <c r="W4255">
        <v>-6.7253270000000004E-2</v>
      </c>
      <c r="X4255">
        <v>0.9967203</v>
      </c>
      <c r="Y4255">
        <v>2.991781E-2</v>
      </c>
      <c r="Z4255">
        <v>1.1104419999999999E-3</v>
      </c>
      <c r="AA4255">
        <v>0.99955179999999999</v>
      </c>
      <c r="AB4255">
        <v>34</v>
      </c>
      <c r="AC4255">
        <v>16.177099999999999</v>
      </c>
      <c r="AD4255">
        <v>-1.1075292628960001</v>
      </c>
      <c r="AE4255">
        <v>-1.54600000000002</v>
      </c>
      <c r="AF4255">
        <v>0.49557510064138799</v>
      </c>
      <c r="AG4255">
        <v>-1.1075292628960001</v>
      </c>
      <c r="AH4255">
        <v>16.168080601343799</v>
      </c>
      <c r="AI4255">
        <v>93.916861186669607</v>
      </c>
      <c r="AJ4255">
        <v>88.244351006603594</v>
      </c>
      <c r="AK4255">
        <v>16.2135451422598</v>
      </c>
      <c r="AL4255">
        <v>93.856239194358196</v>
      </c>
      <c r="AM4255">
        <v>87.414542107671906</v>
      </c>
      <c r="AN4255">
        <v>1.0000000083556</v>
      </c>
    </row>
    <row r="4256" spans="1:40" x14ac:dyDescent="0.25">
      <c r="A4256" t="str">
        <f>"20190305135018453"</f>
        <v>20190305135018453</v>
      </c>
      <c r="B4256" t="str">
        <f>"1551765018444988"</f>
        <v>1551765018444988</v>
      </c>
      <c r="C4256" t="s">
        <v>40</v>
      </c>
      <c r="D4256">
        <v>4.4953469999999998</v>
      </c>
      <c r="E4256">
        <v>0.4972627</v>
      </c>
      <c r="F4256" t="s">
        <v>62</v>
      </c>
      <c r="G4256">
        <v>-190.94069999999999</v>
      </c>
      <c r="H4256" s="1">
        <v>3.9618209999999999E-6</v>
      </c>
      <c r="I4256">
        <v>212.73949999999999</v>
      </c>
      <c r="J4256">
        <v>-207.93819999999999</v>
      </c>
      <c r="K4256">
        <v>1.107524</v>
      </c>
      <c r="L4256">
        <v>214.5076</v>
      </c>
      <c r="M4256">
        <v>0.99724420000000003</v>
      </c>
      <c r="N4256">
        <v>-2.7727910000000001E-2</v>
      </c>
      <c r="O4256">
        <v>-6.8813340000000001E-2</v>
      </c>
      <c r="P4256">
        <v>0.98862539999999999</v>
      </c>
      <c r="Q4256">
        <v>-9.3720170000000005E-2</v>
      </c>
      <c r="R4256">
        <v>-0.1176302</v>
      </c>
      <c r="S4256">
        <v>2.9795069999999999</v>
      </c>
      <c r="T4256">
        <v>-0.1905065</v>
      </c>
      <c r="U4256">
        <v>-0.30860900000000002</v>
      </c>
      <c r="V4256">
        <v>4.865158E-2</v>
      </c>
      <c r="W4256">
        <v>-6.6586290000000006E-2</v>
      </c>
      <c r="X4256">
        <v>0.99659379999999997</v>
      </c>
      <c r="Y4256">
        <v>3.4252930000000001E-2</v>
      </c>
      <c r="Z4256">
        <v>9.0415890000000005E-4</v>
      </c>
      <c r="AA4256">
        <v>0.99941279999999999</v>
      </c>
      <c r="AB4256">
        <v>34</v>
      </c>
      <c r="AC4256">
        <v>16.997499999999999</v>
      </c>
      <c r="AD4256">
        <v>-1.107520038179</v>
      </c>
      <c r="AE4256">
        <v>-1.7681</v>
      </c>
      <c r="AF4256">
        <v>0.59131741436336205</v>
      </c>
      <c r="AG4256">
        <v>-1.107520038179</v>
      </c>
      <c r="AH4256">
        <v>17.007460002051499</v>
      </c>
      <c r="AI4256">
        <v>93.723577617054502</v>
      </c>
      <c r="AJ4256">
        <v>88.0087355515941</v>
      </c>
      <c r="AK4256">
        <v>17.053737204521401</v>
      </c>
      <c r="AL4256">
        <v>93.817938397180697</v>
      </c>
      <c r="AM4256">
        <v>87.2051612575478</v>
      </c>
      <c r="AN4256">
        <v>0.99999995622544902</v>
      </c>
    </row>
    <row r="4257" spans="1:40" x14ac:dyDescent="0.25">
      <c r="A4257" t="str">
        <f>"20190305135018477"</f>
        <v>20190305135018477</v>
      </c>
      <c r="B4257" t="str">
        <f>"1551765018474268"</f>
        <v>1551765018474268</v>
      </c>
      <c r="C4257" t="s">
        <v>40</v>
      </c>
      <c r="D4257">
        <v>4.851432</v>
      </c>
      <c r="E4257">
        <v>0.56247159999999996</v>
      </c>
      <c r="F4257" t="s">
        <v>62</v>
      </c>
      <c r="G4257">
        <v>-190.47919999999999</v>
      </c>
      <c r="H4257" s="1">
        <v>4.058563E-6</v>
      </c>
      <c r="I4257">
        <v>212.5693</v>
      </c>
      <c r="J4257">
        <v>-207.6019</v>
      </c>
      <c r="K4257">
        <v>1.10749599999999</v>
      </c>
      <c r="L4257">
        <v>214.47900000000001</v>
      </c>
      <c r="M4257">
        <v>0.99690440000000002</v>
      </c>
      <c r="N4257">
        <v>-2.82174E-2</v>
      </c>
      <c r="O4257">
        <v>-7.3384350000000001E-2</v>
      </c>
      <c r="P4257">
        <v>0.98744089999999995</v>
      </c>
      <c r="Q4257">
        <v>-9.3962770000000001E-2</v>
      </c>
      <c r="R4257">
        <v>-0.1270105</v>
      </c>
      <c r="S4257">
        <v>2.9772639999999999</v>
      </c>
      <c r="T4257">
        <v>-0.18886420000000001</v>
      </c>
      <c r="U4257">
        <v>-0.33055109999999999</v>
      </c>
      <c r="V4257">
        <v>5.3522119999999999E-2</v>
      </c>
      <c r="W4257">
        <v>-6.6406880000000001E-2</v>
      </c>
      <c r="X4257">
        <v>0.99635609999999997</v>
      </c>
      <c r="Y4257">
        <v>3.7022109999999997E-2</v>
      </c>
      <c r="Z4257">
        <v>8.6702529999999999E-4</v>
      </c>
      <c r="AA4257">
        <v>0.99931409999999998</v>
      </c>
      <c r="AB4257">
        <v>33</v>
      </c>
      <c r="AC4257">
        <v>17.122699999999998</v>
      </c>
      <c r="AD4257">
        <v>-1.1074919414369999</v>
      </c>
      <c r="AE4257">
        <v>-1.9097000000000099</v>
      </c>
      <c r="AF4257">
        <v>0.64484345821087996</v>
      </c>
      <c r="AG4257">
        <v>-1.1074919414369999</v>
      </c>
      <c r="AH4257">
        <v>17.145845869716801</v>
      </c>
      <c r="AI4257">
        <v>93.693136133882405</v>
      </c>
      <c r="AJ4257">
        <v>87.846160304938707</v>
      </c>
      <c r="AK4257">
        <v>17.1936730245178</v>
      </c>
      <c r="AL4257">
        <v>93.807636050570196</v>
      </c>
      <c r="AM4257">
        <v>86.925148526861307</v>
      </c>
      <c r="AN4257">
        <v>0.99999998452391903</v>
      </c>
    </row>
    <row r="4258" spans="1:40" x14ac:dyDescent="0.25">
      <c r="A4258" t="str">
        <f>"20190305135018499"</f>
        <v>20190305135018499</v>
      </c>
      <c r="B4258" t="str">
        <f>"1551765018494764"</f>
        <v>1551765018494764</v>
      </c>
      <c r="C4258" t="s">
        <v>40</v>
      </c>
      <c r="D4258">
        <v>4.5984360000000004</v>
      </c>
      <c r="E4258">
        <v>0.64802559999999998</v>
      </c>
      <c r="F4258" t="s">
        <v>62</v>
      </c>
      <c r="G4258">
        <v>-191.30869999999999</v>
      </c>
      <c r="H4258" s="1">
        <v>4.1803550000000001E-6</v>
      </c>
      <c r="I4258">
        <v>209.57560000000001</v>
      </c>
      <c r="J4258">
        <v>-207.2662</v>
      </c>
      <c r="K4258">
        <v>1.1074360000000001</v>
      </c>
      <c r="L4258">
        <v>214.4486</v>
      </c>
      <c r="M4258">
        <v>0.9965273</v>
      </c>
      <c r="N4258">
        <v>-2.8653959999999999E-2</v>
      </c>
      <c r="O4258">
        <v>-7.8181360000000005E-2</v>
      </c>
      <c r="P4258">
        <v>0.98607860000000003</v>
      </c>
      <c r="Q4258">
        <v>-9.4392749999999997E-2</v>
      </c>
      <c r="R4258">
        <v>-0.136892299999999</v>
      </c>
      <c r="S4258">
        <v>2.9068450000000001</v>
      </c>
      <c r="T4258">
        <v>-0.19758580000000001</v>
      </c>
      <c r="U4258">
        <v>-0.87480159999999996</v>
      </c>
      <c r="V4258">
        <v>5.8677140000000003E-2</v>
      </c>
      <c r="W4258">
        <v>-6.6477079999999994E-2</v>
      </c>
      <c r="X4258">
        <v>0.99606110000000003</v>
      </c>
      <c r="Y4258">
        <v>0.21180489999999999</v>
      </c>
      <c r="Z4258">
        <v>-7.1649909999999999E-3</v>
      </c>
      <c r="AA4258">
        <v>0.97728570000000003</v>
      </c>
      <c r="AB4258">
        <v>33</v>
      </c>
      <c r="AC4258">
        <v>15.9575</v>
      </c>
      <c r="AD4258">
        <v>-1.1074318196449999</v>
      </c>
      <c r="AE4258">
        <v>-4.8729999999999896</v>
      </c>
      <c r="AF4258">
        <v>3.5941471182119802</v>
      </c>
      <c r="AG4258">
        <v>-1.1074318196449999</v>
      </c>
      <c r="AH4258">
        <v>16.2183027761739</v>
      </c>
      <c r="AI4258">
        <v>93.814005512750597</v>
      </c>
      <c r="AJ4258">
        <v>77.504593211853901</v>
      </c>
      <c r="AK4258">
        <v>16.648652908934199</v>
      </c>
      <c r="AL4258">
        <v>93.811667208106201</v>
      </c>
      <c r="AM4258">
        <v>86.628649016858304</v>
      </c>
      <c r="AN4258">
        <v>0.999999961928557</v>
      </c>
    </row>
    <row r="4259" spans="1:40" x14ac:dyDescent="0.25">
      <c r="A4259" t="str">
        <f>"20190305135018522"</f>
        <v>20190305135018522</v>
      </c>
      <c r="B4259" t="str">
        <f>"1551765018514287"</f>
        <v>1551765018514287</v>
      </c>
      <c r="C4259" t="s">
        <v>40</v>
      </c>
      <c r="D4259">
        <v>4.527361</v>
      </c>
      <c r="E4259">
        <v>0.65403739999999999</v>
      </c>
      <c r="F4259" t="s">
        <v>62</v>
      </c>
      <c r="G4259">
        <v>-197.50210000000001</v>
      </c>
      <c r="H4259" s="1">
        <v>3.2545949999999998E-6</v>
      </c>
      <c r="I4259">
        <v>208.9229</v>
      </c>
      <c r="J4259">
        <v>-206.9468</v>
      </c>
      <c r="K4259">
        <v>1.1073329999999999</v>
      </c>
      <c r="L4259">
        <v>214.4179</v>
      </c>
      <c r="M4259">
        <v>0.99612560000000006</v>
      </c>
      <c r="N4259">
        <v>-2.8995739999999999E-2</v>
      </c>
      <c r="O4259">
        <v>-8.3024970000000003E-2</v>
      </c>
      <c r="P4259">
        <v>0.98466869999999995</v>
      </c>
      <c r="Q4259">
        <v>-9.3679399999999996E-2</v>
      </c>
      <c r="R4259">
        <v>-0.1471452</v>
      </c>
      <c r="S4259">
        <v>2.7926479999999998</v>
      </c>
      <c r="T4259">
        <v>-0.31674049999999998</v>
      </c>
      <c r="U4259">
        <v>-1.5804290000000001</v>
      </c>
      <c r="V4259">
        <v>6.4168639999999999E-2</v>
      </c>
      <c r="W4259">
        <v>-6.5507789999999996E-2</v>
      </c>
      <c r="X4259">
        <v>0.99578670000000002</v>
      </c>
      <c r="Y4259">
        <v>0.41610459999999999</v>
      </c>
      <c r="Z4259">
        <v>-2.1942509999999998E-2</v>
      </c>
      <c r="AA4259">
        <v>0.90905199999999997</v>
      </c>
      <c r="AB4259">
        <v>33</v>
      </c>
      <c r="AC4259">
        <v>9.4446999999999797</v>
      </c>
      <c r="AD4259">
        <v>-1.107329745405</v>
      </c>
      <c r="AE4259">
        <v>-5.4950000000000001</v>
      </c>
      <c r="AF4259">
        <v>4.6438455562038197</v>
      </c>
      <c r="AG4259">
        <v>-1.107329745405</v>
      </c>
      <c r="AH4259">
        <v>9.7681620624026095</v>
      </c>
      <c r="AI4259">
        <v>95.845598671749997</v>
      </c>
      <c r="AJ4259">
        <v>64.573292172165694</v>
      </c>
      <c r="AK4259">
        <v>10.8723719027769</v>
      </c>
      <c r="AL4259">
        <v>93.756009438611102</v>
      </c>
      <c r="AM4259">
        <v>86.312949515216204</v>
      </c>
      <c r="AN4259">
        <v>1.00000001840351</v>
      </c>
    </row>
    <row r="4260" spans="1:40" x14ac:dyDescent="0.25">
      <c r="A4260" t="str">
        <f>"20190305135018544"</f>
        <v>20190305135018544</v>
      </c>
      <c r="B4260" t="str">
        <f>"1551765018534780"</f>
        <v>1551765018534780</v>
      </c>
      <c r="C4260" t="s">
        <v>40</v>
      </c>
      <c r="D4260">
        <v>4.4907909999999998</v>
      </c>
      <c r="E4260">
        <v>0.65284180000000003</v>
      </c>
      <c r="F4260" t="s">
        <v>62</v>
      </c>
      <c r="G4260">
        <v>-198.23689999999999</v>
      </c>
      <c r="H4260" s="1">
        <v>3.0508589999999998E-6</v>
      </c>
      <c r="I4260">
        <v>209.2</v>
      </c>
      <c r="J4260">
        <v>-206.6276</v>
      </c>
      <c r="K4260">
        <v>1.1071709999999999</v>
      </c>
      <c r="L4260">
        <v>214.3853</v>
      </c>
      <c r="M4260">
        <v>0.99567450000000002</v>
      </c>
      <c r="N4260">
        <v>-2.923769E-2</v>
      </c>
      <c r="O4260">
        <v>-8.8190000000000004E-2</v>
      </c>
      <c r="P4260">
        <v>0.9832168</v>
      </c>
      <c r="Q4260">
        <v>-9.2194509999999993E-2</v>
      </c>
      <c r="R4260">
        <v>-0.15743270000000001</v>
      </c>
      <c r="S4260">
        <v>2.7656860000000001</v>
      </c>
      <c r="T4260">
        <v>-0.35161520000000002</v>
      </c>
      <c r="U4260">
        <v>-1.6568449999999999</v>
      </c>
      <c r="V4260">
        <v>6.9380860000000003E-2</v>
      </c>
      <c r="W4260">
        <v>-6.3872910000000005E-2</v>
      </c>
      <c r="X4260">
        <v>0.99554339999999997</v>
      </c>
      <c r="Y4260">
        <v>0.43322860000000002</v>
      </c>
      <c r="Z4260">
        <v>-2.4341519999999998E-2</v>
      </c>
      <c r="AA4260">
        <v>0.90095530000000001</v>
      </c>
      <c r="AB4260">
        <v>32</v>
      </c>
      <c r="AC4260">
        <v>8.3907000000000096</v>
      </c>
      <c r="AD4260">
        <v>-1.10716794914099</v>
      </c>
      <c r="AE4260">
        <v>-5.1853000000000096</v>
      </c>
      <c r="AF4260">
        <v>4.3697302965019702</v>
      </c>
      <c r="AG4260">
        <v>-1.10716794914099</v>
      </c>
      <c r="AH4260">
        <v>8.7057777301038399</v>
      </c>
      <c r="AI4260">
        <v>96.484511703329204</v>
      </c>
      <c r="AJ4260">
        <v>63.3463459567147</v>
      </c>
      <c r="AK4260">
        <v>9.8036181901247197</v>
      </c>
      <c r="AL4260">
        <v>93.662140946828501</v>
      </c>
      <c r="AM4260">
        <v>86.013420023451999</v>
      </c>
      <c r="AN4260">
        <v>1.0000000568248799</v>
      </c>
    </row>
    <row r="4261" spans="1:40" x14ac:dyDescent="0.25">
      <c r="A4261" t="str">
        <f>"20190305135018566"</f>
        <v>20190305135018566</v>
      </c>
      <c r="B4261" t="str">
        <f>"1551765018554300"</f>
        <v>1551765018554300</v>
      </c>
      <c r="C4261" t="s">
        <v>40</v>
      </c>
      <c r="D4261">
        <v>4.4941240000000002</v>
      </c>
      <c r="E4261">
        <v>0.65142840000000002</v>
      </c>
      <c r="F4261" t="s">
        <v>62</v>
      </c>
      <c r="G4261">
        <v>-197.2972</v>
      </c>
      <c r="H4261" s="1">
        <v>3.3493339999999999E-6</v>
      </c>
      <c r="I4261">
        <v>208.70240000000001</v>
      </c>
      <c r="J4261">
        <v>-206.31389999999999</v>
      </c>
      <c r="K4261">
        <v>1.1069249999999999</v>
      </c>
      <c r="L4261">
        <v>214.35120000000001</v>
      </c>
      <c r="M4261">
        <v>0.99517409999999995</v>
      </c>
      <c r="N4261">
        <v>-2.9327349999999999E-2</v>
      </c>
      <c r="O4261">
        <v>-9.364024E-2</v>
      </c>
      <c r="P4261">
        <v>0.98148780000000002</v>
      </c>
      <c r="Q4261">
        <v>-9.0734049999999997E-2</v>
      </c>
      <c r="R4261">
        <v>-0.1686687</v>
      </c>
      <c r="S4261">
        <v>2.7521969999999998</v>
      </c>
      <c r="T4261">
        <v>-0.32658280000000001</v>
      </c>
      <c r="U4261">
        <v>-1.6762999999999999</v>
      </c>
      <c r="V4261">
        <v>7.5272249999999999E-2</v>
      </c>
      <c r="W4261">
        <v>-6.2437699999999902E-2</v>
      </c>
      <c r="X4261">
        <v>0.99520629999999999</v>
      </c>
      <c r="Y4261">
        <v>0.43524180000000001</v>
      </c>
      <c r="Z4261">
        <v>-2.3049759999999999E-2</v>
      </c>
      <c r="AA4261">
        <v>0.90001849999999906</v>
      </c>
      <c r="AB4261">
        <v>32</v>
      </c>
      <c r="AC4261">
        <v>9.0166999999999806</v>
      </c>
      <c r="AD4261">
        <v>-1.106921650666</v>
      </c>
      <c r="AE4261">
        <v>-5.6487999999999898</v>
      </c>
      <c r="AF4261">
        <v>4.72809664422795</v>
      </c>
      <c r="AG4261">
        <v>-1.106921650666</v>
      </c>
      <c r="AH4261">
        <v>9.4044451503862998</v>
      </c>
      <c r="AI4261">
        <v>96.003151794530694</v>
      </c>
      <c r="AJ4261">
        <v>63.308979210130097</v>
      </c>
      <c r="AK4261">
        <v>10.5841278339075</v>
      </c>
      <c r="AL4261">
        <v>93.579745262231299</v>
      </c>
      <c r="AM4261">
        <v>85.674679296079006</v>
      </c>
      <c r="AN4261">
        <v>0.99999997878052005</v>
      </c>
    </row>
    <row r="4262" spans="1:40" x14ac:dyDescent="0.25">
      <c r="A4262" t="str">
        <f>"20190305135018588"</f>
        <v>20190305135018588</v>
      </c>
      <c r="B4262" t="str">
        <f>"1551765018584556"</f>
        <v>1551765018584556</v>
      </c>
      <c r="C4262" t="s">
        <v>40</v>
      </c>
      <c r="D4262">
        <v>4.5237769999999999</v>
      </c>
      <c r="E4262">
        <v>0.64984629999999999</v>
      </c>
      <c r="F4262" t="s">
        <v>62</v>
      </c>
      <c r="G4262">
        <v>-196.62270000000001</v>
      </c>
      <c r="H4262" s="1">
        <v>3.5644079999999999E-6</v>
      </c>
      <c r="I4262">
        <v>208.34200000000001</v>
      </c>
      <c r="J4262">
        <v>-206.00460000000001</v>
      </c>
      <c r="K4262">
        <v>1.1065719999999999</v>
      </c>
      <c r="L4262">
        <v>214.31540000000001</v>
      </c>
      <c r="M4262">
        <v>0.99461509999999997</v>
      </c>
      <c r="N4262">
        <v>-2.9178280000000001E-2</v>
      </c>
      <c r="O4262">
        <v>-9.9445980000000003E-2</v>
      </c>
      <c r="P4262">
        <v>0.97944189999999998</v>
      </c>
      <c r="Q4262">
        <v>-9.0063099999999993E-2</v>
      </c>
      <c r="R4262">
        <v>-0.18050559999999999</v>
      </c>
      <c r="S4262">
        <v>2.7360989999999998</v>
      </c>
      <c r="T4262">
        <v>-0.31251570000000001</v>
      </c>
      <c r="U4262">
        <v>-1.6965790000000001</v>
      </c>
      <c r="V4262">
        <v>8.1422460000000002E-2</v>
      </c>
      <c r="W4262">
        <v>-6.2053490000000003E-2</v>
      </c>
      <c r="X4262">
        <v>0.99474609999999997</v>
      </c>
      <c r="Y4262">
        <v>0.43735819999999997</v>
      </c>
      <c r="Z4262">
        <v>-2.2175340000000002E-2</v>
      </c>
      <c r="AA4262">
        <v>0.89901390000000003</v>
      </c>
      <c r="AB4262">
        <v>32</v>
      </c>
      <c r="AC4262">
        <v>9.3818999999999999</v>
      </c>
      <c r="AD4262">
        <v>-1.10656843559199</v>
      </c>
      <c r="AE4262">
        <v>-5.9733999999999901</v>
      </c>
      <c r="AF4262">
        <v>4.9612642859389897</v>
      </c>
      <c r="AG4262">
        <v>-1.10656843559199</v>
      </c>
      <c r="AH4262">
        <v>9.8323096648289194</v>
      </c>
      <c r="AI4262">
        <v>95.737676066388204</v>
      </c>
      <c r="AJ4262">
        <v>63.225042061380201</v>
      </c>
      <c r="AK4262">
        <v>11.068556832878899</v>
      </c>
      <c r="AL4262">
        <v>93.557688704353694</v>
      </c>
      <c r="AM4262">
        <v>85.320628657328498</v>
      </c>
      <c r="AN4262">
        <v>1.0000000280394199</v>
      </c>
    </row>
    <row r="4263" spans="1:40" x14ac:dyDescent="0.25">
      <c r="A4263" t="str">
        <f>"20190305135018611"</f>
        <v>20190305135018611</v>
      </c>
      <c r="B4263" t="str">
        <f>"1551765018605052"</f>
        <v>1551765018605052</v>
      </c>
      <c r="C4263" t="s">
        <v>40</v>
      </c>
      <c r="D4263">
        <v>4.5513079999999997</v>
      </c>
      <c r="E4263">
        <v>0.64903900000000003</v>
      </c>
      <c r="F4263" t="s">
        <v>62</v>
      </c>
      <c r="G4263">
        <v>-196.22450000000001</v>
      </c>
      <c r="H4263" s="1">
        <v>3.689477E-6</v>
      </c>
      <c r="I4263">
        <v>208.13640000000001</v>
      </c>
      <c r="J4263">
        <v>-205.6773</v>
      </c>
      <c r="K4263">
        <v>1.1061110000000001</v>
      </c>
      <c r="L4263">
        <v>214.2749</v>
      </c>
      <c r="M4263">
        <v>0.99394260000000001</v>
      </c>
      <c r="N4263">
        <v>-2.8769389999999999E-2</v>
      </c>
      <c r="O4263">
        <v>-0.1060685</v>
      </c>
      <c r="P4263">
        <v>0.97675540000000005</v>
      </c>
      <c r="Q4263">
        <v>-9.0897140000000001E-2</v>
      </c>
      <c r="R4263">
        <v>-0.19412989999999999</v>
      </c>
      <c r="S4263">
        <v>2.7182010000000001</v>
      </c>
      <c r="T4263">
        <v>-0.30755209999999999</v>
      </c>
      <c r="U4263">
        <v>-1.71734599999999</v>
      </c>
      <c r="V4263">
        <v>8.8577080000000002E-2</v>
      </c>
      <c r="W4263">
        <v>-6.3472379999999995E-2</v>
      </c>
      <c r="X4263">
        <v>0.99404499999999996</v>
      </c>
      <c r="Y4263">
        <v>0.43901950000000001</v>
      </c>
      <c r="Z4263">
        <v>-2.1515780000000002E-2</v>
      </c>
      <c r="AA4263">
        <v>0.89821989999999996</v>
      </c>
      <c r="AB4263">
        <v>32</v>
      </c>
      <c r="AC4263">
        <v>9.4527999999999892</v>
      </c>
      <c r="AD4263">
        <v>-1.1061073105229999</v>
      </c>
      <c r="AE4263">
        <v>-6.1384999999999899</v>
      </c>
      <c r="AF4263">
        <v>5.0521270355855803</v>
      </c>
      <c r="AG4263">
        <v>-1.1061073105229999</v>
      </c>
      <c r="AH4263">
        <v>9.95492725061629</v>
      </c>
      <c r="AI4263">
        <v>95.658520360106195</v>
      </c>
      <c r="AJ4263">
        <v>63.092199810180198</v>
      </c>
      <c r="AK4263">
        <v>11.218201171807801</v>
      </c>
      <c r="AL4263">
        <v>93.639145625465403</v>
      </c>
      <c r="AM4263">
        <v>84.907952772726404</v>
      </c>
      <c r="AN4263">
        <v>1.00000005207459</v>
      </c>
    </row>
    <row r="4264" spans="1:40" x14ac:dyDescent="0.25">
      <c r="A4264" t="str">
        <f>"20190305135018632"</f>
        <v>20190305135018632</v>
      </c>
      <c r="B4264" t="str">
        <f>"1551765018624576"</f>
        <v>1551765018624576</v>
      </c>
      <c r="C4264" t="s">
        <v>40</v>
      </c>
      <c r="D4264">
        <v>4.5316850000000004</v>
      </c>
      <c r="E4264">
        <v>0.6481093</v>
      </c>
      <c r="F4264" t="s">
        <v>62</v>
      </c>
      <c r="G4264">
        <v>-195.88589999999999</v>
      </c>
      <c r="H4264" s="1">
        <v>3.8063689999999999E-6</v>
      </c>
      <c r="I4264">
        <v>207.92179999999999</v>
      </c>
      <c r="J4264">
        <v>-205.38380000000001</v>
      </c>
      <c r="K4264">
        <v>1.105739</v>
      </c>
      <c r="L4264">
        <v>214.23609999999999</v>
      </c>
      <c r="M4264">
        <v>0.99325149999999995</v>
      </c>
      <c r="N4264">
        <v>-2.8304470000000002E-2</v>
      </c>
      <c r="O4264">
        <v>-0.1124743</v>
      </c>
      <c r="P4264">
        <v>0.97387440000000003</v>
      </c>
      <c r="Q4264">
        <v>-9.2001650000000004E-2</v>
      </c>
      <c r="R4264">
        <v>-0.2076171</v>
      </c>
      <c r="S4264">
        <v>2.6954500000000001</v>
      </c>
      <c r="T4264">
        <v>-0.30449799999999999</v>
      </c>
      <c r="U4264">
        <v>-1.7489169999999901</v>
      </c>
      <c r="V4264">
        <v>9.5847989999999994E-2</v>
      </c>
      <c r="W4264">
        <v>-6.5212309999999996E-2</v>
      </c>
      <c r="X4264">
        <v>0.99325750000000002</v>
      </c>
      <c r="Y4264">
        <v>0.44411230000000002</v>
      </c>
      <c r="Z4264">
        <v>-2.1170370000000001E-2</v>
      </c>
      <c r="AA4264">
        <v>0.89572099999999899</v>
      </c>
      <c r="AB4264">
        <v>31</v>
      </c>
      <c r="AC4264">
        <v>9.4979000000000102</v>
      </c>
      <c r="AD4264">
        <v>-1.105735193631</v>
      </c>
      <c r="AE4264">
        <v>-6.3143000000000002</v>
      </c>
      <c r="AF4264">
        <v>5.1570316034438601</v>
      </c>
      <c r="AG4264">
        <v>-1.105735193631</v>
      </c>
      <c r="AH4264">
        <v>10.053569615198001</v>
      </c>
      <c r="AI4264">
        <v>95.589204290072502</v>
      </c>
      <c r="AJ4264">
        <v>62.844204934466397</v>
      </c>
      <c r="AK4264">
        <v>11.353056297094</v>
      </c>
      <c r="AL4264">
        <v>93.739043578234799</v>
      </c>
      <c r="AM4264">
        <v>84.488102282078898</v>
      </c>
      <c r="AN4264">
        <v>0.99999997193441204</v>
      </c>
    </row>
    <row r="4265" spans="1:40" x14ac:dyDescent="0.25">
      <c r="A4265" t="str">
        <f>"20190305135018654"</f>
        <v>20190305135018654</v>
      </c>
      <c r="B4265" t="str">
        <f>"1551765018645068"</f>
        <v>1551765018645068</v>
      </c>
      <c r="C4265" t="s">
        <v>40</v>
      </c>
      <c r="D4265">
        <v>4.5219269999999998</v>
      </c>
      <c r="E4265">
        <v>0.64719230000000005</v>
      </c>
      <c r="F4265" t="s">
        <v>62</v>
      </c>
      <c r="G4265">
        <v>-195.8708</v>
      </c>
      <c r="H4265" s="1">
        <v>3.8138810000000001E-6</v>
      </c>
      <c r="I4265">
        <v>207.90360000000001</v>
      </c>
      <c r="J4265">
        <v>-205.07499999999999</v>
      </c>
      <c r="K4265">
        <v>1.1054330000000001</v>
      </c>
      <c r="L4265">
        <v>214.19290000000001</v>
      </c>
      <c r="M4265">
        <v>0.99242459999999999</v>
      </c>
      <c r="N4265">
        <v>-2.7782319999999999E-2</v>
      </c>
      <c r="O4265">
        <v>-0.1196736</v>
      </c>
      <c r="P4265">
        <v>0.97018090000000001</v>
      </c>
      <c r="Q4265">
        <v>-9.4667490000000007E-2</v>
      </c>
      <c r="R4265">
        <v>-0.22313050000000001</v>
      </c>
      <c r="S4265">
        <v>2.671967</v>
      </c>
      <c r="T4265">
        <v>-0.31057370000000001</v>
      </c>
      <c r="U4265">
        <v>-1.7786409999999999</v>
      </c>
      <c r="V4265">
        <v>0.10442890000000001</v>
      </c>
      <c r="W4265">
        <v>-6.8592790000000001E-2</v>
      </c>
      <c r="X4265">
        <v>0.99216409999999999</v>
      </c>
      <c r="Y4265">
        <v>0.4480671</v>
      </c>
      <c r="Z4265">
        <v>-2.0996219999999999E-2</v>
      </c>
      <c r="AA4265">
        <v>0.89375329999999997</v>
      </c>
      <c r="AB4265">
        <v>31</v>
      </c>
      <c r="AC4265">
        <v>9.2041999999999806</v>
      </c>
      <c r="AD4265">
        <v>-1.105429186119</v>
      </c>
      <c r="AE4265">
        <v>-6.2892999999999901</v>
      </c>
      <c r="AF4265">
        <v>5.0920702389688897</v>
      </c>
      <c r="AG4265">
        <v>-1.105429186119</v>
      </c>
      <c r="AH4265">
        <v>9.7946437209302495</v>
      </c>
      <c r="AI4265">
        <v>95.718341753549893</v>
      </c>
      <c r="AJ4265">
        <v>62.530838591019098</v>
      </c>
      <c r="AK4265">
        <v>11.094421959889299</v>
      </c>
      <c r="AL4265">
        <v>93.933165796228707</v>
      </c>
      <c r="AM4265">
        <v>83.991532431130494</v>
      </c>
      <c r="AN4265">
        <v>0.99999998366200105</v>
      </c>
    </row>
    <row r="4266" spans="1:40" x14ac:dyDescent="0.25">
      <c r="A4266" t="str">
        <f>"20190305135018678"</f>
        <v>20190305135018678</v>
      </c>
      <c r="B4266" t="str">
        <f>"1551765018674348"</f>
        <v>1551765018674348</v>
      </c>
      <c r="C4266" t="s">
        <v>40</v>
      </c>
      <c r="D4266">
        <v>4.5398379999999996</v>
      </c>
      <c r="E4266">
        <v>0.6460593</v>
      </c>
      <c r="F4266" t="s">
        <v>62</v>
      </c>
      <c r="G4266">
        <v>-195.96209999999999</v>
      </c>
      <c r="H4266" s="1">
        <v>3.7881690000000002E-6</v>
      </c>
      <c r="I4266">
        <v>207.93950000000001</v>
      </c>
      <c r="J4266">
        <v>-204.76689999999999</v>
      </c>
      <c r="K4266">
        <v>1.1051420000000001</v>
      </c>
      <c r="L4266">
        <v>214.1472</v>
      </c>
      <c r="M4266">
        <v>0.99148950000000002</v>
      </c>
      <c r="N4266">
        <v>-2.724679E-2</v>
      </c>
      <c r="O4266">
        <v>-0.127303</v>
      </c>
      <c r="P4266">
        <v>0.96584619999999999</v>
      </c>
      <c r="Q4266">
        <v>-9.6681589999999998E-2</v>
      </c>
      <c r="R4266">
        <v>-0.24040429999999999</v>
      </c>
      <c r="S4266">
        <v>2.6436769999999998</v>
      </c>
      <c r="T4266">
        <v>-0.32068780000000002</v>
      </c>
      <c r="U4266">
        <v>-1.814117</v>
      </c>
      <c r="V4266">
        <v>0.1144293</v>
      </c>
      <c r="W4266">
        <v>-7.1365970000000001E-2</v>
      </c>
      <c r="X4266">
        <v>0.99086470000000004</v>
      </c>
      <c r="Y4266">
        <v>0.45365290000000003</v>
      </c>
      <c r="Z4266">
        <v>-2.1014870000000001E-2</v>
      </c>
      <c r="AA4266">
        <v>0.89093069999999897</v>
      </c>
      <c r="AB4266">
        <v>31</v>
      </c>
      <c r="AC4266">
        <v>8.8048000000000002</v>
      </c>
      <c r="AD4266">
        <v>-1.105138211831</v>
      </c>
      <c r="AE4266">
        <v>-6.2076999999999796</v>
      </c>
      <c r="AF4266">
        <v>4.9834200252863097</v>
      </c>
      <c r="AG4266">
        <v>-1.105138211831</v>
      </c>
      <c r="AH4266">
        <v>9.4244856319805894</v>
      </c>
      <c r="AI4266">
        <v>95.918283279966303</v>
      </c>
      <c r="AJ4266">
        <v>62.131292125517497</v>
      </c>
      <c r="AK4266">
        <v>10.7180564956097</v>
      </c>
      <c r="AL4266">
        <v>94.092447742270593</v>
      </c>
      <c r="AM4266">
        <v>83.412419871437393</v>
      </c>
      <c r="AN4266">
        <v>1.00000001003931</v>
      </c>
    </row>
    <row r="4267" spans="1:40" x14ac:dyDescent="0.25">
      <c r="A4267" t="str">
        <f>"20190305135018700"</f>
        <v>20190305135018700</v>
      </c>
      <c r="B4267" t="str">
        <f>"1551765018694848"</f>
        <v>1551765018694848</v>
      </c>
      <c r="C4267" t="s">
        <v>40</v>
      </c>
      <c r="D4267">
        <v>4.5669009999999997</v>
      </c>
      <c r="E4267">
        <v>0.64516819999999997</v>
      </c>
      <c r="F4267" t="s">
        <v>62</v>
      </c>
      <c r="G4267">
        <v>-196.1164</v>
      </c>
      <c r="H4267" s="1">
        <v>3.7415710000000001E-6</v>
      </c>
      <c r="I4267">
        <v>208.0121</v>
      </c>
      <c r="J4267">
        <v>-204.46129999999999</v>
      </c>
      <c r="K4267">
        <v>1.1048340000000001</v>
      </c>
      <c r="L4267">
        <v>214.0992</v>
      </c>
      <c r="M4267">
        <v>0.99044710000000002</v>
      </c>
      <c r="N4267">
        <v>-2.6715929999999999E-2</v>
      </c>
      <c r="O4267">
        <v>-0.13528019999999999</v>
      </c>
      <c r="P4267">
        <v>0.96085350000000003</v>
      </c>
      <c r="Q4267">
        <v>-9.8991419999999997E-2</v>
      </c>
      <c r="R4267">
        <v>-0.25876919999999998</v>
      </c>
      <c r="S4267">
        <v>2.6116790000000001</v>
      </c>
      <c r="T4267">
        <v>-0.33365260000000002</v>
      </c>
      <c r="U4267">
        <v>-1.8522339999999999</v>
      </c>
      <c r="V4267">
        <v>0.12525749999999999</v>
      </c>
      <c r="W4267">
        <v>-7.4469149999999998E-2</v>
      </c>
      <c r="X4267">
        <v>0.98932549999999997</v>
      </c>
      <c r="Y4267">
        <v>0.46007239999999999</v>
      </c>
      <c r="Z4267">
        <v>-2.1127099999999999E-2</v>
      </c>
      <c r="AA4267">
        <v>0.88762999999999903</v>
      </c>
      <c r="AB4267">
        <v>31</v>
      </c>
      <c r="AC4267">
        <v>8.3448999999999902</v>
      </c>
      <c r="AD4267">
        <v>-1.104830258429</v>
      </c>
      <c r="AE4267">
        <v>-6.0870999999999897</v>
      </c>
      <c r="AF4267">
        <v>4.8463531015273302</v>
      </c>
      <c r="AG4267">
        <v>-1.104830258429</v>
      </c>
      <c r="AH4267">
        <v>8.9890472670296209</v>
      </c>
      <c r="AI4267">
        <v>96.174627786781201</v>
      </c>
      <c r="AJ4267">
        <v>61.669126388396798</v>
      </c>
      <c r="AK4267">
        <v>10.271843021265299</v>
      </c>
      <c r="AL4267">
        <v>94.270721456424695</v>
      </c>
      <c r="AM4267">
        <v>82.784231777568806</v>
      </c>
      <c r="AN4267">
        <v>1.0000000202791099</v>
      </c>
    </row>
    <row r="4268" spans="1:40" x14ac:dyDescent="0.25">
      <c r="A4268" t="str">
        <f>"20190305135018721"</f>
        <v>20190305135018721</v>
      </c>
      <c r="B4268" t="str">
        <f>"1551765018714876"</f>
        <v>1551765018714876</v>
      </c>
      <c r="C4268" t="s">
        <v>40</v>
      </c>
      <c r="D4268">
        <v>4.5293789999999996</v>
      </c>
      <c r="E4268">
        <v>0.64423739999999996</v>
      </c>
      <c r="F4268" t="s">
        <v>62</v>
      </c>
      <c r="G4268">
        <v>-196.13919999999999</v>
      </c>
      <c r="H4268" s="1">
        <v>3.746222E-6</v>
      </c>
      <c r="I4268">
        <v>207.97929999999999</v>
      </c>
      <c r="J4268">
        <v>-204.1627</v>
      </c>
      <c r="K4268">
        <v>1.104495</v>
      </c>
      <c r="L4268">
        <v>214.04949999999999</v>
      </c>
      <c r="M4268">
        <v>0.98930709999999999</v>
      </c>
      <c r="N4268">
        <v>-2.6216650000000001E-2</v>
      </c>
      <c r="O4268">
        <v>-0.14347199999999999</v>
      </c>
      <c r="P4268">
        <v>0.95572760000000001</v>
      </c>
      <c r="Q4268">
        <v>-0.101866</v>
      </c>
      <c r="R4268">
        <v>-0.27605849999999998</v>
      </c>
      <c r="S4268">
        <v>2.5766749999999998</v>
      </c>
      <c r="T4268">
        <v>-0.34207589999999999</v>
      </c>
      <c r="U4268">
        <v>-1.894852</v>
      </c>
      <c r="V4268">
        <v>0.13482839999999999</v>
      </c>
      <c r="W4268">
        <v>-7.811324E-2</v>
      </c>
      <c r="X4268">
        <v>0.98778520000000003</v>
      </c>
      <c r="Y4268">
        <v>0.46784389999999998</v>
      </c>
      <c r="Z4268">
        <v>-2.114421E-2</v>
      </c>
      <c r="AA4268">
        <v>0.88355819999999996</v>
      </c>
      <c r="AB4268">
        <v>31</v>
      </c>
      <c r="AC4268">
        <v>8.0235000000000092</v>
      </c>
      <c r="AD4268">
        <v>-1.1044912537780001</v>
      </c>
      <c r="AE4268">
        <v>-6.0701999999999998</v>
      </c>
      <c r="AF4268">
        <v>4.7979901829579497</v>
      </c>
      <c r="AG4268">
        <v>-1.1044912537780001</v>
      </c>
      <c r="AH4268">
        <v>8.7067086437275005</v>
      </c>
      <c r="AI4268">
        <v>96.339698265430997</v>
      </c>
      <c r="AJ4268">
        <v>61.142238705523098</v>
      </c>
      <c r="AK4268">
        <v>10.002369025995399</v>
      </c>
      <c r="AL4268">
        <v>94.480122973714003</v>
      </c>
      <c r="AM4268">
        <v>82.227407398858304</v>
      </c>
      <c r="AN4268">
        <v>0.99999998852444805</v>
      </c>
    </row>
    <row r="4269" spans="1:40" x14ac:dyDescent="0.25">
      <c r="A4269" t="str">
        <f>"20190305135018744"</f>
        <v>20190305135018744</v>
      </c>
      <c r="B4269" t="str">
        <f>"1551765018734393"</f>
        <v>1551765018734393</v>
      </c>
      <c r="C4269" t="s">
        <v>40</v>
      </c>
      <c r="D4269">
        <v>4.523263</v>
      </c>
      <c r="E4269">
        <v>0.64316830000000003</v>
      </c>
      <c r="F4269" t="s">
        <v>62</v>
      </c>
      <c r="G4269">
        <v>-195.9974</v>
      </c>
      <c r="H4269" s="1">
        <v>3.808075E-6</v>
      </c>
      <c r="I4269">
        <v>207.8407</v>
      </c>
      <c r="J4269">
        <v>-203.86709999999999</v>
      </c>
      <c r="K4269">
        <v>1.1041319999999999</v>
      </c>
      <c r="L4269">
        <v>213.9974</v>
      </c>
      <c r="M4269">
        <v>0.98804400000000003</v>
      </c>
      <c r="N4269">
        <v>-2.575212E-2</v>
      </c>
      <c r="O4269">
        <v>-0.15200659999999999</v>
      </c>
      <c r="P4269">
        <v>0.95091619999999999</v>
      </c>
      <c r="Q4269">
        <v>-0.1018553</v>
      </c>
      <c r="R4269">
        <v>-0.29220629999999997</v>
      </c>
      <c r="S4269">
        <v>2.5436100000000001</v>
      </c>
      <c r="T4269">
        <v>-0.34406569999999997</v>
      </c>
      <c r="U4269">
        <v>-1.9341429999999999</v>
      </c>
      <c r="V4269">
        <v>0.1429404</v>
      </c>
      <c r="W4269">
        <v>-7.8830319999999995E-2</v>
      </c>
      <c r="X4269">
        <v>0.98658699999999999</v>
      </c>
      <c r="Y4269">
        <v>0.47433969999999998</v>
      </c>
      <c r="Z4269">
        <v>-2.0812150000000001E-2</v>
      </c>
      <c r="AA4269">
        <v>0.88009590000000004</v>
      </c>
      <c r="AB4269">
        <v>30</v>
      </c>
      <c r="AC4269">
        <v>7.8696999999999901</v>
      </c>
      <c r="AD4269">
        <v>-1.1041281919249999</v>
      </c>
      <c r="AE4269">
        <v>-6.1566999999999998</v>
      </c>
      <c r="AF4269">
        <v>4.82949271902703</v>
      </c>
      <c r="AG4269">
        <v>-1.1041281919249999</v>
      </c>
      <c r="AH4269">
        <v>8.6092321131940199</v>
      </c>
      <c r="AI4269">
        <v>96.382130580850998</v>
      </c>
      <c r="AJ4269">
        <v>60.7090251607151</v>
      </c>
      <c r="AK4269">
        <v>9.9328735301618494</v>
      </c>
      <c r="AL4269">
        <v>94.521335472422393</v>
      </c>
      <c r="AM4269">
        <v>81.756137737001296</v>
      </c>
      <c r="AN4269">
        <v>1.0000000429362299</v>
      </c>
    </row>
    <row r="4270" spans="1:40" x14ac:dyDescent="0.25">
      <c r="A4270" t="str">
        <f>"20190305135018767"</f>
        <v>20190305135018767</v>
      </c>
      <c r="B4270" t="str">
        <f>"1551765018764649"</f>
        <v>1551765018764649</v>
      </c>
      <c r="C4270" t="s">
        <v>40</v>
      </c>
      <c r="D4270">
        <v>4.5093459999999999</v>
      </c>
      <c r="E4270">
        <v>0.64183349999999995</v>
      </c>
      <c r="F4270" t="s">
        <v>62</v>
      </c>
      <c r="G4270">
        <v>-195.68549999999999</v>
      </c>
      <c r="H4270" s="1">
        <v>3.9305010000000001E-6</v>
      </c>
      <c r="I4270">
        <v>207.5872</v>
      </c>
      <c r="J4270">
        <v>-203.565</v>
      </c>
      <c r="K4270">
        <v>1.103745</v>
      </c>
      <c r="L4270">
        <v>213.9409</v>
      </c>
      <c r="M4270">
        <v>0.98659350000000001</v>
      </c>
      <c r="N4270">
        <v>-2.5313840000000001E-2</v>
      </c>
      <c r="O4270">
        <v>-0.16122239999999999</v>
      </c>
      <c r="P4270">
        <v>0.94587160000000003</v>
      </c>
      <c r="Q4270">
        <v>-0.1004636</v>
      </c>
      <c r="R4270">
        <v>-0.30860019999999999</v>
      </c>
      <c r="S4270">
        <v>2.5133969999999999</v>
      </c>
      <c r="T4270">
        <v>-0.33919300000000002</v>
      </c>
      <c r="U4270">
        <v>-1.9692229999999999</v>
      </c>
      <c r="V4270">
        <v>0.15068689999999901</v>
      </c>
      <c r="W4270">
        <v>-7.8158720000000001E-2</v>
      </c>
      <c r="X4270">
        <v>0.985487</v>
      </c>
      <c r="Y4270">
        <v>0.47893469999999999</v>
      </c>
      <c r="Z4270">
        <v>-2.0064149999999999E-2</v>
      </c>
      <c r="AA4270">
        <v>0.87762119999999999</v>
      </c>
      <c r="AB4270">
        <v>30</v>
      </c>
      <c r="AC4270">
        <v>7.8795000000000002</v>
      </c>
      <c r="AD4270">
        <v>-1.103741069499</v>
      </c>
      <c r="AE4270">
        <v>-6.3536999999999999</v>
      </c>
      <c r="AF4270">
        <v>4.9410181691176804</v>
      </c>
      <c r="AG4270">
        <v>-1.103741069499</v>
      </c>
      <c r="AH4270">
        <v>8.6976233605803799</v>
      </c>
      <c r="AI4270">
        <v>96.296530416064797</v>
      </c>
      <c r="AJ4270">
        <v>60.399599472175801</v>
      </c>
      <c r="AK4270">
        <v>10.0638241746645</v>
      </c>
      <c r="AL4270">
        <v>94.482736827564295</v>
      </c>
      <c r="AM4270">
        <v>81.306465122385006</v>
      </c>
      <c r="AN4270">
        <v>0.99999997725632395</v>
      </c>
    </row>
    <row r="4271" spans="1:40" x14ac:dyDescent="0.25">
      <c r="A4271" t="str">
        <f>"20190305135018790"</f>
        <v>20190305135018790</v>
      </c>
      <c r="B4271" t="str">
        <f>"1551765018784169"</f>
        <v>1551765018784169</v>
      </c>
      <c r="C4271" t="s">
        <v>40</v>
      </c>
      <c r="D4271">
        <v>4.52759</v>
      </c>
      <c r="E4271">
        <v>0.64141990000000004</v>
      </c>
      <c r="F4271" t="s">
        <v>62</v>
      </c>
      <c r="G4271">
        <v>-195.39439999999999</v>
      </c>
      <c r="H4271" s="1">
        <v>4.0449029999999999E-6</v>
      </c>
      <c r="I4271">
        <v>207.3502</v>
      </c>
      <c r="J4271">
        <v>-203.26410000000001</v>
      </c>
      <c r="K4271">
        <v>1.103342</v>
      </c>
      <c r="L4271">
        <v>213.88120000000001</v>
      </c>
      <c r="M4271">
        <v>0.98496260000000002</v>
      </c>
      <c r="N4271">
        <v>-2.492374E-2</v>
      </c>
      <c r="O4271">
        <v>-0.17096140000000001</v>
      </c>
      <c r="P4271">
        <v>0.94034870000000004</v>
      </c>
      <c r="Q4271">
        <v>-0.1004149</v>
      </c>
      <c r="R4271">
        <v>-0.32505620000000002</v>
      </c>
      <c r="S4271">
        <v>2.4826809999999999</v>
      </c>
      <c r="T4271">
        <v>-0.33537719999999999</v>
      </c>
      <c r="U4271">
        <v>-2.0026090000000001</v>
      </c>
      <c r="V4271">
        <v>0.15804409999999999</v>
      </c>
      <c r="W4271">
        <v>-7.8800480000000006E-2</v>
      </c>
      <c r="X4271">
        <v>0.98428269999999995</v>
      </c>
      <c r="Y4271">
        <v>0.48277219999999998</v>
      </c>
      <c r="Z4271">
        <v>-1.9269089999999999E-2</v>
      </c>
      <c r="AA4271">
        <v>0.87553389999999998</v>
      </c>
      <c r="AB4271">
        <v>30</v>
      </c>
      <c r="AC4271">
        <v>7.8697000000000203</v>
      </c>
      <c r="AD4271">
        <v>-1.1033379550969999</v>
      </c>
      <c r="AE4271">
        <v>-6.5309999999999997</v>
      </c>
      <c r="AF4271">
        <v>5.0304033153055796</v>
      </c>
      <c r="AG4271">
        <v>-1.1033379550969999</v>
      </c>
      <c r="AH4271">
        <v>8.7685991513007302</v>
      </c>
      <c r="AI4271">
        <v>96.228799648951195</v>
      </c>
      <c r="AJ4271">
        <v>60.157804880241301</v>
      </c>
      <c r="AK4271">
        <v>10.169102380937399</v>
      </c>
      <c r="AL4271">
        <v>94.519620882333498</v>
      </c>
      <c r="AM4271">
        <v>80.878005831068904</v>
      </c>
      <c r="AN4271">
        <v>0.99999994335616305</v>
      </c>
    </row>
    <row r="4272" spans="1:40" x14ac:dyDescent="0.25">
      <c r="A4272" t="str">
        <f>"20190305135018811"</f>
        <v>20190305135018811</v>
      </c>
      <c r="B4272" t="str">
        <f>"1551765018804668"</f>
        <v>1551765018804668</v>
      </c>
      <c r="C4272" t="s">
        <v>40</v>
      </c>
      <c r="D4272">
        <v>4.5190970000000004</v>
      </c>
      <c r="E4272">
        <v>0.62449129999999997</v>
      </c>
      <c r="F4272" t="s">
        <v>62</v>
      </c>
      <c r="G4272">
        <v>-195.19550000000001</v>
      </c>
      <c r="H4272" s="1">
        <v>4.1330010000000003E-6</v>
      </c>
      <c r="I4272">
        <v>207.1508</v>
      </c>
      <c r="J4272">
        <v>-202.97819999999999</v>
      </c>
      <c r="K4272">
        <v>1.102957</v>
      </c>
      <c r="L4272">
        <v>213.82069999999999</v>
      </c>
      <c r="M4272">
        <v>0.98320600000000002</v>
      </c>
      <c r="N4272">
        <v>-2.4604770000000002E-2</v>
      </c>
      <c r="O4272">
        <v>-0.18083360000000001</v>
      </c>
      <c r="P4272">
        <v>0.93528219999999995</v>
      </c>
      <c r="Q4272">
        <v>-0.10106039999999999</v>
      </c>
      <c r="R4272">
        <v>-0.33916780000000002</v>
      </c>
      <c r="S4272">
        <v>2.448547</v>
      </c>
      <c r="T4272">
        <v>-0.3348237</v>
      </c>
      <c r="U4272">
        <v>-2.0424190000000002</v>
      </c>
      <c r="V4272">
        <v>0.16288710000000001</v>
      </c>
      <c r="W4272">
        <v>-8.0024239999999996E-2</v>
      </c>
      <c r="X4272">
        <v>0.98339410000000005</v>
      </c>
      <c r="Y4272">
        <v>0.4883845</v>
      </c>
      <c r="Z4272">
        <v>-1.870751E-2</v>
      </c>
      <c r="AA4272">
        <v>0.87242799999999998</v>
      </c>
      <c r="AB4272">
        <v>30</v>
      </c>
      <c r="AC4272">
        <v>7.78269999999997</v>
      </c>
      <c r="AD4272">
        <v>-1.1029528669990001</v>
      </c>
      <c r="AE4272">
        <v>-6.6698999999999797</v>
      </c>
      <c r="AF4272">
        <v>5.0930963827852498</v>
      </c>
      <c r="AG4272">
        <v>-1.1029528669990001</v>
      </c>
      <c r="AH4272">
        <v>8.7593926974526202</v>
      </c>
      <c r="AI4272">
        <v>96.212385947298301</v>
      </c>
      <c r="AJ4272">
        <v>59.824396438479504</v>
      </c>
      <c r="AK4272">
        <v>10.192305736159399</v>
      </c>
      <c r="AL4272">
        <v>94.589958955439101</v>
      </c>
      <c r="AM4272">
        <v>80.5950514960943</v>
      </c>
      <c r="AN4272">
        <v>1.00000002112439</v>
      </c>
    </row>
    <row r="4273" spans="1:40" x14ac:dyDescent="0.25">
      <c r="A4273" t="str">
        <f>"20190305135018833"</f>
        <v>20190305135018833</v>
      </c>
      <c r="B4273" t="str">
        <f>"1551765018824185"</f>
        <v>1551765018824185</v>
      </c>
      <c r="C4273" t="s">
        <v>40</v>
      </c>
      <c r="D4273">
        <v>4.5065330000000001</v>
      </c>
      <c r="E4273">
        <v>0.62230479999999999</v>
      </c>
      <c r="F4273" t="s">
        <v>62</v>
      </c>
      <c r="G4273">
        <v>-195.3972</v>
      </c>
      <c r="H4273" s="1">
        <v>3.9233960000000003E-6</v>
      </c>
      <c r="I4273">
        <v>207.8073</v>
      </c>
      <c r="J4273">
        <v>-202.68379999999999</v>
      </c>
      <c r="K4273">
        <v>1.1025529999999999</v>
      </c>
      <c r="L4273">
        <v>213.75450000000001</v>
      </c>
      <c r="M4273">
        <v>0.98116890000000001</v>
      </c>
      <c r="N4273">
        <v>-2.432614E-2</v>
      </c>
      <c r="O4273">
        <v>-0.1916138</v>
      </c>
      <c r="P4273">
        <v>0.93021039999999999</v>
      </c>
      <c r="Q4273">
        <v>-9.9481490000000006E-2</v>
      </c>
      <c r="R4273">
        <v>-0.35328809999999999</v>
      </c>
      <c r="S4273">
        <v>2.4609830000000001</v>
      </c>
      <c r="T4273">
        <v>-0.35804449999999999</v>
      </c>
      <c r="U4273">
        <v>-1.9520869999999999</v>
      </c>
      <c r="V4273">
        <v>0.1668859</v>
      </c>
      <c r="W4273">
        <v>-7.8975779999999995E-2</v>
      </c>
      <c r="X4273">
        <v>0.98280820000000002</v>
      </c>
      <c r="Y4273">
        <v>0.45699440000000002</v>
      </c>
      <c r="Z4273">
        <v>-1.5654290000000001E-2</v>
      </c>
      <c r="AA4273">
        <v>0.88933180000000001</v>
      </c>
      <c r="AB4273">
        <v>30</v>
      </c>
      <c r="AC4273">
        <v>7.2865999999999902</v>
      </c>
      <c r="AD4273">
        <v>-1.102549076604</v>
      </c>
      <c r="AE4273">
        <v>-5.9471999999999996</v>
      </c>
      <c r="AF4273">
        <v>4.3801195924413499</v>
      </c>
      <c r="AG4273">
        <v>-1.102549076604</v>
      </c>
      <c r="AH4273">
        <v>8.1790134413453703</v>
      </c>
      <c r="AI4273">
        <v>96.776933278789301</v>
      </c>
      <c r="AJ4273">
        <v>61.829546594377597</v>
      </c>
      <c r="AK4273">
        <v>9.3433036440071398</v>
      </c>
      <c r="AL4273">
        <v>94.529695895616996</v>
      </c>
      <c r="AM4273">
        <v>80.362805186145707</v>
      </c>
      <c r="AN4273">
        <v>1.00000001771632</v>
      </c>
    </row>
    <row r="4274" spans="1:40" x14ac:dyDescent="0.25">
      <c r="A4274" t="str">
        <f>"20190305135018855"</f>
        <v>20190305135018855</v>
      </c>
      <c r="B4274" t="str">
        <f>"1551765018844681"</f>
        <v>1551765018844681</v>
      </c>
      <c r="C4274" t="s">
        <v>40</v>
      </c>
      <c r="D4274">
        <v>4.5307629999999897</v>
      </c>
      <c r="E4274">
        <v>0.62108099999999999</v>
      </c>
      <c r="F4274" t="s">
        <v>62</v>
      </c>
      <c r="G4274">
        <v>-192.64490000000001</v>
      </c>
      <c r="H4274" s="1">
        <v>5.2107330000000002E-6</v>
      </c>
      <c r="I4274">
        <v>205.6634</v>
      </c>
      <c r="J4274">
        <v>-202.4025</v>
      </c>
      <c r="K4274">
        <v>1.102187</v>
      </c>
      <c r="L4274">
        <v>213.6876</v>
      </c>
      <c r="M4274">
        <v>0.97900019999999999</v>
      </c>
      <c r="N4274">
        <v>-2.4103019999999999E-2</v>
      </c>
      <c r="O4274">
        <v>-0.20243</v>
      </c>
      <c r="P4274">
        <v>0.92464230000000003</v>
      </c>
      <c r="Q4274">
        <v>-9.7618010000000005E-2</v>
      </c>
      <c r="R4274">
        <v>-0.36811359999999999</v>
      </c>
      <c r="S4274">
        <v>2.4472200000000002</v>
      </c>
      <c r="T4274">
        <v>-0.2687736</v>
      </c>
      <c r="U4274">
        <v>-1.9724120000000001</v>
      </c>
      <c r="V4274">
        <v>0.1716625</v>
      </c>
      <c r="W4274">
        <v>-7.7599470000000004E-2</v>
      </c>
      <c r="X4274">
        <v>0.98209489999999999</v>
      </c>
      <c r="Y4274">
        <v>0.45515559999999999</v>
      </c>
      <c r="Z4274">
        <v>-1.342083E-2</v>
      </c>
      <c r="AA4274">
        <v>0.89031079999999996</v>
      </c>
      <c r="AB4274">
        <v>29</v>
      </c>
      <c r="AC4274">
        <v>9.7575999999999894</v>
      </c>
      <c r="AD4274">
        <v>-1.1021817892670001</v>
      </c>
      <c r="AE4274">
        <v>-8.0242000000000004</v>
      </c>
      <c r="AF4274">
        <v>5.83773591091418</v>
      </c>
      <c r="AG4274">
        <v>-1.1021817892670001</v>
      </c>
      <c r="AH4274">
        <v>11.0958205866414</v>
      </c>
      <c r="AI4274">
        <v>95.023883581185402</v>
      </c>
      <c r="AJ4274">
        <v>62.250233373366903</v>
      </c>
      <c r="AK4274">
        <v>12.5861511095769</v>
      </c>
      <c r="AL4274">
        <v>94.450596256299505</v>
      </c>
      <c r="AM4274">
        <v>80.085308770674601</v>
      </c>
      <c r="AN4274">
        <v>1.00000004212826</v>
      </c>
    </row>
    <row r="4275" spans="1:40" x14ac:dyDescent="0.25">
      <c r="A4275" t="str">
        <f>"20190305135018878"</f>
        <v>20190305135018878</v>
      </c>
      <c r="B4275" t="str">
        <f>"1551765018874937"</f>
        <v>1551765018874937</v>
      </c>
      <c r="C4275" t="s">
        <v>40</v>
      </c>
      <c r="D4275">
        <v>4.4865599999999999</v>
      </c>
      <c r="E4275">
        <v>0.61955539999999998</v>
      </c>
      <c r="F4275" t="s">
        <v>62</v>
      </c>
      <c r="G4275">
        <v>-193.66040000000001</v>
      </c>
      <c r="H4275" s="1">
        <v>4.7108400000000001E-6</v>
      </c>
      <c r="I4275">
        <v>206.44059999999999</v>
      </c>
      <c r="J4275">
        <v>-202.1121</v>
      </c>
      <c r="K4275">
        <v>1.101826</v>
      </c>
      <c r="L4275">
        <v>213.61439999999999</v>
      </c>
      <c r="M4275">
        <v>0.97650769999999998</v>
      </c>
      <c r="N4275">
        <v>-2.3906130000000001E-2</v>
      </c>
      <c r="O4275">
        <v>-0.21415290000000001</v>
      </c>
      <c r="P4275">
        <v>0.91852500000000004</v>
      </c>
      <c r="Q4275">
        <v>-9.6935179999999996E-2</v>
      </c>
      <c r="R4275">
        <v>-0.38329540000000001</v>
      </c>
      <c r="S4275">
        <v>2.4152529999999999</v>
      </c>
      <c r="T4275">
        <v>-0.30450870000000002</v>
      </c>
      <c r="U4275">
        <v>-2.0021819999999999</v>
      </c>
      <c r="V4275">
        <v>0.17598179999999999</v>
      </c>
      <c r="W4275">
        <v>-7.7375609999999997E-2</v>
      </c>
      <c r="X4275">
        <v>0.98134770000000004</v>
      </c>
      <c r="Y4275">
        <v>0.45641690000000001</v>
      </c>
      <c r="Z4275">
        <v>-1.2878860000000001E-2</v>
      </c>
      <c r="AA4275">
        <v>0.88967280000000004</v>
      </c>
      <c r="AB4275">
        <v>29</v>
      </c>
      <c r="AC4275">
        <v>8.4516999999999793</v>
      </c>
      <c r="AD4275">
        <v>-1.1018212891600001</v>
      </c>
      <c r="AE4275">
        <v>-7.1738</v>
      </c>
      <c r="AF4275">
        <v>5.1459651871489296</v>
      </c>
      <c r="AG4275">
        <v>-1.1018212891600001</v>
      </c>
      <c r="AH4275">
        <v>9.6964514586668393</v>
      </c>
      <c r="AI4275">
        <v>95.731711383039993</v>
      </c>
      <c r="AJ4275">
        <v>62.044838500712601</v>
      </c>
      <c r="AK4275">
        <v>11.032503738992199</v>
      </c>
      <c r="AL4275">
        <v>94.437731780951395</v>
      </c>
      <c r="AM4275">
        <v>79.833399753867397</v>
      </c>
      <c r="AN4275">
        <v>0.99999994362469902</v>
      </c>
    </row>
    <row r="4276" spans="1:40" x14ac:dyDescent="0.25">
      <c r="A4276" t="str">
        <f>"20190305135018901"</f>
        <v>20190305135018901</v>
      </c>
      <c r="B4276" t="str">
        <f>"1551765018894460"</f>
        <v>1551765018894460</v>
      </c>
      <c r="C4276" t="s">
        <v>40</v>
      </c>
      <c r="D4276">
        <v>4.4639930000000003</v>
      </c>
      <c r="E4276">
        <v>0.61866429999999994</v>
      </c>
      <c r="F4276" t="s">
        <v>62</v>
      </c>
      <c r="G4276">
        <v>-194.011</v>
      </c>
      <c r="H4276" s="1">
        <v>4.5356420000000001E-6</v>
      </c>
      <c r="I4276">
        <v>206.71629999999999</v>
      </c>
      <c r="J4276">
        <v>-201.82079999999999</v>
      </c>
      <c r="K4276">
        <v>1.1014600000000001</v>
      </c>
      <c r="L4276">
        <v>213.53659999999999</v>
      </c>
      <c r="M4276">
        <v>0.97372259999999999</v>
      </c>
      <c r="N4276">
        <v>-2.3742639999999999E-2</v>
      </c>
      <c r="O4276">
        <v>-0.22649639999999999</v>
      </c>
      <c r="P4276">
        <v>0.91247659999999997</v>
      </c>
      <c r="Q4276">
        <v>-9.7181820000000002E-2</v>
      </c>
      <c r="R4276">
        <v>-0.39741949999999998</v>
      </c>
      <c r="S4276">
        <v>2.3845670000000001</v>
      </c>
      <c r="T4276">
        <v>-0.32432129999999998</v>
      </c>
      <c r="U4276">
        <v>-2.0304570000000002</v>
      </c>
      <c r="V4276">
        <v>0.17862149999999999</v>
      </c>
      <c r="W4276">
        <v>-7.8010419999999997E-2</v>
      </c>
      <c r="X4276">
        <v>0.98082049999999998</v>
      </c>
      <c r="Y4276">
        <v>0.45673550000000002</v>
      </c>
      <c r="Z4276">
        <v>-1.1900839999999999E-2</v>
      </c>
      <c r="AA4276">
        <v>0.88952289999999901</v>
      </c>
      <c r="AB4276">
        <v>29</v>
      </c>
      <c r="AC4276">
        <v>7.8097999999999903</v>
      </c>
      <c r="AD4276">
        <v>-1.1014554643579999</v>
      </c>
      <c r="AE4276">
        <v>-6.8202999999999996</v>
      </c>
      <c r="AF4276">
        <v>4.81917977870188</v>
      </c>
      <c r="AG4276">
        <v>-1.1014554643579999</v>
      </c>
      <c r="AH4276">
        <v>9.0498081971319593</v>
      </c>
      <c r="AI4276">
        <v>96.131648130262803</v>
      </c>
      <c r="AJ4276">
        <v>61.963924819650003</v>
      </c>
      <c r="AK4276">
        <v>10.3119700486517</v>
      </c>
      <c r="AL4276">
        <v>94.474213471379002</v>
      </c>
      <c r="AM4276">
        <v>79.678727526565396</v>
      </c>
      <c r="AN4276">
        <v>1.0000000595555301</v>
      </c>
    </row>
    <row r="4277" spans="1:40" x14ac:dyDescent="0.25">
      <c r="A4277" t="str">
        <f>"20190305135018923"</f>
        <v>20190305135018923</v>
      </c>
      <c r="B4277" t="str">
        <f>"1551765018914485"</f>
        <v>1551765018914485</v>
      </c>
      <c r="C4277" t="s">
        <v>40</v>
      </c>
      <c r="D4277">
        <v>4.4535030000000004</v>
      </c>
      <c r="E4277">
        <v>0.6179057</v>
      </c>
      <c r="F4277" t="s">
        <v>62</v>
      </c>
      <c r="G4277">
        <v>-193.74889999999999</v>
      </c>
      <c r="H4277" s="1">
        <v>4.6786779999999996E-6</v>
      </c>
      <c r="I4277">
        <v>206.476</v>
      </c>
      <c r="J4277">
        <v>-201.5472</v>
      </c>
      <c r="K4277">
        <v>1.101119</v>
      </c>
      <c r="L4277">
        <v>213.45939999999999</v>
      </c>
      <c r="M4277">
        <v>0.97082159999999995</v>
      </c>
      <c r="N4277">
        <v>-2.3629669999999998E-2</v>
      </c>
      <c r="O4277">
        <v>-0.23863580000000001</v>
      </c>
      <c r="P4277">
        <v>0.90700820000000004</v>
      </c>
      <c r="Q4277">
        <v>-9.7148269999999995E-2</v>
      </c>
      <c r="R4277">
        <v>-0.40975420000000001</v>
      </c>
      <c r="S4277">
        <v>2.3559420000000002</v>
      </c>
      <c r="T4277">
        <v>-0.3214844</v>
      </c>
      <c r="U4277">
        <v>-2.060791</v>
      </c>
      <c r="V4277">
        <v>0.17960479999999901</v>
      </c>
      <c r="W4277">
        <v>-7.8263330000000006E-2</v>
      </c>
      <c r="X4277">
        <v>0.98062070000000001</v>
      </c>
      <c r="Y4277">
        <v>0.45753830000000001</v>
      </c>
      <c r="Z4277">
        <v>-1.085291E-2</v>
      </c>
      <c r="AA4277">
        <v>0.88912369999999996</v>
      </c>
      <c r="AB4277">
        <v>29</v>
      </c>
      <c r="AC4277">
        <v>7.79830000000001</v>
      </c>
      <c r="AD4277">
        <v>-1.101114321322</v>
      </c>
      <c r="AE4277">
        <v>-6.9833999999999801</v>
      </c>
      <c r="AF4277">
        <v>4.86621404180916</v>
      </c>
      <c r="AG4277">
        <v>-1.101114321322</v>
      </c>
      <c r="AH4277">
        <v>9.1387128989077109</v>
      </c>
      <c r="AI4277">
        <v>96.070662908047893</v>
      </c>
      <c r="AJ4277">
        <v>61.965434295356999</v>
      </c>
      <c r="AK4277">
        <v>10.4119433967911</v>
      </c>
      <c r="AL4277">
        <v>94.488748874964202</v>
      </c>
      <c r="AM4277">
        <v>79.621072320618694</v>
      </c>
      <c r="AN4277">
        <v>0.99999999513710902</v>
      </c>
    </row>
    <row r="4278" spans="1:40" x14ac:dyDescent="0.25">
      <c r="A4278" t="str">
        <f>"20190305135018945"</f>
        <v>20190305135018945</v>
      </c>
      <c r="B4278" t="str">
        <f>"1551765018934981"</f>
        <v>1551765018934981</v>
      </c>
      <c r="C4278" t="s">
        <v>40</v>
      </c>
      <c r="D4278">
        <v>4.4940759999999997</v>
      </c>
      <c r="E4278">
        <v>0.6171181</v>
      </c>
      <c r="F4278" t="s">
        <v>62</v>
      </c>
      <c r="G4278">
        <v>-193.64789999999999</v>
      </c>
      <c r="H4278" s="1">
        <v>4.7335989999999996E-6</v>
      </c>
      <c r="I4278">
        <v>206.38399999999999</v>
      </c>
      <c r="J4278">
        <v>-201.27209999999999</v>
      </c>
      <c r="K4278">
        <v>1.1007670000000001</v>
      </c>
      <c r="L4278">
        <v>213.37739999999999</v>
      </c>
      <c r="M4278">
        <v>0.96759770000000001</v>
      </c>
      <c r="N4278">
        <v>-2.3564229999999999E-2</v>
      </c>
      <c r="O4278">
        <v>-0.25139470000000003</v>
      </c>
      <c r="P4278">
        <v>0.90046369999999898</v>
      </c>
      <c r="Q4278">
        <v>-9.7825430000000005E-2</v>
      </c>
      <c r="R4278">
        <v>-0.42378710000000003</v>
      </c>
      <c r="S4278">
        <v>2.329971</v>
      </c>
      <c r="T4278">
        <v>-0.32478629999999997</v>
      </c>
      <c r="U4278">
        <v>-2.0869599999999999</v>
      </c>
      <c r="V4278">
        <v>0.18185090000000001</v>
      </c>
      <c r="W4278">
        <v>-7.9222529999999999E-2</v>
      </c>
      <c r="X4278">
        <v>0.98012960000000005</v>
      </c>
      <c r="Y4278">
        <v>0.45631620000000001</v>
      </c>
      <c r="Z4278">
        <v>-9.6071000000000004E-3</v>
      </c>
      <c r="AA4278">
        <v>0.8897659</v>
      </c>
      <c r="AB4278">
        <v>29</v>
      </c>
      <c r="AC4278">
        <v>7.6242000000000001</v>
      </c>
      <c r="AD4278">
        <v>-1.1007622664009999</v>
      </c>
      <c r="AE4278">
        <v>-6.9933999999999799</v>
      </c>
      <c r="AF4278">
        <v>4.7971565870888897</v>
      </c>
      <c r="AG4278">
        <v>-1.1007622664009999</v>
      </c>
      <c r="AH4278">
        <v>9.0355154739800003</v>
      </c>
      <c r="AI4278">
        <v>96.1414661638712</v>
      </c>
      <c r="AJ4278">
        <v>62.035171089110797</v>
      </c>
      <c r="AK4278">
        <v>10.289068411120301</v>
      </c>
      <c r="AL4278">
        <v>94.543878164375798</v>
      </c>
      <c r="AM4278">
        <v>79.489001473185297</v>
      </c>
      <c r="AN4278">
        <v>0.99999999594328504</v>
      </c>
    </row>
    <row r="4279" spans="1:40" x14ac:dyDescent="0.25">
      <c r="A4279" t="str">
        <f>"20190305135018968"</f>
        <v>20190305135018968</v>
      </c>
      <c r="B4279" t="str">
        <f>"1551765018964260"</f>
        <v>1551765018964260</v>
      </c>
      <c r="C4279" t="s">
        <v>40</v>
      </c>
      <c r="D4279">
        <v>4.4621420000000001</v>
      </c>
      <c r="E4279">
        <v>0.61612169999999999</v>
      </c>
      <c r="F4279" t="s">
        <v>62</v>
      </c>
      <c r="G4279">
        <v>-193.59979999999999</v>
      </c>
      <c r="H4279" s="1">
        <v>4.7697990000000002E-6</v>
      </c>
      <c r="I4279">
        <v>206.31180000000001</v>
      </c>
      <c r="J4279">
        <v>-200.99209999999999</v>
      </c>
      <c r="K4279">
        <v>1.1004</v>
      </c>
      <c r="L4279">
        <v>213.2893</v>
      </c>
      <c r="M4279">
        <v>0.96397010000000005</v>
      </c>
      <c r="N4279">
        <v>-2.3541139999999999E-2</v>
      </c>
      <c r="O4279">
        <v>-0.26496690000000001</v>
      </c>
      <c r="P4279">
        <v>0.89338980000000001</v>
      </c>
      <c r="Q4279">
        <v>-9.9107529999999999E-2</v>
      </c>
      <c r="R4279">
        <v>-0.43821500000000002</v>
      </c>
      <c r="S4279">
        <v>2.299255</v>
      </c>
      <c r="T4279">
        <v>-0.32988070000000003</v>
      </c>
      <c r="U4279">
        <v>-2.1174469999999999</v>
      </c>
      <c r="V4279">
        <v>0.18377289999999999</v>
      </c>
      <c r="W4279">
        <v>-8.0746869999999998E-2</v>
      </c>
      <c r="X4279">
        <v>0.97964660000000003</v>
      </c>
      <c r="Y4279">
        <v>0.45611279999999998</v>
      </c>
      <c r="Z4279">
        <v>-8.3276519999999996E-3</v>
      </c>
      <c r="AA4279">
        <v>0.88988299999999998</v>
      </c>
      <c r="AB4279">
        <v>29</v>
      </c>
      <c r="AC4279">
        <v>7.3922999999999996</v>
      </c>
      <c r="AD4279">
        <v>-1.1003952302010001</v>
      </c>
      <c r="AE4279">
        <v>-6.9774999999999903</v>
      </c>
      <c r="AF4279">
        <v>4.7134742661663802</v>
      </c>
      <c r="AG4279">
        <v>-1.1003952302010001</v>
      </c>
      <c r="AH4279">
        <v>8.8732710445068701</v>
      </c>
      <c r="AI4279">
        <v>96.250099287448705</v>
      </c>
      <c r="AJ4279">
        <v>62.022796714932497</v>
      </c>
      <c r="AK4279">
        <v>10.1075540240824</v>
      </c>
      <c r="AL4279">
        <v>94.6314971340326</v>
      </c>
      <c r="AM4279">
        <v>79.375307139106795</v>
      </c>
      <c r="AN4279">
        <v>0.999999998340383</v>
      </c>
    </row>
    <row r="4280" spans="1:40" x14ac:dyDescent="0.25">
      <c r="A4280" t="str">
        <f>"20190305135018991"</f>
        <v>20190305135018991</v>
      </c>
      <c r="B4280" t="str">
        <f>"1551765018984757"</f>
        <v>1551765018984757</v>
      </c>
      <c r="C4280" t="s">
        <v>40</v>
      </c>
      <c r="D4280">
        <v>4.5010459999999997</v>
      </c>
      <c r="E4280">
        <v>0.61544790000000005</v>
      </c>
      <c r="F4280" t="s">
        <v>62</v>
      </c>
      <c r="G4280">
        <v>-193.5018</v>
      </c>
      <c r="H4280" s="1">
        <v>4.831853E-6</v>
      </c>
      <c r="I4280">
        <v>206.1978</v>
      </c>
      <c r="J4280">
        <v>-200.7105</v>
      </c>
      <c r="K4280">
        <v>1.1000299999999901</v>
      </c>
      <c r="L4280">
        <v>213.19540000000001</v>
      </c>
      <c r="M4280">
        <v>0.95992429999999995</v>
      </c>
      <c r="N4280">
        <v>-2.3553040000000001E-2</v>
      </c>
      <c r="O4280">
        <v>-0.27926780000000001</v>
      </c>
      <c r="P4280">
        <v>0.88621159999999999</v>
      </c>
      <c r="Q4280">
        <v>-0.1002559</v>
      </c>
      <c r="R4280">
        <v>-0.4523025</v>
      </c>
      <c r="S4280">
        <v>2.2678530000000001</v>
      </c>
      <c r="T4280">
        <v>-0.33316970000000001</v>
      </c>
      <c r="U4280">
        <v>-2.147125</v>
      </c>
      <c r="V4280">
        <v>0.1846497</v>
      </c>
      <c r="W4280">
        <v>-8.2078540000000005E-2</v>
      </c>
      <c r="X4280">
        <v>0.97937099999999999</v>
      </c>
      <c r="Y4280">
        <v>0.45519369999999998</v>
      </c>
      <c r="Z4280">
        <v>-6.9157029999999996E-3</v>
      </c>
      <c r="AA4280">
        <v>0.89036559999999898</v>
      </c>
      <c r="AB4280">
        <v>28</v>
      </c>
      <c r="AC4280">
        <v>7.2086999999999897</v>
      </c>
      <c r="AD4280">
        <v>-1.1000251681469999</v>
      </c>
      <c r="AE4280">
        <v>-6.9976000000000003</v>
      </c>
      <c r="AF4280">
        <v>4.6495710153188901</v>
      </c>
      <c r="AG4280">
        <v>-1.1000251681469999</v>
      </c>
      <c r="AH4280">
        <v>8.7713155322795906</v>
      </c>
      <c r="AI4280">
        <v>96.322939298006801</v>
      </c>
      <c r="AJ4280">
        <v>62.072464384434397</v>
      </c>
      <c r="AK4280">
        <v>9.9882201699732107</v>
      </c>
      <c r="AL4280">
        <v>94.708050431328999</v>
      </c>
      <c r="AM4280">
        <v>79.3228430205086</v>
      </c>
      <c r="AN4280">
        <v>0.99999997703981003</v>
      </c>
    </row>
    <row r="4281" spans="1:40" x14ac:dyDescent="0.25">
      <c r="A4281" t="str">
        <f>"20190305135019013"</f>
        <v>20190305135019013</v>
      </c>
      <c r="B4281" t="str">
        <f>"1551765019004281"</f>
        <v>1551765019004281</v>
      </c>
      <c r="C4281" t="s">
        <v>40</v>
      </c>
      <c r="D4281">
        <v>4.2516550000000004</v>
      </c>
      <c r="E4281">
        <v>0.59938169999999902</v>
      </c>
      <c r="F4281" t="s">
        <v>62</v>
      </c>
      <c r="G4281">
        <v>-193.41849999999999</v>
      </c>
      <c r="H4281" s="1">
        <v>4.887984E-6</v>
      </c>
      <c r="I4281">
        <v>206.09119999999999</v>
      </c>
      <c r="J4281">
        <v>-200.453</v>
      </c>
      <c r="K4281">
        <v>1.099685</v>
      </c>
      <c r="L4281">
        <v>213.1045</v>
      </c>
      <c r="M4281">
        <v>0.95584360000000002</v>
      </c>
      <c r="N4281">
        <v>-2.3588970000000001E-2</v>
      </c>
      <c r="O4281">
        <v>-0.29292829999999997</v>
      </c>
      <c r="P4281">
        <v>0.87891540000000001</v>
      </c>
      <c r="Q4281">
        <v>-0.1008699</v>
      </c>
      <c r="R4281">
        <v>-0.46619050000000001</v>
      </c>
      <c r="S4281">
        <v>2.2355040000000002</v>
      </c>
      <c r="T4281">
        <v>-0.33723500000000001</v>
      </c>
      <c r="U4281">
        <v>-2.1779329999999999</v>
      </c>
      <c r="V4281">
        <v>0.18602750000000001</v>
      </c>
      <c r="W4281">
        <v>-8.2853330000000003E-2</v>
      </c>
      <c r="X4281">
        <v>0.97904500000000005</v>
      </c>
      <c r="Y4281">
        <v>0.45523609999999998</v>
      </c>
      <c r="Z4281">
        <v>-5.5917550000000003E-3</v>
      </c>
      <c r="AA4281">
        <v>0.89035319999999996</v>
      </c>
      <c r="AB4281">
        <v>28</v>
      </c>
      <c r="AC4281">
        <v>7.0345000000000004</v>
      </c>
      <c r="AD4281">
        <v>-1.099680112016</v>
      </c>
      <c r="AE4281">
        <v>-7.0133000000000099</v>
      </c>
      <c r="AF4281">
        <v>4.5880741777685596</v>
      </c>
      <c r="AG4281">
        <v>-1.099680112016</v>
      </c>
      <c r="AH4281">
        <v>8.6744047178030499</v>
      </c>
      <c r="AI4281">
        <v>96.394069398274496</v>
      </c>
      <c r="AJ4281">
        <v>62.124699749912601</v>
      </c>
      <c r="AK4281">
        <v>9.8744629331277594</v>
      </c>
      <c r="AL4281">
        <v>94.752594202232203</v>
      </c>
      <c r="AM4281">
        <v>79.241527388967896</v>
      </c>
      <c r="AN4281">
        <v>1.00000000853666</v>
      </c>
    </row>
    <row r="4282" spans="1:40" x14ac:dyDescent="0.25">
      <c r="A4282" t="str">
        <f>"20190305135019056"</f>
        <v>20190305135019056</v>
      </c>
      <c r="B4282" t="str">
        <f>"1551765019055029"</f>
        <v>1551765019055029</v>
      </c>
      <c r="C4282" t="s">
        <v>40</v>
      </c>
      <c r="D4282">
        <v>4.3814190000000002</v>
      </c>
      <c r="E4282">
        <v>0.49330039999999997</v>
      </c>
      <c r="F4282" t="s">
        <v>62</v>
      </c>
      <c r="G4282">
        <v>-191.49449999999999</v>
      </c>
      <c r="H4282" s="1">
        <v>5.7678610000000003E-6</v>
      </c>
      <c r="I4282">
        <v>204.809</v>
      </c>
      <c r="J4282">
        <v>-199.9297</v>
      </c>
      <c r="K4282">
        <v>1.0990740000000001</v>
      </c>
      <c r="L4282">
        <v>212.9049</v>
      </c>
      <c r="M4282">
        <v>0.94635610000000003</v>
      </c>
      <c r="N4282">
        <v>-2.3712670000000002E-2</v>
      </c>
      <c r="O4282">
        <v>-0.3222546</v>
      </c>
      <c r="P4282">
        <v>0.86445879999999997</v>
      </c>
      <c r="Q4282">
        <v>-0.10191699999999999</v>
      </c>
      <c r="R4282">
        <v>-0.49226429999999999</v>
      </c>
      <c r="S4282">
        <v>2.2675930000000002</v>
      </c>
      <c r="T4282">
        <v>-0.27835330000000003</v>
      </c>
      <c r="U4282">
        <v>-2.0997919999999999</v>
      </c>
      <c r="V4282">
        <v>0.18501629999999999</v>
      </c>
      <c r="W4282">
        <v>-8.4024009999999996E-2</v>
      </c>
      <c r="X4282">
        <v>0.97913680000000003</v>
      </c>
      <c r="Y4282">
        <v>0.4053563</v>
      </c>
      <c r="Z4282">
        <v>-1.448225E-3</v>
      </c>
      <c r="AA4282">
        <v>0.91415760000000001</v>
      </c>
      <c r="AB4282">
        <v>28</v>
      </c>
      <c r="AC4282">
        <v>8.4352</v>
      </c>
      <c r="AD4282">
        <v>-1.099068232139</v>
      </c>
      <c r="AE4282">
        <v>-8.0958999999999701</v>
      </c>
      <c r="AF4282">
        <v>4.9013997907930502</v>
      </c>
      <c r="AG4282">
        <v>-1.099068232139</v>
      </c>
      <c r="AH4282">
        <v>10.501820028229499</v>
      </c>
      <c r="AI4282">
        <v>95.417426854343006</v>
      </c>
      <c r="AJ4282">
        <v>64.980640512880299</v>
      </c>
      <c r="AK4282">
        <v>11.641301250006601</v>
      </c>
      <c r="AL4282">
        <v>94.819904133067794</v>
      </c>
      <c r="AM4282">
        <v>79.299633828757393</v>
      </c>
      <c r="AN4282">
        <v>0.99999996931820401</v>
      </c>
    </row>
    <row r="4283" spans="1:40" x14ac:dyDescent="0.25">
      <c r="A4283" t="str">
        <f>"20190305135019074"</f>
        <v>20190305135019074</v>
      </c>
      <c r="B4283" t="str">
        <f>"1551765019064790"</f>
        <v>1551765019064790</v>
      </c>
      <c r="C4283" t="s">
        <v>40</v>
      </c>
      <c r="D4283">
        <v>4.2868839999999997</v>
      </c>
      <c r="E4283">
        <v>0.48974450000000003</v>
      </c>
      <c r="F4283" t="s">
        <v>41</v>
      </c>
      <c r="G4283">
        <v>-199.18100000000001</v>
      </c>
      <c r="H4283">
        <v>0.9387084</v>
      </c>
      <c r="I4283">
        <v>212.49199999999999</v>
      </c>
      <c r="J4283">
        <v>-199.7268</v>
      </c>
      <c r="K4283">
        <v>1.098868</v>
      </c>
      <c r="L4283">
        <v>212.8219</v>
      </c>
      <c r="M4283">
        <v>0.94220329999999997</v>
      </c>
      <c r="N4283">
        <v>-2.3771520000000001E-2</v>
      </c>
      <c r="O4283">
        <v>-0.334198</v>
      </c>
      <c r="P4283">
        <v>0.85871200000000003</v>
      </c>
      <c r="Q4283">
        <v>-0.1019076</v>
      </c>
      <c r="R4283">
        <v>-0.50222449999999996</v>
      </c>
      <c r="S4283">
        <v>2.591202</v>
      </c>
      <c r="T4283">
        <v>-0.5544888</v>
      </c>
      <c r="U4283">
        <v>-1.4291229999999999</v>
      </c>
      <c r="V4283">
        <v>0.18391160000000001</v>
      </c>
      <c r="W4283">
        <v>-8.4016869999999994E-2</v>
      </c>
      <c r="X4283">
        <v>0.97934560000000004</v>
      </c>
      <c r="Y4283">
        <v>0.1635132</v>
      </c>
      <c r="Z4283">
        <v>3.788921E-2</v>
      </c>
      <c r="AA4283">
        <v>0.9858133</v>
      </c>
      <c r="AB4283">
        <v>27</v>
      </c>
      <c r="AC4283">
        <v>0.54580000000001405</v>
      </c>
      <c r="AD4283">
        <v>-0.16015959999999901</v>
      </c>
      <c r="AE4283">
        <v>-0.32989999999997999</v>
      </c>
      <c r="AF4283">
        <v>0.12084275660300101</v>
      </c>
      <c r="AG4283">
        <v>-0.16015959999999901</v>
      </c>
      <c r="AH4283">
        <v>0.58762356816542904</v>
      </c>
      <c r="AI4283">
        <v>104.94754050370101</v>
      </c>
      <c r="AJ4283">
        <v>78.379327997921195</v>
      </c>
      <c r="AK4283">
        <v>0.62093117747383497</v>
      </c>
      <c r="AL4283">
        <v>94.819493162802502</v>
      </c>
      <c r="AM4283">
        <v>79.364277725083795</v>
      </c>
      <c r="AN4283">
        <v>1.00000005764925</v>
      </c>
    </row>
    <row r="4284" spans="1:40" x14ac:dyDescent="0.25">
      <c r="A4284" t="str">
        <f>"20190305135019088"</f>
        <v>20190305135019088</v>
      </c>
      <c r="B4284" t="str">
        <f>"1551765019084309"</f>
        <v>1551765019084309</v>
      </c>
      <c r="C4284" t="s">
        <v>40</v>
      </c>
      <c r="D4284">
        <v>4.2380709999999997</v>
      </c>
      <c r="E4284">
        <v>0.48658590000000002</v>
      </c>
      <c r="F4284" t="s">
        <v>41</v>
      </c>
      <c r="G4284">
        <v>-198.95840000000001</v>
      </c>
      <c r="H4284">
        <v>0.92881199999999997</v>
      </c>
      <c r="I4284">
        <v>212.39580000000001</v>
      </c>
      <c r="J4284">
        <v>-199.56659999999999</v>
      </c>
      <c r="K4284">
        <v>1.098711</v>
      </c>
      <c r="L4284">
        <v>212.7542</v>
      </c>
      <c r="M4284">
        <v>0.93872549999999999</v>
      </c>
      <c r="N4284">
        <v>-2.3826219999999999E-2</v>
      </c>
      <c r="O4284">
        <v>-0.34384110000000001</v>
      </c>
      <c r="P4284">
        <v>0.85403700000000005</v>
      </c>
      <c r="Q4284">
        <v>-0.10197390000000001</v>
      </c>
      <c r="R4284">
        <v>-0.51011980000000001</v>
      </c>
      <c r="S4284">
        <v>2.5866389999999999</v>
      </c>
      <c r="T4284">
        <v>-0.57233000000000001</v>
      </c>
      <c r="U4284">
        <v>-1.4345859999999999</v>
      </c>
      <c r="V4284">
        <v>0.18287059999999999</v>
      </c>
      <c r="W4284">
        <v>-8.4067509999999998E-2</v>
      </c>
      <c r="X4284">
        <v>0.97953610000000002</v>
      </c>
      <c r="Y4284">
        <v>0.15610399999999999</v>
      </c>
      <c r="Z4284">
        <v>4.1836749999999999E-2</v>
      </c>
      <c r="AA4284">
        <v>0.98685420000000001</v>
      </c>
      <c r="AB4284">
        <v>27</v>
      </c>
      <c r="AC4284">
        <v>0.60819999999998198</v>
      </c>
      <c r="AD4284">
        <v>-0.169898999999999</v>
      </c>
      <c r="AE4284">
        <v>-0.35839999999998801</v>
      </c>
      <c r="AF4284">
        <v>0.120378694167525</v>
      </c>
      <c r="AG4284">
        <v>-0.169898999999999</v>
      </c>
      <c r="AH4284">
        <v>0.656346035699651</v>
      </c>
      <c r="AI4284">
        <v>104.284512398478</v>
      </c>
      <c r="AJ4284">
        <v>79.607038702433996</v>
      </c>
      <c r="AK4284">
        <v>0.68858319670837598</v>
      </c>
      <c r="AL4284">
        <v>94.8224052641648</v>
      </c>
      <c r="AM4284">
        <v>79.425127867291806</v>
      </c>
      <c r="AN4284">
        <v>0.99999998689258496</v>
      </c>
    </row>
    <row r="4285" spans="1:40" x14ac:dyDescent="0.25">
      <c r="A4285" t="str">
        <f>"20190305135019101"</f>
        <v>20190305135019101</v>
      </c>
      <c r="B4285" t="str">
        <f>"1551765019095045"</f>
        <v>1551765019095045</v>
      </c>
      <c r="C4285" t="s">
        <v>40</v>
      </c>
      <c r="D4285">
        <v>4.3223289999999999</v>
      </c>
      <c r="E4285">
        <v>0.4852456</v>
      </c>
      <c r="F4285" t="s">
        <v>41</v>
      </c>
      <c r="G4285">
        <v>-198.94030000000001</v>
      </c>
      <c r="H4285">
        <v>0.95675270000000001</v>
      </c>
      <c r="I4285">
        <v>212.40610000000001</v>
      </c>
      <c r="J4285">
        <v>-199.41319999999999</v>
      </c>
      <c r="K4285">
        <v>1.0985819999999999</v>
      </c>
      <c r="L4285">
        <v>212.6866</v>
      </c>
      <c r="M4285">
        <v>0.93518330000000005</v>
      </c>
      <c r="N4285">
        <v>-2.389084E-2</v>
      </c>
      <c r="O4285">
        <v>-0.3533579</v>
      </c>
      <c r="P4285">
        <v>0.84965749999999995</v>
      </c>
      <c r="Q4285">
        <v>-0.101615</v>
      </c>
      <c r="R4285">
        <v>-0.51745249999999998</v>
      </c>
      <c r="S4285">
        <v>2.5846559999999998</v>
      </c>
      <c r="T4285">
        <v>-0.58568699999999996</v>
      </c>
      <c r="U4285">
        <v>-1.4367369999999999</v>
      </c>
      <c r="V4285">
        <v>0.18132380000000001</v>
      </c>
      <c r="W4285">
        <v>-8.3658250000000003E-2</v>
      </c>
      <c r="X4285">
        <v>0.97985860000000002</v>
      </c>
      <c r="Y4285">
        <v>0.14741560000000001</v>
      </c>
      <c r="Z4285">
        <v>4.5613830000000001E-2</v>
      </c>
      <c r="AA4285">
        <v>0.98802230000000002</v>
      </c>
      <c r="AB4285">
        <v>27</v>
      </c>
      <c r="AC4285">
        <v>0.472899999999981</v>
      </c>
      <c r="AD4285">
        <v>-0.14182929999999899</v>
      </c>
      <c r="AE4285">
        <v>-0.28049999999998898</v>
      </c>
      <c r="AF4285">
        <v>8.9301169635963198E-2</v>
      </c>
      <c r="AG4285">
        <v>-0.14182929999999899</v>
      </c>
      <c r="AH4285">
        <v>0.50773559242303901</v>
      </c>
      <c r="AI4285">
        <v>105.382329737194</v>
      </c>
      <c r="AJ4285">
        <v>80.024770407923199</v>
      </c>
      <c r="AK4285">
        <v>0.53468278544387005</v>
      </c>
      <c r="AL4285">
        <v>94.798873677005105</v>
      </c>
      <c r="AM4285">
        <v>79.515957275296799</v>
      </c>
      <c r="AN4285">
        <v>0.99999994961673</v>
      </c>
    </row>
    <row r="4286" spans="1:40" x14ac:dyDescent="0.25">
      <c r="A4286" t="str">
        <f>"20190305135019124"</f>
        <v>20190305135019124</v>
      </c>
      <c r="B4286" t="str">
        <f>"1551765019114565"</f>
        <v>1551765019114565</v>
      </c>
      <c r="C4286" t="s">
        <v>40</v>
      </c>
      <c r="D4286">
        <v>4.3263439999999997</v>
      </c>
      <c r="E4286">
        <v>0.48381439999999998</v>
      </c>
      <c r="F4286" t="s">
        <v>41</v>
      </c>
      <c r="G4286">
        <v>-198.72630000000001</v>
      </c>
      <c r="H4286">
        <v>0.94027899999999998</v>
      </c>
      <c r="I4286">
        <v>212.30019999999999</v>
      </c>
      <c r="J4286">
        <v>-199.16470000000001</v>
      </c>
      <c r="K4286">
        <v>1.0983540000000001</v>
      </c>
      <c r="L4286">
        <v>212.57329999999999</v>
      </c>
      <c r="M4286">
        <v>0.92906929999999999</v>
      </c>
      <c r="N4286">
        <v>-2.4004279999999999E-2</v>
      </c>
      <c r="O4286">
        <v>-0.3691257</v>
      </c>
      <c r="P4286">
        <v>0.84106109999999901</v>
      </c>
      <c r="Q4286">
        <v>-0.1005481</v>
      </c>
      <c r="R4286">
        <v>-0.53151319999999902</v>
      </c>
      <c r="S4286">
        <v>2.5769500000000001</v>
      </c>
      <c r="T4286">
        <v>-0.59339169999999997</v>
      </c>
      <c r="U4286">
        <v>-1.449783</v>
      </c>
      <c r="V4286">
        <v>0.18098700000000001</v>
      </c>
      <c r="W4286">
        <v>-8.2573179999999996E-2</v>
      </c>
      <c r="X4286">
        <v>0.98001300000000002</v>
      </c>
      <c r="Y4286">
        <v>0.13623950000000001</v>
      </c>
      <c r="Z4286">
        <v>5.0313860000000002E-2</v>
      </c>
      <c r="AA4286">
        <v>0.98939750000000004</v>
      </c>
      <c r="AB4286">
        <v>27</v>
      </c>
      <c r="AC4286">
        <v>0.43840000000000101</v>
      </c>
      <c r="AD4286">
        <v>-0.15807499999999899</v>
      </c>
      <c r="AE4286">
        <v>-0.27309999999999901</v>
      </c>
      <c r="AF4286">
        <v>8.4057405338984204E-2</v>
      </c>
      <c r="AG4286">
        <v>-0.15807499999999899</v>
      </c>
      <c r="AH4286">
        <v>0.46472992140038999</v>
      </c>
      <c r="AI4286">
        <v>108.506050525454</v>
      </c>
      <c r="AJ4286">
        <v>79.747547169533405</v>
      </c>
      <c r="AK4286">
        <v>0.49802334569991302</v>
      </c>
      <c r="AL4286">
        <v>94.736487391335203</v>
      </c>
      <c r="AM4286">
        <v>79.536612594199894</v>
      </c>
      <c r="AN4286">
        <v>1.0000000521966499</v>
      </c>
    </row>
    <row r="4287" spans="1:40" x14ac:dyDescent="0.25">
      <c r="A4287" t="str">
        <f>"20190305135019147"</f>
        <v>20190305135019147</v>
      </c>
      <c r="B4287" t="str">
        <f>"1551765019144822"</f>
        <v>1551765019144822</v>
      </c>
      <c r="C4287" t="s">
        <v>40</v>
      </c>
      <c r="D4287">
        <v>4.2962439999999997</v>
      </c>
      <c r="E4287">
        <v>0.4824869</v>
      </c>
      <c r="F4287" t="s">
        <v>41</v>
      </c>
      <c r="G4287">
        <v>-198.5052</v>
      </c>
      <c r="H4287">
        <v>0.94350909999999999</v>
      </c>
      <c r="I4287">
        <v>212.1909</v>
      </c>
      <c r="J4287">
        <v>-198.91239999999999</v>
      </c>
      <c r="K4287">
        <v>1.0981259999999999</v>
      </c>
      <c r="L4287">
        <v>212.45249999999999</v>
      </c>
      <c r="M4287">
        <v>0.92232080000000005</v>
      </c>
      <c r="N4287">
        <v>-2.4139850000000001E-2</v>
      </c>
      <c r="O4287">
        <v>-0.38567050000000003</v>
      </c>
      <c r="P4287">
        <v>0.83151839999999999</v>
      </c>
      <c r="Q4287">
        <v>-9.9589220000000006E-2</v>
      </c>
      <c r="R4287">
        <v>-0.54649749999999997</v>
      </c>
      <c r="S4287">
        <v>2.5578460000000001</v>
      </c>
      <c r="T4287">
        <v>-0.60007919999999904</v>
      </c>
      <c r="U4287">
        <v>-1.4832459999999901</v>
      </c>
      <c r="V4287">
        <v>0.1809714</v>
      </c>
      <c r="W4287">
        <v>-8.1585840000000007E-2</v>
      </c>
      <c r="X4287">
        <v>0.98009849999999998</v>
      </c>
      <c r="Y4287">
        <v>0.1318086</v>
      </c>
      <c r="Z4287">
        <v>5.4411639999999997E-2</v>
      </c>
      <c r="AA4287">
        <v>0.98978069999999896</v>
      </c>
      <c r="AB4287">
        <v>27</v>
      </c>
      <c r="AC4287">
        <v>0.40719999999998802</v>
      </c>
      <c r="AD4287">
        <v>-0.154616899999999</v>
      </c>
      <c r="AE4287">
        <v>-0.26159999999998701</v>
      </c>
      <c r="AF4287">
        <v>7.6455822562047804E-2</v>
      </c>
      <c r="AG4287">
        <v>-0.154616899999999</v>
      </c>
      <c r="AH4287">
        <v>0.43246353938387799</v>
      </c>
      <c r="AI4287">
        <v>109.39544562273301</v>
      </c>
      <c r="AJ4287">
        <v>79.974196696905693</v>
      </c>
      <c r="AK4287">
        <v>0.46559273132822898</v>
      </c>
      <c r="AL4287">
        <v>94.679725773088293</v>
      </c>
      <c r="AM4287">
        <v>79.538387116260594</v>
      </c>
      <c r="AN4287">
        <v>0.99999998330435702</v>
      </c>
    </row>
    <row r="4288" spans="1:40" x14ac:dyDescent="0.25">
      <c r="A4288" t="str">
        <f>"20190305135019170"</f>
        <v>20190305135019170</v>
      </c>
      <c r="B4288" t="str">
        <f>"1551765019164341"</f>
        <v>1551765019164341</v>
      </c>
      <c r="C4288" t="s">
        <v>40</v>
      </c>
      <c r="D4288">
        <v>4.2360629999999997</v>
      </c>
      <c r="E4288">
        <v>0.48193560000000002</v>
      </c>
      <c r="F4288" t="s">
        <v>41</v>
      </c>
      <c r="G4288">
        <v>-198.28659999999999</v>
      </c>
      <c r="H4288">
        <v>0.94866740000000005</v>
      </c>
      <c r="I4288">
        <v>212.07759999999999</v>
      </c>
      <c r="J4288">
        <v>-198.66720000000001</v>
      </c>
      <c r="K4288">
        <v>1.097909</v>
      </c>
      <c r="L4288">
        <v>212.32900000000001</v>
      </c>
      <c r="M4288">
        <v>0.91519130000000004</v>
      </c>
      <c r="N4288">
        <v>-2.429152E-2</v>
      </c>
      <c r="O4288">
        <v>-0.40228710000000001</v>
      </c>
      <c r="P4288">
        <v>0.82150999999999996</v>
      </c>
      <c r="Q4288">
        <v>-9.9038440000000005E-2</v>
      </c>
      <c r="R4288">
        <v>-0.56152709999999995</v>
      </c>
      <c r="S4288">
        <v>2.5364990000000001</v>
      </c>
      <c r="T4288">
        <v>-0.60547019999999996</v>
      </c>
      <c r="U4288">
        <v>-1.5197449999999999</v>
      </c>
      <c r="V4288">
        <v>0.18101739999999999</v>
      </c>
      <c r="W4288">
        <v>-8.0987489999999995E-2</v>
      </c>
      <c r="X4288">
        <v>0.98013969999999995</v>
      </c>
      <c r="Y4288">
        <v>0.1283898</v>
      </c>
      <c r="Z4288">
        <v>5.8335329999999998E-2</v>
      </c>
      <c r="AA4288">
        <v>0.99000659999999896</v>
      </c>
      <c r="AB4288">
        <v>27</v>
      </c>
      <c r="AC4288">
        <v>0.38060000000001498</v>
      </c>
      <c r="AD4288">
        <v>-0.149241599999999</v>
      </c>
      <c r="AE4288">
        <v>-0.251400000000018</v>
      </c>
      <c r="AF4288">
        <v>6.9546271276632404E-2</v>
      </c>
      <c r="AG4288">
        <v>-0.149241599999999</v>
      </c>
      <c r="AH4288">
        <v>0.406114108673788</v>
      </c>
      <c r="AI4288">
        <v>109.91110158716</v>
      </c>
      <c r="AJ4288">
        <v>80.282466555732995</v>
      </c>
      <c r="AK4288">
        <v>0.43822187106869498</v>
      </c>
      <c r="AL4288">
        <v>94.645328695133401</v>
      </c>
      <c r="AM4288">
        <v>79.536216821093703</v>
      </c>
      <c r="AN4288">
        <v>1.00000005207767</v>
      </c>
    </row>
    <row r="4289" spans="1:40" x14ac:dyDescent="0.25">
      <c r="A4289" t="str">
        <f>"20190305135019192"</f>
        <v>20190305135019192</v>
      </c>
      <c r="B4289" t="str">
        <f>"1551765019184837"</f>
        <v>1551765019184837</v>
      </c>
      <c r="C4289" t="s">
        <v>40</v>
      </c>
      <c r="D4289">
        <v>4.2305510000000002</v>
      </c>
      <c r="E4289">
        <v>0.48164899999999999</v>
      </c>
      <c r="F4289" t="s">
        <v>41</v>
      </c>
      <c r="G4289">
        <v>-198.07220000000001</v>
      </c>
      <c r="H4289">
        <v>0.9541347</v>
      </c>
      <c r="I4289">
        <v>211.9589</v>
      </c>
      <c r="J4289">
        <v>-198.4281</v>
      </c>
      <c r="K4289">
        <v>1.097715</v>
      </c>
      <c r="L4289">
        <v>212.202</v>
      </c>
      <c r="M4289">
        <v>0.90762290000000001</v>
      </c>
      <c r="N4289">
        <v>-2.4450960000000001E-2</v>
      </c>
      <c r="O4289">
        <v>-0.4190741</v>
      </c>
      <c r="P4289">
        <v>0.81165399999999999</v>
      </c>
      <c r="Q4289">
        <v>-9.7238000000000005E-2</v>
      </c>
      <c r="R4289">
        <v>-0.57598870000000002</v>
      </c>
      <c r="S4289">
        <v>2.5108640000000002</v>
      </c>
      <c r="T4289">
        <v>-0.60677119999999996</v>
      </c>
      <c r="U4289">
        <v>-1.5621799999999999</v>
      </c>
      <c r="V4289">
        <v>0.1802541</v>
      </c>
      <c r="W4289">
        <v>-7.9093819999999995E-2</v>
      </c>
      <c r="X4289">
        <v>0.9804349</v>
      </c>
      <c r="Y4289">
        <v>0.12698899999999999</v>
      </c>
      <c r="Z4289">
        <v>6.1648309999999998E-2</v>
      </c>
      <c r="AA4289">
        <v>0.98998649999999999</v>
      </c>
      <c r="AB4289">
        <v>27</v>
      </c>
      <c r="AC4289">
        <v>0.355899999999991</v>
      </c>
      <c r="AD4289">
        <v>-0.14358029999999999</v>
      </c>
      <c r="AE4289">
        <v>-0.24309999999999801</v>
      </c>
      <c r="AF4289">
        <v>6.4372209743871506E-2</v>
      </c>
      <c r="AG4289">
        <v>-0.14358029999999999</v>
      </c>
      <c r="AH4289">
        <v>0.38257049852698199</v>
      </c>
      <c r="AI4289">
        <v>110.30959035175</v>
      </c>
      <c r="AJ4289">
        <v>80.448746126588304</v>
      </c>
      <c r="AK4289">
        <v>0.41366565034890501</v>
      </c>
      <c r="AL4289">
        <v>94.536480469602395</v>
      </c>
      <c r="AM4289">
        <v>79.582439972650803</v>
      </c>
      <c r="AN4289">
        <v>0.99999998303350601</v>
      </c>
    </row>
    <row r="4290" spans="1:40" x14ac:dyDescent="0.25">
      <c r="A4290" t="str">
        <f>"20190305135019214"</f>
        <v>20190305135019214</v>
      </c>
      <c r="B4290" t="str">
        <f>"1551765019204357"</f>
        <v>1551765019204357</v>
      </c>
      <c r="C4290" t="s">
        <v>40</v>
      </c>
      <c r="D4290">
        <v>4.2462790000000004</v>
      </c>
      <c r="E4290">
        <v>0.48135670000000003</v>
      </c>
      <c r="F4290" t="s">
        <v>41</v>
      </c>
      <c r="G4290">
        <v>-197.67869999999999</v>
      </c>
      <c r="H4290">
        <v>0.91613719999999998</v>
      </c>
      <c r="I4290">
        <v>211.71770000000001</v>
      </c>
      <c r="J4290">
        <v>-198.20169999999999</v>
      </c>
      <c r="K4290">
        <v>1.0975360000000001</v>
      </c>
      <c r="L4290">
        <v>212.07579999999999</v>
      </c>
      <c r="M4290">
        <v>0.89987309999999998</v>
      </c>
      <c r="N4290">
        <v>-2.4607560000000001E-2</v>
      </c>
      <c r="O4290">
        <v>-0.4354575</v>
      </c>
      <c r="P4290">
        <v>0.80216759999999998</v>
      </c>
      <c r="Q4290">
        <v>-9.538874E-2</v>
      </c>
      <c r="R4290">
        <v>-0.58943080000000003</v>
      </c>
      <c r="S4290">
        <v>2.4846339999999998</v>
      </c>
      <c r="T4290">
        <v>-0.60198319999999905</v>
      </c>
      <c r="U4290">
        <v>-1.6056060000000001</v>
      </c>
      <c r="V4290">
        <v>0.1787482</v>
      </c>
      <c r="W4290">
        <v>-7.7117790000000006E-2</v>
      </c>
      <c r="X4290">
        <v>0.98086790000000001</v>
      </c>
      <c r="Y4290">
        <v>0.12614320000000001</v>
      </c>
      <c r="Z4290">
        <v>6.406647E-2</v>
      </c>
      <c r="AA4290">
        <v>0.98994110000000002</v>
      </c>
      <c r="AB4290">
        <v>26</v>
      </c>
      <c r="AC4290">
        <v>0.52299999999999602</v>
      </c>
      <c r="AD4290">
        <v>-0.1813988</v>
      </c>
      <c r="AE4290">
        <v>-0.35809999999997899</v>
      </c>
      <c r="AF4290">
        <v>8.7372838340928502E-2</v>
      </c>
      <c r="AG4290">
        <v>-0.1813988</v>
      </c>
      <c r="AH4290">
        <v>0.57931342325851998</v>
      </c>
      <c r="AI4290">
        <v>107.203857079792</v>
      </c>
      <c r="AJ4290">
        <v>81.4232150458175</v>
      </c>
      <c r="AK4290">
        <v>0.61330545398577296</v>
      </c>
      <c r="AL4290">
        <v>94.422915461383894</v>
      </c>
      <c r="AM4290">
        <v>79.672052325778907</v>
      </c>
      <c r="AN4290">
        <v>0.99999995489406601</v>
      </c>
    </row>
    <row r="4291" spans="1:40" x14ac:dyDescent="0.25">
      <c r="A4291" t="str">
        <f>"20190305135019232"</f>
        <v>20190305135019232</v>
      </c>
      <c r="B4291" t="str">
        <f>"1551765019224853"</f>
        <v>1551765019224853</v>
      </c>
      <c r="C4291" t="s">
        <v>40</v>
      </c>
      <c r="D4291">
        <v>4.2610769999999896</v>
      </c>
      <c r="E4291">
        <v>0.48122310000000001</v>
      </c>
      <c r="F4291" t="s">
        <v>41</v>
      </c>
      <c r="G4291">
        <v>-197.47559999999999</v>
      </c>
      <c r="H4291">
        <v>0.92127619999999999</v>
      </c>
      <c r="I4291">
        <v>211.5898</v>
      </c>
      <c r="J4291">
        <v>-198.01339999999999</v>
      </c>
      <c r="K4291">
        <v>1.0973900000000001</v>
      </c>
      <c r="L4291">
        <v>211.9665</v>
      </c>
      <c r="M4291">
        <v>0.89298349999999904</v>
      </c>
      <c r="N4291">
        <v>-2.4742050000000002E-2</v>
      </c>
      <c r="O4291">
        <v>-0.4494088</v>
      </c>
      <c r="P4291">
        <v>0.79320429999999997</v>
      </c>
      <c r="Q4291">
        <v>-9.4678239999999997E-2</v>
      </c>
      <c r="R4291">
        <v>-0.60155029999999998</v>
      </c>
      <c r="S4291">
        <v>2.4591669999999999</v>
      </c>
      <c r="T4291">
        <v>-0.59670500000000004</v>
      </c>
      <c r="U4291">
        <v>-1.6463319999999999</v>
      </c>
      <c r="V4291">
        <v>0.17834729999999999</v>
      </c>
      <c r="W4291">
        <v>-7.6324370000000002E-2</v>
      </c>
      <c r="X4291">
        <v>0.98100299999999996</v>
      </c>
      <c r="Y4291">
        <v>0.1268521</v>
      </c>
      <c r="Z4291">
        <v>6.5775810000000004E-2</v>
      </c>
      <c r="AA4291">
        <v>0.98973840000000002</v>
      </c>
      <c r="AB4291">
        <v>26</v>
      </c>
      <c r="AC4291">
        <v>0.53780000000000405</v>
      </c>
      <c r="AD4291">
        <v>-0.17611379999999999</v>
      </c>
      <c r="AE4291">
        <v>-0.37669999999999898</v>
      </c>
      <c r="AF4291">
        <v>8.8366641924175801E-2</v>
      </c>
      <c r="AG4291">
        <v>-0.17611379999999999</v>
      </c>
      <c r="AH4291">
        <v>0.60613196451206997</v>
      </c>
      <c r="AI4291">
        <v>106.040694765705</v>
      </c>
      <c r="AJ4291">
        <v>81.705409927988001</v>
      </c>
      <c r="AK4291">
        <v>0.63735444797903196</v>
      </c>
      <c r="AL4291">
        <v>94.377321138510894</v>
      </c>
      <c r="AM4291">
        <v>79.696107970258296</v>
      </c>
      <c r="AN4291">
        <v>1.0000000274410901</v>
      </c>
    </row>
    <row r="4292" spans="1:40" x14ac:dyDescent="0.25">
      <c r="A4292" t="str">
        <f>"20190305135019247"</f>
        <v>20190305135019247</v>
      </c>
      <c r="B4292" t="str">
        <f>"1551765019234613"</f>
        <v>1551765019234613</v>
      </c>
      <c r="C4292" t="s">
        <v>40</v>
      </c>
      <c r="D4292">
        <v>4.5976699999999999</v>
      </c>
      <c r="E4292">
        <v>0.48172609999999899</v>
      </c>
      <c r="F4292" t="s">
        <v>41</v>
      </c>
      <c r="G4292">
        <v>-197.28030000000001</v>
      </c>
      <c r="H4292">
        <v>0.91823759999999999</v>
      </c>
      <c r="I4292">
        <v>211.4599</v>
      </c>
      <c r="J4292">
        <v>-197.8613</v>
      </c>
      <c r="K4292">
        <v>1.097278</v>
      </c>
      <c r="L4292">
        <v>211.87479999999999</v>
      </c>
      <c r="M4292">
        <v>0.88708750000000003</v>
      </c>
      <c r="N4292">
        <v>-2.4851499999999999E-2</v>
      </c>
      <c r="O4292">
        <v>-0.46093220000000001</v>
      </c>
      <c r="P4292">
        <v>0.78565059999999998</v>
      </c>
      <c r="Q4292">
        <v>-9.5311480000000004E-2</v>
      </c>
      <c r="R4292">
        <v>-0.61128479999999996</v>
      </c>
      <c r="S4292">
        <v>2.4349669999999999</v>
      </c>
      <c r="T4292">
        <v>-0.5951012</v>
      </c>
      <c r="U4292">
        <v>-1.682709</v>
      </c>
      <c r="V4292">
        <v>0.17773989999999901</v>
      </c>
      <c r="W4292">
        <v>-7.6877500000000001E-2</v>
      </c>
      <c r="X4292">
        <v>0.98107</v>
      </c>
      <c r="Y4292">
        <v>0.1287016</v>
      </c>
      <c r="Z4292">
        <v>6.7400370000000001E-2</v>
      </c>
      <c r="AA4292">
        <v>0.98939029999999994</v>
      </c>
      <c r="AB4292">
        <v>26</v>
      </c>
      <c r="AC4292">
        <v>0.58099999999998797</v>
      </c>
      <c r="AD4292">
        <v>-0.17904039999999999</v>
      </c>
      <c r="AE4292">
        <v>-0.414899999999988</v>
      </c>
      <c r="AF4292">
        <v>9.4348339124145003E-2</v>
      </c>
      <c r="AG4292">
        <v>-0.17904039999999999</v>
      </c>
      <c r="AH4292">
        <v>0.66503258737831905</v>
      </c>
      <c r="AI4292">
        <v>104.92525077095</v>
      </c>
      <c r="AJ4292">
        <v>81.925319211302906</v>
      </c>
      <c r="AK4292">
        <v>0.695144169365424</v>
      </c>
      <c r="AL4292">
        <v>94.409106737649097</v>
      </c>
      <c r="AM4292">
        <v>79.731138499401197</v>
      </c>
      <c r="AN4292">
        <v>0.999999983479129</v>
      </c>
    </row>
    <row r="4293" spans="1:40" x14ac:dyDescent="0.25">
      <c r="A4293" t="str">
        <f>"20190305135019270"</f>
        <v>20190305135019270</v>
      </c>
      <c r="B4293" t="str">
        <f>"1551765019264872"</f>
        <v>1551765019264872</v>
      </c>
      <c r="C4293" t="s">
        <v>40</v>
      </c>
      <c r="D4293">
        <v>4.2513360000000002</v>
      </c>
      <c r="E4293">
        <v>0.48183419999999999</v>
      </c>
      <c r="F4293" t="s">
        <v>41</v>
      </c>
      <c r="G4293">
        <v>-197.26660000000001</v>
      </c>
      <c r="H4293">
        <v>0.95010749999999999</v>
      </c>
      <c r="I4293">
        <v>211.452</v>
      </c>
      <c r="J4293">
        <v>-197.63140000000001</v>
      </c>
      <c r="K4293">
        <v>1.0971340000000001</v>
      </c>
      <c r="L4293">
        <v>211.73070000000001</v>
      </c>
      <c r="M4293">
        <v>0.87760199999999999</v>
      </c>
      <c r="N4293">
        <v>-2.5013170000000001E-2</v>
      </c>
      <c r="O4293">
        <v>-0.47873690000000002</v>
      </c>
      <c r="P4293">
        <v>0.77278259999999999</v>
      </c>
      <c r="Q4293">
        <v>-9.6533889999999997E-2</v>
      </c>
      <c r="R4293">
        <v>-0.62728669999999997</v>
      </c>
      <c r="S4293">
        <v>2.4119259999999998</v>
      </c>
      <c r="T4293">
        <v>-0.59687500000000004</v>
      </c>
      <c r="U4293">
        <v>-1.7147060000000001</v>
      </c>
      <c r="V4293">
        <v>0.178093</v>
      </c>
      <c r="W4293">
        <v>-7.802539E-2</v>
      </c>
      <c r="X4293">
        <v>0.98091539999999999</v>
      </c>
      <c r="Y4293">
        <v>0.1222297</v>
      </c>
      <c r="Z4293">
        <v>7.1442130000000006E-2</v>
      </c>
      <c r="AA4293">
        <v>0.98992720000000001</v>
      </c>
      <c r="AB4293">
        <v>26</v>
      </c>
      <c r="AC4293">
        <v>0.36480000000000201</v>
      </c>
      <c r="AD4293">
        <v>-0.14702649999999901</v>
      </c>
      <c r="AE4293">
        <v>-0.27870000000001399</v>
      </c>
      <c r="AF4293">
        <v>6.3457543652465198E-2</v>
      </c>
      <c r="AG4293">
        <v>-0.14702649999999901</v>
      </c>
      <c r="AH4293">
        <v>0.41150709621019999</v>
      </c>
      <c r="AI4293">
        <v>109.44884093082899</v>
      </c>
      <c r="AJ4293">
        <v>81.233605339733401</v>
      </c>
      <c r="AK4293">
        <v>0.441567369469264</v>
      </c>
      <c r="AL4293">
        <v>94.475073854145094</v>
      </c>
      <c r="AM4293">
        <v>79.709586637289803</v>
      </c>
      <c r="AN4293">
        <v>1.0000000500454</v>
      </c>
    </row>
    <row r="4294" spans="1:40" x14ac:dyDescent="0.25">
      <c r="A4294" t="str">
        <f>"20190305135019292"</f>
        <v>20190305135019292</v>
      </c>
      <c r="B4294" t="str">
        <f>"1551765019284392"</f>
        <v>1551765019284392</v>
      </c>
      <c r="C4294" t="s">
        <v>40</v>
      </c>
      <c r="D4294">
        <v>4.2365519999999997</v>
      </c>
      <c r="E4294">
        <v>0.48195710000000003</v>
      </c>
      <c r="F4294" t="s">
        <v>41</v>
      </c>
      <c r="G4294">
        <v>-196.9025</v>
      </c>
      <c r="H4294">
        <v>0.91280360000000005</v>
      </c>
      <c r="I4294">
        <v>211.1892</v>
      </c>
      <c r="J4294">
        <v>-197.4171</v>
      </c>
      <c r="K4294">
        <v>1.0970120000000001</v>
      </c>
      <c r="L4294">
        <v>211.58930000000001</v>
      </c>
      <c r="M4294">
        <v>0.86804329999999996</v>
      </c>
      <c r="N4294">
        <v>-2.516028E-2</v>
      </c>
      <c r="O4294">
        <v>-0.49585059999999898</v>
      </c>
      <c r="P4294">
        <v>0.76070819999999995</v>
      </c>
      <c r="Q4294">
        <v>-9.5179379999999994E-2</v>
      </c>
      <c r="R4294">
        <v>-0.64207829999999999</v>
      </c>
      <c r="S4294">
        <v>2.3748930000000001</v>
      </c>
      <c r="T4294">
        <v>-0.60049809999999904</v>
      </c>
      <c r="U4294">
        <v>-1.764389</v>
      </c>
      <c r="V4294">
        <v>0.1777253</v>
      </c>
      <c r="W4294">
        <v>-7.6566289999999995E-2</v>
      </c>
      <c r="X4294">
        <v>0.981097</v>
      </c>
      <c r="Y4294">
        <v>0.1237398</v>
      </c>
      <c r="Z4294">
        <v>7.4862579999999998E-2</v>
      </c>
      <c r="AA4294">
        <v>0.9894868</v>
      </c>
      <c r="AB4294">
        <v>25</v>
      </c>
      <c r="AC4294">
        <v>0.51460000000000095</v>
      </c>
      <c r="AD4294">
        <v>-0.18420839999999999</v>
      </c>
      <c r="AE4294">
        <v>-0.400100000000008</v>
      </c>
      <c r="AF4294">
        <v>8.5352201396334398E-2</v>
      </c>
      <c r="AG4294">
        <v>-0.18420839999999999</v>
      </c>
      <c r="AH4294">
        <v>0.59756644380184099</v>
      </c>
      <c r="AI4294">
        <v>106.970465663504</v>
      </c>
      <c r="AJ4294">
        <v>81.871253876635706</v>
      </c>
      <c r="AK4294">
        <v>0.631112816912903</v>
      </c>
      <c r="AL4294">
        <v>94.391222927960797</v>
      </c>
      <c r="AM4294">
        <v>79.732240631100197</v>
      </c>
      <c r="AN4294">
        <v>1.0000000012167201</v>
      </c>
    </row>
    <row r="4295" spans="1:40" x14ac:dyDescent="0.25">
      <c r="A4295" t="str">
        <f>"20190305135019311"</f>
        <v>20190305135019311</v>
      </c>
      <c r="B4295" t="str">
        <f>"1551765019304885"</f>
        <v>1551765019304885</v>
      </c>
      <c r="C4295" t="s">
        <v>40</v>
      </c>
      <c r="D4295">
        <v>4.2905680000000004</v>
      </c>
      <c r="E4295">
        <v>0.4818807</v>
      </c>
      <c r="F4295" t="s">
        <v>41</v>
      </c>
      <c r="G4295">
        <v>-196.71619999999999</v>
      </c>
      <c r="H4295">
        <v>0.91847210000000001</v>
      </c>
      <c r="I4295">
        <v>211.0471</v>
      </c>
      <c r="J4295">
        <v>-197.23339999999999</v>
      </c>
      <c r="K4295">
        <v>1.0969199999999999</v>
      </c>
      <c r="L4295">
        <v>211.46299999999999</v>
      </c>
      <c r="M4295">
        <v>0.85929769999999905</v>
      </c>
      <c r="N4295">
        <v>-2.52743E-2</v>
      </c>
      <c r="O4295">
        <v>-0.51085130000000001</v>
      </c>
      <c r="P4295">
        <v>0.74942790000000004</v>
      </c>
      <c r="Q4295">
        <v>-9.4006629999999994E-2</v>
      </c>
      <c r="R4295">
        <v>-0.65537860000000003</v>
      </c>
      <c r="S4295">
        <v>2.3405300000000002</v>
      </c>
      <c r="T4295">
        <v>-0.59608700000000003</v>
      </c>
      <c r="U4295">
        <v>-1.811005</v>
      </c>
      <c r="V4295">
        <v>0.177915299999999</v>
      </c>
      <c r="W4295">
        <v>-7.5330999999999995E-2</v>
      </c>
      <c r="X4295">
        <v>0.98115819999999998</v>
      </c>
      <c r="Y4295">
        <v>0.12593219999999999</v>
      </c>
      <c r="Z4295">
        <v>7.6646590000000001E-2</v>
      </c>
      <c r="AA4295">
        <v>0.98907350000000005</v>
      </c>
      <c r="AB4295">
        <v>25</v>
      </c>
      <c r="AC4295">
        <v>0.51720000000000199</v>
      </c>
      <c r="AD4295">
        <v>-0.17844789999999999</v>
      </c>
      <c r="AE4295">
        <v>-0.415899999999993</v>
      </c>
      <c r="AF4295">
        <v>8.6915803165162606E-2</v>
      </c>
      <c r="AG4295">
        <v>-0.17844789999999999</v>
      </c>
      <c r="AH4295">
        <v>0.61279932238952795</v>
      </c>
      <c r="AI4295">
        <v>106.083098593141</v>
      </c>
      <c r="AJ4295">
        <v>81.927352982571094</v>
      </c>
      <c r="AK4295">
        <v>0.64414363256599905</v>
      </c>
      <c r="AL4295">
        <v>94.320240951966696</v>
      </c>
      <c r="AM4295">
        <v>79.722125056431693</v>
      </c>
      <c r="AN4295">
        <v>1.00000001348116</v>
      </c>
    </row>
    <row r="4296" spans="1:40" x14ac:dyDescent="0.25">
      <c r="A4296" t="str">
        <f>"20190305135019325"</f>
        <v>20190305135019325</v>
      </c>
      <c r="B4296" t="str">
        <f>"1551765019314645"</f>
        <v>1551765019314645</v>
      </c>
      <c r="C4296" t="s">
        <v>40</v>
      </c>
      <c r="D4296">
        <v>4.2268100000000004</v>
      </c>
      <c r="E4296">
        <v>0.4819408</v>
      </c>
      <c r="F4296" t="s">
        <v>41</v>
      </c>
      <c r="G4296">
        <v>-196.5367</v>
      </c>
      <c r="H4296">
        <v>0.91748010000000002</v>
      </c>
      <c r="I4296">
        <v>210.90430000000001</v>
      </c>
      <c r="J4296">
        <v>-197.10159999999999</v>
      </c>
      <c r="K4296">
        <v>1.096859</v>
      </c>
      <c r="L4296">
        <v>211.36869999999999</v>
      </c>
      <c r="M4296">
        <v>0.8526589</v>
      </c>
      <c r="N4296">
        <v>-2.534703E-2</v>
      </c>
      <c r="O4296">
        <v>-0.52185269999999995</v>
      </c>
      <c r="P4296">
        <v>0.74038660000000001</v>
      </c>
      <c r="Q4296">
        <v>-9.0903269999999994E-2</v>
      </c>
      <c r="R4296">
        <v>-0.66600630000000005</v>
      </c>
      <c r="S4296">
        <v>2.3088839999999999</v>
      </c>
      <c r="T4296">
        <v>-0.59433669999999905</v>
      </c>
      <c r="U4296">
        <v>-1.85202</v>
      </c>
      <c r="V4296">
        <v>0.17919589999999999</v>
      </c>
      <c r="W4296">
        <v>-7.2227230000000003E-2</v>
      </c>
      <c r="X4296">
        <v>0.98115859999999999</v>
      </c>
      <c r="Y4296">
        <v>0.1305115</v>
      </c>
      <c r="Z4296">
        <v>7.7877660000000001E-2</v>
      </c>
      <c r="AA4296">
        <v>0.98838340000000002</v>
      </c>
      <c r="AB4296">
        <v>25</v>
      </c>
      <c r="AC4296">
        <v>0.56489999999999396</v>
      </c>
      <c r="AD4296">
        <v>-0.17937890000000001</v>
      </c>
      <c r="AE4296">
        <v>-0.46439999999998299</v>
      </c>
      <c r="AF4296">
        <v>9.5468541596344506E-2</v>
      </c>
      <c r="AG4296">
        <v>-0.17937890000000001</v>
      </c>
      <c r="AH4296">
        <v>0.68314445859247097</v>
      </c>
      <c r="AI4296">
        <v>104.576964101323</v>
      </c>
      <c r="AJ4296">
        <v>82.044512429193503</v>
      </c>
      <c r="AK4296">
        <v>0.71272532121803001</v>
      </c>
      <c r="AL4296">
        <v>94.141921732583</v>
      </c>
      <c r="AM4296">
        <v>79.649744454847394</v>
      </c>
      <c r="AN4296">
        <v>1.00000007084211</v>
      </c>
    </row>
    <row r="4297" spans="1:40" x14ac:dyDescent="0.25">
      <c r="A4297" t="str">
        <f>"20190305135019342"</f>
        <v>20190305135019342</v>
      </c>
      <c r="B4297" t="str">
        <f>"1551765019335141"</f>
        <v>1551765019335141</v>
      </c>
      <c r="C4297" t="s">
        <v>40</v>
      </c>
      <c r="D4297">
        <v>4.2021689999999996</v>
      </c>
      <c r="E4297">
        <v>0.48213149999999999</v>
      </c>
      <c r="F4297" t="s">
        <v>41</v>
      </c>
      <c r="G4297">
        <v>-196.52520000000001</v>
      </c>
      <c r="H4297">
        <v>0.94908320000000002</v>
      </c>
      <c r="I4297">
        <v>210.893</v>
      </c>
      <c r="J4297">
        <v>-196.94309999999999</v>
      </c>
      <c r="K4297">
        <v>1.096781</v>
      </c>
      <c r="L4297">
        <v>211.2518</v>
      </c>
      <c r="M4297">
        <v>0.84428009999999998</v>
      </c>
      <c r="N4297">
        <v>-2.5423069999999999E-2</v>
      </c>
      <c r="O4297">
        <v>-0.53529879999999996</v>
      </c>
      <c r="P4297">
        <v>0.72926859999999905</v>
      </c>
      <c r="Q4297">
        <v>-9.0515170000000006E-2</v>
      </c>
      <c r="R4297">
        <v>-0.67821399999999998</v>
      </c>
      <c r="S4297">
        <v>2.2838289999999999</v>
      </c>
      <c r="T4297">
        <v>-0.58520030000000001</v>
      </c>
      <c r="U4297">
        <v>-1.8857120000000001</v>
      </c>
      <c r="V4297">
        <v>0.17992139999999901</v>
      </c>
      <c r="W4297">
        <v>-7.1824819999999998E-2</v>
      </c>
      <c r="X4297">
        <v>0.98105529999999996</v>
      </c>
      <c r="Y4297">
        <v>0.12882179999999999</v>
      </c>
      <c r="Z4297">
        <v>7.8945319999999999E-2</v>
      </c>
      <c r="AA4297">
        <v>0.98852039999999997</v>
      </c>
      <c r="AB4297">
        <v>25</v>
      </c>
      <c r="AC4297">
        <v>0.41789999999997401</v>
      </c>
      <c r="AD4297">
        <v>-0.14769779999999999</v>
      </c>
      <c r="AE4297">
        <v>-0.35880000000000201</v>
      </c>
      <c r="AF4297">
        <v>7.3935548127898307E-2</v>
      </c>
      <c r="AG4297">
        <v>-0.14769779999999999</v>
      </c>
      <c r="AH4297">
        <v>0.50850178237050503</v>
      </c>
      <c r="AI4297">
        <v>106.036471145798</v>
      </c>
      <c r="AJ4297">
        <v>81.727235093211803</v>
      </c>
      <c r="AK4297">
        <v>0.534654250965793</v>
      </c>
      <c r="AL4297">
        <v>94.118805558383301</v>
      </c>
      <c r="AM4297">
        <v>79.607680751193399</v>
      </c>
      <c r="AN4297">
        <v>1.0000000083020399</v>
      </c>
    </row>
    <row r="4298" spans="1:40" x14ac:dyDescent="0.25">
      <c r="A4298" t="str">
        <f>"20190305135019360"</f>
        <v>20190305135019360</v>
      </c>
      <c r="B4298" t="str">
        <f>"1551765019354661"</f>
        <v>1551765019354661</v>
      </c>
      <c r="C4298" t="s">
        <v>40</v>
      </c>
      <c r="D4298">
        <v>4.1955809999999998</v>
      </c>
      <c r="E4298">
        <v>0.48240100000000002</v>
      </c>
      <c r="F4298" t="s">
        <v>41</v>
      </c>
      <c r="G4298">
        <v>-196.35290000000001</v>
      </c>
      <c r="H4298">
        <v>0.94340729999999995</v>
      </c>
      <c r="I4298">
        <v>210.74719999999999</v>
      </c>
      <c r="J4298">
        <v>-196.7876</v>
      </c>
      <c r="K4298">
        <v>1.0966929999999999</v>
      </c>
      <c r="L4298">
        <v>211.13300000000001</v>
      </c>
      <c r="M4298">
        <v>0.83561839999999998</v>
      </c>
      <c r="N4298">
        <v>-2.5483519999999999E-2</v>
      </c>
      <c r="O4298">
        <v>-0.54871910000000002</v>
      </c>
      <c r="P4298">
        <v>0.71766619999999903</v>
      </c>
      <c r="Q4298">
        <v>-9.1305349999999993E-2</v>
      </c>
      <c r="R4298">
        <v>-0.69037569999999904</v>
      </c>
      <c r="S4298">
        <v>2.2510379999999999</v>
      </c>
      <c r="T4298">
        <v>-0.58484019999999903</v>
      </c>
      <c r="U4298">
        <v>-1.9248499999999999</v>
      </c>
      <c r="V4298">
        <v>0.18075179999999999</v>
      </c>
      <c r="W4298">
        <v>-7.2620039999999997E-2</v>
      </c>
      <c r="X4298">
        <v>0.9808441</v>
      </c>
      <c r="Y4298">
        <v>0.13014039999999999</v>
      </c>
      <c r="Z4298">
        <v>8.1119380000000005E-2</v>
      </c>
      <c r="AA4298">
        <v>0.98817160000000004</v>
      </c>
      <c r="AB4298">
        <v>25</v>
      </c>
      <c r="AC4298">
        <v>0.43469999999999198</v>
      </c>
      <c r="AD4298">
        <v>-0.1532857</v>
      </c>
      <c r="AE4298">
        <v>-0.38579999999998799</v>
      </c>
      <c r="AF4298">
        <v>7.84256258178882E-2</v>
      </c>
      <c r="AG4298">
        <v>-0.1532857</v>
      </c>
      <c r="AH4298">
        <v>0.53772381306052897</v>
      </c>
      <c r="AI4298">
        <v>105.752679811165</v>
      </c>
      <c r="AJ4298">
        <v>81.702065253354604</v>
      </c>
      <c r="AK4298">
        <v>0.56461844084458701</v>
      </c>
      <c r="AL4298">
        <v>94.164487573430705</v>
      </c>
      <c r="AM4298">
        <v>79.558570312883106</v>
      </c>
      <c r="AN4298">
        <v>1.00000001595882</v>
      </c>
    </row>
    <row r="4299" spans="1:40" x14ac:dyDescent="0.25">
      <c r="A4299" t="str">
        <f>"20190305135019383"</f>
        <v>20190305135019383</v>
      </c>
      <c r="B4299" t="str">
        <f>"1551765019375158"</f>
        <v>1551765019375158</v>
      </c>
      <c r="C4299" t="s">
        <v>40</v>
      </c>
      <c r="D4299">
        <v>4.268224</v>
      </c>
      <c r="E4299">
        <v>0.48254079999999999</v>
      </c>
      <c r="F4299" t="s">
        <v>41</v>
      </c>
      <c r="G4299">
        <v>-196.18539999999999</v>
      </c>
      <c r="H4299">
        <v>0.93615139999999997</v>
      </c>
      <c r="I4299">
        <v>210.5993</v>
      </c>
      <c r="J4299">
        <v>-196.58109999999999</v>
      </c>
      <c r="K4299">
        <v>1.0965750000000001</v>
      </c>
      <c r="L4299">
        <v>210.96850000000001</v>
      </c>
      <c r="M4299">
        <v>0.82338120000000004</v>
      </c>
      <c r="N4299">
        <v>-2.5535140000000001E-2</v>
      </c>
      <c r="O4299">
        <v>-0.56691380000000002</v>
      </c>
      <c r="P4299">
        <v>0.70195379999999996</v>
      </c>
      <c r="Q4299">
        <v>-9.3868389999999996E-2</v>
      </c>
      <c r="R4299">
        <v>-0.70600980000000002</v>
      </c>
      <c r="S4299">
        <v>2.2159420000000001</v>
      </c>
      <c r="T4299">
        <v>-0.59025879999999997</v>
      </c>
      <c r="U4299">
        <v>-1.963867</v>
      </c>
      <c r="V4299">
        <v>0.180925</v>
      </c>
      <c r="W4299">
        <v>-7.5181449999999997E-2</v>
      </c>
      <c r="X4299">
        <v>0.98061909999999997</v>
      </c>
      <c r="Y4299">
        <v>0.1262646</v>
      </c>
      <c r="Z4299">
        <v>8.5631239999999997E-2</v>
      </c>
      <c r="AA4299">
        <v>0.9882938</v>
      </c>
      <c r="AB4299">
        <v>25</v>
      </c>
      <c r="AC4299">
        <v>0.39570000000000499</v>
      </c>
      <c r="AD4299">
        <v>-0.1604236</v>
      </c>
      <c r="AE4299">
        <v>-0.36920000000000602</v>
      </c>
      <c r="AF4299">
        <v>7.3253791926150502E-2</v>
      </c>
      <c r="AG4299">
        <v>-0.1604236</v>
      </c>
      <c r="AH4299">
        <v>0.49205468055474799</v>
      </c>
      <c r="AI4299">
        <v>107.87316409664</v>
      </c>
      <c r="AJ4299">
        <v>81.532380811104403</v>
      </c>
      <c r="AK4299">
        <v>0.52270417840720895</v>
      </c>
      <c r="AL4299">
        <v>94.311648220118101</v>
      </c>
      <c r="AM4299">
        <v>79.546440342865694</v>
      </c>
      <c r="AN4299">
        <v>0.99999996266695501</v>
      </c>
    </row>
    <row r="4300" spans="1:40" x14ac:dyDescent="0.25">
      <c r="A4300" t="str">
        <f>"20190305135019415"</f>
        <v>20190305135019415</v>
      </c>
      <c r="B4300" t="str">
        <f>"1551765019404437"</f>
        <v>1551765019404437</v>
      </c>
      <c r="C4300" t="s">
        <v>40</v>
      </c>
      <c r="D4300">
        <v>4.294486</v>
      </c>
      <c r="E4300">
        <v>0.48434189999999999</v>
      </c>
      <c r="F4300" t="s">
        <v>41</v>
      </c>
      <c r="G4300">
        <v>-196.01750000000001</v>
      </c>
      <c r="H4300">
        <v>0.94047610000000004</v>
      </c>
      <c r="I4300">
        <v>210.4453</v>
      </c>
      <c r="J4300">
        <v>-196.3082</v>
      </c>
      <c r="K4300">
        <v>1.09644599999999</v>
      </c>
      <c r="L4300">
        <v>210.7381</v>
      </c>
      <c r="M4300">
        <v>0.8058092</v>
      </c>
      <c r="N4300">
        <v>-2.5541100000000001E-2</v>
      </c>
      <c r="O4300">
        <v>-0.59162419999999905</v>
      </c>
      <c r="P4300">
        <v>0.678706699999999</v>
      </c>
      <c r="Q4300">
        <v>-9.5821480000000001E-2</v>
      </c>
      <c r="R4300">
        <v>-0.72813159999999999</v>
      </c>
      <c r="S4300">
        <v>2.1685180000000002</v>
      </c>
      <c r="T4300">
        <v>-0.60039790000000004</v>
      </c>
      <c r="U4300">
        <v>-2.0132750000000001</v>
      </c>
      <c r="V4300">
        <v>0.18266969999999999</v>
      </c>
      <c r="W4300">
        <v>-7.7238669999999995E-2</v>
      </c>
      <c r="X4300">
        <v>0.98013570000000005</v>
      </c>
      <c r="Y4300">
        <v>0.11961570000000001</v>
      </c>
      <c r="Z4300">
        <v>9.2553560000000007E-2</v>
      </c>
      <c r="AA4300">
        <v>0.98849679999999995</v>
      </c>
      <c r="AB4300">
        <v>24</v>
      </c>
      <c r="AC4300">
        <v>0.29069999999998603</v>
      </c>
      <c r="AD4300">
        <v>-0.155969899999999</v>
      </c>
      <c r="AE4300">
        <v>-0.29279999999999901</v>
      </c>
      <c r="AF4300">
        <v>5.5977597915473201E-2</v>
      </c>
      <c r="AG4300">
        <v>-0.155969899999999</v>
      </c>
      <c r="AH4300">
        <v>0.35664555906469603</v>
      </c>
      <c r="AI4300">
        <v>113.36605462940901</v>
      </c>
      <c r="AJ4300">
        <v>81.0798681118861</v>
      </c>
      <c r="AK4300">
        <v>0.39326346890470998</v>
      </c>
      <c r="AL4300">
        <v>94.429861846451701</v>
      </c>
      <c r="AM4300">
        <v>79.4428006412369</v>
      </c>
      <c r="AN4300">
        <v>1.0000000109279701</v>
      </c>
    </row>
    <row r="4301" spans="1:40" x14ac:dyDescent="0.25">
      <c r="A4301" t="str">
        <f>"20190305135019437"</f>
        <v>20190305135019437</v>
      </c>
      <c r="B4301" t="str">
        <f>"1551765019434693"</f>
        <v>1551765019434693</v>
      </c>
      <c r="C4301" t="s">
        <v>40</v>
      </c>
      <c r="D4301">
        <v>4.4249970000000003</v>
      </c>
      <c r="E4301">
        <v>0.62333660000000002</v>
      </c>
      <c r="F4301" t="s">
        <v>41</v>
      </c>
      <c r="G4301">
        <v>-195.7063</v>
      </c>
      <c r="H4301">
        <v>0.92291069999999997</v>
      </c>
      <c r="I4301">
        <v>210.136</v>
      </c>
      <c r="J4301">
        <v>-196.12180000000001</v>
      </c>
      <c r="K4301">
        <v>1.0963689999999999</v>
      </c>
      <c r="L4301">
        <v>210.57140000000001</v>
      </c>
      <c r="M4301">
        <v>0.79281899999999905</v>
      </c>
      <c r="N4301">
        <v>-2.550088E-2</v>
      </c>
      <c r="O4301">
        <v>-0.60892360000000001</v>
      </c>
      <c r="P4301">
        <v>0.66069829999999996</v>
      </c>
      <c r="Q4301">
        <v>-9.7750680000000006E-2</v>
      </c>
      <c r="R4301">
        <v>-0.74426020000000004</v>
      </c>
      <c r="S4301">
        <v>2.0910489999999999</v>
      </c>
      <c r="T4301">
        <v>-0.60269989999999996</v>
      </c>
      <c r="U4301">
        <v>-2.091675</v>
      </c>
      <c r="V4301">
        <v>0.18514710000000001</v>
      </c>
      <c r="W4301">
        <v>-7.9324249999999999E-2</v>
      </c>
      <c r="X4301">
        <v>0.97950400000000004</v>
      </c>
      <c r="Y4301">
        <v>0.1349552</v>
      </c>
      <c r="Z4301">
        <v>9.4837370000000004E-2</v>
      </c>
      <c r="AA4301">
        <v>0.98630269999999998</v>
      </c>
      <c r="AB4301">
        <v>24</v>
      </c>
      <c r="AC4301">
        <v>0.41550000000000797</v>
      </c>
      <c r="AD4301">
        <v>-0.17345830000000001</v>
      </c>
      <c r="AE4301">
        <v>-0.435400000000015</v>
      </c>
      <c r="AF4301">
        <v>8.51430820524509E-2</v>
      </c>
      <c r="AG4301">
        <v>-0.17345830000000001</v>
      </c>
      <c r="AH4301">
        <v>0.54912140913449503</v>
      </c>
      <c r="AI4301">
        <v>107.335925530542</v>
      </c>
      <c r="AJ4301">
        <v>81.186285282825096</v>
      </c>
      <c r="AK4301">
        <v>0.58212665995480295</v>
      </c>
      <c r="AL4301">
        <v>94.549724965535603</v>
      </c>
      <c r="AM4301">
        <v>79.296165298313994</v>
      </c>
      <c r="AN4301">
        <v>0.99999993564623402</v>
      </c>
    </row>
    <row r="4302" spans="1:40" x14ac:dyDescent="0.25">
      <c r="A4302" t="str">
        <f>"20190305135019461"</f>
        <v>20190305135019461</v>
      </c>
      <c r="B4302" t="str">
        <f>"1551765019455189"</f>
        <v>1551765019455189</v>
      </c>
      <c r="C4302" t="s">
        <v>40</v>
      </c>
      <c r="D4302">
        <v>4.3646430000000001</v>
      </c>
      <c r="E4302">
        <v>0.63319890000000001</v>
      </c>
      <c r="F4302" t="s">
        <v>42</v>
      </c>
      <c r="G4302">
        <v>-188.54470000000001</v>
      </c>
      <c r="H4302" s="1">
        <v>-1.7710470000000001E-6</v>
      </c>
      <c r="I4302">
        <v>193.15940000000001</v>
      </c>
      <c r="J4302">
        <v>-195.93520000000001</v>
      </c>
      <c r="K4302">
        <v>1.096325</v>
      </c>
      <c r="L4302">
        <v>210.3965</v>
      </c>
      <c r="M4302">
        <v>0.77897169999999905</v>
      </c>
      <c r="N4302">
        <v>-2.542138E-2</v>
      </c>
      <c r="O4302">
        <v>-0.62654359999999998</v>
      </c>
      <c r="P4302">
        <v>0.64336309999999997</v>
      </c>
      <c r="Q4302">
        <v>-9.9392889999999998E-2</v>
      </c>
      <c r="R4302">
        <v>-0.75908169999999897</v>
      </c>
      <c r="S4302">
        <v>1.257782</v>
      </c>
      <c r="T4302">
        <v>-0.1819952</v>
      </c>
      <c r="U4302">
        <v>-2.8903500000000002</v>
      </c>
      <c r="V4302">
        <v>0.1855454</v>
      </c>
      <c r="W4302">
        <v>-8.1065739999999997E-2</v>
      </c>
      <c r="X4302">
        <v>0.97928610000000005</v>
      </c>
      <c r="Y4302">
        <v>0.46373189999999997</v>
      </c>
      <c r="Z4302">
        <v>4.2943130000000001E-3</v>
      </c>
      <c r="AA4302">
        <v>0.88596520000000001</v>
      </c>
      <c r="AB4302">
        <v>24</v>
      </c>
      <c r="AC4302">
        <v>7.3905000000000003</v>
      </c>
      <c r="AD4302">
        <v>-1.0963267710469999</v>
      </c>
      <c r="AE4302">
        <v>-17.237099999999899</v>
      </c>
      <c r="AF4302">
        <v>8.7696193014304402</v>
      </c>
      <c r="AG4302">
        <v>-1.0963267710469999</v>
      </c>
      <c r="AH4302">
        <v>16.505734905713702</v>
      </c>
      <c r="AI4302">
        <v>93.356894898744599</v>
      </c>
      <c r="AJ4302">
        <v>62.017960225420801</v>
      </c>
      <c r="AK4302">
        <v>18.722912162872301</v>
      </c>
      <c r="AL4302">
        <v>94.649827086954502</v>
      </c>
      <c r="AM4302">
        <v>79.271340938772397</v>
      </c>
      <c r="AN4302">
        <v>1.00000000765805</v>
      </c>
    </row>
    <row r="4303" spans="1:40" x14ac:dyDescent="0.25">
      <c r="A4303" t="str">
        <f>"20190305135019482"</f>
        <v>20190305135019482</v>
      </c>
      <c r="B4303" t="str">
        <f>"1551765019474709"</f>
        <v>1551765019474709</v>
      </c>
      <c r="C4303" t="s">
        <v>40</v>
      </c>
      <c r="D4303">
        <v>4.1364700000000001</v>
      </c>
      <c r="E4303">
        <v>0.63562459999999998</v>
      </c>
      <c r="F4303" t="s">
        <v>42</v>
      </c>
      <c r="G4303">
        <v>-188.42240000000001</v>
      </c>
      <c r="H4303" s="1">
        <v>-7.8312640000000002E-7</v>
      </c>
      <c r="I4303">
        <v>190.7158</v>
      </c>
      <c r="J4303">
        <v>-195.76150000000001</v>
      </c>
      <c r="K4303">
        <v>1.096317</v>
      </c>
      <c r="L4303">
        <v>210.2261</v>
      </c>
      <c r="M4303">
        <v>0.76527250000000002</v>
      </c>
      <c r="N4303">
        <v>-2.5313349999999998E-2</v>
      </c>
      <c r="O4303">
        <v>-0.64320849999999996</v>
      </c>
      <c r="P4303">
        <v>0.62693219999999905</v>
      </c>
      <c r="Q4303">
        <v>-0.10009120000000001</v>
      </c>
      <c r="R4303">
        <v>-0.77261729999999995</v>
      </c>
      <c r="S4303">
        <v>1.1336360000000001</v>
      </c>
      <c r="T4303">
        <v>-0.16542770000000001</v>
      </c>
      <c r="U4303">
        <v>-2.969681</v>
      </c>
      <c r="V4303">
        <v>0.18532870000000001</v>
      </c>
      <c r="W4303">
        <v>-8.1851090000000001E-2</v>
      </c>
      <c r="X4303">
        <v>0.97926179999999996</v>
      </c>
      <c r="Y4303">
        <v>0.48506510000000003</v>
      </c>
      <c r="Z4303">
        <v>1.853373E-3</v>
      </c>
      <c r="AA4303">
        <v>0.87447609999999998</v>
      </c>
      <c r="AB4303">
        <v>24</v>
      </c>
      <c r="AC4303">
        <v>7.3391000000000002</v>
      </c>
      <c r="AD4303">
        <v>-1.0963177831263999</v>
      </c>
      <c r="AE4303">
        <v>-19.510300000000001</v>
      </c>
      <c r="AF4303">
        <v>10.1852241674725</v>
      </c>
      <c r="AG4303">
        <v>-1.0963177831263999</v>
      </c>
      <c r="AH4303">
        <v>18.121300047003398</v>
      </c>
      <c r="AI4303">
        <v>93.018940714335301</v>
      </c>
      <c r="AJ4303">
        <v>60.661481850645103</v>
      </c>
      <c r="AK4303">
        <v>20.816393045308999</v>
      </c>
      <c r="AL4303">
        <v>94.694974398195697</v>
      </c>
      <c r="AM4303">
        <v>79.283320912633897</v>
      </c>
      <c r="AN4303">
        <v>1.0000000004585501</v>
      </c>
    </row>
    <row r="4304" spans="1:40" x14ac:dyDescent="0.25">
      <c r="A4304" t="str">
        <f>"20190305135019504"</f>
        <v>20190305135019504</v>
      </c>
      <c r="B4304" t="str">
        <f>"1551765019495206"</f>
        <v>1551765019495206</v>
      </c>
      <c r="C4304" t="s">
        <v>40</v>
      </c>
      <c r="D4304">
        <v>4.3881160000000001</v>
      </c>
      <c r="E4304">
        <v>0.63780429999999999</v>
      </c>
      <c r="F4304" t="s">
        <v>42</v>
      </c>
      <c r="G4304">
        <v>-188.17570000000001</v>
      </c>
      <c r="H4304" s="1">
        <v>-4.1887250000000003E-6</v>
      </c>
      <c r="I4304">
        <v>188.64250000000001</v>
      </c>
      <c r="J4304">
        <v>-195.5933</v>
      </c>
      <c r="K4304">
        <v>1.0963350000000001</v>
      </c>
      <c r="L4304">
        <v>210.05340000000001</v>
      </c>
      <c r="M4304">
        <v>0.75122679999999997</v>
      </c>
      <c r="N4304">
        <v>-2.5173109999999999E-2</v>
      </c>
      <c r="O4304">
        <v>-0.65956400000000004</v>
      </c>
      <c r="P4304">
        <v>0.61005779999999998</v>
      </c>
      <c r="Q4304">
        <v>-9.9972130000000006E-2</v>
      </c>
      <c r="R4304">
        <v>-0.78602519999999998</v>
      </c>
      <c r="S4304">
        <v>1.0564420000000001</v>
      </c>
      <c r="T4304">
        <v>-0.15268029999999999</v>
      </c>
      <c r="U4304">
        <v>-3.0058590000000001</v>
      </c>
      <c r="V4304">
        <v>0.18543380000000001</v>
      </c>
      <c r="W4304">
        <v>-8.1849839999999993E-2</v>
      </c>
      <c r="X4304">
        <v>0.97924199999999995</v>
      </c>
      <c r="Y4304">
        <v>0.4895854</v>
      </c>
      <c r="Z4304">
        <v>6.2502360000000004E-4</v>
      </c>
      <c r="AA4304">
        <v>0.87195519999999904</v>
      </c>
      <c r="AB4304">
        <v>24</v>
      </c>
      <c r="AC4304">
        <v>7.4175999999999904</v>
      </c>
      <c r="AD4304">
        <v>-1.096339188725</v>
      </c>
      <c r="AE4304">
        <v>-21.410900000000002</v>
      </c>
      <c r="AF4304">
        <v>11.1694601818685</v>
      </c>
      <c r="AG4304">
        <v>-1.096339188725</v>
      </c>
      <c r="AH4304">
        <v>19.654390947772601</v>
      </c>
      <c r="AI4304">
        <v>92.776482408314394</v>
      </c>
      <c r="AJ4304">
        <v>60.390717586923103</v>
      </c>
      <c r="AK4304">
        <v>22.633026397257801</v>
      </c>
      <c r="AL4304">
        <v>94.694902574671403</v>
      </c>
      <c r="AM4304">
        <v>79.277172569007703</v>
      </c>
      <c r="AN4304">
        <v>0.99999999252723204</v>
      </c>
    </row>
    <row r="4305" spans="1:40" x14ac:dyDescent="0.25">
      <c r="A4305" t="str">
        <f>"20190305135019527"</f>
        <v>20190305135019527</v>
      </c>
      <c r="B4305" t="str">
        <f>"1551765019524485"</f>
        <v>1551765019524485</v>
      </c>
      <c r="C4305" t="s">
        <v>40</v>
      </c>
      <c r="D4305">
        <v>4.3425859999999998</v>
      </c>
      <c r="E4305">
        <v>0.63861459999999903</v>
      </c>
      <c r="F4305" t="s">
        <v>42</v>
      </c>
      <c r="G4305">
        <v>-187.8809</v>
      </c>
      <c r="H4305" s="1">
        <v>-3.1517919999999998E-6</v>
      </c>
      <c r="I4305">
        <v>186.1035</v>
      </c>
      <c r="J4305">
        <v>-195.43010000000001</v>
      </c>
      <c r="K4305">
        <v>1.0963849999999999</v>
      </c>
      <c r="L4305">
        <v>209.87819999999999</v>
      </c>
      <c r="M4305">
        <v>0.73682380000000003</v>
      </c>
      <c r="N4305">
        <v>-2.5011080000000002E-2</v>
      </c>
      <c r="O4305">
        <v>-0.67562199999999994</v>
      </c>
      <c r="P4305">
        <v>0.59276280000000003</v>
      </c>
      <c r="Q4305">
        <v>-9.9667019999999995E-2</v>
      </c>
      <c r="R4305">
        <v>-0.79918630000000002</v>
      </c>
      <c r="S4305">
        <v>0.97874450000000002</v>
      </c>
      <c r="T4305">
        <v>-0.13913</v>
      </c>
      <c r="U4305">
        <v>-3.0393520000000001</v>
      </c>
      <c r="V4305">
        <v>0.18571789999999999</v>
      </c>
      <c r="W4305">
        <v>-8.1679180000000004E-2</v>
      </c>
      <c r="X4305">
        <v>0.97920240000000003</v>
      </c>
      <c r="Y4305">
        <v>0.493867</v>
      </c>
      <c r="Z4305">
        <v>-8.2374179999999996E-4</v>
      </c>
      <c r="AA4305">
        <v>0.86953709999999995</v>
      </c>
      <c r="AB4305">
        <v>24</v>
      </c>
      <c r="AC4305">
        <v>7.5492000000000097</v>
      </c>
      <c r="AD4305">
        <v>-1.096388151792</v>
      </c>
      <c r="AE4305">
        <v>-23.774699999999999</v>
      </c>
      <c r="AF4305">
        <v>12.397295097598599</v>
      </c>
      <c r="AG4305">
        <v>-1.096388151792</v>
      </c>
      <c r="AH4305">
        <v>21.590198467751598</v>
      </c>
      <c r="AI4305">
        <v>92.521565752926406</v>
      </c>
      <c r="AJ4305">
        <v>60.135152095062899</v>
      </c>
      <c r="AK4305">
        <v>24.920506868706301</v>
      </c>
      <c r="AL4305">
        <v>94.685091669036694</v>
      </c>
      <c r="AM4305">
        <v>79.260701883612199</v>
      </c>
      <c r="AN4305">
        <v>0.99999998349582098</v>
      </c>
    </row>
    <row r="4306" spans="1:40" x14ac:dyDescent="0.25">
      <c r="A4306" t="str">
        <f>"20190305135019549"</f>
        <v>20190305135019549</v>
      </c>
      <c r="B4306" t="str">
        <f>"1551765019544982"</f>
        <v>1551765019544982</v>
      </c>
      <c r="C4306" t="s">
        <v>40</v>
      </c>
      <c r="D4306">
        <v>4.3215649999999997</v>
      </c>
      <c r="E4306">
        <v>0.63818719999999995</v>
      </c>
      <c r="F4306" t="s">
        <v>42</v>
      </c>
      <c r="G4306">
        <v>-188.00360000000001</v>
      </c>
      <c r="H4306" s="1">
        <v>-2.57198E-6</v>
      </c>
      <c r="I4306">
        <v>184.80260000000001</v>
      </c>
      <c r="J4306">
        <v>-195.26589999999999</v>
      </c>
      <c r="K4306">
        <v>1.0964799999999999</v>
      </c>
      <c r="L4306">
        <v>209.69380000000001</v>
      </c>
      <c r="M4306">
        <v>0.72152720000000004</v>
      </c>
      <c r="N4306">
        <v>-2.483732E-2</v>
      </c>
      <c r="O4306">
        <v>-0.69194080000000002</v>
      </c>
      <c r="P4306">
        <v>0.57561960000000001</v>
      </c>
      <c r="Q4306">
        <v>-9.8545099999999997E-2</v>
      </c>
      <c r="R4306">
        <v>-0.81175810000000004</v>
      </c>
      <c r="S4306">
        <v>0.90747069999999996</v>
      </c>
      <c r="T4306">
        <v>-0.1339706</v>
      </c>
      <c r="U4306">
        <v>-3.0640559999999999</v>
      </c>
      <c r="V4306">
        <v>0.18480630000000001</v>
      </c>
      <c r="W4306">
        <v>-8.0640130000000004E-2</v>
      </c>
      <c r="X4306">
        <v>0.97946100000000003</v>
      </c>
      <c r="Y4306">
        <v>0.49495980000000001</v>
      </c>
      <c r="Z4306">
        <v>-9.4878530000000005E-4</v>
      </c>
      <c r="AA4306">
        <v>0.86891529999999995</v>
      </c>
      <c r="AB4306">
        <v>23</v>
      </c>
      <c r="AC4306">
        <v>7.2622999999999802</v>
      </c>
      <c r="AD4306">
        <v>-1.09648257198</v>
      </c>
      <c r="AE4306">
        <v>-24.891200000000001</v>
      </c>
      <c r="AF4306">
        <v>12.915488317102801</v>
      </c>
      <c r="AG4306">
        <v>-1.09648257198</v>
      </c>
      <c r="AH4306">
        <v>22.429999706001801</v>
      </c>
      <c r="AI4306">
        <v>92.425800050154507</v>
      </c>
      <c r="AJ4306">
        <v>60.066097693843197</v>
      </c>
      <c r="AK4306">
        <v>25.9059259496957</v>
      </c>
      <c r="AL4306">
        <v>94.6253612508999</v>
      </c>
      <c r="AM4306">
        <v>79.314955549892403</v>
      </c>
      <c r="AN4306">
        <v>1.0000000248035501</v>
      </c>
    </row>
    <row r="4307" spans="1:40" x14ac:dyDescent="0.25">
      <c r="A4307" t="str">
        <f>"20190305135019573"</f>
        <v>20190305135019573</v>
      </c>
      <c r="B4307" t="str">
        <f>"1551765019564503"</f>
        <v>1551765019564503</v>
      </c>
      <c r="C4307" t="s">
        <v>40</v>
      </c>
      <c r="D4307">
        <v>4.3918520000000001</v>
      </c>
      <c r="E4307">
        <v>0.63726870000000002</v>
      </c>
      <c r="F4307" t="s">
        <v>42</v>
      </c>
      <c r="G4307">
        <v>-188.0558</v>
      </c>
      <c r="H4307" s="1">
        <v>-1.9641340000000001E-6</v>
      </c>
      <c r="I4307">
        <v>183.40729999999999</v>
      </c>
      <c r="J4307">
        <v>-195.1078</v>
      </c>
      <c r="K4307">
        <v>1.0966039999999999</v>
      </c>
      <c r="L4307">
        <v>209.50710000000001</v>
      </c>
      <c r="M4307">
        <v>0.70593539999999999</v>
      </c>
      <c r="N4307">
        <v>-2.466639E-2</v>
      </c>
      <c r="O4307">
        <v>-0.70784650000000005</v>
      </c>
      <c r="P4307">
        <v>0.55823279999999997</v>
      </c>
      <c r="Q4307">
        <v>-9.7003010000000001E-2</v>
      </c>
      <c r="R4307">
        <v>-0.82399449999999996</v>
      </c>
      <c r="S4307">
        <v>0.84504699999999899</v>
      </c>
      <c r="T4307">
        <v>-0.1285104</v>
      </c>
      <c r="U4307">
        <v>-3.0808409999999999</v>
      </c>
      <c r="V4307">
        <v>0.18401090000000001</v>
      </c>
      <c r="W4307">
        <v>-7.9171599999999995E-2</v>
      </c>
      <c r="X4307">
        <v>0.97973049999999995</v>
      </c>
      <c r="Y4307">
        <v>0.49320580000000003</v>
      </c>
      <c r="Z4307">
        <v>-1.0816999999999999E-3</v>
      </c>
      <c r="AA4307">
        <v>0.86991200000000002</v>
      </c>
      <c r="AB4307">
        <v>23</v>
      </c>
      <c r="AC4307">
        <v>7.0519999999999898</v>
      </c>
      <c r="AD4307">
        <v>-1.096605964134</v>
      </c>
      <c r="AE4307">
        <v>-26.099799999999998</v>
      </c>
      <c r="AF4307">
        <v>13.415057609193401</v>
      </c>
      <c r="AG4307">
        <v>-1.096605964134</v>
      </c>
      <c r="AH4307">
        <v>23.421514179842902</v>
      </c>
      <c r="AI4307">
        <v>92.326539361722695</v>
      </c>
      <c r="AJ4307">
        <v>60.197365938457203</v>
      </c>
      <c r="AK4307">
        <v>27.013582542401402</v>
      </c>
      <c r="AL4307">
        <v>94.540950863145397</v>
      </c>
      <c r="AM4307">
        <v>79.362751425559694</v>
      </c>
      <c r="AN4307">
        <v>1.0000000030978</v>
      </c>
    </row>
    <row r="4308" spans="1:40" x14ac:dyDescent="0.25">
      <c r="A4308" t="str">
        <f>"20190305135019593"</f>
        <v>20190305135019593</v>
      </c>
      <c r="B4308" t="str">
        <f>"1551765019584997"</f>
        <v>1551765019584997</v>
      </c>
      <c r="C4308" t="s">
        <v>40</v>
      </c>
      <c r="D4308">
        <v>4.3833479999999998</v>
      </c>
      <c r="E4308">
        <v>0.63623890000000005</v>
      </c>
      <c r="F4308" t="s">
        <v>42</v>
      </c>
      <c r="G4308">
        <v>-188.41749999999999</v>
      </c>
      <c r="H4308" s="1">
        <v>-1.7788159999999901E-6</v>
      </c>
      <c r="I4308">
        <v>183.1249</v>
      </c>
      <c r="J4308">
        <v>-194.96520000000001</v>
      </c>
      <c r="K4308">
        <v>1.0967359999999999</v>
      </c>
      <c r="L4308">
        <v>209.33109999999999</v>
      </c>
      <c r="M4308">
        <v>0.69114379999999997</v>
      </c>
      <c r="N4308">
        <v>-2.4511330000000001E-2</v>
      </c>
      <c r="O4308">
        <v>-0.72230159999999999</v>
      </c>
      <c r="P4308">
        <v>0.54164860000000004</v>
      </c>
      <c r="Q4308">
        <v>-9.5238740000000002E-2</v>
      </c>
      <c r="R4308">
        <v>-0.83519259999999995</v>
      </c>
      <c r="S4308">
        <v>0.78463749999999999</v>
      </c>
      <c r="T4308">
        <v>-0.1286099</v>
      </c>
      <c r="U4308">
        <v>-3.0941010000000002</v>
      </c>
      <c r="V4308">
        <v>0.18355060000000001</v>
      </c>
      <c r="W4308">
        <v>-7.7477560000000001E-2</v>
      </c>
      <c r="X4308">
        <v>0.97995220000000005</v>
      </c>
      <c r="Y4308">
        <v>0.49205159999999998</v>
      </c>
      <c r="Z4308">
        <v>-3.9703680000000003E-4</v>
      </c>
      <c r="AA4308">
        <v>0.87056599999999995</v>
      </c>
      <c r="AB4308">
        <v>23</v>
      </c>
      <c r="AC4308">
        <v>6.5477000000000096</v>
      </c>
      <c r="AD4308">
        <v>-1.096737778816</v>
      </c>
      <c r="AE4308">
        <v>-26.2061999999999</v>
      </c>
      <c r="AF4308">
        <v>13.364827047295099</v>
      </c>
      <c r="AG4308">
        <v>-1.096737778816</v>
      </c>
      <c r="AH4308">
        <v>23.422616419017999</v>
      </c>
      <c r="AI4308">
        <v>92.328884866799697</v>
      </c>
      <c r="AJ4308">
        <v>60.291136835277698</v>
      </c>
      <c r="AK4308">
        <v>26.989634967373</v>
      </c>
      <c r="AL4308">
        <v>94.443590624875995</v>
      </c>
      <c r="AM4308">
        <v>79.391101436946101</v>
      </c>
      <c r="AN4308">
        <v>0.99999995467437497</v>
      </c>
    </row>
    <row r="4309" spans="1:40" x14ac:dyDescent="0.25">
      <c r="A4309" t="str">
        <f>"20190305135019616"</f>
        <v>20190305135019616</v>
      </c>
      <c r="B4309" t="str">
        <f>"1551765019604517"</f>
        <v>1551765019604517</v>
      </c>
      <c r="C4309" t="s">
        <v>40</v>
      </c>
      <c r="D4309">
        <v>4.3922919999999896</v>
      </c>
      <c r="E4309">
        <v>0.63493310000000003</v>
      </c>
      <c r="F4309" t="s">
        <v>42</v>
      </c>
      <c r="G4309">
        <v>-188.89</v>
      </c>
      <c r="H4309" s="1">
        <v>-1.831618E-6</v>
      </c>
      <c r="I4309">
        <v>183.4434</v>
      </c>
      <c r="J4309">
        <v>-194.8203</v>
      </c>
      <c r="K4309">
        <v>1.096876</v>
      </c>
      <c r="L4309">
        <v>209.14420000000001</v>
      </c>
      <c r="M4309">
        <v>0.67534939999999999</v>
      </c>
      <c r="N4309">
        <v>-2.4354600000000001E-2</v>
      </c>
      <c r="O4309">
        <v>-0.73709579999999997</v>
      </c>
      <c r="P4309">
        <v>0.52383789999999997</v>
      </c>
      <c r="Q4309">
        <v>-9.4387020000000002E-2</v>
      </c>
      <c r="R4309">
        <v>-0.84657249999999995</v>
      </c>
      <c r="S4309">
        <v>0.72854609999999997</v>
      </c>
      <c r="T4309">
        <v>-0.13152349999999999</v>
      </c>
      <c r="U4309">
        <v>-3.1045229999999999</v>
      </c>
      <c r="V4309">
        <v>0.18320910000000001</v>
      </c>
      <c r="W4309">
        <v>-7.6700409999999997E-2</v>
      </c>
      <c r="X4309">
        <v>0.98007730000000004</v>
      </c>
      <c r="Y4309">
        <v>0.48875049999999998</v>
      </c>
      <c r="Z4309">
        <v>8.7181200000000002E-4</v>
      </c>
      <c r="AA4309">
        <v>0.87242319999999995</v>
      </c>
      <c r="AB4309">
        <v>23</v>
      </c>
      <c r="AC4309">
        <v>5.9303000000000097</v>
      </c>
      <c r="AD4309">
        <v>-1.0968778316179999</v>
      </c>
      <c r="AE4309">
        <v>-25.700800000000001</v>
      </c>
      <c r="AF4309">
        <v>12.967246926022501</v>
      </c>
      <c r="AG4309">
        <v>-1.0968778316179999</v>
      </c>
      <c r="AH4309">
        <v>22.9161522009788</v>
      </c>
      <c r="AI4309">
        <v>92.385444994252495</v>
      </c>
      <c r="AJ4309">
        <v>60.496379169398601</v>
      </c>
      <c r="AK4309">
        <v>26.353418478754602</v>
      </c>
      <c r="AL4309">
        <v>94.398930016659193</v>
      </c>
      <c r="AM4309">
        <v>79.411713813714499</v>
      </c>
      <c r="AN4309">
        <v>1.0000000205961299</v>
      </c>
    </row>
    <row r="4310" spans="1:40" x14ac:dyDescent="0.25">
      <c r="A4310" t="str">
        <f>"20190305135019639"</f>
        <v>20190305135019639</v>
      </c>
      <c r="B4310" t="str">
        <f>"1551765019634773"</f>
        <v>1551765019634773</v>
      </c>
      <c r="C4310" t="s">
        <v>40</v>
      </c>
      <c r="D4310">
        <v>4.5851569999999997</v>
      </c>
      <c r="E4310">
        <v>0.63410789999999995</v>
      </c>
      <c r="F4310" t="s">
        <v>42</v>
      </c>
      <c r="G4310">
        <v>-189.3305</v>
      </c>
      <c r="H4310" s="1">
        <v>-1.8465470000000001E-6</v>
      </c>
      <c r="I4310">
        <v>183.66030000000001</v>
      </c>
      <c r="J4310">
        <v>-194.6763</v>
      </c>
      <c r="K4310">
        <v>1.0970279999999999</v>
      </c>
      <c r="L4310">
        <v>208.9495</v>
      </c>
      <c r="M4310">
        <v>0.65881429999999996</v>
      </c>
      <c r="N4310">
        <v>-2.4201489999999999E-2</v>
      </c>
      <c r="O4310">
        <v>-0.75191619999999904</v>
      </c>
      <c r="P4310">
        <v>0.5049188</v>
      </c>
      <c r="Q4310">
        <v>-9.4279520000000006E-2</v>
      </c>
      <c r="R4310">
        <v>-0.85800279999999995</v>
      </c>
      <c r="S4310">
        <v>0.6707611</v>
      </c>
      <c r="T4310">
        <v>-0.13401959999999999</v>
      </c>
      <c r="U4310">
        <v>-3.113693</v>
      </c>
      <c r="V4310">
        <v>0.18322840000000001</v>
      </c>
      <c r="W4310">
        <v>-7.6677399999999896E-2</v>
      </c>
      <c r="X4310">
        <v>0.98007549999999999</v>
      </c>
      <c r="Y4310">
        <v>0.48535909999999899</v>
      </c>
      <c r="Z4310">
        <v>2.1192939999999999E-3</v>
      </c>
      <c r="AA4310">
        <v>0.87431229999999904</v>
      </c>
      <c r="AB4310">
        <v>23</v>
      </c>
      <c r="AC4310">
        <v>5.3457999999999899</v>
      </c>
      <c r="AD4310">
        <v>-1.0970298465469901</v>
      </c>
      <c r="AE4310">
        <v>-25.289199999999902</v>
      </c>
      <c r="AF4310">
        <v>12.6222606495903</v>
      </c>
      <c r="AG4310">
        <v>-1.0970298465469901</v>
      </c>
      <c r="AH4310">
        <v>22.503317293473302</v>
      </c>
      <c r="AI4310">
        <v>92.434633145320504</v>
      </c>
      <c r="AJ4310">
        <v>60.711642614464601</v>
      </c>
      <c r="AK4310">
        <v>25.824876139124999</v>
      </c>
      <c r="AL4310">
        <v>94.397607714321396</v>
      </c>
      <c r="AM4310">
        <v>79.410604617730399</v>
      </c>
      <c r="AN4310">
        <v>1.00000002796878</v>
      </c>
    </row>
    <row r="4311" spans="1:40" x14ac:dyDescent="0.25">
      <c r="A4311" t="str">
        <f>"20190305135019661"</f>
        <v>20190305135019661</v>
      </c>
      <c r="B4311" t="str">
        <f>"1551765019654298"</f>
        <v>1551765019654298</v>
      </c>
      <c r="C4311" t="s">
        <v>40</v>
      </c>
      <c r="D4311">
        <v>4.1275029999999999</v>
      </c>
      <c r="E4311">
        <v>0.68285169999999995</v>
      </c>
      <c r="F4311" t="s">
        <v>42</v>
      </c>
      <c r="G4311">
        <v>-189.54050000000001</v>
      </c>
      <c r="H4311" s="1">
        <v>-1.3291379999999999E-6</v>
      </c>
      <c r="I4311">
        <v>182.541</v>
      </c>
      <c r="J4311">
        <v>-194.5402</v>
      </c>
      <c r="K4311">
        <v>1.097172</v>
      </c>
      <c r="L4311">
        <v>208.7568</v>
      </c>
      <c r="M4311">
        <v>0.64238189999999995</v>
      </c>
      <c r="N4311">
        <v>-2.4060439999999999E-2</v>
      </c>
      <c r="O4311">
        <v>-0.76600690000000005</v>
      </c>
      <c r="P4311">
        <v>0.486981</v>
      </c>
      <c r="Q4311">
        <v>-9.4027269999999996E-2</v>
      </c>
      <c r="R4311">
        <v>-0.86833660000000001</v>
      </c>
      <c r="S4311">
        <v>0.60766600000000004</v>
      </c>
      <c r="T4311">
        <v>-0.12979979999999999</v>
      </c>
      <c r="U4311">
        <v>-3.1246339999999999</v>
      </c>
      <c r="V4311">
        <v>0.1824238</v>
      </c>
      <c r="W4311">
        <v>-7.6468060000000004E-2</v>
      </c>
      <c r="X4311">
        <v>0.9802419</v>
      </c>
      <c r="Y4311">
        <v>0.48402339999999999</v>
      </c>
      <c r="Z4311">
        <v>2.03988E-3</v>
      </c>
      <c r="AA4311">
        <v>0.87505270000000002</v>
      </c>
      <c r="AB4311">
        <v>23</v>
      </c>
      <c r="AC4311">
        <v>4.99969999999999</v>
      </c>
      <c r="AD4311">
        <v>-1.0971733291379999</v>
      </c>
      <c r="AE4311">
        <v>-26.215800000000002</v>
      </c>
      <c r="AF4311">
        <v>12.9925599258813</v>
      </c>
      <c r="AG4311">
        <v>-1.0971733291379999</v>
      </c>
      <c r="AH4311">
        <v>23.260633427984601</v>
      </c>
      <c r="AI4311">
        <v>92.358115557296401</v>
      </c>
      <c r="AJ4311">
        <v>60.813832515898099</v>
      </c>
      <c r="AK4311">
        <v>26.6658483872699</v>
      </c>
      <c r="AL4311">
        <v>94.385578243098706</v>
      </c>
      <c r="AM4311">
        <v>79.457809969432503</v>
      </c>
      <c r="AN4311">
        <v>0.99999999476110601</v>
      </c>
    </row>
    <row r="4312" spans="1:40" x14ac:dyDescent="0.25">
      <c r="A4312" t="str">
        <f>"20190305135019682"</f>
        <v>20190305135019682</v>
      </c>
      <c r="B4312" t="str">
        <f>"1551765019674793"</f>
        <v>1551765019674793</v>
      </c>
      <c r="C4312" t="s">
        <v>40</v>
      </c>
      <c r="D4312">
        <v>4.1931149999999997</v>
      </c>
      <c r="E4312">
        <v>0.68741479999999999</v>
      </c>
      <c r="F4312" t="s">
        <v>42</v>
      </c>
      <c r="G4312">
        <v>-193.39340000000001</v>
      </c>
      <c r="H4312" s="1">
        <v>-4.7975009999999996E-6</v>
      </c>
      <c r="I4312">
        <v>189.31569999999999</v>
      </c>
      <c r="J4312">
        <v>-194.4143</v>
      </c>
      <c r="K4312">
        <v>1.097302</v>
      </c>
      <c r="L4312">
        <v>208.5701</v>
      </c>
      <c r="M4312">
        <v>0.62641099999999905</v>
      </c>
      <c r="N4312">
        <v>-2.393311E-2</v>
      </c>
      <c r="O4312">
        <v>-0.77912559999999997</v>
      </c>
      <c r="P4312">
        <v>0.46966580000000002</v>
      </c>
      <c r="Q4312">
        <v>-9.2829729999999999E-2</v>
      </c>
      <c r="R4312">
        <v>-0.87795049999999997</v>
      </c>
      <c r="S4312">
        <v>0.1961212</v>
      </c>
      <c r="T4312">
        <v>-0.18762599999999999</v>
      </c>
      <c r="U4312">
        <v>-3.3245849999999999</v>
      </c>
      <c r="V4312">
        <v>0.18174009999999999</v>
      </c>
      <c r="W4312">
        <v>-7.5305079999999996E-2</v>
      </c>
      <c r="X4312">
        <v>0.98045890000000002</v>
      </c>
      <c r="Y4312">
        <v>0.57889699999999999</v>
      </c>
      <c r="Z4312">
        <v>9.1869810000000003E-3</v>
      </c>
      <c r="AA4312">
        <v>0.81534890000000004</v>
      </c>
      <c r="AB4312">
        <v>22</v>
      </c>
      <c r="AC4312">
        <v>1.0208999999999799</v>
      </c>
      <c r="AD4312">
        <v>-1.097306797501</v>
      </c>
      <c r="AE4312">
        <v>-19.2544</v>
      </c>
      <c r="AF4312">
        <v>11.2326056109926</v>
      </c>
      <c r="AG4312">
        <v>-1.097306797501</v>
      </c>
      <c r="AH4312">
        <v>15.595070111285199</v>
      </c>
      <c r="AI4312">
        <v>93.267714966663505</v>
      </c>
      <c r="AJ4312">
        <v>54.2360601330587</v>
      </c>
      <c r="AK4312">
        <v>19.250499286923599</v>
      </c>
      <c r="AL4312">
        <v>94.318751730437299</v>
      </c>
      <c r="AM4312">
        <v>79.498712784238194</v>
      </c>
      <c r="AN4312">
        <v>0.99999998680551305</v>
      </c>
    </row>
    <row r="4313" spans="1:40" x14ac:dyDescent="0.25">
      <c r="A4313" t="str">
        <f>"20190305135019706"</f>
        <v>20190305135019706</v>
      </c>
      <c r="B4313" t="str">
        <f>"1551765019694309"</f>
        <v>1551765019694309</v>
      </c>
      <c r="C4313" t="s">
        <v>40</v>
      </c>
      <c r="D4313">
        <v>4.2079890000000004</v>
      </c>
      <c r="E4313">
        <v>0.68686950000000002</v>
      </c>
      <c r="F4313" t="s">
        <v>94</v>
      </c>
      <c r="G4313">
        <v>-191.40770000000001</v>
      </c>
      <c r="H4313" s="1">
        <v>-5.5814930000000001E-7</v>
      </c>
      <c r="I4313">
        <v>119.9307</v>
      </c>
      <c r="J4313">
        <v>-194.28819999999999</v>
      </c>
      <c r="K4313">
        <v>1.097459</v>
      </c>
      <c r="L4313">
        <v>208.3741</v>
      </c>
      <c r="M4313">
        <v>0.6095815</v>
      </c>
      <c r="N4313">
        <v>-2.3808630000000001E-2</v>
      </c>
      <c r="O4313">
        <v>-0.79236600000000001</v>
      </c>
      <c r="P4313">
        <v>0.45184370000000001</v>
      </c>
      <c r="Q4313">
        <v>-9.2246060000000005E-2</v>
      </c>
      <c r="R4313">
        <v>-0.88731550000000003</v>
      </c>
      <c r="S4313">
        <v>0.11369319999999999</v>
      </c>
      <c r="T4313">
        <v>-4.1493889999999999E-2</v>
      </c>
      <c r="U4313">
        <v>-3.3518520000000001</v>
      </c>
      <c r="V4313">
        <v>0.18061759999999999</v>
      </c>
      <c r="W4313">
        <v>-7.4735930000000006E-2</v>
      </c>
      <c r="X4313">
        <v>0.98070990000000002</v>
      </c>
      <c r="Y4313">
        <v>0.58227329999999999</v>
      </c>
      <c r="Z4313">
        <v>-1.615374E-2</v>
      </c>
      <c r="AA4313">
        <v>0.81283260000000002</v>
      </c>
      <c r="AB4313">
        <v>22</v>
      </c>
      <c r="AC4313">
        <v>2.8804999999999801</v>
      </c>
      <c r="AD4313">
        <v>-1.0974595581493001</v>
      </c>
      <c r="AE4313">
        <v>-88.443399999999997</v>
      </c>
      <c r="AF4313">
        <v>51.637738899821898</v>
      </c>
      <c r="AG4313">
        <v>-1.0974595581493001</v>
      </c>
      <c r="AH4313">
        <v>71.844748769845395</v>
      </c>
      <c r="AI4313">
        <v>90.710656999081607</v>
      </c>
      <c r="AJ4313">
        <v>54.293663165610603</v>
      </c>
      <c r="AK4313">
        <v>88.483492369877396</v>
      </c>
      <c r="AL4313">
        <v>94.286049443647201</v>
      </c>
      <c r="AM4313">
        <v>79.564755882150706</v>
      </c>
      <c r="AN4313">
        <v>1.0000000423103601</v>
      </c>
    </row>
    <row r="4314" spans="1:40" x14ac:dyDescent="0.25">
      <c r="A4314" t="str">
        <f>"20190305135019728"</f>
        <v>20190305135019728</v>
      </c>
      <c r="B4314" t="str">
        <f>"1551765019724566"</f>
        <v>1551765019724566</v>
      </c>
      <c r="C4314" t="s">
        <v>40</v>
      </c>
      <c r="D4314">
        <v>4.2655940000000001</v>
      </c>
      <c r="E4314">
        <v>0.68218269999999903</v>
      </c>
      <c r="F4314" t="s">
        <v>65</v>
      </c>
      <c r="G4314">
        <v>-189.58869999999999</v>
      </c>
      <c r="H4314">
        <v>1.183719</v>
      </c>
      <c r="I4314">
        <v>-81.815550000000002</v>
      </c>
      <c r="J4314">
        <v>-194.16669999999999</v>
      </c>
      <c r="K4314">
        <v>1.09761</v>
      </c>
      <c r="L4314">
        <v>208.17609999999999</v>
      </c>
      <c r="M4314">
        <v>0.59252649999999996</v>
      </c>
      <c r="N4314">
        <v>-2.368317E-2</v>
      </c>
      <c r="O4314">
        <v>-0.80520269999999905</v>
      </c>
      <c r="P4314">
        <v>0.43449379999999999</v>
      </c>
      <c r="Q4314">
        <v>-9.2657039999999996E-2</v>
      </c>
      <c r="R4314">
        <v>-0.89589609999999997</v>
      </c>
      <c r="S4314">
        <v>5.4306029999999998E-2</v>
      </c>
      <c r="T4314">
        <v>9.9682809999999998E-4</v>
      </c>
      <c r="U4314">
        <v>-3.3534090000000001</v>
      </c>
      <c r="V4314">
        <v>0.17874870000000001</v>
      </c>
      <c r="W4314">
        <v>-7.5138179999999999E-2</v>
      </c>
      <c r="X4314">
        <v>0.98102149999999999</v>
      </c>
      <c r="Y4314">
        <v>0.57941809999999905</v>
      </c>
      <c r="Z4314">
        <v>-2.3740710000000002E-2</v>
      </c>
      <c r="AA4314">
        <v>0.81468459999999998</v>
      </c>
      <c r="AB4314">
        <v>22</v>
      </c>
      <c r="AC4314">
        <v>4.5780000000000003</v>
      </c>
      <c r="AD4314">
        <v>8.6108999999999894E-2</v>
      </c>
      <c r="AE4314">
        <v>-289.99164999999999</v>
      </c>
      <c r="AF4314">
        <v>168.18868469288799</v>
      </c>
      <c r="AG4314">
        <v>8.6108999999999894E-2</v>
      </c>
      <c r="AH4314">
        <v>236.28090626515001</v>
      </c>
      <c r="AI4314">
        <v>89.982988931232995</v>
      </c>
      <c r="AJ4314">
        <v>54.5561054675996</v>
      </c>
      <c r="AK4314">
        <v>290.02777063406199</v>
      </c>
      <c r="AL4314">
        <v>94.309161779246296</v>
      </c>
      <c r="AM4314">
        <v>79.673606330843796</v>
      </c>
      <c r="AN4314">
        <v>1.0000000136538201</v>
      </c>
    </row>
    <row r="4315" spans="1:40" x14ac:dyDescent="0.25">
      <c r="A4315" t="str">
        <f>"20190305135019751"</f>
        <v>20190305135019751</v>
      </c>
      <c r="B4315" t="str">
        <f>"1551765019745061"</f>
        <v>1551765019745061</v>
      </c>
      <c r="C4315" t="s">
        <v>40</v>
      </c>
      <c r="D4315">
        <v>4.2624399999999998</v>
      </c>
      <c r="E4315">
        <v>0.67948319999999995</v>
      </c>
      <c r="F4315" t="s">
        <v>65</v>
      </c>
      <c r="G4315">
        <v>-192.2559</v>
      </c>
      <c r="H4315">
        <v>0.30807210000000002</v>
      </c>
      <c r="I4315">
        <v>-81.815259999999995</v>
      </c>
      <c r="J4315">
        <v>-194.04769999999999</v>
      </c>
      <c r="K4315">
        <v>1.097756</v>
      </c>
      <c r="L4315">
        <v>207.9718</v>
      </c>
      <c r="M4315">
        <v>0.57489820000000003</v>
      </c>
      <c r="N4315">
        <v>-2.3538460000000001E-2</v>
      </c>
      <c r="O4315">
        <v>-0.81788629999999996</v>
      </c>
      <c r="P4315">
        <v>0.4175352</v>
      </c>
      <c r="Q4315">
        <v>-9.3642459999999997E-2</v>
      </c>
      <c r="R4315">
        <v>-0.90382280000000004</v>
      </c>
      <c r="S4315">
        <v>2.1987920000000001E-2</v>
      </c>
      <c r="T4315">
        <v>-9.0854170000000001E-3</v>
      </c>
      <c r="U4315">
        <v>-3.337021</v>
      </c>
      <c r="V4315">
        <v>0.1758651</v>
      </c>
      <c r="W4315">
        <v>-7.6097719999999994E-2</v>
      </c>
      <c r="X4315">
        <v>0.98146860000000002</v>
      </c>
      <c r="Y4315">
        <v>0.56947819999999905</v>
      </c>
      <c r="Z4315">
        <v>-2.1751949999999999E-2</v>
      </c>
      <c r="AA4315">
        <v>0.82171859999999997</v>
      </c>
      <c r="AB4315">
        <v>22</v>
      </c>
      <c r="AC4315">
        <v>1.7917999999999901</v>
      </c>
      <c r="AD4315">
        <v>-0.78968389999999999</v>
      </c>
      <c r="AE4315">
        <v>-289.78706</v>
      </c>
      <c r="AF4315">
        <v>165.17710965165301</v>
      </c>
      <c r="AG4315">
        <v>-0.78968389999999999</v>
      </c>
      <c r="AH4315">
        <v>238.10717324427</v>
      </c>
      <c r="AI4315">
        <v>90.156131587516498</v>
      </c>
      <c r="AJ4315">
        <v>55.250603333131103</v>
      </c>
      <c r="AK4315">
        <v>289.79152351977598</v>
      </c>
      <c r="AL4315">
        <v>94.364297272872705</v>
      </c>
      <c r="AM4315">
        <v>79.841226582782497</v>
      </c>
      <c r="AN4315">
        <v>1.00000000458658</v>
      </c>
    </row>
    <row r="4316" spans="1:40" x14ac:dyDescent="0.25">
      <c r="A4316" t="str">
        <f>"20190305135019774"</f>
        <v>20190305135019774</v>
      </c>
      <c r="B4316" t="str">
        <f>"1551765019764582"</f>
        <v>1551765019764582</v>
      </c>
      <c r="C4316" t="s">
        <v>40</v>
      </c>
      <c r="D4316">
        <v>4.2713219999999996</v>
      </c>
      <c r="E4316">
        <v>0.67649519999999996</v>
      </c>
      <c r="F4316" t="s">
        <v>42</v>
      </c>
      <c r="G4316">
        <v>-195.14169999999999</v>
      </c>
      <c r="H4316" s="1">
        <v>-2.7855670000000002E-6</v>
      </c>
      <c r="I4316">
        <v>42.893329999999999</v>
      </c>
      <c r="J4316">
        <v>-193.93719999999999</v>
      </c>
      <c r="K4316">
        <v>1.0979000000000001</v>
      </c>
      <c r="L4316">
        <v>207.77189999999999</v>
      </c>
      <c r="M4316">
        <v>0.5576274</v>
      </c>
      <c r="N4316">
        <v>-2.33633E-2</v>
      </c>
      <c r="O4316">
        <v>-0.82976269999999996</v>
      </c>
      <c r="P4316">
        <v>0.40121010000000001</v>
      </c>
      <c r="Q4316">
        <v>-9.3685470000000007E-2</v>
      </c>
      <c r="R4316">
        <v>-0.91118270000000001</v>
      </c>
      <c r="S4316">
        <v>-2.2048950000000001E-2</v>
      </c>
      <c r="T4316">
        <v>-2.212536E-2</v>
      </c>
      <c r="U4316">
        <v>-3.3271639999999998</v>
      </c>
      <c r="V4316">
        <v>0.17296889999999901</v>
      </c>
      <c r="W4316">
        <v>-7.6143409999999995E-2</v>
      </c>
      <c r="X4316">
        <v>0.98197959999999995</v>
      </c>
      <c r="Y4316">
        <v>0.56306350000000005</v>
      </c>
      <c r="Z4316">
        <v>-1.9035759999999999E-2</v>
      </c>
      <c r="AA4316">
        <v>0.82619430000000005</v>
      </c>
      <c r="AB4316">
        <v>22</v>
      </c>
      <c r="AC4316">
        <v>-1.2044999999999899</v>
      </c>
      <c r="AD4316">
        <v>-1.0979027855670001</v>
      </c>
      <c r="AE4316">
        <v>-164.87857</v>
      </c>
      <c r="AF4316">
        <v>92.961497648084801</v>
      </c>
      <c r="AG4316">
        <v>-1.0979027855670001</v>
      </c>
      <c r="AH4316">
        <v>136.169537708663</v>
      </c>
      <c r="AI4316">
        <v>90.381525486681596</v>
      </c>
      <c r="AJ4316">
        <v>55.679061506933898</v>
      </c>
      <c r="AK4316">
        <v>164.879314758682</v>
      </c>
      <c r="AL4316">
        <v>94.366922767528095</v>
      </c>
      <c r="AM4316">
        <v>80.010219970456106</v>
      </c>
      <c r="AN4316">
        <v>0.99999999703489895</v>
      </c>
    </row>
    <row r="4317" spans="1:40" x14ac:dyDescent="0.25">
      <c r="A4317" t="str">
        <f>"20190305135019795"</f>
        <v>20190305135019795</v>
      </c>
      <c r="B4317" t="str">
        <f>"1551765019785078"</f>
        <v>1551765019785078</v>
      </c>
      <c r="C4317" t="s">
        <v>40</v>
      </c>
      <c r="D4317">
        <v>3.8636439999999999</v>
      </c>
      <c r="E4317">
        <v>0.67368280000000003</v>
      </c>
      <c r="F4317" t="s">
        <v>42</v>
      </c>
      <c r="G4317">
        <v>-196.035</v>
      </c>
      <c r="H4317" s="1">
        <v>-3.1301470000000001E-6</v>
      </c>
      <c r="I4317">
        <v>93.142449999999997</v>
      </c>
      <c r="J4317">
        <v>-193.8349</v>
      </c>
      <c r="K4317">
        <v>1.0980449999999999</v>
      </c>
      <c r="L4317">
        <v>207.57759999999999</v>
      </c>
      <c r="M4317">
        <v>0.54082379999999997</v>
      </c>
      <c r="N4317">
        <v>-2.3160690000000001E-2</v>
      </c>
      <c r="O4317">
        <v>-0.84081709999999998</v>
      </c>
      <c r="P4317">
        <v>0.38562819999999998</v>
      </c>
      <c r="Q4317">
        <v>-9.2039090000000004E-2</v>
      </c>
      <c r="R4317">
        <v>-0.91805250000000005</v>
      </c>
      <c r="S4317">
        <v>-6.0684200000000001E-2</v>
      </c>
      <c r="T4317">
        <v>-3.17589E-2</v>
      </c>
      <c r="U4317">
        <v>-3.3158720000000002</v>
      </c>
      <c r="V4317">
        <v>0.17011299999999999</v>
      </c>
      <c r="W4317">
        <v>-7.4525579999999994E-2</v>
      </c>
      <c r="X4317">
        <v>0.98260239999999999</v>
      </c>
      <c r="Y4317">
        <v>0.55604679999999995</v>
      </c>
      <c r="Z4317">
        <v>-1.6805850000000001E-2</v>
      </c>
      <c r="AA4317">
        <v>0.83098109999999903</v>
      </c>
      <c r="AB4317">
        <v>22</v>
      </c>
      <c r="AC4317">
        <v>-2.2000999999999902</v>
      </c>
      <c r="AD4317">
        <v>-1.098048130147</v>
      </c>
      <c r="AE4317">
        <v>-114.43514999999999</v>
      </c>
      <c r="AF4317">
        <v>63.750363003048903</v>
      </c>
      <c r="AG4317">
        <v>-1.098048130147</v>
      </c>
      <c r="AH4317">
        <v>95.045905361511004</v>
      </c>
      <c r="AI4317">
        <v>90.549706611730699</v>
      </c>
      <c r="AJ4317">
        <v>56.148964489585097</v>
      </c>
      <c r="AK4317">
        <v>114.451031531856</v>
      </c>
      <c r="AL4317">
        <v>94.273963814833195</v>
      </c>
      <c r="AM4317">
        <v>80.178027186883696</v>
      </c>
      <c r="AN4317">
        <v>0.99999998566454795</v>
      </c>
    </row>
    <row r="4318" spans="1:40" x14ac:dyDescent="0.25">
      <c r="A4318" t="str">
        <f>"20190305135019818"</f>
        <v>20190305135019818</v>
      </c>
      <c r="B4318" t="str">
        <f>"1551765019814358"</f>
        <v>1551765019814358</v>
      </c>
      <c r="C4318" t="s">
        <v>40</v>
      </c>
      <c r="D4318">
        <v>4.318632</v>
      </c>
      <c r="E4318">
        <v>0.66943059999999999</v>
      </c>
      <c r="F4318" t="s">
        <v>42</v>
      </c>
      <c r="G4318">
        <v>-197.51009999999999</v>
      </c>
      <c r="H4318" s="1">
        <v>-3.0911310000000002E-6</v>
      </c>
      <c r="I4318">
        <v>82.155550000000005</v>
      </c>
      <c r="J4318">
        <v>-193.73679999999999</v>
      </c>
      <c r="K4318">
        <v>1.0982179999999999</v>
      </c>
      <c r="L4318">
        <v>207.38159999999999</v>
      </c>
      <c r="M4318">
        <v>0.52389560000000002</v>
      </c>
      <c r="N4318">
        <v>-2.2935069999999998E-2</v>
      </c>
      <c r="O4318">
        <v>-0.85147359999999905</v>
      </c>
      <c r="P4318">
        <v>0.36999700000000002</v>
      </c>
      <c r="Q4318">
        <v>-9.0342220000000001E-2</v>
      </c>
      <c r="R4318">
        <v>-0.92462999999999995</v>
      </c>
      <c r="S4318">
        <v>-9.6862790000000004E-2</v>
      </c>
      <c r="T4318">
        <v>-2.8939840000000001E-2</v>
      </c>
      <c r="U4318">
        <v>-3.3055880000000002</v>
      </c>
      <c r="V4318">
        <v>0.1672951</v>
      </c>
      <c r="W4318">
        <v>-7.2875159999999994E-2</v>
      </c>
      <c r="X4318">
        <v>0.98320980000000002</v>
      </c>
      <c r="Y4318">
        <v>0.54854539999999996</v>
      </c>
      <c r="Z4318">
        <v>-1.7043929999999999E-2</v>
      </c>
      <c r="AA4318">
        <v>0.835946999999999</v>
      </c>
      <c r="AB4318">
        <v>22</v>
      </c>
      <c r="AC4318">
        <v>-3.7732999999999999</v>
      </c>
      <c r="AD4318">
        <v>-1.098221091131</v>
      </c>
      <c r="AE4318">
        <v>-125.22605</v>
      </c>
      <c r="AF4318">
        <v>68.831062938008898</v>
      </c>
      <c r="AG4318">
        <v>-1.098221091131</v>
      </c>
      <c r="AH4318">
        <v>104.669356858591</v>
      </c>
      <c r="AI4318">
        <v>90.502276559033106</v>
      </c>
      <c r="AJ4318">
        <v>56.670891447635299</v>
      </c>
      <c r="AK4318">
        <v>125.278073021308</v>
      </c>
      <c r="AL4318">
        <v>94.179143876605494</v>
      </c>
      <c r="AM4318">
        <v>80.343491344078004</v>
      </c>
      <c r="AN4318">
        <v>0.99999997512253702</v>
      </c>
    </row>
    <row r="4319" spans="1:40" x14ac:dyDescent="0.25">
      <c r="A4319" t="str">
        <f>"20190305135019840"</f>
        <v>20190305135019840</v>
      </c>
      <c r="B4319" t="str">
        <f>"1551765019834857"</f>
        <v>1551765019834857</v>
      </c>
      <c r="C4319" t="s">
        <v>40</v>
      </c>
      <c r="D4319">
        <v>4.2805530000000003</v>
      </c>
      <c r="E4319">
        <v>0.66804490000000005</v>
      </c>
      <c r="F4319" t="s">
        <v>42</v>
      </c>
      <c r="G4319">
        <v>-199.65809999999999</v>
      </c>
      <c r="H4319" s="1">
        <v>-5.0540339999999999E-6</v>
      </c>
      <c r="I4319">
        <v>46.804029999999997</v>
      </c>
      <c r="J4319">
        <v>-193.63589999999999</v>
      </c>
      <c r="K4319">
        <v>1.0984039999999999</v>
      </c>
      <c r="L4319">
        <v>207.1694</v>
      </c>
      <c r="M4319">
        <v>0.50559889999999996</v>
      </c>
      <c r="N4319">
        <v>-2.2638289999999998E-2</v>
      </c>
      <c r="O4319">
        <v>-0.8624716</v>
      </c>
      <c r="P4319">
        <v>0.35264060000000003</v>
      </c>
      <c r="Q4319">
        <v>-9.0297829999999996E-2</v>
      </c>
      <c r="R4319">
        <v>-0.931392</v>
      </c>
      <c r="S4319">
        <v>-0.12135310000000001</v>
      </c>
      <c r="T4319">
        <v>-2.2507309999999999E-2</v>
      </c>
      <c r="U4319">
        <v>-3.290924</v>
      </c>
      <c r="V4319">
        <v>0.1647266</v>
      </c>
      <c r="W4319">
        <v>-7.2948719999999995E-2</v>
      </c>
      <c r="X4319">
        <v>0.98363800000000001</v>
      </c>
      <c r="Y4319">
        <v>0.53698630000000003</v>
      </c>
      <c r="Z4319">
        <v>-1.79776E-2</v>
      </c>
      <c r="AA4319">
        <v>0.84339940000000002</v>
      </c>
      <c r="AB4319">
        <v>22</v>
      </c>
      <c r="AC4319">
        <v>-6.02219999999999</v>
      </c>
      <c r="AD4319">
        <v>-1.0984090540339999</v>
      </c>
      <c r="AE4319">
        <v>-160.36536999999899</v>
      </c>
      <c r="AF4319">
        <v>86.292604450436201</v>
      </c>
      <c r="AG4319">
        <v>-1.0984090540339999</v>
      </c>
      <c r="AH4319">
        <v>135.29409584270499</v>
      </c>
      <c r="AI4319">
        <v>90.392178424607806</v>
      </c>
      <c r="AJ4319">
        <v>57.469658174602799</v>
      </c>
      <c r="AK4319">
        <v>160.47464739074599</v>
      </c>
      <c r="AL4319">
        <v>94.183369522740406</v>
      </c>
      <c r="AM4319">
        <v>80.493084490543495</v>
      </c>
      <c r="AN4319">
        <v>1.0000000417705901</v>
      </c>
    </row>
    <row r="4320" spans="1:40" x14ac:dyDescent="0.25">
      <c r="A4320" t="str">
        <f>"20190305135019862"</f>
        <v>20190305135019862</v>
      </c>
      <c r="B4320" t="str">
        <f>"1551765019854377"</f>
        <v>1551765019854377</v>
      </c>
      <c r="C4320" t="s">
        <v>40</v>
      </c>
      <c r="D4320">
        <v>4.3590339999999896</v>
      </c>
      <c r="E4320">
        <v>0.63669730000000002</v>
      </c>
      <c r="F4320" t="s">
        <v>42</v>
      </c>
      <c r="G4320">
        <v>-199.73400000000001</v>
      </c>
      <c r="H4320" s="1">
        <v>-3.4159580000000001E-6</v>
      </c>
      <c r="I4320">
        <v>91.950869999999995</v>
      </c>
      <c r="J4320">
        <v>-193.54740000000001</v>
      </c>
      <c r="K4320">
        <v>1.098544</v>
      </c>
      <c r="L4320">
        <v>206.9736</v>
      </c>
      <c r="M4320">
        <v>0.48874990000000001</v>
      </c>
      <c r="N4320">
        <v>-2.224541E-2</v>
      </c>
      <c r="O4320">
        <v>-0.87214029999999998</v>
      </c>
      <c r="P4320">
        <v>0.33721109999999999</v>
      </c>
      <c r="Q4320">
        <v>-9.1348470000000001E-2</v>
      </c>
      <c r="R4320">
        <v>-0.9369866</v>
      </c>
      <c r="S4320">
        <v>-0.1737976</v>
      </c>
      <c r="T4320">
        <v>-3.130484E-2</v>
      </c>
      <c r="U4320">
        <v>-3.2837519999999998</v>
      </c>
      <c r="V4320">
        <v>0.1618078</v>
      </c>
      <c r="W4320">
        <v>-7.4212150000000005E-2</v>
      </c>
      <c r="X4320">
        <v>0.98402789999999996</v>
      </c>
      <c r="Y4320">
        <v>0.5340935</v>
      </c>
      <c r="Z4320">
        <v>-1.559807E-2</v>
      </c>
      <c r="AA4320">
        <v>0.84528150000000002</v>
      </c>
      <c r="AB4320">
        <v>21</v>
      </c>
      <c r="AC4320">
        <v>-6.1865999999999897</v>
      </c>
      <c r="AD4320">
        <v>-1.098547415958</v>
      </c>
      <c r="AE4320">
        <v>-115.02273</v>
      </c>
      <c r="AF4320">
        <v>61.622575920101703</v>
      </c>
      <c r="AG4320">
        <v>-1.098547415958</v>
      </c>
      <c r="AH4320">
        <v>97.307488353060606</v>
      </c>
      <c r="AI4320">
        <v>90.546458033404406</v>
      </c>
      <c r="AJ4320">
        <v>57.654867929177897</v>
      </c>
      <c r="AK4320">
        <v>115.18374867590801</v>
      </c>
      <c r="AL4320">
        <v>94.255955423381195</v>
      </c>
      <c r="AM4320">
        <v>80.662178830272396</v>
      </c>
      <c r="AN4320">
        <v>1.00000005766343</v>
      </c>
    </row>
    <row r="4321" spans="1:40" x14ac:dyDescent="0.25">
      <c r="A4321" t="str">
        <f>"20190305135019884"</f>
        <v>20190305135019884</v>
      </c>
      <c r="B4321" t="str">
        <f>"1551765019874869"</f>
        <v>1551765019874869</v>
      </c>
      <c r="C4321" t="s">
        <v>40</v>
      </c>
      <c r="D4321">
        <v>4.3417570000000003</v>
      </c>
      <c r="E4321">
        <v>0.634607699999999</v>
      </c>
      <c r="F4321" t="s">
        <v>42</v>
      </c>
      <c r="G4321">
        <v>-193.59289999999999</v>
      </c>
      <c r="H4321" s="1">
        <v>-4.2958319999999996E-6</v>
      </c>
      <c r="I4321">
        <v>187.73750000000001</v>
      </c>
      <c r="J4321">
        <v>-193.46010000000001</v>
      </c>
      <c r="K4321">
        <v>1.0986769999999999</v>
      </c>
      <c r="L4321">
        <v>206.7704</v>
      </c>
      <c r="M4321">
        <v>0.47139310000000001</v>
      </c>
      <c r="N4321">
        <v>-2.1717170000000001E-2</v>
      </c>
      <c r="O4321">
        <v>-0.88165579999999999</v>
      </c>
      <c r="P4321">
        <v>0.3217602</v>
      </c>
      <c r="Q4321">
        <v>-9.1893610000000001E-2</v>
      </c>
      <c r="R4321">
        <v>-0.94235150000000001</v>
      </c>
      <c r="S4321">
        <v>-7.5378419999999899E-3</v>
      </c>
      <c r="T4321">
        <v>-0.18198900000000001</v>
      </c>
      <c r="U4321">
        <v>-3.1867220000000001</v>
      </c>
      <c r="V4321">
        <v>0.158495</v>
      </c>
      <c r="W4321">
        <v>-7.5085540000000006E-2</v>
      </c>
      <c r="X4321">
        <v>0.98450059999999995</v>
      </c>
      <c r="Y4321">
        <v>0.47311639999999999</v>
      </c>
      <c r="Z4321">
        <v>2.1816700000000001E-2</v>
      </c>
      <c r="AA4321">
        <v>0.88072969999999895</v>
      </c>
      <c r="AB4321">
        <v>21</v>
      </c>
      <c r="AC4321">
        <v>-0.13279999999997399</v>
      </c>
      <c r="AD4321">
        <v>-1.098681295832</v>
      </c>
      <c r="AE4321">
        <v>-19.032899999999898</v>
      </c>
      <c r="AF4321">
        <v>9.0610137503783292</v>
      </c>
      <c r="AG4321">
        <v>-1.098681295832</v>
      </c>
      <c r="AH4321">
        <v>16.6662761252582</v>
      </c>
      <c r="AI4321">
        <v>93.314657306247796</v>
      </c>
      <c r="AJ4321">
        <v>61.468243570481</v>
      </c>
      <c r="AK4321">
        <v>19.001942812715399</v>
      </c>
      <c r="AL4321">
        <v>94.306137384996802</v>
      </c>
      <c r="AM4321">
        <v>80.854410582058904</v>
      </c>
      <c r="AN4321">
        <v>0.99999996737122498</v>
      </c>
    </row>
    <row r="4322" spans="1:40" x14ac:dyDescent="0.25">
      <c r="A4322" t="str">
        <f>"20190305135019907"</f>
        <v>20190305135019907</v>
      </c>
      <c r="B4322" t="str">
        <f>"1551765019905126"</f>
        <v>1551765019905126</v>
      </c>
      <c r="C4322" t="s">
        <v>40</v>
      </c>
      <c r="D4322">
        <v>4.3598270000000001</v>
      </c>
      <c r="E4322">
        <v>0.63131809999999999</v>
      </c>
      <c r="F4322" t="s">
        <v>42</v>
      </c>
      <c r="G4322">
        <v>-193.7226</v>
      </c>
      <c r="H4322" s="1">
        <v>-4.3947649999999999E-6</v>
      </c>
      <c r="I4322">
        <v>187.9606</v>
      </c>
      <c r="J4322">
        <v>-193.375</v>
      </c>
      <c r="K4322">
        <v>1.0988610000000001</v>
      </c>
      <c r="L4322">
        <v>206.5617</v>
      </c>
      <c r="M4322">
        <v>0.45380700000000002</v>
      </c>
      <c r="N4322">
        <v>-2.114742E-2</v>
      </c>
      <c r="O4322">
        <v>-0.89084920000000001</v>
      </c>
      <c r="P4322">
        <v>0.3046605</v>
      </c>
      <c r="Q4322">
        <v>-9.1240859999999993E-2</v>
      </c>
      <c r="R4322">
        <v>-0.94808099999999995</v>
      </c>
      <c r="S4322">
        <v>-4.4372559999999998E-2</v>
      </c>
      <c r="T4322">
        <v>-0.18577769999999999</v>
      </c>
      <c r="U4322">
        <v>-3.1805729999999999</v>
      </c>
      <c r="V4322">
        <v>0.15684919999999999</v>
      </c>
      <c r="W4322">
        <v>-7.4833259999999999E-2</v>
      </c>
      <c r="X4322">
        <v>0.98478339999999998</v>
      </c>
      <c r="Y4322">
        <v>0.46583459999999899</v>
      </c>
      <c r="Z4322">
        <v>2.4223350000000001E-2</v>
      </c>
      <c r="AA4322">
        <v>0.8845402</v>
      </c>
      <c r="AB4322">
        <v>21</v>
      </c>
      <c r="AC4322">
        <v>-0.34759999999999902</v>
      </c>
      <c r="AD4322">
        <v>-1.098865394765</v>
      </c>
      <c r="AE4322">
        <v>-18.601099999999999</v>
      </c>
      <c r="AF4322">
        <v>8.7224947503701706</v>
      </c>
      <c r="AG4322">
        <v>-1.098865394765</v>
      </c>
      <c r="AH4322">
        <v>16.3596271725668</v>
      </c>
      <c r="AI4322">
        <v>93.392011887077501</v>
      </c>
      <c r="AJ4322">
        <v>61.934711272765099</v>
      </c>
      <c r="AK4322">
        <v>18.572205605458699</v>
      </c>
      <c r="AL4322">
        <v>94.291641811989393</v>
      </c>
      <c r="AM4322">
        <v>80.950353700067893</v>
      </c>
      <c r="AN4322">
        <v>1.00000001662921</v>
      </c>
    </row>
    <row r="4323" spans="1:40" x14ac:dyDescent="0.25">
      <c r="A4323" t="str">
        <f>"20190305135019929"</f>
        <v>20190305135019929</v>
      </c>
      <c r="B4323" t="str">
        <f>"1551765019924646"</f>
        <v>1551765019924646</v>
      </c>
      <c r="C4323" t="s">
        <v>40</v>
      </c>
      <c r="D4323">
        <v>4.4338800000000003</v>
      </c>
      <c r="E4323">
        <v>0.62915310000000002</v>
      </c>
      <c r="F4323" t="s">
        <v>42</v>
      </c>
      <c r="G4323">
        <v>-193.8125</v>
      </c>
      <c r="H4323" s="1">
        <v>-4.7197209999999998E-6</v>
      </c>
      <c r="I4323">
        <v>188.86869999999999</v>
      </c>
      <c r="J4323">
        <v>-193.29480000000001</v>
      </c>
      <c r="K4323">
        <v>1.0991230000000001</v>
      </c>
      <c r="L4323">
        <v>206.35470000000001</v>
      </c>
      <c r="M4323">
        <v>0.43662400000000001</v>
      </c>
      <c r="N4323">
        <v>-2.0602849999999999E-2</v>
      </c>
      <c r="O4323">
        <v>-0.89940799999999999</v>
      </c>
      <c r="P4323">
        <v>0.28901459999999901</v>
      </c>
      <c r="Q4323">
        <v>-9.1236059999999994E-2</v>
      </c>
      <c r="R4323">
        <v>-0.95296749999999997</v>
      </c>
      <c r="S4323">
        <v>-7.8384399999999896E-2</v>
      </c>
      <c r="T4323">
        <v>-0.19691349999999999</v>
      </c>
      <c r="U4323">
        <v>-3.1705320000000001</v>
      </c>
      <c r="V4323">
        <v>0.15420130000000001</v>
      </c>
      <c r="W4323">
        <v>-7.5155609999999998E-2</v>
      </c>
      <c r="X4323">
        <v>0.98517690000000002</v>
      </c>
      <c r="Y4323">
        <v>0.45835169999999997</v>
      </c>
      <c r="Z4323">
        <v>2.8493629999999999E-2</v>
      </c>
      <c r="AA4323">
        <v>0.88831399999999905</v>
      </c>
      <c r="AB4323">
        <v>21</v>
      </c>
      <c r="AC4323">
        <v>-0.51769999999998995</v>
      </c>
      <c r="AD4323">
        <v>-1.0991277197210001</v>
      </c>
      <c r="AE4323">
        <v>-17.486000000000001</v>
      </c>
      <c r="AF4323">
        <v>8.0702931749823694</v>
      </c>
      <c r="AG4323">
        <v>-1.0991277197210001</v>
      </c>
      <c r="AH4323">
        <v>15.443336623376601</v>
      </c>
      <c r="AI4323">
        <v>93.609325994006795</v>
      </c>
      <c r="AJ4323">
        <v>62.409581466803701</v>
      </c>
      <c r="AK4323">
        <v>17.459506285612701</v>
      </c>
      <c r="AL4323">
        <v>94.310163484523102</v>
      </c>
      <c r="AM4323">
        <v>81.1041601591984</v>
      </c>
      <c r="AN4323">
        <v>0.99999996546488501</v>
      </c>
    </row>
    <row r="4324" spans="1:40" x14ac:dyDescent="0.25">
      <c r="A4324" t="str">
        <f>"20190305135019943"</f>
        <v>20190305135019943</v>
      </c>
      <c r="B4324" t="str">
        <f>"1551765019934406"</f>
        <v>1551765019934406</v>
      </c>
      <c r="C4324" t="s">
        <v>40</v>
      </c>
      <c r="D4324">
        <v>4.3923079999999999</v>
      </c>
      <c r="E4324">
        <v>0.62915310000000002</v>
      </c>
      <c r="F4324" t="s">
        <v>42</v>
      </c>
      <c r="G4324">
        <v>-193.91079999999999</v>
      </c>
      <c r="H4324" s="1">
        <v>-4.9046649999999999E-6</v>
      </c>
      <c r="I4324">
        <v>189.36089999999999</v>
      </c>
      <c r="J4324">
        <v>-193.2475</v>
      </c>
      <c r="K4324">
        <v>1.099313</v>
      </c>
      <c r="L4324">
        <v>206.22620000000001</v>
      </c>
      <c r="M4324">
        <v>0.42611979999999999</v>
      </c>
      <c r="N4324">
        <v>-2.0270050000000001E-2</v>
      </c>
      <c r="O4324">
        <v>-0.90443960000000001</v>
      </c>
      <c r="P4324">
        <v>0.27942400000000001</v>
      </c>
      <c r="Q4324">
        <v>-9.2051469999999996E-2</v>
      </c>
      <c r="R4324">
        <v>-0.95574530000000002</v>
      </c>
      <c r="S4324">
        <v>-0.11465450000000001</v>
      </c>
      <c r="T4324">
        <v>-0.2045939</v>
      </c>
      <c r="U4324">
        <v>-3.1632690000000001</v>
      </c>
      <c r="V4324">
        <v>0.15260479999999901</v>
      </c>
      <c r="W4324">
        <v>-7.6168059999999996E-2</v>
      </c>
      <c r="X4324">
        <v>0.98534770000000005</v>
      </c>
      <c r="Y4324">
        <v>0.4582156</v>
      </c>
      <c r="Z4324">
        <v>3.1282259999999999E-2</v>
      </c>
      <c r="AA4324">
        <v>0.88829049999999998</v>
      </c>
      <c r="AB4324">
        <v>21</v>
      </c>
      <c r="AC4324">
        <v>-0.66329999999999201</v>
      </c>
      <c r="AD4324">
        <v>-1.0993179046649999</v>
      </c>
      <c r="AE4324">
        <v>-16.865300000000001</v>
      </c>
      <c r="AF4324">
        <v>7.7552543485527297</v>
      </c>
      <c r="AG4324">
        <v>-1.0993179046649999</v>
      </c>
      <c r="AH4324">
        <v>14.910822736528701</v>
      </c>
      <c r="AI4324">
        <v>93.742281904078695</v>
      </c>
      <c r="AJ4324">
        <v>62.520648861544998</v>
      </c>
      <c r="AK4324">
        <v>16.842954151408399</v>
      </c>
      <c r="AL4324">
        <v>94.368339453566605</v>
      </c>
      <c r="AM4324">
        <v>81.196313618181406</v>
      </c>
      <c r="AN4324">
        <v>0.99999994412124504</v>
      </c>
    </row>
    <row r="4325" spans="1:40" x14ac:dyDescent="0.25">
      <c r="A4325" t="str">
        <f>"20190305135019956"</f>
        <v>20190305135019956</v>
      </c>
      <c r="B4325" t="str">
        <f>"1551765019945141"</f>
        <v>1551765019945141</v>
      </c>
      <c r="C4325" t="s">
        <v>40</v>
      </c>
      <c r="D4325">
        <v>4.4247449999999997</v>
      </c>
      <c r="E4325">
        <v>0.61221250000000005</v>
      </c>
      <c r="F4325" t="s">
        <v>42</v>
      </c>
      <c r="G4325">
        <v>-194.02359999999999</v>
      </c>
      <c r="H4325" s="1">
        <v>-4.9590110000000004E-6</v>
      </c>
      <c r="I4325">
        <v>189.46180000000001</v>
      </c>
      <c r="J4325">
        <v>-193.20349999999999</v>
      </c>
      <c r="K4325">
        <v>1.0994900000000001</v>
      </c>
      <c r="L4325">
        <v>206.10400000000001</v>
      </c>
      <c r="M4325">
        <v>0.41621000000000002</v>
      </c>
      <c r="N4325">
        <v>-1.9959910000000001E-2</v>
      </c>
      <c r="O4325">
        <v>-0.90904949999999995</v>
      </c>
      <c r="P4325">
        <v>0.27022940000000001</v>
      </c>
      <c r="Q4325">
        <v>-9.3022240000000006E-2</v>
      </c>
      <c r="R4325">
        <v>-0.95829189999999997</v>
      </c>
      <c r="S4325">
        <v>-0.1463776</v>
      </c>
      <c r="T4325">
        <v>-0.20733019999999999</v>
      </c>
      <c r="U4325">
        <v>-3.161743</v>
      </c>
      <c r="V4325">
        <v>0.15126919999999999</v>
      </c>
      <c r="W4325">
        <v>-7.7327809999999997E-2</v>
      </c>
      <c r="X4325">
        <v>0.98546339999999999</v>
      </c>
      <c r="Y4325">
        <v>0.45741510000000002</v>
      </c>
      <c r="Z4325">
        <v>3.2718839999999999E-2</v>
      </c>
      <c r="AA4325">
        <v>0.88865119999999898</v>
      </c>
      <c r="AB4325">
        <v>21</v>
      </c>
      <c r="AC4325">
        <v>-0.82009999999999605</v>
      </c>
      <c r="AD4325">
        <v>-1.0994949590109999</v>
      </c>
      <c r="AE4325">
        <v>-16.642199999999999</v>
      </c>
      <c r="AF4325">
        <v>7.6404215277703802</v>
      </c>
      <c r="AG4325">
        <v>-1.0994949590109999</v>
      </c>
      <c r="AH4325">
        <v>14.726074343524999</v>
      </c>
      <c r="AI4325">
        <v>93.791671873010202</v>
      </c>
      <c r="AJ4325">
        <v>62.5780781381401</v>
      </c>
      <c r="AK4325">
        <v>16.626550930903701</v>
      </c>
      <c r="AL4325">
        <v>94.434984397734894</v>
      </c>
      <c r="AM4325">
        <v>81.273181059557899</v>
      </c>
      <c r="AN4325">
        <v>1.00000003690379</v>
      </c>
    </row>
    <row r="4326" spans="1:40" x14ac:dyDescent="0.25">
      <c r="A4326" t="str">
        <f>"20190305135019968"</f>
        <v>20190305135019968</v>
      </c>
      <c r="B4326" t="str">
        <f>"1551765019964663"</f>
        <v>1551765019964663</v>
      </c>
      <c r="C4326" t="s">
        <v>40</v>
      </c>
      <c r="D4326">
        <v>4.4254360000000004</v>
      </c>
      <c r="E4326">
        <v>0.60966679999999995</v>
      </c>
      <c r="F4326" t="s">
        <v>42</v>
      </c>
      <c r="G4326">
        <v>-193.43049999999999</v>
      </c>
      <c r="H4326" s="1">
        <v>-1.8279619999999999E-6</v>
      </c>
      <c r="I4326">
        <v>191.72239999999999</v>
      </c>
      <c r="J4326">
        <v>-193.1636</v>
      </c>
      <c r="K4326">
        <v>1.099656</v>
      </c>
      <c r="L4326">
        <v>205.99039999999999</v>
      </c>
      <c r="M4326">
        <v>0.40705819999999998</v>
      </c>
      <c r="N4326">
        <v>-1.967669E-2</v>
      </c>
      <c r="O4326">
        <v>-0.91319039999999996</v>
      </c>
      <c r="P4326">
        <v>0.26249210000000001</v>
      </c>
      <c r="Q4326">
        <v>-9.3913759999999999E-2</v>
      </c>
      <c r="R4326">
        <v>-0.96035340000000002</v>
      </c>
      <c r="S4326">
        <v>-4.9270630000000003E-2</v>
      </c>
      <c r="T4326">
        <v>-0.23862829999999999</v>
      </c>
      <c r="U4326">
        <v>-3.1213069999999998</v>
      </c>
      <c r="V4326">
        <v>0.14929139999999999</v>
      </c>
      <c r="W4326">
        <v>-7.8370570000000001E-2</v>
      </c>
      <c r="X4326">
        <v>0.98568250000000002</v>
      </c>
      <c r="Y4326">
        <v>0.42101670000000002</v>
      </c>
      <c r="Z4326">
        <v>4.3075960000000003E-2</v>
      </c>
      <c r="AA4326">
        <v>0.90602950000000004</v>
      </c>
      <c r="AB4326">
        <v>21</v>
      </c>
      <c r="AC4326">
        <v>-0.26689999999999198</v>
      </c>
      <c r="AD4326">
        <v>-1.099657827962</v>
      </c>
      <c r="AE4326">
        <v>-14.267999999999899</v>
      </c>
      <c r="AF4326">
        <v>6.0170788390940002</v>
      </c>
      <c r="AG4326">
        <v>-1.099657827962</v>
      </c>
      <c r="AH4326">
        <v>12.8469723771169</v>
      </c>
      <c r="AI4326">
        <v>94.432459094881906</v>
      </c>
      <c r="AJ4326">
        <v>64.903228669057199</v>
      </c>
      <c r="AK4326">
        <v>14.2288152828293</v>
      </c>
      <c r="AL4326">
        <v>94.494912500268995</v>
      </c>
      <c r="AM4326">
        <v>81.387444935750693</v>
      </c>
      <c r="AN4326">
        <v>0.99999992958116501</v>
      </c>
    </row>
    <row r="4327" spans="1:40" x14ac:dyDescent="0.25">
      <c r="A4327" t="str">
        <f>"20190305135019983"</f>
        <v>20190305135019983</v>
      </c>
      <c r="B4327" t="str">
        <f>"1551765019974422"</f>
        <v>1551765019974422</v>
      </c>
      <c r="C4327" t="s">
        <v>40</v>
      </c>
      <c r="D4327">
        <v>4.4569289999999997</v>
      </c>
      <c r="E4327">
        <v>0.60863059999999902</v>
      </c>
      <c r="F4327" t="s">
        <v>42</v>
      </c>
      <c r="G4327">
        <v>-193.40799999999999</v>
      </c>
      <c r="H4327" s="1">
        <v>-2.0892959999999999E-6</v>
      </c>
      <c r="I4327">
        <v>192.34559999999999</v>
      </c>
      <c r="J4327">
        <v>-193.1174</v>
      </c>
      <c r="K4327">
        <v>1.099847</v>
      </c>
      <c r="L4327">
        <v>205.8536</v>
      </c>
      <c r="M4327">
        <v>0.39623360000000002</v>
      </c>
      <c r="N4327">
        <v>-1.935245E-2</v>
      </c>
      <c r="O4327">
        <v>-0.91794580000000003</v>
      </c>
      <c r="P4327">
        <v>0.25273990000000002</v>
      </c>
      <c r="Q4327">
        <v>-9.4735890000000003E-2</v>
      </c>
      <c r="R4327">
        <v>-0.96288510000000005</v>
      </c>
      <c r="S4327">
        <v>-5.5786130000000003E-2</v>
      </c>
      <c r="T4327">
        <v>-0.25100539999999999</v>
      </c>
      <c r="U4327">
        <v>-3.1145320000000001</v>
      </c>
      <c r="V4327">
        <v>0.1476152</v>
      </c>
      <c r="W4327">
        <v>-7.9386999999999999E-2</v>
      </c>
      <c r="X4327">
        <v>0.98585370000000005</v>
      </c>
      <c r="Y4327">
        <v>0.41219349999999999</v>
      </c>
      <c r="Z4327">
        <v>4.7511480000000002E-2</v>
      </c>
      <c r="AA4327">
        <v>0.90985669999999996</v>
      </c>
      <c r="AB4327">
        <v>21</v>
      </c>
      <c r="AC4327">
        <v>-0.29059999999998298</v>
      </c>
      <c r="AD4327">
        <v>-1.099849089296</v>
      </c>
      <c r="AE4327">
        <v>-13.507999999999999</v>
      </c>
      <c r="AF4327">
        <v>5.5831342756694999</v>
      </c>
      <c r="AG4327">
        <v>-1.099849089296</v>
      </c>
      <c r="AH4327">
        <v>12.2058848428386</v>
      </c>
      <c r="AI4327">
        <v>94.684500995652996</v>
      </c>
      <c r="AJ4327">
        <v>65.420012386487898</v>
      </c>
      <c r="AK4327">
        <v>13.467170495542801</v>
      </c>
      <c r="AL4327">
        <v>94.553331217627502</v>
      </c>
      <c r="AM4327">
        <v>81.484175403787404</v>
      </c>
      <c r="AN4327">
        <v>1.0000000304218599</v>
      </c>
    </row>
    <row r="4328" spans="1:40" x14ac:dyDescent="0.25">
      <c r="A4328" t="str">
        <f>"20190305135019996"</f>
        <v>20190305135019996</v>
      </c>
      <c r="B4328" t="str">
        <f>"1551765019994918"</f>
        <v>1551765019994918</v>
      </c>
      <c r="C4328" t="s">
        <v>40</v>
      </c>
      <c r="D4328">
        <v>4.4482400000000002</v>
      </c>
      <c r="E4328">
        <v>0.60733559999999998</v>
      </c>
      <c r="F4328" t="s">
        <v>42</v>
      </c>
      <c r="G4328">
        <v>-193.45269999999999</v>
      </c>
      <c r="H4328" s="1">
        <v>-2.3231709999999999E-6</v>
      </c>
      <c r="I4328">
        <v>192.863</v>
      </c>
      <c r="J4328">
        <v>-193.07509999999999</v>
      </c>
      <c r="K4328">
        <v>1.1000209999999999</v>
      </c>
      <c r="L4328">
        <v>205.72450000000001</v>
      </c>
      <c r="M4328">
        <v>0.38612940000000001</v>
      </c>
      <c r="N4328">
        <v>-1.906101E-2</v>
      </c>
      <c r="O4328">
        <v>-0.92224790000000001</v>
      </c>
      <c r="P4328">
        <v>0.2461894</v>
      </c>
      <c r="Q4328">
        <v>-9.544598E-2</v>
      </c>
      <c r="R4328">
        <v>-0.96451100000000001</v>
      </c>
      <c r="S4328">
        <v>-8.0291749999999995E-2</v>
      </c>
      <c r="T4328">
        <v>-0.26337559999999999</v>
      </c>
      <c r="U4328">
        <v>-3.1107939999999998</v>
      </c>
      <c r="V4328">
        <v>0.14348</v>
      </c>
      <c r="W4328">
        <v>-8.0202670000000004E-2</v>
      </c>
      <c r="X4328">
        <v>0.986398</v>
      </c>
      <c r="Y4328">
        <v>0.4093541</v>
      </c>
      <c r="Z4328">
        <v>5.172591E-2</v>
      </c>
      <c r="AA4328">
        <v>0.91090819999999995</v>
      </c>
      <c r="AB4328">
        <v>21</v>
      </c>
      <c r="AC4328">
        <v>-0.37760000000000099</v>
      </c>
      <c r="AD4328">
        <v>-1.1000233231709999</v>
      </c>
      <c r="AE4328">
        <v>-12.861499999999999</v>
      </c>
      <c r="AF4328">
        <v>5.2768412438831804</v>
      </c>
      <c r="AG4328">
        <v>-1.1000233231709999</v>
      </c>
      <c r="AH4328">
        <v>11.6327934626612</v>
      </c>
      <c r="AI4328">
        <v>94.921962479864206</v>
      </c>
      <c r="AJ4328">
        <v>65.600113971776295</v>
      </c>
      <c r="AK4328">
        <v>12.820958956708299</v>
      </c>
      <c r="AL4328">
        <v>94.600215320655906</v>
      </c>
      <c r="AM4328">
        <v>81.723883780349098</v>
      </c>
      <c r="AN4328">
        <v>0.99999999653956395</v>
      </c>
    </row>
    <row r="4329" spans="1:40" x14ac:dyDescent="0.25">
      <c r="A4329" t="str">
        <f>"20190305135020020"</f>
        <v>20190305135020020</v>
      </c>
      <c r="B4329" t="str">
        <f>"1551765020014438"</f>
        <v>1551765020014438</v>
      </c>
      <c r="C4329" t="s">
        <v>40</v>
      </c>
      <c r="D4329">
        <v>4.4960879999999896</v>
      </c>
      <c r="E4329">
        <v>0.586592</v>
      </c>
      <c r="F4329" t="s">
        <v>42</v>
      </c>
      <c r="G4329">
        <v>-193.45480000000001</v>
      </c>
      <c r="H4329" s="1">
        <v>-2.3182699999999999E-6</v>
      </c>
      <c r="I4329">
        <v>192.8503</v>
      </c>
      <c r="J4329">
        <v>-193.0085</v>
      </c>
      <c r="K4329">
        <v>1.1002829999999999</v>
      </c>
      <c r="L4329">
        <v>205.512</v>
      </c>
      <c r="M4329">
        <v>0.3697781</v>
      </c>
      <c r="N4329">
        <v>-1.8613810000000001E-2</v>
      </c>
      <c r="O4329">
        <v>-0.92893380000000003</v>
      </c>
      <c r="P4329">
        <v>0.23311309999999999</v>
      </c>
      <c r="Q4329">
        <v>-9.4356720000000005E-2</v>
      </c>
      <c r="R4329">
        <v>-0.96786139999999998</v>
      </c>
      <c r="S4329">
        <v>-9.1644290000000003E-2</v>
      </c>
      <c r="T4329">
        <v>-0.26551649999999999</v>
      </c>
      <c r="U4329">
        <v>-3.1074980000000001</v>
      </c>
      <c r="V4329">
        <v>0.13951820000000001</v>
      </c>
      <c r="W4329">
        <v>-7.9348879999999997E-2</v>
      </c>
      <c r="X4329">
        <v>0.9870352</v>
      </c>
      <c r="Y4329">
        <v>0.39657199999999998</v>
      </c>
      <c r="Z4329">
        <v>5.3901480000000002E-2</v>
      </c>
      <c r="AA4329">
        <v>0.91641980000000001</v>
      </c>
      <c r="AB4329">
        <v>21</v>
      </c>
      <c r="AC4329">
        <v>-0.44630000000000702</v>
      </c>
      <c r="AD4329">
        <v>-1.1002853182700001</v>
      </c>
      <c r="AE4329">
        <v>-12.6616999999999</v>
      </c>
      <c r="AF4329">
        <v>5.0593273329591701</v>
      </c>
      <c r="AG4329">
        <v>-1.1002853182700001</v>
      </c>
      <c r="AH4329">
        <v>11.5120328696967</v>
      </c>
      <c r="AI4329">
        <v>95.000630728532499</v>
      </c>
      <c r="AJ4329">
        <v>66.275391802059801</v>
      </c>
      <c r="AK4329">
        <v>12.6227699668736</v>
      </c>
      <c r="AL4329">
        <v>94.551140195111898</v>
      </c>
      <c r="AM4329">
        <v>81.954497233785006</v>
      </c>
      <c r="AN4329">
        <v>1.0000000294637601</v>
      </c>
    </row>
    <row r="4330" spans="1:40" x14ac:dyDescent="0.25">
      <c r="A4330" t="str">
        <f>"20190305135020034"</f>
        <v>20190305135020034</v>
      </c>
      <c r="B4330" t="str">
        <f>"1551765020025175"</f>
        <v>1551765020025175</v>
      </c>
      <c r="C4330" t="s">
        <v>40</v>
      </c>
      <c r="D4330">
        <v>4.4816690000000001</v>
      </c>
      <c r="E4330">
        <v>0.58571759999999995</v>
      </c>
      <c r="F4330" t="s">
        <v>42</v>
      </c>
      <c r="G4330">
        <v>-192.70769999999999</v>
      </c>
      <c r="H4330" s="1">
        <v>-1.903642E-6</v>
      </c>
      <c r="I4330">
        <v>182.34710000000001</v>
      </c>
      <c r="J4330">
        <v>-192.96600000000001</v>
      </c>
      <c r="K4330">
        <v>1.10043</v>
      </c>
      <c r="L4330">
        <v>205.37039999999999</v>
      </c>
      <c r="M4330">
        <v>0.3590467</v>
      </c>
      <c r="N4330">
        <v>-1.8336120000000001E-2</v>
      </c>
      <c r="O4330">
        <v>-0.93313959999999996</v>
      </c>
      <c r="P4330">
        <v>0.22381960000000001</v>
      </c>
      <c r="Q4330">
        <v>-9.3778539999999994E-2</v>
      </c>
      <c r="R4330">
        <v>-0.97010859999999999</v>
      </c>
      <c r="S4330">
        <v>3.9932250000000002E-2</v>
      </c>
      <c r="T4330">
        <v>-0.14609240000000001</v>
      </c>
      <c r="U4330">
        <v>-3.0757599999999998</v>
      </c>
      <c r="V4330">
        <v>0.1376675</v>
      </c>
      <c r="W4330">
        <v>-7.894118E-2</v>
      </c>
      <c r="X4330">
        <v>0.98732770000000003</v>
      </c>
      <c r="Y4330">
        <v>0.34673700000000002</v>
      </c>
      <c r="Z4330">
        <v>2.295094E-2</v>
      </c>
      <c r="AA4330">
        <v>0.9376816</v>
      </c>
      <c r="AB4330">
        <v>21</v>
      </c>
      <c r="AC4330">
        <v>0.25829999999999098</v>
      </c>
      <c r="AD4330">
        <v>-1.1004319036420001</v>
      </c>
      <c r="AE4330">
        <v>-23.0232999999999</v>
      </c>
      <c r="AF4330">
        <v>8.0084653158705699</v>
      </c>
      <c r="AG4330">
        <v>-1.1004319036420001</v>
      </c>
      <c r="AH4330">
        <v>21.531138319161201</v>
      </c>
      <c r="AI4330">
        <v>92.742520839208595</v>
      </c>
      <c r="AJ4330">
        <v>69.597412744566995</v>
      </c>
      <c r="AK4330">
        <v>22.998617010787999</v>
      </c>
      <c r="AL4330">
        <v>94.527707247935595</v>
      </c>
      <c r="AM4330">
        <v>82.062172501507305</v>
      </c>
      <c r="AN4330">
        <v>1.00000001882166</v>
      </c>
    </row>
    <row r="4331" spans="1:40" x14ac:dyDescent="0.25">
      <c r="A4331" t="str">
        <f>"20190305135020046"</f>
        <v>20190305135020046</v>
      </c>
      <c r="B4331" t="str">
        <f>"1551765020034935"</f>
        <v>1551765020034935</v>
      </c>
      <c r="C4331" t="s">
        <v>40</v>
      </c>
      <c r="D4331">
        <v>4.489096</v>
      </c>
      <c r="E4331">
        <v>0.58529519999999902</v>
      </c>
      <c r="F4331" t="s">
        <v>42</v>
      </c>
      <c r="G4331">
        <v>-192.82300000000001</v>
      </c>
      <c r="H4331" s="1">
        <v>-1.27347E-6</v>
      </c>
      <c r="I4331">
        <v>180.80670000000001</v>
      </c>
      <c r="J4331">
        <v>-192.93100000000001</v>
      </c>
      <c r="K4331">
        <v>1.100535</v>
      </c>
      <c r="L4331">
        <v>205.24979999999999</v>
      </c>
      <c r="M4331">
        <v>0.35001769999999999</v>
      </c>
      <c r="N4331">
        <v>-1.811275E-2</v>
      </c>
      <c r="O4331">
        <v>-0.93656799999999996</v>
      </c>
      <c r="P4331">
        <v>0.2166835</v>
      </c>
      <c r="Q4331">
        <v>-9.2850180000000004E-2</v>
      </c>
      <c r="R4331">
        <v>-0.97181669999999998</v>
      </c>
      <c r="S4331">
        <v>1.7898560000000001E-2</v>
      </c>
      <c r="T4331">
        <v>-0.13775589999999999</v>
      </c>
      <c r="U4331">
        <v>-3.0749659999999999</v>
      </c>
      <c r="V4331">
        <v>0.13546069999999999</v>
      </c>
      <c r="W4331">
        <v>-7.8135739999999995E-2</v>
      </c>
      <c r="X4331">
        <v>0.98769689999999999</v>
      </c>
      <c r="Y4331">
        <v>0.3444064</v>
      </c>
      <c r="Z4331">
        <v>2.105754E-2</v>
      </c>
      <c r="AA4331">
        <v>0.93858450000000004</v>
      </c>
      <c r="AB4331">
        <v>21</v>
      </c>
      <c r="AC4331">
        <v>0.108000000000004</v>
      </c>
      <c r="AD4331">
        <v>-1.1005362734699999</v>
      </c>
      <c r="AE4331">
        <v>-24.443099999999902</v>
      </c>
      <c r="AF4331">
        <v>8.4386486415657096</v>
      </c>
      <c r="AG4331">
        <v>-1.1005362734699999</v>
      </c>
      <c r="AH4331">
        <v>22.887791427720298</v>
      </c>
      <c r="AI4331">
        <v>92.5831615637222</v>
      </c>
      <c r="AJ4331">
        <v>69.761245868067903</v>
      </c>
      <c r="AK4331">
        <v>24.4187011821647</v>
      </c>
      <c r="AL4331">
        <v>94.481416116188896</v>
      </c>
      <c r="AM4331">
        <v>82.190715721622993</v>
      </c>
      <c r="AN4331">
        <v>0.99999998068972296</v>
      </c>
    </row>
    <row r="4332" spans="1:40" x14ac:dyDescent="0.25">
      <c r="A4332" t="str">
        <f>"20190305135020063"</f>
        <v>20190305135020063</v>
      </c>
      <c r="B4332" t="str">
        <f>"1551765020054718"</f>
        <v>1551765020054718</v>
      </c>
      <c r="C4332" t="s">
        <v>40</v>
      </c>
      <c r="D4332">
        <v>4.4774209999999997</v>
      </c>
      <c r="E4332">
        <v>0.58261470000000004</v>
      </c>
      <c r="F4332" t="s">
        <v>42</v>
      </c>
      <c r="G4332">
        <v>-192.93960000000001</v>
      </c>
      <c r="H4332" s="1">
        <v>-4.6361439999999999E-6</v>
      </c>
      <c r="I4332">
        <v>179.078</v>
      </c>
      <c r="J4332">
        <v>-192.8887</v>
      </c>
      <c r="K4332">
        <v>1.1006530000000001</v>
      </c>
      <c r="L4332">
        <v>205.09719999999999</v>
      </c>
      <c r="M4332">
        <v>0.33874199999999999</v>
      </c>
      <c r="N4332">
        <v>-1.7850810000000002E-2</v>
      </c>
      <c r="O4332">
        <v>-0.94071000000000005</v>
      </c>
      <c r="P4332">
        <v>0.20948410000000001</v>
      </c>
      <c r="Q4332">
        <v>-9.1824500000000003E-2</v>
      </c>
      <c r="R4332">
        <v>-0.97349110000000005</v>
      </c>
      <c r="S4332">
        <v>-1.00708E-3</v>
      </c>
      <c r="T4332">
        <v>-0.1292999</v>
      </c>
      <c r="U4332">
        <v>-3.0748600000000001</v>
      </c>
      <c r="V4332">
        <v>0.1309863</v>
      </c>
      <c r="W4332">
        <v>-7.7212100000000006E-2</v>
      </c>
      <c r="X4332">
        <v>0.9883729</v>
      </c>
      <c r="Y4332">
        <v>0.33890989999999999</v>
      </c>
      <c r="Z4332">
        <v>1.9202090000000002E-2</v>
      </c>
      <c r="AA4332">
        <v>0.94062290000000004</v>
      </c>
      <c r="AB4332">
        <v>21</v>
      </c>
      <c r="AC4332">
        <v>-5.0900000000012803E-2</v>
      </c>
      <c r="AD4332">
        <v>-1.1006576361439999</v>
      </c>
      <c r="AE4332">
        <v>-26.019199999999898</v>
      </c>
      <c r="AF4332">
        <v>8.84725822295988</v>
      </c>
      <c r="AG4332">
        <v>-1.1006576361439999</v>
      </c>
      <c r="AH4332">
        <v>24.419479413864099</v>
      </c>
      <c r="AI4332">
        <v>92.426592137159403</v>
      </c>
      <c r="AJ4332">
        <v>70.084380582822206</v>
      </c>
      <c r="AK4332">
        <v>25.996084323218099</v>
      </c>
      <c r="AL4332">
        <v>94.428334745227005</v>
      </c>
      <c r="AM4332">
        <v>82.450742275582996</v>
      </c>
      <c r="AN4332">
        <v>1.00000005431425</v>
      </c>
    </row>
    <row r="4333" spans="1:40" x14ac:dyDescent="0.25">
      <c r="A4333" t="str">
        <f>"20190305135020077"</f>
        <v>20190305135020077</v>
      </c>
      <c r="B4333" t="str">
        <f>"1551765020064474"</f>
        <v>1551765020064474</v>
      </c>
      <c r="C4333" t="s">
        <v>40</v>
      </c>
      <c r="D4333">
        <v>4.3257269999999997</v>
      </c>
      <c r="E4333">
        <v>0.58261470000000004</v>
      </c>
      <c r="F4333" t="s">
        <v>42</v>
      </c>
      <c r="G4333">
        <v>-192.91589999999999</v>
      </c>
      <c r="H4333" s="1">
        <v>-4.6565560000000001E-6</v>
      </c>
      <c r="I4333">
        <v>179.15029999999999</v>
      </c>
      <c r="J4333">
        <v>-192.85470000000001</v>
      </c>
      <c r="K4333">
        <v>1.100751</v>
      </c>
      <c r="L4333">
        <v>204.96979999999999</v>
      </c>
      <c r="M4333">
        <v>0.32941290000000001</v>
      </c>
      <c r="N4333">
        <v>-1.7645770000000002E-2</v>
      </c>
      <c r="O4333">
        <v>-0.9440212</v>
      </c>
      <c r="P4333">
        <v>0.20174349999999999</v>
      </c>
      <c r="Q4333">
        <v>-9.1180940000000002E-2</v>
      </c>
      <c r="R4333">
        <v>-0.97518510000000003</v>
      </c>
      <c r="S4333">
        <v>-3.219604E-3</v>
      </c>
      <c r="T4333">
        <v>-0.13023189999999901</v>
      </c>
      <c r="U4333">
        <v>-3.070084</v>
      </c>
      <c r="V4333">
        <v>0.12910379999999999</v>
      </c>
      <c r="W4333">
        <v>-7.6692150000000001E-2</v>
      </c>
      <c r="X4333">
        <v>0.98866100000000001</v>
      </c>
      <c r="Y4333">
        <v>0.33026680000000003</v>
      </c>
      <c r="Z4333">
        <v>2.00048E-2</v>
      </c>
      <c r="AA4333">
        <v>0.94367559999999995</v>
      </c>
      <c r="AB4333">
        <v>21</v>
      </c>
      <c r="AC4333">
        <v>-6.1199999999985197E-2</v>
      </c>
      <c r="AD4333">
        <v>-1.1007556565559999</v>
      </c>
      <c r="AE4333">
        <v>-25.819500000000001</v>
      </c>
      <c r="AF4333">
        <v>8.5488449679758496</v>
      </c>
      <c r="AG4333">
        <v>-1.1007556565559999</v>
      </c>
      <c r="AH4333">
        <v>24.313593731344799</v>
      </c>
      <c r="AI4333">
        <v>92.445621685595995</v>
      </c>
      <c r="AJ4333">
        <v>70.627936885071506</v>
      </c>
      <c r="AK4333">
        <v>25.7962255656678</v>
      </c>
      <c r="AL4333">
        <v>94.3984553360809</v>
      </c>
      <c r="AM4333">
        <v>82.560157651428796</v>
      </c>
      <c r="AN4333">
        <v>1.0000000249835299</v>
      </c>
    </row>
    <row r="4334" spans="1:40" x14ac:dyDescent="0.25">
      <c r="A4334" t="str">
        <f>"20190305135020089"</f>
        <v>20190305135020089</v>
      </c>
      <c r="B4334" t="str">
        <f>"1551765020084971"</f>
        <v>1551765020084971</v>
      </c>
      <c r="C4334" t="s">
        <v>40</v>
      </c>
      <c r="D4334">
        <v>4.2943530000000001</v>
      </c>
      <c r="E4334">
        <v>0.58246239999999905</v>
      </c>
      <c r="F4334" t="s">
        <v>42</v>
      </c>
      <c r="G4334">
        <v>-193.0925</v>
      </c>
      <c r="H4334" s="1">
        <v>-4.5540160000000004E-6</v>
      </c>
      <c r="I4334">
        <v>178.75700000000001</v>
      </c>
      <c r="J4334">
        <v>-192.822</v>
      </c>
      <c r="K4334">
        <v>1.1008420000000001</v>
      </c>
      <c r="L4334">
        <v>204.84399999999999</v>
      </c>
      <c r="M4334">
        <v>0.32026329999999997</v>
      </c>
      <c r="N4334">
        <v>-1.7453380000000001E-2</v>
      </c>
      <c r="O4334">
        <v>-0.9471678</v>
      </c>
      <c r="P4334">
        <v>0.19465489999999999</v>
      </c>
      <c r="Q4334">
        <v>-9.0416940000000001E-2</v>
      </c>
      <c r="R4334">
        <v>-0.97669570000000006</v>
      </c>
      <c r="S4334">
        <v>-2.784729E-2</v>
      </c>
      <c r="T4334">
        <v>-0.1289217</v>
      </c>
      <c r="U4334">
        <v>-3.070068</v>
      </c>
      <c r="V4334">
        <v>0.1267741</v>
      </c>
      <c r="W4334">
        <v>-7.6030819999999999E-2</v>
      </c>
      <c r="X4334">
        <v>0.98901349999999999</v>
      </c>
      <c r="Y4334">
        <v>0.32870759999999899</v>
      </c>
      <c r="Z4334">
        <v>2.0003130000000001E-2</v>
      </c>
      <c r="AA4334">
        <v>0.9442199</v>
      </c>
      <c r="AB4334">
        <v>21</v>
      </c>
      <c r="AC4334">
        <v>-0.27049999999999802</v>
      </c>
      <c r="AD4334">
        <v>-1.100846554016</v>
      </c>
      <c r="AE4334">
        <v>-26.087</v>
      </c>
      <c r="AF4334">
        <v>8.5969218363295195</v>
      </c>
      <c r="AG4334">
        <v>-1.100846554016</v>
      </c>
      <c r="AH4334">
        <v>24.582115572088099</v>
      </c>
      <c r="AI4334">
        <v>92.420561136945807</v>
      </c>
      <c r="AJ4334">
        <v>70.724113370881099</v>
      </c>
      <c r="AK4334">
        <v>26.065289835237699</v>
      </c>
      <c r="AL4334">
        <v>94.360452934545606</v>
      </c>
      <c r="AM4334">
        <v>82.695523013989799</v>
      </c>
      <c r="AN4334">
        <v>1.00000003060146</v>
      </c>
    </row>
    <row r="4335" spans="1:40" x14ac:dyDescent="0.25">
      <c r="A4335" t="str">
        <f>"20190305135020101"</f>
        <v>20190305135020101</v>
      </c>
      <c r="B4335" t="str">
        <f>"1551765020094731"</f>
        <v>1551765020094731</v>
      </c>
      <c r="C4335" t="s">
        <v>40</v>
      </c>
      <c r="D4335">
        <v>4.319553</v>
      </c>
      <c r="E4335">
        <v>0.58342959999999899</v>
      </c>
      <c r="F4335" t="s">
        <v>42</v>
      </c>
      <c r="G4335">
        <v>-193.30699999999999</v>
      </c>
      <c r="H4335" s="1">
        <v>-2.448442E-6</v>
      </c>
      <c r="I4335">
        <v>173.24539999999999</v>
      </c>
      <c r="J4335">
        <v>-192.79300000000001</v>
      </c>
      <c r="K4335">
        <v>1.100932</v>
      </c>
      <c r="L4335">
        <v>204.72559999999999</v>
      </c>
      <c r="M4335">
        <v>0.31177519999999997</v>
      </c>
      <c r="N4335">
        <v>-1.7285499999999999E-2</v>
      </c>
      <c r="O4335">
        <v>-0.94999880000000003</v>
      </c>
      <c r="P4335">
        <v>0.1880706</v>
      </c>
      <c r="Q4335">
        <v>-8.9467710000000006E-2</v>
      </c>
      <c r="R4335">
        <v>-0.97807219999999995</v>
      </c>
      <c r="S4335">
        <v>-4.71344E-2</v>
      </c>
      <c r="T4335">
        <v>-0.1069913</v>
      </c>
      <c r="U4335">
        <v>-3.071075</v>
      </c>
      <c r="V4335">
        <v>0.12465030000000001</v>
      </c>
      <c r="W4335">
        <v>-7.5166880000000005E-2</v>
      </c>
      <c r="X4335">
        <v>0.98934940000000005</v>
      </c>
      <c r="Y4335">
        <v>0.32620959999999899</v>
      </c>
      <c r="Z4335">
        <v>1.393527E-2</v>
      </c>
      <c r="AA4335">
        <v>0.94519470000000005</v>
      </c>
      <c r="AB4335">
        <v>21</v>
      </c>
      <c r="AC4335">
        <v>-0.51400000000001</v>
      </c>
      <c r="AD4335">
        <v>-1.1009344484420001</v>
      </c>
      <c r="AE4335">
        <v>-31.4802</v>
      </c>
      <c r="AF4335">
        <v>10.2919987494171</v>
      </c>
      <c r="AG4335">
        <v>-1.1009344484420001</v>
      </c>
      <c r="AH4335">
        <v>29.714008065149599</v>
      </c>
      <c r="AI4335">
        <v>92.005127912535997</v>
      </c>
      <c r="AJ4335">
        <v>70.895521911767105</v>
      </c>
      <c r="AK4335">
        <v>31.465212063698999</v>
      </c>
      <c r="AL4335">
        <v>94.310810906873797</v>
      </c>
      <c r="AM4335">
        <v>82.819016655188904</v>
      </c>
      <c r="AN4335">
        <v>0.99999999620969204</v>
      </c>
    </row>
    <row r="4336" spans="1:40" x14ac:dyDescent="0.25">
      <c r="A4336" t="str">
        <f>"20190305135020114"</f>
        <v>20190305135020114</v>
      </c>
      <c r="B4336" t="str">
        <f>"1551765020104491"</f>
        <v>1551765020104491</v>
      </c>
      <c r="C4336" t="s">
        <v>40</v>
      </c>
      <c r="D4336">
        <v>4.2994469999999998</v>
      </c>
      <c r="E4336">
        <v>0.58404650000000002</v>
      </c>
      <c r="F4336" t="s">
        <v>42</v>
      </c>
      <c r="G4336">
        <v>-193.75049999999999</v>
      </c>
      <c r="H4336" s="1">
        <v>-3.4404729999999998E-6</v>
      </c>
      <c r="I4336">
        <v>164.75880000000001</v>
      </c>
      <c r="J4336">
        <v>-192.76480000000001</v>
      </c>
      <c r="K4336">
        <v>1.1009949999999999</v>
      </c>
      <c r="L4336">
        <v>204.60830000000001</v>
      </c>
      <c r="M4336">
        <v>0.30336459999999998</v>
      </c>
      <c r="N4336">
        <v>-1.7084809999999999E-2</v>
      </c>
      <c r="O4336">
        <v>-0.9527215</v>
      </c>
      <c r="P4336">
        <v>0.18131359999999999</v>
      </c>
      <c r="Q4336">
        <v>-8.8393490000000005E-2</v>
      </c>
      <c r="R4336">
        <v>-0.97944489999999995</v>
      </c>
      <c r="S4336">
        <v>-7.3638919999999997E-2</v>
      </c>
      <c r="T4336">
        <v>-8.4667919999999994E-2</v>
      </c>
      <c r="U4336">
        <v>-3.0736690000000002</v>
      </c>
      <c r="V4336">
        <v>0.1227992</v>
      </c>
      <c r="W4336">
        <v>-7.4221270000000006E-2</v>
      </c>
      <c r="X4336">
        <v>0.98965230000000004</v>
      </c>
      <c r="Y4336">
        <v>0.32601390000000002</v>
      </c>
      <c r="Z4336">
        <v>7.6850349999999998E-3</v>
      </c>
      <c r="AA4336">
        <v>0.94533370000000005</v>
      </c>
      <c r="AB4336">
        <v>21</v>
      </c>
      <c r="AC4336">
        <v>-0.98569999999998004</v>
      </c>
      <c r="AD4336">
        <v>-1.100998440473</v>
      </c>
      <c r="AE4336">
        <v>-39.849499999999999</v>
      </c>
      <c r="AF4336">
        <v>13.019992697470199</v>
      </c>
      <c r="AG4336">
        <v>-1.100998440473</v>
      </c>
      <c r="AH4336">
        <v>37.643225436556897</v>
      </c>
      <c r="AI4336">
        <v>91.583340279359405</v>
      </c>
      <c r="AJ4336">
        <v>70.920583231718197</v>
      </c>
      <c r="AK4336">
        <v>39.846515891298999</v>
      </c>
      <c r="AL4336">
        <v>94.256479405911904</v>
      </c>
      <c r="AM4336">
        <v>82.926711493305305</v>
      </c>
      <c r="AN4336">
        <v>1.00000005766817</v>
      </c>
    </row>
    <row r="4337" spans="1:40" x14ac:dyDescent="0.25">
      <c r="A4337" t="str">
        <f>"20190305135020126"</f>
        <v>20190305135020126</v>
      </c>
      <c r="B4337" t="str">
        <f>"1551765020114250"</f>
        <v>1551765020114250</v>
      </c>
      <c r="C4337" t="s">
        <v>40</v>
      </c>
      <c r="D4337">
        <v>4.3248230000000003</v>
      </c>
      <c r="E4337">
        <v>0.58454419999999996</v>
      </c>
      <c r="F4337" t="s">
        <v>94</v>
      </c>
      <c r="G4337">
        <v>-194.39680000000001</v>
      </c>
      <c r="H4337" s="1">
        <v>-1.2976609999999999E-5</v>
      </c>
      <c r="I4337">
        <v>153.62430000000001</v>
      </c>
      <c r="J4337">
        <v>-192.73779999999999</v>
      </c>
      <c r="K4337">
        <v>1.101027</v>
      </c>
      <c r="L4337">
        <v>204.49160000000001</v>
      </c>
      <c r="M4337">
        <v>0.2950238</v>
      </c>
      <c r="N4337">
        <v>-1.6833689999999998E-2</v>
      </c>
      <c r="O4337">
        <v>-0.95534160000000001</v>
      </c>
      <c r="P4337">
        <v>0.1747686</v>
      </c>
      <c r="Q4337">
        <v>-8.6851780000000003E-2</v>
      </c>
      <c r="R4337">
        <v>-0.98077179999999997</v>
      </c>
      <c r="S4337">
        <v>-9.8434450000000007E-2</v>
      </c>
      <c r="T4337">
        <v>-6.6409350000000006E-2</v>
      </c>
      <c r="U4337">
        <v>-3.0751949999999999</v>
      </c>
      <c r="V4337">
        <v>0.120838</v>
      </c>
      <c r="W4337">
        <v>-7.2860250000000001E-2</v>
      </c>
      <c r="X4337">
        <v>0.98999470000000001</v>
      </c>
      <c r="Y4337">
        <v>0.32537450000000001</v>
      </c>
      <c r="Z4337">
        <v>2.6395379999999999E-3</v>
      </c>
      <c r="AA4337">
        <v>0.94558160000000002</v>
      </c>
      <c r="AB4337">
        <v>21</v>
      </c>
      <c r="AC4337">
        <v>-1.65900000000002</v>
      </c>
      <c r="AD4337">
        <v>-1.1010399766100001</v>
      </c>
      <c r="AE4337">
        <v>-50.8673</v>
      </c>
      <c r="AF4337">
        <v>16.586564420530301</v>
      </c>
      <c r="AG4337">
        <v>-1.1010399766100001</v>
      </c>
      <c r="AH4337">
        <v>48.090513555470402</v>
      </c>
      <c r="AI4337">
        <v>91.239914070447497</v>
      </c>
      <c r="AJ4337">
        <v>70.9705301862504</v>
      </c>
      <c r="AK4337">
        <v>50.882451811360099</v>
      </c>
      <c r="AL4337">
        <v>94.1782873318908</v>
      </c>
      <c r="AM4337">
        <v>83.040944228412698</v>
      </c>
      <c r="AN4337">
        <v>0.99999997215107495</v>
      </c>
    </row>
    <row r="4338" spans="1:40" x14ac:dyDescent="0.25">
      <c r="A4338" t="str">
        <f>"20190305135020142"</f>
        <v>20190305135020142</v>
      </c>
      <c r="B4338" t="str">
        <f>"1551765020134750"</f>
        <v>1551765020134750</v>
      </c>
      <c r="C4338" t="s">
        <v>40</v>
      </c>
      <c r="D4338">
        <v>4.3254839999999897</v>
      </c>
      <c r="E4338">
        <v>0.58811709999999995</v>
      </c>
      <c r="F4338" t="s">
        <v>94</v>
      </c>
      <c r="G4338">
        <v>-195.44220000000001</v>
      </c>
      <c r="H4338" s="1">
        <v>-7.7251509999999995E-6</v>
      </c>
      <c r="I4338">
        <v>136.13749999999999</v>
      </c>
      <c r="J4338">
        <v>-192.70480000000001</v>
      </c>
      <c r="K4338">
        <v>1.101062</v>
      </c>
      <c r="L4338">
        <v>204.3416</v>
      </c>
      <c r="M4338">
        <v>0.28443190000000002</v>
      </c>
      <c r="N4338">
        <v>-1.650399E-2</v>
      </c>
      <c r="O4338">
        <v>-0.95855429999999997</v>
      </c>
      <c r="P4338">
        <v>0.16781579999999999</v>
      </c>
      <c r="Q4338">
        <v>-8.6730440000000006E-2</v>
      </c>
      <c r="R4338">
        <v>-0.98199590000000003</v>
      </c>
      <c r="S4338">
        <v>-0.1217041</v>
      </c>
      <c r="T4338">
        <v>-4.955006E-2</v>
      </c>
      <c r="U4338">
        <v>-3.0761569999999998</v>
      </c>
      <c r="V4338">
        <v>0.11690879999999999</v>
      </c>
      <c r="W4338">
        <v>-7.2951290000000002E-2</v>
      </c>
      <c r="X4338">
        <v>0.99045970000000005</v>
      </c>
      <c r="Y4338">
        <v>0.32205919999999999</v>
      </c>
      <c r="Z4338">
        <v>-1.9280460000000001E-3</v>
      </c>
      <c r="AA4338">
        <v>0.94671760000000005</v>
      </c>
      <c r="AB4338">
        <v>21</v>
      </c>
      <c r="AC4338">
        <v>-2.7374000000000001</v>
      </c>
      <c r="AD4338">
        <v>-1.101069725151</v>
      </c>
      <c r="AE4338">
        <v>-68.204099999999997</v>
      </c>
      <c r="AF4338">
        <v>22.020635912941099</v>
      </c>
      <c r="AG4338">
        <v>-1.101069725151</v>
      </c>
      <c r="AH4338">
        <v>64.590714863061194</v>
      </c>
      <c r="AI4338">
        <v>90.924384738759002</v>
      </c>
      <c r="AJ4338">
        <v>71.1744364563651</v>
      </c>
      <c r="AK4338">
        <v>68.250137048003296</v>
      </c>
      <c r="AL4338">
        <v>94.183517392554194</v>
      </c>
      <c r="AM4338">
        <v>83.268246548880001</v>
      </c>
      <c r="AN4338">
        <v>0.99999998777709698</v>
      </c>
    </row>
    <row r="4339" spans="1:40" x14ac:dyDescent="0.25">
      <c r="A4339" t="str">
        <f>"20190305135020156"</f>
        <v>20190305135020156</v>
      </c>
      <c r="B4339" t="str">
        <f>"1551765020144506"</f>
        <v>1551765020144506</v>
      </c>
      <c r="C4339" t="s">
        <v>40</v>
      </c>
      <c r="D4339">
        <v>4.3210559999999996</v>
      </c>
      <c r="E4339">
        <v>0.58727119999999999</v>
      </c>
      <c r="F4339" t="s">
        <v>65</v>
      </c>
      <c r="G4339">
        <v>-207.28800000000001</v>
      </c>
      <c r="H4339">
        <v>10.178940000000001</v>
      </c>
      <c r="I4339">
        <v>-81.818539999999999</v>
      </c>
      <c r="J4339">
        <v>-192.67789999999999</v>
      </c>
      <c r="K4339">
        <v>1.101111</v>
      </c>
      <c r="L4339">
        <v>204.21430000000001</v>
      </c>
      <c r="M4339">
        <v>0.27553299999999997</v>
      </c>
      <c r="N4339">
        <v>-1.6253879999999998E-2</v>
      </c>
      <c r="O4339">
        <v>-0.96115430000000002</v>
      </c>
      <c r="P4339">
        <v>0.16100539999999999</v>
      </c>
      <c r="Q4339">
        <v>-8.7558979999999995E-2</v>
      </c>
      <c r="R4339">
        <v>-0.98306199999999999</v>
      </c>
      <c r="S4339">
        <v>-0.15750120000000001</v>
      </c>
      <c r="T4339">
        <v>9.8043080000000005E-2</v>
      </c>
      <c r="U4339">
        <v>-3.0905909999999999</v>
      </c>
      <c r="V4339">
        <v>0.1145629</v>
      </c>
      <c r="W4339">
        <v>-7.3952909999999997E-2</v>
      </c>
      <c r="X4339">
        <v>0.99065950000000003</v>
      </c>
      <c r="Y4339">
        <v>0.3241212</v>
      </c>
      <c r="Z4339">
        <v>-4.5345160000000002E-2</v>
      </c>
      <c r="AA4339">
        <v>0.9449282</v>
      </c>
      <c r="AB4339">
        <v>21</v>
      </c>
      <c r="AC4339">
        <v>-14.6100999999999</v>
      </c>
      <c r="AD4339">
        <v>9.0778289999999995</v>
      </c>
      <c r="AE4339">
        <v>-286.032839999999</v>
      </c>
      <c r="AF4339">
        <v>92.773103605513199</v>
      </c>
      <c r="AG4339">
        <v>9.0778289999999995</v>
      </c>
      <c r="AH4339">
        <v>270.65998207956102</v>
      </c>
      <c r="AI4339">
        <v>88.182755553100293</v>
      </c>
      <c r="AJ4339">
        <v>71.080016363006706</v>
      </c>
      <c r="AK4339">
        <v>286.26226022872999</v>
      </c>
      <c r="AL4339">
        <v>94.2410615197102</v>
      </c>
      <c r="AM4339">
        <v>83.403442315923002</v>
      </c>
      <c r="AN4339">
        <v>0.99999996794706303</v>
      </c>
    </row>
    <row r="4340" spans="1:40" x14ac:dyDescent="0.25">
      <c r="A4340" t="str">
        <f>"20190305135020167"</f>
        <v>20190305135020167</v>
      </c>
      <c r="B4340" t="str">
        <f>"1551765020165003"</f>
        <v>1551765020165003</v>
      </c>
      <c r="C4340" t="s">
        <v>40</v>
      </c>
      <c r="D4340">
        <v>4.3259259999999999</v>
      </c>
      <c r="E4340">
        <v>0.58601579999999998</v>
      </c>
      <c r="F4340" t="s">
        <v>65</v>
      </c>
      <c r="G4340">
        <v>-208.6815</v>
      </c>
      <c r="H4340">
        <v>9.1706990000000008</v>
      </c>
      <c r="I4340">
        <v>-81.818209999999993</v>
      </c>
      <c r="J4340">
        <v>-192.65299999999999</v>
      </c>
      <c r="K4340">
        <v>1.1011839999999999</v>
      </c>
      <c r="L4340">
        <v>204.09200000000001</v>
      </c>
      <c r="M4340">
        <v>0.26706279999999999</v>
      </c>
      <c r="N4340">
        <v>-1.6049850000000001E-2</v>
      </c>
      <c r="O4340">
        <v>-0.9635456</v>
      </c>
      <c r="P4340">
        <v>0.1545059</v>
      </c>
      <c r="Q4340">
        <v>-8.8747199999999998E-2</v>
      </c>
      <c r="R4340">
        <v>-0.98399809999999999</v>
      </c>
      <c r="S4340">
        <v>-0.17276</v>
      </c>
      <c r="T4340">
        <v>8.7111709999999995E-2</v>
      </c>
      <c r="U4340">
        <v>-3.0877379999999999</v>
      </c>
      <c r="V4340">
        <v>0.11234959999999999</v>
      </c>
      <c r="W4340">
        <v>-7.5269210000000003E-2</v>
      </c>
      <c r="X4340">
        <v>0.99081390000000003</v>
      </c>
      <c r="Y4340">
        <v>0.320492</v>
      </c>
      <c r="Z4340">
        <v>-4.2058739999999997E-2</v>
      </c>
      <c r="AA4340">
        <v>0.94631699999999996</v>
      </c>
      <c r="AB4340">
        <v>21</v>
      </c>
      <c r="AC4340">
        <v>-16.028500000000001</v>
      </c>
      <c r="AD4340">
        <v>8.0695149999999902</v>
      </c>
      <c r="AE4340">
        <v>-285.91021000000001</v>
      </c>
      <c r="AF4340">
        <v>91.739136340578995</v>
      </c>
      <c r="AG4340">
        <v>8.0695149999999902</v>
      </c>
      <c r="AH4340">
        <v>271.02659035000499</v>
      </c>
      <c r="AI4340">
        <v>88.384568154134897</v>
      </c>
      <c r="AJ4340">
        <v>71.299678179632295</v>
      </c>
      <c r="AK4340">
        <v>286.24569671106002</v>
      </c>
      <c r="AL4340">
        <v>94.316690470669101</v>
      </c>
      <c r="AM4340">
        <v>83.530793144827101</v>
      </c>
      <c r="AN4340">
        <v>1.00000003551369</v>
      </c>
    </row>
    <row r="4341" spans="1:40" x14ac:dyDescent="0.25">
      <c r="A4341" t="str">
        <f>"20190305135020183"</f>
        <v>20190305135020183</v>
      </c>
      <c r="B4341" t="str">
        <f>"1551765020174762"</f>
        <v>1551765020174762</v>
      </c>
      <c r="C4341" t="s">
        <v>40</v>
      </c>
      <c r="D4341">
        <v>4.3037179999999999</v>
      </c>
      <c r="E4341">
        <v>0.5852328</v>
      </c>
      <c r="F4341" t="s">
        <v>65</v>
      </c>
      <c r="G4341">
        <v>-209.69059999999999</v>
      </c>
      <c r="H4341">
        <v>8.1507039999999993</v>
      </c>
      <c r="I4341">
        <v>-81.817869999999999</v>
      </c>
      <c r="J4341">
        <v>-192.62559999999999</v>
      </c>
      <c r="K4341">
        <v>1.101316</v>
      </c>
      <c r="L4341">
        <v>203.94890000000001</v>
      </c>
      <c r="M4341">
        <v>0.25726700000000002</v>
      </c>
      <c r="N4341">
        <v>-1.586862E-2</v>
      </c>
      <c r="O4341">
        <v>-0.96621009999999996</v>
      </c>
      <c r="P4341">
        <v>0.1471121</v>
      </c>
      <c r="Q4341">
        <v>-8.9809920000000001E-2</v>
      </c>
      <c r="R4341">
        <v>-0.98503419999999997</v>
      </c>
      <c r="S4341">
        <v>-0.18380740000000001</v>
      </c>
      <c r="T4341">
        <v>7.6052899999999896E-2</v>
      </c>
      <c r="U4341">
        <v>-3.0845030000000002</v>
      </c>
      <c r="V4341">
        <v>0.1097076</v>
      </c>
      <c r="W4341">
        <v>-7.6415860000000002E-2</v>
      </c>
      <c r="X4341">
        <v>0.99102210000000002</v>
      </c>
      <c r="Y4341">
        <v>0.31430079999999999</v>
      </c>
      <c r="Z4341">
        <v>-3.8741100000000001E-2</v>
      </c>
      <c r="AA4341">
        <v>0.94853259999999995</v>
      </c>
      <c r="AB4341">
        <v>21</v>
      </c>
      <c r="AC4341">
        <v>-17.064999999999898</v>
      </c>
      <c r="AD4341">
        <v>7.0493880000000004</v>
      </c>
      <c r="AE4341">
        <v>-285.76677000000001</v>
      </c>
      <c r="AF4341">
        <v>89.963515325550105</v>
      </c>
      <c r="AG4341">
        <v>7.0493880000000004</v>
      </c>
      <c r="AH4341">
        <v>271.59000267654699</v>
      </c>
      <c r="AI4341">
        <v>88.588552480214105</v>
      </c>
      <c r="AJ4341">
        <v>71.6726757751874</v>
      </c>
      <c r="AK4341">
        <v>286.189198808676</v>
      </c>
      <c r="AL4341">
        <v>94.382578726898402</v>
      </c>
      <c r="AM4341">
        <v>83.682993960817697</v>
      </c>
      <c r="AN4341">
        <v>0.99999997192285395</v>
      </c>
    </row>
    <row r="4342" spans="1:40" x14ac:dyDescent="0.25">
      <c r="A4342" t="str">
        <f>"20190305135020199"</f>
        <v>20190305135020199</v>
      </c>
      <c r="B4342" t="str">
        <f>"1551765020194283"</f>
        <v>1551765020194283</v>
      </c>
      <c r="C4342" t="s">
        <v>40</v>
      </c>
      <c r="D4342">
        <v>4.3149350000000002</v>
      </c>
      <c r="E4342">
        <v>0.58391839999999995</v>
      </c>
      <c r="F4342" t="s">
        <v>65</v>
      </c>
      <c r="G4342">
        <v>-211.202</v>
      </c>
      <c r="H4342">
        <v>7.7492279999999996</v>
      </c>
      <c r="I4342">
        <v>-81.817729999999997</v>
      </c>
      <c r="J4342">
        <v>-192.5985</v>
      </c>
      <c r="K4342">
        <v>1.101472</v>
      </c>
      <c r="L4342">
        <v>203.80090000000001</v>
      </c>
      <c r="M4342">
        <v>0.24720120000000001</v>
      </c>
      <c r="N4342">
        <v>-1.5698119999999999E-2</v>
      </c>
      <c r="O4342">
        <v>-0.96883699999999995</v>
      </c>
      <c r="P4342">
        <v>0.14159340000000001</v>
      </c>
      <c r="Q4342">
        <v>-9.0646210000000005E-2</v>
      </c>
      <c r="R4342">
        <v>-0.98576640000000004</v>
      </c>
      <c r="S4342">
        <v>-0.2003479</v>
      </c>
      <c r="T4342">
        <v>7.1698310000000001E-2</v>
      </c>
      <c r="U4342">
        <v>-3.0820159999999999</v>
      </c>
      <c r="V4342">
        <v>0.10494149999999999</v>
      </c>
      <c r="W4342">
        <v>-7.7274739999999995E-2</v>
      </c>
      <c r="X4342">
        <v>0.99147160000000001</v>
      </c>
      <c r="Y4342">
        <v>0.3095366</v>
      </c>
      <c r="Z4342">
        <v>-3.7396989999999998E-2</v>
      </c>
      <c r="AA4342">
        <v>0.95015190000000005</v>
      </c>
      <c r="AB4342">
        <v>21</v>
      </c>
      <c r="AC4342">
        <v>-18.6035</v>
      </c>
      <c r="AD4342">
        <v>6.6477559999999896</v>
      </c>
      <c r="AE4342">
        <v>-285.61863</v>
      </c>
      <c r="AF4342">
        <v>88.592160192066302</v>
      </c>
      <c r="AG4342">
        <v>6.6477559999999896</v>
      </c>
      <c r="AH4342">
        <v>272.005895733633</v>
      </c>
      <c r="AI4342">
        <v>88.668785811569705</v>
      </c>
      <c r="AJ4342">
        <v>71.959600890092204</v>
      </c>
      <c r="AK4342">
        <v>286.14676447792999</v>
      </c>
      <c r="AL4342">
        <v>94.431934665799503</v>
      </c>
      <c r="AM4342">
        <v>83.958070660403195</v>
      </c>
      <c r="AN4342">
        <v>1.0000000187354301</v>
      </c>
    </row>
    <row r="4343" spans="1:40" x14ac:dyDescent="0.25">
      <c r="A4343" t="str">
        <f>"20190305135020214"</f>
        <v>20190305135020214</v>
      </c>
      <c r="B4343" t="str">
        <f>"1551765020205019"</f>
        <v>1551765020205019</v>
      </c>
      <c r="C4343" t="s">
        <v>40</v>
      </c>
      <c r="D4343">
        <v>4.3201409999999996</v>
      </c>
      <c r="E4343">
        <v>0.58324659999999995</v>
      </c>
      <c r="F4343" t="s">
        <v>65</v>
      </c>
      <c r="G4343">
        <v>-211.72890000000001</v>
      </c>
      <c r="H4343">
        <v>7.0344740000000003</v>
      </c>
      <c r="I4343">
        <v>-80.066059999999993</v>
      </c>
      <c r="J4343">
        <v>-192.57140000000001</v>
      </c>
      <c r="K4343">
        <v>1.101648</v>
      </c>
      <c r="L4343">
        <v>203.64590000000001</v>
      </c>
      <c r="M4343">
        <v>0.23675109999999999</v>
      </c>
      <c r="N4343">
        <v>-1.5527859999999999E-2</v>
      </c>
      <c r="O4343">
        <v>-0.97144649999999999</v>
      </c>
      <c r="P4343">
        <v>0.13339999999999999</v>
      </c>
      <c r="Q4343">
        <v>-9.0508580000000005E-2</v>
      </c>
      <c r="R4343">
        <v>-0.9869213</v>
      </c>
      <c r="S4343">
        <v>-0.2075043</v>
      </c>
      <c r="T4343">
        <v>6.4354300000000003E-2</v>
      </c>
      <c r="U4343">
        <v>-3.079056</v>
      </c>
      <c r="V4343">
        <v>0.102534</v>
      </c>
      <c r="W4343">
        <v>-7.7210119999999993E-2</v>
      </c>
      <c r="X4343">
        <v>0.99172850000000001</v>
      </c>
      <c r="Y4343">
        <v>0.30154069999999999</v>
      </c>
      <c r="Z4343">
        <v>-3.5142E-2</v>
      </c>
      <c r="AA4343">
        <v>0.95280549999999997</v>
      </c>
      <c r="AB4343">
        <v>21</v>
      </c>
      <c r="AC4343">
        <v>-19.157499999999999</v>
      </c>
      <c r="AD4343">
        <v>5.9328260000000004</v>
      </c>
      <c r="AE4343">
        <v>-283.71195999999998</v>
      </c>
      <c r="AF4343">
        <v>85.7525982851827</v>
      </c>
      <c r="AG4343">
        <v>5.9328260000000004</v>
      </c>
      <c r="AH4343">
        <v>270.99008659225098</v>
      </c>
      <c r="AI4343">
        <v>88.8042381190089</v>
      </c>
      <c r="AJ4343">
        <v>72.440450226979493</v>
      </c>
      <c r="AK4343">
        <v>284.29620744618097</v>
      </c>
      <c r="AL4343">
        <v>94.428221108843601</v>
      </c>
      <c r="AM4343">
        <v>84.097208792885297</v>
      </c>
      <c r="AN4343">
        <v>1.00000002074933</v>
      </c>
    </row>
    <row r="4344" spans="1:40" x14ac:dyDescent="0.25">
      <c r="A4344" t="str">
        <f>"20190305135020232"</f>
        <v>20190305135020232</v>
      </c>
      <c r="B4344" t="str">
        <f>"1551765020224538"</f>
        <v>1551765020224538</v>
      </c>
      <c r="C4344" t="s">
        <v>40</v>
      </c>
      <c r="D4344">
        <v>4.3064140000000002</v>
      </c>
      <c r="E4344">
        <v>0.58264050000000001</v>
      </c>
      <c r="F4344" t="s">
        <v>65</v>
      </c>
      <c r="G4344">
        <v>-213.56870000000001</v>
      </c>
      <c r="H4344">
        <v>6.9620369999999996</v>
      </c>
      <c r="I4344">
        <v>-80.066019999999995</v>
      </c>
      <c r="J4344">
        <v>-192.54409999999999</v>
      </c>
      <c r="K4344">
        <v>1.1018159999999999</v>
      </c>
      <c r="L4344">
        <v>203.4795</v>
      </c>
      <c r="M4344">
        <v>0.2256679</v>
      </c>
      <c r="N4344">
        <v>-1.5344979999999999E-2</v>
      </c>
      <c r="O4344">
        <v>-0.9740837</v>
      </c>
      <c r="P4344">
        <v>0.1277953</v>
      </c>
      <c r="Q4344">
        <v>-9.0121610000000005E-2</v>
      </c>
      <c r="R4344">
        <v>-0.98769799999999996</v>
      </c>
      <c r="S4344">
        <v>-0.2276764</v>
      </c>
      <c r="T4344">
        <v>6.3544989999999996E-2</v>
      </c>
      <c r="U4344">
        <v>-3.0763240000000001</v>
      </c>
      <c r="V4344">
        <v>9.6915570000000006E-2</v>
      </c>
      <c r="W4344">
        <v>-7.6839749999999998E-2</v>
      </c>
      <c r="X4344">
        <v>0.99232200000000004</v>
      </c>
      <c r="Y4344">
        <v>0.29694739999999997</v>
      </c>
      <c r="Z4344">
        <v>-3.4827509999999999E-2</v>
      </c>
      <c r="AA4344">
        <v>0.95425850000000001</v>
      </c>
      <c r="AB4344">
        <v>21</v>
      </c>
      <c r="AC4344">
        <v>-21.0246</v>
      </c>
      <c r="AD4344">
        <v>5.8602209999999904</v>
      </c>
      <c r="AE4344">
        <v>-283.54552000000001</v>
      </c>
      <c r="AF4344">
        <v>84.440894594103398</v>
      </c>
      <c r="AG4344">
        <v>5.8602209999999904</v>
      </c>
      <c r="AH4344">
        <v>271.36910362019597</v>
      </c>
      <c r="AI4344">
        <v>88.818738270068096</v>
      </c>
      <c r="AJ4344">
        <v>72.715623505586294</v>
      </c>
      <c r="AK4344">
        <v>284.26360524986302</v>
      </c>
      <c r="AL4344">
        <v>94.406937494217402</v>
      </c>
      <c r="AM4344">
        <v>84.421873019540499</v>
      </c>
      <c r="AN4344">
        <v>0.99999996328624297</v>
      </c>
    </row>
    <row r="4345" spans="1:40" x14ac:dyDescent="0.25">
      <c r="A4345" t="str">
        <f>"20190305135020244"</f>
        <v>20190305135020244</v>
      </c>
      <c r="B4345" t="str">
        <f>"1551765020234298"</f>
        <v>1551765020234298</v>
      </c>
      <c r="C4345" t="s">
        <v>40</v>
      </c>
      <c r="D4345">
        <v>4.2970040000000003</v>
      </c>
      <c r="E4345">
        <v>0.56836009999999904</v>
      </c>
      <c r="F4345" t="s">
        <v>68</v>
      </c>
      <c r="G4345">
        <v>-210.74019999999999</v>
      </c>
      <c r="H4345">
        <v>6.0075250000000002</v>
      </c>
      <c r="I4345">
        <v>-29.191549999999999</v>
      </c>
      <c r="J4345">
        <v>-192.52590000000001</v>
      </c>
      <c r="K4345">
        <v>1.101923</v>
      </c>
      <c r="L4345">
        <v>203.36160000000001</v>
      </c>
      <c r="M4345">
        <v>0.21796960000000001</v>
      </c>
      <c r="N4345">
        <v>-1.5218489999999999E-2</v>
      </c>
      <c r="O4345">
        <v>-0.97583690000000001</v>
      </c>
      <c r="P4345">
        <v>0.123377399999999</v>
      </c>
      <c r="Q4345">
        <v>-9.0286809999999995E-2</v>
      </c>
      <c r="R4345">
        <v>-0.98824420000000002</v>
      </c>
      <c r="S4345">
        <v>-0.2404327</v>
      </c>
      <c r="T4345">
        <v>6.4821000000000004E-2</v>
      </c>
      <c r="U4345">
        <v>-3.0743710000000002</v>
      </c>
      <c r="V4345">
        <v>9.3534270000000003E-2</v>
      </c>
      <c r="W4345">
        <v>-7.703198E-2</v>
      </c>
      <c r="X4345">
        <v>0.99263159999999895</v>
      </c>
      <c r="Y4345">
        <v>0.2933868</v>
      </c>
      <c r="Z4345">
        <v>-3.5167299999999999E-2</v>
      </c>
      <c r="AA4345">
        <v>0.95534680000000005</v>
      </c>
      <c r="AB4345">
        <v>21</v>
      </c>
      <c r="AC4345">
        <v>-18.214299999999898</v>
      </c>
      <c r="AD4345">
        <v>4.905602</v>
      </c>
      <c r="AE4345">
        <v>-232.55314999999999</v>
      </c>
      <c r="AF4345">
        <v>68.441363212865497</v>
      </c>
      <c r="AG4345">
        <v>4.905602</v>
      </c>
      <c r="AH4345">
        <v>222.89102752138299</v>
      </c>
      <c r="AI4345">
        <v>88.794706945501304</v>
      </c>
      <c r="AJ4345">
        <v>72.930267820978997</v>
      </c>
      <c r="AK4345">
        <v>233.21384023885801</v>
      </c>
      <c r="AL4345">
        <v>94.417983867086306</v>
      </c>
      <c r="AM4345">
        <v>84.616994234322604</v>
      </c>
      <c r="AN4345">
        <v>1.0000000394628501</v>
      </c>
    </row>
    <row r="4346" spans="1:40" x14ac:dyDescent="0.25">
      <c r="A4346" t="str">
        <f>"20190305135020257"</f>
        <v>20190305135020257</v>
      </c>
      <c r="B4346" t="str">
        <f>"1551765020254794"</f>
        <v>1551765020254794</v>
      </c>
      <c r="C4346" t="s">
        <v>40</v>
      </c>
      <c r="D4346">
        <v>4.3797680000000003</v>
      </c>
      <c r="E4346">
        <v>0.56791480000000005</v>
      </c>
      <c r="F4346" t="s">
        <v>65</v>
      </c>
      <c r="G4346">
        <v>-206.26929999999999</v>
      </c>
      <c r="H4346">
        <v>0.33285140000000002</v>
      </c>
      <c r="I4346">
        <v>-80.948750000000004</v>
      </c>
      <c r="J4346">
        <v>-192.50739999999999</v>
      </c>
      <c r="K4346">
        <v>1.102039</v>
      </c>
      <c r="L4346">
        <v>203.23580000000001</v>
      </c>
      <c r="M4346">
        <v>0.20987249999999999</v>
      </c>
      <c r="N4346">
        <v>-1.50899E-2</v>
      </c>
      <c r="O4346">
        <v>-0.9776125</v>
      </c>
      <c r="P4346">
        <v>0.11848259999999999</v>
      </c>
      <c r="Q4346">
        <v>-9.0452469999999993E-2</v>
      </c>
      <c r="R4346">
        <v>-0.98882760000000003</v>
      </c>
      <c r="S4346">
        <v>-0.14759829999999999</v>
      </c>
      <c r="T4346">
        <v>-8.2594160000000003E-3</v>
      </c>
      <c r="U4346">
        <v>-3.0533600000000001</v>
      </c>
      <c r="V4346">
        <v>9.0238410000000005E-2</v>
      </c>
      <c r="W4346">
        <v>-7.7229099999999995E-2</v>
      </c>
      <c r="X4346">
        <v>0.99292130000000001</v>
      </c>
      <c r="Y4346">
        <v>0.25682090000000002</v>
      </c>
      <c r="Z4346">
        <v>-1.260009E-2</v>
      </c>
      <c r="AA4346">
        <v>0.96637689999999998</v>
      </c>
      <c r="AB4346">
        <v>21</v>
      </c>
      <c r="AC4346">
        <v>-13.761899999999899</v>
      </c>
      <c r="AD4346">
        <v>-0.76918759999999997</v>
      </c>
      <c r="AE4346">
        <v>-284.18455</v>
      </c>
      <c r="AF4346">
        <v>73.104103172069401</v>
      </c>
      <c r="AG4346">
        <v>-0.76918759999999997</v>
      </c>
      <c r="AH4346">
        <v>274.96337058518202</v>
      </c>
      <c r="AI4346">
        <v>90.1548987560829</v>
      </c>
      <c r="AJ4346">
        <v>75.111285926677894</v>
      </c>
      <c r="AK4346">
        <v>284.51653152975302</v>
      </c>
      <c r="AL4346">
        <v>94.429311903826203</v>
      </c>
      <c r="AM4346">
        <v>84.807125653339995</v>
      </c>
      <c r="AN4346">
        <v>1.0000000062599099</v>
      </c>
    </row>
    <row r="4347" spans="1:40" x14ac:dyDescent="0.25">
      <c r="A4347" t="str">
        <f>"20190305135020271"</f>
        <v>20190305135020271</v>
      </c>
      <c r="B4347" t="str">
        <f>"1551765020264555"</f>
        <v>1551765020264555</v>
      </c>
      <c r="C4347" t="s">
        <v>40</v>
      </c>
      <c r="D4347">
        <v>4.3021839999999996</v>
      </c>
      <c r="E4347">
        <v>0.56718769999999996</v>
      </c>
      <c r="F4347" t="s">
        <v>65</v>
      </c>
      <c r="G4347">
        <v>-207.30699999999999</v>
      </c>
      <c r="H4347">
        <v>0.9052095</v>
      </c>
      <c r="I4347">
        <v>-81.815460000000002</v>
      </c>
      <c r="J4347">
        <v>-192.489</v>
      </c>
      <c r="K4347">
        <v>1.102158</v>
      </c>
      <c r="L4347">
        <v>203.10659999999999</v>
      </c>
      <c r="M4347">
        <v>0.201659</v>
      </c>
      <c r="N4347">
        <v>-1.496367E-2</v>
      </c>
      <c r="O4347">
        <v>-0.97934140000000003</v>
      </c>
      <c r="P4347">
        <v>0.11351269999999999</v>
      </c>
      <c r="Q4347">
        <v>-9.0608469999999997E-2</v>
      </c>
      <c r="R4347">
        <v>-0.98939630000000001</v>
      </c>
      <c r="S4347">
        <v>-0.15849299999999999</v>
      </c>
      <c r="T4347">
        <v>-2.1078590000000001E-3</v>
      </c>
      <c r="U4347">
        <v>-3.052689</v>
      </c>
      <c r="V4347">
        <v>8.6912199999999995E-2</v>
      </c>
      <c r="W4347">
        <v>-7.7414999999999998E-2</v>
      </c>
      <c r="X4347">
        <v>0.99320350000000002</v>
      </c>
      <c r="Y4347">
        <v>0.25215929999999998</v>
      </c>
      <c r="Z4347">
        <v>-1.4385480000000001E-2</v>
      </c>
      <c r="AA4347">
        <v>0.96757879999999996</v>
      </c>
      <c r="AB4347">
        <v>21</v>
      </c>
      <c r="AC4347">
        <v>-14.818</v>
      </c>
      <c r="AD4347">
        <v>-0.1969485</v>
      </c>
      <c r="AE4347">
        <v>-284.92205999999999</v>
      </c>
      <c r="AF4347">
        <v>71.9770086628575</v>
      </c>
      <c r="AG4347">
        <v>-0.1969485</v>
      </c>
      <c r="AH4347">
        <v>276.07858671983701</v>
      </c>
      <c r="AI4347">
        <v>90.039551488828494</v>
      </c>
      <c r="AJ4347">
        <v>75.387577348439393</v>
      </c>
      <c r="AK4347">
        <v>285.30705320756999</v>
      </c>
      <c r="AL4347">
        <v>94.439995189493899</v>
      </c>
      <c r="AM4347">
        <v>84.998960738675194</v>
      </c>
      <c r="AN4347">
        <v>1.00000000257304</v>
      </c>
    </row>
    <row r="4348" spans="1:40" x14ac:dyDescent="0.25">
      <c r="A4348" t="str">
        <f>"20190305135020282"</f>
        <v>20190305135020282</v>
      </c>
      <c r="B4348" t="str">
        <f>"1551765020274315"</f>
        <v>1551765020274315</v>
      </c>
      <c r="C4348" t="s">
        <v>40</v>
      </c>
      <c r="D4348">
        <v>4.2783490000000004</v>
      </c>
      <c r="E4348">
        <v>0.56619160000000002</v>
      </c>
      <c r="F4348" t="s">
        <v>65</v>
      </c>
      <c r="G4348">
        <v>-208.23249999999999</v>
      </c>
      <c r="H4348">
        <v>0.20114560000000001</v>
      </c>
      <c r="I4348">
        <v>-81.81523</v>
      </c>
      <c r="J4348">
        <v>-192.47329999999999</v>
      </c>
      <c r="K4348">
        <v>1.102287</v>
      </c>
      <c r="L4348">
        <v>202.98699999999999</v>
      </c>
      <c r="M4348">
        <v>0.19428029999999999</v>
      </c>
      <c r="N4348">
        <v>-1.4853119999999999E-2</v>
      </c>
      <c r="O4348">
        <v>-0.98083379999999998</v>
      </c>
      <c r="P4348">
        <v>0.10958229999999999</v>
      </c>
      <c r="Q4348">
        <v>-9.0687809999999994E-2</v>
      </c>
      <c r="R4348">
        <v>-0.98983220000000005</v>
      </c>
      <c r="S4348">
        <v>-0.16856380000000001</v>
      </c>
      <c r="T4348">
        <v>-9.6470119999999999E-3</v>
      </c>
      <c r="U4348">
        <v>-3.0506289999999998</v>
      </c>
      <c r="V4348">
        <v>8.3404149999999996E-2</v>
      </c>
      <c r="W4348">
        <v>-7.7505439999999995E-2</v>
      </c>
      <c r="X4348">
        <v>0.99349719999999997</v>
      </c>
      <c r="Y4348">
        <v>0.24808849999999999</v>
      </c>
      <c r="Z4348">
        <v>-1.1914050000000001E-2</v>
      </c>
      <c r="AA4348">
        <v>0.96866410000000003</v>
      </c>
      <c r="AB4348">
        <v>21</v>
      </c>
      <c r="AC4348">
        <v>-15.7591999999999</v>
      </c>
      <c r="AD4348">
        <v>-0.90114139999999998</v>
      </c>
      <c r="AE4348">
        <v>-284.80223000000001</v>
      </c>
      <c r="AF4348">
        <v>70.795707984867704</v>
      </c>
      <c r="AG4348">
        <v>-0.90114139999999998</v>
      </c>
      <c r="AH4348">
        <v>276.30962024729303</v>
      </c>
      <c r="AI4348">
        <v>90.181013608509403</v>
      </c>
      <c r="AJ4348">
        <v>75.628901013668099</v>
      </c>
      <c r="AK4348">
        <v>285.23648182885898</v>
      </c>
      <c r="AL4348">
        <v>94.445192576276398</v>
      </c>
      <c r="AM4348">
        <v>85.201267939174699</v>
      </c>
      <c r="AN4348">
        <v>1.0000000159373199</v>
      </c>
    </row>
    <row r="4349" spans="1:40" x14ac:dyDescent="0.25">
      <c r="A4349" t="str">
        <f>"20190305135020298"</f>
        <v>20190305135020298</v>
      </c>
      <c r="B4349" t="str">
        <f>"1551765020294810"</f>
        <v>1551765020294810</v>
      </c>
      <c r="C4349" t="s">
        <v>40</v>
      </c>
      <c r="D4349">
        <v>4.2865339999999996</v>
      </c>
      <c r="E4349">
        <v>0.5643283</v>
      </c>
      <c r="F4349" t="s">
        <v>42</v>
      </c>
      <c r="G4349">
        <v>-203.51650000000001</v>
      </c>
      <c r="H4349">
        <v>7.9985689999999998E-2</v>
      </c>
      <c r="I4349">
        <v>8.9717029999999998</v>
      </c>
      <c r="J4349">
        <v>-192.45410000000001</v>
      </c>
      <c r="K4349">
        <v>1.102455</v>
      </c>
      <c r="L4349">
        <v>202.834</v>
      </c>
      <c r="M4349">
        <v>0.1849932</v>
      </c>
      <c r="N4349">
        <v>-1.4715300000000001E-2</v>
      </c>
      <c r="O4349">
        <v>-0.9826298</v>
      </c>
      <c r="P4349">
        <v>0.1066168</v>
      </c>
      <c r="Q4349">
        <v>-9.1009510000000002E-2</v>
      </c>
      <c r="R4349">
        <v>-0.99012639999999996</v>
      </c>
      <c r="S4349">
        <v>-0.17352290000000001</v>
      </c>
      <c r="T4349">
        <v>-1.606345E-2</v>
      </c>
      <c r="U4349">
        <v>-3.0485690000000001</v>
      </c>
      <c r="V4349">
        <v>7.7010449999999994E-2</v>
      </c>
      <c r="W4349">
        <v>-7.7801880000000004E-2</v>
      </c>
      <c r="X4349">
        <v>0.99399009999999999</v>
      </c>
      <c r="Y4349">
        <v>0.2405225</v>
      </c>
      <c r="Z4349">
        <v>-9.7429620000000008E-3</v>
      </c>
      <c r="AA4349">
        <v>0.97059459999999997</v>
      </c>
      <c r="AB4349">
        <v>21</v>
      </c>
      <c r="AC4349">
        <v>-11.062399999999901</v>
      </c>
      <c r="AD4349">
        <v>-1.02246931</v>
      </c>
      <c r="AE4349">
        <v>-193.86229699999899</v>
      </c>
      <c r="AF4349">
        <v>46.737207221787799</v>
      </c>
      <c r="AG4349">
        <v>-1.02246931</v>
      </c>
      <c r="AH4349">
        <v>188.46354966666999</v>
      </c>
      <c r="AI4349">
        <v>90.301704410656598</v>
      </c>
      <c r="AJ4349">
        <v>76.072160149215307</v>
      </c>
      <c r="AK4349">
        <v>194.17497659416301</v>
      </c>
      <c r="AL4349">
        <v>94.462228714788793</v>
      </c>
      <c r="AM4349">
        <v>85.569797991439302</v>
      </c>
      <c r="AN4349">
        <v>1.0000000304193699</v>
      </c>
    </row>
    <row r="4350" spans="1:40" x14ac:dyDescent="0.25">
      <c r="A4350" t="str">
        <f>"20190305135020312"</f>
        <v>20190305135020312</v>
      </c>
      <c r="B4350" t="str">
        <f>"1551765020304571"</f>
        <v>1551765020304571</v>
      </c>
      <c r="C4350" t="s">
        <v>40</v>
      </c>
      <c r="D4350">
        <v>4.2839369999999999</v>
      </c>
      <c r="E4350">
        <v>0.56338569999999999</v>
      </c>
      <c r="F4350" t="s">
        <v>42</v>
      </c>
      <c r="G4350">
        <v>-199.5257</v>
      </c>
      <c r="H4350" s="1">
        <v>-4.5626250000000002E-6</v>
      </c>
      <c r="I4350">
        <v>75.428989999999999</v>
      </c>
      <c r="J4350">
        <v>-192.43879999999999</v>
      </c>
      <c r="K4350">
        <v>1.102616</v>
      </c>
      <c r="L4350">
        <v>202.70570000000001</v>
      </c>
      <c r="M4350">
        <v>0.17736579999999999</v>
      </c>
      <c r="N4350">
        <v>-1.460302E-2</v>
      </c>
      <c r="O4350">
        <v>-0.98403669999999999</v>
      </c>
      <c r="P4350">
        <v>0.1017757</v>
      </c>
      <c r="Q4350">
        <v>-9.1056150000000002E-2</v>
      </c>
      <c r="R4350">
        <v>-0.99063179999999995</v>
      </c>
      <c r="S4350">
        <v>-0.16905209999999901</v>
      </c>
      <c r="T4350">
        <v>-2.6355030000000002E-2</v>
      </c>
      <c r="U4350">
        <v>-3.0457000000000001</v>
      </c>
      <c r="V4350">
        <v>7.4191740000000006E-2</v>
      </c>
      <c r="W4350">
        <v>-7.7874009999999994E-2</v>
      </c>
      <c r="X4350">
        <v>0.99419880000000005</v>
      </c>
      <c r="Y4350">
        <v>0.2316125</v>
      </c>
      <c r="Z4350">
        <v>-6.3533060000000004E-3</v>
      </c>
      <c r="AA4350">
        <v>0.97278739999999997</v>
      </c>
      <c r="AB4350">
        <v>21</v>
      </c>
      <c r="AC4350">
        <v>-7.0869000000000097</v>
      </c>
      <c r="AD4350">
        <v>-1.1026205626250001</v>
      </c>
      <c r="AE4350">
        <v>-127.27670999999999</v>
      </c>
      <c r="AF4350">
        <v>29.549243900716601</v>
      </c>
      <c r="AG4350">
        <v>-1.1026205626250001</v>
      </c>
      <c r="AH4350">
        <v>123.991918984988</v>
      </c>
      <c r="AI4350">
        <v>90.495620477391995</v>
      </c>
      <c r="AJ4350">
        <v>76.595538933197702</v>
      </c>
      <c r="AK4350">
        <v>127.46909257066601</v>
      </c>
      <c r="AL4350">
        <v>94.466374105857994</v>
      </c>
      <c r="AM4350">
        <v>85.732232800881405</v>
      </c>
      <c r="AN4350">
        <v>1.00000001481957</v>
      </c>
    </row>
    <row r="4351" spans="1:40" x14ac:dyDescent="0.25">
      <c r="A4351" t="str">
        <f>"20190305135020323"</f>
        <v>20190305135020323</v>
      </c>
      <c r="B4351" t="str">
        <f>"1551765020314331"</f>
        <v>1551765020314331</v>
      </c>
      <c r="C4351" t="s">
        <v>40</v>
      </c>
      <c r="D4351">
        <v>4.2718780000000001</v>
      </c>
      <c r="E4351">
        <v>0.56269029999999998</v>
      </c>
      <c r="F4351" t="s">
        <v>42</v>
      </c>
      <c r="G4351">
        <v>-198.51859999999999</v>
      </c>
      <c r="H4351" s="1">
        <v>-5.3133649999999999E-6</v>
      </c>
      <c r="I4351">
        <v>98.160030000000006</v>
      </c>
      <c r="J4351">
        <v>-192.42609999999999</v>
      </c>
      <c r="K4351">
        <v>1.1027800000000001</v>
      </c>
      <c r="L4351">
        <v>202.59180000000001</v>
      </c>
      <c r="M4351">
        <v>0.1708017</v>
      </c>
      <c r="N4351">
        <v>-1.450453E-2</v>
      </c>
      <c r="O4351">
        <v>-0.98519889999999999</v>
      </c>
      <c r="P4351">
        <v>9.8029759999999994E-2</v>
      </c>
      <c r="Q4351">
        <v>-9.1066389999999997E-2</v>
      </c>
      <c r="R4351">
        <v>-0.99100849999999996</v>
      </c>
      <c r="S4351">
        <v>-0.17700199999999999</v>
      </c>
      <c r="T4351">
        <v>-3.2100320000000002E-2</v>
      </c>
      <c r="U4351">
        <v>-3.0436100000000001</v>
      </c>
      <c r="V4351">
        <v>7.1357519999999994E-2</v>
      </c>
      <c r="W4351">
        <v>-7.7897519999999998E-2</v>
      </c>
      <c r="X4351">
        <v>0.99440439999999997</v>
      </c>
      <c r="Y4351">
        <v>0.22769329999999999</v>
      </c>
      <c r="Z4351">
        <v>-4.4112780000000002E-3</v>
      </c>
      <c r="AA4351">
        <v>0.97372289999999995</v>
      </c>
      <c r="AB4351">
        <v>21</v>
      </c>
      <c r="AC4351">
        <v>-6.0925000000000002</v>
      </c>
      <c r="AD4351">
        <v>-1.1027853133650001</v>
      </c>
      <c r="AE4351">
        <v>-104.43177</v>
      </c>
      <c r="AF4351">
        <v>23.8393012513719</v>
      </c>
      <c r="AG4351">
        <v>-1.1027853133650001</v>
      </c>
      <c r="AH4351">
        <v>101.844828007763</v>
      </c>
      <c r="AI4351">
        <v>90.604053398385204</v>
      </c>
      <c r="AJ4351">
        <v>76.825698396272699</v>
      </c>
      <c r="AK4351">
        <v>104.603524852329</v>
      </c>
      <c r="AL4351">
        <v>94.467725233092594</v>
      </c>
      <c r="AM4351">
        <v>85.895544469482005</v>
      </c>
      <c r="AN4351">
        <v>1.00000001501103</v>
      </c>
    </row>
    <row r="4352" spans="1:40" x14ac:dyDescent="0.25">
      <c r="A4352" t="str">
        <f>"20190305135020335"</f>
        <v>20190305135020335</v>
      </c>
      <c r="B4352" t="str">
        <f>"1551765020325066"</f>
        <v>1551765020325066</v>
      </c>
      <c r="C4352" t="s">
        <v>40</v>
      </c>
      <c r="D4352">
        <v>4.2678310000000002</v>
      </c>
      <c r="E4352">
        <v>0.56192880000000001</v>
      </c>
      <c r="F4352" t="s">
        <v>42</v>
      </c>
      <c r="G4352">
        <v>-198.0822</v>
      </c>
      <c r="H4352" s="1">
        <v>-5.5334439999999998E-6</v>
      </c>
      <c r="I4352">
        <v>109.0342</v>
      </c>
      <c r="J4352">
        <v>-192.4135</v>
      </c>
      <c r="K4352">
        <v>1.1029599999999999</v>
      </c>
      <c r="L4352">
        <v>202.4744</v>
      </c>
      <c r="M4352">
        <v>0.1641637</v>
      </c>
      <c r="N4352">
        <v>-1.4405360000000001E-2</v>
      </c>
      <c r="O4352">
        <v>-0.98632799999999998</v>
      </c>
      <c r="P4352">
        <v>9.396786E-2</v>
      </c>
      <c r="Q4352">
        <v>-9.1796059999999999E-2</v>
      </c>
      <c r="R4352">
        <v>-0.99133439999999995</v>
      </c>
      <c r="S4352">
        <v>-0.1839142</v>
      </c>
      <c r="T4352">
        <v>-3.5857920000000001E-2</v>
      </c>
      <c r="U4352">
        <v>-3.0420989999999999</v>
      </c>
      <c r="V4352">
        <v>6.8750800000000001E-2</v>
      </c>
      <c r="W4352">
        <v>-7.8646289999999994E-2</v>
      </c>
      <c r="X4352">
        <v>0.99452910000000005</v>
      </c>
      <c r="Y4352">
        <v>0.22336629999999999</v>
      </c>
      <c r="Z4352">
        <v>-3.0908189999999999E-3</v>
      </c>
      <c r="AA4352">
        <v>0.97472970000000003</v>
      </c>
      <c r="AB4352">
        <v>21</v>
      </c>
      <c r="AC4352">
        <v>-5.6687000000000003</v>
      </c>
      <c r="AD4352">
        <v>-1.1029655334439901</v>
      </c>
      <c r="AE4352">
        <v>-93.440200000000004</v>
      </c>
      <c r="AF4352">
        <v>20.929951328634601</v>
      </c>
      <c r="AG4352">
        <v>-1.1029655334439901</v>
      </c>
      <c r="AH4352">
        <v>91.2288863996977</v>
      </c>
      <c r="AI4352">
        <v>90.675139114105704</v>
      </c>
      <c r="AJ4352">
        <v>77.078670022260198</v>
      </c>
      <c r="AK4352">
        <v>93.605497217396007</v>
      </c>
      <c r="AL4352">
        <v>94.510758591173399</v>
      </c>
      <c r="AM4352">
        <v>86.045491467283298</v>
      </c>
      <c r="AN4352">
        <v>1.0000000210891</v>
      </c>
    </row>
    <row r="4353" spans="1:40" x14ac:dyDescent="0.25">
      <c r="A4353" t="str">
        <f>"20190305135020348"</f>
        <v>20190305135020348</v>
      </c>
      <c r="B4353" t="str">
        <f>"1551765020344587"</f>
        <v>1551765020344587</v>
      </c>
      <c r="C4353" t="s">
        <v>40</v>
      </c>
      <c r="D4353">
        <v>4.272221</v>
      </c>
      <c r="E4353">
        <v>0.56062630000000002</v>
      </c>
      <c r="F4353" t="s">
        <v>94</v>
      </c>
      <c r="G4353">
        <v>-197.4402</v>
      </c>
      <c r="H4353" s="1">
        <v>-3.4064199999999998E-6</v>
      </c>
      <c r="I4353">
        <v>122.4539</v>
      </c>
      <c r="J4353">
        <v>-192.40110000000001</v>
      </c>
      <c r="K4353">
        <v>1.1031569999999999</v>
      </c>
      <c r="L4353">
        <v>202.35380000000001</v>
      </c>
      <c r="M4353">
        <v>0.1574777</v>
      </c>
      <c r="N4353">
        <v>-1.4306080000000001E-2</v>
      </c>
      <c r="O4353">
        <v>-0.98741900000000005</v>
      </c>
      <c r="P4353">
        <v>9.0011090000000002E-2</v>
      </c>
      <c r="Q4353">
        <v>-9.2841199999999999E-2</v>
      </c>
      <c r="R4353">
        <v>-0.99160400000000004</v>
      </c>
      <c r="S4353">
        <v>-0.19099430000000001</v>
      </c>
      <c r="T4353">
        <v>-4.1908029999999999E-2</v>
      </c>
      <c r="U4353">
        <v>-3.040451</v>
      </c>
      <c r="V4353">
        <v>6.5990599999999996E-2</v>
      </c>
      <c r="W4353">
        <v>-7.9708520000000005E-2</v>
      </c>
      <c r="X4353">
        <v>0.9946315</v>
      </c>
      <c r="Y4353">
        <v>0.21905150000000001</v>
      </c>
      <c r="Z4353">
        <v>-1.0341650000000001E-3</v>
      </c>
      <c r="AA4353">
        <v>0.97571280000000005</v>
      </c>
      <c r="AB4353">
        <v>21</v>
      </c>
      <c r="AC4353">
        <v>-5.0390999999999897</v>
      </c>
      <c r="AD4353">
        <v>-1.10316040642</v>
      </c>
      <c r="AE4353">
        <v>-79.899900000000002</v>
      </c>
      <c r="AF4353">
        <v>17.556617585910999</v>
      </c>
      <c r="AG4353">
        <v>-1.10316040642</v>
      </c>
      <c r="AH4353">
        <v>78.094292333201096</v>
      </c>
      <c r="AI4353">
        <v>90.789601607552598</v>
      </c>
      <c r="AJ4353">
        <v>77.329811150036804</v>
      </c>
      <c r="AK4353">
        <v>80.051047956686304</v>
      </c>
      <c r="AL4353">
        <v>94.571811593902694</v>
      </c>
      <c r="AM4353">
        <v>86.204172456210799</v>
      </c>
      <c r="AN4353">
        <v>1.0000000141206</v>
      </c>
    </row>
    <row r="4354" spans="1:40" x14ac:dyDescent="0.25">
      <c r="A4354" t="str">
        <f>"20190305135020361"</f>
        <v>20190305135020361</v>
      </c>
      <c r="B4354" t="str">
        <f>"1551765020354347"</f>
        <v>1551765020354347</v>
      </c>
      <c r="C4354" t="s">
        <v>40</v>
      </c>
      <c r="D4354">
        <v>4.270187</v>
      </c>
      <c r="E4354">
        <v>0.56062630000000002</v>
      </c>
      <c r="F4354" t="s">
        <v>94</v>
      </c>
      <c r="G4354">
        <v>-196.67099999999999</v>
      </c>
      <c r="H4354" s="1">
        <v>-7.6102210000000004E-6</v>
      </c>
      <c r="I4354">
        <v>135.18129999999999</v>
      </c>
      <c r="J4354">
        <v>-192.38939999999999</v>
      </c>
      <c r="K4354">
        <v>1.1033790000000001</v>
      </c>
      <c r="L4354">
        <v>202.23140000000001</v>
      </c>
      <c r="M4354">
        <v>0.15097249999999901</v>
      </c>
      <c r="N4354">
        <v>-1.420716E-2</v>
      </c>
      <c r="O4354">
        <v>-0.98843590000000003</v>
      </c>
      <c r="P4354">
        <v>8.6166160000000006E-2</v>
      </c>
      <c r="Q4354">
        <v>-9.4012949999999998E-2</v>
      </c>
      <c r="R4354">
        <v>-0.99183529999999998</v>
      </c>
      <c r="S4354">
        <v>-0.19313050000000001</v>
      </c>
      <c r="T4354">
        <v>-4.989731E-2</v>
      </c>
      <c r="U4354">
        <v>-3.038284</v>
      </c>
      <c r="V4354">
        <v>6.3307929999999998E-2</v>
      </c>
      <c r="W4354">
        <v>-8.0898070000000002E-2</v>
      </c>
      <c r="X4354">
        <v>0.99470979999999998</v>
      </c>
      <c r="Y4354">
        <v>0.21334719999999999</v>
      </c>
      <c r="Z4354">
        <v>1.6571929999999999E-3</v>
      </c>
      <c r="AA4354">
        <v>0.97697500000000004</v>
      </c>
      <c r="AB4354">
        <v>21</v>
      </c>
      <c r="AC4354">
        <v>-4.2815999999999903</v>
      </c>
      <c r="AD4354">
        <v>-1.1033866102209999</v>
      </c>
      <c r="AE4354">
        <v>-67.0501</v>
      </c>
      <c r="AF4354">
        <v>14.352385905166599</v>
      </c>
      <c r="AG4354">
        <v>-1.1033866102209999</v>
      </c>
      <c r="AH4354">
        <v>65.617246879834596</v>
      </c>
      <c r="AI4354">
        <v>90.941120666414605</v>
      </c>
      <c r="AJ4354">
        <v>77.662068397970799</v>
      </c>
      <c r="AK4354">
        <v>67.177611830665697</v>
      </c>
      <c r="AL4354">
        <v>94.640188733792399</v>
      </c>
      <c r="AM4354">
        <v>86.358343436668207</v>
      </c>
      <c r="AN4354">
        <v>0.99999998897332398</v>
      </c>
    </row>
    <row r="4355" spans="1:40" x14ac:dyDescent="0.25">
      <c r="A4355" t="str">
        <f>"20190305135020377"</f>
        <v>20190305135020377</v>
      </c>
      <c r="B4355" t="str">
        <f>"1551765020374842"</f>
        <v>1551765020374842</v>
      </c>
      <c r="C4355" t="s">
        <v>40</v>
      </c>
      <c r="D4355">
        <v>4.2934970000000003</v>
      </c>
      <c r="E4355">
        <v>0.54964559999999996</v>
      </c>
      <c r="F4355" t="s">
        <v>94</v>
      </c>
      <c r="G4355">
        <v>-196.6045</v>
      </c>
      <c r="H4355" s="1">
        <v>-9.061424E-6</v>
      </c>
      <c r="I4355">
        <v>139.8064</v>
      </c>
      <c r="J4355">
        <v>-192.3751</v>
      </c>
      <c r="K4355">
        <v>1.10368</v>
      </c>
      <c r="L4355">
        <v>202.0746</v>
      </c>
      <c r="M4355">
        <v>0.1428924</v>
      </c>
      <c r="N4355">
        <v>-1.4083500000000001E-2</v>
      </c>
      <c r="O4355">
        <v>-0.98963789999999996</v>
      </c>
      <c r="P4355">
        <v>8.4346249999999998E-2</v>
      </c>
      <c r="Q4355">
        <v>-9.3637319999999996E-2</v>
      </c>
      <c r="R4355">
        <v>-0.99202690000000004</v>
      </c>
      <c r="S4355">
        <v>-0.20509340000000001</v>
      </c>
      <c r="T4355">
        <v>-5.3687810000000002E-2</v>
      </c>
      <c r="U4355">
        <v>-3.0374300000000001</v>
      </c>
      <c r="V4355">
        <v>5.708274E-2</v>
      </c>
      <c r="W4355">
        <v>-8.0497849999999996E-2</v>
      </c>
      <c r="X4355">
        <v>0.99511890000000003</v>
      </c>
      <c r="Y4355">
        <v>0.2092117</v>
      </c>
      <c r="Z4355">
        <v>3.033642E-3</v>
      </c>
      <c r="AA4355">
        <v>0.9778656</v>
      </c>
      <c r="AB4355">
        <v>21</v>
      </c>
      <c r="AC4355">
        <v>-4.2293999999999903</v>
      </c>
      <c r="AD4355">
        <v>-1.103689061424</v>
      </c>
      <c r="AE4355">
        <v>-62.2682</v>
      </c>
      <c r="AF4355">
        <v>13.0804357889479</v>
      </c>
      <c r="AG4355">
        <v>-1.103689061424</v>
      </c>
      <c r="AH4355">
        <v>61.005603336275797</v>
      </c>
      <c r="AI4355">
        <v>91.013430724092601</v>
      </c>
      <c r="AJ4355">
        <v>77.898233209985193</v>
      </c>
      <c r="AK4355">
        <v>62.401919589032801</v>
      </c>
      <c r="AL4355">
        <v>94.617182807486699</v>
      </c>
      <c r="AM4355">
        <v>86.716955264400795</v>
      </c>
      <c r="AN4355">
        <v>0.99999998409886903</v>
      </c>
    </row>
    <row r="4356" spans="1:40" x14ac:dyDescent="0.25">
      <c r="A4356" t="str">
        <f>"20190305135020392"</f>
        <v>20190305135020392</v>
      </c>
      <c r="B4356" t="str">
        <f>"1551765020384604"</f>
        <v>1551765020384604</v>
      </c>
      <c r="C4356" t="s">
        <v>40</v>
      </c>
      <c r="D4356">
        <v>4.2717640000000001</v>
      </c>
      <c r="E4356">
        <v>0.54879809999999996</v>
      </c>
      <c r="F4356" t="s">
        <v>42</v>
      </c>
      <c r="G4356">
        <v>-193.98089999999999</v>
      </c>
      <c r="H4356" s="1">
        <v>-2.8867470000000001E-6</v>
      </c>
      <c r="I4356">
        <v>163.45769999999999</v>
      </c>
      <c r="J4356">
        <v>-192.36269999999999</v>
      </c>
      <c r="K4356">
        <v>1.1039669999999999</v>
      </c>
      <c r="L4356">
        <v>201.93119999999999</v>
      </c>
      <c r="M4356">
        <v>0.1357865</v>
      </c>
      <c r="N4356">
        <v>-1.3973040000000001E-2</v>
      </c>
      <c r="O4356">
        <v>-0.99063970000000001</v>
      </c>
      <c r="P4356">
        <v>8.0509739999999996E-2</v>
      </c>
      <c r="Q4356">
        <v>-9.2494010000000002E-2</v>
      </c>
      <c r="R4356">
        <v>-0.99245349999999999</v>
      </c>
      <c r="S4356">
        <v>-0.12585450000000001</v>
      </c>
      <c r="T4356">
        <v>-8.6502789999999996E-2</v>
      </c>
      <c r="U4356">
        <v>-3.0266570000000002</v>
      </c>
      <c r="V4356">
        <v>5.3879349999999999E-2</v>
      </c>
      <c r="W4356">
        <v>-7.937313E-2</v>
      </c>
      <c r="X4356">
        <v>0.99538789999999999</v>
      </c>
      <c r="Y4356">
        <v>0.17678659999999999</v>
      </c>
      <c r="Z4356">
        <v>1.3924550000000001E-2</v>
      </c>
      <c r="AA4356">
        <v>0.98415070000000004</v>
      </c>
      <c r="AB4356">
        <v>21</v>
      </c>
      <c r="AC4356">
        <v>-1.6182000000000001</v>
      </c>
      <c r="AD4356">
        <v>-1.103969886747</v>
      </c>
      <c r="AE4356">
        <v>-38.473500000000001</v>
      </c>
      <c r="AF4356">
        <v>6.8222935605456003</v>
      </c>
      <c r="AG4356">
        <v>-1.103969886747</v>
      </c>
      <c r="AH4356">
        <v>37.866219600770798</v>
      </c>
      <c r="AI4356">
        <v>91.643508764218495</v>
      </c>
      <c r="AJ4356">
        <v>79.786684615077903</v>
      </c>
      <c r="AK4356">
        <v>38.491726718749597</v>
      </c>
      <c r="AL4356">
        <v>94.552533807105405</v>
      </c>
      <c r="AM4356">
        <v>86.901660476148294</v>
      </c>
      <c r="AN4356">
        <v>1.00000007479441</v>
      </c>
    </row>
    <row r="4357" spans="1:40" x14ac:dyDescent="0.25">
      <c r="A4357" t="str">
        <f>"20190305135020405"</f>
        <v>20190305135020405</v>
      </c>
      <c r="B4357" t="str">
        <f>"1551765020394364"</f>
        <v>1551765020394364</v>
      </c>
      <c r="C4357" t="s">
        <v>40</v>
      </c>
      <c r="D4357">
        <v>4.3687310000000004</v>
      </c>
      <c r="E4357">
        <v>0.55035080000000003</v>
      </c>
      <c r="F4357" t="s">
        <v>42</v>
      </c>
      <c r="G4357">
        <v>-194.05889999999999</v>
      </c>
      <c r="H4357" s="1">
        <v>-2.610929E-6</v>
      </c>
      <c r="I4357">
        <v>162.83029999999999</v>
      </c>
      <c r="J4357">
        <v>-192.35210000000001</v>
      </c>
      <c r="K4357">
        <v>1.1042270000000001</v>
      </c>
      <c r="L4357">
        <v>201.80019999999999</v>
      </c>
      <c r="M4357">
        <v>0.12961520000000001</v>
      </c>
      <c r="N4357">
        <v>-1.387413E-2</v>
      </c>
      <c r="O4357">
        <v>-0.9914674</v>
      </c>
      <c r="P4357">
        <v>7.7418120000000007E-2</v>
      </c>
      <c r="Q4357">
        <v>-9.0657680000000004E-2</v>
      </c>
      <c r="R4357">
        <v>-0.99286870000000005</v>
      </c>
      <c r="S4357">
        <v>-0.13124079999999999</v>
      </c>
      <c r="T4357">
        <v>-8.5421090000000005E-2</v>
      </c>
      <c r="U4357">
        <v>-3.0254819999999998</v>
      </c>
      <c r="V4357">
        <v>5.0881669999999997E-2</v>
      </c>
      <c r="W4357">
        <v>-7.7554399999999996E-2</v>
      </c>
      <c r="X4357">
        <v>0.99568889999999999</v>
      </c>
      <c r="Y4357">
        <v>0.17242299999999999</v>
      </c>
      <c r="Z4357">
        <v>1.373036E-2</v>
      </c>
      <c r="AA4357">
        <v>0.98492729999999995</v>
      </c>
      <c r="AB4357">
        <v>21</v>
      </c>
      <c r="AC4357">
        <v>-1.7067999999999801</v>
      </c>
      <c r="AD4357">
        <v>-1.104229610929</v>
      </c>
      <c r="AE4357">
        <v>-38.969900000000003</v>
      </c>
      <c r="AF4357">
        <v>6.7385763587311196</v>
      </c>
      <c r="AG4357">
        <v>-1.104229610929</v>
      </c>
      <c r="AH4357">
        <v>38.389088854296197</v>
      </c>
      <c r="AI4357">
        <v>91.622812400110604</v>
      </c>
      <c r="AJ4357">
        <v>80.0440906178289</v>
      </c>
      <c r="AK4357">
        <v>38.991664204534203</v>
      </c>
      <c r="AL4357">
        <v>94.448006284534102</v>
      </c>
      <c r="AM4357">
        <v>87.074617155037998</v>
      </c>
      <c r="AN4357">
        <v>1.0000000074422699</v>
      </c>
    </row>
    <row r="4358" spans="1:40" x14ac:dyDescent="0.25">
      <c r="A4358" t="str">
        <f>"20190305135020422"</f>
        <v>20190305135020422</v>
      </c>
      <c r="B4358" t="str">
        <f>"1551765020414500"</f>
        <v>1551765020414500</v>
      </c>
      <c r="C4358" t="s">
        <v>40</v>
      </c>
      <c r="D4358">
        <v>4.4943559999999998</v>
      </c>
      <c r="E4358">
        <v>0.56989559999999995</v>
      </c>
      <c r="F4358" t="s">
        <v>94</v>
      </c>
      <c r="G4358">
        <v>-194.5428</v>
      </c>
      <c r="H4358" s="1">
        <v>-1.469584E-5</v>
      </c>
      <c r="I4358">
        <v>158.49690000000001</v>
      </c>
      <c r="J4358">
        <v>-192.3398</v>
      </c>
      <c r="K4358">
        <v>1.1048309999999999</v>
      </c>
      <c r="L4358">
        <v>201.63829999999999</v>
      </c>
      <c r="M4358">
        <v>0.12256930000000001</v>
      </c>
      <c r="N4358">
        <v>-1.4363000000000001E-2</v>
      </c>
      <c r="O4358">
        <v>-0.99235620000000002</v>
      </c>
      <c r="P4358">
        <v>7.5755039999999996E-2</v>
      </c>
      <c r="Q4358">
        <v>-8.9086470000000001E-2</v>
      </c>
      <c r="R4358">
        <v>-0.99313899999999999</v>
      </c>
      <c r="S4358">
        <v>-0.15310670000000001</v>
      </c>
      <c r="T4358">
        <v>-7.7175380000000002E-2</v>
      </c>
      <c r="U4358">
        <v>-3.026459</v>
      </c>
      <c r="V4358">
        <v>4.5610709999999999E-2</v>
      </c>
      <c r="W4358">
        <v>-7.5367959999999998E-2</v>
      </c>
      <c r="X4358">
        <v>0.99611209999999994</v>
      </c>
      <c r="Y4358">
        <v>0.17251649999999999</v>
      </c>
      <c r="Z4358">
        <v>1.0590570000000001E-2</v>
      </c>
      <c r="AA4358">
        <v>0.98494970000000004</v>
      </c>
      <c r="AB4358">
        <v>21</v>
      </c>
      <c r="AC4358">
        <v>-2.2029999999999998</v>
      </c>
      <c r="AD4358">
        <v>-1.1048456958399999</v>
      </c>
      <c r="AE4358">
        <v>-43.141399999999898</v>
      </c>
      <c r="AF4358">
        <v>7.46985513941266</v>
      </c>
      <c r="AG4358">
        <v>-1.1048456958399999</v>
      </c>
      <c r="AH4358">
        <v>42.518183082207699</v>
      </c>
      <c r="AI4358">
        <v>91.466066733208706</v>
      </c>
      <c r="AJ4358">
        <v>80.035614625485096</v>
      </c>
      <c r="AK4358">
        <v>43.183507412292997</v>
      </c>
      <c r="AL4358">
        <v>94.322364738496603</v>
      </c>
      <c r="AM4358">
        <v>87.378330087934998</v>
      </c>
      <c r="AN4358">
        <v>0.99999999101383696</v>
      </c>
    </row>
    <row r="4359" spans="1:40" x14ac:dyDescent="0.25">
      <c r="A4359" t="str">
        <f>"20190305135020434"</f>
        <v>20190305135020434</v>
      </c>
      <c r="B4359" t="str">
        <f>"1551765020425232"</f>
        <v>1551765020425232</v>
      </c>
      <c r="C4359" t="s">
        <v>40</v>
      </c>
      <c r="D4359">
        <v>4.5159779999999996</v>
      </c>
      <c r="E4359">
        <v>0.57245579999999996</v>
      </c>
      <c r="F4359" t="s">
        <v>42</v>
      </c>
      <c r="G4359">
        <v>-194.46889999999999</v>
      </c>
      <c r="H4359" s="1">
        <v>-2.0536830000000001E-6</v>
      </c>
      <c r="I4359">
        <v>181.6046</v>
      </c>
      <c r="J4359">
        <v>-192.33170000000001</v>
      </c>
      <c r="K4359">
        <v>1.105351</v>
      </c>
      <c r="L4359">
        <v>201.52780000000001</v>
      </c>
      <c r="M4359">
        <v>0.11803429999999999</v>
      </c>
      <c r="N4359">
        <v>-1.4951900000000001E-2</v>
      </c>
      <c r="O4359">
        <v>-0.99289689999999997</v>
      </c>
      <c r="P4359">
        <v>7.3749330000000002E-2</v>
      </c>
      <c r="Q4359">
        <v>-8.9754570000000006E-2</v>
      </c>
      <c r="R4359">
        <v>-0.99322969999999999</v>
      </c>
      <c r="S4359">
        <v>-0.322052</v>
      </c>
      <c r="T4359">
        <v>-0.1671185</v>
      </c>
      <c r="U4359">
        <v>-3.0303339999999999</v>
      </c>
      <c r="V4359">
        <v>4.3132419999999998E-2</v>
      </c>
      <c r="W4359">
        <v>-7.537924E-2</v>
      </c>
      <c r="X4359">
        <v>0.99622169999999999</v>
      </c>
      <c r="Y4359">
        <v>0.2221311</v>
      </c>
      <c r="Z4359">
        <v>3.8618550000000001E-2</v>
      </c>
      <c r="AA4359">
        <v>0.97425170000000005</v>
      </c>
      <c r="AB4359">
        <v>21</v>
      </c>
      <c r="AC4359">
        <v>-2.1371999999999698</v>
      </c>
      <c r="AD4359">
        <v>-1.1053530536830001</v>
      </c>
      <c r="AE4359">
        <v>-19.923200000000001</v>
      </c>
      <c r="AF4359">
        <v>4.4605666621860198</v>
      </c>
      <c r="AG4359">
        <v>-1.1053530536830001</v>
      </c>
      <c r="AH4359">
        <v>19.472348741013299</v>
      </c>
      <c r="AI4359">
        <v>93.1670652386385</v>
      </c>
      <c r="AJ4359">
        <v>77.097753764931198</v>
      </c>
      <c r="AK4359">
        <v>20.007269324241499</v>
      </c>
      <c r="AL4359">
        <v>94.323012599250603</v>
      </c>
      <c r="AM4359">
        <v>87.520869932650498</v>
      </c>
      <c r="AN4359">
        <v>1.0000000555144599</v>
      </c>
    </row>
    <row r="4360" spans="1:40" x14ac:dyDescent="0.25">
      <c r="A4360" t="str">
        <f>"20190305135020447"</f>
        <v>20190305135020447</v>
      </c>
      <c r="B4360" t="str">
        <f>"1551765020444753"</f>
        <v>1551765020444753</v>
      </c>
      <c r="C4360" t="s">
        <v>40</v>
      </c>
      <c r="D4360">
        <v>4.26281</v>
      </c>
      <c r="E4360">
        <v>0.57728310000000005</v>
      </c>
      <c r="F4360" t="s">
        <v>42</v>
      </c>
      <c r="G4360">
        <v>-194.55770000000001</v>
      </c>
      <c r="H4360" s="1">
        <v>-2.3300799999999998E-6</v>
      </c>
      <c r="I4360">
        <v>182.19380000000001</v>
      </c>
      <c r="J4360">
        <v>-192.3228</v>
      </c>
      <c r="K4360">
        <v>1.1060179999999999</v>
      </c>
      <c r="L4360">
        <v>201.4025</v>
      </c>
      <c r="M4360">
        <v>0.1131703</v>
      </c>
      <c r="N4360">
        <v>-1.5829360000000001E-2</v>
      </c>
      <c r="O4360">
        <v>-0.99344969999999999</v>
      </c>
      <c r="P4360">
        <v>7.16498E-2</v>
      </c>
      <c r="Q4360">
        <v>-9.2161380000000001E-2</v>
      </c>
      <c r="R4360">
        <v>-0.99316320000000002</v>
      </c>
      <c r="S4360">
        <v>-0.34893800000000003</v>
      </c>
      <c r="T4360">
        <v>-0.17326949999999999</v>
      </c>
      <c r="U4360">
        <v>-3.0307010000000001</v>
      </c>
      <c r="V4360">
        <v>4.0404740000000001E-2</v>
      </c>
      <c r="W4360">
        <v>-7.6836249999999995E-2</v>
      </c>
      <c r="X4360">
        <v>0.99622469999999996</v>
      </c>
      <c r="Y4360">
        <v>0.2258628</v>
      </c>
      <c r="Z4360">
        <v>3.9692520000000002E-2</v>
      </c>
      <c r="AA4360">
        <v>0.97335020000000005</v>
      </c>
      <c r="AB4360">
        <v>21</v>
      </c>
      <c r="AC4360">
        <v>-2.2349000000000099</v>
      </c>
      <c r="AD4360">
        <v>-1.10602033007999</v>
      </c>
      <c r="AE4360">
        <v>-19.2087</v>
      </c>
      <c r="AF4360">
        <v>4.3803364167695502</v>
      </c>
      <c r="AG4360">
        <v>-1.10602033007999</v>
      </c>
      <c r="AH4360">
        <v>18.770907725217501</v>
      </c>
      <c r="AI4360">
        <v>93.284054155469505</v>
      </c>
      <c r="AJ4360">
        <v>76.864652049172093</v>
      </c>
      <c r="AK4360">
        <v>19.3069315253165</v>
      </c>
      <c r="AL4360">
        <v>94.406736190730697</v>
      </c>
      <c r="AM4360">
        <v>87.6774788169228</v>
      </c>
      <c r="AN4360">
        <v>1.0000000026093101</v>
      </c>
    </row>
    <row r="4361" spans="1:40" x14ac:dyDescent="0.25">
      <c r="A4361" t="str">
        <f>"20190305135020461"</f>
        <v>20190305135020461</v>
      </c>
      <c r="B4361" t="str">
        <f>"1551765020454512"</f>
        <v>1551765020454512</v>
      </c>
      <c r="C4361" t="s">
        <v>40</v>
      </c>
      <c r="D4361">
        <v>4.2613770000000004</v>
      </c>
      <c r="E4361">
        <v>0.5803644</v>
      </c>
      <c r="F4361" t="s">
        <v>42</v>
      </c>
      <c r="G4361">
        <v>-195.92500000000001</v>
      </c>
      <c r="H4361" s="1">
        <v>-3.1609329999999999E-6</v>
      </c>
      <c r="I4361">
        <v>173.2825</v>
      </c>
      <c r="J4361">
        <v>-192.3143</v>
      </c>
      <c r="K4361">
        <v>1.1066530000000001</v>
      </c>
      <c r="L4361">
        <v>201.2784</v>
      </c>
      <c r="M4361">
        <v>0.1087384</v>
      </c>
      <c r="N4361">
        <v>-1.6822460000000001E-2</v>
      </c>
      <c r="O4361">
        <v>-0.99392809999999998</v>
      </c>
      <c r="P4361">
        <v>6.9986610000000005E-2</v>
      </c>
      <c r="Q4361">
        <v>-9.4800869999999995E-2</v>
      </c>
      <c r="R4361">
        <v>-0.99303319999999995</v>
      </c>
      <c r="S4361">
        <v>-0.38912960000000002</v>
      </c>
      <c r="T4361">
        <v>-0.1194769</v>
      </c>
      <c r="U4361">
        <v>-3.0376430000000001</v>
      </c>
      <c r="V4361">
        <v>3.7669840000000003E-2</v>
      </c>
      <c r="W4361">
        <v>-7.8420290000000004E-2</v>
      </c>
      <c r="X4361">
        <v>0.99620839999999999</v>
      </c>
      <c r="Y4361">
        <v>0.234043</v>
      </c>
      <c r="Z4361">
        <v>2.1317139999999998E-2</v>
      </c>
      <c r="AA4361">
        <v>0.97199259999999998</v>
      </c>
      <c r="AB4361">
        <v>21</v>
      </c>
      <c r="AC4361">
        <v>-3.6107</v>
      </c>
      <c r="AD4361">
        <v>-1.1066561609329999</v>
      </c>
      <c r="AE4361">
        <v>-27.995899999999999</v>
      </c>
      <c r="AF4361">
        <v>6.6237632962795896</v>
      </c>
      <c r="AG4361">
        <v>-1.1066561609329999</v>
      </c>
      <c r="AH4361">
        <v>27.3950650818418</v>
      </c>
      <c r="AI4361">
        <v>92.248550105714301</v>
      </c>
      <c r="AJ4361">
        <v>76.407509256942902</v>
      </c>
      <c r="AK4361">
        <v>28.206178736263102</v>
      </c>
      <c r="AL4361">
        <v>94.497769870350396</v>
      </c>
      <c r="AM4361">
        <v>87.834494224516405</v>
      </c>
      <c r="AN4361">
        <v>0.99999996747993403</v>
      </c>
    </row>
    <row r="4362" spans="1:40" x14ac:dyDescent="0.25">
      <c r="A4362" t="str">
        <f>"20190305135020477"</f>
        <v>20190305135020477</v>
      </c>
      <c r="B4362" t="str">
        <f>"1551765020475009"</f>
        <v>1551765020475009</v>
      </c>
      <c r="C4362" t="s">
        <v>40</v>
      </c>
      <c r="D4362">
        <v>4.282311</v>
      </c>
      <c r="E4362">
        <v>0.58333250000000003</v>
      </c>
      <c r="F4362" t="s">
        <v>42</v>
      </c>
      <c r="G4362">
        <v>-197.1283</v>
      </c>
      <c r="H4362" s="1">
        <v>-4.6437659999999998E-6</v>
      </c>
      <c r="I4362">
        <v>166.08599999999899</v>
      </c>
      <c r="J4362">
        <v>-192.30449999999999</v>
      </c>
      <c r="K4362">
        <v>1.107351</v>
      </c>
      <c r="L4362">
        <v>201.12870000000001</v>
      </c>
      <c r="M4362">
        <v>0.1037425</v>
      </c>
      <c r="N4362">
        <v>-1.8083450000000001E-2</v>
      </c>
      <c r="O4362">
        <v>-0.99443999999999999</v>
      </c>
      <c r="P4362">
        <v>6.7612539999999999E-2</v>
      </c>
      <c r="Q4362">
        <v>-9.8442929999999998E-2</v>
      </c>
      <c r="R4362">
        <v>-0.99284360000000005</v>
      </c>
      <c r="S4362">
        <v>-0.41601559999999999</v>
      </c>
      <c r="T4362">
        <v>-9.5634819999999995E-2</v>
      </c>
      <c r="U4362">
        <v>-3.041245</v>
      </c>
      <c r="V4362">
        <v>3.5078860000000003E-2</v>
      </c>
      <c r="W4362">
        <v>-8.0746280000000004E-2</v>
      </c>
      <c r="X4362">
        <v>0.99611719999999904</v>
      </c>
      <c r="Y4362">
        <v>0.23748320000000001</v>
      </c>
      <c r="Z4362">
        <v>1.237545E-2</v>
      </c>
      <c r="AA4362">
        <v>0.97131279999999998</v>
      </c>
      <c r="AB4362">
        <v>20</v>
      </c>
      <c r="AC4362">
        <v>-4.8238000000000003</v>
      </c>
      <c r="AD4362">
        <v>-1.1073556437659999</v>
      </c>
      <c r="AE4362">
        <v>-35.042700000000004</v>
      </c>
      <c r="AF4362">
        <v>8.4255172212666896</v>
      </c>
      <c r="AG4362">
        <v>-1.1073556437659999</v>
      </c>
      <c r="AH4362">
        <v>34.319406414977898</v>
      </c>
      <c r="AI4362">
        <v>91.794813432190395</v>
      </c>
      <c r="AJ4362">
        <v>76.206514667864596</v>
      </c>
      <c r="AK4362">
        <v>35.355865618650498</v>
      </c>
      <c r="AL4362">
        <v>94.631463293953303</v>
      </c>
      <c r="AM4362">
        <v>87.983128484557</v>
      </c>
      <c r="AN4362">
        <v>0.99999998214428798</v>
      </c>
    </row>
    <row r="4363" spans="1:40" x14ac:dyDescent="0.25">
      <c r="A4363" t="str">
        <f>"20190305135020491"</f>
        <v>20190305135020491</v>
      </c>
      <c r="B4363" t="str">
        <f>"1551765020484769"</f>
        <v>1551765020484769</v>
      </c>
      <c r="C4363" t="s">
        <v>40</v>
      </c>
      <c r="D4363">
        <v>4.2849870000000001</v>
      </c>
      <c r="E4363">
        <v>0.58425459999999996</v>
      </c>
      <c r="F4363" t="s">
        <v>94</v>
      </c>
      <c r="G4363">
        <v>-199.28720000000001</v>
      </c>
      <c r="H4363" s="1">
        <v>-1.331267E-5</v>
      </c>
      <c r="I4363">
        <v>153.23599999999999</v>
      </c>
      <c r="J4363">
        <v>-192.29660000000001</v>
      </c>
      <c r="K4363">
        <v>1.1078570000000001</v>
      </c>
      <c r="L4363">
        <v>201.0059</v>
      </c>
      <c r="M4363">
        <v>9.987704E-2</v>
      </c>
      <c r="N4363">
        <v>-1.9125619999999999E-2</v>
      </c>
      <c r="O4363">
        <v>-0.99481609999999998</v>
      </c>
      <c r="P4363">
        <v>6.6040020000000005E-2</v>
      </c>
      <c r="Q4363">
        <v>-9.9939509999999995E-2</v>
      </c>
      <c r="R4363">
        <v>-0.9927996</v>
      </c>
      <c r="S4363">
        <v>-0.44393919999999998</v>
      </c>
      <c r="T4363">
        <v>-7.0402619999999999E-2</v>
      </c>
      <c r="U4363">
        <v>-3.044861</v>
      </c>
      <c r="V4363">
        <v>3.2834009999999997E-2</v>
      </c>
      <c r="W4363">
        <v>-8.1160830000000003E-2</v>
      </c>
      <c r="X4363">
        <v>0.99616000000000005</v>
      </c>
      <c r="Y4363">
        <v>0.24230470000000001</v>
      </c>
      <c r="Z4363">
        <v>3.214527E-3</v>
      </c>
      <c r="AA4363">
        <v>0.97019489999999997</v>
      </c>
      <c r="AB4363">
        <v>20</v>
      </c>
      <c r="AC4363">
        <v>-6.9905999999999997</v>
      </c>
      <c r="AD4363">
        <v>-1.10787031266999</v>
      </c>
      <c r="AE4363">
        <v>-47.7699</v>
      </c>
      <c r="AF4363">
        <v>11.7214487674912</v>
      </c>
      <c r="AG4363">
        <v>-1.10787031266999</v>
      </c>
      <c r="AH4363">
        <v>46.807976430182897</v>
      </c>
      <c r="AI4363">
        <v>91.315250347120895</v>
      </c>
      <c r="AJ4363">
        <v>75.941345854902195</v>
      </c>
      <c r="AK4363">
        <v>48.2659962636966</v>
      </c>
      <c r="AL4363">
        <v>94.655293627897805</v>
      </c>
      <c r="AM4363">
        <v>88.112181398593705</v>
      </c>
      <c r="AN4363">
        <v>0.99999994906948297</v>
      </c>
    </row>
    <row r="4364" spans="1:40" x14ac:dyDescent="0.25">
      <c r="A4364" t="str">
        <f>"20190305135020504"</f>
        <v>20190305135020504</v>
      </c>
      <c r="B4364" t="str">
        <f>"1551765020494529"</f>
        <v>1551765020494529</v>
      </c>
      <c r="C4364" t="s">
        <v>40</v>
      </c>
      <c r="D4364">
        <v>4.259417</v>
      </c>
      <c r="E4364">
        <v>0.58489659999999999</v>
      </c>
      <c r="F4364" t="s">
        <v>94</v>
      </c>
      <c r="G4364">
        <v>-200.17070000000001</v>
      </c>
      <c r="H4364" s="1">
        <v>-1.2002570000000001E-5</v>
      </c>
      <c r="I4364">
        <v>148.39150000000001</v>
      </c>
      <c r="J4364">
        <v>-192.28960000000001</v>
      </c>
      <c r="K4364">
        <v>1.1082209999999999</v>
      </c>
      <c r="L4364">
        <v>200.892</v>
      </c>
      <c r="M4364">
        <v>9.6281450000000005E-2</v>
      </c>
      <c r="N4364">
        <v>-1.9932269999999998E-2</v>
      </c>
      <c r="O4364">
        <v>-0.99515469999999895</v>
      </c>
      <c r="P4364">
        <v>6.4240809999999995E-2</v>
      </c>
      <c r="Q4364">
        <v>-0.1009036</v>
      </c>
      <c r="R4364">
        <v>-0.99282020000000004</v>
      </c>
      <c r="S4364">
        <v>-0.45579530000000001</v>
      </c>
      <c r="T4364">
        <v>-6.4129829999999999E-2</v>
      </c>
      <c r="U4364">
        <v>-3.0456240000000001</v>
      </c>
      <c r="V4364">
        <v>3.1083320000000001E-2</v>
      </c>
      <c r="W4364">
        <v>-8.1288639999999995E-2</v>
      </c>
      <c r="X4364">
        <v>0.99620580000000003</v>
      </c>
      <c r="Y4364">
        <v>0.24246139999999999</v>
      </c>
      <c r="Z4364">
        <v>4.0093559999999998E-4</v>
      </c>
      <c r="AA4364">
        <v>0.97016100000000005</v>
      </c>
      <c r="AB4364">
        <v>20</v>
      </c>
      <c r="AC4364">
        <v>-7.8811</v>
      </c>
      <c r="AD4364">
        <v>-1.10823300256999</v>
      </c>
      <c r="AE4364">
        <v>-52.500499999999903</v>
      </c>
      <c r="AF4364">
        <v>12.8946798559136</v>
      </c>
      <c r="AG4364">
        <v>-1.10823300256999</v>
      </c>
      <c r="AH4364">
        <v>51.475107700495798</v>
      </c>
      <c r="AI4364">
        <v>91.196402697360895</v>
      </c>
      <c r="AJ4364">
        <v>75.936623777673901</v>
      </c>
      <c r="AK4364">
        <v>53.077185887649797</v>
      </c>
      <c r="AL4364">
        <v>94.662640613151893</v>
      </c>
      <c r="AM4364">
        <v>88.212853766729395</v>
      </c>
      <c r="AN4364">
        <v>1.00000000586445</v>
      </c>
    </row>
    <row r="4365" spans="1:40" x14ac:dyDescent="0.25">
      <c r="A4365" t="str">
        <f>"20190305135020516"</f>
        <v>20190305135020516</v>
      </c>
      <c r="B4365" t="str">
        <f>"1551765020505264"</f>
        <v>1551765020505264</v>
      </c>
      <c r="C4365" t="s">
        <v>40</v>
      </c>
      <c r="D4365">
        <v>4.2895250000000003</v>
      </c>
      <c r="E4365">
        <v>0.58507219999999904</v>
      </c>
      <c r="F4365" t="s">
        <v>94</v>
      </c>
      <c r="G4365">
        <v>-201.02869999999999</v>
      </c>
      <c r="H4365" s="1">
        <v>-1.023809E-5</v>
      </c>
      <c r="I4365">
        <v>143.73929999999999</v>
      </c>
      <c r="J4365">
        <v>-192.2833</v>
      </c>
      <c r="K4365">
        <v>1.108365</v>
      </c>
      <c r="L4365">
        <v>200.78710000000001</v>
      </c>
      <c r="M4365">
        <v>9.2859559999999994E-2</v>
      </c>
      <c r="N4365">
        <v>-2.023287E-2</v>
      </c>
      <c r="O4365">
        <v>-0.99547370000000002</v>
      </c>
      <c r="P4365">
        <v>6.2704339999999997E-2</v>
      </c>
      <c r="Q4365">
        <v>-0.101229</v>
      </c>
      <c r="R4365">
        <v>-0.99288520000000002</v>
      </c>
      <c r="S4365">
        <v>-0.4657288</v>
      </c>
      <c r="T4365">
        <v>-5.9060929999999998E-2</v>
      </c>
      <c r="U4365">
        <v>-3.0458370000000001</v>
      </c>
      <c r="V4365">
        <v>2.9232649999999999E-2</v>
      </c>
      <c r="W4365">
        <v>-8.1288959999999993E-2</v>
      </c>
      <c r="X4365">
        <v>0.99626179999999998</v>
      </c>
      <c r="Y4365">
        <v>0.2422117</v>
      </c>
      <c r="Z4365">
        <v>-1.513765E-3</v>
      </c>
      <c r="AA4365">
        <v>0.97022220000000003</v>
      </c>
      <c r="AB4365">
        <v>20</v>
      </c>
      <c r="AC4365">
        <v>-8.7453999999999894</v>
      </c>
      <c r="AD4365">
        <v>-1.10837523809</v>
      </c>
      <c r="AE4365">
        <v>-57.047800000000002</v>
      </c>
      <c r="AF4365">
        <v>14.0009516003543</v>
      </c>
      <c r="AG4365">
        <v>-1.10837523809</v>
      </c>
      <c r="AH4365">
        <v>55.9683055625203</v>
      </c>
      <c r="AI4365">
        <v>91.100609324481596</v>
      </c>
      <c r="AJ4365">
        <v>75.955205590245896</v>
      </c>
      <c r="AK4365">
        <v>57.703607936796502</v>
      </c>
      <c r="AL4365">
        <v>94.662658996403096</v>
      </c>
      <c r="AM4365">
        <v>88.319290136486401</v>
      </c>
      <c r="AN4365">
        <v>1.0000000084915699</v>
      </c>
    </row>
    <row r="4366" spans="1:40" x14ac:dyDescent="0.25">
      <c r="A4366" t="str">
        <f>"20190305135020530"</f>
        <v>20190305135020530</v>
      </c>
      <c r="B4366" t="str">
        <f>"1551765020524784"</f>
        <v>1551765020524784</v>
      </c>
      <c r="C4366" t="s">
        <v>40</v>
      </c>
      <c r="D4366">
        <v>4.3019080000000001</v>
      </c>
      <c r="E4366">
        <v>0.58528829999999998</v>
      </c>
      <c r="F4366" t="s">
        <v>94</v>
      </c>
      <c r="G4366">
        <v>-201.81280000000001</v>
      </c>
      <c r="H4366" s="1">
        <v>-8.6704249999999992E-6</v>
      </c>
      <c r="I4366">
        <v>139.23330000000001</v>
      </c>
      <c r="J4366">
        <v>-192.2757</v>
      </c>
      <c r="K4366">
        <v>1.108309</v>
      </c>
      <c r="L4366">
        <v>200.65620000000001</v>
      </c>
      <c r="M4366">
        <v>8.8506050000000003E-2</v>
      </c>
      <c r="N4366">
        <v>-2.008886E-2</v>
      </c>
      <c r="O4366">
        <v>-0.99587329999999996</v>
      </c>
      <c r="P4366">
        <v>6.0092310000000003E-2</v>
      </c>
      <c r="Q4366">
        <v>-0.1008245</v>
      </c>
      <c r="R4366">
        <v>-0.99308810000000003</v>
      </c>
      <c r="S4366">
        <v>-0.47152709999999998</v>
      </c>
      <c r="T4366">
        <v>-5.484319E-2</v>
      </c>
      <c r="U4366">
        <v>-3.045731</v>
      </c>
      <c r="V4366">
        <v>2.7527530000000001E-2</v>
      </c>
      <c r="W4366">
        <v>-8.1006999999999996E-2</v>
      </c>
      <c r="X4366">
        <v>0.99633329999999998</v>
      </c>
      <c r="Y4366">
        <v>0.23978279999999999</v>
      </c>
      <c r="Z4366">
        <v>-2.6963379999999999E-3</v>
      </c>
      <c r="AA4366">
        <v>0.97082279999999999</v>
      </c>
      <c r="AB4366">
        <v>19</v>
      </c>
      <c r="AC4366">
        <v>-9.5371000000000095</v>
      </c>
      <c r="AD4366">
        <v>-1.108317670425</v>
      </c>
      <c r="AE4366">
        <v>-61.422899999999998</v>
      </c>
      <c r="AF4366">
        <v>14.9323046745181</v>
      </c>
      <c r="AG4366">
        <v>-1.108317670425</v>
      </c>
      <c r="AH4366">
        <v>60.3183192147537</v>
      </c>
      <c r="AI4366">
        <v>91.021822752610603</v>
      </c>
      <c r="AJ4366">
        <v>76.095498056321404</v>
      </c>
      <c r="AK4366">
        <v>62.149028341914899</v>
      </c>
      <c r="AL4366">
        <v>94.646450594420699</v>
      </c>
      <c r="AM4366">
        <v>88.417386882138004</v>
      </c>
      <c r="AN4366">
        <v>0.99999997182289502</v>
      </c>
    </row>
    <row r="4367" spans="1:40" x14ac:dyDescent="0.25">
      <c r="A4367" t="str">
        <f>"20190305135020544"</f>
        <v>20190305135020544</v>
      </c>
      <c r="B4367" t="str">
        <f>"1551765020534544"</f>
        <v>1551765020534544</v>
      </c>
      <c r="C4367" t="s">
        <v>40</v>
      </c>
      <c r="D4367">
        <v>4.2888519999999897</v>
      </c>
      <c r="E4367">
        <v>0.5855359</v>
      </c>
      <c r="F4367" t="s">
        <v>94</v>
      </c>
      <c r="G4367">
        <v>-203.4967</v>
      </c>
      <c r="H4367">
        <v>1.6637019999999999E-2</v>
      </c>
      <c r="I4367">
        <v>129.5975</v>
      </c>
      <c r="J4367">
        <v>-192.26900000000001</v>
      </c>
      <c r="K4367">
        <v>1.107928</v>
      </c>
      <c r="L4367">
        <v>200.5325</v>
      </c>
      <c r="M4367">
        <v>8.4861710000000007E-2</v>
      </c>
      <c r="N4367">
        <v>-1.9356959999999999E-2</v>
      </c>
      <c r="O4367">
        <v>-0.9962048</v>
      </c>
      <c r="P4367">
        <v>6.0641899999999999E-2</v>
      </c>
      <c r="Q4367">
        <v>-9.9566500000000002E-2</v>
      </c>
      <c r="R4367">
        <v>-0.9931818</v>
      </c>
      <c r="S4367">
        <v>-0.48088069999999999</v>
      </c>
      <c r="T4367">
        <v>-4.678392E-2</v>
      </c>
      <c r="U4367">
        <v>-3.045242</v>
      </c>
      <c r="V4367">
        <v>2.333269E-2</v>
      </c>
      <c r="W4367">
        <v>-8.0452109999999993E-2</v>
      </c>
      <c r="X4367">
        <v>0.99648539999999997</v>
      </c>
      <c r="Y4367">
        <v>0.2391741</v>
      </c>
      <c r="Z4367">
        <v>-4.5248720000000001E-3</v>
      </c>
      <c r="AA4367">
        <v>0.9709662</v>
      </c>
      <c r="AB4367">
        <v>20</v>
      </c>
      <c r="AC4367">
        <v>-11.2277</v>
      </c>
      <c r="AD4367">
        <v>-1.0912909799999999</v>
      </c>
      <c r="AE4367">
        <v>-70.935000000000002</v>
      </c>
      <c r="AF4367">
        <v>17.2040041016344</v>
      </c>
      <c r="AG4367">
        <v>-1.0912909799999999</v>
      </c>
      <c r="AH4367">
        <v>69.709946979100295</v>
      </c>
      <c r="AI4367">
        <v>90.870755613331795</v>
      </c>
      <c r="AJ4367">
        <v>76.136765710778903</v>
      </c>
      <c r="AK4367">
        <v>71.809786108587303</v>
      </c>
      <c r="AL4367">
        <v>94.614553245697806</v>
      </c>
      <c r="AM4367">
        <v>88.6586653202462</v>
      </c>
      <c r="AN4367">
        <v>1.0000000544196199</v>
      </c>
    </row>
    <row r="4368" spans="1:40" x14ac:dyDescent="0.25">
      <c r="A4368" t="str">
        <f>"20190305135020556"</f>
        <v>20190305135020556</v>
      </c>
      <c r="B4368" t="str">
        <f>"1551765020545280"</f>
        <v>1551765020545280</v>
      </c>
      <c r="C4368" t="s">
        <v>40</v>
      </c>
      <c r="D4368">
        <v>4.2551839999999999</v>
      </c>
      <c r="E4368">
        <v>0.58568379999999998</v>
      </c>
      <c r="F4368" t="s">
        <v>43</v>
      </c>
      <c r="G4368">
        <v>-207.8845</v>
      </c>
      <c r="H4368">
        <v>-0.05</v>
      </c>
      <c r="I4368">
        <v>101.5296</v>
      </c>
      <c r="J4368">
        <v>-192.26349999999999</v>
      </c>
      <c r="K4368">
        <v>1.1076950000000001</v>
      </c>
      <c r="L4368">
        <v>200.4248</v>
      </c>
      <c r="M4368">
        <v>8.1937599999999999E-2</v>
      </c>
      <c r="N4368">
        <v>-1.8800910000000001E-2</v>
      </c>
      <c r="O4368">
        <v>-0.99646029999999997</v>
      </c>
      <c r="P4368">
        <v>5.9893630000000003E-2</v>
      </c>
      <c r="Q4368">
        <v>-9.9434960000000003E-2</v>
      </c>
      <c r="R4368">
        <v>-0.99324009999999996</v>
      </c>
      <c r="S4368">
        <v>-0.48049930000000002</v>
      </c>
      <c r="T4368">
        <v>-3.5630229999999999E-2</v>
      </c>
      <c r="U4368">
        <v>-3.0463870000000002</v>
      </c>
      <c r="V4368">
        <v>2.1154059999999999E-2</v>
      </c>
      <c r="W4368">
        <v>-8.0860509999999997E-2</v>
      </c>
      <c r="X4368">
        <v>0.99650090000000002</v>
      </c>
      <c r="Y4368">
        <v>0.23615729999999999</v>
      </c>
      <c r="Z4368">
        <v>-7.5228949999999999E-3</v>
      </c>
      <c r="AA4368">
        <v>0.97168569999999999</v>
      </c>
      <c r="AB4368">
        <v>20</v>
      </c>
      <c r="AC4368">
        <v>-15.621</v>
      </c>
      <c r="AD4368">
        <v>-1.1576949999999999</v>
      </c>
      <c r="AE4368">
        <v>-98.895200000000003</v>
      </c>
      <c r="AF4368">
        <v>23.669956845640801</v>
      </c>
      <c r="AG4368">
        <v>-1.1576949999999999</v>
      </c>
      <c r="AH4368">
        <v>97.269365110633899</v>
      </c>
      <c r="AI4368">
        <v>90.662565746515895</v>
      </c>
      <c r="AJ4368">
        <v>76.323220043747398</v>
      </c>
      <c r="AK4368">
        <v>100.114616833973</v>
      </c>
      <c r="AL4368">
        <v>94.638029672494596</v>
      </c>
      <c r="AM4368">
        <v>88.783888362290597</v>
      </c>
      <c r="AN4368">
        <v>0.99999998001637602</v>
      </c>
    </row>
    <row r="4369" spans="1:40" x14ac:dyDescent="0.25">
      <c r="A4369" t="str">
        <f>"20190305135020567"</f>
        <v>20190305135020567</v>
      </c>
      <c r="B4369" t="str">
        <f>"1551765020564800"</f>
        <v>1551765020564800</v>
      </c>
      <c r="C4369" t="s">
        <v>40</v>
      </c>
      <c r="D4369">
        <v>4.3219260000000004</v>
      </c>
      <c r="E4369">
        <v>0.5857443</v>
      </c>
      <c r="F4369" t="s">
        <v>43</v>
      </c>
      <c r="G4369">
        <v>-211.79419999999999</v>
      </c>
      <c r="H4369">
        <v>-0.05</v>
      </c>
      <c r="I4369">
        <v>77.36421</v>
      </c>
      <c r="J4369">
        <v>-192.25829999999999</v>
      </c>
      <c r="K4369">
        <v>1.1075539999999999</v>
      </c>
      <c r="L4369">
        <v>200.31899999999999</v>
      </c>
      <c r="M4369">
        <v>7.9269080000000006E-2</v>
      </c>
      <c r="N4369">
        <v>-1.8321549999999999E-2</v>
      </c>
      <c r="O4369">
        <v>-0.99668489999999998</v>
      </c>
      <c r="P4369">
        <v>5.9414460000000002E-2</v>
      </c>
      <c r="Q4369">
        <v>-9.8959800000000001E-2</v>
      </c>
      <c r="R4369">
        <v>-0.99331639999999999</v>
      </c>
      <c r="S4369">
        <v>-0.48353580000000002</v>
      </c>
      <c r="T4369">
        <v>-2.8661969999999998E-2</v>
      </c>
      <c r="U4369">
        <v>-3.0467070000000001</v>
      </c>
      <c r="V4369">
        <v>1.8975769999999999E-2</v>
      </c>
      <c r="W4369">
        <v>-8.0845970000000003E-2</v>
      </c>
      <c r="X4369">
        <v>0.99654600000000004</v>
      </c>
      <c r="Y4369">
        <v>0.23448920000000001</v>
      </c>
      <c r="Z4369">
        <v>-9.2633209999999997E-3</v>
      </c>
      <c r="AA4369">
        <v>0.97207460000000001</v>
      </c>
      <c r="AB4369">
        <v>20</v>
      </c>
      <c r="AC4369">
        <v>-19.535900000000002</v>
      </c>
      <c r="AD4369">
        <v>-1.157554</v>
      </c>
      <c r="AE4369">
        <v>-122.95479</v>
      </c>
      <c r="AF4369">
        <v>29.2200278506713</v>
      </c>
      <c r="AG4369">
        <v>-1.157554</v>
      </c>
      <c r="AH4369">
        <v>121.008438673112</v>
      </c>
      <c r="AI4369">
        <v>90.532757570236896</v>
      </c>
      <c r="AJ4369">
        <v>76.424601899880003</v>
      </c>
      <c r="AK4369">
        <v>124.49173542433</v>
      </c>
      <c r="AL4369">
        <v>94.637193574703602</v>
      </c>
      <c r="AM4369">
        <v>88.909131982161298</v>
      </c>
      <c r="AN4369">
        <v>1.00000004041416</v>
      </c>
    </row>
    <row r="4370" spans="1:40" x14ac:dyDescent="0.25">
      <c r="A4370" t="str">
        <f>"20190305135020581"</f>
        <v>20190305135020581</v>
      </c>
      <c r="B4370" t="str">
        <f>"1551765020574560"</f>
        <v>1551765020574560</v>
      </c>
      <c r="C4370" t="s">
        <v>40</v>
      </c>
      <c r="D4370">
        <v>4.2966089999999904</v>
      </c>
      <c r="E4370">
        <v>0.58569439999999995</v>
      </c>
      <c r="F4370" t="s">
        <v>63</v>
      </c>
      <c r="G4370">
        <v>-212.2253</v>
      </c>
      <c r="H4370">
        <v>0.31524869999999999</v>
      </c>
      <c r="I4370">
        <v>74.851169999999996</v>
      </c>
      <c r="J4370">
        <v>-192.25309999999999</v>
      </c>
      <c r="K4370">
        <v>1.1076549999999901</v>
      </c>
      <c r="L4370">
        <v>200.20779999999999</v>
      </c>
      <c r="M4370">
        <v>7.6785149999999996E-2</v>
      </c>
      <c r="N4370">
        <v>-1.8107140000000001E-2</v>
      </c>
      <c r="O4370">
        <v>-0.99688330000000003</v>
      </c>
      <c r="P4370">
        <v>5.9089990000000002E-2</v>
      </c>
      <c r="Q4370">
        <v>-9.8559599999999997E-2</v>
      </c>
      <c r="R4370">
        <v>-0.99337540000000002</v>
      </c>
      <c r="S4370">
        <v>-0.48493960000000003</v>
      </c>
      <c r="T4370">
        <v>-1.9242289999999999E-2</v>
      </c>
      <c r="U4370">
        <v>-3.0472410000000001</v>
      </c>
      <c r="V4370">
        <v>1.6856639999999999E-2</v>
      </c>
      <c r="W4370">
        <v>-8.0637E-2</v>
      </c>
      <c r="X4370">
        <v>0.99660099999999996</v>
      </c>
      <c r="Y4370">
        <v>0.23247970000000001</v>
      </c>
      <c r="Z4370">
        <v>-1.2057E-2</v>
      </c>
      <c r="AA4370">
        <v>0.97252649999999996</v>
      </c>
      <c r="AB4370">
        <v>20</v>
      </c>
      <c r="AC4370">
        <v>-19.972200000000001</v>
      </c>
      <c r="AD4370">
        <v>-0.79240629999999901</v>
      </c>
      <c r="AE4370">
        <v>-125.35663</v>
      </c>
      <c r="AF4370">
        <v>29.539170158242499</v>
      </c>
      <c r="AG4370">
        <v>-0.79240629999999901</v>
      </c>
      <c r="AH4370">
        <v>123.447783058558</v>
      </c>
      <c r="AI4370">
        <v>90.357677229475001</v>
      </c>
      <c r="AJ4370">
        <v>76.543022642779306</v>
      </c>
      <c r="AK4370">
        <v>126.93520245958101</v>
      </c>
      <c r="AL4370">
        <v>94.625181385559202</v>
      </c>
      <c r="AM4370">
        <v>89.0309840728616</v>
      </c>
      <c r="AN4370">
        <v>1.00000001264104</v>
      </c>
    </row>
    <row r="4371" spans="1:40" x14ac:dyDescent="0.25">
      <c r="A4371" t="str">
        <f>"20190305135020594"</f>
        <v>20190305135020594</v>
      </c>
      <c r="B4371" t="str">
        <f>"1551765020585297"</f>
        <v>1551765020585297</v>
      </c>
      <c r="C4371" t="s">
        <v>40</v>
      </c>
      <c r="D4371">
        <v>4.2643950000000004</v>
      </c>
      <c r="E4371">
        <v>0.58612869999999995</v>
      </c>
      <c r="F4371" t="s">
        <v>63</v>
      </c>
      <c r="G4371">
        <v>-212.2253</v>
      </c>
      <c r="H4371">
        <v>0.50237799999999999</v>
      </c>
      <c r="I4371">
        <v>74.863849999999999</v>
      </c>
      <c r="J4371">
        <v>-192.2475</v>
      </c>
      <c r="K4371">
        <v>1.1078669999999999</v>
      </c>
      <c r="L4371">
        <v>200.08609999999999</v>
      </c>
      <c r="M4371">
        <v>7.4183509999999994E-2</v>
      </c>
      <c r="N4371">
        <v>-1.795768E-2</v>
      </c>
      <c r="O4371">
        <v>-0.9970831</v>
      </c>
      <c r="P4371">
        <v>5.877404E-2</v>
      </c>
      <c r="Q4371">
        <v>-9.8150409999999993E-2</v>
      </c>
      <c r="R4371">
        <v>-0.99343479999999995</v>
      </c>
      <c r="S4371">
        <v>-0.48558040000000002</v>
      </c>
      <c r="T4371">
        <v>-1.471543E-2</v>
      </c>
      <c r="U4371">
        <v>-3.0474549999999998</v>
      </c>
      <c r="V4371">
        <v>1.462842E-2</v>
      </c>
      <c r="W4371">
        <v>-8.0352259999999995E-2</v>
      </c>
      <c r="X4371">
        <v>0.99665919999999997</v>
      </c>
      <c r="Y4371">
        <v>0.23013149999999999</v>
      </c>
      <c r="Z4371">
        <v>-1.3349990000000001E-2</v>
      </c>
      <c r="AA4371">
        <v>0.97306800000000004</v>
      </c>
      <c r="AB4371">
        <v>20</v>
      </c>
      <c r="AC4371">
        <v>-19.977799999999998</v>
      </c>
      <c r="AD4371">
        <v>-0.60548899999999894</v>
      </c>
      <c r="AE4371">
        <v>-125.22225</v>
      </c>
      <c r="AF4371">
        <v>29.212991952680799</v>
      </c>
      <c r="AG4371">
        <v>-0.60548899999999894</v>
      </c>
      <c r="AH4371">
        <v>123.392026810052</v>
      </c>
      <c r="AI4371">
        <v>90.273587462153301</v>
      </c>
      <c r="AJ4371">
        <v>76.680496736814703</v>
      </c>
      <c r="AK4371">
        <v>126.80440763652101</v>
      </c>
      <c r="AL4371">
        <v>94.608813845807205</v>
      </c>
      <c r="AM4371">
        <v>89.159104187210701</v>
      </c>
      <c r="AN4371">
        <v>1.0000000186517199</v>
      </c>
    </row>
    <row r="4372" spans="1:40" x14ac:dyDescent="0.25">
      <c r="A4372" t="str">
        <f>"20190305135020607"</f>
        <v>20190305135020607</v>
      </c>
      <c r="B4372" t="str">
        <f>"1551765020604816"</f>
        <v>1551765020604816</v>
      </c>
      <c r="C4372" t="s">
        <v>40</v>
      </c>
      <c r="D4372">
        <v>4.269698</v>
      </c>
      <c r="E4372">
        <v>0.58701040000000004</v>
      </c>
      <c r="F4372" t="s">
        <v>63</v>
      </c>
      <c r="G4372">
        <v>-212.22540000000001</v>
      </c>
      <c r="H4372">
        <v>0.68461619999999901</v>
      </c>
      <c r="I4372">
        <v>75.751469999999998</v>
      </c>
      <c r="J4372">
        <v>-192.24189999999999</v>
      </c>
      <c r="K4372">
        <v>1.1081909999999999</v>
      </c>
      <c r="L4372">
        <v>199.96369999999999</v>
      </c>
      <c r="M4372">
        <v>7.1696010000000004E-2</v>
      </c>
      <c r="N4372">
        <v>-1.787774E-2</v>
      </c>
      <c r="O4372">
        <v>-0.99726630000000005</v>
      </c>
      <c r="P4372">
        <v>5.8382469999999999E-2</v>
      </c>
      <c r="Q4372">
        <v>-9.7577230000000001E-2</v>
      </c>
      <c r="R4372">
        <v>-0.99351429999999996</v>
      </c>
      <c r="S4372">
        <v>-0.48971559999999997</v>
      </c>
      <c r="T4372">
        <v>-1.037455E-2</v>
      </c>
      <c r="U4372">
        <v>-3.0477910000000001</v>
      </c>
      <c r="V4372">
        <v>1.260997E-2</v>
      </c>
      <c r="W4372">
        <v>-7.983498E-2</v>
      </c>
      <c r="X4372">
        <v>0.99672839999999996</v>
      </c>
      <c r="Y4372">
        <v>0.22897480000000001</v>
      </c>
      <c r="Z4372">
        <v>-1.465668E-2</v>
      </c>
      <c r="AA4372">
        <v>0.97332200000000002</v>
      </c>
      <c r="AB4372">
        <v>20</v>
      </c>
      <c r="AC4372">
        <v>-19.983499999999999</v>
      </c>
      <c r="AD4372">
        <v>-0.42357479999999997</v>
      </c>
      <c r="AE4372">
        <v>-124.21223000000001</v>
      </c>
      <c r="AF4372">
        <v>28.8386744657106</v>
      </c>
      <c r="AG4372">
        <v>-0.42357479999999997</v>
      </c>
      <c r="AH4372">
        <v>122.45811685536501</v>
      </c>
      <c r="AI4372">
        <v>90.192904676474797</v>
      </c>
      <c r="AJ4372">
        <v>76.748397227077803</v>
      </c>
      <c r="AK4372">
        <v>125.808739538685</v>
      </c>
      <c r="AL4372">
        <v>94.579080129042794</v>
      </c>
      <c r="AM4372">
        <v>89.275169125760598</v>
      </c>
      <c r="AN4372">
        <v>1.00000006937077</v>
      </c>
    </row>
    <row r="4373" spans="1:40" x14ac:dyDescent="0.25">
      <c r="A4373" t="str">
        <f>"20190305135020623"</f>
        <v>20190305135020623</v>
      </c>
      <c r="B4373" t="str">
        <f>"1551765020614576"</f>
        <v>1551765020614576</v>
      </c>
      <c r="C4373" t="s">
        <v>40</v>
      </c>
      <c r="D4373">
        <v>4.2673059999999996</v>
      </c>
      <c r="E4373">
        <v>0.58722810000000003</v>
      </c>
      <c r="F4373" t="s">
        <v>63</v>
      </c>
      <c r="G4373">
        <v>-212.22550000000001</v>
      </c>
      <c r="H4373">
        <v>1.0202209999999901</v>
      </c>
      <c r="I4373">
        <v>77.657790000000006</v>
      </c>
      <c r="J4373">
        <v>-192.2354</v>
      </c>
      <c r="K4373">
        <v>1.1085480000000001</v>
      </c>
      <c r="L4373">
        <v>199.82570000000001</v>
      </c>
      <c r="M4373">
        <v>6.8996520000000006E-2</v>
      </c>
      <c r="N4373">
        <v>-1.764845E-2</v>
      </c>
      <c r="O4373">
        <v>-0.99746100000000004</v>
      </c>
      <c r="P4373">
        <v>5.9488329999999999E-2</v>
      </c>
      <c r="Q4373">
        <v>-9.7478430000000005E-2</v>
      </c>
      <c r="R4373">
        <v>-0.99345870000000003</v>
      </c>
      <c r="S4373">
        <v>-0.49812319999999999</v>
      </c>
      <c r="T4373">
        <v>-2.1922589999999998E-3</v>
      </c>
      <c r="U4373">
        <v>-3.0486599999999999</v>
      </c>
      <c r="V4373">
        <v>8.8871339999999997E-3</v>
      </c>
      <c r="W4373">
        <v>-7.9936060000000003E-2</v>
      </c>
      <c r="X4373">
        <v>0.99676039999999999</v>
      </c>
      <c r="Y4373">
        <v>0.22891210000000001</v>
      </c>
      <c r="Z4373">
        <v>-1.704545E-2</v>
      </c>
      <c r="AA4373">
        <v>0.97329779999999999</v>
      </c>
      <c r="AB4373">
        <v>20</v>
      </c>
      <c r="AC4373">
        <v>-19.990100000000002</v>
      </c>
      <c r="AD4373">
        <v>-8.8327000000000003E-2</v>
      </c>
      <c r="AE4373">
        <v>-122.16791000000001</v>
      </c>
      <c r="AF4373">
        <v>28.372904147487901</v>
      </c>
      <c r="AG4373">
        <v>-8.8327000000000003E-2</v>
      </c>
      <c r="AH4373">
        <v>120.49715780344999</v>
      </c>
      <c r="AI4373">
        <v>90.040881013404601</v>
      </c>
      <c r="AJ4373">
        <v>76.750184798920102</v>
      </c>
      <c r="AK4373">
        <v>123.79254634319</v>
      </c>
      <c r="AL4373">
        <v>94.5848903588371</v>
      </c>
      <c r="AM4373">
        <v>89.489163315557306</v>
      </c>
      <c r="AN4373">
        <v>1.0000000249236001</v>
      </c>
    </row>
    <row r="4374" spans="1:40" x14ac:dyDescent="0.25">
      <c r="A4374" t="str">
        <f>"20190305135020636"</f>
        <v>20190305135020636</v>
      </c>
      <c r="B4374" t="str">
        <f>"1551765020625313"</f>
        <v>1551765020625313</v>
      </c>
      <c r="C4374" t="s">
        <v>40</v>
      </c>
      <c r="D4374">
        <v>4.2775369999999997</v>
      </c>
      <c r="E4374">
        <v>0.58739189999999997</v>
      </c>
      <c r="F4374" t="s">
        <v>63</v>
      </c>
      <c r="G4374">
        <v>-212.22559999999999</v>
      </c>
      <c r="H4374">
        <v>1.158487</v>
      </c>
      <c r="I4374">
        <v>77.055080000000004</v>
      </c>
      <c r="J4374">
        <v>-192.2303</v>
      </c>
      <c r="K4374">
        <v>1.108787</v>
      </c>
      <c r="L4374">
        <v>199.71889999999999</v>
      </c>
      <c r="M4374">
        <v>6.7015950000000005E-2</v>
      </c>
      <c r="N4374">
        <v>-1.740421E-2</v>
      </c>
      <c r="O4374">
        <v>-0.99760009999999999</v>
      </c>
      <c r="P4374">
        <v>5.9599920000000001E-2</v>
      </c>
      <c r="Q4374">
        <v>-9.7783439999999999E-2</v>
      </c>
      <c r="R4374">
        <v>-0.99342180000000002</v>
      </c>
      <c r="S4374">
        <v>-0.49655149999999998</v>
      </c>
      <c r="T4374">
        <v>1.240969E-3</v>
      </c>
      <c r="U4374">
        <v>-3.0495909999999999</v>
      </c>
      <c r="V4374">
        <v>6.8517029999999998E-3</v>
      </c>
      <c r="W4374">
        <v>-8.0471490000000007E-2</v>
      </c>
      <c r="X4374">
        <v>0.99673339999999999</v>
      </c>
      <c r="Y4374">
        <v>0.2264437</v>
      </c>
      <c r="Z4374">
        <v>-1.7896490000000001E-2</v>
      </c>
      <c r="AA4374">
        <v>0.97385980000000005</v>
      </c>
      <c r="AB4374">
        <v>20</v>
      </c>
      <c r="AC4374">
        <v>-19.995299999999901</v>
      </c>
      <c r="AD4374">
        <v>4.96999999999998E-2</v>
      </c>
      <c r="AE4374">
        <v>-122.66382</v>
      </c>
      <c r="AF4374">
        <v>28.172008218003601</v>
      </c>
      <c r="AG4374">
        <v>4.96999999999998E-2</v>
      </c>
      <c r="AH4374">
        <v>121.04774996615301</v>
      </c>
      <c r="AI4374">
        <v>89.977087741921807</v>
      </c>
      <c r="AJ4374">
        <v>76.898511780894907</v>
      </c>
      <c r="AK4374">
        <v>124.282831835268</v>
      </c>
      <c r="AL4374">
        <v>94.615667322934897</v>
      </c>
      <c r="AM4374">
        <v>89.606145955390602</v>
      </c>
      <c r="AN4374">
        <v>1.00000003860618</v>
      </c>
    </row>
    <row r="4375" spans="1:40" x14ac:dyDescent="0.25">
      <c r="A4375" t="str">
        <f>"20190305135020647"</f>
        <v>20190305135020647</v>
      </c>
      <c r="B4375" t="str">
        <f>"1551765020644833"</f>
        <v>1551765020644833</v>
      </c>
      <c r="C4375" t="s">
        <v>40</v>
      </c>
      <c r="D4375">
        <v>4.2668140000000001</v>
      </c>
      <c r="E4375">
        <v>0.58769320000000003</v>
      </c>
      <c r="F4375" t="s">
        <v>63</v>
      </c>
      <c r="G4375">
        <v>-212.22559999999999</v>
      </c>
      <c r="H4375">
        <v>1.2117089999999999</v>
      </c>
      <c r="I4375">
        <v>77.098259999999996</v>
      </c>
      <c r="J4375">
        <v>-192.2252</v>
      </c>
      <c r="K4375">
        <v>1.1089899999999999</v>
      </c>
      <c r="L4375">
        <v>199.61170000000001</v>
      </c>
      <c r="M4375">
        <v>6.5136459999999993E-2</v>
      </c>
      <c r="N4375">
        <v>-1.7101729999999999E-2</v>
      </c>
      <c r="O4375">
        <v>-0.99772989999999995</v>
      </c>
      <c r="P4375">
        <v>5.9902299999999999E-2</v>
      </c>
      <c r="Q4375">
        <v>-9.8217059999999995E-2</v>
      </c>
      <c r="R4375">
        <v>-0.99336080000000004</v>
      </c>
      <c r="S4375">
        <v>-0.49734499999999998</v>
      </c>
      <c r="T4375">
        <v>2.5604960000000002E-3</v>
      </c>
      <c r="U4375">
        <v>-3.049957</v>
      </c>
      <c r="V4375">
        <v>4.7203180000000003E-3</v>
      </c>
      <c r="W4375">
        <v>-8.1196829999999998E-2</v>
      </c>
      <c r="X4375">
        <v>0.99668690000000004</v>
      </c>
      <c r="Y4375">
        <v>0.22483819999999999</v>
      </c>
      <c r="Z4375">
        <v>-1.8012830000000001E-2</v>
      </c>
      <c r="AA4375">
        <v>0.97422960000000003</v>
      </c>
      <c r="AB4375">
        <v>20</v>
      </c>
      <c r="AC4375">
        <v>-20.0003999999999</v>
      </c>
      <c r="AD4375">
        <v>0.102719</v>
      </c>
      <c r="AE4375">
        <v>-122.51344</v>
      </c>
      <c r="AF4375">
        <v>27.939153189503699</v>
      </c>
      <c r="AG4375">
        <v>0.102719</v>
      </c>
      <c r="AH4375">
        <v>120.950161626526</v>
      </c>
      <c r="AI4375">
        <v>89.952589066257602</v>
      </c>
      <c r="AJ4375">
        <v>76.992980544518304</v>
      </c>
      <c r="AK4375">
        <v>124.135202217672</v>
      </c>
      <c r="AL4375">
        <v>94.657362907670503</v>
      </c>
      <c r="AM4375">
        <v>89.728648708726794</v>
      </c>
      <c r="AN4375">
        <v>0.99999999161784003</v>
      </c>
    </row>
    <row r="4376" spans="1:40" x14ac:dyDescent="0.25">
      <c r="A4376" t="str">
        <f>"20190305135020659"</f>
        <v>20190305135020659</v>
      </c>
      <c r="B4376" t="str">
        <f>"1551765020654593"</f>
        <v>1551765020654593</v>
      </c>
      <c r="C4376" t="s">
        <v>40</v>
      </c>
      <c r="D4376">
        <v>4.2642889999999998</v>
      </c>
      <c r="E4376">
        <v>0.58794559999999996</v>
      </c>
      <c r="F4376" t="s">
        <v>63</v>
      </c>
      <c r="G4376">
        <v>-212.22559999999999</v>
      </c>
      <c r="H4376">
        <v>1.3820950000000001</v>
      </c>
      <c r="I4376">
        <v>77.211399999999998</v>
      </c>
      <c r="J4376">
        <v>-192.22020000000001</v>
      </c>
      <c r="K4376">
        <v>1.1091219999999999</v>
      </c>
      <c r="L4376">
        <v>199.5086</v>
      </c>
      <c r="M4376">
        <v>6.3567269999999995E-2</v>
      </c>
      <c r="N4376">
        <v>-1.6817249999999999E-2</v>
      </c>
      <c r="O4376">
        <v>-0.99783599999999995</v>
      </c>
      <c r="P4376">
        <v>6.0616620000000003E-2</v>
      </c>
      <c r="Q4376">
        <v>-9.8835010000000001E-2</v>
      </c>
      <c r="R4376">
        <v>-0.99325600000000003</v>
      </c>
      <c r="S4376">
        <v>-0.49850460000000002</v>
      </c>
      <c r="T4376">
        <v>6.8075660000000001E-3</v>
      </c>
      <c r="U4376">
        <v>-3.0507810000000002</v>
      </c>
      <c r="V4376">
        <v>2.4697450000000002E-3</v>
      </c>
      <c r="W4376">
        <v>-8.2091910000000004E-2</v>
      </c>
      <c r="X4376">
        <v>0.99662169999999894</v>
      </c>
      <c r="Y4376">
        <v>0.22362480000000001</v>
      </c>
      <c r="Z4376">
        <v>-1.9085870000000001E-2</v>
      </c>
      <c r="AA4376">
        <v>0.97448840000000003</v>
      </c>
      <c r="AB4376">
        <v>20</v>
      </c>
      <c r="AC4376">
        <v>-20.005399999999899</v>
      </c>
      <c r="AD4376">
        <v>0.27297300000000002</v>
      </c>
      <c r="AE4376">
        <v>-122.2972</v>
      </c>
      <c r="AF4376">
        <v>27.7399916844331</v>
      </c>
      <c r="AG4376">
        <v>0.27297300000000002</v>
      </c>
      <c r="AH4376">
        <v>120.777336412568</v>
      </c>
      <c r="AI4376">
        <v>89.873790203443093</v>
      </c>
      <c r="AJ4376">
        <v>77.0647163953751</v>
      </c>
      <c r="AK4376">
        <v>123.922341181184</v>
      </c>
      <c r="AL4376">
        <v>94.708818975068297</v>
      </c>
      <c r="AM4376">
        <v>89.858014655602105</v>
      </c>
      <c r="AN4376">
        <v>0.99999999711935095</v>
      </c>
    </row>
    <row r="4377" spans="1:40" x14ac:dyDescent="0.25">
      <c r="A4377" t="str">
        <f>"20190305135020673"</f>
        <v>20190305135020673</v>
      </c>
      <c r="B4377" t="str">
        <f>"1551765020664353"</f>
        <v>1551765020664353</v>
      </c>
      <c r="C4377" t="s">
        <v>40</v>
      </c>
      <c r="D4377">
        <v>4.2532329999999998</v>
      </c>
      <c r="E4377">
        <v>0.58803700000000003</v>
      </c>
      <c r="F4377" t="s">
        <v>63</v>
      </c>
      <c r="G4377">
        <v>-212.22569999999999</v>
      </c>
      <c r="H4377">
        <v>1.446175</v>
      </c>
      <c r="I4377">
        <v>76.90634</v>
      </c>
      <c r="J4377">
        <v>-192.21420000000001</v>
      </c>
      <c r="K4377">
        <v>1.1092500000000001</v>
      </c>
      <c r="L4377">
        <v>199.38570000000001</v>
      </c>
      <c r="M4377">
        <v>6.1850450000000001E-2</v>
      </c>
      <c r="N4377">
        <v>-1.6500250000000001E-2</v>
      </c>
      <c r="O4377">
        <v>-0.99794919999999998</v>
      </c>
      <c r="P4377">
        <v>6.1173039999999998E-2</v>
      </c>
      <c r="Q4377">
        <v>-9.9277030000000002E-2</v>
      </c>
      <c r="R4377">
        <v>-0.99317820000000001</v>
      </c>
      <c r="S4377">
        <v>-0.4979401</v>
      </c>
      <c r="T4377">
        <v>8.3898310000000004E-3</v>
      </c>
      <c r="U4377">
        <v>-3.05159</v>
      </c>
      <c r="V4377">
        <v>2.3192239999999999E-4</v>
      </c>
      <c r="W4377">
        <v>-8.2845310000000005E-2</v>
      </c>
      <c r="X4377">
        <v>0.99656239999999996</v>
      </c>
      <c r="Y4377">
        <v>0.22173219999999999</v>
      </c>
      <c r="Z4377">
        <v>-1.927222E-2</v>
      </c>
      <c r="AA4377">
        <v>0.97491709999999998</v>
      </c>
      <c r="AB4377">
        <v>20</v>
      </c>
      <c r="AC4377">
        <v>-20.011499999999899</v>
      </c>
      <c r="AD4377">
        <v>0.33692499999999898</v>
      </c>
      <c r="AE4377">
        <v>-122.47936</v>
      </c>
      <c r="AF4377">
        <v>27.5494067388465</v>
      </c>
      <c r="AG4377">
        <v>0.33692499999999898</v>
      </c>
      <c r="AH4377">
        <v>121.00602014856899</v>
      </c>
      <c r="AI4377">
        <v>89.844448456279906</v>
      </c>
      <c r="AJ4377">
        <v>77.174106968396998</v>
      </c>
      <c r="AK4377">
        <v>124.10294211788</v>
      </c>
      <c r="AL4377">
        <v>94.752133106782495</v>
      </c>
      <c r="AM4377">
        <v>89.9866659885475</v>
      </c>
      <c r="AN4377">
        <v>1.0000000081353699</v>
      </c>
    </row>
    <row r="4378" spans="1:40" x14ac:dyDescent="0.25">
      <c r="A4378" t="str">
        <f>"20190305135020683"</f>
        <v>20190305135020683</v>
      </c>
      <c r="B4378" t="str">
        <f>"1551765020675088"</f>
        <v>1551765020675088</v>
      </c>
      <c r="C4378" t="s">
        <v>40</v>
      </c>
      <c r="D4378">
        <v>4.2553130000000001</v>
      </c>
      <c r="E4378">
        <v>0.58817459999999999</v>
      </c>
      <c r="F4378" t="s">
        <v>63</v>
      </c>
      <c r="G4378">
        <v>-212.22569999999999</v>
      </c>
      <c r="H4378">
        <v>1.503878</v>
      </c>
      <c r="I4378">
        <v>76.361990000000006</v>
      </c>
      <c r="J4378">
        <v>-192.20930000000001</v>
      </c>
      <c r="K4378">
        <v>1.109318</v>
      </c>
      <c r="L4378">
        <v>199.28440000000001</v>
      </c>
      <c r="M4378">
        <v>6.0668550000000002E-2</v>
      </c>
      <c r="N4378">
        <v>-1.6291369999999999E-2</v>
      </c>
      <c r="O4378">
        <v>-0.99802519999999995</v>
      </c>
      <c r="P4378">
        <v>6.2400369999999997E-2</v>
      </c>
      <c r="Q4378">
        <v>-9.9775279999999994E-2</v>
      </c>
      <c r="R4378">
        <v>-0.99305169999999998</v>
      </c>
      <c r="S4378">
        <v>-0.49647520000000001</v>
      </c>
      <c r="T4378">
        <v>9.7910170000000008E-3</v>
      </c>
      <c r="U4378">
        <v>-3.052155</v>
      </c>
      <c r="V4378">
        <v>-2.1613729999999999E-3</v>
      </c>
      <c r="W4378">
        <v>-8.3548730000000002E-2</v>
      </c>
      <c r="X4378">
        <v>0.99650130000000003</v>
      </c>
      <c r="Y4378">
        <v>0.22009329999999999</v>
      </c>
      <c r="Z4378">
        <v>-1.9510019999999999E-2</v>
      </c>
      <c r="AA4378">
        <v>0.97528369999999998</v>
      </c>
      <c r="AB4378">
        <v>20</v>
      </c>
      <c r="AC4378">
        <v>-20.016399999999901</v>
      </c>
      <c r="AD4378">
        <v>0.39455999999999902</v>
      </c>
      <c r="AE4378">
        <v>-122.92241</v>
      </c>
      <c r="AF4378">
        <v>27.437756754778299</v>
      </c>
      <c r="AG4378">
        <v>0.39455999999999902</v>
      </c>
      <c r="AH4378">
        <v>121.480176584223</v>
      </c>
      <c r="AI4378">
        <v>89.818479933434901</v>
      </c>
      <c r="AJ4378">
        <v>77.272615571607602</v>
      </c>
      <c r="AK4378">
        <v>124.54083457349201</v>
      </c>
      <c r="AL4378">
        <v>94.792576589092704</v>
      </c>
      <c r="AM4378">
        <v>90.124272147623401</v>
      </c>
      <c r="AN4378">
        <v>0.99999995135977204</v>
      </c>
    </row>
    <row r="4379" spans="1:40" x14ac:dyDescent="0.25">
      <c r="A4379" t="str">
        <f>"20190305135020701"</f>
        <v>20190305135020701</v>
      </c>
      <c r="B4379" t="str">
        <f>"1551765020694612"</f>
        <v>1551765020694612</v>
      </c>
      <c r="C4379" t="s">
        <v>40</v>
      </c>
      <c r="D4379">
        <v>4.2352919999999896</v>
      </c>
      <c r="E4379">
        <v>0.58847879999999997</v>
      </c>
      <c r="F4379" t="s">
        <v>63</v>
      </c>
      <c r="G4379">
        <v>-212.22569999999999</v>
      </c>
      <c r="H4379">
        <v>1.5334509999999999</v>
      </c>
      <c r="I4379">
        <v>75.493350000000007</v>
      </c>
      <c r="J4379">
        <v>-192.2022</v>
      </c>
      <c r="K4379">
        <v>1.1093900000000001</v>
      </c>
      <c r="L4379">
        <v>199.13910000000001</v>
      </c>
      <c r="M4379">
        <v>5.9216659999999997E-2</v>
      </c>
      <c r="N4379">
        <v>-1.6039060000000001E-2</v>
      </c>
      <c r="O4379">
        <v>-0.99811629999999996</v>
      </c>
      <c r="P4379">
        <v>6.5953490000000004E-2</v>
      </c>
      <c r="Q4379">
        <v>-0.1001336</v>
      </c>
      <c r="R4379">
        <v>-0.99278560000000005</v>
      </c>
      <c r="S4379">
        <v>-0.49366759999999899</v>
      </c>
      <c r="T4379">
        <v>1.046097E-2</v>
      </c>
      <c r="U4379">
        <v>-3.05307</v>
      </c>
      <c r="V4379">
        <v>-7.1540340000000001E-3</v>
      </c>
      <c r="W4379">
        <v>-8.4153179999999994E-2</v>
      </c>
      <c r="X4379">
        <v>0.99642719999999996</v>
      </c>
      <c r="Y4379">
        <v>0.2177548</v>
      </c>
      <c r="Z4379">
        <v>-1.9469480000000001E-2</v>
      </c>
      <c r="AA4379">
        <v>0.97580929999999999</v>
      </c>
      <c r="AB4379">
        <v>20</v>
      </c>
      <c r="AC4379">
        <v>-20.023499999999899</v>
      </c>
      <c r="AD4379">
        <v>0.42406100000000002</v>
      </c>
      <c r="AE4379">
        <v>-123.64575000000001</v>
      </c>
      <c r="AF4379">
        <v>27.310870012193401</v>
      </c>
      <c r="AG4379">
        <v>0.42406100000000002</v>
      </c>
      <c r="AH4379">
        <v>122.24143640848401</v>
      </c>
      <c r="AI4379">
        <v>89.806021445949398</v>
      </c>
      <c r="AJ4379">
        <v>77.405949981838901</v>
      </c>
      <c r="AK4379">
        <v>125.255867023322</v>
      </c>
      <c r="AL4379">
        <v>94.827330936999999</v>
      </c>
      <c r="AM4379">
        <v>90.4113586138767</v>
      </c>
      <c r="AN4379">
        <v>1.0000000514032099</v>
      </c>
    </row>
    <row r="4380" spans="1:40" x14ac:dyDescent="0.25">
      <c r="A4380" t="str">
        <f>"20190305135020712"</f>
        <v>20190305135020712</v>
      </c>
      <c r="B4380" t="str">
        <f>"1551765020704369"</f>
        <v>1551765020704369</v>
      </c>
      <c r="C4380" t="s">
        <v>40</v>
      </c>
      <c r="D4380">
        <v>4.2600470000000001</v>
      </c>
      <c r="E4380">
        <v>0.58842380000000005</v>
      </c>
      <c r="F4380" t="s">
        <v>63</v>
      </c>
      <c r="G4380">
        <v>-212.22579999999999</v>
      </c>
      <c r="H4380">
        <v>1.7250589999999999</v>
      </c>
      <c r="I4380">
        <v>72.828479999999999</v>
      </c>
      <c r="J4380">
        <v>-192.19730000000001</v>
      </c>
      <c r="K4380">
        <v>1.109429</v>
      </c>
      <c r="L4380">
        <v>199.0376</v>
      </c>
      <c r="M4380">
        <v>5.8321169999999999E-2</v>
      </c>
      <c r="N4380">
        <v>-1.5880180000000001E-2</v>
      </c>
      <c r="O4380">
        <v>-0.99817160000000005</v>
      </c>
      <c r="P4380">
        <v>6.7849140000000002E-2</v>
      </c>
      <c r="Q4380">
        <v>-0.1000733</v>
      </c>
      <c r="R4380">
        <v>-0.99266390000000004</v>
      </c>
      <c r="S4380">
        <v>-0.484375</v>
      </c>
      <c r="T4380">
        <v>1.489365E-2</v>
      </c>
      <c r="U4380">
        <v>-3.0554809999999999</v>
      </c>
      <c r="V4380">
        <v>-9.9372539999999995E-3</v>
      </c>
      <c r="W4380">
        <v>-8.4248740000000003E-2</v>
      </c>
      <c r="X4380">
        <v>0.99639520000000004</v>
      </c>
      <c r="Y4380">
        <v>0.21386169999999999</v>
      </c>
      <c r="Z4380">
        <v>-2.072823E-2</v>
      </c>
      <c r="AA4380">
        <v>0.97664399999999996</v>
      </c>
      <c r="AB4380">
        <v>20</v>
      </c>
      <c r="AC4380">
        <v>-20.028499999999902</v>
      </c>
      <c r="AD4380">
        <v>0.61563000000000001</v>
      </c>
      <c r="AE4380">
        <v>-126.20912</v>
      </c>
      <c r="AF4380">
        <v>27.355356957015101</v>
      </c>
      <c r="AG4380">
        <v>0.61563000000000001</v>
      </c>
      <c r="AH4380">
        <v>124.823111862237</v>
      </c>
      <c r="AI4380">
        <v>89.723969168750202</v>
      </c>
      <c r="AJ4380">
        <v>77.63887990744</v>
      </c>
      <c r="AK4380">
        <v>127.786946944965</v>
      </c>
      <c r="AL4380">
        <v>94.832825898263806</v>
      </c>
      <c r="AM4380">
        <v>90.571403633907707</v>
      </c>
      <c r="AN4380">
        <v>0.99999999689584396</v>
      </c>
    </row>
    <row r="4381" spans="1:40" x14ac:dyDescent="0.25">
      <c r="A4381" t="str">
        <f>"20190305135020723"</f>
        <v>20190305135020723</v>
      </c>
      <c r="B4381" t="str">
        <f>"1551765020714574"</f>
        <v>1551765020714574</v>
      </c>
      <c r="C4381" t="s">
        <v>40</v>
      </c>
      <c r="D4381">
        <v>4.5067089999999999</v>
      </c>
      <c r="E4381">
        <v>0.58842380000000005</v>
      </c>
      <c r="F4381" t="s">
        <v>63</v>
      </c>
      <c r="G4381">
        <v>-212.22579999999999</v>
      </c>
      <c r="H4381">
        <v>1.8042389999999999</v>
      </c>
      <c r="I4381">
        <v>70.870379999999997</v>
      </c>
      <c r="J4381">
        <v>-192.1926</v>
      </c>
      <c r="K4381">
        <v>1.1094569999999999</v>
      </c>
      <c r="L4381">
        <v>198.93879999999999</v>
      </c>
      <c r="M4381">
        <v>5.7569839999999997E-2</v>
      </c>
      <c r="N4381">
        <v>-1.5731780000000001E-2</v>
      </c>
      <c r="O4381">
        <v>-0.99821760000000004</v>
      </c>
      <c r="P4381">
        <v>7.0211319999999994E-2</v>
      </c>
      <c r="Q4381">
        <v>-9.9880250000000004E-2</v>
      </c>
      <c r="R4381">
        <v>-0.99251940000000005</v>
      </c>
      <c r="S4381">
        <v>-0.47763060000000002</v>
      </c>
      <c r="T4381">
        <v>1.656997E-2</v>
      </c>
      <c r="U4381">
        <v>-3.056473</v>
      </c>
      <c r="V4381">
        <v>-1.3047380000000001E-2</v>
      </c>
      <c r="W4381">
        <v>-8.4200849999999994E-2</v>
      </c>
      <c r="X4381">
        <v>0.99636340000000001</v>
      </c>
      <c r="Y4381">
        <v>0.21097369999999999</v>
      </c>
      <c r="Z4381">
        <v>-2.1115849999999999E-2</v>
      </c>
      <c r="AA4381">
        <v>0.97726360000000001</v>
      </c>
      <c r="AB4381">
        <v>20</v>
      </c>
      <c r="AC4381">
        <v>-20.033199999999901</v>
      </c>
      <c r="AD4381">
        <v>0.69478200000000001</v>
      </c>
      <c r="AE4381">
        <v>-128.06841999999901</v>
      </c>
      <c r="AF4381">
        <v>27.372970361097401</v>
      </c>
      <c r="AG4381">
        <v>0.69478200000000001</v>
      </c>
      <c r="AH4381">
        <v>126.698872902224</v>
      </c>
      <c r="AI4381">
        <v>89.692894183400895</v>
      </c>
      <c r="AJ4381">
        <v>77.8087684838694</v>
      </c>
      <c r="AK4381">
        <v>129.62394309351501</v>
      </c>
      <c r="AL4381">
        <v>94.830072101939294</v>
      </c>
      <c r="AM4381">
        <v>90.7502454243253</v>
      </c>
      <c r="AN4381">
        <v>1.0000000210625699</v>
      </c>
    </row>
    <row r="4382" spans="1:40" x14ac:dyDescent="0.25">
      <c r="A4382" t="str">
        <f>"20190305135020736"</f>
        <v>20190305135020736</v>
      </c>
      <c r="B4382" t="str">
        <f>"1551765020724334"</f>
        <v>1551765020724334</v>
      </c>
      <c r="C4382" t="s">
        <v>40</v>
      </c>
      <c r="D4382">
        <v>4.3672300000000002</v>
      </c>
      <c r="E4382">
        <v>0.5311053</v>
      </c>
      <c r="F4382" t="s">
        <v>63</v>
      </c>
      <c r="G4382">
        <v>-211.93440000000001</v>
      </c>
      <c r="H4382">
        <v>1.8507450000000001</v>
      </c>
      <c r="I4382">
        <v>70.567830000000001</v>
      </c>
      <c r="J4382">
        <v>-192.18770000000001</v>
      </c>
      <c r="K4382">
        <v>1.10948</v>
      </c>
      <c r="L4382">
        <v>198.83760000000001</v>
      </c>
      <c r="M4382">
        <v>5.6840040000000001E-2</v>
      </c>
      <c r="N4382">
        <v>-1.5579549999999999E-2</v>
      </c>
      <c r="O4382">
        <v>-0.99826179999999998</v>
      </c>
      <c r="P4382">
        <v>7.2724609999999995E-2</v>
      </c>
      <c r="Q4382">
        <v>-9.9260929999999997E-2</v>
      </c>
      <c r="R4382">
        <v>-0.99240030000000001</v>
      </c>
      <c r="S4382">
        <v>-0.47023009999999899</v>
      </c>
      <c r="T4382">
        <v>1.7657160000000002E-2</v>
      </c>
      <c r="U4382">
        <v>-3.0576629999999998</v>
      </c>
      <c r="V4382">
        <v>-1.6285299999999999E-2</v>
      </c>
      <c r="W4382">
        <v>-8.3730289999999999E-2</v>
      </c>
      <c r="X4382">
        <v>0.9963554</v>
      </c>
      <c r="Y4382">
        <v>0.20789070000000001</v>
      </c>
      <c r="Z4382">
        <v>-2.1310699999999998E-2</v>
      </c>
      <c r="AA4382">
        <v>0.97791989999999995</v>
      </c>
      <c r="AB4382">
        <v>20</v>
      </c>
      <c r="AC4382">
        <v>-19.746700000000001</v>
      </c>
      <c r="AD4382">
        <v>0.74126499999999995</v>
      </c>
      <c r="AE4382">
        <v>-128.26976999999999</v>
      </c>
      <c r="AF4382">
        <v>27.00563006842</v>
      </c>
      <c r="AG4382">
        <v>0.74126499999999995</v>
      </c>
      <c r="AH4382">
        <v>126.935665230558</v>
      </c>
      <c r="AI4382">
        <v>89.672738440157204</v>
      </c>
      <c r="AJ4382">
        <v>77.989367255689999</v>
      </c>
      <c r="AK4382">
        <v>129.778721818012</v>
      </c>
      <c r="AL4382">
        <v>94.803015421564297</v>
      </c>
      <c r="AM4382">
        <v>90.936408714449897</v>
      </c>
      <c r="AN4382">
        <v>1.0000000277843599</v>
      </c>
    </row>
    <row r="4383" spans="1:40" x14ac:dyDescent="0.25">
      <c r="A4383" t="str">
        <f>"20190305135020747"</f>
        <v>20190305135020747</v>
      </c>
      <c r="B4383" t="str">
        <f>"1551765020744830"</f>
        <v>1551765020744830</v>
      </c>
      <c r="C4383" t="s">
        <v>40</v>
      </c>
      <c r="D4383">
        <v>4.4316110000000002</v>
      </c>
      <c r="E4383">
        <v>0.51399110000000003</v>
      </c>
      <c r="F4383" t="s">
        <v>42</v>
      </c>
      <c r="G4383">
        <v>-192.34569999999999</v>
      </c>
      <c r="H4383" s="1">
        <v>-3.9280359999999996E-6</v>
      </c>
      <c r="I4383">
        <v>166.58099999999999</v>
      </c>
      <c r="J4383">
        <v>-192.18270000000001</v>
      </c>
      <c r="K4383">
        <v>1.1095010000000001</v>
      </c>
      <c r="L4383">
        <v>198.73140000000001</v>
      </c>
      <c r="M4383">
        <v>5.6119179999999998E-2</v>
      </c>
      <c r="N4383">
        <v>-1.54196E-2</v>
      </c>
      <c r="O4383">
        <v>-0.99830509999999995</v>
      </c>
      <c r="P4383">
        <v>7.5462080000000001E-2</v>
      </c>
      <c r="Q4383">
        <v>-9.8949949999999995E-2</v>
      </c>
      <c r="R4383">
        <v>-0.99222730000000003</v>
      </c>
      <c r="S4383">
        <v>-1.4755249999999999E-2</v>
      </c>
      <c r="T4383">
        <v>-0.10365770000000001</v>
      </c>
      <c r="U4383">
        <v>-3.0137019999999999</v>
      </c>
      <c r="V4383">
        <v>-1.97418E-2</v>
      </c>
      <c r="W4383">
        <v>-8.3576490000000003E-2</v>
      </c>
      <c r="X4383">
        <v>0.99630580000000002</v>
      </c>
      <c r="Y4383">
        <v>6.0989120000000001E-2</v>
      </c>
      <c r="Z4383">
        <v>1.8845000000000001E-2</v>
      </c>
      <c r="AA4383">
        <v>0.99796050000000003</v>
      </c>
      <c r="AB4383">
        <v>20</v>
      </c>
      <c r="AC4383">
        <v>-0.16299999999998199</v>
      </c>
      <c r="AD4383">
        <v>-1.1095049280360001</v>
      </c>
      <c r="AE4383">
        <v>-32.150399999999998</v>
      </c>
      <c r="AF4383">
        <v>1.9648715386190601</v>
      </c>
      <c r="AG4383">
        <v>-1.1095049280360001</v>
      </c>
      <c r="AH4383">
        <v>32.052401745319798</v>
      </c>
      <c r="AI4383">
        <v>91.978809911019695</v>
      </c>
      <c r="AJ4383">
        <v>86.492052489288298</v>
      </c>
      <c r="AK4383">
        <v>32.131731652557903</v>
      </c>
      <c r="AL4383">
        <v>94.794172431484995</v>
      </c>
      <c r="AM4383">
        <v>91.135167351029907</v>
      </c>
      <c r="AN4383">
        <v>1.0000000077308</v>
      </c>
    </row>
    <row r="4384" spans="1:40" x14ac:dyDescent="0.25">
      <c r="A4384" t="str">
        <f>"20190305135020759"</f>
        <v>20190305135020759</v>
      </c>
      <c r="B4384" t="str">
        <f>"1551765020754591"</f>
        <v>1551765020754591</v>
      </c>
      <c r="C4384" t="s">
        <v>40</v>
      </c>
      <c r="D4384">
        <v>4.4255550000000001</v>
      </c>
      <c r="E4384">
        <v>0.51220719999999997</v>
      </c>
      <c r="F4384" t="s">
        <v>42</v>
      </c>
      <c r="G4384">
        <v>-190.9633</v>
      </c>
      <c r="H4384" s="1">
        <v>-5.7599529999999997E-7</v>
      </c>
      <c r="I4384">
        <v>170.33430000000001</v>
      </c>
      <c r="J4384">
        <v>-192.178</v>
      </c>
      <c r="K4384">
        <v>1.109524</v>
      </c>
      <c r="L4384">
        <v>198.63120000000001</v>
      </c>
      <c r="M4384">
        <v>5.5468950000000003E-2</v>
      </c>
      <c r="N4384">
        <v>-1.52788E-2</v>
      </c>
      <c r="O4384">
        <v>-0.99834339999999999</v>
      </c>
      <c r="P4384">
        <v>7.7968629999999997E-2</v>
      </c>
      <c r="Q4384">
        <v>-9.8814289999999999E-2</v>
      </c>
      <c r="R4384">
        <v>-0.99204650000000005</v>
      </c>
      <c r="S4384">
        <v>0.1289063</v>
      </c>
      <c r="T4384">
        <v>-0.1172913</v>
      </c>
      <c r="U4384">
        <v>-3.002014</v>
      </c>
      <c r="V4384">
        <v>-2.289762E-2</v>
      </c>
      <c r="W4384">
        <v>-8.3580009999999996E-2</v>
      </c>
      <c r="X4384">
        <v>0.99623799999999996</v>
      </c>
      <c r="Y4384">
        <v>1.259686E-2</v>
      </c>
      <c r="Z4384">
        <v>2.3677989999999999E-2</v>
      </c>
      <c r="AA4384">
        <v>0.99964030000000004</v>
      </c>
      <c r="AB4384">
        <v>20</v>
      </c>
      <c r="AC4384">
        <v>1.2146999999999899</v>
      </c>
      <c r="AD4384">
        <v>-1.1095245759953001</v>
      </c>
      <c r="AE4384">
        <v>-28.296899999999901</v>
      </c>
      <c r="AF4384">
        <v>0.35640636404951997</v>
      </c>
      <c r="AG4384">
        <v>-1.1095245759953001</v>
      </c>
      <c r="AH4384">
        <v>28.277315759491898</v>
      </c>
      <c r="AI4384">
        <v>92.246798852187695</v>
      </c>
      <c r="AJ4384">
        <v>89.277884103617893</v>
      </c>
      <c r="AK4384">
        <v>28.301318994758599</v>
      </c>
      <c r="AL4384">
        <v>94.794374685572393</v>
      </c>
      <c r="AM4384">
        <v>91.316659314226996</v>
      </c>
      <c r="AN4384">
        <v>1.0000000358586301</v>
      </c>
    </row>
    <row r="4385" spans="1:40" x14ac:dyDescent="0.25">
      <c r="A4385" t="str">
        <f>"20190305135020770"</f>
        <v>20190305135020770</v>
      </c>
      <c r="B4385" t="str">
        <f>"1551765020765325"</f>
        <v>1551765020765325</v>
      </c>
      <c r="C4385" t="s">
        <v>40</v>
      </c>
      <c r="D4385">
        <v>4.391521</v>
      </c>
      <c r="E4385">
        <v>0.51124959999999997</v>
      </c>
      <c r="F4385" t="s">
        <v>42</v>
      </c>
      <c r="G4385">
        <v>-190.74019999999999</v>
      </c>
      <c r="H4385" s="1">
        <v>-3.7226160000000001E-7</v>
      </c>
      <c r="I4385">
        <v>169.99770000000001</v>
      </c>
      <c r="J4385">
        <v>-192.17339999999999</v>
      </c>
      <c r="K4385">
        <v>1.109545</v>
      </c>
      <c r="L4385">
        <v>198.53479999999999</v>
      </c>
      <c r="M4385">
        <v>5.4851700000000003E-2</v>
      </c>
      <c r="N4385">
        <v>-1.5146160000000001E-2</v>
      </c>
      <c r="O4385">
        <v>-0.99837980000000004</v>
      </c>
      <c r="P4385">
        <v>8.0176849999999994E-2</v>
      </c>
      <c r="Q4385">
        <v>-9.8857050000000002E-2</v>
      </c>
      <c r="R4385">
        <v>-0.99186649999999998</v>
      </c>
      <c r="S4385">
        <v>0.150665299999999</v>
      </c>
      <c r="T4385">
        <v>-0.1162726</v>
      </c>
      <c r="U4385">
        <v>-3.0006409999999999</v>
      </c>
      <c r="V4385">
        <v>-2.5722700000000001E-2</v>
      </c>
      <c r="W4385">
        <v>-8.3754670000000003E-2</v>
      </c>
      <c r="X4385">
        <v>0.9961544</v>
      </c>
      <c r="Y4385">
        <v>4.7285519999999996E-3</v>
      </c>
      <c r="Z4385">
        <v>2.3489880000000001E-2</v>
      </c>
      <c r="AA4385">
        <v>0.99971290000000002</v>
      </c>
      <c r="AB4385">
        <v>20</v>
      </c>
      <c r="AC4385">
        <v>1.43319999999999</v>
      </c>
      <c r="AD4385">
        <v>-1.1095453722616</v>
      </c>
      <c r="AE4385">
        <v>-28.537099999999899</v>
      </c>
      <c r="AF4385">
        <v>0.13424349051443901</v>
      </c>
      <c r="AG4385">
        <v>-1.1095453722616</v>
      </c>
      <c r="AH4385">
        <v>28.5297299922189</v>
      </c>
      <c r="AI4385">
        <v>92.227134375718606</v>
      </c>
      <c r="AJ4385">
        <v>89.730403033230004</v>
      </c>
      <c r="AK4385">
        <v>28.551613013571799</v>
      </c>
      <c r="AL4385">
        <v>94.804417131987194</v>
      </c>
      <c r="AM4385">
        <v>91.479162982659801</v>
      </c>
      <c r="AN4385">
        <v>1.0000000453407201</v>
      </c>
    </row>
    <row r="4386" spans="1:40" x14ac:dyDescent="0.25">
      <c r="A4386" t="str">
        <f>"20190305135020781"</f>
        <v>20190305135020781</v>
      </c>
      <c r="B4386" t="str">
        <f>"1551765020775086"</f>
        <v>1551765020775086</v>
      </c>
      <c r="C4386" t="s">
        <v>40</v>
      </c>
      <c r="D4386">
        <v>4.3372659999999996</v>
      </c>
      <c r="E4386">
        <v>0.51073489999999999</v>
      </c>
      <c r="F4386" t="s">
        <v>42</v>
      </c>
      <c r="G4386">
        <v>-190.5787</v>
      </c>
      <c r="H4386" s="1">
        <v>-4.820016E-6</v>
      </c>
      <c r="I4386">
        <v>169.57040000000001</v>
      </c>
      <c r="J4386">
        <v>-192.16820000000001</v>
      </c>
      <c r="K4386">
        <v>1.1095740000000001</v>
      </c>
      <c r="L4386">
        <v>198.42509999999999</v>
      </c>
      <c r="M4386">
        <v>5.4180569999999997E-2</v>
      </c>
      <c r="N4386">
        <v>-1.501803E-2</v>
      </c>
      <c r="O4386">
        <v>-0.99841860000000004</v>
      </c>
      <c r="P4386">
        <v>8.2063819999999996E-2</v>
      </c>
      <c r="Q4386">
        <v>-9.9154270000000003E-2</v>
      </c>
      <c r="R4386">
        <v>-0.99168259999999997</v>
      </c>
      <c r="S4386">
        <v>0.16516110000000001</v>
      </c>
      <c r="T4386">
        <v>-0.1149149</v>
      </c>
      <c r="U4386">
        <v>-2.9998170000000002</v>
      </c>
      <c r="V4386">
        <v>-2.828044E-2</v>
      </c>
      <c r="W4386">
        <v>-8.4180499999999894E-2</v>
      </c>
      <c r="X4386">
        <v>0.99604910000000002</v>
      </c>
      <c r="Y4386">
        <v>-7.7322109999999997E-4</v>
      </c>
      <c r="Z4386">
        <v>2.3177099999999999E-2</v>
      </c>
      <c r="AA4386">
        <v>0.99973109999999998</v>
      </c>
      <c r="AB4386">
        <v>20</v>
      </c>
      <c r="AC4386">
        <v>1.5895000000000099</v>
      </c>
      <c r="AD4386">
        <v>-1.1095788200159999</v>
      </c>
      <c r="AE4386">
        <v>-28.854699999999902</v>
      </c>
      <c r="AF4386">
        <v>-2.3590149227070201E-2</v>
      </c>
      <c r="AG4386">
        <v>-1.1095788200159999</v>
      </c>
      <c r="AH4386">
        <v>28.855896623282401</v>
      </c>
      <c r="AI4386">
        <v>92.202075280063099</v>
      </c>
      <c r="AJ4386">
        <v>90.046840190250506</v>
      </c>
      <c r="AK4386">
        <v>28.877231369827101</v>
      </c>
      <c r="AL4386">
        <v>94.828902202742</v>
      </c>
      <c r="AM4386">
        <v>91.626340162631294</v>
      </c>
      <c r="AN4386">
        <v>0.99999997473882596</v>
      </c>
    </row>
    <row r="4387" spans="1:40" x14ac:dyDescent="0.25">
      <c r="A4387" t="str">
        <f>"20190305135020794"</f>
        <v>20190305135020794</v>
      </c>
      <c r="B4387" t="str">
        <f>"1551765020784847"</f>
        <v>1551765020784847</v>
      </c>
      <c r="C4387" t="s">
        <v>40</v>
      </c>
      <c r="D4387">
        <v>4.3766150000000001</v>
      </c>
      <c r="E4387">
        <v>0.51072489999999904</v>
      </c>
      <c r="F4387" t="s">
        <v>42</v>
      </c>
      <c r="G4387">
        <v>-190.46209999999999</v>
      </c>
      <c r="H4387" s="1">
        <v>-4.6688049999999996E-6</v>
      </c>
      <c r="I4387">
        <v>169.23050000000001</v>
      </c>
      <c r="J4387">
        <v>-192.1634</v>
      </c>
      <c r="K4387">
        <v>1.109599</v>
      </c>
      <c r="L4387">
        <v>198.3211</v>
      </c>
      <c r="M4387">
        <v>5.3555760000000001E-2</v>
      </c>
      <c r="N4387">
        <v>-1.4903359999999999E-2</v>
      </c>
      <c r="O4387">
        <v>-0.99845399999999995</v>
      </c>
      <c r="P4387">
        <v>8.3812910000000004E-2</v>
      </c>
      <c r="Q4387">
        <v>-9.9174819999999997E-2</v>
      </c>
      <c r="R4387">
        <v>-0.99153469999999999</v>
      </c>
      <c r="S4387">
        <v>0.17527770000000001</v>
      </c>
      <c r="T4387">
        <v>-0.11399049999999999</v>
      </c>
      <c r="U4387">
        <v>-2.9992519999999998</v>
      </c>
      <c r="V4387">
        <v>-3.06524E-2</v>
      </c>
      <c r="W4387">
        <v>-8.4316039999999995E-2</v>
      </c>
      <c r="X4387">
        <v>0.99596750000000001</v>
      </c>
      <c r="Y4387">
        <v>-4.7694010000000004E-3</v>
      </c>
      <c r="Z4387">
        <v>2.2991190000000002E-2</v>
      </c>
      <c r="AA4387">
        <v>0.99972430000000001</v>
      </c>
      <c r="AB4387">
        <v>20</v>
      </c>
      <c r="AC4387">
        <v>1.7013</v>
      </c>
      <c r="AD4387">
        <v>-1.1096036688049999</v>
      </c>
      <c r="AE4387">
        <v>-29.090599999999899</v>
      </c>
      <c r="AF4387">
        <v>-0.140512442366623</v>
      </c>
      <c r="AG4387">
        <v>-1.1096036688049999</v>
      </c>
      <c r="AH4387">
        <v>29.097776391353001</v>
      </c>
      <c r="AI4387">
        <v>92.183812135309793</v>
      </c>
      <c r="AJ4387">
        <v>90.27667775127</v>
      </c>
      <c r="AK4387">
        <v>29.1192643274081</v>
      </c>
      <c r="AL4387">
        <v>94.836695596908896</v>
      </c>
      <c r="AM4387">
        <v>91.762807484285901</v>
      </c>
      <c r="AN4387">
        <v>1.00000001264164</v>
      </c>
    </row>
    <row r="4388" spans="1:40" x14ac:dyDescent="0.25">
      <c r="A4388" t="str">
        <f>"20190305135020808"</f>
        <v>20190305135020808</v>
      </c>
      <c r="B4388" t="str">
        <f>"1551765020805343"</f>
        <v>1551765020805343</v>
      </c>
      <c r="C4388" t="s">
        <v>40</v>
      </c>
      <c r="D4388">
        <v>4.343788</v>
      </c>
      <c r="E4388">
        <v>0.51086549999999997</v>
      </c>
      <c r="F4388" t="s">
        <v>42</v>
      </c>
      <c r="G4388">
        <v>-190.4093</v>
      </c>
      <c r="H4388" s="1">
        <v>-4.6503549999999998E-6</v>
      </c>
      <c r="I4388">
        <v>169.20679999999999</v>
      </c>
      <c r="J4388">
        <v>-192.15780000000001</v>
      </c>
      <c r="K4388">
        <v>1.109621</v>
      </c>
      <c r="L4388">
        <v>198.20179999999999</v>
      </c>
      <c r="M4388">
        <v>5.285923E-2</v>
      </c>
      <c r="N4388">
        <v>-1.478432E-2</v>
      </c>
      <c r="O4388">
        <v>-0.99849270000000001</v>
      </c>
      <c r="P4388">
        <v>8.5481760000000004E-2</v>
      </c>
      <c r="Q4388">
        <v>-9.9369239999999998E-2</v>
      </c>
      <c r="R4388">
        <v>-0.99137220000000004</v>
      </c>
      <c r="S4388">
        <v>0.18067929999999999</v>
      </c>
      <c r="T4388">
        <v>-0.11429540000000001</v>
      </c>
      <c r="U4388">
        <v>-2.9989319999999999</v>
      </c>
      <c r="V4388">
        <v>-3.3017449999999997E-2</v>
      </c>
      <c r="W4388">
        <v>-8.4630330000000004E-2</v>
      </c>
      <c r="X4388">
        <v>0.99586520000000001</v>
      </c>
      <c r="Y4388">
        <v>-7.2663619999999898E-3</v>
      </c>
      <c r="Z4388">
        <v>2.3215429999999999E-2</v>
      </c>
      <c r="AA4388">
        <v>0.99970409999999998</v>
      </c>
      <c r="AB4388">
        <v>20</v>
      </c>
      <c r="AC4388">
        <v>1.7484999999999999</v>
      </c>
      <c r="AD4388">
        <v>-1.1096256503549999</v>
      </c>
      <c r="AE4388">
        <v>-28.995000000000001</v>
      </c>
      <c r="AF4388">
        <v>-0.21292367113081401</v>
      </c>
      <c r="AG4388">
        <v>-1.1096256503549999</v>
      </c>
      <c r="AH4388">
        <v>29.004564853132699</v>
      </c>
      <c r="AI4388">
        <v>92.190833295401603</v>
      </c>
      <c r="AJ4388">
        <v>90.420603054504497</v>
      </c>
      <c r="AK4388">
        <v>29.026563487489099</v>
      </c>
      <c r="AL4388">
        <v>94.8547678856673</v>
      </c>
      <c r="AM4388">
        <v>91.898919488603198</v>
      </c>
      <c r="AN4388">
        <v>0.99999997066572499</v>
      </c>
    </row>
    <row r="4389" spans="1:40" x14ac:dyDescent="0.25">
      <c r="A4389" t="str">
        <f>"20190305135020824"</f>
        <v>20190305135020824</v>
      </c>
      <c r="B4389" t="str">
        <f>"1551765020815102"</f>
        <v>1551765020815102</v>
      </c>
      <c r="C4389" t="s">
        <v>40</v>
      </c>
      <c r="D4389">
        <v>4.3784070000000002</v>
      </c>
      <c r="E4389">
        <v>0.51098909999999997</v>
      </c>
      <c r="F4389" t="s">
        <v>42</v>
      </c>
      <c r="G4389">
        <v>-190.3596</v>
      </c>
      <c r="H4389" s="1">
        <v>-4.5556589999999998E-6</v>
      </c>
      <c r="I4389">
        <v>169.0266</v>
      </c>
      <c r="J4389">
        <v>-192.15129999999999</v>
      </c>
      <c r="K4389">
        <v>1.1096440000000001</v>
      </c>
      <c r="L4389">
        <v>198.06010000000001</v>
      </c>
      <c r="M4389">
        <v>5.2065060000000003E-2</v>
      </c>
      <c r="N4389">
        <v>-1.465547E-2</v>
      </c>
      <c r="O4389">
        <v>-0.99853650000000005</v>
      </c>
      <c r="P4389">
        <v>8.943015E-2</v>
      </c>
      <c r="Q4389">
        <v>-9.9195850000000002E-2</v>
      </c>
      <c r="R4389">
        <v>-0.99104139999999996</v>
      </c>
      <c r="S4389">
        <v>0.18482970000000001</v>
      </c>
      <c r="T4389">
        <v>-0.114051</v>
      </c>
      <c r="U4389">
        <v>-2.9987180000000002</v>
      </c>
      <c r="V4389">
        <v>-3.7765849999999997E-2</v>
      </c>
      <c r="W4389">
        <v>-8.4585179999999996E-2</v>
      </c>
      <c r="X4389">
        <v>0.99570029999999998</v>
      </c>
      <c r="Y4389">
        <v>-9.4437080000000003E-3</v>
      </c>
      <c r="Z4389">
        <v>2.326626E-2</v>
      </c>
      <c r="AA4389">
        <v>0.99968469999999998</v>
      </c>
      <c r="AB4389">
        <v>20</v>
      </c>
      <c r="AC4389">
        <v>1.7916999999999901</v>
      </c>
      <c r="AD4389">
        <v>-1.1096485556589999</v>
      </c>
      <c r="AE4389">
        <v>-29.0335</v>
      </c>
      <c r="AF4389">
        <v>-0.277073435289304</v>
      </c>
      <c r="AG4389">
        <v>-1.1096485556589999</v>
      </c>
      <c r="AH4389">
        <v>29.045141876740399</v>
      </c>
      <c r="AI4389">
        <v>92.187780170413106</v>
      </c>
      <c r="AJ4389">
        <v>90.546551192744204</v>
      </c>
      <c r="AK4389">
        <v>29.067651371337199</v>
      </c>
      <c r="AL4389">
        <v>94.852171530480604</v>
      </c>
      <c r="AM4389">
        <v>92.172126573571404</v>
      </c>
      <c r="AN4389">
        <v>0.99999999976097198</v>
      </c>
    </row>
    <row r="4390" spans="1:40" x14ac:dyDescent="0.25">
      <c r="A4390" t="str">
        <f>"20190305135020836"</f>
        <v>20190305135020836</v>
      </c>
      <c r="B4390" t="str">
        <f>"1551765020824862"</f>
        <v>1551765020824862</v>
      </c>
      <c r="C4390" t="s">
        <v>40</v>
      </c>
      <c r="D4390">
        <v>4.1688429999999999</v>
      </c>
      <c r="E4390">
        <v>0.51098909999999997</v>
      </c>
      <c r="F4390" t="s">
        <v>42</v>
      </c>
      <c r="G4390">
        <v>-190.226</v>
      </c>
      <c r="H4390" s="1">
        <v>-4.3142330000000004E-6</v>
      </c>
      <c r="I4390">
        <v>168.59110000000001</v>
      </c>
      <c r="J4390">
        <v>-192.1465</v>
      </c>
      <c r="K4390">
        <v>1.1096520000000001</v>
      </c>
      <c r="L4390">
        <v>197.95679999999999</v>
      </c>
      <c r="M4390">
        <v>5.1498049999999997E-2</v>
      </c>
      <c r="N4390">
        <v>-1.456676E-2</v>
      </c>
      <c r="O4390">
        <v>-0.99856699999999998</v>
      </c>
      <c r="P4390">
        <v>9.1498170000000004E-2</v>
      </c>
      <c r="Q4390">
        <v>-9.8963010000000004E-2</v>
      </c>
      <c r="R4390">
        <v>-0.99087579999999997</v>
      </c>
      <c r="S4390">
        <v>0.1958771</v>
      </c>
      <c r="T4390">
        <v>-0.11289390000000001</v>
      </c>
      <c r="U4390">
        <v>-2.998138</v>
      </c>
      <c r="V4390">
        <v>-4.0404130000000003E-2</v>
      </c>
      <c r="W4390">
        <v>-8.4440130000000002E-2</v>
      </c>
      <c r="X4390">
        <v>0.99560899999999997</v>
      </c>
      <c r="Y4390">
        <v>-1.369102E-2</v>
      </c>
      <c r="Z4390">
        <v>2.2975490000000001E-2</v>
      </c>
      <c r="AA4390">
        <v>0.99964229999999998</v>
      </c>
      <c r="AB4390">
        <v>20</v>
      </c>
      <c r="AC4390">
        <v>1.9205000000000001</v>
      </c>
      <c r="AD4390">
        <v>-1.109656314233</v>
      </c>
      <c r="AE4390">
        <v>-29.365699999999901</v>
      </c>
      <c r="AF4390">
        <v>-0.40493885499725502</v>
      </c>
      <c r="AG4390">
        <v>-1.109656314233</v>
      </c>
      <c r="AH4390">
        <v>29.383860353079498</v>
      </c>
      <c r="AI4390">
        <v>92.162493183125093</v>
      </c>
      <c r="AJ4390">
        <v>90.7895429149454</v>
      </c>
      <c r="AK4390">
        <v>29.4075936088161</v>
      </c>
      <c r="AL4390">
        <v>94.843831155353101</v>
      </c>
      <c r="AM4390">
        <v>92.323920844957598</v>
      </c>
      <c r="AN4390">
        <v>0.99999995507823503</v>
      </c>
    </row>
    <row r="4391" spans="1:40" x14ac:dyDescent="0.25">
      <c r="A4391" t="str">
        <f>"20190305135020847"</f>
        <v>20190305135020847</v>
      </c>
      <c r="B4391" t="str">
        <f>"1551765020844383"</f>
        <v>1551765020844383</v>
      </c>
      <c r="C4391" t="s">
        <v>40</v>
      </c>
      <c r="D4391">
        <v>4.3919079999999999</v>
      </c>
      <c r="E4391">
        <v>0.51157870000000005</v>
      </c>
      <c r="F4391" t="s">
        <v>42</v>
      </c>
      <c r="G4391">
        <v>-190.14689999999999</v>
      </c>
      <c r="H4391" s="1">
        <v>-4.1593470000000004E-6</v>
      </c>
      <c r="I4391">
        <v>168.30789999999999</v>
      </c>
      <c r="J4391">
        <v>-192.14189999999999</v>
      </c>
      <c r="K4391">
        <v>1.1096509999999999</v>
      </c>
      <c r="L4391">
        <v>197.85640000000001</v>
      </c>
      <c r="M4391">
        <v>5.095599E-2</v>
      </c>
      <c r="N4391">
        <v>-1.448433E-2</v>
      </c>
      <c r="O4391">
        <v>-0.99859609999999999</v>
      </c>
      <c r="P4391">
        <v>9.3467430000000004E-2</v>
      </c>
      <c r="Q4391">
        <v>-9.8756510000000006E-2</v>
      </c>
      <c r="R4391">
        <v>-0.99071299999999995</v>
      </c>
      <c r="S4391">
        <v>0.202179</v>
      </c>
      <c r="T4391">
        <v>-0.1121954</v>
      </c>
      <c r="U4391">
        <v>-2.9977420000000001</v>
      </c>
      <c r="V4391">
        <v>-4.2919649999999997E-2</v>
      </c>
      <c r="W4391">
        <v>-8.4314710000000001E-2</v>
      </c>
      <c r="X4391">
        <v>0.99551440000000002</v>
      </c>
      <c r="Y4391">
        <v>-1.633395E-2</v>
      </c>
      <c r="Z4391">
        <v>2.2829550000000001E-2</v>
      </c>
      <c r="AA4391">
        <v>0.99960599999999999</v>
      </c>
      <c r="AB4391">
        <v>20</v>
      </c>
      <c r="AC4391">
        <v>1.9950000000000001</v>
      </c>
      <c r="AD4391">
        <v>-1.1096551593470001</v>
      </c>
      <c r="AE4391">
        <v>-29.548500000000001</v>
      </c>
      <c r="AF4391">
        <v>-0.48589493767335701</v>
      </c>
      <c r="AG4391">
        <v>-1.1096551593470001</v>
      </c>
      <c r="AH4391">
        <v>29.570260236629601</v>
      </c>
      <c r="AI4391">
        <v>92.148786268396194</v>
      </c>
      <c r="AJ4391">
        <v>90.941392593816403</v>
      </c>
      <c r="AK4391">
        <v>29.5950624078598</v>
      </c>
      <c r="AL4391">
        <v>94.836619213310598</v>
      </c>
      <c r="AM4391">
        <v>92.468666336381901</v>
      </c>
      <c r="AN4391">
        <v>0.99999999364293302</v>
      </c>
    </row>
    <row r="4392" spans="1:40" x14ac:dyDescent="0.25">
      <c r="A4392" t="str">
        <f>"20190305135020858"</f>
        <v>20190305135020858</v>
      </c>
      <c r="B4392" t="str">
        <f>"1551765020855118"</f>
        <v>1551765020855118</v>
      </c>
      <c r="C4392" t="s">
        <v>40</v>
      </c>
      <c r="D4392">
        <v>4.3837140000000003</v>
      </c>
      <c r="E4392">
        <v>0.51179669999999999</v>
      </c>
      <c r="F4392" t="s">
        <v>42</v>
      </c>
      <c r="G4392">
        <v>-190.15389999999999</v>
      </c>
      <c r="H4392" s="1">
        <v>-4.260089E-6</v>
      </c>
      <c r="I4392">
        <v>168.5171</v>
      </c>
      <c r="J4392">
        <v>-192.1378</v>
      </c>
      <c r="K4392">
        <v>1.1096410000000001</v>
      </c>
      <c r="L4392">
        <v>197.76400000000001</v>
      </c>
      <c r="M4392">
        <v>5.0461430000000002E-2</v>
      </c>
      <c r="N4392">
        <v>-1.441518E-2</v>
      </c>
      <c r="O4392">
        <v>-0.99862209999999996</v>
      </c>
      <c r="P4392">
        <v>9.5571879999999998E-2</v>
      </c>
      <c r="Q4392">
        <v>-9.8702609999999996E-2</v>
      </c>
      <c r="R4392">
        <v>-0.99051730000000004</v>
      </c>
      <c r="S4392">
        <v>0.203125</v>
      </c>
      <c r="T4392">
        <v>-0.1133757</v>
      </c>
      <c r="U4392">
        <v>-2.9976500000000001</v>
      </c>
      <c r="V4392">
        <v>-4.552602E-2</v>
      </c>
      <c r="W4392">
        <v>-8.4328009999999995E-2</v>
      </c>
      <c r="X4392">
        <v>0.99539750000000005</v>
      </c>
      <c r="Y4392">
        <v>-1.7144220000000002E-2</v>
      </c>
      <c r="Z4392">
        <v>2.3292190000000001E-2</v>
      </c>
      <c r="AA4392">
        <v>0.99958170000000002</v>
      </c>
      <c r="AB4392">
        <v>20</v>
      </c>
      <c r="AC4392">
        <v>1.9839</v>
      </c>
      <c r="AD4392">
        <v>-1.1096452600890001</v>
      </c>
      <c r="AE4392">
        <v>-29.2469</v>
      </c>
      <c r="AF4392">
        <v>-0.50465531536318098</v>
      </c>
      <c r="AG4392">
        <v>-1.1096452600890001</v>
      </c>
      <c r="AH4392">
        <v>29.2678150801088</v>
      </c>
      <c r="AI4392">
        <v>92.170921118694196</v>
      </c>
      <c r="AJ4392">
        <v>90.987834403717699</v>
      </c>
      <c r="AK4392">
        <v>29.293190149828401</v>
      </c>
      <c r="AL4392">
        <v>94.837383904137397</v>
      </c>
      <c r="AM4392">
        <v>92.618684770029404</v>
      </c>
      <c r="AN4392">
        <v>1.00000000738692</v>
      </c>
    </row>
    <row r="4393" spans="1:40" x14ac:dyDescent="0.25">
      <c r="A4393" t="str">
        <f>"20190305135020868"</f>
        <v>20190305135020868</v>
      </c>
      <c r="B4393" t="str">
        <f>"1551765020864878"</f>
        <v>1551765020864878</v>
      </c>
      <c r="C4393" t="s">
        <v>40</v>
      </c>
      <c r="D4393">
        <v>4.3609619999999998</v>
      </c>
      <c r="E4393">
        <v>0.51214420000000005</v>
      </c>
      <c r="F4393" t="s">
        <v>42</v>
      </c>
      <c r="G4393">
        <v>-190.10749999999999</v>
      </c>
      <c r="H4393" s="1">
        <v>-4.2109230000000002E-6</v>
      </c>
      <c r="I4393">
        <v>168.4392</v>
      </c>
      <c r="J4393">
        <v>-192.1336</v>
      </c>
      <c r="K4393">
        <v>1.109632</v>
      </c>
      <c r="L4393">
        <v>197.67009999999999</v>
      </c>
      <c r="M4393">
        <v>4.9960709999999998E-2</v>
      </c>
      <c r="N4393">
        <v>-1.4346869999999999E-2</v>
      </c>
      <c r="O4393">
        <v>-0.99864830000000004</v>
      </c>
      <c r="P4393">
        <v>9.7340889999999999E-2</v>
      </c>
      <c r="Q4393">
        <v>-9.8839869999999996E-2</v>
      </c>
      <c r="R4393">
        <v>-0.99033119999999997</v>
      </c>
      <c r="S4393">
        <v>0.2075195</v>
      </c>
      <c r="T4393">
        <v>-0.1134202</v>
      </c>
      <c r="U4393">
        <v>-2.9973749999999999</v>
      </c>
      <c r="V4393">
        <v>-4.7803829999999999E-2</v>
      </c>
      <c r="W4393">
        <v>-8.4531499999999996E-2</v>
      </c>
      <c r="X4393">
        <v>0.99527339999999997</v>
      </c>
      <c r="Y4393">
        <v>-1.9109580000000001E-2</v>
      </c>
      <c r="Z4393">
        <v>2.3377760000000001E-2</v>
      </c>
      <c r="AA4393">
        <v>0.99954399999999999</v>
      </c>
      <c r="AB4393">
        <v>19</v>
      </c>
      <c r="AC4393">
        <v>2.0261000000000098</v>
      </c>
      <c r="AD4393">
        <v>-1.109636210923</v>
      </c>
      <c r="AE4393">
        <v>-29.230899999999899</v>
      </c>
      <c r="AF4393">
        <v>-0.562216352332223</v>
      </c>
      <c r="AG4393">
        <v>-1.109636210923</v>
      </c>
      <c r="AH4393">
        <v>29.253670047088999</v>
      </c>
      <c r="AI4393">
        <v>92.171873984908899</v>
      </c>
      <c r="AJ4393">
        <v>91.101012591021998</v>
      </c>
      <c r="AK4393">
        <v>29.2801057199487</v>
      </c>
      <c r="AL4393">
        <v>94.849085027997006</v>
      </c>
      <c r="AM4393">
        <v>92.749851839343407</v>
      </c>
      <c r="AN4393">
        <v>0.99999996070123798</v>
      </c>
    </row>
    <row r="4394" spans="1:40" x14ac:dyDescent="0.25">
      <c r="A4394" t="str">
        <f>"20190305135020881"</f>
        <v>20190305135020881</v>
      </c>
      <c r="B4394" t="str">
        <f>"1551765020874638"</f>
        <v>1551765020874638</v>
      </c>
      <c r="C4394" t="s">
        <v>40</v>
      </c>
      <c r="D4394">
        <v>4.3585890000000003</v>
      </c>
      <c r="E4394">
        <v>0.51244060000000002</v>
      </c>
      <c r="F4394" t="s">
        <v>42</v>
      </c>
      <c r="G4394">
        <v>-190.0753</v>
      </c>
      <c r="H4394" s="1">
        <v>-4.1453239999999998E-6</v>
      </c>
      <c r="I4394">
        <v>168.3186</v>
      </c>
      <c r="J4394">
        <v>-192.12880000000001</v>
      </c>
      <c r="K4394">
        <v>1.109607</v>
      </c>
      <c r="L4394">
        <v>197.5624</v>
      </c>
      <c r="M4394">
        <v>4.9382370000000002E-2</v>
      </c>
      <c r="N4394">
        <v>-1.427842E-2</v>
      </c>
      <c r="O4394">
        <v>-0.99867819999999996</v>
      </c>
      <c r="P4394">
        <v>9.9186209999999997E-2</v>
      </c>
      <c r="Q4394">
        <v>-9.9527779999999996E-2</v>
      </c>
      <c r="R4394">
        <v>-0.99007909999999999</v>
      </c>
      <c r="S4394">
        <v>0.21018980000000001</v>
      </c>
      <c r="T4394">
        <v>-0.1133137</v>
      </c>
      <c r="U4394">
        <v>-2.9973139999999998</v>
      </c>
      <c r="V4394">
        <v>-5.0241220000000003E-2</v>
      </c>
      <c r="W4394">
        <v>-8.5285130000000001E-2</v>
      </c>
      <c r="X4394">
        <v>0.99508909999999995</v>
      </c>
      <c r="Y4394">
        <v>-2.0575659999999999E-2</v>
      </c>
      <c r="Z4394">
        <v>2.3411399999999999E-2</v>
      </c>
      <c r="AA4394">
        <v>0.99951420000000002</v>
      </c>
      <c r="AB4394">
        <v>19</v>
      </c>
      <c r="AC4394">
        <v>2.0535000000000099</v>
      </c>
      <c r="AD4394">
        <v>-1.1096111453240001</v>
      </c>
      <c r="AE4394">
        <v>-29.2438</v>
      </c>
      <c r="AF4394">
        <v>-0.60585121991664004</v>
      </c>
      <c r="AG4394">
        <v>-1.1096111453240001</v>
      </c>
      <c r="AH4394">
        <v>29.267600736622999</v>
      </c>
      <c r="AI4394">
        <v>92.170728109856299</v>
      </c>
      <c r="AJ4394">
        <v>91.185876535926894</v>
      </c>
      <c r="AK4394">
        <v>29.294892822348402</v>
      </c>
      <c r="AL4394">
        <v>94.892421029919007</v>
      </c>
      <c r="AM4394">
        <v>92.890361867494704</v>
      </c>
      <c r="AN4394">
        <v>1.0000000252625001</v>
      </c>
    </row>
    <row r="4395" spans="1:40" x14ac:dyDescent="0.25">
      <c r="A4395" t="str">
        <f>"20190305135020917"</f>
        <v>20190305135020917</v>
      </c>
      <c r="B4395" t="str">
        <f>"1551765020914654"</f>
        <v>1551765020914654</v>
      </c>
      <c r="C4395" t="s">
        <v>40</v>
      </c>
      <c r="D4395">
        <v>3.9280279999999999</v>
      </c>
      <c r="E4395">
        <v>0.51244060000000002</v>
      </c>
      <c r="F4395" t="s">
        <v>42</v>
      </c>
      <c r="G4395">
        <v>-190.08930000000001</v>
      </c>
      <c r="H4395" s="1">
        <v>-4.4254220000000002E-6</v>
      </c>
      <c r="I4395">
        <v>168.9032</v>
      </c>
      <c r="J4395">
        <v>-192.11529999999999</v>
      </c>
      <c r="K4395">
        <v>1.109518</v>
      </c>
      <c r="L4395">
        <v>197.24780000000001</v>
      </c>
      <c r="M4395">
        <v>4.7662990000000002E-2</v>
      </c>
      <c r="N4395">
        <v>-1.4105370000000001E-2</v>
      </c>
      <c r="O4395">
        <v>-0.99876399999999999</v>
      </c>
      <c r="P4395">
        <v>0.1052791</v>
      </c>
      <c r="Q4395">
        <v>-0.1018133</v>
      </c>
      <c r="R4395">
        <v>-0.98921749999999997</v>
      </c>
      <c r="S4395">
        <v>0.21328739999999999</v>
      </c>
      <c r="T4395">
        <v>-0.1160369</v>
      </c>
      <c r="U4395">
        <v>-2.9970089999999998</v>
      </c>
      <c r="V4395">
        <v>-5.8099530000000003E-2</v>
      </c>
      <c r="W4395">
        <v>-8.773309E-2</v>
      </c>
      <c r="X4395">
        <v>0.9944482</v>
      </c>
      <c r="Y4395">
        <v>-2.3329039999999999E-2</v>
      </c>
      <c r="Z4395">
        <v>2.4493910000000001E-2</v>
      </c>
      <c r="AA4395">
        <v>0.99942770000000003</v>
      </c>
      <c r="AB4395">
        <v>19</v>
      </c>
      <c r="AC4395">
        <v>2.0259999999999798</v>
      </c>
      <c r="AD4395">
        <v>-1.109522425422</v>
      </c>
      <c r="AE4395">
        <v>-28.3446</v>
      </c>
      <c r="AF4395">
        <v>-0.67155054779147905</v>
      </c>
      <c r="AG4395">
        <v>-1.109522425422</v>
      </c>
      <c r="AH4395">
        <v>28.365711406877899</v>
      </c>
      <c r="AI4395">
        <v>92.239350867308005</v>
      </c>
      <c r="AJ4395">
        <v>91.356208743948898</v>
      </c>
      <c r="AK4395">
        <v>28.395344755241801</v>
      </c>
      <c r="AL4395">
        <v>95.033207083722601</v>
      </c>
      <c r="AM4395">
        <v>93.343641306794694</v>
      </c>
      <c r="AN4395">
        <v>0.99999993647520202</v>
      </c>
    </row>
    <row r="4396" spans="1:40" x14ac:dyDescent="0.25">
      <c r="A4396" t="str">
        <f>"20190305135020928"</f>
        <v>20190305135020928</v>
      </c>
      <c r="B4396" t="str">
        <f>"1551765020924415"</f>
        <v>1551765020924415</v>
      </c>
      <c r="C4396" t="s">
        <v>40</v>
      </c>
      <c r="D4396">
        <v>4.2281300000000002</v>
      </c>
      <c r="E4396">
        <v>0.39932699999999999</v>
      </c>
      <c r="F4396" t="s">
        <v>42</v>
      </c>
      <c r="G4396">
        <v>-190.0256</v>
      </c>
      <c r="H4396" s="1">
        <v>-2.8294680000000001E-7</v>
      </c>
      <c r="I4396">
        <v>170.2328</v>
      </c>
      <c r="J4396">
        <v>-192.1112</v>
      </c>
      <c r="K4396">
        <v>1.109491</v>
      </c>
      <c r="L4396">
        <v>197.1491</v>
      </c>
      <c r="M4396">
        <v>4.7112979999999999E-2</v>
      </c>
      <c r="N4396">
        <v>-1.4058029999999999E-2</v>
      </c>
      <c r="O4396">
        <v>-0.99879090000000004</v>
      </c>
      <c r="P4396">
        <v>0.1074319</v>
      </c>
      <c r="Q4396">
        <v>-0.10258009999999999</v>
      </c>
      <c r="R4396">
        <v>-0.98890659999999997</v>
      </c>
      <c r="S4396">
        <v>0.23170470000000001</v>
      </c>
      <c r="T4396">
        <v>-0.12302159999999999</v>
      </c>
      <c r="U4396">
        <v>-2.995377</v>
      </c>
      <c r="V4396">
        <v>-6.081773E-2</v>
      </c>
      <c r="W4396">
        <v>-8.854339E-2</v>
      </c>
      <c r="X4396">
        <v>0.99421389999999998</v>
      </c>
      <c r="Y4396">
        <v>-3.0021300000000001E-2</v>
      </c>
      <c r="Z4396">
        <v>2.687266E-2</v>
      </c>
      <c r="AA4396">
        <v>0.99918790000000002</v>
      </c>
      <c r="AB4396">
        <v>19</v>
      </c>
      <c r="AC4396">
        <v>2.0855999999999901</v>
      </c>
      <c r="AD4396">
        <v>-1.1094912829468</v>
      </c>
      <c r="AE4396">
        <v>-26.9163</v>
      </c>
      <c r="AF4396">
        <v>-0.81367726467772405</v>
      </c>
      <c r="AG4396">
        <v>-1.1094912829468</v>
      </c>
      <c r="AH4396">
        <v>26.939174888680199</v>
      </c>
      <c r="AI4396">
        <v>92.357322911805099</v>
      </c>
      <c r="AJ4396">
        <v>91.730049414514895</v>
      </c>
      <c r="AK4396">
        <v>26.974287484211398</v>
      </c>
      <c r="AL4396">
        <v>95.079814903596102</v>
      </c>
      <c r="AM4396">
        <v>93.500516895445102</v>
      </c>
      <c r="AN4396">
        <v>1.0000000035741201</v>
      </c>
    </row>
    <row r="4397" spans="1:40" x14ac:dyDescent="0.25">
      <c r="A4397" t="str">
        <f>"20190305135020945"</f>
        <v>20190305135020945</v>
      </c>
      <c r="B4397" t="str">
        <f>"1551765020935150"</f>
        <v>1551765020935150</v>
      </c>
      <c r="C4397" t="s">
        <v>40</v>
      </c>
      <c r="D4397">
        <v>4.2344609999999996</v>
      </c>
      <c r="E4397">
        <v>0.40649449999999998</v>
      </c>
      <c r="F4397" t="s">
        <v>66</v>
      </c>
      <c r="G4397">
        <v>-159.6705</v>
      </c>
      <c r="H4397">
        <v>1.7932900000000001</v>
      </c>
      <c r="I4397">
        <v>114.95480000000001</v>
      </c>
      <c r="J4397">
        <v>-192.1052</v>
      </c>
      <c r="K4397">
        <v>1.1094469999999901</v>
      </c>
      <c r="L4397">
        <v>197.0025</v>
      </c>
      <c r="M4397">
        <v>4.6279939999999999E-2</v>
      </c>
      <c r="N4397">
        <v>-1.3994690000000001E-2</v>
      </c>
      <c r="O4397">
        <v>-0.99883040000000001</v>
      </c>
      <c r="P4397">
        <v>0.11204790000000001</v>
      </c>
      <c r="Q4397">
        <v>-0.1039924</v>
      </c>
      <c r="R4397">
        <v>-0.98824639999999997</v>
      </c>
      <c r="S4397">
        <v>1.1490479999999901</v>
      </c>
      <c r="T4397">
        <v>2.4220470000000001E-2</v>
      </c>
      <c r="U4397">
        <v>-2.9113159999999998</v>
      </c>
      <c r="V4397">
        <v>-6.629736E-2</v>
      </c>
      <c r="W4397">
        <v>-9.001344E-2</v>
      </c>
      <c r="X4397">
        <v>0.99373149999999999</v>
      </c>
      <c r="Y4397">
        <v>-0.32357750000000002</v>
      </c>
      <c r="Z4397">
        <v>-2.166032E-2</v>
      </c>
      <c r="AA4397">
        <v>0.94595370000000001</v>
      </c>
      <c r="AB4397">
        <v>19</v>
      </c>
      <c r="AC4397">
        <v>32.4346999999999</v>
      </c>
      <c r="AD4397">
        <v>0.68384299999999998</v>
      </c>
      <c r="AE4397">
        <v>-82.047699999999907</v>
      </c>
      <c r="AF4397">
        <v>-28.600686616373</v>
      </c>
      <c r="AG4397">
        <v>0.68384299999999998</v>
      </c>
      <c r="AH4397">
        <v>83.455978612880301</v>
      </c>
      <c r="AI4397">
        <v>89.555880722235003</v>
      </c>
      <c r="AJ4397">
        <v>108.91678575211</v>
      </c>
      <c r="AK4397">
        <v>88.223394190034199</v>
      </c>
      <c r="AL4397">
        <v>95.164380146088703</v>
      </c>
      <c r="AM4397">
        <v>93.8168641838041</v>
      </c>
      <c r="AN4397">
        <v>1.0000000267079201</v>
      </c>
    </row>
    <row r="4398" spans="1:40" x14ac:dyDescent="0.25">
      <c r="A4398" t="str">
        <f>"20190305135020958"</f>
        <v>20190305135020958</v>
      </c>
      <c r="B4398" t="str">
        <f>"1551765020954670"</f>
        <v>1551765020954670</v>
      </c>
      <c r="C4398" t="s">
        <v>40</v>
      </c>
      <c r="D4398">
        <v>4.2162499999999996</v>
      </c>
      <c r="E4398">
        <v>0.41398509999999999</v>
      </c>
      <c r="F4398" t="s">
        <v>66</v>
      </c>
      <c r="G4398">
        <v>-160.5744</v>
      </c>
      <c r="H4398">
        <v>2.67117</v>
      </c>
      <c r="I4398">
        <v>114.04989999999999</v>
      </c>
      <c r="J4398">
        <v>-192.1011</v>
      </c>
      <c r="K4398">
        <v>1.1094170000000001</v>
      </c>
      <c r="L4398">
        <v>196.89859999999999</v>
      </c>
      <c r="M4398">
        <v>4.568142E-2</v>
      </c>
      <c r="N4398">
        <v>-1.3953439999999999E-2</v>
      </c>
      <c r="O4398">
        <v>-0.99885889999999999</v>
      </c>
      <c r="P4398">
        <v>0.1142389</v>
      </c>
      <c r="Q4398">
        <v>-0.104503399999999</v>
      </c>
      <c r="R4398">
        <v>-0.98794190000000004</v>
      </c>
      <c r="S4398">
        <v>1.108322</v>
      </c>
      <c r="T4398">
        <v>5.4895520000000003E-2</v>
      </c>
      <c r="U4398">
        <v>-2.9158170000000001</v>
      </c>
      <c r="V4398">
        <v>-6.9100239999999993E-2</v>
      </c>
      <c r="W4398">
        <v>-9.0561699999999995E-2</v>
      </c>
      <c r="X4398">
        <v>0.99349069999999995</v>
      </c>
      <c r="Y4398">
        <v>-0.31206</v>
      </c>
      <c r="Z4398">
        <v>-3.1538910000000003E-2</v>
      </c>
      <c r="AA4398">
        <v>0.94953880000000002</v>
      </c>
      <c r="AB4398">
        <v>19</v>
      </c>
      <c r="AC4398">
        <v>31.526700000000002</v>
      </c>
      <c r="AD4398">
        <v>1.5617529999999999</v>
      </c>
      <c r="AE4398">
        <v>-82.848699999999994</v>
      </c>
      <c r="AF4398">
        <v>-27.700169838751499</v>
      </c>
      <c r="AG4398">
        <v>1.5617529999999999</v>
      </c>
      <c r="AH4398">
        <v>84.176389925809403</v>
      </c>
      <c r="AI4398">
        <v>88.990344488506196</v>
      </c>
      <c r="AJ4398">
        <v>108.214975054513</v>
      </c>
      <c r="AK4398">
        <v>88.6307119596283</v>
      </c>
      <c r="AL4398">
        <v>95.195922001027398</v>
      </c>
      <c r="AM4398">
        <v>93.978684747566902</v>
      </c>
      <c r="AN4398">
        <v>1.00000001783071</v>
      </c>
    </row>
    <row r="4399" spans="1:40" x14ac:dyDescent="0.25">
      <c r="A4399" t="str">
        <f>"20190305135020968"</f>
        <v>20190305135020968</v>
      </c>
      <c r="B4399" t="str">
        <f>"1551765020964430"</f>
        <v>1551765020964430</v>
      </c>
      <c r="C4399" t="s">
        <v>40</v>
      </c>
      <c r="D4399">
        <v>4.1891420000000004</v>
      </c>
      <c r="E4399">
        <v>0.4163115</v>
      </c>
      <c r="F4399" t="s">
        <v>66</v>
      </c>
      <c r="G4399">
        <v>-161.7122</v>
      </c>
      <c r="H4399">
        <v>3.5063019999999998</v>
      </c>
      <c r="I4399">
        <v>112.91079999999999</v>
      </c>
      <c r="J4399">
        <v>-192.09729999999999</v>
      </c>
      <c r="K4399">
        <v>1.1093850000000001</v>
      </c>
      <c r="L4399">
        <v>196.8038</v>
      </c>
      <c r="M4399">
        <v>4.513205E-2</v>
      </c>
      <c r="N4399">
        <v>-1.391736E-2</v>
      </c>
      <c r="O4399">
        <v>-0.9988842</v>
      </c>
      <c r="P4399">
        <v>0.11628520000000001</v>
      </c>
      <c r="Q4399">
        <v>-0.1052053</v>
      </c>
      <c r="R4399">
        <v>-0.98762859999999997</v>
      </c>
      <c r="S4399">
        <v>1.0576779999999999</v>
      </c>
      <c r="T4399">
        <v>8.3423140000000007E-2</v>
      </c>
      <c r="U4399">
        <v>-2.9231720000000001</v>
      </c>
      <c r="V4399">
        <v>-7.1709220000000004E-2</v>
      </c>
      <c r="W4399">
        <v>-9.1296489999999994E-2</v>
      </c>
      <c r="X4399">
        <v>0.99323850000000002</v>
      </c>
      <c r="Y4399">
        <v>-0.29719129999999999</v>
      </c>
      <c r="Z4399">
        <v>-4.0783149999999997E-2</v>
      </c>
      <c r="AA4399">
        <v>0.95394659999999998</v>
      </c>
      <c r="AB4399">
        <v>19</v>
      </c>
      <c r="AC4399">
        <v>30.385099999999898</v>
      </c>
      <c r="AD4399">
        <v>2.3969170000000002</v>
      </c>
      <c r="AE4399">
        <v>-83.892999999999901</v>
      </c>
      <c r="AF4399">
        <v>-26.548344707291001</v>
      </c>
      <c r="AG4399">
        <v>2.3969170000000002</v>
      </c>
      <c r="AH4399">
        <v>85.117549002099395</v>
      </c>
      <c r="AI4399">
        <v>88.460099645811198</v>
      </c>
      <c r="AJ4399">
        <v>107.322811456906</v>
      </c>
      <c r="AK4399">
        <v>89.193928974604702</v>
      </c>
      <c r="AL4399">
        <v>95.238197647146805</v>
      </c>
      <c r="AM4399">
        <v>94.129440410362207</v>
      </c>
      <c r="AN4399">
        <v>0.99999998960078895</v>
      </c>
    </row>
    <row r="4400" spans="1:40" x14ac:dyDescent="0.25">
      <c r="A4400" t="str">
        <f>"20190305135020980"</f>
        <v>20190305135020980</v>
      </c>
      <c r="B4400" t="str">
        <f>"1551765020975167"</f>
        <v>1551765020975167</v>
      </c>
      <c r="C4400" t="s">
        <v>40</v>
      </c>
      <c r="D4400">
        <v>4.2189969999999999</v>
      </c>
      <c r="E4400">
        <v>0.41796240000000001</v>
      </c>
      <c r="F4400" t="s">
        <v>66</v>
      </c>
      <c r="G4400">
        <v>-161.9999</v>
      </c>
      <c r="H4400">
        <v>3.4565610000000002</v>
      </c>
      <c r="I4400">
        <v>112.6225</v>
      </c>
      <c r="J4400">
        <v>-192.09350000000001</v>
      </c>
      <c r="K4400">
        <v>1.109361</v>
      </c>
      <c r="L4400">
        <v>196.7046</v>
      </c>
      <c r="M4400">
        <v>4.4550140000000002E-2</v>
      </c>
      <c r="N4400">
        <v>-1.388387E-2</v>
      </c>
      <c r="O4400">
        <v>-0.99891070000000004</v>
      </c>
      <c r="P4400">
        <v>0.1182747</v>
      </c>
      <c r="Q4400">
        <v>-0.10591970000000001</v>
      </c>
      <c r="R4400">
        <v>-0.98731579999999997</v>
      </c>
      <c r="S4400">
        <v>1.0451349999999999</v>
      </c>
      <c r="T4400">
        <v>8.1506129999999996E-2</v>
      </c>
      <c r="U4400">
        <v>-2.923203</v>
      </c>
      <c r="V4400">
        <v>-7.4292629999999998E-2</v>
      </c>
      <c r="W4400">
        <v>-9.204176E-2</v>
      </c>
      <c r="X4400">
        <v>0.99297979999999997</v>
      </c>
      <c r="Y4400">
        <v>-0.29412549999999998</v>
      </c>
      <c r="Z4400">
        <v>-4.0165439999999997E-2</v>
      </c>
      <c r="AA4400">
        <v>0.95492250000000001</v>
      </c>
      <c r="AB4400">
        <v>19</v>
      </c>
      <c r="AC4400">
        <v>30.093599999999999</v>
      </c>
      <c r="AD4400">
        <v>2.3472</v>
      </c>
      <c r="AE4400">
        <v>-84.082099999999997</v>
      </c>
      <c r="AF4400">
        <v>-26.299318185739601</v>
      </c>
      <c r="AG4400">
        <v>2.3472</v>
      </c>
      <c r="AH4400">
        <v>85.280495282125997</v>
      </c>
      <c r="AI4400">
        <v>88.493408118503993</v>
      </c>
      <c r="AJ4400">
        <v>107.13903458679501</v>
      </c>
      <c r="AK4400">
        <v>89.274444050016299</v>
      </c>
      <c r="AL4400">
        <v>95.281079066470198</v>
      </c>
      <c r="AM4400">
        <v>94.278776071837498</v>
      </c>
      <c r="AN4400">
        <v>0.99999998183212702</v>
      </c>
    </row>
    <row r="4401" spans="1:40" x14ac:dyDescent="0.25">
      <c r="A4401" t="str">
        <f>"20190305135020992"</f>
        <v>20190305135020992</v>
      </c>
      <c r="B4401" t="str">
        <f>"1551765020984926"</f>
        <v>1551765020984926</v>
      </c>
      <c r="C4401" t="s">
        <v>40</v>
      </c>
      <c r="D4401">
        <v>4.2195450000000001</v>
      </c>
      <c r="E4401">
        <v>0.41953760000000001</v>
      </c>
      <c r="F4401" t="s">
        <v>66</v>
      </c>
      <c r="G4401">
        <v>-162.17339999999999</v>
      </c>
      <c r="H4401">
        <v>3.4319350000000002</v>
      </c>
      <c r="I4401">
        <v>112.4486</v>
      </c>
      <c r="J4401">
        <v>-192.08930000000001</v>
      </c>
      <c r="K4401">
        <v>1.1093390000000001</v>
      </c>
      <c r="L4401">
        <v>196.5951</v>
      </c>
      <c r="M4401">
        <v>4.3905479999999997E-2</v>
      </c>
      <c r="N4401">
        <v>-1.384848E-2</v>
      </c>
      <c r="O4401">
        <v>-0.99893989999999999</v>
      </c>
      <c r="P4401">
        <v>0.1199548</v>
      </c>
      <c r="Q4401">
        <v>-0.10693320000000001</v>
      </c>
      <c r="R4401">
        <v>-0.98700390000000005</v>
      </c>
      <c r="S4401">
        <v>1.037933</v>
      </c>
      <c r="T4401">
        <v>8.0570699999999995E-2</v>
      </c>
      <c r="U4401">
        <v>-2.9228519999999998</v>
      </c>
      <c r="V4401">
        <v>-7.6629169999999996E-2</v>
      </c>
      <c r="W4401">
        <v>-9.3088630000000006E-2</v>
      </c>
      <c r="X4401">
        <v>0.99270460000000005</v>
      </c>
      <c r="Y4401">
        <v>-0.29269390000000001</v>
      </c>
      <c r="Z4401">
        <v>-3.9850379999999998E-2</v>
      </c>
      <c r="AA4401">
        <v>0.95537539999999999</v>
      </c>
      <c r="AB4401">
        <v>19</v>
      </c>
      <c r="AC4401">
        <v>29.915900000000001</v>
      </c>
      <c r="AD4401">
        <v>2.3225959999999999</v>
      </c>
      <c r="AE4401">
        <v>-84.146500000000003</v>
      </c>
      <c r="AF4401">
        <v>-26.174496556872999</v>
      </c>
      <c r="AG4401">
        <v>2.3225959999999999</v>
      </c>
      <c r="AH4401">
        <v>85.321230047206001</v>
      </c>
      <c r="AI4401">
        <v>88.509230843647799</v>
      </c>
      <c r="AJ4401">
        <v>107.054751057731</v>
      </c>
      <c r="AK4401">
        <v>89.276038324699599</v>
      </c>
      <c r="AL4401">
        <v>95.341318983808094</v>
      </c>
      <c r="AM4401">
        <v>94.414040720880706</v>
      </c>
      <c r="AN4401">
        <v>0.999999972795662</v>
      </c>
    </row>
    <row r="4402" spans="1:40" x14ac:dyDescent="0.25">
      <c r="A4402" t="str">
        <f>"20190305135021005"</f>
        <v>20190305135021005</v>
      </c>
      <c r="B4402" t="str">
        <f>"1551765020994686"</f>
        <v>1551765020994686</v>
      </c>
      <c r="C4402" t="s">
        <v>40</v>
      </c>
      <c r="D4402">
        <v>4.1789999999999896</v>
      </c>
      <c r="E4402">
        <v>0.42067349999999998</v>
      </c>
      <c r="F4402" t="s">
        <v>66</v>
      </c>
      <c r="G4402">
        <v>-162.36670000000001</v>
      </c>
      <c r="H4402">
        <v>3.3670439999999999</v>
      </c>
      <c r="I4402">
        <v>112.255</v>
      </c>
      <c r="J4402">
        <v>-192.08519999999999</v>
      </c>
      <c r="K4402">
        <v>1.1093230000000001</v>
      </c>
      <c r="L4402">
        <v>196.48500000000001</v>
      </c>
      <c r="M4402">
        <v>4.3253020000000003E-2</v>
      </c>
      <c r="N4402">
        <v>-1.381639E-2</v>
      </c>
      <c r="O4402">
        <v>-0.99896870000000004</v>
      </c>
      <c r="P4402">
        <v>0.1213849</v>
      </c>
      <c r="Q4402">
        <v>-0.10797420000000001</v>
      </c>
      <c r="R4402">
        <v>-0.98671580000000003</v>
      </c>
      <c r="S4402">
        <v>1.0300290000000001</v>
      </c>
      <c r="T4402">
        <v>7.8240279999999995E-2</v>
      </c>
      <c r="U4402">
        <v>-2.9227750000000001</v>
      </c>
      <c r="V4402">
        <v>-7.8721810000000003E-2</v>
      </c>
      <c r="W4402">
        <v>-9.4160499999999994E-2</v>
      </c>
      <c r="X4402">
        <v>0.99243970000000004</v>
      </c>
      <c r="Y4402">
        <v>-0.29103810000000002</v>
      </c>
      <c r="Z4402">
        <v>-3.9085769999999999E-2</v>
      </c>
      <c r="AA4402">
        <v>0.95591269999999995</v>
      </c>
      <c r="AB4402">
        <v>19</v>
      </c>
      <c r="AC4402">
        <v>29.718499999999899</v>
      </c>
      <c r="AD4402">
        <v>2.2577210000000001</v>
      </c>
      <c r="AE4402">
        <v>-84.23</v>
      </c>
      <c r="AF4402">
        <v>-26.030501659126699</v>
      </c>
      <c r="AG4402">
        <v>2.2577210000000001</v>
      </c>
      <c r="AH4402">
        <v>85.382142626741896</v>
      </c>
      <c r="AI4402">
        <v>88.551115038527399</v>
      </c>
      <c r="AJ4402">
        <v>106.95492048048899</v>
      </c>
      <c r="AK4402">
        <v>89.290506775764996</v>
      </c>
      <c r="AL4402">
        <v>95.403003734974007</v>
      </c>
      <c r="AM4402">
        <v>94.535291463628994</v>
      </c>
      <c r="AN4402">
        <v>0.99999994063300601</v>
      </c>
    </row>
    <row r="4403" spans="1:40" x14ac:dyDescent="0.25">
      <c r="A4403" t="str">
        <f>"20190305135021020"</f>
        <v>20190305135021020</v>
      </c>
      <c r="B4403" t="str">
        <f>"1551765021015182"</f>
        <v>1551765021015182</v>
      </c>
      <c r="C4403" t="s">
        <v>40</v>
      </c>
      <c r="D4403">
        <v>4.2261069999999998</v>
      </c>
      <c r="E4403">
        <v>0.4223788</v>
      </c>
      <c r="F4403" t="s">
        <v>66</v>
      </c>
      <c r="G4403">
        <v>-162.4983</v>
      </c>
      <c r="H4403">
        <v>3.2306499999999998</v>
      </c>
      <c r="I4403">
        <v>112.12309999999999</v>
      </c>
      <c r="J4403">
        <v>-192.08099999999999</v>
      </c>
      <c r="K4403">
        <v>1.1093040000000001</v>
      </c>
      <c r="L4403">
        <v>196.3698</v>
      </c>
      <c r="M4403">
        <v>4.2570669999999998E-2</v>
      </c>
      <c r="N4403">
        <v>-1.37856E-2</v>
      </c>
      <c r="O4403">
        <v>-0.99899830000000001</v>
      </c>
      <c r="P4403">
        <v>0.122673</v>
      </c>
      <c r="Q4403">
        <v>-0.1093315</v>
      </c>
      <c r="R4403">
        <v>-0.98640660000000002</v>
      </c>
      <c r="S4403">
        <v>1.024918</v>
      </c>
      <c r="T4403">
        <v>7.3484899999999895E-2</v>
      </c>
      <c r="U4403">
        <v>-2.9223629999999998</v>
      </c>
      <c r="V4403">
        <v>-8.0701809999999999E-2</v>
      </c>
      <c r="W4403">
        <v>-9.5548380000000002E-2</v>
      </c>
      <c r="X4403">
        <v>0.99214800000000003</v>
      </c>
      <c r="Y4403">
        <v>-0.29026229999999997</v>
      </c>
      <c r="Z4403">
        <v>-3.7530269999999998E-2</v>
      </c>
      <c r="AA4403">
        <v>0.95621089999999997</v>
      </c>
      <c r="AB4403">
        <v>19</v>
      </c>
      <c r="AC4403">
        <v>29.5826999999999</v>
      </c>
      <c r="AD4403">
        <v>2.121346</v>
      </c>
      <c r="AE4403">
        <v>-84.246700000000004</v>
      </c>
      <c r="AF4403">
        <v>-25.954447647551699</v>
      </c>
      <c r="AG4403">
        <v>2.121346</v>
      </c>
      <c r="AH4403">
        <v>85.381594294274706</v>
      </c>
      <c r="AI4403">
        <v>88.638253474756496</v>
      </c>
      <c r="AJ4403">
        <v>106.908315352039</v>
      </c>
      <c r="AK4403">
        <v>89.264495213793396</v>
      </c>
      <c r="AL4403">
        <v>95.482883447681701</v>
      </c>
      <c r="AM4403">
        <v>94.650229397836299</v>
      </c>
      <c r="AN4403">
        <v>0.99999996448094897</v>
      </c>
    </row>
    <row r="4404" spans="1:40" x14ac:dyDescent="0.25">
      <c r="A4404" t="str">
        <f>"20190305135021032"</f>
        <v>20190305135021032</v>
      </c>
      <c r="B4404" t="str">
        <f>"1551765021024942"</f>
        <v>1551765021024942</v>
      </c>
      <c r="C4404" t="s">
        <v>40</v>
      </c>
      <c r="D4404">
        <v>4.2466200000000001</v>
      </c>
      <c r="E4404">
        <v>0.42288540000000002</v>
      </c>
      <c r="F4404" t="s">
        <v>66</v>
      </c>
      <c r="G4404">
        <v>-162.74010000000001</v>
      </c>
      <c r="H4404">
        <v>3.1129540000000002</v>
      </c>
      <c r="I4404">
        <v>111.88079999999999</v>
      </c>
      <c r="J4404">
        <v>-192.07669999999999</v>
      </c>
      <c r="K4404">
        <v>1.1092879999999901</v>
      </c>
      <c r="L4404">
        <v>196.2499</v>
      </c>
      <c r="M4404">
        <v>4.186148E-2</v>
      </c>
      <c r="N4404">
        <v>-1.375563E-2</v>
      </c>
      <c r="O4404">
        <v>-0.99902860000000004</v>
      </c>
      <c r="P4404">
        <v>0.123567899999999</v>
      </c>
      <c r="Q4404">
        <v>-0.1109122</v>
      </c>
      <c r="R4404">
        <v>-0.9861181</v>
      </c>
      <c r="S4404">
        <v>1.015015</v>
      </c>
      <c r="T4404">
        <v>6.9314120000000007E-2</v>
      </c>
      <c r="U4404">
        <v>-2.9227910000000001</v>
      </c>
      <c r="V4404">
        <v>-8.231434E-2</v>
      </c>
      <c r="W4404">
        <v>-9.7159830000000003E-2</v>
      </c>
      <c r="X4404">
        <v>0.99185900000000005</v>
      </c>
      <c r="Y4404">
        <v>-0.28802280000000002</v>
      </c>
      <c r="Z4404">
        <v>-3.6168619999999999E-2</v>
      </c>
      <c r="AA4404">
        <v>0.95694029999999997</v>
      </c>
      <c r="AB4404">
        <v>19</v>
      </c>
      <c r="AC4404">
        <v>29.336599999999901</v>
      </c>
      <c r="AD4404">
        <v>2.0036659999999999</v>
      </c>
      <c r="AE4404">
        <v>-84.369100000000003</v>
      </c>
      <c r="AF4404">
        <v>-25.7657647942201</v>
      </c>
      <c r="AG4404">
        <v>2.0036659999999999</v>
      </c>
      <c r="AH4404">
        <v>85.480308844689603</v>
      </c>
      <c r="AI4404">
        <v>88.714342596245601</v>
      </c>
      <c r="AJ4404">
        <v>106.774035493838</v>
      </c>
      <c r="AK4404">
        <v>89.301581806002503</v>
      </c>
      <c r="AL4404">
        <v>95.575644266686595</v>
      </c>
      <c r="AM4404">
        <v>94.744103047664396</v>
      </c>
      <c r="AN4404">
        <v>0.99999997950813202</v>
      </c>
    </row>
    <row r="4405" spans="1:40" x14ac:dyDescent="0.25">
      <c r="A4405" t="str">
        <f>"20190305135021046"</f>
        <v>20190305135021046</v>
      </c>
      <c r="B4405" t="str">
        <f>"1551765021034702"</f>
        <v>1551765021034702</v>
      </c>
      <c r="C4405" t="s">
        <v>40</v>
      </c>
      <c r="D4405">
        <v>4.2538559999999999</v>
      </c>
      <c r="E4405">
        <v>0.42362820000000001</v>
      </c>
      <c r="F4405" t="s">
        <v>66</v>
      </c>
      <c r="G4405">
        <v>-162.79689999999999</v>
      </c>
      <c r="H4405">
        <v>2.9814080000000001</v>
      </c>
      <c r="I4405">
        <v>111.82380000000001</v>
      </c>
      <c r="J4405">
        <v>-192.07249999999999</v>
      </c>
      <c r="K4405">
        <v>1.109272</v>
      </c>
      <c r="L4405">
        <v>196.12979999999999</v>
      </c>
      <c r="M4405">
        <v>4.1155629999999999E-2</v>
      </c>
      <c r="N4405">
        <v>-1.372836E-2</v>
      </c>
      <c r="O4405">
        <v>-0.99905840000000001</v>
      </c>
      <c r="P4405">
        <v>0.1260886</v>
      </c>
      <c r="Q4405">
        <v>-0.1138759</v>
      </c>
      <c r="R4405">
        <v>-0.98546140000000004</v>
      </c>
      <c r="S4405">
        <v>1.013565</v>
      </c>
      <c r="T4405">
        <v>6.4806459999999996E-2</v>
      </c>
      <c r="U4405">
        <v>-2.9225310000000002</v>
      </c>
      <c r="V4405">
        <v>-8.5564520000000005E-2</v>
      </c>
      <c r="W4405">
        <v>-0.10015400000000001</v>
      </c>
      <c r="X4405">
        <v>0.991286</v>
      </c>
      <c r="Y4405">
        <v>-0.28831639999999997</v>
      </c>
      <c r="Z4405">
        <v>-3.4683779999999997E-2</v>
      </c>
      <c r="AA4405">
        <v>0.95690679999999995</v>
      </c>
      <c r="AB4405">
        <v>19</v>
      </c>
      <c r="AC4405">
        <v>29.275600000000001</v>
      </c>
      <c r="AD4405">
        <v>1.872136</v>
      </c>
      <c r="AE4405">
        <v>-84.305999999999898</v>
      </c>
      <c r="AF4405">
        <v>-25.769457728554801</v>
      </c>
      <c r="AG4405">
        <v>1.872136</v>
      </c>
      <c r="AH4405">
        <v>85.401945397737194</v>
      </c>
      <c r="AI4405">
        <v>88.797717869152507</v>
      </c>
      <c r="AJ4405">
        <v>106.790832293791</v>
      </c>
      <c r="AK4405">
        <v>89.224784239270406</v>
      </c>
      <c r="AL4405">
        <v>95.748038419138496</v>
      </c>
      <c r="AM4405">
        <v>94.933353819795101</v>
      </c>
      <c r="AN4405">
        <v>1.0000000222974099</v>
      </c>
    </row>
    <row r="4406" spans="1:40" x14ac:dyDescent="0.25">
      <c r="A4406" t="str">
        <f>"20190305135021058"</f>
        <v>20190305135021058</v>
      </c>
      <c r="B4406" t="str">
        <f>"1551765021055198"</f>
        <v>1551765021055198</v>
      </c>
      <c r="C4406" t="s">
        <v>40</v>
      </c>
      <c r="D4406">
        <v>4.3957800000000002</v>
      </c>
      <c r="E4406">
        <v>0.42477599999999999</v>
      </c>
      <c r="F4406" t="s">
        <v>66</v>
      </c>
      <c r="G4406">
        <v>-162.77610000000001</v>
      </c>
      <c r="H4406">
        <v>2.6496849999999998</v>
      </c>
      <c r="I4406">
        <v>111.84439999999999</v>
      </c>
      <c r="J4406">
        <v>-192.0693</v>
      </c>
      <c r="K4406">
        <v>1.10927</v>
      </c>
      <c r="L4406">
        <v>196.0359</v>
      </c>
      <c r="M4406">
        <v>4.060859E-2</v>
      </c>
      <c r="N4406">
        <v>-1.37088E-2</v>
      </c>
      <c r="O4406">
        <v>-0.999081</v>
      </c>
      <c r="P4406">
        <v>0.1270935</v>
      </c>
      <c r="Q4406">
        <v>-0.11531959999999999</v>
      </c>
      <c r="R4406">
        <v>-0.98516440000000005</v>
      </c>
      <c r="S4406">
        <v>1.0151520000000001</v>
      </c>
      <c r="T4406">
        <v>5.3377269999999997E-2</v>
      </c>
      <c r="U4406">
        <v>-2.9205779999999999</v>
      </c>
      <c r="V4406">
        <v>-8.7124489999999999E-2</v>
      </c>
      <c r="W4406">
        <v>-0.1016193</v>
      </c>
      <c r="X4406">
        <v>0.99100100000000002</v>
      </c>
      <c r="Y4406">
        <v>-0.2895356</v>
      </c>
      <c r="Z4406">
        <v>-3.0961539999999999E-2</v>
      </c>
      <c r="AA4406">
        <v>0.95666640000000003</v>
      </c>
      <c r="AB4406">
        <v>19</v>
      </c>
      <c r="AC4406">
        <v>29.293199999999899</v>
      </c>
      <c r="AD4406">
        <v>1.5404150000000001</v>
      </c>
      <c r="AE4406">
        <v>-84.191500000000005</v>
      </c>
      <c r="AF4406">
        <v>-25.842095888026702</v>
      </c>
      <c r="AG4406">
        <v>1.5404150000000001</v>
      </c>
      <c r="AH4406">
        <v>85.286239726812397</v>
      </c>
      <c r="AI4406">
        <v>89.009705642816698</v>
      </c>
      <c r="AJ4406">
        <v>106.857033287262</v>
      </c>
      <c r="AK4406">
        <v>89.128724241949698</v>
      </c>
      <c r="AL4406">
        <v>95.832424192865702</v>
      </c>
      <c r="AM4406">
        <v>95.024277380465406</v>
      </c>
      <c r="AN4406">
        <v>1.00000007044562</v>
      </c>
    </row>
    <row r="4407" spans="1:40" x14ac:dyDescent="0.25">
      <c r="A4407" t="str">
        <f>"20190305135021068"</f>
        <v>20190305135021068</v>
      </c>
      <c r="B4407" t="str">
        <f>"1551765021064959"</f>
        <v>1551765021064959</v>
      </c>
      <c r="C4407" t="s">
        <v>40</v>
      </c>
      <c r="D4407">
        <v>4.244122</v>
      </c>
      <c r="E4407">
        <v>0.42534959999999999</v>
      </c>
      <c r="F4407" t="s">
        <v>66</v>
      </c>
      <c r="G4407">
        <v>-162.9297</v>
      </c>
      <c r="H4407">
        <v>2.5026389999999998</v>
      </c>
      <c r="I4407">
        <v>111.6905</v>
      </c>
      <c r="J4407">
        <v>-192.066</v>
      </c>
      <c r="K4407">
        <v>1.109259</v>
      </c>
      <c r="L4407">
        <v>195.94130000000001</v>
      </c>
      <c r="M4407">
        <v>4.0060100000000001E-2</v>
      </c>
      <c r="N4407">
        <v>-1.36898E-2</v>
      </c>
      <c r="O4407">
        <v>-0.99910339999999997</v>
      </c>
      <c r="P4407">
        <v>0.1278947</v>
      </c>
      <c r="Q4407">
        <v>-0.1162059</v>
      </c>
      <c r="R4407">
        <v>-0.98495619999999995</v>
      </c>
      <c r="S4407">
        <v>1.0090330000000001</v>
      </c>
      <c r="T4407">
        <v>4.8249239999999999E-2</v>
      </c>
      <c r="U4407">
        <v>-2.9206699999999999</v>
      </c>
      <c r="V4407">
        <v>-8.8477059999999996E-2</v>
      </c>
      <c r="W4407">
        <v>-0.10252600000000001</v>
      </c>
      <c r="X4407">
        <v>0.99078770000000005</v>
      </c>
      <c r="Y4407">
        <v>-0.28827550000000002</v>
      </c>
      <c r="Z4407">
        <v>-2.9286940000000001E-2</v>
      </c>
      <c r="AA4407">
        <v>0.95709949999999999</v>
      </c>
      <c r="AB4407">
        <v>19</v>
      </c>
      <c r="AC4407">
        <v>29.136299999999899</v>
      </c>
      <c r="AD4407">
        <v>1.3933799999999901</v>
      </c>
      <c r="AE4407">
        <v>-84.250799999999998</v>
      </c>
      <c r="AF4407">
        <v>-25.7312087922753</v>
      </c>
      <c r="AG4407">
        <v>1.3933799999999901</v>
      </c>
      <c r="AH4407">
        <v>85.329623105088004</v>
      </c>
      <c r="AI4407">
        <v>89.104309452123701</v>
      </c>
      <c r="AJ4407">
        <v>106.78072259710601</v>
      </c>
      <c r="AK4407">
        <v>89.135745876681995</v>
      </c>
      <c r="AL4407">
        <v>95.8846473428883</v>
      </c>
      <c r="AM4407">
        <v>95.102961132702106</v>
      </c>
      <c r="AN4407">
        <v>1.0000000186467599</v>
      </c>
    </row>
    <row r="4408" spans="1:40" x14ac:dyDescent="0.25">
      <c r="A4408" t="str">
        <f>"20190305135021080"</f>
        <v>20190305135021080</v>
      </c>
      <c r="B4408" t="str">
        <f>"1551765021074718"</f>
        <v>1551765021074718</v>
      </c>
      <c r="C4408" t="s">
        <v>40</v>
      </c>
      <c r="D4408">
        <v>4.2218929999999997</v>
      </c>
      <c r="E4408">
        <v>0.4259135</v>
      </c>
      <c r="F4408" t="s">
        <v>66</v>
      </c>
      <c r="G4408">
        <v>-163.00040000000001</v>
      </c>
      <c r="H4408">
        <v>2.3996770000000001</v>
      </c>
      <c r="I4408">
        <v>111.6195</v>
      </c>
      <c r="J4408">
        <v>-192.06280000000001</v>
      </c>
      <c r="K4408">
        <v>1.1092599999999999</v>
      </c>
      <c r="L4408">
        <v>195.8425</v>
      </c>
      <c r="M4408">
        <v>3.949606E-2</v>
      </c>
      <c r="N4408">
        <v>-1.367207E-2</v>
      </c>
      <c r="O4408">
        <v>-0.99912630000000002</v>
      </c>
      <c r="P4408">
        <v>0.12816739999999999</v>
      </c>
      <c r="Q4408">
        <v>-0.1166132</v>
      </c>
      <c r="R4408">
        <v>-0.984873</v>
      </c>
      <c r="S4408">
        <v>1.006653</v>
      </c>
      <c r="T4408">
        <v>4.46924E-2</v>
      </c>
      <c r="U4408">
        <v>-2.9203800000000002</v>
      </c>
      <c r="V4408">
        <v>-8.9310719999999996E-2</v>
      </c>
      <c r="W4408">
        <v>-0.10295219999999999</v>
      </c>
      <c r="X4408">
        <v>0.99066869999999996</v>
      </c>
      <c r="Y4408">
        <v>-0.288157</v>
      </c>
      <c r="Z4408">
        <v>-2.811864E-2</v>
      </c>
      <c r="AA4408">
        <v>0.95717019999999997</v>
      </c>
      <c r="AB4408">
        <v>19</v>
      </c>
      <c r="AC4408">
        <v>29.0624</v>
      </c>
      <c r="AD4408">
        <v>1.2904169999999999</v>
      </c>
      <c r="AE4408">
        <v>-84.222999999999999</v>
      </c>
      <c r="AF4408">
        <v>-25.7075392588082</v>
      </c>
      <c r="AG4408">
        <v>1.2904169999999999</v>
      </c>
      <c r="AH4408">
        <v>85.2873375335612</v>
      </c>
      <c r="AI4408">
        <v>89.170045788607297</v>
      </c>
      <c r="AJ4408">
        <v>106.773998870884</v>
      </c>
      <c r="AK4408">
        <v>89.086882841081902</v>
      </c>
      <c r="AL4408">
        <v>95.9091967224998</v>
      </c>
      <c r="AM4408">
        <v>95.151400862215795</v>
      </c>
      <c r="AN4408">
        <v>1.0000000166757199</v>
      </c>
    </row>
    <row r="4409" spans="1:40" x14ac:dyDescent="0.25">
      <c r="A4409" t="str">
        <f>"20190305135021092"</f>
        <v>20190305135021092</v>
      </c>
      <c r="B4409" t="str">
        <f>"1551765021084479"</f>
        <v>1551765021084479</v>
      </c>
      <c r="C4409" t="s">
        <v>40</v>
      </c>
      <c r="D4409">
        <v>4.2640719999999996</v>
      </c>
      <c r="E4409">
        <v>0.42659390000000003</v>
      </c>
      <c r="F4409" t="s">
        <v>66</v>
      </c>
      <c r="G4409">
        <v>-163.1053</v>
      </c>
      <c r="H4409">
        <v>2.3730060000000002</v>
      </c>
      <c r="I4409">
        <v>111.51439999999999</v>
      </c>
      <c r="J4409">
        <v>-192.05930000000001</v>
      </c>
      <c r="K4409">
        <v>1.109264</v>
      </c>
      <c r="L4409">
        <v>195.7397</v>
      </c>
      <c r="M4409">
        <v>3.8911359999999999E-2</v>
      </c>
      <c r="N4409">
        <v>-1.365427E-2</v>
      </c>
      <c r="O4409">
        <v>-0.99914959999999997</v>
      </c>
      <c r="P4409">
        <v>0.12857789999999999</v>
      </c>
      <c r="Q4409">
        <v>-0.116642</v>
      </c>
      <c r="R4409">
        <v>-0.98481629999999998</v>
      </c>
      <c r="S4409">
        <v>1.0029600000000001</v>
      </c>
      <c r="T4409">
        <v>4.3771030000000002E-2</v>
      </c>
      <c r="U4409">
        <v>-2.9207610000000002</v>
      </c>
      <c r="V4409">
        <v>-9.0300809999999995E-2</v>
      </c>
      <c r="W4409">
        <v>-0.1029997</v>
      </c>
      <c r="X4409">
        <v>0.99057399999999995</v>
      </c>
      <c r="Y4409">
        <v>-0.2875992</v>
      </c>
      <c r="Z4409">
        <v>-2.780583E-2</v>
      </c>
      <c r="AA4409">
        <v>0.95734719999999995</v>
      </c>
      <c r="AB4409">
        <v>19</v>
      </c>
      <c r="AC4409">
        <v>28.954000000000001</v>
      </c>
      <c r="AD4409">
        <v>1.2637419999999999</v>
      </c>
      <c r="AE4409">
        <v>-84.225300000000004</v>
      </c>
      <c r="AF4409">
        <v>-25.649278182615799</v>
      </c>
      <c r="AG4409">
        <v>1.2637419999999999</v>
      </c>
      <c r="AH4409">
        <v>85.271077637635202</v>
      </c>
      <c r="AI4409">
        <v>89.186904546136503</v>
      </c>
      <c r="AJ4409">
        <v>106.74112549805101</v>
      </c>
      <c r="AK4409">
        <v>89.054136325133101</v>
      </c>
      <c r="AL4409">
        <v>95.911932845334704</v>
      </c>
      <c r="AM4409">
        <v>95.208691608286401</v>
      </c>
      <c r="AN4409">
        <v>1.0000000119813699</v>
      </c>
    </row>
    <row r="4410" spans="1:40" x14ac:dyDescent="0.25">
      <c r="A4410" t="str">
        <f>"20190305135021104"</f>
        <v>20190305135021104</v>
      </c>
      <c r="B4410" t="str">
        <f>"1551765021094238"</f>
        <v>1551765021094238</v>
      </c>
      <c r="C4410" t="s">
        <v>40</v>
      </c>
      <c r="D4410">
        <v>4.2683210000000003</v>
      </c>
      <c r="E4410">
        <v>0.42719420000000002</v>
      </c>
      <c r="F4410" t="s">
        <v>66</v>
      </c>
      <c r="G4410">
        <v>-163.22069999999999</v>
      </c>
      <c r="H4410">
        <v>2.3638219999999999</v>
      </c>
      <c r="I4410">
        <v>111.3989</v>
      </c>
      <c r="J4410">
        <v>-192.05609999999999</v>
      </c>
      <c r="K4410">
        <v>1.1092709999999999</v>
      </c>
      <c r="L4410">
        <v>195.63749999999999</v>
      </c>
      <c r="M4410">
        <v>3.8337209999999997E-2</v>
      </c>
      <c r="N4410">
        <v>-1.3638279999999999E-2</v>
      </c>
      <c r="O4410">
        <v>-0.99917180000000005</v>
      </c>
      <c r="P4410">
        <v>0.12836900000000001</v>
      </c>
      <c r="Q4410">
        <v>-0.1165171</v>
      </c>
      <c r="R4410">
        <v>-0.98485789999999995</v>
      </c>
      <c r="S4410">
        <v>0.99877930000000004</v>
      </c>
      <c r="T4410">
        <v>4.3449880000000003E-2</v>
      </c>
      <c r="U4410">
        <v>-2.9210050000000001</v>
      </c>
      <c r="V4410">
        <v>-9.065703E-2</v>
      </c>
      <c r="W4410">
        <v>-0.1028916</v>
      </c>
      <c r="X4410">
        <v>0.99055269999999995</v>
      </c>
      <c r="Y4410">
        <v>-0.28689940000000003</v>
      </c>
      <c r="Z4410">
        <v>-2.7691230000000001E-2</v>
      </c>
      <c r="AA4410">
        <v>0.95756039999999998</v>
      </c>
      <c r="AB4410">
        <v>19</v>
      </c>
      <c r="AC4410">
        <v>28.8354</v>
      </c>
      <c r="AD4410">
        <v>1.254551</v>
      </c>
      <c r="AE4410">
        <v>-84.238599999999906</v>
      </c>
      <c r="AF4410">
        <v>-25.579346376565798</v>
      </c>
      <c r="AG4410">
        <v>1.254551</v>
      </c>
      <c r="AH4410">
        <v>85.265304801019298</v>
      </c>
      <c r="AI4410">
        <v>89.192584747051697</v>
      </c>
      <c r="AJ4410">
        <v>106.699093155312</v>
      </c>
      <c r="AK4410">
        <v>89.028360998474298</v>
      </c>
      <c r="AL4410">
        <v>95.905706071132201</v>
      </c>
      <c r="AM4410">
        <v>95.229237066987295</v>
      </c>
      <c r="AN4410">
        <v>1.0000000149581301</v>
      </c>
    </row>
    <row r="4411" spans="1:40" x14ac:dyDescent="0.25">
      <c r="A4411" t="str">
        <f>"20190305135021115"</f>
        <v>20190305135021115</v>
      </c>
      <c r="B4411" t="str">
        <f>"1551765021104974"</f>
        <v>1551765021104974</v>
      </c>
      <c r="C4411" t="s">
        <v>40</v>
      </c>
      <c r="D4411">
        <v>4.2549190000000001</v>
      </c>
      <c r="E4411">
        <v>0.42768070000000002</v>
      </c>
      <c r="F4411" t="s">
        <v>66</v>
      </c>
      <c r="G4411">
        <v>-163.37020000000001</v>
      </c>
      <c r="H4411">
        <v>2.3702009999999998</v>
      </c>
      <c r="I4411">
        <v>111.2491</v>
      </c>
      <c r="J4411">
        <v>-192.053</v>
      </c>
      <c r="K4411">
        <v>1.109275</v>
      </c>
      <c r="L4411">
        <v>195.54150000000001</v>
      </c>
      <c r="M4411">
        <v>3.7801319999999999E-2</v>
      </c>
      <c r="N4411">
        <v>-1.362412E-2</v>
      </c>
      <c r="O4411">
        <v>-0.99919270000000004</v>
      </c>
      <c r="P4411">
        <v>0.1280877</v>
      </c>
      <c r="Q4411">
        <v>-0.1164418</v>
      </c>
      <c r="R4411">
        <v>-0.98490390000000005</v>
      </c>
      <c r="S4411">
        <v>0.99320980000000003</v>
      </c>
      <c r="T4411">
        <v>4.3658259999999997E-2</v>
      </c>
      <c r="U4411">
        <v>-2.9218289999999998</v>
      </c>
      <c r="V4411">
        <v>-9.0903700000000004E-2</v>
      </c>
      <c r="W4411">
        <v>-0.102831199999999</v>
      </c>
      <c r="X4411">
        <v>0.99053630000000004</v>
      </c>
      <c r="Y4411">
        <v>-0.28569470000000002</v>
      </c>
      <c r="Z4411">
        <v>-2.775014E-2</v>
      </c>
      <c r="AA4411">
        <v>0.95791879999999996</v>
      </c>
      <c r="AB4411">
        <v>19</v>
      </c>
      <c r="AC4411">
        <v>28.682799999999901</v>
      </c>
      <c r="AD4411">
        <v>1.26092599999999</v>
      </c>
      <c r="AE4411">
        <v>-84.292400000000001</v>
      </c>
      <c r="AF4411">
        <v>-25.470529015084701</v>
      </c>
      <c r="AG4411">
        <v>1.26092599999999</v>
      </c>
      <c r="AH4411">
        <v>85.299384246664104</v>
      </c>
      <c r="AI4411">
        <v>89.188495604113797</v>
      </c>
      <c r="AJ4411">
        <v>106.625706946392</v>
      </c>
      <c r="AK4411">
        <v>89.029897986832495</v>
      </c>
      <c r="AL4411">
        <v>95.902227336607694</v>
      </c>
      <c r="AM4411">
        <v>95.243472500966902</v>
      </c>
      <c r="AN4411">
        <v>0.99999994999240804</v>
      </c>
    </row>
    <row r="4412" spans="1:40" x14ac:dyDescent="0.25">
      <c r="A4412" t="str">
        <f>"20190305135021126"</f>
        <v>20190305135021126</v>
      </c>
      <c r="B4412" t="str">
        <f>"1551765021114734"</f>
        <v>1551765021114734</v>
      </c>
      <c r="C4412" t="s">
        <v>40</v>
      </c>
      <c r="D4412">
        <v>4.285844</v>
      </c>
      <c r="E4412">
        <v>0.42818810000000002</v>
      </c>
      <c r="F4412" t="s">
        <v>66</v>
      </c>
      <c r="G4412">
        <v>-163.50229999999999</v>
      </c>
      <c r="H4412">
        <v>2.371766</v>
      </c>
      <c r="I4412">
        <v>111.1168</v>
      </c>
      <c r="J4412">
        <v>-192.04990000000001</v>
      </c>
      <c r="K4412">
        <v>1.1092770000000001</v>
      </c>
      <c r="L4412">
        <v>195.44110000000001</v>
      </c>
      <c r="M4412">
        <v>3.724421E-2</v>
      </c>
      <c r="N4412">
        <v>-1.3610219999999999E-2</v>
      </c>
      <c r="O4412">
        <v>-0.99921349999999998</v>
      </c>
      <c r="P4412">
        <v>0.1276572</v>
      </c>
      <c r="Q4412">
        <v>-0.11633830000000001</v>
      </c>
      <c r="R4412">
        <v>-0.9849715</v>
      </c>
      <c r="S4412">
        <v>0.98837280000000005</v>
      </c>
      <c r="T4412">
        <v>4.3705340000000002E-2</v>
      </c>
      <c r="U4412">
        <v>-2.9226230000000002</v>
      </c>
      <c r="V4412">
        <v>-9.1021199999999997E-2</v>
      </c>
      <c r="W4412">
        <v>-0.1027425</v>
      </c>
      <c r="X4412">
        <v>0.99053480000000005</v>
      </c>
      <c r="Y4412">
        <v>-0.28472769999999997</v>
      </c>
      <c r="Z4412">
        <v>-2.775588E-2</v>
      </c>
      <c r="AA4412">
        <v>0.95820649999999996</v>
      </c>
      <c r="AB4412">
        <v>19</v>
      </c>
      <c r="AC4412">
        <v>28.547599999999999</v>
      </c>
      <c r="AD4412">
        <v>1.262489</v>
      </c>
      <c r="AE4412">
        <v>-84.324299999999994</v>
      </c>
      <c r="AF4412">
        <v>-25.381802509661298</v>
      </c>
      <c r="AG4412">
        <v>1.262489</v>
      </c>
      <c r="AH4412">
        <v>85.311958962500796</v>
      </c>
      <c r="AI4412">
        <v>89.187368495530094</v>
      </c>
      <c r="AJ4412">
        <v>106.568663872597</v>
      </c>
      <c r="AK4412">
        <v>89.016628329396994</v>
      </c>
      <c r="AL4412">
        <v>95.897117635785705</v>
      </c>
      <c r="AM4412">
        <v>95.250220145540098</v>
      </c>
      <c r="AN4412">
        <v>1.00000003508336</v>
      </c>
    </row>
    <row r="4413" spans="1:40" x14ac:dyDescent="0.25">
      <c r="A4413" t="str">
        <f>"20190305135021147"</f>
        <v>20190305135021147</v>
      </c>
      <c r="B4413" t="str">
        <f>"1551765021144990"</f>
        <v>1551765021144990</v>
      </c>
      <c r="C4413" t="s">
        <v>40</v>
      </c>
      <c r="D4413">
        <v>4.2588239999999997</v>
      </c>
      <c r="E4413">
        <v>0.42941829999999998</v>
      </c>
      <c r="F4413" t="s">
        <v>66</v>
      </c>
      <c r="G4413">
        <v>-163.65049999999999</v>
      </c>
      <c r="H4413">
        <v>2.3765540000000001</v>
      </c>
      <c r="I4413">
        <v>110.9683</v>
      </c>
      <c r="J4413">
        <v>-192.0446</v>
      </c>
      <c r="K4413">
        <v>1.109283</v>
      </c>
      <c r="L4413">
        <v>195.2705</v>
      </c>
      <c r="M4413">
        <v>3.630568E-2</v>
      </c>
      <c r="N4413">
        <v>-1.3588940000000001E-2</v>
      </c>
      <c r="O4413">
        <v>-0.99924840000000004</v>
      </c>
      <c r="P4413">
        <v>0.1268194</v>
      </c>
      <c r="Q4413">
        <v>-0.1170441</v>
      </c>
      <c r="R4413">
        <v>-0.98499639999999999</v>
      </c>
      <c r="S4413">
        <v>0.98287959999999996</v>
      </c>
      <c r="T4413">
        <v>4.3859839999999997E-2</v>
      </c>
      <c r="U4413">
        <v>-2.9235380000000002</v>
      </c>
      <c r="V4413">
        <v>-9.1111090000000006E-2</v>
      </c>
      <c r="W4413">
        <v>-0.1034718</v>
      </c>
      <c r="X4413">
        <v>0.99045059999999996</v>
      </c>
      <c r="Y4413">
        <v>-0.28392000000000001</v>
      </c>
      <c r="Z4413">
        <v>-2.7789979999999999E-2</v>
      </c>
      <c r="AA4413">
        <v>0.9584452</v>
      </c>
      <c r="AB4413">
        <v>19</v>
      </c>
      <c r="AC4413">
        <v>28.394100000000002</v>
      </c>
      <c r="AD4413">
        <v>1.26727099999999</v>
      </c>
      <c r="AE4413">
        <v>-84.302199999999999</v>
      </c>
      <c r="AF4413">
        <v>-25.309309504819701</v>
      </c>
      <c r="AG4413">
        <v>1.26727099999999</v>
      </c>
      <c r="AH4413">
        <v>85.260270454692503</v>
      </c>
      <c r="AI4413">
        <v>89.183647113034198</v>
      </c>
      <c r="AJ4413">
        <v>106.533396855503</v>
      </c>
      <c r="AK4413">
        <v>88.946505504182198</v>
      </c>
      <c r="AL4413">
        <v>95.939127452675095</v>
      </c>
      <c r="AM4413">
        <v>95.255820365254095</v>
      </c>
      <c r="AN4413">
        <v>1.0000000175782899</v>
      </c>
    </row>
    <row r="4414" spans="1:40" x14ac:dyDescent="0.25">
      <c r="A4414" t="str">
        <f>"20190305135021158"</f>
        <v>20190305135021158</v>
      </c>
      <c r="B4414" t="str">
        <f>"1551765021154751"</f>
        <v>1551765021154751</v>
      </c>
      <c r="C4414" t="s">
        <v>40</v>
      </c>
      <c r="D4414">
        <v>4.2483740000000001</v>
      </c>
      <c r="E4414">
        <v>0.42977929999999998</v>
      </c>
      <c r="F4414" t="s">
        <v>66</v>
      </c>
      <c r="G4414">
        <v>-163.9616</v>
      </c>
      <c r="H4414">
        <v>2.3290980000000001</v>
      </c>
      <c r="I4414">
        <v>110.6566</v>
      </c>
      <c r="J4414">
        <v>-192.04179999999999</v>
      </c>
      <c r="K4414">
        <v>1.1092799999999901</v>
      </c>
      <c r="L4414">
        <v>195.17519999999999</v>
      </c>
      <c r="M4414">
        <v>3.5784129999999997E-2</v>
      </c>
      <c r="N4414">
        <v>-1.357823E-2</v>
      </c>
      <c r="O4414">
        <v>-0.99926749999999998</v>
      </c>
      <c r="P4414">
        <v>0.1264354</v>
      </c>
      <c r="Q4414">
        <v>-0.11742470000000001</v>
      </c>
      <c r="R4414">
        <v>-0.9850004</v>
      </c>
      <c r="S4414">
        <v>0.97102359999999999</v>
      </c>
      <c r="T4414">
        <v>4.2177800000000001E-2</v>
      </c>
      <c r="U4414">
        <v>-2.9256899999999999</v>
      </c>
      <c r="V4414">
        <v>-9.1242889999999993E-2</v>
      </c>
      <c r="W4414">
        <v>-0.1038641</v>
      </c>
      <c r="X4414">
        <v>0.99039739999999998</v>
      </c>
      <c r="Y4414">
        <v>-0.2807153</v>
      </c>
      <c r="Z4414">
        <v>-2.7239929999999999E-2</v>
      </c>
      <c r="AA4414">
        <v>0.95940449999999999</v>
      </c>
      <c r="AB4414">
        <v>19</v>
      </c>
      <c r="AC4414">
        <v>28.080199999999898</v>
      </c>
      <c r="AD4414">
        <v>1.2198180000000001</v>
      </c>
      <c r="AE4414">
        <v>-84.518599999999907</v>
      </c>
      <c r="AF4414">
        <v>-25.032813788459102</v>
      </c>
      <c r="AG4414">
        <v>1.2198180000000001</v>
      </c>
      <c r="AH4414">
        <v>85.453347138076694</v>
      </c>
      <c r="AI4414">
        <v>89.215155555172402</v>
      </c>
      <c r="AJ4414">
        <v>106.32748659524</v>
      </c>
      <c r="AK4414">
        <v>89.052817244719606</v>
      </c>
      <c r="AL4414">
        <v>95.961726377317007</v>
      </c>
      <c r="AM4414">
        <v>95.263661827475801</v>
      </c>
      <c r="AN4414">
        <v>1.00000001308556</v>
      </c>
    </row>
    <row r="4415" spans="1:40" x14ac:dyDescent="0.25">
      <c r="A4415" t="str">
        <f>"20190305135021169"</f>
        <v>20190305135021169</v>
      </c>
      <c r="B4415" t="str">
        <f>"1551765021164510"</f>
        <v>1551765021164510</v>
      </c>
      <c r="C4415" t="s">
        <v>40</v>
      </c>
      <c r="D4415">
        <v>4.2337660000000001</v>
      </c>
      <c r="E4415">
        <v>0.4300562</v>
      </c>
      <c r="F4415" t="s">
        <v>66</v>
      </c>
      <c r="G4415">
        <v>-164.07230000000001</v>
      </c>
      <c r="H4415">
        <v>2.2949920000000001</v>
      </c>
      <c r="I4415">
        <v>110.5457</v>
      </c>
      <c r="J4415">
        <v>-192.03899999999999</v>
      </c>
      <c r="K4415">
        <v>1.1092770000000001</v>
      </c>
      <c r="L4415">
        <v>195.07990000000001</v>
      </c>
      <c r="M4415">
        <v>3.526377E-2</v>
      </c>
      <c r="N4415">
        <v>-1.3567869999999999E-2</v>
      </c>
      <c r="O4415">
        <v>-0.99928609999999896</v>
      </c>
      <c r="P4415">
        <v>0.12597239999999901</v>
      </c>
      <c r="Q4415">
        <v>-0.1179349</v>
      </c>
      <c r="R4415">
        <v>-0.98499879999999995</v>
      </c>
      <c r="S4415">
        <v>0.96716310000000005</v>
      </c>
      <c r="T4415">
        <v>4.1001320000000001E-2</v>
      </c>
      <c r="U4415">
        <v>-2.9264220000000001</v>
      </c>
      <c r="V4415">
        <v>-9.1295500000000002E-2</v>
      </c>
      <c r="W4415">
        <v>-0.1043858</v>
      </c>
      <c r="X4415">
        <v>0.99033769999999999</v>
      </c>
      <c r="Y4415">
        <v>-0.28000530000000001</v>
      </c>
      <c r="Z4415">
        <v>-2.6849250000000002E-2</v>
      </c>
      <c r="AA4415">
        <v>0.95962289999999995</v>
      </c>
      <c r="AB4415">
        <v>19</v>
      </c>
      <c r="AC4415">
        <v>27.966699999999999</v>
      </c>
      <c r="AD4415">
        <v>1.1857149999999901</v>
      </c>
      <c r="AE4415">
        <v>-84.534199999999998</v>
      </c>
      <c r="AF4415">
        <v>-24.963607262608601</v>
      </c>
      <c r="AG4415">
        <v>1.1857149999999901</v>
      </c>
      <c r="AH4415">
        <v>85.452761796293302</v>
      </c>
      <c r="AI4415">
        <v>89.236923862132002</v>
      </c>
      <c r="AJ4415">
        <v>106.284847781373</v>
      </c>
      <c r="AK4415">
        <v>89.032365498379505</v>
      </c>
      <c r="AL4415">
        <v>95.991780963136506</v>
      </c>
      <c r="AM4415">
        <v>95.266995458012502</v>
      </c>
      <c r="AN4415">
        <v>1.0000000118015899</v>
      </c>
    </row>
    <row r="4416" spans="1:40" x14ac:dyDescent="0.25">
      <c r="A4416" t="str">
        <f>"20190305135021182"</f>
        <v>20190305135021182</v>
      </c>
      <c r="B4416" t="str">
        <f>"1551765021174272"</f>
        <v>1551765021174272</v>
      </c>
      <c r="C4416" t="s">
        <v>40</v>
      </c>
      <c r="D4416">
        <v>4.2349899999999998</v>
      </c>
      <c r="E4416">
        <v>0.43033640000000001</v>
      </c>
      <c r="F4416" t="s">
        <v>66</v>
      </c>
      <c r="G4416">
        <v>-164.17150000000001</v>
      </c>
      <c r="H4416">
        <v>2.2433390000000002</v>
      </c>
      <c r="I4416">
        <v>110.4464</v>
      </c>
      <c r="J4416">
        <v>-192.0359</v>
      </c>
      <c r="K4416">
        <v>1.109272</v>
      </c>
      <c r="L4416">
        <v>194.9743</v>
      </c>
      <c r="M4416">
        <v>3.4688480000000001E-2</v>
      </c>
      <c r="N4416">
        <v>-1.3557659999999999E-2</v>
      </c>
      <c r="O4416">
        <v>-0.99930609999999997</v>
      </c>
      <c r="P4416">
        <v>0.1255598</v>
      </c>
      <c r="Q4416">
        <v>-0.118252</v>
      </c>
      <c r="R4416">
        <v>-0.98501320000000003</v>
      </c>
      <c r="S4416">
        <v>0.96382140000000005</v>
      </c>
      <c r="T4416">
        <v>3.9222840000000002E-2</v>
      </c>
      <c r="U4416">
        <v>-2.9271240000000001</v>
      </c>
      <c r="V4416">
        <v>-9.1452409999999998E-2</v>
      </c>
      <c r="W4416">
        <v>-0.10471370000000001</v>
      </c>
      <c r="X4416">
        <v>0.99028859999999996</v>
      </c>
      <c r="Y4416">
        <v>-0.27950520000000001</v>
      </c>
      <c r="Z4416">
        <v>-2.6262000000000001E-2</v>
      </c>
      <c r="AA4416">
        <v>0.959785</v>
      </c>
      <c r="AB4416">
        <v>19</v>
      </c>
      <c r="AC4416">
        <v>27.8643999999999</v>
      </c>
      <c r="AD4416">
        <v>1.1340669999999899</v>
      </c>
      <c r="AE4416">
        <v>-84.527900000000002</v>
      </c>
      <c r="AF4416">
        <v>-24.911168627440901</v>
      </c>
      <c r="AG4416">
        <v>1.1340669999999899</v>
      </c>
      <c r="AH4416">
        <v>85.429811856059402</v>
      </c>
      <c r="AI4416">
        <v>89.26985750515</v>
      </c>
      <c r="AJ4416">
        <v>106.256582706068</v>
      </c>
      <c r="AK4416">
        <v>88.994972802439804</v>
      </c>
      <c r="AL4416">
        <v>96.010671807545094</v>
      </c>
      <c r="AM4416">
        <v>95.276256940716195</v>
      </c>
      <c r="AN4416">
        <v>1.00000000677622</v>
      </c>
    </row>
    <row r="4417" spans="1:40" x14ac:dyDescent="0.25">
      <c r="A4417" t="str">
        <f>"20190305135021193"</f>
        <v>20190305135021193</v>
      </c>
      <c r="B4417" t="str">
        <f>"1551765021185006"</f>
        <v>1551765021185006</v>
      </c>
      <c r="C4417" t="s">
        <v>40</v>
      </c>
      <c r="D4417">
        <v>4.2404519999999897</v>
      </c>
      <c r="E4417">
        <v>0.43058999999999997</v>
      </c>
      <c r="F4417" t="s">
        <v>66</v>
      </c>
      <c r="G4417">
        <v>-164.27539999999999</v>
      </c>
      <c r="H4417">
        <v>2.208348</v>
      </c>
      <c r="I4417">
        <v>110.34220000000001</v>
      </c>
      <c r="J4417">
        <v>-192.03309999999999</v>
      </c>
      <c r="K4417">
        <v>1.109267</v>
      </c>
      <c r="L4417">
        <v>194.87649999999999</v>
      </c>
      <c r="M4417">
        <v>3.4155610000000003E-2</v>
      </c>
      <c r="N4417">
        <v>-1.3548559999999999E-2</v>
      </c>
      <c r="O4417">
        <v>-0.99932460000000001</v>
      </c>
      <c r="P4417">
        <v>0.125139</v>
      </c>
      <c r="Q4417">
        <v>-0.1186654</v>
      </c>
      <c r="R4417">
        <v>-0.98501709999999998</v>
      </c>
      <c r="S4417">
        <v>0.96035769999999998</v>
      </c>
      <c r="T4417">
        <v>3.8022159999999999E-2</v>
      </c>
      <c r="U4417">
        <v>-2.9277950000000001</v>
      </c>
      <c r="V4417">
        <v>-9.1559269999999998E-2</v>
      </c>
      <c r="W4417">
        <v>-0.10513690000000001</v>
      </c>
      <c r="X4417">
        <v>0.9902339</v>
      </c>
      <c r="Y4417">
        <v>-0.27892939999999999</v>
      </c>
      <c r="Z4417">
        <v>-2.5864209999999999E-2</v>
      </c>
      <c r="AA4417">
        <v>0.95996329999999996</v>
      </c>
      <c r="AB4417">
        <v>19</v>
      </c>
      <c r="AC4417">
        <v>27.7577</v>
      </c>
      <c r="AD4417">
        <v>1.099081</v>
      </c>
      <c r="AE4417">
        <v>-84.534299999999902</v>
      </c>
      <c r="AF4417">
        <v>-24.850123414771399</v>
      </c>
      <c r="AG4417">
        <v>1.099081</v>
      </c>
      <c r="AH4417">
        <v>85.420101538356207</v>
      </c>
      <c r="AI4417">
        <v>89.2921701768513</v>
      </c>
      <c r="AJ4417">
        <v>106.22058906815001</v>
      </c>
      <c r="AK4417">
        <v>88.968142385895803</v>
      </c>
      <c r="AL4417">
        <v>96.035053875049499</v>
      </c>
      <c r="AM4417">
        <v>95.282677412667894</v>
      </c>
      <c r="AN4417">
        <v>1.0000000221868699</v>
      </c>
    </row>
    <row r="4418" spans="1:40" x14ac:dyDescent="0.25">
      <c r="A4418" t="str">
        <f>"20190305135021205"</f>
        <v>20190305135021205</v>
      </c>
      <c r="B4418" t="str">
        <f>"1551765021194766"</f>
        <v>1551765021194766</v>
      </c>
      <c r="C4418" t="s">
        <v>40</v>
      </c>
      <c r="D4418">
        <v>4.2247180000000002</v>
      </c>
      <c r="E4418">
        <v>0.43082670000000001</v>
      </c>
      <c r="F4418" t="s">
        <v>66</v>
      </c>
      <c r="G4418">
        <v>-164.3741</v>
      </c>
      <c r="H4418">
        <v>2.1661609999999998</v>
      </c>
      <c r="I4418">
        <v>110.24339999999999</v>
      </c>
      <c r="J4418">
        <v>-192.03020000000001</v>
      </c>
      <c r="K4418">
        <v>1.1092599999999999</v>
      </c>
      <c r="L4418">
        <v>194.76840000000001</v>
      </c>
      <c r="M4418">
        <v>3.3566550000000001E-2</v>
      </c>
      <c r="N4418">
        <v>-1.353933E-2</v>
      </c>
      <c r="O4418">
        <v>-0.99934480000000003</v>
      </c>
      <c r="P4418">
        <v>0.124711</v>
      </c>
      <c r="Q4418">
        <v>-0.1190116</v>
      </c>
      <c r="R4418">
        <v>-0.98502970000000001</v>
      </c>
      <c r="S4418">
        <v>0.95704650000000002</v>
      </c>
      <c r="T4418">
        <v>3.6570430000000001E-2</v>
      </c>
      <c r="U4418">
        <v>-2.928436</v>
      </c>
      <c r="V4418">
        <v>-9.1713970000000006E-2</v>
      </c>
      <c r="W4418">
        <v>-0.1054928</v>
      </c>
      <c r="X4418">
        <v>0.99018170000000005</v>
      </c>
      <c r="Y4418">
        <v>-0.27845589999999998</v>
      </c>
      <c r="Z4418">
        <v>-2.5384380000000002E-2</v>
      </c>
      <c r="AA4418">
        <v>0.96011349999999995</v>
      </c>
      <c r="AB4418">
        <v>19</v>
      </c>
      <c r="AC4418">
        <v>27.656099999999999</v>
      </c>
      <c r="AD4418">
        <v>1.0569010000000001</v>
      </c>
      <c r="AE4418">
        <v>-84.525000000000006</v>
      </c>
      <c r="AF4418">
        <v>-24.7995374073177</v>
      </c>
      <c r="AG4418">
        <v>1.0569010000000001</v>
      </c>
      <c r="AH4418">
        <v>85.393704863629793</v>
      </c>
      <c r="AI4418">
        <v>89.319030243870699</v>
      </c>
      <c r="AJ4418">
        <v>106.19404309941601</v>
      </c>
      <c r="AK4418">
        <v>88.928167223200205</v>
      </c>
      <c r="AL4418">
        <v>96.055559664820706</v>
      </c>
      <c r="AM4418">
        <v>95.291829857466297</v>
      </c>
      <c r="AN4418">
        <v>0.99999999107994497</v>
      </c>
    </row>
    <row r="4419" spans="1:40" x14ac:dyDescent="0.25">
      <c r="A4419" t="str">
        <f>"20190305135021220"</f>
        <v>20190305135021220</v>
      </c>
      <c r="B4419" t="str">
        <f>"1551765021214286"</f>
        <v>1551765021214286</v>
      </c>
      <c r="C4419" t="s">
        <v>40</v>
      </c>
      <c r="D4419">
        <v>4.2505739999999896</v>
      </c>
      <c r="E4419">
        <v>0.43122080000000002</v>
      </c>
      <c r="F4419" t="s">
        <v>66</v>
      </c>
      <c r="G4419">
        <v>-164.47370000000001</v>
      </c>
      <c r="H4419">
        <v>2.1324369999999999</v>
      </c>
      <c r="I4419">
        <v>110.1435</v>
      </c>
      <c r="J4419">
        <v>-192.02709999999999</v>
      </c>
      <c r="K4419">
        <v>1.109256</v>
      </c>
      <c r="L4419">
        <v>194.65479999999999</v>
      </c>
      <c r="M4419">
        <v>3.2945700000000001E-2</v>
      </c>
      <c r="N4419">
        <v>-1.353038E-2</v>
      </c>
      <c r="O4419">
        <v>-0.99936579999999997</v>
      </c>
      <c r="P4419">
        <v>0.1240236</v>
      </c>
      <c r="Q4419">
        <v>-0.11943429999999999</v>
      </c>
      <c r="R4419">
        <v>-0.98506550000000004</v>
      </c>
      <c r="S4419">
        <v>0.95381159999999998</v>
      </c>
      <c r="T4419">
        <v>3.5415530000000001E-2</v>
      </c>
      <c r="U4419">
        <v>-2.9291230000000001</v>
      </c>
      <c r="V4419">
        <v>-9.1640799999999994E-2</v>
      </c>
      <c r="W4419">
        <v>-0.10592500000000001</v>
      </c>
      <c r="X4419">
        <v>0.99014230000000003</v>
      </c>
      <c r="Y4419">
        <v>-0.27803</v>
      </c>
      <c r="Z4419">
        <v>-2.5001229999999999E-2</v>
      </c>
      <c r="AA4419">
        <v>0.96024699999999996</v>
      </c>
      <c r="AB4419">
        <v>19</v>
      </c>
      <c r="AC4419">
        <v>27.5533999999999</v>
      </c>
      <c r="AD4419">
        <v>1.0231809999999999</v>
      </c>
      <c r="AE4419">
        <v>-84.511299999999906</v>
      </c>
      <c r="AF4419">
        <v>-24.750622202213599</v>
      </c>
      <c r="AG4419">
        <v>1.0231809999999999</v>
      </c>
      <c r="AH4419">
        <v>85.361952866561296</v>
      </c>
      <c r="AI4419">
        <v>89.340427086916094</v>
      </c>
      <c r="AJ4419">
        <v>106.16946935457</v>
      </c>
      <c r="AK4419">
        <v>88.883649767257594</v>
      </c>
      <c r="AL4419">
        <v>96.080462629992795</v>
      </c>
      <c r="AM4419">
        <v>95.2878411552595</v>
      </c>
      <c r="AN4419">
        <v>0.99999995804946396</v>
      </c>
    </row>
    <row r="4420" spans="1:40" x14ac:dyDescent="0.25">
      <c r="A4420" t="str">
        <f>"20190305135021236"</f>
        <v>20190305135021236</v>
      </c>
      <c r="B4420" t="str">
        <f>"1551765021225022"</f>
        <v>1551765021225022</v>
      </c>
      <c r="C4420" t="s">
        <v>40</v>
      </c>
      <c r="D4420">
        <v>4.2201370000000002</v>
      </c>
      <c r="E4420">
        <v>0.43141010000000002</v>
      </c>
      <c r="F4420" t="s">
        <v>66</v>
      </c>
      <c r="G4420">
        <v>-164.62610000000001</v>
      </c>
      <c r="H4420">
        <v>2.115313</v>
      </c>
      <c r="I4420">
        <v>109.9909</v>
      </c>
      <c r="J4420">
        <v>-192.0232</v>
      </c>
      <c r="K4420">
        <v>1.109243</v>
      </c>
      <c r="L4420">
        <v>194.50890000000001</v>
      </c>
      <c r="M4420">
        <v>3.2145799999999898E-2</v>
      </c>
      <c r="N4420">
        <v>-1.3519720000000001E-2</v>
      </c>
      <c r="O4420">
        <v>-0.99939199999999995</v>
      </c>
      <c r="P4420">
        <v>0.1233616</v>
      </c>
      <c r="Q4420">
        <v>-0.12049219999999999</v>
      </c>
      <c r="R4420">
        <v>-0.98502000000000001</v>
      </c>
      <c r="S4420">
        <v>0.94837950000000004</v>
      </c>
      <c r="T4420">
        <v>3.4821030000000003E-2</v>
      </c>
      <c r="U4420">
        <v>-2.9303129999999999</v>
      </c>
      <c r="V4420">
        <v>-9.1773279999999999E-2</v>
      </c>
      <c r="W4420">
        <v>-0.1069951</v>
      </c>
      <c r="X4420">
        <v>0.99001499999999998</v>
      </c>
      <c r="Y4420">
        <v>-0.27707459999999901</v>
      </c>
      <c r="Z4420">
        <v>-2.479988E-2</v>
      </c>
      <c r="AA4420">
        <v>0.9605283</v>
      </c>
      <c r="AB4420">
        <v>19</v>
      </c>
      <c r="AC4420">
        <v>27.397099999999899</v>
      </c>
      <c r="AD4420">
        <v>1.00607</v>
      </c>
      <c r="AE4420">
        <v>-84.518000000000001</v>
      </c>
      <c r="AF4420">
        <v>-24.662629644782299</v>
      </c>
      <c r="AG4420">
        <v>1.00607</v>
      </c>
      <c r="AH4420">
        <v>85.344151217352305</v>
      </c>
      <c r="AI4420">
        <v>89.351152972536298</v>
      </c>
      <c r="AJ4420">
        <v>106.118159969438</v>
      </c>
      <c r="AK4420">
        <v>88.841891159806394</v>
      </c>
      <c r="AL4420">
        <v>96.142125062092404</v>
      </c>
      <c r="AM4420">
        <v>95.296119103133606</v>
      </c>
      <c r="AN4420">
        <v>0.99999999328548395</v>
      </c>
    </row>
    <row r="4421" spans="1:40" x14ac:dyDescent="0.25">
      <c r="A4421" t="str">
        <f>"20190305135021247"</f>
        <v>20190305135021247</v>
      </c>
      <c r="B4421" t="str">
        <f>"1551765021234782"</f>
        <v>1551765021234782</v>
      </c>
      <c r="C4421" t="s">
        <v>40</v>
      </c>
      <c r="D4421">
        <v>4.2476690000000001</v>
      </c>
      <c r="E4421">
        <v>0.43162260000000002</v>
      </c>
      <c r="F4421" t="s">
        <v>66</v>
      </c>
      <c r="G4421">
        <v>-164.74680000000001</v>
      </c>
      <c r="H4421">
        <v>2.056203</v>
      </c>
      <c r="I4421">
        <v>109.8699</v>
      </c>
      <c r="J4421">
        <v>-192.02080000000001</v>
      </c>
      <c r="K4421">
        <v>1.1092379999999999</v>
      </c>
      <c r="L4421">
        <v>194.41499999999999</v>
      </c>
      <c r="M4421">
        <v>3.1629940000000002E-2</v>
      </c>
      <c r="N4421">
        <v>-1.3513320000000001E-2</v>
      </c>
      <c r="O4421">
        <v>-0.99940850000000003</v>
      </c>
      <c r="P4421">
        <v>0.12285450000000001</v>
      </c>
      <c r="Q4421">
        <v>-0.1208629</v>
      </c>
      <c r="R4421">
        <v>-0.98503799999999997</v>
      </c>
      <c r="S4421">
        <v>0.94467159999999994</v>
      </c>
      <c r="T4421">
        <v>3.2796619999999999E-2</v>
      </c>
      <c r="U4421">
        <v>-2.9313199999999999</v>
      </c>
      <c r="V4421">
        <v>-9.1776590000000005E-2</v>
      </c>
      <c r="W4421">
        <v>-0.1073726</v>
      </c>
      <c r="X4421">
        <v>0.98997380000000001</v>
      </c>
      <c r="Y4421">
        <v>-0.2763774</v>
      </c>
      <c r="Z4421">
        <v>-2.4135119999999999E-2</v>
      </c>
      <c r="AA4421">
        <v>0.96074599999999999</v>
      </c>
      <c r="AB4421">
        <v>19</v>
      </c>
      <c r="AC4421">
        <v>27.274000000000001</v>
      </c>
      <c r="AD4421">
        <v>0.94696499999999995</v>
      </c>
      <c r="AE4421">
        <v>-84.545099999999906</v>
      </c>
      <c r="AF4421">
        <v>-24.5831574384774</v>
      </c>
      <c r="AG4421">
        <v>0.94696499999999995</v>
      </c>
      <c r="AH4421">
        <v>85.355844560218301</v>
      </c>
      <c r="AI4421">
        <v>89.389194510417497</v>
      </c>
      <c r="AJ4421">
        <v>106.066818437257</v>
      </c>
      <c r="AK4421">
        <v>88.830448456282994</v>
      </c>
      <c r="AL4421">
        <v>96.163879678652606</v>
      </c>
      <c r="AM4421">
        <v>95.296528197104294</v>
      </c>
      <c r="AN4421">
        <v>0.99999997119461304</v>
      </c>
    </row>
    <row r="4422" spans="1:40" x14ac:dyDescent="0.25">
      <c r="A4422" t="str">
        <f>"20190305135021262"</f>
        <v>20190305135021262</v>
      </c>
      <c r="B4422" t="str">
        <f>"1551765021254304"</f>
        <v>1551765021254304</v>
      </c>
      <c r="C4422" t="s">
        <v>40</v>
      </c>
      <c r="D4422">
        <v>4.2668350000000004</v>
      </c>
      <c r="E4422">
        <v>0.43192259999999999</v>
      </c>
      <c r="F4422" t="s">
        <v>66</v>
      </c>
      <c r="G4422">
        <v>-164.8449</v>
      </c>
      <c r="H4422">
        <v>2.0361850000000001</v>
      </c>
      <c r="I4422">
        <v>109.7717</v>
      </c>
      <c r="J4422">
        <v>-192.01779999999999</v>
      </c>
      <c r="K4422">
        <v>1.109232</v>
      </c>
      <c r="L4422">
        <v>194.2937</v>
      </c>
      <c r="M4422">
        <v>3.096057E-2</v>
      </c>
      <c r="N4422">
        <v>-1.350581E-2</v>
      </c>
      <c r="O4422">
        <v>-0.99942949999999997</v>
      </c>
      <c r="P4422">
        <v>0.1222684</v>
      </c>
      <c r="Q4422">
        <v>-0.1212831</v>
      </c>
      <c r="R4422">
        <v>-0.98505880000000001</v>
      </c>
      <c r="S4422">
        <v>0.94139099999999998</v>
      </c>
      <c r="T4422">
        <v>3.2110329999999999E-2</v>
      </c>
      <c r="U4422">
        <v>-2.9320979999999999</v>
      </c>
      <c r="V4422">
        <v>-9.1852580000000003E-2</v>
      </c>
      <c r="W4422">
        <v>-0.10780090000000001</v>
      </c>
      <c r="X4422">
        <v>0.98992029999999998</v>
      </c>
      <c r="Y4422">
        <v>-0.27597369999999999</v>
      </c>
      <c r="Z4422">
        <v>-2.3905740000000002E-2</v>
      </c>
      <c r="AA4422">
        <v>0.96086780000000005</v>
      </c>
      <c r="AB4422">
        <v>19</v>
      </c>
      <c r="AC4422">
        <v>27.172899999999998</v>
      </c>
      <c r="AD4422">
        <v>0.92695299999999903</v>
      </c>
      <c r="AE4422">
        <v>-84.522000000000006</v>
      </c>
      <c r="AF4422">
        <v>-24.5401084201104</v>
      </c>
      <c r="AG4422">
        <v>0.92695299999999903</v>
      </c>
      <c r="AH4422">
        <v>85.313538517424504</v>
      </c>
      <c r="AI4422">
        <v>89.401747586920706</v>
      </c>
      <c r="AJ4422">
        <v>106.047675944682</v>
      </c>
      <c r="AK4422">
        <v>88.777677472994696</v>
      </c>
      <c r="AL4422">
        <v>96.188562144331499</v>
      </c>
      <c r="AM4422">
        <v>95.301173544785499</v>
      </c>
      <c r="AN4422">
        <v>1.0000000654227701</v>
      </c>
    </row>
    <row r="4423" spans="1:40" x14ac:dyDescent="0.25">
      <c r="A4423" t="str">
        <f>"20190305135021272"</f>
        <v>20190305135021272</v>
      </c>
      <c r="B4423" t="str">
        <f>"1551765021265038"</f>
        <v>1551765021265038</v>
      </c>
      <c r="C4423" t="s">
        <v>40</v>
      </c>
      <c r="D4423">
        <v>4.3484230000000004</v>
      </c>
      <c r="E4423">
        <v>0.43190909999999899</v>
      </c>
      <c r="F4423" t="s">
        <v>66</v>
      </c>
      <c r="G4423">
        <v>-164.97</v>
      </c>
      <c r="H4423">
        <v>1.990254</v>
      </c>
      <c r="I4423">
        <v>109.6463</v>
      </c>
      <c r="J4423">
        <v>-192.0154</v>
      </c>
      <c r="K4423">
        <v>1.1092340000000001</v>
      </c>
      <c r="L4423">
        <v>194.19810000000001</v>
      </c>
      <c r="M4423">
        <v>3.0432890000000001E-2</v>
      </c>
      <c r="N4423">
        <v>-1.35002E-2</v>
      </c>
      <c r="O4423">
        <v>-0.99944569999999999</v>
      </c>
      <c r="P4423">
        <v>0.1218525</v>
      </c>
      <c r="Q4423">
        <v>-0.12190670000000001</v>
      </c>
      <c r="R4423">
        <v>-0.9850333</v>
      </c>
      <c r="S4423">
        <v>0.9371796</v>
      </c>
      <c r="T4423">
        <v>3.0526879999999999E-2</v>
      </c>
      <c r="U4423">
        <v>-2.9329529999999999</v>
      </c>
      <c r="V4423">
        <v>-9.1960940000000005E-2</v>
      </c>
      <c r="W4423">
        <v>-0.108431</v>
      </c>
      <c r="X4423">
        <v>0.98984130000000004</v>
      </c>
      <c r="Y4423">
        <v>-0.27515099999999998</v>
      </c>
      <c r="Z4423">
        <v>-2.338637E-2</v>
      </c>
      <c r="AA4423">
        <v>0.96111659999999999</v>
      </c>
      <c r="AB4423">
        <v>19</v>
      </c>
      <c r="AC4423">
        <v>27.045400000000001</v>
      </c>
      <c r="AD4423">
        <v>0.88102000000000003</v>
      </c>
      <c r="AE4423">
        <v>-84.5518</v>
      </c>
      <c r="AF4423">
        <v>-24.457071702876799</v>
      </c>
      <c r="AG4423">
        <v>0.88102000000000003</v>
      </c>
      <c r="AH4423">
        <v>85.327369729570407</v>
      </c>
      <c r="AI4423">
        <v>89.431328957901201</v>
      </c>
      <c r="AJ4423">
        <v>105.993697209525</v>
      </c>
      <c r="AK4423">
        <v>88.767587426305894</v>
      </c>
      <c r="AL4423">
        <v>96.224877816439403</v>
      </c>
      <c r="AM4423">
        <v>95.307812901808006</v>
      </c>
      <c r="AN4423">
        <v>0.99999994771618494</v>
      </c>
    </row>
    <row r="4424" spans="1:40" x14ac:dyDescent="0.25">
      <c r="A4424" t="str">
        <f>"20190305135021284"</f>
        <v>20190305135021284</v>
      </c>
      <c r="B4424" t="str">
        <f>"1551765021274799"</f>
        <v>1551765021274799</v>
      </c>
      <c r="C4424" t="s">
        <v>40</v>
      </c>
      <c r="D4424">
        <v>4.7536110000000003</v>
      </c>
      <c r="E4424">
        <v>0.43190909999999899</v>
      </c>
      <c r="F4424" t="s">
        <v>66</v>
      </c>
      <c r="G4424">
        <v>-165.0248</v>
      </c>
      <c r="H4424">
        <v>1.8515729999999999</v>
      </c>
      <c r="I4424">
        <v>109.5913</v>
      </c>
      <c r="J4424">
        <v>-192.0129</v>
      </c>
      <c r="K4424">
        <v>1.109232</v>
      </c>
      <c r="L4424">
        <v>194.09360000000001</v>
      </c>
      <c r="M4424">
        <v>2.9854309999999998E-2</v>
      </c>
      <c r="N4424">
        <v>-1.3494539999999999E-2</v>
      </c>
      <c r="O4424">
        <v>-0.99946330000000005</v>
      </c>
      <c r="P4424">
        <v>0.12115910000000001</v>
      </c>
      <c r="Q4424">
        <v>-0.1221303</v>
      </c>
      <c r="R4424">
        <v>-0.9850913</v>
      </c>
      <c r="S4424">
        <v>0.93566890000000003</v>
      </c>
      <c r="T4424">
        <v>2.573454E-2</v>
      </c>
      <c r="U4424">
        <v>-2.933014</v>
      </c>
      <c r="V4424">
        <v>-9.183827E-2</v>
      </c>
      <c r="W4424">
        <v>-0.1086604</v>
      </c>
      <c r="X4424">
        <v>0.98982760000000003</v>
      </c>
      <c r="Y4424">
        <v>-0.27526050000000002</v>
      </c>
      <c r="Z4424">
        <v>-2.182079E-2</v>
      </c>
      <c r="AA4424">
        <v>0.96112200000000003</v>
      </c>
      <c r="AB4424">
        <v>19</v>
      </c>
      <c r="AC4424">
        <v>26.988099999999999</v>
      </c>
      <c r="AD4424">
        <v>0.74234099999999903</v>
      </c>
      <c r="AE4424">
        <v>-84.502300000000005</v>
      </c>
      <c r="AF4424">
        <v>-24.451368562883498</v>
      </c>
      <c r="AG4424">
        <v>0.74234099999999903</v>
      </c>
      <c r="AH4424">
        <v>85.264440405985795</v>
      </c>
      <c r="AI4424">
        <v>89.520502127403802</v>
      </c>
      <c r="AJ4424">
        <v>106.001355905465</v>
      </c>
      <c r="AK4424">
        <v>88.704257465491196</v>
      </c>
      <c r="AL4424">
        <v>96.238099174966806</v>
      </c>
      <c r="AM4424">
        <v>95.300845927177207</v>
      </c>
      <c r="AN4424">
        <v>1.0000000140432499</v>
      </c>
    </row>
    <row r="4425" spans="1:40" x14ac:dyDescent="0.25">
      <c r="A4425" t="str">
        <f>"20190305135021296"</f>
        <v>20190305135021296</v>
      </c>
      <c r="B4425" t="str">
        <f>"1551765021284559"</f>
        <v>1551765021284559</v>
      </c>
      <c r="C4425" t="s">
        <v>40</v>
      </c>
      <c r="D4425">
        <v>4.9534770000000004</v>
      </c>
      <c r="E4425">
        <v>0.4722034</v>
      </c>
      <c r="F4425" t="s">
        <v>66</v>
      </c>
      <c r="G4425">
        <v>-165.1046</v>
      </c>
      <c r="H4425">
        <v>1.8410759999999999</v>
      </c>
      <c r="I4425">
        <v>109.51139999999999</v>
      </c>
      <c r="J4425">
        <v>-192.01070000000001</v>
      </c>
      <c r="K4425">
        <v>1.1092310000000001</v>
      </c>
      <c r="L4425">
        <v>193.99770000000001</v>
      </c>
      <c r="M4425">
        <v>2.9322299999999999E-2</v>
      </c>
      <c r="N4425">
        <v>-1.3489640000000001E-2</v>
      </c>
      <c r="O4425">
        <v>-0.99947929999999996</v>
      </c>
      <c r="P4425">
        <v>0.12055390000000001</v>
      </c>
      <c r="Q4425">
        <v>-0.1223539</v>
      </c>
      <c r="R4425">
        <v>-0.98513830000000002</v>
      </c>
      <c r="S4425">
        <v>0.93331909999999896</v>
      </c>
      <c r="T4425">
        <v>2.5384429999999999E-2</v>
      </c>
      <c r="U4425">
        <v>-2.9337460000000002</v>
      </c>
      <c r="V4425">
        <v>-9.175854E-2</v>
      </c>
      <c r="W4425">
        <v>-0.1088891</v>
      </c>
      <c r="X4425">
        <v>0.98980990000000002</v>
      </c>
      <c r="Y4425">
        <v>-0.27500449999999999</v>
      </c>
      <c r="Z4425">
        <v>-2.1702599999999999E-2</v>
      </c>
      <c r="AA4425">
        <v>0.961198</v>
      </c>
      <c r="AB4425">
        <v>19</v>
      </c>
      <c r="AC4425">
        <v>26.906099999999999</v>
      </c>
      <c r="AD4425">
        <v>0.73184499999999997</v>
      </c>
      <c r="AE4425">
        <v>-84.4863</v>
      </c>
      <c r="AF4425">
        <v>-24.415307929179601</v>
      </c>
      <c r="AG4425">
        <v>0.73184499999999997</v>
      </c>
      <c r="AH4425">
        <v>85.233178744368303</v>
      </c>
      <c r="AI4425">
        <v>89.527068273001305</v>
      </c>
      <c r="AJ4425">
        <v>105.984524196707</v>
      </c>
      <c r="AK4425">
        <v>88.664184523685293</v>
      </c>
      <c r="AL4425">
        <v>96.251280696658299</v>
      </c>
      <c r="AM4425">
        <v>95.296364314621698</v>
      </c>
      <c r="AN4425">
        <v>1.00000005194987</v>
      </c>
    </row>
    <row r="4426" spans="1:40" x14ac:dyDescent="0.25">
      <c r="A4426" t="str">
        <f>"20190305135021307"</f>
        <v>20190305135021307</v>
      </c>
      <c r="B4426" t="str">
        <f>"1551765021305055"</f>
        <v>1551765021305055</v>
      </c>
      <c r="C4426" t="s">
        <v>40</v>
      </c>
      <c r="D4426">
        <v>4.8071199999999896</v>
      </c>
      <c r="E4426">
        <v>0.55112150000000004</v>
      </c>
      <c r="F4426" t="s">
        <v>94</v>
      </c>
      <c r="G4426">
        <v>-180.30969999999999</v>
      </c>
      <c r="H4426" s="1">
        <v>-7.8894730000000008E-6</v>
      </c>
      <c r="I4426">
        <v>136.73249999999999</v>
      </c>
      <c r="J4426">
        <v>-192.00839999999999</v>
      </c>
      <c r="K4426">
        <v>1.1092249999999999</v>
      </c>
      <c r="L4426">
        <v>193.89920000000001</v>
      </c>
      <c r="M4426">
        <v>2.87759E-2</v>
      </c>
      <c r="N4426">
        <v>-1.348483E-2</v>
      </c>
      <c r="O4426">
        <v>-0.99949500000000002</v>
      </c>
      <c r="P4426">
        <v>0.11956120000000001</v>
      </c>
      <c r="Q4426">
        <v>-0.1223006</v>
      </c>
      <c r="R4426">
        <v>-0.98526579999999997</v>
      </c>
      <c r="S4426">
        <v>0.60563659999999997</v>
      </c>
      <c r="T4426">
        <v>-5.7413699999999901E-2</v>
      </c>
      <c r="U4426">
        <v>-2.9640200000000001</v>
      </c>
      <c r="V4426">
        <v>-9.1303099999999998E-2</v>
      </c>
      <c r="W4426">
        <v>-0.1088404</v>
      </c>
      <c r="X4426">
        <v>0.98985730000000005</v>
      </c>
      <c r="Y4426">
        <v>-0.1718739</v>
      </c>
      <c r="Z4426">
        <v>5.5692160000000001E-3</v>
      </c>
      <c r="AA4426">
        <v>0.98510319999999996</v>
      </c>
      <c r="AB4426">
        <v>19</v>
      </c>
      <c r="AC4426">
        <v>11.698700000000001</v>
      </c>
      <c r="AD4426">
        <v>-1.1092328894729999</v>
      </c>
      <c r="AE4426">
        <v>-57.166699999999999</v>
      </c>
      <c r="AF4426">
        <v>-10.0450519427211</v>
      </c>
      <c r="AG4426">
        <v>-1.1092328894729999</v>
      </c>
      <c r="AH4426">
        <v>57.458930028808801</v>
      </c>
      <c r="AI4426">
        <v>91.089427465333998</v>
      </c>
      <c r="AJ4426">
        <v>99.916317562313495</v>
      </c>
      <c r="AK4426">
        <v>58.340912798743602</v>
      </c>
      <c r="AL4426">
        <v>96.248474150839698</v>
      </c>
      <c r="AM4426">
        <v>95.269973461503099</v>
      </c>
      <c r="AN4426">
        <v>0.999999981552529</v>
      </c>
    </row>
    <row r="4427" spans="1:40" x14ac:dyDescent="0.25">
      <c r="A4427" t="str">
        <f>"20190305135021319"</f>
        <v>20190305135021319</v>
      </c>
      <c r="B4427" t="str">
        <f>"1551765021314814"</f>
        <v>1551765021314814</v>
      </c>
      <c r="C4427" t="s">
        <v>40</v>
      </c>
      <c r="D4427">
        <v>4.7227779999999999</v>
      </c>
      <c r="E4427">
        <v>0.56556079999999997</v>
      </c>
      <c r="F4427" t="s">
        <v>94</v>
      </c>
      <c r="G4427">
        <v>-192.3717</v>
      </c>
      <c r="H4427" s="1">
        <v>-1.1052689999999999E-5</v>
      </c>
      <c r="I4427">
        <v>149.37729999999999</v>
      </c>
      <c r="J4427">
        <v>-192.00630000000001</v>
      </c>
      <c r="K4427">
        <v>1.109224</v>
      </c>
      <c r="L4427">
        <v>193.80629999999999</v>
      </c>
      <c r="M4427">
        <v>2.8259329999999999E-2</v>
      </c>
      <c r="N4427">
        <v>-1.348065E-2</v>
      </c>
      <c r="O4427">
        <v>-0.99951000000000001</v>
      </c>
      <c r="P4427">
        <v>0.1184756</v>
      </c>
      <c r="Q4427">
        <v>-0.12231839999999999</v>
      </c>
      <c r="R4427">
        <v>-0.98539460000000001</v>
      </c>
      <c r="S4427">
        <v>-2.479553E-2</v>
      </c>
      <c r="T4427">
        <v>-7.5702190000000003E-2</v>
      </c>
      <c r="U4427">
        <v>-3.0384980000000001</v>
      </c>
      <c r="V4427">
        <v>-9.0724650000000004E-2</v>
      </c>
      <c r="W4427">
        <v>-0.1088624</v>
      </c>
      <c r="X4427">
        <v>0.98990809999999996</v>
      </c>
      <c r="Y4427">
        <v>3.6407920000000003E-2</v>
      </c>
      <c r="Z4427">
        <v>1.140275E-2</v>
      </c>
      <c r="AA4427">
        <v>0.99927189999999999</v>
      </c>
      <c r="AB4427">
        <v>19</v>
      </c>
      <c r="AC4427">
        <v>-0.36539999999999401</v>
      </c>
      <c r="AD4427">
        <v>-1.1092350526899999</v>
      </c>
      <c r="AE4427">
        <v>-44.428999999999903</v>
      </c>
      <c r="AF4427">
        <v>1.6198919129421301</v>
      </c>
      <c r="AG4427">
        <v>-1.1092350526899999</v>
      </c>
      <c r="AH4427">
        <v>44.373269006231702</v>
      </c>
      <c r="AI4427">
        <v>91.431018598400399</v>
      </c>
      <c r="AJ4427">
        <v>87.9092869518106</v>
      </c>
      <c r="AK4427">
        <v>44.416679913194102</v>
      </c>
      <c r="AL4427">
        <v>96.249741980617699</v>
      </c>
      <c r="AM4427">
        <v>95.236504563118501</v>
      </c>
      <c r="AN4427">
        <v>1.00000001534849</v>
      </c>
    </row>
    <row r="4428" spans="1:40" x14ac:dyDescent="0.25">
      <c r="A4428" t="str">
        <f>"20190305135021331"</f>
        <v>20190305135021331</v>
      </c>
      <c r="B4428" t="str">
        <f>"1551765021324574"</f>
        <v>1551765021324574</v>
      </c>
      <c r="C4428" t="s">
        <v>40</v>
      </c>
      <c r="D4428">
        <v>4.7337230000000003</v>
      </c>
      <c r="E4428">
        <v>0.57369209999999904</v>
      </c>
      <c r="F4428" t="s">
        <v>94</v>
      </c>
      <c r="G4428">
        <v>-193.96950000000001</v>
      </c>
      <c r="H4428" s="1">
        <v>-1.241708E-5</v>
      </c>
      <c r="I4428">
        <v>151.98910000000001</v>
      </c>
      <c r="J4428">
        <v>-192.00399999999999</v>
      </c>
      <c r="K4428">
        <v>1.1092249999999999</v>
      </c>
      <c r="L4428">
        <v>193.7028</v>
      </c>
      <c r="M4428">
        <v>2.7684489999999999E-2</v>
      </c>
      <c r="N4428">
        <v>-1.3476129999999999E-2</v>
      </c>
      <c r="O4428">
        <v>-0.99952580000000002</v>
      </c>
      <c r="P4428">
        <v>0.11742669999999999</v>
      </c>
      <c r="Q4428">
        <v>-0.1220807</v>
      </c>
      <c r="R4428">
        <v>-0.98554920000000001</v>
      </c>
      <c r="S4428">
        <v>-0.1432648</v>
      </c>
      <c r="T4428">
        <v>-8.0946920000000006E-2</v>
      </c>
      <c r="U4428">
        <v>-3.0516200000000002</v>
      </c>
      <c r="V4428">
        <v>-9.0240310000000004E-2</v>
      </c>
      <c r="W4428">
        <v>-0.1086288</v>
      </c>
      <c r="X4428">
        <v>0.98997800000000002</v>
      </c>
      <c r="Y4428">
        <v>7.4510019999999996E-2</v>
      </c>
      <c r="Z4428">
        <v>1.2967340000000001E-2</v>
      </c>
      <c r="AA4428">
        <v>0.99713589999999996</v>
      </c>
      <c r="AB4428">
        <v>19</v>
      </c>
      <c r="AC4428">
        <v>-1.96549999999999</v>
      </c>
      <c r="AD4428">
        <v>-1.1092374170799999</v>
      </c>
      <c r="AE4428">
        <v>-41.713699999999903</v>
      </c>
      <c r="AF4428">
        <v>3.1174744371348302</v>
      </c>
      <c r="AG4428">
        <v>-1.1092374170799999</v>
      </c>
      <c r="AH4428">
        <v>41.6139291304887</v>
      </c>
      <c r="AI4428">
        <v>91.522617842913704</v>
      </c>
      <c r="AJ4428">
        <v>85.715734871192893</v>
      </c>
      <c r="AK4428">
        <v>41.745277004602301</v>
      </c>
      <c r="AL4428">
        <v>96.2362780284395</v>
      </c>
      <c r="AM4428">
        <v>95.208337538351998</v>
      </c>
      <c r="AN4428">
        <v>0.99999998511116805</v>
      </c>
    </row>
    <row r="4429" spans="1:40" x14ac:dyDescent="0.25">
      <c r="A4429" t="str">
        <f>"20190305135021342"</f>
        <v>20190305135021342</v>
      </c>
      <c r="B4429" t="str">
        <f>"1551765021334334"</f>
        <v>1551765021334334</v>
      </c>
      <c r="C4429" t="s">
        <v>40</v>
      </c>
      <c r="D4429">
        <v>4.641985</v>
      </c>
      <c r="E4429">
        <v>0.57833389999999996</v>
      </c>
      <c r="F4429" t="s">
        <v>94</v>
      </c>
      <c r="G4429">
        <v>-194.95269999999999</v>
      </c>
      <c r="H4429" s="1">
        <v>-1.21467E-5</v>
      </c>
      <c r="I4429">
        <v>150.95230000000001</v>
      </c>
      <c r="J4429">
        <v>-192.00200000000001</v>
      </c>
      <c r="K4429">
        <v>1.109227</v>
      </c>
      <c r="L4429">
        <v>193.6071</v>
      </c>
      <c r="M4429">
        <v>2.7152320000000001E-2</v>
      </c>
      <c r="N4429">
        <v>-1.347229E-2</v>
      </c>
      <c r="O4429">
        <v>-0.99954069999999995</v>
      </c>
      <c r="P4429">
        <v>0.11623169999999999</v>
      </c>
      <c r="Q4429">
        <v>-0.1216153</v>
      </c>
      <c r="R4429">
        <v>-0.98574870000000003</v>
      </c>
      <c r="S4429">
        <v>-0.2110138</v>
      </c>
      <c r="T4429">
        <v>-7.9378489999999996E-2</v>
      </c>
      <c r="U4429">
        <v>-3.0592800000000002</v>
      </c>
      <c r="V4429">
        <v>-8.9566010000000001E-2</v>
      </c>
      <c r="W4429">
        <v>-0.1081665</v>
      </c>
      <c r="X4429">
        <v>0.99008980000000002</v>
      </c>
      <c r="Y4429">
        <v>9.5845879999999994E-2</v>
      </c>
      <c r="Z4429">
        <v>1.235062E-2</v>
      </c>
      <c r="AA4429">
        <v>0.99531950000000002</v>
      </c>
      <c r="AB4429">
        <v>19</v>
      </c>
      <c r="AC4429">
        <v>-2.9506999999999799</v>
      </c>
      <c r="AD4429">
        <v>-1.1092391467</v>
      </c>
      <c r="AE4429">
        <v>-42.654800000000002</v>
      </c>
      <c r="AF4429">
        <v>4.1051306729674</v>
      </c>
      <c r="AG4429">
        <v>-1.1092391467</v>
      </c>
      <c r="AH4429">
        <v>42.530320417812398</v>
      </c>
      <c r="AI4429">
        <v>91.487092304191293</v>
      </c>
      <c r="AJ4429">
        <v>84.486750277136593</v>
      </c>
      <c r="AK4429">
        <v>42.742375509188797</v>
      </c>
      <c r="AL4429">
        <v>96.209633487386995</v>
      </c>
      <c r="AM4429">
        <v>95.169050507295395</v>
      </c>
      <c r="AN4429">
        <v>0.999999936966803</v>
      </c>
    </row>
    <row r="4430" spans="1:40" x14ac:dyDescent="0.25">
      <c r="A4430" t="str">
        <f>"20190305135021352"</f>
        <v>20190305135021352</v>
      </c>
      <c r="B4430" t="str">
        <f>"1551765021345070"</f>
        <v>1551765021345070</v>
      </c>
      <c r="C4430" t="s">
        <v>40</v>
      </c>
      <c r="D4430">
        <v>4.6292589999999896</v>
      </c>
      <c r="E4430">
        <v>0.58116820000000002</v>
      </c>
      <c r="F4430" t="s">
        <v>94</v>
      </c>
      <c r="G4430">
        <v>-195.87639999999999</v>
      </c>
      <c r="H4430" s="1">
        <v>-1.086962E-5</v>
      </c>
      <c r="I4430">
        <v>146.32570000000001</v>
      </c>
      <c r="J4430">
        <v>-192.0001</v>
      </c>
      <c r="K4430">
        <v>1.109224</v>
      </c>
      <c r="L4430">
        <v>193.51570000000001</v>
      </c>
      <c r="M4430">
        <v>2.6644629999999999E-2</v>
      </c>
      <c r="N4430">
        <v>-1.346873E-2</v>
      </c>
      <c r="O4430">
        <v>-0.99955430000000001</v>
      </c>
      <c r="P4430">
        <v>0.11512799999999999</v>
      </c>
      <c r="Q4430">
        <v>-0.12140189999999999</v>
      </c>
      <c r="R4430">
        <v>-0.98590449999999996</v>
      </c>
      <c r="S4430">
        <v>-0.25108340000000001</v>
      </c>
      <c r="T4430">
        <v>-7.1884989999999996E-2</v>
      </c>
      <c r="U4430">
        <v>-3.0641020000000001</v>
      </c>
      <c r="V4430">
        <v>-8.8960419999999998E-2</v>
      </c>
      <c r="W4430">
        <v>-0.10795639999999899</v>
      </c>
      <c r="X4430">
        <v>0.99016740000000003</v>
      </c>
      <c r="Y4430">
        <v>0.108168</v>
      </c>
      <c r="Z4430">
        <v>9.8516990000000002E-3</v>
      </c>
      <c r="AA4430">
        <v>0.99408379999999996</v>
      </c>
      <c r="AB4430">
        <v>19</v>
      </c>
      <c r="AC4430">
        <v>-3.8762999999999801</v>
      </c>
      <c r="AD4430">
        <v>-1.1092348696200001</v>
      </c>
      <c r="AE4430">
        <v>-47.19</v>
      </c>
      <c r="AF4430">
        <v>5.1295824103894896</v>
      </c>
      <c r="AG4430">
        <v>-1.1092348696200001</v>
      </c>
      <c r="AH4430">
        <v>47.0441325385395</v>
      </c>
      <c r="AI4430">
        <v>91.342748514227495</v>
      </c>
      <c r="AJ4430">
        <v>83.777185680265902</v>
      </c>
      <c r="AK4430">
        <v>47.335963326044499</v>
      </c>
      <c r="AL4430">
        <v>96.197524280677499</v>
      </c>
      <c r="AM4430">
        <v>95.133887784408302</v>
      </c>
      <c r="AN4430">
        <v>1.0000000103251401</v>
      </c>
    </row>
    <row r="4431" spans="1:40" x14ac:dyDescent="0.25">
      <c r="A4431" t="str">
        <f>"20190305135021365"</f>
        <v>20190305135021365</v>
      </c>
      <c r="B4431" t="str">
        <f>"1551765021354832"</f>
        <v>1551765021354832</v>
      </c>
      <c r="C4431" t="s">
        <v>40</v>
      </c>
      <c r="D4431">
        <v>4.5584449999999999</v>
      </c>
      <c r="E4431">
        <v>0.58235870000000001</v>
      </c>
      <c r="F4431" t="s">
        <v>94</v>
      </c>
      <c r="G4431">
        <v>-196.87379999999999</v>
      </c>
      <c r="H4431" s="1">
        <v>-8.9928169999999995E-6</v>
      </c>
      <c r="I4431">
        <v>139.45769999999999</v>
      </c>
      <c r="J4431">
        <v>-191.99799999999999</v>
      </c>
      <c r="K4431">
        <v>1.1092219999999999</v>
      </c>
      <c r="L4431">
        <v>193.41380000000001</v>
      </c>
      <c r="M4431">
        <v>2.6077699999999999E-2</v>
      </c>
      <c r="N4431">
        <v>-1.3465009999999999E-2</v>
      </c>
      <c r="O4431">
        <v>-0.99956940000000005</v>
      </c>
      <c r="P4431">
        <v>0.1139387</v>
      </c>
      <c r="Q4431">
        <v>-0.121479</v>
      </c>
      <c r="R4431">
        <v>-0.98603300000000005</v>
      </c>
      <c r="S4431">
        <v>-0.27655030000000003</v>
      </c>
      <c r="T4431">
        <v>-6.2941789999999997E-2</v>
      </c>
      <c r="U4431">
        <v>-3.0674440000000001</v>
      </c>
      <c r="V4431">
        <v>-8.8328840000000006E-2</v>
      </c>
      <c r="W4431">
        <v>-0.10803749999999999</v>
      </c>
      <c r="X4431">
        <v>0.99021510000000001</v>
      </c>
      <c r="Y4431">
        <v>0.11570809999999999</v>
      </c>
      <c r="Z4431">
        <v>6.9144310000000004E-3</v>
      </c>
      <c r="AA4431">
        <v>0.99325920000000001</v>
      </c>
      <c r="AB4431">
        <v>19</v>
      </c>
      <c r="AC4431">
        <v>-4.8757999999999901</v>
      </c>
      <c r="AD4431">
        <v>-1.1092309928170001</v>
      </c>
      <c r="AE4431">
        <v>-53.956099999999999</v>
      </c>
      <c r="AF4431">
        <v>6.2786877707709001</v>
      </c>
      <c r="AG4431">
        <v>-1.1092309928170001</v>
      </c>
      <c r="AH4431">
        <v>53.788037633368397</v>
      </c>
      <c r="AI4431">
        <v>91.173435827273195</v>
      </c>
      <c r="AJ4431">
        <v>83.341984321446205</v>
      </c>
      <c r="AK4431">
        <v>54.164613041790602</v>
      </c>
      <c r="AL4431">
        <v>96.202198277649401</v>
      </c>
      <c r="AM4431">
        <v>95.097387885021604</v>
      </c>
      <c r="AN4431">
        <v>1.0000000148249999</v>
      </c>
    </row>
    <row r="4432" spans="1:40" x14ac:dyDescent="0.25">
      <c r="A4432" t="str">
        <f>"20190305135021377"</f>
        <v>20190305135021377</v>
      </c>
      <c r="B4432" t="str">
        <f>"1551765021364591"</f>
        <v>1551765021364591</v>
      </c>
      <c r="C4432" t="s">
        <v>40</v>
      </c>
      <c r="D4432">
        <v>4.9110490000000002</v>
      </c>
      <c r="E4432">
        <v>0.58298000000000005</v>
      </c>
      <c r="F4432" t="s">
        <v>94</v>
      </c>
      <c r="G4432">
        <v>-197.30959999999999</v>
      </c>
      <c r="H4432" s="1">
        <v>-8.3118629999999996E-6</v>
      </c>
      <c r="I4432">
        <v>137.13319999999999</v>
      </c>
      <c r="J4432">
        <v>-191.99619999999999</v>
      </c>
      <c r="K4432">
        <v>1.109218</v>
      </c>
      <c r="L4432">
        <v>193.31890000000001</v>
      </c>
      <c r="M4432">
        <v>2.5550449999999999E-2</v>
      </c>
      <c r="N4432">
        <v>-1.346174E-2</v>
      </c>
      <c r="O4432">
        <v>-0.99958320000000001</v>
      </c>
      <c r="P4432">
        <v>0.11260630000000001</v>
      </c>
      <c r="Q4432">
        <v>-0.1218137</v>
      </c>
      <c r="R4432">
        <v>-0.98614489999999999</v>
      </c>
      <c r="S4432">
        <v>-0.28959659999999998</v>
      </c>
      <c r="T4432">
        <v>-6.0477139999999999E-2</v>
      </c>
      <c r="U4432">
        <v>-3.0685120000000001</v>
      </c>
      <c r="V4432">
        <v>-8.7515789999999996E-2</v>
      </c>
      <c r="W4432">
        <v>-0.10837620000000001</v>
      </c>
      <c r="X4432">
        <v>0.99025030000000003</v>
      </c>
      <c r="Y4432">
        <v>0.1193401</v>
      </c>
      <c r="Z4432">
        <v>6.10445E-3</v>
      </c>
      <c r="AA4432">
        <v>0.99283469999999996</v>
      </c>
      <c r="AB4432">
        <v>19</v>
      </c>
      <c r="AC4432">
        <v>-5.3133999999999997</v>
      </c>
      <c r="AD4432">
        <v>-1.1092263118629999</v>
      </c>
      <c r="AE4432">
        <v>-56.185699999999997</v>
      </c>
      <c r="AF4432">
        <v>6.7447591263469704</v>
      </c>
      <c r="AG4432">
        <v>-1.1092263118629999</v>
      </c>
      <c r="AH4432">
        <v>56.009945433857098</v>
      </c>
      <c r="AI4432">
        <v>91.126407197134299</v>
      </c>
      <c r="AJ4432">
        <v>83.133463302575706</v>
      </c>
      <c r="AK4432">
        <v>56.425491988878797</v>
      </c>
      <c r="AL4432">
        <v>96.221718846933896</v>
      </c>
      <c r="AM4432">
        <v>95.050532612356903</v>
      </c>
      <c r="AN4432">
        <v>1.0000000354379199</v>
      </c>
    </row>
    <row r="4433" spans="1:40" x14ac:dyDescent="0.25">
      <c r="A4433" t="str">
        <f>"20190305135021392"</f>
        <v>20190305135021392</v>
      </c>
      <c r="B4433" t="str">
        <f>"1551765021385086"</f>
        <v>1551765021385086</v>
      </c>
      <c r="C4433" t="s">
        <v>40</v>
      </c>
      <c r="D4433">
        <v>4.6061489999999896</v>
      </c>
      <c r="E4433">
        <v>0.58366019999999996</v>
      </c>
      <c r="F4433" t="s">
        <v>94</v>
      </c>
      <c r="G4433">
        <v>-197.8365</v>
      </c>
      <c r="H4433" s="1">
        <v>-7.19715699999999E-6</v>
      </c>
      <c r="I4433">
        <v>133.24469999999999</v>
      </c>
      <c r="J4433">
        <v>-191.99359999999999</v>
      </c>
      <c r="K4433">
        <v>1.109216</v>
      </c>
      <c r="L4433">
        <v>193.18559999999999</v>
      </c>
      <c r="M4433">
        <v>2.4809810000000002E-2</v>
      </c>
      <c r="N4433">
        <v>-1.345737E-2</v>
      </c>
      <c r="O4433">
        <v>-0.99960150000000003</v>
      </c>
      <c r="P4433">
        <v>0.1106844</v>
      </c>
      <c r="Q4433">
        <v>-0.1227351</v>
      </c>
      <c r="R4433">
        <v>-0.98624780000000001</v>
      </c>
      <c r="S4433">
        <v>-0.29838559999999997</v>
      </c>
      <c r="T4433">
        <v>-5.6671020000000003E-2</v>
      </c>
      <c r="U4433">
        <v>-3.069229</v>
      </c>
      <c r="V4433">
        <v>-8.6325490000000005E-2</v>
      </c>
      <c r="W4433">
        <v>-0.1093037</v>
      </c>
      <c r="X4433">
        <v>0.99025280000000004</v>
      </c>
      <c r="Y4433">
        <v>0.121401</v>
      </c>
      <c r="Z4433">
        <v>4.8681360000000003E-3</v>
      </c>
      <c r="AA4433">
        <v>0.99259160000000002</v>
      </c>
      <c r="AB4433">
        <v>19</v>
      </c>
      <c r="AC4433">
        <v>-5.84290000000001</v>
      </c>
      <c r="AD4433">
        <v>-1.1092231971569999</v>
      </c>
      <c r="AE4433">
        <v>-59.940899999999999</v>
      </c>
      <c r="AF4433">
        <v>7.3258732449867603</v>
      </c>
      <c r="AG4433">
        <v>-1.1092231971569999</v>
      </c>
      <c r="AH4433">
        <v>59.7572008528062</v>
      </c>
      <c r="AI4433">
        <v>91.055511355855302</v>
      </c>
      <c r="AJ4433">
        <v>83.0107574016385</v>
      </c>
      <c r="AK4433">
        <v>60.214797588843197</v>
      </c>
      <c r="AL4433">
        <v>96.275178502464797</v>
      </c>
      <c r="AM4433">
        <v>94.982176041798596</v>
      </c>
      <c r="AN4433">
        <v>0.99999999848263499</v>
      </c>
    </row>
    <row r="4434" spans="1:40" x14ac:dyDescent="0.25">
      <c r="A4434" t="str">
        <f>"20190305135021405"</f>
        <v>20190305135021405</v>
      </c>
      <c r="B4434" t="str">
        <f>"1551765021394847"</f>
        <v>1551765021394847</v>
      </c>
      <c r="C4434" t="s">
        <v>40</v>
      </c>
      <c r="D4434">
        <v>4.565493</v>
      </c>
      <c r="E4434">
        <v>0.58396590000000004</v>
      </c>
      <c r="F4434" t="s">
        <v>94</v>
      </c>
      <c r="G4434">
        <v>-198.17599999999999</v>
      </c>
      <c r="H4434" s="1">
        <v>-6.8157849999999998E-6</v>
      </c>
      <c r="I4434">
        <v>131.83109999999999</v>
      </c>
      <c r="J4434">
        <v>-191.99170000000001</v>
      </c>
      <c r="K4434">
        <v>1.1092150000000001</v>
      </c>
      <c r="L4434">
        <v>193.07859999999999</v>
      </c>
      <c r="M4434">
        <v>2.421512E-2</v>
      </c>
      <c r="N4434">
        <v>-1.345409E-2</v>
      </c>
      <c r="O4434">
        <v>-0.99961630000000001</v>
      </c>
      <c r="P4434">
        <v>0.1093425</v>
      </c>
      <c r="Q4434">
        <v>-0.1230991</v>
      </c>
      <c r="R4434">
        <v>-0.98635240000000002</v>
      </c>
      <c r="S4434">
        <v>-0.3093109</v>
      </c>
      <c r="T4434">
        <v>-5.5495740000000002E-2</v>
      </c>
      <c r="U4434">
        <v>-3.0696409999999998</v>
      </c>
      <c r="V4434">
        <v>-8.5569770000000003E-2</v>
      </c>
      <c r="W4434">
        <v>-0.109671699999999</v>
      </c>
      <c r="X4434">
        <v>0.99027770000000004</v>
      </c>
      <c r="Y4434">
        <v>0.1242955</v>
      </c>
      <c r="Z4434">
        <v>4.4825589999999997E-3</v>
      </c>
      <c r="AA4434">
        <v>0.99223510000000004</v>
      </c>
      <c r="AB4434">
        <v>19</v>
      </c>
      <c r="AC4434">
        <v>-6.1842999999999702</v>
      </c>
      <c r="AD4434">
        <v>-1.109221815785</v>
      </c>
      <c r="AE4434">
        <v>-61.247500000000002</v>
      </c>
      <c r="AF4434">
        <v>7.6632478711974397</v>
      </c>
      <c r="AG4434">
        <v>-1.109221815785</v>
      </c>
      <c r="AH4434">
        <v>61.059945190304298</v>
      </c>
      <c r="AI4434">
        <v>91.032628084231405</v>
      </c>
      <c r="AJ4434">
        <v>82.846570611685394</v>
      </c>
      <c r="AK4434">
        <v>61.548945138117404</v>
      </c>
      <c r="AL4434">
        <v>96.296390895710601</v>
      </c>
      <c r="AM4434">
        <v>94.938653634053694</v>
      </c>
      <c r="AN4434">
        <v>0.99999999521801597</v>
      </c>
    </row>
    <row r="4435" spans="1:40" x14ac:dyDescent="0.25">
      <c r="A4435" t="str">
        <f>"20190305135021419"</f>
        <v>20190305135021419</v>
      </c>
      <c r="B4435" t="str">
        <f>"1551765021415343"</f>
        <v>1551765021415343</v>
      </c>
      <c r="C4435" t="s">
        <v>40</v>
      </c>
      <c r="D4435">
        <v>4.6273849999999896</v>
      </c>
      <c r="E4435">
        <v>0.58422609999999997</v>
      </c>
      <c r="F4435" t="s">
        <v>94</v>
      </c>
      <c r="G4435">
        <v>-198.4314</v>
      </c>
      <c r="H4435" s="1">
        <v>-6.4390359999999998E-6</v>
      </c>
      <c r="I4435">
        <v>130.4753</v>
      </c>
      <c r="J4435">
        <v>-191.9898</v>
      </c>
      <c r="K4435">
        <v>1.109213</v>
      </c>
      <c r="L4435">
        <v>192.96960000000001</v>
      </c>
      <c r="M4435">
        <v>2.361019E-2</v>
      </c>
      <c r="N4435">
        <v>-1.345092E-2</v>
      </c>
      <c r="O4435">
        <v>-0.99963109999999999</v>
      </c>
      <c r="P4435">
        <v>0.10838349999999999</v>
      </c>
      <c r="Q4435">
        <v>-0.1233195</v>
      </c>
      <c r="R4435">
        <v>-0.98643110000000001</v>
      </c>
      <c r="S4435">
        <v>-0.31576539999999997</v>
      </c>
      <c r="T4435">
        <v>-5.4390069999999999E-2</v>
      </c>
      <c r="U4435">
        <v>-3.0697169999999998</v>
      </c>
      <c r="V4435">
        <v>-8.5207370000000004E-2</v>
      </c>
      <c r="W4435">
        <v>-0.10989589999999901</v>
      </c>
      <c r="X4435">
        <v>0.9902841</v>
      </c>
      <c r="Y4435">
        <v>0.12575749999999999</v>
      </c>
      <c r="Z4435">
        <v>4.1246449999999997E-3</v>
      </c>
      <c r="AA4435">
        <v>0.99205239999999995</v>
      </c>
      <c r="AB4435">
        <v>19</v>
      </c>
      <c r="AC4435">
        <v>-6.4415999999999896</v>
      </c>
      <c r="AD4435">
        <v>-1.109219439036</v>
      </c>
      <c r="AE4435">
        <v>-62.494300000000003</v>
      </c>
      <c r="AF4435">
        <v>7.9129726644030702</v>
      </c>
      <c r="AG4435">
        <v>-1.109219439036</v>
      </c>
      <c r="AH4435">
        <v>62.305353070553402</v>
      </c>
      <c r="AI4435">
        <v>91.0118007658576</v>
      </c>
      <c r="AJ4435">
        <v>82.762008445241605</v>
      </c>
      <c r="AK4435">
        <v>62.815623258850501</v>
      </c>
      <c r="AL4435">
        <v>96.309314686565102</v>
      </c>
      <c r="AM4435">
        <v>94.9178089079806</v>
      </c>
      <c r="AN4435">
        <v>1.00000000172596</v>
      </c>
    </row>
    <row r="4436" spans="1:40" x14ac:dyDescent="0.25">
      <c r="A4436" t="str">
        <f>"20190305135021433"</f>
        <v>20190305135021433</v>
      </c>
      <c r="B4436" t="str">
        <f>"1551765021425103"</f>
        <v>1551765021425103</v>
      </c>
      <c r="C4436" t="s">
        <v>40</v>
      </c>
      <c r="D4436">
        <v>4.5784120000000001</v>
      </c>
      <c r="E4436">
        <v>0.58387319999999998</v>
      </c>
      <c r="F4436" t="s">
        <v>94</v>
      </c>
      <c r="G4436">
        <v>-198.22389999999999</v>
      </c>
      <c r="H4436" s="1">
        <v>-7.2883110000000003E-6</v>
      </c>
      <c r="I4436">
        <v>133.34450000000001</v>
      </c>
      <c r="J4436">
        <v>-191.98759999999999</v>
      </c>
      <c r="K4436">
        <v>1.109213</v>
      </c>
      <c r="L4436">
        <v>192.84379999999999</v>
      </c>
      <c r="M4436">
        <v>2.2911549999999999E-2</v>
      </c>
      <c r="N4436">
        <v>-1.344743E-2</v>
      </c>
      <c r="O4436">
        <v>-0.99964699999999995</v>
      </c>
      <c r="P4436">
        <v>0.10719910000000001</v>
      </c>
      <c r="Q4436">
        <v>-0.123445</v>
      </c>
      <c r="R4436">
        <v>-0.98654430000000004</v>
      </c>
      <c r="S4436">
        <v>-0.32092290000000001</v>
      </c>
      <c r="T4436">
        <v>-5.7100650000000003E-2</v>
      </c>
      <c r="U4436">
        <v>-3.0693969999999999</v>
      </c>
      <c r="V4436">
        <v>-8.4712209999999996E-2</v>
      </c>
      <c r="W4436">
        <v>-0.1100254</v>
      </c>
      <c r="X4436">
        <v>0.99031219999999998</v>
      </c>
      <c r="Y4436">
        <v>0.12672240000000001</v>
      </c>
      <c r="Z4436">
        <v>5.0045209999999996E-3</v>
      </c>
      <c r="AA4436">
        <v>0.99192559999999996</v>
      </c>
      <c r="AB4436">
        <v>19</v>
      </c>
      <c r="AC4436">
        <v>-6.2363</v>
      </c>
      <c r="AD4436">
        <v>-1.1092202883110001</v>
      </c>
      <c r="AE4436">
        <v>-59.499299999999899</v>
      </c>
      <c r="AF4436">
        <v>7.5953961190405597</v>
      </c>
      <c r="AG4436">
        <v>-1.1092202883110001</v>
      </c>
      <c r="AH4436">
        <v>59.320389622681603</v>
      </c>
      <c r="AI4436">
        <v>91.062565080054199</v>
      </c>
      <c r="AJ4436">
        <v>82.703536051641095</v>
      </c>
      <c r="AK4436">
        <v>59.814956631597497</v>
      </c>
      <c r="AL4436">
        <v>96.316779767566203</v>
      </c>
      <c r="AM4436">
        <v>94.889231247080801</v>
      </c>
      <c r="AN4436">
        <v>1.0000000003185401</v>
      </c>
    </row>
    <row r="4437" spans="1:40" x14ac:dyDescent="0.25">
      <c r="A4437" t="str">
        <f>"20190305135021448"</f>
        <v>20190305135021448</v>
      </c>
      <c r="B4437" t="str">
        <f>"1551765021444623"</f>
        <v>1551765021444623</v>
      </c>
      <c r="C4437" t="s">
        <v>40</v>
      </c>
      <c r="D4437">
        <v>4.5909769999999996</v>
      </c>
      <c r="E4437">
        <v>0.58329279999999994</v>
      </c>
      <c r="F4437" t="s">
        <v>94</v>
      </c>
      <c r="G4437">
        <v>-197.8098</v>
      </c>
      <c r="H4437" s="1">
        <v>-8.4540379999999996E-6</v>
      </c>
      <c r="I4437">
        <v>137.3484</v>
      </c>
      <c r="J4437">
        <v>-191.9855</v>
      </c>
      <c r="K4437">
        <v>1.1092120000000001</v>
      </c>
      <c r="L4437">
        <v>192.7165</v>
      </c>
      <c r="M4437">
        <v>2.2205809999999999E-2</v>
      </c>
      <c r="N4437">
        <v>-1.34441E-2</v>
      </c>
      <c r="O4437">
        <v>-0.99966319999999997</v>
      </c>
      <c r="P4437">
        <v>0.1061619</v>
      </c>
      <c r="Q4437">
        <v>-0.12285219999999999</v>
      </c>
      <c r="R4437">
        <v>-0.98673060000000001</v>
      </c>
      <c r="S4437">
        <v>-0.3218994</v>
      </c>
      <c r="T4437">
        <v>-6.1326499999999999E-2</v>
      </c>
      <c r="U4437">
        <v>-3.068222</v>
      </c>
      <c r="V4437">
        <v>-8.4367819999999996E-2</v>
      </c>
      <c r="W4437">
        <v>-0.1094353</v>
      </c>
      <c r="X4437">
        <v>0.99040700000000004</v>
      </c>
      <c r="Y4437">
        <v>0.12637180000000001</v>
      </c>
      <c r="Z4437">
        <v>6.3828699999999997E-3</v>
      </c>
      <c r="AA4437">
        <v>0.99196240000000002</v>
      </c>
      <c r="AB4437">
        <v>19</v>
      </c>
      <c r="AC4437">
        <v>-5.8242999999999903</v>
      </c>
      <c r="AD4437">
        <v>-1.109220454038</v>
      </c>
      <c r="AE4437">
        <v>-55.368099999999998</v>
      </c>
      <c r="AF4437">
        <v>7.0496696298344599</v>
      </c>
      <c r="AG4437">
        <v>-1.109220454038</v>
      </c>
      <c r="AH4437">
        <v>55.203186960489298</v>
      </c>
      <c r="AI4437">
        <v>91.141842253929198</v>
      </c>
      <c r="AJ4437">
        <v>82.722488596255999</v>
      </c>
      <c r="AK4437">
        <v>55.662555299772301</v>
      </c>
      <c r="AL4437">
        <v>96.282763997590394</v>
      </c>
      <c r="AM4437">
        <v>94.868986423259102</v>
      </c>
      <c r="AN4437">
        <v>1.0000000197933201</v>
      </c>
    </row>
    <row r="4438" spans="1:40" x14ac:dyDescent="0.25">
      <c r="A4438" t="str">
        <f>"20190305135021464"</f>
        <v>20190305135021464</v>
      </c>
      <c r="B4438" t="str">
        <f>"1551765021454383"</f>
        <v>1551765021454383</v>
      </c>
      <c r="C4438" t="s">
        <v>40</v>
      </c>
      <c r="D4438">
        <v>4.5606720000000003</v>
      </c>
      <c r="E4438">
        <v>0.5829995</v>
      </c>
      <c r="F4438" t="s">
        <v>94</v>
      </c>
      <c r="G4438">
        <v>-197.37049999999999</v>
      </c>
      <c r="H4438" s="1">
        <v>-9.6013260000000002E-6</v>
      </c>
      <c r="I4438">
        <v>141.25139999999999</v>
      </c>
      <c r="J4438">
        <v>-191.98339999999999</v>
      </c>
      <c r="K4438">
        <v>1.109216</v>
      </c>
      <c r="L4438">
        <v>192.58519999999999</v>
      </c>
      <c r="M4438">
        <v>2.1477469999999999E-2</v>
      </c>
      <c r="N4438">
        <v>-1.3440880000000001E-2</v>
      </c>
      <c r="O4438">
        <v>-0.99967899999999998</v>
      </c>
      <c r="P4438">
        <v>0.1052128</v>
      </c>
      <c r="Q4438">
        <v>-0.1227096</v>
      </c>
      <c r="R4438">
        <v>-0.98685</v>
      </c>
      <c r="S4438">
        <v>-0.32087710000000003</v>
      </c>
      <c r="T4438">
        <v>-6.6094879999999995E-2</v>
      </c>
      <c r="U4438">
        <v>-3.0666350000000002</v>
      </c>
      <c r="V4438">
        <v>-8.4135810000000005E-2</v>
      </c>
      <c r="W4438">
        <v>-0.1092959</v>
      </c>
      <c r="X4438">
        <v>0.99044209999999999</v>
      </c>
      <c r="Y4438">
        <v>0.12537290000000001</v>
      </c>
      <c r="Z4438">
        <v>7.9422650000000004E-3</v>
      </c>
      <c r="AA4438">
        <v>0.99207789999999996</v>
      </c>
      <c r="AB4438">
        <v>19</v>
      </c>
      <c r="AC4438">
        <v>-5.3871000000000002</v>
      </c>
      <c r="AD4438">
        <v>-1.109225601326</v>
      </c>
      <c r="AE4438">
        <v>-51.333799999999997</v>
      </c>
      <c r="AF4438">
        <v>6.4854817265146902</v>
      </c>
      <c r="AG4438">
        <v>-1.109225601326</v>
      </c>
      <c r="AH4438">
        <v>51.182607752679701</v>
      </c>
      <c r="AI4438">
        <v>91.231669998744593</v>
      </c>
      <c r="AJ4438">
        <v>82.778388496112697</v>
      </c>
      <c r="AK4438">
        <v>51.603790471478497</v>
      </c>
      <c r="AL4438">
        <v>96.274728949728797</v>
      </c>
      <c r="AM4438">
        <v>94.855489647725506</v>
      </c>
      <c r="AN4438">
        <v>0.99999999086678704</v>
      </c>
    </row>
    <row r="4439" spans="1:40" x14ac:dyDescent="0.25">
      <c r="A4439" t="str">
        <f>"20190305135021476"</f>
        <v>20190305135021476</v>
      </c>
      <c r="B4439" t="str">
        <f>"1551765021465119"</f>
        <v>1551765021465119</v>
      </c>
      <c r="C4439" t="s">
        <v>40</v>
      </c>
      <c r="D4439">
        <v>4.5817059999999996</v>
      </c>
      <c r="E4439">
        <v>0.58270290000000002</v>
      </c>
      <c r="F4439" t="s">
        <v>94</v>
      </c>
      <c r="G4439">
        <v>-197.15950000000001</v>
      </c>
      <c r="H4439" s="1">
        <v>-1.017183E-5</v>
      </c>
      <c r="I4439">
        <v>143.27099999999999</v>
      </c>
      <c r="J4439">
        <v>-191.9819</v>
      </c>
      <c r="K4439">
        <v>1.1092200000000001</v>
      </c>
      <c r="L4439">
        <v>192.48089999999999</v>
      </c>
      <c r="M4439">
        <v>2.0899060000000001E-2</v>
      </c>
      <c r="N4439">
        <v>-1.3438459999999999E-2</v>
      </c>
      <c r="O4439">
        <v>-0.99969140000000001</v>
      </c>
      <c r="P4439">
        <v>0.1043171</v>
      </c>
      <c r="Q4439">
        <v>-0.12256400000000001</v>
      </c>
      <c r="R4439">
        <v>-0.98696349999999999</v>
      </c>
      <c r="S4439">
        <v>-0.32177729999999999</v>
      </c>
      <c r="T4439">
        <v>-6.8956970000000006E-2</v>
      </c>
      <c r="U4439">
        <v>-3.0657040000000002</v>
      </c>
      <c r="V4439">
        <v>-8.3810319999999994E-2</v>
      </c>
      <c r="W4439">
        <v>-0.10915279999999999</v>
      </c>
      <c r="X4439">
        <v>0.99048550000000002</v>
      </c>
      <c r="Y4439">
        <v>0.1251167</v>
      </c>
      <c r="Z4439">
        <v>8.8785159999999995E-3</v>
      </c>
      <c r="AA4439">
        <v>0.99210229999999999</v>
      </c>
      <c r="AB4439">
        <v>19</v>
      </c>
      <c r="AC4439">
        <v>-5.1776000000000098</v>
      </c>
      <c r="AD4439">
        <v>-1.1092301718299999</v>
      </c>
      <c r="AE4439">
        <v>-49.209899999999898</v>
      </c>
      <c r="AF4439">
        <v>6.2018857585735496</v>
      </c>
      <c r="AG4439">
        <v>-1.1092301718299999</v>
      </c>
      <c r="AH4439">
        <v>49.066276436290899</v>
      </c>
      <c r="AI4439">
        <v>91.284832670949498</v>
      </c>
      <c r="AJ4439">
        <v>82.796122540976398</v>
      </c>
      <c r="AK4439">
        <v>49.4691142214919</v>
      </c>
      <c r="AL4439">
        <v>96.266480425276896</v>
      </c>
      <c r="AM4439">
        <v>94.836583931723197</v>
      </c>
      <c r="AN4439">
        <v>1.0000000145982899</v>
      </c>
    </row>
    <row r="4440" spans="1:40" x14ac:dyDescent="0.25">
      <c r="A4440" t="str">
        <f>"20190305135021490"</f>
        <v>20190305135021490</v>
      </c>
      <c r="B4440" t="str">
        <f>"1551765021484639"</f>
        <v>1551765021484639</v>
      </c>
      <c r="C4440" t="s">
        <v>40</v>
      </c>
      <c r="D4440">
        <v>4.6125639999999999</v>
      </c>
      <c r="E4440">
        <v>0.58220139999999998</v>
      </c>
      <c r="F4440" t="s">
        <v>94</v>
      </c>
      <c r="G4440">
        <v>-196.99180000000001</v>
      </c>
      <c r="H4440" s="1">
        <v>-1.0620590000000001E-5</v>
      </c>
      <c r="I4440">
        <v>144.8604</v>
      </c>
      <c r="J4440">
        <v>-191.9803</v>
      </c>
      <c r="K4440">
        <v>1.1092200000000001</v>
      </c>
      <c r="L4440">
        <v>192.37049999999999</v>
      </c>
      <c r="M4440">
        <v>2.028684E-2</v>
      </c>
      <c r="N4440">
        <v>-1.343601E-2</v>
      </c>
      <c r="O4440">
        <v>-0.99970400000000004</v>
      </c>
      <c r="P4440">
        <v>0.10382139999999999</v>
      </c>
      <c r="Q4440">
        <v>-0.12254959999999999</v>
      </c>
      <c r="R4440">
        <v>-0.98701749999999999</v>
      </c>
      <c r="S4440">
        <v>-0.32243349999999998</v>
      </c>
      <c r="T4440">
        <v>-7.1389679999999997E-2</v>
      </c>
      <c r="U4440">
        <v>-3.064835</v>
      </c>
      <c r="V4440">
        <v>-8.3918590000000001E-2</v>
      </c>
      <c r="W4440">
        <v>-0.109141</v>
      </c>
      <c r="X4440">
        <v>0.99047759999999996</v>
      </c>
      <c r="Y4440">
        <v>0.1247471</v>
      </c>
      <c r="Z4440">
        <v>9.6761509999999992E-3</v>
      </c>
      <c r="AA4440">
        <v>0.99214139999999995</v>
      </c>
      <c r="AB4440">
        <v>19</v>
      </c>
      <c r="AC4440">
        <v>-5.0115000000000096</v>
      </c>
      <c r="AD4440">
        <v>-1.10923062059</v>
      </c>
      <c r="AE4440">
        <v>-47.510100000000001</v>
      </c>
      <c r="AF4440">
        <v>5.9711661440779098</v>
      </c>
      <c r="AG4440">
        <v>-1.10923062059</v>
      </c>
      <c r="AH4440">
        <v>47.373105370779498</v>
      </c>
      <c r="AI4440">
        <v>91.330796712043394</v>
      </c>
      <c r="AJ4440">
        <v>82.816010828520206</v>
      </c>
      <c r="AK4440">
        <v>47.760824219864702</v>
      </c>
      <c r="AL4440">
        <v>96.265800477520003</v>
      </c>
      <c r="AM4440">
        <v>94.842840797372801</v>
      </c>
      <c r="AN4440">
        <v>0.99999998186517303</v>
      </c>
    </row>
    <row r="4441" spans="1:40" x14ac:dyDescent="0.25">
      <c r="A4441" t="str">
        <f>"20190305135021504"</f>
        <v>20190305135021504</v>
      </c>
      <c r="B4441" t="str">
        <f>"1551765021494399"</f>
        <v>1551765021494399</v>
      </c>
      <c r="C4441" t="s">
        <v>40</v>
      </c>
      <c r="D4441">
        <v>4.5875149999999998</v>
      </c>
      <c r="E4441">
        <v>0.58185830000000005</v>
      </c>
      <c r="F4441" t="s">
        <v>94</v>
      </c>
      <c r="G4441">
        <v>-196.7354</v>
      </c>
      <c r="H4441" s="1">
        <v>-1.116521E-5</v>
      </c>
      <c r="I4441">
        <v>146.86879999999999</v>
      </c>
      <c r="J4441">
        <v>-191.9786</v>
      </c>
      <c r="K4441">
        <v>1.109218</v>
      </c>
      <c r="L4441">
        <v>192.24680000000001</v>
      </c>
      <c r="M4441">
        <v>1.960069E-2</v>
      </c>
      <c r="N4441">
        <v>-1.343331E-2</v>
      </c>
      <c r="O4441">
        <v>-0.99971779999999999</v>
      </c>
      <c r="P4441">
        <v>0.1030142</v>
      </c>
      <c r="Q4441">
        <v>-0.1224904</v>
      </c>
      <c r="R4441">
        <v>-0.98710909999999996</v>
      </c>
      <c r="S4441">
        <v>-0.32019039999999999</v>
      </c>
      <c r="T4441">
        <v>-7.4690820000000005E-2</v>
      </c>
      <c r="U4441">
        <v>-3.0638890000000001</v>
      </c>
      <c r="V4441">
        <v>-8.3788280000000007E-2</v>
      </c>
      <c r="W4441">
        <v>-0.10908470000000001</v>
      </c>
      <c r="X4441">
        <v>0.99049480000000001</v>
      </c>
      <c r="Y4441">
        <v>0.12337770000000001</v>
      </c>
      <c r="Z4441">
        <v>1.0759309999999999E-2</v>
      </c>
      <c r="AA4441">
        <v>0.99230149999999995</v>
      </c>
      <c r="AB4441">
        <v>19</v>
      </c>
      <c r="AC4441">
        <v>-4.7567999999999904</v>
      </c>
      <c r="AD4441">
        <v>-1.1092291652099999</v>
      </c>
      <c r="AE4441">
        <v>-45.378</v>
      </c>
      <c r="AF4441">
        <v>5.6420716239043296</v>
      </c>
      <c r="AG4441">
        <v>-1.1092291652099999</v>
      </c>
      <c r="AH4441">
        <v>45.249292361344601</v>
      </c>
      <c r="AI4441">
        <v>91.393466121497994</v>
      </c>
      <c r="AJ4441">
        <v>82.892550855514301</v>
      </c>
      <c r="AK4441">
        <v>45.613175955557601</v>
      </c>
      <c r="AL4441">
        <v>96.262555561076397</v>
      </c>
      <c r="AM4441">
        <v>94.835272878621097</v>
      </c>
      <c r="AN4441">
        <v>0.99999994823324201</v>
      </c>
    </row>
    <row r="4442" spans="1:40" x14ac:dyDescent="0.25">
      <c r="A4442" t="str">
        <f>"20190305135021518"</f>
        <v>20190305135021518</v>
      </c>
      <c r="B4442" t="str">
        <f>"1551765021514895"</f>
        <v>1551765021514895</v>
      </c>
      <c r="C4442" t="s">
        <v>40</v>
      </c>
      <c r="D4442">
        <v>4.6538649999999997</v>
      </c>
      <c r="E4442">
        <v>0.58150190000000002</v>
      </c>
      <c r="F4442" t="s">
        <v>94</v>
      </c>
      <c r="G4442">
        <v>-196.61869999999999</v>
      </c>
      <c r="H4442" s="1">
        <v>-1.140517E-5</v>
      </c>
      <c r="I4442">
        <v>147.85720000000001</v>
      </c>
      <c r="J4442">
        <v>-191.97710000000001</v>
      </c>
      <c r="K4442">
        <v>1.109219</v>
      </c>
      <c r="L4442">
        <v>192.13059999999999</v>
      </c>
      <c r="M4442">
        <v>1.895645E-2</v>
      </c>
      <c r="N4442">
        <v>-1.3430900000000001E-2</v>
      </c>
      <c r="O4442">
        <v>-0.99973020000000001</v>
      </c>
      <c r="P4442">
        <v>0.10208150000000001</v>
      </c>
      <c r="Q4442">
        <v>-0.12254900000000001</v>
      </c>
      <c r="R4442">
        <v>-0.98719889999999999</v>
      </c>
      <c r="S4442">
        <v>-0.32019039999999999</v>
      </c>
      <c r="T4442">
        <v>-7.6541780000000004E-2</v>
      </c>
      <c r="U4442">
        <v>-3.0630799999999998</v>
      </c>
      <c r="V4442">
        <v>-8.3490640000000005E-2</v>
      </c>
      <c r="W4442">
        <v>-0.10914600000000001</v>
      </c>
      <c r="X4442">
        <v>0.99051319999999998</v>
      </c>
      <c r="Y4442">
        <v>0.1227642</v>
      </c>
      <c r="Z4442">
        <v>1.136969E-2</v>
      </c>
      <c r="AA4442">
        <v>0.99237070000000005</v>
      </c>
      <c r="AB4442">
        <v>19</v>
      </c>
      <c r="AC4442">
        <v>-4.64159999999998</v>
      </c>
      <c r="AD4442">
        <v>-1.1092304051699999</v>
      </c>
      <c r="AE4442">
        <v>-44.273399999999903</v>
      </c>
      <c r="AF4442">
        <v>5.4767075163035797</v>
      </c>
      <c r="AG4442">
        <v>-1.1092304051699999</v>
      </c>
      <c r="AH4442">
        <v>44.150034865368703</v>
      </c>
      <c r="AI4442">
        <v>91.428260427691896</v>
      </c>
      <c r="AJ4442">
        <v>82.928716808577903</v>
      </c>
      <c r="AK4442">
        <v>44.502250459096601</v>
      </c>
      <c r="AL4442">
        <v>96.266088766436894</v>
      </c>
      <c r="AM4442">
        <v>94.818088525366605</v>
      </c>
      <c r="AN4442">
        <v>0.99999996782892397</v>
      </c>
    </row>
    <row r="4443" spans="1:40" x14ac:dyDescent="0.25">
      <c r="A4443" t="str">
        <f>"20190305135021531"</f>
        <v>20190305135021531</v>
      </c>
      <c r="B4443" t="str">
        <f>"1551765021524656"</f>
        <v>1551765021524656</v>
      </c>
      <c r="C4443" t="s">
        <v>40</v>
      </c>
      <c r="D4443">
        <v>4.6344000000000003</v>
      </c>
      <c r="E4443">
        <v>0.58125079999999996</v>
      </c>
      <c r="F4443" t="s">
        <v>94</v>
      </c>
      <c r="G4443">
        <v>-196.42160000000001</v>
      </c>
      <c r="H4443" s="1">
        <v>-1.185399E-5</v>
      </c>
      <c r="I4443">
        <v>149.6627</v>
      </c>
      <c r="J4443">
        <v>-191.97569999999999</v>
      </c>
      <c r="K4443">
        <v>1.109218</v>
      </c>
      <c r="L4443">
        <v>192.02199999999999</v>
      </c>
      <c r="M4443">
        <v>1.835461E-2</v>
      </c>
      <c r="N4443">
        <v>-1.342875E-2</v>
      </c>
      <c r="O4443">
        <v>-0.99974160000000001</v>
      </c>
      <c r="P4443">
        <v>0.1016514</v>
      </c>
      <c r="Q4443">
        <v>-0.12228940000000001</v>
      </c>
      <c r="R4443">
        <v>-0.98727540000000003</v>
      </c>
      <c r="S4443">
        <v>-0.3204651</v>
      </c>
      <c r="T4443">
        <v>-7.9979899999999896E-2</v>
      </c>
      <c r="U4443">
        <v>-3.062103</v>
      </c>
      <c r="V4443">
        <v>-8.3654060000000002E-2</v>
      </c>
      <c r="W4443">
        <v>-0.10888829999999999</v>
      </c>
      <c r="X4443">
        <v>0.99052779999999996</v>
      </c>
      <c r="Y4443">
        <v>0.1222854</v>
      </c>
      <c r="Z4443">
        <v>1.2495620000000001E-2</v>
      </c>
      <c r="AA4443">
        <v>0.99241630000000003</v>
      </c>
      <c r="AB4443">
        <v>19</v>
      </c>
      <c r="AC4443">
        <v>-4.4459000000000204</v>
      </c>
      <c r="AD4443">
        <v>-1.1092298539899901</v>
      </c>
      <c r="AE4443">
        <v>-42.359299999999998</v>
      </c>
      <c r="AF4443">
        <v>5.2191693786930298</v>
      </c>
      <c r="AG4443">
        <v>-1.1092298539899901</v>
      </c>
      <c r="AH4443">
        <v>42.241902346145103</v>
      </c>
      <c r="AI4443">
        <v>91.492837626872699</v>
      </c>
      <c r="AJ4443">
        <v>82.956555332499505</v>
      </c>
      <c r="AK4443">
        <v>42.577557864369403</v>
      </c>
      <c r="AL4443">
        <v>96.251234955197702</v>
      </c>
      <c r="AM4443">
        <v>94.827403843355995</v>
      </c>
      <c r="AN4443">
        <v>0.99999999310210597</v>
      </c>
    </row>
    <row r="4444" spans="1:40" x14ac:dyDescent="0.25">
      <c r="A4444" t="str">
        <f>"20190305135021543"</f>
        <v>20190305135021543</v>
      </c>
      <c r="B4444" t="str">
        <f>"1551765021534415"</f>
        <v>1551765021534415</v>
      </c>
      <c r="C4444" t="s">
        <v>40</v>
      </c>
      <c r="D4444">
        <v>4.618951</v>
      </c>
      <c r="E4444">
        <v>0.58109540000000004</v>
      </c>
      <c r="F4444" t="s">
        <v>94</v>
      </c>
      <c r="G4444">
        <v>-196.3364</v>
      </c>
      <c r="H4444" s="1">
        <v>-1.21237899999999E-5</v>
      </c>
      <c r="I4444">
        <v>150.32679999999999</v>
      </c>
      <c r="J4444">
        <v>-191.97450000000001</v>
      </c>
      <c r="K4444">
        <v>1.1092200000000001</v>
      </c>
      <c r="L4444">
        <v>191.92339999999999</v>
      </c>
      <c r="M4444">
        <v>1.7807650000000001E-2</v>
      </c>
      <c r="N4444">
        <v>-1.342692E-2</v>
      </c>
      <c r="O4444">
        <v>-0.99975139999999996</v>
      </c>
      <c r="P4444">
        <v>0.1007863</v>
      </c>
      <c r="Q4444">
        <v>-0.1219572</v>
      </c>
      <c r="R4444">
        <v>-0.98740499999999998</v>
      </c>
      <c r="S4444">
        <v>-0.32019039999999999</v>
      </c>
      <c r="T4444">
        <v>-8.144701E-2</v>
      </c>
      <c r="U4444">
        <v>-3.0615389999999998</v>
      </c>
      <c r="V4444">
        <v>-8.3327410000000005E-2</v>
      </c>
      <c r="W4444">
        <v>-0.10855769999999999</v>
      </c>
      <c r="X4444">
        <v>0.99059160000000002</v>
      </c>
      <c r="Y4444">
        <v>0.1216723</v>
      </c>
      <c r="Z4444">
        <v>1.297972E-2</v>
      </c>
      <c r="AA4444">
        <v>0.99248550000000002</v>
      </c>
      <c r="AB4444">
        <v>19</v>
      </c>
      <c r="AC4444">
        <v>-4.3618999999999897</v>
      </c>
      <c r="AD4444">
        <v>-1.10923212379</v>
      </c>
      <c r="AE4444">
        <v>-41.596600000000002</v>
      </c>
      <c r="AF4444">
        <v>5.0984265466807903</v>
      </c>
      <c r="AG4444">
        <v>-1.10923212379</v>
      </c>
      <c r="AH4444">
        <v>41.483142985107101</v>
      </c>
      <c r="AI4444">
        <v>91.520253240239398</v>
      </c>
      <c r="AJ4444">
        <v>82.993282406750495</v>
      </c>
      <c r="AK4444">
        <v>41.809992837588403</v>
      </c>
      <c r="AL4444">
        <v>96.232180129086998</v>
      </c>
      <c r="AM4444">
        <v>94.808334243204698</v>
      </c>
      <c r="AN4444">
        <v>0.99999997473857805</v>
      </c>
    </row>
    <row r="4445" spans="1:40" x14ac:dyDescent="0.25">
      <c r="A4445" t="str">
        <f>"20190305135021553"</f>
        <v>20190305135021553</v>
      </c>
      <c r="B4445" t="str">
        <f>"1551765021545151"</f>
        <v>1551765021545151</v>
      </c>
      <c r="C4445" t="s">
        <v>40</v>
      </c>
      <c r="D4445">
        <v>4.6382450000000004</v>
      </c>
      <c r="E4445">
        <v>0.58087140000000004</v>
      </c>
      <c r="F4445" t="s">
        <v>94</v>
      </c>
      <c r="G4445">
        <v>-196.36279999999999</v>
      </c>
      <c r="H4445" s="1">
        <v>-1.20588E-5</v>
      </c>
      <c r="I4445">
        <v>150.1644</v>
      </c>
      <c r="J4445">
        <v>-191.9735</v>
      </c>
      <c r="K4445">
        <v>1.109224</v>
      </c>
      <c r="L4445">
        <v>191.8321</v>
      </c>
      <c r="M4445">
        <v>1.7301460000000001E-2</v>
      </c>
      <c r="N4445">
        <v>-1.342526E-2</v>
      </c>
      <c r="O4445">
        <v>-0.99976019999999999</v>
      </c>
      <c r="P4445">
        <v>0.1000537</v>
      </c>
      <c r="Q4445">
        <v>-0.12162679999999999</v>
      </c>
      <c r="R4445">
        <v>-0.98752039999999996</v>
      </c>
      <c r="S4445">
        <v>-0.32167050000000003</v>
      </c>
      <c r="T4445">
        <v>-8.1309320000000004E-2</v>
      </c>
      <c r="U4445">
        <v>-3.061035</v>
      </c>
      <c r="V4445">
        <v>-8.3092810000000003E-2</v>
      </c>
      <c r="W4445">
        <v>-0.10822859999999999</v>
      </c>
      <c r="X4445">
        <v>0.99064730000000001</v>
      </c>
      <c r="Y4445">
        <v>0.12166150000000001</v>
      </c>
      <c r="Z4445">
        <v>1.2941070000000001E-2</v>
      </c>
      <c r="AA4445">
        <v>0.99248729999999996</v>
      </c>
      <c r="AB4445">
        <v>19</v>
      </c>
      <c r="AC4445">
        <v>-4.3892999999999898</v>
      </c>
      <c r="AD4445">
        <v>-1.1092360587999901</v>
      </c>
      <c r="AE4445">
        <v>-41.667700000000004</v>
      </c>
      <c r="AF4445">
        <v>5.1060410676318497</v>
      </c>
      <c r="AG4445">
        <v>-1.1092360587999901</v>
      </c>
      <c r="AH4445">
        <v>41.556386968606198</v>
      </c>
      <c r="AI4445">
        <v>91.517586528766799</v>
      </c>
      <c r="AJ4445">
        <v>82.995166860466895</v>
      </c>
      <c r="AK4445">
        <v>41.883592944051898</v>
      </c>
      <c r="AL4445">
        <v>96.213212429604297</v>
      </c>
      <c r="AM4445">
        <v>94.794591724878501</v>
      </c>
      <c r="AN4445">
        <v>0.99999995896447202</v>
      </c>
    </row>
    <row r="4446" spans="1:40" x14ac:dyDescent="0.25">
      <c r="A4446" t="str">
        <f>"20190305135021564"</f>
        <v>20190305135021564</v>
      </c>
      <c r="B4446" t="str">
        <f>"1551765021554911"</f>
        <v>1551765021554911</v>
      </c>
      <c r="C4446" t="s">
        <v>40</v>
      </c>
      <c r="D4446">
        <v>4.7016159999999996</v>
      </c>
      <c r="E4446">
        <v>0.58082239999999996</v>
      </c>
      <c r="F4446" t="s">
        <v>94</v>
      </c>
      <c r="G4446">
        <v>-196.3536</v>
      </c>
      <c r="H4446" s="1">
        <v>-1.209924E-5</v>
      </c>
      <c r="I4446">
        <v>150.26249999999999</v>
      </c>
      <c r="J4446">
        <v>-191.9725</v>
      </c>
      <c r="K4446">
        <v>1.109227</v>
      </c>
      <c r="L4446">
        <v>191.7396</v>
      </c>
      <c r="M4446">
        <v>1.6788440000000002E-2</v>
      </c>
      <c r="N4446">
        <v>-1.3423610000000001E-2</v>
      </c>
      <c r="O4446">
        <v>-0.99976900000000002</v>
      </c>
      <c r="P4446">
        <v>9.9183090000000002E-2</v>
      </c>
      <c r="Q4446">
        <v>-0.1213402</v>
      </c>
      <c r="R4446">
        <v>-0.98764339999999995</v>
      </c>
      <c r="S4446">
        <v>-0.32247920000000002</v>
      </c>
      <c r="T4446">
        <v>-8.1666589999999997E-2</v>
      </c>
      <c r="U4446">
        <v>-3.0605319999999998</v>
      </c>
      <c r="V4446">
        <v>-8.2727399999999895E-2</v>
      </c>
      <c r="W4446">
        <v>-0.10794339999999999</v>
      </c>
      <c r="X4446">
        <v>0.99070910000000001</v>
      </c>
      <c r="Y4446">
        <v>0.1214283</v>
      </c>
      <c r="Z4446">
        <v>1.30636E-2</v>
      </c>
      <c r="AA4446">
        <v>0.99251429999999996</v>
      </c>
      <c r="AB4446">
        <v>19</v>
      </c>
      <c r="AC4446">
        <v>-4.3811</v>
      </c>
      <c r="AD4446">
        <v>-1.1092390992400001</v>
      </c>
      <c r="AE4446">
        <v>-41.4771</v>
      </c>
      <c r="AF4446">
        <v>5.0732925183048101</v>
      </c>
      <c r="AG4446">
        <v>-1.1092390992400001</v>
      </c>
      <c r="AH4446">
        <v>41.368434225902803</v>
      </c>
      <c r="AI4446">
        <v>91.524525446191404</v>
      </c>
      <c r="AJ4446">
        <v>83.0083403168411</v>
      </c>
      <c r="AK4446">
        <v>41.693117641385498</v>
      </c>
      <c r="AL4446">
        <v>96.196774744774899</v>
      </c>
      <c r="AM4446">
        <v>94.773308217974005</v>
      </c>
      <c r="AN4446">
        <v>1.0000000605685599</v>
      </c>
    </row>
    <row r="4447" spans="1:40" x14ac:dyDescent="0.25">
      <c r="A4447" t="str">
        <f>"20190305135021576"</f>
        <v>20190305135021576</v>
      </c>
      <c r="B4447" t="str">
        <f>"1551765021564670"</f>
        <v>1551765021564670</v>
      </c>
      <c r="C4447" t="s">
        <v>40</v>
      </c>
      <c r="D4447">
        <v>4.5923569999999998</v>
      </c>
      <c r="E4447">
        <v>0.58060940000000005</v>
      </c>
      <c r="F4447" t="s">
        <v>94</v>
      </c>
      <c r="G4447">
        <v>-196.38329999999999</v>
      </c>
      <c r="H4447" s="1">
        <v>-1.2068830000000001E-5</v>
      </c>
      <c r="I4447">
        <v>150.17930000000001</v>
      </c>
      <c r="J4447">
        <v>-191.9716</v>
      </c>
      <c r="K4447">
        <v>1.109227</v>
      </c>
      <c r="L4447">
        <v>191.6498</v>
      </c>
      <c r="M4447">
        <v>1.6290410000000002E-2</v>
      </c>
      <c r="N4447">
        <v>-1.342205E-2</v>
      </c>
      <c r="O4447">
        <v>-0.99977740000000004</v>
      </c>
      <c r="P4447">
        <v>9.8452579999999998E-2</v>
      </c>
      <c r="Q4447">
        <v>-0.1212265</v>
      </c>
      <c r="R4447">
        <v>-0.98773069999999996</v>
      </c>
      <c r="S4447">
        <v>-0.324768099999999</v>
      </c>
      <c r="T4447">
        <v>-8.1673739999999995E-2</v>
      </c>
      <c r="U4447">
        <v>-3.0601039999999999</v>
      </c>
      <c r="V4447">
        <v>-8.2487959999999999E-2</v>
      </c>
      <c r="W4447">
        <v>-0.1078312</v>
      </c>
      <c r="X4447">
        <v>0.99074119999999999</v>
      </c>
      <c r="Y4447">
        <v>0.12168229999999999</v>
      </c>
      <c r="Z4447">
        <v>1.30703E-2</v>
      </c>
      <c r="AA4447">
        <v>0.992483</v>
      </c>
      <c r="AB4447">
        <v>19</v>
      </c>
      <c r="AC4447">
        <v>-4.41169999999999</v>
      </c>
      <c r="AD4447">
        <v>-1.10923906882999</v>
      </c>
      <c r="AE4447">
        <v>-41.470499999999902</v>
      </c>
      <c r="AF4447">
        <v>5.0831506725719402</v>
      </c>
      <c r="AG4447">
        <v>-1.10923906882999</v>
      </c>
      <c r="AH4447">
        <v>41.363859014734402</v>
      </c>
      <c r="AI4447">
        <v>91.524647525422793</v>
      </c>
      <c r="AJ4447">
        <v>82.994122219556502</v>
      </c>
      <c r="AK4447">
        <v>41.6897788991824</v>
      </c>
      <c r="AL4447">
        <v>96.190308926795197</v>
      </c>
      <c r="AM4447">
        <v>94.759402771244595</v>
      </c>
      <c r="AN4447">
        <v>0.99999997830791998</v>
      </c>
    </row>
    <row r="4448" spans="1:40" x14ac:dyDescent="0.25">
      <c r="A4448" t="str">
        <f>"20190305135021587"</f>
        <v>20190305135021587</v>
      </c>
      <c r="B4448" t="str">
        <f>"1551765021585167"</f>
        <v>1551765021585167</v>
      </c>
      <c r="C4448" t="s">
        <v>40</v>
      </c>
      <c r="D4448">
        <v>4.822838</v>
      </c>
      <c r="E4448">
        <v>0.60557349999999999</v>
      </c>
      <c r="F4448" t="s">
        <v>94</v>
      </c>
      <c r="G4448">
        <v>-196.38759999999999</v>
      </c>
      <c r="H4448" s="1">
        <v>-1.204748E-5</v>
      </c>
      <c r="I4448">
        <v>150.1277</v>
      </c>
      <c r="J4448">
        <v>-191.97069999999999</v>
      </c>
      <c r="K4448">
        <v>1.1092299999999999</v>
      </c>
      <c r="L4448">
        <v>191.55709999999999</v>
      </c>
      <c r="M4448">
        <v>1.577603E-2</v>
      </c>
      <c r="N4448">
        <v>-1.342047E-2</v>
      </c>
      <c r="O4448">
        <v>-0.9997857</v>
      </c>
      <c r="P4448">
        <v>9.7568230000000006E-2</v>
      </c>
      <c r="Q4448">
        <v>-0.120946</v>
      </c>
      <c r="R4448">
        <v>-0.98785279999999998</v>
      </c>
      <c r="S4448">
        <v>-0.3254089</v>
      </c>
      <c r="T4448">
        <v>-8.1737519999999994E-2</v>
      </c>
      <c r="U4448">
        <v>-3.0596770000000002</v>
      </c>
      <c r="V4448">
        <v>-8.2110150000000007E-2</v>
      </c>
      <c r="W4448">
        <v>-0.1075521</v>
      </c>
      <c r="X4448">
        <v>0.99080290000000004</v>
      </c>
      <c r="Y4448">
        <v>0.12139179999999999</v>
      </c>
      <c r="Z4448">
        <v>1.309709E-2</v>
      </c>
      <c r="AA4448">
        <v>0.99251820000000002</v>
      </c>
      <c r="AB4448">
        <v>19</v>
      </c>
      <c r="AC4448">
        <v>-4.4168999999999903</v>
      </c>
      <c r="AD4448">
        <v>-1.10924204748</v>
      </c>
      <c r="AE4448">
        <v>-41.429400000000001</v>
      </c>
      <c r="AF4448">
        <v>5.0664093047038996</v>
      </c>
      <c r="AG4448">
        <v>-1.10924204748</v>
      </c>
      <c r="AH4448">
        <v>41.3252642435205</v>
      </c>
      <c r="AI4448">
        <v>91.526128411840602</v>
      </c>
      <c r="AJ4448">
        <v>83.010510746604695</v>
      </c>
      <c r="AK4448">
        <v>41.649446406398702</v>
      </c>
      <c r="AL4448">
        <v>96.174224251603505</v>
      </c>
      <c r="AM4448">
        <v>94.737409602049198</v>
      </c>
      <c r="AN4448">
        <v>0.99999995879792003</v>
      </c>
    </row>
    <row r="4449" spans="1:40" x14ac:dyDescent="0.25">
      <c r="A4449" t="str">
        <f>"20190305135021598"</f>
        <v>20190305135021598</v>
      </c>
      <c r="B4449" t="str">
        <f>"1551765021594927"</f>
        <v>1551765021594927</v>
      </c>
      <c r="C4449" t="s">
        <v>40</v>
      </c>
      <c r="D4449">
        <v>4.7495269999999996</v>
      </c>
      <c r="E4449">
        <v>0.61326459999999905</v>
      </c>
      <c r="F4449" t="s">
        <v>94</v>
      </c>
      <c r="G4449">
        <v>-200.0839</v>
      </c>
      <c r="H4449" s="1">
        <v>-1.074885E-5</v>
      </c>
      <c r="I4449">
        <v>144.0479</v>
      </c>
      <c r="J4449">
        <v>-191.96979999999999</v>
      </c>
      <c r="K4449">
        <v>1.1092340000000001</v>
      </c>
      <c r="L4449">
        <v>191.4649</v>
      </c>
      <c r="M4449">
        <v>1.5264460000000001E-2</v>
      </c>
      <c r="N4449">
        <v>-1.3418930000000001E-2</v>
      </c>
      <c r="O4449">
        <v>-0.99979379999999995</v>
      </c>
      <c r="P4449">
        <v>9.6713629999999995E-2</v>
      </c>
      <c r="Q4449">
        <v>-0.120599</v>
      </c>
      <c r="R4449">
        <v>-0.9879791</v>
      </c>
      <c r="S4449">
        <v>-0.5259857</v>
      </c>
      <c r="T4449">
        <v>-7.1912290000000004E-2</v>
      </c>
      <c r="U4449">
        <v>-3.0800320000000001</v>
      </c>
      <c r="V4449">
        <v>-8.1758869999999997E-2</v>
      </c>
      <c r="W4449">
        <v>-0.1072063</v>
      </c>
      <c r="X4449">
        <v>0.99086949999999996</v>
      </c>
      <c r="Y4449">
        <v>0.183312</v>
      </c>
      <c r="Z4449">
        <v>9.5387340000000001E-3</v>
      </c>
      <c r="AA4449">
        <v>0.98300849999999995</v>
      </c>
      <c r="AB4449">
        <v>19</v>
      </c>
      <c r="AC4449">
        <v>-8.1141000000000005</v>
      </c>
      <c r="AD4449">
        <v>-1.1092447488499999</v>
      </c>
      <c r="AE4449">
        <v>-47.417000000000002</v>
      </c>
      <c r="AF4449">
        <v>8.8323182996747693</v>
      </c>
      <c r="AG4449">
        <v>-1.1092447488499999</v>
      </c>
      <c r="AH4449">
        <v>47.262477449131303</v>
      </c>
      <c r="AI4449">
        <v>91.321607198482198</v>
      </c>
      <c r="AJ4449">
        <v>79.414775010448594</v>
      </c>
      <c r="AK4449">
        <v>48.093471959188697</v>
      </c>
      <c r="AL4449">
        <v>96.154295679003397</v>
      </c>
      <c r="AM4449">
        <v>94.7169182529057</v>
      </c>
      <c r="AN4449">
        <v>1.0000000348068001</v>
      </c>
    </row>
    <row r="4450" spans="1:40" x14ac:dyDescent="0.25">
      <c r="A4450" t="str">
        <f>"20190305135021611"</f>
        <v>20190305135021611</v>
      </c>
      <c r="B4450" t="str">
        <f>"1551765021604686"</f>
        <v>1551765021604686</v>
      </c>
      <c r="C4450" t="s">
        <v>40</v>
      </c>
      <c r="D4450">
        <v>4.6834059999999997</v>
      </c>
      <c r="E4450">
        <v>0.61761369999999904</v>
      </c>
      <c r="F4450" t="s">
        <v>94</v>
      </c>
      <c r="G4450">
        <v>-200.04499999999999</v>
      </c>
      <c r="H4450" s="1">
        <v>-1.232938E-5</v>
      </c>
      <c r="I4450">
        <v>149.30260000000001</v>
      </c>
      <c r="J4450">
        <v>-191.96889999999999</v>
      </c>
      <c r="K4450">
        <v>1.109237</v>
      </c>
      <c r="L4450">
        <v>191.3604</v>
      </c>
      <c r="M4450">
        <v>1.4684289999999999E-2</v>
      </c>
      <c r="N4450">
        <v>-1.3417200000000001E-2</v>
      </c>
      <c r="O4450">
        <v>-0.99980239999999998</v>
      </c>
      <c r="P4450">
        <v>9.5768400000000004E-2</v>
      </c>
      <c r="Q4450">
        <v>-0.12006360000000001</v>
      </c>
      <c r="R4450">
        <v>-0.98813649999999997</v>
      </c>
      <c r="S4450">
        <v>-0.59074399999999905</v>
      </c>
      <c r="T4450">
        <v>-8.1147670000000005E-2</v>
      </c>
      <c r="U4450">
        <v>-3.0844119999999999</v>
      </c>
      <c r="V4450">
        <v>-8.1384639999999994E-2</v>
      </c>
      <c r="W4450">
        <v>-0.106672</v>
      </c>
      <c r="X4450">
        <v>0.99095789999999995</v>
      </c>
      <c r="Y4450">
        <v>0.2024426</v>
      </c>
      <c r="Z4450">
        <v>1.235546E-2</v>
      </c>
      <c r="AA4450">
        <v>0.97921619999999998</v>
      </c>
      <c r="AB4450">
        <v>19</v>
      </c>
      <c r="AC4450">
        <v>-8.0760999999999896</v>
      </c>
      <c r="AD4450">
        <v>-1.1092493293799901</v>
      </c>
      <c r="AE4450">
        <v>-42.057799999999901</v>
      </c>
      <c r="AF4450">
        <v>8.6870455616637692</v>
      </c>
      <c r="AG4450">
        <v>-1.1092493293799901</v>
      </c>
      <c r="AH4450">
        <v>41.9065481457</v>
      </c>
      <c r="AI4450">
        <v>91.484692376438701</v>
      </c>
      <c r="AJ4450">
        <v>78.288704012145601</v>
      </c>
      <c r="AK4450">
        <v>42.811843830335398</v>
      </c>
      <c r="AL4450">
        <v>96.123506397659298</v>
      </c>
      <c r="AM4450">
        <v>94.695007550884398</v>
      </c>
      <c r="AN4450">
        <v>0.99999996739216901</v>
      </c>
    </row>
    <row r="4451" spans="1:40" x14ac:dyDescent="0.25">
      <c r="A4451" t="str">
        <f>"20190305135021623"</f>
        <v>20190305135021623</v>
      </c>
      <c r="B4451" t="str">
        <f>"1551765021615424"</f>
        <v>1551765021615424</v>
      </c>
      <c r="C4451" t="s">
        <v>40</v>
      </c>
      <c r="D4451">
        <v>4.6565669999999999</v>
      </c>
      <c r="E4451">
        <v>0.61969160000000001</v>
      </c>
      <c r="F4451" t="s">
        <v>94</v>
      </c>
      <c r="G4451">
        <v>-200.5899</v>
      </c>
      <c r="H4451" s="1">
        <v>-1.200164E-5</v>
      </c>
      <c r="I4451">
        <v>149.01329999999999</v>
      </c>
      <c r="J4451">
        <v>-191.96799999999999</v>
      </c>
      <c r="K4451">
        <v>1.109243</v>
      </c>
      <c r="L4451">
        <v>191.25450000000001</v>
      </c>
      <c r="M4451">
        <v>1.409668E-2</v>
      </c>
      <c r="N4451">
        <v>-1.341559E-2</v>
      </c>
      <c r="O4451">
        <v>-0.99981089999999995</v>
      </c>
      <c r="P4451">
        <v>9.4644210000000006E-2</v>
      </c>
      <c r="Q4451">
        <v>-0.11983679999999999</v>
      </c>
      <c r="R4451">
        <v>-0.98827240000000005</v>
      </c>
      <c r="S4451">
        <v>-0.62847900000000001</v>
      </c>
      <c r="T4451">
        <v>-8.0864909999999998E-2</v>
      </c>
      <c r="U4451">
        <v>-3.0871279999999999</v>
      </c>
      <c r="V4451">
        <v>-8.0839869999999994E-2</v>
      </c>
      <c r="W4451">
        <v>-0.10644679999999999</v>
      </c>
      <c r="X4451">
        <v>0.99102679999999999</v>
      </c>
      <c r="Y4451">
        <v>0.21321319999999999</v>
      </c>
      <c r="Z4451">
        <v>1.218528E-2</v>
      </c>
      <c r="AA4451">
        <v>0.97692970000000001</v>
      </c>
      <c r="AB4451">
        <v>19</v>
      </c>
      <c r="AC4451">
        <v>-8.6219000000000001</v>
      </c>
      <c r="AD4451">
        <v>-1.10925500163999</v>
      </c>
      <c r="AE4451">
        <v>-42.241199999999999</v>
      </c>
      <c r="AF4451">
        <v>9.2104598555614494</v>
      </c>
      <c r="AG4451">
        <v>-1.10925500163999</v>
      </c>
      <c r="AH4451">
        <v>42.0875886043139</v>
      </c>
      <c r="AI4451">
        <v>91.474843639946002</v>
      </c>
      <c r="AJ4451">
        <v>77.655976133443701</v>
      </c>
      <c r="AK4451">
        <v>43.097890110022199</v>
      </c>
      <c r="AL4451">
        <v>96.110528920897394</v>
      </c>
      <c r="AM4451">
        <v>94.663396538765298</v>
      </c>
      <c r="AN4451">
        <v>1.00000006206504</v>
      </c>
    </row>
    <row r="4452" spans="1:40" x14ac:dyDescent="0.25">
      <c r="A4452" t="str">
        <f>"20190305135021639"</f>
        <v>20190305135021639</v>
      </c>
      <c r="B4452" t="str">
        <f>"1551765021634943"</f>
        <v>1551765021634943</v>
      </c>
      <c r="C4452" t="s">
        <v>40</v>
      </c>
      <c r="D4452">
        <v>4.6906439999999998</v>
      </c>
      <c r="E4452">
        <v>0.62108369999999902</v>
      </c>
      <c r="F4452" t="s">
        <v>94</v>
      </c>
      <c r="G4452">
        <v>-201.0224</v>
      </c>
      <c r="H4452" s="1">
        <v>-1.1548109999999999E-5</v>
      </c>
      <c r="I4452">
        <v>148.1335</v>
      </c>
      <c r="J4452">
        <v>-191.96709999999999</v>
      </c>
      <c r="K4452">
        <v>1.1092550000000001</v>
      </c>
      <c r="L4452">
        <v>191.13069999999999</v>
      </c>
      <c r="M4452">
        <v>1.3409330000000001E-2</v>
      </c>
      <c r="N4452">
        <v>-1.3413720000000001E-2</v>
      </c>
      <c r="O4452">
        <v>-0.99982020000000005</v>
      </c>
      <c r="P4452">
        <v>9.2489199999999994E-2</v>
      </c>
      <c r="Q4452">
        <v>-0.1184352</v>
      </c>
      <c r="R4452">
        <v>-0.988645</v>
      </c>
      <c r="S4452">
        <v>-0.64842219999999995</v>
      </c>
      <c r="T4452">
        <v>-7.9438209999999995E-2</v>
      </c>
      <c r="U4452">
        <v>-3.0880740000000002</v>
      </c>
      <c r="V4452">
        <v>-7.9358399999999996E-2</v>
      </c>
      <c r="W4452">
        <v>-0.1050454</v>
      </c>
      <c r="X4452">
        <v>0.99129599999999995</v>
      </c>
      <c r="Y4452">
        <v>0.2185308</v>
      </c>
      <c r="Z4452">
        <v>1.1697330000000001E-2</v>
      </c>
      <c r="AA4452">
        <v>0.97575990000000001</v>
      </c>
      <c r="AB4452">
        <v>19</v>
      </c>
      <c r="AC4452">
        <v>-9.0553000000000097</v>
      </c>
      <c r="AD4452">
        <v>-1.1092665481099999</v>
      </c>
      <c r="AE4452">
        <v>-42.9971999999999</v>
      </c>
      <c r="AF4452">
        <v>9.6249671777244004</v>
      </c>
      <c r="AG4452">
        <v>-1.1092665481099999</v>
      </c>
      <c r="AH4452">
        <v>42.844592176277096</v>
      </c>
      <c r="AI4452">
        <v>91.447034887101296</v>
      </c>
      <c r="AJ4452">
        <v>77.338794862040103</v>
      </c>
      <c r="AK4452">
        <v>43.926410554455003</v>
      </c>
      <c r="AL4452">
        <v>96.029782098443903</v>
      </c>
      <c r="AM4452">
        <v>94.577063886869894</v>
      </c>
      <c r="AN4452">
        <v>1.0000000256638499</v>
      </c>
    </row>
    <row r="4453" spans="1:40" x14ac:dyDescent="0.25">
      <c r="A4453" t="str">
        <f>"20190305135021652"</f>
        <v>20190305135021652</v>
      </c>
      <c r="B4453" t="str">
        <f>"1551765021644703"</f>
        <v>1551765021644703</v>
      </c>
      <c r="C4453" t="s">
        <v>40</v>
      </c>
      <c r="D4453">
        <v>4.6365080000000001</v>
      </c>
      <c r="E4453">
        <v>0.62150069999999902</v>
      </c>
      <c r="F4453" t="s">
        <v>94</v>
      </c>
      <c r="G4453">
        <v>-201.87129999999999</v>
      </c>
      <c r="H4453" s="1">
        <v>-1.0316099999999999E-5</v>
      </c>
      <c r="I4453">
        <v>145.2576</v>
      </c>
      <c r="J4453">
        <v>-191.96639999999999</v>
      </c>
      <c r="K4453">
        <v>1.109259</v>
      </c>
      <c r="L4453">
        <v>191.02379999999999</v>
      </c>
      <c r="M4453">
        <v>1.281563E-2</v>
      </c>
      <c r="N4453">
        <v>-1.341211E-2</v>
      </c>
      <c r="O4453">
        <v>-0.99982789999999999</v>
      </c>
      <c r="P4453">
        <v>9.1100799999999996E-2</v>
      </c>
      <c r="Q4453">
        <v>-0.1177054</v>
      </c>
      <c r="R4453">
        <v>-0.9888612</v>
      </c>
      <c r="S4453">
        <v>-0.66668700000000003</v>
      </c>
      <c r="T4453">
        <v>-7.4668410000000005E-2</v>
      </c>
      <c r="U4453">
        <v>-3.0878749999999999</v>
      </c>
      <c r="V4453">
        <v>-7.8553769999999995E-2</v>
      </c>
      <c r="W4453">
        <v>-0.1043164</v>
      </c>
      <c r="X4453">
        <v>0.99143700000000001</v>
      </c>
      <c r="Y4453">
        <v>0.22348689999999999</v>
      </c>
      <c r="Z4453">
        <v>1.0164980000000001E-2</v>
      </c>
      <c r="AA4453">
        <v>0.97465389999999996</v>
      </c>
      <c r="AB4453">
        <v>18</v>
      </c>
      <c r="AC4453">
        <v>-9.9048999999999907</v>
      </c>
      <c r="AD4453">
        <v>-1.1092693161</v>
      </c>
      <c r="AE4453">
        <v>-45.766199999999998</v>
      </c>
      <c r="AF4453">
        <v>10.484778011351199</v>
      </c>
      <c r="AG4453">
        <v>-1.1092693161</v>
      </c>
      <c r="AH4453">
        <v>45.6098964008035</v>
      </c>
      <c r="AI4453">
        <v>91.357804070791801</v>
      </c>
      <c r="AJ4453">
        <v>77.053795508615096</v>
      </c>
      <c r="AK4453">
        <v>46.8126446385481</v>
      </c>
      <c r="AL4453">
        <v>95.987783086322096</v>
      </c>
      <c r="AM4453">
        <v>94.5302086861833</v>
      </c>
      <c r="AN4453">
        <v>0.99999996552958503</v>
      </c>
    </row>
    <row r="4454" spans="1:40" x14ac:dyDescent="0.25">
      <c r="A4454" t="str">
        <f>"20190305135021663"</f>
        <v>20190305135021663</v>
      </c>
      <c r="B4454" t="str">
        <f>"1551765021654463"</f>
        <v>1551765021654463</v>
      </c>
      <c r="C4454" t="s">
        <v>40</v>
      </c>
      <c r="D4454">
        <v>4.6859960000000003</v>
      </c>
      <c r="E4454">
        <v>0.62155559999999999</v>
      </c>
      <c r="F4454" t="s">
        <v>94</v>
      </c>
      <c r="G4454">
        <v>-202.00149999999999</v>
      </c>
      <c r="H4454" s="1">
        <v>-1.021202E-5</v>
      </c>
      <c r="I4454">
        <v>145.1018</v>
      </c>
      <c r="J4454">
        <v>-191.9658</v>
      </c>
      <c r="K4454">
        <v>1.1092649999999999</v>
      </c>
      <c r="L4454">
        <v>190.92779999999999</v>
      </c>
      <c r="M4454">
        <v>1.228278E-2</v>
      </c>
      <c r="N4454">
        <v>-1.3410689999999999E-2</v>
      </c>
      <c r="O4454">
        <v>-0.99983480000000002</v>
      </c>
      <c r="P4454">
        <v>8.9482640000000002E-2</v>
      </c>
      <c r="Q4454">
        <v>-0.1173657</v>
      </c>
      <c r="R4454">
        <v>-0.98904939999999997</v>
      </c>
      <c r="S4454">
        <v>-0.67460629999999999</v>
      </c>
      <c r="T4454">
        <v>-7.4569700000000003E-2</v>
      </c>
      <c r="U4454">
        <v>-3.0870669999999998</v>
      </c>
      <c r="V4454">
        <v>-7.7460180000000003E-2</v>
      </c>
      <c r="W4454">
        <v>-0.103978</v>
      </c>
      <c r="X4454">
        <v>0.99155859999999996</v>
      </c>
      <c r="Y4454">
        <v>0.225407</v>
      </c>
      <c r="Z4454">
        <v>1.0130439999999999E-2</v>
      </c>
      <c r="AA4454">
        <v>0.97421210000000003</v>
      </c>
      <c r="AB4454">
        <v>18</v>
      </c>
      <c r="AC4454">
        <v>-10.035699999999901</v>
      </c>
      <c r="AD4454">
        <v>-1.10927521202</v>
      </c>
      <c r="AE4454">
        <v>-45.825999999999901</v>
      </c>
      <c r="AF4454">
        <v>10.5919417723086</v>
      </c>
      <c r="AG4454">
        <v>-1.10927521202</v>
      </c>
      <c r="AH4454">
        <v>45.673727671988203</v>
      </c>
      <c r="AI4454">
        <v>91.355312859116495</v>
      </c>
      <c r="AJ4454">
        <v>76.9436427399894</v>
      </c>
      <c r="AK4454">
        <v>46.898924523478399</v>
      </c>
      <c r="AL4454">
        <v>95.968288088102099</v>
      </c>
      <c r="AM4454">
        <v>94.466852620255494</v>
      </c>
      <c r="AN4454">
        <v>0.99999998060179596</v>
      </c>
    </row>
    <row r="4455" spans="1:40" x14ac:dyDescent="0.25">
      <c r="A4455" t="str">
        <f>"20190305135021673"</f>
        <v>20190305135021673</v>
      </c>
      <c r="B4455" t="str">
        <f>"1551765021665199"</f>
        <v>1551765021665199</v>
      </c>
      <c r="C4455" t="s">
        <v>40</v>
      </c>
      <c r="D4455">
        <v>4.6927880000000002</v>
      </c>
      <c r="E4455">
        <v>0.62152489999999905</v>
      </c>
      <c r="F4455" t="s">
        <v>94</v>
      </c>
      <c r="G4455">
        <v>-201.80500000000001</v>
      </c>
      <c r="H4455" s="1">
        <v>-1.0656219999999999E-5</v>
      </c>
      <c r="I4455">
        <v>146.30199999999999</v>
      </c>
      <c r="J4455">
        <v>-191.96530000000001</v>
      </c>
      <c r="K4455">
        <v>1.109262</v>
      </c>
      <c r="L4455">
        <v>190.84270000000001</v>
      </c>
      <c r="M4455">
        <v>1.1810350000000001E-2</v>
      </c>
      <c r="N4455">
        <v>-1.340943E-2</v>
      </c>
      <c r="O4455">
        <v>-0.99984070000000003</v>
      </c>
      <c r="P4455">
        <v>8.8054779999999999E-2</v>
      </c>
      <c r="Q4455">
        <v>-0.1170134</v>
      </c>
      <c r="R4455">
        <v>-0.98921959999999998</v>
      </c>
      <c r="S4455">
        <v>-0.68034359999999905</v>
      </c>
      <c r="T4455">
        <v>-7.6702240000000005E-2</v>
      </c>
      <c r="U4455">
        <v>-3.085709</v>
      </c>
      <c r="V4455">
        <v>-7.6497469999999998E-2</v>
      </c>
      <c r="W4455">
        <v>-0.10362680000000001</v>
      </c>
      <c r="X4455">
        <v>0.9916701</v>
      </c>
      <c r="Y4455">
        <v>0.22676099999999999</v>
      </c>
      <c r="Z4455">
        <v>1.080768E-2</v>
      </c>
      <c r="AA4455">
        <v>0.97389049999999999</v>
      </c>
      <c r="AB4455">
        <v>18</v>
      </c>
      <c r="AC4455">
        <v>-9.8396999999999899</v>
      </c>
      <c r="AD4455">
        <v>-1.1092726562199999</v>
      </c>
      <c r="AE4455">
        <v>-44.540700000000001</v>
      </c>
      <c r="AF4455">
        <v>10.358975860878401</v>
      </c>
      <c r="AG4455">
        <v>-1.1092726562199999</v>
      </c>
      <c r="AH4455">
        <v>44.395117765192801</v>
      </c>
      <c r="AI4455">
        <v>91.393888183688901</v>
      </c>
      <c r="AJ4455">
        <v>76.865836879447599</v>
      </c>
      <c r="AK4455">
        <v>45.601155118016898</v>
      </c>
      <c r="AL4455">
        <v>95.948056509836903</v>
      </c>
      <c r="AM4455">
        <v>94.411063026638004</v>
      </c>
      <c r="AN4455">
        <v>0.99999998191432504</v>
      </c>
    </row>
    <row r="4456" spans="1:40" x14ac:dyDescent="0.25">
      <c r="A4456" t="str">
        <f>"20190305135021684"</f>
        <v>20190305135021684</v>
      </c>
      <c r="B4456" t="str">
        <f>"1551765021674959"</f>
        <v>1551765021674959</v>
      </c>
      <c r="C4456" t="s">
        <v>40</v>
      </c>
      <c r="D4456">
        <v>4.6889010000000004</v>
      </c>
      <c r="E4456">
        <v>0.62140530000000005</v>
      </c>
      <c r="F4456" t="s">
        <v>94</v>
      </c>
      <c r="G4456">
        <v>-200.80789999999999</v>
      </c>
      <c r="H4456">
        <v>7.9984609999999998E-2</v>
      </c>
      <c r="I4456">
        <v>151.02449999999999</v>
      </c>
      <c r="J4456">
        <v>-191.9648</v>
      </c>
      <c r="K4456">
        <v>1.1092630000000001</v>
      </c>
      <c r="L4456">
        <v>190.74969999999999</v>
      </c>
      <c r="M4456">
        <v>1.1294129999999999E-2</v>
      </c>
      <c r="N4456">
        <v>-1.3408059999999999E-2</v>
      </c>
      <c r="O4456">
        <v>-0.99984640000000002</v>
      </c>
      <c r="P4456">
        <v>8.6304539999999999E-2</v>
      </c>
      <c r="Q4456">
        <v>-0.1168899</v>
      </c>
      <c r="R4456">
        <v>-0.98938800000000005</v>
      </c>
      <c r="S4456">
        <v>-0.68493649999999995</v>
      </c>
      <c r="T4456">
        <v>-7.972622E-2</v>
      </c>
      <c r="U4456">
        <v>-3.0842589999999999</v>
      </c>
      <c r="V4456">
        <v>-7.5256630000000005E-2</v>
      </c>
      <c r="W4456">
        <v>-0.1035049</v>
      </c>
      <c r="X4456">
        <v>0.99177780000000004</v>
      </c>
      <c r="Y4456">
        <v>0.22773280000000001</v>
      </c>
      <c r="Z4456">
        <v>1.176956E-2</v>
      </c>
      <c r="AA4456">
        <v>0.97365250000000003</v>
      </c>
      <c r="AB4456">
        <v>18</v>
      </c>
      <c r="AC4456">
        <v>-8.8430999999999909</v>
      </c>
      <c r="AD4456">
        <v>-1.02927839</v>
      </c>
      <c r="AE4456">
        <v>-39.725200000000001</v>
      </c>
      <c r="AF4456">
        <v>9.2852985964527299</v>
      </c>
      <c r="AG4456">
        <v>-1.02927839</v>
      </c>
      <c r="AH4456">
        <v>39.597454031579403</v>
      </c>
      <c r="AI4456">
        <v>91.449679688878106</v>
      </c>
      <c r="AJ4456">
        <v>76.803017897261697</v>
      </c>
      <c r="AK4456">
        <v>40.684573855608399</v>
      </c>
      <c r="AL4456">
        <v>95.9410341983953</v>
      </c>
      <c r="AM4456">
        <v>94.339318757908998</v>
      </c>
      <c r="AN4456">
        <v>1.0000000146279</v>
      </c>
    </row>
    <row r="4457" spans="1:40" x14ac:dyDescent="0.25">
      <c r="A4457" t="str">
        <f>"20190305135021696"</f>
        <v>20190305135021696</v>
      </c>
      <c r="B4457" t="str">
        <f>"1551765021684719"</f>
        <v>1551765021684719</v>
      </c>
      <c r="C4457" t="s">
        <v>40</v>
      </c>
      <c r="D4457">
        <v>4.7182879999999896</v>
      </c>
      <c r="E4457">
        <v>0.62138530000000003</v>
      </c>
      <c r="F4457" t="s">
        <v>94</v>
      </c>
      <c r="G4457">
        <v>-200.50380000000001</v>
      </c>
      <c r="H4457">
        <v>7.9984650000000004E-2</v>
      </c>
      <c r="I4457">
        <v>152.58019999999999</v>
      </c>
      <c r="J4457">
        <v>-191.96430000000001</v>
      </c>
      <c r="K4457">
        <v>1.1092649999999999</v>
      </c>
      <c r="L4457">
        <v>190.65940000000001</v>
      </c>
      <c r="M4457">
        <v>1.079256E-2</v>
      </c>
      <c r="N4457">
        <v>-1.340679E-2</v>
      </c>
      <c r="O4457">
        <v>-0.99985210000000002</v>
      </c>
      <c r="P4457">
        <v>8.4983500000000003E-2</v>
      </c>
      <c r="Q4457">
        <v>-0.1168207</v>
      </c>
      <c r="R4457">
        <v>-0.98951080000000002</v>
      </c>
      <c r="S4457">
        <v>-0.6895905</v>
      </c>
      <c r="T4457">
        <v>-8.3122249999999995E-2</v>
      </c>
      <c r="U4457">
        <v>-3.0824889999999998</v>
      </c>
      <c r="V4457">
        <v>-7.4430949999999996E-2</v>
      </c>
      <c r="W4457">
        <v>-0.10343720000000001</v>
      </c>
      <c r="X4457">
        <v>0.99184720000000004</v>
      </c>
      <c r="Y4457">
        <v>0.22875809999999999</v>
      </c>
      <c r="Z4457">
        <v>1.285157E-2</v>
      </c>
      <c r="AA4457">
        <v>0.9733984</v>
      </c>
      <c r="AB4457">
        <v>18</v>
      </c>
      <c r="AC4457">
        <v>-8.5395000000000003</v>
      </c>
      <c r="AD4457">
        <v>-1.0292803499999901</v>
      </c>
      <c r="AE4457">
        <v>-38.0792</v>
      </c>
      <c r="AF4457">
        <v>8.9437898342751598</v>
      </c>
      <c r="AG4457">
        <v>-1.0292803499999901</v>
      </c>
      <c r="AH4457">
        <v>37.958405249326297</v>
      </c>
      <c r="AI4457">
        <v>91.5118715450228</v>
      </c>
      <c r="AJ4457">
        <v>76.741745727201007</v>
      </c>
      <c r="AK4457">
        <v>39.011425553427998</v>
      </c>
      <c r="AL4457">
        <v>95.937134164138698</v>
      </c>
      <c r="AM4457">
        <v>94.2915895049657</v>
      </c>
      <c r="AN4457">
        <v>1.0000000444047901</v>
      </c>
    </row>
    <row r="4458" spans="1:40" x14ac:dyDescent="0.25">
      <c r="A4458" t="str">
        <f>"20190305135021706"</f>
        <v>20190305135021706</v>
      </c>
      <c r="B4458" t="str">
        <f>"1551765021694479"</f>
        <v>1551765021694479</v>
      </c>
      <c r="C4458" t="s">
        <v>40</v>
      </c>
      <c r="D4458">
        <v>4.4630369999999999</v>
      </c>
      <c r="E4458">
        <v>0.62138530000000003</v>
      </c>
      <c r="F4458" t="s">
        <v>94</v>
      </c>
      <c r="G4458">
        <v>-200.28</v>
      </c>
      <c r="H4458">
        <v>7.9984749999999993E-2</v>
      </c>
      <c r="I4458">
        <v>153.72450000000001</v>
      </c>
      <c r="J4458">
        <v>-191.964</v>
      </c>
      <c r="K4458">
        <v>1.10927</v>
      </c>
      <c r="L4458">
        <v>190.5711</v>
      </c>
      <c r="M4458">
        <v>1.030229E-2</v>
      </c>
      <c r="N4458">
        <v>-1.340559E-2</v>
      </c>
      <c r="O4458">
        <v>-0.99985740000000001</v>
      </c>
      <c r="P4458">
        <v>8.3599859999999998E-2</v>
      </c>
      <c r="Q4458">
        <v>-0.1170081</v>
      </c>
      <c r="R4458">
        <v>-0.98960630000000005</v>
      </c>
      <c r="S4458">
        <v>-0.69372559999999905</v>
      </c>
      <c r="T4458">
        <v>-8.5867170000000007E-2</v>
      </c>
      <c r="U4458">
        <v>-3.0812680000000001</v>
      </c>
      <c r="V4458">
        <v>-7.3532280000000005E-2</v>
      </c>
      <c r="W4458">
        <v>-0.10362639999999999</v>
      </c>
      <c r="X4458">
        <v>0.99189439999999995</v>
      </c>
      <c r="Y4458">
        <v>0.22960240000000001</v>
      </c>
      <c r="Z4458">
        <v>1.372459E-2</v>
      </c>
      <c r="AA4458">
        <v>0.97318769999999999</v>
      </c>
      <c r="AB4458">
        <v>18</v>
      </c>
      <c r="AC4458">
        <v>-8.3159999999999705</v>
      </c>
      <c r="AD4458">
        <v>-1.02928525</v>
      </c>
      <c r="AE4458">
        <v>-36.846600000000002</v>
      </c>
      <c r="AF4458">
        <v>8.6887454915471292</v>
      </c>
      <c r="AG4458">
        <v>-1.02928525</v>
      </c>
      <c r="AH4458">
        <v>36.731689188659701</v>
      </c>
      <c r="AI4458">
        <v>91.562022679120204</v>
      </c>
      <c r="AJ4458">
        <v>76.691517511263996</v>
      </c>
      <c r="AK4458">
        <v>37.759379192394697</v>
      </c>
      <c r="AL4458">
        <v>95.948033575215305</v>
      </c>
      <c r="AM4458">
        <v>94.239762473945603</v>
      </c>
      <c r="AN4458">
        <v>0.99999996386515799</v>
      </c>
    </row>
    <row r="4459" spans="1:40" x14ac:dyDescent="0.25">
      <c r="A4459" t="str">
        <f>"20190305135021717"</f>
        <v>20190305135021717</v>
      </c>
      <c r="B4459" t="str">
        <f>"1551765021714974"</f>
        <v>1551765021714974</v>
      </c>
      <c r="C4459" t="s">
        <v>40</v>
      </c>
      <c r="D4459">
        <v>4.7142710000000001</v>
      </c>
      <c r="E4459">
        <v>0.62110299999999996</v>
      </c>
      <c r="F4459" t="s">
        <v>94</v>
      </c>
      <c r="G4459">
        <v>-200.2841</v>
      </c>
      <c r="H4459">
        <v>7.9984769999999997E-2</v>
      </c>
      <c r="I4459">
        <v>153.84710000000001</v>
      </c>
      <c r="J4459">
        <v>-191.96360000000001</v>
      </c>
      <c r="K4459">
        <v>1.109272</v>
      </c>
      <c r="L4459">
        <v>190.48419999999999</v>
      </c>
      <c r="M4459">
        <v>9.8196659999999995E-3</v>
      </c>
      <c r="N4459">
        <v>-1.340448E-2</v>
      </c>
      <c r="O4459">
        <v>-0.99986189999999997</v>
      </c>
      <c r="P4459">
        <v>8.2260159999999999E-2</v>
      </c>
      <c r="Q4459">
        <v>-0.11708109999999999</v>
      </c>
      <c r="R4459">
        <v>-0.98970950000000002</v>
      </c>
      <c r="S4459">
        <v>-0.6978607</v>
      </c>
      <c r="T4459">
        <v>-8.6332320000000004E-2</v>
      </c>
      <c r="U4459">
        <v>-3.0802610000000001</v>
      </c>
      <c r="V4459">
        <v>-7.2669449999999997E-2</v>
      </c>
      <c r="W4459">
        <v>-0.103701</v>
      </c>
      <c r="X4459">
        <v>0.9919502</v>
      </c>
      <c r="Y4459">
        <v>0.2304428</v>
      </c>
      <c r="Z4459">
        <v>1.3875470000000001E-2</v>
      </c>
      <c r="AA4459">
        <v>0.97298689999999999</v>
      </c>
      <c r="AB4459">
        <v>18</v>
      </c>
      <c r="AC4459">
        <v>-8.3204999999999796</v>
      </c>
      <c r="AD4459">
        <v>-1.02928723</v>
      </c>
      <c r="AE4459">
        <v>-36.637099999999897</v>
      </c>
      <c r="AF4459">
        <v>8.6733852239207501</v>
      </c>
      <c r="AG4459">
        <v>-1.02928723</v>
      </c>
      <c r="AH4459">
        <v>36.526205991801604</v>
      </c>
      <c r="AI4459">
        <v>91.570488045531903</v>
      </c>
      <c r="AJ4459">
        <v>76.642140582776804</v>
      </c>
      <c r="AK4459">
        <v>37.555968468405801</v>
      </c>
      <c r="AL4459">
        <v>95.952330939762007</v>
      </c>
      <c r="AM4459">
        <v>94.189956344561907</v>
      </c>
      <c r="AN4459">
        <v>0.99999997282217001</v>
      </c>
    </row>
    <row r="4460" spans="1:40" x14ac:dyDescent="0.25">
      <c r="A4460" t="str">
        <f>"20190305135021727"</f>
        <v>20190305135021727</v>
      </c>
      <c r="B4460" t="str">
        <f>"1551765021724736"</f>
        <v>1551765021724736</v>
      </c>
      <c r="C4460" t="s">
        <v>40</v>
      </c>
      <c r="D4460">
        <v>4.6613899999999999</v>
      </c>
      <c r="E4460">
        <v>0.6208437</v>
      </c>
      <c r="F4460" t="s">
        <v>94</v>
      </c>
      <c r="G4460">
        <v>-199.95779999999999</v>
      </c>
      <c r="H4460">
        <v>3.8627069999999999E-2</v>
      </c>
      <c r="I4460">
        <v>155.34350000000001</v>
      </c>
      <c r="J4460">
        <v>-191.9633</v>
      </c>
      <c r="K4460">
        <v>1.1092740000000001</v>
      </c>
      <c r="L4460">
        <v>190.3947</v>
      </c>
      <c r="M4460">
        <v>9.3222960000000007E-3</v>
      </c>
      <c r="N4460">
        <v>-1.340337E-2</v>
      </c>
      <c r="O4460">
        <v>-0.9998667</v>
      </c>
      <c r="P4460">
        <v>8.0983540000000007E-2</v>
      </c>
      <c r="Q4460">
        <v>-0.11681320000000001</v>
      </c>
      <c r="R4460">
        <v>-0.98984640000000002</v>
      </c>
      <c r="S4460">
        <v>-0.70028690000000005</v>
      </c>
      <c r="T4460">
        <v>-9.3788389999999999E-2</v>
      </c>
      <c r="U4460">
        <v>-3.0783230000000001</v>
      </c>
      <c r="V4460">
        <v>-7.1883409999999995E-2</v>
      </c>
      <c r="W4460">
        <v>-0.1034342</v>
      </c>
      <c r="X4460">
        <v>0.99203529999999995</v>
      </c>
      <c r="Y4460">
        <v>0.23080829999999999</v>
      </c>
      <c r="Z4460">
        <v>1.6247560000000001E-2</v>
      </c>
      <c r="AA4460">
        <v>0.97286360000000005</v>
      </c>
      <c r="AB4460">
        <v>18</v>
      </c>
      <c r="AC4460">
        <v>-7.99449999999998</v>
      </c>
      <c r="AD4460">
        <v>-1.0706469300000001</v>
      </c>
      <c r="AE4460">
        <v>-35.051199999999902</v>
      </c>
      <c r="AF4460">
        <v>8.3135664741797797</v>
      </c>
      <c r="AG4460">
        <v>-1.0706469300000001</v>
      </c>
      <c r="AH4460">
        <v>34.944151738222601</v>
      </c>
      <c r="AI4460">
        <v>91.7073017547023</v>
      </c>
      <c r="AJ4460">
        <v>76.617541466187404</v>
      </c>
      <c r="AK4460">
        <v>35.935433948586898</v>
      </c>
      <c r="AL4460">
        <v>95.936961927813798</v>
      </c>
      <c r="AM4460">
        <v>94.144439546561202</v>
      </c>
      <c r="AN4460">
        <v>0.99999994740447695</v>
      </c>
    </row>
    <row r="4461" spans="1:40" x14ac:dyDescent="0.25">
      <c r="A4461" t="str">
        <f>"20190305135021739"</f>
        <v>20190305135021739</v>
      </c>
      <c r="B4461" t="str">
        <f>"1551765021734495"</f>
        <v>1551765021734495</v>
      </c>
      <c r="C4461" t="s">
        <v>40</v>
      </c>
      <c r="D4461">
        <v>4.7306689999999998</v>
      </c>
      <c r="E4461">
        <v>0.62072490000000002</v>
      </c>
      <c r="F4461" t="s">
        <v>94</v>
      </c>
      <c r="G4461">
        <v>-199.87530000000001</v>
      </c>
      <c r="H4461" s="1">
        <v>-1.40057399999999E-5</v>
      </c>
      <c r="I4461">
        <v>155.7542</v>
      </c>
      <c r="J4461">
        <v>-191.9631</v>
      </c>
      <c r="K4461">
        <v>1.1092759999999999</v>
      </c>
      <c r="L4461">
        <v>190.3023</v>
      </c>
      <c r="M4461">
        <v>8.8089429999999996E-3</v>
      </c>
      <c r="N4461">
        <v>-1.3402249999999999E-2</v>
      </c>
      <c r="O4461">
        <v>-0.99987139999999997</v>
      </c>
      <c r="P4461">
        <v>7.9973879999999997E-2</v>
      </c>
      <c r="Q4461">
        <v>-0.11675489999999999</v>
      </c>
      <c r="R4461">
        <v>-0.98993569999999997</v>
      </c>
      <c r="S4461">
        <v>-0.70271300000000003</v>
      </c>
      <c r="T4461">
        <v>-9.8523020000000003E-2</v>
      </c>
      <c r="U4461">
        <v>-3.0766450000000001</v>
      </c>
      <c r="V4461">
        <v>-7.1381459999999994E-2</v>
      </c>
      <c r="W4461">
        <v>-0.10337730000000001</v>
      </c>
      <c r="X4461">
        <v>0.99207749999999995</v>
      </c>
      <c r="Y4461">
        <v>0.23114470000000001</v>
      </c>
      <c r="Z4461">
        <v>1.7758650000000001E-2</v>
      </c>
      <c r="AA4461">
        <v>0.97275730000000005</v>
      </c>
      <c r="AB4461">
        <v>18</v>
      </c>
      <c r="AC4461">
        <v>-7.9122000000000101</v>
      </c>
      <c r="AD4461">
        <v>-1.1092900057399999</v>
      </c>
      <c r="AE4461">
        <v>-34.548099999999998</v>
      </c>
      <c r="AF4461">
        <v>8.2082119212349394</v>
      </c>
      <c r="AG4461">
        <v>-1.1092900057399999</v>
      </c>
      <c r="AH4461">
        <v>34.443314915231703</v>
      </c>
      <c r="AI4461">
        <v>91.794427859374395</v>
      </c>
      <c r="AJ4461">
        <v>76.595817787884201</v>
      </c>
      <c r="AK4461">
        <v>35.425234079827298</v>
      </c>
      <c r="AL4461">
        <v>95.933684077448703</v>
      </c>
      <c r="AM4461">
        <v>94.1154249366367</v>
      </c>
      <c r="AN4461">
        <v>0.99999997249663497</v>
      </c>
    </row>
    <row r="4462" spans="1:40" x14ac:dyDescent="0.25">
      <c r="A4462" t="str">
        <f>"20190305135021751"</f>
        <v>20190305135021751</v>
      </c>
      <c r="B4462" t="str">
        <f>"1551765021745231"</f>
        <v>1551765021745231</v>
      </c>
      <c r="C4462" t="s">
        <v>40</v>
      </c>
      <c r="D4462">
        <v>4.6722530000000004</v>
      </c>
      <c r="E4462">
        <v>0.62045569999999906</v>
      </c>
      <c r="F4462" t="s">
        <v>94</v>
      </c>
      <c r="G4462">
        <v>-199.6636</v>
      </c>
      <c r="H4462" s="1">
        <v>-1.424727E-5</v>
      </c>
      <c r="I4462">
        <v>156.7141</v>
      </c>
      <c r="J4462">
        <v>-191.96289999999999</v>
      </c>
      <c r="K4462">
        <v>1.109278</v>
      </c>
      <c r="L4462">
        <v>190.2115</v>
      </c>
      <c r="M4462">
        <v>8.3048889999999993E-3</v>
      </c>
      <c r="N4462">
        <v>-1.3401160000000001E-2</v>
      </c>
      <c r="O4462">
        <v>-0.99987570000000003</v>
      </c>
      <c r="P4462">
        <v>7.8510620000000003E-2</v>
      </c>
      <c r="Q4462">
        <v>-0.1165534</v>
      </c>
      <c r="R4462">
        <v>-0.99007630000000002</v>
      </c>
      <c r="S4462">
        <v>-0.70509339999999998</v>
      </c>
      <c r="T4462">
        <v>-0.1015718</v>
      </c>
      <c r="U4462">
        <v>-3.075485</v>
      </c>
      <c r="V4462">
        <v>-7.0416439999999997E-2</v>
      </c>
      <c r="W4462">
        <v>-0.103177</v>
      </c>
      <c r="X4462">
        <v>0.99216740000000003</v>
      </c>
      <c r="Y4462">
        <v>0.2314437</v>
      </c>
      <c r="Z4462">
        <v>1.8732459999999999E-2</v>
      </c>
      <c r="AA4462">
        <v>0.97266790000000003</v>
      </c>
      <c r="AB4462">
        <v>18</v>
      </c>
      <c r="AC4462">
        <v>-7.7007000000000101</v>
      </c>
      <c r="AD4462">
        <v>-1.10929224727</v>
      </c>
      <c r="AE4462">
        <v>-33.497399999999999</v>
      </c>
      <c r="AF4462">
        <v>7.9703495938875601</v>
      </c>
      <c r="AG4462">
        <v>-1.10929224727</v>
      </c>
      <c r="AH4462">
        <v>33.397498347472002</v>
      </c>
      <c r="AI4462">
        <v>91.850442203022396</v>
      </c>
      <c r="AJ4462">
        <v>76.577366296346497</v>
      </c>
      <c r="AK4462">
        <v>34.353309852298501</v>
      </c>
      <c r="AL4462">
        <v>95.922145520106397</v>
      </c>
      <c r="AM4462">
        <v>94.059608376436501</v>
      </c>
      <c r="AN4462">
        <v>1.0000000589870099</v>
      </c>
    </row>
    <row r="4463" spans="1:40" x14ac:dyDescent="0.25">
      <c r="A4463" t="str">
        <f>"20190305135021773"</f>
        <v>20190305135021773</v>
      </c>
      <c r="B4463" t="str">
        <f>"1551765021764754"</f>
        <v>1551765021764754</v>
      </c>
      <c r="C4463" t="s">
        <v>40</v>
      </c>
      <c r="D4463">
        <v>4.6925109999999997</v>
      </c>
      <c r="E4463">
        <v>0.62026239999999999</v>
      </c>
      <c r="F4463" t="s">
        <v>94</v>
      </c>
      <c r="G4463">
        <v>-199.58709999999999</v>
      </c>
      <c r="H4463" s="1">
        <v>-1.4342140000000001E-5</v>
      </c>
      <c r="I4463">
        <v>157.09119999999999</v>
      </c>
      <c r="J4463">
        <v>-191.96260000000001</v>
      </c>
      <c r="K4463">
        <v>1.1092789999999999</v>
      </c>
      <c r="L4463">
        <v>190.0232</v>
      </c>
      <c r="M4463">
        <v>7.2591139999999997E-3</v>
      </c>
      <c r="N4463">
        <v>-1.339888E-2</v>
      </c>
      <c r="O4463">
        <v>-0.99988379999999999</v>
      </c>
      <c r="P4463">
        <v>7.6362879999999994E-2</v>
      </c>
      <c r="Q4463">
        <v>-0.11650530000000001</v>
      </c>
      <c r="R4463">
        <v>-0.99024990000000002</v>
      </c>
      <c r="S4463">
        <v>-0.70764159999999998</v>
      </c>
      <c r="T4463">
        <v>-0.1029592</v>
      </c>
      <c r="U4463">
        <v>-3.0740660000000002</v>
      </c>
      <c r="V4463">
        <v>-6.9302569999999994E-2</v>
      </c>
      <c r="W4463">
        <v>-0.10313170000000001</v>
      </c>
      <c r="X4463">
        <v>0.99225050000000004</v>
      </c>
      <c r="Y4463">
        <v>0.2312873</v>
      </c>
      <c r="Z4463">
        <v>1.9187659999999999E-2</v>
      </c>
      <c r="AA4463">
        <v>0.97269620000000001</v>
      </c>
      <c r="AB4463">
        <v>18</v>
      </c>
      <c r="AC4463">
        <v>-7.6244999999999798</v>
      </c>
      <c r="AD4463">
        <v>-1.10929334214</v>
      </c>
      <c r="AE4463">
        <v>-32.932000000000002</v>
      </c>
      <c r="AF4463">
        <v>7.8549186524677301</v>
      </c>
      <c r="AG4463">
        <v>-1.10929334214</v>
      </c>
      <c r="AH4463">
        <v>32.840413876704901</v>
      </c>
      <c r="AI4463">
        <v>91.881584735904895</v>
      </c>
      <c r="AJ4463">
        <v>76.548453709892598</v>
      </c>
      <c r="AK4463">
        <v>33.784953194418797</v>
      </c>
      <c r="AL4463">
        <v>95.919536307491001</v>
      </c>
      <c r="AM4463">
        <v>93.995268291785607</v>
      </c>
      <c r="AN4463">
        <v>1.0000000242518701</v>
      </c>
    </row>
    <row r="4464" spans="1:40" x14ac:dyDescent="0.25">
      <c r="A4464" t="str">
        <f>"20190305135021784"</f>
        <v>20190305135021784</v>
      </c>
      <c r="B4464" t="str">
        <f>"1551765021774511"</f>
        <v>1551765021774511</v>
      </c>
      <c r="C4464" t="s">
        <v>40</v>
      </c>
      <c r="D4464">
        <v>4.699751</v>
      </c>
      <c r="E4464">
        <v>0.62017549999999999</v>
      </c>
      <c r="F4464" t="s">
        <v>94</v>
      </c>
      <c r="G4464">
        <v>-199.4393</v>
      </c>
      <c r="H4464" s="1">
        <v>-1.45233E-5</v>
      </c>
      <c r="I4464">
        <v>157.81120000000001</v>
      </c>
      <c r="J4464">
        <v>-191.96250000000001</v>
      </c>
      <c r="K4464">
        <v>1.109278</v>
      </c>
      <c r="L4464">
        <v>189.93039999999999</v>
      </c>
      <c r="M4464">
        <v>6.7433099999999998E-3</v>
      </c>
      <c r="N4464">
        <v>-1.339777E-2</v>
      </c>
      <c r="O4464">
        <v>-0.99988779999999999</v>
      </c>
      <c r="P4464">
        <v>7.5601650000000006E-2</v>
      </c>
      <c r="Q4464">
        <v>-0.1165848</v>
      </c>
      <c r="R4464">
        <v>-0.99029959999999995</v>
      </c>
      <c r="S4464">
        <v>-0.71305850000000004</v>
      </c>
      <c r="T4464">
        <v>-0.105794</v>
      </c>
      <c r="U4464">
        <v>-3.0720830000000001</v>
      </c>
      <c r="V4464">
        <v>-6.9052169999999996E-2</v>
      </c>
      <c r="W4464">
        <v>-0.1032126</v>
      </c>
      <c r="X4464">
        <v>0.99225949999999996</v>
      </c>
      <c r="Y4464">
        <v>0.2325448</v>
      </c>
      <c r="Z4464">
        <v>2.0095780000000001E-2</v>
      </c>
      <c r="AA4464">
        <v>0.97237799999999996</v>
      </c>
      <c r="AB4464">
        <v>18</v>
      </c>
      <c r="AC4464">
        <v>-7.4767999999999901</v>
      </c>
      <c r="AD4464">
        <v>-1.1092925232999999</v>
      </c>
      <c r="AE4464">
        <v>-32.1191999999999</v>
      </c>
      <c r="AF4464">
        <v>7.6845442102636801</v>
      </c>
      <c r="AG4464">
        <v>-1.1092925232999999</v>
      </c>
      <c r="AH4464">
        <v>32.031803539646901</v>
      </c>
      <c r="AI4464">
        <v>91.928732587704303</v>
      </c>
      <c r="AJ4464">
        <v>76.509490638829604</v>
      </c>
      <c r="AK4464">
        <v>32.959356602098303</v>
      </c>
      <c r="AL4464">
        <v>95.924196672567405</v>
      </c>
      <c r="AM4464">
        <v>93.980843326346303</v>
      </c>
      <c r="AN4464">
        <v>0.99999997916035899</v>
      </c>
    </row>
    <row r="4465" spans="1:40" x14ac:dyDescent="0.25">
      <c r="A4465" t="str">
        <f>"20190305135021795"</f>
        <v>20190305135021795</v>
      </c>
      <c r="B4465" t="str">
        <f>"1551765021785247"</f>
        <v>1551765021785247</v>
      </c>
      <c r="C4465" t="s">
        <v>40</v>
      </c>
      <c r="D4465">
        <v>4.7065340000000004</v>
      </c>
      <c r="E4465">
        <v>0.62000169999999999</v>
      </c>
      <c r="F4465" t="s">
        <v>94</v>
      </c>
      <c r="G4465">
        <v>-199.18199999999999</v>
      </c>
      <c r="H4465" s="1">
        <v>-1.480348E-5</v>
      </c>
      <c r="I4465">
        <v>158.9247</v>
      </c>
      <c r="J4465">
        <v>-191.96250000000001</v>
      </c>
      <c r="K4465">
        <v>1.109278</v>
      </c>
      <c r="L4465">
        <v>189.84280000000001</v>
      </c>
      <c r="M4465">
        <v>6.2570530000000003E-3</v>
      </c>
      <c r="N4465">
        <v>-1.3396730000000001E-2</v>
      </c>
      <c r="O4465">
        <v>-0.99989090000000003</v>
      </c>
      <c r="P4465">
        <v>7.5028929999999994E-2</v>
      </c>
      <c r="Q4465">
        <v>-0.1166624</v>
      </c>
      <c r="R4465">
        <v>-0.99033389999999999</v>
      </c>
      <c r="S4465">
        <v>-0.7150879</v>
      </c>
      <c r="T4465">
        <v>-0.10987420000000001</v>
      </c>
      <c r="U4465">
        <v>-3.071075</v>
      </c>
      <c r="V4465">
        <v>-6.8961229999999998E-2</v>
      </c>
      <c r="W4465">
        <v>-0.10329149999999999</v>
      </c>
      <c r="X4465">
        <v>0.99225770000000002</v>
      </c>
      <c r="Y4465">
        <v>0.23274349999999999</v>
      </c>
      <c r="Z4465">
        <v>2.1396330000000002E-2</v>
      </c>
      <c r="AA4465">
        <v>0.97230269999999996</v>
      </c>
      <c r="AB4465">
        <v>18</v>
      </c>
      <c r="AC4465">
        <v>-7.2195000000000098</v>
      </c>
      <c r="AD4465">
        <v>-1.10929280347999</v>
      </c>
      <c r="AE4465">
        <v>-30.918099999999999</v>
      </c>
      <c r="AF4465">
        <v>7.4037943201549101</v>
      </c>
      <c r="AG4465">
        <v>-1.10929280347999</v>
      </c>
      <c r="AH4465">
        <v>30.834677807518101</v>
      </c>
      <c r="AI4465">
        <v>92.003459376520993</v>
      </c>
      <c r="AJ4465">
        <v>76.498167332679699</v>
      </c>
      <c r="AK4465">
        <v>31.730490956688001</v>
      </c>
      <c r="AL4465">
        <v>95.928741095236006</v>
      </c>
      <c r="AM4465">
        <v>93.975624665521906</v>
      </c>
      <c r="AN4465">
        <v>1.0000000642123199</v>
      </c>
    </row>
    <row r="4466" spans="1:40" x14ac:dyDescent="0.25">
      <c r="A4466" t="str">
        <f>"20190305135021805"</f>
        <v>20190305135021805</v>
      </c>
      <c r="B4466" t="str">
        <f>"1551765021795006"</f>
        <v>1551765021795006</v>
      </c>
      <c r="C4466" t="s">
        <v>40</v>
      </c>
      <c r="D4466">
        <v>4.6968529999999999</v>
      </c>
      <c r="E4466">
        <v>0.61993619999999905</v>
      </c>
      <c r="F4466" t="s">
        <v>42</v>
      </c>
      <c r="G4466">
        <v>-198.98089999999999</v>
      </c>
      <c r="H4466" s="1">
        <v>-2.4577519999999999E-6</v>
      </c>
      <c r="I4466">
        <v>159.73580000000001</v>
      </c>
      <c r="J4466">
        <v>-191.96250000000001</v>
      </c>
      <c r="K4466">
        <v>1.1092839999999999</v>
      </c>
      <c r="L4466">
        <v>189.75470000000001</v>
      </c>
      <c r="M4466">
        <v>5.7685189999999997E-3</v>
      </c>
      <c r="N4466">
        <v>-1.339569E-2</v>
      </c>
      <c r="O4466">
        <v>-0.99989380000000005</v>
      </c>
      <c r="P4466">
        <v>7.4175379999999999E-2</v>
      </c>
      <c r="Q4466">
        <v>-0.11686299999999999</v>
      </c>
      <c r="R4466">
        <v>-0.99037450000000005</v>
      </c>
      <c r="S4466">
        <v>-0.7157135</v>
      </c>
      <c r="T4466">
        <v>-0.1131195</v>
      </c>
      <c r="U4466">
        <v>-3.0701749999999999</v>
      </c>
      <c r="V4466">
        <v>-6.8591189999999996E-2</v>
      </c>
      <c r="W4466">
        <v>-0.1034938</v>
      </c>
      <c r="X4466">
        <v>0.99226219999999998</v>
      </c>
      <c r="Y4466">
        <v>0.23251260000000001</v>
      </c>
      <c r="Z4466">
        <v>2.243552E-2</v>
      </c>
      <c r="AA4466">
        <v>0.97233460000000005</v>
      </c>
      <c r="AB4466">
        <v>18</v>
      </c>
      <c r="AC4466">
        <v>-7.0183999999999802</v>
      </c>
      <c r="AD4466">
        <v>-1.1092864577520001</v>
      </c>
      <c r="AE4466">
        <v>-30.018899999999999</v>
      </c>
      <c r="AF4466">
        <v>7.1821642346627499</v>
      </c>
      <c r="AG4466">
        <v>-1.1092864577520001</v>
      </c>
      <c r="AH4466">
        <v>29.939147468921298</v>
      </c>
      <c r="AI4466">
        <v>92.063426546439402</v>
      </c>
      <c r="AJ4466">
        <v>76.510113685285901</v>
      </c>
      <c r="AK4466">
        <v>30.808546715235298</v>
      </c>
      <c r="AL4466">
        <v>95.940394893723806</v>
      </c>
      <c r="AM4466">
        <v>93.954341790870501</v>
      </c>
      <c r="AN4466">
        <v>0.99999999576644705</v>
      </c>
    </row>
    <row r="4467" spans="1:40" x14ac:dyDescent="0.25">
      <c r="A4467" t="str">
        <f>"20190305135021820"</f>
        <v>20190305135021820</v>
      </c>
      <c r="B4467" t="str">
        <f>"1551765021814527"</f>
        <v>1551765021814527</v>
      </c>
      <c r="C4467" t="s">
        <v>40</v>
      </c>
      <c r="D4467">
        <v>4.7067699999999997</v>
      </c>
      <c r="E4467">
        <v>0.61978389999999906</v>
      </c>
      <c r="F4467" t="s">
        <v>42</v>
      </c>
      <c r="G4467">
        <v>-198.90530000000001</v>
      </c>
      <c r="H4467" s="1">
        <v>-2.5938099999999999E-6</v>
      </c>
      <c r="I4467">
        <v>160.06620000000001</v>
      </c>
      <c r="J4467">
        <v>-191.96260000000001</v>
      </c>
      <c r="K4467">
        <v>1.109286</v>
      </c>
      <c r="L4467">
        <v>189.64490000000001</v>
      </c>
      <c r="M4467">
        <v>5.1622359999999997E-3</v>
      </c>
      <c r="N4467">
        <v>-1.3394420000000001E-2</v>
      </c>
      <c r="O4467">
        <v>-0.99989709999999998</v>
      </c>
      <c r="P4467">
        <v>7.3492520000000006E-2</v>
      </c>
      <c r="Q4467">
        <v>-0.11698219999999999</v>
      </c>
      <c r="R4467">
        <v>-0.99041120000000005</v>
      </c>
      <c r="S4467">
        <v>-0.71778869999999995</v>
      </c>
      <c r="T4467">
        <v>-0.1146852</v>
      </c>
      <c r="U4467">
        <v>-3.0693820000000001</v>
      </c>
      <c r="V4467">
        <v>-6.8508470000000002E-2</v>
      </c>
      <c r="W4467">
        <v>-0.10361480000000001</v>
      </c>
      <c r="X4467">
        <v>0.99225529999999995</v>
      </c>
      <c r="Y4467">
        <v>0.23259840000000001</v>
      </c>
      <c r="Z4467">
        <v>2.293941E-2</v>
      </c>
      <c r="AA4467">
        <v>0.97230229999999995</v>
      </c>
      <c r="AB4467">
        <v>18</v>
      </c>
      <c r="AC4467">
        <v>-6.9427000000000003</v>
      </c>
      <c r="AD4467">
        <v>-1.1092885938099999</v>
      </c>
      <c r="AE4467">
        <v>-29.578700000000001</v>
      </c>
      <c r="AF4467">
        <v>7.0858677069510296</v>
      </c>
      <c r="AG4467">
        <v>-1.1092885938099999</v>
      </c>
      <c r="AH4467">
        <v>29.5031341671639</v>
      </c>
      <c r="AI4467">
        <v>92.093764500272997</v>
      </c>
      <c r="AJ4467">
        <v>76.494873712910703</v>
      </c>
      <c r="AK4467">
        <v>30.362393977261501</v>
      </c>
      <c r="AL4467">
        <v>95.947365078743005</v>
      </c>
      <c r="AM4467">
        <v>93.949615390726393</v>
      </c>
      <c r="AN4467">
        <v>1.0000000088094301</v>
      </c>
    </row>
    <row r="4468" spans="1:40" x14ac:dyDescent="0.25">
      <c r="A4468" t="str">
        <f>"20190305135021834"</f>
        <v>20190305135021834</v>
      </c>
      <c r="B4468" t="str">
        <f>"1551765021825263"</f>
        <v>1551765021825263</v>
      </c>
      <c r="C4468" t="s">
        <v>40</v>
      </c>
      <c r="D4468">
        <v>4.6797250000000004</v>
      </c>
      <c r="E4468">
        <v>0.5903427</v>
      </c>
      <c r="F4468" t="s">
        <v>42</v>
      </c>
      <c r="G4468">
        <v>-198.7884</v>
      </c>
      <c r="H4468" s="1">
        <v>-2.7705369999999999E-6</v>
      </c>
      <c r="I4468">
        <v>160.5059</v>
      </c>
      <c r="J4468">
        <v>-191.96270000000001</v>
      </c>
      <c r="K4468">
        <v>1.109289</v>
      </c>
      <c r="L4468">
        <v>189.52780000000001</v>
      </c>
      <c r="M4468">
        <v>4.5172759999999998E-3</v>
      </c>
      <c r="N4468">
        <v>-1.339306E-2</v>
      </c>
      <c r="O4468">
        <v>-0.99990049999999997</v>
      </c>
      <c r="P4468">
        <v>7.2895719999999997E-2</v>
      </c>
      <c r="Q4468">
        <v>-0.1172174</v>
      </c>
      <c r="R4468">
        <v>-0.99042770000000002</v>
      </c>
      <c r="S4468">
        <v>-0.71881099999999998</v>
      </c>
      <c r="T4468">
        <v>-0.1168168</v>
      </c>
      <c r="U4468">
        <v>-3.0685730000000002</v>
      </c>
      <c r="V4468">
        <v>-6.8550299999999995E-2</v>
      </c>
      <c r="W4468">
        <v>-0.10385220000000001</v>
      </c>
      <c r="X4468">
        <v>0.99222759999999999</v>
      </c>
      <c r="Y4468">
        <v>0.23233039999999999</v>
      </c>
      <c r="Z4468">
        <v>2.362593E-2</v>
      </c>
      <c r="AA4468">
        <v>0.97234989999999999</v>
      </c>
      <c r="AB4468">
        <v>18</v>
      </c>
      <c r="AC4468">
        <v>-6.8256999999999799</v>
      </c>
      <c r="AD4468">
        <v>-1.109291770537</v>
      </c>
      <c r="AE4468">
        <v>-29.021899999999999</v>
      </c>
      <c r="AF4468">
        <v>6.9471244702837103</v>
      </c>
      <c r="AG4468">
        <v>-1.109291770537</v>
      </c>
      <c r="AH4468">
        <v>28.9506885306408</v>
      </c>
      <c r="AI4468">
        <v>92.133789153124695</v>
      </c>
      <c r="AJ4468">
        <v>76.5062143361816</v>
      </c>
      <c r="AK4468">
        <v>29.793211190403401</v>
      </c>
      <c r="AL4468">
        <v>95.961040829046794</v>
      </c>
      <c r="AM4468">
        <v>93.952129292074204</v>
      </c>
      <c r="AN4468">
        <v>1.00000001663834</v>
      </c>
    </row>
    <row r="4469" spans="1:40" x14ac:dyDescent="0.25">
      <c r="A4469" t="str">
        <f>"20190305135021846"</f>
        <v>20190305135021846</v>
      </c>
      <c r="B4469" t="str">
        <f>"1551765021835024"</f>
        <v>1551765021835024</v>
      </c>
      <c r="C4469" t="s">
        <v>40</v>
      </c>
      <c r="D4469">
        <v>4.6377649999999999</v>
      </c>
      <c r="E4469">
        <v>0.58584340000000001</v>
      </c>
      <c r="F4469" t="s">
        <v>42</v>
      </c>
      <c r="G4469">
        <v>-194.4494</v>
      </c>
      <c r="H4469" s="1">
        <v>-3.156986E-6</v>
      </c>
      <c r="I4469">
        <v>174.1884</v>
      </c>
      <c r="J4469">
        <v>-191.96289999999999</v>
      </c>
      <c r="K4469">
        <v>1.1092869999999999</v>
      </c>
      <c r="L4469">
        <v>189.42420000000001</v>
      </c>
      <c r="M4469">
        <v>3.9509480000000001E-3</v>
      </c>
      <c r="N4469">
        <v>-1.339185E-2</v>
      </c>
      <c r="O4469">
        <v>-0.99990250000000003</v>
      </c>
      <c r="P4469">
        <v>7.2221629999999995E-2</v>
      </c>
      <c r="Q4469">
        <v>-0.1176678</v>
      </c>
      <c r="R4469">
        <v>-0.99042339999999995</v>
      </c>
      <c r="S4469">
        <v>-0.49270629999999999</v>
      </c>
      <c r="T4469">
        <v>-0.2197886</v>
      </c>
      <c r="U4469">
        <v>-3.0392459999999999</v>
      </c>
      <c r="V4469">
        <v>-6.8436789999999997E-2</v>
      </c>
      <c r="W4469">
        <v>-0.1043052</v>
      </c>
      <c r="X4469">
        <v>0.99218790000000001</v>
      </c>
      <c r="Y4469">
        <v>0.1635646</v>
      </c>
      <c r="Z4469">
        <v>5.7811769999999998E-2</v>
      </c>
      <c r="AA4469">
        <v>0.98483719999999997</v>
      </c>
      <c r="AB4469">
        <v>18</v>
      </c>
      <c r="AC4469">
        <v>-2.4864999999999999</v>
      </c>
      <c r="AD4469">
        <v>-1.1092901569859901</v>
      </c>
      <c r="AE4469">
        <v>-15.235799999999999</v>
      </c>
      <c r="AF4469">
        <v>2.5335996097593299</v>
      </c>
      <c r="AG4469">
        <v>-1.1092901569859901</v>
      </c>
      <c r="AH4469">
        <v>15.1476413557456</v>
      </c>
      <c r="AI4469">
        <v>94.131214603113406</v>
      </c>
      <c r="AJ4469">
        <v>80.504585452423498</v>
      </c>
      <c r="AK4469">
        <v>15.398074239243501</v>
      </c>
      <c r="AL4469">
        <v>95.987137652901893</v>
      </c>
      <c r="AM4469">
        <v>93.945763163946097</v>
      </c>
      <c r="AN4469">
        <v>0.999999998939477</v>
      </c>
    </row>
    <row r="4470" spans="1:40" x14ac:dyDescent="0.25">
      <c r="A4470" t="str">
        <f>"20190305135021862"</f>
        <v>20190305135021862</v>
      </c>
      <c r="B4470" t="str">
        <f>"1551765021854543"</f>
        <v>1551765021854543</v>
      </c>
      <c r="C4470" t="s">
        <v>40</v>
      </c>
      <c r="D4470">
        <v>4.6075589999999904</v>
      </c>
      <c r="E4470">
        <v>0.58537079999999997</v>
      </c>
      <c r="F4470" t="s">
        <v>42</v>
      </c>
      <c r="G4470">
        <v>-194.55629999999999</v>
      </c>
      <c r="H4470" s="1">
        <v>-2.3255949999999999E-6</v>
      </c>
      <c r="I4470">
        <v>172.1842</v>
      </c>
      <c r="J4470">
        <v>-191.9633</v>
      </c>
      <c r="K4470">
        <v>1.109294</v>
      </c>
      <c r="L4470">
        <v>189.2953</v>
      </c>
      <c r="M4470">
        <v>3.2544499999999999E-3</v>
      </c>
      <c r="N4470">
        <v>-1.3390300000000001E-2</v>
      </c>
      <c r="O4470">
        <v>-0.99990520000000005</v>
      </c>
      <c r="P4470">
        <v>7.1413589999999999E-2</v>
      </c>
      <c r="Q4470">
        <v>-0.1181359</v>
      </c>
      <c r="R4470">
        <v>-0.99042620000000003</v>
      </c>
      <c r="S4470">
        <v>-0.45716859999999998</v>
      </c>
      <c r="T4470">
        <v>-0.1955471</v>
      </c>
      <c r="U4470">
        <v>-3.0390929999999998</v>
      </c>
      <c r="V4470">
        <v>-6.8317929999999999E-2</v>
      </c>
      <c r="W4470">
        <v>-0.10477690000000001</v>
      </c>
      <c r="X4470">
        <v>0.99214639999999998</v>
      </c>
      <c r="Y4470">
        <v>0.1517086</v>
      </c>
      <c r="Z4470">
        <v>5.0111500000000003E-2</v>
      </c>
      <c r="AA4470">
        <v>0.98715419999999998</v>
      </c>
      <c r="AB4470">
        <v>18</v>
      </c>
      <c r="AC4470">
        <v>-2.59299999999998</v>
      </c>
      <c r="AD4470">
        <v>-1.1092963255949999</v>
      </c>
      <c r="AE4470">
        <v>-17.111099999999901</v>
      </c>
      <c r="AF4470">
        <v>2.63784100947449</v>
      </c>
      <c r="AG4470">
        <v>-1.1092963255949999</v>
      </c>
      <c r="AH4470">
        <v>17.032592126016699</v>
      </c>
      <c r="AI4470">
        <v>93.682511618135294</v>
      </c>
      <c r="AJ4470">
        <v>81.196529468615097</v>
      </c>
      <c r="AK4470">
        <v>17.271303889993099</v>
      </c>
      <c r="AL4470">
        <v>96.014312918797103</v>
      </c>
      <c r="AM4470">
        <v>93.939096052572495</v>
      </c>
      <c r="AN4470">
        <v>1.0000000086830201</v>
      </c>
    </row>
    <row r="4471" spans="1:40" x14ac:dyDescent="0.25">
      <c r="A4471" t="str">
        <f>"20190305135021874"</f>
        <v>20190305135021874</v>
      </c>
      <c r="B4471" t="str">
        <f>"1551765021865280"</f>
        <v>1551765021865280</v>
      </c>
      <c r="C4471" t="s">
        <v>40</v>
      </c>
      <c r="D4471">
        <v>4.5823999999999998</v>
      </c>
      <c r="E4471">
        <v>0.58443020000000001</v>
      </c>
      <c r="F4471" t="s">
        <v>42</v>
      </c>
      <c r="G4471">
        <v>-195.3254</v>
      </c>
      <c r="H4471" s="1">
        <v>-4.5550389999999996E-6</v>
      </c>
      <c r="I4471">
        <v>166.68780000000001</v>
      </c>
      <c r="J4471">
        <v>-191.96350000000001</v>
      </c>
      <c r="K4471">
        <v>1.1093010000000001</v>
      </c>
      <c r="L4471">
        <v>189.20140000000001</v>
      </c>
      <c r="M4471">
        <v>2.7524709999999998E-3</v>
      </c>
      <c r="N4471">
        <v>-1.3389130000000001E-2</v>
      </c>
      <c r="O4471">
        <v>-0.99990659999999998</v>
      </c>
      <c r="P4471">
        <v>7.0857160000000002E-2</v>
      </c>
      <c r="Q4471">
        <v>-0.118251</v>
      </c>
      <c r="R4471">
        <v>-0.99045240000000001</v>
      </c>
      <c r="S4471">
        <v>-0.45266719999999999</v>
      </c>
      <c r="T4471">
        <v>-0.14935399999999999</v>
      </c>
      <c r="U4471">
        <v>-3.0438390000000002</v>
      </c>
      <c r="V4471">
        <v>-6.8256529999999996E-2</v>
      </c>
      <c r="W4471">
        <v>-0.1048945</v>
      </c>
      <c r="X4471">
        <v>0.99213819999999997</v>
      </c>
      <c r="Y4471">
        <v>0.1496681</v>
      </c>
      <c r="Z4471">
        <v>3.5086279999999997E-2</v>
      </c>
      <c r="AA4471">
        <v>0.98811360000000004</v>
      </c>
      <c r="AB4471">
        <v>18</v>
      </c>
      <c r="AC4471">
        <v>-3.3618999999999901</v>
      </c>
      <c r="AD4471">
        <v>-1.1093055550390001</v>
      </c>
      <c r="AE4471">
        <v>-22.5136</v>
      </c>
      <c r="AF4471">
        <v>3.41574898406855</v>
      </c>
      <c r="AG4471">
        <v>-1.1093055550390001</v>
      </c>
      <c r="AH4471">
        <v>22.4509429041997</v>
      </c>
      <c r="AI4471">
        <v>92.796565880981206</v>
      </c>
      <c r="AJ4471">
        <v>81.349201344914903</v>
      </c>
      <c r="AK4471">
        <v>22.7363747599356</v>
      </c>
      <c r="AL4471">
        <v>96.021088235764793</v>
      </c>
      <c r="AM4471">
        <v>93.935599387734399</v>
      </c>
      <c r="AN4471">
        <v>1.0000000089585599</v>
      </c>
    </row>
    <row r="4472" spans="1:40" x14ac:dyDescent="0.25">
      <c r="A4472" t="str">
        <f>"20190305135021895"</f>
        <v>20190305135021895</v>
      </c>
      <c r="B4472" t="str">
        <f>"1551765021884799"</f>
        <v>1551765021884799</v>
      </c>
      <c r="C4472" t="s">
        <v>40</v>
      </c>
      <c r="D4472">
        <v>4.5559940000000001</v>
      </c>
      <c r="E4472">
        <v>0.5830225</v>
      </c>
      <c r="F4472" t="s">
        <v>42</v>
      </c>
      <c r="G4472">
        <v>-195.20419999999999</v>
      </c>
      <c r="H4472" s="1">
        <v>-4.7106670000000002E-6</v>
      </c>
      <c r="I4472">
        <v>167.149</v>
      </c>
      <c r="J4472">
        <v>-191.96420000000001</v>
      </c>
      <c r="K4472">
        <v>1.109321</v>
      </c>
      <c r="L4472">
        <v>189.0299</v>
      </c>
      <c r="M4472">
        <v>1.8582900000000001E-3</v>
      </c>
      <c r="N4472">
        <v>-1.33869E-2</v>
      </c>
      <c r="O4472">
        <v>-0.99990869999999998</v>
      </c>
      <c r="P4472">
        <v>6.9543880000000002E-2</v>
      </c>
      <c r="Q4472">
        <v>-0.1179627</v>
      </c>
      <c r="R4472">
        <v>-0.99058000000000002</v>
      </c>
      <c r="S4472">
        <v>-0.44712829999999898</v>
      </c>
      <c r="T4472">
        <v>-0.15305339999999901</v>
      </c>
      <c r="U4472">
        <v>-3.042618</v>
      </c>
      <c r="V4472">
        <v>-6.7823809999999998E-2</v>
      </c>
      <c r="W4472">
        <v>-0.1046111</v>
      </c>
      <c r="X4472">
        <v>0.99219780000000002</v>
      </c>
      <c r="Y4472">
        <v>0.14707419999999999</v>
      </c>
      <c r="Z4472">
        <v>3.6323759999999997E-2</v>
      </c>
      <c r="AA4472">
        <v>0.98845830000000001</v>
      </c>
      <c r="AB4472">
        <v>18</v>
      </c>
      <c r="AC4472">
        <v>-3.2399999999999798</v>
      </c>
      <c r="AD4472">
        <v>-1.109325710667</v>
      </c>
      <c r="AE4472">
        <v>-21.8809</v>
      </c>
      <c r="AF4472">
        <v>3.2724283723172398</v>
      </c>
      <c r="AG4472">
        <v>-1.109325710667</v>
      </c>
      <c r="AH4472">
        <v>21.819959780068299</v>
      </c>
      <c r="AI4472">
        <v>92.878274537025703</v>
      </c>
      <c r="AJ4472">
        <v>81.470686877363207</v>
      </c>
      <c r="AK4472">
        <v>22.091854512197301</v>
      </c>
      <c r="AL4472">
        <v>96.004760759381398</v>
      </c>
      <c r="AM4472">
        <v>93.910492691237593</v>
      </c>
      <c r="AN4472">
        <v>1.00000001288548</v>
      </c>
    </row>
    <row r="4473" spans="1:40" x14ac:dyDescent="0.25">
      <c r="A4473" t="str">
        <f>"20190305135021908"</f>
        <v>20190305135021908</v>
      </c>
      <c r="B4473" t="str">
        <f>"1551765021905295"</f>
        <v>1551765021905295</v>
      </c>
      <c r="C4473" t="s">
        <v>40</v>
      </c>
      <c r="D4473">
        <v>4.567609</v>
      </c>
      <c r="E4473">
        <v>0.58222089999999904</v>
      </c>
      <c r="F4473" t="s">
        <v>42</v>
      </c>
      <c r="G4473">
        <v>-195.14330000000001</v>
      </c>
      <c r="H4473" s="1">
        <v>-4.6671480000000002E-6</v>
      </c>
      <c r="I4473">
        <v>167.06389999999999</v>
      </c>
      <c r="J4473">
        <v>-191.96459999999999</v>
      </c>
      <c r="K4473">
        <v>1.1093440000000001</v>
      </c>
      <c r="L4473">
        <v>188.92449999999999</v>
      </c>
      <c r="M4473">
        <v>1.32356799999999E-3</v>
      </c>
      <c r="N4473">
        <v>-1.338554E-2</v>
      </c>
      <c r="O4473">
        <v>-0.99990979999999996</v>
      </c>
      <c r="P4473">
        <v>6.8796579999999996E-2</v>
      </c>
      <c r="Q4473">
        <v>-0.1178511</v>
      </c>
      <c r="R4473">
        <v>-0.99064580000000002</v>
      </c>
      <c r="S4473">
        <v>-0.44013980000000003</v>
      </c>
      <c r="T4473">
        <v>-0.153584</v>
      </c>
      <c r="U4473">
        <v>-3.041153</v>
      </c>
      <c r="V4473">
        <v>-6.7602679999999998E-2</v>
      </c>
      <c r="W4473">
        <v>-0.1045031</v>
      </c>
      <c r="X4473">
        <v>0.99222429999999995</v>
      </c>
      <c r="Y4473">
        <v>0.14438889999999999</v>
      </c>
      <c r="Z4473">
        <v>3.6539549999999997E-2</v>
      </c>
      <c r="AA4473">
        <v>0.98884609999999995</v>
      </c>
      <c r="AB4473">
        <v>18</v>
      </c>
      <c r="AC4473">
        <v>-3.1787000000000201</v>
      </c>
      <c r="AD4473">
        <v>-1.109348667148</v>
      </c>
      <c r="AE4473">
        <v>-21.860600000000002</v>
      </c>
      <c r="AF4473">
        <v>3.1995648566824801</v>
      </c>
      <c r="AG4473">
        <v>-1.109348667148</v>
      </c>
      <c r="AH4473">
        <v>21.801392646906098</v>
      </c>
      <c r="AI4473">
        <v>92.882123540179094</v>
      </c>
      <c r="AJ4473">
        <v>81.650892858113394</v>
      </c>
      <c r="AK4473">
        <v>22.062832798214998</v>
      </c>
      <c r="AL4473">
        <v>95.998538542959906</v>
      </c>
      <c r="AM4473">
        <v>93.897678663668898</v>
      </c>
      <c r="AN4473">
        <v>1.0000000408816401</v>
      </c>
    </row>
    <row r="4474" spans="1:40" x14ac:dyDescent="0.25">
      <c r="A4474" t="str">
        <f>"20190305135021918"</f>
        <v>20190305135021918</v>
      </c>
      <c r="B4474" t="str">
        <f>"1551765021915055"</f>
        <v>1551765021915055</v>
      </c>
      <c r="C4474" t="s">
        <v>40</v>
      </c>
      <c r="D4474">
        <v>4.5927389999999999</v>
      </c>
      <c r="E4474">
        <v>0.5819204</v>
      </c>
      <c r="F4474" t="s">
        <v>42</v>
      </c>
      <c r="G4474">
        <v>-195.0624</v>
      </c>
      <c r="H4474" s="1">
        <v>-4.7567289999999999E-6</v>
      </c>
      <c r="I4474">
        <v>167.33449999999999</v>
      </c>
      <c r="J4474">
        <v>-191.965</v>
      </c>
      <c r="K4474">
        <v>1.109362</v>
      </c>
      <c r="L4474">
        <v>188.84030000000001</v>
      </c>
      <c r="M4474">
        <v>9.1236609999999999E-4</v>
      </c>
      <c r="N4474">
        <v>-1.3384409999999999E-2</v>
      </c>
      <c r="O4474">
        <v>-0.99990999999999997</v>
      </c>
      <c r="P4474">
        <v>6.8023669999999994E-2</v>
      </c>
      <c r="Q4474">
        <v>-0.1175672</v>
      </c>
      <c r="R4474">
        <v>-0.99073230000000001</v>
      </c>
      <c r="S4474">
        <v>-0.43618770000000001</v>
      </c>
      <c r="T4474">
        <v>-0.1562047</v>
      </c>
      <c r="U4474">
        <v>-3.0400390000000002</v>
      </c>
      <c r="V4474">
        <v>-6.7233260000000003E-2</v>
      </c>
      <c r="W4474">
        <v>-0.10422240000000001</v>
      </c>
      <c r="X4474">
        <v>0.99227889999999996</v>
      </c>
      <c r="Y4474">
        <v>0.14276910000000001</v>
      </c>
      <c r="Z4474">
        <v>3.7420179999999997E-2</v>
      </c>
      <c r="AA4474">
        <v>0.98904840000000005</v>
      </c>
      <c r="AB4474">
        <v>18</v>
      </c>
      <c r="AC4474">
        <v>-3.0973999999999902</v>
      </c>
      <c r="AD4474">
        <v>-1.109366756729</v>
      </c>
      <c r="AE4474">
        <v>-21.505800000000001</v>
      </c>
      <c r="AF4474">
        <v>3.10891703163266</v>
      </c>
      <c r="AG4474">
        <v>-1.109366756729</v>
      </c>
      <c r="AH4474">
        <v>21.447054753348301</v>
      </c>
      <c r="AI4474">
        <v>92.930458736556403</v>
      </c>
      <c r="AJ4474">
        <v>81.7519830808573</v>
      </c>
      <c r="AK4474">
        <v>21.6995902565839</v>
      </c>
      <c r="AL4474">
        <v>95.982367451492195</v>
      </c>
      <c r="AM4474">
        <v>93.876231965888195</v>
      </c>
      <c r="AN4474">
        <v>1.0000000176485899</v>
      </c>
    </row>
    <row r="4475" spans="1:40" x14ac:dyDescent="0.25">
      <c r="A4475" t="str">
        <f>"20190305135021930"</f>
        <v>20190305135021930</v>
      </c>
      <c r="B4475" t="str">
        <f>"1551765021924817"</f>
        <v>1551765021924817</v>
      </c>
      <c r="C4475" t="s">
        <v>40</v>
      </c>
      <c r="D4475">
        <v>4.5423280000000004</v>
      </c>
      <c r="E4475">
        <v>0.58150729999999995</v>
      </c>
      <c r="F4475" t="s">
        <v>42</v>
      </c>
      <c r="G4475">
        <v>-195.0549</v>
      </c>
      <c r="H4475" s="1">
        <v>-4.7449390000000001E-6</v>
      </c>
      <c r="I4475">
        <v>167.3073</v>
      </c>
      <c r="J4475">
        <v>-191.96539999999999</v>
      </c>
      <c r="K4475">
        <v>1.10938</v>
      </c>
      <c r="L4475">
        <v>188.7475</v>
      </c>
      <c r="M4475">
        <v>4.6261920000000001E-4</v>
      </c>
      <c r="N4475">
        <v>-1.338317E-2</v>
      </c>
      <c r="O4475">
        <v>-0.99991039999999998</v>
      </c>
      <c r="P4475">
        <v>6.7105540000000005E-2</v>
      </c>
      <c r="Q4475">
        <v>-0.11732089999999901</v>
      </c>
      <c r="R4475">
        <v>-0.9908245</v>
      </c>
      <c r="S4475">
        <v>-0.43614199999999997</v>
      </c>
      <c r="T4475">
        <v>-0.15658710000000001</v>
      </c>
      <c r="U4475">
        <v>-3.0393979999999998</v>
      </c>
      <c r="V4475">
        <v>-6.6756590000000005E-2</v>
      </c>
      <c r="W4475">
        <v>-0.1039795</v>
      </c>
      <c r="X4475">
        <v>0.99233660000000001</v>
      </c>
      <c r="Y4475">
        <v>0.14233789999999999</v>
      </c>
      <c r="Z4475">
        <v>3.7558220000000003E-2</v>
      </c>
      <c r="AA4475">
        <v>0.98910529999999997</v>
      </c>
      <c r="AB4475">
        <v>18</v>
      </c>
      <c r="AC4475">
        <v>-3.0895000000000099</v>
      </c>
      <c r="AD4475">
        <v>-1.109384744939</v>
      </c>
      <c r="AE4475">
        <v>-21.440200000000001</v>
      </c>
      <c r="AF4475">
        <v>3.0913110152923702</v>
      </c>
      <c r="AG4475">
        <v>-1.109384744939</v>
      </c>
      <c r="AH4475">
        <v>21.382683741384799</v>
      </c>
      <c r="AI4475">
        <v>92.939473808638894</v>
      </c>
      <c r="AJ4475">
        <v>81.773700983108895</v>
      </c>
      <c r="AK4475">
        <v>21.633448691543698</v>
      </c>
      <c r="AL4475">
        <v>95.968374065216096</v>
      </c>
      <c r="AM4475">
        <v>93.848610049671194</v>
      </c>
      <c r="AN4475">
        <v>1.00000005321411</v>
      </c>
    </row>
    <row r="4476" spans="1:40" x14ac:dyDescent="0.25">
      <c r="A4476" t="str">
        <f>"20190305135021941"</f>
        <v>20190305135021941</v>
      </c>
      <c r="B4476" t="str">
        <f>"1551765021934575"</f>
        <v>1551765021934575</v>
      </c>
      <c r="C4476" t="s">
        <v>40</v>
      </c>
      <c r="D4476">
        <v>4.5620479999999999</v>
      </c>
      <c r="E4476">
        <v>0.58135059999999905</v>
      </c>
      <c r="F4476" t="s">
        <v>42</v>
      </c>
      <c r="G4476">
        <v>-195.053</v>
      </c>
      <c r="H4476" s="1">
        <v>-4.7083289999999996E-6</v>
      </c>
      <c r="I4476">
        <v>167.21279999999999</v>
      </c>
      <c r="J4476">
        <v>-191.9659</v>
      </c>
      <c r="K4476">
        <v>1.1094029999999999</v>
      </c>
      <c r="L4476">
        <v>188.65199999999999</v>
      </c>
      <c r="M4476" s="1">
        <v>3.7713029999999998E-5</v>
      </c>
      <c r="N4476">
        <v>-1.3381799999999999E-2</v>
      </c>
      <c r="O4476">
        <v>-0.99991059999999998</v>
      </c>
      <c r="P4476">
        <v>6.6209019999999993E-2</v>
      </c>
      <c r="Q4476">
        <v>-0.1171039</v>
      </c>
      <c r="R4476">
        <v>-0.99091050000000003</v>
      </c>
      <c r="S4476">
        <v>-0.43568420000000002</v>
      </c>
      <c r="T4476">
        <v>-0.1565444</v>
      </c>
      <c r="U4476">
        <v>-3.0387420000000001</v>
      </c>
      <c r="V4476">
        <v>-6.6274470000000002E-2</v>
      </c>
      <c r="W4476">
        <v>-0.1037677</v>
      </c>
      <c r="X4476">
        <v>0.99239100000000002</v>
      </c>
      <c r="Y4476">
        <v>0.1418016</v>
      </c>
      <c r="Z4476">
        <v>3.7559530000000001E-2</v>
      </c>
      <c r="AA4476">
        <v>0.98918229999999996</v>
      </c>
      <c r="AB4476">
        <v>18</v>
      </c>
      <c r="AC4476">
        <v>-3.0870999999999902</v>
      </c>
      <c r="AD4476">
        <v>-1.1094077083289999</v>
      </c>
      <c r="AE4476">
        <v>-21.4392</v>
      </c>
      <c r="AF4476">
        <v>3.0798292049553102</v>
      </c>
      <c r="AG4476">
        <v>-1.1094077083289999</v>
      </c>
      <c r="AH4476">
        <v>21.3829889558079</v>
      </c>
      <c r="AI4476">
        <v>92.939716253086701</v>
      </c>
      <c r="AJ4476">
        <v>81.803954788532707</v>
      </c>
      <c r="AK4476">
        <v>21.6321138606286</v>
      </c>
      <c r="AL4476">
        <v>95.956173321122293</v>
      </c>
      <c r="AM4476">
        <v>93.820688963324301</v>
      </c>
      <c r="AN4476">
        <v>0.99999996890903498</v>
      </c>
    </row>
    <row r="4477" spans="1:40" x14ac:dyDescent="0.25">
      <c r="A4477" t="str">
        <f>"20190305135021952"</f>
        <v>20190305135021952</v>
      </c>
      <c r="B4477" t="str">
        <f>"1551765021944335"</f>
        <v>1551765021944335</v>
      </c>
      <c r="C4477" t="s">
        <v>40</v>
      </c>
      <c r="D4477">
        <v>4.5684969999999998</v>
      </c>
      <c r="E4477">
        <v>0.5811288</v>
      </c>
      <c r="F4477" t="s">
        <v>42</v>
      </c>
      <c r="G4477">
        <v>-195.06229999999999</v>
      </c>
      <c r="H4477" s="1">
        <v>-4.6811659999999997E-6</v>
      </c>
      <c r="I4477">
        <v>167.1378</v>
      </c>
      <c r="J4477">
        <v>-191.96629999999999</v>
      </c>
      <c r="K4477">
        <v>1.109426</v>
      </c>
      <c r="L4477">
        <v>188.5694</v>
      </c>
      <c r="M4477">
        <v>-3.2191510000000002E-4</v>
      </c>
      <c r="N4477">
        <v>-1.3380599999999999E-2</v>
      </c>
      <c r="O4477">
        <v>-0.99991050000000004</v>
      </c>
      <c r="P4477">
        <v>6.5314499999999998E-2</v>
      </c>
      <c r="Q4477">
        <v>-0.1167541</v>
      </c>
      <c r="R4477">
        <v>-0.99101099999999998</v>
      </c>
      <c r="S4477">
        <v>-0.43727109999999902</v>
      </c>
      <c r="T4477">
        <v>-0.156671</v>
      </c>
      <c r="U4477">
        <v>-3.0382539999999998</v>
      </c>
      <c r="V4477">
        <v>-6.5730280000000002E-2</v>
      </c>
      <c r="W4477">
        <v>-0.10342229999999999</v>
      </c>
      <c r="X4477">
        <v>0.99246330000000005</v>
      </c>
      <c r="Y4477">
        <v>0.14197370000000001</v>
      </c>
      <c r="Z4477">
        <v>3.7607740000000001E-2</v>
      </c>
      <c r="AA4477">
        <v>0.98915580000000003</v>
      </c>
      <c r="AB4477">
        <v>18</v>
      </c>
      <c r="AC4477">
        <v>-3.0960000000000001</v>
      </c>
      <c r="AD4477">
        <v>-1.109430681166</v>
      </c>
      <c r="AE4477">
        <v>-21.4316</v>
      </c>
      <c r="AF4477">
        <v>3.08101255750165</v>
      </c>
      <c r="AG4477">
        <v>-1.109430681166</v>
      </c>
      <c r="AH4477">
        <v>21.376483390722701</v>
      </c>
      <c r="AI4477">
        <v>92.940629020729205</v>
      </c>
      <c r="AJ4477">
        <v>81.7983871291204</v>
      </c>
      <c r="AK4477">
        <v>21.625852976695199</v>
      </c>
      <c r="AL4477">
        <v>95.936275988131896</v>
      </c>
      <c r="AM4477">
        <v>93.789133222461601</v>
      </c>
      <c r="AN4477">
        <v>1.0000000218465199</v>
      </c>
    </row>
    <row r="4478" spans="1:40" x14ac:dyDescent="0.25">
      <c r="A4478" t="str">
        <f>"20190305135021964"</f>
        <v>20190305135021964</v>
      </c>
      <c r="B4478" t="str">
        <f>"1551765021955071"</f>
        <v>1551765021955071</v>
      </c>
      <c r="C4478" t="s">
        <v>40</v>
      </c>
      <c r="D4478">
        <v>4.5542429999999996</v>
      </c>
      <c r="E4478">
        <v>0.58120819999999995</v>
      </c>
      <c r="F4478" t="s">
        <v>42</v>
      </c>
      <c r="G4478">
        <v>-195.05770000000001</v>
      </c>
      <c r="H4478" s="1">
        <v>-4.6862439999999996E-6</v>
      </c>
      <c r="I4478">
        <v>167.15309999999999</v>
      </c>
      <c r="J4478">
        <v>-191.96690000000001</v>
      </c>
      <c r="K4478">
        <v>1.1094630000000001</v>
      </c>
      <c r="L4478">
        <v>188.46360000000001</v>
      </c>
      <c r="M4478">
        <v>-7.4202419999999897E-4</v>
      </c>
      <c r="N4478">
        <v>-1.337901E-2</v>
      </c>
      <c r="O4478">
        <v>-0.99991050000000004</v>
      </c>
      <c r="P4478">
        <v>6.414309E-2</v>
      </c>
      <c r="Q4478">
        <v>-0.1164255</v>
      </c>
      <c r="R4478">
        <v>-0.99112639999999996</v>
      </c>
      <c r="S4478">
        <v>-0.4384613</v>
      </c>
      <c r="T4478">
        <v>-0.157355299999999</v>
      </c>
      <c r="U4478">
        <v>-3.0375670000000001</v>
      </c>
      <c r="V4478">
        <v>-6.4966259999999998E-2</v>
      </c>
      <c r="W4478">
        <v>-0.10310030000000001</v>
      </c>
      <c r="X4478">
        <v>0.99254710000000002</v>
      </c>
      <c r="Y4478">
        <v>0.1419676</v>
      </c>
      <c r="Z4478">
        <v>3.7841939999999998E-2</v>
      </c>
      <c r="AA4478">
        <v>0.98914769999999996</v>
      </c>
      <c r="AB4478">
        <v>18</v>
      </c>
      <c r="AC4478">
        <v>-3.0908000000000002</v>
      </c>
      <c r="AD4478">
        <v>-1.1094676862439901</v>
      </c>
      <c r="AE4478">
        <v>-21.310500000000001</v>
      </c>
      <c r="AF4478">
        <v>3.0668435495300401</v>
      </c>
      <c r="AG4478">
        <v>-1.1094676862439901</v>
      </c>
      <c r="AH4478">
        <v>21.256360382076</v>
      </c>
      <c r="AI4478">
        <v>92.957254332525395</v>
      </c>
      <c r="AJ4478">
        <v>81.7900840799295</v>
      </c>
      <c r="AK4478">
        <v>21.505099502136801</v>
      </c>
      <c r="AL4478">
        <v>95.917727625805099</v>
      </c>
      <c r="AM4478">
        <v>93.744900774661801</v>
      </c>
      <c r="AN4478">
        <v>1.0000000162584399</v>
      </c>
    </row>
    <row r="4479" spans="1:40" x14ac:dyDescent="0.25">
      <c r="A4479" t="str">
        <f>"20190305135021976"</f>
        <v>20190305135021976</v>
      </c>
      <c r="B4479" t="str">
        <f>"1551765021964832"</f>
        <v>1551765021964832</v>
      </c>
      <c r="C4479" t="s">
        <v>40</v>
      </c>
      <c r="D4479">
        <v>4.5488839999999904</v>
      </c>
      <c r="E4479">
        <v>0.58114529999999998</v>
      </c>
      <c r="F4479" t="s">
        <v>42</v>
      </c>
      <c r="G4479">
        <v>-195.1035</v>
      </c>
      <c r="H4479" s="1">
        <v>-4.6153620000000001E-6</v>
      </c>
      <c r="I4479">
        <v>166.94739999999999</v>
      </c>
      <c r="J4479">
        <v>-191.9674</v>
      </c>
      <c r="K4479">
        <v>1.109507</v>
      </c>
      <c r="L4479">
        <v>188.3741</v>
      </c>
      <c r="M4479">
        <v>-1.065744E-3</v>
      </c>
      <c r="N4479">
        <v>-1.337762E-2</v>
      </c>
      <c r="O4479">
        <v>-0.99991019999999997</v>
      </c>
      <c r="P4479">
        <v>6.3045539999999997E-2</v>
      </c>
      <c r="Q4479">
        <v>-0.11570859999999999</v>
      </c>
      <c r="R4479">
        <v>-0.99128090000000002</v>
      </c>
      <c r="S4479">
        <v>-0.44273380000000001</v>
      </c>
      <c r="T4479">
        <v>-0.15660560000000001</v>
      </c>
      <c r="U4479">
        <v>-3.0370940000000002</v>
      </c>
      <c r="V4479">
        <v>-6.4180130000000002E-2</v>
      </c>
      <c r="W4479">
        <v>-0.1023891</v>
      </c>
      <c r="X4479">
        <v>0.99267179999999999</v>
      </c>
      <c r="Y4479">
        <v>0.14303270000000001</v>
      </c>
      <c r="Z4479">
        <v>3.7598960000000001E-2</v>
      </c>
      <c r="AA4479">
        <v>0.98900350000000004</v>
      </c>
      <c r="AB4479">
        <v>18</v>
      </c>
      <c r="AC4479">
        <v>-3.1360999999999901</v>
      </c>
      <c r="AD4479">
        <v>-1.1095116153619999</v>
      </c>
      <c r="AE4479">
        <v>-21.4267</v>
      </c>
      <c r="AF4479">
        <v>3.1051095456118398</v>
      </c>
      <c r="AG4479">
        <v>-1.1095116153619999</v>
      </c>
      <c r="AH4479">
        <v>21.373921483927699</v>
      </c>
      <c r="AI4479">
        <v>92.940718733820006</v>
      </c>
      <c r="AJ4479">
        <v>81.734147094205696</v>
      </c>
      <c r="AK4479">
        <v>21.6267713937143</v>
      </c>
      <c r="AL4479">
        <v>95.876762401147602</v>
      </c>
      <c r="AM4479">
        <v>93.699248427081301</v>
      </c>
      <c r="AN4479">
        <v>0.99999995970043198</v>
      </c>
    </row>
    <row r="4480" spans="1:40" x14ac:dyDescent="0.25">
      <c r="A4480" t="str">
        <f>"20190305135021987"</f>
        <v>20190305135021987</v>
      </c>
      <c r="B4480" t="str">
        <f>"1551765021974591"</f>
        <v>1551765021974591</v>
      </c>
      <c r="C4480" t="s">
        <v>40</v>
      </c>
      <c r="D4480">
        <v>4.5427280000000003</v>
      </c>
      <c r="E4480">
        <v>0.58103309999999997</v>
      </c>
      <c r="F4480" t="s">
        <v>42</v>
      </c>
      <c r="G4480">
        <v>-195.15209999999999</v>
      </c>
      <c r="H4480" s="1">
        <v>-4.521168E-6</v>
      </c>
      <c r="I4480">
        <v>166.67959999999999</v>
      </c>
      <c r="J4480">
        <v>-191.96789999999999</v>
      </c>
      <c r="K4480">
        <v>1.1095429999999999</v>
      </c>
      <c r="L4480">
        <v>188.286</v>
      </c>
      <c r="M4480">
        <v>-1.360579E-3</v>
      </c>
      <c r="N4480">
        <v>-1.3376209999999999E-2</v>
      </c>
      <c r="O4480">
        <v>-0.99990959999999995</v>
      </c>
      <c r="P4480">
        <v>6.1722560000000003E-2</v>
      </c>
      <c r="Q4480">
        <v>-0.11523750000000001</v>
      </c>
      <c r="R4480">
        <v>-0.99141860000000004</v>
      </c>
      <c r="S4480">
        <v>-0.44577030000000001</v>
      </c>
      <c r="T4480">
        <v>-0.15529979999999999</v>
      </c>
      <c r="U4480">
        <v>-3.0366059999999999</v>
      </c>
      <c r="V4480">
        <v>-6.3139879999999995E-2</v>
      </c>
      <c r="W4480">
        <v>-0.1019246</v>
      </c>
      <c r="X4480">
        <v>0.99278630000000001</v>
      </c>
      <c r="Y4480">
        <v>0.14373420000000001</v>
      </c>
      <c r="Z4480">
        <v>3.7178349999999999E-2</v>
      </c>
      <c r="AA4480">
        <v>0.98891770000000001</v>
      </c>
      <c r="AB4480">
        <v>18</v>
      </c>
      <c r="AC4480">
        <v>-3.1842000000000001</v>
      </c>
      <c r="AD4480">
        <v>-1.1095475211679999</v>
      </c>
      <c r="AE4480">
        <v>-21.606399999999901</v>
      </c>
      <c r="AF4480">
        <v>3.14667549597092</v>
      </c>
      <c r="AG4480">
        <v>-1.1095475211679999</v>
      </c>
      <c r="AH4480">
        <v>21.555078110754899</v>
      </c>
      <c r="AI4480">
        <v>92.915847259778801</v>
      </c>
      <c r="AJ4480">
        <v>81.694457142305794</v>
      </c>
      <c r="AK4480">
        <v>21.811787059739501</v>
      </c>
      <c r="AL4480">
        <v>95.850008581501399</v>
      </c>
      <c r="AM4480">
        <v>93.639033801449301</v>
      </c>
      <c r="AN4480">
        <v>0.99999995299963096</v>
      </c>
    </row>
    <row r="4481" spans="1:40" x14ac:dyDescent="0.25">
      <c r="A4481" t="str">
        <f>"20190305135021998"</f>
        <v>20190305135021998</v>
      </c>
      <c r="B4481" t="str">
        <f>"1551765021984350"</f>
        <v>1551765021984350</v>
      </c>
      <c r="C4481" t="s">
        <v>40</v>
      </c>
      <c r="D4481">
        <v>4.5001490000000004</v>
      </c>
      <c r="E4481">
        <v>0.58098450000000001</v>
      </c>
      <c r="F4481" t="s">
        <v>42</v>
      </c>
      <c r="G4481">
        <v>-195.20330000000001</v>
      </c>
      <c r="H4481" s="1">
        <v>-4.427265E-6</v>
      </c>
      <c r="I4481">
        <v>166.41149999999999</v>
      </c>
      <c r="J4481">
        <v>-191.9683</v>
      </c>
      <c r="K4481">
        <v>1.109586</v>
      </c>
      <c r="L4481">
        <v>188.20179999999999</v>
      </c>
      <c r="M4481">
        <v>-1.5912610000000001E-3</v>
      </c>
      <c r="N4481">
        <v>-1.3374850000000001E-2</v>
      </c>
      <c r="O4481">
        <v>-0.99990959999999995</v>
      </c>
      <c r="P4481">
        <v>6.0223550000000001E-2</v>
      </c>
      <c r="Q4481">
        <v>-0.11498</v>
      </c>
      <c r="R4481">
        <v>-0.99154109999999995</v>
      </c>
      <c r="S4481">
        <v>-0.44905089999999998</v>
      </c>
      <c r="T4481">
        <v>-0.15399689999999999</v>
      </c>
      <c r="U4481">
        <v>-3.0360260000000001</v>
      </c>
      <c r="V4481">
        <v>-6.1858509999999998E-2</v>
      </c>
      <c r="W4481">
        <v>-0.1016744</v>
      </c>
      <c r="X4481">
        <v>0.99289269999999996</v>
      </c>
      <c r="Y4481">
        <v>0.14458119999999999</v>
      </c>
      <c r="Z4481">
        <v>3.6759180000000002E-2</v>
      </c>
      <c r="AA4481">
        <v>0.98880990000000002</v>
      </c>
      <c r="AB4481">
        <v>18</v>
      </c>
      <c r="AC4481">
        <v>-3.2350000000000101</v>
      </c>
      <c r="AD4481">
        <v>-1.1095904272649999</v>
      </c>
      <c r="AE4481">
        <v>-21.790299999999998</v>
      </c>
      <c r="AF4481">
        <v>3.1922199023551201</v>
      </c>
      <c r="AG4481">
        <v>-1.1095904272649999</v>
      </c>
      <c r="AH4481">
        <v>21.740264224979502</v>
      </c>
      <c r="AI4481">
        <v>92.890811435086405</v>
      </c>
      <c r="AJ4481">
        <v>81.646697385488693</v>
      </c>
      <c r="AK4481">
        <v>22.001376034084601</v>
      </c>
      <c r="AL4481">
        <v>95.835597826735693</v>
      </c>
      <c r="AM4481">
        <v>93.564994093427799</v>
      </c>
      <c r="AN4481">
        <v>1.00000003629403</v>
      </c>
    </row>
    <row r="4482" spans="1:40" x14ac:dyDescent="0.25">
      <c r="A4482" t="str">
        <f>"20190305135022009"</f>
        <v>20190305135022009</v>
      </c>
      <c r="B4482" t="str">
        <f>"1551765022004848"</f>
        <v>1551765022004848</v>
      </c>
      <c r="C4482" t="s">
        <v>40</v>
      </c>
      <c r="D4482">
        <v>4.4723129999999998</v>
      </c>
      <c r="E4482">
        <v>0.58082670000000003</v>
      </c>
      <c r="F4482" t="s">
        <v>42</v>
      </c>
      <c r="G4482">
        <v>-195.23509999999999</v>
      </c>
      <c r="H4482" s="1">
        <v>-4.397766E-6</v>
      </c>
      <c r="I4482">
        <v>166.31989999999999</v>
      </c>
      <c r="J4482">
        <v>-191.96879999999999</v>
      </c>
      <c r="K4482">
        <v>1.109639</v>
      </c>
      <c r="L4482">
        <v>188.1018</v>
      </c>
      <c r="M4482">
        <v>-1.842408E-3</v>
      </c>
      <c r="N4482">
        <v>-1.337325E-2</v>
      </c>
      <c r="O4482">
        <v>-0.99990900000000005</v>
      </c>
      <c r="P4482">
        <v>5.8768340000000002E-2</v>
      </c>
      <c r="Q4482">
        <v>-0.11524909999999999</v>
      </c>
      <c r="R4482">
        <v>-0.99159679999999994</v>
      </c>
      <c r="S4482">
        <v>-0.4531403</v>
      </c>
      <c r="T4482">
        <v>-0.15391289999999999</v>
      </c>
      <c r="U4482">
        <v>-3.035263</v>
      </c>
      <c r="V4482">
        <v>-6.0638989999999997E-2</v>
      </c>
      <c r="W4482">
        <v>-0.10195360000000001</v>
      </c>
      <c r="X4482">
        <v>0.99293929999999997</v>
      </c>
      <c r="Y4482">
        <v>0.14567169999999999</v>
      </c>
      <c r="Z4482">
        <v>3.6737199999999998E-2</v>
      </c>
      <c r="AA4482">
        <v>0.98865069999999999</v>
      </c>
      <c r="AB4482">
        <v>18</v>
      </c>
      <c r="AC4482">
        <v>-3.2663000000000002</v>
      </c>
      <c r="AD4482">
        <v>-1.1096433977660001</v>
      </c>
      <c r="AE4482">
        <v>-21.7819</v>
      </c>
      <c r="AF4482">
        <v>3.2179919685228602</v>
      </c>
      <c r="AG4482">
        <v>-1.1096433977660001</v>
      </c>
      <c r="AH4482">
        <v>21.732720450251101</v>
      </c>
      <c r="AI4482">
        <v>92.891435723343605</v>
      </c>
      <c r="AJ4482">
        <v>81.577340057144099</v>
      </c>
      <c r="AK4482">
        <v>21.997679853758399</v>
      </c>
      <c r="AL4482">
        <v>95.8516783577723</v>
      </c>
      <c r="AM4482">
        <v>93.494723751760304</v>
      </c>
      <c r="AN4482">
        <v>1.00000003857283</v>
      </c>
    </row>
    <row r="4483" spans="1:40" x14ac:dyDescent="0.25">
      <c r="A4483" t="str">
        <f>"20190305135022021"</f>
        <v>20190305135022021</v>
      </c>
      <c r="B4483" t="str">
        <f>"1551765022014607"</f>
        <v>1551765022014607</v>
      </c>
      <c r="C4483" t="s">
        <v>40</v>
      </c>
      <c r="D4483">
        <v>4.5191679999999996</v>
      </c>
      <c r="E4483">
        <v>0.58077250000000002</v>
      </c>
      <c r="F4483" t="s">
        <v>42</v>
      </c>
      <c r="G4483">
        <v>-195.1798</v>
      </c>
      <c r="H4483" s="1">
        <v>-4.5589709999999997E-6</v>
      </c>
      <c r="I4483">
        <v>166.7653</v>
      </c>
      <c r="J4483">
        <v>-191.9693</v>
      </c>
      <c r="K4483">
        <v>1.1096999999999999</v>
      </c>
      <c r="L4483">
        <v>188.006</v>
      </c>
      <c r="M4483">
        <v>-1.9891760000000001E-3</v>
      </c>
      <c r="N4483">
        <v>-1.3371879999999999E-2</v>
      </c>
      <c r="O4483">
        <v>-0.99990900000000005</v>
      </c>
      <c r="P4483">
        <v>5.7851020000000003E-2</v>
      </c>
      <c r="Q4483">
        <v>-0.1154915</v>
      </c>
      <c r="R4483">
        <v>-0.99162289999999997</v>
      </c>
      <c r="S4483">
        <v>-0.45661930000000001</v>
      </c>
      <c r="T4483">
        <v>-0.15779649999999901</v>
      </c>
      <c r="U4483">
        <v>-3.0341490000000002</v>
      </c>
      <c r="V4483">
        <v>-5.9850979999999998E-2</v>
      </c>
      <c r="W4483">
        <v>-0.1022069</v>
      </c>
      <c r="X4483">
        <v>0.99296099999999998</v>
      </c>
      <c r="Y4483">
        <v>0.14667929999999901</v>
      </c>
      <c r="Z4483">
        <v>3.8010599999999999E-2</v>
      </c>
      <c r="AA4483">
        <v>0.98845349999999998</v>
      </c>
      <c r="AB4483">
        <v>18</v>
      </c>
      <c r="AC4483">
        <v>-3.2104999999999899</v>
      </c>
      <c r="AD4483">
        <v>-1.109704558971</v>
      </c>
      <c r="AE4483">
        <v>-21.240699999999901</v>
      </c>
      <c r="AF4483">
        <v>3.1598064574293598</v>
      </c>
      <c r="AG4483">
        <v>-1.109704558971</v>
      </c>
      <c r="AH4483">
        <v>21.190497984602501</v>
      </c>
      <c r="AI4483">
        <v>92.965005693996403</v>
      </c>
      <c r="AJ4483">
        <v>81.518870533414102</v>
      </c>
      <c r="AK4483">
        <v>21.453508475120302</v>
      </c>
      <c r="AL4483">
        <v>95.866268000252404</v>
      </c>
      <c r="AM4483">
        <v>93.449344626372294</v>
      </c>
      <c r="AN4483">
        <v>0.99999996886778397</v>
      </c>
    </row>
    <row r="4484" spans="1:40" x14ac:dyDescent="0.25">
      <c r="A4484" t="str">
        <f>"20190305135022036"</f>
        <v>20190305135022036</v>
      </c>
      <c r="B4484" t="str">
        <f>"1551765022024367"</f>
        <v>1551765022024367</v>
      </c>
      <c r="C4484" t="s">
        <v>40</v>
      </c>
      <c r="D4484">
        <v>4.3254359999999998</v>
      </c>
      <c r="E4484">
        <v>0.58194789999999996</v>
      </c>
      <c r="F4484" t="s">
        <v>42</v>
      </c>
      <c r="G4484">
        <v>-195.18729999999999</v>
      </c>
      <c r="H4484" s="1">
        <v>-4.5512029999999996E-6</v>
      </c>
      <c r="I4484">
        <v>166.74160000000001</v>
      </c>
      <c r="J4484">
        <v>-191.96969999999999</v>
      </c>
      <c r="K4484">
        <v>1.1097709999999901</v>
      </c>
      <c r="L4484">
        <v>187.8964</v>
      </c>
      <c r="M4484">
        <v>-2.1139269999999998E-3</v>
      </c>
      <c r="N4484">
        <v>-1.3370430000000001E-2</v>
      </c>
      <c r="O4484">
        <v>-0.99990840000000003</v>
      </c>
      <c r="P4484">
        <v>5.6616439999999997E-2</v>
      </c>
      <c r="Q4484">
        <v>-0.1158855</v>
      </c>
      <c r="R4484">
        <v>-0.99164799999999997</v>
      </c>
      <c r="S4484">
        <v>-0.45910640000000003</v>
      </c>
      <c r="T4484">
        <v>-0.1583164</v>
      </c>
      <c r="U4484">
        <v>-3.0336910000000001</v>
      </c>
      <c r="V4484">
        <v>-5.8720649999999999E-2</v>
      </c>
      <c r="W4484">
        <v>-0.10261339999999999</v>
      </c>
      <c r="X4484">
        <v>0.99298660000000005</v>
      </c>
      <c r="Y4484">
        <v>0.14736869999999999</v>
      </c>
      <c r="Z4484">
        <v>3.818295E-2</v>
      </c>
      <c r="AA4484">
        <v>0.98834429999999995</v>
      </c>
      <c r="AB4484">
        <v>18</v>
      </c>
      <c r="AC4484">
        <v>-3.2176</v>
      </c>
      <c r="AD4484">
        <v>-1.1097755512030001</v>
      </c>
      <c r="AE4484">
        <v>-21.154799999999899</v>
      </c>
      <c r="AF4484">
        <v>3.1643576196650902</v>
      </c>
      <c r="AG4484">
        <v>-1.1097755512030001</v>
      </c>
      <c r="AH4484">
        <v>21.104787439633402</v>
      </c>
      <c r="AI4484">
        <v>92.976858712517895</v>
      </c>
      <c r="AJ4484">
        <v>81.4728466566755</v>
      </c>
      <c r="AK4484">
        <v>21.369530032064102</v>
      </c>
      <c r="AL4484">
        <v>95.889681618854198</v>
      </c>
      <c r="AM4484">
        <v>93.384267026313097</v>
      </c>
      <c r="AN4484">
        <v>1.0000000061877701</v>
      </c>
    </row>
    <row r="4485" spans="1:40" x14ac:dyDescent="0.25">
      <c r="A4485" t="str">
        <f>"20190305135022131"</f>
        <v>20190305135022131</v>
      </c>
      <c r="B4485" t="str">
        <f>"1551765022124895"</f>
        <v>1551765022124895</v>
      </c>
      <c r="C4485" t="s">
        <v>40</v>
      </c>
      <c r="D4485">
        <v>4.3673679999999999</v>
      </c>
      <c r="E4485">
        <v>0.58194789999999996</v>
      </c>
      <c r="F4485" t="s">
        <v>42</v>
      </c>
      <c r="G4485">
        <v>-195.4847</v>
      </c>
      <c r="H4485" s="1">
        <v>-4.0426360000000002E-6</v>
      </c>
      <c r="I4485">
        <v>165.2799</v>
      </c>
      <c r="J4485">
        <v>-191.9701</v>
      </c>
      <c r="K4485">
        <v>1.1103229999999999</v>
      </c>
      <c r="L4485">
        <v>187.12790000000001</v>
      </c>
      <c r="M4485">
        <v>-6.0994779999999995E-4</v>
      </c>
      <c r="N4485">
        <v>-1.336452E-2</v>
      </c>
      <c r="O4485">
        <v>-0.99991079999999999</v>
      </c>
      <c r="P4485">
        <v>5.1933350000000003E-2</v>
      </c>
      <c r="Q4485">
        <v>-0.1197516</v>
      </c>
      <c r="R4485">
        <v>-0.99144489999999996</v>
      </c>
      <c r="S4485">
        <v>-0.47166439999999998</v>
      </c>
      <c r="T4485">
        <v>-0.14891650000000001</v>
      </c>
      <c r="U4485">
        <v>-3.034821</v>
      </c>
      <c r="V4485">
        <v>-5.2397329999999999E-2</v>
      </c>
      <c r="W4485">
        <v>-0.1065605</v>
      </c>
      <c r="X4485">
        <v>0.99292460000000005</v>
      </c>
      <c r="Y4485">
        <v>0.1528138</v>
      </c>
      <c r="Z4485">
        <v>3.5080170000000001E-2</v>
      </c>
      <c r="AA4485">
        <v>0.98763219999999996</v>
      </c>
      <c r="AB4485">
        <v>18</v>
      </c>
      <c r="AC4485">
        <v>-3.5146000000000002</v>
      </c>
      <c r="AD4485">
        <v>-1.1103270426359999</v>
      </c>
      <c r="AE4485">
        <v>-21.847999999999999</v>
      </c>
      <c r="AF4485">
        <v>3.4924794335634499</v>
      </c>
      <c r="AG4485">
        <v>-1.1103270426359999</v>
      </c>
      <c r="AH4485">
        <v>21.795268576699598</v>
      </c>
      <c r="AI4485">
        <v>92.879652853101206</v>
      </c>
      <c r="AJ4485">
        <v>80.896301487969893</v>
      </c>
      <c r="AK4485">
        <v>22.101221031109102</v>
      </c>
      <c r="AL4485">
        <v>96.117081459695896</v>
      </c>
      <c r="AM4485">
        <v>93.020736695060705</v>
      </c>
      <c r="AN4485">
        <v>0.99999994081826704</v>
      </c>
    </row>
    <row r="4486" spans="1:40" x14ac:dyDescent="0.25">
      <c r="A4486" t="str">
        <f>"20190305135022153"</f>
        <v>20190305135022153</v>
      </c>
      <c r="B4486" t="str">
        <f>"1551765022145391"</f>
        <v>1551765022145391</v>
      </c>
      <c r="C4486" t="s">
        <v>40</v>
      </c>
      <c r="D4486">
        <v>4.3507009999999999</v>
      </c>
      <c r="E4486">
        <v>0.51861759999999901</v>
      </c>
      <c r="F4486" t="s">
        <v>42</v>
      </c>
      <c r="G4486">
        <v>-195.37459999999999</v>
      </c>
      <c r="H4486" s="1">
        <v>-4.2426790000000001E-6</v>
      </c>
      <c r="I4486">
        <v>165.85169999999999</v>
      </c>
      <c r="J4486">
        <v>-191.9692</v>
      </c>
      <c r="K4486">
        <v>1.110439</v>
      </c>
      <c r="L4486">
        <v>186.9547</v>
      </c>
      <c r="M4486">
        <v>3.0123530000000001E-4</v>
      </c>
      <c r="N4486">
        <v>-1.336447E-2</v>
      </c>
      <c r="O4486">
        <v>-0.99991090000000005</v>
      </c>
      <c r="P4486">
        <v>5.2881060000000001E-2</v>
      </c>
      <c r="Q4486">
        <v>-0.11942560000000001</v>
      </c>
      <c r="R4486">
        <v>-0.99143409999999998</v>
      </c>
      <c r="S4486">
        <v>-0.48519899999999999</v>
      </c>
      <c r="T4486">
        <v>-0.15823899999999999</v>
      </c>
      <c r="U4486">
        <v>-3.0321959999999999</v>
      </c>
      <c r="V4486">
        <v>-5.2414250000000003E-2</v>
      </c>
      <c r="W4486">
        <v>-0.1062478</v>
      </c>
      <c r="X4486">
        <v>0.99295730000000004</v>
      </c>
      <c r="Y4486">
        <v>0.15812019999999999</v>
      </c>
      <c r="Z4486">
        <v>3.8109709999999998E-2</v>
      </c>
      <c r="AA4486">
        <v>0.98668420000000001</v>
      </c>
      <c r="AB4486">
        <v>18</v>
      </c>
      <c r="AC4486">
        <v>-3.4053999999999802</v>
      </c>
      <c r="AD4486">
        <v>-1.1104432426790001</v>
      </c>
      <c r="AE4486">
        <v>-21.103000000000002</v>
      </c>
      <c r="AF4486">
        <v>3.4025751622790699</v>
      </c>
      <c r="AG4486">
        <v>-1.1104432426790001</v>
      </c>
      <c r="AH4486">
        <v>21.045180423787901</v>
      </c>
      <c r="AI4486">
        <v>92.981746128625005</v>
      </c>
      <c r="AJ4486">
        <v>80.815919007145894</v>
      </c>
      <c r="AK4486">
        <v>21.347370353276698</v>
      </c>
      <c r="AL4486">
        <v>96.099062265612801</v>
      </c>
      <c r="AM4486">
        <v>93.021611009171707</v>
      </c>
      <c r="AN4486">
        <v>1.00000002411559</v>
      </c>
    </row>
    <row r="4487" spans="1:40" x14ac:dyDescent="0.25">
      <c r="A4487" t="str">
        <f>"20190305135022163"</f>
        <v>20190305135022163</v>
      </c>
      <c r="B4487" t="str">
        <f>"1551765022155151"</f>
        <v>1551765022155151</v>
      </c>
      <c r="C4487" t="s">
        <v>40</v>
      </c>
      <c r="D4487">
        <v>4.3933920000000004</v>
      </c>
      <c r="E4487">
        <v>0.51803809999999995</v>
      </c>
      <c r="F4487" t="s">
        <v>42</v>
      </c>
      <c r="G4487">
        <v>-191.81290000000001</v>
      </c>
      <c r="H4487" s="1">
        <v>-3.6574849999999999E-6</v>
      </c>
      <c r="I4487">
        <v>166.30850000000001</v>
      </c>
      <c r="J4487">
        <v>-191.96860000000001</v>
      </c>
      <c r="K4487">
        <v>1.110493</v>
      </c>
      <c r="L4487">
        <v>186.86539999999999</v>
      </c>
      <c r="M4487">
        <v>8.24966E-4</v>
      </c>
      <c r="N4487">
        <v>-1.336436E-2</v>
      </c>
      <c r="O4487">
        <v>-0.99991039999999998</v>
      </c>
      <c r="P4487">
        <v>5.3612899999999998E-2</v>
      </c>
      <c r="Q4487">
        <v>-0.1186258</v>
      </c>
      <c r="R4487">
        <v>-0.9914906</v>
      </c>
      <c r="S4487">
        <v>2.275085E-2</v>
      </c>
      <c r="T4487">
        <v>-0.16163469999999999</v>
      </c>
      <c r="U4487">
        <v>-3.0052340000000002</v>
      </c>
      <c r="V4487">
        <v>-5.2617110000000002E-2</v>
      </c>
      <c r="W4487">
        <v>-0.1054529</v>
      </c>
      <c r="X4487">
        <v>0.99303129999999995</v>
      </c>
      <c r="Y4487">
        <v>-6.7359840000000004E-3</v>
      </c>
      <c r="Z4487">
        <v>4.0355540000000002E-2</v>
      </c>
      <c r="AA4487">
        <v>0.99916269999999996</v>
      </c>
      <c r="AB4487">
        <v>18</v>
      </c>
      <c r="AC4487">
        <v>0.15569999999999501</v>
      </c>
      <c r="AD4487">
        <v>-1.1104966574849999</v>
      </c>
      <c r="AE4487">
        <v>-20.556899999999899</v>
      </c>
      <c r="AF4487">
        <v>-0.13833601665428</v>
      </c>
      <c r="AG4487">
        <v>-1.1104966574849999</v>
      </c>
      <c r="AH4487">
        <v>20.497209357036098</v>
      </c>
      <c r="AI4487">
        <v>93.101065206880406</v>
      </c>
      <c r="AJ4487">
        <v>90.386684325267794</v>
      </c>
      <c r="AK4487">
        <v>20.527735654619999</v>
      </c>
      <c r="AL4487">
        <v>96.053260573120696</v>
      </c>
      <c r="AM4487">
        <v>93.033058202196401</v>
      </c>
      <c r="AN4487">
        <v>1.00000001858142</v>
      </c>
    </row>
    <row r="4488" spans="1:40" x14ac:dyDescent="0.25">
      <c r="A4488" t="str">
        <f>"20190305135022185"</f>
        <v>20190305135022185</v>
      </c>
      <c r="B4488" t="str">
        <f>"1551765022174671"</f>
        <v>1551765022174671</v>
      </c>
      <c r="C4488" t="s">
        <v>40</v>
      </c>
      <c r="D4488">
        <v>4.3583800000000004</v>
      </c>
      <c r="E4488">
        <v>0.51736899999999997</v>
      </c>
      <c r="F4488" t="s">
        <v>42</v>
      </c>
      <c r="G4488">
        <v>-191.76759999999999</v>
      </c>
      <c r="H4488" s="1">
        <v>-3.6669910000000002E-6</v>
      </c>
      <c r="I4488">
        <v>166.35409999999999</v>
      </c>
      <c r="J4488">
        <v>-191.96729999999999</v>
      </c>
      <c r="K4488">
        <v>1.1105670000000001</v>
      </c>
      <c r="L4488">
        <v>186.697</v>
      </c>
      <c r="M4488">
        <v>1.871897E-3</v>
      </c>
      <c r="N4488">
        <v>-1.3363659999999999E-2</v>
      </c>
      <c r="O4488">
        <v>-0.9999091</v>
      </c>
      <c r="P4488">
        <v>5.4811749999999999E-2</v>
      </c>
      <c r="Q4488">
        <v>-0.11685570000000001</v>
      </c>
      <c r="R4488">
        <v>-0.9916355</v>
      </c>
      <c r="S4488">
        <v>2.944946E-2</v>
      </c>
      <c r="T4488">
        <v>-0.16267760000000001</v>
      </c>
      <c r="U4488">
        <v>-3.004715</v>
      </c>
      <c r="V4488">
        <v>-5.2766649999999998E-2</v>
      </c>
      <c r="W4488">
        <v>-0.1036883</v>
      </c>
      <c r="X4488">
        <v>0.99320909999999996</v>
      </c>
      <c r="Y4488">
        <v>-7.916925E-3</v>
      </c>
      <c r="Z4488">
        <v>4.071052E-2</v>
      </c>
      <c r="AA4488">
        <v>0.99913960000000002</v>
      </c>
      <c r="AB4488">
        <v>18</v>
      </c>
      <c r="AC4488">
        <v>0.19970000000000701</v>
      </c>
      <c r="AD4488">
        <v>-1.110570666991</v>
      </c>
      <c r="AE4488">
        <v>-20.3429</v>
      </c>
      <c r="AF4488">
        <v>-0.16113624607398699</v>
      </c>
      <c r="AG4488">
        <v>-1.110570666991</v>
      </c>
      <c r="AH4488">
        <v>20.282794286468</v>
      </c>
      <c r="AI4488">
        <v>93.133963399218104</v>
      </c>
      <c r="AJ4488">
        <v>90.4551755773617</v>
      </c>
      <c r="AK4488">
        <v>20.313814909153798</v>
      </c>
      <c r="AL4488">
        <v>95.951599478028797</v>
      </c>
      <c r="AM4488">
        <v>93.041118632274404</v>
      </c>
      <c r="AN4488">
        <v>0.99999994961595995</v>
      </c>
    </row>
    <row r="4489" spans="1:40" x14ac:dyDescent="0.25">
      <c r="A4489" t="str">
        <f>"20190305135022197"</f>
        <v>20190305135022197</v>
      </c>
      <c r="B4489" t="str">
        <f>"1551765022185408"</f>
        <v>1551765022185408</v>
      </c>
      <c r="C4489" t="s">
        <v>40</v>
      </c>
      <c r="D4489">
        <v>4.3546399999999998</v>
      </c>
      <c r="E4489">
        <v>0.51715480000000003</v>
      </c>
      <c r="F4489" t="s">
        <v>42</v>
      </c>
      <c r="G4489">
        <v>-191.69229999999999</v>
      </c>
      <c r="H4489" s="1">
        <v>-3.1070200000000002E-6</v>
      </c>
      <c r="I4489">
        <v>165.21190000000001</v>
      </c>
      <c r="J4489">
        <v>-191.9665</v>
      </c>
      <c r="K4489">
        <v>1.1105860000000001</v>
      </c>
      <c r="L4489">
        <v>186.60759999999999</v>
      </c>
      <c r="M4489">
        <v>2.4556479999999999E-3</v>
      </c>
      <c r="N4489">
        <v>-1.336293E-2</v>
      </c>
      <c r="O4489">
        <v>-0.99990769999999995</v>
      </c>
      <c r="P4489">
        <v>5.5690629999999998E-2</v>
      </c>
      <c r="Q4489">
        <v>-0.11511299999999999</v>
      </c>
      <c r="R4489">
        <v>-0.99179030000000001</v>
      </c>
      <c r="S4489">
        <v>3.846741E-2</v>
      </c>
      <c r="T4489">
        <v>-0.15532290000000001</v>
      </c>
      <c r="U4489">
        <v>-3.004883</v>
      </c>
      <c r="V4489">
        <v>-5.306657E-2</v>
      </c>
      <c r="W4489">
        <v>-0.10194590000000001</v>
      </c>
      <c r="X4489">
        <v>0.99337350000000002</v>
      </c>
      <c r="Y4489">
        <v>-1.033101E-2</v>
      </c>
      <c r="Z4489">
        <v>3.8268009999999998E-2</v>
      </c>
      <c r="AA4489">
        <v>0.99921409999999999</v>
      </c>
      <c r="AB4489">
        <v>18</v>
      </c>
      <c r="AC4489">
        <v>0.27420000000000699</v>
      </c>
      <c r="AD4489">
        <v>-1.11058910702</v>
      </c>
      <c r="AE4489">
        <v>-21.395699999999898</v>
      </c>
      <c r="AF4489">
        <v>-0.22105866239831001</v>
      </c>
      <c r="AG4489">
        <v>-1.11058910702</v>
      </c>
      <c r="AH4489">
        <v>21.3388240829475</v>
      </c>
      <c r="AI4489">
        <v>92.979138051739994</v>
      </c>
      <c r="AJ4489">
        <v>90.593532018057104</v>
      </c>
      <c r="AK4489">
        <v>21.368848549695699</v>
      </c>
      <c r="AL4489">
        <v>95.8512352783724</v>
      </c>
      <c r="AM4489">
        <v>93.057866113224307</v>
      </c>
      <c r="AN4489">
        <v>0.99999996894031196</v>
      </c>
    </row>
    <row r="4490" spans="1:40" x14ac:dyDescent="0.25">
      <c r="A4490" t="str">
        <f>"20190305135022207"</f>
        <v>20190305135022207</v>
      </c>
      <c r="B4490" t="str">
        <f>"1551765022204928"</f>
        <v>1551765022204928</v>
      </c>
      <c r="C4490" t="s">
        <v>40</v>
      </c>
      <c r="D4490">
        <v>4.3490789999999997</v>
      </c>
      <c r="E4490">
        <v>0.51679609999999998</v>
      </c>
      <c r="F4490" t="s">
        <v>42</v>
      </c>
      <c r="G4490">
        <v>-191.64109999999999</v>
      </c>
      <c r="H4490" s="1">
        <v>-2.4530379999999998E-6</v>
      </c>
      <c r="I4490">
        <v>163.85720000000001</v>
      </c>
      <c r="J4490">
        <v>-191.9657</v>
      </c>
      <c r="K4490">
        <v>1.1105959999999999</v>
      </c>
      <c r="L4490">
        <v>186.51900000000001</v>
      </c>
      <c r="M4490">
        <v>3.0442260000000001E-3</v>
      </c>
      <c r="N4490">
        <v>-1.336207E-2</v>
      </c>
      <c r="O4490">
        <v>-0.99990610000000002</v>
      </c>
      <c r="P4490">
        <v>5.6510199999999997E-2</v>
      </c>
      <c r="Q4490">
        <v>-0.1135328</v>
      </c>
      <c r="R4490">
        <v>-0.99192630000000004</v>
      </c>
      <c r="S4490">
        <v>4.2984010000000003E-2</v>
      </c>
      <c r="T4490">
        <v>-0.14671289999999901</v>
      </c>
      <c r="U4490">
        <v>-3.005417</v>
      </c>
      <c r="V4490">
        <v>-5.3304440000000002E-2</v>
      </c>
      <c r="W4490">
        <v>-0.1003651</v>
      </c>
      <c r="X4490">
        <v>0.99352169999999895</v>
      </c>
      <c r="Y4490">
        <v>-1.1242830000000001E-2</v>
      </c>
      <c r="Z4490">
        <v>3.5403490000000003E-2</v>
      </c>
      <c r="AA4490">
        <v>0.99930980000000003</v>
      </c>
      <c r="AB4490">
        <v>18</v>
      </c>
      <c r="AC4490">
        <v>0.324600000000003</v>
      </c>
      <c r="AD4490">
        <v>-1.110598453038</v>
      </c>
      <c r="AE4490">
        <v>-22.661799999999999</v>
      </c>
      <c r="AF4490">
        <v>-0.25499239720641997</v>
      </c>
      <c r="AG4490">
        <v>-1.110598453038</v>
      </c>
      <c r="AH4490">
        <v>22.608394953140401</v>
      </c>
      <c r="AI4490">
        <v>92.812117232096298</v>
      </c>
      <c r="AJ4490">
        <v>90.646192210554105</v>
      </c>
      <c r="AK4490">
        <v>22.637092843466199</v>
      </c>
      <c r="AL4490">
        <v>95.760195271368403</v>
      </c>
      <c r="AM4490">
        <v>93.071089464188802</v>
      </c>
      <c r="AN4490">
        <v>0.99999994249630497</v>
      </c>
    </row>
    <row r="4491" spans="1:40" x14ac:dyDescent="0.25">
      <c r="A4491" t="str">
        <f>"20190305135022219"</f>
        <v>20190305135022219</v>
      </c>
      <c r="B4491" t="str">
        <f>"1551765022214688"</f>
        <v>1551765022214688</v>
      </c>
      <c r="C4491" t="s">
        <v>40</v>
      </c>
      <c r="D4491">
        <v>4.3391820000000001</v>
      </c>
      <c r="E4491">
        <v>0.51694910000000005</v>
      </c>
      <c r="F4491" t="s">
        <v>42</v>
      </c>
      <c r="G4491">
        <v>-191.595</v>
      </c>
      <c r="H4491" s="1">
        <v>-2.222481E-6</v>
      </c>
      <c r="I4491">
        <v>163.3954</v>
      </c>
      <c r="J4491">
        <v>-191.96469999999999</v>
      </c>
      <c r="K4491">
        <v>1.1105879999999999</v>
      </c>
      <c r="L4491">
        <v>186.43109999999999</v>
      </c>
      <c r="M4491">
        <v>3.635934E-3</v>
      </c>
      <c r="N4491">
        <v>-1.3361079999999999E-2</v>
      </c>
      <c r="O4491">
        <v>-0.99990429999999997</v>
      </c>
      <c r="P4491">
        <v>5.7205369999999998E-2</v>
      </c>
      <c r="Q4491">
        <v>-0.1124706</v>
      </c>
      <c r="R4491">
        <v>-0.99200750000000004</v>
      </c>
      <c r="S4491">
        <v>4.8172E-2</v>
      </c>
      <c r="T4491">
        <v>-0.144334299999999</v>
      </c>
      <c r="U4491">
        <v>-3.0051570000000001</v>
      </c>
      <c r="V4491">
        <v>-5.3416760000000001E-2</v>
      </c>
      <c r="W4491">
        <v>-9.9301029999999998E-2</v>
      </c>
      <c r="X4491">
        <v>0.99362269999999997</v>
      </c>
      <c r="Y4491">
        <v>-1.237713E-2</v>
      </c>
      <c r="Z4491">
        <v>3.4618599999999999E-2</v>
      </c>
      <c r="AA4491">
        <v>0.99932399999999999</v>
      </c>
      <c r="AB4491">
        <v>18</v>
      </c>
      <c r="AC4491">
        <v>0.36969999999999398</v>
      </c>
      <c r="AD4491">
        <v>-1.11059022248099</v>
      </c>
      <c r="AE4491">
        <v>-23.035699999999899</v>
      </c>
      <c r="AF4491">
        <v>-0.28527090475158501</v>
      </c>
      <c r="AG4491">
        <v>-1.11059022248099</v>
      </c>
      <c r="AH4491">
        <v>22.983483716090898</v>
      </c>
      <c r="AI4491">
        <v>92.766238020247599</v>
      </c>
      <c r="AJ4491">
        <v>90.711118461915206</v>
      </c>
      <c r="AK4491">
        <v>23.012068873944902</v>
      </c>
      <c r="AL4491">
        <v>95.698921781050799</v>
      </c>
      <c r="AM4491">
        <v>93.077236031644702</v>
      </c>
      <c r="AN4491">
        <v>1.0000000573816199</v>
      </c>
    </row>
    <row r="4492" spans="1:40" x14ac:dyDescent="0.25">
      <c r="A4492" t="str">
        <f>"20190305135022232"</f>
        <v>20190305135022232</v>
      </c>
      <c r="B4492" t="str">
        <f>"1551765022225187"</f>
        <v>1551765022225187</v>
      </c>
      <c r="C4492" t="s">
        <v>40</v>
      </c>
      <c r="D4492">
        <v>4.3574669999999998</v>
      </c>
      <c r="E4492">
        <v>0.5167351</v>
      </c>
      <c r="F4492" t="s">
        <v>42</v>
      </c>
      <c r="G4492">
        <v>-191.57220000000001</v>
      </c>
      <c r="H4492" s="1">
        <v>-1.7500669999999999E-6</v>
      </c>
      <c r="I4492">
        <v>162.40889999999999</v>
      </c>
      <c r="J4492">
        <v>-191.96350000000001</v>
      </c>
      <c r="K4492">
        <v>1.1105700000000001</v>
      </c>
      <c r="L4492">
        <v>186.32579999999999</v>
      </c>
      <c r="M4492">
        <v>4.3439000000000004E-3</v>
      </c>
      <c r="N4492">
        <v>-1.3359040000000001E-2</v>
      </c>
      <c r="O4492">
        <v>-0.99990159999999995</v>
      </c>
      <c r="P4492">
        <v>5.8126810000000001E-2</v>
      </c>
      <c r="Q4492">
        <v>-0.1116408</v>
      </c>
      <c r="R4492">
        <v>-0.99204740000000002</v>
      </c>
      <c r="S4492">
        <v>4.9102779999999999E-2</v>
      </c>
      <c r="T4492">
        <v>-0.13895360000000001</v>
      </c>
      <c r="U4492">
        <v>-3.005585</v>
      </c>
      <c r="V4492">
        <v>-5.3642469999999998E-2</v>
      </c>
      <c r="W4492">
        <v>-9.8469860000000006E-2</v>
      </c>
      <c r="X4492">
        <v>0.99369320000000005</v>
      </c>
      <c r="Y4492">
        <v>-1.197757E-2</v>
      </c>
      <c r="Z4492">
        <v>3.2828639999999999E-2</v>
      </c>
      <c r="AA4492">
        <v>0.99938919999999998</v>
      </c>
      <c r="AB4492">
        <v>18</v>
      </c>
      <c r="AC4492">
        <v>0.39130000000000098</v>
      </c>
      <c r="AD4492">
        <v>-1.110571750067</v>
      </c>
      <c r="AE4492">
        <v>-23.916899999999998</v>
      </c>
      <c r="AF4492">
        <v>-0.28677626845429399</v>
      </c>
      <c r="AG4492">
        <v>-1.110571750067</v>
      </c>
      <c r="AH4492">
        <v>23.866926792589599</v>
      </c>
      <c r="AI4492">
        <v>92.663963667468295</v>
      </c>
      <c r="AJ4492">
        <v>90.688412015103395</v>
      </c>
      <c r="AK4492">
        <v>23.894472263748099</v>
      </c>
      <c r="AL4492">
        <v>95.651065008296797</v>
      </c>
      <c r="AM4492">
        <v>93.089994781079298</v>
      </c>
      <c r="AN4492">
        <v>1.0000000018211801</v>
      </c>
    </row>
    <row r="4493" spans="1:40" x14ac:dyDescent="0.25">
      <c r="A4493" t="str">
        <f>"20190305135022245"</f>
        <v>20190305135022245</v>
      </c>
      <c r="B4493" t="str">
        <f>"1551765022234946"</f>
        <v>1551765022234946</v>
      </c>
      <c r="C4493" t="s">
        <v>40</v>
      </c>
      <c r="D4493">
        <v>4.3309879999999996</v>
      </c>
      <c r="E4493">
        <v>0.51658769999999998</v>
      </c>
      <c r="F4493" t="s">
        <v>42</v>
      </c>
      <c r="G4493">
        <v>-191.5352</v>
      </c>
      <c r="H4493" s="1">
        <v>-1.659764E-6</v>
      </c>
      <c r="I4493">
        <v>162.23869999999999</v>
      </c>
      <c r="J4493">
        <v>-191.9622</v>
      </c>
      <c r="K4493">
        <v>1.110544</v>
      </c>
      <c r="L4493">
        <v>186.21680000000001</v>
      </c>
      <c r="M4493">
        <v>5.070176E-3</v>
      </c>
      <c r="N4493">
        <v>-1.3353449999999999E-2</v>
      </c>
      <c r="O4493">
        <v>-0.99989810000000001</v>
      </c>
      <c r="P4493">
        <v>5.8905510000000001E-2</v>
      </c>
      <c r="Q4493">
        <v>-0.1110371</v>
      </c>
      <c r="R4493">
        <v>-0.99206919999999998</v>
      </c>
      <c r="S4493">
        <v>5.3436280000000003E-2</v>
      </c>
      <c r="T4493">
        <v>-0.13856459999999901</v>
      </c>
      <c r="U4493">
        <v>-3.005325</v>
      </c>
      <c r="V4493">
        <v>-5.370871E-2</v>
      </c>
      <c r="W4493">
        <v>-9.7866770000000006E-2</v>
      </c>
      <c r="X4493">
        <v>0.9937492</v>
      </c>
      <c r="Y4493">
        <v>-1.2693110000000001E-2</v>
      </c>
      <c r="Z4493">
        <v>3.2708260000000003E-2</v>
      </c>
      <c r="AA4493">
        <v>0.9993843</v>
      </c>
      <c r="AB4493">
        <v>18</v>
      </c>
      <c r="AC4493">
        <v>0.426999999999992</v>
      </c>
      <c r="AD4493">
        <v>-1.110545659764</v>
      </c>
      <c r="AE4493">
        <v>-23.978100000000001</v>
      </c>
      <c r="AF4493">
        <v>-0.30475697639960603</v>
      </c>
      <c r="AG4493">
        <v>-1.110545659764</v>
      </c>
      <c r="AH4493">
        <v>23.928644340682201</v>
      </c>
      <c r="AI4493">
        <v>92.657016558855901</v>
      </c>
      <c r="AJ4493">
        <v>90.729683815364197</v>
      </c>
      <c r="AK4493">
        <v>23.956339629833799</v>
      </c>
      <c r="AL4493">
        <v>95.616342784395002</v>
      </c>
      <c r="AM4493">
        <v>93.093629025820505</v>
      </c>
      <c r="AN4493">
        <v>1.00000000135036</v>
      </c>
    </row>
    <row r="4494" spans="1:40" x14ac:dyDescent="0.25">
      <c r="A4494" t="str">
        <f>"20190305135022260"</f>
        <v>20190305135022260</v>
      </c>
      <c r="B4494" t="str">
        <f>"1551765022254466"</f>
        <v>1551765022254466</v>
      </c>
      <c r="C4494" t="s">
        <v>40</v>
      </c>
      <c r="D4494">
        <v>4.4126079999999996</v>
      </c>
      <c r="E4494">
        <v>0.51564009999999905</v>
      </c>
      <c r="F4494" t="s">
        <v>42</v>
      </c>
      <c r="G4494">
        <v>-191.5033</v>
      </c>
      <c r="H4494" s="1">
        <v>-1.4893699999999999E-6</v>
      </c>
      <c r="I4494">
        <v>161.89609999999999</v>
      </c>
      <c r="J4494">
        <v>-191.96080000000001</v>
      </c>
      <c r="K4494">
        <v>1.110506</v>
      </c>
      <c r="L4494">
        <v>186.10810000000001</v>
      </c>
      <c r="M4494">
        <v>5.7737760000000004E-3</v>
      </c>
      <c r="N4494">
        <v>-1.334225E-2</v>
      </c>
      <c r="O4494">
        <v>-0.99989470000000003</v>
      </c>
      <c r="P4494">
        <v>5.952255E-2</v>
      </c>
      <c r="Q4494">
        <v>-0.1106332</v>
      </c>
      <c r="R4494">
        <v>-0.99207780000000001</v>
      </c>
      <c r="S4494">
        <v>5.6701660000000001E-2</v>
      </c>
      <c r="T4494">
        <v>-0.13722860000000001</v>
      </c>
      <c r="U4494">
        <v>-3.0052639999999999</v>
      </c>
      <c r="V4494">
        <v>-5.3636879999999998E-2</v>
      </c>
      <c r="W4494">
        <v>-9.7468719999999995E-2</v>
      </c>
      <c r="X4494">
        <v>0.99379220000000001</v>
      </c>
      <c r="Y4494">
        <v>-1.307554E-2</v>
      </c>
      <c r="Z4494">
        <v>3.2276369999999999E-2</v>
      </c>
      <c r="AA4494">
        <v>0.99939350000000005</v>
      </c>
      <c r="AB4494">
        <v>18</v>
      </c>
      <c r="AC4494">
        <v>0.45750000000001001</v>
      </c>
      <c r="AD4494">
        <v>-1.11050748937</v>
      </c>
      <c r="AE4494">
        <v>-24.212</v>
      </c>
      <c r="AF4494">
        <v>-0.31701864644302802</v>
      </c>
      <c r="AG4494">
        <v>-1.11050748937</v>
      </c>
      <c r="AH4494">
        <v>24.163423890330201</v>
      </c>
      <c r="AI4494">
        <v>92.631133254907198</v>
      </c>
      <c r="AJ4494">
        <v>90.751664519378494</v>
      </c>
      <c r="AK4494">
        <v>24.191006217392498</v>
      </c>
      <c r="AL4494">
        <v>95.593426637916593</v>
      </c>
      <c r="AM4494">
        <v>93.089366209229297</v>
      </c>
      <c r="AN4494">
        <v>1.0000000015277</v>
      </c>
    </row>
    <row r="4495" spans="1:40" x14ac:dyDescent="0.25">
      <c r="A4495" t="str">
        <f>"20190305135022275"</f>
        <v>20190305135022275</v>
      </c>
      <c r="B4495" t="str">
        <f>"1551765022265201"</f>
        <v>1551765022265201</v>
      </c>
      <c r="C4495" t="s">
        <v>40</v>
      </c>
      <c r="D4495">
        <v>4.3587759999999998</v>
      </c>
      <c r="E4495">
        <v>0.51516070000000003</v>
      </c>
      <c r="F4495" t="s">
        <v>42</v>
      </c>
      <c r="G4495">
        <v>-191.4477</v>
      </c>
      <c r="H4495" s="1">
        <v>-1.831546E-6</v>
      </c>
      <c r="I4495">
        <v>162.65129999999999</v>
      </c>
      <c r="J4495">
        <v>-191.95920000000001</v>
      </c>
      <c r="K4495">
        <v>1.1104499999999999</v>
      </c>
      <c r="L4495">
        <v>185.98599999999999</v>
      </c>
      <c r="M4495">
        <v>6.5416700000000003E-3</v>
      </c>
      <c r="N4495">
        <v>-1.3319320000000001E-2</v>
      </c>
      <c r="O4495">
        <v>-0.99989019999999995</v>
      </c>
      <c r="P4495">
        <v>5.9702970000000001E-2</v>
      </c>
      <c r="Q4495">
        <v>-0.1122626</v>
      </c>
      <c r="R4495">
        <v>-0.99188399999999999</v>
      </c>
      <c r="S4495">
        <v>6.5719600000000003E-2</v>
      </c>
      <c r="T4495">
        <v>-0.14222409999999999</v>
      </c>
      <c r="U4495">
        <v>-3.0041350000000002</v>
      </c>
      <c r="V4495">
        <v>-5.3063329999999999E-2</v>
      </c>
      <c r="W4495">
        <v>-9.9116650000000001E-2</v>
      </c>
      <c r="X4495">
        <v>0.99365999999999999</v>
      </c>
      <c r="Y4495">
        <v>-1.5311190000000001E-2</v>
      </c>
      <c r="Z4495">
        <v>3.3972219999999997E-2</v>
      </c>
      <c r="AA4495">
        <v>0.99930549999999996</v>
      </c>
      <c r="AB4495">
        <v>18</v>
      </c>
      <c r="AC4495">
        <v>0.51150000000001195</v>
      </c>
      <c r="AD4495">
        <v>-1.1104518315459999</v>
      </c>
      <c r="AE4495">
        <v>-23.334700000000002</v>
      </c>
      <c r="AF4495">
        <v>-0.35801726806865602</v>
      </c>
      <c r="AG4495">
        <v>-1.1104518315459999</v>
      </c>
      <c r="AH4495">
        <v>23.284841028795899</v>
      </c>
      <c r="AI4495">
        <v>92.730039368825402</v>
      </c>
      <c r="AJ4495">
        <v>90.880884786388705</v>
      </c>
      <c r="AK4495">
        <v>23.314053730973399</v>
      </c>
      <c r="AL4495">
        <v>95.688305472532804</v>
      </c>
      <c r="AM4495">
        <v>93.056799825832897</v>
      </c>
      <c r="AN4495">
        <v>1.00000001144895</v>
      </c>
    </row>
    <row r="4496" spans="1:40" x14ac:dyDescent="0.25">
      <c r="A4496" t="str">
        <f>"20190305135022286"</f>
        <v>20190305135022286</v>
      </c>
      <c r="B4496" t="str">
        <f>"1551765022274962"</f>
        <v>1551765022274962</v>
      </c>
      <c r="C4496" t="s">
        <v>40</v>
      </c>
      <c r="D4496">
        <v>4.3743650000000001</v>
      </c>
      <c r="E4496">
        <v>0.51478869999999999</v>
      </c>
      <c r="F4496" t="s">
        <v>42</v>
      </c>
      <c r="G4496">
        <v>-191.44300000000001</v>
      </c>
      <c r="H4496" s="1">
        <v>-2.3424050000000001E-6</v>
      </c>
      <c r="I4496">
        <v>163.7347</v>
      </c>
      <c r="J4496">
        <v>-191.9581</v>
      </c>
      <c r="K4496">
        <v>1.1104080000000001</v>
      </c>
      <c r="L4496">
        <v>185.8982</v>
      </c>
      <c r="M4496">
        <v>7.0765230000000004E-3</v>
      </c>
      <c r="N4496">
        <v>-1.329282E-2</v>
      </c>
      <c r="O4496">
        <v>-0.99988650000000001</v>
      </c>
      <c r="P4496">
        <v>5.9836189999999997E-2</v>
      </c>
      <c r="Q4496">
        <v>-0.113013</v>
      </c>
      <c r="R4496">
        <v>-0.99179010000000001</v>
      </c>
      <c r="S4496">
        <v>6.9671629999999998E-2</v>
      </c>
      <c r="T4496">
        <v>-0.14988299999999999</v>
      </c>
      <c r="U4496">
        <v>-3.0033720000000002</v>
      </c>
      <c r="V4496">
        <v>-5.2671660000000002E-2</v>
      </c>
      <c r="W4496">
        <v>-9.9890140000000002E-2</v>
      </c>
      <c r="X4496">
        <v>0.99360329999999997</v>
      </c>
      <c r="Y4496">
        <v>-1.6093469999999999E-2</v>
      </c>
      <c r="Z4496">
        <v>3.6551479999999997E-2</v>
      </c>
      <c r="AA4496">
        <v>0.99920220000000004</v>
      </c>
      <c r="AB4496">
        <v>18</v>
      </c>
      <c r="AC4496">
        <v>0.51510000000001799</v>
      </c>
      <c r="AD4496">
        <v>-1.110410342405</v>
      </c>
      <c r="AE4496">
        <v>-22.163499999999999</v>
      </c>
      <c r="AF4496">
        <v>-0.35733624349365301</v>
      </c>
      <c r="AG4496">
        <v>-1.110410342405</v>
      </c>
      <c r="AH4496">
        <v>22.111119324535299</v>
      </c>
      <c r="AI4496">
        <v>92.874577966074796</v>
      </c>
      <c r="AJ4496">
        <v>90.925872461434807</v>
      </c>
      <c r="AK4496">
        <v>22.1418675387437</v>
      </c>
      <c r="AL4496">
        <v>95.732844685437996</v>
      </c>
      <c r="AM4496">
        <v>93.034452181713803</v>
      </c>
      <c r="AN4496">
        <v>0.99999993080363003</v>
      </c>
    </row>
    <row r="4497" spans="1:40" x14ac:dyDescent="0.25">
      <c r="A4497" t="str">
        <f>"20190305135022298"</f>
        <v>20190305135022298</v>
      </c>
      <c r="B4497" t="str">
        <f>"1551765022294482"</f>
        <v>1551765022294482</v>
      </c>
      <c r="C4497" t="s">
        <v>40</v>
      </c>
      <c r="D4497">
        <v>4.3420420000000002</v>
      </c>
      <c r="E4497">
        <v>0.51408089999999995</v>
      </c>
      <c r="F4497" t="s">
        <v>42</v>
      </c>
      <c r="G4497">
        <v>-191.42689999999999</v>
      </c>
      <c r="H4497" s="1">
        <v>-2.4905609999999999E-6</v>
      </c>
      <c r="I4497">
        <v>164.05719999999999</v>
      </c>
      <c r="J4497">
        <v>-191.95679999999999</v>
      </c>
      <c r="K4497">
        <v>1.1103719999999999</v>
      </c>
      <c r="L4497">
        <v>185.8115</v>
      </c>
      <c r="M4497">
        <v>7.5865059999999998E-3</v>
      </c>
      <c r="N4497">
        <v>-1.325467E-2</v>
      </c>
      <c r="O4497">
        <v>-0.99988359999999998</v>
      </c>
      <c r="P4497">
        <v>5.9882289999999998E-2</v>
      </c>
      <c r="Q4497">
        <v>-0.1137681</v>
      </c>
      <c r="R4497">
        <v>-0.99170139999999996</v>
      </c>
      <c r="S4497">
        <v>7.3028560000000006E-2</v>
      </c>
      <c r="T4497">
        <v>-0.15267629999999999</v>
      </c>
      <c r="U4497">
        <v>-3.0030359999999998</v>
      </c>
      <c r="V4497">
        <v>-5.2216909999999998E-2</v>
      </c>
      <c r="W4497">
        <v>-0.1006804</v>
      </c>
      <c r="X4497">
        <v>0.99354759999999998</v>
      </c>
      <c r="Y4497">
        <v>-1.6701210000000001E-2</v>
      </c>
      <c r="Z4497">
        <v>3.752105E-2</v>
      </c>
      <c r="AA4497">
        <v>0.99915620000000005</v>
      </c>
      <c r="AB4497">
        <v>18</v>
      </c>
      <c r="AC4497">
        <v>0.52989999999999704</v>
      </c>
      <c r="AD4497">
        <v>-1.110374490561</v>
      </c>
      <c r="AE4497">
        <v>-21.754300000000001</v>
      </c>
      <c r="AF4497">
        <v>-0.36388371408390802</v>
      </c>
      <c r="AG4497">
        <v>-1.110374490561</v>
      </c>
      <c r="AH4497">
        <v>21.7011908741047</v>
      </c>
      <c r="AI4497">
        <v>92.928660539457098</v>
      </c>
      <c r="AJ4497">
        <v>90.960640709172296</v>
      </c>
      <c r="AK4497">
        <v>21.732625893365601</v>
      </c>
      <c r="AL4497">
        <v>95.778352321502993</v>
      </c>
      <c r="AM4497">
        <v>93.008470379092202</v>
      </c>
      <c r="AN4497">
        <v>0.99999999104993398</v>
      </c>
    </row>
    <row r="4498" spans="1:40" x14ac:dyDescent="0.25">
      <c r="A4498" t="str">
        <f>"20190305135022309"</f>
        <v>20190305135022309</v>
      </c>
      <c r="B4498" t="str">
        <f>"1551765022305219"</f>
        <v>1551765022305219</v>
      </c>
      <c r="C4498" t="s">
        <v>40</v>
      </c>
      <c r="D4498">
        <v>4.3461800000000004</v>
      </c>
      <c r="E4498">
        <v>0.51387490000000002</v>
      </c>
      <c r="F4498" t="s">
        <v>42</v>
      </c>
      <c r="G4498">
        <v>-191.40780000000001</v>
      </c>
      <c r="H4498" s="1">
        <v>-2.8583990000000002E-6</v>
      </c>
      <c r="I4498">
        <v>164.84610000000001</v>
      </c>
      <c r="J4498">
        <v>-191.9555</v>
      </c>
      <c r="K4498">
        <v>1.110333</v>
      </c>
      <c r="L4498">
        <v>185.72030000000001</v>
      </c>
      <c r="M4498">
        <v>8.1155840000000003E-3</v>
      </c>
      <c r="N4498">
        <v>-1.320959E-2</v>
      </c>
      <c r="O4498">
        <v>-0.9998802</v>
      </c>
      <c r="P4498">
        <v>6.0133779999999998E-2</v>
      </c>
      <c r="Q4498">
        <v>-0.1145267</v>
      </c>
      <c r="R4498">
        <v>-0.99159900000000001</v>
      </c>
      <c r="S4498">
        <v>7.8613279999999994E-2</v>
      </c>
      <c r="T4498">
        <v>-0.1589999</v>
      </c>
      <c r="U4498">
        <v>-3.0021360000000001</v>
      </c>
      <c r="V4498">
        <v>-5.1948290000000001E-2</v>
      </c>
      <c r="W4498">
        <v>-0.10148160000000001</v>
      </c>
      <c r="X4498">
        <v>0.99348009999999998</v>
      </c>
      <c r="Y4498">
        <v>-1.8033939999999998E-2</v>
      </c>
      <c r="Z4498">
        <v>3.9677879999999999E-2</v>
      </c>
      <c r="AA4498">
        <v>0.99904979999999999</v>
      </c>
      <c r="AB4498">
        <v>18</v>
      </c>
      <c r="AC4498">
        <v>0.54769999999999097</v>
      </c>
      <c r="AD4498">
        <v>-1.110335858399</v>
      </c>
      <c r="AE4498">
        <v>-20.874199999999998</v>
      </c>
      <c r="AF4498">
        <v>-0.37719443303754902</v>
      </c>
      <c r="AG4498">
        <v>-1.110335858399</v>
      </c>
      <c r="AH4498">
        <v>20.819093445268901</v>
      </c>
      <c r="AI4498">
        <v>93.052339198074094</v>
      </c>
      <c r="AJ4498">
        <v>91.037955130217696</v>
      </c>
      <c r="AK4498">
        <v>20.8520927784623</v>
      </c>
      <c r="AL4498">
        <v>95.824494419140194</v>
      </c>
      <c r="AM4498">
        <v>92.993225070526904</v>
      </c>
      <c r="AN4498">
        <v>0.99999992453424402</v>
      </c>
    </row>
    <row r="4499" spans="1:40" x14ac:dyDescent="0.25">
      <c r="A4499" t="str">
        <f>"20190305135022320"</f>
        <v>20190305135022320</v>
      </c>
      <c r="B4499" t="str">
        <f>"1551765022314978"</f>
        <v>1551765022314978</v>
      </c>
      <c r="C4499" t="s">
        <v>40</v>
      </c>
      <c r="D4499">
        <v>4.3833010000000003</v>
      </c>
      <c r="E4499">
        <v>0.51371869999999997</v>
      </c>
      <c r="F4499" t="s">
        <v>42</v>
      </c>
      <c r="G4499">
        <v>-191.40219999999999</v>
      </c>
      <c r="H4499" s="1">
        <v>-3.0180970000000001E-6</v>
      </c>
      <c r="I4499">
        <v>165.18709999999999</v>
      </c>
      <c r="J4499">
        <v>-191.95419999999999</v>
      </c>
      <c r="K4499">
        <v>1.1103000000000001</v>
      </c>
      <c r="L4499">
        <v>185.63390000000001</v>
      </c>
      <c r="M4499">
        <v>8.5944590000000005E-3</v>
      </c>
      <c r="N4499">
        <v>-1.3150530000000001E-2</v>
      </c>
      <c r="O4499">
        <v>-0.99987680000000001</v>
      </c>
      <c r="P4499">
        <v>6.0487840000000001E-2</v>
      </c>
      <c r="Q4499">
        <v>-0.1152271</v>
      </c>
      <c r="R4499">
        <v>-0.99149600000000004</v>
      </c>
      <c r="S4499">
        <v>8.0886840000000002E-2</v>
      </c>
      <c r="T4499">
        <v>-0.1623204</v>
      </c>
      <c r="U4499">
        <v>-3.0017550000000002</v>
      </c>
      <c r="V4499">
        <v>-5.1831019999999998E-2</v>
      </c>
      <c r="W4499">
        <v>-0.1022392</v>
      </c>
      <c r="X4499">
        <v>0.99340859999999997</v>
      </c>
      <c r="Y4499">
        <v>-1.8313090000000001E-2</v>
      </c>
      <c r="Z4499">
        <v>4.0844499999999999E-2</v>
      </c>
      <c r="AA4499">
        <v>0.99899769999999999</v>
      </c>
      <c r="AB4499">
        <v>18</v>
      </c>
      <c r="AC4499">
        <v>0.55199999999999205</v>
      </c>
      <c r="AD4499">
        <v>-1.1103030180969999</v>
      </c>
      <c r="AE4499">
        <v>-20.4468</v>
      </c>
      <c r="AF4499">
        <v>-0.37512992034023901</v>
      </c>
      <c r="AG4499">
        <v>-1.1103030180969999</v>
      </c>
      <c r="AH4499">
        <v>20.390706728217399</v>
      </c>
      <c r="AI4499">
        <v>93.116232598282593</v>
      </c>
      <c r="AJ4499">
        <v>91.053957430203397</v>
      </c>
      <c r="AK4499">
        <v>20.424358401803001</v>
      </c>
      <c r="AL4499">
        <v>95.868128348249698</v>
      </c>
      <c r="AM4499">
        <v>92.986694859960295</v>
      </c>
      <c r="AN4499">
        <v>0.99999997760241999</v>
      </c>
    </row>
    <row r="4500" spans="1:40" x14ac:dyDescent="0.25">
      <c r="A4500" t="str">
        <f>"20190305135022332"</f>
        <v>20190305135022332</v>
      </c>
      <c r="B4500" t="str">
        <f>"1551765022324739"</f>
        <v>1551765022324739</v>
      </c>
      <c r="C4500" t="s">
        <v>40</v>
      </c>
      <c r="D4500">
        <v>4.3796390000000001</v>
      </c>
      <c r="E4500">
        <v>0.51355130000000004</v>
      </c>
      <c r="F4500" t="s">
        <v>42</v>
      </c>
      <c r="G4500">
        <v>-191.3981</v>
      </c>
      <c r="H4500" s="1">
        <v>-3.1933719999999999E-6</v>
      </c>
      <c r="I4500">
        <v>165.56020000000001</v>
      </c>
      <c r="J4500">
        <v>-191.95269999999999</v>
      </c>
      <c r="K4500">
        <v>1.1102650000000001</v>
      </c>
      <c r="L4500">
        <v>185.53960000000001</v>
      </c>
      <c r="M4500">
        <v>9.1131660000000007E-3</v>
      </c>
      <c r="N4500">
        <v>-1.308206E-2</v>
      </c>
      <c r="O4500">
        <v>-0.99987289999999995</v>
      </c>
      <c r="P4500">
        <v>6.0826280000000003E-2</v>
      </c>
      <c r="Q4500">
        <v>-0.11580500000000001</v>
      </c>
      <c r="R4500">
        <v>-0.99140810000000001</v>
      </c>
      <c r="S4500">
        <v>8.3145140000000006E-2</v>
      </c>
      <c r="T4500">
        <v>-0.16601050000000001</v>
      </c>
      <c r="U4500">
        <v>-3.0013890000000001</v>
      </c>
      <c r="V4500">
        <v>-5.165989E-2</v>
      </c>
      <c r="W4500">
        <v>-0.1028834</v>
      </c>
      <c r="X4500">
        <v>0.99335099999999998</v>
      </c>
      <c r="Y4500">
        <v>-1.85471E-2</v>
      </c>
      <c r="Z4500">
        <v>4.2142890000000002E-2</v>
      </c>
      <c r="AA4500">
        <v>0.99893949999999998</v>
      </c>
      <c r="AB4500">
        <v>18</v>
      </c>
      <c r="AC4500">
        <v>0.55459999999999299</v>
      </c>
      <c r="AD4500">
        <v>-1.110268193372</v>
      </c>
      <c r="AE4500">
        <v>-19.979399999999998</v>
      </c>
      <c r="AF4500">
        <v>-0.371339944632393</v>
      </c>
      <c r="AG4500">
        <v>-1.110268193372</v>
      </c>
      <c r="AH4500">
        <v>19.92215063015</v>
      </c>
      <c r="AI4500">
        <v>93.189260685832906</v>
      </c>
      <c r="AJ4500">
        <v>91.067843953302798</v>
      </c>
      <c r="AK4500">
        <v>19.9565196000224</v>
      </c>
      <c r="AL4500">
        <v>95.905233983493005</v>
      </c>
      <c r="AM4500">
        <v>92.977023786890001</v>
      </c>
      <c r="AN4500">
        <v>0.99999997371568505</v>
      </c>
    </row>
    <row r="4501" spans="1:40" x14ac:dyDescent="0.25">
      <c r="A4501" t="str">
        <f>"20190305135022343"</f>
        <v>20190305135022343</v>
      </c>
      <c r="B4501" t="str">
        <f>"1551765022334498"</f>
        <v>1551765022334498</v>
      </c>
      <c r="C4501" t="s">
        <v>40</v>
      </c>
      <c r="D4501">
        <v>4.3755709999999999</v>
      </c>
      <c r="E4501">
        <v>0.51348899999999997</v>
      </c>
      <c r="F4501" t="s">
        <v>42</v>
      </c>
      <c r="G4501">
        <v>-191.3937</v>
      </c>
      <c r="H4501" s="1">
        <v>-3.3423690000000002E-6</v>
      </c>
      <c r="I4501">
        <v>165.87790000000001</v>
      </c>
      <c r="J4501">
        <v>-191.9512</v>
      </c>
      <c r="K4501">
        <v>1.1102259999999999</v>
      </c>
      <c r="L4501">
        <v>185.44409999999999</v>
      </c>
      <c r="M4501">
        <v>9.6268099999999995E-3</v>
      </c>
      <c r="N4501">
        <v>-1.299996E-2</v>
      </c>
      <c r="O4501">
        <v>-0.99986929999999996</v>
      </c>
      <c r="P4501">
        <v>6.1481470000000003E-2</v>
      </c>
      <c r="Q4501">
        <v>-0.1165079</v>
      </c>
      <c r="R4501">
        <v>-0.99128510000000003</v>
      </c>
      <c r="S4501">
        <v>8.5327150000000004E-2</v>
      </c>
      <c r="T4501">
        <v>-0.16946029999999901</v>
      </c>
      <c r="U4501">
        <v>-3.0009769999999998</v>
      </c>
      <c r="V4501">
        <v>-5.1809590000000003E-2</v>
      </c>
      <c r="W4501">
        <v>-0.103667</v>
      </c>
      <c r="X4501">
        <v>0.99326179999999997</v>
      </c>
      <c r="Y4501">
        <v>-1.8761369999999999E-2</v>
      </c>
      <c r="Z4501">
        <v>4.3376079999999997E-2</v>
      </c>
      <c r="AA4501">
        <v>0.99888270000000001</v>
      </c>
      <c r="AB4501">
        <v>18</v>
      </c>
      <c r="AC4501">
        <v>0.55750000000000399</v>
      </c>
      <c r="AD4501">
        <v>-1.1102293423689999</v>
      </c>
      <c r="AE4501">
        <v>-19.566199999999899</v>
      </c>
      <c r="AF4501">
        <v>-0.36791457553462897</v>
      </c>
      <c r="AG4501">
        <v>-1.1102293423689999</v>
      </c>
      <c r="AH4501">
        <v>19.507902360386201</v>
      </c>
      <c r="AI4501">
        <v>93.2567128950773</v>
      </c>
      <c r="AJ4501">
        <v>91.080457202784402</v>
      </c>
      <c r="AK4501">
        <v>19.5429328615208</v>
      </c>
      <c r="AL4501">
        <v>95.950371914193497</v>
      </c>
      <c r="AM4501">
        <v>92.985902659211803</v>
      </c>
      <c r="AN4501">
        <v>1.0000000419221</v>
      </c>
    </row>
    <row r="4502" spans="1:40" x14ac:dyDescent="0.25">
      <c r="A4502" t="str">
        <f>"20190305135022354"</f>
        <v>20190305135022354</v>
      </c>
      <c r="B4502" t="str">
        <f>"1551765022345233"</f>
        <v>1551765022345233</v>
      </c>
      <c r="C4502" t="s">
        <v>40</v>
      </c>
      <c r="D4502">
        <v>4.3517270000000003</v>
      </c>
      <c r="E4502">
        <v>0.51328689999999999</v>
      </c>
      <c r="F4502" t="s">
        <v>42</v>
      </c>
      <c r="G4502">
        <v>-191.3844</v>
      </c>
      <c r="H4502" s="1">
        <v>-3.4366810000000002E-6</v>
      </c>
      <c r="I4502">
        <v>166.08260000000001</v>
      </c>
      <c r="J4502">
        <v>-191.94990000000001</v>
      </c>
      <c r="K4502">
        <v>1.110196</v>
      </c>
      <c r="L4502">
        <v>185.3646</v>
      </c>
      <c r="M4502">
        <v>1.005256E-2</v>
      </c>
      <c r="N4502">
        <v>-1.292928E-2</v>
      </c>
      <c r="O4502">
        <v>-0.99986609999999998</v>
      </c>
      <c r="P4502">
        <v>6.2034859999999997E-2</v>
      </c>
      <c r="Q4502">
        <v>-0.11688949999999999</v>
      </c>
      <c r="R4502">
        <v>-0.99120600000000003</v>
      </c>
      <c r="S4502">
        <v>8.7844850000000002E-2</v>
      </c>
      <c r="T4502">
        <v>-0.17206589999999999</v>
      </c>
      <c r="U4502">
        <v>-3.0006870000000001</v>
      </c>
      <c r="V4502">
        <v>-5.1944009999999999E-2</v>
      </c>
      <c r="W4502">
        <v>-0.1041179</v>
      </c>
      <c r="X4502">
        <v>0.99320759999999997</v>
      </c>
      <c r="Y4502">
        <v>-1.917435E-2</v>
      </c>
      <c r="Z4502">
        <v>4.4315340000000002E-2</v>
      </c>
      <c r="AA4502">
        <v>0.99883359999999999</v>
      </c>
      <c r="AB4502">
        <v>18</v>
      </c>
      <c r="AC4502">
        <v>0.56550000000001399</v>
      </c>
      <c r="AD4502">
        <v>-1.110199436681</v>
      </c>
      <c r="AE4502">
        <v>-19.281999999999901</v>
      </c>
      <c r="AF4502">
        <v>-0.37039495431192399</v>
      </c>
      <c r="AG4502">
        <v>-1.110199436681</v>
      </c>
      <c r="AH4502">
        <v>19.223039038896399</v>
      </c>
      <c r="AI4502">
        <v>93.304752942932495</v>
      </c>
      <c r="AJ4502">
        <v>91.103854693723505</v>
      </c>
      <c r="AK4502">
        <v>19.2586335211593</v>
      </c>
      <c r="AL4502">
        <v>95.976347233879807</v>
      </c>
      <c r="AM4502">
        <v>92.993798579043798</v>
      </c>
      <c r="AN4502">
        <v>1.0000000269865199</v>
      </c>
    </row>
    <row r="4503" spans="1:40" x14ac:dyDescent="0.25">
      <c r="A4503" t="str">
        <f>"20190305135022367"</f>
        <v>20190305135022367</v>
      </c>
      <c r="B4503" t="str">
        <f>"1551765022354995"</f>
        <v>1551765022354995</v>
      </c>
      <c r="C4503" t="s">
        <v>40</v>
      </c>
      <c r="D4503">
        <v>4.3681109999999999</v>
      </c>
      <c r="E4503">
        <v>0.51299490000000003</v>
      </c>
      <c r="F4503" t="s">
        <v>42</v>
      </c>
      <c r="G4503">
        <v>-191.36969999999999</v>
      </c>
      <c r="H4503" s="1">
        <v>-3.504181E-6</v>
      </c>
      <c r="I4503">
        <v>166.2337</v>
      </c>
      <c r="J4503">
        <v>-191.94820000000001</v>
      </c>
      <c r="K4503">
        <v>1.1101639999999999</v>
      </c>
      <c r="L4503">
        <v>185.25970000000001</v>
      </c>
      <c r="M4503">
        <v>1.0611809999999999E-2</v>
      </c>
      <c r="N4503">
        <v>-1.283217E-2</v>
      </c>
      <c r="O4503">
        <v>-0.99986160000000002</v>
      </c>
      <c r="P4503">
        <v>6.2548709999999993E-2</v>
      </c>
      <c r="Q4503">
        <v>-0.117073499999999</v>
      </c>
      <c r="R4503">
        <v>-0.99115180000000003</v>
      </c>
      <c r="S4503">
        <v>9.1003420000000002E-2</v>
      </c>
      <c r="T4503">
        <v>-0.1741161</v>
      </c>
      <c r="U4503">
        <v>-3.0003660000000001</v>
      </c>
      <c r="V4503">
        <v>-5.1907920000000003E-2</v>
      </c>
      <c r="W4503">
        <v>-0.10439660000000001</v>
      </c>
      <c r="X4503">
        <v>0.99318019999999996</v>
      </c>
      <c r="Y4503">
        <v>-1.9667529999999999E-2</v>
      </c>
      <c r="Z4503">
        <v>4.5097070000000003E-2</v>
      </c>
      <c r="AA4503">
        <v>0.99878900000000004</v>
      </c>
      <c r="AB4503">
        <v>18</v>
      </c>
      <c r="AC4503">
        <v>0.578500000000019</v>
      </c>
      <c r="AD4503">
        <v>-1.110167504181</v>
      </c>
      <c r="AE4503">
        <v>-19.026</v>
      </c>
      <c r="AF4503">
        <v>-0.37527402433891099</v>
      </c>
      <c r="AG4503">
        <v>-1.110167504181</v>
      </c>
      <c r="AH4503">
        <v>18.966551719722101</v>
      </c>
      <c r="AI4503">
        <v>93.3492126179639</v>
      </c>
      <c r="AJ4503">
        <v>91.133511923801393</v>
      </c>
      <c r="AK4503">
        <v>19.0027205056954</v>
      </c>
      <c r="AL4503">
        <v>95.992403252290501</v>
      </c>
      <c r="AM4503">
        <v>92.991804694171705</v>
      </c>
      <c r="AN4503">
        <v>0.99999999596116296</v>
      </c>
    </row>
    <row r="4504" spans="1:40" x14ac:dyDescent="0.25">
      <c r="A4504" t="str">
        <f>"20190305135022380"</f>
        <v>20190305135022380</v>
      </c>
      <c r="B4504" t="str">
        <f>"1551765022374514"</f>
        <v>1551765022374514</v>
      </c>
      <c r="C4504" t="s">
        <v>40</v>
      </c>
      <c r="D4504">
        <v>4.4125940000000003</v>
      </c>
      <c r="E4504">
        <v>0.51263080000000005</v>
      </c>
      <c r="F4504" t="s">
        <v>42</v>
      </c>
      <c r="G4504">
        <v>-191.34960000000001</v>
      </c>
      <c r="H4504" s="1">
        <v>-3.540669E-6</v>
      </c>
      <c r="I4504">
        <v>166.32210000000001</v>
      </c>
      <c r="J4504">
        <v>-191.94640000000001</v>
      </c>
      <c r="K4504">
        <v>1.1101379999999901</v>
      </c>
      <c r="L4504">
        <v>185.15719999999999</v>
      </c>
      <c r="M4504">
        <v>1.1160410000000001E-2</v>
      </c>
      <c r="N4504">
        <v>-1.2735659999999999E-2</v>
      </c>
      <c r="O4504">
        <v>-0.99985679999999999</v>
      </c>
      <c r="P4504">
        <v>6.3140119999999994E-2</v>
      </c>
      <c r="Q4504">
        <v>-0.1170216</v>
      </c>
      <c r="R4504">
        <v>-0.99112049999999996</v>
      </c>
      <c r="S4504">
        <v>9.4818120000000006E-2</v>
      </c>
      <c r="T4504">
        <v>-0.175868</v>
      </c>
      <c r="U4504">
        <v>-3.0000149999999999</v>
      </c>
      <c r="V4504">
        <v>-5.1958360000000002E-2</v>
      </c>
      <c r="W4504">
        <v>-0.104439</v>
      </c>
      <c r="X4504">
        <v>0.99317310000000003</v>
      </c>
      <c r="Y4504">
        <v>-2.0389999999999998E-2</v>
      </c>
      <c r="Z4504">
        <v>4.5779470000000003E-2</v>
      </c>
      <c r="AA4504">
        <v>0.99874350000000001</v>
      </c>
      <c r="AB4504">
        <v>18</v>
      </c>
      <c r="AC4504">
        <v>0.596800000000001</v>
      </c>
      <c r="AD4504">
        <v>-1.1101415406689901</v>
      </c>
      <c r="AE4504">
        <v>-18.835099999999901</v>
      </c>
      <c r="AF4504">
        <v>-0.38520155640422898</v>
      </c>
      <c r="AG4504">
        <v>-1.1101415406689901</v>
      </c>
      <c r="AH4504">
        <v>18.775428769753201</v>
      </c>
      <c r="AI4504">
        <v>93.383098277556499</v>
      </c>
      <c r="AJ4504">
        <v>91.175330155795294</v>
      </c>
      <c r="AK4504">
        <v>18.8121641489609</v>
      </c>
      <c r="AL4504">
        <v>95.994845974760096</v>
      </c>
      <c r="AM4504">
        <v>92.994727972991996</v>
      </c>
      <c r="AN4504">
        <v>0.99999999122924899</v>
      </c>
    </row>
    <row r="4505" spans="1:40" x14ac:dyDescent="0.25">
      <c r="A4505" t="str">
        <f>"20190305135022392"</f>
        <v>20190305135022392</v>
      </c>
      <c r="B4505" t="str">
        <f>"1551765022385250"</f>
        <v>1551765022385250</v>
      </c>
      <c r="C4505" t="s">
        <v>40</v>
      </c>
      <c r="D4505">
        <v>4.3198220000000003</v>
      </c>
      <c r="E4505">
        <v>0.51256449999999998</v>
      </c>
      <c r="F4505" t="s">
        <v>42</v>
      </c>
      <c r="G4505">
        <v>-191.32499999999999</v>
      </c>
      <c r="H4505" s="1">
        <v>-3.5652850000000002E-6</v>
      </c>
      <c r="I4505">
        <v>166.38810000000001</v>
      </c>
      <c r="J4505">
        <v>-191.94479999999999</v>
      </c>
      <c r="K4505">
        <v>1.1101160000000001</v>
      </c>
      <c r="L4505">
        <v>185.06360000000001</v>
      </c>
      <c r="M4505">
        <v>1.1662489999999999E-2</v>
      </c>
      <c r="N4505">
        <v>-1.264769E-2</v>
      </c>
      <c r="O4505">
        <v>-0.99985219999999997</v>
      </c>
      <c r="P4505">
        <v>6.3628749999999998E-2</v>
      </c>
      <c r="Q4505">
        <v>-0.11638950000000001</v>
      </c>
      <c r="R4505">
        <v>-0.99116360000000003</v>
      </c>
      <c r="S4505">
        <v>9.9304199999999995E-2</v>
      </c>
      <c r="T4505">
        <v>-0.17741699999999999</v>
      </c>
      <c r="U4505">
        <v>-2.9995880000000001</v>
      </c>
      <c r="V4505">
        <v>-5.1951400000000002E-2</v>
      </c>
      <c r="W4505">
        <v>-0.1038922</v>
      </c>
      <c r="X4505">
        <v>0.99323079999999997</v>
      </c>
      <c r="Y4505">
        <v>-2.138321E-2</v>
      </c>
      <c r="Z4505">
        <v>4.6387159999999997E-2</v>
      </c>
      <c r="AA4505">
        <v>0.99869470000000005</v>
      </c>
      <c r="AB4505">
        <v>18</v>
      </c>
      <c r="AC4505">
        <v>0.61979999999999702</v>
      </c>
      <c r="AD4505">
        <v>-1.11011956528499</v>
      </c>
      <c r="AE4505">
        <v>-18.6755</v>
      </c>
      <c r="AF4505">
        <v>-0.40052396871686602</v>
      </c>
      <c r="AG4505">
        <v>-1.11011956528499</v>
      </c>
      <c r="AH4505">
        <v>18.615753807390899</v>
      </c>
      <c r="AI4505">
        <v>93.411909413762203</v>
      </c>
      <c r="AJ4505">
        <v>91.232547079429494</v>
      </c>
      <c r="AK4505">
        <v>18.6531250656863</v>
      </c>
      <c r="AL4505">
        <v>95.963345346445607</v>
      </c>
      <c r="AM4505">
        <v>92.994153915334707</v>
      </c>
      <c r="AN4505">
        <v>0.99999997962571896</v>
      </c>
    </row>
    <row r="4506" spans="1:40" x14ac:dyDescent="0.25">
      <c r="A4506" t="str">
        <f>"20190305135022402"</f>
        <v>20190305135022402</v>
      </c>
      <c r="B4506" t="str">
        <f>"1551765022395010"</f>
        <v>1551765022395010</v>
      </c>
      <c r="C4506" t="s">
        <v>40</v>
      </c>
      <c r="D4506">
        <v>4.3624650000000003</v>
      </c>
      <c r="E4506">
        <v>0.51242849999999995</v>
      </c>
      <c r="F4506" t="s">
        <v>42</v>
      </c>
      <c r="G4506">
        <v>-191.30590000000001</v>
      </c>
      <c r="H4506" s="1">
        <v>-3.4305329999999999E-6</v>
      </c>
      <c r="I4506">
        <v>166.11369999999999</v>
      </c>
      <c r="J4506">
        <v>-191.94319999999999</v>
      </c>
      <c r="K4506">
        <v>1.1101049999999999</v>
      </c>
      <c r="L4506">
        <v>184.9778</v>
      </c>
      <c r="M4506">
        <v>1.2126949999999999E-2</v>
      </c>
      <c r="N4506">
        <v>-1.25682E-2</v>
      </c>
      <c r="O4506">
        <v>-0.99984770000000001</v>
      </c>
      <c r="P4506">
        <v>6.4224539999999997E-2</v>
      </c>
      <c r="Q4506">
        <v>-0.1155939</v>
      </c>
      <c r="R4506">
        <v>-0.9912183</v>
      </c>
      <c r="S4506">
        <v>0.10112</v>
      </c>
      <c r="T4506">
        <v>-0.17572309999999999</v>
      </c>
      <c r="U4506">
        <v>-2.999619</v>
      </c>
      <c r="V4506">
        <v>-5.208745E-2</v>
      </c>
      <c r="W4506">
        <v>-0.10317419999999999</v>
      </c>
      <c r="X4506">
        <v>0.99329849999999997</v>
      </c>
      <c r="Y4506">
        <v>-2.1523170000000001E-2</v>
      </c>
      <c r="Z4506">
        <v>4.5903039999999999E-2</v>
      </c>
      <c r="AA4506">
        <v>0.99871399999999999</v>
      </c>
      <c r="AB4506">
        <v>18</v>
      </c>
      <c r="AC4506">
        <v>0.63729999999998199</v>
      </c>
      <c r="AD4506">
        <v>-1.11010843053299</v>
      </c>
      <c r="AE4506">
        <v>-18.864100000000001</v>
      </c>
      <c r="AF4506">
        <v>-0.40706304080174899</v>
      </c>
      <c r="AG4506">
        <v>-1.11010843053299</v>
      </c>
      <c r="AH4506">
        <v>18.805391991943299</v>
      </c>
      <c r="AI4506">
        <v>93.377539638119003</v>
      </c>
      <c r="AJ4506">
        <v>91.240035442092903</v>
      </c>
      <c r="AK4506">
        <v>18.842526609172399</v>
      </c>
      <c r="AL4506">
        <v>95.921984795399297</v>
      </c>
      <c r="AM4506">
        <v>93.001776432217497</v>
      </c>
      <c r="AN4506">
        <v>0.99999996404769498</v>
      </c>
    </row>
    <row r="4507" spans="1:40" x14ac:dyDescent="0.25">
      <c r="A4507" t="str">
        <f>"20190305135022413"</f>
        <v>20190305135022413</v>
      </c>
      <c r="B4507" t="str">
        <f>"1551765022404770"</f>
        <v>1551765022404770</v>
      </c>
      <c r="C4507" t="s">
        <v>40</v>
      </c>
      <c r="D4507">
        <v>4.3824560000000004</v>
      </c>
      <c r="E4507">
        <v>0.51231459999999995</v>
      </c>
      <c r="F4507" t="s">
        <v>42</v>
      </c>
      <c r="G4507">
        <v>-191.27930000000001</v>
      </c>
      <c r="H4507" s="1">
        <v>-3.2754739999999999E-6</v>
      </c>
      <c r="I4507">
        <v>165.80070000000001</v>
      </c>
      <c r="J4507">
        <v>-191.9417</v>
      </c>
      <c r="K4507">
        <v>1.110098</v>
      </c>
      <c r="L4507">
        <v>184.89359999999999</v>
      </c>
      <c r="M4507">
        <v>1.2584049999999999E-2</v>
      </c>
      <c r="N4507">
        <v>-1.2490859999999999E-2</v>
      </c>
      <c r="O4507">
        <v>-0.99984309999999998</v>
      </c>
      <c r="P4507">
        <v>6.476701E-2</v>
      </c>
      <c r="Q4507">
        <v>-0.1145987</v>
      </c>
      <c r="R4507">
        <v>-0.99129889999999998</v>
      </c>
      <c r="S4507">
        <v>0.10385129999999999</v>
      </c>
      <c r="T4507">
        <v>-0.17363909999999999</v>
      </c>
      <c r="U4507">
        <v>-2.999603</v>
      </c>
      <c r="V4507">
        <v>-5.2177220000000003E-2</v>
      </c>
      <c r="W4507">
        <v>-0.1022541</v>
      </c>
      <c r="X4507">
        <v>0.99338899999999997</v>
      </c>
      <c r="Y4507">
        <v>-2.197557E-2</v>
      </c>
      <c r="Z4507">
        <v>4.528774E-2</v>
      </c>
      <c r="AA4507">
        <v>0.99873230000000002</v>
      </c>
      <c r="AB4507">
        <v>18</v>
      </c>
      <c r="AC4507">
        <v>0.662399999999991</v>
      </c>
      <c r="AD4507">
        <v>-1.1101012754740001</v>
      </c>
      <c r="AE4507">
        <v>-19.092899999999901</v>
      </c>
      <c r="AF4507">
        <v>-0.42064258606364002</v>
      </c>
      <c r="AG4507">
        <v>-1.1101012754740001</v>
      </c>
      <c r="AH4507">
        <v>19.035452212987401</v>
      </c>
      <c r="AI4507">
        <v>93.336757555331403</v>
      </c>
      <c r="AJ4507">
        <v>91.2659075695654</v>
      </c>
      <c r="AK4507">
        <v>19.072433142626199</v>
      </c>
      <c r="AL4507">
        <v>95.868986219317506</v>
      </c>
      <c r="AM4507">
        <v>93.006666914800803</v>
      </c>
      <c r="AN4507">
        <v>1.0000000342873601</v>
      </c>
    </row>
    <row r="4508" spans="1:40" x14ac:dyDescent="0.25">
      <c r="A4508" t="str">
        <f>"20190305135022425"</f>
        <v>20190305135022425</v>
      </c>
      <c r="B4508" t="str">
        <f>"1551765022414530"</f>
        <v>1551765022414530</v>
      </c>
      <c r="C4508" t="s">
        <v>40</v>
      </c>
      <c r="D4508">
        <v>4.3835329999999999</v>
      </c>
      <c r="E4508">
        <v>0.51222040000000002</v>
      </c>
      <c r="F4508" t="s">
        <v>42</v>
      </c>
      <c r="G4508">
        <v>-191.2509</v>
      </c>
      <c r="H4508" s="1">
        <v>-3.0915360000000001E-6</v>
      </c>
      <c r="I4508">
        <v>165.42760000000001</v>
      </c>
      <c r="J4508">
        <v>-191.93989999999999</v>
      </c>
      <c r="K4508">
        <v>1.1100939999999999</v>
      </c>
      <c r="L4508">
        <v>184.80119999999999</v>
      </c>
      <c r="M4508">
        <v>1.308898E-2</v>
      </c>
      <c r="N4508">
        <v>-1.240698E-2</v>
      </c>
      <c r="O4508">
        <v>-0.99983759999999999</v>
      </c>
      <c r="P4508">
        <v>6.5550250000000004E-2</v>
      </c>
      <c r="Q4508">
        <v>-0.1141115</v>
      </c>
      <c r="R4508">
        <v>-0.9913033</v>
      </c>
      <c r="S4508">
        <v>0.10644530000000001</v>
      </c>
      <c r="T4508">
        <v>-0.17105960000000001</v>
      </c>
      <c r="U4508">
        <v>-2.9995880000000001</v>
      </c>
      <c r="V4508">
        <v>-5.2459819999999997E-2</v>
      </c>
      <c r="W4508">
        <v>-0.1018502</v>
      </c>
      <c r="X4508">
        <v>0.99341559999999995</v>
      </c>
      <c r="Y4508">
        <v>-2.2334759999999999E-2</v>
      </c>
      <c r="Z4508">
        <v>4.4514570000000003E-2</v>
      </c>
      <c r="AA4508">
        <v>0.99875899999999995</v>
      </c>
      <c r="AB4508">
        <v>18</v>
      </c>
      <c r="AC4508">
        <v>0.68899999999999195</v>
      </c>
      <c r="AD4508">
        <v>-1.110097091536</v>
      </c>
      <c r="AE4508">
        <v>-19.3735999999999</v>
      </c>
      <c r="AF4508">
        <v>-0.43391799391331198</v>
      </c>
      <c r="AG4508">
        <v>-1.110097091536</v>
      </c>
      <c r="AH4508">
        <v>19.317615065971399</v>
      </c>
      <c r="AI4508">
        <v>93.288087925635907</v>
      </c>
      <c r="AJ4508">
        <v>91.286778390013694</v>
      </c>
      <c r="AK4508">
        <v>19.3543496975518</v>
      </c>
      <c r="AL4508">
        <v>95.845723052167202</v>
      </c>
      <c r="AM4508">
        <v>93.022840579408594</v>
      </c>
      <c r="AN4508">
        <v>1.0000000251389101</v>
      </c>
    </row>
    <row r="4509" spans="1:40" x14ac:dyDescent="0.25">
      <c r="A4509" t="str">
        <f>"20190305135022437"</f>
        <v>20190305135022437</v>
      </c>
      <c r="B4509" t="str">
        <f>"1551765022435027"</f>
        <v>1551765022435027</v>
      </c>
      <c r="C4509" t="s">
        <v>40</v>
      </c>
      <c r="D4509">
        <v>4.3344769999999997</v>
      </c>
      <c r="E4509">
        <v>0.51209950000000004</v>
      </c>
      <c r="F4509" t="s">
        <v>42</v>
      </c>
      <c r="G4509">
        <v>-191.22399999999999</v>
      </c>
      <c r="H4509" s="1">
        <v>-2.9777479999999999E-6</v>
      </c>
      <c r="I4509">
        <v>165.202</v>
      </c>
      <c r="J4509">
        <v>-191.93809999999999</v>
      </c>
      <c r="K4509">
        <v>1.1100890000000001</v>
      </c>
      <c r="L4509">
        <v>184.7064</v>
      </c>
      <c r="M4509">
        <v>1.361068E-2</v>
      </c>
      <c r="N4509">
        <v>-1.2323000000000001E-2</v>
      </c>
      <c r="O4509">
        <v>-0.99983169999999999</v>
      </c>
      <c r="P4509">
        <v>6.5978560000000006E-2</v>
      </c>
      <c r="Q4509">
        <v>-0.1132138</v>
      </c>
      <c r="R4509">
        <v>-0.99137799999999998</v>
      </c>
      <c r="S4509">
        <v>0.1095734</v>
      </c>
      <c r="T4509">
        <v>-0.16989170000000001</v>
      </c>
      <c r="U4509">
        <v>-2.9994960000000002</v>
      </c>
      <c r="V4509">
        <v>-5.2369930000000002E-2</v>
      </c>
      <c r="W4509">
        <v>-0.10103479999999999</v>
      </c>
      <c r="X4509">
        <v>0.99350360000000004</v>
      </c>
      <c r="Y4509">
        <v>-2.285481E-2</v>
      </c>
      <c r="Z4509">
        <v>4.4210899999999997E-2</v>
      </c>
      <c r="AA4509">
        <v>0.9987608</v>
      </c>
      <c r="AB4509">
        <v>18</v>
      </c>
      <c r="AC4509">
        <v>0.71409999999997298</v>
      </c>
      <c r="AD4509">
        <v>-1.1100919777479901</v>
      </c>
      <c r="AE4509">
        <v>-19.5044</v>
      </c>
      <c r="AF4509">
        <v>-0.44709925339971401</v>
      </c>
      <c r="AG4509">
        <v>-1.1100919777479901</v>
      </c>
      <c r="AH4509">
        <v>19.4493948510951</v>
      </c>
      <c r="AI4509">
        <v>93.265803894301101</v>
      </c>
      <c r="AJ4509">
        <v>91.316873328847194</v>
      </c>
      <c r="AK4509">
        <v>19.486178743285102</v>
      </c>
      <c r="AL4509">
        <v>95.798761838815196</v>
      </c>
      <c r="AM4509">
        <v>93.017403720515702</v>
      </c>
      <c r="AN4509">
        <v>1.0000000217961</v>
      </c>
    </row>
    <row r="4510" spans="1:40" x14ac:dyDescent="0.25">
      <c r="A4510" t="str">
        <f>"20190305135022451"</f>
        <v>20190305135022451</v>
      </c>
      <c r="B4510" t="str">
        <f>"1551765022444786"</f>
        <v>1551765022444786</v>
      </c>
      <c r="C4510" t="s">
        <v>40</v>
      </c>
      <c r="D4510">
        <v>4.3926420000000004</v>
      </c>
      <c r="E4510">
        <v>0.51208140000000002</v>
      </c>
      <c r="F4510" t="s">
        <v>42</v>
      </c>
      <c r="G4510">
        <v>-191.20099999999999</v>
      </c>
      <c r="H4510" s="1">
        <v>-2.8181079999999898E-6</v>
      </c>
      <c r="I4510">
        <v>164.87719999999999</v>
      </c>
      <c r="J4510">
        <v>-191.9359</v>
      </c>
      <c r="K4510">
        <v>1.1100779999999999</v>
      </c>
      <c r="L4510">
        <v>184.59809999999999</v>
      </c>
      <c r="M4510">
        <v>1.4210209999999999E-2</v>
      </c>
      <c r="N4510">
        <v>-1.2228609999999999E-2</v>
      </c>
      <c r="O4510">
        <v>-0.9998245</v>
      </c>
      <c r="P4510">
        <v>6.6448209999999994E-2</v>
      </c>
      <c r="Q4510">
        <v>-0.1129102</v>
      </c>
      <c r="R4510">
        <v>-0.99138130000000002</v>
      </c>
      <c r="S4510">
        <v>0.111496</v>
      </c>
      <c r="T4510">
        <v>-0.1679195</v>
      </c>
      <c r="U4510">
        <v>-2.9994809999999998</v>
      </c>
      <c r="V4510">
        <v>-5.2243610000000003E-2</v>
      </c>
      <c r="W4510">
        <v>-0.100825</v>
      </c>
      <c r="X4510">
        <v>0.99353150000000001</v>
      </c>
      <c r="Y4510">
        <v>-2.2895929999999998E-2</v>
      </c>
      <c r="Z4510">
        <v>4.364987E-2</v>
      </c>
      <c r="AA4510">
        <v>0.99878449999999996</v>
      </c>
      <c r="AB4510">
        <v>18</v>
      </c>
      <c r="AC4510">
        <v>0.73490000000000999</v>
      </c>
      <c r="AD4510">
        <v>-1.110080818108</v>
      </c>
      <c r="AE4510">
        <v>-19.7209</v>
      </c>
      <c r="AF4510">
        <v>-0.45313300248281302</v>
      </c>
      <c r="AG4510">
        <v>-1.110080818108</v>
      </c>
      <c r="AH4510">
        <v>19.667123189354601</v>
      </c>
      <c r="AI4510">
        <v>93.229689928579504</v>
      </c>
      <c r="AJ4510">
        <v>91.319868480603702</v>
      </c>
      <c r="AK4510">
        <v>19.703637823658799</v>
      </c>
      <c r="AL4510">
        <v>95.7866798542683</v>
      </c>
      <c r="AM4510">
        <v>93.010054554884803</v>
      </c>
      <c r="AN4510">
        <v>0.99999995845153999</v>
      </c>
    </row>
    <row r="4511" spans="1:40" x14ac:dyDescent="0.25">
      <c r="A4511" t="str">
        <f>"20190305135022466"</f>
        <v>20190305135022466</v>
      </c>
      <c r="B4511" t="str">
        <f>"1551765022454547"</f>
        <v>1551765022454547</v>
      </c>
      <c r="C4511" t="s">
        <v>40</v>
      </c>
      <c r="D4511">
        <v>4.3914429999999998</v>
      </c>
      <c r="E4511">
        <v>0.51202959999999997</v>
      </c>
      <c r="F4511" t="s">
        <v>42</v>
      </c>
      <c r="G4511">
        <v>-191.1865</v>
      </c>
      <c r="H4511" s="1">
        <v>-2.7401490000000001E-6</v>
      </c>
      <c r="I4511">
        <v>164.72049999999999</v>
      </c>
      <c r="J4511">
        <v>-191.93340000000001</v>
      </c>
      <c r="K4511">
        <v>1.11008</v>
      </c>
      <c r="L4511">
        <v>184.47749999999999</v>
      </c>
      <c r="M4511">
        <v>1.48851E-2</v>
      </c>
      <c r="N4511">
        <v>-1.212682E-2</v>
      </c>
      <c r="O4511">
        <v>-0.99981600000000004</v>
      </c>
      <c r="P4511">
        <v>6.6937090000000005E-2</v>
      </c>
      <c r="Q4511">
        <v>-0.11229119999999999</v>
      </c>
      <c r="R4511">
        <v>-0.99141869999999999</v>
      </c>
      <c r="S4511">
        <v>0.1130829</v>
      </c>
      <c r="T4511">
        <v>-0.16750680000000001</v>
      </c>
      <c r="U4511">
        <v>-2.9994510000000001</v>
      </c>
      <c r="V4511">
        <v>-5.2060639999999998E-2</v>
      </c>
      <c r="W4511">
        <v>-0.1003069</v>
      </c>
      <c r="X4511">
        <v>0.99359359999999997</v>
      </c>
      <c r="Y4511">
        <v>-2.2749399999999999E-2</v>
      </c>
      <c r="Z4511">
        <v>4.3614090000000001E-2</v>
      </c>
      <c r="AA4511">
        <v>0.99878940000000005</v>
      </c>
      <c r="AB4511">
        <v>18</v>
      </c>
      <c r="AC4511">
        <v>0.74690000000001</v>
      </c>
      <c r="AD4511">
        <v>-1.1100827401490001</v>
      </c>
      <c r="AE4511">
        <v>-19.757000000000001</v>
      </c>
      <c r="AF4511">
        <v>-0.45128812523593698</v>
      </c>
      <c r="AG4511">
        <v>-1.1100827401490001</v>
      </c>
      <c r="AH4511">
        <v>19.703813986381501</v>
      </c>
      <c r="AI4511">
        <v>93.223704219802599</v>
      </c>
      <c r="AJ4511">
        <v>91.312049792460598</v>
      </c>
      <c r="AK4511">
        <v>19.740218597368202</v>
      </c>
      <c r="AL4511">
        <v>95.756843335328298</v>
      </c>
      <c r="AM4511">
        <v>92.999344756974494</v>
      </c>
      <c r="AN4511">
        <v>1.0000000131928799</v>
      </c>
    </row>
    <row r="4512" spans="1:40" x14ac:dyDescent="0.25">
      <c r="A4512" t="str">
        <f>"20190305135022489"</f>
        <v>20190305135022489</v>
      </c>
      <c r="B4512" t="str">
        <f>"1551765022484802"</f>
        <v>1551765022484802</v>
      </c>
      <c r="C4512" t="s">
        <v>40</v>
      </c>
      <c r="D4512">
        <v>4.55938</v>
      </c>
      <c r="E4512">
        <v>0.5119669</v>
      </c>
      <c r="F4512" t="s">
        <v>42</v>
      </c>
      <c r="G4512">
        <v>-191.1669</v>
      </c>
      <c r="H4512" s="1">
        <v>-2.617527E-6</v>
      </c>
      <c r="I4512">
        <v>164.47210000000001</v>
      </c>
      <c r="J4512">
        <v>-191.92959999999999</v>
      </c>
      <c r="K4512">
        <v>1.11008</v>
      </c>
      <c r="L4512">
        <v>184.29830000000001</v>
      </c>
      <c r="M4512">
        <v>1.5899509999999999E-2</v>
      </c>
      <c r="N4512">
        <v>-1.1978620000000001E-2</v>
      </c>
      <c r="O4512">
        <v>-0.99980190000000002</v>
      </c>
      <c r="P4512">
        <v>6.7481849999999996E-2</v>
      </c>
      <c r="Q4512">
        <v>-0.1118471</v>
      </c>
      <c r="R4512">
        <v>-0.99143170000000003</v>
      </c>
      <c r="S4512">
        <v>0.1149292</v>
      </c>
      <c r="T4512">
        <v>-0.16643379999999999</v>
      </c>
      <c r="U4512">
        <v>-2.99939</v>
      </c>
      <c r="V4512">
        <v>-5.1596459999999997E-2</v>
      </c>
      <c r="W4512">
        <v>-0.1000101</v>
      </c>
      <c r="X4512">
        <v>0.99364770000000002</v>
      </c>
      <c r="Y4512">
        <v>-2.2350479999999999E-2</v>
      </c>
      <c r="Z4512">
        <v>4.3405770000000003E-2</v>
      </c>
      <c r="AA4512">
        <v>0.99880749999999996</v>
      </c>
      <c r="AB4512">
        <v>18</v>
      </c>
      <c r="AC4512">
        <v>0.76269999999999505</v>
      </c>
      <c r="AD4512">
        <v>-1.110082617527</v>
      </c>
      <c r="AE4512">
        <v>-19.8262</v>
      </c>
      <c r="AF4512">
        <v>-0.44595811910153599</v>
      </c>
      <c r="AG4512">
        <v>-1.110082617527</v>
      </c>
      <c r="AH4512">
        <v>19.773922131957899</v>
      </c>
      <c r="AI4512">
        <v>93.212323790655304</v>
      </c>
      <c r="AJ4512">
        <v>91.291963583162101</v>
      </c>
      <c r="AK4512">
        <v>19.810077196782</v>
      </c>
      <c r="AL4512">
        <v>95.739752176715101</v>
      </c>
      <c r="AM4512">
        <v>92.972488798080505</v>
      </c>
      <c r="AN4512">
        <v>0.99999998325091499</v>
      </c>
    </row>
    <row r="4513" spans="1:40" x14ac:dyDescent="0.25">
      <c r="A4513" t="str">
        <f>"20190305135022502"</f>
        <v>20190305135022502</v>
      </c>
      <c r="B4513" t="str">
        <f>"1551765022494562"</f>
        <v>1551765022494562</v>
      </c>
      <c r="C4513" t="s">
        <v>40</v>
      </c>
      <c r="D4513">
        <v>4.3349989999999998</v>
      </c>
      <c r="E4513">
        <v>0.53877909999999996</v>
      </c>
      <c r="F4513" t="s">
        <v>42</v>
      </c>
      <c r="G4513">
        <v>-191.1404</v>
      </c>
      <c r="H4513" s="1">
        <v>-2.439112E-6</v>
      </c>
      <c r="I4513">
        <v>164.1096</v>
      </c>
      <c r="J4513">
        <v>-191.9273</v>
      </c>
      <c r="K4513">
        <v>1.110077</v>
      </c>
      <c r="L4513">
        <v>184.19759999999999</v>
      </c>
      <c r="M4513">
        <v>1.6476830000000001E-2</v>
      </c>
      <c r="N4513">
        <v>-1.189694E-2</v>
      </c>
      <c r="O4513">
        <v>-0.99979359999999995</v>
      </c>
      <c r="P4513">
        <v>6.7695480000000002E-2</v>
      </c>
      <c r="Q4513">
        <v>-0.1114728</v>
      </c>
      <c r="R4513">
        <v>-0.99145939999999999</v>
      </c>
      <c r="S4513">
        <v>0.11724850000000001</v>
      </c>
      <c r="T4513">
        <v>-0.16492019999999999</v>
      </c>
      <c r="U4513">
        <v>-2.9993439999999998</v>
      </c>
      <c r="V4513">
        <v>-5.123598E-2</v>
      </c>
      <c r="W4513">
        <v>-9.9716340000000001E-2</v>
      </c>
      <c r="X4513">
        <v>0.99369589999999997</v>
      </c>
      <c r="Y4513">
        <v>-2.254577E-2</v>
      </c>
      <c r="Z4513">
        <v>4.2984410000000001E-2</v>
      </c>
      <c r="AA4513">
        <v>0.99882130000000002</v>
      </c>
      <c r="AB4513">
        <v>18</v>
      </c>
      <c r="AC4513">
        <v>0.78690000000000204</v>
      </c>
      <c r="AD4513">
        <v>-1.1100794391119999</v>
      </c>
      <c r="AE4513">
        <v>-20.087999999999901</v>
      </c>
      <c r="AF4513">
        <v>-0.45439772355236902</v>
      </c>
      <c r="AG4513">
        <v>-1.1100794391119999</v>
      </c>
      <c r="AH4513">
        <v>20.037144304328901</v>
      </c>
      <c r="AI4513">
        <v>93.170193075839904</v>
      </c>
      <c r="AJ4513">
        <v>91.2991177607596</v>
      </c>
      <c r="AK4513">
        <v>20.073014360698501</v>
      </c>
      <c r="AL4513">
        <v>95.722836267713404</v>
      </c>
      <c r="AM4513">
        <v>92.951615359205505</v>
      </c>
      <c r="AN4513">
        <v>1.0000000078931801</v>
      </c>
    </row>
    <row r="4514" spans="1:40" x14ac:dyDescent="0.25">
      <c r="A4514" t="str">
        <f>"20190305135022516"</f>
        <v>20190305135022516</v>
      </c>
      <c r="B4514" t="str">
        <f>"1551765022504322"</f>
        <v>1551765022504322</v>
      </c>
      <c r="C4514" t="s">
        <v>40</v>
      </c>
      <c r="D4514">
        <v>4.4897489999999998</v>
      </c>
      <c r="E4514">
        <v>0.54681740000000001</v>
      </c>
      <c r="F4514" t="s">
        <v>94</v>
      </c>
      <c r="G4514">
        <v>-193.143</v>
      </c>
      <c r="H4514" s="1">
        <v>-9.7232440000000007E-6</v>
      </c>
      <c r="I4514">
        <v>143.81729999999999</v>
      </c>
      <c r="J4514">
        <v>-191.9248</v>
      </c>
      <c r="K4514">
        <v>1.1100749999999999</v>
      </c>
      <c r="L4514">
        <v>184.08920000000001</v>
      </c>
      <c r="M4514">
        <v>1.7101249999999998E-2</v>
      </c>
      <c r="N4514">
        <v>-1.1809740000000001E-2</v>
      </c>
      <c r="O4514">
        <v>-0.99978429999999996</v>
      </c>
      <c r="P4514">
        <v>6.7651639999999999E-2</v>
      </c>
      <c r="Q4514">
        <v>-0.11128349999999999</v>
      </c>
      <c r="R4514">
        <v>-0.99148389999999997</v>
      </c>
      <c r="S4514">
        <v>-9.1003420000000002E-2</v>
      </c>
      <c r="T4514">
        <v>-8.3096859999999995E-2</v>
      </c>
      <c r="U4514">
        <v>-3.0227200000000001</v>
      </c>
      <c r="V4514">
        <v>-5.0570289999999997E-2</v>
      </c>
      <c r="W4514">
        <v>-9.9612790000000007E-2</v>
      </c>
      <c r="X4514">
        <v>0.99374039999999997</v>
      </c>
      <c r="Y4514">
        <v>4.7168500000000002E-2</v>
      </c>
      <c r="Z4514">
        <v>1.5642610000000001E-2</v>
      </c>
      <c r="AA4514">
        <v>0.99876450000000006</v>
      </c>
      <c r="AB4514">
        <v>18</v>
      </c>
      <c r="AC4514">
        <v>-1.21819999999999</v>
      </c>
      <c r="AD4514">
        <v>-1.1100847232440001</v>
      </c>
      <c r="AE4514">
        <v>-40.271900000000002</v>
      </c>
      <c r="AF4514">
        <v>1.9053231244403099</v>
      </c>
      <c r="AG4514">
        <v>-1.1100847232440001</v>
      </c>
      <c r="AH4514">
        <v>40.214647977871401</v>
      </c>
      <c r="AI4514">
        <v>91.579419757813994</v>
      </c>
      <c r="AJ4514">
        <v>87.287421259786299</v>
      </c>
      <c r="AK4514">
        <v>40.275059978669397</v>
      </c>
      <c r="AL4514">
        <v>95.716873519150099</v>
      </c>
      <c r="AM4514">
        <v>92.913202384564002</v>
      </c>
      <c r="AN4514">
        <v>1.0000000223772101</v>
      </c>
    </row>
    <row r="4515" spans="1:40" x14ac:dyDescent="0.25">
      <c r="A4515" t="str">
        <f>"20190305135022529"</f>
        <v>20190305135022529</v>
      </c>
      <c r="B4515" t="str">
        <f>"1551765022524350"</f>
        <v>1551765022524350</v>
      </c>
      <c r="C4515" t="s">
        <v>40</v>
      </c>
      <c r="D4515">
        <v>4.4618909999999996</v>
      </c>
      <c r="E4515">
        <v>0.5585232</v>
      </c>
      <c r="F4515" t="s">
        <v>94</v>
      </c>
      <c r="G4515">
        <v>-193.29480000000001</v>
      </c>
      <c r="H4515" s="1">
        <v>-1.45176E-5</v>
      </c>
      <c r="I4515">
        <v>157.8544</v>
      </c>
      <c r="J4515">
        <v>-191.92230000000001</v>
      </c>
      <c r="K4515">
        <v>1.1100680000000001</v>
      </c>
      <c r="L4515">
        <v>183.98</v>
      </c>
      <c r="M4515">
        <v>1.7732749999999999E-2</v>
      </c>
      <c r="N4515">
        <v>-1.1723010000000001E-2</v>
      </c>
      <c r="O4515">
        <v>-0.99977400000000005</v>
      </c>
      <c r="P4515">
        <v>6.741896E-2</v>
      </c>
      <c r="Q4515">
        <v>-0.11096979999999999</v>
      </c>
      <c r="R4515">
        <v>-0.99153440000000004</v>
      </c>
      <c r="S4515">
        <v>-0.15782170000000001</v>
      </c>
      <c r="T4515">
        <v>-0.12787960000000001</v>
      </c>
      <c r="U4515">
        <v>-3.022186</v>
      </c>
      <c r="V4515">
        <v>-4.9709959999999997E-2</v>
      </c>
      <c r="W4515">
        <v>-9.9383799999999994E-2</v>
      </c>
      <c r="X4515">
        <v>0.99380670000000004</v>
      </c>
      <c r="Y4515">
        <v>6.9805290000000006E-2</v>
      </c>
      <c r="Z4515">
        <v>3.0464700000000001E-2</v>
      </c>
      <c r="AA4515">
        <v>0.99709530000000002</v>
      </c>
      <c r="AB4515">
        <v>18</v>
      </c>
      <c r="AC4515">
        <v>-1.3725000000000001</v>
      </c>
      <c r="AD4515">
        <v>-1.1100825176</v>
      </c>
      <c r="AE4515">
        <v>-26.125599999999899</v>
      </c>
      <c r="AF4515">
        <v>1.83229579185083</v>
      </c>
      <c r="AG4515">
        <v>-1.1100825176</v>
      </c>
      <c r="AH4515">
        <v>26.050249469038299</v>
      </c>
      <c r="AI4515">
        <v>92.434069589793907</v>
      </c>
      <c r="AJ4515">
        <v>85.976614308766798</v>
      </c>
      <c r="AK4515">
        <v>26.138192142224501</v>
      </c>
      <c r="AL4515">
        <v>95.703688122904396</v>
      </c>
      <c r="AM4515">
        <v>92.863533840463106</v>
      </c>
      <c r="AN4515">
        <v>0.99999998839526505</v>
      </c>
    </row>
    <row r="4516" spans="1:40" x14ac:dyDescent="0.25">
      <c r="A4516" t="str">
        <f>"20190305135022543"</f>
        <v>20190305135022543</v>
      </c>
      <c r="B4516" t="str">
        <f>"1551765022535086"</f>
        <v>1551765022535086</v>
      </c>
      <c r="C4516" t="s">
        <v>40</v>
      </c>
      <c r="D4516">
        <v>4.4490669999999897</v>
      </c>
      <c r="E4516">
        <v>0.560998</v>
      </c>
      <c r="F4516" t="s">
        <v>42</v>
      </c>
      <c r="G4516">
        <v>-193.68680000000001</v>
      </c>
      <c r="H4516" s="1">
        <v>-2.5635979999999998E-6</v>
      </c>
      <c r="I4516">
        <v>162.93960000000001</v>
      </c>
      <c r="J4516">
        <v>-191.9194</v>
      </c>
      <c r="K4516">
        <v>1.110063</v>
      </c>
      <c r="L4516">
        <v>183.86320000000001</v>
      </c>
      <c r="M4516">
        <v>1.8410739999999998E-2</v>
      </c>
      <c r="N4516">
        <v>-1.163553E-2</v>
      </c>
      <c r="O4516">
        <v>-0.99976279999999995</v>
      </c>
      <c r="P4516">
        <v>6.6465930000000006E-2</v>
      </c>
      <c r="Q4516">
        <v>-0.1114511</v>
      </c>
      <c r="R4516">
        <v>-0.9915448</v>
      </c>
      <c r="S4516">
        <v>-0.25369259999999999</v>
      </c>
      <c r="T4516">
        <v>-0.1595964</v>
      </c>
      <c r="U4516">
        <v>-3.0250089999999998</v>
      </c>
      <c r="V4516">
        <v>-4.8082189999999997E-2</v>
      </c>
      <c r="W4516">
        <v>-9.9950070000000002E-2</v>
      </c>
      <c r="X4516">
        <v>0.99382999999999999</v>
      </c>
      <c r="Y4516">
        <v>0.1017974</v>
      </c>
      <c r="Z4516">
        <v>4.0811760000000002E-2</v>
      </c>
      <c r="AA4516">
        <v>0.99396770000000001</v>
      </c>
      <c r="AB4516">
        <v>18</v>
      </c>
      <c r="AC4516">
        <v>-1.7674000000000001</v>
      </c>
      <c r="AD4516">
        <v>-1.1100655635979999</v>
      </c>
      <c r="AE4516">
        <v>-20.9236</v>
      </c>
      <c r="AF4516">
        <v>2.1463470211421201</v>
      </c>
      <c r="AG4516">
        <v>-1.1100655635979999</v>
      </c>
      <c r="AH4516">
        <v>20.8292999406391</v>
      </c>
      <c r="AI4516">
        <v>93.034566698738601</v>
      </c>
      <c r="AJ4516">
        <v>84.1167434769078</v>
      </c>
      <c r="AK4516">
        <v>20.968995853587298</v>
      </c>
      <c r="AL4516">
        <v>95.736295344855094</v>
      </c>
      <c r="AM4516">
        <v>92.769850082852997</v>
      </c>
      <c r="AN4516">
        <v>0.99999999119409999</v>
      </c>
    </row>
    <row r="4517" spans="1:40" x14ac:dyDescent="0.25">
      <c r="A4517" t="str">
        <f>"20190305135022557"</f>
        <v>20190305135022557</v>
      </c>
      <c r="B4517" t="str">
        <f>"1551765022554606"</f>
        <v>1551765022554606</v>
      </c>
      <c r="C4517" t="s">
        <v>40</v>
      </c>
      <c r="D4517">
        <v>4.4600920000000004</v>
      </c>
      <c r="E4517">
        <v>0.56275120000000001</v>
      </c>
      <c r="F4517" t="s">
        <v>42</v>
      </c>
      <c r="G4517">
        <v>-193.7227</v>
      </c>
      <c r="H4517" s="1">
        <v>-3.1515659999999999E-6</v>
      </c>
      <c r="I4517">
        <v>164.16329999999999</v>
      </c>
      <c r="J4517">
        <v>-191.91679999999999</v>
      </c>
      <c r="K4517">
        <v>1.1100559999999999</v>
      </c>
      <c r="L4517">
        <v>183.75640000000001</v>
      </c>
      <c r="M4517">
        <v>1.9029020000000001E-2</v>
      </c>
      <c r="N4517">
        <v>-1.155847E-2</v>
      </c>
      <c r="O4517">
        <v>-0.99975230000000004</v>
      </c>
      <c r="P4517">
        <v>6.6315760000000001E-2</v>
      </c>
      <c r="Q4517">
        <v>-0.11124009999999999</v>
      </c>
      <c r="R4517">
        <v>-0.99157859999999998</v>
      </c>
      <c r="S4517">
        <v>-0.27690120000000001</v>
      </c>
      <c r="T4517">
        <v>-0.1704533</v>
      </c>
      <c r="U4517">
        <v>-3.0249790000000001</v>
      </c>
      <c r="V4517">
        <v>-4.7317959999999999E-2</v>
      </c>
      <c r="W4517">
        <v>-9.981421E-2</v>
      </c>
      <c r="X4517">
        <v>0.99388030000000005</v>
      </c>
      <c r="Y4517">
        <v>0.1099588</v>
      </c>
      <c r="Z4517">
        <v>4.440289E-2</v>
      </c>
      <c r="AA4517">
        <v>0.99294380000000004</v>
      </c>
      <c r="AB4517">
        <v>18</v>
      </c>
      <c r="AC4517">
        <v>-1.8059000000000001</v>
      </c>
      <c r="AD4517">
        <v>-1.1100591515660001</v>
      </c>
      <c r="AE4517">
        <v>-19.5931</v>
      </c>
      <c r="AF4517">
        <v>2.1715237286689999</v>
      </c>
      <c r="AG4517">
        <v>-1.1100591515660001</v>
      </c>
      <c r="AH4517">
        <v>19.493141887657899</v>
      </c>
      <c r="AI4517">
        <v>93.239259043486996</v>
      </c>
      <c r="AJ4517">
        <v>83.643494158895294</v>
      </c>
      <c r="AK4517">
        <v>19.645109500242299</v>
      </c>
      <c r="AL4517">
        <v>95.728472206979205</v>
      </c>
      <c r="AM4517">
        <v>92.725754601461205</v>
      </c>
      <c r="AN4517">
        <v>0.99999995829228705</v>
      </c>
    </row>
    <row r="4518" spans="1:40" x14ac:dyDescent="0.25">
      <c r="A4518" t="str">
        <f>"20190305135022570"</f>
        <v>20190305135022570</v>
      </c>
      <c r="B4518" t="str">
        <f>"1551765022564366"</f>
        <v>1551765022564366</v>
      </c>
      <c r="C4518" t="s">
        <v>40</v>
      </c>
      <c r="D4518">
        <v>4.4918079999999998</v>
      </c>
      <c r="E4518">
        <v>0.56335349999999995</v>
      </c>
      <c r="F4518" t="s">
        <v>42</v>
      </c>
      <c r="G4518">
        <v>-193.67590000000001</v>
      </c>
      <c r="H4518" s="1">
        <v>-3.7913239999999998E-6</v>
      </c>
      <c r="I4518">
        <v>165.54300000000001</v>
      </c>
      <c r="J4518">
        <v>-191.91409999999999</v>
      </c>
      <c r="K4518">
        <v>1.1100490000000001</v>
      </c>
      <c r="L4518">
        <v>183.65170000000001</v>
      </c>
      <c r="M4518">
        <v>1.963254E-2</v>
      </c>
      <c r="N4518">
        <v>-1.148536E-2</v>
      </c>
      <c r="O4518">
        <v>-0.99974160000000001</v>
      </c>
      <c r="P4518">
        <v>6.6111890000000006E-2</v>
      </c>
      <c r="Q4518">
        <v>-0.1113671</v>
      </c>
      <c r="R4518">
        <v>-0.99157819999999997</v>
      </c>
      <c r="S4518">
        <v>-0.292099</v>
      </c>
      <c r="T4518">
        <v>-0.18432499999999999</v>
      </c>
      <c r="U4518">
        <v>-3.0243229999999999</v>
      </c>
      <c r="V4518">
        <v>-4.6514199999999999E-2</v>
      </c>
      <c r="W4518">
        <v>-0.10001259999999999</v>
      </c>
      <c r="X4518">
        <v>0.99389830000000001</v>
      </c>
      <c r="Y4518">
        <v>0.1154969</v>
      </c>
      <c r="Z4518">
        <v>4.8994320000000001E-2</v>
      </c>
      <c r="AA4518">
        <v>0.99209879999999995</v>
      </c>
      <c r="AB4518">
        <v>18</v>
      </c>
      <c r="AC4518">
        <v>-1.76180000000002</v>
      </c>
      <c r="AD4518">
        <v>-1.1100527913239999</v>
      </c>
      <c r="AE4518">
        <v>-18.108699999999999</v>
      </c>
      <c r="AF4518">
        <v>2.1091524329527802</v>
      </c>
      <c r="AG4518">
        <v>-1.1100527913239999</v>
      </c>
      <c r="AH4518">
        <v>18.003602109772501</v>
      </c>
      <c r="AI4518">
        <v>93.504329015589605</v>
      </c>
      <c r="AJ4518">
        <v>83.318159805389698</v>
      </c>
      <c r="AK4518">
        <v>18.1606836355894</v>
      </c>
      <c r="AL4518">
        <v>95.739896266946602</v>
      </c>
      <c r="AM4518">
        <v>92.679473551845007</v>
      </c>
      <c r="AN4518">
        <v>0.999999960851644</v>
      </c>
    </row>
    <row r="4519" spans="1:40" x14ac:dyDescent="0.25">
      <c r="A4519" t="str">
        <f>"20190305135022580"</f>
        <v>20190305135022580</v>
      </c>
      <c r="B4519" t="str">
        <f>"1551765022575103"</f>
        <v>1551765022575103</v>
      </c>
      <c r="C4519" t="s">
        <v>40</v>
      </c>
      <c r="D4519">
        <v>4.4606170000000001</v>
      </c>
      <c r="E4519">
        <v>0.56367809999999996</v>
      </c>
      <c r="F4519" t="s">
        <v>42</v>
      </c>
      <c r="G4519">
        <v>-193.65430000000001</v>
      </c>
      <c r="H4519" s="1">
        <v>-3.9864069999999996E-6</v>
      </c>
      <c r="I4519">
        <v>165.97890000000001</v>
      </c>
      <c r="J4519">
        <v>-191.9118</v>
      </c>
      <c r="K4519">
        <v>1.1100369999999999</v>
      </c>
      <c r="L4519">
        <v>183.56229999999999</v>
      </c>
      <c r="M4519">
        <v>2.014026E-2</v>
      </c>
      <c r="N4519">
        <v>-1.142673E-2</v>
      </c>
      <c r="O4519">
        <v>-0.99973179999999995</v>
      </c>
      <c r="P4519">
        <v>6.5680160000000001E-2</v>
      </c>
      <c r="Q4519">
        <v>-0.1111864</v>
      </c>
      <c r="R4519">
        <v>-0.99162689999999998</v>
      </c>
      <c r="S4519">
        <v>-0.29777530000000002</v>
      </c>
      <c r="T4519">
        <v>-0.189941</v>
      </c>
      <c r="U4519">
        <v>-3.023987</v>
      </c>
      <c r="V4519">
        <v>-4.5578269999999997E-2</v>
      </c>
      <c r="W4519">
        <v>-9.9888039999999997E-2</v>
      </c>
      <c r="X4519">
        <v>0.99395420000000001</v>
      </c>
      <c r="Y4519">
        <v>0.11784509999999999</v>
      </c>
      <c r="Z4519">
        <v>5.0880660000000001E-2</v>
      </c>
      <c r="AA4519">
        <v>0.99172769999999999</v>
      </c>
      <c r="AB4519">
        <v>18</v>
      </c>
      <c r="AC4519">
        <v>-1.7424999999999999</v>
      </c>
      <c r="AD4519">
        <v>-1.110040986407</v>
      </c>
      <c r="AE4519">
        <v>-17.583399999999902</v>
      </c>
      <c r="AF4519">
        <v>2.0880630611826598</v>
      </c>
      <c r="AG4519">
        <v>-1.110040986407</v>
      </c>
      <c r="AH4519">
        <v>17.475765652685801</v>
      </c>
      <c r="AI4519">
        <v>93.608879973910106</v>
      </c>
      <c r="AJ4519">
        <v>83.186409897021406</v>
      </c>
      <c r="AK4519">
        <v>17.635038516730599</v>
      </c>
      <c r="AL4519">
        <v>95.732723502604998</v>
      </c>
      <c r="AM4519">
        <v>92.625487603568601</v>
      </c>
      <c r="AN4519">
        <v>0.99999997546443697</v>
      </c>
    </row>
    <row r="4520" spans="1:40" x14ac:dyDescent="0.25">
      <c r="A4520" t="str">
        <f>"20190305135022592"</f>
        <v>20190305135022592</v>
      </c>
      <c r="B4520" t="str">
        <f>"1551765022584863"</f>
        <v>1551765022584863</v>
      </c>
      <c r="C4520" t="s">
        <v>40</v>
      </c>
      <c r="D4520">
        <v>4.4533719999999999</v>
      </c>
      <c r="E4520">
        <v>0.56397640000000004</v>
      </c>
      <c r="F4520" t="s">
        <v>42</v>
      </c>
      <c r="G4520">
        <v>-193.64330000000001</v>
      </c>
      <c r="H4520" s="1">
        <v>-4.0777610000000001E-6</v>
      </c>
      <c r="I4520">
        <v>166.22190000000001</v>
      </c>
      <c r="J4520">
        <v>-191.90940000000001</v>
      </c>
      <c r="K4520">
        <v>1.1100270000000001</v>
      </c>
      <c r="L4520">
        <v>183.47229999999999</v>
      </c>
      <c r="M4520">
        <v>2.0648260000000002E-2</v>
      </c>
      <c r="N4520">
        <v>-1.1368970000000001E-2</v>
      </c>
      <c r="O4520">
        <v>-0.99972229999999995</v>
      </c>
      <c r="P4520">
        <v>6.5094399999999997E-2</v>
      </c>
      <c r="Q4520">
        <v>-0.1110795</v>
      </c>
      <c r="R4520">
        <v>-0.99167760000000005</v>
      </c>
      <c r="S4520">
        <v>-0.30192570000000002</v>
      </c>
      <c r="T4520">
        <v>-0.1935548</v>
      </c>
      <c r="U4520">
        <v>-3.02359</v>
      </c>
      <c r="V4520">
        <v>-4.4487909999999999E-2</v>
      </c>
      <c r="W4520">
        <v>-9.9836220000000003E-2</v>
      </c>
      <c r="X4520">
        <v>0.99400880000000003</v>
      </c>
      <c r="Y4520">
        <v>0.1197025</v>
      </c>
      <c r="Z4520">
        <v>5.2115189999999999E-2</v>
      </c>
      <c r="AA4520">
        <v>0.99144100000000002</v>
      </c>
      <c r="AB4520">
        <v>18</v>
      </c>
      <c r="AC4520">
        <v>-1.7339</v>
      </c>
      <c r="AD4520">
        <v>-1.1100310777609901</v>
      </c>
      <c r="AE4520">
        <v>-17.2503999999999</v>
      </c>
      <c r="AF4520">
        <v>2.0812125566801498</v>
      </c>
      <c r="AG4520">
        <v>-1.1100310777609901</v>
      </c>
      <c r="AH4520">
        <v>17.1406533203747</v>
      </c>
      <c r="AI4520">
        <v>93.678368096476007</v>
      </c>
      <c r="AJ4520">
        <v>83.077053402799905</v>
      </c>
      <c r="AK4520">
        <v>17.302185149539699</v>
      </c>
      <c r="AL4520">
        <v>95.729739552182096</v>
      </c>
      <c r="AM4520">
        <v>92.562622759906304</v>
      </c>
      <c r="AN4520">
        <v>0.99999996971874705</v>
      </c>
    </row>
    <row r="4521" spans="1:40" x14ac:dyDescent="0.25">
      <c r="A4521" t="str">
        <f>"20190305135022604"</f>
        <v>20190305135022604</v>
      </c>
      <c r="B4521" t="str">
        <f>"1551765022594623"</f>
        <v>1551765022594623</v>
      </c>
      <c r="C4521" t="s">
        <v>40</v>
      </c>
      <c r="D4521">
        <v>4.495819</v>
      </c>
      <c r="E4521">
        <v>0.56418369999999995</v>
      </c>
      <c r="F4521" t="s">
        <v>42</v>
      </c>
      <c r="G4521">
        <v>-193.63550000000001</v>
      </c>
      <c r="H4521" s="1">
        <v>-4.1569059999999997E-6</v>
      </c>
      <c r="I4521">
        <v>166.4316</v>
      </c>
      <c r="J4521">
        <v>-191.9068</v>
      </c>
      <c r="K4521">
        <v>1.1100159999999999</v>
      </c>
      <c r="L4521">
        <v>183.3784</v>
      </c>
      <c r="M4521">
        <v>2.1168849999999999E-2</v>
      </c>
      <c r="N4521">
        <v>-1.131239E-2</v>
      </c>
      <c r="O4521">
        <v>-0.99971200000000005</v>
      </c>
      <c r="P4521">
        <v>6.4431820000000001E-2</v>
      </c>
      <c r="Q4521">
        <v>-0.11087039999999999</v>
      </c>
      <c r="R4521">
        <v>-0.99174430000000002</v>
      </c>
      <c r="S4521">
        <v>-0.30624390000000001</v>
      </c>
      <c r="T4521">
        <v>-0.1969332</v>
      </c>
      <c r="U4521">
        <v>-3.0232239999999999</v>
      </c>
      <c r="V4521">
        <v>-4.3308819999999998E-2</v>
      </c>
      <c r="W4521">
        <v>-9.9680539999999998E-2</v>
      </c>
      <c r="X4521">
        <v>0.99407659999999998</v>
      </c>
      <c r="Y4521">
        <v>0.1216257</v>
      </c>
      <c r="Z4521">
        <v>5.326989E-2</v>
      </c>
      <c r="AA4521">
        <v>0.99114559999999996</v>
      </c>
      <c r="AB4521">
        <v>18</v>
      </c>
      <c r="AC4521">
        <v>-1.7286999999999999</v>
      </c>
      <c r="AD4521">
        <v>-1.110020156906</v>
      </c>
      <c r="AE4521">
        <v>-16.9467999999999</v>
      </c>
      <c r="AF4521">
        <v>2.0782552792125699</v>
      </c>
      <c r="AG4521">
        <v>-1.110020156906</v>
      </c>
      <c r="AH4521">
        <v>16.834922229714799</v>
      </c>
      <c r="AI4521">
        <v>93.744030028697694</v>
      </c>
      <c r="AJ4521">
        <v>82.962495643058105</v>
      </c>
      <c r="AK4521">
        <v>16.9989969184908</v>
      </c>
      <c r="AL4521">
        <v>95.720774421069706</v>
      </c>
      <c r="AM4521">
        <v>92.494621057852001</v>
      </c>
      <c r="AN4521">
        <v>1.0000000753060101</v>
      </c>
    </row>
    <row r="4522" spans="1:40" x14ac:dyDescent="0.25">
      <c r="A4522" t="str">
        <f>"20190305135022615"</f>
        <v>20190305135022615</v>
      </c>
      <c r="B4522" t="str">
        <f>"1551765022604383"</f>
        <v>1551765022604383</v>
      </c>
      <c r="C4522" t="s">
        <v>40</v>
      </c>
      <c r="D4522">
        <v>4.4979959999999997</v>
      </c>
      <c r="E4522">
        <v>0.5643127</v>
      </c>
      <c r="F4522" t="s">
        <v>42</v>
      </c>
      <c r="G4522">
        <v>-193.64230000000001</v>
      </c>
      <c r="H4522" s="1">
        <v>-4.1660819999999997E-6</v>
      </c>
      <c r="I4522">
        <v>166.45240000000001</v>
      </c>
      <c r="J4522">
        <v>-191.90450000000001</v>
      </c>
      <c r="K4522">
        <v>1.1100030000000001</v>
      </c>
      <c r="L4522">
        <v>183.29310000000001</v>
      </c>
      <c r="M4522">
        <v>2.1633400000000001E-2</v>
      </c>
      <c r="N4522">
        <v>-1.126345E-2</v>
      </c>
      <c r="O4522">
        <v>-0.99970270000000006</v>
      </c>
      <c r="P4522">
        <v>6.3720819999999997E-2</v>
      </c>
      <c r="Q4522">
        <v>-0.1108533</v>
      </c>
      <c r="R4522">
        <v>-0.99179200000000001</v>
      </c>
      <c r="S4522">
        <v>-0.3099518</v>
      </c>
      <c r="T4522">
        <v>-0.1982466</v>
      </c>
      <c r="U4522">
        <v>-3.0229490000000001</v>
      </c>
      <c r="V4522">
        <v>-4.2137849999999998E-2</v>
      </c>
      <c r="W4522">
        <v>-9.9709439999999996E-2</v>
      </c>
      <c r="X4522">
        <v>0.99412389999999995</v>
      </c>
      <c r="Y4522">
        <v>0.12329560000000001</v>
      </c>
      <c r="Z4522">
        <v>5.3741690000000002E-2</v>
      </c>
      <c r="AA4522">
        <v>0.99091370000000001</v>
      </c>
      <c r="AB4522">
        <v>18</v>
      </c>
      <c r="AC4522">
        <v>-1.73779999999999</v>
      </c>
      <c r="AD4522">
        <v>-1.1100071660819999</v>
      </c>
      <c r="AE4522">
        <v>-16.840699999999998</v>
      </c>
      <c r="AF4522">
        <v>2.0927419507679499</v>
      </c>
      <c r="AG4522">
        <v>-1.1100071660819999</v>
      </c>
      <c r="AH4522">
        <v>16.727256897995598</v>
      </c>
      <c r="AI4522">
        <v>93.767251838880199</v>
      </c>
      <c r="AJ4522">
        <v>82.868795562733993</v>
      </c>
      <c r="AK4522">
        <v>16.8941649131527</v>
      </c>
      <c r="AL4522">
        <v>95.722439280868699</v>
      </c>
      <c r="AM4522">
        <v>92.427138731959204</v>
      </c>
      <c r="AN4522">
        <v>0.99999994968947103</v>
      </c>
    </row>
    <row r="4523" spans="1:40" x14ac:dyDescent="0.25">
      <c r="A4523" t="str">
        <f>"20190305135022625"</f>
        <v>20190305135022625</v>
      </c>
      <c r="B4523" t="str">
        <f>"1551765022615119"</f>
        <v>1551765022615119</v>
      </c>
      <c r="C4523" t="s">
        <v>40</v>
      </c>
      <c r="D4523">
        <v>4.5020020000000001</v>
      </c>
      <c r="E4523">
        <v>0.56442890000000001</v>
      </c>
      <c r="F4523" t="s">
        <v>42</v>
      </c>
      <c r="G4523">
        <v>-193.65</v>
      </c>
      <c r="H4523" s="1">
        <v>-4.1716580000000003E-6</v>
      </c>
      <c r="I4523">
        <v>166.4633</v>
      </c>
      <c r="J4523">
        <v>-191.90199999999999</v>
      </c>
      <c r="K4523">
        <v>1.109988</v>
      </c>
      <c r="L4523">
        <v>183.2021</v>
      </c>
      <c r="M4523">
        <v>2.2119150000000001E-2</v>
      </c>
      <c r="N4523">
        <v>-1.121393E-2</v>
      </c>
      <c r="O4523">
        <v>-0.99969269999999999</v>
      </c>
      <c r="P4523">
        <v>6.2882540000000001E-2</v>
      </c>
      <c r="Q4523">
        <v>-0.1109478</v>
      </c>
      <c r="R4523">
        <v>-0.99183509999999997</v>
      </c>
      <c r="S4523">
        <v>-0.31349179999999999</v>
      </c>
      <c r="T4523">
        <v>-0.19936010000000001</v>
      </c>
      <c r="U4523">
        <v>-3.022659</v>
      </c>
      <c r="V4523">
        <v>-4.0818470000000003E-2</v>
      </c>
      <c r="W4523">
        <v>-9.9850099999999997E-2</v>
      </c>
      <c r="X4523">
        <v>0.99416490000000002</v>
      </c>
      <c r="Y4523">
        <v>0.1249326</v>
      </c>
      <c r="Z4523">
        <v>5.4149089999999997E-2</v>
      </c>
      <c r="AA4523">
        <v>0.99068650000000003</v>
      </c>
      <c r="AB4523">
        <v>18</v>
      </c>
      <c r="AC4523">
        <v>-1.74799999999999</v>
      </c>
      <c r="AD4523">
        <v>-1.1099921716579999</v>
      </c>
      <c r="AE4523">
        <v>-16.738799999999902</v>
      </c>
      <c r="AF4523">
        <v>2.1086709613196502</v>
      </c>
      <c r="AG4523">
        <v>-1.1099921716579999</v>
      </c>
      <c r="AH4523">
        <v>16.623725713261699</v>
      </c>
      <c r="AI4523">
        <v>93.789780494560105</v>
      </c>
      <c r="AJ4523">
        <v>82.770806065920198</v>
      </c>
      <c r="AK4523">
        <v>16.7936545288396</v>
      </c>
      <c r="AL4523">
        <v>95.730538526999595</v>
      </c>
      <c r="AM4523">
        <v>92.351132297377504</v>
      </c>
      <c r="AN4523">
        <v>1.00000001917758</v>
      </c>
    </row>
    <row r="4524" spans="1:40" x14ac:dyDescent="0.25">
      <c r="A4524" t="str">
        <f>"20190305135022637"</f>
        <v>20190305135022637</v>
      </c>
      <c r="B4524" t="str">
        <f>"1551765022634639"</f>
        <v>1551765022634639</v>
      </c>
      <c r="C4524" t="s">
        <v>40</v>
      </c>
      <c r="D4524">
        <v>4.4832090000000004</v>
      </c>
      <c r="E4524">
        <v>0.56454130000000002</v>
      </c>
      <c r="F4524" t="s">
        <v>42</v>
      </c>
      <c r="G4524">
        <v>-193.65199999999999</v>
      </c>
      <c r="H4524" s="1">
        <v>-4.190394E-6</v>
      </c>
      <c r="I4524">
        <v>166.5112</v>
      </c>
      <c r="J4524">
        <v>-191.89949999999999</v>
      </c>
      <c r="K4524">
        <v>1.109969</v>
      </c>
      <c r="L4524">
        <v>183.11420000000001</v>
      </c>
      <c r="M4524">
        <v>2.2569780000000001E-2</v>
      </c>
      <c r="N4524">
        <v>-1.116966E-2</v>
      </c>
      <c r="O4524">
        <v>-0.99968310000000005</v>
      </c>
      <c r="P4524">
        <v>6.1924670000000001E-2</v>
      </c>
      <c r="Q4524">
        <v>-0.1109919</v>
      </c>
      <c r="R4524">
        <v>-0.99189050000000001</v>
      </c>
      <c r="S4524">
        <v>-0.31689450000000002</v>
      </c>
      <c r="T4524">
        <v>-0.20099259999999999</v>
      </c>
      <c r="U4524">
        <v>-3.0223080000000002</v>
      </c>
      <c r="V4524">
        <v>-3.9415369999999998E-2</v>
      </c>
      <c r="W4524">
        <v>-9.9934659999999995E-2</v>
      </c>
      <c r="X4524">
        <v>0.99421300000000001</v>
      </c>
      <c r="Y4524">
        <v>0.12649069999999901</v>
      </c>
      <c r="Z4524">
        <v>5.4722340000000001E-2</v>
      </c>
      <c r="AA4524">
        <v>0.99045720000000004</v>
      </c>
      <c r="AB4524">
        <v>18</v>
      </c>
      <c r="AC4524">
        <v>-1.7525000000000199</v>
      </c>
      <c r="AD4524">
        <v>-1.109973190394</v>
      </c>
      <c r="AE4524">
        <v>-16.603000000000002</v>
      </c>
      <c r="AF4524">
        <v>2.11744339978249</v>
      </c>
      <c r="AG4524">
        <v>-1.109973190394</v>
      </c>
      <c r="AH4524">
        <v>16.486341604351701</v>
      </c>
      <c r="AI4524">
        <v>93.820442853091706</v>
      </c>
      <c r="AJ4524">
        <v>82.681214363914506</v>
      </c>
      <c r="AK4524">
        <v>16.658783464888799</v>
      </c>
      <c r="AL4524">
        <v>95.735407931890705</v>
      </c>
      <c r="AM4524">
        <v>92.270290485790298</v>
      </c>
      <c r="AN4524">
        <v>0.99999999851527599</v>
      </c>
    </row>
    <row r="4525" spans="1:40" x14ac:dyDescent="0.25">
      <c r="A4525" t="str">
        <f>"20190305135022652"</f>
        <v>20190305135022652</v>
      </c>
      <c r="B4525" t="str">
        <f>"1551765022644399"</f>
        <v>1551765022644399</v>
      </c>
      <c r="C4525" t="s">
        <v>40</v>
      </c>
      <c r="D4525">
        <v>4.4832609999999997</v>
      </c>
      <c r="E4525">
        <v>0.56459110000000001</v>
      </c>
      <c r="F4525" t="s">
        <v>42</v>
      </c>
      <c r="G4525">
        <v>-193.642</v>
      </c>
      <c r="H4525" s="1">
        <v>-4.2639820000000001E-6</v>
      </c>
      <c r="I4525">
        <v>166.70750000000001</v>
      </c>
      <c r="J4525">
        <v>-191.8963</v>
      </c>
      <c r="K4525">
        <v>1.1099429999999999</v>
      </c>
      <c r="L4525">
        <v>183.00219999999999</v>
      </c>
      <c r="M4525">
        <v>2.3128220000000001E-2</v>
      </c>
      <c r="N4525">
        <v>-1.111587E-2</v>
      </c>
      <c r="O4525">
        <v>-0.99967090000000003</v>
      </c>
      <c r="P4525">
        <v>6.1360100000000001E-2</v>
      </c>
      <c r="Q4525">
        <v>-0.11128490000000001</v>
      </c>
      <c r="R4525">
        <v>-0.99189280000000002</v>
      </c>
      <c r="S4525">
        <v>-0.32092290000000001</v>
      </c>
      <c r="T4525">
        <v>-0.2044289</v>
      </c>
      <c r="U4525">
        <v>-3.0216980000000002</v>
      </c>
      <c r="V4525">
        <v>-3.830136E-2</v>
      </c>
      <c r="W4525">
        <v>-0.1002777</v>
      </c>
      <c r="X4525">
        <v>0.99422200000000005</v>
      </c>
      <c r="Y4525">
        <v>0.128363</v>
      </c>
      <c r="Z4525">
        <v>5.5897120000000002E-2</v>
      </c>
      <c r="AA4525">
        <v>0.99015070000000005</v>
      </c>
      <c r="AB4525">
        <v>18</v>
      </c>
      <c r="AC4525">
        <v>-1.74569999999999</v>
      </c>
      <c r="AD4525">
        <v>-1.1099472639820001</v>
      </c>
      <c r="AE4525">
        <v>-16.294699999999899</v>
      </c>
      <c r="AF4525">
        <v>2.1124332654481601</v>
      </c>
      <c r="AG4525">
        <v>-1.1099472639820001</v>
      </c>
      <c r="AH4525">
        <v>16.175760497863902</v>
      </c>
      <c r="AI4525">
        <v>93.892416754514201</v>
      </c>
      <c r="AJ4525">
        <v>82.559705921987899</v>
      </c>
      <c r="AK4525">
        <v>16.350828263854002</v>
      </c>
      <c r="AL4525">
        <v>95.755161906478904</v>
      </c>
      <c r="AM4525">
        <v>92.206168868532203</v>
      </c>
      <c r="AN4525">
        <v>0.99999999828956898</v>
      </c>
    </row>
    <row r="4526" spans="1:40" x14ac:dyDescent="0.25">
      <c r="A4526" t="str">
        <f>"20190305135022665"</f>
        <v>20190305135022665</v>
      </c>
      <c r="B4526" t="str">
        <f>"1551765022655134"</f>
        <v>1551765022655134</v>
      </c>
      <c r="C4526" t="s">
        <v>40</v>
      </c>
      <c r="D4526">
        <v>4.4834829999999997</v>
      </c>
      <c r="E4526">
        <v>0.56464300000000001</v>
      </c>
      <c r="F4526" t="s">
        <v>41</v>
      </c>
      <c r="G4526">
        <v>-191.99109999999999</v>
      </c>
      <c r="H4526">
        <v>1.0493969999999999</v>
      </c>
      <c r="I4526">
        <v>182.11660000000001</v>
      </c>
      <c r="J4526">
        <v>-191.8929</v>
      </c>
      <c r="K4526">
        <v>1.109909</v>
      </c>
      <c r="L4526">
        <v>182.88509999999999</v>
      </c>
      <c r="M4526">
        <v>2.3670730000000001E-2</v>
      </c>
      <c r="N4526">
        <v>-1.1064640000000001E-2</v>
      </c>
      <c r="O4526">
        <v>-0.99965890000000002</v>
      </c>
      <c r="P4526">
        <v>5.9975760000000003E-2</v>
      </c>
      <c r="Q4526">
        <v>-0.11101750000000001</v>
      </c>
      <c r="R4526">
        <v>-0.99200759999999999</v>
      </c>
      <c r="S4526">
        <v>-0.32313540000000002</v>
      </c>
      <c r="T4526">
        <v>-0.2066202</v>
      </c>
      <c r="U4526">
        <v>-3.0213169999999998</v>
      </c>
      <c r="V4526">
        <v>-3.6384439999999997E-2</v>
      </c>
      <c r="W4526">
        <v>-0.1000553</v>
      </c>
      <c r="X4526">
        <v>0.99431639999999999</v>
      </c>
      <c r="Y4526">
        <v>0.12962580000000001</v>
      </c>
      <c r="Z4526">
        <v>5.6662329999999997E-2</v>
      </c>
      <c r="AA4526">
        <v>0.98994269999999995</v>
      </c>
      <c r="AB4526">
        <v>18</v>
      </c>
      <c r="AC4526">
        <v>-9.8199999999991405E-2</v>
      </c>
      <c r="AD4526">
        <v>-6.05120000000001E-2</v>
      </c>
      <c r="AE4526">
        <v>-0.76849999999998797</v>
      </c>
      <c r="AF4526">
        <v>0.11565897471443699</v>
      </c>
      <c r="AG4526">
        <v>-6.05120000000001E-2</v>
      </c>
      <c r="AH4526">
        <v>0.76131567718693405</v>
      </c>
      <c r="AI4526">
        <v>94.493172479494604</v>
      </c>
      <c r="AJ4526">
        <v>81.361685200277407</v>
      </c>
      <c r="AK4526">
        <v>0.77242492250483097</v>
      </c>
      <c r="AL4526">
        <v>95.742354922611</v>
      </c>
      <c r="AM4526">
        <v>92.095656005924894</v>
      </c>
      <c r="AN4526">
        <v>0.99999999692058095</v>
      </c>
    </row>
    <row r="4527" spans="1:40" x14ac:dyDescent="0.25">
      <c r="A4527" t="str">
        <f>"20190305135022680"</f>
        <v>20190305135022680</v>
      </c>
      <c r="B4527" t="str">
        <f>"1551765022674655"</f>
        <v>1551765022674655</v>
      </c>
      <c r="C4527" t="s">
        <v>40</v>
      </c>
      <c r="D4527">
        <v>4.489992</v>
      </c>
      <c r="E4527">
        <v>0.56461470000000002</v>
      </c>
      <c r="F4527" t="s">
        <v>42</v>
      </c>
      <c r="G4527">
        <v>-193.65620000000001</v>
      </c>
      <c r="H4527" s="1">
        <v>-4.2382619999999999E-6</v>
      </c>
      <c r="I4527">
        <v>166.63390000000001</v>
      </c>
      <c r="J4527">
        <v>-191.8896</v>
      </c>
      <c r="K4527">
        <v>1.1098699999999999</v>
      </c>
      <c r="L4527">
        <v>182.77019999999999</v>
      </c>
      <c r="M4527">
        <v>2.4164209999999998E-2</v>
      </c>
      <c r="N4527">
        <v>-1.101825E-2</v>
      </c>
      <c r="O4527">
        <v>-0.99964739999999996</v>
      </c>
      <c r="P4527">
        <v>5.9331189999999999E-2</v>
      </c>
      <c r="Q4527">
        <v>-0.11100459999999999</v>
      </c>
      <c r="R4527">
        <v>-0.99204749999999997</v>
      </c>
      <c r="S4527">
        <v>-0.32777399999999901</v>
      </c>
      <c r="T4527">
        <v>-0.20632020000000001</v>
      </c>
      <c r="U4527">
        <v>-3.020905</v>
      </c>
      <c r="V4527">
        <v>-3.5257789999999997E-2</v>
      </c>
      <c r="W4527">
        <v>-0.1000839</v>
      </c>
      <c r="X4527">
        <v>0.99435410000000002</v>
      </c>
      <c r="Y4527">
        <v>0.13163169999999999</v>
      </c>
      <c r="Z4527">
        <v>5.6603689999999998E-2</v>
      </c>
      <c r="AA4527">
        <v>0.98968129999999999</v>
      </c>
      <c r="AB4527">
        <v>18</v>
      </c>
      <c r="AC4527">
        <v>-1.7666000000000099</v>
      </c>
      <c r="AD4527">
        <v>-1.1098742382619999</v>
      </c>
      <c r="AE4527">
        <v>-16.136299999999899</v>
      </c>
      <c r="AF4527">
        <v>2.1459965078191701</v>
      </c>
      <c r="AG4527">
        <v>-1.1098742382619999</v>
      </c>
      <c r="AH4527">
        <v>16.0140338193556</v>
      </c>
      <c r="AI4527">
        <v>93.929606335290103</v>
      </c>
      <c r="AJ4527">
        <v>82.367422302748295</v>
      </c>
      <c r="AK4527">
        <v>16.195258596385401</v>
      </c>
      <c r="AL4527">
        <v>95.744001903102102</v>
      </c>
      <c r="AM4527">
        <v>92.030741953877595</v>
      </c>
      <c r="AN4527">
        <v>0.99999998749085195</v>
      </c>
    </row>
    <row r="4528" spans="1:40" x14ac:dyDescent="0.25">
      <c r="A4528" t="str">
        <f>"20190305135022693"</f>
        <v>20190305135022693</v>
      </c>
      <c r="B4528" t="str">
        <f>"1551765022684414"</f>
        <v>1551765022684414</v>
      </c>
      <c r="C4528" t="s">
        <v>40</v>
      </c>
      <c r="D4528">
        <v>4.500731</v>
      </c>
      <c r="E4528">
        <v>0.56454569999999904</v>
      </c>
      <c r="F4528" t="s">
        <v>42</v>
      </c>
      <c r="G4528">
        <v>-193.66130000000001</v>
      </c>
      <c r="H4528" s="1">
        <v>-4.197882E-6</v>
      </c>
      <c r="I4528">
        <v>166.5264</v>
      </c>
      <c r="J4528">
        <v>-191.88659999999999</v>
      </c>
      <c r="K4528">
        <v>1.109829</v>
      </c>
      <c r="L4528">
        <v>182.6644</v>
      </c>
      <c r="M4528">
        <v>2.4589090000000001E-2</v>
      </c>
      <c r="N4528">
        <v>-1.0978099999999999E-2</v>
      </c>
      <c r="O4528">
        <v>-0.99963749999999996</v>
      </c>
      <c r="P4528">
        <v>5.8751499999999998E-2</v>
      </c>
      <c r="Q4528">
        <v>-0.1107596</v>
      </c>
      <c r="R4528">
        <v>-0.99210949999999998</v>
      </c>
      <c r="S4528">
        <v>-0.32945249999999998</v>
      </c>
      <c r="T4528">
        <v>-0.20639109999999999</v>
      </c>
      <c r="U4528">
        <v>-3.0206759999999999</v>
      </c>
      <c r="V4528">
        <v>-3.4263740000000001E-2</v>
      </c>
      <c r="W4528">
        <v>-9.9874229999999994E-2</v>
      </c>
      <c r="X4528">
        <v>0.99440989999999996</v>
      </c>
      <c r="Y4528">
        <v>0.1326039</v>
      </c>
      <c r="Z4528">
        <v>5.6664239999999998E-2</v>
      </c>
      <c r="AA4528">
        <v>0.98954810000000004</v>
      </c>
      <c r="AB4528">
        <v>18</v>
      </c>
      <c r="AC4528">
        <v>-1.7747000000000199</v>
      </c>
      <c r="AD4528">
        <v>-1.109833197882</v>
      </c>
      <c r="AE4528">
        <v>-16.138000000000002</v>
      </c>
      <c r="AF4528">
        <v>2.1609080222242301</v>
      </c>
      <c r="AG4528">
        <v>-1.109833197882</v>
      </c>
      <c r="AH4528">
        <v>16.014642730789902</v>
      </c>
      <c r="AI4528">
        <v>93.9288334820843</v>
      </c>
      <c r="AJ4528">
        <v>82.315307491228594</v>
      </c>
      <c r="AK4528">
        <v>16.197840442555201</v>
      </c>
      <c r="AL4528">
        <v>95.731928374777894</v>
      </c>
      <c r="AM4528">
        <v>91.9734229596761</v>
      </c>
      <c r="AN4528">
        <v>0.99999995745744397</v>
      </c>
    </row>
    <row r="4529" spans="1:40" x14ac:dyDescent="0.25">
      <c r="A4529" t="str">
        <f>"20190305135022703"</f>
        <v>20190305135022703</v>
      </c>
      <c r="B4529" t="str">
        <f>"1551765022695151"</f>
        <v>1551765022695151</v>
      </c>
      <c r="C4529" t="s">
        <v>40</v>
      </c>
      <c r="D4529">
        <v>4.5031100000000004</v>
      </c>
      <c r="E4529">
        <v>0.56456209999999996</v>
      </c>
      <c r="F4529" t="s">
        <v>42</v>
      </c>
      <c r="G4529">
        <v>-193.6695</v>
      </c>
      <c r="H4529" s="1">
        <v>-4.1419150000000003E-6</v>
      </c>
      <c r="I4529">
        <v>166.37690000000001</v>
      </c>
      <c r="J4529">
        <v>-191.88390000000001</v>
      </c>
      <c r="K4529">
        <v>1.109791</v>
      </c>
      <c r="L4529">
        <v>182.57210000000001</v>
      </c>
      <c r="M4529">
        <v>2.492285E-2</v>
      </c>
      <c r="N4529">
        <v>-1.09459E-2</v>
      </c>
      <c r="O4529">
        <v>-0.99962960000000001</v>
      </c>
      <c r="P4529">
        <v>5.7977550000000003E-2</v>
      </c>
      <c r="Q4529">
        <v>-0.110682</v>
      </c>
      <c r="R4529">
        <v>-0.99216369999999998</v>
      </c>
      <c r="S4529">
        <v>-0.33064270000000001</v>
      </c>
      <c r="T4529">
        <v>-0.20581289999999999</v>
      </c>
      <c r="U4529">
        <v>-3.0204469999999999</v>
      </c>
      <c r="V4529">
        <v>-3.3165710000000001E-2</v>
      </c>
      <c r="W4529">
        <v>-9.9824280000000001E-2</v>
      </c>
      <c r="X4529">
        <v>0.99445220000000001</v>
      </c>
      <c r="Y4529">
        <v>0.13332920000000001</v>
      </c>
      <c r="Z4529">
        <v>5.6506939999999999E-2</v>
      </c>
      <c r="AA4529">
        <v>0.98945959999999999</v>
      </c>
      <c r="AB4529">
        <v>18</v>
      </c>
      <c r="AC4529">
        <v>-1.7855999999999801</v>
      </c>
      <c r="AD4529">
        <v>-1.1097951419149901</v>
      </c>
      <c r="AE4529">
        <v>-16.1952</v>
      </c>
      <c r="AF4529">
        <v>2.1785925009385099</v>
      </c>
      <c r="AG4529">
        <v>-1.1097951419149901</v>
      </c>
      <c r="AH4529">
        <v>16.0711029988849</v>
      </c>
      <c r="AI4529">
        <v>93.914615395844507</v>
      </c>
      <c r="AJ4529">
        <v>82.280065011012496</v>
      </c>
      <c r="AK4529">
        <v>16.2560223345975</v>
      </c>
      <c r="AL4529">
        <v>95.729051747681098</v>
      </c>
      <c r="AM4529">
        <v>91.910148264727496</v>
      </c>
      <c r="AN4529">
        <v>1.0000000146410799</v>
      </c>
    </row>
    <row r="4530" spans="1:40" x14ac:dyDescent="0.25">
      <c r="A4530" t="str">
        <f>"20190305135022715"</f>
        <v>20190305135022715</v>
      </c>
      <c r="B4530" t="str">
        <f>"1551765022704911"</f>
        <v>1551765022704911</v>
      </c>
      <c r="C4530" t="s">
        <v>40</v>
      </c>
      <c r="D4530">
        <v>4.4606700000000004</v>
      </c>
      <c r="E4530">
        <v>0.56448909999999997</v>
      </c>
      <c r="F4530" t="s">
        <v>42</v>
      </c>
      <c r="G4530">
        <v>-193.685</v>
      </c>
      <c r="H4530" s="1">
        <v>-4.0963580000000004E-6</v>
      </c>
      <c r="I4530">
        <v>166.25110000000001</v>
      </c>
      <c r="J4530">
        <v>-191.88130000000001</v>
      </c>
      <c r="K4530">
        <v>1.109747</v>
      </c>
      <c r="L4530">
        <v>182.4838</v>
      </c>
      <c r="M4530">
        <v>2.5210400000000001E-2</v>
      </c>
      <c r="N4530">
        <v>-1.091717E-2</v>
      </c>
      <c r="O4530">
        <v>-0.99962289999999998</v>
      </c>
      <c r="P4530">
        <v>5.7258379999999998E-2</v>
      </c>
      <c r="Q4530">
        <v>-0.1108354</v>
      </c>
      <c r="R4530">
        <v>-0.99218830000000002</v>
      </c>
      <c r="S4530">
        <v>-0.33331300000000003</v>
      </c>
      <c r="T4530">
        <v>-0.205373</v>
      </c>
      <c r="U4530">
        <v>-3.0202789999999999</v>
      </c>
      <c r="V4530">
        <v>-3.216931E-2</v>
      </c>
      <c r="W4530">
        <v>-0.1000026</v>
      </c>
      <c r="X4530">
        <v>0.99446699999999999</v>
      </c>
      <c r="Y4530">
        <v>0.13448499999999999</v>
      </c>
      <c r="Z4530">
        <v>5.6386249999999999E-2</v>
      </c>
      <c r="AA4530">
        <v>0.98931000000000002</v>
      </c>
      <c r="AB4530">
        <v>18</v>
      </c>
      <c r="AC4530">
        <v>-1.8036999999999901</v>
      </c>
      <c r="AD4530">
        <v>-1.109751096358</v>
      </c>
      <c r="AE4530">
        <v>-16.232699999999902</v>
      </c>
      <c r="AF4530">
        <v>2.20221658684981</v>
      </c>
      <c r="AG4530">
        <v>-1.109751096358</v>
      </c>
      <c r="AH4530">
        <v>16.1076994972873</v>
      </c>
      <c r="AI4530">
        <v>93.904991537574702</v>
      </c>
      <c r="AJ4530">
        <v>82.214887629565396</v>
      </c>
      <c r="AK4530">
        <v>16.295376291640999</v>
      </c>
      <c r="AL4530">
        <v>95.7393202008179</v>
      </c>
      <c r="AM4530">
        <v>91.852774594415294</v>
      </c>
      <c r="AN4530">
        <v>0.99999999930081795</v>
      </c>
    </row>
    <row r="4531" spans="1:40" x14ac:dyDescent="0.25">
      <c r="A4531" t="str">
        <f>"20190305135022727"</f>
        <v>20190305135022727</v>
      </c>
      <c r="B4531" t="str">
        <f>"1551765022714671"</f>
        <v>1551765022714671</v>
      </c>
      <c r="C4531" t="s">
        <v>40</v>
      </c>
      <c r="D4531">
        <v>4.4850750000000001</v>
      </c>
      <c r="E4531">
        <v>0.56445699999999999</v>
      </c>
      <c r="F4531" t="s">
        <v>42</v>
      </c>
      <c r="G4531">
        <v>-193.6857</v>
      </c>
      <c r="H4531" s="1">
        <v>-4.0782709999999901E-6</v>
      </c>
      <c r="I4531">
        <v>166.2037</v>
      </c>
      <c r="J4531">
        <v>-191.87860000000001</v>
      </c>
      <c r="K4531">
        <v>1.109704</v>
      </c>
      <c r="L4531">
        <v>182.39179999999999</v>
      </c>
      <c r="M4531">
        <v>2.5485319999999999E-2</v>
      </c>
      <c r="N4531">
        <v>-1.0888810000000001E-2</v>
      </c>
      <c r="O4531">
        <v>-0.99961619999999995</v>
      </c>
      <c r="P4531">
        <v>5.6324329999999999E-2</v>
      </c>
      <c r="Q4531">
        <v>-0.1108073</v>
      </c>
      <c r="R4531">
        <v>-0.99224489999999999</v>
      </c>
      <c r="S4531">
        <v>-0.33471679999999998</v>
      </c>
      <c r="T4531">
        <v>-0.20585690000000001</v>
      </c>
      <c r="U4531">
        <v>-3.019943</v>
      </c>
      <c r="V4531">
        <v>-3.0970999999999999E-2</v>
      </c>
      <c r="W4531">
        <v>-9.999856E-2</v>
      </c>
      <c r="X4531">
        <v>0.99450550000000004</v>
      </c>
      <c r="Y4531">
        <v>0.13522229999999999</v>
      </c>
      <c r="Z4531">
        <v>5.657392E-2</v>
      </c>
      <c r="AA4531">
        <v>0.98919880000000004</v>
      </c>
      <c r="AB4531">
        <v>18</v>
      </c>
      <c r="AC4531">
        <v>-1.8070999999999899</v>
      </c>
      <c r="AD4531">
        <v>-1.109708078271</v>
      </c>
      <c r="AE4531">
        <v>-16.188099999999899</v>
      </c>
      <c r="AF4531">
        <v>2.2088441335261599</v>
      </c>
      <c r="AG4531">
        <v>-1.109708078271</v>
      </c>
      <c r="AH4531">
        <v>16.062233250303802</v>
      </c>
      <c r="AI4531">
        <v>93.915439370821403</v>
      </c>
      <c r="AJ4531">
        <v>82.169918511961001</v>
      </c>
      <c r="AK4531">
        <v>16.251331681199499</v>
      </c>
      <c r="AL4531">
        <v>95.739087255191194</v>
      </c>
      <c r="AM4531">
        <v>91.783734995300506</v>
      </c>
      <c r="AN4531">
        <v>1.0000000521866601</v>
      </c>
    </row>
    <row r="4532" spans="1:40" x14ac:dyDescent="0.25">
      <c r="A4532" t="str">
        <f>"20190305135022739"</f>
        <v>20190305135022739</v>
      </c>
      <c r="B4532" t="str">
        <f>"1551765022735166"</f>
        <v>1551765022735166</v>
      </c>
      <c r="C4532" t="s">
        <v>40</v>
      </c>
      <c r="D4532">
        <v>5.6122560000000004</v>
      </c>
      <c r="E4532">
        <v>0.56444419999999995</v>
      </c>
      <c r="F4532" t="s">
        <v>42</v>
      </c>
      <c r="G4532">
        <v>-193.69820000000001</v>
      </c>
      <c r="H4532" s="1">
        <v>-4.0429580000000002E-6</v>
      </c>
      <c r="I4532">
        <v>166.10589999999999</v>
      </c>
      <c r="J4532">
        <v>-191.87610000000001</v>
      </c>
      <c r="K4532">
        <v>1.109661</v>
      </c>
      <c r="L4532">
        <v>182.3047</v>
      </c>
      <c r="M4532">
        <v>2.5696770000000001E-2</v>
      </c>
      <c r="N4532">
        <v>-1.0864469999999999E-2</v>
      </c>
      <c r="O4532">
        <v>-0.99961089999999997</v>
      </c>
      <c r="P4532">
        <v>5.5251830000000002E-2</v>
      </c>
      <c r="Q4532">
        <v>-0.1107408</v>
      </c>
      <c r="R4532">
        <v>-0.99231270000000005</v>
      </c>
      <c r="S4532">
        <v>-0.3373718</v>
      </c>
      <c r="T4532">
        <v>-0.2057562</v>
      </c>
      <c r="U4532">
        <v>-3.019638</v>
      </c>
      <c r="V4532">
        <v>-2.9696420000000001E-2</v>
      </c>
      <c r="W4532">
        <v>-9.9952269999999996E-2</v>
      </c>
      <c r="X4532">
        <v>0.99454900000000002</v>
      </c>
      <c r="Y4532">
        <v>0.13630159999999999</v>
      </c>
      <c r="Z4532">
        <v>5.6563040000000002E-2</v>
      </c>
      <c r="AA4532">
        <v>0.98905129999999997</v>
      </c>
      <c r="AB4532">
        <v>18</v>
      </c>
      <c r="AC4532">
        <v>-1.8221000000000001</v>
      </c>
      <c r="AD4532">
        <v>-1.1096650429579999</v>
      </c>
      <c r="AE4532">
        <v>-16.198799999999999</v>
      </c>
      <c r="AF4532">
        <v>2.2274575068091602</v>
      </c>
      <c r="AG4532">
        <v>-1.1096650429579999</v>
      </c>
      <c r="AH4532">
        <v>16.0721468109443</v>
      </c>
      <c r="AI4532">
        <v>93.912313360617802</v>
      </c>
      <c r="AJ4532">
        <v>82.1095736211917</v>
      </c>
      <c r="AK4532">
        <v>16.263665840294198</v>
      </c>
      <c r="AL4532">
        <v>95.736421843909696</v>
      </c>
      <c r="AM4532">
        <v>91.710296968611104</v>
      </c>
      <c r="AN4532">
        <v>1.00000002351998</v>
      </c>
    </row>
    <row r="4533" spans="1:40" x14ac:dyDescent="0.25">
      <c r="A4533" t="str">
        <f>"20190305135022749"</f>
        <v>20190305135022749</v>
      </c>
      <c r="B4533" t="str">
        <f>"1551765022744927"</f>
        <v>1551765022744927</v>
      </c>
      <c r="C4533" t="s">
        <v>40</v>
      </c>
      <c r="D4533">
        <v>4.473776</v>
      </c>
      <c r="E4533">
        <v>0.56445100000000004</v>
      </c>
      <c r="F4533" t="s">
        <v>42</v>
      </c>
      <c r="G4533">
        <v>-193.7139</v>
      </c>
      <c r="H4533" s="1">
        <v>-4.0100090000000002E-6</v>
      </c>
      <c r="I4533">
        <v>166.0129</v>
      </c>
      <c r="J4533">
        <v>-191.8734</v>
      </c>
      <c r="K4533">
        <v>1.1096200000000001</v>
      </c>
      <c r="L4533">
        <v>182.20930000000001</v>
      </c>
      <c r="M4533">
        <v>2.591164E-2</v>
      </c>
      <c r="N4533">
        <v>-1.083869E-2</v>
      </c>
      <c r="O4533">
        <v>-0.99960539999999998</v>
      </c>
      <c r="P4533">
        <v>5.4364580000000003E-2</v>
      </c>
      <c r="Q4533">
        <v>-0.1108355</v>
      </c>
      <c r="R4533">
        <v>-0.99235059999999997</v>
      </c>
      <c r="S4533">
        <v>-0.3405762</v>
      </c>
      <c r="T4533">
        <v>-0.20564840000000001</v>
      </c>
      <c r="U4533">
        <v>-3.019272</v>
      </c>
      <c r="V4533">
        <v>-2.8605789999999999E-2</v>
      </c>
      <c r="W4533">
        <v>-0.1000688</v>
      </c>
      <c r="X4533">
        <v>0.99456920000000004</v>
      </c>
      <c r="Y4533">
        <v>0.13756399999999999</v>
      </c>
      <c r="Z4533">
        <v>5.655102E-2</v>
      </c>
      <c r="AA4533">
        <v>0.98887720000000001</v>
      </c>
      <c r="AB4533">
        <v>18</v>
      </c>
      <c r="AC4533">
        <v>-1.84049999999999</v>
      </c>
      <c r="AD4533">
        <v>-1.109624010009</v>
      </c>
      <c r="AE4533">
        <v>-16.196400000000001</v>
      </c>
      <c r="AF4533">
        <v>2.24915964716295</v>
      </c>
      <c r="AG4533">
        <v>-1.109624010009</v>
      </c>
      <c r="AH4533">
        <v>16.0688075032683</v>
      </c>
      <c r="AI4533">
        <v>93.912244516943403</v>
      </c>
      <c r="AJ4533">
        <v>82.032045155253996</v>
      </c>
      <c r="AK4533">
        <v>16.263350181900002</v>
      </c>
      <c r="AL4533">
        <v>95.743132444856897</v>
      </c>
      <c r="AM4533">
        <v>91.647486477466202</v>
      </c>
      <c r="AN4533">
        <v>0.99999997477180103</v>
      </c>
    </row>
    <row r="4534" spans="1:40" x14ac:dyDescent="0.25">
      <c r="A4534" t="str">
        <f>"20190305135022761"</f>
        <v>20190305135022761</v>
      </c>
      <c r="B4534" t="str">
        <f>"1551765022754687"</f>
        <v>1551765022754687</v>
      </c>
      <c r="C4534" t="s">
        <v>40</v>
      </c>
      <c r="D4534">
        <v>4.4522839999999997</v>
      </c>
      <c r="E4534">
        <v>0.56449749999999999</v>
      </c>
      <c r="F4534" t="s">
        <v>42</v>
      </c>
      <c r="G4534">
        <v>-193.7312</v>
      </c>
      <c r="H4534" s="1">
        <v>-3.9592129999999999E-6</v>
      </c>
      <c r="I4534">
        <v>165.87260000000001</v>
      </c>
      <c r="J4534">
        <v>-191.8707</v>
      </c>
      <c r="K4534">
        <v>1.1095649999999999</v>
      </c>
      <c r="L4534">
        <v>182.11160000000001</v>
      </c>
      <c r="M4534">
        <v>2.6053639999999999E-2</v>
      </c>
      <c r="N4534">
        <v>-1.0815369999999999E-2</v>
      </c>
      <c r="O4534">
        <v>-0.99960210000000005</v>
      </c>
      <c r="P4534">
        <v>5.3236220000000001E-2</v>
      </c>
      <c r="Q4534">
        <v>-0.1108918</v>
      </c>
      <c r="R4534">
        <v>-0.99240569999999895</v>
      </c>
      <c r="S4534">
        <v>-0.34332279999999998</v>
      </c>
      <c r="T4534">
        <v>-0.2050592</v>
      </c>
      <c r="U4534">
        <v>-3.019028</v>
      </c>
      <c r="V4534">
        <v>-2.7347380000000001E-2</v>
      </c>
      <c r="W4534">
        <v>-0.10014430000000001</v>
      </c>
      <c r="X4534">
        <v>0.99459699999999995</v>
      </c>
      <c r="Y4534">
        <v>0.1386027</v>
      </c>
      <c r="Z4534">
        <v>5.6378499999999998E-2</v>
      </c>
      <c r="AA4534">
        <v>0.98874200000000001</v>
      </c>
      <c r="AB4534">
        <v>18</v>
      </c>
      <c r="AC4534">
        <v>-1.8605</v>
      </c>
      <c r="AD4534">
        <v>-1.10956895921299</v>
      </c>
      <c r="AE4534">
        <v>-16.239000000000001</v>
      </c>
      <c r="AF4534">
        <v>2.2725061077894302</v>
      </c>
      <c r="AG4534">
        <v>-1.10956895921299</v>
      </c>
      <c r="AH4534">
        <v>16.110770515036702</v>
      </c>
      <c r="AI4534">
        <v>93.901311731849106</v>
      </c>
      <c r="AJ4534">
        <v>81.971108366551306</v>
      </c>
      <c r="AK4534">
        <v>16.3080456791538</v>
      </c>
      <c r="AL4534">
        <v>95.747480107572301</v>
      </c>
      <c r="AM4534">
        <v>91.575004513034301</v>
      </c>
      <c r="AN4534">
        <v>0.99999997621217596</v>
      </c>
    </row>
    <row r="4535" spans="1:40" x14ac:dyDescent="0.25">
      <c r="A4535" t="str">
        <f>"20190305135022778"</f>
        <v>20190305135022778</v>
      </c>
      <c r="B4535" t="str">
        <f>"1551765022775182"</f>
        <v>1551765022775182</v>
      </c>
      <c r="C4535" t="s">
        <v>40</v>
      </c>
      <c r="D4535">
        <v>4.426431</v>
      </c>
      <c r="E4535">
        <v>0.56444680000000003</v>
      </c>
      <c r="F4535" t="s">
        <v>42</v>
      </c>
      <c r="G4535">
        <v>-193.7567</v>
      </c>
      <c r="H4535" s="1">
        <v>-3.8858309999999999E-6</v>
      </c>
      <c r="I4535">
        <v>165.69749999999999</v>
      </c>
      <c r="J4535">
        <v>-191.86709999999999</v>
      </c>
      <c r="K4535">
        <v>1.1094999999999999</v>
      </c>
      <c r="L4535">
        <v>181.9836</v>
      </c>
      <c r="M4535">
        <v>2.6189380000000002E-2</v>
      </c>
      <c r="N4535">
        <v>-1.078671E-2</v>
      </c>
      <c r="O4535">
        <v>-0.99959900000000002</v>
      </c>
      <c r="P4535">
        <v>5.1296090000000003E-2</v>
      </c>
      <c r="Q4535">
        <v>-0.1111991</v>
      </c>
      <c r="R4535">
        <v>-0.99247390000000002</v>
      </c>
      <c r="S4535">
        <v>-0.34686280000000003</v>
      </c>
      <c r="T4535">
        <v>-0.2040632</v>
      </c>
      <c r="U4535">
        <v>-3.0187680000000001</v>
      </c>
      <c r="V4535">
        <v>-2.5287710000000001E-2</v>
      </c>
      <c r="W4535">
        <v>-0.1004756</v>
      </c>
      <c r="X4535">
        <v>0.99461809999999995</v>
      </c>
      <c r="Y4535">
        <v>0.13989289999999999</v>
      </c>
      <c r="Z4535">
        <v>5.6076620000000001E-2</v>
      </c>
      <c r="AA4535">
        <v>0.98857740000000005</v>
      </c>
      <c r="AB4535">
        <v>18</v>
      </c>
      <c r="AC4535">
        <v>-1.8895999999999999</v>
      </c>
      <c r="AD4535">
        <v>-1.109503885831</v>
      </c>
      <c r="AE4535">
        <v>-16.286100000000001</v>
      </c>
      <c r="AF4535">
        <v>2.3049439417147899</v>
      </c>
      <c r="AG4535">
        <v>-1.109503885831</v>
      </c>
      <c r="AH4535">
        <v>16.157032102874499</v>
      </c>
      <c r="AI4535">
        <v>93.889083430829302</v>
      </c>
      <c r="AJ4535">
        <v>81.881030950899401</v>
      </c>
      <c r="AK4535">
        <v>16.3582838898351</v>
      </c>
      <c r="AL4535">
        <v>95.7665583485757</v>
      </c>
      <c r="AM4535">
        <v>91.456405216115996</v>
      </c>
      <c r="AN4535">
        <v>0.99999998966000603</v>
      </c>
    </row>
    <row r="4536" spans="1:40" x14ac:dyDescent="0.25">
      <c r="A4536" t="str">
        <f>"20190305135022788"</f>
        <v>20190305135022788</v>
      </c>
      <c r="B4536" t="str">
        <f>"1551765022784943"</f>
        <v>1551765022784943</v>
      </c>
      <c r="C4536" t="s">
        <v>40</v>
      </c>
      <c r="D4536">
        <v>4.3951089999999997</v>
      </c>
      <c r="E4536">
        <v>0.56439799999999996</v>
      </c>
      <c r="F4536" t="s">
        <v>42</v>
      </c>
      <c r="G4536">
        <v>-193.7835</v>
      </c>
      <c r="H4536" s="1">
        <v>-3.833685E-6</v>
      </c>
      <c r="I4536">
        <v>165.57210000000001</v>
      </c>
      <c r="J4536">
        <v>-191.8647</v>
      </c>
      <c r="K4536">
        <v>1.1094539999999999</v>
      </c>
      <c r="L4536">
        <v>181.8956</v>
      </c>
      <c r="M4536">
        <v>2.6249640000000001E-2</v>
      </c>
      <c r="N4536">
        <v>-1.076829E-2</v>
      </c>
      <c r="O4536">
        <v>-0.99959739999999997</v>
      </c>
      <c r="P4536">
        <v>5.0537459999999999E-2</v>
      </c>
      <c r="Q4536">
        <v>-0.1111721</v>
      </c>
      <c r="R4536">
        <v>-0.99251540000000005</v>
      </c>
      <c r="S4536">
        <v>-0.35243229999999998</v>
      </c>
      <c r="T4536">
        <v>-0.2040391</v>
      </c>
      <c r="U4536">
        <v>-3.018097</v>
      </c>
      <c r="V4536">
        <v>-2.4479569999999999E-2</v>
      </c>
      <c r="W4536">
        <v>-0.10046389999999999</v>
      </c>
      <c r="X4536">
        <v>0.99463950000000001</v>
      </c>
      <c r="Y4536">
        <v>0.14177670000000001</v>
      </c>
      <c r="Z4536">
        <v>5.6085400000000001E-2</v>
      </c>
      <c r="AA4536">
        <v>0.98830850000000003</v>
      </c>
      <c r="AB4536">
        <v>18</v>
      </c>
      <c r="AC4536">
        <v>-1.9188000000000001</v>
      </c>
      <c r="AD4536">
        <v>-1.1094578336849901</v>
      </c>
      <c r="AE4536">
        <v>-16.3234999999999</v>
      </c>
      <c r="AF4536">
        <v>2.3360054897121301</v>
      </c>
      <c r="AG4536">
        <v>-1.1094578336849901</v>
      </c>
      <c r="AH4536">
        <v>16.193716525816299</v>
      </c>
      <c r="AI4536">
        <v>93.879272533113294</v>
      </c>
      <c r="AJ4536">
        <v>81.791489722424899</v>
      </c>
      <c r="AK4536">
        <v>16.398910733679401</v>
      </c>
      <c r="AL4536">
        <v>95.7658845781975</v>
      </c>
      <c r="AM4536">
        <v>91.409850459333597</v>
      </c>
      <c r="AN4536">
        <v>0.99999998975542204</v>
      </c>
    </row>
    <row r="4537" spans="1:40" x14ac:dyDescent="0.25">
      <c r="A4537" t="str">
        <f>"20190305135022800"</f>
        <v>20190305135022800</v>
      </c>
      <c r="B4537" t="str">
        <f>"1551765022794702"</f>
        <v>1551765022794702</v>
      </c>
      <c r="C4537" t="s">
        <v>40</v>
      </c>
      <c r="D4537">
        <v>4.4139299999999997</v>
      </c>
      <c r="E4537">
        <v>0.56439910000000004</v>
      </c>
      <c r="F4537" t="s">
        <v>42</v>
      </c>
      <c r="G4537">
        <v>-193.79650000000001</v>
      </c>
      <c r="H4537" s="1">
        <v>-3.7776110000000001E-6</v>
      </c>
      <c r="I4537">
        <v>165.4461</v>
      </c>
      <c r="J4537">
        <v>-191.86199999999999</v>
      </c>
      <c r="K4537">
        <v>1.10941</v>
      </c>
      <c r="L4537">
        <v>181.79769999999999</v>
      </c>
      <c r="M4537">
        <v>2.625535E-2</v>
      </c>
      <c r="N4537">
        <v>-1.0750010000000001E-2</v>
      </c>
      <c r="O4537">
        <v>-0.99959759999999998</v>
      </c>
      <c r="P4537">
        <v>5.0005069999999999E-2</v>
      </c>
      <c r="Q4537">
        <v>-0.11120049999999999</v>
      </c>
      <c r="R4537">
        <v>-0.99253959999999997</v>
      </c>
      <c r="S4537">
        <v>-0.35441590000000001</v>
      </c>
      <c r="T4537">
        <v>-0.20354510000000001</v>
      </c>
      <c r="U4537">
        <v>-3.0178829999999999</v>
      </c>
      <c r="V4537">
        <v>-2.395253E-2</v>
      </c>
      <c r="W4537">
        <v>-0.10050779999999999</v>
      </c>
      <c r="X4537">
        <v>0.99464790000000003</v>
      </c>
      <c r="Y4537">
        <v>0.14243210000000001</v>
      </c>
      <c r="Z4537">
        <v>5.5941310000000001E-2</v>
      </c>
      <c r="AA4537">
        <v>0.9882225</v>
      </c>
      <c r="AB4537">
        <v>18</v>
      </c>
      <c r="AC4537">
        <v>-1.9345000000000101</v>
      </c>
      <c r="AD4537">
        <v>-1.109413777611</v>
      </c>
      <c r="AE4537">
        <v>-16.351599999999902</v>
      </c>
      <c r="AF4537">
        <v>2.3524950766283799</v>
      </c>
      <c r="AG4537">
        <v>-1.109413777611</v>
      </c>
      <c r="AH4537">
        <v>16.2215271619135</v>
      </c>
      <c r="AI4537">
        <v>93.872068033737406</v>
      </c>
      <c r="AJ4537">
        <v>81.748320230142795</v>
      </c>
      <c r="AK4537">
        <v>16.4287240977567</v>
      </c>
      <c r="AL4537">
        <v>95.768412638546707</v>
      </c>
      <c r="AM4537">
        <v>91.379496887703695</v>
      </c>
      <c r="AN4537">
        <v>0.99999999326432498</v>
      </c>
    </row>
    <row r="4538" spans="1:40" x14ac:dyDescent="0.25">
      <c r="A4538" t="str">
        <f>"20190305135022812"</f>
        <v>20190305135022812</v>
      </c>
      <c r="B4538" t="str">
        <f>"1551765022804462"</f>
        <v>1551765022804462</v>
      </c>
      <c r="C4538" t="s">
        <v>40</v>
      </c>
      <c r="D4538">
        <v>4.41777</v>
      </c>
      <c r="E4538">
        <v>0.56439849999999903</v>
      </c>
      <c r="F4538" t="s">
        <v>42</v>
      </c>
      <c r="G4538">
        <v>-193.8049</v>
      </c>
      <c r="H4538" s="1">
        <v>-3.7245329999999999E-6</v>
      </c>
      <c r="I4538">
        <v>165.32910000000001</v>
      </c>
      <c r="J4538">
        <v>-191.8595</v>
      </c>
      <c r="K4538">
        <v>1.1093649999999999</v>
      </c>
      <c r="L4538">
        <v>181.7028</v>
      </c>
      <c r="M4538">
        <v>2.6239950000000001E-2</v>
      </c>
      <c r="N4538">
        <v>-1.0733039999999999E-2</v>
      </c>
      <c r="O4538">
        <v>-0.99959810000000004</v>
      </c>
      <c r="P4538">
        <v>4.9471130000000002E-2</v>
      </c>
      <c r="Q4538">
        <v>-0.11090270000000001</v>
      </c>
      <c r="R4538">
        <v>-0.99259920000000001</v>
      </c>
      <c r="S4538">
        <v>-0.35600279999999901</v>
      </c>
      <c r="T4538">
        <v>-0.20329</v>
      </c>
      <c r="U4538">
        <v>-3.0177149999999999</v>
      </c>
      <c r="V4538">
        <v>-2.3442870000000001E-2</v>
      </c>
      <c r="W4538">
        <v>-0.1002241</v>
      </c>
      <c r="X4538">
        <v>0.99468869999999998</v>
      </c>
      <c r="Y4538">
        <v>0.14293620000000001</v>
      </c>
      <c r="Z4538">
        <v>5.5874189999999997E-2</v>
      </c>
      <c r="AA4538">
        <v>0.98815350000000002</v>
      </c>
      <c r="AB4538">
        <v>18</v>
      </c>
      <c r="AC4538">
        <v>-1.9454</v>
      </c>
      <c r="AD4538">
        <v>-1.109368724533</v>
      </c>
      <c r="AE4538">
        <v>-16.3736999999999</v>
      </c>
      <c r="AF4538">
        <v>2.3637003848053699</v>
      </c>
      <c r="AG4538">
        <v>-1.109368724533</v>
      </c>
      <c r="AH4538">
        <v>16.243483853079699</v>
      </c>
      <c r="AI4538">
        <v>93.866422593712002</v>
      </c>
      <c r="AJ4538">
        <v>81.720612132542797</v>
      </c>
      <c r="AK4538">
        <v>16.452007359631299</v>
      </c>
      <c r="AL4538">
        <v>95.752075153763499</v>
      </c>
      <c r="AM4538">
        <v>91.350099687405503</v>
      </c>
      <c r="AN4538">
        <v>1.00000002414116</v>
      </c>
    </row>
    <row r="4539" spans="1:40" x14ac:dyDescent="0.25">
      <c r="A4539" t="str">
        <f>"20190305135022823"</f>
        <v>20190305135022823</v>
      </c>
      <c r="B4539" t="str">
        <f>"1551765022815199"</f>
        <v>1551765022815199</v>
      </c>
      <c r="C4539" t="s">
        <v>40</v>
      </c>
      <c r="D4539">
        <v>4.4345230000000004</v>
      </c>
      <c r="E4539">
        <v>0.56438940000000004</v>
      </c>
      <c r="F4539" t="s">
        <v>42</v>
      </c>
      <c r="G4539">
        <v>-193.8244</v>
      </c>
      <c r="H4539" s="1">
        <v>-3.6297959999999998E-6</v>
      </c>
      <c r="I4539">
        <v>165.11770000000001</v>
      </c>
      <c r="J4539">
        <v>-191.85720000000001</v>
      </c>
      <c r="K4539">
        <v>1.109327</v>
      </c>
      <c r="L4539">
        <v>181.6138</v>
      </c>
      <c r="M4539">
        <v>2.617835E-2</v>
      </c>
      <c r="N4539">
        <v>-1.0718739999999999E-2</v>
      </c>
      <c r="O4539">
        <v>-0.99960009999999999</v>
      </c>
      <c r="P4539">
        <v>4.8673660000000001E-2</v>
      </c>
      <c r="Q4539">
        <v>-0.11072369999999999</v>
      </c>
      <c r="R4539">
        <v>-0.99265899999999996</v>
      </c>
      <c r="S4539">
        <v>-0.35749819999999999</v>
      </c>
      <c r="T4539">
        <v>-0.20184730000000001</v>
      </c>
      <c r="U4539">
        <v>-3.0176240000000001</v>
      </c>
      <c r="V4539">
        <v>-2.2714720000000001E-2</v>
      </c>
      <c r="W4539">
        <v>-0.1000571</v>
      </c>
      <c r="X4539">
        <v>0.99472240000000001</v>
      </c>
      <c r="Y4539">
        <v>0.14336479999999999</v>
      </c>
      <c r="Z4539">
        <v>5.5415770000000003E-2</v>
      </c>
      <c r="AA4539">
        <v>0.98811720000000003</v>
      </c>
      <c r="AB4539">
        <v>18</v>
      </c>
      <c r="AC4539">
        <v>-1.9671999999999901</v>
      </c>
      <c r="AD4539">
        <v>-1.1093306297959999</v>
      </c>
      <c r="AE4539">
        <v>-16.496099999999899</v>
      </c>
      <c r="AF4539">
        <v>2.3877444185441599</v>
      </c>
      <c r="AG4539">
        <v>-1.1093306297959999</v>
      </c>
      <c r="AH4539">
        <v>16.3659708831924</v>
      </c>
      <c r="AI4539">
        <v>93.837233258581705</v>
      </c>
      <c r="AJ4539">
        <v>81.6992888015928</v>
      </c>
      <c r="AK4539">
        <v>16.576397099611</v>
      </c>
      <c r="AL4539">
        <v>95.742458457090095</v>
      </c>
      <c r="AM4539">
        <v>91.308135260080405</v>
      </c>
      <c r="AN4539">
        <v>1.00000001741342</v>
      </c>
    </row>
    <row r="4540" spans="1:40" x14ac:dyDescent="0.25">
      <c r="A4540" t="str">
        <f>"20190305135022834"</f>
        <v>20190305135022834</v>
      </c>
      <c r="B4540" t="str">
        <f>"1551765022824958"</f>
        <v>1551765022824958</v>
      </c>
      <c r="C4540" t="s">
        <v>40</v>
      </c>
      <c r="D4540">
        <v>4.4032019999999896</v>
      </c>
      <c r="E4540">
        <v>0.56434859999999998</v>
      </c>
      <c r="F4540" t="s">
        <v>42</v>
      </c>
      <c r="G4540">
        <v>-193.84309999999999</v>
      </c>
      <c r="H4540" s="1">
        <v>-3.5628579999999999E-6</v>
      </c>
      <c r="I4540">
        <v>164.96549999999999</v>
      </c>
      <c r="J4540">
        <v>-191.85499999999999</v>
      </c>
      <c r="K4540">
        <v>1.109286</v>
      </c>
      <c r="L4540">
        <v>181.52690000000001</v>
      </c>
      <c r="M4540">
        <v>2.6095119999999999E-2</v>
      </c>
      <c r="N4540">
        <v>-1.07055E-2</v>
      </c>
      <c r="O4540">
        <v>-0.99960230000000005</v>
      </c>
      <c r="P4540">
        <v>4.824403E-2</v>
      </c>
      <c r="Q4540">
        <v>-0.1103647</v>
      </c>
      <c r="R4540">
        <v>-0.99271989999999999</v>
      </c>
      <c r="S4540">
        <v>-0.35993960000000003</v>
      </c>
      <c r="T4540">
        <v>-0.20106019999999999</v>
      </c>
      <c r="U4540">
        <v>-3.0174099999999999</v>
      </c>
      <c r="V4540">
        <v>-2.237447E-2</v>
      </c>
      <c r="W4540">
        <v>-9.9708959999999999E-2</v>
      </c>
      <c r="X4540">
        <v>0.99476500000000001</v>
      </c>
      <c r="Y4540">
        <v>0.1440805</v>
      </c>
      <c r="Z4540">
        <v>5.5170280000000002E-2</v>
      </c>
      <c r="AA4540">
        <v>0.98802690000000004</v>
      </c>
      <c r="AB4540">
        <v>18</v>
      </c>
      <c r="AC4540">
        <v>-1.9881</v>
      </c>
      <c r="AD4540">
        <v>-1.109289562858</v>
      </c>
      <c r="AE4540">
        <v>-16.561399999999999</v>
      </c>
      <c r="AF4540">
        <v>2.4089653259900801</v>
      </c>
      <c r="AG4540">
        <v>-1.109289562858</v>
      </c>
      <c r="AH4540">
        <v>16.4312075549472</v>
      </c>
      <c r="AI4540">
        <v>93.821513891912701</v>
      </c>
      <c r="AJ4540">
        <v>81.659334669423799</v>
      </c>
      <c r="AK4540">
        <v>16.643864304597098</v>
      </c>
      <c r="AL4540">
        <v>95.722411642709602</v>
      </c>
      <c r="AM4540">
        <v>91.288491838649406</v>
      </c>
      <c r="AN4540">
        <v>0.99999994941852999</v>
      </c>
    </row>
    <row r="4541" spans="1:40" x14ac:dyDescent="0.25">
      <c r="A4541" t="str">
        <f>"20190305135022847"</f>
        <v>20190305135022847</v>
      </c>
      <c r="B4541" t="str">
        <f>"1551765022834719"</f>
        <v>1551765022834719</v>
      </c>
      <c r="C4541" t="s">
        <v>40</v>
      </c>
      <c r="D4541">
        <v>4.4104109999999999</v>
      </c>
      <c r="E4541">
        <v>0.56428789999999995</v>
      </c>
      <c r="F4541" t="s">
        <v>42</v>
      </c>
      <c r="G4541">
        <v>-193.8518</v>
      </c>
      <c r="H4541" s="1">
        <v>-3.4991979999999998E-6</v>
      </c>
      <c r="I4541">
        <v>164.82599999999999</v>
      </c>
      <c r="J4541">
        <v>-191.85230000000001</v>
      </c>
      <c r="K4541">
        <v>1.1092439999999999</v>
      </c>
      <c r="L4541">
        <v>181.4211</v>
      </c>
      <c r="M4541">
        <v>2.5953159999999999E-2</v>
      </c>
      <c r="N4541">
        <v>-1.06906E-2</v>
      </c>
      <c r="O4541">
        <v>-0.9996062</v>
      </c>
      <c r="P4541">
        <v>4.7643270000000001E-2</v>
      </c>
      <c r="Q4541">
        <v>-0.1102431</v>
      </c>
      <c r="R4541">
        <v>-0.99276260000000005</v>
      </c>
      <c r="S4541">
        <v>-0.36076350000000001</v>
      </c>
      <c r="T4541">
        <v>-0.20040830000000001</v>
      </c>
      <c r="U4541">
        <v>-3.017258</v>
      </c>
      <c r="V4541">
        <v>-2.192361E-2</v>
      </c>
      <c r="W4541">
        <v>-9.9600110000000006E-2</v>
      </c>
      <c r="X4541">
        <v>0.99478599999999995</v>
      </c>
      <c r="Y4541">
        <v>0.14421339999999999</v>
      </c>
      <c r="Z4541">
        <v>5.4974439999999999E-2</v>
      </c>
      <c r="AA4541">
        <v>0.98801839999999996</v>
      </c>
      <c r="AB4541">
        <v>18</v>
      </c>
      <c r="AC4541">
        <v>-1.9994999999999801</v>
      </c>
      <c r="AD4541">
        <v>-1.1092474991979999</v>
      </c>
      <c r="AE4541">
        <v>-16.595099999999999</v>
      </c>
      <c r="AF4541">
        <v>2.4188936496112801</v>
      </c>
      <c r="AG4541">
        <v>-1.1092474991979999</v>
      </c>
      <c r="AH4541">
        <v>16.465102456272401</v>
      </c>
      <c r="AI4541">
        <v>93.813361493915906</v>
      </c>
      <c r="AJ4541">
        <v>81.642441955092195</v>
      </c>
      <c r="AK4541">
        <v>16.678761206940798</v>
      </c>
      <c r="AL4541">
        <v>95.716143470450803</v>
      </c>
      <c r="AM4541">
        <v>91.262509743783198</v>
      </c>
      <c r="AN4541">
        <v>1.00000000619172</v>
      </c>
    </row>
    <row r="4542" spans="1:40" x14ac:dyDescent="0.25">
      <c r="A4542" t="str">
        <f>"20190305135022861"</f>
        <v>20190305135022861</v>
      </c>
      <c r="B4542" t="str">
        <f>"1551765022855215"</f>
        <v>1551765022855215</v>
      </c>
      <c r="C4542" t="s">
        <v>40</v>
      </c>
      <c r="D4542">
        <v>4.4068569999999996</v>
      </c>
      <c r="E4542">
        <v>0.56419710000000001</v>
      </c>
      <c r="F4542" t="s">
        <v>42</v>
      </c>
      <c r="G4542">
        <v>-193.85939999999999</v>
      </c>
      <c r="H4542" s="1">
        <v>-3.4448750000000002E-6</v>
      </c>
      <c r="I4542">
        <v>164.70679999999999</v>
      </c>
      <c r="J4542">
        <v>-191.84970000000001</v>
      </c>
      <c r="K4542">
        <v>1.109205</v>
      </c>
      <c r="L4542">
        <v>181.31440000000001</v>
      </c>
      <c r="M4542">
        <v>2.576024E-2</v>
      </c>
      <c r="N4542">
        <v>-1.067716E-2</v>
      </c>
      <c r="O4542">
        <v>-0.99961149999999999</v>
      </c>
      <c r="P4542">
        <v>4.7091719999999997E-2</v>
      </c>
      <c r="Q4542">
        <v>-0.1101118</v>
      </c>
      <c r="R4542">
        <v>-0.99280369999999996</v>
      </c>
      <c r="S4542">
        <v>-0.36228939999999998</v>
      </c>
      <c r="T4542">
        <v>-0.2002274</v>
      </c>
      <c r="U4542">
        <v>-3.0170439999999998</v>
      </c>
      <c r="V4542">
        <v>-2.1571420000000001E-2</v>
      </c>
      <c r="W4542">
        <v>-9.9480239999999998E-2</v>
      </c>
      <c r="X4542">
        <v>0.99480570000000001</v>
      </c>
      <c r="Y4542">
        <v>0.1445235</v>
      </c>
      <c r="Z4542">
        <v>5.4930489999999998E-2</v>
      </c>
      <c r="AA4542">
        <v>0.98797550000000001</v>
      </c>
      <c r="AB4542">
        <v>18</v>
      </c>
      <c r="AC4542">
        <v>-2.0096999999999801</v>
      </c>
      <c r="AD4542">
        <v>-1.1092084448749999</v>
      </c>
      <c r="AE4542">
        <v>-16.607600000000001</v>
      </c>
      <c r="AF4542">
        <v>2.4262063771382998</v>
      </c>
      <c r="AG4542">
        <v>-1.1092084448749999</v>
      </c>
      <c r="AH4542">
        <v>16.477871234731602</v>
      </c>
      <c r="AI4542">
        <v>93.810100998744204</v>
      </c>
      <c r="AJ4542">
        <v>81.623937524993806</v>
      </c>
      <c r="AK4542">
        <v>16.692425263784902</v>
      </c>
      <c r="AL4542">
        <v>95.709241108986902</v>
      </c>
      <c r="AM4542">
        <v>91.242210076517395</v>
      </c>
      <c r="AN4542">
        <v>1.00000001253188</v>
      </c>
    </row>
    <row r="4543" spans="1:40" x14ac:dyDescent="0.25">
      <c r="A4543" t="str">
        <f>"20190305135022879"</f>
        <v>20190305135022879</v>
      </c>
      <c r="B4543" t="str">
        <f>"1551765022864975"</f>
        <v>1551765022864975</v>
      </c>
      <c r="C4543" t="s">
        <v>40</v>
      </c>
      <c r="D4543">
        <v>4.400258</v>
      </c>
      <c r="E4543">
        <v>0.56417539999999999</v>
      </c>
      <c r="F4543" t="s">
        <v>42</v>
      </c>
      <c r="G4543">
        <v>-193.863</v>
      </c>
      <c r="H4543" s="1">
        <v>-3.3948059999999998E-6</v>
      </c>
      <c r="I4543">
        <v>164.59880000000001</v>
      </c>
      <c r="J4543">
        <v>-191.84610000000001</v>
      </c>
      <c r="K4543">
        <v>1.1091580000000001</v>
      </c>
      <c r="L4543">
        <v>181.1627</v>
      </c>
      <c r="M4543">
        <v>2.5431450000000001E-2</v>
      </c>
      <c r="N4543">
        <v>-1.0659790000000001E-2</v>
      </c>
      <c r="O4543">
        <v>-0.99961999999999995</v>
      </c>
      <c r="P4543">
        <v>4.5882369999999999E-2</v>
      </c>
      <c r="Q4543">
        <v>-0.11046</v>
      </c>
      <c r="R4543">
        <v>-0.99282130000000002</v>
      </c>
      <c r="S4543">
        <v>-0.3633575</v>
      </c>
      <c r="T4543">
        <v>-0.2001877</v>
      </c>
      <c r="U4543">
        <v>-3.016785</v>
      </c>
      <c r="V4543">
        <v>-2.0700199999999998E-2</v>
      </c>
      <c r="W4543">
        <v>-9.9844299999999997E-2</v>
      </c>
      <c r="X4543">
        <v>0.9947878</v>
      </c>
      <c r="Y4543">
        <v>0.14455299999999999</v>
      </c>
      <c r="Z4543">
        <v>5.4939960000000003E-2</v>
      </c>
      <c r="AA4543">
        <v>0.98797069999999998</v>
      </c>
      <c r="AB4543">
        <v>18</v>
      </c>
      <c r="AC4543">
        <v>-2.0168999999999899</v>
      </c>
      <c r="AD4543">
        <v>-1.109161394806</v>
      </c>
      <c r="AE4543">
        <v>-16.563899999999901</v>
      </c>
      <c r="AF4543">
        <v>2.42679269105887</v>
      </c>
      <c r="AG4543">
        <v>-1.109161394806</v>
      </c>
      <c r="AH4543">
        <v>16.434630505520701</v>
      </c>
      <c r="AI4543">
        <v>93.819701921594998</v>
      </c>
      <c r="AJ4543">
        <v>81.600212901258004</v>
      </c>
      <c r="AK4543">
        <v>16.649824071686101</v>
      </c>
      <c r="AL4543">
        <v>95.730204222836704</v>
      </c>
      <c r="AM4543">
        <v>91.192076295235694</v>
      </c>
      <c r="AN4543">
        <v>1.0000000747756801</v>
      </c>
    </row>
    <row r="4544" spans="1:40" x14ac:dyDescent="0.25">
      <c r="A4544" t="str">
        <f>"20190305135022894"</f>
        <v>20190305135022894</v>
      </c>
      <c r="B4544" t="str">
        <f>"1551765022884495"</f>
        <v>1551765022884495</v>
      </c>
      <c r="C4544" t="s">
        <v>40</v>
      </c>
      <c r="D4544">
        <v>4.3847079999999998</v>
      </c>
      <c r="E4544">
        <v>0.56412659999999903</v>
      </c>
      <c r="F4544" t="s">
        <v>42</v>
      </c>
      <c r="G4544">
        <v>-193.86330000000001</v>
      </c>
      <c r="H4544" s="1">
        <v>-3.3856810000000002E-6</v>
      </c>
      <c r="I4544">
        <v>164.57939999999999</v>
      </c>
      <c r="J4544">
        <v>-191.8433</v>
      </c>
      <c r="K4544">
        <v>1.1091260000000001</v>
      </c>
      <c r="L4544">
        <v>181.0412</v>
      </c>
      <c r="M4544">
        <v>2.512499E-2</v>
      </c>
      <c r="N4544">
        <v>-1.06473E-2</v>
      </c>
      <c r="O4544">
        <v>-0.99962759999999995</v>
      </c>
      <c r="P4544">
        <v>4.5358339999999997E-2</v>
      </c>
      <c r="Q4544">
        <v>-0.110432</v>
      </c>
      <c r="R4544">
        <v>-0.99284819999999996</v>
      </c>
      <c r="S4544">
        <v>-0.36688229999999999</v>
      </c>
      <c r="T4544">
        <v>-0.20173659999999999</v>
      </c>
      <c r="U4544">
        <v>-3.0162049999999998</v>
      </c>
      <c r="V4544">
        <v>-2.0487729999999999E-2</v>
      </c>
      <c r="W4544">
        <v>-9.9827269999999996E-2</v>
      </c>
      <c r="X4544">
        <v>0.99479379999999995</v>
      </c>
      <c r="Y4544">
        <v>0.1454059</v>
      </c>
      <c r="Z4544">
        <v>5.5462699999999997E-2</v>
      </c>
      <c r="AA4544">
        <v>0.98781629999999998</v>
      </c>
      <c r="AB4544">
        <v>18</v>
      </c>
      <c r="AC4544">
        <v>-2.0200000000000098</v>
      </c>
      <c r="AD4544">
        <v>-1.1091293856810001</v>
      </c>
      <c r="AE4544">
        <v>-16.4618</v>
      </c>
      <c r="AF4544">
        <v>2.4221559463918898</v>
      </c>
      <c r="AG4544">
        <v>-1.1091293856810001</v>
      </c>
      <c r="AH4544">
        <v>16.332804123922699</v>
      </c>
      <c r="AI4544">
        <v>93.842980713383398</v>
      </c>
      <c r="AJ4544">
        <v>81.564513793526103</v>
      </c>
      <c r="AK4544">
        <v>16.548640366303498</v>
      </c>
      <c r="AL4544">
        <v>95.729224191818503</v>
      </c>
      <c r="AM4544">
        <v>91.179837005347594</v>
      </c>
      <c r="AN4544">
        <v>0.99999996771732202</v>
      </c>
    </row>
    <row r="4545" spans="1:40" x14ac:dyDescent="0.25">
      <c r="A4545" t="str">
        <f>"20190305135022905"</f>
        <v>20190305135022905</v>
      </c>
      <c r="B4545" t="str">
        <f>"1551765022895230"</f>
        <v>1551765022895230</v>
      </c>
      <c r="C4545" t="s">
        <v>40</v>
      </c>
      <c r="D4545">
        <v>4.3960239999999997</v>
      </c>
      <c r="E4545">
        <v>0.56414449999999905</v>
      </c>
      <c r="F4545" t="s">
        <v>42</v>
      </c>
      <c r="G4545">
        <v>-193.8629</v>
      </c>
      <c r="H4545" s="1">
        <v>-3.3464770000000001E-6</v>
      </c>
      <c r="I4545">
        <v>164.4967</v>
      </c>
      <c r="J4545">
        <v>-191.84110000000001</v>
      </c>
      <c r="K4545">
        <v>1.109102</v>
      </c>
      <c r="L4545">
        <v>180.93989999999999</v>
      </c>
      <c r="M4545">
        <v>2.484221E-2</v>
      </c>
      <c r="N4545">
        <v>-1.063792E-2</v>
      </c>
      <c r="O4545">
        <v>-0.99963489999999999</v>
      </c>
      <c r="P4545">
        <v>4.4559420000000002E-2</v>
      </c>
      <c r="Q4545">
        <v>-0.11057</v>
      </c>
      <c r="R4545">
        <v>-0.992869</v>
      </c>
      <c r="S4545">
        <v>-0.36816409999999999</v>
      </c>
      <c r="T4545">
        <v>-0.20218749999999999</v>
      </c>
      <c r="U4545">
        <v>-3.0159609999999999</v>
      </c>
      <c r="V4545">
        <v>-1.9975130000000001E-2</v>
      </c>
      <c r="W4545">
        <v>-9.9974090000000002E-2</v>
      </c>
      <c r="X4545">
        <v>0.99478949999999999</v>
      </c>
      <c r="Y4545">
        <v>0.14554810000000001</v>
      </c>
      <c r="Z4545">
        <v>5.562305E-2</v>
      </c>
      <c r="AA4545">
        <v>0.98778639999999995</v>
      </c>
      <c r="AB4545">
        <v>18</v>
      </c>
      <c r="AC4545">
        <v>-2.0217999999999798</v>
      </c>
      <c r="AD4545">
        <v>-1.109105346477</v>
      </c>
      <c r="AE4545">
        <v>-16.443199999999901</v>
      </c>
      <c r="AF4545">
        <v>2.41884359831792</v>
      </c>
      <c r="AG4545">
        <v>-1.109105346477</v>
      </c>
      <c r="AH4545">
        <v>16.314775788513899</v>
      </c>
      <c r="AI4545">
        <v>93.847153235001201</v>
      </c>
      <c r="AJ4545">
        <v>81.566708737468502</v>
      </c>
      <c r="AK4545">
        <v>16.5303607961891</v>
      </c>
      <c r="AL4545">
        <v>95.737678542181101</v>
      </c>
      <c r="AM4545">
        <v>91.150330661096206</v>
      </c>
      <c r="AN4545">
        <v>0.99999998690004699</v>
      </c>
    </row>
    <row r="4546" spans="1:40" x14ac:dyDescent="0.25">
      <c r="A4546" t="str">
        <f>"20190305135022917"</f>
        <v>20190305135022917</v>
      </c>
      <c r="B4546" t="str">
        <f>"1551765022914751"</f>
        <v>1551765022914751</v>
      </c>
      <c r="C4546" t="s">
        <v>40</v>
      </c>
      <c r="D4546">
        <v>4.3393439999999996</v>
      </c>
      <c r="E4546">
        <v>0.56410340000000003</v>
      </c>
      <c r="F4546" t="s">
        <v>42</v>
      </c>
      <c r="G4546">
        <v>-193.86869999999999</v>
      </c>
      <c r="H4546" s="1">
        <v>-3.3239960000000002E-6</v>
      </c>
      <c r="I4546">
        <v>164.44589999999999</v>
      </c>
      <c r="J4546">
        <v>-191.8391</v>
      </c>
      <c r="K4546">
        <v>1.109084</v>
      </c>
      <c r="L4546">
        <v>180.8477</v>
      </c>
      <c r="M4546">
        <v>2.4568719999999999E-2</v>
      </c>
      <c r="N4546">
        <v>-1.063004E-2</v>
      </c>
      <c r="O4546">
        <v>-0.99964160000000002</v>
      </c>
      <c r="P4546">
        <v>4.394E-2</v>
      </c>
      <c r="Q4546">
        <v>-0.1109521</v>
      </c>
      <c r="R4546">
        <v>-0.99285389999999996</v>
      </c>
      <c r="S4546">
        <v>-0.37071229999999999</v>
      </c>
      <c r="T4546">
        <v>-0.20277770000000001</v>
      </c>
      <c r="U4546">
        <v>-3.0156100000000001</v>
      </c>
      <c r="V4546">
        <v>-1.9631869999999999E-2</v>
      </c>
      <c r="W4546">
        <v>-0.10036399999999999</v>
      </c>
      <c r="X4546">
        <v>0.99475709999999995</v>
      </c>
      <c r="Y4546">
        <v>0.14611179999999999</v>
      </c>
      <c r="Z4546">
        <v>5.582583E-2</v>
      </c>
      <c r="AA4546">
        <v>0.9876916</v>
      </c>
      <c r="AB4546">
        <v>18</v>
      </c>
      <c r="AC4546">
        <v>-2.0295999999999799</v>
      </c>
      <c r="AD4546">
        <v>-1.109087323996</v>
      </c>
      <c r="AE4546">
        <v>-16.401800000000001</v>
      </c>
      <c r="AF4546">
        <v>2.4210780024044198</v>
      </c>
      <c r="AG4546">
        <v>-1.109087323996</v>
      </c>
      <c r="AH4546">
        <v>16.273692603824198</v>
      </c>
      <c r="AI4546">
        <v>93.856487837935404</v>
      </c>
      <c r="AJ4546">
        <v>81.538029458709502</v>
      </c>
      <c r="AK4546">
        <v>16.490141429039902</v>
      </c>
      <c r="AL4546">
        <v>95.760131504758405</v>
      </c>
      <c r="AM4546">
        <v>91.130604944297204</v>
      </c>
      <c r="AN4546">
        <v>1.0000000154080499</v>
      </c>
    </row>
    <row r="4547" spans="1:40" x14ac:dyDescent="0.25">
      <c r="A4547" t="str">
        <f>"20190305135022930"</f>
        <v>20190305135022930</v>
      </c>
      <c r="B4547" t="str">
        <f>"1551765022924511"</f>
        <v>1551765022924511</v>
      </c>
      <c r="C4547" t="s">
        <v>40</v>
      </c>
      <c r="D4547">
        <v>4.432518</v>
      </c>
      <c r="E4547">
        <v>0.56417669999999998</v>
      </c>
      <c r="F4547" t="s">
        <v>42</v>
      </c>
      <c r="G4547">
        <v>-193.8527</v>
      </c>
      <c r="H4547" s="1">
        <v>-3.3654290000000002E-6</v>
      </c>
      <c r="I4547">
        <v>164.54249999999999</v>
      </c>
      <c r="J4547">
        <v>-191.83680000000001</v>
      </c>
      <c r="K4547">
        <v>1.1090660000000001</v>
      </c>
      <c r="L4547">
        <v>180.74379999999999</v>
      </c>
      <c r="M4547">
        <v>2.425186E-2</v>
      </c>
      <c r="N4547">
        <v>-1.062154E-2</v>
      </c>
      <c r="O4547">
        <v>-0.99964969999999997</v>
      </c>
      <c r="P4547">
        <v>4.3232409999999999E-2</v>
      </c>
      <c r="Q4547">
        <v>-0.1110945</v>
      </c>
      <c r="R4547">
        <v>-0.99286929999999995</v>
      </c>
      <c r="S4547">
        <v>-0.37236019999999997</v>
      </c>
      <c r="T4547">
        <v>-0.20509240000000001</v>
      </c>
      <c r="U4547">
        <v>-3.0151520000000001</v>
      </c>
      <c r="V4547">
        <v>-1.9243090000000001E-2</v>
      </c>
      <c r="W4547">
        <v>-0.1005147</v>
      </c>
      <c r="X4547">
        <v>0.99474949999999995</v>
      </c>
      <c r="Y4547">
        <v>0.14634220000000001</v>
      </c>
      <c r="Z4547">
        <v>5.6597540000000002E-2</v>
      </c>
      <c r="AA4547">
        <v>0.98761359999999998</v>
      </c>
      <c r="AB4547">
        <v>18</v>
      </c>
      <c r="AC4547">
        <v>-2.0158999999999798</v>
      </c>
      <c r="AD4547">
        <v>-1.10906936542899</v>
      </c>
      <c r="AE4547">
        <v>-16.2013</v>
      </c>
      <c r="AF4547">
        <v>2.3971784401038199</v>
      </c>
      <c r="AG4547">
        <v>-1.10906936542899</v>
      </c>
      <c r="AH4547">
        <v>16.073467732013</v>
      </c>
      <c r="AI4547">
        <v>93.9041090753324</v>
      </c>
      <c r="AJ4547">
        <v>81.5174951936079</v>
      </c>
      <c r="AK4547">
        <v>16.289041232162599</v>
      </c>
      <c r="AL4547">
        <v>95.768809752449101</v>
      </c>
      <c r="AM4547">
        <v>91.108229099259603</v>
      </c>
      <c r="AN4547">
        <v>1.0000000345895399</v>
      </c>
    </row>
    <row r="4548" spans="1:40" x14ac:dyDescent="0.25">
      <c r="A4548" t="str">
        <f>"20190305135022942"</f>
        <v>20190305135022942</v>
      </c>
      <c r="B4548" t="str">
        <f>"1551765022935247"</f>
        <v>1551765022935247</v>
      </c>
      <c r="C4548" t="s">
        <v>40</v>
      </c>
      <c r="D4548">
        <v>4.4157070000000003</v>
      </c>
      <c r="E4548">
        <v>0.56417669999999998</v>
      </c>
      <c r="F4548" t="s">
        <v>42</v>
      </c>
      <c r="G4548">
        <v>-193.85560000000001</v>
      </c>
      <c r="H4548" s="1">
        <v>-3.3573559999999999E-6</v>
      </c>
      <c r="I4548">
        <v>164.52379999999999</v>
      </c>
      <c r="J4548">
        <v>-191.8347</v>
      </c>
      <c r="K4548">
        <v>1.109056</v>
      </c>
      <c r="L4548">
        <v>180.64160000000001</v>
      </c>
      <c r="M4548">
        <v>2.3924750000000002E-2</v>
      </c>
      <c r="N4548">
        <v>-1.0614190000000001E-2</v>
      </c>
      <c r="O4548">
        <v>-0.99965760000000004</v>
      </c>
      <c r="P4548">
        <v>4.2418490000000003E-2</v>
      </c>
      <c r="Q4548">
        <v>-0.1115574</v>
      </c>
      <c r="R4548">
        <v>-0.99285239999999997</v>
      </c>
      <c r="S4548">
        <v>-0.37522889999999998</v>
      </c>
      <c r="T4548">
        <v>-0.20614389999999999</v>
      </c>
      <c r="U4548">
        <v>-3.0148320000000002</v>
      </c>
      <c r="V4548">
        <v>-1.8755999999999998E-2</v>
      </c>
      <c r="W4548">
        <v>-0.10098559999999999</v>
      </c>
      <c r="X4548">
        <v>0.99471109999999896</v>
      </c>
      <c r="Y4548">
        <v>0.146953799999999</v>
      </c>
      <c r="Z4548">
        <v>5.6949109999999997E-2</v>
      </c>
      <c r="AA4548">
        <v>0.98750260000000001</v>
      </c>
      <c r="AB4548">
        <v>18</v>
      </c>
      <c r="AC4548">
        <v>-2.0209000000000099</v>
      </c>
      <c r="AD4548">
        <v>-1.1090593573559999</v>
      </c>
      <c r="AE4548">
        <v>-16.117799999999999</v>
      </c>
      <c r="AF4548">
        <v>2.3947941837402502</v>
      </c>
      <c r="AG4548">
        <v>-1.1090593573559999</v>
      </c>
      <c r="AH4548">
        <v>15.9902953034831</v>
      </c>
      <c r="AI4548">
        <v>93.923959094901804</v>
      </c>
      <c r="AJ4548">
        <v>81.482376405673193</v>
      </c>
      <c r="AK4548">
        <v>16.2066219716883</v>
      </c>
      <c r="AL4548">
        <v>95.795928371839693</v>
      </c>
      <c r="AM4548">
        <v>91.080225513874794</v>
      </c>
      <c r="AN4548">
        <v>1.0000000257032799</v>
      </c>
    </row>
    <row r="4549" spans="1:40" x14ac:dyDescent="0.25">
      <c r="A4549" t="str">
        <f>"20190305135022955"</f>
        <v>20190305135022955</v>
      </c>
      <c r="B4549" t="str">
        <f>"1551765022945006"</f>
        <v>1551765022945006</v>
      </c>
      <c r="C4549" t="s">
        <v>40</v>
      </c>
      <c r="D4549">
        <v>4.4347510000000003</v>
      </c>
      <c r="E4549">
        <v>0.59175319999999998</v>
      </c>
      <c r="F4549" t="s">
        <v>42</v>
      </c>
      <c r="G4549">
        <v>-193.85140000000001</v>
      </c>
      <c r="H4549" s="1">
        <v>-3.3693379999999999E-6</v>
      </c>
      <c r="I4549">
        <v>164.5515</v>
      </c>
      <c r="J4549">
        <v>-191.83260000000001</v>
      </c>
      <c r="K4549">
        <v>1.109043</v>
      </c>
      <c r="L4549">
        <v>180.53450000000001</v>
      </c>
      <c r="M4549">
        <v>2.357942E-2</v>
      </c>
      <c r="N4549">
        <v>-1.060699E-2</v>
      </c>
      <c r="O4549">
        <v>-0.99966569999999999</v>
      </c>
      <c r="P4549">
        <v>4.1375290000000002E-2</v>
      </c>
      <c r="Q4549">
        <v>-0.1126706</v>
      </c>
      <c r="R4549">
        <v>-0.99277070000000001</v>
      </c>
      <c r="S4549">
        <v>-0.37780760000000002</v>
      </c>
      <c r="T4549">
        <v>-0.20777799999999999</v>
      </c>
      <c r="U4549">
        <v>-3.0144039999999999</v>
      </c>
      <c r="V4549">
        <v>-1.8059510000000001E-2</v>
      </c>
      <c r="W4549">
        <v>-0.1021078</v>
      </c>
      <c r="X4549">
        <v>0.99460939999999998</v>
      </c>
      <c r="Y4549">
        <v>0.14745659999999999</v>
      </c>
      <c r="Z4549">
        <v>5.749406E-2</v>
      </c>
      <c r="AA4549">
        <v>0.9873961</v>
      </c>
      <c r="AB4549">
        <v>18</v>
      </c>
      <c r="AC4549">
        <v>-2.0188000000000001</v>
      </c>
      <c r="AD4549">
        <v>-1.1090463693379999</v>
      </c>
      <c r="AE4549">
        <v>-15.983000000000001</v>
      </c>
      <c r="AF4549">
        <v>2.3838321596952601</v>
      </c>
      <c r="AG4549">
        <v>-1.1090463693379999</v>
      </c>
      <c r="AH4549">
        <v>15.855806403055499</v>
      </c>
      <c r="AI4549">
        <v>93.956755494101401</v>
      </c>
      <c r="AJ4549">
        <v>81.449935290675697</v>
      </c>
      <c r="AK4549">
        <v>16.0723127242508</v>
      </c>
      <c r="AL4549">
        <v>95.860559921635002</v>
      </c>
      <c r="AM4549">
        <v>91.040227461663093</v>
      </c>
      <c r="AN4549">
        <v>1.00000000364532</v>
      </c>
    </row>
    <row r="4550" spans="1:40" x14ac:dyDescent="0.25">
      <c r="A4550" t="str">
        <f>"20190305135022970"</f>
        <v>20190305135022970</v>
      </c>
      <c r="B4550" t="str">
        <f>"1551765022964526"</f>
        <v>1551765022964526</v>
      </c>
      <c r="C4550" t="s">
        <v>40</v>
      </c>
      <c r="D4550">
        <v>4.4031989999999999</v>
      </c>
      <c r="E4550">
        <v>0.60668979999999995</v>
      </c>
      <c r="F4550" t="s">
        <v>42</v>
      </c>
      <c r="G4550">
        <v>-195.7364</v>
      </c>
      <c r="H4550" s="1">
        <v>-2.094001E-6</v>
      </c>
      <c r="I4550">
        <v>160.79259999999999</v>
      </c>
      <c r="J4550">
        <v>-191.83009999999999</v>
      </c>
      <c r="K4550">
        <v>1.109046</v>
      </c>
      <c r="L4550">
        <v>180.4134</v>
      </c>
      <c r="M4550">
        <v>2.3184960000000001E-2</v>
      </c>
      <c r="N4550">
        <v>-1.0599580000000001E-2</v>
      </c>
      <c r="O4550">
        <v>-0.99967519999999999</v>
      </c>
      <c r="P4550">
        <v>4.049854E-2</v>
      </c>
      <c r="Q4550">
        <v>-0.1128875</v>
      </c>
      <c r="R4550">
        <v>-0.99278250000000001</v>
      </c>
      <c r="S4550">
        <v>-0.59866330000000001</v>
      </c>
      <c r="T4550">
        <v>-0.17007639999999999</v>
      </c>
      <c r="U4550">
        <v>-3.0274960000000002</v>
      </c>
      <c r="V4550">
        <v>-1.7573930000000001E-2</v>
      </c>
      <c r="W4550">
        <v>-0.10233299999999999</v>
      </c>
      <c r="X4550">
        <v>0.99459489999999995</v>
      </c>
      <c r="Y4550">
        <v>0.2164143</v>
      </c>
      <c r="Z4550">
        <v>4.4261670000000003E-2</v>
      </c>
      <c r="AA4550">
        <v>0.97529779999999999</v>
      </c>
      <c r="AB4550">
        <v>18</v>
      </c>
      <c r="AC4550">
        <v>-3.9063000000000101</v>
      </c>
      <c r="AD4550">
        <v>-1.1090480940009999</v>
      </c>
      <c r="AE4550">
        <v>-19.620799999999999</v>
      </c>
      <c r="AF4550">
        <v>4.3468242661607102</v>
      </c>
      <c r="AG4550">
        <v>-1.1090480940009999</v>
      </c>
      <c r="AH4550">
        <v>19.465133170694902</v>
      </c>
      <c r="AI4550">
        <v>93.182739400575201</v>
      </c>
      <c r="AJ4550">
        <v>77.411630559793707</v>
      </c>
      <c r="AK4550">
        <v>19.975391816647299</v>
      </c>
      <c r="AL4550">
        <v>95.873531189151294</v>
      </c>
      <c r="AM4550">
        <v>91.012278716799301</v>
      </c>
      <c r="AN4550">
        <v>0.99999995050532597</v>
      </c>
    </row>
    <row r="4551" spans="1:40" x14ac:dyDescent="0.25">
      <c r="A4551" t="str">
        <f>"20190305135022981"</f>
        <v>20190305135022981</v>
      </c>
      <c r="B4551" t="str">
        <f>"1551765022975264"</f>
        <v>1551765022975264</v>
      </c>
      <c r="C4551" t="s">
        <v>40</v>
      </c>
      <c r="D4551">
        <v>4.3890539999999998</v>
      </c>
      <c r="E4551">
        <v>0.6111799</v>
      </c>
      <c r="F4551" t="s">
        <v>42</v>
      </c>
      <c r="G4551">
        <v>-195.95429999999999</v>
      </c>
      <c r="H4551" s="1">
        <v>-3.2463909999999999E-6</v>
      </c>
      <c r="I4551">
        <v>163.1078</v>
      </c>
      <c r="J4551">
        <v>-191.82830000000001</v>
      </c>
      <c r="K4551">
        <v>1.1090530000000001</v>
      </c>
      <c r="L4551">
        <v>180.3194</v>
      </c>
      <c r="M4551">
        <v>2.2879750000000001E-2</v>
      </c>
      <c r="N4551">
        <v>-1.0594579999999999E-2</v>
      </c>
      <c r="O4551">
        <v>-0.99968239999999997</v>
      </c>
      <c r="P4551">
        <v>3.9899589999999999E-2</v>
      </c>
      <c r="Q4551">
        <v>-0.11294360000000001</v>
      </c>
      <c r="R4551">
        <v>-0.99280020000000002</v>
      </c>
      <c r="S4551">
        <v>-0.72189329999999996</v>
      </c>
      <c r="T4551">
        <v>-0.19412860000000001</v>
      </c>
      <c r="U4551">
        <v>-3.0291899999999998</v>
      </c>
      <c r="V4551">
        <v>-1.7275510000000001E-2</v>
      </c>
      <c r="W4551">
        <v>-0.10239479999999999</v>
      </c>
      <c r="X4551">
        <v>0.99459379999999997</v>
      </c>
      <c r="Y4551">
        <v>0.25361329999999999</v>
      </c>
      <c r="Z4551">
        <v>5.1413970000000003E-2</v>
      </c>
      <c r="AA4551">
        <v>0.96593830000000003</v>
      </c>
      <c r="AB4551">
        <v>18</v>
      </c>
      <c r="AC4551">
        <v>-4.1259999999999701</v>
      </c>
      <c r="AD4551">
        <v>-1.1090562463910001</v>
      </c>
      <c r="AE4551">
        <v>-17.211600000000001</v>
      </c>
      <c r="AF4551">
        <v>4.5010657525284596</v>
      </c>
      <c r="AG4551">
        <v>-1.1090562463910001</v>
      </c>
      <c r="AH4551">
        <v>17.045757808134798</v>
      </c>
      <c r="AI4551">
        <v>93.599578134567906</v>
      </c>
      <c r="AJ4551">
        <v>75.2082251047554</v>
      </c>
      <c r="AK4551">
        <v>17.664865069392199</v>
      </c>
      <c r="AL4551">
        <v>95.877090577281194</v>
      </c>
      <c r="AM4551">
        <v>90.995093965830904</v>
      </c>
      <c r="AN4551">
        <v>0.99999998265561896</v>
      </c>
    </row>
    <row r="4552" spans="1:40" x14ac:dyDescent="0.25">
      <c r="A4552" t="str">
        <f>"20190305135022992"</f>
        <v>20190305135022992</v>
      </c>
      <c r="B4552" t="str">
        <f>"1551765022985022"</f>
        <v>1551765022985022</v>
      </c>
      <c r="C4552" t="s">
        <v>40</v>
      </c>
      <c r="D4552">
        <v>4.3608289999999998</v>
      </c>
      <c r="E4552">
        <v>0.61387709999999995</v>
      </c>
      <c r="F4552" t="s">
        <v>42</v>
      </c>
      <c r="G4552">
        <v>-196.3434</v>
      </c>
      <c r="H4552" s="1">
        <v>-2.9643280000000001E-6</v>
      </c>
      <c r="I4552">
        <v>162.2921</v>
      </c>
      <c r="J4552">
        <v>-191.82660000000001</v>
      </c>
      <c r="K4552">
        <v>1.1090599999999999</v>
      </c>
      <c r="L4552">
        <v>180.2285</v>
      </c>
      <c r="M4552">
        <v>2.2586330000000002E-2</v>
      </c>
      <c r="N4552">
        <v>-1.0589909999999999E-2</v>
      </c>
      <c r="O4552">
        <v>-0.99968900000000005</v>
      </c>
      <c r="P4552">
        <v>3.9161109999999999E-2</v>
      </c>
      <c r="Q4552">
        <v>-0.11284230000000001</v>
      </c>
      <c r="R4552">
        <v>-0.99284119999999998</v>
      </c>
      <c r="S4552">
        <v>-0.75913999999999904</v>
      </c>
      <c r="T4552">
        <v>-0.18647179999999999</v>
      </c>
      <c r="U4552">
        <v>-3.0310359999999998</v>
      </c>
      <c r="V4552">
        <v>-1.6825130000000001E-2</v>
      </c>
      <c r="W4552">
        <v>-0.1022988</v>
      </c>
      <c r="X4552">
        <v>0.99461140000000003</v>
      </c>
      <c r="Y4552">
        <v>0.26441360000000003</v>
      </c>
      <c r="Z4552">
        <v>4.8771719999999998E-2</v>
      </c>
      <c r="AA4552">
        <v>0.96317540000000001</v>
      </c>
      <c r="AB4552">
        <v>18</v>
      </c>
      <c r="AC4552">
        <v>-4.5167999999999804</v>
      </c>
      <c r="AD4552">
        <v>-1.1090629643279999</v>
      </c>
      <c r="AE4552">
        <v>-17.9363999999999</v>
      </c>
      <c r="AF4552">
        <v>4.9031592185161204</v>
      </c>
      <c r="AG4552">
        <v>-1.1090629643279999</v>
      </c>
      <c r="AH4552">
        <v>17.7659257920063</v>
      </c>
      <c r="AI4552">
        <v>93.443716689914993</v>
      </c>
      <c r="AJ4552">
        <v>74.571203087809295</v>
      </c>
      <c r="AK4552">
        <v>18.463453366801101</v>
      </c>
      <c r="AL4552">
        <v>95.871561142606495</v>
      </c>
      <c r="AM4552">
        <v>90.969139304776903</v>
      </c>
      <c r="AN4552">
        <v>0.99999998324545802</v>
      </c>
    </row>
    <row r="4553" spans="1:40" x14ac:dyDescent="0.25">
      <c r="A4553" t="str">
        <f>"20190305135023003"</f>
        <v>20190305135023003</v>
      </c>
      <c r="B4553" t="str">
        <f>"1551765022994783"</f>
        <v>1551765022994783</v>
      </c>
      <c r="C4553" t="s">
        <v>40</v>
      </c>
      <c r="D4553">
        <v>4.4034690000000003</v>
      </c>
      <c r="E4553">
        <v>0.61551990000000001</v>
      </c>
      <c r="F4553" t="s">
        <v>42</v>
      </c>
      <c r="G4553">
        <v>-196.77080000000001</v>
      </c>
      <c r="H4553" s="1">
        <v>-2.4974699999999998E-6</v>
      </c>
      <c r="I4553">
        <v>161.06379999999999</v>
      </c>
      <c r="J4553">
        <v>-191.82490000000001</v>
      </c>
      <c r="K4553">
        <v>1.1090690000000001</v>
      </c>
      <c r="L4553">
        <v>180.1405</v>
      </c>
      <c r="M4553">
        <v>2.2306360000000001E-2</v>
      </c>
      <c r="N4553">
        <v>-1.0585779999999999E-2</v>
      </c>
      <c r="O4553">
        <v>-0.99969540000000001</v>
      </c>
      <c r="P4553">
        <v>3.8178280000000002E-2</v>
      </c>
      <c r="Q4553">
        <v>-0.11278630000000001</v>
      </c>
      <c r="R4553">
        <v>-0.99288589999999999</v>
      </c>
      <c r="S4553">
        <v>-0.7823639</v>
      </c>
      <c r="T4553">
        <v>-0.17549409999999999</v>
      </c>
      <c r="U4553">
        <v>-3.0325470000000001</v>
      </c>
      <c r="V4553">
        <v>-1.611665E-2</v>
      </c>
      <c r="W4553">
        <v>-0.10224800000000001</v>
      </c>
      <c r="X4553">
        <v>0.99462839999999997</v>
      </c>
      <c r="Y4553">
        <v>0.27099810000000002</v>
      </c>
      <c r="Z4553">
        <v>4.5159480000000002E-2</v>
      </c>
      <c r="AA4553">
        <v>0.96152000000000004</v>
      </c>
      <c r="AB4553">
        <v>18</v>
      </c>
      <c r="AC4553">
        <v>-4.9458999999999902</v>
      </c>
      <c r="AD4553">
        <v>-1.10907149747</v>
      </c>
      <c r="AE4553">
        <v>-19.076699999999999</v>
      </c>
      <c r="AF4553">
        <v>5.3532704496529302</v>
      </c>
      <c r="AG4553">
        <v>-1.10907149747</v>
      </c>
      <c r="AH4553">
        <v>18.901758219226899</v>
      </c>
      <c r="AI4553">
        <v>93.231208027936404</v>
      </c>
      <c r="AJ4553">
        <v>74.187057168294501</v>
      </c>
      <c r="AK4553">
        <v>19.676483625682199</v>
      </c>
      <c r="AL4553">
        <v>95.868634916463293</v>
      </c>
      <c r="AM4553">
        <v>90.928321793730504</v>
      </c>
      <c r="AN4553">
        <v>1.00000002699889</v>
      </c>
    </row>
    <row r="4554" spans="1:40" x14ac:dyDescent="0.25">
      <c r="A4554" t="str">
        <f>"20190305135023014"</f>
        <v>20190305135023014</v>
      </c>
      <c r="B4554" t="str">
        <f>"1551765023004544"</f>
        <v>1551765023004544</v>
      </c>
      <c r="C4554" t="s">
        <v>40</v>
      </c>
      <c r="D4554">
        <v>4.3460890000000001</v>
      </c>
      <c r="E4554">
        <v>0.61690219999999996</v>
      </c>
      <c r="F4554" t="s">
        <v>42</v>
      </c>
      <c r="G4554">
        <v>-196.96510000000001</v>
      </c>
      <c r="H4554" s="1">
        <v>-2.3348609999999999E-6</v>
      </c>
      <c r="I4554">
        <v>160.6105</v>
      </c>
      <c r="J4554">
        <v>-191.82320000000001</v>
      </c>
      <c r="K4554">
        <v>1.109081</v>
      </c>
      <c r="L4554">
        <v>180.04990000000001</v>
      </c>
      <c r="M4554">
        <v>2.202235E-2</v>
      </c>
      <c r="N4554">
        <v>-1.0581780000000001E-2</v>
      </c>
      <c r="O4554">
        <v>-0.99970179999999997</v>
      </c>
      <c r="P4554">
        <v>3.7465169999999999E-2</v>
      </c>
      <c r="Q4554">
        <v>-0.1124184</v>
      </c>
      <c r="R4554">
        <v>-0.99295480000000003</v>
      </c>
      <c r="S4554">
        <v>-0.79817199999999999</v>
      </c>
      <c r="T4554">
        <v>-0.1722167</v>
      </c>
      <c r="U4554">
        <v>-3.0326230000000001</v>
      </c>
      <c r="V4554">
        <v>-1.568044E-2</v>
      </c>
      <c r="W4554">
        <v>-0.1018844</v>
      </c>
      <c r="X4554">
        <v>0.99467269999999997</v>
      </c>
      <c r="Y4554">
        <v>0.2754219</v>
      </c>
      <c r="Z4554">
        <v>4.405353E-2</v>
      </c>
      <c r="AA4554">
        <v>0.96031350000000004</v>
      </c>
      <c r="AB4554">
        <v>18</v>
      </c>
      <c r="AC4554">
        <v>-5.1418999999999899</v>
      </c>
      <c r="AD4554">
        <v>-1.1090833348610001</v>
      </c>
      <c r="AE4554">
        <v>-19.439399999999999</v>
      </c>
      <c r="AF4554">
        <v>5.5518877849321999</v>
      </c>
      <c r="AG4554">
        <v>-1.1090833348610001</v>
      </c>
      <c r="AH4554">
        <v>19.262839858021099</v>
      </c>
      <c r="AI4554">
        <v>93.166619355888997</v>
      </c>
      <c r="AJ4554">
        <v>73.922092111346501</v>
      </c>
      <c r="AK4554">
        <v>20.077612487940701</v>
      </c>
      <c r="AL4554">
        <v>95.847692705900798</v>
      </c>
      <c r="AM4554">
        <v>90.903160023935001</v>
      </c>
      <c r="AN4554">
        <v>1.0000000436436201</v>
      </c>
    </row>
    <row r="4555" spans="1:40" x14ac:dyDescent="0.25">
      <c r="A4555" t="str">
        <f>"20190305135023026"</f>
        <v>20190305135023026</v>
      </c>
      <c r="B4555" t="str">
        <f>"1551765023015280"</f>
        <v>1551765023015280</v>
      </c>
      <c r="C4555" t="s">
        <v>40</v>
      </c>
      <c r="D4555">
        <v>4.3486310000000001</v>
      </c>
      <c r="E4555">
        <v>0.61773339999999999</v>
      </c>
      <c r="F4555" t="s">
        <v>94</v>
      </c>
      <c r="G4555">
        <v>-197.3596</v>
      </c>
      <c r="H4555" s="1">
        <v>-1.490705E-5</v>
      </c>
      <c r="I4555">
        <v>159.33629999999999</v>
      </c>
      <c r="J4555">
        <v>-191.82149999999999</v>
      </c>
      <c r="K4555">
        <v>1.109092</v>
      </c>
      <c r="L4555">
        <v>179.9556</v>
      </c>
      <c r="M4555">
        <v>2.1731940000000002E-2</v>
      </c>
      <c r="N4555">
        <v>-1.0577919999999999E-2</v>
      </c>
      <c r="O4555">
        <v>-0.99970789999999998</v>
      </c>
      <c r="P4555">
        <v>3.654603E-2</v>
      </c>
      <c r="Q4555">
        <v>-0.112259999999999</v>
      </c>
      <c r="R4555">
        <v>-0.99300679999999997</v>
      </c>
      <c r="S4555">
        <v>-0.81080629999999998</v>
      </c>
      <c r="T4555">
        <v>-0.16242670000000001</v>
      </c>
      <c r="U4555">
        <v>-3.033493</v>
      </c>
      <c r="V4555">
        <v>-1.5045579999999999E-2</v>
      </c>
      <c r="W4555">
        <v>-0.10173069999999999</v>
      </c>
      <c r="X4555">
        <v>0.99469819999999998</v>
      </c>
      <c r="Y4555">
        <v>0.27884829999999999</v>
      </c>
      <c r="Z4555">
        <v>4.089106E-2</v>
      </c>
      <c r="AA4555">
        <v>0.95946419999999999</v>
      </c>
      <c r="AB4555">
        <v>18</v>
      </c>
      <c r="AC4555">
        <v>-5.5381000000000098</v>
      </c>
      <c r="AD4555">
        <v>-1.1091069070499999</v>
      </c>
      <c r="AE4555">
        <v>-20.619299999999999</v>
      </c>
      <c r="AF4555">
        <v>5.96880662940299</v>
      </c>
      <c r="AG4555">
        <v>-1.1091069070499999</v>
      </c>
      <c r="AH4555">
        <v>20.438911872796101</v>
      </c>
      <c r="AI4555">
        <v>92.981772930318002</v>
      </c>
      <c r="AJ4555">
        <v>73.720531211983001</v>
      </c>
      <c r="AK4555">
        <v>21.3214889080101</v>
      </c>
      <c r="AL4555">
        <v>95.838840564163306</v>
      </c>
      <c r="AM4555">
        <v>90.866576918461703</v>
      </c>
      <c r="AN4555">
        <v>1.0000000069416299</v>
      </c>
    </row>
    <row r="4556" spans="1:40" x14ac:dyDescent="0.25">
      <c r="A4556" t="str">
        <f>"20190305135023037"</f>
        <v>20190305135023037</v>
      </c>
      <c r="B4556" t="str">
        <f>"1551765023034799"</f>
        <v>1551765023034799</v>
      </c>
      <c r="C4556" t="s">
        <v>40</v>
      </c>
      <c r="D4556">
        <v>4.3226800000000001</v>
      </c>
      <c r="E4556">
        <v>0.61880210000000002</v>
      </c>
      <c r="F4556" t="s">
        <v>94</v>
      </c>
      <c r="G4556">
        <v>-197.59180000000001</v>
      </c>
      <c r="H4556" s="1">
        <v>-1.4724300000000001E-5</v>
      </c>
      <c r="I4556">
        <v>158.61000000000001</v>
      </c>
      <c r="J4556">
        <v>-191.81979999999999</v>
      </c>
      <c r="K4556">
        <v>1.109103</v>
      </c>
      <c r="L4556">
        <v>179.86269999999999</v>
      </c>
      <c r="M4556">
        <v>2.14542E-2</v>
      </c>
      <c r="N4556">
        <v>-1.0574460000000001E-2</v>
      </c>
      <c r="O4556">
        <v>-0.99971410000000005</v>
      </c>
      <c r="P4556">
        <v>3.5595929999999998E-2</v>
      </c>
      <c r="Q4556">
        <v>-0.112218</v>
      </c>
      <c r="R4556">
        <v>-0.99304630000000005</v>
      </c>
      <c r="S4556">
        <v>-0.82003780000000004</v>
      </c>
      <c r="T4556">
        <v>-0.157618799999999</v>
      </c>
      <c r="U4556">
        <v>-3.0334780000000001</v>
      </c>
      <c r="V4556">
        <v>-1.4367370000000001E-2</v>
      </c>
      <c r="W4556">
        <v>-0.10169309999999999</v>
      </c>
      <c r="X4556">
        <v>0.99471209999999999</v>
      </c>
      <c r="Y4556">
        <v>0.28132269999999998</v>
      </c>
      <c r="Z4556">
        <v>3.9336740000000002E-2</v>
      </c>
      <c r="AA4556">
        <v>0.95880659999999895</v>
      </c>
      <c r="AB4556">
        <v>18</v>
      </c>
      <c r="AC4556">
        <v>-5.77200000000001</v>
      </c>
      <c r="AD4556">
        <v>-1.1091177243000001</v>
      </c>
      <c r="AE4556">
        <v>-21.252699999999901</v>
      </c>
      <c r="AF4556">
        <v>6.2109030048296203</v>
      </c>
      <c r="AG4556">
        <v>-1.1091177243000001</v>
      </c>
      <c r="AH4556">
        <v>21.070523718778801</v>
      </c>
      <c r="AI4556">
        <v>92.8904399312365</v>
      </c>
      <c r="AJ4556">
        <v>73.576202837081794</v>
      </c>
      <c r="AK4556">
        <v>21.994827302013</v>
      </c>
      <c r="AL4556">
        <v>95.836674848356907</v>
      </c>
      <c r="AM4556">
        <v>90.827508206400594</v>
      </c>
      <c r="AN4556">
        <v>1.0000000348973599</v>
      </c>
    </row>
    <row r="4557" spans="1:40" x14ac:dyDescent="0.25">
      <c r="A4557" t="str">
        <f>"20190305135023058"</f>
        <v>20190305135023058</v>
      </c>
      <c r="B4557" t="str">
        <f>"1551765023055295"</f>
        <v>1551765023055295</v>
      </c>
      <c r="C4557" t="s">
        <v>40</v>
      </c>
      <c r="D4557">
        <v>4.302619</v>
      </c>
      <c r="E4557">
        <v>0.61930359999999995</v>
      </c>
      <c r="F4557" t="s">
        <v>94</v>
      </c>
      <c r="G4557">
        <v>-197.7861</v>
      </c>
      <c r="H4557" s="1">
        <v>-1.4593000000000001E-5</v>
      </c>
      <c r="I4557">
        <v>158.0882</v>
      </c>
      <c r="J4557">
        <v>-191.8168</v>
      </c>
      <c r="K4557">
        <v>1.1091249999999999</v>
      </c>
      <c r="L4557">
        <v>179.69659999999999</v>
      </c>
      <c r="M4557">
        <v>2.0972060000000001E-2</v>
      </c>
      <c r="N4557">
        <v>-1.0568799999999901E-2</v>
      </c>
      <c r="O4557">
        <v>-0.99972430000000001</v>
      </c>
      <c r="P4557">
        <v>3.3796600000000003E-2</v>
      </c>
      <c r="Q4557">
        <v>-0.11258799999999999</v>
      </c>
      <c r="R4557">
        <v>-0.99306700000000003</v>
      </c>
      <c r="S4557">
        <v>-0.83114619999999995</v>
      </c>
      <c r="T4557">
        <v>-0.1545079</v>
      </c>
      <c r="U4557">
        <v>-3.0333399999999999</v>
      </c>
      <c r="V4557">
        <v>-1.3042089999999999E-2</v>
      </c>
      <c r="W4557">
        <v>-0.1020707</v>
      </c>
      <c r="X4557">
        <v>0.99469169999999996</v>
      </c>
      <c r="Y4557">
        <v>0.28414980000000001</v>
      </c>
      <c r="Z4557">
        <v>3.8318249999999998E-2</v>
      </c>
      <c r="AA4557">
        <v>0.95801389999999997</v>
      </c>
      <c r="AB4557">
        <v>18</v>
      </c>
      <c r="AC4557">
        <v>-5.9692999999999996</v>
      </c>
      <c r="AD4557">
        <v>-1.1091395930000001</v>
      </c>
      <c r="AE4557">
        <v>-21.6083999999999</v>
      </c>
      <c r="AF4557">
        <v>6.4055050604732502</v>
      </c>
      <c r="AG4557">
        <v>-1.1091395930000001</v>
      </c>
      <c r="AH4557">
        <v>21.426003391727001</v>
      </c>
      <c r="AI4557">
        <v>92.839375972151799</v>
      </c>
      <c r="AJ4557">
        <v>73.355470633751494</v>
      </c>
      <c r="AK4557">
        <v>22.390495909175499</v>
      </c>
      <c r="AL4557">
        <v>95.858422805491202</v>
      </c>
      <c r="AM4557">
        <v>90.751201498457107</v>
      </c>
      <c r="AN4557">
        <v>1.00000005097947</v>
      </c>
    </row>
    <row r="4558" spans="1:40" x14ac:dyDescent="0.25">
      <c r="A4558" t="str">
        <f>"20190305135023071"</f>
        <v>20190305135023071</v>
      </c>
      <c r="B4558" t="str">
        <f>"1551765023065054"</f>
        <v>1551765023065054</v>
      </c>
      <c r="C4558" t="s">
        <v>40</v>
      </c>
      <c r="D4558">
        <v>4.3548780000000002</v>
      </c>
      <c r="E4558">
        <v>0.61974359999999995</v>
      </c>
      <c r="F4558" t="s">
        <v>94</v>
      </c>
      <c r="G4558">
        <v>-197.78370000000001</v>
      </c>
      <c r="H4558" s="1">
        <v>-1.46146799999999E-5</v>
      </c>
      <c r="I4558">
        <v>158.17429999999999</v>
      </c>
      <c r="J4558">
        <v>-191.81479999999999</v>
      </c>
      <c r="K4558">
        <v>1.1091420000000001</v>
      </c>
      <c r="L4558">
        <v>179.58240000000001</v>
      </c>
      <c r="M4558">
        <v>2.065055E-2</v>
      </c>
      <c r="N4558">
        <v>-1.056529E-2</v>
      </c>
      <c r="O4558">
        <v>-0.99973089999999998</v>
      </c>
      <c r="P4558">
        <v>3.2739310000000001E-2</v>
      </c>
      <c r="Q4558">
        <v>-0.1124632</v>
      </c>
      <c r="R4558">
        <v>-0.99311640000000001</v>
      </c>
      <c r="S4558">
        <v>-0.84054569999999995</v>
      </c>
      <c r="T4558">
        <v>-0.1562442</v>
      </c>
      <c r="U4558">
        <v>-3.0318299999999998</v>
      </c>
      <c r="V4558">
        <v>-1.229995E-2</v>
      </c>
      <c r="W4558">
        <v>-0.1019502</v>
      </c>
      <c r="X4558">
        <v>0.99471350000000003</v>
      </c>
      <c r="Y4558">
        <v>0.28671530000000001</v>
      </c>
      <c r="Z4558">
        <v>3.8855309999999997E-2</v>
      </c>
      <c r="AA4558">
        <v>0.95722759999999996</v>
      </c>
      <c r="AB4558">
        <v>18</v>
      </c>
      <c r="AC4558">
        <v>-5.9689000000000103</v>
      </c>
      <c r="AD4558">
        <v>-1.10915661468</v>
      </c>
      <c r="AE4558">
        <v>-21.408100000000001</v>
      </c>
      <c r="AF4558">
        <v>6.3938158538767604</v>
      </c>
      <c r="AG4558">
        <v>-1.10915661468</v>
      </c>
      <c r="AH4558">
        <v>21.227395900248201</v>
      </c>
      <c r="AI4558">
        <v>92.864172641062794</v>
      </c>
      <c r="AJ4558">
        <v>73.237391323862894</v>
      </c>
      <c r="AK4558">
        <v>22.1971495078771</v>
      </c>
      <c r="AL4558">
        <v>95.851482525912004</v>
      </c>
      <c r="AM4558">
        <v>90.708444500098096</v>
      </c>
      <c r="AN4558">
        <v>1.0000000395661399</v>
      </c>
    </row>
    <row r="4559" spans="1:40" x14ac:dyDescent="0.25">
      <c r="A4559" t="str">
        <f>"20190305135023083"</f>
        <v>20190305135023083</v>
      </c>
      <c r="B4559" t="str">
        <f>"1551765023074815"</f>
        <v>1551765023074815</v>
      </c>
      <c r="C4559" t="s">
        <v>40</v>
      </c>
      <c r="D4559">
        <v>4.3410419999999998</v>
      </c>
      <c r="E4559">
        <v>0.62002780000000002</v>
      </c>
      <c r="F4559" t="s">
        <v>94</v>
      </c>
      <c r="G4559">
        <v>-197.8603</v>
      </c>
      <c r="H4559" s="1">
        <v>-1.4559319999999999E-5</v>
      </c>
      <c r="I4559">
        <v>157.95429999999999</v>
      </c>
      <c r="J4559">
        <v>-191.81299999999999</v>
      </c>
      <c r="K4559">
        <v>1.109154</v>
      </c>
      <c r="L4559">
        <v>179.47829999999999</v>
      </c>
      <c r="M4559">
        <v>2.0366080000000002E-2</v>
      </c>
      <c r="N4559">
        <v>-1.0562490000000001E-2</v>
      </c>
      <c r="O4559">
        <v>-0.99973690000000004</v>
      </c>
      <c r="P4559">
        <v>3.1993960000000002E-2</v>
      </c>
      <c r="Q4559">
        <v>-0.11198909999999999</v>
      </c>
      <c r="R4559">
        <v>-0.99319449999999998</v>
      </c>
      <c r="S4559">
        <v>-0.84725949999999906</v>
      </c>
      <c r="T4559">
        <v>-0.1554451</v>
      </c>
      <c r="U4559">
        <v>-3.0311129999999999</v>
      </c>
      <c r="V4559">
        <v>-1.183332E-2</v>
      </c>
      <c r="W4559">
        <v>-0.1014789</v>
      </c>
      <c r="X4559">
        <v>0.99476730000000002</v>
      </c>
      <c r="Y4559">
        <v>0.28847089999999997</v>
      </c>
      <c r="Z4559">
        <v>3.8590060000000002E-2</v>
      </c>
      <c r="AA4559">
        <v>0.95671070000000002</v>
      </c>
      <c r="AB4559">
        <v>18</v>
      </c>
      <c r="AC4559">
        <v>-6.0472999999999999</v>
      </c>
      <c r="AD4559">
        <v>-1.10916855932</v>
      </c>
      <c r="AE4559">
        <v>-21.524000000000001</v>
      </c>
      <c r="AF4559">
        <v>6.4685089745589002</v>
      </c>
      <c r="AG4559">
        <v>-1.10916855932</v>
      </c>
      <c r="AH4559">
        <v>21.343836329850799</v>
      </c>
      <c r="AI4559">
        <v>92.8471424794228</v>
      </c>
      <c r="AJ4559">
        <v>73.139929898908406</v>
      </c>
      <c r="AK4559">
        <v>22.330051780557799</v>
      </c>
      <c r="AL4559">
        <v>95.824338547542496</v>
      </c>
      <c r="AM4559">
        <v>90.6815335771104</v>
      </c>
      <c r="AN4559">
        <v>0.99999998787836097</v>
      </c>
    </row>
    <row r="4560" spans="1:40" x14ac:dyDescent="0.25">
      <c r="A4560" t="str">
        <f>"20190305135023096"</f>
        <v>20190305135023096</v>
      </c>
      <c r="B4560" t="str">
        <f>"1551765023084574"</f>
        <v>1551765023084574</v>
      </c>
      <c r="C4560" t="s">
        <v>40</v>
      </c>
      <c r="D4560">
        <v>4.3390820000000003</v>
      </c>
      <c r="E4560">
        <v>0.62010929999999997</v>
      </c>
      <c r="F4560" t="s">
        <v>94</v>
      </c>
      <c r="G4560">
        <v>-197.9436</v>
      </c>
      <c r="H4560" s="1">
        <v>-1.448675E-5</v>
      </c>
      <c r="I4560">
        <v>157.66589999999999</v>
      </c>
      <c r="J4560">
        <v>-191.81129999999999</v>
      </c>
      <c r="K4560">
        <v>1.1091679999999999</v>
      </c>
      <c r="L4560">
        <v>179.37809999999999</v>
      </c>
      <c r="M4560">
        <v>2.0095479999999999E-2</v>
      </c>
      <c r="N4560">
        <v>-1.055999E-2</v>
      </c>
      <c r="O4560">
        <v>-0.99974260000000004</v>
      </c>
      <c r="P4560">
        <v>3.118332E-2</v>
      </c>
      <c r="Q4560">
        <v>-0.111413</v>
      </c>
      <c r="R4560">
        <v>-0.99328510000000003</v>
      </c>
      <c r="S4560">
        <v>-0.85179139999999998</v>
      </c>
      <c r="T4560">
        <v>-0.15410839999999901</v>
      </c>
      <c r="U4560">
        <v>-3.030624</v>
      </c>
      <c r="V4560">
        <v>-1.128707E-2</v>
      </c>
      <c r="W4560">
        <v>-0.1009052</v>
      </c>
      <c r="X4560">
        <v>0.99483200000000005</v>
      </c>
      <c r="Y4560">
        <v>0.28958270000000003</v>
      </c>
      <c r="Z4560">
        <v>3.816079E-2</v>
      </c>
      <c r="AA4560">
        <v>0.95639200000000002</v>
      </c>
      <c r="AB4560">
        <v>18</v>
      </c>
      <c r="AC4560">
        <v>-6.1323000000000096</v>
      </c>
      <c r="AD4560">
        <v>-1.10918248675</v>
      </c>
      <c r="AE4560">
        <v>-21.712199999999999</v>
      </c>
      <c r="AF4560">
        <v>6.5515680246972003</v>
      </c>
      <c r="AG4560">
        <v>-1.10918248675</v>
      </c>
      <c r="AH4560">
        <v>21.532533731904199</v>
      </c>
      <c r="AI4560">
        <v>92.821326717567402</v>
      </c>
      <c r="AJ4560">
        <v>73.076899361311405</v>
      </c>
      <c r="AK4560">
        <v>22.534492190567299</v>
      </c>
      <c r="AL4560">
        <v>95.791298389339104</v>
      </c>
      <c r="AM4560">
        <v>90.650033098378898</v>
      </c>
      <c r="AN4560">
        <v>0.99999998278011204</v>
      </c>
    </row>
    <row r="4561" spans="1:40" x14ac:dyDescent="0.25">
      <c r="A4561" t="str">
        <f>"20190305135023113"</f>
        <v>20190305135023113</v>
      </c>
      <c r="B4561" t="str">
        <f>"1551765023105071"</f>
        <v>1551765023105071</v>
      </c>
      <c r="C4561" t="s">
        <v>40</v>
      </c>
      <c r="D4561">
        <v>4.2842200000000004</v>
      </c>
      <c r="E4561">
        <v>0.62021329999999997</v>
      </c>
      <c r="F4561" t="s">
        <v>94</v>
      </c>
      <c r="G4561">
        <v>-198.0042</v>
      </c>
      <c r="H4561" s="1">
        <v>-1.4427140000000001E-5</v>
      </c>
      <c r="I4561">
        <v>157.429</v>
      </c>
      <c r="J4561">
        <v>-191.80889999999999</v>
      </c>
      <c r="K4561">
        <v>1.109186</v>
      </c>
      <c r="L4561">
        <v>179.2354</v>
      </c>
      <c r="M4561">
        <v>1.9714519999999999E-2</v>
      </c>
      <c r="N4561">
        <v>-1.055674E-2</v>
      </c>
      <c r="O4561">
        <v>-0.99975000000000003</v>
      </c>
      <c r="P4561">
        <v>2.9751199999999998E-2</v>
      </c>
      <c r="Q4561">
        <v>-0.11039300000000001</v>
      </c>
      <c r="R4561">
        <v>-0.99344279999999996</v>
      </c>
      <c r="S4561">
        <v>-0.85488889999999995</v>
      </c>
      <c r="T4561">
        <v>-0.15311559999999999</v>
      </c>
      <c r="U4561">
        <v>-3.029938</v>
      </c>
      <c r="V4561">
        <v>-1.022789E-2</v>
      </c>
      <c r="W4561">
        <v>-9.9888179999999993E-2</v>
      </c>
      <c r="X4561">
        <v>0.99494610000000006</v>
      </c>
      <c r="Y4561">
        <v>0.29018379999999999</v>
      </c>
      <c r="Z4561">
        <v>3.785115E-2</v>
      </c>
      <c r="AA4561">
        <v>0.95622209999999996</v>
      </c>
      <c r="AB4561">
        <v>18</v>
      </c>
      <c r="AC4561">
        <v>-6.1952999999999996</v>
      </c>
      <c r="AD4561">
        <v>-1.10920042714</v>
      </c>
      <c r="AE4561">
        <v>-21.8064</v>
      </c>
      <c r="AF4561">
        <v>6.6082017991989597</v>
      </c>
      <c r="AG4561">
        <v>-1.10920042714</v>
      </c>
      <c r="AH4561">
        <v>21.628237313032599</v>
      </c>
      <c r="AI4561">
        <v>92.807912839926402</v>
      </c>
      <c r="AJ4561">
        <v>73.010209522844804</v>
      </c>
      <c r="AK4561">
        <v>22.642422703309801</v>
      </c>
      <c r="AL4561">
        <v>95.732731422795894</v>
      </c>
      <c r="AM4561">
        <v>90.588970889198905</v>
      </c>
      <c r="AN4561">
        <v>1.00000000007138</v>
      </c>
    </row>
    <row r="4562" spans="1:40" x14ac:dyDescent="0.25">
      <c r="A4562" t="str">
        <f>"20190305135023124"</f>
        <v>20190305135023124</v>
      </c>
      <c r="B4562" t="str">
        <f>"1551765023114831"</f>
        <v>1551765023114831</v>
      </c>
      <c r="C4562" t="s">
        <v>40</v>
      </c>
      <c r="D4562">
        <v>4.3337760000000003</v>
      </c>
      <c r="E4562">
        <v>0.62030149999999995</v>
      </c>
      <c r="F4562" t="s">
        <v>94</v>
      </c>
      <c r="G4562">
        <v>-197.92959999999999</v>
      </c>
      <c r="H4562" s="1">
        <v>-1.449365E-5</v>
      </c>
      <c r="I4562">
        <v>157.69329999999999</v>
      </c>
      <c r="J4562">
        <v>-191.8074</v>
      </c>
      <c r="K4562">
        <v>1.109192</v>
      </c>
      <c r="L4562">
        <v>179.14169999999999</v>
      </c>
      <c r="M4562">
        <v>1.9466170000000001E-2</v>
      </c>
      <c r="N4562">
        <v>-1.0554829999999999E-2</v>
      </c>
      <c r="O4562">
        <v>-0.99975499999999995</v>
      </c>
      <c r="P4562">
        <v>2.898734E-2</v>
      </c>
      <c r="Q4562">
        <v>-0.1099763</v>
      </c>
      <c r="R4562">
        <v>-0.99351179999999994</v>
      </c>
      <c r="S4562">
        <v>-0.86041259999999997</v>
      </c>
      <c r="T4562">
        <v>-0.15592490000000001</v>
      </c>
      <c r="U4562">
        <v>-3.0282589999999998</v>
      </c>
      <c r="V4562">
        <v>-9.7083240000000008E-3</v>
      </c>
      <c r="W4562">
        <v>-9.9473309999999995E-2</v>
      </c>
      <c r="X4562">
        <v>0.99499289999999996</v>
      </c>
      <c r="Y4562">
        <v>0.2916878</v>
      </c>
      <c r="Z4562">
        <v>3.8743029999999998E-2</v>
      </c>
      <c r="AA4562">
        <v>0.95572869999999999</v>
      </c>
      <c r="AB4562">
        <v>18</v>
      </c>
      <c r="AC4562">
        <v>-6.1221999999999897</v>
      </c>
      <c r="AD4562">
        <v>-1.1092064936499999</v>
      </c>
      <c r="AE4562">
        <v>-21.4483999999999</v>
      </c>
      <c r="AF4562">
        <v>6.5224513776983404</v>
      </c>
      <c r="AG4562">
        <v>-1.1092064936499999</v>
      </c>
      <c r="AH4562">
        <v>21.272546699837001</v>
      </c>
      <c r="AI4562">
        <v>92.853942025501894</v>
      </c>
      <c r="AJ4562">
        <v>72.953750042502094</v>
      </c>
      <c r="AK4562">
        <v>22.277655938557398</v>
      </c>
      <c r="AL4562">
        <v>95.708841964156406</v>
      </c>
      <c r="AM4562">
        <v>90.559027446670598</v>
      </c>
      <c r="AN4562">
        <v>1.00000003100382</v>
      </c>
    </row>
    <row r="4563" spans="1:40" x14ac:dyDescent="0.25">
      <c r="A4563" t="str">
        <f>"20190305135023136"</f>
        <v>20190305135023136</v>
      </c>
      <c r="B4563" t="str">
        <f>"1551765023124591"</f>
        <v>1551765023124591</v>
      </c>
      <c r="C4563" t="s">
        <v>40</v>
      </c>
      <c r="D4563">
        <v>4.3227200000000003</v>
      </c>
      <c r="E4563">
        <v>0.62036499999999895</v>
      </c>
      <c r="F4563" t="s">
        <v>94</v>
      </c>
      <c r="G4563">
        <v>-198.11750000000001</v>
      </c>
      <c r="H4563" s="1">
        <v>-1.432227E-5</v>
      </c>
      <c r="I4563">
        <v>157.01220000000001</v>
      </c>
      <c r="J4563">
        <v>-191.80590000000001</v>
      </c>
      <c r="K4563">
        <v>1.109202</v>
      </c>
      <c r="L4563">
        <v>179.0514</v>
      </c>
      <c r="M4563">
        <v>1.9226859999999998E-2</v>
      </c>
      <c r="N4563">
        <v>-1.0553099999999999E-2</v>
      </c>
      <c r="O4563">
        <v>-0.99975950000000002</v>
      </c>
      <c r="P4563">
        <v>2.8113240000000001E-2</v>
      </c>
      <c r="Q4563">
        <v>-0.10966140000000001</v>
      </c>
      <c r="R4563">
        <v>-0.99357139999999999</v>
      </c>
      <c r="S4563">
        <v>-0.86341859999999904</v>
      </c>
      <c r="T4563">
        <v>-0.15177399999999999</v>
      </c>
      <c r="U4563">
        <v>-3.028</v>
      </c>
      <c r="V4563">
        <v>-9.0699950000000008E-3</v>
      </c>
      <c r="W4563">
        <v>-9.9160250000000005E-2</v>
      </c>
      <c r="X4563">
        <v>0.99503019999999998</v>
      </c>
      <c r="Y4563">
        <v>0.29237350000000001</v>
      </c>
      <c r="Z4563">
        <v>3.7427519999999999E-2</v>
      </c>
      <c r="AA4563">
        <v>0.95557150000000002</v>
      </c>
      <c r="AB4563">
        <v>18</v>
      </c>
      <c r="AC4563">
        <v>-6.3115999999999897</v>
      </c>
      <c r="AD4563">
        <v>-1.10921632227</v>
      </c>
      <c r="AE4563">
        <v>-22.039199999999902</v>
      </c>
      <c r="AF4563">
        <v>6.7184731557843298</v>
      </c>
      <c r="AG4563">
        <v>-1.10921632227</v>
      </c>
      <c r="AH4563">
        <v>21.862585437651301</v>
      </c>
      <c r="AI4563">
        <v>92.776527721274604</v>
      </c>
      <c r="AJ4563">
        <v>72.917565845673906</v>
      </c>
      <c r="AK4563">
        <v>22.8984908763261</v>
      </c>
      <c r="AL4563">
        <v>95.690815661842805</v>
      </c>
      <c r="AM4563">
        <v>90.522253537094898</v>
      </c>
      <c r="AN4563">
        <v>1.0000000594506899</v>
      </c>
    </row>
    <row r="4564" spans="1:40" x14ac:dyDescent="0.25">
      <c r="A4564" t="str">
        <f>"20190305135023147"</f>
        <v>20190305135023147</v>
      </c>
      <c r="B4564" t="str">
        <f>"1551765023135327"</f>
        <v>1551765023135327</v>
      </c>
      <c r="C4564" t="s">
        <v>40</v>
      </c>
      <c r="D4564">
        <v>4.2976989999999997</v>
      </c>
      <c r="E4564">
        <v>0.62041990000000002</v>
      </c>
      <c r="F4564" t="s">
        <v>94</v>
      </c>
      <c r="G4564">
        <v>-198.28819999999999</v>
      </c>
      <c r="H4564" s="1">
        <v>-1.41684999999999E-5</v>
      </c>
      <c r="I4564">
        <v>156.40110000000001</v>
      </c>
      <c r="J4564">
        <v>-191.80439999999999</v>
      </c>
      <c r="K4564">
        <v>1.109205</v>
      </c>
      <c r="L4564">
        <v>178.9555</v>
      </c>
      <c r="M4564">
        <v>1.8972550000000001E-2</v>
      </c>
      <c r="N4564">
        <v>-1.0551369999999999E-2</v>
      </c>
      <c r="O4564">
        <v>-0.99976430000000005</v>
      </c>
      <c r="P4564">
        <v>2.7154370000000001E-2</v>
      </c>
      <c r="Q4564">
        <v>-0.10964889999999999</v>
      </c>
      <c r="R4564">
        <v>-0.99359940000000002</v>
      </c>
      <c r="S4564">
        <v>-0.86645509999999903</v>
      </c>
      <c r="T4564">
        <v>-0.14826329999999999</v>
      </c>
      <c r="U4564">
        <v>-3.0275569999999998</v>
      </c>
      <c r="V4564">
        <v>-8.3630459999999903E-3</v>
      </c>
      <c r="W4564">
        <v>-9.9149959999999995E-2</v>
      </c>
      <c r="X4564">
        <v>0.99503739999999996</v>
      </c>
      <c r="Y4564">
        <v>0.29306589999999999</v>
      </c>
      <c r="Z4564">
        <v>3.6316840000000003E-2</v>
      </c>
      <c r="AA4564">
        <v>0.95540230000000004</v>
      </c>
      <c r="AB4564">
        <v>19</v>
      </c>
      <c r="AC4564">
        <v>-6.4837999999999996</v>
      </c>
      <c r="AD4564">
        <v>-1.1092191684999999</v>
      </c>
      <c r="AE4564">
        <v>-22.554399999999902</v>
      </c>
      <c r="AF4564">
        <v>6.8951671725561097</v>
      </c>
      <c r="AG4564">
        <v>-1.1092191684999999</v>
      </c>
      <c r="AH4564">
        <v>22.3773273347444</v>
      </c>
      <c r="AI4564">
        <v>92.712133391644201</v>
      </c>
      <c r="AJ4564">
        <v>72.874268250858904</v>
      </c>
      <c r="AK4564">
        <v>23.441810428112401</v>
      </c>
      <c r="AL4564">
        <v>95.690223272386902</v>
      </c>
      <c r="AM4564">
        <v>90.481545675945796</v>
      </c>
      <c r="AN4564">
        <v>1.00000004125257</v>
      </c>
    </row>
    <row r="4565" spans="1:40" x14ac:dyDescent="0.25">
      <c r="A4565" t="str">
        <f>"20190305135023158"</f>
        <v>20190305135023158</v>
      </c>
      <c r="B4565" t="str">
        <f>"1551765023154847"</f>
        <v>1551765023154847</v>
      </c>
      <c r="C4565" t="s">
        <v>40</v>
      </c>
      <c r="D4565">
        <v>4.267792</v>
      </c>
      <c r="E4565">
        <v>0.62047030000000003</v>
      </c>
      <c r="F4565" t="s">
        <v>94</v>
      </c>
      <c r="G4565">
        <v>-198.33359999999999</v>
      </c>
      <c r="H4565" s="1">
        <v>-1.412774E-5</v>
      </c>
      <c r="I4565">
        <v>156.23910000000001</v>
      </c>
      <c r="J4565">
        <v>-191.80289999999999</v>
      </c>
      <c r="K4565">
        <v>1.109205</v>
      </c>
      <c r="L4565">
        <v>178.86160000000001</v>
      </c>
      <c r="M4565">
        <v>1.8722269999999999E-2</v>
      </c>
      <c r="N4565">
        <v>-1.054596E-2</v>
      </c>
      <c r="O4565">
        <v>-0.99976900000000002</v>
      </c>
      <c r="P4565">
        <v>2.6418710000000001E-2</v>
      </c>
      <c r="Q4565">
        <v>-0.1096353</v>
      </c>
      <c r="R4565">
        <v>-0.99362090000000003</v>
      </c>
      <c r="S4565">
        <v>-0.86996459999999998</v>
      </c>
      <c r="T4565">
        <v>-0.14779439999999999</v>
      </c>
      <c r="U4565">
        <v>-3.0267789999999999</v>
      </c>
      <c r="V4565">
        <v>-7.8752939999999997E-3</v>
      </c>
      <c r="W4565">
        <v>-9.9142040000000001E-2</v>
      </c>
      <c r="X4565">
        <v>0.99504210000000004</v>
      </c>
      <c r="Y4565">
        <v>0.29391640000000002</v>
      </c>
      <c r="Z4565">
        <v>3.617281E-2</v>
      </c>
      <c r="AA4565">
        <v>0.95514639999999995</v>
      </c>
      <c r="AB4565">
        <v>19</v>
      </c>
      <c r="AC4565">
        <v>-6.5306999999999897</v>
      </c>
      <c r="AD4565">
        <v>-1.1092191277399901</v>
      </c>
      <c r="AE4565">
        <v>-22.622499999999999</v>
      </c>
      <c r="AF4565">
        <v>6.9377273694030697</v>
      </c>
      <c r="AG4565">
        <v>-1.1092191277399901</v>
      </c>
      <c r="AH4565">
        <v>22.446445610381598</v>
      </c>
      <c r="AI4565">
        <v>92.703073856973205</v>
      </c>
      <c r="AJ4565">
        <v>72.824713615641798</v>
      </c>
      <c r="AK4565">
        <v>23.520317784105899</v>
      </c>
      <c r="AL4565">
        <v>95.689767635053101</v>
      </c>
      <c r="AM4565">
        <v>90.453459896326095</v>
      </c>
      <c r="AN4565">
        <v>0.99999997256167805</v>
      </c>
    </row>
    <row r="4566" spans="1:40" x14ac:dyDescent="0.25">
      <c r="A4566" t="str">
        <f>"20190305135023170"</f>
        <v>20190305135023170</v>
      </c>
      <c r="B4566" t="str">
        <f>"1551765023164607"</f>
        <v>1551765023164607</v>
      </c>
      <c r="C4566" t="s">
        <v>40</v>
      </c>
      <c r="D4566">
        <v>4.2458119999999999</v>
      </c>
      <c r="E4566">
        <v>0.62042219999999904</v>
      </c>
      <c r="F4566" t="s">
        <v>94</v>
      </c>
      <c r="G4566">
        <v>-198.3843</v>
      </c>
      <c r="H4566" s="1">
        <v>-1.4075810000000001E-5</v>
      </c>
      <c r="I4566">
        <v>156.03270000000001</v>
      </c>
      <c r="J4566">
        <v>-191.8014</v>
      </c>
      <c r="K4566">
        <v>1.109205</v>
      </c>
      <c r="L4566">
        <v>178.76779999999999</v>
      </c>
      <c r="M4566">
        <v>1.8471970000000001E-2</v>
      </c>
      <c r="N4566">
        <v>-1.0539440000000001E-2</v>
      </c>
      <c r="O4566">
        <v>-0.99977400000000005</v>
      </c>
      <c r="P4566">
        <v>2.575703E-2</v>
      </c>
      <c r="Q4566">
        <v>-0.10950310000000001</v>
      </c>
      <c r="R4566">
        <v>-0.9936528</v>
      </c>
      <c r="S4566">
        <v>-0.87243649999999995</v>
      </c>
      <c r="T4566">
        <v>-0.1470389</v>
      </c>
      <c r="U4566">
        <v>-3.0262150000000001</v>
      </c>
      <c r="V4566">
        <v>-7.4616480000000004E-3</v>
      </c>
      <c r="W4566">
        <v>-9.9016409999999999E-2</v>
      </c>
      <c r="X4566">
        <v>0.99505779999999999</v>
      </c>
      <c r="Y4566">
        <v>0.29444749999999997</v>
      </c>
      <c r="Z4566">
        <v>3.5940800000000002E-2</v>
      </c>
      <c r="AA4566">
        <v>0.95499160000000005</v>
      </c>
      <c r="AB4566">
        <v>19</v>
      </c>
      <c r="AC4566">
        <v>-6.5828999999999898</v>
      </c>
      <c r="AD4566">
        <v>-1.10921907581</v>
      </c>
      <c r="AE4566">
        <v>-22.7350999999999</v>
      </c>
      <c r="AF4566">
        <v>6.9864182945115303</v>
      </c>
      <c r="AG4566">
        <v>-1.10921907581</v>
      </c>
      <c r="AH4566">
        <v>22.560067657867599</v>
      </c>
      <c r="AI4566">
        <v>92.689023789972794</v>
      </c>
      <c r="AJ4566">
        <v>72.793254155140801</v>
      </c>
      <c r="AK4566">
        <v>23.643118666360198</v>
      </c>
      <c r="AL4566">
        <v>95.682533956485798</v>
      </c>
      <c r="AM4566">
        <v>90.4296362740197</v>
      </c>
      <c r="AN4566">
        <v>0.99999997549050101</v>
      </c>
    </row>
    <row r="4567" spans="1:40" x14ac:dyDescent="0.25">
      <c r="A4567" t="str">
        <f>"20190305135023181"</f>
        <v>20190305135023181</v>
      </c>
      <c r="B4567" t="str">
        <f>"1551765023175343"</f>
        <v>1551765023175343</v>
      </c>
      <c r="C4567" t="s">
        <v>40</v>
      </c>
      <c r="D4567">
        <v>4.2503159999999998</v>
      </c>
      <c r="E4567">
        <v>0.62040960000000001</v>
      </c>
      <c r="F4567" t="s">
        <v>94</v>
      </c>
      <c r="G4567">
        <v>-198.36969999999999</v>
      </c>
      <c r="H4567" s="1">
        <v>-1.407604E-5</v>
      </c>
      <c r="I4567">
        <v>156.03360000000001</v>
      </c>
      <c r="J4567">
        <v>-191.8</v>
      </c>
      <c r="K4567">
        <v>1.1092</v>
      </c>
      <c r="L4567">
        <v>178.67189999999999</v>
      </c>
      <c r="M4567">
        <v>1.8213279999999998E-2</v>
      </c>
      <c r="N4567">
        <v>-1.0522510000000001E-2</v>
      </c>
      <c r="O4567">
        <v>-0.99977879999999997</v>
      </c>
      <c r="P4567">
        <v>2.4996689999999998E-2</v>
      </c>
      <c r="Q4567">
        <v>-0.1096953</v>
      </c>
      <c r="R4567">
        <v>-0.99365110000000001</v>
      </c>
      <c r="S4567">
        <v>-0.87413019999999997</v>
      </c>
      <c r="T4567">
        <v>-0.14761939999999901</v>
      </c>
      <c r="U4567">
        <v>-3.0255580000000002</v>
      </c>
      <c r="V4567">
        <v>-6.9585519999999998E-3</v>
      </c>
      <c r="W4567">
        <v>-9.9225949999999993E-2</v>
      </c>
      <c r="X4567">
        <v>0.99504060000000005</v>
      </c>
      <c r="Y4567">
        <v>0.29474660000000003</v>
      </c>
      <c r="Z4567">
        <v>3.6145620000000003E-2</v>
      </c>
      <c r="AA4567">
        <v>0.95489159999999995</v>
      </c>
      <c r="AB4567">
        <v>19</v>
      </c>
      <c r="AC4567">
        <v>-6.5696999999999797</v>
      </c>
      <c r="AD4567">
        <v>-1.10921407604</v>
      </c>
      <c r="AE4567">
        <v>-22.638299999999902</v>
      </c>
      <c r="AF4567">
        <v>6.9655272146484597</v>
      </c>
      <c r="AG4567">
        <v>-1.10921407604</v>
      </c>
      <c r="AH4567">
        <v>22.465138609682398</v>
      </c>
      <c r="AI4567">
        <v>92.7000689892797</v>
      </c>
      <c r="AJ4567">
        <v>72.773459307530402</v>
      </c>
      <c r="AK4567">
        <v>23.546366556153298</v>
      </c>
      <c r="AL4567">
        <v>95.694598973086002</v>
      </c>
      <c r="AM4567">
        <v>90.400676275788101</v>
      </c>
      <c r="AN4567">
        <v>1.0000000031238401</v>
      </c>
    </row>
    <row r="4568" spans="1:40" x14ac:dyDescent="0.25">
      <c r="A4568" t="str">
        <f>"20190305135023192"</f>
        <v>20190305135023192</v>
      </c>
      <c r="B4568" t="str">
        <f>"1551765023185103"</f>
        <v>1551765023185103</v>
      </c>
      <c r="C4568" t="s">
        <v>40</v>
      </c>
      <c r="D4568">
        <v>4.2497509999999998</v>
      </c>
      <c r="E4568">
        <v>0.62044460000000001</v>
      </c>
      <c r="F4568" t="s">
        <v>94</v>
      </c>
      <c r="G4568">
        <v>-198.37270000000001</v>
      </c>
      <c r="H4568" s="1">
        <v>-1.406428E-5</v>
      </c>
      <c r="I4568">
        <v>155.98689999999999</v>
      </c>
      <c r="J4568">
        <v>-191.79859999999999</v>
      </c>
      <c r="K4568">
        <v>1.109194</v>
      </c>
      <c r="L4568">
        <v>178.5779</v>
      </c>
      <c r="M4568">
        <v>1.7959329999999999E-2</v>
      </c>
      <c r="N4568">
        <v>-1.050445E-2</v>
      </c>
      <c r="O4568">
        <v>-0.99978359999999999</v>
      </c>
      <c r="P4568">
        <v>2.418696E-2</v>
      </c>
      <c r="Q4568">
        <v>-0.1097075</v>
      </c>
      <c r="R4568">
        <v>-0.99366949999999998</v>
      </c>
      <c r="S4568">
        <v>-0.87641909999999901</v>
      </c>
      <c r="T4568">
        <v>-0.1479046</v>
      </c>
      <c r="U4568">
        <v>-3.0248569999999999</v>
      </c>
      <c r="V4568">
        <v>-6.4015019999999999E-3</v>
      </c>
      <c r="W4568">
        <v>-9.9256529999999996E-2</v>
      </c>
      <c r="X4568">
        <v>0.99504130000000002</v>
      </c>
      <c r="Y4568">
        <v>0.2952284</v>
      </c>
      <c r="Z4568">
        <v>3.6256440000000001E-2</v>
      </c>
      <c r="AA4568">
        <v>0.95473859999999999</v>
      </c>
      <c r="AB4568">
        <v>19</v>
      </c>
      <c r="AC4568">
        <v>-6.5741000000000103</v>
      </c>
      <c r="AD4568">
        <v>-1.10920806428</v>
      </c>
      <c r="AE4568">
        <v>-22.591000000000001</v>
      </c>
      <c r="AF4568">
        <v>6.9633048799399102</v>
      </c>
      <c r="AG4568">
        <v>-1.10920806428</v>
      </c>
      <c r="AH4568">
        <v>22.4194547470691</v>
      </c>
      <c r="AI4568">
        <v>92.705140764975695</v>
      </c>
      <c r="AJ4568">
        <v>72.7456200217635</v>
      </c>
      <c r="AK4568">
        <v>23.502125617414698</v>
      </c>
      <c r="AL4568">
        <v>95.696359711973599</v>
      </c>
      <c r="AM4568">
        <v>90.368601772713902</v>
      </c>
      <c r="AN4568">
        <v>1.00000001334059</v>
      </c>
    </row>
    <row r="4569" spans="1:40" x14ac:dyDescent="0.25">
      <c r="A4569" t="str">
        <f>"20190305135023203"</f>
        <v>20190305135023203</v>
      </c>
      <c r="B4569" t="str">
        <f>"1551765023194863"</f>
        <v>1551765023194863</v>
      </c>
      <c r="C4569" t="s">
        <v>40</v>
      </c>
      <c r="D4569">
        <v>4.3186269999999896</v>
      </c>
      <c r="E4569">
        <v>0.62039500000000003</v>
      </c>
      <c r="F4569" t="s">
        <v>94</v>
      </c>
      <c r="G4569">
        <v>-198.42099999999999</v>
      </c>
      <c r="H4569" s="1">
        <v>-1.4016090000000001E-5</v>
      </c>
      <c r="I4569">
        <v>155.7953</v>
      </c>
      <c r="J4569">
        <v>-191.7971</v>
      </c>
      <c r="K4569">
        <v>1.1091850000000001</v>
      </c>
      <c r="L4569">
        <v>178.48410000000001</v>
      </c>
      <c r="M4569">
        <v>1.7703549999999998E-2</v>
      </c>
      <c r="N4569">
        <v>-1.048199E-2</v>
      </c>
      <c r="O4569">
        <v>-0.99978860000000003</v>
      </c>
      <c r="P4569">
        <v>2.3392570000000001E-2</v>
      </c>
      <c r="Q4569">
        <v>-0.1098818</v>
      </c>
      <c r="R4569">
        <v>-0.99366960000000004</v>
      </c>
      <c r="S4569">
        <v>-0.87908940000000002</v>
      </c>
      <c r="T4569">
        <v>-0.14724039999999999</v>
      </c>
      <c r="U4569">
        <v>-3.0242460000000002</v>
      </c>
      <c r="V4569">
        <v>-5.8609589999999998E-3</v>
      </c>
      <c r="W4569">
        <v>-9.9453650000000005E-2</v>
      </c>
      <c r="X4569">
        <v>0.99502489999999999</v>
      </c>
      <c r="Y4569">
        <v>0.2958153</v>
      </c>
      <c r="Z4569">
        <v>3.6068959999999997E-2</v>
      </c>
      <c r="AA4569">
        <v>0.95456399999999997</v>
      </c>
      <c r="AB4569">
        <v>19</v>
      </c>
      <c r="AC4569">
        <v>-6.6238999999999901</v>
      </c>
      <c r="AD4569">
        <v>-1.10919901609</v>
      </c>
      <c r="AE4569">
        <v>-22.688800000000001</v>
      </c>
      <c r="AF4569">
        <v>7.0091199872866596</v>
      </c>
      <c r="AG4569">
        <v>-1.10919901609</v>
      </c>
      <c r="AH4569">
        <v>22.518379015632298</v>
      </c>
      <c r="AI4569">
        <v>92.692741664975998</v>
      </c>
      <c r="AJ4569">
        <v>72.7106096336516</v>
      </c>
      <c r="AK4569">
        <v>23.6100715573915</v>
      </c>
      <c r="AL4569">
        <v>95.707710290815697</v>
      </c>
      <c r="AM4569">
        <v>90.337483344421798</v>
      </c>
      <c r="AN4569">
        <v>0.99999996547936498</v>
      </c>
    </row>
    <row r="4570" spans="1:40" x14ac:dyDescent="0.25">
      <c r="A4570" t="str">
        <f>"20190305135023215"</f>
        <v>20190305135023215</v>
      </c>
      <c r="B4570" t="str">
        <f>"1551765023204623"</f>
        <v>1551765023204623</v>
      </c>
      <c r="C4570" t="s">
        <v>40</v>
      </c>
      <c r="D4570">
        <v>4.2731620000000001</v>
      </c>
      <c r="E4570">
        <v>0.62037430000000005</v>
      </c>
      <c r="F4570" t="s">
        <v>94</v>
      </c>
      <c r="G4570">
        <v>-198.42939999999999</v>
      </c>
      <c r="H4570" s="1">
        <v>-1.3999119999999999E-5</v>
      </c>
      <c r="I4570">
        <v>155.72790000000001</v>
      </c>
      <c r="J4570">
        <v>-191.79580000000001</v>
      </c>
      <c r="K4570">
        <v>1.1091759999999999</v>
      </c>
      <c r="L4570">
        <v>178.3913</v>
      </c>
      <c r="M4570">
        <v>1.7449659999999999E-2</v>
      </c>
      <c r="N4570">
        <v>-1.045804E-2</v>
      </c>
      <c r="O4570">
        <v>-0.99979309999999999</v>
      </c>
      <c r="P4570">
        <v>2.266609E-2</v>
      </c>
      <c r="Q4570">
        <v>-0.110043</v>
      </c>
      <c r="R4570">
        <v>-0.99366840000000001</v>
      </c>
      <c r="S4570">
        <v>-0.8812103</v>
      </c>
      <c r="T4570">
        <v>-0.1473759</v>
      </c>
      <c r="U4570">
        <v>-3.0235439999999998</v>
      </c>
      <c r="V4570">
        <v>-5.3878160000000001E-3</v>
      </c>
      <c r="W4570">
        <v>-9.9639099999999994E-2</v>
      </c>
      <c r="X4570">
        <v>0.99500909999999998</v>
      </c>
      <c r="Y4570">
        <v>0.29624869999999998</v>
      </c>
      <c r="Z4570">
        <v>3.6139060000000001E-2</v>
      </c>
      <c r="AA4570">
        <v>0.95442689999999997</v>
      </c>
      <c r="AB4570">
        <v>19</v>
      </c>
      <c r="AC4570">
        <v>-6.6335999999999702</v>
      </c>
      <c r="AD4570">
        <v>-1.10918999912</v>
      </c>
      <c r="AE4570">
        <v>-22.663399999999999</v>
      </c>
      <c r="AF4570">
        <v>7.0126082706102801</v>
      </c>
      <c r="AG4570">
        <v>-1.10918999912</v>
      </c>
      <c r="AH4570">
        <v>22.494559079327399</v>
      </c>
      <c r="AI4570">
        <v>92.695196576751997</v>
      </c>
      <c r="AJ4570">
        <v>72.685296152347306</v>
      </c>
      <c r="AK4570">
        <v>23.588390478888801</v>
      </c>
      <c r="AL4570">
        <v>95.718388384453803</v>
      </c>
      <c r="AM4570">
        <v>90.310244499849304</v>
      </c>
      <c r="AN4570">
        <v>1.0000000439464301</v>
      </c>
    </row>
    <row r="4571" spans="1:40" x14ac:dyDescent="0.25">
      <c r="A4571" t="str">
        <f>"20190305135023226"</f>
        <v>20190305135023226</v>
      </c>
      <c r="B4571" t="str">
        <f>"1551765023215360"</f>
        <v>1551765023215360</v>
      </c>
      <c r="C4571" t="s">
        <v>40</v>
      </c>
      <c r="D4571">
        <v>4.242515</v>
      </c>
      <c r="E4571">
        <v>0.62024099999999904</v>
      </c>
      <c r="F4571" t="s">
        <v>94</v>
      </c>
      <c r="G4571">
        <v>-198.35239999999999</v>
      </c>
      <c r="H4571" s="1">
        <v>-1.405607E-5</v>
      </c>
      <c r="I4571">
        <v>155.95419999999999</v>
      </c>
      <c r="J4571">
        <v>-191.7944</v>
      </c>
      <c r="K4571">
        <v>1.1091679999999999</v>
      </c>
      <c r="L4571">
        <v>178.2944</v>
      </c>
      <c r="M4571">
        <v>1.718302E-2</v>
      </c>
      <c r="N4571">
        <v>-1.043095E-2</v>
      </c>
      <c r="O4571">
        <v>-0.99979810000000002</v>
      </c>
      <c r="P4571">
        <v>2.188758E-2</v>
      </c>
      <c r="Q4571">
        <v>-0.1103311</v>
      </c>
      <c r="R4571">
        <v>-0.99365400000000004</v>
      </c>
      <c r="S4571">
        <v>-0.8833008</v>
      </c>
      <c r="T4571">
        <v>-0.14943020000000001</v>
      </c>
      <c r="U4571">
        <v>-3.0227200000000001</v>
      </c>
      <c r="V4571">
        <v>-4.8752459999999997E-3</v>
      </c>
      <c r="W4571">
        <v>-9.9954810000000005E-2</v>
      </c>
      <c r="X4571">
        <v>0.99497999999999998</v>
      </c>
      <c r="Y4571">
        <v>0.29666419999999999</v>
      </c>
      <c r="Z4571">
        <v>3.6820140000000001E-2</v>
      </c>
      <c r="AA4571">
        <v>0.9542718</v>
      </c>
      <c r="AB4571">
        <v>19</v>
      </c>
      <c r="AC4571">
        <v>-6.5579999999999901</v>
      </c>
      <c r="AD4571">
        <v>-1.1091820560700001</v>
      </c>
      <c r="AE4571">
        <v>-22.340199999999999</v>
      </c>
      <c r="AF4571">
        <v>6.9252077573658504</v>
      </c>
      <c r="AG4571">
        <v>-1.1091820560700001</v>
      </c>
      <c r="AH4571">
        <v>22.173885069119201</v>
      </c>
      <c r="AI4571">
        <v>92.733655705400295</v>
      </c>
      <c r="AJ4571">
        <v>72.655701202421398</v>
      </c>
      <c r="AK4571">
        <v>23.256611240133299</v>
      </c>
      <c r="AL4571">
        <v>95.7365684373937</v>
      </c>
      <c r="AM4571">
        <v>90.280738089694296</v>
      </c>
      <c r="AN4571">
        <v>0.99999996623284704</v>
      </c>
    </row>
    <row r="4572" spans="1:40" x14ac:dyDescent="0.25">
      <c r="A4572" t="str">
        <f>"20190305135023237"</f>
        <v>20190305135023237</v>
      </c>
      <c r="B4572" t="str">
        <f>"1551765023234879"</f>
        <v>1551765023234879</v>
      </c>
      <c r="C4572" t="s">
        <v>40</v>
      </c>
      <c r="D4572">
        <v>4.2453279999999998</v>
      </c>
      <c r="E4572">
        <v>0.62014939999999996</v>
      </c>
      <c r="F4572" t="s">
        <v>94</v>
      </c>
      <c r="G4572">
        <v>-198.21690000000001</v>
      </c>
      <c r="H4572" s="1">
        <v>-1.415869E-5</v>
      </c>
      <c r="I4572">
        <v>156.3621</v>
      </c>
      <c r="J4572">
        <v>-191.79310000000001</v>
      </c>
      <c r="K4572">
        <v>1.1091549999999999</v>
      </c>
      <c r="L4572">
        <v>178.2045</v>
      </c>
      <c r="M4572">
        <v>1.6934620000000001E-2</v>
      </c>
      <c r="N4572">
        <v>-1.0403290000000001E-2</v>
      </c>
      <c r="O4572">
        <v>-0.99980259999999999</v>
      </c>
      <c r="P4572">
        <v>2.1336830000000001E-2</v>
      </c>
      <c r="Q4572">
        <v>-0.1103088</v>
      </c>
      <c r="R4572">
        <v>-0.99366840000000001</v>
      </c>
      <c r="S4572">
        <v>-0.88484189999999996</v>
      </c>
      <c r="T4572">
        <v>-0.15281400000000001</v>
      </c>
      <c r="U4572">
        <v>-3.021652</v>
      </c>
      <c r="V4572">
        <v>-4.5711249999999997E-3</v>
      </c>
      <c r="W4572">
        <v>-9.9960090000000001E-2</v>
      </c>
      <c r="X4572">
        <v>0.99498089999999995</v>
      </c>
      <c r="Y4572">
        <v>0.29695300000000002</v>
      </c>
      <c r="Z4572">
        <v>3.7927530000000001E-2</v>
      </c>
      <c r="AA4572">
        <v>0.95413859999999995</v>
      </c>
      <c r="AB4572">
        <v>19</v>
      </c>
      <c r="AC4572">
        <v>-6.4238</v>
      </c>
      <c r="AD4572">
        <v>-1.1091691586900001</v>
      </c>
      <c r="AE4572">
        <v>-21.842400000000001</v>
      </c>
      <c r="AF4572">
        <v>6.7767077177792601</v>
      </c>
      <c r="AG4572">
        <v>-1.1091691586900001</v>
      </c>
      <c r="AH4572">
        <v>21.679024337607501</v>
      </c>
      <c r="AI4572">
        <v>92.795703875181701</v>
      </c>
      <c r="AJ4572">
        <v>72.6411295671153</v>
      </c>
      <c r="AK4572">
        <v>22.740583104779301</v>
      </c>
      <c r="AL4572">
        <v>95.736872557624906</v>
      </c>
      <c r="AM4572">
        <v>90.263225482526494</v>
      </c>
      <c r="AN4572">
        <v>0.99999995307069001</v>
      </c>
    </row>
    <row r="4573" spans="1:40" x14ac:dyDescent="0.25">
      <c r="A4573" t="str">
        <f>"20190305135023248"</f>
        <v>20190305135023248</v>
      </c>
      <c r="B4573" t="str">
        <f>"1551765023244639"</f>
        <v>1551765023244639</v>
      </c>
      <c r="C4573" t="s">
        <v>40</v>
      </c>
      <c r="D4573">
        <v>4.2355090000000004</v>
      </c>
      <c r="E4573">
        <v>0.62011400000000005</v>
      </c>
      <c r="F4573" t="s">
        <v>94</v>
      </c>
      <c r="G4573">
        <v>-198.11670000000001</v>
      </c>
      <c r="H4573" s="1">
        <v>-1.4228980000000001E-5</v>
      </c>
      <c r="I4573">
        <v>156.6414</v>
      </c>
      <c r="J4573">
        <v>-191.79179999999999</v>
      </c>
      <c r="K4573">
        <v>1.109146</v>
      </c>
      <c r="L4573">
        <v>178.10820000000001</v>
      </c>
      <c r="M4573">
        <v>1.6667580000000001E-2</v>
      </c>
      <c r="N4573">
        <v>-1.03725E-2</v>
      </c>
      <c r="O4573">
        <v>-0.99980740000000001</v>
      </c>
      <c r="P4573">
        <v>2.0737289999999999E-2</v>
      </c>
      <c r="Q4573">
        <v>-0.1103697</v>
      </c>
      <c r="R4573">
        <v>-0.99367419999999995</v>
      </c>
      <c r="S4573">
        <v>-0.88590999999999998</v>
      </c>
      <c r="T4573">
        <v>-0.15538950000000001</v>
      </c>
      <c r="U4573">
        <v>-3.0208889999999999</v>
      </c>
      <c r="V4573">
        <v>-4.237551E-3</v>
      </c>
      <c r="W4573">
        <v>-0.100052</v>
      </c>
      <c r="X4573">
        <v>0.9949732</v>
      </c>
      <c r="Y4573">
        <v>0.29706339999999998</v>
      </c>
      <c r="Z4573">
        <v>3.8780879999999997E-2</v>
      </c>
      <c r="AA4573">
        <v>0.95406990000000003</v>
      </c>
      <c r="AB4573">
        <v>19</v>
      </c>
      <c r="AC4573">
        <v>-6.3249000000000102</v>
      </c>
      <c r="AD4573">
        <v>-1.10916022897999</v>
      </c>
      <c r="AE4573">
        <v>-21.466799999999999</v>
      </c>
      <c r="AF4573">
        <v>6.6654670125048598</v>
      </c>
      <c r="AG4573">
        <v>-1.10916022897999</v>
      </c>
      <c r="AH4573">
        <v>21.306054895394698</v>
      </c>
      <c r="AI4573">
        <v>92.844338023240795</v>
      </c>
      <c r="AJ4573">
        <v>72.628031750143805</v>
      </c>
      <c r="AK4573">
        <v>22.3518827420402</v>
      </c>
      <c r="AL4573">
        <v>95.742164793824003</v>
      </c>
      <c r="AM4573">
        <v>90.244018954275603</v>
      </c>
      <c r="AN4573">
        <v>1.00000001413035</v>
      </c>
    </row>
    <row r="4574" spans="1:40" x14ac:dyDescent="0.25">
      <c r="A4574" t="str">
        <f>"20190305135023260"</f>
        <v>20190305135023260</v>
      </c>
      <c r="B4574" t="str">
        <f>"1551765023255375"</f>
        <v>1551765023255375</v>
      </c>
      <c r="C4574" t="s">
        <v>40</v>
      </c>
      <c r="D4574">
        <v>4.2428949999999999</v>
      </c>
      <c r="E4574">
        <v>0.62009879999999995</v>
      </c>
      <c r="F4574" t="s">
        <v>94</v>
      </c>
      <c r="G4574">
        <v>-198.10409999999999</v>
      </c>
      <c r="H4574" s="1">
        <v>-1.422488E-5</v>
      </c>
      <c r="I4574">
        <v>156.6251</v>
      </c>
      <c r="J4574">
        <v>-191.79060000000001</v>
      </c>
      <c r="K4574">
        <v>1.109138</v>
      </c>
      <c r="L4574">
        <v>178.01840000000001</v>
      </c>
      <c r="M4574">
        <v>1.6417689999999999E-2</v>
      </c>
      <c r="N4574">
        <v>-1.034239E-2</v>
      </c>
      <c r="O4574">
        <v>-0.99981189999999998</v>
      </c>
      <c r="P4574">
        <v>2.017625E-2</v>
      </c>
      <c r="Q4574">
        <v>-0.1105315</v>
      </c>
      <c r="R4574">
        <v>-0.99366790000000005</v>
      </c>
      <c r="S4574">
        <v>-0.88743590000000006</v>
      </c>
      <c r="T4574">
        <v>-0.15593479999999901</v>
      </c>
      <c r="U4574">
        <v>-3.0202640000000001</v>
      </c>
      <c r="V4574">
        <v>-3.9252929999999998E-3</v>
      </c>
      <c r="W4574">
        <v>-0.1002441</v>
      </c>
      <c r="X4574">
        <v>0.99495509999999998</v>
      </c>
      <c r="Y4574">
        <v>0.29731960000000002</v>
      </c>
      <c r="Z4574">
        <v>3.8988200000000001E-2</v>
      </c>
      <c r="AA4574">
        <v>0.95398159999999999</v>
      </c>
      <c r="AB4574">
        <v>19</v>
      </c>
      <c r="AC4574">
        <v>-6.3134999999999701</v>
      </c>
      <c r="AD4574">
        <v>-1.1091522248800001</v>
      </c>
      <c r="AE4574">
        <v>-21.3933</v>
      </c>
      <c r="AF4574">
        <v>6.6474595357624802</v>
      </c>
      <c r="AG4574">
        <v>-1.1091522248800001</v>
      </c>
      <c r="AH4574">
        <v>21.234253158390299</v>
      </c>
      <c r="AI4574">
        <v>92.853749075235996</v>
      </c>
      <c r="AJ4574">
        <v>72.617082599375195</v>
      </c>
      <c r="AK4574">
        <v>22.278070924839199</v>
      </c>
      <c r="AL4574">
        <v>95.753227186295106</v>
      </c>
      <c r="AM4574">
        <v>90.226041914278198</v>
      </c>
      <c r="AN4574">
        <v>0.99999996926297696</v>
      </c>
    </row>
    <row r="4575" spans="1:40" x14ac:dyDescent="0.25">
      <c r="A4575" t="str">
        <f>"20190305135023281"</f>
        <v>20190305135023281</v>
      </c>
      <c r="B4575" t="str">
        <f>"1551765023274895"</f>
        <v>1551765023274895</v>
      </c>
      <c r="C4575" t="s">
        <v>40</v>
      </c>
      <c r="D4575">
        <v>4.2789510000000002</v>
      </c>
      <c r="E4575">
        <v>0.61995169999999999</v>
      </c>
      <c r="F4575" t="s">
        <v>94</v>
      </c>
      <c r="G4575">
        <v>-198.07169999999999</v>
      </c>
      <c r="H4575" s="1">
        <v>-1.423953E-5</v>
      </c>
      <c r="I4575">
        <v>156.68340000000001</v>
      </c>
      <c r="J4575">
        <v>-191.78809999999999</v>
      </c>
      <c r="K4575">
        <v>1.109119</v>
      </c>
      <c r="L4575">
        <v>177.8329</v>
      </c>
      <c r="M4575">
        <v>1.5900750000000002E-2</v>
      </c>
      <c r="N4575">
        <v>-1.02787E-2</v>
      </c>
      <c r="O4575">
        <v>-0.99982099999999996</v>
      </c>
      <c r="P4575">
        <v>1.9256510000000001E-2</v>
      </c>
      <c r="Q4575">
        <v>-0.110094</v>
      </c>
      <c r="R4575">
        <v>-0.99373509999999998</v>
      </c>
      <c r="S4575">
        <v>-0.88900759999999901</v>
      </c>
      <c r="T4575">
        <v>-0.1569864</v>
      </c>
      <c r="U4575">
        <v>-3.0196990000000001</v>
      </c>
      <c r="V4575">
        <v>-3.5188379999999998E-3</v>
      </c>
      <c r="W4575">
        <v>-9.9869730000000004E-2</v>
      </c>
      <c r="X4575">
        <v>0.9949943</v>
      </c>
      <c r="Y4575">
        <v>0.29732700000000001</v>
      </c>
      <c r="Z4575">
        <v>3.9390689999999999E-2</v>
      </c>
      <c r="AA4575">
        <v>0.9539628</v>
      </c>
      <c r="AB4575">
        <v>19</v>
      </c>
      <c r="AC4575">
        <v>-6.2835999999999999</v>
      </c>
      <c r="AD4575">
        <v>-1.10913323953</v>
      </c>
      <c r="AE4575">
        <v>-21.1494999999999</v>
      </c>
      <c r="AF4575">
        <v>6.60243080002566</v>
      </c>
      <c r="AG4575">
        <v>-1.10913323953</v>
      </c>
      <c r="AH4575">
        <v>20.9938521675695</v>
      </c>
      <c r="AI4575">
        <v>92.885138198093699</v>
      </c>
      <c r="AJ4575">
        <v>72.541975339010705</v>
      </c>
      <c r="AK4575">
        <v>22.035519005594601</v>
      </c>
      <c r="AL4575">
        <v>95.731668997152198</v>
      </c>
      <c r="AM4575">
        <v>90.202628020740704</v>
      </c>
      <c r="AN4575">
        <v>1.00000000111181</v>
      </c>
    </row>
    <row r="4576" spans="1:40" x14ac:dyDescent="0.25">
      <c r="A4576" t="str">
        <f>"20190305135023295"</f>
        <v>20190305135023295</v>
      </c>
      <c r="B4576" t="str">
        <f>"1551765023284655"</f>
        <v>1551765023284655</v>
      </c>
      <c r="C4576" t="s">
        <v>40</v>
      </c>
      <c r="D4576">
        <v>4.236815</v>
      </c>
      <c r="E4576">
        <v>0.61990279999999998</v>
      </c>
      <c r="F4576" t="s">
        <v>94</v>
      </c>
      <c r="G4576">
        <v>-198.03020000000001</v>
      </c>
      <c r="H4576" s="1">
        <v>-1.42383399999999E-5</v>
      </c>
      <c r="I4576">
        <v>156.67859999999999</v>
      </c>
      <c r="J4576">
        <v>-191.7867</v>
      </c>
      <c r="K4576">
        <v>1.1091139999999999</v>
      </c>
      <c r="L4576">
        <v>177.72290000000001</v>
      </c>
      <c r="M4576">
        <v>1.559412E-2</v>
      </c>
      <c r="N4576">
        <v>-1.024035E-2</v>
      </c>
      <c r="O4576">
        <v>-0.99982599999999999</v>
      </c>
      <c r="P4576">
        <v>1.883893E-2</v>
      </c>
      <c r="Q4576">
        <v>-0.10961269999999999</v>
      </c>
      <c r="R4576">
        <v>-0.99379589999999995</v>
      </c>
      <c r="S4576">
        <v>-0.89071659999999997</v>
      </c>
      <c r="T4576">
        <v>-0.1582693</v>
      </c>
      <c r="U4576">
        <v>-3.0186310000000001</v>
      </c>
      <c r="V4576">
        <v>-3.4051229999999999E-3</v>
      </c>
      <c r="W4576">
        <v>-9.942608E-2</v>
      </c>
      <c r="X4576">
        <v>0.99503909999999995</v>
      </c>
      <c r="Y4576">
        <v>0.29761700000000002</v>
      </c>
      <c r="Z4576">
        <v>3.9845739999999998E-2</v>
      </c>
      <c r="AA4576">
        <v>0.95385350000000002</v>
      </c>
      <c r="AB4576">
        <v>19</v>
      </c>
      <c r="AC4576">
        <v>-6.2435000000000098</v>
      </c>
      <c r="AD4576">
        <v>-1.1091282383400001</v>
      </c>
      <c r="AE4576">
        <v>-21.0443</v>
      </c>
      <c r="AF4576">
        <v>6.5541921748401499</v>
      </c>
      <c r="AG4576">
        <v>-1.1091282383400001</v>
      </c>
      <c r="AH4576">
        <v>20.8910382408815</v>
      </c>
      <c r="AI4576">
        <v>92.899930052549095</v>
      </c>
      <c r="AJ4576">
        <v>72.5816772472525</v>
      </c>
      <c r="AK4576">
        <v>21.923117462983999</v>
      </c>
      <c r="AL4576">
        <v>95.706122721000995</v>
      </c>
      <c r="AM4576">
        <v>90.196071104181996</v>
      </c>
      <c r="AN4576">
        <v>0.99999997538781005</v>
      </c>
    </row>
    <row r="4577" spans="1:40" x14ac:dyDescent="0.25">
      <c r="A4577" t="str">
        <f>"20190305135023306"</f>
        <v>20190305135023306</v>
      </c>
      <c r="B4577" t="str">
        <f>"1551765023295391"</f>
        <v>1551765023295391</v>
      </c>
      <c r="C4577" t="s">
        <v>40</v>
      </c>
      <c r="D4577">
        <v>4.1843440000000003</v>
      </c>
      <c r="E4577">
        <v>0.61987300000000001</v>
      </c>
      <c r="F4577" t="s">
        <v>94</v>
      </c>
      <c r="G4577">
        <v>-198.0977</v>
      </c>
      <c r="H4577" s="1">
        <v>-1.415698E-5</v>
      </c>
      <c r="I4577">
        <v>156.3553</v>
      </c>
      <c r="J4577">
        <v>-191.78550000000001</v>
      </c>
      <c r="K4577">
        <v>1.109113</v>
      </c>
      <c r="L4577">
        <v>177.62360000000001</v>
      </c>
      <c r="M4577">
        <v>1.531683E-2</v>
      </c>
      <c r="N4577">
        <v>-1.020571E-2</v>
      </c>
      <c r="O4577">
        <v>-0.99983100000000003</v>
      </c>
      <c r="P4577">
        <v>1.8689529999999999E-2</v>
      </c>
      <c r="Q4577">
        <v>-0.10907459999999999</v>
      </c>
      <c r="R4577">
        <v>-0.99385829999999997</v>
      </c>
      <c r="S4577">
        <v>-0.89147949999999998</v>
      </c>
      <c r="T4577">
        <v>-0.1566737</v>
      </c>
      <c r="U4577">
        <v>-3.0183559999999998</v>
      </c>
      <c r="V4577">
        <v>-3.531036E-3</v>
      </c>
      <c r="W4577">
        <v>-9.8921809999999999E-2</v>
      </c>
      <c r="X4577">
        <v>0.99508890000000005</v>
      </c>
      <c r="Y4577">
        <v>0.29760399999999998</v>
      </c>
      <c r="Z4577">
        <v>3.9379820000000003E-2</v>
      </c>
      <c r="AA4577">
        <v>0.95387690000000003</v>
      </c>
      <c r="AB4577">
        <v>19</v>
      </c>
      <c r="AC4577">
        <v>-6.31219999999999</v>
      </c>
      <c r="AD4577">
        <v>-1.1091271569800001</v>
      </c>
      <c r="AE4577">
        <v>-21.2683</v>
      </c>
      <c r="AF4577">
        <v>6.6206914964909904</v>
      </c>
      <c r="AG4577">
        <v>-1.1091271569800001</v>
      </c>
      <c r="AH4577">
        <v>21.1163388181273</v>
      </c>
      <c r="AI4577">
        <v>92.869200543333207</v>
      </c>
      <c r="AJ4577">
        <v>72.592014966632206</v>
      </c>
      <c r="AK4577">
        <v>22.1576958193764</v>
      </c>
      <c r="AL4577">
        <v>95.677087146092006</v>
      </c>
      <c r="AM4577">
        <v>90.203311092070095</v>
      </c>
      <c r="AN4577">
        <v>0.99999995580605805</v>
      </c>
    </row>
    <row r="4578" spans="1:40" x14ac:dyDescent="0.25">
      <c r="A4578" t="str">
        <f>"20190305135023317"</f>
        <v>20190305135023317</v>
      </c>
      <c r="B4578" t="str">
        <f>"1551765023314913"</f>
        <v>1551765023314913</v>
      </c>
      <c r="C4578" t="s">
        <v>40</v>
      </c>
      <c r="D4578">
        <v>4.261444</v>
      </c>
      <c r="E4578">
        <v>0.61979980000000001</v>
      </c>
      <c r="F4578" t="s">
        <v>94</v>
      </c>
      <c r="G4578">
        <v>-198.1343</v>
      </c>
      <c r="H4578" s="1">
        <v>-1.4101799999999999E-5</v>
      </c>
      <c r="I4578">
        <v>156.136</v>
      </c>
      <c r="J4578">
        <v>-191.7843</v>
      </c>
      <c r="K4578">
        <v>1.1091089999999999</v>
      </c>
      <c r="L4578">
        <v>177.52879999999999</v>
      </c>
      <c r="M4578">
        <v>1.505242E-2</v>
      </c>
      <c r="N4578">
        <v>-1.017209E-2</v>
      </c>
      <c r="O4578">
        <v>-0.99983509999999998</v>
      </c>
      <c r="P4578">
        <v>1.8352710000000001E-2</v>
      </c>
      <c r="Q4578">
        <v>-0.1088496</v>
      </c>
      <c r="R4578">
        <v>-0.99388900000000002</v>
      </c>
      <c r="S4578">
        <v>-0.89178469999999999</v>
      </c>
      <c r="T4578">
        <v>-0.1557926</v>
      </c>
      <c r="U4578">
        <v>-3.0182340000000001</v>
      </c>
      <c r="V4578">
        <v>-3.4561320000000002E-3</v>
      </c>
      <c r="W4578">
        <v>-9.8729999999999998E-2</v>
      </c>
      <c r="X4578">
        <v>0.9951082</v>
      </c>
      <c r="Y4578">
        <v>0.2974542</v>
      </c>
      <c r="Z4578">
        <v>3.9138239999999998E-2</v>
      </c>
      <c r="AA4578">
        <v>0.95393349999999999</v>
      </c>
      <c r="AB4578">
        <v>19</v>
      </c>
      <c r="AC4578">
        <v>-6.3499999999999899</v>
      </c>
      <c r="AD4578">
        <v>-1.1091231018000001</v>
      </c>
      <c r="AE4578">
        <v>-21.392799999999902</v>
      </c>
      <c r="AF4578">
        <v>6.6548709022468504</v>
      </c>
      <c r="AG4578">
        <v>-1.1091231018000001</v>
      </c>
      <c r="AH4578">
        <v>21.242313049111601</v>
      </c>
      <c r="AI4578">
        <v>92.852406401725105</v>
      </c>
      <c r="AJ4578">
        <v>72.605075532435293</v>
      </c>
      <c r="AK4578">
        <v>22.287963667795601</v>
      </c>
      <c r="AL4578">
        <v>95.6660432476681</v>
      </c>
      <c r="AM4578">
        <v>90.198994421740593</v>
      </c>
      <c r="AN4578">
        <v>0.99999994372781897</v>
      </c>
    </row>
    <row r="4579" spans="1:40" x14ac:dyDescent="0.25">
      <c r="A4579" t="str">
        <f>"20190305135023329"</f>
        <v>20190305135023329</v>
      </c>
      <c r="B4579" t="str">
        <f>"1551765023324671"</f>
        <v>1551765023324671</v>
      </c>
      <c r="C4579" t="s">
        <v>40</v>
      </c>
      <c r="D4579">
        <v>4.2153580000000002</v>
      </c>
      <c r="E4579">
        <v>0.6197416</v>
      </c>
      <c r="F4579" t="s">
        <v>94</v>
      </c>
      <c r="G4579">
        <v>-198.14169999999999</v>
      </c>
      <c r="H4579" s="1">
        <v>-1.407447E-5</v>
      </c>
      <c r="I4579">
        <v>156.0273</v>
      </c>
      <c r="J4579">
        <v>-191.78319999999999</v>
      </c>
      <c r="K4579">
        <v>1.1091040000000001</v>
      </c>
      <c r="L4579">
        <v>177.43360000000001</v>
      </c>
      <c r="M4579">
        <v>1.478697E-2</v>
      </c>
      <c r="N4579">
        <v>-1.0138100000000001E-2</v>
      </c>
      <c r="O4579">
        <v>-0.99983909999999998</v>
      </c>
      <c r="P4579">
        <v>1.8141689999999999E-2</v>
      </c>
      <c r="Q4579">
        <v>-0.1083962</v>
      </c>
      <c r="R4579">
        <v>-0.99394229999999995</v>
      </c>
      <c r="S4579">
        <v>-0.89230350000000003</v>
      </c>
      <c r="T4579">
        <v>-0.1556729</v>
      </c>
      <c r="U4579">
        <v>-3.017868</v>
      </c>
      <c r="V4579">
        <v>-3.5084740000000001E-3</v>
      </c>
      <c r="W4579">
        <v>-9.830999E-2</v>
      </c>
      <c r="X4579">
        <v>0.99514970000000003</v>
      </c>
      <c r="Y4579">
        <v>0.29738340000000002</v>
      </c>
      <c r="Z4579">
        <v>3.914024E-2</v>
      </c>
      <c r="AA4579">
        <v>0.95395549999999996</v>
      </c>
      <c r="AB4579">
        <v>19</v>
      </c>
      <c r="AC4579">
        <v>-6.3584999999999896</v>
      </c>
      <c r="AD4579">
        <v>-1.10911807447</v>
      </c>
      <c r="AE4579">
        <v>-21.406300000000002</v>
      </c>
      <c r="AF4579">
        <v>6.6579309468294996</v>
      </c>
      <c r="AG4579">
        <v>-1.10911807447</v>
      </c>
      <c r="AH4579">
        <v>21.257491519290902</v>
      </c>
      <c r="AI4579">
        <v>92.850424892084106</v>
      </c>
      <c r="AJ4579">
        <v>72.609236184222496</v>
      </c>
      <c r="AK4579">
        <v>22.303343540567901</v>
      </c>
      <c r="AL4579">
        <v>95.641860229685093</v>
      </c>
      <c r="AM4579">
        <v>90.201999678906105</v>
      </c>
      <c r="AN4579">
        <v>1.00000004446684</v>
      </c>
    </row>
    <row r="4580" spans="1:40" x14ac:dyDescent="0.25">
      <c r="A4580" t="str">
        <f>"20190305135023340"</f>
        <v>20190305135023340</v>
      </c>
      <c r="B4580" t="str">
        <f>"1551765023334432"</f>
        <v>1551765023334432</v>
      </c>
      <c r="C4580" t="s">
        <v>40</v>
      </c>
      <c r="D4580">
        <v>4.2249489999999996</v>
      </c>
      <c r="E4580">
        <v>0.61974169999999995</v>
      </c>
      <c r="F4580" t="s">
        <v>94</v>
      </c>
      <c r="G4580">
        <v>-198.18719999999999</v>
      </c>
      <c r="H4580" s="1">
        <v>-1.4012580000000001E-5</v>
      </c>
      <c r="I4580">
        <v>155.78139999999999</v>
      </c>
      <c r="J4580">
        <v>-191.78210000000001</v>
      </c>
      <c r="K4580">
        <v>1.1091</v>
      </c>
      <c r="L4580">
        <v>177.33920000000001</v>
      </c>
      <c r="M4580">
        <v>1.452437E-2</v>
      </c>
      <c r="N4580">
        <v>-1.010453E-2</v>
      </c>
      <c r="O4580">
        <v>-0.9998437</v>
      </c>
      <c r="P4580">
        <v>1.7812560000000002E-2</v>
      </c>
      <c r="Q4580">
        <v>-0.1081206</v>
      </c>
      <c r="R4580">
        <v>-0.99397860000000005</v>
      </c>
      <c r="S4580">
        <v>-0.89253229999999995</v>
      </c>
      <c r="T4580">
        <v>-0.15457960000000001</v>
      </c>
      <c r="U4580">
        <v>-3.0177</v>
      </c>
      <c r="V4580">
        <v>-3.4402249999999999E-3</v>
      </c>
      <c r="W4580">
        <v>-9.8067489999999993E-2</v>
      </c>
      <c r="X4580">
        <v>0.9951738</v>
      </c>
      <c r="Y4580">
        <v>0.29721789999999998</v>
      </c>
      <c r="Z4580">
        <v>3.8832459999999999E-2</v>
      </c>
      <c r="AA4580">
        <v>0.95401970000000003</v>
      </c>
      <c r="AB4580">
        <v>19</v>
      </c>
      <c r="AC4580">
        <v>-6.4050999999999698</v>
      </c>
      <c r="AD4580">
        <v>-1.1091140125800001</v>
      </c>
      <c r="AE4580">
        <v>-21.5578</v>
      </c>
      <c r="AF4580">
        <v>6.7012546833413698</v>
      </c>
      <c r="AG4580">
        <v>-1.1091140125800001</v>
      </c>
      <c r="AH4580">
        <v>21.4104159607928</v>
      </c>
      <c r="AI4580">
        <v>92.830260609364402</v>
      </c>
      <c r="AJ4580">
        <v>72.620380830014298</v>
      </c>
      <c r="AK4580">
        <v>22.4620315162738</v>
      </c>
      <c r="AL4580">
        <v>95.627898902331694</v>
      </c>
      <c r="AM4580">
        <v>90.198065491585794</v>
      </c>
      <c r="AN4580">
        <v>0.99999997997469503</v>
      </c>
    </row>
    <row r="4581" spans="1:40" x14ac:dyDescent="0.25">
      <c r="A4581" t="str">
        <f>"20190305135023351"</f>
        <v>20190305135023351</v>
      </c>
      <c r="B4581" t="str">
        <f>"1551765023345167"</f>
        <v>1551765023345167</v>
      </c>
      <c r="C4581" t="s">
        <v>40</v>
      </c>
      <c r="D4581">
        <v>4.2069669999999997</v>
      </c>
      <c r="E4581">
        <v>0.61973549999999999</v>
      </c>
      <c r="F4581" t="s">
        <v>94</v>
      </c>
      <c r="G4581">
        <v>-198.23840000000001</v>
      </c>
      <c r="H4581" s="1">
        <v>-1.395077E-5</v>
      </c>
      <c r="I4581">
        <v>155.53569999999999</v>
      </c>
      <c r="J4581">
        <v>-191.78100000000001</v>
      </c>
      <c r="K4581">
        <v>1.109097</v>
      </c>
      <c r="L4581">
        <v>177.24459999999999</v>
      </c>
      <c r="M4581">
        <v>1.426126E-2</v>
      </c>
      <c r="N4581">
        <v>-1.0070829999999999E-2</v>
      </c>
      <c r="O4581">
        <v>-0.99984790000000001</v>
      </c>
      <c r="P4581">
        <v>1.7880549999999999E-2</v>
      </c>
      <c r="Q4581">
        <v>-0.10801760000000001</v>
      </c>
      <c r="R4581">
        <v>-0.99398850000000005</v>
      </c>
      <c r="S4581">
        <v>-0.89350889999999905</v>
      </c>
      <c r="T4581">
        <v>-0.15349409999999999</v>
      </c>
      <c r="U4581">
        <v>-3.0174560000000001</v>
      </c>
      <c r="V4581">
        <v>-3.7700519999999999E-3</v>
      </c>
      <c r="W4581">
        <v>-9.7997710000000002E-2</v>
      </c>
      <c r="X4581">
        <v>0.99517949999999999</v>
      </c>
      <c r="Y4581">
        <v>0.29727579999999998</v>
      </c>
      <c r="Z4581">
        <v>3.8524950000000002E-2</v>
      </c>
      <c r="AA4581">
        <v>0.95401409999999998</v>
      </c>
      <c r="AB4581">
        <v>19</v>
      </c>
      <c r="AC4581">
        <v>-6.45740000000003</v>
      </c>
      <c r="AD4581">
        <v>-1.1091109507700001</v>
      </c>
      <c r="AE4581">
        <v>-21.7089</v>
      </c>
      <c r="AF4581">
        <v>6.7501680119783902</v>
      </c>
      <c r="AG4581">
        <v>-1.1091109507700001</v>
      </c>
      <c r="AH4581">
        <v>21.562888327082199</v>
      </c>
      <c r="AI4581">
        <v>92.810227953837199</v>
      </c>
      <c r="AJ4581">
        <v>72.617498713076401</v>
      </c>
      <c r="AK4581">
        <v>22.621959426567599</v>
      </c>
      <c r="AL4581">
        <v>95.623881333798707</v>
      </c>
      <c r="AM4581">
        <v>90.217053340447706</v>
      </c>
      <c r="AN4581">
        <v>1.0000000008387799</v>
      </c>
    </row>
    <row r="4582" spans="1:40" x14ac:dyDescent="0.25">
      <c r="A4582" t="str">
        <f>"20190305135023361"</f>
        <v>20190305135023361</v>
      </c>
      <c r="B4582" t="str">
        <f>"1551765023354927"</f>
        <v>1551765023354927</v>
      </c>
      <c r="C4582" t="s">
        <v>40</v>
      </c>
      <c r="D4582">
        <v>4.2062530000000002</v>
      </c>
      <c r="E4582">
        <v>0.61969319999999894</v>
      </c>
      <c r="F4582" t="s">
        <v>94</v>
      </c>
      <c r="G4582">
        <v>-198.26519999999999</v>
      </c>
      <c r="H4582" s="1">
        <v>-1.387861E-5</v>
      </c>
      <c r="I4582">
        <v>155.3373</v>
      </c>
      <c r="J4582">
        <v>-191.78</v>
      </c>
      <c r="K4582">
        <v>1.109091</v>
      </c>
      <c r="L4582">
        <v>177.15090000000001</v>
      </c>
      <c r="M4582">
        <v>1.400069E-2</v>
      </c>
      <c r="N4582">
        <v>-1.003709E-2</v>
      </c>
      <c r="O4582">
        <v>-0.99985179999999996</v>
      </c>
      <c r="P4582">
        <v>1.797617E-2</v>
      </c>
      <c r="Q4582">
        <v>-0.1076603</v>
      </c>
      <c r="R4582">
        <v>-0.99402550000000001</v>
      </c>
      <c r="S4582">
        <v>-0.89315800000000001</v>
      </c>
      <c r="T4582">
        <v>-0.15277349999999901</v>
      </c>
      <c r="U4582">
        <v>-3.0176090000000002</v>
      </c>
      <c r="V4582">
        <v>-4.1241910000000001E-3</v>
      </c>
      <c r="W4582">
        <v>-9.7673449999999995E-2</v>
      </c>
      <c r="X4582">
        <v>0.99521000000000004</v>
      </c>
      <c r="Y4582">
        <v>0.29691469999999998</v>
      </c>
      <c r="Z4582">
        <v>3.8332869999999998E-2</v>
      </c>
      <c r="AA4582">
        <v>0.95413429999999999</v>
      </c>
      <c r="AB4582">
        <v>19</v>
      </c>
      <c r="AC4582">
        <v>-6.4851999999999901</v>
      </c>
      <c r="AD4582">
        <v>-1.10910487861</v>
      </c>
      <c r="AE4582">
        <v>-21.813600000000001</v>
      </c>
      <c r="AF4582">
        <v>6.7738954651770298</v>
      </c>
      <c r="AG4582">
        <v>-1.10910487861</v>
      </c>
      <c r="AH4582">
        <v>21.669190449085502</v>
      </c>
      <c r="AI4582">
        <v>92.796799162432293</v>
      </c>
      <c r="AJ4582">
        <v>72.640499079339406</v>
      </c>
      <c r="AK4582">
        <v>22.730367091704402</v>
      </c>
      <c r="AL4582">
        <v>95.605212892455597</v>
      </c>
      <c r="AM4582">
        <v>90.237434697763305</v>
      </c>
      <c r="AN4582">
        <v>1.00000002794315</v>
      </c>
    </row>
    <row r="4583" spans="1:40" x14ac:dyDescent="0.25">
      <c r="A4583" t="str">
        <f>"20190305135023374"</f>
        <v>20190305135023374</v>
      </c>
      <c r="B4583" t="str">
        <f>"1551765023364687"</f>
        <v>1551765023364687</v>
      </c>
      <c r="C4583" t="s">
        <v>40</v>
      </c>
      <c r="D4583">
        <v>4.2213000000000003</v>
      </c>
      <c r="E4583">
        <v>0.61966119999999902</v>
      </c>
      <c r="F4583" t="s">
        <v>94</v>
      </c>
      <c r="G4583">
        <v>-198.285</v>
      </c>
      <c r="H4583" s="1">
        <v>-1.380267E-5</v>
      </c>
      <c r="I4583">
        <v>155.15620000000001</v>
      </c>
      <c r="J4583">
        <v>-191.77889999999999</v>
      </c>
      <c r="K4583">
        <v>1.1090869999999999</v>
      </c>
      <c r="L4583">
        <v>177.04990000000001</v>
      </c>
      <c r="M4583">
        <v>1.372046E-2</v>
      </c>
      <c r="N4583">
        <v>-1.0001090000000001E-2</v>
      </c>
      <c r="O4583">
        <v>-0.99985610000000003</v>
      </c>
      <c r="P4583">
        <v>1.8048439999999999E-2</v>
      </c>
      <c r="Q4583">
        <v>-0.1075779</v>
      </c>
      <c r="R4583">
        <v>-0.99403319999999995</v>
      </c>
      <c r="S4583">
        <v>-0.89250180000000001</v>
      </c>
      <c r="T4583">
        <v>-0.15216969999999999</v>
      </c>
      <c r="U4583">
        <v>-3.0176850000000002</v>
      </c>
      <c r="V4583">
        <v>-4.4749070000000002E-3</v>
      </c>
      <c r="W4583">
        <v>-9.7626519999999994E-2</v>
      </c>
      <c r="X4583">
        <v>0.99521309999999996</v>
      </c>
      <c r="Y4583">
        <v>0.2964522</v>
      </c>
      <c r="Z4583">
        <v>3.8182630000000002E-2</v>
      </c>
      <c r="AA4583">
        <v>0.95428409999999997</v>
      </c>
      <c r="AB4583">
        <v>19</v>
      </c>
      <c r="AC4583">
        <v>-6.5061</v>
      </c>
      <c r="AD4583">
        <v>-1.10910080267</v>
      </c>
      <c r="AE4583">
        <v>-21.8936999999999</v>
      </c>
      <c r="AF4583">
        <v>6.78988327138633</v>
      </c>
      <c r="AG4583">
        <v>-1.10910080267</v>
      </c>
      <c r="AH4583">
        <v>21.751077847270899</v>
      </c>
      <c r="AI4583">
        <v>92.786626163604595</v>
      </c>
      <c r="AJ4583">
        <v>72.663564136827503</v>
      </c>
      <c r="AK4583">
        <v>22.8131980868</v>
      </c>
      <c r="AL4583">
        <v>95.602511030951803</v>
      </c>
      <c r="AM4583">
        <v>90.257624780987996</v>
      </c>
      <c r="AN4583">
        <v>1.0000000383057801</v>
      </c>
    </row>
    <row r="4584" spans="1:40" x14ac:dyDescent="0.25">
      <c r="A4584" t="str">
        <f>"20190305135023385"</f>
        <v>20190305135023385</v>
      </c>
      <c r="B4584" t="str">
        <f>"1551765023374447"</f>
        <v>1551765023374447</v>
      </c>
      <c r="C4584" t="s">
        <v>40</v>
      </c>
      <c r="D4584">
        <v>4.1684570000000001</v>
      </c>
      <c r="E4584">
        <v>0.61965999999999999</v>
      </c>
      <c r="F4584" t="s">
        <v>94</v>
      </c>
      <c r="G4584">
        <v>-198.27359999999999</v>
      </c>
      <c r="H4584" s="1">
        <v>-1.3766789999999999E-5</v>
      </c>
      <c r="I4584">
        <v>155.07490000000001</v>
      </c>
      <c r="J4584">
        <v>-191.77789999999999</v>
      </c>
      <c r="K4584">
        <v>1.109084</v>
      </c>
      <c r="L4584">
        <v>176.9564</v>
      </c>
      <c r="M4584">
        <v>1.3461209999999999E-2</v>
      </c>
      <c r="N4584">
        <v>-9.9681700000000002E-3</v>
      </c>
      <c r="O4584">
        <v>-0.99985990000000002</v>
      </c>
      <c r="P4584">
        <v>1.8243619999999999E-2</v>
      </c>
      <c r="Q4584">
        <v>-0.10720349999999999</v>
      </c>
      <c r="R4584">
        <v>-0.9940698</v>
      </c>
      <c r="S4584">
        <v>-0.89187619999999901</v>
      </c>
      <c r="T4584">
        <v>-0.1523062</v>
      </c>
      <c r="U4584">
        <v>-3.0177</v>
      </c>
      <c r="V4584">
        <v>-4.9273210000000001E-3</v>
      </c>
      <c r="W4584">
        <v>-9.7284170000000003E-2</v>
      </c>
      <c r="X4584">
        <v>0.99524440000000003</v>
      </c>
      <c r="Y4584">
        <v>0.29602070000000003</v>
      </c>
      <c r="Z4584">
        <v>3.8263829999999999E-2</v>
      </c>
      <c r="AA4584">
        <v>0.95441480000000001</v>
      </c>
      <c r="AB4584">
        <v>19</v>
      </c>
      <c r="AC4584">
        <v>-6.4956999999999896</v>
      </c>
      <c r="AD4584">
        <v>-1.1090977667899999</v>
      </c>
      <c r="AE4584">
        <v>-21.8814999999999</v>
      </c>
      <c r="AF4584">
        <v>6.7736843683916597</v>
      </c>
      <c r="AG4584">
        <v>-1.1090977667899999</v>
      </c>
      <c r="AH4584">
        <v>21.7407417250766</v>
      </c>
      <c r="AI4584">
        <v>92.7884133919665</v>
      </c>
      <c r="AJ4584">
        <v>72.694721266637103</v>
      </c>
      <c r="AK4584">
        <v>22.798525139477299</v>
      </c>
      <c r="AL4584">
        <v>95.582802488011495</v>
      </c>
      <c r="AM4584">
        <v>90.283661371044701</v>
      </c>
      <c r="AN4584">
        <v>0.999999951978091</v>
      </c>
    </row>
    <row r="4585" spans="1:40" x14ac:dyDescent="0.25">
      <c r="A4585" t="str">
        <f>"20190305135023396"</f>
        <v>20190305135023396</v>
      </c>
      <c r="B4585" t="str">
        <f>"1551765023394943"</f>
        <v>1551765023394943</v>
      </c>
      <c r="C4585" t="s">
        <v>40</v>
      </c>
      <c r="D4585">
        <v>4.1546919999999998</v>
      </c>
      <c r="E4585">
        <v>0.6196893</v>
      </c>
      <c r="F4585" t="s">
        <v>94</v>
      </c>
      <c r="G4585">
        <v>-198.32849999999999</v>
      </c>
      <c r="H4585" s="1">
        <v>-1.3644200000000001E-5</v>
      </c>
      <c r="I4585">
        <v>154.77780000000001</v>
      </c>
      <c r="J4585">
        <v>-191.77690000000001</v>
      </c>
      <c r="K4585">
        <v>1.109078</v>
      </c>
      <c r="L4585">
        <v>176.8595</v>
      </c>
      <c r="M4585">
        <v>1.319269E-2</v>
      </c>
      <c r="N4585">
        <v>-9.9357179999999996E-3</v>
      </c>
      <c r="O4585">
        <v>-0.99986390000000003</v>
      </c>
      <c r="P4585">
        <v>1.8326149999999999E-2</v>
      </c>
      <c r="Q4585">
        <v>-0.10691920000000001</v>
      </c>
      <c r="R4585">
        <v>-0.99409899999999995</v>
      </c>
      <c r="S4585">
        <v>-0.89137269999999902</v>
      </c>
      <c r="T4585">
        <v>-0.15091969999999999</v>
      </c>
      <c r="U4585">
        <v>-3.017944</v>
      </c>
      <c r="V4585">
        <v>-5.276261E-3</v>
      </c>
      <c r="W4585">
        <v>-9.7031629999999994E-2</v>
      </c>
      <c r="X4585">
        <v>0.99526729999999997</v>
      </c>
      <c r="Y4585">
        <v>0.29560229999999998</v>
      </c>
      <c r="Z4585">
        <v>3.7859240000000002E-2</v>
      </c>
      <c r="AA4585">
        <v>0.95456059999999998</v>
      </c>
      <c r="AB4585">
        <v>19</v>
      </c>
      <c r="AC4585">
        <v>-6.5515999999999703</v>
      </c>
      <c r="AD4585">
        <v>-1.1090916442000001</v>
      </c>
      <c r="AE4585">
        <v>-22.081699999999898</v>
      </c>
      <c r="AF4585">
        <v>6.82653297661063</v>
      </c>
      <c r="AG4585">
        <v>-1.1090916442000001</v>
      </c>
      <c r="AH4585">
        <v>21.942464454282401</v>
      </c>
      <c r="AI4585">
        <v>92.763160352965599</v>
      </c>
      <c r="AJ4585">
        <v>72.718529055081504</v>
      </c>
      <c r="AK4585">
        <v>23.006594339089698</v>
      </c>
      <c r="AL4585">
        <v>95.568264033020498</v>
      </c>
      <c r="AM4585">
        <v>90.303742175502506</v>
      </c>
      <c r="AN4585">
        <v>0.99999998729994299</v>
      </c>
    </row>
    <row r="4586" spans="1:40" x14ac:dyDescent="0.25">
      <c r="A4586" t="str">
        <f>"20190305135023407"</f>
        <v>20190305135023407</v>
      </c>
      <c r="B4586" t="str">
        <f>"1551765023404703"</f>
        <v>1551765023404703</v>
      </c>
      <c r="C4586" t="s">
        <v>40</v>
      </c>
      <c r="D4586">
        <v>4.2114070000000003</v>
      </c>
      <c r="E4586">
        <v>0.6197184</v>
      </c>
      <c r="F4586" t="s">
        <v>94</v>
      </c>
      <c r="G4586">
        <v>-198.38560000000001</v>
      </c>
      <c r="H4586" s="1">
        <v>-1.35464799999999E-5</v>
      </c>
      <c r="I4586">
        <v>154.48310000000001</v>
      </c>
      <c r="J4586">
        <v>-191.77590000000001</v>
      </c>
      <c r="K4586">
        <v>1.109081</v>
      </c>
      <c r="L4586">
        <v>176.7627</v>
      </c>
      <c r="M4586">
        <v>1.292449E-2</v>
      </c>
      <c r="N4586">
        <v>-9.9042350000000008E-3</v>
      </c>
      <c r="O4586">
        <v>-0.99986750000000002</v>
      </c>
      <c r="P4586">
        <v>1.826243E-2</v>
      </c>
      <c r="Q4586">
        <v>-0.10666779999999999</v>
      </c>
      <c r="R4586">
        <v>-0.99412710000000004</v>
      </c>
      <c r="S4586">
        <v>-0.89138790000000001</v>
      </c>
      <c r="T4586">
        <v>-0.14959510000000001</v>
      </c>
      <c r="U4586">
        <v>-3.0181429999999998</v>
      </c>
      <c r="V4586">
        <v>-5.4790250000000002E-3</v>
      </c>
      <c r="W4586">
        <v>-9.6811250000000001E-2</v>
      </c>
      <c r="X4586">
        <v>0.9952877</v>
      </c>
      <c r="Y4586">
        <v>0.29533860000000001</v>
      </c>
      <c r="Z4586">
        <v>3.7471619999999997E-2</v>
      </c>
      <c r="AA4586">
        <v>0.9546576</v>
      </c>
      <c r="AB4586">
        <v>19</v>
      </c>
      <c r="AC4586">
        <v>-6.6097000000000001</v>
      </c>
      <c r="AD4586">
        <v>-1.1090945464799999</v>
      </c>
      <c r="AE4586">
        <v>-22.279599999999899</v>
      </c>
      <c r="AF4586">
        <v>6.8814408873218298</v>
      </c>
      <c r="AG4586">
        <v>-1.1090945464799999</v>
      </c>
      <c r="AH4586">
        <v>22.141876159340299</v>
      </c>
      <c r="AI4586">
        <v>92.738569975324296</v>
      </c>
      <c r="AJ4586">
        <v>72.735355252567402</v>
      </c>
      <c r="AK4586">
        <v>23.213078194291601</v>
      </c>
      <c r="AL4586">
        <v>95.555577268696595</v>
      </c>
      <c r="AM4586">
        <v>90.315408135029699</v>
      </c>
      <c r="AN4586">
        <v>1.0000000218064</v>
      </c>
    </row>
    <row r="4587" spans="1:40" x14ac:dyDescent="0.25">
      <c r="A4587" t="str">
        <f>"20190305135023419"</f>
        <v>20190305135023419</v>
      </c>
      <c r="B4587" t="str">
        <f>"1551765023414463"</f>
        <v>1551765023414463</v>
      </c>
      <c r="C4587" t="s">
        <v>40</v>
      </c>
      <c r="D4587">
        <v>4.1477500000000003</v>
      </c>
      <c r="E4587">
        <v>0.61975409999999997</v>
      </c>
      <c r="F4587" t="s">
        <v>94</v>
      </c>
      <c r="G4587">
        <v>-198.37029999999999</v>
      </c>
      <c r="H4587" s="1">
        <v>-1.353614E-5</v>
      </c>
      <c r="I4587">
        <v>154.44739999999999</v>
      </c>
      <c r="J4587">
        <v>-191.77500000000001</v>
      </c>
      <c r="K4587">
        <v>1.109076</v>
      </c>
      <c r="L4587">
        <v>176.67429999999999</v>
      </c>
      <c r="M4587">
        <v>1.267978E-2</v>
      </c>
      <c r="N4587">
        <v>-9.8740249999999998E-3</v>
      </c>
      <c r="O4587">
        <v>-0.99987110000000001</v>
      </c>
      <c r="P4587">
        <v>1.8206799999999999E-2</v>
      </c>
      <c r="Q4587">
        <v>-0.1066985</v>
      </c>
      <c r="R4587">
        <v>-0.99412500000000004</v>
      </c>
      <c r="S4587">
        <v>-0.89186100000000001</v>
      </c>
      <c r="T4587">
        <v>-0.1499982</v>
      </c>
      <c r="U4587">
        <v>-3.018005</v>
      </c>
      <c r="V4587">
        <v>-5.6669290000000002E-3</v>
      </c>
      <c r="W4587">
        <v>-9.6871899999999997E-2</v>
      </c>
      <c r="X4587">
        <v>0.99528070000000002</v>
      </c>
      <c r="Y4587">
        <v>0.29525259999999998</v>
      </c>
      <c r="Z4587">
        <v>3.7631530000000003E-2</v>
      </c>
      <c r="AA4587">
        <v>0.95467780000000002</v>
      </c>
      <c r="AB4587">
        <v>19</v>
      </c>
      <c r="AC4587">
        <v>-6.5952999999999804</v>
      </c>
      <c r="AD4587">
        <v>-1.1090895361399999</v>
      </c>
      <c r="AE4587">
        <v>-22.226900000000001</v>
      </c>
      <c r="AF4587">
        <v>6.8609152372718798</v>
      </c>
      <c r="AG4587">
        <v>-1.1090895361399999</v>
      </c>
      <c r="AH4587">
        <v>22.0909295318794</v>
      </c>
      <c r="AI4587">
        <v>92.745028636966097</v>
      </c>
      <c r="AJ4587">
        <v>72.746453409073197</v>
      </c>
      <c r="AK4587">
        <v>23.158398154334201</v>
      </c>
      <c r="AL4587">
        <v>95.559068926440005</v>
      </c>
      <c r="AM4587">
        <v>90.326227169691506</v>
      </c>
      <c r="AN4587">
        <v>0.99999997544319497</v>
      </c>
    </row>
    <row r="4588" spans="1:40" x14ac:dyDescent="0.25">
      <c r="A4588" t="str">
        <f>"20190305135023431"</f>
        <v>20190305135023431</v>
      </c>
      <c r="B4588" t="str">
        <f>"1551765023425199"</f>
        <v>1551765023425199</v>
      </c>
      <c r="C4588" t="s">
        <v>40</v>
      </c>
      <c r="D4588">
        <v>4.1481240000000001</v>
      </c>
      <c r="E4588">
        <v>0.61978859999999902</v>
      </c>
      <c r="F4588" t="s">
        <v>94</v>
      </c>
      <c r="G4588">
        <v>-198.37649999999999</v>
      </c>
      <c r="H4588" s="1">
        <v>-1.351061E-5</v>
      </c>
      <c r="I4588">
        <v>154.34379999999999</v>
      </c>
      <c r="J4588">
        <v>-191.774</v>
      </c>
      <c r="K4588">
        <v>1.10907</v>
      </c>
      <c r="L4588">
        <v>176.5702</v>
      </c>
      <c r="M4588">
        <v>1.23918E-2</v>
      </c>
      <c r="N4588">
        <v>-9.8376899999999996E-3</v>
      </c>
      <c r="O4588">
        <v>-0.99987490000000001</v>
      </c>
      <c r="P4588">
        <v>1.820803E-2</v>
      </c>
      <c r="Q4588">
        <v>-0.1071275</v>
      </c>
      <c r="R4588">
        <v>-0.99407869999999998</v>
      </c>
      <c r="S4588">
        <v>-0.89219669999999895</v>
      </c>
      <c r="T4588">
        <v>-0.14989469999999999</v>
      </c>
      <c r="U4588">
        <v>-3.0179900000000002</v>
      </c>
      <c r="V4588">
        <v>-5.9552049999999999E-3</v>
      </c>
      <c r="W4588">
        <v>-9.7337309999999996E-2</v>
      </c>
      <c r="X4588">
        <v>0.9952337</v>
      </c>
      <c r="Y4588">
        <v>0.29507679999999997</v>
      </c>
      <c r="Z4588">
        <v>3.7636679999999999E-2</v>
      </c>
      <c r="AA4588">
        <v>0.95473200000000003</v>
      </c>
      <c r="AB4588">
        <v>19</v>
      </c>
      <c r="AC4588">
        <v>-6.6024999999999903</v>
      </c>
      <c r="AD4588">
        <v>-1.1090835106100001</v>
      </c>
      <c r="AE4588">
        <v>-22.226400000000002</v>
      </c>
      <c r="AF4588">
        <v>6.8617314656367201</v>
      </c>
      <c r="AG4588">
        <v>-1.1090835106100001</v>
      </c>
      <c r="AH4588">
        <v>22.0923242256472</v>
      </c>
      <c r="AI4588">
        <v>92.744827257162697</v>
      </c>
      <c r="AJ4588">
        <v>72.745547331935498</v>
      </c>
      <c r="AK4588">
        <v>23.1599700913264</v>
      </c>
      <c r="AL4588">
        <v>95.5858610602384</v>
      </c>
      <c r="AM4588">
        <v>90.342838109689694</v>
      </c>
      <c r="AN4588">
        <v>1.0000000670001501</v>
      </c>
    </row>
    <row r="4589" spans="1:40" x14ac:dyDescent="0.25">
      <c r="A4589" t="str">
        <f>"20190305135023442"</f>
        <v>20190305135023442</v>
      </c>
      <c r="B4589" t="str">
        <f>"1551765023434959"</f>
        <v>1551765023434959</v>
      </c>
      <c r="C4589" t="s">
        <v>40</v>
      </c>
      <c r="D4589">
        <v>4.0123319999999998</v>
      </c>
      <c r="E4589">
        <v>0.61982349999999997</v>
      </c>
      <c r="F4589" t="s">
        <v>94</v>
      </c>
      <c r="G4589">
        <v>-198.3356</v>
      </c>
      <c r="H4589" s="1">
        <v>-1.3517160000000001E-5</v>
      </c>
      <c r="I4589">
        <v>154.38419999999999</v>
      </c>
      <c r="J4589">
        <v>-191.7731</v>
      </c>
      <c r="K4589">
        <v>1.109064</v>
      </c>
      <c r="L4589">
        <v>176.4675</v>
      </c>
      <c r="M4589">
        <v>1.210813E-2</v>
      </c>
      <c r="N4589">
        <v>-9.7974450000000001E-3</v>
      </c>
      <c r="O4589">
        <v>-0.99987890000000001</v>
      </c>
      <c r="P4589">
        <v>1.7918900000000001E-2</v>
      </c>
      <c r="Q4589">
        <v>-0.1069934</v>
      </c>
      <c r="R4589">
        <v>-0.9940985</v>
      </c>
      <c r="S4589">
        <v>-0.89257809999999904</v>
      </c>
      <c r="T4589">
        <v>-0.1508688</v>
      </c>
      <c r="U4589">
        <v>-3.01796</v>
      </c>
      <c r="V4589">
        <v>-5.9481419999999896E-3</v>
      </c>
      <c r="W4589">
        <v>-9.7243090000000004E-2</v>
      </c>
      <c r="X4589">
        <v>0.99524290000000004</v>
      </c>
      <c r="Y4589">
        <v>0.2949156</v>
      </c>
      <c r="Z4589">
        <v>3.798642E-2</v>
      </c>
      <c r="AA4589">
        <v>0.9547679</v>
      </c>
      <c r="AB4589">
        <v>19</v>
      </c>
      <c r="AC4589">
        <v>-6.5625</v>
      </c>
      <c r="AD4589">
        <v>-1.10907751716</v>
      </c>
      <c r="AE4589">
        <v>-22.083300000000001</v>
      </c>
      <c r="AF4589">
        <v>6.8136276950507098</v>
      </c>
      <c r="AG4589">
        <v>-1.10907751716</v>
      </c>
      <c r="AH4589">
        <v>21.951342622891001</v>
      </c>
      <c r="AI4589">
        <v>92.7625672458704</v>
      </c>
      <c r="AJ4589">
        <v>72.755821617024296</v>
      </c>
      <c r="AK4589">
        <v>23.0112367823501</v>
      </c>
      <c r="AL4589">
        <v>95.580437214493998</v>
      </c>
      <c r="AM4589">
        <v>90.342428340723302</v>
      </c>
      <c r="AN4589">
        <v>1.0000000144732</v>
      </c>
    </row>
    <row r="4590" spans="1:40" x14ac:dyDescent="0.25">
      <c r="A4590" t="str">
        <f>"20190305135023454"</f>
        <v>20190305135023454</v>
      </c>
      <c r="B4590" t="str">
        <f>"1551765023444838"</f>
        <v>1551765023444838</v>
      </c>
      <c r="C4590" t="s">
        <v>40</v>
      </c>
      <c r="D4590">
        <v>4.1708590000000001</v>
      </c>
      <c r="E4590">
        <v>0.61984729999999999</v>
      </c>
      <c r="F4590" t="s">
        <v>94</v>
      </c>
      <c r="G4590">
        <v>-198.40780000000001</v>
      </c>
      <c r="H4590" s="1">
        <v>-1.344193E-5</v>
      </c>
      <c r="I4590">
        <v>154.0598</v>
      </c>
      <c r="J4590">
        <v>-191.7722</v>
      </c>
      <c r="K4590">
        <v>1.109054</v>
      </c>
      <c r="L4590">
        <v>176.36799999999999</v>
      </c>
      <c r="M4590">
        <v>1.183325E-2</v>
      </c>
      <c r="N4590">
        <v>-9.7568310000000005E-3</v>
      </c>
      <c r="O4590">
        <v>-0.9998823</v>
      </c>
      <c r="P4590">
        <v>1.7534149999999998E-2</v>
      </c>
      <c r="Q4590">
        <v>-0.1072197</v>
      </c>
      <c r="R4590">
        <v>-0.99408059999999998</v>
      </c>
      <c r="S4590">
        <v>-0.89355469999999904</v>
      </c>
      <c r="T4590">
        <v>-0.14936859999999999</v>
      </c>
      <c r="U4590">
        <v>-3.0178379999999998</v>
      </c>
      <c r="V4590">
        <v>-5.8374150000000003E-3</v>
      </c>
      <c r="W4590">
        <v>-9.7510180000000002E-2</v>
      </c>
      <c r="X4590">
        <v>0.99521740000000003</v>
      </c>
      <c r="Y4590">
        <v>0.29495329999999997</v>
      </c>
      <c r="Z4590">
        <v>3.7552820000000001E-2</v>
      </c>
      <c r="AA4590">
        <v>0.95477350000000005</v>
      </c>
      <c r="AB4590">
        <v>19</v>
      </c>
      <c r="AC4590">
        <v>-6.6356000000000099</v>
      </c>
      <c r="AD4590">
        <v>-1.10906744193</v>
      </c>
      <c r="AE4590">
        <v>-22.308199999999999</v>
      </c>
      <c r="AF4590">
        <v>6.8834958236523702</v>
      </c>
      <c r="AG4590">
        <v>-1.10906744193</v>
      </c>
      <c r="AH4590">
        <v>22.1777535518756</v>
      </c>
      <c r="AI4590">
        <v>92.734396896228205</v>
      </c>
      <c r="AJ4590">
        <v>72.756785670939706</v>
      </c>
      <c r="AK4590">
        <v>23.247909539412799</v>
      </c>
      <c r="AL4590">
        <v>95.595813544386502</v>
      </c>
      <c r="AM4590">
        <v>90.336062660580197</v>
      </c>
      <c r="AN4590">
        <v>0.999999991940137</v>
      </c>
    </row>
    <row r="4591" spans="1:40" x14ac:dyDescent="0.25">
      <c r="A4591" t="str">
        <f>"20190305135023468"</f>
        <v>20190305135023468</v>
      </c>
      <c r="B4591" t="str">
        <f>"1551765023465032"</f>
        <v>1551765023465032</v>
      </c>
      <c r="C4591" t="s">
        <v>40</v>
      </c>
      <c r="D4591">
        <v>4.1723999999999997</v>
      </c>
      <c r="E4591">
        <v>0.61993619999999905</v>
      </c>
      <c r="F4591" t="s">
        <v>94</v>
      </c>
      <c r="G4591">
        <v>-198.36160000000001</v>
      </c>
      <c r="H4591" s="1">
        <v>-1.3461009999999999E-5</v>
      </c>
      <c r="I4591">
        <v>154.15190000000001</v>
      </c>
      <c r="J4591">
        <v>-191.77109999999999</v>
      </c>
      <c r="K4591">
        <v>1.109043</v>
      </c>
      <c r="L4591">
        <v>176.2501</v>
      </c>
      <c r="M4591">
        <v>1.150735E-2</v>
      </c>
      <c r="N4591">
        <v>-9.7060840000000002E-3</v>
      </c>
      <c r="O4591">
        <v>-0.99988659999999996</v>
      </c>
      <c r="P4591">
        <v>1.689396E-2</v>
      </c>
      <c r="Q4591">
        <v>-0.1074021</v>
      </c>
      <c r="R4591">
        <v>-0.99407210000000001</v>
      </c>
      <c r="S4591">
        <v>-0.89497380000000004</v>
      </c>
      <c r="T4591">
        <v>-0.15063270000000001</v>
      </c>
      <c r="U4591">
        <v>-3.0173800000000002</v>
      </c>
      <c r="V4591">
        <v>-5.5217069999999998E-3</v>
      </c>
      <c r="W4591">
        <v>-9.7743369999999996E-2</v>
      </c>
      <c r="X4591">
        <v>0.99519630000000003</v>
      </c>
      <c r="Y4591">
        <v>0.29508899999999999</v>
      </c>
      <c r="Z4591">
        <v>3.8006779999999997E-2</v>
      </c>
      <c r="AA4591">
        <v>0.95471360000000005</v>
      </c>
      <c r="AB4591">
        <v>19</v>
      </c>
      <c r="AC4591">
        <v>-6.5905000000000102</v>
      </c>
      <c r="AD4591">
        <v>-1.10905646101</v>
      </c>
      <c r="AE4591">
        <v>-22.098199999999899</v>
      </c>
      <c r="AF4591">
        <v>6.8285723935677298</v>
      </c>
      <c r="AG4591">
        <v>-1.10905646101</v>
      </c>
      <c r="AH4591">
        <v>21.9700757642401</v>
      </c>
      <c r="AI4591">
        <v>92.759838616955406</v>
      </c>
      <c r="AJ4591">
        <v>72.7341064804816</v>
      </c>
      <c r="AK4591">
        <v>23.0335328652457</v>
      </c>
      <c r="AL4591">
        <v>95.609238625284107</v>
      </c>
      <c r="AM4591">
        <v>90.317894329443803</v>
      </c>
      <c r="AN4591">
        <v>0.99999996558041904</v>
      </c>
    </row>
    <row r="4592" spans="1:40" x14ac:dyDescent="0.25">
      <c r="A4592" t="str">
        <f>"20190305135023483"</f>
        <v>20190305135023483</v>
      </c>
      <c r="B4592" t="str">
        <f>"1551765023475410"</f>
        <v>1551765023475410</v>
      </c>
      <c r="C4592" t="s">
        <v>40</v>
      </c>
      <c r="D4592">
        <v>4.1325190000000003</v>
      </c>
      <c r="E4592">
        <v>0.62000279999999997</v>
      </c>
      <c r="F4592" t="s">
        <v>94</v>
      </c>
      <c r="G4592">
        <v>-198.30269999999999</v>
      </c>
      <c r="H4592" s="1">
        <v>-1.349276E-5</v>
      </c>
      <c r="I4592">
        <v>154.2988</v>
      </c>
      <c r="J4592">
        <v>-191.77010000000001</v>
      </c>
      <c r="K4592">
        <v>1.10903</v>
      </c>
      <c r="L4592">
        <v>176.1259</v>
      </c>
      <c r="M4592">
        <v>1.1164149999999999E-2</v>
      </c>
      <c r="N4592">
        <v>-9.6507380000000007E-3</v>
      </c>
      <c r="O4592">
        <v>-0.99989130000000004</v>
      </c>
      <c r="P4592">
        <v>1.567437E-2</v>
      </c>
      <c r="Q4592">
        <v>-0.1080725</v>
      </c>
      <c r="R4592">
        <v>-0.99401980000000001</v>
      </c>
      <c r="S4592">
        <v>-0.89761349999999995</v>
      </c>
      <c r="T4592">
        <v>-0.15241299999999999</v>
      </c>
      <c r="U4592">
        <v>-3.0166780000000002</v>
      </c>
      <c r="V4592">
        <v>-4.6448829999999998E-3</v>
      </c>
      <c r="W4592">
        <v>-9.8470160000000001E-2</v>
      </c>
      <c r="X4592">
        <v>0.99512920000000005</v>
      </c>
      <c r="Y4592">
        <v>0.29558210000000001</v>
      </c>
      <c r="Z4592">
        <v>3.8626870000000001E-2</v>
      </c>
      <c r="AA4592">
        <v>0.9545361</v>
      </c>
      <c r="AB4592">
        <v>19</v>
      </c>
      <c r="AC4592">
        <v>-6.5325999999999702</v>
      </c>
      <c r="AD4592">
        <v>-1.1090434927599999</v>
      </c>
      <c r="AE4592">
        <v>-21.827100000000002</v>
      </c>
      <c r="AF4592">
        <v>6.7598679591760904</v>
      </c>
      <c r="AG4592">
        <v>-1.1090434927599999</v>
      </c>
      <c r="AH4592">
        <v>21.701384817473699</v>
      </c>
      <c r="AI4592">
        <v>92.793382596655405</v>
      </c>
      <c r="AJ4592">
        <v>72.698461448378694</v>
      </c>
      <c r="AK4592">
        <v>22.756886766216699</v>
      </c>
      <c r="AL4592">
        <v>95.651082087082798</v>
      </c>
      <c r="AM4592">
        <v>90.267432871577796</v>
      </c>
      <c r="AN4592">
        <v>1.0000000360205701</v>
      </c>
    </row>
    <row r="4593" spans="1:40" x14ac:dyDescent="0.25">
      <c r="A4593" t="str">
        <f>"20190305135023499"</f>
        <v>20190305135023499</v>
      </c>
      <c r="B4593" t="str">
        <f>"1551765023495271"</f>
        <v>1551765023495271</v>
      </c>
      <c r="C4593" t="s">
        <v>40</v>
      </c>
      <c r="D4593">
        <v>4.1378360000000001</v>
      </c>
      <c r="E4593">
        <v>0.62009859999999895</v>
      </c>
      <c r="F4593" t="s">
        <v>94</v>
      </c>
      <c r="G4593">
        <v>-198.2569</v>
      </c>
      <c r="H4593" s="1">
        <v>-1.352362E-5</v>
      </c>
      <c r="I4593">
        <v>154.4376</v>
      </c>
      <c r="J4593">
        <v>-191.76900000000001</v>
      </c>
      <c r="K4593">
        <v>1.1090169999999999</v>
      </c>
      <c r="L4593">
        <v>175.99019999999999</v>
      </c>
      <c r="M4593">
        <v>1.078951E-2</v>
      </c>
      <c r="N4593">
        <v>-9.5895100000000007E-3</v>
      </c>
      <c r="O4593">
        <v>-0.99989609999999995</v>
      </c>
      <c r="P4593">
        <v>1.4885260000000001E-2</v>
      </c>
      <c r="Q4593">
        <v>-0.108110999999999</v>
      </c>
      <c r="R4593">
        <v>-0.99402780000000002</v>
      </c>
      <c r="S4593">
        <v>-0.90191650000000001</v>
      </c>
      <c r="T4593">
        <v>-0.154199799999999</v>
      </c>
      <c r="U4593">
        <v>-3.0155029999999998</v>
      </c>
      <c r="V4593">
        <v>-4.2282170000000003E-3</v>
      </c>
      <c r="W4593">
        <v>-9.8569799999999999E-2</v>
      </c>
      <c r="X4593">
        <v>0.99512120000000004</v>
      </c>
      <c r="Y4593">
        <v>0.29656890000000002</v>
      </c>
      <c r="Z4593">
        <v>3.925464E-2</v>
      </c>
      <c r="AA4593">
        <v>0.95420439999999995</v>
      </c>
      <c r="AB4593">
        <v>19</v>
      </c>
      <c r="AC4593">
        <v>-6.48789999999999</v>
      </c>
      <c r="AD4593">
        <v>-1.10903052362</v>
      </c>
      <c r="AE4593">
        <v>-21.552599999999899</v>
      </c>
      <c r="AF4593">
        <v>6.70379935346224</v>
      </c>
      <c r="AG4593">
        <v>-1.10903052362</v>
      </c>
      <c r="AH4593">
        <v>21.429314486095102</v>
      </c>
      <c r="AI4593">
        <v>92.827682681725193</v>
      </c>
      <c r="AJ4593">
        <v>72.628588613261797</v>
      </c>
      <c r="AK4593">
        <v>22.480800559983699</v>
      </c>
      <c r="AL4593">
        <v>95.656818908201799</v>
      </c>
      <c r="AM4593">
        <v>90.243445251797596</v>
      </c>
      <c r="AN4593">
        <v>1.00000004299023</v>
      </c>
    </row>
    <row r="4594" spans="1:40" x14ac:dyDescent="0.25">
      <c r="A4594" t="str">
        <f>"20190305135023513"</f>
        <v>20190305135023513</v>
      </c>
      <c r="B4594" t="str">
        <f>"1551765023505031"</f>
        <v>1551765023505031</v>
      </c>
      <c r="C4594" t="s">
        <v>40</v>
      </c>
      <c r="D4594">
        <v>4.1524919999999996</v>
      </c>
      <c r="E4594">
        <v>0.62015330000000002</v>
      </c>
      <c r="F4594" t="s">
        <v>94</v>
      </c>
      <c r="G4594">
        <v>-198.30420000000001</v>
      </c>
      <c r="H4594" s="1">
        <v>-1.3473529999999899E-5</v>
      </c>
      <c r="I4594">
        <v>154.22190000000001</v>
      </c>
      <c r="J4594">
        <v>-191.768</v>
      </c>
      <c r="K4594">
        <v>1.1090120000000001</v>
      </c>
      <c r="L4594">
        <v>175.86070000000001</v>
      </c>
      <c r="M4594">
        <v>1.0431620000000001E-2</v>
      </c>
      <c r="N4594">
        <v>-9.5300880000000008E-3</v>
      </c>
      <c r="O4594">
        <v>-0.99990040000000002</v>
      </c>
      <c r="P4594">
        <v>1.4015059999999999E-2</v>
      </c>
      <c r="Q4594">
        <v>-0.10792789999999999</v>
      </c>
      <c r="R4594">
        <v>-0.99406030000000001</v>
      </c>
      <c r="S4594">
        <v>-0.90510559999999995</v>
      </c>
      <c r="T4594">
        <v>-0.15359879999999901</v>
      </c>
      <c r="U4594">
        <v>-3.0148769999999998</v>
      </c>
      <c r="V4594">
        <v>-3.713418E-3</v>
      </c>
      <c r="W4594">
        <v>-9.8445989999999997E-2</v>
      </c>
      <c r="X4594">
        <v>0.99513549999999995</v>
      </c>
      <c r="Y4594">
        <v>0.29720980000000002</v>
      </c>
      <c r="Z4594">
        <v>3.912231E-2</v>
      </c>
      <c r="AA4594">
        <v>0.95401040000000004</v>
      </c>
      <c r="AB4594">
        <v>19</v>
      </c>
      <c r="AC4594">
        <v>-6.5362</v>
      </c>
      <c r="AD4594">
        <v>-1.10902547352999</v>
      </c>
      <c r="AE4594">
        <v>-21.6388</v>
      </c>
      <c r="AF4594">
        <v>6.7453454574362697</v>
      </c>
      <c r="AG4594">
        <v>-1.10902547352999</v>
      </c>
      <c r="AH4594">
        <v>21.517640877047999</v>
      </c>
      <c r="AI4594">
        <v>92.815562965437707</v>
      </c>
      <c r="AJ4594">
        <v>72.594846485163799</v>
      </c>
      <c r="AK4594">
        <v>22.577388949006099</v>
      </c>
      <c r="AL4594">
        <v>95.649690504376395</v>
      </c>
      <c r="AM4594">
        <v>90.213802232386996</v>
      </c>
      <c r="AN4594">
        <v>1.0000000328902801</v>
      </c>
    </row>
    <row r="4595" spans="1:40" x14ac:dyDescent="0.25">
      <c r="A4595" t="str">
        <f>"20190305135023526"</f>
        <v>20190305135023526</v>
      </c>
      <c r="B4595" t="str">
        <f>"1551765023514792"</f>
        <v>1551765023514792</v>
      </c>
      <c r="C4595" t="s">
        <v>40</v>
      </c>
      <c r="D4595">
        <v>4.1621540000000001</v>
      </c>
      <c r="E4595">
        <v>0.62019230000000003</v>
      </c>
      <c r="F4595" t="s">
        <v>94</v>
      </c>
      <c r="G4595">
        <v>-198.37450000000001</v>
      </c>
      <c r="H4595" s="1">
        <v>-1.340622E-5</v>
      </c>
      <c r="I4595">
        <v>153.92959999999999</v>
      </c>
      <c r="J4595">
        <v>-191.7672</v>
      </c>
      <c r="K4595">
        <v>1.1090100000000001</v>
      </c>
      <c r="L4595">
        <v>175.7482</v>
      </c>
      <c r="M4595">
        <v>1.012061E-2</v>
      </c>
      <c r="N4595">
        <v>-9.4772729999999996E-3</v>
      </c>
      <c r="O4595">
        <v>-0.99990400000000002</v>
      </c>
      <c r="P4595">
        <v>1.2959750000000001E-2</v>
      </c>
      <c r="Q4595">
        <v>-0.1077374</v>
      </c>
      <c r="R4595">
        <v>-0.99409530000000002</v>
      </c>
      <c r="S4595">
        <v>-0.9079895</v>
      </c>
      <c r="T4595">
        <v>-0.15242329999999901</v>
      </c>
      <c r="U4595">
        <v>-3.0141909999999998</v>
      </c>
      <c r="V4595">
        <v>-2.967042E-3</v>
      </c>
      <c r="W4595">
        <v>-9.8308350000000003E-2</v>
      </c>
      <c r="X4595">
        <v>0.99515160000000003</v>
      </c>
      <c r="Y4595">
        <v>0.29781410000000003</v>
      </c>
      <c r="Z4595">
        <v>3.8803509999999999E-2</v>
      </c>
      <c r="AA4595">
        <v>0.95383490000000004</v>
      </c>
      <c r="AB4595">
        <v>19</v>
      </c>
      <c r="AC4595">
        <v>-6.6073000000000004</v>
      </c>
      <c r="AD4595">
        <v>-1.10902340622</v>
      </c>
      <c r="AE4595">
        <v>-21.8186</v>
      </c>
      <c r="AF4595">
        <v>6.8116686112654596</v>
      </c>
      <c r="AG4595">
        <v>-1.10902340622</v>
      </c>
      <c r="AH4595">
        <v>21.6992564135682</v>
      </c>
      <c r="AI4595">
        <v>92.791685391626103</v>
      </c>
      <c r="AJ4595">
        <v>72.572273076547702</v>
      </c>
      <c r="AK4595">
        <v>22.770298440886201</v>
      </c>
      <c r="AL4595">
        <v>95.641765940043598</v>
      </c>
      <c r="AM4595">
        <v>90.170826716768701</v>
      </c>
      <c r="AN4595">
        <v>1.00000002100025</v>
      </c>
    </row>
    <row r="4596" spans="1:40" x14ac:dyDescent="0.25">
      <c r="A4596" t="str">
        <f>"20190305135023539"</f>
        <v>20190305135023539</v>
      </c>
      <c r="B4596" t="str">
        <f>"1551765023535288"</f>
        <v>1551765023535288</v>
      </c>
      <c r="C4596" t="s">
        <v>40</v>
      </c>
      <c r="D4596">
        <v>4.1513609999999996</v>
      </c>
      <c r="E4596">
        <v>0.62029080000000003</v>
      </c>
      <c r="F4596" t="s">
        <v>94</v>
      </c>
      <c r="G4596">
        <v>-198.4442</v>
      </c>
      <c r="H4596" s="1">
        <v>-1.3347799999999999E-5</v>
      </c>
      <c r="I4596">
        <v>153.6728</v>
      </c>
      <c r="J4596">
        <v>-191.76650000000001</v>
      </c>
      <c r="K4596">
        <v>1.109005</v>
      </c>
      <c r="L4596">
        <v>175.6448</v>
      </c>
      <c r="M4596">
        <v>9.8348280000000003E-3</v>
      </c>
      <c r="N4596">
        <v>-9.4291429999999992E-3</v>
      </c>
      <c r="O4596">
        <v>-0.99990730000000005</v>
      </c>
      <c r="P4596">
        <v>1.240134E-2</v>
      </c>
      <c r="Q4596">
        <v>-0.1072969</v>
      </c>
      <c r="R4596">
        <v>-0.99415010000000004</v>
      </c>
      <c r="S4596">
        <v>-0.91140750000000004</v>
      </c>
      <c r="T4596">
        <v>-0.15138190000000001</v>
      </c>
      <c r="U4596">
        <v>-3.01329</v>
      </c>
      <c r="V4596">
        <v>-2.69287E-3</v>
      </c>
      <c r="W4596">
        <v>-9.7915580000000002E-2</v>
      </c>
      <c r="X4596">
        <v>0.9951911</v>
      </c>
      <c r="Y4596">
        <v>0.29861529999999997</v>
      </c>
      <c r="Z4596">
        <v>3.8522849999999997E-2</v>
      </c>
      <c r="AA4596">
        <v>0.95359579999999999</v>
      </c>
      <c r="AB4596">
        <v>19</v>
      </c>
      <c r="AC4596">
        <v>-6.6776999999999802</v>
      </c>
      <c r="AD4596">
        <v>-1.1090183478</v>
      </c>
      <c r="AE4596">
        <v>-21.972000000000001</v>
      </c>
      <c r="AF4596">
        <v>6.8774377268206797</v>
      </c>
      <c r="AG4596">
        <v>-1.1090183478</v>
      </c>
      <c r="AH4596">
        <v>21.854291269268401</v>
      </c>
      <c r="AI4596">
        <v>92.771280055916193</v>
      </c>
      <c r="AJ4596">
        <v>72.531468160029505</v>
      </c>
      <c r="AK4596">
        <v>22.937722604131299</v>
      </c>
      <c r="AL4596">
        <v>95.619152788823101</v>
      </c>
      <c r="AM4596">
        <v>90.155035258272207</v>
      </c>
      <c r="AN4596">
        <v>1.0000000189373901</v>
      </c>
    </row>
    <row r="4597" spans="1:40" x14ac:dyDescent="0.25">
      <c r="A4597" t="str">
        <f>"20190305135023551"</f>
        <v>20190305135023551</v>
      </c>
      <c r="B4597" t="str">
        <f>"1551765023545049"</f>
        <v>1551765023545049</v>
      </c>
      <c r="C4597" t="s">
        <v>40</v>
      </c>
      <c r="D4597">
        <v>4.0884369999999999</v>
      </c>
      <c r="E4597">
        <v>0.62034540000000005</v>
      </c>
      <c r="F4597" t="s">
        <v>94</v>
      </c>
      <c r="G4597">
        <v>-198.54329999999999</v>
      </c>
      <c r="H4597" s="1">
        <v>-1.3263010000000001E-5</v>
      </c>
      <c r="I4597">
        <v>153.30090000000001</v>
      </c>
      <c r="J4597">
        <v>-191.76580000000001</v>
      </c>
      <c r="K4597">
        <v>1.1089990000000001</v>
      </c>
      <c r="L4597">
        <v>175.53720000000001</v>
      </c>
      <c r="M4597">
        <v>9.5373369999999999E-3</v>
      </c>
      <c r="N4597">
        <v>-9.3792700000000003E-3</v>
      </c>
      <c r="O4597">
        <v>-0.99991039999999998</v>
      </c>
      <c r="P4597">
        <v>1.182857E-2</v>
      </c>
      <c r="Q4597">
        <v>-0.10704619999999999</v>
      </c>
      <c r="R4597">
        <v>-0.9941835</v>
      </c>
      <c r="S4597">
        <v>-0.91380309999999998</v>
      </c>
      <c r="T4597">
        <v>-0.14954300000000001</v>
      </c>
      <c r="U4597">
        <v>-3.0129090000000001</v>
      </c>
      <c r="V4597">
        <v>-2.4153099999999999E-3</v>
      </c>
      <c r="W4597">
        <v>-9.7714419999999996E-2</v>
      </c>
      <c r="X4597">
        <v>0.99521150000000003</v>
      </c>
      <c r="Y4597">
        <v>0.29906650000000001</v>
      </c>
      <c r="Z4597">
        <v>3.7988939999999999E-2</v>
      </c>
      <c r="AA4597">
        <v>0.95347579999999998</v>
      </c>
      <c r="AB4597">
        <v>19</v>
      </c>
      <c r="AC4597">
        <v>-6.7774999999999697</v>
      </c>
      <c r="AD4597">
        <v>-1.1090122630099899</v>
      </c>
      <c r="AE4597">
        <v>-22.2363</v>
      </c>
      <c r="AF4597">
        <v>6.9734048747961701</v>
      </c>
      <c r="AG4597">
        <v>-1.1090122630099899</v>
      </c>
      <c r="AH4597">
        <v>22.120301180139599</v>
      </c>
      <c r="AI4597">
        <v>92.737555803718195</v>
      </c>
      <c r="AJ4597">
        <v>72.502589952554601</v>
      </c>
      <c r="AK4597">
        <v>23.219948493642701</v>
      </c>
      <c r="AL4597">
        <v>95.607572102371293</v>
      </c>
      <c r="AM4597">
        <v>90.139052651136893</v>
      </c>
      <c r="AN4597">
        <v>0.999999935665289</v>
      </c>
    </row>
    <row r="4598" spans="1:40" x14ac:dyDescent="0.25">
      <c r="A4598" t="str">
        <f>"20190305135023563"</f>
        <v>20190305135023563</v>
      </c>
      <c r="B4598" t="str">
        <f>"1551765023554808"</f>
        <v>1551765023554808</v>
      </c>
      <c r="C4598" t="s">
        <v>40</v>
      </c>
      <c r="D4598">
        <v>4.0978250000000003</v>
      </c>
      <c r="E4598">
        <v>0.62034909999999999</v>
      </c>
      <c r="F4598" t="s">
        <v>94</v>
      </c>
      <c r="G4598">
        <v>-198.6224</v>
      </c>
      <c r="H4598" s="1">
        <v>-1.3191429999999899E-5</v>
      </c>
      <c r="I4598">
        <v>152.98859999999999</v>
      </c>
      <c r="J4598">
        <v>-191.76509999999999</v>
      </c>
      <c r="K4598">
        <v>1.108994</v>
      </c>
      <c r="L4598">
        <v>175.42760000000001</v>
      </c>
      <c r="M4598">
        <v>9.2339510000000007E-3</v>
      </c>
      <c r="N4598">
        <v>-9.3291320000000004E-3</v>
      </c>
      <c r="O4598">
        <v>-0.99991399999999997</v>
      </c>
      <c r="P4598">
        <v>1.132682E-2</v>
      </c>
      <c r="Q4598">
        <v>-0.1065923</v>
      </c>
      <c r="R4598">
        <v>-0.99423859999999997</v>
      </c>
      <c r="S4598">
        <v>-0.91604609999999997</v>
      </c>
      <c r="T4598">
        <v>-0.14816470000000001</v>
      </c>
      <c r="U4598">
        <v>-3.0125120000000001</v>
      </c>
      <c r="V4598">
        <v>-2.2146610000000001E-3</v>
      </c>
      <c r="W4598">
        <v>-9.731012E-2</v>
      </c>
      <c r="X4598">
        <v>0.99525169999999996</v>
      </c>
      <c r="Y4598">
        <v>0.29946699999999998</v>
      </c>
      <c r="Z4598">
        <v>3.7601839999999997E-2</v>
      </c>
      <c r="AA4598">
        <v>0.95336540000000003</v>
      </c>
      <c r="AB4598">
        <v>19</v>
      </c>
      <c r="AC4598">
        <v>-6.8573000000000004</v>
      </c>
      <c r="AD4598">
        <v>-1.1090071914299999</v>
      </c>
      <c r="AE4598">
        <v>-22.439</v>
      </c>
      <c r="AF4598">
        <v>7.0484708210099702</v>
      </c>
      <c r="AG4598">
        <v>-1.1090071914299999</v>
      </c>
      <c r="AH4598">
        <v>22.324846423355201</v>
      </c>
      <c r="AI4598">
        <v>92.712130573582002</v>
      </c>
      <c r="AJ4598">
        <v>72.477887203891598</v>
      </c>
      <c r="AK4598">
        <v>23.437354920973199</v>
      </c>
      <c r="AL4598">
        <v>95.584295822998996</v>
      </c>
      <c r="AM4598">
        <v>90.127495907732595</v>
      </c>
      <c r="AN4598">
        <v>1.0000000552653201</v>
      </c>
    </row>
    <row r="4599" spans="1:40" x14ac:dyDescent="0.25">
      <c r="A4599" t="str">
        <f>"20190305135023574"</f>
        <v>20190305135023574</v>
      </c>
      <c r="B4599" t="str">
        <f>"1551765023564568"</f>
        <v>1551765023564568</v>
      </c>
      <c r="C4599" t="s">
        <v>40</v>
      </c>
      <c r="D4599">
        <v>4.1106099999999897</v>
      </c>
      <c r="E4599">
        <v>0.6204056</v>
      </c>
      <c r="F4599" t="s">
        <v>94</v>
      </c>
      <c r="G4599">
        <v>-198.702</v>
      </c>
      <c r="H4599" s="1">
        <v>-1.3115249999999999E-5</v>
      </c>
      <c r="I4599">
        <v>152.65770000000001</v>
      </c>
      <c r="J4599">
        <v>-191.7645</v>
      </c>
      <c r="K4599">
        <v>1.1089869999999999</v>
      </c>
      <c r="L4599">
        <v>175.3338</v>
      </c>
      <c r="M4599">
        <v>8.9745840000000007E-3</v>
      </c>
      <c r="N4599">
        <v>-9.2869730000000004E-3</v>
      </c>
      <c r="O4599">
        <v>-0.99991660000000004</v>
      </c>
      <c r="P4599">
        <v>1.1067530000000001E-2</v>
      </c>
      <c r="Q4599">
        <v>-0.1067212</v>
      </c>
      <c r="R4599">
        <v>-0.99422730000000004</v>
      </c>
      <c r="S4599">
        <v>-0.91764829999999997</v>
      </c>
      <c r="T4599">
        <v>-0.14670469999999999</v>
      </c>
      <c r="U4599">
        <v>-3.0121000000000002</v>
      </c>
      <c r="V4599">
        <v>-2.213675E-3</v>
      </c>
      <c r="W4599">
        <v>-9.7481170000000006E-2</v>
      </c>
      <c r="X4599">
        <v>0.99523490000000003</v>
      </c>
      <c r="Y4599">
        <v>0.29972539999999998</v>
      </c>
      <c r="Z4599">
        <v>3.7183500000000001E-2</v>
      </c>
      <c r="AA4599">
        <v>0.95330060000000005</v>
      </c>
      <c r="AB4599">
        <v>19</v>
      </c>
      <c r="AC4599">
        <v>-6.9375</v>
      </c>
      <c r="AD4599">
        <v>-1.10900011525</v>
      </c>
      <c r="AE4599">
        <v>-22.676099999999899</v>
      </c>
      <c r="AF4599">
        <v>7.1251545062992996</v>
      </c>
      <c r="AG4599">
        <v>-1.10900011525</v>
      </c>
      <c r="AH4599">
        <v>22.563574059971</v>
      </c>
      <c r="AI4599">
        <v>92.683415968796695</v>
      </c>
      <c r="AJ4599">
        <v>72.474858038907001</v>
      </c>
      <c r="AK4599">
        <v>23.687815060787202</v>
      </c>
      <c r="AL4599">
        <v>95.594143434080294</v>
      </c>
      <c r="AM4599">
        <v>90.127441296067801</v>
      </c>
      <c r="AN4599">
        <v>0.99999999251979199</v>
      </c>
    </row>
    <row r="4600" spans="1:40" x14ac:dyDescent="0.25">
      <c r="A4600" t="str">
        <f>"20190305135023585"</f>
        <v>20190305135023585</v>
      </c>
      <c r="B4600" t="str">
        <f>"1551765023575304"</f>
        <v>1551765023575304</v>
      </c>
      <c r="C4600" t="s">
        <v>40</v>
      </c>
      <c r="D4600">
        <v>4.1185219999999996</v>
      </c>
      <c r="E4600">
        <v>0.62044449999999995</v>
      </c>
      <c r="F4600" t="s">
        <v>94</v>
      </c>
      <c r="G4600">
        <v>-198.6994</v>
      </c>
      <c r="H4600" s="1">
        <v>-1.310107E-5</v>
      </c>
      <c r="I4600">
        <v>152.60230000000001</v>
      </c>
      <c r="J4600">
        <v>-191.76390000000001</v>
      </c>
      <c r="K4600">
        <v>1.108981</v>
      </c>
      <c r="L4600">
        <v>175.2373</v>
      </c>
      <c r="M4600">
        <v>8.70797699999999E-3</v>
      </c>
      <c r="N4600">
        <v>-9.2445099999999992E-3</v>
      </c>
      <c r="O4600">
        <v>-0.99991949999999996</v>
      </c>
      <c r="P4600">
        <v>1.0808989999999999E-2</v>
      </c>
      <c r="Q4600">
        <v>-0.1068566</v>
      </c>
      <c r="R4600">
        <v>-0.99421590000000004</v>
      </c>
      <c r="S4600">
        <v>-0.91886900000000005</v>
      </c>
      <c r="T4600">
        <v>-0.14694070000000001</v>
      </c>
      <c r="U4600">
        <v>-3.0118870000000002</v>
      </c>
      <c r="V4600">
        <v>-2.220755E-3</v>
      </c>
      <c r="W4600">
        <v>-9.765894E-2</v>
      </c>
      <c r="X4600">
        <v>0.99521740000000003</v>
      </c>
      <c r="Y4600">
        <v>0.29984250000000001</v>
      </c>
      <c r="Z4600">
        <v>3.7300739999999999E-2</v>
      </c>
      <c r="AA4600">
        <v>0.95325919999999997</v>
      </c>
      <c r="AB4600">
        <v>19</v>
      </c>
      <c r="AC4600">
        <v>-6.9354999999999896</v>
      </c>
      <c r="AD4600">
        <v>-1.10899410107</v>
      </c>
      <c r="AE4600">
        <v>-22.634999999999899</v>
      </c>
      <c r="AF4600">
        <v>7.1167331458148197</v>
      </c>
      <c r="AG4600">
        <v>-1.10899410107</v>
      </c>
      <c r="AH4600">
        <v>22.524316455314501</v>
      </c>
      <c r="AI4600">
        <v>92.687935420529698</v>
      </c>
      <c r="AJ4600">
        <v>72.465662975175803</v>
      </c>
      <c r="AK4600">
        <v>23.647887651206801</v>
      </c>
      <c r="AL4600">
        <v>95.604378049575203</v>
      </c>
      <c r="AM4600">
        <v>90.1278511385011</v>
      </c>
      <c r="AN4600">
        <v>0.99999993678872401</v>
      </c>
    </row>
    <row r="4601" spans="1:40" x14ac:dyDescent="0.25">
      <c r="A4601" t="str">
        <f>"20190305135023596"</f>
        <v>20190305135023596</v>
      </c>
      <c r="B4601" t="str">
        <f>"1551765023585064"</f>
        <v>1551765023585064</v>
      </c>
      <c r="C4601" t="s">
        <v>40</v>
      </c>
      <c r="D4601">
        <v>4.1300919999999897</v>
      </c>
      <c r="E4601">
        <v>0.62048110000000001</v>
      </c>
      <c r="F4601" t="s">
        <v>94</v>
      </c>
      <c r="G4601">
        <v>-198.7003</v>
      </c>
      <c r="H4601" s="1">
        <v>-1.3082579999999999E-5</v>
      </c>
      <c r="I4601">
        <v>152.52850000000001</v>
      </c>
      <c r="J4601">
        <v>-191.76339999999999</v>
      </c>
      <c r="K4601">
        <v>1.1089739999999999</v>
      </c>
      <c r="L4601">
        <v>175.14340000000001</v>
      </c>
      <c r="M4601">
        <v>8.4484179999999992E-3</v>
      </c>
      <c r="N4601">
        <v>-9.2050910000000003E-3</v>
      </c>
      <c r="O4601">
        <v>-0.99992210000000004</v>
      </c>
      <c r="P4601">
        <v>1.044103E-2</v>
      </c>
      <c r="Q4601">
        <v>-0.10679139999999999</v>
      </c>
      <c r="R4601">
        <v>-0.99422690000000002</v>
      </c>
      <c r="S4601">
        <v>-0.91990660000000002</v>
      </c>
      <c r="T4601">
        <v>-0.14707529999999999</v>
      </c>
      <c r="U4601">
        <v>-3.0116580000000002</v>
      </c>
      <c r="V4601">
        <v>-2.1106639999999999E-3</v>
      </c>
      <c r="W4601">
        <v>-9.7632979999999994E-2</v>
      </c>
      <c r="X4601">
        <v>0.9952202</v>
      </c>
      <c r="Y4601">
        <v>0.29991489999999998</v>
      </c>
      <c r="Z4601">
        <v>3.738379E-2</v>
      </c>
      <c r="AA4601">
        <v>0.9532332</v>
      </c>
      <c r="AB4601">
        <v>19</v>
      </c>
      <c r="AC4601">
        <v>-6.9368999999999996</v>
      </c>
      <c r="AD4601">
        <v>-1.1089870825799999</v>
      </c>
      <c r="AE4601">
        <v>-22.614899999999999</v>
      </c>
      <c r="AF4601">
        <v>7.1120888429995004</v>
      </c>
      <c r="AG4601">
        <v>-1.1089870825799999</v>
      </c>
      <c r="AH4601">
        <v>22.506018236041701</v>
      </c>
      <c r="AI4601">
        <v>92.690061609154796</v>
      </c>
      <c r="AJ4601">
        <v>72.463030800445793</v>
      </c>
      <c r="AK4601">
        <v>23.629060855249602</v>
      </c>
      <c r="AL4601">
        <v>95.602883434207698</v>
      </c>
      <c r="AM4601">
        <v>90.121512764573396</v>
      </c>
      <c r="AN4601">
        <v>0.99999995008711895</v>
      </c>
    </row>
    <row r="4602" spans="1:40" x14ac:dyDescent="0.25">
      <c r="A4602" t="str">
        <f>"20190305135023608"</f>
        <v>20190305135023608</v>
      </c>
      <c r="B4602" t="str">
        <f>"1551765023604586"</f>
        <v>1551765023604586</v>
      </c>
      <c r="C4602" t="s">
        <v>40</v>
      </c>
      <c r="D4602">
        <v>4.1273330000000001</v>
      </c>
      <c r="E4602">
        <v>0.62058939999999996</v>
      </c>
      <c r="F4602" t="s">
        <v>94</v>
      </c>
      <c r="G4602">
        <v>-198.70320000000001</v>
      </c>
      <c r="H4602" s="1">
        <v>-1.3066619999999999E-5</v>
      </c>
      <c r="I4602">
        <v>152.4641</v>
      </c>
      <c r="J4602">
        <v>-191.7628</v>
      </c>
      <c r="K4602">
        <v>1.108968</v>
      </c>
      <c r="L4602">
        <v>175.041</v>
      </c>
      <c r="M4602">
        <v>8.16536E-3</v>
      </c>
      <c r="N4602">
        <v>-9.1633640000000002E-3</v>
      </c>
      <c r="O4602">
        <v>-0.99992499999999995</v>
      </c>
      <c r="P4602">
        <v>1.0055440000000001E-2</v>
      </c>
      <c r="Q4602">
        <v>-0.1067873</v>
      </c>
      <c r="R4602">
        <v>-0.99423139999999999</v>
      </c>
      <c r="S4602">
        <v>-0.92143249999999999</v>
      </c>
      <c r="T4602">
        <v>-0.14724519999999999</v>
      </c>
      <c r="U4602">
        <v>-3.0112459999999999</v>
      </c>
      <c r="V4602">
        <v>-2.0067280000000002E-3</v>
      </c>
      <c r="W4602">
        <v>-9.7670439999999997E-2</v>
      </c>
      <c r="X4602">
        <v>0.99521680000000001</v>
      </c>
      <c r="Y4602">
        <v>0.30012230000000001</v>
      </c>
      <c r="Z4602">
        <v>3.7480949999999999E-2</v>
      </c>
      <c r="AA4602">
        <v>0.95316409999999996</v>
      </c>
      <c r="AB4602">
        <v>19</v>
      </c>
      <c r="AC4602">
        <v>-6.9404000000000101</v>
      </c>
      <c r="AD4602">
        <v>-1.10898106662</v>
      </c>
      <c r="AE4602">
        <v>-22.576899999999899</v>
      </c>
      <c r="AF4602">
        <v>7.1088535881911303</v>
      </c>
      <c r="AG4602">
        <v>-1.10898106662</v>
      </c>
      <c r="AH4602">
        <v>22.469939875053701</v>
      </c>
      <c r="AI4602">
        <v>92.694078861102696</v>
      </c>
      <c r="AJ4602">
        <v>72.444101412176096</v>
      </c>
      <c r="AK4602">
        <v>23.593724511678602</v>
      </c>
      <c r="AL4602">
        <v>95.605039702230897</v>
      </c>
      <c r="AM4602">
        <v>90.115529489864002</v>
      </c>
      <c r="AN4602">
        <v>1.00000001040464</v>
      </c>
    </row>
    <row r="4603" spans="1:40" x14ac:dyDescent="0.25">
      <c r="A4603" t="str">
        <f>"20190305135023619"</f>
        <v>20190305135023619</v>
      </c>
      <c r="B4603" t="str">
        <f>"1551765023614343"</f>
        <v>1551765023614343</v>
      </c>
      <c r="C4603" t="s">
        <v>40</v>
      </c>
      <c r="D4603">
        <v>4.1304970000000001</v>
      </c>
      <c r="E4603">
        <v>0.62064680000000005</v>
      </c>
      <c r="F4603" t="s">
        <v>94</v>
      </c>
      <c r="G4603">
        <v>-198.7141</v>
      </c>
      <c r="H4603" s="1">
        <v>-1.30445899999999E-5</v>
      </c>
      <c r="I4603">
        <v>152.37260000000001</v>
      </c>
      <c r="J4603">
        <v>-191.76240000000001</v>
      </c>
      <c r="K4603">
        <v>1.1089629999999999</v>
      </c>
      <c r="L4603">
        <v>174.9485</v>
      </c>
      <c r="M4603">
        <v>7.9096289999999996E-3</v>
      </c>
      <c r="N4603">
        <v>-9.1287060000000003E-3</v>
      </c>
      <c r="O4603">
        <v>-0.99992729999999996</v>
      </c>
      <c r="P4603">
        <v>9.6175749999999997E-3</v>
      </c>
      <c r="Q4603">
        <v>-0.1066807</v>
      </c>
      <c r="R4603">
        <v>-0.99424729999999995</v>
      </c>
      <c r="S4603">
        <v>-0.92329410000000001</v>
      </c>
      <c r="T4603">
        <v>-0.14730009999999999</v>
      </c>
      <c r="U4603">
        <v>-3.0109249999999999</v>
      </c>
      <c r="V4603">
        <v>-1.8235619999999999E-3</v>
      </c>
      <c r="W4603">
        <v>-9.7598340000000006E-2</v>
      </c>
      <c r="X4603">
        <v>0.9952242</v>
      </c>
      <c r="Y4603">
        <v>0.30044510000000002</v>
      </c>
      <c r="Z4603">
        <v>3.7531670000000003E-2</v>
      </c>
      <c r="AA4603">
        <v>0.95306040000000003</v>
      </c>
      <c r="AB4603">
        <v>19</v>
      </c>
      <c r="AC4603">
        <v>-6.9516999999999802</v>
      </c>
      <c r="AD4603">
        <v>-1.1089760445900001</v>
      </c>
      <c r="AE4603">
        <v>-22.575899999999901</v>
      </c>
      <c r="AF4603">
        <v>7.1143768040025099</v>
      </c>
      <c r="AG4603">
        <v>-1.1089760445900001</v>
      </c>
      <c r="AH4603">
        <v>22.470680640730698</v>
      </c>
      <c r="AI4603">
        <v>92.693795865601601</v>
      </c>
      <c r="AJ4603">
        <v>72.431843674802096</v>
      </c>
      <c r="AK4603">
        <v>23.5960944572298</v>
      </c>
      <c r="AL4603">
        <v>95.600888989054297</v>
      </c>
      <c r="AM4603">
        <v>90.104983670364902</v>
      </c>
      <c r="AN4603">
        <v>0.99999998480738095</v>
      </c>
    </row>
    <row r="4604" spans="1:40" x14ac:dyDescent="0.25">
      <c r="A4604" t="str">
        <f>"20190305135023630"</f>
        <v>20190305135023630</v>
      </c>
      <c r="B4604" t="str">
        <f>"1551765023625080"</f>
        <v>1551765023625080</v>
      </c>
      <c r="C4604" t="s">
        <v>40</v>
      </c>
      <c r="D4604">
        <v>4.1294599999999999</v>
      </c>
      <c r="E4604">
        <v>0.62066109999999997</v>
      </c>
      <c r="F4604" t="s">
        <v>94</v>
      </c>
      <c r="G4604">
        <v>-198.74950000000001</v>
      </c>
      <c r="H4604" s="1">
        <v>-1.3008860000000001E-5</v>
      </c>
      <c r="I4604">
        <v>152.21809999999999</v>
      </c>
      <c r="J4604">
        <v>-191.7619</v>
      </c>
      <c r="K4604">
        <v>1.1089580000000001</v>
      </c>
      <c r="L4604">
        <v>174.84209999999999</v>
      </c>
      <c r="M4604">
        <v>7.6155969999999896E-3</v>
      </c>
      <c r="N4604">
        <v>-9.0898400000000001E-3</v>
      </c>
      <c r="O4604">
        <v>-0.99992999999999999</v>
      </c>
      <c r="P4604">
        <v>9.3225200000000008E-3</v>
      </c>
      <c r="Q4604">
        <v>-0.10661909999999999</v>
      </c>
      <c r="R4604">
        <v>-0.99425629999999998</v>
      </c>
      <c r="S4604">
        <v>-0.92541499999999999</v>
      </c>
      <c r="T4604">
        <v>-0.14688010000000001</v>
      </c>
      <c r="U4604">
        <v>-3.0105590000000002</v>
      </c>
      <c r="V4604">
        <v>-1.820718E-3</v>
      </c>
      <c r="W4604">
        <v>-9.7575419999999996E-2</v>
      </c>
      <c r="X4604">
        <v>0.99522639999999996</v>
      </c>
      <c r="Y4604">
        <v>0.30081219999999997</v>
      </c>
      <c r="Z4604">
        <v>3.7436249999999997E-2</v>
      </c>
      <c r="AA4604">
        <v>0.95294829999999997</v>
      </c>
      <c r="AB4604">
        <v>20</v>
      </c>
      <c r="AC4604">
        <v>-6.9876000000000102</v>
      </c>
      <c r="AD4604">
        <v>-1.10897100886</v>
      </c>
      <c r="AE4604">
        <v>-22.623999999999899</v>
      </c>
      <c r="AF4604">
        <v>7.1440294705487704</v>
      </c>
      <c r="AG4604">
        <v>-1.10897100886</v>
      </c>
      <c r="AH4604">
        <v>22.5207284158239</v>
      </c>
      <c r="AI4604">
        <v>92.687332219914893</v>
      </c>
      <c r="AJ4604">
        <v>72.399922323259403</v>
      </c>
      <c r="AK4604">
        <v>23.652699257248798</v>
      </c>
      <c r="AL4604">
        <v>95.599569765954797</v>
      </c>
      <c r="AM4604">
        <v>90.104819708060106</v>
      </c>
      <c r="AN4604">
        <v>0.99999993242958296</v>
      </c>
    </row>
    <row r="4605" spans="1:40" x14ac:dyDescent="0.25">
      <c r="A4605" t="str">
        <f>"20190305135023642"</f>
        <v>20190305135023642</v>
      </c>
      <c r="B4605" t="str">
        <f>"1551765023634841"</f>
        <v>1551765023634841</v>
      </c>
      <c r="C4605" t="s">
        <v>40</v>
      </c>
      <c r="D4605">
        <v>4.3235130000000002</v>
      </c>
      <c r="E4605">
        <v>0.62066109999999997</v>
      </c>
      <c r="F4605" t="s">
        <v>94</v>
      </c>
      <c r="G4605">
        <v>-198.7851</v>
      </c>
      <c r="H4605" s="1">
        <v>-1.296221E-5</v>
      </c>
      <c r="I4605">
        <v>152.02019999999999</v>
      </c>
      <c r="J4605">
        <v>-191.76140000000001</v>
      </c>
      <c r="K4605">
        <v>1.1089519999999999</v>
      </c>
      <c r="L4605">
        <v>174.74039999999999</v>
      </c>
      <c r="M4605">
        <v>7.3346189999999997E-3</v>
      </c>
      <c r="N4605">
        <v>-9.0560940000000006E-3</v>
      </c>
      <c r="O4605">
        <v>-0.9999323</v>
      </c>
      <c r="P4605">
        <v>8.7544609999999998E-3</v>
      </c>
      <c r="Q4605">
        <v>-0.10677200000000001</v>
      </c>
      <c r="R4605">
        <v>-0.99424520000000005</v>
      </c>
      <c r="S4605">
        <v>-0.92639159999999998</v>
      </c>
      <c r="T4605">
        <v>-0.146278399999999</v>
      </c>
      <c r="U4605">
        <v>-3.0103149999999999</v>
      </c>
      <c r="V4605">
        <v>-1.533106E-3</v>
      </c>
      <c r="W4605">
        <v>-9.7762169999999995E-2</v>
      </c>
      <c r="X4605">
        <v>0.9952086</v>
      </c>
      <c r="Y4605">
        <v>0.30085070000000003</v>
      </c>
      <c r="Z4605">
        <v>3.7281399999999999E-2</v>
      </c>
      <c r="AA4605">
        <v>0.95294230000000002</v>
      </c>
      <c r="AB4605">
        <v>20</v>
      </c>
      <c r="AC4605">
        <v>-7.0236999999999901</v>
      </c>
      <c r="AD4605">
        <v>-1.10896496221</v>
      </c>
      <c r="AE4605">
        <v>-22.720199999999998</v>
      </c>
      <c r="AF4605">
        <v>7.1745603169896803</v>
      </c>
      <c r="AG4605">
        <v>-1.10896496221</v>
      </c>
      <c r="AH4605">
        <v>22.618884302211701</v>
      </c>
      <c r="AI4605">
        <v>92.675693447945903</v>
      </c>
      <c r="AJ4605">
        <v>72.401317459180504</v>
      </c>
      <c r="AK4605">
        <v>23.7553793088296</v>
      </c>
      <c r="AL4605">
        <v>95.610320917131503</v>
      </c>
      <c r="AM4605">
        <v>90.088263338823097</v>
      </c>
      <c r="AN4605">
        <v>0.99999997490553705</v>
      </c>
    </row>
    <row r="4606" spans="1:40" x14ac:dyDescent="0.25">
      <c r="A4606" t="str">
        <f>"20190305135023653"</f>
        <v>20190305135023653</v>
      </c>
      <c r="B4606" t="str">
        <f>"1551765023644601"</f>
        <v>1551765023644601</v>
      </c>
      <c r="C4606" t="s">
        <v>40</v>
      </c>
      <c r="D4606">
        <v>4.2034269999999996</v>
      </c>
      <c r="E4606">
        <v>0.57849309999999998</v>
      </c>
      <c r="F4606" t="s">
        <v>94</v>
      </c>
      <c r="G4606">
        <v>-198.767</v>
      </c>
      <c r="H4606" s="1">
        <v>-1.296095E-5</v>
      </c>
      <c r="I4606">
        <v>152.02160000000001</v>
      </c>
      <c r="J4606">
        <v>-191.761</v>
      </c>
      <c r="K4606">
        <v>1.108948</v>
      </c>
      <c r="L4606">
        <v>174.64279999999999</v>
      </c>
      <c r="M4606">
        <v>7.065048E-3</v>
      </c>
      <c r="N4606">
        <v>-9.0247980000000005E-3</v>
      </c>
      <c r="O4606">
        <v>-0.99993449999999995</v>
      </c>
      <c r="P4606">
        <v>8.4949050000000005E-3</v>
      </c>
      <c r="Q4606">
        <v>-0.1066633</v>
      </c>
      <c r="R4606">
        <v>-0.99425909999999995</v>
      </c>
      <c r="S4606">
        <v>-0.9280853</v>
      </c>
      <c r="T4606">
        <v>-0.14691389999999999</v>
      </c>
      <c r="U4606">
        <v>-3.0097499999999999</v>
      </c>
      <c r="V4606">
        <v>-1.54166E-3</v>
      </c>
      <c r="W4606">
        <v>-9.7684579999999993E-2</v>
      </c>
      <c r="X4606">
        <v>0.99521630000000005</v>
      </c>
      <c r="Y4606">
        <v>0.30113099999999998</v>
      </c>
      <c r="Z4606">
        <v>3.7516609999999999E-2</v>
      </c>
      <c r="AA4606">
        <v>0.95284449999999998</v>
      </c>
      <c r="AB4606">
        <v>20</v>
      </c>
      <c r="AC4606">
        <v>-7.0060000000000002</v>
      </c>
      <c r="AD4606">
        <v>-1.10896096095</v>
      </c>
      <c r="AE4606">
        <v>-22.621199999999899</v>
      </c>
      <c r="AF4606">
        <v>7.1499721721523501</v>
      </c>
      <c r="AG4606">
        <v>-1.10896096095</v>
      </c>
      <c r="AH4606">
        <v>22.521747300677401</v>
      </c>
      <c r="AI4606">
        <v>92.686993492319601</v>
      </c>
      <c r="AJ4606">
        <v>72.3869342280084</v>
      </c>
      <c r="AK4606">
        <v>23.6554644416683</v>
      </c>
      <c r="AL4606">
        <v>95.605853428655095</v>
      </c>
      <c r="AM4606">
        <v>90.088755118652003</v>
      </c>
      <c r="AN4606">
        <v>1.0000000688355</v>
      </c>
    </row>
    <row r="4607" spans="1:40" x14ac:dyDescent="0.25">
      <c r="A4607" t="str">
        <f>"20190305135023666"</f>
        <v>20190305135023666</v>
      </c>
      <c r="B4607" t="str">
        <f>"1551765023654360"</f>
        <v>1551765023654360</v>
      </c>
      <c r="C4607" t="s">
        <v>40</v>
      </c>
      <c r="D4607">
        <v>4.0278619999999998</v>
      </c>
      <c r="E4607">
        <v>0.57211889999999999</v>
      </c>
      <c r="F4607" t="s">
        <v>41</v>
      </c>
      <c r="G4607">
        <v>-191.93729999999999</v>
      </c>
      <c r="H4607">
        <v>1.0211760000000001</v>
      </c>
      <c r="I4607">
        <v>173.7663</v>
      </c>
      <c r="J4607">
        <v>-191.76050000000001</v>
      </c>
      <c r="K4607">
        <v>1.1089450000000001</v>
      </c>
      <c r="L4607">
        <v>174.5342</v>
      </c>
      <c r="M4607">
        <v>6.7651129999999997E-3</v>
      </c>
      <c r="N4607">
        <v>-8.9922030000000007E-3</v>
      </c>
      <c r="O4607">
        <v>-0.99993690000000002</v>
      </c>
      <c r="P4607">
        <v>7.8861319999999901E-3</v>
      </c>
      <c r="Q4607">
        <v>-0.1067955</v>
      </c>
      <c r="R4607">
        <v>-0.99424990000000002</v>
      </c>
      <c r="S4607">
        <v>-0.60026550000000001</v>
      </c>
      <c r="T4607">
        <v>-0.29952719999999999</v>
      </c>
      <c r="U4607">
        <v>-2.990326</v>
      </c>
      <c r="V4607">
        <v>-1.23128E-3</v>
      </c>
      <c r="W4607">
        <v>-9.7849549999999993E-2</v>
      </c>
      <c r="X4607">
        <v>0.99520050000000004</v>
      </c>
      <c r="Y4607">
        <v>0.2025653</v>
      </c>
      <c r="Z4607">
        <v>8.8707549999999996E-2</v>
      </c>
      <c r="AA4607">
        <v>0.97524270000000002</v>
      </c>
      <c r="AB4607">
        <v>20</v>
      </c>
      <c r="AC4607">
        <v>-0.176799999999985</v>
      </c>
      <c r="AD4607">
        <v>-8.7768999999999903E-2</v>
      </c>
      <c r="AE4607">
        <v>-0.76789999999999703</v>
      </c>
      <c r="AF4607">
        <v>0.179760933586948</v>
      </c>
      <c r="AG4607">
        <v>-8.7768999999999903E-2</v>
      </c>
      <c r="AH4607">
        <v>0.75729116111013794</v>
      </c>
      <c r="AI4607">
        <v>96.433791585815896</v>
      </c>
      <c r="AJ4607">
        <v>76.646636926845005</v>
      </c>
      <c r="AK4607">
        <v>0.78326706384259004</v>
      </c>
      <c r="AL4607">
        <v>95.615351159017905</v>
      </c>
      <c r="AM4607">
        <v>90.070887335168294</v>
      </c>
      <c r="AN4607">
        <v>1.0000000428429401</v>
      </c>
    </row>
    <row r="4608" spans="1:40" x14ac:dyDescent="0.25">
      <c r="A4608" t="str">
        <f>"20190305135023678"</f>
        <v>20190305135023678</v>
      </c>
      <c r="B4608" t="str">
        <f>"1551765023674856"</f>
        <v>1551765023674856</v>
      </c>
      <c r="C4608" t="s">
        <v>40</v>
      </c>
      <c r="D4608">
        <v>4.0410640000000004</v>
      </c>
      <c r="E4608">
        <v>0.56326259999999995</v>
      </c>
      <c r="F4608" t="s">
        <v>42</v>
      </c>
      <c r="G4608">
        <v>-194.08580000000001</v>
      </c>
      <c r="H4608" s="1">
        <v>-2.1594340000000001E-6</v>
      </c>
      <c r="I4608">
        <v>161.86009999999999</v>
      </c>
      <c r="J4608">
        <v>-191.76009999999999</v>
      </c>
      <c r="K4608">
        <v>1.108943</v>
      </c>
      <c r="L4608">
        <v>174.4222</v>
      </c>
      <c r="M4608">
        <v>6.4556639999999998E-3</v>
      </c>
      <c r="N4608">
        <v>-8.9609530000000007E-3</v>
      </c>
      <c r="O4608">
        <v>-0.99993929999999998</v>
      </c>
      <c r="P4608">
        <v>7.504859E-3</v>
      </c>
      <c r="Q4608">
        <v>-0.10660269999999999</v>
      </c>
      <c r="R4608">
        <v>-0.99427379999999999</v>
      </c>
      <c r="S4608">
        <v>-0.54920959999999996</v>
      </c>
      <c r="T4608">
        <v>-0.26192900000000002</v>
      </c>
      <c r="U4608">
        <v>-2.993576</v>
      </c>
      <c r="V4608">
        <v>-1.157744E-3</v>
      </c>
      <c r="W4608">
        <v>-9.7687700000000002E-2</v>
      </c>
      <c r="X4608">
        <v>0.9952164</v>
      </c>
      <c r="Y4608">
        <v>0.18618589999999999</v>
      </c>
      <c r="Z4608">
        <v>7.6753619999999995E-2</v>
      </c>
      <c r="AA4608">
        <v>0.97951200000000005</v>
      </c>
      <c r="AB4608">
        <v>20</v>
      </c>
      <c r="AC4608">
        <v>-2.3257000000000101</v>
      </c>
      <c r="AD4608">
        <v>-1.1089451594339901</v>
      </c>
      <c r="AE4608">
        <v>-12.562099999999999</v>
      </c>
      <c r="AF4608">
        <v>2.3887531943887401</v>
      </c>
      <c r="AG4608">
        <v>-1.1089451594339901</v>
      </c>
      <c r="AH4608">
        <v>12.452995498344899</v>
      </c>
      <c r="AI4608">
        <v>94.998143567548198</v>
      </c>
      <c r="AJ4608">
        <v>79.141334592072596</v>
      </c>
      <c r="AK4608">
        <v>12.7284326636131</v>
      </c>
      <c r="AL4608">
        <v>95.606033690960302</v>
      </c>
      <c r="AM4608">
        <v>90.066652654672595</v>
      </c>
      <c r="AN4608">
        <v>0.99999995496570804</v>
      </c>
    </row>
    <row r="4609" spans="1:40" x14ac:dyDescent="0.25">
      <c r="A4609" t="str">
        <f>"20190305135023694"</f>
        <v>20190305135023694</v>
      </c>
      <c r="B4609" t="str">
        <f>"1551765023684616"</f>
        <v>1551765023684616</v>
      </c>
      <c r="C4609" t="s">
        <v>40</v>
      </c>
      <c r="D4609">
        <v>3.9962710000000001</v>
      </c>
      <c r="E4609">
        <v>0.56222309999999998</v>
      </c>
      <c r="F4609" t="s">
        <v>41</v>
      </c>
      <c r="G4609">
        <v>-191.89259999999999</v>
      </c>
      <c r="H4609">
        <v>1.0354030000000001</v>
      </c>
      <c r="I4609">
        <v>173.5975</v>
      </c>
      <c r="J4609">
        <v>-191.75970000000001</v>
      </c>
      <c r="K4609">
        <v>1.10894</v>
      </c>
      <c r="L4609">
        <v>174.28309999999999</v>
      </c>
      <c r="M4609">
        <v>6.0716219999999996E-3</v>
      </c>
      <c r="N4609">
        <v>-8.9245839999999993E-3</v>
      </c>
      <c r="O4609">
        <v>-0.99994159999999999</v>
      </c>
      <c r="P4609">
        <v>6.7171540000000004E-3</v>
      </c>
      <c r="Q4609">
        <v>-0.1065185</v>
      </c>
      <c r="R4609">
        <v>-0.99428780000000005</v>
      </c>
      <c r="S4609">
        <v>-0.4799042</v>
      </c>
      <c r="T4609">
        <v>-0.26687939999999999</v>
      </c>
      <c r="U4609">
        <v>-2.9922939999999998</v>
      </c>
      <c r="V4609">
        <v>-7.5247599999999997E-4</v>
      </c>
      <c r="W4609">
        <v>-9.7639980000000001E-2</v>
      </c>
      <c r="X4609">
        <v>0.99522149999999998</v>
      </c>
      <c r="Y4609">
        <v>0.16378579999999901</v>
      </c>
      <c r="Z4609">
        <v>7.8780740000000002E-2</v>
      </c>
      <c r="AA4609">
        <v>0.98334520000000003</v>
      </c>
      <c r="AB4609">
        <v>20</v>
      </c>
      <c r="AC4609">
        <v>-0.13289999999997801</v>
      </c>
      <c r="AD4609">
        <v>-7.3536999999999894E-2</v>
      </c>
      <c r="AE4609">
        <v>-0.68559999999999299</v>
      </c>
      <c r="AF4609">
        <v>0.13555737031110901</v>
      </c>
      <c r="AG4609">
        <v>-7.3536999999999894E-2</v>
      </c>
      <c r="AH4609">
        <v>0.67727088073236297</v>
      </c>
      <c r="AI4609">
        <v>96.077203898981196</v>
      </c>
      <c r="AJ4609">
        <v>78.681673519483795</v>
      </c>
      <c r="AK4609">
        <v>0.69460732569031602</v>
      </c>
      <c r="AL4609">
        <v>95.603286245195505</v>
      </c>
      <c r="AM4609">
        <v>90.043320698728095</v>
      </c>
      <c r="AN4609">
        <v>0.99999998298838999</v>
      </c>
    </row>
    <row r="4610" spans="1:40" x14ac:dyDescent="0.25">
      <c r="A4610" t="str">
        <f>"20190305135023707"</f>
        <v>20190305135023707</v>
      </c>
      <c r="B4610" t="str">
        <f>"1551765023705112"</f>
        <v>1551765023705112</v>
      </c>
      <c r="C4610" t="s">
        <v>40</v>
      </c>
      <c r="D4610">
        <v>3.9473769999999999</v>
      </c>
      <c r="E4610">
        <v>0.56161459999999996</v>
      </c>
      <c r="F4610" t="s">
        <v>41</v>
      </c>
      <c r="G4610">
        <v>-191.89619999999999</v>
      </c>
      <c r="H4610">
        <v>1.0318959999999999</v>
      </c>
      <c r="I4610">
        <v>173.4228</v>
      </c>
      <c r="J4610">
        <v>-191.7593</v>
      </c>
      <c r="K4610">
        <v>1.1089290000000001</v>
      </c>
      <c r="L4610">
        <v>174.167</v>
      </c>
      <c r="M4610">
        <v>5.7510879999999997E-3</v>
      </c>
      <c r="N4610">
        <v>-8.896536E-3</v>
      </c>
      <c r="O4610">
        <v>-0.99994380000000005</v>
      </c>
      <c r="P4610">
        <v>6.0422540000000004E-3</v>
      </c>
      <c r="Q4610">
        <v>-0.106459</v>
      </c>
      <c r="R4610">
        <v>-0.99429880000000004</v>
      </c>
      <c r="S4610">
        <v>-0.47377010000000003</v>
      </c>
      <c r="T4610">
        <v>-0.26797759999999998</v>
      </c>
      <c r="U4610">
        <v>-2.99173</v>
      </c>
      <c r="V4610">
        <v>-3.9608329999999998E-4</v>
      </c>
      <c r="W4610">
        <v>-9.7608600000000004E-2</v>
      </c>
      <c r="X4610">
        <v>0.99522480000000002</v>
      </c>
      <c r="Y4610">
        <v>0.16152749999999999</v>
      </c>
      <c r="Z4610">
        <v>7.9214279999999998E-2</v>
      </c>
      <c r="AA4610">
        <v>0.98368390000000006</v>
      </c>
      <c r="AB4610">
        <v>20</v>
      </c>
      <c r="AC4610">
        <v>-0.136899999999997</v>
      </c>
      <c r="AD4610">
        <v>-7.7033000000000101E-2</v>
      </c>
      <c r="AE4610">
        <v>-0.74420000000000597</v>
      </c>
      <c r="AF4610">
        <v>0.139729727550431</v>
      </c>
      <c r="AG4610">
        <v>-7.7033000000000101E-2</v>
      </c>
      <c r="AH4610">
        <v>0.735774877249596</v>
      </c>
      <c r="AI4610">
        <v>95.872680217442706</v>
      </c>
      <c r="AJ4610">
        <v>79.247106105546806</v>
      </c>
      <c r="AK4610">
        <v>0.75287658340658703</v>
      </c>
      <c r="AL4610">
        <v>95.601479583661202</v>
      </c>
      <c r="AM4610">
        <v>90.022802788101203</v>
      </c>
      <c r="AN4610">
        <v>0.99999999910548998</v>
      </c>
    </row>
    <row r="4611" spans="1:40" x14ac:dyDescent="0.25">
      <c r="A4611" t="str">
        <f>"20190305135023718"</f>
        <v>20190305135023718</v>
      </c>
      <c r="B4611" t="str">
        <f>"1551765023714872"</f>
        <v>1551765023714872</v>
      </c>
      <c r="C4611" t="s">
        <v>40</v>
      </c>
      <c r="D4611">
        <v>3.9718300000000002</v>
      </c>
      <c r="E4611">
        <v>0.56105070000000001</v>
      </c>
      <c r="F4611" t="s">
        <v>41</v>
      </c>
      <c r="G4611">
        <v>-191.87780000000001</v>
      </c>
      <c r="H4611">
        <v>1.043447</v>
      </c>
      <c r="I4611">
        <v>173.416</v>
      </c>
      <c r="J4611">
        <v>-191.75909999999999</v>
      </c>
      <c r="K4611">
        <v>1.1089260000000001</v>
      </c>
      <c r="L4611">
        <v>174.07</v>
      </c>
      <c r="M4611">
        <v>5.4831860000000001E-3</v>
      </c>
      <c r="N4611">
        <v>-8.875249E-3</v>
      </c>
      <c r="O4611">
        <v>-0.99994570000000005</v>
      </c>
      <c r="P4611">
        <v>5.4750500000000004E-3</v>
      </c>
      <c r="Q4611">
        <v>-0.1064722</v>
      </c>
      <c r="R4611">
        <v>-0.99430070000000004</v>
      </c>
      <c r="S4611">
        <v>-0.4708252</v>
      </c>
      <c r="T4611">
        <v>-0.26094499999999998</v>
      </c>
      <c r="U4611">
        <v>-2.9921259999999998</v>
      </c>
      <c r="V4611" s="1">
        <v>-9.5520399999999994E-5</v>
      </c>
      <c r="W4611">
        <v>-9.764312E-2</v>
      </c>
      <c r="X4611">
        <v>0.99522149999999998</v>
      </c>
      <c r="Y4611">
        <v>0.1603282</v>
      </c>
      <c r="Z4611">
        <v>7.6943839999999999E-2</v>
      </c>
      <c r="AA4611">
        <v>0.98406020000000005</v>
      </c>
      <c r="AB4611">
        <v>20</v>
      </c>
      <c r="AC4611">
        <v>-0.118700000000018</v>
      </c>
      <c r="AD4611">
        <v>-6.5478999999999996E-2</v>
      </c>
      <c r="AE4611">
        <v>-0.65399999999999603</v>
      </c>
      <c r="AF4611">
        <v>0.121109058137266</v>
      </c>
      <c r="AG4611">
        <v>-6.5478999999999996E-2</v>
      </c>
      <c r="AH4611">
        <v>0.64705990092593701</v>
      </c>
      <c r="AI4611">
        <v>95.680376753433407</v>
      </c>
      <c r="AJ4611">
        <v>79.398709106179695</v>
      </c>
      <c r="AK4611">
        <v>0.66154472168567702</v>
      </c>
      <c r="AL4611">
        <v>95.603466860080701</v>
      </c>
      <c r="AM4611">
        <v>90.005499193657499</v>
      </c>
      <c r="AN4611">
        <v>1.0000000110348599</v>
      </c>
    </row>
    <row r="4612" spans="1:40" x14ac:dyDescent="0.25">
      <c r="A4612" t="str">
        <f>"20190305135023730"</f>
        <v>20190305135023730</v>
      </c>
      <c r="B4612" t="str">
        <f>"1551765023724633"</f>
        <v>1551765023724633</v>
      </c>
      <c r="C4612" t="s">
        <v>40</v>
      </c>
      <c r="D4612">
        <v>3.9463219999999999</v>
      </c>
      <c r="E4612">
        <v>0.56074349999999995</v>
      </c>
      <c r="F4612" t="s">
        <v>41</v>
      </c>
      <c r="G4612">
        <v>-191.88849999999999</v>
      </c>
      <c r="H4612">
        <v>1.036189</v>
      </c>
      <c r="I4612">
        <v>173.2431</v>
      </c>
      <c r="J4612">
        <v>-191.75880000000001</v>
      </c>
      <c r="K4612">
        <v>1.1089230000000001</v>
      </c>
      <c r="L4612">
        <v>173.96729999999999</v>
      </c>
      <c r="M4612">
        <v>5.1998399999999998E-3</v>
      </c>
      <c r="N4612">
        <v>-8.8533829999999994E-3</v>
      </c>
      <c r="O4612">
        <v>-0.99994709999999998</v>
      </c>
      <c r="P4612">
        <v>4.9943820000000003E-3</v>
      </c>
      <c r="Q4612">
        <v>-0.10651869999999999</v>
      </c>
      <c r="R4612">
        <v>-0.99429800000000002</v>
      </c>
      <c r="S4612">
        <v>-0.4681091</v>
      </c>
      <c r="T4612">
        <v>-0.26317380000000001</v>
      </c>
      <c r="U4612">
        <v>-2.9915769999999999</v>
      </c>
      <c r="V4612">
        <v>1.030921E-4</v>
      </c>
      <c r="W4612">
        <v>-9.7711690000000004E-2</v>
      </c>
      <c r="X4612">
        <v>0.99521479999999996</v>
      </c>
      <c r="Y4612">
        <v>0.159195</v>
      </c>
      <c r="Z4612">
        <v>7.7723459999999994E-2</v>
      </c>
      <c r="AA4612">
        <v>0.98418289999999997</v>
      </c>
      <c r="AB4612">
        <v>20</v>
      </c>
      <c r="AC4612">
        <v>-0.12969999999998499</v>
      </c>
      <c r="AD4612">
        <v>-7.2733999999999799E-2</v>
      </c>
      <c r="AE4612">
        <v>-0.72419999999999596</v>
      </c>
      <c r="AF4612">
        <v>0.132172342434447</v>
      </c>
      <c r="AG4612">
        <v>-7.2733999999999799E-2</v>
      </c>
      <c r="AH4612">
        <v>0.71651297729435204</v>
      </c>
      <c r="AI4612">
        <v>95.700769781497797</v>
      </c>
      <c r="AJ4612">
        <v>79.548363525593203</v>
      </c>
      <c r="AK4612">
        <v>0.73222305992902503</v>
      </c>
      <c r="AL4612">
        <v>95.6074143370424</v>
      </c>
      <c r="AM4612">
        <v>89.994064856943396</v>
      </c>
      <c r="AN4612">
        <v>1.00000004156483</v>
      </c>
    </row>
    <row r="4613" spans="1:40" x14ac:dyDescent="0.25">
      <c r="A4613" t="str">
        <f>"20190305135023741"</f>
        <v>20190305135023741</v>
      </c>
      <c r="B4613" t="str">
        <f>"1551765023734392"</f>
        <v>1551765023734392</v>
      </c>
      <c r="C4613" t="s">
        <v>40</v>
      </c>
      <c r="D4613">
        <v>3.95607</v>
      </c>
      <c r="E4613">
        <v>0.5604886</v>
      </c>
      <c r="F4613" t="s">
        <v>41</v>
      </c>
      <c r="G4613">
        <v>-191.89949999999999</v>
      </c>
      <c r="H4613">
        <v>1.0294509999999999</v>
      </c>
      <c r="I4613">
        <v>173.0686</v>
      </c>
      <c r="J4613">
        <v>-191.7586</v>
      </c>
      <c r="K4613">
        <v>1.1089230000000001</v>
      </c>
      <c r="L4613">
        <v>173.8603</v>
      </c>
      <c r="M4613">
        <v>4.9047259999999999E-3</v>
      </c>
      <c r="N4613">
        <v>-8.8332710000000002E-3</v>
      </c>
      <c r="O4613">
        <v>-0.99994899999999998</v>
      </c>
      <c r="P4613">
        <v>4.6403390000000003E-3</v>
      </c>
      <c r="Q4613">
        <v>-0.10654180000000001</v>
      </c>
      <c r="R4613">
        <v>-0.99429749999999995</v>
      </c>
      <c r="S4613">
        <v>-0.4671478</v>
      </c>
      <c r="T4613">
        <v>-0.26465880000000003</v>
      </c>
      <c r="U4613">
        <v>-2.9911650000000001</v>
      </c>
      <c r="V4613">
        <v>1.6341939999999999E-4</v>
      </c>
      <c r="W4613">
        <v>-9.7754830000000001E-2</v>
      </c>
      <c r="X4613">
        <v>0.9952105</v>
      </c>
      <c r="Y4613">
        <v>0.15860940000000001</v>
      </c>
      <c r="Z4613">
        <v>7.8246940000000001E-2</v>
      </c>
      <c r="AA4613">
        <v>0.984236</v>
      </c>
      <c r="AB4613">
        <v>20</v>
      </c>
      <c r="AC4613">
        <v>-0.14089999999998701</v>
      </c>
      <c r="AD4613">
        <v>-7.9471999999999696E-2</v>
      </c>
      <c r="AE4613">
        <v>-0.79169999999999097</v>
      </c>
      <c r="AF4613">
        <v>0.143381113727959</v>
      </c>
      <c r="AG4613">
        <v>-7.9471999999999696E-2</v>
      </c>
      <c r="AH4613">
        <v>0.78334835060977104</v>
      </c>
      <c r="AI4613">
        <v>95.698894635142096</v>
      </c>
      <c r="AJ4613">
        <v>79.627613342148507</v>
      </c>
      <c r="AK4613">
        <v>0.80031779997755803</v>
      </c>
      <c r="AL4613">
        <v>95.609898277332604</v>
      </c>
      <c r="AM4613">
        <v>89.990591697106893</v>
      </c>
      <c r="AN4613">
        <v>0.99999998640223897</v>
      </c>
    </row>
    <row r="4614" spans="1:40" x14ac:dyDescent="0.25">
      <c r="A4614" t="str">
        <f>"20190305135023752"</f>
        <v>20190305135023752</v>
      </c>
      <c r="B4614" t="str">
        <f>"1551765023745128"</f>
        <v>1551765023745128</v>
      </c>
      <c r="C4614" t="s">
        <v>40</v>
      </c>
      <c r="D4614">
        <v>3.9672740000000002</v>
      </c>
      <c r="E4614">
        <v>0.56039349999999999</v>
      </c>
      <c r="F4614" t="s">
        <v>41</v>
      </c>
      <c r="G4614">
        <v>-191.88300000000001</v>
      </c>
      <c r="H4614">
        <v>1.0381689999999999</v>
      </c>
      <c r="I4614">
        <v>173.0643</v>
      </c>
      <c r="J4614">
        <v>-191.75839999999999</v>
      </c>
      <c r="K4614">
        <v>1.1089199999999999</v>
      </c>
      <c r="L4614">
        <v>173.76660000000001</v>
      </c>
      <c r="M4614">
        <v>4.6460390000000002E-3</v>
      </c>
      <c r="N4614">
        <v>-8.8161860000000002E-3</v>
      </c>
      <c r="O4614">
        <v>-0.99995020000000001</v>
      </c>
      <c r="P4614">
        <v>4.3316359999999998E-3</v>
      </c>
      <c r="Q4614">
        <v>-0.1064447</v>
      </c>
      <c r="R4614">
        <v>-0.9943092</v>
      </c>
      <c r="S4614">
        <v>-0.46626279999999998</v>
      </c>
      <c r="T4614">
        <v>-0.26602199999999998</v>
      </c>
      <c r="U4614">
        <v>-2.990875</v>
      </c>
      <c r="V4614">
        <v>2.1481089999999999E-4</v>
      </c>
      <c r="W4614">
        <v>-9.7674650000000002E-2</v>
      </c>
      <c r="X4614">
        <v>0.99521839999999995</v>
      </c>
      <c r="Y4614">
        <v>0.15807850000000001</v>
      </c>
      <c r="Z4614">
        <v>7.8723619999999994E-2</v>
      </c>
      <c r="AA4614">
        <v>0.98428340000000003</v>
      </c>
      <c r="AB4614">
        <v>20</v>
      </c>
      <c r="AC4614">
        <v>-0.124599999999986</v>
      </c>
      <c r="AD4614">
        <v>-7.0750999999999994E-2</v>
      </c>
      <c r="AE4614">
        <v>-0.70230000000000803</v>
      </c>
      <c r="AF4614">
        <v>0.12661589482184299</v>
      </c>
      <c r="AG4614">
        <v>-7.0750999999999994E-2</v>
      </c>
      <c r="AH4614">
        <v>0.69487646304227402</v>
      </c>
      <c r="AI4614">
        <v>95.720167949962402</v>
      </c>
      <c r="AJ4614">
        <v>79.673228006825198</v>
      </c>
      <c r="AK4614">
        <v>0.70985251123925497</v>
      </c>
      <c r="AL4614">
        <v>95.6052820024412</v>
      </c>
      <c r="AM4614">
        <v>89.987633108700294</v>
      </c>
      <c r="AN4614">
        <v>1.00000002354745</v>
      </c>
    </row>
    <row r="4615" spans="1:40" x14ac:dyDescent="0.25">
      <c r="A4615" t="str">
        <f>"20190305135023763"</f>
        <v>20190305135023763</v>
      </c>
      <c r="B4615" t="str">
        <f>"1551765023754888"</f>
        <v>1551765023754888</v>
      </c>
      <c r="C4615" t="s">
        <v>40</v>
      </c>
      <c r="D4615">
        <v>3.9724240000000002</v>
      </c>
      <c r="E4615">
        <v>0.56021960000000004</v>
      </c>
      <c r="F4615" t="s">
        <v>41</v>
      </c>
      <c r="G4615">
        <v>-191.89529999999999</v>
      </c>
      <c r="H4615">
        <v>1.031196</v>
      </c>
      <c r="I4615">
        <v>172.8895</v>
      </c>
      <c r="J4615">
        <v>-191.75829999999999</v>
      </c>
      <c r="K4615">
        <v>1.1089169999999999</v>
      </c>
      <c r="L4615">
        <v>173.66560000000001</v>
      </c>
      <c r="M4615">
        <v>4.3675390000000001E-3</v>
      </c>
      <c r="N4615">
        <v>-8.7993949999999998E-3</v>
      </c>
      <c r="O4615">
        <v>-0.9999519</v>
      </c>
      <c r="P4615">
        <v>3.9110669999999998E-3</v>
      </c>
      <c r="Q4615">
        <v>-0.1064991</v>
      </c>
      <c r="R4615">
        <v>-0.99430529999999995</v>
      </c>
      <c r="S4615">
        <v>-0.46629330000000002</v>
      </c>
      <c r="T4615">
        <v>-0.26508870000000001</v>
      </c>
      <c r="U4615">
        <v>-2.9908290000000002</v>
      </c>
      <c r="V4615">
        <v>3.5816589999999898E-4</v>
      </c>
      <c r="W4615">
        <v>-9.7745899999999997E-2</v>
      </c>
      <c r="X4615">
        <v>0.99521139999999997</v>
      </c>
      <c r="Y4615">
        <v>0.1578195</v>
      </c>
      <c r="Z4615">
        <v>7.8438889999999997E-2</v>
      </c>
      <c r="AA4615">
        <v>0.98434770000000005</v>
      </c>
      <c r="AB4615">
        <v>20</v>
      </c>
      <c r="AC4615">
        <v>-0.13700000000000001</v>
      </c>
      <c r="AD4615">
        <v>-7.7720999999999901E-2</v>
      </c>
      <c r="AE4615">
        <v>-0.776100000000013</v>
      </c>
      <c r="AF4615">
        <v>0.13903626398371099</v>
      </c>
      <c r="AG4615">
        <v>-7.7720999999999901E-2</v>
      </c>
      <c r="AH4615">
        <v>0.76802474253734498</v>
      </c>
      <c r="AI4615">
        <v>95.686620154448903</v>
      </c>
      <c r="AJ4615">
        <v>79.738820172497796</v>
      </c>
      <c r="AK4615">
        <v>0.78436830742521901</v>
      </c>
      <c r="AL4615">
        <v>95.609383749915594</v>
      </c>
      <c r="AM4615">
        <v>89.979379864871404</v>
      </c>
      <c r="AN4615">
        <v>1.00000005996978</v>
      </c>
    </row>
    <row r="4616" spans="1:40" x14ac:dyDescent="0.25">
      <c r="A4616" t="str">
        <f>"20190305135023783"</f>
        <v>20190305135023783</v>
      </c>
      <c r="B4616" t="str">
        <f>"1551765023774407"</f>
        <v>1551765023774407</v>
      </c>
      <c r="C4616" t="s">
        <v>40</v>
      </c>
      <c r="D4616">
        <v>3.9723830000000002</v>
      </c>
      <c r="E4616">
        <v>0.56010199999999999</v>
      </c>
      <c r="F4616" t="s">
        <v>41</v>
      </c>
      <c r="G4616">
        <v>-191.8801</v>
      </c>
      <c r="H4616">
        <v>1.0395380000000001</v>
      </c>
      <c r="I4616">
        <v>172.8852</v>
      </c>
      <c r="J4616">
        <v>-191.75810000000001</v>
      </c>
      <c r="K4616">
        <v>1.108911</v>
      </c>
      <c r="L4616">
        <v>173.49539999999999</v>
      </c>
      <c r="M4616">
        <v>3.8978860000000001E-3</v>
      </c>
      <c r="N4616">
        <v>-8.7733109999999902E-3</v>
      </c>
      <c r="O4616">
        <v>-0.99995400000000001</v>
      </c>
      <c r="P4616">
        <v>3.5345490000000001E-3</v>
      </c>
      <c r="Q4616">
        <v>-0.10668</v>
      </c>
      <c r="R4616">
        <v>-0.99428729999999999</v>
      </c>
      <c r="S4616">
        <v>-0.46626279999999998</v>
      </c>
      <c r="T4616">
        <v>-0.26594099999999998</v>
      </c>
      <c r="U4616">
        <v>-2.9905400000000002</v>
      </c>
      <c r="V4616">
        <v>2.6710280000000002E-4</v>
      </c>
      <c r="W4616">
        <v>-9.7952890000000001E-2</v>
      </c>
      <c r="X4616">
        <v>0.99519100000000005</v>
      </c>
      <c r="Y4616">
        <v>0.15735679999999999</v>
      </c>
      <c r="Z4616">
        <v>7.8755560000000002E-2</v>
      </c>
      <c r="AA4616">
        <v>0.98439650000000001</v>
      </c>
      <c r="AB4616">
        <v>20</v>
      </c>
      <c r="AC4616">
        <v>-0.121999999999985</v>
      </c>
      <c r="AD4616">
        <v>-6.9373000000000101E-2</v>
      </c>
      <c r="AE4616">
        <v>-0.61019999999999097</v>
      </c>
      <c r="AF4616">
        <v>0.12285081913930999</v>
      </c>
      <c r="AG4616">
        <v>-6.9373000000000101E-2</v>
      </c>
      <c r="AH4616">
        <v>0.60223500461782098</v>
      </c>
      <c r="AI4616">
        <v>96.439615341332498</v>
      </c>
      <c r="AJ4616">
        <v>78.470337424498695</v>
      </c>
      <c r="AK4616">
        <v>0.61854016658518396</v>
      </c>
      <c r="AL4616">
        <v>95.621301021441894</v>
      </c>
      <c r="AM4616">
        <v>89.984622185320504</v>
      </c>
      <c r="AN4616">
        <v>0.99999998324212802</v>
      </c>
    </row>
    <row r="4617" spans="1:40" x14ac:dyDescent="0.25">
      <c r="A4617" t="str">
        <f>"20190305135023793"</f>
        <v>20190305135023793</v>
      </c>
      <c r="B4617" t="str">
        <f>"1551765023785143"</f>
        <v>1551765023785143</v>
      </c>
      <c r="C4617" t="s">
        <v>40</v>
      </c>
      <c r="D4617">
        <v>3.9905430000000002</v>
      </c>
      <c r="E4617">
        <v>0.56005190000000005</v>
      </c>
      <c r="F4617" t="s">
        <v>41</v>
      </c>
      <c r="G4617">
        <v>-191.88130000000001</v>
      </c>
      <c r="H4617">
        <v>1.038726</v>
      </c>
      <c r="I4617">
        <v>172.70689999999999</v>
      </c>
      <c r="J4617">
        <v>-191.75800000000001</v>
      </c>
      <c r="K4617">
        <v>1.1089070000000001</v>
      </c>
      <c r="L4617">
        <v>173.39439999999999</v>
      </c>
      <c r="M4617">
        <v>3.6193110000000001E-3</v>
      </c>
      <c r="N4617">
        <v>-8.7591370000000002E-3</v>
      </c>
      <c r="O4617">
        <v>-0.99995520000000004</v>
      </c>
      <c r="P4617">
        <v>3.2508810000000002E-3</v>
      </c>
      <c r="Q4617">
        <v>-0.1064804</v>
      </c>
      <c r="R4617">
        <v>-0.99430949999999996</v>
      </c>
      <c r="S4617">
        <v>-0.46655269999999999</v>
      </c>
      <c r="T4617">
        <v>-0.26631460000000001</v>
      </c>
      <c r="U4617">
        <v>-2.990326</v>
      </c>
      <c r="V4617">
        <v>2.7378739999999997E-4</v>
      </c>
      <c r="W4617">
        <v>-9.7767259999999995E-2</v>
      </c>
      <c r="X4617">
        <v>0.99520929999999996</v>
      </c>
      <c r="Y4617">
        <v>0.15718389999999999</v>
      </c>
      <c r="Z4617">
        <v>7.8898789999999996E-2</v>
      </c>
      <c r="AA4617">
        <v>0.98441259999999997</v>
      </c>
      <c r="AB4617">
        <v>20</v>
      </c>
      <c r="AC4617">
        <v>-0.123300000000028</v>
      </c>
      <c r="AD4617">
        <v>-7.0180999999999799E-2</v>
      </c>
      <c r="AE4617">
        <v>-0.6875</v>
      </c>
      <c r="AF4617">
        <v>0.12453031930434701</v>
      </c>
      <c r="AG4617">
        <v>-7.0180999999999799E-2</v>
      </c>
      <c r="AH4617">
        <v>0.68018217343431797</v>
      </c>
      <c r="AI4617">
        <v>95.795260876845205</v>
      </c>
      <c r="AJ4617">
        <v>79.624976527419193</v>
      </c>
      <c r="AK4617">
        <v>0.69504025944176495</v>
      </c>
      <c r="AL4617">
        <v>95.610613638195005</v>
      </c>
      <c r="AM4617">
        <v>89.984237625082301</v>
      </c>
      <c r="AN4617">
        <v>1.0000000314469599</v>
      </c>
    </row>
    <row r="4618" spans="1:40" x14ac:dyDescent="0.25">
      <c r="A4618" t="str">
        <f>"20190305135023804"</f>
        <v>20190305135023804</v>
      </c>
      <c r="B4618" t="str">
        <f>"1551765023794904"</f>
        <v>1551765023794904</v>
      </c>
      <c r="C4618" t="s">
        <v>40</v>
      </c>
      <c r="D4618">
        <v>3.9766840000000001</v>
      </c>
      <c r="E4618">
        <v>0.56004980000000004</v>
      </c>
      <c r="F4618" t="s">
        <v>41</v>
      </c>
      <c r="G4618">
        <v>-191.893</v>
      </c>
      <c r="H4618">
        <v>1.0323469999999999</v>
      </c>
      <c r="I4618">
        <v>172.5307</v>
      </c>
      <c r="J4618">
        <v>-191.75790000000001</v>
      </c>
      <c r="K4618">
        <v>1.1089070000000001</v>
      </c>
      <c r="L4618">
        <v>173.29490000000001</v>
      </c>
      <c r="M4618">
        <v>3.3449859999999999E-3</v>
      </c>
      <c r="N4618">
        <v>-8.7462440000000002E-3</v>
      </c>
      <c r="O4618">
        <v>-0.99995619999999996</v>
      </c>
      <c r="P4618">
        <v>3.0225959999999998E-3</v>
      </c>
      <c r="Q4618">
        <v>-0.10641249999999999</v>
      </c>
      <c r="R4618">
        <v>-0.99431749999999997</v>
      </c>
      <c r="S4618">
        <v>-0.46685789999999999</v>
      </c>
      <c r="T4618">
        <v>-0.26511839999999998</v>
      </c>
      <c r="U4618">
        <v>-2.9903110000000002</v>
      </c>
      <c r="V4618">
        <v>2.2916240000000001E-4</v>
      </c>
      <c r="W4618">
        <v>-9.7712010000000002E-2</v>
      </c>
      <c r="X4618">
        <v>0.99521470000000001</v>
      </c>
      <c r="Y4618">
        <v>0.15701689999999999</v>
      </c>
      <c r="Z4618">
        <v>7.8522030000000007E-2</v>
      </c>
      <c r="AA4618">
        <v>0.98446940000000005</v>
      </c>
      <c r="AB4618">
        <v>20</v>
      </c>
      <c r="AC4618">
        <v>-0.135099999999994</v>
      </c>
      <c r="AD4618">
        <v>-7.6559999999999906E-2</v>
      </c>
      <c r="AE4618">
        <v>-0.76420000000001598</v>
      </c>
      <c r="AF4618">
        <v>0.136328760444587</v>
      </c>
      <c r="AG4618">
        <v>-7.6559999999999906E-2</v>
      </c>
      <c r="AH4618">
        <v>0.75638230873744905</v>
      </c>
      <c r="AI4618">
        <v>95.688671157010205</v>
      </c>
      <c r="AJ4618">
        <v>79.782823822311798</v>
      </c>
      <c r="AK4618">
        <v>0.77237371880156003</v>
      </c>
      <c r="AL4618">
        <v>95.607433025986595</v>
      </c>
      <c r="AM4618">
        <v>89.986806828605793</v>
      </c>
      <c r="AN4618">
        <v>0.99999999425486696</v>
      </c>
    </row>
    <row r="4619" spans="1:40" x14ac:dyDescent="0.25">
      <c r="A4619" t="str">
        <f>"20190305135023816"</f>
        <v>20190305135023816</v>
      </c>
      <c r="B4619" t="str">
        <f>"1551765023804665"</f>
        <v>1551765023804665</v>
      </c>
      <c r="C4619" t="s">
        <v>40</v>
      </c>
      <c r="D4619">
        <v>3.9667859999999999</v>
      </c>
      <c r="E4619">
        <v>0.56002619999999903</v>
      </c>
      <c r="F4619" t="s">
        <v>41</v>
      </c>
      <c r="G4619">
        <v>-191.8783</v>
      </c>
      <c r="H4619">
        <v>1.040848</v>
      </c>
      <c r="I4619">
        <v>172.52619999999999</v>
      </c>
      <c r="J4619">
        <v>-191.75790000000001</v>
      </c>
      <c r="K4619">
        <v>1.1089070000000001</v>
      </c>
      <c r="L4619">
        <v>173.19820000000001</v>
      </c>
      <c r="M4619">
        <v>3.0783030000000001E-3</v>
      </c>
      <c r="N4619">
        <v>-8.7346690000000005E-3</v>
      </c>
      <c r="O4619">
        <v>-0.9999574</v>
      </c>
      <c r="P4619">
        <v>2.9078089999999999E-3</v>
      </c>
      <c r="Q4619">
        <v>-0.106448</v>
      </c>
      <c r="R4619">
        <v>-0.99431440000000004</v>
      </c>
      <c r="S4619">
        <v>-0.46745300000000001</v>
      </c>
      <c r="T4619">
        <v>-0.26479609999999998</v>
      </c>
      <c r="U4619">
        <v>-2.9902340000000001</v>
      </c>
      <c r="V4619" s="1">
        <v>7.8525389999999998E-5</v>
      </c>
      <c r="W4619">
        <v>-9.7759009999999993E-2</v>
      </c>
      <c r="X4619">
        <v>0.99521009999999999</v>
      </c>
      <c r="Y4619">
        <v>0.15695000000000001</v>
      </c>
      <c r="Z4619">
        <v>7.8429899999999997E-2</v>
      </c>
      <c r="AA4619">
        <v>0.98448740000000001</v>
      </c>
      <c r="AB4619">
        <v>20</v>
      </c>
      <c r="AC4619">
        <v>-0.120399999999989</v>
      </c>
      <c r="AD4619">
        <v>-6.80589999999998E-2</v>
      </c>
      <c r="AE4619">
        <v>-0.67200000000002502</v>
      </c>
      <c r="AF4619">
        <v>0.121262983946634</v>
      </c>
      <c r="AG4619">
        <v>-6.80589999999998E-2</v>
      </c>
      <c r="AH4619">
        <v>0.66501705929537902</v>
      </c>
      <c r="AI4619">
        <v>95.749256316141995</v>
      </c>
      <c r="AJ4619">
        <v>79.6659003082883</v>
      </c>
      <c r="AK4619">
        <v>0.67940004997829895</v>
      </c>
      <c r="AL4619">
        <v>95.610138924806094</v>
      </c>
      <c r="AM4619">
        <v>89.995479172264893</v>
      </c>
      <c r="AN4619">
        <v>0.99999998667221301</v>
      </c>
    </row>
    <row r="4620" spans="1:40" x14ac:dyDescent="0.25">
      <c r="A4620" t="str">
        <f>"20190305135023828"</f>
        <v>20190305135023828</v>
      </c>
      <c r="B4620" t="str">
        <f>"1551765023825160"</f>
        <v>1551765023825160</v>
      </c>
      <c r="C4620" t="s">
        <v>40</v>
      </c>
      <c r="D4620">
        <v>3.9559449999999998</v>
      </c>
      <c r="E4620">
        <v>0.55995299999999903</v>
      </c>
      <c r="F4620" t="s">
        <v>41</v>
      </c>
      <c r="G4620">
        <v>-191.89080000000001</v>
      </c>
      <c r="H4620">
        <v>1.0337419999999999</v>
      </c>
      <c r="I4620">
        <v>172.3502</v>
      </c>
      <c r="J4620">
        <v>-191.75790000000001</v>
      </c>
      <c r="K4620">
        <v>1.1089009999999999</v>
      </c>
      <c r="L4620">
        <v>173.09110000000001</v>
      </c>
      <c r="M4620">
        <v>2.7831259999999999E-3</v>
      </c>
      <c r="N4620">
        <v>-8.7225800000000006E-3</v>
      </c>
      <c r="O4620">
        <v>-0.99995829999999997</v>
      </c>
      <c r="P4620">
        <v>2.7645460000000001E-3</v>
      </c>
      <c r="Q4620">
        <v>-0.10607709999999999</v>
      </c>
      <c r="R4620">
        <v>-0.99435419999999997</v>
      </c>
      <c r="S4620">
        <v>-0.467804</v>
      </c>
      <c r="T4620">
        <v>-0.26512780000000002</v>
      </c>
      <c r="U4620">
        <v>-2.9901430000000002</v>
      </c>
      <c r="V4620" s="1">
        <v>-7.1554440000000003E-5</v>
      </c>
      <c r="W4620">
        <v>-9.7399669999999994E-2</v>
      </c>
      <c r="X4620">
        <v>0.9952453</v>
      </c>
      <c r="Y4620">
        <v>0.15677439999999901</v>
      </c>
      <c r="Z4620">
        <v>7.8553689999999995E-2</v>
      </c>
      <c r="AA4620">
        <v>0.98450550000000003</v>
      </c>
      <c r="AB4620">
        <v>20</v>
      </c>
      <c r="AC4620">
        <v>-0.13290000000000601</v>
      </c>
      <c r="AD4620">
        <v>-7.5158999999999906E-2</v>
      </c>
      <c r="AE4620">
        <v>-0.74090000000001</v>
      </c>
      <c r="AF4620">
        <v>0.13362931567776301</v>
      </c>
      <c r="AG4620">
        <v>-7.5158999999999906E-2</v>
      </c>
      <c r="AH4620">
        <v>0.73321716607899501</v>
      </c>
      <c r="AI4620">
        <v>95.758506036944198</v>
      </c>
      <c r="AJ4620">
        <v>79.671168872490199</v>
      </c>
      <c r="AK4620">
        <v>0.74907481730626901</v>
      </c>
      <c r="AL4620">
        <v>95.589451716758802</v>
      </c>
      <c r="AM4620">
        <v>90.004119353701398</v>
      </c>
      <c r="AN4620">
        <v>0.99999995400411701</v>
      </c>
    </row>
    <row r="4621" spans="1:40" x14ac:dyDescent="0.25">
      <c r="A4621" t="str">
        <f>"20190305135023838"</f>
        <v>20190305135023838</v>
      </c>
      <c r="B4621" t="str">
        <f>"1551765023834920"</f>
        <v>1551765023834920</v>
      </c>
      <c r="C4621" t="s">
        <v>40</v>
      </c>
      <c r="D4621">
        <v>3.9862449999999998</v>
      </c>
      <c r="E4621">
        <v>0.55995329999999999</v>
      </c>
      <c r="F4621" t="s">
        <v>41</v>
      </c>
      <c r="G4621">
        <v>-191.87469999999999</v>
      </c>
      <c r="H4621">
        <v>1.042853</v>
      </c>
      <c r="I4621">
        <v>172.34520000000001</v>
      </c>
      <c r="J4621">
        <v>-191.75790000000001</v>
      </c>
      <c r="K4621">
        <v>1.1089059999999999</v>
      </c>
      <c r="L4621">
        <v>172.9923</v>
      </c>
      <c r="M4621">
        <v>2.510707E-3</v>
      </c>
      <c r="N4621">
        <v>-8.7125520000000001E-3</v>
      </c>
      <c r="O4621">
        <v>-0.99995909999999999</v>
      </c>
      <c r="P4621">
        <v>2.3914539999999999E-3</v>
      </c>
      <c r="Q4621">
        <v>-0.10622189999999999</v>
      </c>
      <c r="R4621">
        <v>-0.99433970000000005</v>
      </c>
      <c r="S4621">
        <v>-0.4676361</v>
      </c>
      <c r="T4621">
        <v>-0.26485839999999999</v>
      </c>
      <c r="U4621">
        <v>-2.9900820000000001</v>
      </c>
      <c r="V4621" s="1">
        <v>3.0285910000000002E-5</v>
      </c>
      <c r="W4621">
        <v>-9.7554650000000007E-2</v>
      </c>
      <c r="X4621">
        <v>0.99523019999999995</v>
      </c>
      <c r="Y4621">
        <v>0.1564557</v>
      </c>
      <c r="Z4621">
        <v>7.8480259999999996E-2</v>
      </c>
      <c r="AA4621">
        <v>0.9845621</v>
      </c>
      <c r="AB4621">
        <v>20</v>
      </c>
      <c r="AC4621">
        <v>-0.116799999999983</v>
      </c>
      <c r="AD4621">
        <v>-6.6052999999999903E-2</v>
      </c>
      <c r="AE4621">
        <v>-0.64709999999999401</v>
      </c>
      <c r="AF4621">
        <v>0.117241331242455</v>
      </c>
      <c r="AG4621">
        <v>-6.6052999999999903E-2</v>
      </c>
      <c r="AH4621">
        <v>0.64034322373704899</v>
      </c>
      <c r="AI4621">
        <v>95.793734784628299</v>
      </c>
      <c r="AJ4621">
        <v>79.624554285793494</v>
      </c>
      <c r="AK4621">
        <v>0.65433017105010505</v>
      </c>
      <c r="AL4621">
        <v>95.598373475245097</v>
      </c>
      <c r="AM4621">
        <v>89.9982564286924</v>
      </c>
      <c r="AN4621">
        <v>1.00000003082294</v>
      </c>
    </row>
    <row r="4622" spans="1:40" x14ac:dyDescent="0.25">
      <c r="A4622" t="str">
        <f>"20190305135023850"</f>
        <v>20190305135023850</v>
      </c>
      <c r="B4622" t="str">
        <f>"1551765023844680"</f>
        <v>1551765023844680</v>
      </c>
      <c r="C4622" t="s">
        <v>40</v>
      </c>
      <c r="D4622">
        <v>3.935279</v>
      </c>
      <c r="E4622">
        <v>0.55992259999999905</v>
      </c>
      <c r="F4622" t="s">
        <v>41</v>
      </c>
      <c r="G4622">
        <v>-191.88720000000001</v>
      </c>
      <c r="H4622">
        <v>1.03572</v>
      </c>
      <c r="I4622">
        <v>172.16890000000001</v>
      </c>
      <c r="J4622">
        <v>-191.75800000000001</v>
      </c>
      <c r="K4622">
        <v>1.1089039999999999</v>
      </c>
      <c r="L4622">
        <v>172.8914</v>
      </c>
      <c r="M4622">
        <v>2.232529E-3</v>
      </c>
      <c r="N4622">
        <v>-8.7025769999999995E-3</v>
      </c>
      <c r="O4622">
        <v>-0.9999595</v>
      </c>
      <c r="P4622">
        <v>2.14423E-3</v>
      </c>
      <c r="Q4622">
        <v>-0.1061001</v>
      </c>
      <c r="R4622">
        <v>-0.99435309999999999</v>
      </c>
      <c r="S4622">
        <v>-0.4689026</v>
      </c>
      <c r="T4622">
        <v>-0.26578580000000002</v>
      </c>
      <c r="U4622">
        <v>-2.9898069999999999</v>
      </c>
      <c r="V4622" s="1">
        <v>8.0396419999999904E-7</v>
      </c>
      <c r="W4622">
        <v>-9.744266E-2</v>
      </c>
      <c r="X4622">
        <v>0.99524120000000005</v>
      </c>
      <c r="Y4622">
        <v>0.15659779999999901</v>
      </c>
      <c r="Z4622">
        <v>7.8797640000000002E-2</v>
      </c>
      <c r="AA4622">
        <v>0.98451409999999995</v>
      </c>
      <c r="AB4622">
        <v>20</v>
      </c>
      <c r="AC4622">
        <v>-0.12920000000002499</v>
      </c>
      <c r="AD4622">
        <v>-7.3184000000000096E-2</v>
      </c>
      <c r="AE4622">
        <v>-0.72249999999999603</v>
      </c>
      <c r="AF4622">
        <v>0.129524967377013</v>
      </c>
      <c r="AG4622">
        <v>-7.3184000000000096E-2</v>
      </c>
      <c r="AH4622">
        <v>0.71510001748599805</v>
      </c>
      <c r="AI4622">
        <v>95.750434316960295</v>
      </c>
      <c r="AJ4622">
        <v>79.733411547061195</v>
      </c>
      <c r="AK4622">
        <v>0.73041128827427804</v>
      </c>
      <c r="AL4622">
        <v>95.591926045548504</v>
      </c>
      <c r="AM4622">
        <v>89.999953715988099</v>
      </c>
      <c r="AN4622">
        <v>1.0000000590829701</v>
      </c>
    </row>
    <row r="4623" spans="1:40" x14ac:dyDescent="0.25">
      <c r="A4623" t="str">
        <f>"20190305135023863"</f>
        <v>20190305135023863</v>
      </c>
      <c r="B4623" t="str">
        <f>"1551765023854440"</f>
        <v>1551765023854440</v>
      </c>
      <c r="C4623" t="s">
        <v>40</v>
      </c>
      <c r="D4623">
        <v>3.960334</v>
      </c>
      <c r="E4623">
        <v>0.55998950000000003</v>
      </c>
      <c r="F4623" t="s">
        <v>41</v>
      </c>
      <c r="G4623">
        <v>-191.89949999999999</v>
      </c>
      <c r="H4623">
        <v>1.029137</v>
      </c>
      <c r="I4623">
        <v>171.99100000000001</v>
      </c>
      <c r="J4623">
        <v>-191.75810000000001</v>
      </c>
      <c r="K4623">
        <v>1.1089020000000001</v>
      </c>
      <c r="L4623">
        <v>172.77250000000001</v>
      </c>
      <c r="M4623">
        <v>1.9051649999999999E-3</v>
      </c>
      <c r="N4623">
        <v>-8.6922570000000001E-3</v>
      </c>
      <c r="O4623">
        <v>-0.99996050000000003</v>
      </c>
      <c r="P4623">
        <v>1.8240730000000001E-3</v>
      </c>
      <c r="Q4623">
        <v>-0.106103</v>
      </c>
      <c r="R4623">
        <v>-0.9943535</v>
      </c>
      <c r="S4623">
        <v>-0.46925349999999999</v>
      </c>
      <c r="T4623">
        <v>-0.26494200000000001</v>
      </c>
      <c r="U4623">
        <v>-2.9897610000000001</v>
      </c>
      <c r="V4623" s="1">
        <v>-4.8431100000000001E-6</v>
      </c>
      <c r="W4623">
        <v>-9.745587E-2</v>
      </c>
      <c r="X4623">
        <v>0.99523989999999996</v>
      </c>
      <c r="Y4623">
        <v>0.15639310000000001</v>
      </c>
      <c r="Z4623">
        <v>7.8534430000000002E-2</v>
      </c>
      <c r="AA4623">
        <v>0.98456770000000005</v>
      </c>
      <c r="AB4623">
        <v>20</v>
      </c>
      <c r="AC4623">
        <v>-0.14139999999997599</v>
      </c>
      <c r="AD4623">
        <v>-7.9764999999999794E-2</v>
      </c>
      <c r="AE4623">
        <v>-0.78150000000002195</v>
      </c>
      <c r="AF4623">
        <v>0.14146171249426101</v>
      </c>
      <c r="AG4623">
        <v>-7.9764999999999794E-2</v>
      </c>
      <c r="AH4623">
        <v>0.77342735079787694</v>
      </c>
      <c r="AI4623">
        <v>95.792776215558106</v>
      </c>
      <c r="AJ4623">
        <v>79.635032219900495</v>
      </c>
      <c r="AK4623">
        <v>0.79029345074410895</v>
      </c>
      <c r="AL4623">
        <v>95.592686578788602</v>
      </c>
      <c r="AM4623">
        <v>90.000278816959295</v>
      </c>
      <c r="AN4623">
        <v>1.0000000525864501</v>
      </c>
    </row>
    <row r="4624" spans="1:40" x14ac:dyDescent="0.25">
      <c r="A4624" t="str">
        <f>"20190305135023876"</f>
        <v>20190305135023876</v>
      </c>
      <c r="B4624" t="str">
        <f>"1551765023865176"</f>
        <v>1551765023865176</v>
      </c>
      <c r="C4624" t="s">
        <v>40</v>
      </c>
      <c r="D4624">
        <v>3.9434290000000001</v>
      </c>
      <c r="E4624">
        <v>0.55996610000000002</v>
      </c>
      <c r="F4624" t="s">
        <v>41</v>
      </c>
      <c r="G4624">
        <v>-191.88220000000001</v>
      </c>
      <c r="H4624">
        <v>1.039296</v>
      </c>
      <c r="I4624">
        <v>171.98599999999999</v>
      </c>
      <c r="J4624">
        <v>-191.75819999999999</v>
      </c>
      <c r="K4624">
        <v>1.1089</v>
      </c>
      <c r="L4624">
        <v>172.65190000000001</v>
      </c>
      <c r="M4624">
        <v>1.5727530000000001E-3</v>
      </c>
      <c r="N4624">
        <v>-8.6824450000000004E-3</v>
      </c>
      <c r="O4624">
        <v>-0.99996119999999999</v>
      </c>
      <c r="P4624">
        <v>1.2049809999999999E-3</v>
      </c>
      <c r="Q4624">
        <v>-0.1061259</v>
      </c>
      <c r="R4624">
        <v>-0.99435209999999996</v>
      </c>
      <c r="S4624">
        <v>-0.47071839999999998</v>
      </c>
      <c r="T4624">
        <v>-0.26465129999999998</v>
      </c>
      <c r="U4624">
        <v>-2.989655</v>
      </c>
      <c r="V4624">
        <v>2.8342709999999998E-4</v>
      </c>
      <c r="W4624">
        <v>-9.7488690000000003E-2</v>
      </c>
      <c r="X4624">
        <v>0.99523660000000003</v>
      </c>
      <c r="Y4624">
        <v>0.15654219999999999</v>
      </c>
      <c r="Z4624">
        <v>7.8448260000000006E-2</v>
      </c>
      <c r="AA4624">
        <v>0.98455090000000001</v>
      </c>
      <c r="AB4624">
        <v>20</v>
      </c>
      <c r="AC4624">
        <v>-0.12400000000002299</v>
      </c>
      <c r="AD4624">
        <v>-6.9603999999999999E-2</v>
      </c>
      <c r="AE4624">
        <v>-0.66590000000002103</v>
      </c>
      <c r="AF4624">
        <v>0.123740535703354</v>
      </c>
      <c r="AG4624">
        <v>-6.9603999999999999E-2</v>
      </c>
      <c r="AH4624">
        <v>0.65874805340385101</v>
      </c>
      <c r="AI4624">
        <v>95.928621794950004</v>
      </c>
      <c r="AJ4624">
        <v>79.361417592698302</v>
      </c>
      <c r="AK4624">
        <v>0.673873456114363</v>
      </c>
      <c r="AL4624">
        <v>95.594576276330201</v>
      </c>
      <c r="AM4624">
        <v>89.983683099887301</v>
      </c>
      <c r="AN4624">
        <v>1.0000000074941899</v>
      </c>
    </row>
    <row r="4625" spans="1:40" x14ac:dyDescent="0.25">
      <c r="A4625" t="str">
        <f>"20190305135023895"</f>
        <v>20190305135023895</v>
      </c>
      <c r="B4625" t="str">
        <f>"1551765023884696"</f>
        <v>1551765023884696</v>
      </c>
      <c r="C4625" t="s">
        <v>40</v>
      </c>
      <c r="D4625">
        <v>3.9550459999999998</v>
      </c>
      <c r="E4625">
        <v>0.56000240000000001</v>
      </c>
      <c r="F4625" t="s">
        <v>41</v>
      </c>
      <c r="G4625">
        <v>-191.89169999999999</v>
      </c>
      <c r="H4625">
        <v>1.034027</v>
      </c>
      <c r="I4625">
        <v>171.8074</v>
      </c>
      <c r="J4625">
        <v>-191.7585</v>
      </c>
      <c r="K4625">
        <v>1.1088929999999999</v>
      </c>
      <c r="L4625">
        <v>172.4836</v>
      </c>
      <c r="M4625">
        <v>1.108848E-3</v>
      </c>
      <c r="N4625">
        <v>-8.6701130000000001E-3</v>
      </c>
      <c r="O4625">
        <v>-0.99996189999999996</v>
      </c>
      <c r="P4625" s="1">
        <v>9.8690390000000006E-5</v>
      </c>
      <c r="Q4625">
        <v>-0.1060454</v>
      </c>
      <c r="R4625">
        <v>-0.9943613</v>
      </c>
      <c r="S4625">
        <v>-0.4724121</v>
      </c>
      <c r="T4625">
        <v>-0.26505770000000001</v>
      </c>
      <c r="U4625">
        <v>-2.9893190000000001</v>
      </c>
      <c r="V4625">
        <v>9.2815430000000004E-4</v>
      </c>
      <c r="W4625">
        <v>-9.7420950000000006E-2</v>
      </c>
      <c r="X4625">
        <v>0.99524279999999998</v>
      </c>
      <c r="Y4625">
        <v>0.15664339999999999</v>
      </c>
      <c r="Z4625">
        <v>7.8598870000000001E-2</v>
      </c>
      <c r="AA4625">
        <v>0.98452280000000003</v>
      </c>
      <c r="AB4625">
        <v>20</v>
      </c>
      <c r="AC4625">
        <v>-0.13319999999998799</v>
      </c>
      <c r="AD4625">
        <v>-7.4866000000000099E-2</v>
      </c>
      <c r="AE4625">
        <v>-0.67619999999999403</v>
      </c>
      <c r="AF4625">
        <v>0.13238756164114801</v>
      </c>
      <c r="AG4625">
        <v>-7.4866000000000099E-2</v>
      </c>
      <c r="AH4625">
        <v>0.66816743198204698</v>
      </c>
      <c r="AI4625">
        <v>96.272210831533997</v>
      </c>
      <c r="AJ4625">
        <v>78.792833916351</v>
      </c>
      <c r="AK4625">
        <v>0.68525841957233302</v>
      </c>
      <c r="AL4625">
        <v>95.590676724442801</v>
      </c>
      <c r="AM4625">
        <v>89.946566497431803</v>
      </c>
      <c r="AN4625">
        <v>0.99999996696057203</v>
      </c>
    </row>
    <row r="4626" spans="1:40" x14ac:dyDescent="0.25">
      <c r="A4626" t="str">
        <f>"20190305135023908"</f>
        <v>20190305135023908</v>
      </c>
      <c r="B4626" t="str">
        <f>"1551765023905192"</f>
        <v>1551765023905192</v>
      </c>
      <c r="C4626" t="s">
        <v>40</v>
      </c>
      <c r="D4626">
        <v>3.9515509999999998</v>
      </c>
      <c r="E4626">
        <v>0.56005349999999998</v>
      </c>
      <c r="F4626" t="s">
        <v>41</v>
      </c>
      <c r="G4626">
        <v>-191.89529999999999</v>
      </c>
      <c r="H4626">
        <v>1.0329489999999999</v>
      </c>
      <c r="I4626">
        <v>171.62610000000001</v>
      </c>
      <c r="J4626">
        <v>-191.7587</v>
      </c>
      <c r="K4626">
        <v>1.1088979999999999</v>
      </c>
      <c r="L4626">
        <v>172.36240000000001</v>
      </c>
      <c r="M4626">
        <v>7.7500949999999996E-4</v>
      </c>
      <c r="N4626">
        <v>-8.6620680000000002E-3</v>
      </c>
      <c r="O4626">
        <v>-0.99996240000000003</v>
      </c>
      <c r="P4626">
        <v>-4.6715469999999997E-4</v>
      </c>
      <c r="Q4626">
        <v>-0.10619580000000001</v>
      </c>
      <c r="R4626">
        <v>-0.99434529999999999</v>
      </c>
      <c r="S4626">
        <v>-0.47604370000000001</v>
      </c>
      <c r="T4626">
        <v>-0.26478109999999999</v>
      </c>
      <c r="U4626">
        <v>-2.9887999999999999</v>
      </c>
      <c r="V4626">
        <v>1.1616440000000001E-3</v>
      </c>
      <c r="W4626">
        <v>-9.7579700000000005E-2</v>
      </c>
      <c r="X4626">
        <v>0.99522699999999997</v>
      </c>
      <c r="Y4626">
        <v>0.1575076</v>
      </c>
      <c r="Z4626">
        <v>7.8517370000000003E-2</v>
      </c>
      <c r="AA4626">
        <v>0.98439140000000003</v>
      </c>
      <c r="AB4626">
        <v>20</v>
      </c>
      <c r="AC4626">
        <v>-0.13659999999998701</v>
      </c>
      <c r="AD4626">
        <v>-7.5949000000000003E-2</v>
      </c>
      <c r="AE4626">
        <v>-0.73629999999999995</v>
      </c>
      <c r="AF4626">
        <v>0.13577407423674401</v>
      </c>
      <c r="AG4626">
        <v>-7.5949000000000003E-2</v>
      </c>
      <c r="AH4626">
        <v>0.72869865704501402</v>
      </c>
      <c r="AI4626">
        <v>95.850231656372699</v>
      </c>
      <c r="AJ4626">
        <v>79.445448078889399</v>
      </c>
      <c r="AK4626">
        <v>0.74512051549736003</v>
      </c>
      <c r="AL4626">
        <v>95.599815988161296</v>
      </c>
      <c r="AM4626">
        <v>89.933123530339302</v>
      </c>
      <c r="AN4626">
        <v>0.99999996439893502</v>
      </c>
    </row>
    <row r="4627" spans="1:40" x14ac:dyDescent="0.25">
      <c r="A4627" t="str">
        <f>"20190305135023920"</f>
        <v>20190305135023920</v>
      </c>
      <c r="B4627" t="str">
        <f>"1551765023914952"</f>
        <v>1551765023914952</v>
      </c>
      <c r="C4627" t="s">
        <v>40</v>
      </c>
      <c r="D4627">
        <v>3.9203070000000002</v>
      </c>
      <c r="E4627">
        <v>0.56006639999999996</v>
      </c>
      <c r="F4627" t="s">
        <v>41</v>
      </c>
      <c r="G4627">
        <v>-191.8777</v>
      </c>
      <c r="H4627">
        <v>1.0432619999999999</v>
      </c>
      <c r="I4627">
        <v>171.62020000000001</v>
      </c>
      <c r="J4627">
        <v>-191.75899999999999</v>
      </c>
      <c r="K4627">
        <v>1.108895</v>
      </c>
      <c r="L4627">
        <v>172.25239999999999</v>
      </c>
      <c r="M4627">
        <v>4.7206769999999997E-4</v>
      </c>
      <c r="N4627">
        <v>-8.6555869999999993E-3</v>
      </c>
      <c r="O4627">
        <v>-0.99996240000000003</v>
      </c>
      <c r="P4627">
        <v>-8.7513649999999897E-4</v>
      </c>
      <c r="Q4627">
        <v>-0.1058654</v>
      </c>
      <c r="R4627">
        <v>-0.99438009999999999</v>
      </c>
      <c r="S4627">
        <v>-0.47810360000000002</v>
      </c>
      <c r="T4627">
        <v>-0.26441229999999999</v>
      </c>
      <c r="U4627">
        <v>-2.9885860000000002</v>
      </c>
      <c r="V4627">
        <v>1.26845E-3</v>
      </c>
      <c r="W4627">
        <v>-9.7255540000000001E-2</v>
      </c>
      <c r="X4627">
        <v>0.99525859999999999</v>
      </c>
      <c r="Y4627">
        <v>0.15788250000000001</v>
      </c>
      <c r="Z4627">
        <v>7.8402340000000001E-2</v>
      </c>
      <c r="AA4627">
        <v>0.98434049999999995</v>
      </c>
      <c r="AB4627">
        <v>20</v>
      </c>
      <c r="AC4627">
        <v>-0.11869999999998899</v>
      </c>
      <c r="AD4627">
        <v>-6.5632999999999803E-2</v>
      </c>
      <c r="AE4627">
        <v>-0.632199999999983</v>
      </c>
      <c r="AF4627">
        <v>0.117772320824066</v>
      </c>
      <c r="AG4627">
        <v>-6.5632999999999803E-2</v>
      </c>
      <c r="AH4627">
        <v>0.62563050322203395</v>
      </c>
      <c r="AI4627">
        <v>95.886180862882</v>
      </c>
      <c r="AJ4627">
        <v>79.339069810387599</v>
      </c>
      <c r="AK4627">
        <v>0.63999338809330097</v>
      </c>
      <c r="AL4627">
        <v>95.581154221474193</v>
      </c>
      <c r="AM4627">
        <v>89.926976976463195</v>
      </c>
      <c r="AN4627">
        <v>0.99999996495002597</v>
      </c>
    </row>
    <row r="4628" spans="1:40" x14ac:dyDescent="0.25">
      <c r="A4628" t="str">
        <f>"20190305135023932"</f>
        <v>20190305135023932</v>
      </c>
      <c r="B4628" t="str">
        <f>"1551765023924712"</f>
        <v>1551765023924712</v>
      </c>
      <c r="C4628" t="s">
        <v>40</v>
      </c>
      <c r="D4628">
        <v>3.9169170000000002</v>
      </c>
      <c r="E4628">
        <v>0.56009069999999905</v>
      </c>
      <c r="F4628" t="s">
        <v>41</v>
      </c>
      <c r="G4628">
        <v>-191.88929999999999</v>
      </c>
      <c r="H4628">
        <v>1.0373380000000001</v>
      </c>
      <c r="I4628">
        <v>171.44130000000001</v>
      </c>
      <c r="J4628">
        <v>-191.7593</v>
      </c>
      <c r="K4628">
        <v>1.1088910000000001</v>
      </c>
      <c r="L4628">
        <v>172.14019999999999</v>
      </c>
      <c r="M4628">
        <v>1.6268979999999999E-4</v>
      </c>
      <c r="N4628">
        <v>-8.6492909999999999E-3</v>
      </c>
      <c r="O4628">
        <v>-0.99996289999999999</v>
      </c>
      <c r="P4628">
        <v>-1.482812E-3</v>
      </c>
      <c r="Q4628">
        <v>-0.1058554</v>
      </c>
      <c r="R4628">
        <v>-0.99438059999999995</v>
      </c>
      <c r="S4628">
        <v>-0.47953800000000002</v>
      </c>
      <c r="T4628">
        <v>-0.26372099999999998</v>
      </c>
      <c r="U4628">
        <v>-2.9884490000000001</v>
      </c>
      <c r="V4628">
        <v>1.568269E-3</v>
      </c>
      <c r="W4628">
        <v>-9.7251950000000004E-2</v>
      </c>
      <c r="X4628">
        <v>0.99525859999999999</v>
      </c>
      <c r="Y4628">
        <v>0.15804749999999901</v>
      </c>
      <c r="Z4628">
        <v>7.8182379999999996E-2</v>
      </c>
      <c r="AA4628">
        <v>0.98433150000000003</v>
      </c>
      <c r="AB4628">
        <v>20</v>
      </c>
      <c r="AC4628">
        <v>-0.12999999999999501</v>
      </c>
      <c r="AD4628">
        <v>-7.15530000000002E-2</v>
      </c>
      <c r="AE4628">
        <v>-0.69889999999997998</v>
      </c>
      <c r="AF4628">
        <v>0.12880874061400899</v>
      </c>
      <c r="AG4628">
        <v>-7.15530000000002E-2</v>
      </c>
      <c r="AH4628">
        <v>0.69186948671315496</v>
      </c>
      <c r="AI4628">
        <v>95.805470446406105</v>
      </c>
      <c r="AJ4628">
        <v>79.453705775380897</v>
      </c>
      <c r="AK4628">
        <v>0.70738596968860801</v>
      </c>
      <c r="AL4628">
        <v>95.580947123801096</v>
      </c>
      <c r="AM4628">
        <v>89.909716810814302</v>
      </c>
      <c r="AN4628">
        <v>1.0000000410601999</v>
      </c>
    </row>
    <row r="4629" spans="1:40" x14ac:dyDescent="0.25">
      <c r="A4629" t="str">
        <f>"20190305135023945"</f>
        <v>20190305135023945</v>
      </c>
      <c r="B4629" t="str">
        <f>"1551765023935450"</f>
        <v>1551765023935450</v>
      </c>
      <c r="C4629" t="s">
        <v>40</v>
      </c>
      <c r="D4629">
        <v>3.9033769999999999</v>
      </c>
      <c r="E4629">
        <v>0.56012489999999904</v>
      </c>
      <c r="F4629" t="s">
        <v>41</v>
      </c>
      <c r="G4629">
        <v>-191.90110000000001</v>
      </c>
      <c r="H4629">
        <v>1.0314219999999901</v>
      </c>
      <c r="I4629">
        <v>171.26159999999999</v>
      </c>
      <c r="J4629">
        <v>-191.75960000000001</v>
      </c>
      <c r="K4629">
        <v>1.108886</v>
      </c>
      <c r="L4629">
        <v>172.0224</v>
      </c>
      <c r="M4629">
        <v>-1.6186170000000001E-4</v>
      </c>
      <c r="N4629">
        <v>-8.6433510000000005E-3</v>
      </c>
      <c r="O4629">
        <v>-0.99996289999999999</v>
      </c>
      <c r="P4629">
        <v>-1.9766889999999998E-3</v>
      </c>
      <c r="Q4629">
        <v>-0.1058212</v>
      </c>
      <c r="R4629">
        <v>-0.99438349999999998</v>
      </c>
      <c r="S4629">
        <v>-0.48155209999999998</v>
      </c>
      <c r="T4629">
        <v>-0.26355339999999999</v>
      </c>
      <c r="U4629">
        <v>-2.9881739999999999</v>
      </c>
      <c r="V4629">
        <v>1.7392079999999999E-3</v>
      </c>
      <c r="W4629">
        <v>-9.7223870000000004E-2</v>
      </c>
      <c r="X4629">
        <v>0.99526099999999995</v>
      </c>
      <c r="Y4629">
        <v>0.15838849999999999</v>
      </c>
      <c r="Z4629">
        <v>7.8134599999999998E-2</v>
      </c>
      <c r="AA4629">
        <v>0.9842805</v>
      </c>
      <c r="AB4629">
        <v>20</v>
      </c>
      <c r="AC4629">
        <v>-0.14150000000000701</v>
      </c>
      <c r="AD4629">
        <v>-7.7464000000000199E-2</v>
      </c>
      <c r="AE4629">
        <v>-0.76080000000001702</v>
      </c>
      <c r="AF4629">
        <v>0.139974235917775</v>
      </c>
      <c r="AG4629">
        <v>-7.7464000000000199E-2</v>
      </c>
      <c r="AH4629">
        <v>0.75327469741033204</v>
      </c>
      <c r="AI4629">
        <v>95.773303986946303</v>
      </c>
      <c r="AJ4629">
        <v>79.473306960961594</v>
      </c>
      <c r="AK4629">
        <v>0.77007546888301304</v>
      </c>
      <c r="AL4629">
        <v>95.579330928876203</v>
      </c>
      <c r="AM4629">
        <v>89.899876337300498</v>
      </c>
      <c r="AN4629">
        <v>0.99999998193162098</v>
      </c>
    </row>
    <row r="4630" spans="1:40" x14ac:dyDescent="0.25">
      <c r="A4630" t="str">
        <f>"20190305135023956"</f>
        <v>20190305135023956</v>
      </c>
      <c r="B4630" t="str">
        <f>"1551765023945209"</f>
        <v>1551765023945209</v>
      </c>
      <c r="C4630" t="s">
        <v>40</v>
      </c>
      <c r="D4630">
        <v>3.960521</v>
      </c>
      <c r="E4630">
        <v>0.55985929999999995</v>
      </c>
      <c r="F4630" t="s">
        <v>41</v>
      </c>
      <c r="G4630">
        <v>-191.88380000000001</v>
      </c>
      <c r="H4630">
        <v>1.0412619999999999</v>
      </c>
      <c r="I4630">
        <v>171.2561</v>
      </c>
      <c r="J4630">
        <v>-191.75989999999999</v>
      </c>
      <c r="K4630">
        <v>1.1088849999999999</v>
      </c>
      <c r="L4630">
        <v>171.92330000000001</v>
      </c>
      <c r="M4630">
        <v>-4.3465319999999997E-4</v>
      </c>
      <c r="N4630">
        <v>-8.6387640000000002E-3</v>
      </c>
      <c r="O4630">
        <v>-0.99996289999999999</v>
      </c>
      <c r="P4630">
        <v>-2.2874459999999998E-3</v>
      </c>
      <c r="Q4630">
        <v>-0.1062362</v>
      </c>
      <c r="R4630">
        <v>-0.99433879999999997</v>
      </c>
      <c r="S4630">
        <v>-0.48330689999999998</v>
      </c>
      <c r="T4630">
        <v>-0.2637736</v>
      </c>
      <c r="U4630">
        <v>-2.9878999999999998</v>
      </c>
      <c r="V4630">
        <v>1.778186E-3</v>
      </c>
      <c r="W4630">
        <v>-9.7643779999999999E-2</v>
      </c>
      <c r="X4630">
        <v>0.99521979999999999</v>
      </c>
      <c r="Y4630">
        <v>0.1586957</v>
      </c>
      <c r="Z4630">
        <v>7.8212980000000001E-2</v>
      </c>
      <c r="AA4630">
        <v>0.98422480000000001</v>
      </c>
      <c r="AB4630">
        <v>20</v>
      </c>
      <c r="AC4630">
        <v>-0.12390000000001999</v>
      </c>
      <c r="AD4630">
        <v>-6.7622999999999905E-2</v>
      </c>
      <c r="AE4630">
        <v>-0.66720000000000801</v>
      </c>
      <c r="AF4630">
        <v>0.12239458934118901</v>
      </c>
      <c r="AG4630">
        <v>-6.7622999999999905E-2</v>
      </c>
      <c r="AH4630">
        <v>0.66069306001841699</v>
      </c>
      <c r="AI4630">
        <v>95.746857240763802</v>
      </c>
      <c r="AJ4630">
        <v>79.504831934692902</v>
      </c>
      <c r="AK4630">
        <v>0.67532853129828496</v>
      </c>
      <c r="AL4630">
        <v>95.6035051436684</v>
      </c>
      <c r="AM4630">
        <v>89.897628197737703</v>
      </c>
      <c r="AN4630">
        <v>0.99999996001508795</v>
      </c>
    </row>
    <row r="4631" spans="1:40" x14ac:dyDescent="0.25">
      <c r="A4631" t="str">
        <f>"20190305135023968"</f>
        <v>20190305135023968</v>
      </c>
      <c r="B4631" t="str">
        <f>"1551765023954968"</f>
        <v>1551765023954968</v>
      </c>
      <c r="C4631" t="s">
        <v>40</v>
      </c>
      <c r="D4631">
        <v>3.955473</v>
      </c>
      <c r="E4631">
        <v>0.55985929999999995</v>
      </c>
      <c r="F4631" t="s">
        <v>41</v>
      </c>
      <c r="G4631">
        <v>-191.89670000000001</v>
      </c>
      <c r="H4631">
        <v>1.0336860000000001</v>
      </c>
      <c r="I4631">
        <v>171.0772</v>
      </c>
      <c r="J4631">
        <v>-191.7603</v>
      </c>
      <c r="K4631">
        <v>1.108881</v>
      </c>
      <c r="L4631">
        <v>171.8143</v>
      </c>
      <c r="M4631">
        <v>-7.3477359999999997E-4</v>
      </c>
      <c r="N4631">
        <v>-8.6339820000000001E-3</v>
      </c>
      <c r="O4631">
        <v>-0.99996240000000003</v>
      </c>
      <c r="P4631">
        <v>-2.7637780000000002E-3</v>
      </c>
      <c r="Q4631">
        <v>-0.1061371</v>
      </c>
      <c r="R4631">
        <v>-0.99434769999999995</v>
      </c>
      <c r="S4631">
        <v>-0.4821472</v>
      </c>
      <c r="T4631">
        <v>-0.26560929999999999</v>
      </c>
      <c r="U4631">
        <v>-2.9876100000000001</v>
      </c>
      <c r="V4631">
        <v>1.9559270000000001E-3</v>
      </c>
      <c r="W4631">
        <v>-9.7549570000000002E-2</v>
      </c>
      <c r="X4631">
        <v>0.99522880000000002</v>
      </c>
      <c r="Y4631">
        <v>0.15803420000000001</v>
      </c>
      <c r="Z4631">
        <v>7.883358E-2</v>
      </c>
      <c r="AA4631">
        <v>0.98428170000000004</v>
      </c>
      <c r="AB4631">
        <v>20</v>
      </c>
      <c r="AC4631">
        <v>-0.13640000000000799</v>
      </c>
      <c r="AD4631">
        <v>-7.5194999999999901E-2</v>
      </c>
      <c r="AE4631">
        <v>-0.73709999999999798</v>
      </c>
      <c r="AF4631">
        <v>0.13450489676709701</v>
      </c>
      <c r="AG4631">
        <v>-7.5194999999999901E-2</v>
      </c>
      <c r="AH4631">
        <v>0.729855912188486</v>
      </c>
      <c r="AI4631">
        <v>95.785520768566101</v>
      </c>
      <c r="AJ4631">
        <v>79.558139577027106</v>
      </c>
      <c r="AK4631">
        <v>0.74594604887740601</v>
      </c>
      <c r="AL4631">
        <v>95.598080885928596</v>
      </c>
      <c r="AM4631">
        <v>89.887396528463</v>
      </c>
      <c r="AN4631">
        <v>1.0000000543035199</v>
      </c>
    </row>
    <row r="4632" spans="1:40" x14ac:dyDescent="0.25">
      <c r="A4632" t="str">
        <f>"20190305135023984"</f>
        <v>20190305135023984</v>
      </c>
      <c r="B4632" t="str">
        <f>"1551765023975463"</f>
        <v>1551765023975463</v>
      </c>
      <c r="C4632" t="s">
        <v>40</v>
      </c>
      <c r="D4632">
        <v>3.9546709999999998</v>
      </c>
      <c r="E4632">
        <v>0.53698639999999997</v>
      </c>
      <c r="F4632" t="s">
        <v>41</v>
      </c>
      <c r="G4632">
        <v>-191.88069999999999</v>
      </c>
      <c r="H4632">
        <v>1.042956</v>
      </c>
      <c r="I4632">
        <v>171.0719</v>
      </c>
      <c r="J4632">
        <v>-191.76089999999999</v>
      </c>
      <c r="K4632">
        <v>1.108873</v>
      </c>
      <c r="L4632">
        <v>171.67429999999999</v>
      </c>
      <c r="M4632">
        <v>-1.120546E-3</v>
      </c>
      <c r="N4632">
        <v>-8.6285849999999994E-3</v>
      </c>
      <c r="O4632">
        <v>-0.99996220000000002</v>
      </c>
      <c r="P4632">
        <v>-3.2673139999999999E-3</v>
      </c>
      <c r="Q4632">
        <v>-0.1061874</v>
      </c>
      <c r="R4632">
        <v>-0.99434089999999997</v>
      </c>
      <c r="S4632">
        <v>-0.48355100000000001</v>
      </c>
      <c r="T4632">
        <v>-0.2653683</v>
      </c>
      <c r="U4632">
        <v>-2.9873959999999999</v>
      </c>
      <c r="V4632">
        <v>2.0755460000000002E-3</v>
      </c>
      <c r="W4632">
        <v>-9.7605399999999995E-2</v>
      </c>
      <c r="X4632">
        <v>0.99522299999999997</v>
      </c>
      <c r="Y4632">
        <v>0.15811600000000001</v>
      </c>
      <c r="Z4632">
        <v>7.8762750000000006E-2</v>
      </c>
      <c r="AA4632">
        <v>0.98427419999999999</v>
      </c>
      <c r="AB4632">
        <v>20</v>
      </c>
      <c r="AC4632">
        <v>-0.11979999999999701</v>
      </c>
      <c r="AD4632">
        <v>-6.5916999999999906E-2</v>
      </c>
      <c r="AE4632">
        <v>-0.60239999999998795</v>
      </c>
      <c r="AF4632">
        <v>0.11776841805194301</v>
      </c>
      <c r="AG4632">
        <v>-6.5916999999999906E-2</v>
      </c>
      <c r="AH4632">
        <v>0.59567286718413703</v>
      </c>
      <c r="AI4632">
        <v>96.195676252139407</v>
      </c>
      <c r="AJ4632">
        <v>78.816474913733401</v>
      </c>
      <c r="AK4632">
        <v>0.61077050999440696</v>
      </c>
      <c r="AL4632">
        <v>95.601295516184393</v>
      </c>
      <c r="AM4632">
        <v>89.880509339537298</v>
      </c>
      <c r="AN4632">
        <v>0.99999997086467796</v>
      </c>
    </row>
    <row r="4633" spans="1:40" x14ac:dyDescent="0.25">
      <c r="A4633" t="str">
        <f>"20190305135023994"</f>
        <v>20190305135023994</v>
      </c>
      <c r="B4633" t="str">
        <f>"1551765023985224"</f>
        <v>1551765023985224</v>
      </c>
      <c r="C4633" t="s">
        <v>40</v>
      </c>
      <c r="D4633">
        <v>3.9187759999999998</v>
      </c>
      <c r="E4633">
        <v>0.53661610000000004</v>
      </c>
      <c r="F4633" t="s">
        <v>41</v>
      </c>
      <c r="G4633">
        <v>-191.84129999999999</v>
      </c>
      <c r="H4633">
        <v>0.9787363</v>
      </c>
      <c r="I4633">
        <v>170.92089999999999</v>
      </c>
      <c r="J4633">
        <v>-191.76130000000001</v>
      </c>
      <c r="K4633">
        <v>1.1088720000000001</v>
      </c>
      <c r="L4633">
        <v>171.57239999999999</v>
      </c>
      <c r="M4633">
        <v>-1.4008110000000001E-3</v>
      </c>
      <c r="N4633">
        <v>-8.6249209999999903E-3</v>
      </c>
      <c r="O4633">
        <v>-0.99996189999999996</v>
      </c>
      <c r="P4633">
        <v>-3.7901250000000001E-3</v>
      </c>
      <c r="Q4633">
        <v>-0.106127399999999</v>
      </c>
      <c r="R4633">
        <v>-0.99434549999999999</v>
      </c>
      <c r="S4633">
        <v>-0.31515500000000002</v>
      </c>
      <c r="T4633">
        <v>-0.51158119999999996</v>
      </c>
      <c r="U4633">
        <v>-2.9614259999999999</v>
      </c>
      <c r="V4633">
        <v>2.31949E-3</v>
      </c>
      <c r="W4633">
        <v>-9.7549129999999998E-2</v>
      </c>
      <c r="X4633">
        <v>0.995228</v>
      </c>
      <c r="Y4633">
        <v>0.10297190000000001</v>
      </c>
      <c r="Z4633">
        <v>0.16080510000000001</v>
      </c>
      <c r="AA4633">
        <v>0.98160000000000003</v>
      </c>
      <c r="AB4633">
        <v>20</v>
      </c>
      <c r="AC4633">
        <v>-7.9999999999984001E-2</v>
      </c>
      <c r="AD4633">
        <v>-0.13013569999999899</v>
      </c>
      <c r="AE4633">
        <v>-0.65149999999999797</v>
      </c>
      <c r="AF4633">
        <v>7.6096183484512595E-2</v>
      </c>
      <c r="AG4633">
        <v>-0.13013569999999899</v>
      </c>
      <c r="AH4633">
        <v>0.62696752151214197</v>
      </c>
      <c r="AI4633">
        <v>101.642934638528</v>
      </c>
      <c r="AJ4633">
        <v>83.079755987930596</v>
      </c>
      <c r="AK4633">
        <v>0.64483657044748699</v>
      </c>
      <c r="AL4633">
        <v>95.598055902673707</v>
      </c>
      <c r="AM4633">
        <v>89.866466028887302</v>
      </c>
      <c r="AN4633">
        <v>0.99999999239080795</v>
      </c>
    </row>
    <row r="4634" spans="1:40" x14ac:dyDescent="0.25">
      <c r="A4634" t="str">
        <f>"20190305135024005"</f>
        <v>20190305135024005</v>
      </c>
      <c r="B4634" t="str">
        <f>"1551765023994984"</f>
        <v>1551765023994984</v>
      </c>
      <c r="C4634" t="s">
        <v>40</v>
      </c>
      <c r="D4634">
        <v>4.0181230000000001</v>
      </c>
      <c r="E4634">
        <v>0.53566219999999998</v>
      </c>
      <c r="F4634" t="s">
        <v>41</v>
      </c>
      <c r="G4634">
        <v>-191.8494</v>
      </c>
      <c r="H4634">
        <v>0.96025850000000001</v>
      </c>
      <c r="I4634">
        <v>170.74549999999999</v>
      </c>
      <c r="J4634">
        <v>-191.76169999999999</v>
      </c>
      <c r="K4634">
        <v>1.108876</v>
      </c>
      <c r="L4634">
        <v>171.464</v>
      </c>
      <c r="M4634">
        <v>-1.6989360000000001E-3</v>
      </c>
      <c r="N4634">
        <v>-8.6213019999999904E-3</v>
      </c>
      <c r="O4634">
        <v>-0.9999614</v>
      </c>
      <c r="P4634">
        <v>-4.1610730000000004E-3</v>
      </c>
      <c r="Q4634">
        <v>-0.10601430000000001</v>
      </c>
      <c r="R4634">
        <v>-0.99435600000000002</v>
      </c>
      <c r="S4634">
        <v>-0.31491089999999999</v>
      </c>
      <c r="T4634">
        <v>-0.53180609999999995</v>
      </c>
      <c r="U4634">
        <v>-2.9591059999999998</v>
      </c>
      <c r="V4634">
        <v>2.393807E-3</v>
      </c>
      <c r="W4634">
        <v>-9.7439559999999995E-2</v>
      </c>
      <c r="X4634">
        <v>0.99523850000000003</v>
      </c>
      <c r="Y4634">
        <v>0.1025566</v>
      </c>
      <c r="Z4634">
        <v>0.16744519999999999</v>
      </c>
      <c r="AA4634">
        <v>0.98053259999999998</v>
      </c>
      <c r="AB4634">
        <v>21</v>
      </c>
      <c r="AC4634">
        <v>-8.7700000000012296E-2</v>
      </c>
      <c r="AD4634">
        <v>-0.14861750000000001</v>
      </c>
      <c r="AE4634">
        <v>-0.718500000000034</v>
      </c>
      <c r="AF4634">
        <v>8.2980962412321793E-2</v>
      </c>
      <c r="AG4634">
        <v>-0.14861750000000001</v>
      </c>
      <c r="AH4634">
        <v>0.68957783381996895</v>
      </c>
      <c r="AI4634">
        <v>102.077781473253</v>
      </c>
      <c r="AJ4634">
        <v>83.138255453094402</v>
      </c>
      <c r="AK4634">
        <v>0.71027501034808105</v>
      </c>
      <c r="AL4634">
        <v>95.591748275293895</v>
      </c>
      <c r="AM4634">
        <v>89.862189039535096</v>
      </c>
      <c r="AN4634">
        <v>0.99999993502359596</v>
      </c>
    </row>
    <row r="4635" spans="1:40" x14ac:dyDescent="0.25">
      <c r="A4635" t="str">
        <f>"20190305135024018"</f>
        <v>20190305135024018</v>
      </c>
      <c r="B4635" t="str">
        <f>"1551765024015480"</f>
        <v>1551765024015480</v>
      </c>
      <c r="C4635" t="s">
        <v>40</v>
      </c>
      <c r="D4635">
        <v>4.010732</v>
      </c>
      <c r="E4635">
        <v>0.53515459999999904</v>
      </c>
      <c r="F4635" t="s">
        <v>41</v>
      </c>
      <c r="G4635">
        <v>-191.83770000000001</v>
      </c>
      <c r="H4635">
        <v>0.9734138</v>
      </c>
      <c r="I4635">
        <v>170.73920000000001</v>
      </c>
      <c r="J4635">
        <v>-191.76220000000001</v>
      </c>
      <c r="K4635">
        <v>1.1088750000000001</v>
      </c>
      <c r="L4635">
        <v>171.36089999999999</v>
      </c>
      <c r="M4635">
        <v>-1.9824550000000002E-3</v>
      </c>
      <c r="N4635">
        <v>-8.6182259999999997E-3</v>
      </c>
      <c r="O4635">
        <v>-0.99996099999999999</v>
      </c>
      <c r="P4635">
        <v>-4.6022709999999998E-3</v>
      </c>
      <c r="Q4635">
        <v>-0.10577259999999999</v>
      </c>
      <c r="R4635">
        <v>-0.99437980000000004</v>
      </c>
      <c r="S4635">
        <v>-0.30952449999999998</v>
      </c>
      <c r="T4635">
        <v>-0.5525601</v>
      </c>
      <c r="U4635">
        <v>-2.9568020000000002</v>
      </c>
      <c r="V4635">
        <v>2.5529820000000001E-3</v>
      </c>
      <c r="W4635">
        <v>-9.7200889999999998E-2</v>
      </c>
      <c r="X4635">
        <v>0.99526150000000002</v>
      </c>
      <c r="Y4635">
        <v>0.1004636</v>
      </c>
      <c r="Z4635">
        <v>0.17427200000000001</v>
      </c>
      <c r="AA4635">
        <v>0.97955919999999996</v>
      </c>
      <c r="AB4635">
        <v>21</v>
      </c>
      <c r="AC4635">
        <v>-7.5500000000005202E-2</v>
      </c>
      <c r="AD4635">
        <v>-0.135461199999999</v>
      </c>
      <c r="AE4635">
        <v>-0.62169999999997505</v>
      </c>
      <c r="AF4635">
        <v>7.0947987073629898E-2</v>
      </c>
      <c r="AG4635">
        <v>-0.135461199999999</v>
      </c>
      <c r="AH4635">
        <v>0.59405536888317401</v>
      </c>
      <c r="AI4635">
        <v>102.75773722520999</v>
      </c>
      <c r="AJ4635">
        <v>83.189428080775002</v>
      </c>
      <c r="AK4635">
        <v>0.61342084646200601</v>
      </c>
      <c r="AL4635">
        <v>95.578007949362203</v>
      </c>
      <c r="AM4635">
        <v>89.853028804040306</v>
      </c>
      <c r="AN4635">
        <v>0.999999992058067</v>
      </c>
    </row>
    <row r="4636" spans="1:40" x14ac:dyDescent="0.25">
      <c r="A4636" t="str">
        <f>"20190305135024029"</f>
        <v>20190305135024029</v>
      </c>
      <c r="B4636" t="str">
        <f>"1551765024025240"</f>
        <v>1551765024025240</v>
      </c>
      <c r="C4636" t="s">
        <v>40</v>
      </c>
      <c r="D4636">
        <v>4.005566</v>
      </c>
      <c r="E4636">
        <v>0.53493729999999995</v>
      </c>
      <c r="F4636" t="s">
        <v>41</v>
      </c>
      <c r="G4636">
        <v>-191.84559999999999</v>
      </c>
      <c r="H4636">
        <v>0.9523971</v>
      </c>
      <c r="I4636">
        <v>170.56460000000001</v>
      </c>
      <c r="J4636">
        <v>-191.7628</v>
      </c>
      <c r="K4636">
        <v>1.108873</v>
      </c>
      <c r="L4636">
        <v>171.25040000000001</v>
      </c>
      <c r="M4636">
        <v>-2.286457E-3</v>
      </c>
      <c r="N4636">
        <v>-8.6150919999999995E-3</v>
      </c>
      <c r="O4636">
        <v>-0.99996019999999997</v>
      </c>
      <c r="P4636">
        <v>-4.9003509999999998E-3</v>
      </c>
      <c r="Q4636">
        <v>-0.1052913</v>
      </c>
      <c r="R4636">
        <v>-0.99442949999999997</v>
      </c>
      <c r="S4636">
        <v>-0.3085175</v>
      </c>
      <c r="T4636">
        <v>-0.58040809999999998</v>
      </c>
      <c r="U4636">
        <v>-2.9537960000000001</v>
      </c>
      <c r="V4636">
        <v>2.5487750000000001E-3</v>
      </c>
      <c r="W4636">
        <v>-9.6722359999999993E-2</v>
      </c>
      <c r="X4636">
        <v>0.99530819999999998</v>
      </c>
      <c r="Y4636">
        <v>9.9758769999999997E-2</v>
      </c>
      <c r="Z4636">
        <v>0.18336479999999999</v>
      </c>
      <c r="AA4636">
        <v>0.97797009999999995</v>
      </c>
      <c r="AB4636">
        <v>21</v>
      </c>
      <c r="AC4636">
        <v>-8.27999999999917E-2</v>
      </c>
      <c r="AD4636">
        <v>-0.1564759</v>
      </c>
      <c r="AE4636">
        <v>-0.68579999999999997</v>
      </c>
      <c r="AF4636">
        <v>7.72669856606958E-2</v>
      </c>
      <c r="AG4636">
        <v>-0.1564759</v>
      </c>
      <c r="AH4636">
        <v>0.65250642875035303</v>
      </c>
      <c r="AI4636">
        <v>103.39512006326299</v>
      </c>
      <c r="AJ4636">
        <v>83.246730125820505</v>
      </c>
      <c r="AK4636">
        <v>0.67544025192050805</v>
      </c>
      <c r="AL4636">
        <v>95.550460008879099</v>
      </c>
      <c r="AM4636">
        <v>89.853277877931006</v>
      </c>
      <c r="AN4636">
        <v>1.0000000620825999</v>
      </c>
    </row>
    <row r="4637" spans="1:40" x14ac:dyDescent="0.25">
      <c r="A4637" t="str">
        <f>"20190305135024040"</f>
        <v>20190305135024040</v>
      </c>
      <c r="B4637" t="str">
        <f>"1551765024035000"</f>
        <v>1551765024035000</v>
      </c>
      <c r="C4637" t="s">
        <v>40</v>
      </c>
      <c r="D4637">
        <v>3.9948440000000001</v>
      </c>
      <c r="E4637">
        <v>0.53467529999999996</v>
      </c>
      <c r="F4637" t="s">
        <v>41</v>
      </c>
      <c r="G4637">
        <v>-191.83539999999999</v>
      </c>
      <c r="H4637">
        <v>0.97101749999999998</v>
      </c>
      <c r="I4637">
        <v>170.55549999999999</v>
      </c>
      <c r="J4637">
        <v>-191.76339999999999</v>
      </c>
      <c r="K4637">
        <v>1.10887</v>
      </c>
      <c r="L4637">
        <v>171.14789999999999</v>
      </c>
      <c r="M4637">
        <v>-2.5684169999999999E-3</v>
      </c>
      <c r="N4637">
        <v>-8.6126499999999995E-3</v>
      </c>
      <c r="O4637">
        <v>-0.99995979999999995</v>
      </c>
      <c r="P4637">
        <v>-5.3416720000000004E-3</v>
      </c>
      <c r="Q4637">
        <v>-0.1049972</v>
      </c>
      <c r="R4637">
        <v>-0.99445839999999996</v>
      </c>
      <c r="S4637">
        <v>-0.30801390000000001</v>
      </c>
      <c r="T4637">
        <v>-0.58592440000000001</v>
      </c>
      <c r="U4637">
        <v>-2.9532470000000002</v>
      </c>
      <c r="V4637">
        <v>2.7096580000000002E-3</v>
      </c>
      <c r="W4637">
        <v>-9.6430539999999995E-2</v>
      </c>
      <c r="X4637">
        <v>0.99533609999999995</v>
      </c>
      <c r="Y4637">
        <v>9.9296679999999998E-2</v>
      </c>
      <c r="Z4637">
        <v>0.18516550000000001</v>
      </c>
      <c r="AA4637">
        <v>0.97767780000000004</v>
      </c>
      <c r="AB4637">
        <v>21</v>
      </c>
      <c r="AC4637">
        <v>-7.2000000000002701E-2</v>
      </c>
      <c r="AD4637">
        <v>-0.13785249999999999</v>
      </c>
      <c r="AE4637">
        <v>-0.59239999999999704</v>
      </c>
      <c r="AF4637">
        <v>6.6907850236583993E-2</v>
      </c>
      <c r="AG4637">
        <v>-0.13785249999999999</v>
      </c>
      <c r="AH4637">
        <v>0.56256355339434405</v>
      </c>
      <c r="AI4637">
        <v>103.67591879202</v>
      </c>
      <c r="AJ4637">
        <v>83.217452809856795</v>
      </c>
      <c r="AK4637">
        <v>0.58305893680416399</v>
      </c>
      <c r="AL4637">
        <v>95.5336613787251</v>
      </c>
      <c r="AM4637">
        <v>89.844020945497405</v>
      </c>
      <c r="AN4637">
        <v>1.00000007162718</v>
      </c>
    </row>
    <row r="4638" spans="1:40" x14ac:dyDescent="0.25">
      <c r="A4638" t="str">
        <f>"20190305135024052"</f>
        <v>20190305135024052</v>
      </c>
      <c r="B4638" t="str">
        <f>"1551765024044759"</f>
        <v>1551765024044759</v>
      </c>
      <c r="C4638" t="s">
        <v>40</v>
      </c>
      <c r="D4638">
        <v>3.9954399999999999</v>
      </c>
      <c r="E4638">
        <v>0.53463899999999998</v>
      </c>
      <c r="F4638" t="s">
        <v>41</v>
      </c>
      <c r="G4638">
        <v>-191.84360000000001</v>
      </c>
      <c r="H4638">
        <v>0.95486819999999895</v>
      </c>
      <c r="I4638">
        <v>170.37809999999999</v>
      </c>
      <c r="J4638">
        <v>-191.76390000000001</v>
      </c>
      <c r="K4638">
        <v>1.108868</v>
      </c>
      <c r="L4638">
        <v>171.04150000000001</v>
      </c>
      <c r="M4638">
        <v>-2.860867E-3</v>
      </c>
      <c r="N4638">
        <v>-8.6102030000000003E-3</v>
      </c>
      <c r="O4638">
        <v>-0.99995909999999999</v>
      </c>
      <c r="P4638">
        <v>-5.7734029999999999E-3</v>
      </c>
      <c r="Q4638">
        <v>-0.10490729999999999</v>
      </c>
      <c r="R4638">
        <v>-0.99446540000000005</v>
      </c>
      <c r="S4638">
        <v>-0.30743409999999999</v>
      </c>
      <c r="T4638">
        <v>-0.59070990000000001</v>
      </c>
      <c r="U4638">
        <v>-2.9526979999999998</v>
      </c>
      <c r="V4638">
        <v>2.85039E-3</v>
      </c>
      <c r="W4638">
        <v>-9.6343059999999994E-2</v>
      </c>
      <c r="X4638">
        <v>0.99534409999999895</v>
      </c>
      <c r="Y4638">
        <v>9.8803589999999997E-2</v>
      </c>
      <c r="Z4638">
        <v>0.18673300000000001</v>
      </c>
      <c r="AA4638">
        <v>0.97742960000000001</v>
      </c>
      <c r="AB4638">
        <v>21</v>
      </c>
      <c r="AC4638">
        <v>-7.9700000000002505E-2</v>
      </c>
      <c r="AD4638">
        <v>-0.15399979999999999</v>
      </c>
      <c r="AE4638">
        <v>-0.66340000000002397</v>
      </c>
      <c r="AF4638">
        <v>7.3877273412096905E-2</v>
      </c>
      <c r="AG4638">
        <v>-0.15399979999999999</v>
      </c>
      <c r="AH4638">
        <v>0.63015107691719996</v>
      </c>
      <c r="AI4638">
        <v>103.64316914064401</v>
      </c>
      <c r="AJ4638">
        <v>83.313315620770297</v>
      </c>
      <c r="AK4638">
        <v>0.65288909446149601</v>
      </c>
      <c r="AL4638">
        <v>95.528626130271505</v>
      </c>
      <c r="AM4638">
        <v>89.835921194967895</v>
      </c>
      <c r="AN4638">
        <v>0.999999993669062</v>
      </c>
    </row>
    <row r="4639" spans="1:40" x14ac:dyDescent="0.25">
      <c r="A4639" t="str">
        <f>"20190305135024062"</f>
        <v>20190305135024062</v>
      </c>
      <c r="B4639" t="str">
        <f>"1551765024054520"</f>
        <v>1551765024054520</v>
      </c>
      <c r="C4639" t="s">
        <v>40</v>
      </c>
      <c r="D4639">
        <v>3.9753970000000001</v>
      </c>
      <c r="E4639">
        <v>0.5344198</v>
      </c>
      <c r="F4639" t="s">
        <v>41</v>
      </c>
      <c r="G4639">
        <v>-191.85220000000001</v>
      </c>
      <c r="H4639">
        <v>0.93923889999999999</v>
      </c>
      <c r="I4639">
        <v>170.19980000000001</v>
      </c>
      <c r="J4639">
        <v>-191.7645</v>
      </c>
      <c r="K4639">
        <v>1.1088659999999999</v>
      </c>
      <c r="L4639">
        <v>170.94099999999901</v>
      </c>
      <c r="M4639">
        <v>-3.1373550000000001E-3</v>
      </c>
      <c r="N4639">
        <v>-8.6081519999999905E-3</v>
      </c>
      <c r="O4639">
        <v>-0.99995809999999996</v>
      </c>
      <c r="P4639">
        <v>-5.9849279999999996E-3</v>
      </c>
      <c r="Q4639">
        <v>-0.10466449999999999</v>
      </c>
      <c r="R4639">
        <v>-0.99448959999999997</v>
      </c>
      <c r="S4639">
        <v>-0.30874629999999997</v>
      </c>
      <c r="T4639">
        <v>-0.59492080000000003</v>
      </c>
      <c r="U4639">
        <v>-2.9521329999999999</v>
      </c>
      <c r="V4639">
        <v>2.7868580000000001E-3</v>
      </c>
      <c r="W4639">
        <v>-9.6102080000000006E-2</v>
      </c>
      <c r="X4639">
        <v>0.99536760000000002</v>
      </c>
      <c r="Y4639">
        <v>9.8949570000000001E-2</v>
      </c>
      <c r="Z4639">
        <v>0.18810489999999999</v>
      </c>
      <c r="AA4639">
        <v>0.97715180000000001</v>
      </c>
      <c r="AB4639">
        <v>21</v>
      </c>
      <c r="AC4639">
        <v>-8.7700000000012296E-2</v>
      </c>
      <c r="AD4639">
        <v>-0.169627099999999</v>
      </c>
      <c r="AE4639">
        <v>-0.741199999999963</v>
      </c>
      <c r="AF4639">
        <v>8.1180968076045704E-2</v>
      </c>
      <c r="AG4639">
        <v>-0.169627099999999</v>
      </c>
      <c r="AH4639">
        <v>0.705054490458079</v>
      </c>
      <c r="AI4639">
        <v>103.441985090157</v>
      </c>
      <c r="AJ4639">
        <v>83.431807291187994</v>
      </c>
      <c r="AK4639">
        <v>0.72970236202665195</v>
      </c>
      <c r="AL4639">
        <v>95.514754494071695</v>
      </c>
      <c r="AM4639">
        <v>89.839582095829698</v>
      </c>
      <c r="AN4639">
        <v>1.00000001774379</v>
      </c>
    </row>
    <row r="4640" spans="1:40" x14ac:dyDescent="0.25">
      <c r="A4640" t="str">
        <f>"20190305135024075"</f>
        <v>20190305135024075</v>
      </c>
      <c r="B4640" t="str">
        <f>"1551765024065256"</f>
        <v>1551765024065256</v>
      </c>
      <c r="C4640" t="s">
        <v>40</v>
      </c>
      <c r="D4640">
        <v>3.9407640000000002</v>
      </c>
      <c r="E4640">
        <v>0.53423679999999996</v>
      </c>
      <c r="F4640" t="s">
        <v>41</v>
      </c>
      <c r="G4640">
        <v>-191.84299999999999</v>
      </c>
      <c r="H4640">
        <v>0.95699670000000003</v>
      </c>
      <c r="I4640">
        <v>170.19120000000001</v>
      </c>
      <c r="J4640">
        <v>-191.76519999999999</v>
      </c>
      <c r="K4640">
        <v>1.108867</v>
      </c>
      <c r="L4640">
        <v>170.82689999999999</v>
      </c>
      <c r="M4640">
        <v>-3.4510109999999999E-3</v>
      </c>
      <c r="N4640">
        <v>-8.6059450000000003E-3</v>
      </c>
      <c r="O4640">
        <v>-0.99995690000000004</v>
      </c>
      <c r="P4640">
        <v>-6.1987550000000002E-3</v>
      </c>
      <c r="Q4640">
        <v>-0.1044663</v>
      </c>
      <c r="R4640">
        <v>-0.99450919999999998</v>
      </c>
      <c r="S4640">
        <v>-0.30784610000000001</v>
      </c>
      <c r="T4640">
        <v>-0.59795739999999997</v>
      </c>
      <c r="U4640">
        <v>-2.9518589999999998</v>
      </c>
      <c r="V4640">
        <v>2.6885920000000001E-3</v>
      </c>
      <c r="W4640">
        <v>-9.5905779999999996E-2</v>
      </c>
      <c r="X4640">
        <v>0.99538680000000002</v>
      </c>
      <c r="Y4640">
        <v>9.8332429999999998E-2</v>
      </c>
      <c r="Z4640">
        <v>0.1890992</v>
      </c>
      <c r="AA4640">
        <v>0.9770221</v>
      </c>
      <c r="AB4640">
        <v>21</v>
      </c>
      <c r="AC4640">
        <v>-7.7799999999996303E-2</v>
      </c>
      <c r="AD4640">
        <v>-0.15187030000000001</v>
      </c>
      <c r="AE4640">
        <v>-0.63569999999998505</v>
      </c>
      <c r="AF4640">
        <v>7.1580521375010406E-2</v>
      </c>
      <c r="AG4640">
        <v>-0.15187030000000001</v>
      </c>
      <c r="AH4640">
        <v>0.60210694876589099</v>
      </c>
      <c r="AI4640">
        <v>104.061460687186</v>
      </c>
      <c r="AJ4640">
        <v>83.220303164450897</v>
      </c>
      <c r="AK4640">
        <v>0.62507690472019495</v>
      </c>
      <c r="AL4640">
        <v>95.503455159030906</v>
      </c>
      <c r="AM4640">
        <v>89.845241468127597</v>
      </c>
      <c r="AN4640">
        <v>1.00000001438929</v>
      </c>
    </row>
    <row r="4641" spans="1:40" x14ac:dyDescent="0.25">
      <c r="A4641" t="str">
        <f>"20190305135024088"</f>
        <v>20190305135024088</v>
      </c>
      <c r="B4641" t="str">
        <f>"1551765024075016"</f>
        <v>1551765024075016</v>
      </c>
      <c r="C4641" t="s">
        <v>40</v>
      </c>
      <c r="D4641">
        <v>3.9409019999999999</v>
      </c>
      <c r="E4641">
        <v>0.53405119999999995</v>
      </c>
      <c r="F4641" t="s">
        <v>41</v>
      </c>
      <c r="G4641">
        <v>-191.8502</v>
      </c>
      <c r="H4641">
        <v>0.94304169999999998</v>
      </c>
      <c r="I4641">
        <v>170.01169999999999</v>
      </c>
      <c r="J4641">
        <v>-191.76599999999999</v>
      </c>
      <c r="K4641">
        <v>1.108865</v>
      </c>
      <c r="L4641">
        <v>170.7054</v>
      </c>
      <c r="M4641">
        <v>-3.7849989999999998E-3</v>
      </c>
      <c r="N4641">
        <v>-8.6037470000000001E-3</v>
      </c>
      <c r="O4641">
        <v>-0.99995599999999996</v>
      </c>
      <c r="P4641">
        <v>-6.5535599999999999E-3</v>
      </c>
      <c r="Q4641">
        <v>-0.10445980000000001</v>
      </c>
      <c r="R4641">
        <v>-0.9945079</v>
      </c>
      <c r="S4641">
        <v>-0.30711359999999999</v>
      </c>
      <c r="T4641">
        <v>-0.60037980000000002</v>
      </c>
      <c r="U4641">
        <v>-2.9515690000000001</v>
      </c>
      <c r="V4641">
        <v>2.7109679999999998E-3</v>
      </c>
      <c r="W4641">
        <v>-9.5901500000000001E-2</v>
      </c>
      <c r="X4641">
        <v>0.99538709999999997</v>
      </c>
      <c r="Y4641">
        <v>9.7754369999999993E-2</v>
      </c>
      <c r="Z4641">
        <v>0.18989800000000001</v>
      </c>
      <c r="AA4641">
        <v>0.97692520000000005</v>
      </c>
      <c r="AB4641">
        <v>21</v>
      </c>
      <c r="AC4641">
        <v>-8.4200000000009795E-2</v>
      </c>
      <c r="AD4641">
        <v>-0.16582330000000001</v>
      </c>
      <c r="AE4641">
        <v>-0.69370000000000598</v>
      </c>
      <c r="AF4641">
        <v>7.7225000781686995E-2</v>
      </c>
      <c r="AG4641">
        <v>-0.16582330000000001</v>
      </c>
      <c r="AH4641">
        <v>0.65701625453575796</v>
      </c>
      <c r="AI4641">
        <v>104.071983092848</v>
      </c>
      <c r="AJ4641">
        <v>83.296272878212605</v>
      </c>
      <c r="AK4641">
        <v>0.68200544447446898</v>
      </c>
      <c r="AL4641">
        <v>95.503209081490496</v>
      </c>
      <c r="AM4641">
        <v>89.843953532505793</v>
      </c>
      <c r="AN4641">
        <v>0.99999996294807703</v>
      </c>
    </row>
    <row r="4642" spans="1:40" x14ac:dyDescent="0.25">
      <c r="A4642" t="str">
        <f>"20190305135024102"</f>
        <v>20190305135024102</v>
      </c>
      <c r="B4642" t="str">
        <f>"1551765024094536"</f>
        <v>1551765024094536</v>
      </c>
      <c r="C4642" t="s">
        <v>40</v>
      </c>
      <c r="D4642">
        <v>4.0214080000000001</v>
      </c>
      <c r="E4642">
        <v>0.53409269999999998</v>
      </c>
      <c r="F4642" t="s">
        <v>41</v>
      </c>
      <c r="G4642">
        <v>-191.83940000000001</v>
      </c>
      <c r="H4642">
        <v>0.96584610000000004</v>
      </c>
      <c r="I4642">
        <v>170.00059999999999</v>
      </c>
      <c r="J4642">
        <v>-191.76689999999999</v>
      </c>
      <c r="K4642">
        <v>1.108862</v>
      </c>
      <c r="L4642">
        <v>170.58</v>
      </c>
      <c r="M4642">
        <v>-4.1295919999999996E-3</v>
      </c>
      <c r="N4642">
        <v>-8.6018589999999999E-3</v>
      </c>
      <c r="O4642">
        <v>-0.99995480000000003</v>
      </c>
      <c r="P4642">
        <v>-6.7111339999999997E-3</v>
      </c>
      <c r="Q4642">
        <v>-0.1043036</v>
      </c>
      <c r="R4642">
        <v>-0.99452320000000005</v>
      </c>
      <c r="S4642">
        <v>-0.30664059999999999</v>
      </c>
      <c r="T4642">
        <v>-0.59895799999999999</v>
      </c>
      <c r="U4642">
        <v>-2.9516300000000002</v>
      </c>
      <c r="V4642">
        <v>2.5256300000000001E-3</v>
      </c>
      <c r="W4642">
        <v>-9.5746860000000003E-2</v>
      </c>
      <c r="X4642">
        <v>0.99540249999999997</v>
      </c>
      <c r="Y4642">
        <v>9.7264160000000002E-2</v>
      </c>
      <c r="Z4642">
        <v>0.18945010000000001</v>
      </c>
      <c r="AA4642">
        <v>0.97706110000000002</v>
      </c>
      <c r="AB4642">
        <v>21</v>
      </c>
      <c r="AC4642">
        <v>-7.2500000000019299E-2</v>
      </c>
      <c r="AD4642">
        <v>-0.1430159</v>
      </c>
      <c r="AE4642">
        <v>-0.57940000000002101</v>
      </c>
      <c r="AF4642">
        <v>6.6139058089694905E-2</v>
      </c>
      <c r="AG4642">
        <v>-0.1430159</v>
      </c>
      <c r="AH4642">
        <v>0.54688775860724803</v>
      </c>
      <c r="AI4642">
        <v>104.553660895645</v>
      </c>
      <c r="AJ4642">
        <v>83.104298802511295</v>
      </c>
      <c r="AK4642">
        <v>0.56913455629777199</v>
      </c>
      <c r="AL4642">
        <v>95.494307760166507</v>
      </c>
      <c r="AM4642">
        <v>89.854624004786004</v>
      </c>
      <c r="AN4642">
        <v>0.99999998850650296</v>
      </c>
    </row>
    <row r="4643" spans="1:40" x14ac:dyDescent="0.25">
      <c r="A4643" t="str">
        <f>"20190305135024115"</f>
        <v>20190305135024115</v>
      </c>
      <c r="B4643" t="str">
        <f>"1551765024105271"</f>
        <v>1551765024105271</v>
      </c>
      <c r="C4643" t="s">
        <v>40</v>
      </c>
      <c r="D4643">
        <v>3.9673669999999999</v>
      </c>
      <c r="E4643">
        <v>0.5510195</v>
      </c>
      <c r="F4643" t="s">
        <v>41</v>
      </c>
      <c r="G4643">
        <v>-191.84630000000001</v>
      </c>
      <c r="H4643">
        <v>0.95474619999999999</v>
      </c>
      <c r="I4643">
        <v>169.8193</v>
      </c>
      <c r="J4643">
        <v>-191.76779999999999</v>
      </c>
      <c r="K4643">
        <v>1.1088659999999999</v>
      </c>
      <c r="L4643">
        <v>170.45599999999999</v>
      </c>
      <c r="M4643">
        <v>-4.470501E-3</v>
      </c>
      <c r="N4643">
        <v>-8.6002200000000004E-3</v>
      </c>
      <c r="O4643">
        <v>-0.99995330000000004</v>
      </c>
      <c r="P4643">
        <v>-6.9969019999999897E-3</v>
      </c>
      <c r="Q4643">
        <v>-0.1042781</v>
      </c>
      <c r="R4643">
        <v>-0.99452390000000002</v>
      </c>
      <c r="S4643">
        <v>-0.30737300000000001</v>
      </c>
      <c r="T4643">
        <v>-0.59794799999999904</v>
      </c>
      <c r="U4643">
        <v>-2.951721</v>
      </c>
      <c r="V4643">
        <v>2.47211E-3</v>
      </c>
      <c r="W4643">
        <v>-9.5722970000000004E-2</v>
      </c>
      <c r="X4643">
        <v>0.99540499999999998</v>
      </c>
      <c r="Y4643">
        <v>9.716843E-2</v>
      </c>
      <c r="Z4643">
        <v>0.18912290000000001</v>
      </c>
      <c r="AA4643">
        <v>0.97713399999999995</v>
      </c>
      <c r="AB4643">
        <v>21</v>
      </c>
      <c r="AC4643">
        <v>-7.8500000000019499E-2</v>
      </c>
      <c r="AD4643">
        <v>-0.154119799999999</v>
      </c>
      <c r="AE4643">
        <v>-0.63669999999999005</v>
      </c>
      <c r="AF4643">
        <v>7.1524637065516997E-2</v>
      </c>
      <c r="AG4643">
        <v>-0.154119799999999</v>
      </c>
      <c r="AH4643">
        <v>0.60228328623791605</v>
      </c>
      <c r="AI4643">
        <v>104.25749955592801</v>
      </c>
      <c r="AJ4643">
        <v>83.227512003600097</v>
      </c>
      <c r="AK4643">
        <v>0.62579057466610799</v>
      </c>
      <c r="AL4643">
        <v>95.492932275091505</v>
      </c>
      <c r="AM4643">
        <v>89.857704976081095</v>
      </c>
      <c r="AN4643">
        <v>1.0000000561692299</v>
      </c>
    </row>
    <row r="4644" spans="1:40" x14ac:dyDescent="0.25">
      <c r="A4644" t="str">
        <f>"20190305135024130"</f>
        <v>20190305135024130</v>
      </c>
      <c r="B4644" t="str">
        <f>"1551765024115032"</f>
        <v>1551765024115032</v>
      </c>
      <c r="C4644" t="s">
        <v>40</v>
      </c>
      <c r="D4644">
        <v>3.9714640000000001</v>
      </c>
      <c r="E4644">
        <v>0.55259080000000005</v>
      </c>
      <c r="F4644" t="s">
        <v>41</v>
      </c>
      <c r="G4644">
        <v>-191.89099999999999</v>
      </c>
      <c r="H4644">
        <v>0.93262120000000004</v>
      </c>
      <c r="I4644">
        <v>169.64160000000001</v>
      </c>
      <c r="J4644">
        <v>-191.7688</v>
      </c>
      <c r="K4644">
        <v>1.1088639999999901</v>
      </c>
      <c r="L4644">
        <v>170.31620000000001</v>
      </c>
      <c r="M4644">
        <v>-4.8550019999999998E-3</v>
      </c>
      <c r="N4644">
        <v>-8.5986810000000004E-3</v>
      </c>
      <c r="O4644">
        <v>-0.99995140000000005</v>
      </c>
      <c r="P4644">
        <v>-7.2456419999999896E-3</v>
      </c>
      <c r="Q4644">
        <v>-0.10422729999999999</v>
      </c>
      <c r="R4644">
        <v>-0.9945273</v>
      </c>
      <c r="S4644">
        <v>-0.44549559999999999</v>
      </c>
      <c r="T4644">
        <v>-0.63763009999999998</v>
      </c>
      <c r="U4644">
        <v>-2.9465180000000002</v>
      </c>
      <c r="V4644">
        <v>2.338194E-3</v>
      </c>
      <c r="W4644">
        <v>-9.5673599999999998E-2</v>
      </c>
      <c r="X4644">
        <v>0.99541000000000002</v>
      </c>
      <c r="Y4644">
        <v>0.1415092</v>
      </c>
      <c r="Z4644">
        <v>0.20089199999999999</v>
      </c>
      <c r="AA4644">
        <v>0.9693387</v>
      </c>
      <c r="AB4644">
        <v>21</v>
      </c>
      <c r="AC4644">
        <v>-0.122199999999992</v>
      </c>
      <c r="AD4644">
        <v>-0.17624279999999901</v>
      </c>
      <c r="AE4644">
        <v>-0.67459999999999798</v>
      </c>
      <c r="AF4644">
        <v>0.11155129599388799</v>
      </c>
      <c r="AG4644">
        <v>-0.17624279999999901</v>
      </c>
      <c r="AH4644">
        <v>0.633331144457145</v>
      </c>
      <c r="AI4644">
        <v>105.32618976571599</v>
      </c>
      <c r="AJ4644">
        <v>80.010710921664597</v>
      </c>
      <c r="AK4644">
        <v>0.66679348731759003</v>
      </c>
      <c r="AL4644">
        <v>95.4900909238509</v>
      </c>
      <c r="AM4644">
        <v>89.865413848078006</v>
      </c>
      <c r="AN4644">
        <v>0.99999998649406996</v>
      </c>
    </row>
    <row r="4645" spans="1:40" x14ac:dyDescent="0.25">
      <c r="A4645" t="str">
        <f>"20190305135024142"</f>
        <v>20190305135024142</v>
      </c>
      <c r="B4645" t="str">
        <f>"1551765024134486"</f>
        <v>1551765024134486</v>
      </c>
      <c r="C4645" t="s">
        <v>40</v>
      </c>
      <c r="D4645">
        <v>3.9242729999999999</v>
      </c>
      <c r="E4645">
        <v>0.55339320000000003</v>
      </c>
      <c r="F4645" t="s">
        <v>41</v>
      </c>
      <c r="G4645">
        <v>-191.90270000000001</v>
      </c>
      <c r="H4645">
        <v>0.92372600000000005</v>
      </c>
      <c r="I4645">
        <v>169.45760000000001</v>
      </c>
      <c r="J4645">
        <v>-191.7698</v>
      </c>
      <c r="K4645">
        <v>1.1088610000000001</v>
      </c>
      <c r="L4645">
        <v>170.19579999999999</v>
      </c>
      <c r="M4645">
        <v>-5.1858540000000002E-3</v>
      </c>
      <c r="N4645">
        <v>-8.5976679999999993E-3</v>
      </c>
      <c r="O4645">
        <v>-0.9999498</v>
      </c>
      <c r="P4645">
        <v>-7.5232429999999998E-3</v>
      </c>
      <c r="Q4645">
        <v>-0.10412109999999999</v>
      </c>
      <c r="R4645">
        <v>-0.99453639999999999</v>
      </c>
      <c r="S4645">
        <v>-0.45860289999999998</v>
      </c>
      <c r="T4645">
        <v>-0.63538619999999901</v>
      </c>
      <c r="U4645">
        <v>-2.9465940000000002</v>
      </c>
      <c r="V4645">
        <v>2.2865300000000002E-3</v>
      </c>
      <c r="W4645">
        <v>-9.5568249999999993E-2</v>
      </c>
      <c r="X4645">
        <v>0.99542030000000004</v>
      </c>
      <c r="Y4645">
        <v>0.14541289999999901</v>
      </c>
      <c r="Z4645">
        <v>0.20005609999999999</v>
      </c>
      <c r="AA4645">
        <v>0.96893379999999996</v>
      </c>
      <c r="AB4645">
        <v>21</v>
      </c>
      <c r="AC4645">
        <v>-0.13290000000000601</v>
      </c>
      <c r="AD4645">
        <v>-0.18513499999999999</v>
      </c>
      <c r="AE4645">
        <v>-0.73819999999997699</v>
      </c>
      <c r="AF4645">
        <v>0.12165818235541501</v>
      </c>
      <c r="AG4645">
        <v>-0.18513499999999999</v>
      </c>
      <c r="AH4645">
        <v>0.69644998594121799</v>
      </c>
      <c r="AI4645">
        <v>104.674071664083</v>
      </c>
      <c r="AJ4645">
        <v>80.091361775671302</v>
      </c>
      <c r="AK4645">
        <v>0.73083395137099805</v>
      </c>
      <c r="AL4645">
        <v>95.484026699435503</v>
      </c>
      <c r="AM4645">
        <v>89.868388972666693</v>
      </c>
      <c r="AN4645">
        <v>1.00000004613979</v>
      </c>
    </row>
    <row r="4646" spans="1:40" x14ac:dyDescent="0.25">
      <c r="A4646" t="str">
        <f>"20190305135024153"</f>
        <v>20190305135024153</v>
      </c>
      <c r="B4646" t="str">
        <f>"1551765024145223"</f>
        <v>1551765024145223</v>
      </c>
      <c r="C4646" t="s">
        <v>40</v>
      </c>
      <c r="D4646">
        <v>3.9728840000000001</v>
      </c>
      <c r="E4646">
        <v>0.55357780000000001</v>
      </c>
      <c r="F4646" t="s">
        <v>41</v>
      </c>
      <c r="G4646">
        <v>-191.88849999999999</v>
      </c>
      <c r="H4646">
        <v>0.94706959999999996</v>
      </c>
      <c r="I4646">
        <v>169.44720000000001</v>
      </c>
      <c r="J4646">
        <v>-191.7706</v>
      </c>
      <c r="K4646">
        <v>1.108857</v>
      </c>
      <c r="L4646">
        <v>170.09790000000001</v>
      </c>
      <c r="M4646">
        <v>-5.4549339999999998E-3</v>
      </c>
      <c r="N4646">
        <v>-8.5968969999999992E-3</v>
      </c>
      <c r="O4646">
        <v>-0.99994830000000001</v>
      </c>
      <c r="P4646">
        <v>-7.8754819999999996E-3</v>
      </c>
      <c r="Q4646">
        <v>-0.1039234</v>
      </c>
      <c r="R4646">
        <v>-0.99455420000000005</v>
      </c>
      <c r="S4646">
        <v>-0.46600340000000001</v>
      </c>
      <c r="T4646">
        <v>-0.63678279999999998</v>
      </c>
      <c r="U4646">
        <v>-2.9462890000000002</v>
      </c>
      <c r="V4646">
        <v>2.3709920000000002E-3</v>
      </c>
      <c r="W4646">
        <v>-9.5371209999999998E-2</v>
      </c>
      <c r="X4646">
        <v>0.99543890000000002</v>
      </c>
      <c r="Y4646">
        <v>0.1475223</v>
      </c>
      <c r="Z4646">
        <v>0.2004445</v>
      </c>
      <c r="AA4646">
        <v>0.96853449999999996</v>
      </c>
      <c r="AB4646">
        <v>21</v>
      </c>
      <c r="AC4646">
        <v>-0.117899999999991</v>
      </c>
      <c r="AD4646">
        <v>-0.1617874</v>
      </c>
      <c r="AE4646">
        <v>-0.65069999999999995</v>
      </c>
      <c r="AF4646">
        <v>0.107890805327947</v>
      </c>
      <c r="AG4646">
        <v>-0.1617874</v>
      </c>
      <c r="AH4646">
        <v>0.61454971897105204</v>
      </c>
      <c r="AI4646">
        <v>104.536430914457</v>
      </c>
      <c r="AJ4646">
        <v>80.042583941035602</v>
      </c>
      <c r="AK4646">
        <v>0.64458276874306297</v>
      </c>
      <c r="AL4646">
        <v>95.472685883126701</v>
      </c>
      <c r="AM4646">
        <v>89.863529968578504</v>
      </c>
      <c r="AN4646">
        <v>0.99999994646656698</v>
      </c>
    </row>
    <row r="4647" spans="1:40" x14ac:dyDescent="0.25">
      <c r="A4647" t="str">
        <f>"20190305135024163"</f>
        <v>20190305135024163</v>
      </c>
      <c r="B4647" t="str">
        <f>"1551765024154983"</f>
        <v>1551765024154983</v>
      </c>
      <c r="C4647" t="s">
        <v>40</v>
      </c>
      <c r="D4647">
        <v>3.94672</v>
      </c>
      <c r="E4647">
        <v>0.55353459999999999</v>
      </c>
      <c r="F4647" t="s">
        <v>41</v>
      </c>
      <c r="G4647">
        <v>-191.90289999999999</v>
      </c>
      <c r="H4647">
        <v>0.92931229999999998</v>
      </c>
      <c r="I4647">
        <v>169.26689999999999</v>
      </c>
      <c r="J4647">
        <v>-191.7714</v>
      </c>
      <c r="K4647">
        <v>1.1088559999999901</v>
      </c>
      <c r="L4647">
        <v>169.99510000000001</v>
      </c>
      <c r="M4647">
        <v>-5.7379129999999999E-3</v>
      </c>
      <c r="N4647">
        <v>-8.5961930000000002E-3</v>
      </c>
      <c r="O4647">
        <v>-0.99994689999999997</v>
      </c>
      <c r="P4647">
        <v>-8.2274310000000003E-3</v>
      </c>
      <c r="Q4647">
        <v>-0.1038948</v>
      </c>
      <c r="R4647">
        <v>-0.99455450000000001</v>
      </c>
      <c r="S4647">
        <v>-0.46847529999999998</v>
      </c>
      <c r="T4647">
        <v>-0.63653599999999999</v>
      </c>
      <c r="U4647">
        <v>-2.9461979999999999</v>
      </c>
      <c r="V4647">
        <v>2.4412489999999999E-3</v>
      </c>
      <c r="W4647">
        <v>-9.5343399999999995E-2</v>
      </c>
      <c r="X4647">
        <v>0.99544140000000003</v>
      </c>
      <c r="Y4647">
        <v>0.14804239999999999</v>
      </c>
      <c r="Z4647">
        <v>0.20035230000000001</v>
      </c>
      <c r="AA4647">
        <v>0.96847430000000001</v>
      </c>
      <c r="AB4647">
        <v>21</v>
      </c>
      <c r="AC4647">
        <v>-0.13149999999998799</v>
      </c>
      <c r="AD4647">
        <v>-0.179543699999999</v>
      </c>
      <c r="AE4647">
        <v>-0.72820000000001495</v>
      </c>
      <c r="AF4647">
        <v>0.120240627049995</v>
      </c>
      <c r="AG4647">
        <v>-0.179543699999999</v>
      </c>
      <c r="AH4647">
        <v>0.68841478887725904</v>
      </c>
      <c r="AI4647">
        <v>104.408686099969</v>
      </c>
      <c r="AJ4647">
        <v>80.092487676528293</v>
      </c>
      <c r="AK4647">
        <v>0.72153216847759905</v>
      </c>
      <c r="AL4647">
        <v>95.471085161631393</v>
      </c>
      <c r="AM4647">
        <v>89.859486471003294</v>
      </c>
      <c r="AN4647">
        <v>0.99999995222709803</v>
      </c>
    </row>
    <row r="4648" spans="1:40" x14ac:dyDescent="0.25">
      <c r="A4648" t="str">
        <f>"20190305135024175"</f>
        <v>20190305135024175</v>
      </c>
      <c r="B4648" t="str">
        <f>"1551765024164743"</f>
        <v>1551765024164743</v>
      </c>
      <c r="C4648" t="s">
        <v>40</v>
      </c>
      <c r="D4648">
        <v>3.956807</v>
      </c>
      <c r="E4648">
        <v>0.55329879999999998</v>
      </c>
      <c r="F4648" t="s">
        <v>41</v>
      </c>
      <c r="G4648">
        <v>-191.88900000000001</v>
      </c>
      <c r="H4648">
        <v>0.94969570000000003</v>
      </c>
      <c r="I4648">
        <v>169.2578</v>
      </c>
      <c r="J4648">
        <v>-191.7723</v>
      </c>
      <c r="K4648">
        <v>1.1088519999999999</v>
      </c>
      <c r="L4648">
        <v>169.89189999999999</v>
      </c>
      <c r="M4648">
        <v>-6.0218889999999999E-3</v>
      </c>
      <c r="N4648">
        <v>-8.5955649999999995E-3</v>
      </c>
      <c r="O4648">
        <v>-0.99994499999999997</v>
      </c>
      <c r="P4648">
        <v>-8.6861790000000005E-3</v>
      </c>
      <c r="Q4648">
        <v>-0.1037372</v>
      </c>
      <c r="R4648">
        <v>-0.99456690000000003</v>
      </c>
      <c r="S4648">
        <v>-0.46900940000000002</v>
      </c>
      <c r="T4648">
        <v>-0.63602190000000003</v>
      </c>
      <c r="U4648">
        <v>-2.9461360000000001</v>
      </c>
      <c r="V4648">
        <v>2.6173239999999999E-3</v>
      </c>
      <c r="W4648">
        <v>-9.5186380000000001E-2</v>
      </c>
      <c r="X4648">
        <v>0.99545600000000001</v>
      </c>
      <c r="Y4648">
        <v>0.1479414</v>
      </c>
      <c r="Z4648">
        <v>0.20019400000000001</v>
      </c>
      <c r="AA4648">
        <v>0.96852240000000001</v>
      </c>
      <c r="AB4648">
        <v>21</v>
      </c>
      <c r="AC4648">
        <v>-0.11670000000000801</v>
      </c>
      <c r="AD4648">
        <v>-0.159156299999999</v>
      </c>
      <c r="AE4648">
        <v>-0.63409999999998901</v>
      </c>
      <c r="AF4648">
        <v>0.10639603502125999</v>
      </c>
      <c r="AG4648">
        <v>-0.159156299999999</v>
      </c>
      <c r="AH4648">
        <v>0.59833200121626495</v>
      </c>
      <c r="AI4648">
        <v>104.675690253326</v>
      </c>
      <c r="AJ4648">
        <v>79.916997715042001</v>
      </c>
      <c r="AK4648">
        <v>0.62821336166735198</v>
      </c>
      <c r="AL4648">
        <v>95.462047362330495</v>
      </c>
      <c r="AM4648">
        <v>89.849354192194497</v>
      </c>
      <c r="AN4648">
        <v>0.99999997262921203</v>
      </c>
    </row>
    <row r="4649" spans="1:40" x14ac:dyDescent="0.25">
      <c r="A4649" t="str">
        <f>"20190305135024186"</f>
        <v>20190305135024186</v>
      </c>
      <c r="B4649" t="str">
        <f>"1551765024174502"</f>
        <v>1551765024174502</v>
      </c>
      <c r="C4649" t="s">
        <v>40</v>
      </c>
      <c r="D4649">
        <v>3.9626220000000001</v>
      </c>
      <c r="E4649">
        <v>0.5531393</v>
      </c>
      <c r="F4649" t="s">
        <v>41</v>
      </c>
      <c r="G4649">
        <v>-191.9023</v>
      </c>
      <c r="H4649">
        <v>0.93323929999999999</v>
      </c>
      <c r="I4649">
        <v>169.07640000000001</v>
      </c>
      <c r="J4649">
        <v>-191.77330000000001</v>
      </c>
      <c r="K4649">
        <v>1.1088499999999999</v>
      </c>
      <c r="L4649">
        <v>169.78530000000001</v>
      </c>
      <c r="M4649">
        <v>-6.3157869999999998E-3</v>
      </c>
      <c r="N4649">
        <v>-8.5950019999999992E-3</v>
      </c>
      <c r="O4649">
        <v>-0.99994309999999997</v>
      </c>
      <c r="P4649">
        <v>-9.1925210000000004E-3</v>
      </c>
      <c r="Q4649">
        <v>-0.103825</v>
      </c>
      <c r="R4649">
        <v>-0.99455309999999997</v>
      </c>
      <c r="S4649">
        <v>-0.46861269999999999</v>
      </c>
      <c r="T4649">
        <v>-0.63442869999999996</v>
      </c>
      <c r="U4649">
        <v>-2.9461210000000002</v>
      </c>
      <c r="V4649">
        <v>2.831044E-3</v>
      </c>
      <c r="W4649">
        <v>-9.5275020000000002E-2</v>
      </c>
      <c r="X4649">
        <v>0.99544699999999997</v>
      </c>
      <c r="Y4649">
        <v>0.147540899999999</v>
      </c>
      <c r="Z4649">
        <v>0.19970309999999999</v>
      </c>
      <c r="AA4649">
        <v>0.96868489999999996</v>
      </c>
      <c r="AB4649">
        <v>21</v>
      </c>
      <c r="AC4649">
        <v>-0.12899999999999001</v>
      </c>
      <c r="AD4649">
        <v>-0.17561069999999901</v>
      </c>
      <c r="AE4649">
        <v>-0.70889999999999898</v>
      </c>
      <c r="AF4649">
        <v>0.11753826910915301</v>
      </c>
      <c r="AG4649">
        <v>-0.17561069999999901</v>
      </c>
      <c r="AH4649">
        <v>0.66990831357493397</v>
      </c>
      <c r="AI4649">
        <v>104.477427878586</v>
      </c>
      <c r="AJ4649">
        <v>80.048502519418193</v>
      </c>
      <c r="AK4649">
        <v>0.70244680315058505</v>
      </c>
      <c r="AL4649">
        <v>95.467148894117301</v>
      </c>
      <c r="AM4649">
        <v>89.837051660718899</v>
      </c>
      <c r="AN4649">
        <v>1.0000000370275599</v>
      </c>
    </row>
    <row r="4650" spans="1:40" x14ac:dyDescent="0.25">
      <c r="A4650" t="str">
        <f>"20190305135024197"</f>
        <v>20190305135024197</v>
      </c>
      <c r="B4650" t="str">
        <f>"1551765024185238"</f>
        <v>1551765024185238</v>
      </c>
      <c r="C4650" t="s">
        <v>40</v>
      </c>
      <c r="D4650">
        <v>3.9161640000000002</v>
      </c>
      <c r="E4650">
        <v>0.55302799999999996</v>
      </c>
      <c r="F4650" t="s">
        <v>41</v>
      </c>
      <c r="G4650">
        <v>-191.8879</v>
      </c>
      <c r="H4650">
        <v>0.95424399999999998</v>
      </c>
      <c r="I4650">
        <v>169.06700000000001</v>
      </c>
      <c r="J4650">
        <v>-191.77440000000001</v>
      </c>
      <c r="K4650">
        <v>1.108849</v>
      </c>
      <c r="L4650">
        <v>169.6747</v>
      </c>
      <c r="M4650">
        <v>-6.6208409999999997E-3</v>
      </c>
      <c r="N4650">
        <v>-8.5945420000000002E-3</v>
      </c>
      <c r="O4650">
        <v>-0.99994119999999997</v>
      </c>
      <c r="P4650">
        <v>-9.4829979999999994E-3</v>
      </c>
      <c r="Q4650">
        <v>-0.1035972</v>
      </c>
      <c r="R4650">
        <v>-0.99457419999999996</v>
      </c>
      <c r="S4650">
        <v>-0.46878049999999999</v>
      </c>
      <c r="T4650">
        <v>-0.63411240000000002</v>
      </c>
      <c r="U4650">
        <v>-2.9459080000000002</v>
      </c>
      <c r="V4650">
        <v>2.8178270000000002E-3</v>
      </c>
      <c r="W4650">
        <v>-9.5047510000000002E-2</v>
      </c>
      <c r="X4650">
        <v>0.99546869999999998</v>
      </c>
      <c r="Y4650">
        <v>0.14730699999999999</v>
      </c>
      <c r="Z4650">
        <v>0.19962079999999999</v>
      </c>
      <c r="AA4650">
        <v>0.96873739999999997</v>
      </c>
      <c r="AB4650">
        <v>21</v>
      </c>
      <c r="AC4650">
        <v>-0.113499999999987</v>
      </c>
      <c r="AD4650">
        <v>-0.15460499999999899</v>
      </c>
      <c r="AE4650">
        <v>-0.60769999999999402</v>
      </c>
      <c r="AF4650">
        <v>0.10303008782529301</v>
      </c>
      <c r="AG4650">
        <v>-0.15460499999999899</v>
      </c>
      <c r="AH4650">
        <v>0.57262462181278795</v>
      </c>
      <c r="AI4650">
        <v>104.88112229601001</v>
      </c>
      <c r="AJ4650">
        <v>79.800130238409196</v>
      </c>
      <c r="AK4650">
        <v>0.60201068306843697</v>
      </c>
      <c r="AL4650">
        <v>95.454054576580603</v>
      </c>
      <c r="AM4650">
        <v>89.837815932043</v>
      </c>
      <c r="AN4650">
        <v>0.99999995099294403</v>
      </c>
    </row>
    <row r="4651" spans="1:40" x14ac:dyDescent="0.25">
      <c r="A4651" t="str">
        <f>"20190305135024208"</f>
        <v>20190305135024208</v>
      </c>
      <c r="B4651" t="str">
        <f>"1551765024204758"</f>
        <v>1551765024204758</v>
      </c>
      <c r="C4651" t="s">
        <v>40</v>
      </c>
      <c r="D4651">
        <v>3.92171</v>
      </c>
      <c r="E4651">
        <v>0.55298319999999901</v>
      </c>
      <c r="F4651" t="s">
        <v>41</v>
      </c>
      <c r="G4651">
        <v>-191.90010000000001</v>
      </c>
      <c r="H4651">
        <v>0.93898320000000002</v>
      </c>
      <c r="I4651">
        <v>168.88470000000001</v>
      </c>
      <c r="J4651">
        <v>-191.77539999999999</v>
      </c>
      <c r="K4651">
        <v>1.1088480000000001</v>
      </c>
      <c r="L4651">
        <v>169.56720000000001</v>
      </c>
      <c r="M4651">
        <v>-6.9172720000000004E-3</v>
      </c>
      <c r="N4651">
        <v>-8.5941449999999992E-3</v>
      </c>
      <c r="O4651">
        <v>-0.99993929999999998</v>
      </c>
      <c r="P4651">
        <v>-9.9721219999999999E-3</v>
      </c>
      <c r="Q4651">
        <v>-0.1034113</v>
      </c>
      <c r="R4651">
        <v>-0.9945889</v>
      </c>
      <c r="S4651">
        <v>-0.46871950000000001</v>
      </c>
      <c r="T4651">
        <v>-0.63343930000000004</v>
      </c>
      <c r="U4651">
        <v>-2.9459080000000002</v>
      </c>
      <c r="V4651">
        <v>3.011826E-3</v>
      </c>
      <c r="W4651">
        <v>-9.4862080000000001E-2</v>
      </c>
      <c r="X4651">
        <v>0.99548579999999998</v>
      </c>
      <c r="Y4651">
        <v>0.14700139999999901</v>
      </c>
      <c r="Z4651">
        <v>0.19941429999999999</v>
      </c>
      <c r="AA4651">
        <v>0.96882639999999998</v>
      </c>
      <c r="AB4651">
        <v>21</v>
      </c>
      <c r="AC4651">
        <v>-0.124700000000018</v>
      </c>
      <c r="AD4651">
        <v>-0.16986480000000001</v>
      </c>
      <c r="AE4651">
        <v>-0.68250000000000399</v>
      </c>
      <c r="AF4651">
        <v>0.113190784235954</v>
      </c>
      <c r="AG4651">
        <v>-0.16986480000000001</v>
      </c>
      <c r="AH4651">
        <v>0.64470083978779402</v>
      </c>
      <c r="AI4651">
        <v>104.54786926614899</v>
      </c>
      <c r="AJ4651">
        <v>80.042012707058902</v>
      </c>
      <c r="AK4651">
        <v>0.67624357796438805</v>
      </c>
      <c r="AL4651">
        <v>95.443382102058806</v>
      </c>
      <c r="AM4651">
        <v>89.826653085454893</v>
      </c>
      <c r="AN4651">
        <v>0.99999993165970702</v>
      </c>
    </row>
    <row r="4652" spans="1:40" x14ac:dyDescent="0.25">
      <c r="A4652" t="str">
        <f>"20190305135024220"</f>
        <v>20190305135024220</v>
      </c>
      <c r="B4652" t="str">
        <f>"1551765024214520"</f>
        <v>1551765024214520</v>
      </c>
      <c r="C4652" t="s">
        <v>40</v>
      </c>
      <c r="D4652">
        <v>3.9338389999999999</v>
      </c>
      <c r="E4652">
        <v>0.55289270000000001</v>
      </c>
      <c r="F4652" t="s">
        <v>41</v>
      </c>
      <c r="G4652">
        <v>-191.88579999999999</v>
      </c>
      <c r="H4652">
        <v>0.96031180000000005</v>
      </c>
      <c r="I4652">
        <v>168.875</v>
      </c>
      <c r="J4652">
        <v>-191.7764</v>
      </c>
      <c r="K4652">
        <v>1.108849</v>
      </c>
      <c r="L4652">
        <v>169.46530000000001</v>
      </c>
      <c r="M4652">
        <v>-7.1985579999999999E-3</v>
      </c>
      <c r="N4652">
        <v>-8.59391199999999E-3</v>
      </c>
      <c r="O4652">
        <v>-0.99993719999999997</v>
      </c>
      <c r="P4652">
        <v>-1.058839E-2</v>
      </c>
      <c r="Q4652">
        <v>-0.1027494</v>
      </c>
      <c r="R4652">
        <v>-0.99465079999999995</v>
      </c>
      <c r="S4652">
        <v>-0.46990969999999999</v>
      </c>
      <c r="T4652">
        <v>-0.63210319999999998</v>
      </c>
      <c r="U4652">
        <v>-2.9459080000000002</v>
      </c>
      <c r="V4652">
        <v>3.3481069999999999E-3</v>
      </c>
      <c r="W4652">
        <v>-9.4200130000000007E-2</v>
      </c>
      <c r="X4652">
        <v>0.99554770000000004</v>
      </c>
      <c r="Y4652">
        <v>0.147119</v>
      </c>
      <c r="Z4652">
        <v>0.1989861</v>
      </c>
      <c r="AA4652">
        <v>0.9688966</v>
      </c>
      <c r="AB4652">
        <v>21</v>
      </c>
      <c r="AC4652">
        <v>-0.109399999999993</v>
      </c>
      <c r="AD4652">
        <v>-0.14853719999999901</v>
      </c>
      <c r="AE4652">
        <v>-0.59030000000001304</v>
      </c>
      <c r="AF4652">
        <v>9.9082362042367603E-2</v>
      </c>
      <c r="AG4652">
        <v>-0.14853719999999901</v>
      </c>
      <c r="AH4652">
        <v>0.55697685621734205</v>
      </c>
      <c r="AI4652">
        <v>104.71165534062899</v>
      </c>
      <c r="AJ4652">
        <v>79.912994854494897</v>
      </c>
      <c r="AK4652">
        <v>0.58489642896284499</v>
      </c>
      <c r="AL4652">
        <v>95.405283918949706</v>
      </c>
      <c r="AM4652">
        <v>89.807310410907306</v>
      </c>
      <c r="AN4652">
        <v>1.00000004864389</v>
      </c>
    </row>
    <row r="4653" spans="1:40" x14ac:dyDescent="0.25">
      <c r="A4653" t="str">
        <f>"20190305135024231"</f>
        <v>20190305135024231</v>
      </c>
      <c r="B4653" t="str">
        <f>"1551765024225255"</f>
        <v>1551765024225255</v>
      </c>
      <c r="C4653" t="s">
        <v>40</v>
      </c>
      <c r="D4653">
        <v>3.9162810000000001</v>
      </c>
      <c r="E4653">
        <v>0.55277129999999997</v>
      </c>
      <c r="F4653" t="s">
        <v>41</v>
      </c>
      <c r="G4653">
        <v>-191.90010000000001</v>
      </c>
      <c r="H4653">
        <v>0.94399560000000005</v>
      </c>
      <c r="I4653">
        <v>168.6927</v>
      </c>
      <c r="J4653">
        <v>-191.7775</v>
      </c>
      <c r="K4653">
        <v>1.1088499999999999</v>
      </c>
      <c r="L4653">
        <v>169.3578</v>
      </c>
      <c r="M4653">
        <v>-7.495453E-3</v>
      </c>
      <c r="N4653">
        <v>-8.5937019999999999E-3</v>
      </c>
      <c r="O4653">
        <v>-0.99993529999999997</v>
      </c>
      <c r="P4653">
        <v>-1.106967E-2</v>
      </c>
      <c r="Q4653">
        <v>-0.10267129999999999</v>
      </c>
      <c r="R4653">
        <v>-0.99465380000000003</v>
      </c>
      <c r="S4653">
        <v>-0.47093200000000002</v>
      </c>
      <c r="T4653">
        <v>-0.62862959999999901</v>
      </c>
      <c r="U4653">
        <v>-2.9461819999999999</v>
      </c>
      <c r="V4653">
        <v>3.5337749999999999E-3</v>
      </c>
      <c r="W4653">
        <v>-9.4122360000000002E-2</v>
      </c>
      <c r="X4653">
        <v>0.99555439999999995</v>
      </c>
      <c r="Y4653">
        <v>0.14717569999999999</v>
      </c>
      <c r="Z4653">
        <v>0.19786889999999999</v>
      </c>
      <c r="AA4653">
        <v>0.96911670000000005</v>
      </c>
      <c r="AB4653">
        <v>21</v>
      </c>
      <c r="AC4653">
        <v>-0.122600000000005</v>
      </c>
      <c r="AD4653">
        <v>-0.16485439999999901</v>
      </c>
      <c r="AE4653">
        <v>-0.66509999999999503</v>
      </c>
      <c r="AF4653">
        <v>0.11101490113538801</v>
      </c>
      <c r="AG4653">
        <v>-0.16485439999999901</v>
      </c>
      <c r="AH4653">
        <v>0.628647522707105</v>
      </c>
      <c r="AI4653">
        <v>104.479768043867</v>
      </c>
      <c r="AJ4653">
        <v>79.985205302744006</v>
      </c>
      <c r="AK4653">
        <v>0.65931706278484903</v>
      </c>
      <c r="AL4653">
        <v>95.400808215382099</v>
      </c>
      <c r="AM4653">
        <v>89.796626339129006</v>
      </c>
      <c r="AN4653">
        <v>1.0000000347885301</v>
      </c>
    </row>
    <row r="4654" spans="1:40" x14ac:dyDescent="0.25">
      <c r="A4654" t="str">
        <f>"20190305135024242"</f>
        <v>20190305135024242</v>
      </c>
      <c r="B4654" t="str">
        <f>"1551765024234911"</f>
        <v>1551765024234911</v>
      </c>
      <c r="C4654" t="s">
        <v>40</v>
      </c>
      <c r="D4654">
        <v>3.9489860000000001</v>
      </c>
      <c r="E4654">
        <v>0.55268980000000001</v>
      </c>
      <c r="F4654" t="s">
        <v>41</v>
      </c>
      <c r="G4654">
        <v>-191.91329999999999</v>
      </c>
      <c r="H4654">
        <v>0.92810170000000003</v>
      </c>
      <c r="I4654">
        <v>168.50960000000001</v>
      </c>
      <c r="J4654">
        <v>-191.77860000000001</v>
      </c>
      <c r="K4654">
        <v>1.1088499999999999</v>
      </c>
      <c r="L4654">
        <v>169.25099999999901</v>
      </c>
      <c r="M4654">
        <v>-7.7905919999999998E-3</v>
      </c>
      <c r="N4654">
        <v>-8.5936320000000004E-3</v>
      </c>
      <c r="O4654">
        <v>-0.99993290000000001</v>
      </c>
      <c r="P4654">
        <v>-1.147716E-2</v>
      </c>
      <c r="Q4654">
        <v>-0.1024579</v>
      </c>
      <c r="R4654">
        <v>-0.99467119999999998</v>
      </c>
      <c r="S4654">
        <v>-0.47137449999999997</v>
      </c>
      <c r="T4654">
        <v>-0.62777769999999899</v>
      </c>
      <c r="U4654">
        <v>-2.946075</v>
      </c>
      <c r="V4654">
        <v>3.647436E-3</v>
      </c>
      <c r="W4654">
        <v>-9.390896E-2</v>
      </c>
      <c r="X4654">
        <v>0.99557410000000002</v>
      </c>
      <c r="Y4654">
        <v>0.1470399</v>
      </c>
      <c r="Z4654">
        <v>0.19760739999999999</v>
      </c>
      <c r="AA4654">
        <v>0.96919069999999996</v>
      </c>
      <c r="AB4654">
        <v>21</v>
      </c>
      <c r="AC4654">
        <v>-0.13469999999998</v>
      </c>
      <c r="AD4654">
        <v>-0.180748299999999</v>
      </c>
      <c r="AE4654">
        <v>-0.74139999999996997</v>
      </c>
      <c r="AF4654">
        <v>0.121905789953862</v>
      </c>
      <c r="AG4654">
        <v>-0.180748299999999</v>
      </c>
      <c r="AH4654">
        <v>0.70203470055657202</v>
      </c>
      <c r="AI4654">
        <v>104.23384161453301</v>
      </c>
      <c r="AJ4654">
        <v>80.149023426181202</v>
      </c>
      <c r="AK4654">
        <v>0.73510794470112995</v>
      </c>
      <c r="AL4654">
        <v>95.388527127178605</v>
      </c>
      <c r="AM4654">
        <v>89.790089201959404</v>
      </c>
      <c r="AN4654">
        <v>0.999999992574232</v>
      </c>
    </row>
    <row r="4655" spans="1:40" x14ac:dyDescent="0.25">
      <c r="A4655" t="str">
        <f>"20190305135024253"</f>
        <v>20190305135024253</v>
      </c>
      <c r="B4655" t="str">
        <f>"1551765024244671"</f>
        <v>1551765024244671</v>
      </c>
      <c r="C4655" t="s">
        <v>40</v>
      </c>
      <c r="D4655">
        <v>3.9072830000000001</v>
      </c>
      <c r="E4655">
        <v>0.55262519999999904</v>
      </c>
      <c r="F4655" t="s">
        <v>41</v>
      </c>
      <c r="G4655">
        <v>-191.899</v>
      </c>
      <c r="H4655">
        <v>0.94904339999999998</v>
      </c>
      <c r="I4655">
        <v>168.50020000000001</v>
      </c>
      <c r="J4655">
        <v>-191.77969999999999</v>
      </c>
      <c r="K4655">
        <v>1.1088499999999999</v>
      </c>
      <c r="L4655">
        <v>169.1516</v>
      </c>
      <c r="M4655">
        <v>-8.0653589999999994E-3</v>
      </c>
      <c r="N4655">
        <v>-8.5935819999999902E-3</v>
      </c>
      <c r="O4655">
        <v>-0.99993069999999895</v>
      </c>
      <c r="P4655">
        <v>-1.206218E-2</v>
      </c>
      <c r="Q4655">
        <v>-0.10222870000000001</v>
      </c>
      <c r="R4655">
        <v>-0.99468789999999996</v>
      </c>
      <c r="S4655">
        <v>-0.47183229999999998</v>
      </c>
      <c r="T4655">
        <v>-0.62708960000000002</v>
      </c>
      <c r="U4655">
        <v>-2.9460139999999999</v>
      </c>
      <c r="V4655">
        <v>3.958919E-3</v>
      </c>
      <c r="W4655">
        <v>-9.3679890000000002E-2</v>
      </c>
      <c r="X4655">
        <v>0.99559450000000005</v>
      </c>
      <c r="Y4655">
        <v>0.14692529999999901</v>
      </c>
      <c r="Z4655">
        <v>0.19739380000000001</v>
      </c>
      <c r="AA4655">
        <v>0.96925159999999999</v>
      </c>
      <c r="AB4655">
        <v>21</v>
      </c>
      <c r="AC4655">
        <v>-0.119300000000009</v>
      </c>
      <c r="AD4655">
        <v>-0.15980659999999899</v>
      </c>
      <c r="AE4655">
        <v>-0.65139999999999498</v>
      </c>
      <c r="AF4655">
        <v>0.107766624657944</v>
      </c>
      <c r="AG4655">
        <v>-0.15980659999999899</v>
      </c>
      <c r="AH4655">
        <v>0.61644393412073795</v>
      </c>
      <c r="AI4655">
        <v>104.325271592975</v>
      </c>
      <c r="AJ4655">
        <v>80.083770952819407</v>
      </c>
      <c r="AK4655">
        <v>0.64587531204403503</v>
      </c>
      <c r="AL4655">
        <v>95.375344218509795</v>
      </c>
      <c r="AM4655">
        <v>89.772168132106302</v>
      </c>
      <c r="AN4655">
        <v>1.00000000163015</v>
      </c>
    </row>
    <row r="4656" spans="1:40" x14ac:dyDescent="0.25">
      <c r="A4656" t="str">
        <f>"20190305135024264"</f>
        <v>20190305135024264</v>
      </c>
      <c r="B4656" t="str">
        <f>"1551765024255407"</f>
        <v>1551765024255407</v>
      </c>
      <c r="C4656" t="s">
        <v>40</v>
      </c>
      <c r="D4656">
        <v>3.9067280000000002</v>
      </c>
      <c r="E4656">
        <v>0.55255600000000005</v>
      </c>
      <c r="F4656" t="s">
        <v>41</v>
      </c>
      <c r="G4656">
        <v>-191.91390000000001</v>
      </c>
      <c r="H4656">
        <v>0.93149820000000005</v>
      </c>
      <c r="I4656">
        <v>168.31739999999999</v>
      </c>
      <c r="J4656">
        <v>-191.7809</v>
      </c>
      <c r="K4656">
        <v>1.108849</v>
      </c>
      <c r="L4656">
        <v>169.04050000000001</v>
      </c>
      <c r="M4656">
        <v>-8.3725009999999992E-3</v>
      </c>
      <c r="N4656">
        <v>-8.59357E-3</v>
      </c>
      <c r="O4656">
        <v>-0.99992809999999999</v>
      </c>
      <c r="P4656">
        <v>-1.2615110000000001E-2</v>
      </c>
      <c r="Q4656">
        <v>-0.10231709999999999</v>
      </c>
      <c r="R4656">
        <v>-0.994672</v>
      </c>
      <c r="S4656">
        <v>-0.473053</v>
      </c>
      <c r="T4656">
        <v>-0.62630959999999902</v>
      </c>
      <c r="U4656">
        <v>-2.9459080000000002</v>
      </c>
      <c r="V4656">
        <v>4.2060789999999997E-3</v>
      </c>
      <c r="W4656">
        <v>-9.3768550000000006E-2</v>
      </c>
      <c r="X4656">
        <v>0.9955851</v>
      </c>
      <c r="Y4656">
        <v>0.14702660000000001</v>
      </c>
      <c r="Z4656">
        <v>0.19714690000000001</v>
      </c>
      <c r="AA4656">
        <v>0.96928650000000005</v>
      </c>
      <c r="AB4656">
        <v>21</v>
      </c>
      <c r="AC4656">
        <v>-0.133000000000009</v>
      </c>
      <c r="AD4656">
        <v>-0.1773508</v>
      </c>
      <c r="AE4656">
        <v>-0.72310000000001595</v>
      </c>
      <c r="AF4656">
        <v>0.119960886399557</v>
      </c>
      <c r="AG4656">
        <v>-0.1773508</v>
      </c>
      <c r="AH4656">
        <v>0.68436746683685401</v>
      </c>
      <c r="AI4656">
        <v>104.319206253262</v>
      </c>
      <c r="AJ4656">
        <v>80.057786509477594</v>
      </c>
      <c r="AK4656">
        <v>0.71707931931628</v>
      </c>
      <c r="AL4656">
        <v>95.380446737090594</v>
      </c>
      <c r="AM4656">
        <v>89.757942197756293</v>
      </c>
      <c r="AN4656">
        <v>0.99999996170583205</v>
      </c>
    </row>
    <row r="4657" spans="1:40" x14ac:dyDescent="0.25">
      <c r="A4657" t="str">
        <f>"20190305135024276"</f>
        <v>20190305135024276</v>
      </c>
      <c r="B4657" t="str">
        <f>"1551765024265168"</f>
        <v>1551765024265168</v>
      </c>
      <c r="C4657" t="s">
        <v>40</v>
      </c>
      <c r="D4657">
        <v>3.9088379999999998</v>
      </c>
      <c r="E4657">
        <v>0.55251919999999899</v>
      </c>
      <c r="F4657" t="s">
        <v>41</v>
      </c>
      <c r="G4657">
        <v>-191.89920000000001</v>
      </c>
      <c r="H4657">
        <v>0.95295669999999999</v>
      </c>
      <c r="I4657">
        <v>168.30779999999999</v>
      </c>
      <c r="J4657">
        <v>-191.78219999999999</v>
      </c>
      <c r="K4657">
        <v>1.108851</v>
      </c>
      <c r="L4657">
        <v>168.92779999999999</v>
      </c>
      <c r="M4657">
        <v>-8.6842220000000001E-3</v>
      </c>
      <c r="N4657">
        <v>-8.5936109999999993E-3</v>
      </c>
      <c r="O4657">
        <v>-0.99992550000000002</v>
      </c>
      <c r="P4657">
        <v>-1.318223E-2</v>
      </c>
      <c r="Q4657">
        <v>-0.10234550000000001</v>
      </c>
      <c r="R4657">
        <v>-0.99466160000000003</v>
      </c>
      <c r="S4657">
        <v>-0.47424319999999998</v>
      </c>
      <c r="T4657">
        <v>-0.62670239999999999</v>
      </c>
      <c r="U4657">
        <v>-2.9456020000000001</v>
      </c>
      <c r="V4657">
        <v>4.462901E-3</v>
      </c>
      <c r="W4657">
        <v>-9.3797220000000001E-2</v>
      </c>
      <c r="X4657">
        <v>0.9955813</v>
      </c>
      <c r="Y4657">
        <v>0.14711150000000001</v>
      </c>
      <c r="Z4657">
        <v>0.1972826</v>
      </c>
      <c r="AA4657">
        <v>0.96924600000000005</v>
      </c>
      <c r="AB4657">
        <v>21</v>
      </c>
      <c r="AC4657">
        <v>-0.11700000000001801</v>
      </c>
      <c r="AD4657">
        <v>-0.15589430000000001</v>
      </c>
      <c r="AE4657">
        <v>-0.62000000000000399</v>
      </c>
      <c r="AF4657">
        <v>0.105189436397871</v>
      </c>
      <c r="AG4657">
        <v>-0.15589430000000001</v>
      </c>
      <c r="AH4657">
        <v>0.58526285507240206</v>
      </c>
      <c r="AI4657">
        <v>104.69037728309399</v>
      </c>
      <c r="AJ4657">
        <v>79.810997745831401</v>
      </c>
      <c r="AK4657">
        <v>0.61473608957803305</v>
      </c>
      <c r="AL4657">
        <v>95.382096577873696</v>
      </c>
      <c r="AM4657">
        <v>89.743161428471097</v>
      </c>
      <c r="AN4657">
        <v>0.99999998043737603</v>
      </c>
    </row>
    <row r="4658" spans="1:40" x14ac:dyDescent="0.25">
      <c r="A4658" t="str">
        <f>"20190305135024289"</f>
        <v>20190305135024289</v>
      </c>
      <c r="B4658" t="str">
        <f>"1551765024284687"</f>
        <v>1551765024284687</v>
      </c>
      <c r="C4658" t="s">
        <v>40</v>
      </c>
      <c r="D4658">
        <v>3.9220519999999999</v>
      </c>
      <c r="E4658">
        <v>0.55251819999999996</v>
      </c>
      <c r="F4658" t="s">
        <v>41</v>
      </c>
      <c r="G4658">
        <v>-191.91220000000001</v>
      </c>
      <c r="H4658">
        <v>0.93771669999999996</v>
      </c>
      <c r="I4658">
        <v>168.12350000000001</v>
      </c>
      <c r="J4658">
        <v>-191.78360000000001</v>
      </c>
      <c r="K4658">
        <v>1.1088480000000001</v>
      </c>
      <c r="L4658">
        <v>168.8048</v>
      </c>
      <c r="M4658">
        <v>-9.0244250000000008E-3</v>
      </c>
      <c r="N4658">
        <v>-8.5936999999999993E-3</v>
      </c>
      <c r="O4658">
        <v>-0.99992239999999999</v>
      </c>
      <c r="P4658">
        <v>-1.371058E-2</v>
      </c>
      <c r="Q4658">
        <v>-0.1020863</v>
      </c>
      <c r="R4658">
        <v>-0.99468080000000003</v>
      </c>
      <c r="S4658">
        <v>-0.47583009999999898</v>
      </c>
      <c r="T4658">
        <v>-0.62668230000000003</v>
      </c>
      <c r="U4658">
        <v>-2.9453279999999999</v>
      </c>
      <c r="V4658">
        <v>4.652598E-3</v>
      </c>
      <c r="W4658">
        <v>-9.3537899999999993E-2</v>
      </c>
      <c r="X4658">
        <v>0.99560490000000001</v>
      </c>
      <c r="Y4658">
        <v>0.14729809999999999</v>
      </c>
      <c r="Z4658">
        <v>0.1972824</v>
      </c>
      <c r="AA4658">
        <v>0.96921769999999996</v>
      </c>
      <c r="AB4658">
        <v>21</v>
      </c>
      <c r="AC4658">
        <v>-0.12860000000000499</v>
      </c>
      <c r="AD4658">
        <v>-0.17113129999999999</v>
      </c>
      <c r="AE4658">
        <v>-0.68129999999999302</v>
      </c>
      <c r="AF4658">
        <v>0.115414832840222</v>
      </c>
      <c r="AG4658">
        <v>-0.17113129999999999</v>
      </c>
      <c r="AH4658">
        <v>0.64324474709366397</v>
      </c>
      <c r="AI4658">
        <v>104.674104212663</v>
      </c>
      <c r="AJ4658">
        <v>79.827885044385994</v>
      </c>
      <c r="AK4658">
        <v>0.67555185599835199</v>
      </c>
      <c r="AL4658">
        <v>95.367172644372104</v>
      </c>
      <c r="AM4658">
        <v>89.732250927355594</v>
      </c>
      <c r="AN4658">
        <v>1.0000000511542799</v>
      </c>
    </row>
    <row r="4659" spans="1:40" x14ac:dyDescent="0.25">
      <c r="A4659" t="str">
        <f>"20190305135024303"</f>
        <v>20190305135024303</v>
      </c>
      <c r="B4659" t="str">
        <f>"1551765024295423"</f>
        <v>1551765024295423</v>
      </c>
      <c r="C4659" t="s">
        <v>40</v>
      </c>
      <c r="D4659">
        <v>3.9098679999999999</v>
      </c>
      <c r="E4659">
        <v>0.55245599999999995</v>
      </c>
      <c r="F4659" t="s">
        <v>41</v>
      </c>
      <c r="G4659">
        <v>-191.89590000000001</v>
      </c>
      <c r="H4659">
        <v>0.96161160000000001</v>
      </c>
      <c r="I4659">
        <v>168.11259999999999</v>
      </c>
      <c r="J4659">
        <v>-191.7851</v>
      </c>
      <c r="K4659">
        <v>1.108849</v>
      </c>
      <c r="L4659">
        <v>168.68270000000001</v>
      </c>
      <c r="M4659">
        <v>-9.3623100000000004E-3</v>
      </c>
      <c r="N4659">
        <v>-8.593903E-3</v>
      </c>
      <c r="O4659">
        <v>-0.99991929999999996</v>
      </c>
      <c r="P4659">
        <v>-1.3920460000000001E-2</v>
      </c>
      <c r="Q4659">
        <v>-0.1021</v>
      </c>
      <c r="R4659">
        <v>-0.99467680000000003</v>
      </c>
      <c r="S4659">
        <v>-0.47743229999999998</v>
      </c>
      <c r="T4659">
        <v>-0.62643149999999903</v>
      </c>
      <c r="U4659">
        <v>-2.9451749999999999</v>
      </c>
      <c r="V4659">
        <v>4.5261290000000003E-3</v>
      </c>
      <c r="W4659">
        <v>-9.3551339999999997E-2</v>
      </c>
      <c r="X4659">
        <v>0.99560420000000005</v>
      </c>
      <c r="Y4659">
        <v>0.14748829999999999</v>
      </c>
      <c r="Z4659">
        <v>0.1972013</v>
      </c>
      <c r="AA4659">
        <v>0.96920530000000005</v>
      </c>
      <c r="AB4659">
        <v>21</v>
      </c>
      <c r="AC4659">
        <v>-0.110800000000011</v>
      </c>
      <c r="AD4659">
        <v>-0.14723739999999899</v>
      </c>
      <c r="AE4659">
        <v>-0.57010000000002403</v>
      </c>
      <c r="AF4659">
        <v>9.9088714912931905E-2</v>
      </c>
      <c r="AG4659">
        <v>-0.14723739999999899</v>
      </c>
      <c r="AH4659">
        <v>0.53662182905937705</v>
      </c>
      <c r="AI4659">
        <v>105.099799639408</v>
      </c>
      <c r="AJ4659">
        <v>79.538018697572497</v>
      </c>
      <c r="AK4659">
        <v>0.56520829152170704</v>
      </c>
      <c r="AL4659">
        <v>95.367946199293996</v>
      </c>
      <c r="AM4659">
        <v>89.739528717606305</v>
      </c>
      <c r="AN4659">
        <v>1.0000000310585699</v>
      </c>
    </row>
    <row r="4660" spans="1:40" x14ac:dyDescent="0.25">
      <c r="A4660" t="str">
        <f>"20190305135024316"</f>
        <v>20190305135024316</v>
      </c>
      <c r="B4660" t="str">
        <f>"1551765024305183"</f>
        <v>1551765024305183</v>
      </c>
      <c r="C4660" t="s">
        <v>40</v>
      </c>
      <c r="D4660">
        <v>3.905516</v>
      </c>
      <c r="E4660">
        <v>0.55238940000000003</v>
      </c>
      <c r="F4660" t="s">
        <v>41</v>
      </c>
      <c r="G4660">
        <v>-191.90780000000001</v>
      </c>
      <c r="H4660">
        <v>0.9481117</v>
      </c>
      <c r="I4660">
        <v>167.9272</v>
      </c>
      <c r="J4660">
        <v>-191.7868</v>
      </c>
      <c r="K4660">
        <v>1.1088420000000001</v>
      </c>
      <c r="L4660">
        <v>168.5436</v>
      </c>
      <c r="M4660">
        <v>-9.7468859999999997E-3</v>
      </c>
      <c r="N4660">
        <v>-8.5941939999999994E-3</v>
      </c>
      <c r="O4660">
        <v>-0.99991569999999996</v>
      </c>
      <c r="P4660">
        <v>-1.4593739999999999E-2</v>
      </c>
      <c r="Q4660">
        <v>-0.1018028</v>
      </c>
      <c r="R4660">
        <v>-0.99469779999999997</v>
      </c>
      <c r="S4660">
        <v>-0.47760010000000003</v>
      </c>
      <c r="T4660">
        <v>-0.62656069999999997</v>
      </c>
      <c r="U4660">
        <v>-2.9450379999999998</v>
      </c>
      <c r="V4660">
        <v>4.8165830000000001E-3</v>
      </c>
      <c r="W4660">
        <v>-9.3253790000000003E-2</v>
      </c>
      <c r="X4660">
        <v>0.99563069999999998</v>
      </c>
      <c r="Y4660">
        <v>0.14716760000000001</v>
      </c>
      <c r="Z4660">
        <v>0.19725400000000001</v>
      </c>
      <c r="AA4660">
        <v>0.96924330000000003</v>
      </c>
      <c r="AB4660">
        <v>21</v>
      </c>
      <c r="AC4660">
        <v>-0.121000000000009</v>
      </c>
      <c r="AD4660">
        <v>-0.16073029999999999</v>
      </c>
      <c r="AE4660">
        <v>-0.61639999999999795</v>
      </c>
      <c r="AF4660">
        <v>0.107920386382639</v>
      </c>
      <c r="AG4660">
        <v>-0.16073029999999999</v>
      </c>
      <c r="AH4660">
        <v>0.57960290804581505</v>
      </c>
      <c r="AI4660">
        <v>105.249688748099</v>
      </c>
      <c r="AJ4660">
        <v>79.452476524434999</v>
      </c>
      <c r="AK4660">
        <v>0.61108147586899897</v>
      </c>
      <c r="AL4660">
        <v>95.350823260221702</v>
      </c>
      <c r="AM4660">
        <v>89.722821197946104</v>
      </c>
      <c r="AN4660">
        <v>0.99999997980182398</v>
      </c>
    </row>
    <row r="4661" spans="1:40" x14ac:dyDescent="0.25">
      <c r="A4661" t="str">
        <f>"20190305135024332"</f>
        <v>20190305135024332</v>
      </c>
      <c r="B4661" t="str">
        <f>"1551765024324703"</f>
        <v>1551765024324703</v>
      </c>
      <c r="C4661" t="s">
        <v>40</v>
      </c>
      <c r="D4661">
        <v>3.8873859999999998</v>
      </c>
      <c r="E4661">
        <v>0.55235829999999997</v>
      </c>
      <c r="F4661" t="s">
        <v>41</v>
      </c>
      <c r="G4661">
        <v>-191.9178</v>
      </c>
      <c r="H4661">
        <v>0.93803440000000005</v>
      </c>
      <c r="I4661">
        <v>167.73949999999999</v>
      </c>
      <c r="J4661">
        <v>-191.78880000000001</v>
      </c>
      <c r="K4661">
        <v>1.1088420000000001</v>
      </c>
      <c r="L4661">
        <v>168.3912</v>
      </c>
      <c r="M4661">
        <v>-1.0168409999999999E-2</v>
      </c>
      <c r="N4661">
        <v>-8.5945759999999996E-3</v>
      </c>
      <c r="O4661">
        <v>-0.99991169999999996</v>
      </c>
      <c r="P4661">
        <v>-1.518073E-2</v>
      </c>
      <c r="Q4661">
        <v>-0.1015293</v>
      </c>
      <c r="R4661">
        <v>-0.99471719999999997</v>
      </c>
      <c r="S4661">
        <v>-0.47924800000000001</v>
      </c>
      <c r="T4661">
        <v>-0.62557890000000005</v>
      </c>
      <c r="U4661">
        <v>-2.9449160000000001</v>
      </c>
      <c r="V4661">
        <v>4.9839280000000003E-3</v>
      </c>
      <c r="W4661">
        <v>-9.2979839999999994E-2</v>
      </c>
      <c r="X4661">
        <v>0.99565550000000003</v>
      </c>
      <c r="Y4661">
        <v>0.14729579999999901</v>
      </c>
      <c r="Z4661">
        <v>0.1969409</v>
      </c>
      <c r="AA4661">
        <v>0.96928749999999997</v>
      </c>
      <c r="AB4661">
        <v>21</v>
      </c>
      <c r="AC4661">
        <v>-0.12899999999999001</v>
      </c>
      <c r="AD4661">
        <v>-0.1708076</v>
      </c>
      <c r="AE4661">
        <v>-0.65170000000000505</v>
      </c>
      <c r="AF4661">
        <v>0.114778990110145</v>
      </c>
      <c r="AG4661">
        <v>-0.1708076</v>
      </c>
      <c r="AH4661">
        <v>0.61249006418528196</v>
      </c>
      <c r="AI4661">
        <v>105.328441771626</v>
      </c>
      <c r="AJ4661">
        <v>79.386028738163702</v>
      </c>
      <c r="AK4661">
        <v>0.64613739368199097</v>
      </c>
      <c r="AL4661">
        <v>95.335058572477195</v>
      </c>
      <c r="AM4661">
        <v>89.713198335390501</v>
      </c>
      <c r="AN4661">
        <v>0.999999982432492</v>
      </c>
    </row>
    <row r="4662" spans="1:40" x14ac:dyDescent="0.25">
      <c r="A4662" t="str">
        <f>"20190305135024343"</f>
        <v>20190305135024343</v>
      </c>
      <c r="B4662" t="str">
        <f>"1551765024335440"</f>
        <v>1551765024335440</v>
      </c>
      <c r="C4662" t="s">
        <v>40</v>
      </c>
      <c r="D4662">
        <v>3.917789</v>
      </c>
      <c r="E4662">
        <v>0.55230049999999997</v>
      </c>
      <c r="F4662" t="s">
        <v>41</v>
      </c>
      <c r="G4662">
        <v>-191.92609999999999</v>
      </c>
      <c r="H4662">
        <v>0.93026759999999997</v>
      </c>
      <c r="I4662">
        <v>167.5504</v>
      </c>
      <c r="J4662">
        <v>-191.7902</v>
      </c>
      <c r="K4662">
        <v>1.108841</v>
      </c>
      <c r="L4662">
        <v>168.2799</v>
      </c>
      <c r="M4662">
        <v>-1.0475949999999999E-2</v>
      </c>
      <c r="N4662">
        <v>-8.5948710000000005E-3</v>
      </c>
      <c r="O4662">
        <v>-0.99990829999999997</v>
      </c>
      <c r="P4662">
        <v>-1.549066E-2</v>
      </c>
      <c r="Q4662">
        <v>-0.1016444</v>
      </c>
      <c r="R4662">
        <v>-0.99470049999999999</v>
      </c>
      <c r="S4662">
        <v>-0.48078920000000003</v>
      </c>
      <c r="T4662">
        <v>-0.62543079999999995</v>
      </c>
      <c r="U4662">
        <v>-2.944763</v>
      </c>
      <c r="V4662">
        <v>4.9877439999999997E-3</v>
      </c>
      <c r="W4662">
        <v>-9.3094780000000002E-2</v>
      </c>
      <c r="X4662">
        <v>0.99564470000000005</v>
      </c>
      <c r="Y4662">
        <v>0.1474954</v>
      </c>
      <c r="Z4662">
        <v>0.19689209999999999</v>
      </c>
      <c r="AA4662">
        <v>0.96926710000000005</v>
      </c>
      <c r="AB4662">
        <v>21</v>
      </c>
      <c r="AC4662">
        <v>-0.135899999999992</v>
      </c>
      <c r="AD4662">
        <v>-0.17857339999999999</v>
      </c>
      <c r="AE4662">
        <v>-0.72950000000000104</v>
      </c>
      <c r="AF4662">
        <v>0.121229448313369</v>
      </c>
      <c r="AG4662">
        <v>-0.17857339999999999</v>
      </c>
      <c r="AH4662">
        <v>0.69087399384321102</v>
      </c>
      <c r="AI4662">
        <v>104.283219838604</v>
      </c>
      <c r="AJ4662">
        <v>80.047483855933095</v>
      </c>
      <c r="AK4662">
        <v>0.72380378121062094</v>
      </c>
      <c r="AL4662">
        <v>95.341673053882005</v>
      </c>
      <c r="AM4662">
        <v>89.712975632835807</v>
      </c>
      <c r="AN4662">
        <v>0.99999994214577204</v>
      </c>
    </row>
    <row r="4663" spans="1:40" x14ac:dyDescent="0.25">
      <c r="A4663" t="str">
        <f>"20190305135024355"</f>
        <v>20190305135024355</v>
      </c>
      <c r="B4663" t="str">
        <f>"1551765024345199"</f>
        <v>1551765024345199</v>
      </c>
      <c r="C4663" t="s">
        <v>40</v>
      </c>
      <c r="D4663">
        <v>3.9242560000000002</v>
      </c>
      <c r="E4663">
        <v>0.55226209999999998</v>
      </c>
      <c r="F4663" t="s">
        <v>41</v>
      </c>
      <c r="G4663">
        <v>-191.9111</v>
      </c>
      <c r="H4663">
        <v>0.9517158</v>
      </c>
      <c r="I4663">
        <v>167.54069999999999</v>
      </c>
      <c r="J4663">
        <v>-191.79179999999999</v>
      </c>
      <c r="K4663">
        <v>1.1088389999999999</v>
      </c>
      <c r="L4663">
        <v>168.16569999999999</v>
      </c>
      <c r="M4663">
        <v>-1.07913E-2</v>
      </c>
      <c r="N4663">
        <v>-8.5952110000000002E-3</v>
      </c>
      <c r="O4663">
        <v>-0.99990500000000004</v>
      </c>
      <c r="P4663">
        <v>-1.6000399999999901E-2</v>
      </c>
      <c r="Q4663">
        <v>-0.101852</v>
      </c>
      <c r="R4663">
        <v>-0.99467119999999998</v>
      </c>
      <c r="S4663">
        <v>-0.48114010000000001</v>
      </c>
      <c r="T4663">
        <v>-0.62591459999999999</v>
      </c>
      <c r="U4663">
        <v>-2.94455</v>
      </c>
      <c r="V4663">
        <v>5.1836310000000002E-3</v>
      </c>
      <c r="W4663">
        <v>-9.3302449999999995E-2</v>
      </c>
      <c r="X4663">
        <v>0.99562430000000002</v>
      </c>
      <c r="Y4663">
        <v>0.14730199999999999</v>
      </c>
      <c r="Z4663">
        <v>0.1970585</v>
      </c>
      <c r="AA4663">
        <v>0.96926270000000003</v>
      </c>
      <c r="AB4663">
        <v>21</v>
      </c>
      <c r="AC4663">
        <v>-0.119300000000009</v>
      </c>
      <c r="AD4663">
        <v>-0.15712319999999899</v>
      </c>
      <c r="AE4663">
        <v>-0.625</v>
      </c>
      <c r="AF4663">
        <v>0.106079639554887</v>
      </c>
      <c r="AG4663">
        <v>-0.15712319999999899</v>
      </c>
      <c r="AH4663">
        <v>0.59025787253030704</v>
      </c>
      <c r="AI4663">
        <v>104.68132537066499</v>
      </c>
      <c r="AJ4663">
        <v>79.811707925994696</v>
      </c>
      <c r="AK4663">
        <v>0.61995560001530603</v>
      </c>
      <c r="AL4663">
        <v>95.353623469931506</v>
      </c>
      <c r="AM4663">
        <v>89.701697221202096</v>
      </c>
      <c r="AN4663">
        <v>0.999999981978418</v>
      </c>
    </row>
    <row r="4664" spans="1:40" x14ac:dyDescent="0.25">
      <c r="A4664" t="str">
        <f>"20190305135024368"</f>
        <v>20190305135024368</v>
      </c>
      <c r="B4664" t="str">
        <f>"1551765024364720"</f>
        <v>1551765024364720</v>
      </c>
      <c r="C4664" t="s">
        <v>40</v>
      </c>
      <c r="D4664">
        <v>3.9225699999999999</v>
      </c>
      <c r="E4664">
        <v>0.55222389999999999</v>
      </c>
      <c r="F4664" t="s">
        <v>41</v>
      </c>
      <c r="G4664">
        <v>-191.9248</v>
      </c>
      <c r="H4664">
        <v>0.93620300000000001</v>
      </c>
      <c r="I4664">
        <v>167.3546</v>
      </c>
      <c r="J4664">
        <v>-191.79349999999999</v>
      </c>
      <c r="K4664">
        <v>1.1088370000000001</v>
      </c>
      <c r="L4664">
        <v>168.0393</v>
      </c>
      <c r="M4664">
        <v>-1.1140499999999999E-2</v>
      </c>
      <c r="N4664">
        <v>-8.5956230000000002E-3</v>
      </c>
      <c r="O4664">
        <v>-0.99990120000000005</v>
      </c>
      <c r="P4664">
        <v>-1.6367340000000001E-2</v>
      </c>
      <c r="Q4664">
        <v>-0.1018474</v>
      </c>
      <c r="R4664">
        <v>-0.99466589999999999</v>
      </c>
      <c r="S4664">
        <v>-0.4823151</v>
      </c>
      <c r="T4664">
        <v>-0.62663530000000001</v>
      </c>
      <c r="U4664">
        <v>-2.944153</v>
      </c>
      <c r="V4664">
        <v>5.2029479999999998E-3</v>
      </c>
      <c r="W4664">
        <v>-9.3297379999999999E-2</v>
      </c>
      <c r="X4664">
        <v>0.99562470000000003</v>
      </c>
      <c r="Y4664">
        <v>0.14734610000000001</v>
      </c>
      <c r="Z4664">
        <v>0.19730339999999999</v>
      </c>
      <c r="AA4664">
        <v>0.96920620000000002</v>
      </c>
      <c r="AB4664">
        <v>22</v>
      </c>
      <c r="AC4664">
        <v>-0.13130000000000999</v>
      </c>
      <c r="AD4664">
        <v>-0.17263399999999901</v>
      </c>
      <c r="AE4664">
        <v>-0.68469999999999198</v>
      </c>
      <c r="AF4664">
        <v>0.11651926543166399</v>
      </c>
      <c r="AG4664">
        <v>-0.17263399999999901</v>
      </c>
      <c r="AH4664">
        <v>0.64648116794296095</v>
      </c>
      <c r="AI4664">
        <v>104.72448734333599</v>
      </c>
      <c r="AJ4664">
        <v>79.782922018936205</v>
      </c>
      <c r="AK4664">
        <v>0.67920331100314102</v>
      </c>
      <c r="AL4664">
        <v>95.353331570558893</v>
      </c>
      <c r="AM4664">
        <v>89.700585724931003</v>
      </c>
      <c r="AN4664">
        <v>1.0000000075164199</v>
      </c>
    </row>
    <row r="4665" spans="1:40" x14ac:dyDescent="0.25">
      <c r="A4665" t="str">
        <f>"20190305135024381"</f>
        <v>20190305135024381</v>
      </c>
      <c r="B4665" t="str">
        <f>"1551765024374480"</f>
        <v>1551765024374480</v>
      </c>
      <c r="C4665" t="s">
        <v>40</v>
      </c>
      <c r="D4665">
        <v>3.9060779999999999</v>
      </c>
      <c r="E4665">
        <v>0.55217550000000004</v>
      </c>
      <c r="F4665" t="s">
        <v>41</v>
      </c>
      <c r="G4665">
        <v>-191.90790000000001</v>
      </c>
      <c r="H4665">
        <v>0.96057090000000001</v>
      </c>
      <c r="I4665">
        <v>167.34350000000001</v>
      </c>
      <c r="J4665">
        <v>-191.79509999999999</v>
      </c>
      <c r="K4665">
        <v>1.108835</v>
      </c>
      <c r="L4665">
        <v>167.9254</v>
      </c>
      <c r="M4665">
        <v>-1.145503E-2</v>
      </c>
      <c r="N4665">
        <v>-8.5961349999999995E-3</v>
      </c>
      <c r="O4665">
        <v>-0.99989760000000005</v>
      </c>
      <c r="P4665">
        <v>-1.664535E-2</v>
      </c>
      <c r="Q4665">
        <v>-0.10201830000000001</v>
      </c>
      <c r="R4665">
        <v>-0.99464339999999996</v>
      </c>
      <c r="S4665">
        <v>-0.48316959999999998</v>
      </c>
      <c r="T4665">
        <v>-0.62736020000000003</v>
      </c>
      <c r="U4665">
        <v>-2.9439090000000001</v>
      </c>
      <c r="V4665">
        <v>5.1679229999999996E-3</v>
      </c>
      <c r="W4665">
        <v>-9.3467969999999997E-2</v>
      </c>
      <c r="X4665">
        <v>0.99560890000000002</v>
      </c>
      <c r="Y4665">
        <v>0.147314</v>
      </c>
      <c r="Z4665">
        <v>0.1975423</v>
      </c>
      <c r="AA4665">
        <v>0.96916230000000003</v>
      </c>
      <c r="AB4665">
        <v>22</v>
      </c>
      <c r="AC4665">
        <v>-0.11280000000002099</v>
      </c>
      <c r="AD4665">
        <v>-0.14826409999999901</v>
      </c>
      <c r="AE4665">
        <v>-0.58189999999998998</v>
      </c>
      <c r="AF4665">
        <v>9.9877497120799005E-2</v>
      </c>
      <c r="AG4665">
        <v>-0.14826409999999901</v>
      </c>
      <c r="AH4665">
        <v>0.54881549111806704</v>
      </c>
      <c r="AI4665">
        <v>104.884373075735</v>
      </c>
      <c r="AJ4665">
        <v>79.685769305106305</v>
      </c>
      <c r="AK4665">
        <v>0.57719684776607205</v>
      </c>
      <c r="AL4665">
        <v>95.363148459226494</v>
      </c>
      <c r="AM4665">
        <v>89.702596554265995</v>
      </c>
      <c r="AN4665">
        <v>1.0000000253016299</v>
      </c>
    </row>
    <row r="4666" spans="1:40" x14ac:dyDescent="0.25">
      <c r="A4666" t="str">
        <f>"20190305135024392"</f>
        <v>20190305135024392</v>
      </c>
      <c r="B4666" t="str">
        <f>"1551765024385216"</f>
        <v>1551765024385216</v>
      </c>
      <c r="C4666" t="s">
        <v>40</v>
      </c>
      <c r="D4666">
        <v>3.8943189999999999</v>
      </c>
      <c r="E4666">
        <v>0.55215449999999999</v>
      </c>
      <c r="F4666" t="s">
        <v>41</v>
      </c>
      <c r="G4666">
        <v>-191.92169999999999</v>
      </c>
      <c r="H4666">
        <v>0.94491729999999996</v>
      </c>
      <c r="I4666">
        <v>167.15710000000001</v>
      </c>
      <c r="J4666">
        <v>-191.79679999999999</v>
      </c>
      <c r="K4666">
        <v>1.10883</v>
      </c>
      <c r="L4666">
        <v>167.8107</v>
      </c>
      <c r="M4666">
        <v>-1.1771770000000001E-2</v>
      </c>
      <c r="N4666">
        <v>-8.5966689999999995E-3</v>
      </c>
      <c r="O4666">
        <v>-0.99989399999999995</v>
      </c>
      <c r="P4666">
        <v>-1.710008E-2</v>
      </c>
      <c r="Q4666">
        <v>-0.1020221</v>
      </c>
      <c r="R4666">
        <v>-0.99463559999999995</v>
      </c>
      <c r="S4666">
        <v>-0.48376459999999999</v>
      </c>
      <c r="T4666">
        <v>-0.62808299999999995</v>
      </c>
      <c r="U4666">
        <v>-2.9436339999999999</v>
      </c>
      <c r="V4666">
        <v>5.3073969999999897E-3</v>
      </c>
      <c r="W4666">
        <v>-9.3471310000000002E-2</v>
      </c>
      <c r="X4666">
        <v>0.99560789999999999</v>
      </c>
      <c r="Y4666">
        <v>0.147198</v>
      </c>
      <c r="Z4666">
        <v>0.19778519999999999</v>
      </c>
      <c r="AA4666">
        <v>0.96913039999999995</v>
      </c>
      <c r="AB4666">
        <v>22</v>
      </c>
      <c r="AC4666">
        <v>-0.124899999999996</v>
      </c>
      <c r="AD4666">
        <v>-0.163912699999999</v>
      </c>
      <c r="AE4666">
        <v>-0.65359999999998297</v>
      </c>
      <c r="AF4666">
        <v>0.11049266434171801</v>
      </c>
      <c r="AG4666">
        <v>-0.163912699999999</v>
      </c>
      <c r="AH4666">
        <v>0.61755371640828205</v>
      </c>
      <c r="AI4666">
        <v>104.64254278163099</v>
      </c>
      <c r="AJ4666">
        <v>79.855979201799798</v>
      </c>
      <c r="AK4666">
        <v>0.64842007583379402</v>
      </c>
      <c r="AL4666">
        <v>95.363340415251898</v>
      </c>
      <c r="AM4666">
        <v>89.694569952850699</v>
      </c>
      <c r="AN4666">
        <v>1.00000007239921</v>
      </c>
    </row>
    <row r="4667" spans="1:40" x14ac:dyDescent="0.25">
      <c r="A4667" t="str">
        <f>"20190305135024402"</f>
        <v>20190305135024402</v>
      </c>
      <c r="B4667" t="str">
        <f>"1551765024394976"</f>
        <v>1551765024394976</v>
      </c>
      <c r="C4667" t="s">
        <v>40</v>
      </c>
      <c r="D4667">
        <v>3.8983949999999998</v>
      </c>
      <c r="E4667">
        <v>0.55210959999999998</v>
      </c>
      <c r="F4667" t="s">
        <v>41</v>
      </c>
      <c r="G4667">
        <v>-191.93549999999999</v>
      </c>
      <c r="H4667">
        <v>0.92937860000000005</v>
      </c>
      <c r="I4667">
        <v>166.97</v>
      </c>
      <c r="J4667">
        <v>-191.79839999999999</v>
      </c>
      <c r="K4667">
        <v>1.108827</v>
      </c>
      <c r="L4667">
        <v>167.70339999999999</v>
      </c>
      <c r="M4667">
        <v>-1.206759E-2</v>
      </c>
      <c r="N4667">
        <v>-8.5971880000000004E-3</v>
      </c>
      <c r="O4667">
        <v>-0.99989039999999996</v>
      </c>
      <c r="P4667">
        <v>-1.7604109999999999E-2</v>
      </c>
      <c r="Q4667">
        <v>-0.10215929999999999</v>
      </c>
      <c r="R4667">
        <v>-0.99461259999999996</v>
      </c>
      <c r="S4667">
        <v>-0.4850006</v>
      </c>
      <c r="T4667">
        <v>-0.62828109999999904</v>
      </c>
      <c r="U4667">
        <v>-2.94339</v>
      </c>
      <c r="V4667">
        <v>5.5170389999999996E-3</v>
      </c>
      <c r="W4667">
        <v>-9.3608330000000003E-2</v>
      </c>
      <c r="X4667">
        <v>0.99559379999999997</v>
      </c>
      <c r="Y4667">
        <v>0.14731229999999901</v>
      </c>
      <c r="Z4667">
        <v>0.197854</v>
      </c>
      <c r="AA4667">
        <v>0.96909900000000004</v>
      </c>
      <c r="AB4667">
        <v>22</v>
      </c>
      <c r="AC4667">
        <v>-0.137100000000003</v>
      </c>
      <c r="AD4667">
        <v>-0.17944839999999901</v>
      </c>
      <c r="AE4667">
        <v>-0.73339999999998895</v>
      </c>
      <c r="AF4667">
        <v>0.121226733655242</v>
      </c>
      <c r="AG4667">
        <v>-0.17944839999999901</v>
      </c>
      <c r="AH4667">
        <v>0.694808619860387</v>
      </c>
      <c r="AI4667">
        <v>104.27470645763501</v>
      </c>
      <c r="AJ4667">
        <v>80.102943565715407</v>
      </c>
      <c r="AK4667">
        <v>0.72777514896262796</v>
      </c>
      <c r="AL4667">
        <v>95.371226120989206</v>
      </c>
      <c r="AM4667">
        <v>89.682501222319601</v>
      </c>
      <c r="AN4667">
        <v>0.99999998588157801</v>
      </c>
    </row>
    <row r="4668" spans="1:40" x14ac:dyDescent="0.25">
      <c r="A4668" t="str">
        <f>"20190305135024414"</f>
        <v>20190305135024414</v>
      </c>
      <c r="B4668" t="str">
        <f>"1551765024404735"</f>
        <v>1551765024404735</v>
      </c>
      <c r="C4668" t="s">
        <v>40</v>
      </c>
      <c r="D4668">
        <v>3.9117489999999999</v>
      </c>
      <c r="E4668">
        <v>0.55208729999999995</v>
      </c>
      <c r="F4668" t="s">
        <v>41</v>
      </c>
      <c r="G4668">
        <v>-191.9212</v>
      </c>
      <c r="H4668">
        <v>0.95011840000000003</v>
      </c>
      <c r="I4668">
        <v>166.9606</v>
      </c>
      <c r="J4668">
        <v>-191.8</v>
      </c>
      <c r="K4668">
        <v>1.108824</v>
      </c>
      <c r="L4668">
        <v>167.59690000000001</v>
      </c>
      <c r="M4668">
        <v>-1.236169E-2</v>
      </c>
      <c r="N4668">
        <v>-8.5966519999999998E-3</v>
      </c>
      <c r="O4668">
        <v>-0.99988659999999996</v>
      </c>
      <c r="P4668">
        <v>-1.8303449999999999E-2</v>
      </c>
      <c r="Q4668">
        <v>-0.1022685</v>
      </c>
      <c r="R4668">
        <v>-0.99458849999999999</v>
      </c>
      <c r="S4668">
        <v>-0.48599239999999999</v>
      </c>
      <c r="T4668">
        <v>-0.62881409999999904</v>
      </c>
      <c r="U4668">
        <v>-2.9430540000000001</v>
      </c>
      <c r="V4668">
        <v>5.9237419999999897E-3</v>
      </c>
      <c r="W4668">
        <v>-9.3718609999999994E-2</v>
      </c>
      <c r="X4668">
        <v>0.9955811</v>
      </c>
      <c r="Y4668">
        <v>0.14735090000000001</v>
      </c>
      <c r="Z4668">
        <v>0.19803770000000001</v>
      </c>
      <c r="AA4668">
        <v>0.96905560000000002</v>
      </c>
      <c r="AB4668">
        <v>22</v>
      </c>
      <c r="AC4668">
        <v>-0.121199999999987</v>
      </c>
      <c r="AD4668">
        <v>-0.158705599999999</v>
      </c>
      <c r="AE4668">
        <v>-0.63630000000000497</v>
      </c>
      <c r="AF4668">
        <v>0.10690686776</v>
      </c>
      <c r="AG4668">
        <v>-0.158705599999999</v>
      </c>
      <c r="AH4668">
        <v>0.60163245115371899</v>
      </c>
      <c r="AI4668">
        <v>104.559352452406</v>
      </c>
      <c r="AJ4668">
        <v>79.924019037975597</v>
      </c>
      <c r="AK4668">
        <v>0.63133046190315101</v>
      </c>
      <c r="AL4668">
        <v>95.377572535953504</v>
      </c>
      <c r="AM4668">
        <v>89.659092152014395</v>
      </c>
      <c r="AN4668">
        <v>0.99999999762841196</v>
      </c>
    </row>
    <row r="4669" spans="1:40" x14ac:dyDescent="0.25">
      <c r="A4669" t="str">
        <f>"20190305135024427"</f>
        <v>20190305135024427</v>
      </c>
      <c r="B4669" t="str">
        <f>"1551765024414496"</f>
        <v>1551765024414496</v>
      </c>
      <c r="C4669" t="s">
        <v>40</v>
      </c>
      <c r="D4669">
        <v>3.992127</v>
      </c>
      <c r="E4669">
        <v>0.55208729999999995</v>
      </c>
      <c r="F4669" t="s">
        <v>41</v>
      </c>
      <c r="G4669">
        <v>-191.9367</v>
      </c>
      <c r="H4669">
        <v>0.93281380000000003</v>
      </c>
      <c r="I4669">
        <v>166.77379999999999</v>
      </c>
      <c r="J4669">
        <v>-191.80189999999999</v>
      </c>
      <c r="K4669">
        <v>1.1088229999999999</v>
      </c>
      <c r="L4669">
        <v>167.4726</v>
      </c>
      <c r="M4669">
        <v>-1.2704999999999999E-2</v>
      </c>
      <c r="N4669">
        <v>-8.5944479999999993E-3</v>
      </c>
      <c r="O4669">
        <v>-0.9998823</v>
      </c>
      <c r="P4669">
        <v>-1.9225679999999998E-2</v>
      </c>
      <c r="Q4669">
        <v>-0.1023588</v>
      </c>
      <c r="R4669">
        <v>-0.99456199999999995</v>
      </c>
      <c r="S4669">
        <v>-0.48793029999999998</v>
      </c>
      <c r="T4669">
        <v>-0.62927169999999999</v>
      </c>
      <c r="U4669">
        <v>-2.9426420000000002</v>
      </c>
      <c r="V4669">
        <v>6.5043790000000002E-3</v>
      </c>
      <c r="W4669">
        <v>-9.3811740000000005E-2</v>
      </c>
      <c r="X4669">
        <v>0.99556869999999997</v>
      </c>
      <c r="Y4669">
        <v>0.147649</v>
      </c>
      <c r="Z4669">
        <v>0.19819510000000001</v>
      </c>
      <c r="AA4669">
        <v>0.96897800000000001</v>
      </c>
      <c r="AB4669">
        <v>22</v>
      </c>
      <c r="AC4669">
        <v>-0.13480000000001199</v>
      </c>
      <c r="AD4669">
        <v>-0.17600919999999901</v>
      </c>
      <c r="AE4669">
        <v>-0.69880000000000497</v>
      </c>
      <c r="AF4669">
        <v>0.11865320143403001</v>
      </c>
      <c r="AG4669">
        <v>-0.17600919999999901</v>
      </c>
      <c r="AH4669">
        <v>0.66008281395584001</v>
      </c>
      <c r="AI4669">
        <v>104.70513482161699</v>
      </c>
      <c r="AJ4669">
        <v>79.809622505400597</v>
      </c>
      <c r="AK4669">
        <v>0.69337373902899202</v>
      </c>
      <c r="AL4669">
        <v>95.382932129527902</v>
      </c>
      <c r="AM4669">
        <v>89.625673082388701</v>
      </c>
      <c r="AN4669">
        <v>0.99999999296384601</v>
      </c>
    </row>
    <row r="4670" spans="1:40" x14ac:dyDescent="0.25">
      <c r="A4670" t="str">
        <f>"20190305135024442"</f>
        <v>20190305135024442</v>
      </c>
      <c r="B4670" t="str">
        <f>"1551765024434991"</f>
        <v>1551765024434991</v>
      </c>
      <c r="C4670" t="s">
        <v>40</v>
      </c>
      <c r="D4670">
        <v>3.8906399999999999</v>
      </c>
      <c r="E4670">
        <v>0.55390490000000003</v>
      </c>
      <c r="F4670" t="s">
        <v>41</v>
      </c>
      <c r="G4670">
        <v>-191.9205</v>
      </c>
      <c r="H4670">
        <v>0.95697989999999999</v>
      </c>
      <c r="I4670">
        <v>166.7629</v>
      </c>
      <c r="J4670">
        <v>-191.80430000000001</v>
      </c>
      <c r="K4670">
        <v>1.1088199999999999</v>
      </c>
      <c r="L4670">
        <v>167.32329999999999</v>
      </c>
      <c r="M4670">
        <v>-1.311812E-2</v>
      </c>
      <c r="N4670">
        <v>-8.5890580000000001E-3</v>
      </c>
      <c r="O4670">
        <v>-0.99987709999999996</v>
      </c>
      <c r="P4670">
        <v>-2.0570720000000001E-2</v>
      </c>
      <c r="Q4670">
        <v>-0.1021753</v>
      </c>
      <c r="R4670">
        <v>-0.99455389999999999</v>
      </c>
      <c r="S4670">
        <v>-0.49082949999999997</v>
      </c>
      <c r="T4670">
        <v>-0.62943649999999995</v>
      </c>
      <c r="U4670">
        <v>-2.942123</v>
      </c>
      <c r="V4670">
        <v>7.4381330000000004E-3</v>
      </c>
      <c r="W4670">
        <v>-9.3634339999999996E-2</v>
      </c>
      <c r="X4670">
        <v>0.99557890000000004</v>
      </c>
      <c r="Y4670">
        <v>0.14819460000000001</v>
      </c>
      <c r="Z4670">
        <v>0.19826099999999999</v>
      </c>
      <c r="AA4670">
        <v>0.9688812</v>
      </c>
      <c r="AB4670">
        <v>22</v>
      </c>
      <c r="AC4670">
        <v>-0.116199999999992</v>
      </c>
      <c r="AD4670">
        <v>-0.15184010000000001</v>
      </c>
      <c r="AE4670">
        <v>-0.56039999999998702</v>
      </c>
      <c r="AF4670">
        <v>0.101681261633699</v>
      </c>
      <c r="AG4670">
        <v>-0.15184010000000001</v>
      </c>
      <c r="AH4670">
        <v>0.524927879865564</v>
      </c>
      <c r="AI4670">
        <v>105.85350306340401</v>
      </c>
      <c r="AJ4670">
        <v>79.037277138978993</v>
      </c>
      <c r="AK4670">
        <v>0.55582710800714596</v>
      </c>
      <c r="AL4670">
        <v>95.3727227165529</v>
      </c>
      <c r="AM4670">
        <v>89.571941812753195</v>
      </c>
      <c r="AN4670">
        <v>1.0000000307874799</v>
      </c>
    </row>
    <row r="4671" spans="1:40" x14ac:dyDescent="0.25">
      <c r="A4671" t="str">
        <f>"20190305135024454"</f>
        <v>20190305135024454</v>
      </c>
      <c r="B4671" t="str">
        <f>"1551765024444751"</f>
        <v>1551765024444751</v>
      </c>
      <c r="C4671" t="s">
        <v>40</v>
      </c>
      <c r="D4671">
        <v>3.880309</v>
      </c>
      <c r="E4671">
        <v>0.55390490000000003</v>
      </c>
      <c r="F4671" t="s">
        <v>41</v>
      </c>
      <c r="G4671">
        <v>-191.93459999999999</v>
      </c>
      <c r="H4671">
        <v>0.95599809999999996</v>
      </c>
      <c r="I4671">
        <v>166.56799999999899</v>
      </c>
      <c r="J4671">
        <v>-191.80609999999999</v>
      </c>
      <c r="K4671">
        <v>1.1088180000000001</v>
      </c>
      <c r="L4671">
        <v>167.2099</v>
      </c>
      <c r="M4671">
        <v>-1.343373E-2</v>
      </c>
      <c r="N4671">
        <v>-8.5844119999999996E-3</v>
      </c>
      <c r="O4671">
        <v>-0.99987280000000001</v>
      </c>
      <c r="P4671">
        <v>-2.1593729999999998E-2</v>
      </c>
      <c r="Q4671">
        <v>-0.1019429</v>
      </c>
      <c r="R4671">
        <v>-0.99455570000000004</v>
      </c>
      <c r="S4671">
        <v>-0.50753779999999904</v>
      </c>
      <c r="T4671">
        <v>-0.59580480000000002</v>
      </c>
      <c r="U4671">
        <v>-2.9447169999999998</v>
      </c>
      <c r="V4671">
        <v>8.1467610000000006E-3</v>
      </c>
      <c r="W4671">
        <v>-9.3407160000000003E-2</v>
      </c>
      <c r="X4671">
        <v>0.99559470000000005</v>
      </c>
      <c r="Y4671">
        <v>0.15345420000000001</v>
      </c>
      <c r="Z4671">
        <v>0.18731310000000001</v>
      </c>
      <c r="AA4671">
        <v>0.97023999999999999</v>
      </c>
      <c r="AB4671">
        <v>22</v>
      </c>
      <c r="AC4671">
        <v>-0.128500000000002</v>
      </c>
      <c r="AD4671">
        <v>-0.15281990000000001</v>
      </c>
      <c r="AE4671">
        <v>-0.64190000000002101</v>
      </c>
      <c r="AF4671">
        <v>0.113670447970296</v>
      </c>
      <c r="AG4671">
        <v>-0.15281990000000001</v>
      </c>
      <c r="AH4671">
        <v>0.61030927342031405</v>
      </c>
      <c r="AI4671">
        <v>103.82921262749301</v>
      </c>
      <c r="AJ4671">
        <v>79.449516340290003</v>
      </c>
      <c r="AK4671">
        <v>0.63933739277521495</v>
      </c>
      <c r="AL4671">
        <v>95.359648930619301</v>
      </c>
      <c r="AM4671">
        <v>89.531170059204598</v>
      </c>
      <c r="AN4671">
        <v>1.00000003696107</v>
      </c>
    </row>
    <row r="4672" spans="1:40" x14ac:dyDescent="0.25">
      <c r="A4672" t="str">
        <f>"20190305135024468"</f>
        <v>20190305135024468</v>
      </c>
      <c r="B4672" t="str">
        <f>"1551765024465249"</f>
        <v>1551765024465249</v>
      </c>
      <c r="C4672" t="s">
        <v>40</v>
      </c>
      <c r="D4672">
        <v>4.0474730000000001</v>
      </c>
      <c r="E4672">
        <v>0.55641989999999997</v>
      </c>
      <c r="F4672" t="s">
        <v>41</v>
      </c>
      <c r="G4672">
        <v>-191.9503</v>
      </c>
      <c r="H4672">
        <v>0.94091239999999998</v>
      </c>
      <c r="I4672">
        <v>166.3792</v>
      </c>
      <c r="J4672">
        <v>-191.8083</v>
      </c>
      <c r="K4672">
        <v>1.1088129999999901</v>
      </c>
      <c r="L4672">
        <v>167.07480000000001</v>
      </c>
      <c r="M4672">
        <v>-1.381245E-2</v>
      </c>
      <c r="N4672">
        <v>-8.5785970000000003E-3</v>
      </c>
      <c r="O4672">
        <v>-0.99986779999999997</v>
      </c>
      <c r="P4672">
        <v>-2.2730440000000001E-2</v>
      </c>
      <c r="Q4672">
        <v>-0.1017224</v>
      </c>
      <c r="R4672">
        <v>-0.99455300000000002</v>
      </c>
      <c r="S4672">
        <v>-0.51051329999999995</v>
      </c>
      <c r="T4672">
        <v>-0.59512569999999998</v>
      </c>
      <c r="U4672">
        <v>-2.9443359999999998</v>
      </c>
      <c r="V4672">
        <v>8.9059910000000003E-3</v>
      </c>
      <c r="W4672">
        <v>-9.3193020000000001E-2</v>
      </c>
      <c r="X4672">
        <v>0.99560820000000005</v>
      </c>
      <c r="Y4672">
        <v>0.1540599</v>
      </c>
      <c r="Z4672">
        <v>0.18710160000000001</v>
      </c>
      <c r="AA4672">
        <v>0.97018479999999996</v>
      </c>
      <c r="AB4672">
        <v>22</v>
      </c>
      <c r="AC4672">
        <v>-0.14199999999999499</v>
      </c>
      <c r="AD4672">
        <v>-0.16790059999999901</v>
      </c>
      <c r="AE4672">
        <v>-0.69560000000001299</v>
      </c>
      <c r="AF4672">
        <v>0.125366277505506</v>
      </c>
      <c r="AG4672">
        <v>-0.16790059999999901</v>
      </c>
      <c r="AH4672">
        <v>0.66054976259676801</v>
      </c>
      <c r="AI4672">
        <v>104.021428513557</v>
      </c>
      <c r="AJ4672">
        <v>79.2536011985013</v>
      </c>
      <c r="AK4672">
        <v>0.69298867514743301</v>
      </c>
      <c r="AL4672">
        <v>95.347326209563803</v>
      </c>
      <c r="AM4672">
        <v>89.487487058739504</v>
      </c>
      <c r="AN4672">
        <v>0.99999997177982503</v>
      </c>
    </row>
    <row r="4673" spans="1:40" x14ac:dyDescent="0.25">
      <c r="A4673" t="str">
        <f>"20190305135024480"</f>
        <v>20190305135024480</v>
      </c>
      <c r="B4673" t="str">
        <f>"1551765024475009"</f>
        <v>1551765024475009</v>
      </c>
      <c r="C4673" t="s">
        <v>40</v>
      </c>
      <c r="D4673">
        <v>3.9948190000000001</v>
      </c>
      <c r="E4673">
        <v>0.61606839999999996</v>
      </c>
      <c r="F4673" t="s">
        <v>41</v>
      </c>
      <c r="G4673">
        <v>-191.9367</v>
      </c>
      <c r="H4673">
        <v>0.96751730000000002</v>
      </c>
      <c r="I4673">
        <v>166.36689999999999</v>
      </c>
      <c r="J4673">
        <v>-191.81039999999999</v>
      </c>
      <c r="K4673">
        <v>1.1088039999999999</v>
      </c>
      <c r="L4673">
        <v>166.95410000000001</v>
      </c>
      <c r="M4673">
        <v>-1.415624E-2</v>
      </c>
      <c r="N4673">
        <v>-8.5717469999999994E-3</v>
      </c>
      <c r="O4673">
        <v>-0.99986299999999995</v>
      </c>
      <c r="P4673">
        <v>-2.3665930000000002E-2</v>
      </c>
      <c r="Q4673">
        <v>-0.1017424</v>
      </c>
      <c r="R4673">
        <v>-0.99452940000000001</v>
      </c>
      <c r="S4673">
        <v>-0.53375240000000002</v>
      </c>
      <c r="T4673">
        <v>-0.58770290000000003</v>
      </c>
      <c r="U4673">
        <v>-2.9441220000000001</v>
      </c>
      <c r="V4673">
        <v>9.4985450000000006E-3</v>
      </c>
      <c r="W4673">
        <v>-9.3220609999999995E-2</v>
      </c>
      <c r="X4673">
        <v>0.99560020000000005</v>
      </c>
      <c r="Y4673">
        <v>0.16123489999999999</v>
      </c>
      <c r="Z4673">
        <v>0.18453269999999999</v>
      </c>
      <c r="AA4673">
        <v>0.96951069999999995</v>
      </c>
      <c r="AB4673">
        <v>22</v>
      </c>
      <c r="AC4673">
        <v>-0.12630000000001401</v>
      </c>
      <c r="AD4673">
        <v>-0.14128669999999999</v>
      </c>
      <c r="AE4673">
        <v>-0.58720000000002404</v>
      </c>
      <c r="AF4673">
        <v>0.11178880701457899</v>
      </c>
      <c r="AG4673">
        <v>-0.14128669999999999</v>
      </c>
      <c r="AH4673">
        <v>0.55805018332661405</v>
      </c>
      <c r="AI4673">
        <v>103.941690934186</v>
      </c>
      <c r="AJ4673">
        <v>78.672419962255702</v>
      </c>
      <c r="AK4673">
        <v>0.586411695041547</v>
      </c>
      <c r="AL4673">
        <v>95.348913592165303</v>
      </c>
      <c r="AM4673">
        <v>89.453384974407697</v>
      </c>
      <c r="AN4673">
        <v>1.00000003136296</v>
      </c>
    </row>
    <row r="4674" spans="1:40" x14ac:dyDescent="0.25">
      <c r="A4674" t="str">
        <f>"20190305135024496"</f>
        <v>20190305135024496</v>
      </c>
      <c r="B4674" t="str">
        <f>"1551765024484769"</f>
        <v>1551765024484769</v>
      </c>
      <c r="C4674" t="s">
        <v>40</v>
      </c>
      <c r="D4674">
        <v>4.0026739999999998</v>
      </c>
      <c r="E4674">
        <v>0.62659049999999905</v>
      </c>
      <c r="F4674" t="s">
        <v>42</v>
      </c>
      <c r="G4674">
        <v>-194.03649999999999</v>
      </c>
      <c r="H4674" s="1">
        <v>-1.4849650000000001E-6</v>
      </c>
      <c r="I4674">
        <v>160.46100000000001</v>
      </c>
      <c r="J4674">
        <v>-191.81299999999999</v>
      </c>
      <c r="K4674">
        <v>1.108792</v>
      </c>
      <c r="L4674">
        <v>166.80269999999999</v>
      </c>
      <c r="M4674">
        <v>-1.4594330000000001E-2</v>
      </c>
      <c r="N4674">
        <v>-8.5618910000000003E-3</v>
      </c>
      <c r="O4674">
        <v>-0.99985679999999999</v>
      </c>
      <c r="P4674">
        <v>-2.4649299999999999E-2</v>
      </c>
      <c r="Q4674">
        <v>-0.1015451</v>
      </c>
      <c r="R4674">
        <v>-0.99452549999999995</v>
      </c>
      <c r="S4674">
        <v>-1.0083470000000001</v>
      </c>
      <c r="T4674">
        <v>-0.50225109999999995</v>
      </c>
      <c r="U4674">
        <v>-2.9411320000000001</v>
      </c>
      <c r="V4674">
        <v>1.0044269999999999E-2</v>
      </c>
      <c r="W4674">
        <v>-9.3033710000000006E-2</v>
      </c>
      <c r="X4674">
        <v>0.99561230000000001</v>
      </c>
      <c r="Y4674">
        <v>0.30651970000000001</v>
      </c>
      <c r="Z4674">
        <v>0.1513871</v>
      </c>
      <c r="AA4674">
        <v>0.93974869999999999</v>
      </c>
      <c r="AB4674">
        <v>22</v>
      </c>
      <c r="AC4674">
        <v>-2.2235</v>
      </c>
      <c r="AD4674">
        <v>-1.1087934849650001</v>
      </c>
      <c r="AE4674">
        <v>-6.3416999999999701</v>
      </c>
      <c r="AF4674">
        <v>2.0742397900720402</v>
      </c>
      <c r="AG4674">
        <v>-1.1087934849650001</v>
      </c>
      <c r="AH4674">
        <v>6.2045689601304499</v>
      </c>
      <c r="AI4674">
        <v>99.619404410668494</v>
      </c>
      <c r="AJ4674">
        <v>71.514783180737794</v>
      </c>
      <c r="AK4674">
        <v>6.6354027519083703</v>
      </c>
      <c r="AL4674">
        <v>95.3381584109584</v>
      </c>
      <c r="AM4674">
        <v>89.421989105439806</v>
      </c>
      <c r="AN4674">
        <v>1.0000000052337401</v>
      </c>
    </row>
    <row r="4675" spans="1:40" x14ac:dyDescent="0.25">
      <c r="A4675" t="str">
        <f>"20190305135024513"</f>
        <v>20190305135024513</v>
      </c>
      <c r="B4675" t="str">
        <f>"1551765024505264"</f>
        <v>1551765024505264</v>
      </c>
      <c r="C4675" t="s">
        <v>40</v>
      </c>
      <c r="D4675">
        <v>3.9543270000000001</v>
      </c>
      <c r="E4675">
        <v>0.64036340000000003</v>
      </c>
      <c r="F4675" t="s">
        <v>94</v>
      </c>
      <c r="G4675">
        <v>-194.70590000000001</v>
      </c>
      <c r="H4675" s="1">
        <v>-1.481949E-5</v>
      </c>
      <c r="I4675">
        <v>158.98840000000001</v>
      </c>
      <c r="J4675">
        <v>-191.8158</v>
      </c>
      <c r="K4675">
        <v>1.1087819999999999</v>
      </c>
      <c r="L4675">
        <v>166.642</v>
      </c>
      <c r="M4675">
        <v>-1.507179E-2</v>
      </c>
      <c r="N4675">
        <v>-8.5498429999999997E-3</v>
      </c>
      <c r="O4675">
        <v>-0.99985020000000002</v>
      </c>
      <c r="P4675">
        <v>-2.588236E-2</v>
      </c>
      <c r="Q4675">
        <v>-0.1012902</v>
      </c>
      <c r="R4675">
        <v>-0.99452070000000004</v>
      </c>
      <c r="S4675">
        <v>-1.0909120000000001</v>
      </c>
      <c r="T4675">
        <v>-0.41812959999999899</v>
      </c>
      <c r="U4675">
        <v>-2.9467620000000001</v>
      </c>
      <c r="V4675">
        <v>1.079957E-2</v>
      </c>
      <c r="W4675">
        <v>-9.2791670000000007E-2</v>
      </c>
      <c r="X4675">
        <v>0.99562700000000004</v>
      </c>
      <c r="Y4675">
        <v>0.33014470000000001</v>
      </c>
      <c r="Z4675">
        <v>0.12377539999999999</v>
      </c>
      <c r="AA4675">
        <v>0.93577999999999995</v>
      </c>
      <c r="AB4675">
        <v>22</v>
      </c>
      <c r="AC4675">
        <v>-2.8901000000000101</v>
      </c>
      <c r="AD4675">
        <v>-1.10879681949</v>
      </c>
      <c r="AE4675">
        <v>-7.6535999999999804</v>
      </c>
      <c r="AF4675">
        <v>2.72437058801051</v>
      </c>
      <c r="AG4675">
        <v>-1.10879681949</v>
      </c>
      <c r="AH4675">
        <v>7.5574693276365998</v>
      </c>
      <c r="AI4675">
        <v>97.858382474445804</v>
      </c>
      <c r="AJ4675">
        <v>70.176418110904294</v>
      </c>
      <c r="AK4675">
        <v>8.1096836020831198</v>
      </c>
      <c r="AL4675">
        <v>95.324230191260497</v>
      </c>
      <c r="AM4675">
        <v>89.378536825904604</v>
      </c>
      <c r="AN4675">
        <v>1.0000000239312801</v>
      </c>
    </row>
    <row r="4676" spans="1:40" x14ac:dyDescent="0.25">
      <c r="A4676" t="str">
        <f>"20190305135024527"</f>
        <v>20190305135024527</v>
      </c>
      <c r="B4676" t="str">
        <f>"1551765024515023"</f>
        <v>1551765024515023</v>
      </c>
      <c r="C4676" t="s">
        <v>40</v>
      </c>
      <c r="D4676">
        <v>3.906822</v>
      </c>
      <c r="E4676">
        <v>0.64352039999999999</v>
      </c>
      <c r="F4676" t="s">
        <v>94</v>
      </c>
      <c r="G4676">
        <v>-196.74860000000001</v>
      </c>
      <c r="H4676" s="1">
        <v>-1.339225E-5</v>
      </c>
      <c r="I4676">
        <v>154.44720000000001</v>
      </c>
      <c r="J4676">
        <v>-191.8186</v>
      </c>
      <c r="K4676">
        <v>1.1087670000000001</v>
      </c>
      <c r="L4676">
        <v>166.48949999999999</v>
      </c>
      <c r="M4676">
        <v>-1.5542169999999999E-2</v>
      </c>
      <c r="N4676">
        <v>-8.5380830000000001E-3</v>
      </c>
      <c r="O4676">
        <v>-0.99984309999999998</v>
      </c>
      <c r="P4676">
        <v>-2.665735E-2</v>
      </c>
      <c r="Q4676">
        <v>-0.101066</v>
      </c>
      <c r="R4676">
        <v>-0.99452289999999999</v>
      </c>
      <c r="S4676">
        <v>-1.1964870000000001</v>
      </c>
      <c r="T4676">
        <v>-0.26895000000000002</v>
      </c>
      <c r="U4676">
        <v>-2.9579930000000001</v>
      </c>
      <c r="V4676">
        <v>1.110296E-2</v>
      </c>
      <c r="W4676">
        <v>-9.2579750000000002E-2</v>
      </c>
      <c r="X4676">
        <v>0.99564339999999996</v>
      </c>
      <c r="Y4676">
        <v>0.35931200000000002</v>
      </c>
      <c r="Z4676">
        <v>7.5739840000000003E-2</v>
      </c>
      <c r="AA4676">
        <v>0.93013889999999999</v>
      </c>
      <c r="AB4676">
        <v>22</v>
      </c>
      <c r="AC4676">
        <v>-4.93</v>
      </c>
      <c r="AD4676">
        <v>-1.1087803922499999</v>
      </c>
      <c r="AE4676">
        <v>-12.0422999999999</v>
      </c>
      <c r="AF4676">
        <v>4.7080505443440197</v>
      </c>
      <c r="AG4676">
        <v>-1.1087803922499999</v>
      </c>
      <c r="AH4676">
        <v>12.030123992910401</v>
      </c>
      <c r="AI4676">
        <v>94.905581326376094</v>
      </c>
      <c r="AJ4676">
        <v>68.6268553318058</v>
      </c>
      <c r="AK4676">
        <v>12.966071771015899</v>
      </c>
      <c r="AL4676">
        <v>95.312035529416903</v>
      </c>
      <c r="AM4676">
        <v>89.361090145252902</v>
      </c>
      <c r="AN4676">
        <v>1.0000000328971901</v>
      </c>
    </row>
    <row r="4677" spans="1:40" x14ac:dyDescent="0.25">
      <c r="A4677" t="str">
        <f>"20190305135024543"</f>
        <v>20190305135024543</v>
      </c>
      <c r="B4677" t="str">
        <f>"1551765024534544"</f>
        <v>1551765024534544</v>
      </c>
      <c r="C4677" t="s">
        <v>40</v>
      </c>
      <c r="D4677">
        <v>3.9411749999999999</v>
      </c>
      <c r="E4677">
        <v>0.64730129999999997</v>
      </c>
      <c r="F4677" t="s">
        <v>94</v>
      </c>
      <c r="G4677">
        <v>-197.72290000000001</v>
      </c>
      <c r="H4677" s="1">
        <v>-1.290942E-5</v>
      </c>
      <c r="I4677">
        <v>152.1848</v>
      </c>
      <c r="J4677">
        <v>-191.82159999999999</v>
      </c>
      <c r="K4677">
        <v>1.1087450000000001</v>
      </c>
      <c r="L4677">
        <v>166.33410000000001</v>
      </c>
      <c r="M4677">
        <v>-1.6041619999999999E-2</v>
      </c>
      <c r="N4677">
        <v>-8.5270709999999902E-3</v>
      </c>
      <c r="O4677">
        <v>-0.99983500000000003</v>
      </c>
      <c r="P4677">
        <v>-2.7491560000000002E-2</v>
      </c>
      <c r="Q4677">
        <v>-0.1003262</v>
      </c>
      <c r="R4677">
        <v>-0.99457479999999998</v>
      </c>
      <c r="S4677">
        <v>-1.2219390000000001</v>
      </c>
      <c r="T4677">
        <v>-0.2294706</v>
      </c>
      <c r="U4677">
        <v>-2.960464</v>
      </c>
      <c r="V4677">
        <v>1.1435519999999999E-2</v>
      </c>
      <c r="W4677">
        <v>-9.1851260000000004E-2</v>
      </c>
      <c r="X4677">
        <v>0.99570709999999996</v>
      </c>
      <c r="Y4677">
        <v>0.36577100000000001</v>
      </c>
      <c r="Z4677">
        <v>6.3193589999999994E-2</v>
      </c>
      <c r="AA4677">
        <v>0.92855699999999997</v>
      </c>
      <c r="AB4677">
        <v>22</v>
      </c>
      <c r="AC4677">
        <v>-5.9013000000000098</v>
      </c>
      <c r="AD4677">
        <v>-1.10875790942</v>
      </c>
      <c r="AE4677">
        <v>-14.1493</v>
      </c>
      <c r="AF4677">
        <v>5.6440328230052197</v>
      </c>
      <c r="AG4677">
        <v>-1.10875790942</v>
      </c>
      <c r="AH4677">
        <v>14.1680413088827</v>
      </c>
      <c r="AI4677">
        <v>94.158166136692799</v>
      </c>
      <c r="AJ4677">
        <v>68.2794595784287</v>
      </c>
      <c r="AK4677">
        <v>15.2911034637487</v>
      </c>
      <c r="AL4677">
        <v>95.270117548801494</v>
      </c>
      <c r="AM4677">
        <v>89.341997031763896</v>
      </c>
      <c r="AN4677">
        <v>1.00000002703583</v>
      </c>
    </row>
    <row r="4678" spans="1:40" x14ac:dyDescent="0.25">
      <c r="A4678" t="str">
        <f>"20190305135024555"</f>
        <v>20190305135024555</v>
      </c>
      <c r="B4678" t="str">
        <f>"1551765024545279"</f>
        <v>1551765024545279</v>
      </c>
      <c r="C4678" t="s">
        <v>40</v>
      </c>
      <c r="D4678">
        <v>3.910955</v>
      </c>
      <c r="E4678">
        <v>0.64815710000000004</v>
      </c>
      <c r="F4678" t="s">
        <v>94</v>
      </c>
      <c r="G4678">
        <v>-199.61619999999999</v>
      </c>
      <c r="H4678" s="1">
        <v>-1.1896289999999999E-5</v>
      </c>
      <c r="I4678">
        <v>147.8817</v>
      </c>
      <c r="J4678">
        <v>-191.82390000000001</v>
      </c>
      <c r="K4678">
        <v>1.1087290000000001</v>
      </c>
      <c r="L4678">
        <v>166.2176</v>
      </c>
      <c r="M4678">
        <v>-1.6430549999999999E-2</v>
      </c>
      <c r="N4678">
        <v>-8.5193830000000002E-3</v>
      </c>
      <c r="O4678">
        <v>-0.99982890000000002</v>
      </c>
      <c r="P4678">
        <v>-2.8281839999999999E-2</v>
      </c>
      <c r="Q4678">
        <v>-0.1000566</v>
      </c>
      <c r="R4678">
        <v>-0.99458000000000002</v>
      </c>
      <c r="S4678">
        <v>-1.251938</v>
      </c>
      <c r="T4678">
        <v>-0.17808460000000001</v>
      </c>
      <c r="U4678">
        <v>-2.9637600000000002</v>
      </c>
      <c r="V4678">
        <v>1.1835E-2</v>
      </c>
      <c r="W4678">
        <v>-9.1590030000000003E-2</v>
      </c>
      <c r="X4678">
        <v>0.99572649999999996</v>
      </c>
      <c r="Y4678">
        <v>0.37340839999999997</v>
      </c>
      <c r="Z4678">
        <v>4.695614E-2</v>
      </c>
      <c r="AA4678">
        <v>0.92647789999999997</v>
      </c>
      <c r="AB4678">
        <v>22</v>
      </c>
      <c r="AC4678">
        <v>-7.7922999999999796</v>
      </c>
      <c r="AD4678">
        <v>-1.1087408962899901</v>
      </c>
      <c r="AE4678">
        <v>-18.335899999999999</v>
      </c>
      <c r="AF4678">
        <v>7.46684287712299</v>
      </c>
      <c r="AG4678">
        <v>-1.1087408962899901</v>
      </c>
      <c r="AH4678">
        <v>18.404461077980098</v>
      </c>
      <c r="AI4678">
        <v>93.195146850114497</v>
      </c>
      <c r="AJ4678">
        <v>67.917196405065397</v>
      </c>
      <c r="AK4678">
        <v>19.892391422290899</v>
      </c>
      <c r="AL4678">
        <v>95.255086789630298</v>
      </c>
      <c r="AM4678">
        <v>89.319026237375297</v>
      </c>
      <c r="AN4678">
        <v>1.00000003181132</v>
      </c>
    </row>
    <row r="4679" spans="1:40" x14ac:dyDescent="0.25">
      <c r="A4679" t="str">
        <f>"20190305135024566"</f>
        <v>20190305135024566</v>
      </c>
      <c r="B4679" t="str">
        <f>"1551765024555040"</f>
        <v>1551765024555040</v>
      </c>
      <c r="C4679" t="s">
        <v>40</v>
      </c>
      <c r="D4679">
        <v>3.8809290000000001</v>
      </c>
      <c r="E4679">
        <v>0.64893999999999996</v>
      </c>
      <c r="F4679" t="s">
        <v>94</v>
      </c>
      <c r="G4679">
        <v>-200.24770000000001</v>
      </c>
      <c r="H4679" s="1">
        <v>-1.138008E-5</v>
      </c>
      <c r="I4679">
        <v>146.41380000000001</v>
      </c>
      <c r="J4679">
        <v>-191.8261</v>
      </c>
      <c r="K4679">
        <v>1.1087089999999999</v>
      </c>
      <c r="L4679">
        <v>166.10579999999999</v>
      </c>
      <c r="M4679">
        <v>-1.6817519999999999E-2</v>
      </c>
      <c r="N4679">
        <v>-8.5125459999999993E-3</v>
      </c>
      <c r="O4679">
        <v>-0.99982249999999995</v>
      </c>
      <c r="P4679">
        <v>-2.9178639999999999E-2</v>
      </c>
      <c r="Q4679">
        <v>-9.9699129999999997E-2</v>
      </c>
      <c r="R4679">
        <v>-0.99458990000000003</v>
      </c>
      <c r="S4679">
        <v>-1.2606809999999999</v>
      </c>
      <c r="T4679">
        <v>-0.165931299999999</v>
      </c>
      <c r="U4679">
        <v>-2.9637910000000001</v>
      </c>
      <c r="V4679">
        <v>1.234261E-2</v>
      </c>
      <c r="W4679">
        <v>-9.1240299999999996E-2</v>
      </c>
      <c r="X4679">
        <v>0.99575239999999998</v>
      </c>
      <c r="Y4679">
        <v>0.37543480000000001</v>
      </c>
      <c r="Z4679">
        <v>4.3138839999999998E-2</v>
      </c>
      <c r="AA4679">
        <v>0.92584440000000001</v>
      </c>
      <c r="AB4679">
        <v>22</v>
      </c>
      <c r="AC4679">
        <v>-8.4216000000000104</v>
      </c>
      <c r="AD4679">
        <v>-1.1087203800799901</v>
      </c>
      <c r="AE4679">
        <v>-19.691999999999901</v>
      </c>
      <c r="AF4679">
        <v>8.0676060447392501</v>
      </c>
      <c r="AG4679">
        <v>-1.1087203800799901</v>
      </c>
      <c r="AH4679">
        <v>19.7778479406131</v>
      </c>
      <c r="AI4679">
        <v>92.971350359343305</v>
      </c>
      <c r="AJ4679">
        <v>67.808901502997799</v>
      </c>
      <c r="AK4679">
        <v>21.388753992141101</v>
      </c>
      <c r="AL4679">
        <v>95.234964716440501</v>
      </c>
      <c r="AM4679">
        <v>89.289840278653699</v>
      </c>
      <c r="AN4679">
        <v>0.99999998723573003</v>
      </c>
    </row>
    <row r="4680" spans="1:40" x14ac:dyDescent="0.25">
      <c r="A4680" t="str">
        <f>"20190305135024578"</f>
        <v>20190305135024578</v>
      </c>
      <c r="B4680" t="str">
        <f>"1551765024574560"</f>
        <v>1551765024574560</v>
      </c>
      <c r="C4680" t="s">
        <v>40</v>
      </c>
      <c r="D4680">
        <v>3.8690869999999999</v>
      </c>
      <c r="E4680">
        <v>0.64991140000000003</v>
      </c>
      <c r="F4680" t="s">
        <v>94</v>
      </c>
      <c r="G4680">
        <v>-200.785</v>
      </c>
      <c r="H4680" s="1">
        <v>-1.07769699999999E-5</v>
      </c>
      <c r="I4680">
        <v>145.1875</v>
      </c>
      <c r="J4680">
        <v>-191.82849999999999</v>
      </c>
      <c r="K4680">
        <v>1.10869</v>
      </c>
      <c r="L4680">
        <v>165.99100000000001</v>
      </c>
      <c r="M4680">
        <v>-1.7235190000000001E-2</v>
      </c>
      <c r="N4680">
        <v>-8.5059990000000002E-3</v>
      </c>
      <c r="O4680">
        <v>-0.99981560000000003</v>
      </c>
      <c r="P4680">
        <v>-3.021631E-2</v>
      </c>
      <c r="Q4680">
        <v>-9.9513820000000003E-2</v>
      </c>
      <c r="R4680">
        <v>-0.99457779999999996</v>
      </c>
      <c r="S4680">
        <v>-1.26915</v>
      </c>
      <c r="T4680">
        <v>-0.15706519999999999</v>
      </c>
      <c r="U4680">
        <v>-2.9633639999999999</v>
      </c>
      <c r="V4680">
        <v>1.296012E-2</v>
      </c>
      <c r="W4680">
        <v>-9.1062790000000005E-2</v>
      </c>
      <c r="X4680">
        <v>0.9957608</v>
      </c>
      <c r="Y4680">
        <v>0.37738260000000001</v>
      </c>
      <c r="Z4680">
        <v>4.0354260000000003E-2</v>
      </c>
      <c r="AA4680">
        <v>0.92517780000000005</v>
      </c>
      <c r="AB4680">
        <v>22</v>
      </c>
      <c r="AC4680">
        <v>-8.9565000000000001</v>
      </c>
      <c r="AD4680">
        <v>-1.1087007769699999</v>
      </c>
      <c r="AE4680">
        <v>-20.8034999999999</v>
      </c>
      <c r="AF4680">
        <v>8.5760551929489992</v>
      </c>
      <c r="AG4680">
        <v>-1.1087007769699999</v>
      </c>
      <c r="AH4680">
        <v>20.904692174071801</v>
      </c>
      <c r="AI4680">
        <v>92.809102558151395</v>
      </c>
      <c r="AJ4680">
        <v>67.694331646315604</v>
      </c>
      <c r="AK4680">
        <v>22.622645622872199</v>
      </c>
      <c r="AL4680">
        <v>95.224751644630999</v>
      </c>
      <c r="AM4680">
        <v>89.254320663287103</v>
      </c>
      <c r="AN4680">
        <v>0.99999998362481901</v>
      </c>
    </row>
    <row r="4681" spans="1:40" x14ac:dyDescent="0.25">
      <c r="A4681" t="str">
        <f>"20190305135024589"</f>
        <v>20190305135024589</v>
      </c>
      <c r="B4681" t="str">
        <f>"1551765024585296"</f>
        <v>1551765024585296</v>
      </c>
      <c r="C4681" t="s">
        <v>40</v>
      </c>
      <c r="D4681">
        <v>3.8359559999999999</v>
      </c>
      <c r="E4681">
        <v>0.65027709999999905</v>
      </c>
      <c r="F4681" t="s">
        <v>94</v>
      </c>
      <c r="G4681">
        <v>-201.76150000000001</v>
      </c>
      <c r="H4681" s="1">
        <v>-9.695462E-6</v>
      </c>
      <c r="I4681">
        <v>142.9802</v>
      </c>
      <c r="J4681">
        <v>-191.83090000000001</v>
      </c>
      <c r="K4681">
        <v>1.108665</v>
      </c>
      <c r="L4681">
        <v>165.87880000000001</v>
      </c>
      <c r="M4681">
        <v>-1.7651569999999998E-2</v>
      </c>
      <c r="N4681">
        <v>-8.4997830000000003E-3</v>
      </c>
      <c r="O4681">
        <v>-0.99980829999999998</v>
      </c>
      <c r="P4681">
        <v>-3.1473710000000002E-2</v>
      </c>
      <c r="Q4681">
        <v>-9.9220619999999995E-2</v>
      </c>
      <c r="R4681">
        <v>-0.9945676</v>
      </c>
      <c r="S4681">
        <v>-1.2791140000000001</v>
      </c>
      <c r="T4681">
        <v>-0.14277239999999999</v>
      </c>
      <c r="U4681">
        <v>-2.9632109999999998</v>
      </c>
      <c r="V4681">
        <v>1.3798609999999999E-2</v>
      </c>
      <c r="W4681">
        <v>-9.0777410000000003E-2</v>
      </c>
      <c r="X4681">
        <v>0.99577559999999998</v>
      </c>
      <c r="Y4681">
        <v>0.37971270000000001</v>
      </c>
      <c r="Z4681">
        <v>3.587837E-2</v>
      </c>
      <c r="AA4681">
        <v>0.92440840000000002</v>
      </c>
      <c r="AB4681">
        <v>22</v>
      </c>
      <c r="AC4681">
        <v>-9.9305999999999894</v>
      </c>
      <c r="AD4681">
        <v>-1.1086746954619999</v>
      </c>
      <c r="AE4681">
        <v>-22.898599999999998</v>
      </c>
      <c r="AF4681">
        <v>9.5060856076532101</v>
      </c>
      <c r="AG4681">
        <v>-1.1086746954619999</v>
      </c>
      <c r="AH4681">
        <v>23.024898961814401</v>
      </c>
      <c r="AI4681">
        <v>92.548386447227699</v>
      </c>
      <c r="AJ4681">
        <v>67.566172742253897</v>
      </c>
      <c r="AK4681">
        <v>24.934730705627299</v>
      </c>
      <c r="AL4681">
        <v>95.208332522774199</v>
      </c>
      <c r="AM4681">
        <v>89.206094708462203</v>
      </c>
      <c r="AN4681">
        <v>0.9999999926798</v>
      </c>
    </row>
    <row r="4682" spans="1:40" x14ac:dyDescent="0.25">
      <c r="A4682" t="str">
        <f>"20190305135024600"</f>
        <v>20190305135024600</v>
      </c>
      <c r="B4682" t="str">
        <f>"1551765024595056"</f>
        <v>1551765024595056</v>
      </c>
      <c r="C4682" t="s">
        <v>40</v>
      </c>
      <c r="D4682">
        <v>3.8579650000000001</v>
      </c>
      <c r="E4682">
        <v>0.65074739999999998</v>
      </c>
      <c r="F4682" t="s">
        <v>94</v>
      </c>
      <c r="G4682">
        <v>-202.23140000000001</v>
      </c>
      <c r="H4682" s="1">
        <v>-9.2375810000000008E-6</v>
      </c>
      <c r="I4682">
        <v>141.91579999999999</v>
      </c>
      <c r="J4682">
        <v>-191.83320000000001</v>
      </c>
      <c r="K4682">
        <v>1.1086400000000001</v>
      </c>
      <c r="L4682">
        <v>165.77099999999999</v>
      </c>
      <c r="M4682">
        <v>-1.8079089999999999E-2</v>
      </c>
      <c r="N4682">
        <v>-8.494326E-3</v>
      </c>
      <c r="O4682">
        <v>-0.99980069999999999</v>
      </c>
      <c r="P4682">
        <v>-3.2743870000000001E-2</v>
      </c>
      <c r="Q4682">
        <v>-9.9175250000000006E-2</v>
      </c>
      <c r="R4682">
        <v>-0.99453130000000001</v>
      </c>
      <c r="S4682">
        <v>-1.2855989999999999</v>
      </c>
      <c r="T4682">
        <v>-0.13704169999999999</v>
      </c>
      <c r="U4682">
        <v>-2.9620359999999999</v>
      </c>
      <c r="V4682">
        <v>1.4638780000000001E-2</v>
      </c>
      <c r="W4682">
        <v>-9.0739440000000005E-2</v>
      </c>
      <c r="X4682">
        <v>0.99576710000000002</v>
      </c>
      <c r="Y4682">
        <v>0.38118190000000002</v>
      </c>
      <c r="Z4682">
        <v>3.4091759999999999E-2</v>
      </c>
      <c r="AA4682">
        <v>0.92387129999999995</v>
      </c>
      <c r="AB4682">
        <v>22</v>
      </c>
      <c r="AC4682">
        <v>-10.398199999999999</v>
      </c>
      <c r="AD4682">
        <v>-1.108649237581</v>
      </c>
      <c r="AE4682">
        <v>-23.8552</v>
      </c>
      <c r="AF4682">
        <v>9.9471505807076603</v>
      </c>
      <c r="AG4682">
        <v>-1.108649237581</v>
      </c>
      <c r="AH4682">
        <v>23.995745365276601</v>
      </c>
      <c r="AI4682">
        <v>92.443906335841206</v>
      </c>
      <c r="AJ4682">
        <v>67.484130532816295</v>
      </c>
      <c r="AK4682">
        <v>25.999436598558301</v>
      </c>
      <c r="AL4682">
        <v>95.206147798524796</v>
      </c>
      <c r="AM4682">
        <v>89.157754964684997</v>
      </c>
      <c r="AN4682">
        <v>1.0000000286469</v>
      </c>
    </row>
    <row r="4683" spans="1:40" x14ac:dyDescent="0.25">
      <c r="A4683" t="str">
        <f>"20190305135024614"</f>
        <v>20190305135024614</v>
      </c>
      <c r="B4683" t="str">
        <f>"1551765024604815"</f>
        <v>1551765024604815</v>
      </c>
      <c r="C4683" t="s">
        <v>40</v>
      </c>
      <c r="D4683">
        <v>3.7994340000000002</v>
      </c>
      <c r="E4683">
        <v>0.65116039999999997</v>
      </c>
      <c r="F4683" t="s">
        <v>94</v>
      </c>
      <c r="G4683">
        <v>-202.79939999999999</v>
      </c>
      <c r="H4683" s="1">
        <v>-8.6907199999999994E-6</v>
      </c>
      <c r="I4683">
        <v>140.6541</v>
      </c>
      <c r="J4683">
        <v>-191.8365</v>
      </c>
      <c r="K4683">
        <v>1.108603</v>
      </c>
      <c r="L4683">
        <v>165.62559999999999</v>
      </c>
      <c r="M4683">
        <v>-1.8670969999999999E-2</v>
      </c>
      <c r="N4683">
        <v>-8.4872599999999999E-3</v>
      </c>
      <c r="O4683">
        <v>-0.99978979999999995</v>
      </c>
      <c r="P4683">
        <v>-3.4157399999999997E-2</v>
      </c>
      <c r="Q4683">
        <v>-9.9403870000000005E-2</v>
      </c>
      <c r="R4683">
        <v>-0.99446089999999998</v>
      </c>
      <c r="S4683">
        <v>-1.29274</v>
      </c>
      <c r="T4683">
        <v>-0.13069269999999999</v>
      </c>
      <c r="U4683">
        <v>-2.9608919999999999</v>
      </c>
      <c r="V4683">
        <v>1.5457139999999999E-2</v>
      </c>
      <c r="W4683">
        <v>-9.0977619999999995E-2</v>
      </c>
      <c r="X4683">
        <v>0.99573299999999998</v>
      </c>
      <c r="Y4683">
        <v>0.38266670000000003</v>
      </c>
      <c r="Z4683">
        <v>3.211381E-2</v>
      </c>
      <c r="AA4683">
        <v>0.92332820000000004</v>
      </c>
      <c r="AB4683">
        <v>22</v>
      </c>
      <c r="AC4683">
        <v>-10.9628999999999</v>
      </c>
      <c r="AD4683">
        <v>-1.1086116907200001</v>
      </c>
      <c r="AE4683">
        <v>-24.971499999999899</v>
      </c>
      <c r="AF4683">
        <v>10.477416684906199</v>
      </c>
      <c r="AG4683">
        <v>-1.1086116907200001</v>
      </c>
      <c r="AH4683">
        <v>25.1303157114173</v>
      </c>
      <c r="AI4683">
        <v>92.331645962674102</v>
      </c>
      <c r="AJ4683">
        <v>67.367602424569796</v>
      </c>
      <c r="AK4683">
        <v>27.249551336223099</v>
      </c>
      <c r="AL4683">
        <v>95.219851185406796</v>
      </c>
      <c r="AM4683">
        <v>89.1106473749429</v>
      </c>
      <c r="AN4683">
        <v>1.0000000289034201</v>
      </c>
    </row>
    <row r="4684" spans="1:40" x14ac:dyDescent="0.25">
      <c r="A4684" t="str">
        <f>"20190305135024625"</f>
        <v>20190305135024625</v>
      </c>
      <c r="B4684" t="str">
        <f>"1551765024614576"</f>
        <v>1551765024614576</v>
      </c>
      <c r="C4684" t="s">
        <v>40</v>
      </c>
      <c r="D4684">
        <v>3.8356349999999999</v>
      </c>
      <c r="E4684">
        <v>0.65168300000000001</v>
      </c>
      <c r="F4684" t="s">
        <v>94</v>
      </c>
      <c r="G4684">
        <v>-203.43620000000001</v>
      </c>
      <c r="H4684" s="1">
        <v>-8.0547290000000003E-6</v>
      </c>
      <c r="I4684">
        <v>139.2183</v>
      </c>
      <c r="J4684">
        <v>-191.8391</v>
      </c>
      <c r="K4684">
        <v>1.108576</v>
      </c>
      <c r="L4684">
        <v>165.51079999999999</v>
      </c>
      <c r="M4684">
        <v>-1.9160300000000002E-2</v>
      </c>
      <c r="N4684">
        <v>-8.4821140000000007E-3</v>
      </c>
      <c r="O4684">
        <v>-0.99978040000000001</v>
      </c>
      <c r="P4684">
        <v>-3.5421800000000003E-2</v>
      </c>
      <c r="Q4684">
        <v>-9.9341910000000005E-2</v>
      </c>
      <c r="R4684">
        <v>-0.99442260000000005</v>
      </c>
      <c r="S4684">
        <v>-1.300049</v>
      </c>
      <c r="T4684">
        <v>-0.1242486</v>
      </c>
      <c r="U4684">
        <v>-2.959625</v>
      </c>
      <c r="V4684">
        <v>1.622958E-2</v>
      </c>
      <c r="W4684">
        <v>-9.0922929999999999E-2</v>
      </c>
      <c r="X4684">
        <v>0.99572570000000005</v>
      </c>
      <c r="Y4684">
        <v>0.38429999999999997</v>
      </c>
      <c r="Z4684">
        <v>3.010533E-2</v>
      </c>
      <c r="AA4684">
        <v>0.92271729999999996</v>
      </c>
      <c r="AB4684">
        <v>22</v>
      </c>
      <c r="AC4684">
        <v>-11.597099999999999</v>
      </c>
      <c r="AD4684">
        <v>-1.108584054729</v>
      </c>
      <c r="AE4684">
        <v>-26.292499999999901</v>
      </c>
      <c r="AF4684">
        <v>11.0746989294834</v>
      </c>
      <c r="AG4684">
        <v>-1.108584054729</v>
      </c>
      <c r="AH4684">
        <v>26.470490873822101</v>
      </c>
      <c r="AI4684">
        <v>92.212517956486394</v>
      </c>
      <c r="AJ4684">
        <v>67.296587032594402</v>
      </c>
      <c r="AK4684">
        <v>28.715236410069799</v>
      </c>
      <c r="AL4684">
        <v>95.216704663617094</v>
      </c>
      <c r="AM4684">
        <v>89.066204574060095</v>
      </c>
      <c r="AN4684">
        <v>1.00000002405362</v>
      </c>
    </row>
    <row r="4685" spans="1:40" x14ac:dyDescent="0.25">
      <c r="A4685" t="str">
        <f>"20190305135024637"</f>
        <v>20190305135024637</v>
      </c>
      <c r="B4685" t="str">
        <f>"1551765024635071"</f>
        <v>1551765024635071</v>
      </c>
      <c r="C4685" t="s">
        <v>40</v>
      </c>
      <c r="D4685">
        <v>3.8536899999999998</v>
      </c>
      <c r="E4685">
        <v>0.65262410000000004</v>
      </c>
      <c r="F4685" t="s">
        <v>94</v>
      </c>
      <c r="G4685">
        <v>-203.8997</v>
      </c>
      <c r="H4685" s="1">
        <v>-7.5753009999999902E-6</v>
      </c>
      <c r="I4685">
        <v>138.226</v>
      </c>
      <c r="J4685">
        <v>-191.84180000000001</v>
      </c>
      <c r="K4685">
        <v>1.108552</v>
      </c>
      <c r="L4685">
        <v>165.40110000000001</v>
      </c>
      <c r="M4685">
        <v>-1.9645820000000001E-2</v>
      </c>
      <c r="N4685">
        <v>-8.4777050000000003E-3</v>
      </c>
      <c r="O4685">
        <v>-0.99977139999999998</v>
      </c>
      <c r="P4685">
        <v>-3.6772909999999999E-2</v>
      </c>
      <c r="Q4685">
        <v>-9.9455890000000005E-2</v>
      </c>
      <c r="R4685">
        <v>-0.99436259999999999</v>
      </c>
      <c r="S4685">
        <v>-1.307617</v>
      </c>
      <c r="T4685">
        <v>-0.12019349999999999</v>
      </c>
      <c r="U4685">
        <v>-2.958237</v>
      </c>
      <c r="V4685">
        <v>1.7093199999999999E-2</v>
      </c>
      <c r="W4685">
        <v>-9.1043719999999995E-2</v>
      </c>
      <c r="X4685">
        <v>0.99570020000000004</v>
      </c>
      <c r="Y4685">
        <v>0.38600400000000001</v>
      </c>
      <c r="Z4685">
        <v>2.883751E-2</v>
      </c>
      <c r="AA4685">
        <v>0.92204620000000004</v>
      </c>
      <c r="AB4685">
        <v>22</v>
      </c>
      <c r="AC4685">
        <v>-12.057899999999901</v>
      </c>
      <c r="AD4685">
        <v>-1.108559575301</v>
      </c>
      <c r="AE4685">
        <v>-27.1751</v>
      </c>
      <c r="AF4685">
        <v>11.505679596871801</v>
      </c>
      <c r="AG4685">
        <v>-1.108559575301</v>
      </c>
      <c r="AH4685">
        <v>27.368698491504301</v>
      </c>
      <c r="AI4685">
        <v>92.138390173647295</v>
      </c>
      <c r="AJ4685">
        <v>67.198331027002098</v>
      </c>
      <c r="AK4685">
        <v>29.709514039053801</v>
      </c>
      <c r="AL4685">
        <v>95.223654305890804</v>
      </c>
      <c r="AM4685">
        <v>89.016499116210696</v>
      </c>
      <c r="AN4685">
        <v>1.0000000123588499</v>
      </c>
    </row>
    <row r="4686" spans="1:40" x14ac:dyDescent="0.25">
      <c r="A4686" t="str">
        <f>"20190305135024648"</f>
        <v>20190305135024648</v>
      </c>
      <c r="B4686" t="str">
        <f>"1551765024644832"</f>
        <v>1551765024644832</v>
      </c>
      <c r="C4686" t="s">
        <v>40</v>
      </c>
      <c r="D4686">
        <v>3.8675950000000001</v>
      </c>
      <c r="E4686">
        <v>0.65319380000000005</v>
      </c>
      <c r="F4686" t="s">
        <v>94</v>
      </c>
      <c r="G4686">
        <v>-204.51990000000001</v>
      </c>
      <c r="H4686" s="1">
        <v>-6.9360540000000004E-6</v>
      </c>
      <c r="I4686">
        <v>136.9777</v>
      </c>
      <c r="J4686">
        <v>-191.84469999999999</v>
      </c>
      <c r="K4686">
        <v>1.108522</v>
      </c>
      <c r="L4686">
        <v>165.28129999999999</v>
      </c>
      <c r="M4686">
        <v>-2.0186760000000002E-2</v>
      </c>
      <c r="N4686">
        <v>-8.4731500000000005E-3</v>
      </c>
      <c r="O4686">
        <v>-0.99976050000000005</v>
      </c>
      <c r="P4686">
        <v>-3.8132050000000001E-2</v>
      </c>
      <c r="Q4686">
        <v>-9.9405679999999996E-2</v>
      </c>
      <c r="R4686">
        <v>-0.99431650000000005</v>
      </c>
      <c r="S4686">
        <v>-1.318832</v>
      </c>
      <c r="T4686">
        <v>-0.1153165</v>
      </c>
      <c r="U4686">
        <v>-2.9567109999999999</v>
      </c>
      <c r="V4686">
        <v>1.7909330000000001E-2</v>
      </c>
      <c r="W4686">
        <v>-9.1000419999999999E-2</v>
      </c>
      <c r="X4686">
        <v>0.99568979999999996</v>
      </c>
      <c r="Y4686">
        <v>0.38862000000000002</v>
      </c>
      <c r="Z4686">
        <v>2.730206E-2</v>
      </c>
      <c r="AA4686">
        <v>0.92099350000000002</v>
      </c>
      <c r="AB4686">
        <v>22</v>
      </c>
      <c r="AC4686">
        <v>-12.6752</v>
      </c>
      <c r="AD4686">
        <v>-1.108528936054</v>
      </c>
      <c r="AE4686">
        <v>-28.3035999999999</v>
      </c>
      <c r="AF4686">
        <v>12.0857965009056</v>
      </c>
      <c r="AG4686">
        <v>-1.108528936054</v>
      </c>
      <c r="AH4686">
        <v>28.517275823369999</v>
      </c>
      <c r="AI4686">
        <v>92.049777722062501</v>
      </c>
      <c r="AJ4686">
        <v>67.032471108504495</v>
      </c>
      <c r="AK4686">
        <v>30.992423813724798</v>
      </c>
      <c r="AL4686">
        <v>95.221163126171305</v>
      </c>
      <c r="AM4686">
        <v>88.969540127631106</v>
      </c>
      <c r="AN4686">
        <v>0.99999999918263205</v>
      </c>
    </row>
    <row r="4687" spans="1:40" x14ac:dyDescent="0.25">
      <c r="A4687" t="str">
        <f>"20190305135024660"</f>
        <v>20190305135024660</v>
      </c>
      <c r="B4687" t="str">
        <f>"1551765024654591"</f>
        <v>1551765024654591</v>
      </c>
      <c r="C4687" t="s">
        <v>40</v>
      </c>
      <c r="D4687">
        <v>3.8497530000000002</v>
      </c>
      <c r="E4687">
        <v>0.65371190000000001</v>
      </c>
      <c r="F4687" t="s">
        <v>94</v>
      </c>
      <c r="G4687">
        <v>-205.06899999999999</v>
      </c>
      <c r="H4687" s="1">
        <v>-6.3454299999999998E-6</v>
      </c>
      <c r="I4687">
        <v>135.83529999999999</v>
      </c>
      <c r="J4687">
        <v>-191.8475</v>
      </c>
      <c r="K4687">
        <v>1.1085</v>
      </c>
      <c r="L4687">
        <v>165.16829999999999</v>
      </c>
      <c r="M4687">
        <v>-2.0723499999999999E-2</v>
      </c>
      <c r="N4687">
        <v>-8.4695059999999999E-3</v>
      </c>
      <c r="O4687">
        <v>-0.99974969999999996</v>
      </c>
      <c r="P4687">
        <v>-3.9500319999999998E-2</v>
      </c>
      <c r="Q4687">
        <v>-9.9531640000000005E-2</v>
      </c>
      <c r="R4687">
        <v>-0.99425059999999998</v>
      </c>
      <c r="S4687">
        <v>-1.327164</v>
      </c>
      <c r="T4687">
        <v>-0.1112493</v>
      </c>
      <c r="U4687">
        <v>-2.955139</v>
      </c>
      <c r="V4687">
        <v>1.873961E-2</v>
      </c>
      <c r="W4687">
        <v>-9.1132500000000005E-2</v>
      </c>
      <c r="X4687">
        <v>0.99566250000000001</v>
      </c>
      <c r="Y4687">
        <v>0.39048529999999998</v>
      </c>
      <c r="Z4687">
        <v>2.6030870000000001E-2</v>
      </c>
      <c r="AA4687">
        <v>0.92024110000000003</v>
      </c>
      <c r="AB4687">
        <v>22</v>
      </c>
      <c r="AC4687">
        <v>-13.221500000000001</v>
      </c>
      <c r="AD4687">
        <v>-1.1085063454299999</v>
      </c>
      <c r="AE4687">
        <v>-29.332999999999998</v>
      </c>
      <c r="AF4687">
        <v>12.5958055958006</v>
      </c>
      <c r="AG4687">
        <v>-1.1085063454299999</v>
      </c>
      <c r="AH4687">
        <v>29.565612266198698</v>
      </c>
      <c r="AI4687">
        <v>91.975535367368295</v>
      </c>
      <c r="AJ4687">
        <v>66.924593400554599</v>
      </c>
      <c r="AK4687">
        <v>32.156003072525301</v>
      </c>
      <c r="AL4687">
        <v>95.228762011386294</v>
      </c>
      <c r="AM4687">
        <v>88.921749280169493</v>
      </c>
      <c r="AN4687">
        <v>1.0000000597227201</v>
      </c>
    </row>
    <row r="4688" spans="1:40" x14ac:dyDescent="0.25">
      <c r="A4688" t="str">
        <f>"20190305135024671"</f>
        <v>20190305135024671</v>
      </c>
      <c r="B4688" t="str">
        <f>"1551765024665328"</f>
        <v>1551765024665328</v>
      </c>
      <c r="C4688" t="s">
        <v>40</v>
      </c>
      <c r="D4688">
        <v>3.8560669999999999</v>
      </c>
      <c r="E4688">
        <v>0.65411319999999995</v>
      </c>
      <c r="F4688" t="s">
        <v>94</v>
      </c>
      <c r="G4688">
        <v>-205.3939</v>
      </c>
      <c r="H4688" s="1">
        <v>-5.9990549999999899E-6</v>
      </c>
      <c r="I4688">
        <v>135.2028</v>
      </c>
      <c r="J4688">
        <v>-191.85050000000001</v>
      </c>
      <c r="K4688">
        <v>1.1084780000000001</v>
      </c>
      <c r="L4688">
        <v>165.0521</v>
      </c>
      <c r="M4688">
        <v>-2.1281700000000001E-2</v>
      </c>
      <c r="N4688">
        <v>-8.4659109999999996E-3</v>
      </c>
      <c r="O4688">
        <v>-0.9997376</v>
      </c>
      <c r="P4688">
        <v>-4.1091990000000002E-2</v>
      </c>
      <c r="Q4688">
        <v>-9.9635779999999993E-2</v>
      </c>
      <c r="R4688">
        <v>-0.99417500000000003</v>
      </c>
      <c r="S4688">
        <v>-1.3351139999999999</v>
      </c>
      <c r="T4688">
        <v>-0.1092533</v>
      </c>
      <c r="U4688">
        <v>-2.9533689999999999</v>
      </c>
      <c r="V4688">
        <v>1.9772089999999999E-2</v>
      </c>
      <c r="W4688">
        <v>-9.1243210000000005E-2</v>
      </c>
      <c r="X4688">
        <v>0.99563239999999997</v>
      </c>
      <c r="Y4688">
        <v>0.39224300000000001</v>
      </c>
      <c r="Z4688">
        <v>2.5404880000000001E-2</v>
      </c>
      <c r="AA4688">
        <v>0.91951079999999996</v>
      </c>
      <c r="AB4688">
        <v>22</v>
      </c>
      <c r="AC4688">
        <v>-13.543399999999901</v>
      </c>
      <c r="AD4688">
        <v>-1.1084839990549999</v>
      </c>
      <c r="AE4688">
        <v>-29.849299999999999</v>
      </c>
      <c r="AF4688">
        <v>12.890323846617299</v>
      </c>
      <c r="AG4688">
        <v>-1.1084839990549999</v>
      </c>
      <c r="AH4688">
        <v>30.096356605448499</v>
      </c>
      <c r="AI4688">
        <v>91.939093326248496</v>
      </c>
      <c r="AJ4688">
        <v>66.814461922537006</v>
      </c>
      <c r="AK4688">
        <v>32.759424087873597</v>
      </c>
      <c r="AL4688">
        <v>95.235131724588697</v>
      </c>
      <c r="AM4688">
        <v>88.862322658821398</v>
      </c>
      <c r="AN4688">
        <v>1.0000000674219101</v>
      </c>
    </row>
    <row r="4689" spans="1:40" x14ac:dyDescent="0.25">
      <c r="A4689" t="str">
        <f>"20190305135024681"</f>
        <v>20190305135024681</v>
      </c>
      <c r="B4689" t="str">
        <f>"1551765024675088"</f>
        <v>1551765024675088</v>
      </c>
      <c r="C4689" t="s">
        <v>40</v>
      </c>
      <c r="D4689">
        <v>3.8421240000000001</v>
      </c>
      <c r="E4689">
        <v>0.65451729999999997</v>
      </c>
      <c r="F4689" t="s">
        <v>94</v>
      </c>
      <c r="G4689">
        <v>-205.78649999999999</v>
      </c>
      <c r="H4689" s="1">
        <v>-5.5766629999999999E-6</v>
      </c>
      <c r="I4689">
        <v>134.42660000000001</v>
      </c>
      <c r="J4689">
        <v>-191.8535</v>
      </c>
      <c r="K4689">
        <v>1.108457</v>
      </c>
      <c r="L4689">
        <v>164.93960000000001</v>
      </c>
      <c r="M4689">
        <v>-2.18449E-2</v>
      </c>
      <c r="N4689">
        <v>-8.4629249999999996E-3</v>
      </c>
      <c r="O4689">
        <v>-0.99972550000000004</v>
      </c>
      <c r="P4689">
        <v>-4.2637120000000001E-2</v>
      </c>
      <c r="Q4689">
        <v>-9.9560999999999997E-2</v>
      </c>
      <c r="R4689">
        <v>-0.99411760000000005</v>
      </c>
      <c r="S4689">
        <v>-1.343002</v>
      </c>
      <c r="T4689">
        <v>-0.106824</v>
      </c>
      <c r="U4689">
        <v>-2.9513699999999998</v>
      </c>
      <c r="V4689">
        <v>2.075347E-2</v>
      </c>
      <c r="W4689">
        <v>-9.1174149999999995E-2</v>
      </c>
      <c r="X4689">
        <v>0.99561869999999997</v>
      </c>
      <c r="Y4689">
        <v>0.39400479999999999</v>
      </c>
      <c r="Z4689">
        <v>2.464703E-2</v>
      </c>
      <c r="AA4689">
        <v>0.91877790000000004</v>
      </c>
      <c r="AB4689">
        <v>22</v>
      </c>
      <c r="AC4689">
        <v>-13.9329999999999</v>
      </c>
      <c r="AD4689">
        <v>-1.1084625766630001</v>
      </c>
      <c r="AE4689">
        <v>-30.513000000000002</v>
      </c>
      <c r="AF4689">
        <v>13.248630088482299</v>
      </c>
      <c r="AG4689">
        <v>-1.1084625766630001</v>
      </c>
      <c r="AH4689">
        <v>30.776486146898499</v>
      </c>
      <c r="AI4689">
        <v>91.894741263911399</v>
      </c>
      <c r="AJ4689">
        <v>66.709138596268403</v>
      </c>
      <c r="AK4689">
        <v>33.525318612289603</v>
      </c>
      <c r="AL4689">
        <v>95.231158596777405</v>
      </c>
      <c r="AM4689">
        <v>88.805854023631099</v>
      </c>
      <c r="AN4689">
        <v>1.0000000139674701</v>
      </c>
    </row>
    <row r="4690" spans="1:40" x14ac:dyDescent="0.25">
      <c r="A4690" t="str">
        <f>"20190305135024694"</f>
        <v>20190305135024694</v>
      </c>
      <c r="B4690" t="str">
        <f>"1551765024684848"</f>
        <v>1551765024684848</v>
      </c>
      <c r="C4690" t="s">
        <v>40</v>
      </c>
      <c r="D4690">
        <v>3.8419120000000002</v>
      </c>
      <c r="E4690">
        <v>0.65494149999999995</v>
      </c>
      <c r="F4690" t="s">
        <v>94</v>
      </c>
      <c r="G4690">
        <v>-206.16919999999999</v>
      </c>
      <c r="H4690" s="1">
        <v>-5.1686879999999998E-6</v>
      </c>
      <c r="I4690">
        <v>133.68180000000001</v>
      </c>
      <c r="J4690">
        <v>-191.85679999999999</v>
      </c>
      <c r="K4690">
        <v>1.1084400000000001</v>
      </c>
      <c r="L4690">
        <v>164.8185</v>
      </c>
      <c r="M4690">
        <v>-2.246165E-2</v>
      </c>
      <c r="N4690">
        <v>-8.4599749999999998E-3</v>
      </c>
      <c r="O4690">
        <v>-0.99971189999999999</v>
      </c>
      <c r="P4690">
        <v>-4.4409440000000001E-2</v>
      </c>
      <c r="Q4690">
        <v>-9.9561369999999996E-2</v>
      </c>
      <c r="R4690">
        <v>-0.99404009999999998</v>
      </c>
      <c r="S4690">
        <v>-1.3507690000000001</v>
      </c>
      <c r="T4690">
        <v>-0.1045898</v>
      </c>
      <c r="U4690">
        <v>-2.9493559999999999</v>
      </c>
      <c r="V4690">
        <v>2.1908939999999998E-2</v>
      </c>
      <c r="W4690">
        <v>-9.1180700000000003E-2</v>
      </c>
      <c r="X4690">
        <v>0.99559330000000001</v>
      </c>
      <c r="Y4690">
        <v>0.39568360000000002</v>
      </c>
      <c r="Z4690">
        <v>2.3950740000000002E-2</v>
      </c>
      <c r="AA4690">
        <v>0.91807450000000002</v>
      </c>
      <c r="AB4690">
        <v>22</v>
      </c>
      <c r="AC4690">
        <v>-14.312399999999901</v>
      </c>
      <c r="AD4690">
        <v>-1.1084451686879999</v>
      </c>
      <c r="AE4690">
        <v>-31.136699999999902</v>
      </c>
      <c r="AF4690">
        <v>13.595158186764399</v>
      </c>
      <c r="AG4690">
        <v>-1.1084451686879999</v>
      </c>
      <c r="AH4690">
        <v>31.4174649549145</v>
      </c>
      <c r="AI4690">
        <v>91.854567144530407</v>
      </c>
      <c r="AJ4690">
        <v>66.600603578318598</v>
      </c>
      <c r="AK4690">
        <v>34.250752999144602</v>
      </c>
      <c r="AL4690">
        <v>95.231535682662695</v>
      </c>
      <c r="AM4690">
        <v>88.7393575012143</v>
      </c>
      <c r="AN4690">
        <v>0.99999997035465105</v>
      </c>
    </row>
    <row r="4691" spans="1:40" x14ac:dyDescent="0.25">
      <c r="A4691" t="str">
        <f>"20190305135024711"</f>
        <v>20190305135024711</v>
      </c>
      <c r="B4691" t="str">
        <f>"1551765024705344"</f>
        <v>1551765024705344</v>
      </c>
      <c r="C4691" t="s">
        <v>40</v>
      </c>
      <c r="D4691">
        <v>3.8486419999999999</v>
      </c>
      <c r="E4691">
        <v>0.65557180000000004</v>
      </c>
      <c r="F4691" t="s">
        <v>94</v>
      </c>
      <c r="G4691">
        <v>-206.4693</v>
      </c>
      <c r="H4691" s="1">
        <v>-4.8621769999999901E-6</v>
      </c>
      <c r="I4691">
        <v>133.1396</v>
      </c>
      <c r="J4691">
        <v>-191.8614</v>
      </c>
      <c r="K4691">
        <v>1.108419</v>
      </c>
      <c r="L4691">
        <v>164.65389999999999</v>
      </c>
      <c r="M4691">
        <v>-2.3320960000000002E-2</v>
      </c>
      <c r="N4691">
        <v>-8.4565390000000008E-3</v>
      </c>
      <c r="O4691">
        <v>-0.99969249999999998</v>
      </c>
      <c r="P4691">
        <v>-4.7373770000000003E-2</v>
      </c>
      <c r="Q4691">
        <v>-9.9230960000000007E-2</v>
      </c>
      <c r="R4691">
        <v>-0.9939365</v>
      </c>
      <c r="S4691">
        <v>-1.359329</v>
      </c>
      <c r="T4691">
        <v>-0.1031132</v>
      </c>
      <c r="U4691">
        <v>-2.94693</v>
      </c>
      <c r="V4691">
        <v>2.4014870000000001E-2</v>
      </c>
      <c r="W4691">
        <v>-9.0859029999999993E-2</v>
      </c>
      <c r="X4691">
        <v>0.99557419999999996</v>
      </c>
      <c r="Y4691">
        <v>0.39738600000000002</v>
      </c>
      <c r="Z4691">
        <v>2.3491669999999999E-2</v>
      </c>
      <c r="AA4691">
        <v>0.91735080000000002</v>
      </c>
      <c r="AB4691">
        <v>23</v>
      </c>
      <c r="AC4691">
        <v>-14.607900000000001</v>
      </c>
      <c r="AD4691">
        <v>-1.108423862177</v>
      </c>
      <c r="AE4691">
        <v>-31.514299999999899</v>
      </c>
      <c r="AF4691">
        <v>13.8548487784989</v>
      </c>
      <c r="AG4691">
        <v>-1.108423862177</v>
      </c>
      <c r="AH4691">
        <v>31.814015047216799</v>
      </c>
      <c r="AI4691">
        <v>91.829581111871605</v>
      </c>
      <c r="AJ4691">
        <v>66.4671089417063</v>
      </c>
      <c r="AK4691">
        <v>34.717675491856497</v>
      </c>
      <c r="AL4691">
        <v>95.213028201942294</v>
      </c>
      <c r="AM4691">
        <v>88.6182005091039</v>
      </c>
      <c r="AN4691">
        <v>1.0000000325096401</v>
      </c>
    </row>
    <row r="4692" spans="1:40" x14ac:dyDescent="0.25">
      <c r="A4692" t="str">
        <f>"20190305135024724"</f>
        <v>20190305135024724</v>
      </c>
      <c r="B4692" t="str">
        <f>"1551765024715104"</f>
        <v>1551765024715104</v>
      </c>
      <c r="C4692" t="s">
        <v>40</v>
      </c>
      <c r="D4692">
        <v>3.8523749999999999</v>
      </c>
      <c r="E4692">
        <v>0.65595539999999997</v>
      </c>
      <c r="F4692" t="s">
        <v>94</v>
      </c>
      <c r="G4692">
        <v>-206.94110000000001</v>
      </c>
      <c r="H4692" s="1">
        <v>-4.3171109999999998E-6</v>
      </c>
      <c r="I4692">
        <v>132.3365</v>
      </c>
      <c r="J4692">
        <v>-191.86539999999999</v>
      </c>
      <c r="K4692">
        <v>1.1084020000000001</v>
      </c>
      <c r="L4692">
        <v>164.51820000000001</v>
      </c>
      <c r="M4692">
        <v>-2.405175E-2</v>
      </c>
      <c r="N4692">
        <v>-8.4541990000000008E-3</v>
      </c>
      <c r="O4692">
        <v>-0.99967519999999999</v>
      </c>
      <c r="P4692">
        <v>-4.9373920000000002E-2</v>
      </c>
      <c r="Q4692">
        <v>-9.9103999999999998E-2</v>
      </c>
      <c r="R4692">
        <v>-0.9938517</v>
      </c>
      <c r="S4692">
        <v>-1.373138</v>
      </c>
      <c r="T4692">
        <v>-0.1009314</v>
      </c>
      <c r="U4692">
        <v>-2.94278</v>
      </c>
      <c r="V4692">
        <v>2.5285410000000001E-2</v>
      </c>
      <c r="W4692">
        <v>-9.0738040000000006E-2</v>
      </c>
      <c r="X4692">
        <v>0.99555369999999999</v>
      </c>
      <c r="Y4692">
        <v>0.40075319999999998</v>
      </c>
      <c r="Z4692">
        <v>2.2807239999999999E-2</v>
      </c>
      <c r="AA4692">
        <v>0.91590210000000005</v>
      </c>
      <c r="AB4692">
        <v>23</v>
      </c>
      <c r="AC4692">
        <v>-15.075699999999999</v>
      </c>
      <c r="AD4692">
        <v>-1.1084063171109999</v>
      </c>
      <c r="AE4692">
        <v>-32.181699999999999</v>
      </c>
      <c r="AF4692">
        <v>14.2833901956703</v>
      </c>
      <c r="AG4692">
        <v>-1.1084063171109999</v>
      </c>
      <c r="AH4692">
        <v>32.503380770380197</v>
      </c>
      <c r="AI4692">
        <v>91.788182107487302</v>
      </c>
      <c r="AJ4692">
        <v>66.277237985712603</v>
      </c>
      <c r="AK4692">
        <v>35.520607561666303</v>
      </c>
      <c r="AL4692">
        <v>95.206067627636102</v>
      </c>
      <c r="AM4692">
        <v>88.545095177087603</v>
      </c>
      <c r="AN4692">
        <v>0.99999995672279895</v>
      </c>
    </row>
    <row r="4693" spans="1:40" x14ac:dyDescent="0.25">
      <c r="A4693" t="str">
        <f>"20190305135024738"</f>
        <v>20190305135024738</v>
      </c>
      <c r="B4693" t="str">
        <f>"1551765024734623"</f>
        <v>1551765024734623</v>
      </c>
      <c r="C4693" t="s">
        <v>40</v>
      </c>
      <c r="D4693">
        <v>3.8295240000000002</v>
      </c>
      <c r="E4693">
        <v>0.65641439999999995</v>
      </c>
      <c r="F4693" t="s">
        <v>94</v>
      </c>
      <c r="G4693">
        <v>-207.08279999999999</v>
      </c>
      <c r="H4693" s="1">
        <v>-4.1630179999999999E-6</v>
      </c>
      <c r="I4693">
        <v>132.14510000000001</v>
      </c>
      <c r="J4693">
        <v>-191.86959999999999</v>
      </c>
      <c r="K4693">
        <v>1.108384</v>
      </c>
      <c r="L4693">
        <v>164.3768</v>
      </c>
      <c r="M4693">
        <v>-2.4826259999999999E-2</v>
      </c>
      <c r="N4693">
        <v>-8.4521130000000007E-3</v>
      </c>
      <c r="O4693">
        <v>-0.9996564</v>
      </c>
      <c r="P4693">
        <v>-5.1330319999999999E-2</v>
      </c>
      <c r="Q4693">
        <v>-9.8874429999999999E-2</v>
      </c>
      <c r="R4693">
        <v>-0.99377559999999998</v>
      </c>
      <c r="S4693">
        <v>-1.3819269999999999</v>
      </c>
      <c r="T4693">
        <v>-0.1006566</v>
      </c>
      <c r="U4693">
        <v>-2.9398650000000002</v>
      </c>
      <c r="V4693">
        <v>2.6468789999999999E-2</v>
      </c>
      <c r="W4693">
        <v>-9.0513999999999997E-2</v>
      </c>
      <c r="X4693">
        <v>0.99554339999999997</v>
      </c>
      <c r="Y4693">
        <v>0.4026363</v>
      </c>
      <c r="Z4693">
        <v>2.272099E-2</v>
      </c>
      <c r="AA4693">
        <v>0.91507799999999995</v>
      </c>
      <c r="AB4693">
        <v>23</v>
      </c>
      <c r="AC4693">
        <v>-15.213200000000001</v>
      </c>
      <c r="AD4693">
        <v>-1.1083881630179999</v>
      </c>
      <c r="AE4693">
        <v>-32.231699999999897</v>
      </c>
      <c r="AF4693">
        <v>14.394369074501199</v>
      </c>
      <c r="AG4693">
        <v>-1.1083881630179999</v>
      </c>
      <c r="AH4693">
        <v>32.567968759918699</v>
      </c>
      <c r="AI4693">
        <v>91.782940532242804</v>
      </c>
      <c r="AJ4693">
        <v>66.155561996247002</v>
      </c>
      <c r="AK4693">
        <v>35.624415427062303</v>
      </c>
      <c r="AL4693">
        <v>95.193177704333394</v>
      </c>
      <c r="AM4693">
        <v>88.477019921007596</v>
      </c>
      <c r="AN4693">
        <v>1.0000000211618101</v>
      </c>
    </row>
    <row r="4694" spans="1:40" x14ac:dyDescent="0.25">
      <c r="A4694" t="str">
        <f>"20190305135024750"</f>
        <v>20190305135024750</v>
      </c>
      <c r="B4694" t="str">
        <f>"1551765024744384"</f>
        <v>1551765024744384</v>
      </c>
      <c r="C4694" t="s">
        <v>40</v>
      </c>
      <c r="D4694">
        <v>3.8847589999999999</v>
      </c>
      <c r="E4694">
        <v>0.65668400000000005</v>
      </c>
      <c r="F4694" t="s">
        <v>94</v>
      </c>
      <c r="G4694">
        <v>-206.9511</v>
      </c>
      <c r="H4694" s="1">
        <v>-4.3931679999999997E-6</v>
      </c>
      <c r="I4694">
        <v>132.5498</v>
      </c>
      <c r="J4694">
        <v>-191.8732</v>
      </c>
      <c r="K4694">
        <v>1.108366</v>
      </c>
      <c r="L4694">
        <v>164.25659999999999</v>
      </c>
      <c r="M4694">
        <v>-2.549245E-2</v>
      </c>
      <c r="N4694">
        <v>-8.4505299999999995E-3</v>
      </c>
      <c r="O4694">
        <v>-0.99963950000000001</v>
      </c>
      <c r="P4694">
        <v>-5.2860020000000001E-2</v>
      </c>
      <c r="Q4694">
        <v>-9.8680680000000007E-2</v>
      </c>
      <c r="R4694">
        <v>-0.9937146</v>
      </c>
      <c r="S4694">
        <v>-1.391602</v>
      </c>
      <c r="T4694">
        <v>-0.10227310000000001</v>
      </c>
      <c r="U4694">
        <v>-2.9367369999999999</v>
      </c>
      <c r="V4694">
        <v>2.7333739999999999E-2</v>
      </c>
      <c r="W4694">
        <v>-9.0324509999999997E-2</v>
      </c>
      <c r="X4694">
        <v>0.99553720000000001</v>
      </c>
      <c r="Y4694">
        <v>0.40485919999999997</v>
      </c>
      <c r="Z4694">
        <v>2.321587E-2</v>
      </c>
      <c r="AA4694">
        <v>0.91408429999999996</v>
      </c>
      <c r="AB4694">
        <v>23</v>
      </c>
      <c r="AC4694">
        <v>-15.0779</v>
      </c>
      <c r="AD4694">
        <v>-1.108370393168</v>
      </c>
      <c r="AE4694">
        <v>-31.706799999999902</v>
      </c>
      <c r="AF4694">
        <v>14.2504846757666</v>
      </c>
      <c r="AG4694">
        <v>-1.108370393168</v>
      </c>
      <c r="AH4694">
        <v>32.048941002529297</v>
      </c>
      <c r="AI4694">
        <v>91.809977842973694</v>
      </c>
      <c r="AJ4694">
        <v>66.027791830287001</v>
      </c>
      <c r="AK4694">
        <v>35.091871107228201</v>
      </c>
      <c r="AL4694">
        <v>95.182276267531506</v>
      </c>
      <c r="AM4694">
        <v>88.427266622457793</v>
      </c>
      <c r="AN4694">
        <v>0.999999983516483</v>
      </c>
    </row>
    <row r="4695" spans="1:40" x14ac:dyDescent="0.25">
      <c r="A4695" t="str">
        <f>"20190305135024765"</f>
        <v>20190305135024765</v>
      </c>
      <c r="B4695" t="str">
        <f>"1551765024755119"</f>
        <v>1551765024755119</v>
      </c>
      <c r="C4695" t="s">
        <v>40</v>
      </c>
      <c r="D4695">
        <v>3.8735659999999998</v>
      </c>
      <c r="E4695">
        <v>0.65692479999999998</v>
      </c>
      <c r="F4695" t="s">
        <v>94</v>
      </c>
      <c r="G4695">
        <v>-206.875</v>
      </c>
      <c r="H4695" s="1">
        <v>-4.524208E-6</v>
      </c>
      <c r="I4695">
        <v>132.77850000000001</v>
      </c>
      <c r="J4695">
        <v>-191.8783</v>
      </c>
      <c r="K4695">
        <v>1.1083480000000001</v>
      </c>
      <c r="L4695">
        <v>164.09899999999999</v>
      </c>
      <c r="M4695">
        <v>-2.638886E-2</v>
      </c>
      <c r="N4695">
        <v>-8.4490139999999995E-3</v>
      </c>
      <c r="O4695">
        <v>-0.99961630000000001</v>
      </c>
      <c r="P4695">
        <v>-5.6324020000000002E-2</v>
      </c>
      <c r="Q4695">
        <v>-9.8026569999999993E-2</v>
      </c>
      <c r="R4695">
        <v>-0.99358860000000004</v>
      </c>
      <c r="S4695">
        <v>-1.3984379999999901</v>
      </c>
      <c r="T4695">
        <v>-0.1033206</v>
      </c>
      <c r="U4695">
        <v>-2.9343409999999999</v>
      </c>
      <c r="V4695">
        <v>2.9904900000000002E-2</v>
      </c>
      <c r="W4695">
        <v>-8.9678469999999996E-2</v>
      </c>
      <c r="X4695">
        <v>0.99552169999999895</v>
      </c>
      <c r="Y4695">
        <v>0.40606059999999999</v>
      </c>
      <c r="Z4695">
        <v>2.3541179999999998E-2</v>
      </c>
      <c r="AA4695">
        <v>0.91354290000000005</v>
      </c>
      <c r="AB4695">
        <v>23</v>
      </c>
      <c r="AC4695">
        <v>-14.996700000000001</v>
      </c>
      <c r="AD4695">
        <v>-1.1083525242079999</v>
      </c>
      <c r="AE4695">
        <v>-31.320499999999999</v>
      </c>
      <c r="AF4695">
        <v>14.1505201186589</v>
      </c>
      <c r="AG4695">
        <v>-1.1083525242079999</v>
      </c>
      <c r="AH4695">
        <v>31.673085894773799</v>
      </c>
      <c r="AI4695">
        <v>91.829969865181198</v>
      </c>
      <c r="AJ4695">
        <v>65.926438288040799</v>
      </c>
      <c r="AK4695">
        <v>34.708068731120797</v>
      </c>
      <c r="AL4695">
        <v>95.145110017255007</v>
      </c>
      <c r="AM4695">
        <v>88.279385114047599</v>
      </c>
      <c r="AN4695">
        <v>0.99999999309821996</v>
      </c>
    </row>
    <row r="4696" spans="1:40" x14ac:dyDescent="0.25">
      <c r="A4696" t="str">
        <f>"20190305135024778"</f>
        <v>20190305135024778</v>
      </c>
      <c r="B4696" t="str">
        <f>"1551765024774640"</f>
        <v>1551765024774640</v>
      </c>
      <c r="C4696" t="s">
        <v>40</v>
      </c>
      <c r="D4696">
        <v>3.857742</v>
      </c>
      <c r="E4696">
        <v>0.65755589999999997</v>
      </c>
      <c r="F4696" t="s">
        <v>94</v>
      </c>
      <c r="G4696">
        <v>-207.32810000000001</v>
      </c>
      <c r="H4696" s="1">
        <v>-3.9705539999999997E-6</v>
      </c>
      <c r="I4696">
        <v>132.0078</v>
      </c>
      <c r="J4696">
        <v>-191.88249999999999</v>
      </c>
      <c r="K4696">
        <v>1.1083339999999999</v>
      </c>
      <c r="L4696">
        <v>163.96899999999999</v>
      </c>
      <c r="M4696">
        <v>-2.7140790000000001E-2</v>
      </c>
      <c r="N4696">
        <v>-8.4480690000000008E-3</v>
      </c>
      <c r="O4696">
        <v>-0.99959609999999999</v>
      </c>
      <c r="P4696">
        <v>-5.832072E-2</v>
      </c>
      <c r="Q4696">
        <v>-9.7876379999999999E-2</v>
      </c>
      <c r="R4696">
        <v>-0.99348860000000005</v>
      </c>
      <c r="S4696">
        <v>-1.410339</v>
      </c>
      <c r="T4696">
        <v>-0.1011758</v>
      </c>
      <c r="U4696">
        <v>-2.929443</v>
      </c>
      <c r="V4696">
        <v>3.115221E-2</v>
      </c>
      <c r="W4696">
        <v>-8.9533100000000004E-2</v>
      </c>
      <c r="X4696">
        <v>0.99549659999999995</v>
      </c>
      <c r="Y4696">
        <v>0.4089894</v>
      </c>
      <c r="Z4696">
        <v>2.2880339999999999E-2</v>
      </c>
      <c r="AA4696">
        <v>0.91225219999999996</v>
      </c>
      <c r="AB4696">
        <v>23</v>
      </c>
      <c r="AC4696">
        <v>-15.445600000000001</v>
      </c>
      <c r="AD4696">
        <v>-1.108337970554</v>
      </c>
      <c r="AE4696">
        <v>-31.961200000000002</v>
      </c>
      <c r="AF4696">
        <v>14.558234421832401</v>
      </c>
      <c r="AG4696">
        <v>-1.108337970554</v>
      </c>
      <c r="AH4696">
        <v>32.3371216584422</v>
      </c>
      <c r="AI4696">
        <v>91.790097877061498</v>
      </c>
      <c r="AJ4696">
        <v>65.762634241322999</v>
      </c>
      <c r="AK4696">
        <v>35.480417693297902</v>
      </c>
      <c r="AL4696">
        <v>95.136746952736303</v>
      </c>
      <c r="AM4696">
        <v>88.207620323816698</v>
      </c>
      <c r="AN4696">
        <v>1.0000000583975199</v>
      </c>
    </row>
    <row r="4697" spans="1:40" x14ac:dyDescent="0.25">
      <c r="A4697" t="str">
        <f>"20190305135024790"</f>
        <v>20190305135024790</v>
      </c>
      <c r="B4697" t="str">
        <f>"1551765024785375"</f>
        <v>1551765024785375</v>
      </c>
      <c r="C4697" t="s">
        <v>40</v>
      </c>
      <c r="D4697">
        <v>3.8515899999999998</v>
      </c>
      <c r="E4697">
        <v>0.65775319999999904</v>
      </c>
      <c r="F4697" t="s">
        <v>94</v>
      </c>
      <c r="G4697">
        <v>-207.2148</v>
      </c>
      <c r="H4697" s="1">
        <v>-4.1885919999999998E-6</v>
      </c>
      <c r="I4697">
        <v>132.40809999999999</v>
      </c>
      <c r="J4697">
        <v>-191.88640000000001</v>
      </c>
      <c r="K4697">
        <v>1.1083149999999999</v>
      </c>
      <c r="L4697">
        <v>163.85169999999999</v>
      </c>
      <c r="M4697">
        <v>-2.7824479999999999E-2</v>
      </c>
      <c r="N4697">
        <v>-8.4473359999999997E-3</v>
      </c>
      <c r="O4697">
        <v>-0.99957750000000001</v>
      </c>
      <c r="P4697">
        <v>-6.0534669999999999E-2</v>
      </c>
      <c r="Q4697">
        <v>-9.7466330000000004E-2</v>
      </c>
      <c r="R4697">
        <v>-0.99339670000000002</v>
      </c>
      <c r="S4697">
        <v>-1.4215089999999999</v>
      </c>
      <c r="T4697">
        <v>-0.1027579</v>
      </c>
      <c r="U4697">
        <v>-2.9261170000000001</v>
      </c>
      <c r="V4697">
        <v>3.2685289999999999E-2</v>
      </c>
      <c r="W4697">
        <v>-8.9128070000000004E-2</v>
      </c>
      <c r="X4697">
        <v>0.99548380000000003</v>
      </c>
      <c r="Y4697">
        <v>0.41158440000000002</v>
      </c>
      <c r="Z4697">
        <v>2.3358589999999999E-2</v>
      </c>
      <c r="AA4697">
        <v>0.91107229999999995</v>
      </c>
      <c r="AB4697">
        <v>23</v>
      </c>
      <c r="AC4697">
        <v>-15.328399999999901</v>
      </c>
      <c r="AD4697">
        <v>-1.1083191885919901</v>
      </c>
      <c r="AE4697">
        <v>-31.4436</v>
      </c>
      <c r="AF4697">
        <v>14.4330434649887</v>
      </c>
      <c r="AG4697">
        <v>-1.1083191885919901</v>
      </c>
      <c r="AH4697">
        <v>31.825996219575501</v>
      </c>
      <c r="AI4697">
        <v>91.816549893883206</v>
      </c>
      <c r="AJ4697">
        <v>65.605776446014502</v>
      </c>
      <c r="AK4697">
        <v>34.963340092938601</v>
      </c>
      <c r="AL4697">
        <v>95.113447240985295</v>
      </c>
      <c r="AM4697">
        <v>88.119450419045904</v>
      </c>
      <c r="AN4697">
        <v>1.0000000685533701</v>
      </c>
    </row>
    <row r="4698" spans="1:40" x14ac:dyDescent="0.25">
      <c r="A4698" t="str">
        <f>"20190305135024801"</f>
        <v>20190305135024801</v>
      </c>
      <c r="B4698" t="str">
        <f>"1551765024795136"</f>
        <v>1551765024795136</v>
      </c>
      <c r="C4698" t="s">
        <v>40</v>
      </c>
      <c r="D4698">
        <v>3.8696350000000002</v>
      </c>
      <c r="E4698">
        <v>0.65798650000000003</v>
      </c>
      <c r="F4698" t="s">
        <v>94</v>
      </c>
      <c r="G4698">
        <v>-207.24359999999999</v>
      </c>
      <c r="H4698" s="1">
        <v>-4.1911359999999997E-6</v>
      </c>
      <c r="I4698">
        <v>132.45769999999999</v>
      </c>
      <c r="J4698">
        <v>-191.89060000000001</v>
      </c>
      <c r="K4698">
        <v>1.108298</v>
      </c>
      <c r="L4698">
        <v>163.72929999999999</v>
      </c>
      <c r="M4698">
        <v>-2.8556040000000001E-2</v>
      </c>
      <c r="N4698">
        <v>-8.4469799999999998E-3</v>
      </c>
      <c r="O4698">
        <v>-0.99955660000000002</v>
      </c>
      <c r="P4698">
        <v>-6.2977679999999994E-2</v>
      </c>
      <c r="Q4698">
        <v>-9.7570249999999997E-2</v>
      </c>
      <c r="R4698">
        <v>-0.99323419999999896</v>
      </c>
      <c r="S4698">
        <v>-1.429718</v>
      </c>
      <c r="T4698">
        <v>-0.103182</v>
      </c>
      <c r="U4698">
        <v>-2.922714</v>
      </c>
      <c r="V4698">
        <v>3.4400449999999999E-2</v>
      </c>
      <c r="W4698">
        <v>-8.9237759999999999E-2</v>
      </c>
      <c r="X4698">
        <v>0.99541610000000003</v>
      </c>
      <c r="Y4698">
        <v>0.41339870000000001</v>
      </c>
      <c r="Z4698">
        <v>2.3491620000000001E-2</v>
      </c>
      <c r="AA4698">
        <v>0.91024700000000003</v>
      </c>
      <c r="AB4698">
        <v>23</v>
      </c>
      <c r="AC4698">
        <v>-15.3529999999999</v>
      </c>
      <c r="AD4698">
        <v>-1.108302191136</v>
      </c>
      <c r="AE4698">
        <v>-31.271599999999999</v>
      </c>
      <c r="AF4698">
        <v>14.4390995966828</v>
      </c>
      <c r="AG4698">
        <v>-1.108302191136</v>
      </c>
      <c r="AH4698">
        <v>31.665233861933</v>
      </c>
      <c r="AI4698">
        <v>91.824024594338496</v>
      </c>
      <c r="AJ4698">
        <v>65.4873842534017</v>
      </c>
      <c r="AK4698">
        <v>34.8195773443721</v>
      </c>
      <c r="AL4698">
        <v>95.119757558871797</v>
      </c>
      <c r="AM4698">
        <v>88.020710640614894</v>
      </c>
      <c r="AN4698">
        <v>0.99999999045461496</v>
      </c>
    </row>
    <row r="4699" spans="1:40" x14ac:dyDescent="0.25">
      <c r="A4699" t="str">
        <f>"20190305135024813"</f>
        <v>20190305135024813</v>
      </c>
      <c r="B4699" t="str">
        <f>"1551765024804896"</f>
        <v>1551765024804896</v>
      </c>
      <c r="C4699" t="s">
        <v>40</v>
      </c>
      <c r="D4699">
        <v>3.8556539999999999</v>
      </c>
      <c r="E4699">
        <v>0.65819369999999999</v>
      </c>
      <c r="F4699" t="s">
        <v>94</v>
      </c>
      <c r="G4699">
        <v>-207.15690000000001</v>
      </c>
      <c r="H4699" s="1">
        <v>-4.3556100000000001E-6</v>
      </c>
      <c r="I4699">
        <v>132.75799999999899</v>
      </c>
      <c r="J4699">
        <v>-191.8946</v>
      </c>
      <c r="K4699">
        <v>1.108284</v>
      </c>
      <c r="L4699">
        <v>163.61519999999999</v>
      </c>
      <c r="M4699">
        <v>-2.9243189999999999E-2</v>
      </c>
      <c r="N4699">
        <v>-8.4467339999999991E-3</v>
      </c>
      <c r="O4699">
        <v>-0.99953689999999995</v>
      </c>
      <c r="P4699">
        <v>-6.5524600000000002E-2</v>
      </c>
      <c r="Q4699">
        <v>-9.7778770000000001E-2</v>
      </c>
      <c r="R4699">
        <v>-0.99304910000000002</v>
      </c>
      <c r="S4699">
        <v>-1.438812</v>
      </c>
      <c r="T4699">
        <v>-0.1044544</v>
      </c>
      <c r="U4699">
        <v>-2.9189609999999999</v>
      </c>
      <c r="V4699">
        <v>3.6264390000000001E-2</v>
      </c>
      <c r="W4699">
        <v>-8.9452429999999999E-2</v>
      </c>
      <c r="X4699">
        <v>0.99533070000000001</v>
      </c>
      <c r="Y4699">
        <v>0.41551290000000002</v>
      </c>
      <c r="Z4699">
        <v>2.388537E-2</v>
      </c>
      <c r="AA4699">
        <v>0.90927360000000002</v>
      </c>
      <c r="AB4699">
        <v>23</v>
      </c>
      <c r="AC4699">
        <v>-15.2623</v>
      </c>
      <c r="AD4699">
        <v>-1.1082883556100001</v>
      </c>
      <c r="AE4699">
        <v>-30.857199999999999</v>
      </c>
      <c r="AF4699">
        <v>14.3385161660704</v>
      </c>
      <c r="AG4699">
        <v>-1.1082883556100001</v>
      </c>
      <c r="AH4699">
        <v>31.257939072889599</v>
      </c>
      <c r="AI4699">
        <v>91.845851117099201</v>
      </c>
      <c r="AJ4699">
        <v>65.358319821894895</v>
      </c>
      <c r="AK4699">
        <v>34.407558820821997</v>
      </c>
      <c r="AL4699">
        <v>95.132106464890995</v>
      </c>
      <c r="AM4699">
        <v>87.9133791227149</v>
      </c>
      <c r="AN4699">
        <v>1.00000002278873</v>
      </c>
    </row>
    <row r="4700" spans="1:40" x14ac:dyDescent="0.25">
      <c r="A4700" t="str">
        <f>"20190305135024824"</f>
        <v>20190305135024824</v>
      </c>
      <c r="B4700" t="str">
        <f>"1551765024814656"</f>
        <v>1551765024814656</v>
      </c>
      <c r="C4700" t="s">
        <v>40</v>
      </c>
      <c r="D4700">
        <v>3.8440379999999998</v>
      </c>
      <c r="E4700">
        <v>0.65838249999999998</v>
      </c>
      <c r="F4700" t="s">
        <v>94</v>
      </c>
      <c r="G4700">
        <v>-207.04759999999999</v>
      </c>
      <c r="H4700" s="1">
        <v>-4.553091E-6</v>
      </c>
      <c r="I4700">
        <v>133.11070000000001</v>
      </c>
      <c r="J4700">
        <v>-191.89869999999999</v>
      </c>
      <c r="K4700">
        <v>1.108266</v>
      </c>
      <c r="L4700">
        <v>163.4984</v>
      </c>
      <c r="M4700">
        <v>-2.99578E-2</v>
      </c>
      <c r="N4700">
        <v>-8.4467150000000005E-3</v>
      </c>
      <c r="O4700">
        <v>-0.9995155</v>
      </c>
      <c r="P4700">
        <v>-6.7985879999999999E-2</v>
      </c>
      <c r="Q4700">
        <v>-9.8030069999999997E-2</v>
      </c>
      <c r="R4700">
        <v>-0.99285860000000004</v>
      </c>
      <c r="S4700">
        <v>-1.4480440000000001</v>
      </c>
      <c r="T4700">
        <v>-0.10590960000000001</v>
      </c>
      <c r="U4700">
        <v>-2.915054</v>
      </c>
      <c r="V4700">
        <v>3.8015479999999997E-2</v>
      </c>
      <c r="W4700">
        <v>-8.9709620000000004E-2</v>
      </c>
      <c r="X4700">
        <v>0.99524219999999997</v>
      </c>
      <c r="Y4700">
        <v>0.4176511</v>
      </c>
      <c r="Z4700">
        <v>2.4336030000000002E-2</v>
      </c>
      <c r="AA4700">
        <v>0.90828149999999996</v>
      </c>
      <c r="AB4700">
        <v>23</v>
      </c>
      <c r="AC4700">
        <v>-15.1488999999999</v>
      </c>
      <c r="AD4700">
        <v>-1.108270553091</v>
      </c>
      <c r="AE4700">
        <v>-30.387699999999899</v>
      </c>
      <c r="AF4700">
        <v>14.2165731833806</v>
      </c>
      <c r="AG4700">
        <v>-1.108270553091</v>
      </c>
      <c r="AH4700">
        <v>30.795095750312001</v>
      </c>
      <c r="AI4700">
        <v>91.871458838489801</v>
      </c>
      <c r="AJ4700">
        <v>65.219564812138103</v>
      </c>
      <c r="AK4700">
        <v>33.936368971475801</v>
      </c>
      <c r="AL4700">
        <v>95.146901892413496</v>
      </c>
      <c r="AM4700">
        <v>87.812524256674905</v>
      </c>
      <c r="AN4700">
        <v>1.0000000146504999</v>
      </c>
    </row>
    <row r="4701" spans="1:40" x14ac:dyDescent="0.25">
      <c r="A4701" t="str">
        <f>"20190305135024836"</f>
        <v>20190305135024836</v>
      </c>
      <c r="B4701" t="str">
        <f>"1551765024824418"</f>
        <v>1551765024824418</v>
      </c>
      <c r="C4701" t="s">
        <v>40</v>
      </c>
      <c r="D4701">
        <v>3.8903379999999999</v>
      </c>
      <c r="E4701">
        <v>0.65850690000000001</v>
      </c>
      <c r="F4701" t="s">
        <v>94</v>
      </c>
      <c r="G4701">
        <v>-207.08879999999999</v>
      </c>
      <c r="H4701" s="1">
        <v>-4.5410600000000002E-6</v>
      </c>
      <c r="I4701">
        <v>133.14060000000001</v>
      </c>
      <c r="J4701">
        <v>-191.90289999999999</v>
      </c>
      <c r="K4701">
        <v>1.108247</v>
      </c>
      <c r="L4701">
        <v>163.38290000000001</v>
      </c>
      <c r="M4701">
        <v>-3.0675210000000001E-2</v>
      </c>
      <c r="N4701">
        <v>-8.4468870000000001E-3</v>
      </c>
      <c r="O4701">
        <v>-0.99949379999999999</v>
      </c>
      <c r="P4701">
        <v>-7.0783440000000003E-2</v>
      </c>
      <c r="Q4701">
        <v>-9.838566E-2</v>
      </c>
      <c r="R4701">
        <v>-0.99262799999999995</v>
      </c>
      <c r="S4701">
        <v>-1.4567410000000001</v>
      </c>
      <c r="T4701">
        <v>-0.1062839</v>
      </c>
      <c r="U4701">
        <v>-2.9113310000000001</v>
      </c>
      <c r="V4701">
        <v>4.0100900000000002E-2</v>
      </c>
      <c r="W4701">
        <v>-9.0072029999999997E-2</v>
      </c>
      <c r="X4701">
        <v>0.9951276</v>
      </c>
      <c r="Y4701">
        <v>0.41963159999999999</v>
      </c>
      <c r="Z4701">
        <v>2.4453249999999999E-2</v>
      </c>
      <c r="AA4701">
        <v>0.90736499999999998</v>
      </c>
      <c r="AB4701">
        <v>23</v>
      </c>
      <c r="AC4701">
        <v>-15.1859</v>
      </c>
      <c r="AD4701">
        <v>-1.10825154106</v>
      </c>
      <c r="AE4701">
        <v>-30.2423</v>
      </c>
      <c r="AF4701">
        <v>14.2357634859663</v>
      </c>
      <c r="AG4701">
        <v>-1.10825154106</v>
      </c>
      <c r="AH4701">
        <v>30.661030792000901</v>
      </c>
      <c r="AI4701">
        <v>91.877710978090903</v>
      </c>
      <c r="AJ4701">
        <v>65.094793210172895</v>
      </c>
      <c r="AK4701">
        <v>33.822832417387303</v>
      </c>
      <c r="AL4701">
        <v>95.167750954035199</v>
      </c>
      <c r="AM4701">
        <v>87.692386522046206</v>
      </c>
      <c r="AN4701">
        <v>0.99999999652544502</v>
      </c>
    </row>
    <row r="4702" spans="1:40" x14ac:dyDescent="0.25">
      <c r="A4702" t="str">
        <f>"20190305135024847"</f>
        <v>20190305135024847</v>
      </c>
      <c r="B4702" t="str">
        <f>"1551765024844912"</f>
        <v>1551765024844912</v>
      </c>
      <c r="C4702" t="s">
        <v>40</v>
      </c>
      <c r="D4702">
        <v>3.892004</v>
      </c>
      <c r="E4702">
        <v>0.6587771</v>
      </c>
      <c r="F4702" t="s">
        <v>94</v>
      </c>
      <c r="G4702">
        <v>-207.03030000000001</v>
      </c>
      <c r="H4702" s="1">
        <v>-4.6663739999999996E-6</v>
      </c>
      <c r="I4702">
        <v>133.38059999999999</v>
      </c>
      <c r="J4702">
        <v>-191.9075</v>
      </c>
      <c r="K4702">
        <v>1.1082320000000001</v>
      </c>
      <c r="L4702">
        <v>163.2604</v>
      </c>
      <c r="M4702">
        <v>-3.144657E-2</v>
      </c>
      <c r="N4702">
        <v>-8.4472350000000009E-3</v>
      </c>
      <c r="O4702">
        <v>-0.99946990000000002</v>
      </c>
      <c r="P4702">
        <v>-7.3545940000000004E-2</v>
      </c>
      <c r="Q4702">
        <v>-9.8929119999999995E-2</v>
      </c>
      <c r="R4702">
        <v>-0.99237319999999996</v>
      </c>
      <c r="S4702">
        <v>-1.4657899999999999</v>
      </c>
      <c r="T4702">
        <v>-0.1073858</v>
      </c>
      <c r="U4702">
        <v>-2.9071199999999999</v>
      </c>
      <c r="V4702">
        <v>4.209773E-2</v>
      </c>
      <c r="W4702">
        <v>-9.0622439999999999E-2</v>
      </c>
      <c r="X4702">
        <v>0.99499519999999997</v>
      </c>
      <c r="Y4702">
        <v>0.42170580000000002</v>
      </c>
      <c r="Z4702">
        <v>2.4798009999999999E-2</v>
      </c>
      <c r="AA4702">
        <v>0.90639349999999996</v>
      </c>
      <c r="AB4702">
        <v>23</v>
      </c>
      <c r="AC4702">
        <v>-15.1228</v>
      </c>
      <c r="AD4702">
        <v>-1.108236666374</v>
      </c>
      <c r="AE4702">
        <v>-29.879799999999999</v>
      </c>
      <c r="AF4702">
        <v>14.160162454802</v>
      </c>
      <c r="AG4702">
        <v>-1.108236666374</v>
      </c>
      <c r="AH4702">
        <v>30.307407993852301</v>
      </c>
      <c r="AI4702">
        <v>91.897456169028501</v>
      </c>
      <c r="AJ4702">
        <v>64.957178422478194</v>
      </c>
      <c r="AK4702">
        <v>33.470544790321298</v>
      </c>
      <c r="AL4702">
        <v>95.199416364917695</v>
      </c>
      <c r="AM4702">
        <v>87.577290269763395</v>
      </c>
      <c r="AN4702">
        <v>1.00000004676287</v>
      </c>
    </row>
    <row r="4703" spans="1:40" x14ac:dyDescent="0.25">
      <c r="A4703" t="str">
        <f>"20190305135024859"</f>
        <v>20190305135024859</v>
      </c>
      <c r="B4703" t="str">
        <f>"1551765024854671"</f>
        <v>1551765024854671</v>
      </c>
      <c r="C4703" t="s">
        <v>40</v>
      </c>
      <c r="D4703">
        <v>3.8886759999999998</v>
      </c>
      <c r="E4703">
        <v>0.65890819999999894</v>
      </c>
      <c r="F4703" t="s">
        <v>94</v>
      </c>
      <c r="G4703">
        <v>-206.9442</v>
      </c>
      <c r="H4703" s="1">
        <v>-4.8280229999999998E-6</v>
      </c>
      <c r="I4703">
        <v>133.69110000000001</v>
      </c>
      <c r="J4703">
        <v>-191.91220000000001</v>
      </c>
      <c r="K4703">
        <v>1.1082110000000001</v>
      </c>
      <c r="L4703">
        <v>163.1388</v>
      </c>
      <c r="M4703">
        <v>-3.2236330000000001E-2</v>
      </c>
      <c r="N4703">
        <v>-8.4478729999999998E-3</v>
      </c>
      <c r="O4703">
        <v>-0.99944469999999996</v>
      </c>
      <c r="P4703">
        <v>-7.6547420000000005E-2</v>
      </c>
      <c r="Q4703">
        <v>-9.9440039999999993E-2</v>
      </c>
      <c r="R4703">
        <v>-0.99209519999999995</v>
      </c>
      <c r="S4703">
        <v>-1.476151</v>
      </c>
      <c r="T4703">
        <v>-0.1087958</v>
      </c>
      <c r="U4703">
        <v>-2.9028170000000002</v>
      </c>
      <c r="V4703">
        <v>4.4315319999999998E-2</v>
      </c>
      <c r="W4703">
        <v>-9.1141159999999999E-2</v>
      </c>
      <c r="X4703">
        <v>0.9948515</v>
      </c>
      <c r="Y4703">
        <v>0.42409590000000003</v>
      </c>
      <c r="Z4703">
        <v>2.5232520000000001E-2</v>
      </c>
      <c r="AA4703">
        <v>0.90526569999999995</v>
      </c>
      <c r="AB4703">
        <v>23</v>
      </c>
      <c r="AC4703">
        <v>-15.031999999999901</v>
      </c>
      <c r="AD4703">
        <v>-1.1082158280229999</v>
      </c>
      <c r="AE4703">
        <v>-29.447700000000001</v>
      </c>
      <c r="AF4703">
        <v>14.059071867225001</v>
      </c>
      <c r="AG4703">
        <v>-1.1082158280229999</v>
      </c>
      <c r="AH4703">
        <v>29.8834135631161</v>
      </c>
      <c r="AI4703">
        <v>91.921923910538794</v>
      </c>
      <c r="AJ4703">
        <v>64.8047017532773</v>
      </c>
      <c r="AK4703">
        <v>33.043971466419002</v>
      </c>
      <c r="AL4703">
        <v>95.229260407310093</v>
      </c>
      <c r="AM4703">
        <v>87.449465141520605</v>
      </c>
      <c r="AN4703">
        <v>1.00000003284254</v>
      </c>
    </row>
    <row r="4704" spans="1:40" x14ac:dyDescent="0.25">
      <c r="A4704" t="str">
        <f>"20190305135024871"</f>
        <v>20190305135024871</v>
      </c>
      <c r="B4704" t="str">
        <f>"1551765024864431"</f>
        <v>1551765024864431</v>
      </c>
      <c r="C4704" t="s">
        <v>40</v>
      </c>
      <c r="D4704">
        <v>3.9084840000000001</v>
      </c>
      <c r="E4704">
        <v>0.65903369999999994</v>
      </c>
      <c r="F4704" t="s">
        <v>94</v>
      </c>
      <c r="G4704">
        <v>-206.88300000000001</v>
      </c>
      <c r="H4704" s="1">
        <v>-4.9328819999999997E-6</v>
      </c>
      <c r="I4704">
        <v>133.9342</v>
      </c>
      <c r="J4704">
        <v>-191.91679999999999</v>
      </c>
      <c r="K4704">
        <v>1.108188</v>
      </c>
      <c r="L4704">
        <v>163.0215</v>
      </c>
      <c r="M4704">
        <v>-3.3006830000000001E-2</v>
      </c>
      <c r="N4704">
        <v>-8.448578E-3</v>
      </c>
      <c r="O4704">
        <v>-0.99941950000000002</v>
      </c>
      <c r="P4704">
        <v>-7.9816600000000001E-2</v>
      </c>
      <c r="Q4704">
        <v>-0.1002675</v>
      </c>
      <c r="R4704">
        <v>-0.99175409999999997</v>
      </c>
      <c r="S4704">
        <v>-1.485703</v>
      </c>
      <c r="T4704">
        <v>-0.10997899999999999</v>
      </c>
      <c r="U4704">
        <v>-2.8982540000000001</v>
      </c>
      <c r="V4704">
        <v>4.6820970000000003E-2</v>
      </c>
      <c r="W4704">
        <v>-9.1977760000000006E-2</v>
      </c>
      <c r="X4704">
        <v>0.99465970000000004</v>
      </c>
      <c r="Y4704">
        <v>0.42633270000000001</v>
      </c>
      <c r="Z4704">
        <v>2.5602550000000002E-2</v>
      </c>
      <c r="AA4704">
        <v>0.90420409999999996</v>
      </c>
      <c r="AB4704">
        <v>23</v>
      </c>
      <c r="AC4704">
        <v>-14.966199999999899</v>
      </c>
      <c r="AD4704">
        <v>-1.1081929328819999</v>
      </c>
      <c r="AE4704">
        <v>-29.087299999999999</v>
      </c>
      <c r="AF4704">
        <v>13.9818841520118</v>
      </c>
      <c r="AG4704">
        <v>-1.1081929328819999</v>
      </c>
      <c r="AH4704">
        <v>29.531561388941199</v>
      </c>
      <c r="AI4704">
        <v>91.942522336119396</v>
      </c>
      <c r="AJ4704">
        <v>64.664521392202502</v>
      </c>
      <c r="AK4704">
        <v>32.693031277102001</v>
      </c>
      <c r="AL4704">
        <v>95.277396339002806</v>
      </c>
      <c r="AM4704">
        <v>87.304942386396405</v>
      </c>
      <c r="AN4704">
        <v>1.00000001518522</v>
      </c>
    </row>
    <row r="4705" spans="1:40" x14ac:dyDescent="0.25">
      <c r="A4705" t="str">
        <f>"20190305135024882"</f>
        <v>20190305135024882</v>
      </c>
      <c r="B4705" t="str">
        <f>"1551765024875168"</f>
        <v>1551765024875168</v>
      </c>
      <c r="C4705" t="s">
        <v>40</v>
      </c>
      <c r="D4705">
        <v>3.8924289999999999</v>
      </c>
      <c r="E4705">
        <v>0.65917630000000005</v>
      </c>
      <c r="F4705" t="s">
        <v>94</v>
      </c>
      <c r="G4705">
        <v>-206.62379999999999</v>
      </c>
      <c r="H4705" s="1">
        <v>-5.2565639999999996E-6</v>
      </c>
      <c r="I4705">
        <v>134.5866</v>
      </c>
      <c r="J4705">
        <v>-191.92169999999999</v>
      </c>
      <c r="K4705">
        <v>1.1081570000000001</v>
      </c>
      <c r="L4705">
        <v>162.90020000000001</v>
      </c>
      <c r="M4705">
        <v>-3.3842469999999999E-2</v>
      </c>
      <c r="N4705">
        <v>-8.4497689999999993E-3</v>
      </c>
      <c r="O4705">
        <v>-0.99939160000000005</v>
      </c>
      <c r="P4705">
        <v>-8.318362E-2</v>
      </c>
      <c r="Q4705">
        <v>-0.10065250000000001</v>
      </c>
      <c r="R4705">
        <v>-0.99143829999999999</v>
      </c>
      <c r="S4705">
        <v>-1.4963679999999999</v>
      </c>
      <c r="T4705">
        <v>-0.11275350000000001</v>
      </c>
      <c r="U4705">
        <v>-2.8931119999999999</v>
      </c>
      <c r="V4705">
        <v>4.9358140000000002E-2</v>
      </c>
      <c r="W4705">
        <v>-9.2372449999999995E-2</v>
      </c>
      <c r="X4705">
        <v>0.99450050000000001</v>
      </c>
      <c r="Y4705">
        <v>0.42884860000000002</v>
      </c>
      <c r="Z4705">
        <v>2.6463960000000002E-2</v>
      </c>
      <c r="AA4705">
        <v>0.90298869999999998</v>
      </c>
      <c r="AB4705">
        <v>23</v>
      </c>
      <c r="AC4705">
        <v>-14.7021</v>
      </c>
      <c r="AD4705">
        <v>-1.1081622565639999</v>
      </c>
      <c r="AE4705">
        <v>-28.313600000000001</v>
      </c>
      <c r="AF4705">
        <v>13.7188892094605</v>
      </c>
      <c r="AG4705">
        <v>-1.1081622565639999</v>
      </c>
      <c r="AH4705">
        <v>28.760253108562502</v>
      </c>
      <c r="AI4705">
        <v>91.991778089936801</v>
      </c>
      <c r="AJ4705">
        <v>64.498454703225093</v>
      </c>
      <c r="AK4705">
        <v>31.883978791814901</v>
      </c>
      <c r="AL4705">
        <v>95.300106802585702</v>
      </c>
      <c r="AM4705">
        <v>87.158679655786301</v>
      </c>
      <c r="AN4705">
        <v>1.00000007000175</v>
      </c>
    </row>
    <row r="4706" spans="1:40" x14ac:dyDescent="0.25">
      <c r="A4706" t="str">
        <f>"20190305135024895"</f>
        <v>20190305135024895</v>
      </c>
      <c r="B4706" t="str">
        <f>"1551765024884928"</f>
        <v>1551765024884928</v>
      </c>
      <c r="C4706" t="s">
        <v>40</v>
      </c>
      <c r="D4706">
        <v>3.857472</v>
      </c>
      <c r="E4706">
        <v>0.65927170000000002</v>
      </c>
      <c r="F4706" t="s">
        <v>94</v>
      </c>
      <c r="G4706">
        <v>-206.62139999999999</v>
      </c>
      <c r="H4706" s="1">
        <v>-5.3054850000000001E-6</v>
      </c>
      <c r="I4706">
        <v>134.7364</v>
      </c>
      <c r="J4706">
        <v>-191.9271</v>
      </c>
      <c r="K4706">
        <v>1.1081190000000001</v>
      </c>
      <c r="L4706">
        <v>162.7679</v>
      </c>
      <c r="M4706">
        <v>-3.4777460000000003E-2</v>
      </c>
      <c r="N4706">
        <v>-8.4513019999999904E-3</v>
      </c>
      <c r="O4706">
        <v>-0.99935949999999996</v>
      </c>
      <c r="P4706">
        <v>-8.648227E-2</v>
      </c>
      <c r="Q4706">
        <v>-0.1007504</v>
      </c>
      <c r="R4706">
        <v>-0.99114619999999998</v>
      </c>
      <c r="S4706">
        <v>-1.507309</v>
      </c>
      <c r="T4706">
        <v>-0.1136305</v>
      </c>
      <c r="U4706">
        <v>-2.8879090000000001</v>
      </c>
      <c r="V4706">
        <v>5.1726910000000001E-2</v>
      </c>
      <c r="W4706">
        <v>-9.248025E-2</v>
      </c>
      <c r="X4706">
        <v>0.99436999999999998</v>
      </c>
      <c r="Y4706">
        <v>0.43135380000000001</v>
      </c>
      <c r="Z4706">
        <v>2.6739059999999999E-2</v>
      </c>
      <c r="AA4706">
        <v>0.90178650000000005</v>
      </c>
      <c r="AB4706">
        <v>23</v>
      </c>
      <c r="AC4706">
        <v>-14.694299999999901</v>
      </c>
      <c r="AD4706">
        <v>-1.1081243054850001</v>
      </c>
      <c r="AE4706">
        <v>-28.031499999999902</v>
      </c>
      <c r="AF4706">
        <v>13.693724733364901</v>
      </c>
      <c r="AG4706">
        <v>-1.1081243054850001</v>
      </c>
      <c r="AH4706">
        <v>28.4906647382942</v>
      </c>
      <c r="AI4706">
        <v>92.007702025918405</v>
      </c>
      <c r="AJ4706">
        <v>64.329245211977806</v>
      </c>
      <c r="AK4706">
        <v>31.6301124528424</v>
      </c>
      <c r="AL4706">
        <v>95.306310300100606</v>
      </c>
      <c r="AM4706">
        <v>87.022170200504206</v>
      </c>
      <c r="AN4706">
        <v>0.99999998337910501</v>
      </c>
    </row>
    <row r="4707" spans="1:40" x14ac:dyDescent="0.25">
      <c r="A4707" t="str">
        <f>"20190305135024911"</f>
        <v>20190305135024911</v>
      </c>
      <c r="B4707" t="str">
        <f>"1551765024904448"</f>
        <v>1551765024904448</v>
      </c>
      <c r="C4707" t="s">
        <v>40</v>
      </c>
      <c r="D4707">
        <v>3.91337</v>
      </c>
      <c r="E4707">
        <v>0.65944780000000003</v>
      </c>
      <c r="F4707" t="s">
        <v>94</v>
      </c>
      <c r="G4707">
        <v>-206.75700000000001</v>
      </c>
      <c r="H4707" s="1">
        <v>-5.1995259999999901E-6</v>
      </c>
      <c r="I4707">
        <v>134.59299999999999</v>
      </c>
      <c r="J4707">
        <v>-191.93379999999999</v>
      </c>
      <c r="K4707">
        <v>1.1080700000000001</v>
      </c>
      <c r="L4707">
        <v>162.61019999999999</v>
      </c>
      <c r="M4707">
        <v>-3.593089E-2</v>
      </c>
      <c r="N4707">
        <v>-8.4535249999999999E-3</v>
      </c>
      <c r="O4707">
        <v>-0.99931859999999995</v>
      </c>
      <c r="P4707">
        <v>-9.0496409999999999E-2</v>
      </c>
      <c r="Q4707">
        <v>-0.10061109999999999</v>
      </c>
      <c r="R4707">
        <v>-0.99080179999999995</v>
      </c>
      <c r="S4707">
        <v>-1.5174099999999999</v>
      </c>
      <c r="T4707">
        <v>-0.1133847</v>
      </c>
      <c r="U4707">
        <v>-2.882889</v>
      </c>
      <c r="V4707">
        <v>5.4593240000000001E-2</v>
      </c>
      <c r="W4707">
        <v>-9.2353729999999995E-2</v>
      </c>
      <c r="X4707">
        <v>0.99422849999999996</v>
      </c>
      <c r="Y4707">
        <v>0.43343389999999998</v>
      </c>
      <c r="Z4707">
        <v>2.6670490000000002E-2</v>
      </c>
      <c r="AA4707">
        <v>0.9007906</v>
      </c>
      <c r="AB4707">
        <v>23</v>
      </c>
      <c r="AC4707">
        <v>-14.8232</v>
      </c>
      <c r="AD4707">
        <v>-1.1080751995260001</v>
      </c>
      <c r="AE4707">
        <v>-28.017199999999999</v>
      </c>
      <c r="AF4707">
        <v>13.790056011431201</v>
      </c>
      <c r="AG4707">
        <v>-1.1080751995260001</v>
      </c>
      <c r="AH4707">
        <v>28.4969111001604</v>
      </c>
      <c r="AI4707">
        <v>92.004605120598697</v>
      </c>
      <c r="AJ4707">
        <v>64.177007354706504</v>
      </c>
      <c r="AK4707">
        <v>31.677553846480301</v>
      </c>
      <c r="AL4707">
        <v>95.299030143242007</v>
      </c>
      <c r="AM4707">
        <v>86.857036199847101</v>
      </c>
      <c r="AN4707">
        <v>0.99999997175542898</v>
      </c>
    </row>
    <row r="4708" spans="1:40" x14ac:dyDescent="0.25">
      <c r="A4708" t="str">
        <f>"20190305135024923"</f>
        <v>20190305135024923</v>
      </c>
      <c r="B4708" t="str">
        <f>"1551765024915184"</f>
        <v>1551765024915184</v>
      </c>
      <c r="C4708" t="s">
        <v>40</v>
      </c>
      <c r="D4708">
        <v>3.9117829999999998</v>
      </c>
      <c r="E4708">
        <v>0.65952290000000002</v>
      </c>
      <c r="F4708" t="s">
        <v>94</v>
      </c>
      <c r="G4708">
        <v>-206.83959999999999</v>
      </c>
      <c r="H4708" s="1">
        <v>-5.164007E-6</v>
      </c>
      <c r="I4708">
        <v>134.59649999999999</v>
      </c>
      <c r="J4708">
        <v>-191.93979999999999</v>
      </c>
      <c r="K4708">
        <v>1.1080179999999999</v>
      </c>
      <c r="L4708">
        <v>162.4736</v>
      </c>
      <c r="M4708">
        <v>-3.6994569999999997E-2</v>
      </c>
      <c r="N4708">
        <v>-8.4560550000000005E-3</v>
      </c>
      <c r="O4708">
        <v>-0.9992799</v>
      </c>
      <c r="P4708">
        <v>-9.7238580000000005E-2</v>
      </c>
      <c r="Q4708">
        <v>-9.9894990000000003E-2</v>
      </c>
      <c r="R4708">
        <v>-0.99023539999999999</v>
      </c>
      <c r="S4708">
        <v>-1.5305629999999999</v>
      </c>
      <c r="T4708">
        <v>-0.1137797</v>
      </c>
      <c r="U4708">
        <v>-2.8765109999999998</v>
      </c>
      <c r="V4708">
        <v>6.0284320000000002E-2</v>
      </c>
      <c r="W4708">
        <v>-9.1660190000000002E-2</v>
      </c>
      <c r="X4708">
        <v>0.99396390000000001</v>
      </c>
      <c r="Y4708">
        <v>0.43650879999999997</v>
      </c>
      <c r="Z4708">
        <v>2.6796759999999999E-2</v>
      </c>
      <c r="AA4708">
        <v>0.89930080000000001</v>
      </c>
      <c r="AB4708">
        <v>23</v>
      </c>
      <c r="AC4708">
        <v>-14.899800000000001</v>
      </c>
      <c r="AD4708">
        <v>-1.108023164007</v>
      </c>
      <c r="AE4708">
        <v>-27.877099999999999</v>
      </c>
      <c r="AF4708">
        <v>13.8412540786234</v>
      </c>
      <c r="AG4708">
        <v>-1.108023164007</v>
      </c>
      <c r="AH4708">
        <v>28.374381361982898</v>
      </c>
      <c r="AI4708">
        <v>92.010083524131801</v>
      </c>
      <c r="AJ4708">
        <v>63.996503375114898</v>
      </c>
      <c r="AK4708">
        <v>31.589769664817599</v>
      </c>
      <c r="AL4708">
        <v>95.259123746150294</v>
      </c>
      <c r="AM4708">
        <v>86.529238902657895</v>
      </c>
      <c r="AN4708">
        <v>1.00000001208595</v>
      </c>
    </row>
    <row r="4709" spans="1:40" x14ac:dyDescent="0.25">
      <c r="A4709" t="str">
        <f>"20190305135024937"</f>
        <v>20190305135024937</v>
      </c>
      <c r="B4709" t="str">
        <f>"1551765024924944"</f>
        <v>1551765024924944</v>
      </c>
      <c r="C4709" t="s">
        <v>40</v>
      </c>
      <c r="D4709">
        <v>3.9165700000000001</v>
      </c>
      <c r="E4709">
        <v>0.65950569999999997</v>
      </c>
      <c r="F4709" t="s">
        <v>94</v>
      </c>
      <c r="G4709">
        <v>-207.315</v>
      </c>
      <c r="H4709" s="1">
        <v>-4.7620350000000002E-6</v>
      </c>
      <c r="I4709">
        <v>134.0538</v>
      </c>
      <c r="J4709">
        <v>-191.9461</v>
      </c>
      <c r="K4709">
        <v>1.1079619999999999</v>
      </c>
      <c r="L4709">
        <v>162.33670000000001</v>
      </c>
      <c r="M4709">
        <v>-3.8102249999999997E-2</v>
      </c>
      <c r="N4709">
        <v>-8.4589090000000006E-3</v>
      </c>
      <c r="O4709">
        <v>-0.99923810000000002</v>
      </c>
      <c r="P4709">
        <v>-0.1018293</v>
      </c>
      <c r="Q4709">
        <v>-9.948253E-2</v>
      </c>
      <c r="R4709">
        <v>-0.98981509999999995</v>
      </c>
      <c r="S4709">
        <v>-1.5505370000000001</v>
      </c>
      <c r="T4709">
        <v>-0.1117407</v>
      </c>
      <c r="U4709">
        <v>-2.8660580000000002</v>
      </c>
      <c r="V4709">
        <v>6.3775090000000006E-2</v>
      </c>
      <c r="W4709">
        <v>-9.1265059999999995E-2</v>
      </c>
      <c r="X4709">
        <v>0.99378239999999995</v>
      </c>
      <c r="Y4709">
        <v>0.4417336</v>
      </c>
      <c r="Z4709">
        <v>2.6176580000000001E-2</v>
      </c>
      <c r="AA4709">
        <v>0.89676429999999996</v>
      </c>
      <c r="AB4709">
        <v>23</v>
      </c>
      <c r="AC4709">
        <v>-15.368899999999901</v>
      </c>
      <c r="AD4709">
        <v>-1.107966762035</v>
      </c>
      <c r="AE4709">
        <v>-28.282900000000001</v>
      </c>
      <c r="AF4709">
        <v>14.263159549789499</v>
      </c>
      <c r="AG4709">
        <v>-1.107966762035</v>
      </c>
      <c r="AH4709">
        <v>28.813833049605101</v>
      </c>
      <c r="AI4709">
        <v>91.973720210083997</v>
      </c>
      <c r="AJ4709">
        <v>63.664091386136697</v>
      </c>
      <c r="AK4709">
        <v>32.169897197520598</v>
      </c>
      <c r="AL4709">
        <v>95.236389153066298</v>
      </c>
      <c r="AM4709">
        <v>86.328130095403296</v>
      </c>
      <c r="AN4709">
        <v>1.00000001591553</v>
      </c>
    </row>
    <row r="4710" spans="1:40" x14ac:dyDescent="0.25">
      <c r="A4710" t="str">
        <f>"20190305135024951"</f>
        <v>20190305135024951</v>
      </c>
      <c r="B4710" t="str">
        <f>"1551765024944464"</f>
        <v>1551765024944464</v>
      </c>
      <c r="C4710" t="s">
        <v>40</v>
      </c>
      <c r="D4710">
        <v>3.9474629999999999</v>
      </c>
      <c r="E4710">
        <v>0.65954740000000001</v>
      </c>
      <c r="F4710" t="s">
        <v>94</v>
      </c>
      <c r="G4710">
        <v>-207.64330000000001</v>
      </c>
      <c r="H4710" s="1">
        <v>-4.4143119999999997E-6</v>
      </c>
      <c r="I4710">
        <v>133.63480000000001</v>
      </c>
      <c r="J4710">
        <v>-191.9528</v>
      </c>
      <c r="K4710">
        <v>1.107899</v>
      </c>
      <c r="L4710">
        <v>162.19370000000001</v>
      </c>
      <c r="M4710">
        <v>-3.9302209999999997E-2</v>
      </c>
      <c r="N4710">
        <v>-8.4621850000000005E-3</v>
      </c>
      <c r="O4710">
        <v>-0.99919150000000001</v>
      </c>
      <c r="P4710">
        <v>-0.10638930000000001</v>
      </c>
      <c r="Q4710">
        <v>-9.9155110000000005E-2</v>
      </c>
      <c r="R4710">
        <v>-0.98936840000000004</v>
      </c>
      <c r="S4710">
        <v>-1.5635680000000001</v>
      </c>
      <c r="T4710">
        <v>-0.1103621</v>
      </c>
      <c r="U4710">
        <v>-2.8589319999999998</v>
      </c>
      <c r="V4710">
        <v>6.7143069999999999E-2</v>
      </c>
      <c r="W4710">
        <v>-9.0956490000000001E-2</v>
      </c>
      <c r="X4710">
        <v>0.99358880000000005</v>
      </c>
      <c r="Y4710">
        <v>0.44474639999999999</v>
      </c>
      <c r="Z4710">
        <v>2.5761369999999999E-2</v>
      </c>
      <c r="AA4710">
        <v>0.89528600000000003</v>
      </c>
      <c r="AB4710">
        <v>23</v>
      </c>
      <c r="AC4710">
        <v>-15.6905</v>
      </c>
      <c r="AD4710">
        <v>-1.1079034143119999</v>
      </c>
      <c r="AE4710">
        <v>-28.558899999999898</v>
      </c>
      <c r="AF4710">
        <v>14.539100772103801</v>
      </c>
      <c r="AG4710">
        <v>-1.1079034143119999</v>
      </c>
      <c r="AH4710">
        <v>29.119863641748999</v>
      </c>
      <c r="AI4710">
        <v>91.949560667215707</v>
      </c>
      <c r="AJ4710">
        <v>63.4677476760749</v>
      </c>
      <c r="AK4710">
        <v>32.566537423417998</v>
      </c>
      <c r="AL4710">
        <v>95.218635692961996</v>
      </c>
      <c r="AM4710">
        <v>86.134039901667705</v>
      </c>
      <c r="AN4710">
        <v>0.99999998920379196</v>
      </c>
    </row>
    <row r="4711" spans="1:40" x14ac:dyDescent="0.25">
      <c r="A4711" t="str">
        <f>"20190305135024963"</f>
        <v>20190305135024963</v>
      </c>
      <c r="B4711" t="str">
        <f>"1551765024955200"</f>
        <v>1551765024955200</v>
      </c>
      <c r="C4711" t="s">
        <v>40</v>
      </c>
      <c r="D4711">
        <v>3.9702790000000001</v>
      </c>
      <c r="E4711">
        <v>0.65958609999999995</v>
      </c>
      <c r="F4711" t="s">
        <v>94</v>
      </c>
      <c r="G4711">
        <v>-207.77189999999999</v>
      </c>
      <c r="H4711" s="1">
        <v>-4.3238279999999999E-6</v>
      </c>
      <c r="I4711">
        <v>133.59</v>
      </c>
      <c r="J4711">
        <v>-191.95930000000001</v>
      </c>
      <c r="K4711">
        <v>1.1078300000000001</v>
      </c>
      <c r="L4711">
        <v>162.06020000000001</v>
      </c>
      <c r="M4711">
        <v>-4.0513029999999998E-2</v>
      </c>
      <c r="N4711">
        <v>-8.4659490000000004E-3</v>
      </c>
      <c r="O4711">
        <v>-0.99914320000000001</v>
      </c>
      <c r="P4711">
        <v>-0.1113818</v>
      </c>
      <c r="Q4711">
        <v>-9.8541400000000001E-2</v>
      </c>
      <c r="R4711">
        <v>-0.98887990000000003</v>
      </c>
      <c r="S4711">
        <v>-1.5770569999999999</v>
      </c>
      <c r="T4711">
        <v>-0.1104498</v>
      </c>
      <c r="U4711">
        <v>-2.8515779999999999</v>
      </c>
      <c r="V4711">
        <v>7.0934259999999999E-2</v>
      </c>
      <c r="W4711">
        <v>-9.0364819999999998E-2</v>
      </c>
      <c r="X4711">
        <v>0.99337940000000002</v>
      </c>
      <c r="Y4711">
        <v>0.44787850000000001</v>
      </c>
      <c r="Z4711">
        <v>2.5798149999999999E-2</v>
      </c>
      <c r="AA4711">
        <v>0.89372220000000002</v>
      </c>
      <c r="AB4711">
        <v>23</v>
      </c>
      <c r="AC4711">
        <v>-15.8125999999999</v>
      </c>
      <c r="AD4711">
        <v>-1.107834323828</v>
      </c>
      <c r="AE4711">
        <v>-28.470199999999998</v>
      </c>
      <c r="AF4711">
        <v>14.629233056339499</v>
      </c>
      <c r="AG4711">
        <v>-1.107834323828</v>
      </c>
      <c r="AH4711">
        <v>29.053843244231601</v>
      </c>
      <c r="AI4711">
        <v>91.950554122904194</v>
      </c>
      <c r="AJ4711">
        <v>63.273765260306902</v>
      </c>
      <c r="AK4711">
        <v>32.547927183864303</v>
      </c>
      <c r="AL4711">
        <v>95.184594992609405</v>
      </c>
      <c r="AM4711">
        <v>85.915611913742197</v>
      </c>
      <c r="AN4711">
        <v>1.0000000511398599</v>
      </c>
    </row>
    <row r="4712" spans="1:40" x14ac:dyDescent="0.25">
      <c r="A4712" t="str">
        <f>"20190305135024978"</f>
        <v>20190305135024978</v>
      </c>
      <c r="B4712" t="str">
        <f>"1551765024974720"</f>
        <v>1551765024974720</v>
      </c>
      <c r="C4712" t="s">
        <v>40</v>
      </c>
      <c r="D4712">
        <v>3.9771179999999999</v>
      </c>
      <c r="E4712">
        <v>0.65957129999999997</v>
      </c>
      <c r="F4712" t="s">
        <v>94</v>
      </c>
      <c r="G4712">
        <v>-208.26840000000001</v>
      </c>
      <c r="H4712" s="1">
        <v>-3.7843719999999998E-6</v>
      </c>
      <c r="I4712">
        <v>132.92080000000001</v>
      </c>
      <c r="J4712">
        <v>-191.96709999999999</v>
      </c>
      <c r="K4712">
        <v>1.1077399999999999</v>
      </c>
      <c r="L4712">
        <v>161.9068</v>
      </c>
      <c r="M4712">
        <v>-4.1969369999999999E-2</v>
      </c>
      <c r="N4712">
        <v>-8.470722E-3</v>
      </c>
      <c r="O4712">
        <v>-0.99908330000000001</v>
      </c>
      <c r="P4712">
        <v>-0.12056210000000001</v>
      </c>
      <c r="Q4712">
        <v>-9.7943769999999999E-2</v>
      </c>
      <c r="R4712">
        <v>-0.98786249999999998</v>
      </c>
      <c r="S4712">
        <v>-1.5916140000000001</v>
      </c>
      <c r="T4712">
        <v>-0.108114</v>
      </c>
      <c r="U4712">
        <v>-2.8437190000000001</v>
      </c>
      <c r="V4712">
        <v>7.8685279999999996E-2</v>
      </c>
      <c r="W4712">
        <v>-8.9808689999999997E-2</v>
      </c>
      <c r="X4712">
        <v>0.99284600000000001</v>
      </c>
      <c r="Y4712">
        <v>0.45111830000000003</v>
      </c>
      <c r="Z4712">
        <v>2.5085420000000001E-2</v>
      </c>
      <c r="AA4712">
        <v>0.89211149999999995</v>
      </c>
      <c r="AB4712">
        <v>23</v>
      </c>
      <c r="AC4712">
        <v>-16.301300000000001</v>
      </c>
      <c r="AD4712">
        <v>-1.1077437843719999</v>
      </c>
      <c r="AE4712">
        <v>-28.985999999999901</v>
      </c>
      <c r="AF4712">
        <v>15.0536653436283</v>
      </c>
      <c r="AG4712">
        <v>-1.1077437843719999</v>
      </c>
      <c r="AH4712">
        <v>29.6117818349645</v>
      </c>
      <c r="AI4712">
        <v>91.909944255500605</v>
      </c>
      <c r="AJ4712">
        <v>63.052699284160298</v>
      </c>
      <c r="AK4712">
        <v>33.236990838692101</v>
      </c>
      <c r="AL4712">
        <v>95.152600868797606</v>
      </c>
      <c r="AM4712">
        <v>85.468651696712101</v>
      </c>
      <c r="AN4712">
        <v>1.00000007690209</v>
      </c>
    </row>
    <row r="4713" spans="1:40" x14ac:dyDescent="0.25">
      <c r="A4713" t="str">
        <f>"20190305135024989"</f>
        <v>20190305135024989</v>
      </c>
      <c r="B4713" t="str">
        <f>"1551765024984480"</f>
        <v>1551765024984480</v>
      </c>
      <c r="C4713" t="s">
        <v>40</v>
      </c>
      <c r="D4713">
        <v>3.9754420000000001</v>
      </c>
      <c r="E4713">
        <v>0.6595259</v>
      </c>
      <c r="F4713" t="s">
        <v>94</v>
      </c>
      <c r="G4713">
        <v>-208.57409999999999</v>
      </c>
      <c r="H4713" s="1">
        <v>-3.5905019999999998E-6</v>
      </c>
      <c r="I4713">
        <v>132.86959999999999</v>
      </c>
      <c r="J4713">
        <v>-191.97329999999999</v>
      </c>
      <c r="K4713">
        <v>1.1076699999999999</v>
      </c>
      <c r="L4713">
        <v>161.78559999999999</v>
      </c>
      <c r="M4713">
        <v>-4.3161190000000002E-2</v>
      </c>
      <c r="N4713">
        <v>-8.4747069999999997E-3</v>
      </c>
      <c r="O4713">
        <v>-0.99903229999999998</v>
      </c>
      <c r="P4713">
        <v>-0.12609129999999999</v>
      </c>
      <c r="Q4713">
        <v>-9.7800189999999995E-2</v>
      </c>
      <c r="R4713">
        <v>-0.98718609999999896</v>
      </c>
      <c r="S4713">
        <v>-1.6178129999999999</v>
      </c>
      <c r="T4713">
        <v>-0.1079137</v>
      </c>
      <c r="U4713">
        <v>-2.828735</v>
      </c>
      <c r="V4713">
        <v>8.303982E-2</v>
      </c>
      <c r="W4713">
        <v>-8.969357E-2</v>
      </c>
      <c r="X4713">
        <v>0.99250159999999998</v>
      </c>
      <c r="Y4713">
        <v>0.45830080000000001</v>
      </c>
      <c r="Z4713">
        <v>2.5039220000000001E-2</v>
      </c>
      <c r="AA4713">
        <v>0.88844439999999902</v>
      </c>
      <c r="AB4713">
        <v>23</v>
      </c>
      <c r="AC4713">
        <v>-16.6007999999999</v>
      </c>
      <c r="AD4713">
        <v>-1.1076735905020001</v>
      </c>
      <c r="AE4713">
        <v>-28.916</v>
      </c>
      <c r="AF4713">
        <v>15.320327198161101</v>
      </c>
      <c r="AG4713">
        <v>-1.1076735905020001</v>
      </c>
      <c r="AH4713">
        <v>29.572949902731398</v>
      </c>
      <c r="AI4713">
        <v>91.9048264136173</v>
      </c>
      <c r="AJ4713">
        <v>62.613492276951398</v>
      </c>
      <c r="AK4713">
        <v>33.324146383535002</v>
      </c>
      <c r="AL4713">
        <v>95.145978715112804</v>
      </c>
      <c r="AM4713">
        <v>85.217362174792697</v>
      </c>
      <c r="AN4713">
        <v>0.99999998710376803</v>
      </c>
    </row>
    <row r="4714" spans="1:40" x14ac:dyDescent="0.25">
      <c r="A4714" t="str">
        <f>"20190305135025002"</f>
        <v>20190305135025002</v>
      </c>
      <c r="B4714" t="str">
        <f>"1551765024995216"</f>
        <v>1551765024995216</v>
      </c>
      <c r="C4714" t="s">
        <v>40</v>
      </c>
      <c r="D4714">
        <v>3.9636619999999998</v>
      </c>
      <c r="E4714">
        <v>0.65952219999999995</v>
      </c>
      <c r="F4714" t="s">
        <v>94</v>
      </c>
      <c r="G4714">
        <v>-208.5908</v>
      </c>
      <c r="H4714" s="1">
        <v>-3.6703440000000002E-6</v>
      </c>
      <c r="I4714">
        <v>133.10290000000001</v>
      </c>
      <c r="J4714">
        <v>-191.9802</v>
      </c>
      <c r="K4714">
        <v>1.1075919999999999</v>
      </c>
      <c r="L4714">
        <v>161.66059999999999</v>
      </c>
      <c r="M4714">
        <v>-4.4491089999999997E-2</v>
      </c>
      <c r="N4714">
        <v>-8.4796439999999997E-3</v>
      </c>
      <c r="O4714">
        <v>-0.99897380000000002</v>
      </c>
      <c r="P4714">
        <v>-0.1315317</v>
      </c>
      <c r="Q4714">
        <v>-9.7507819999999995E-2</v>
      </c>
      <c r="R4714">
        <v>-0.98650499999999997</v>
      </c>
      <c r="S4714">
        <v>-1.633499</v>
      </c>
      <c r="T4714">
        <v>-0.1088846</v>
      </c>
      <c r="U4714">
        <v>-2.8195190000000001</v>
      </c>
      <c r="V4714">
        <v>8.7168750000000003E-2</v>
      </c>
      <c r="W4714">
        <v>-8.9430869999999996E-2</v>
      </c>
      <c r="X4714">
        <v>0.99217120000000003</v>
      </c>
      <c r="Y4714">
        <v>0.4620686</v>
      </c>
      <c r="Z4714">
        <v>2.5352619999999999E-2</v>
      </c>
      <c r="AA4714">
        <v>0.88648179999999999</v>
      </c>
      <c r="AB4714">
        <v>23</v>
      </c>
      <c r="AC4714">
        <v>-16.610600000000002</v>
      </c>
      <c r="AD4714">
        <v>-1.107595670344</v>
      </c>
      <c r="AE4714">
        <v>-28.557699999999901</v>
      </c>
      <c r="AF4714">
        <v>15.306337861418401</v>
      </c>
      <c r="AG4714">
        <v>-1.107595670344</v>
      </c>
      <c r="AH4714">
        <v>29.2356097416633</v>
      </c>
      <c r="AI4714">
        <v>91.922321286761203</v>
      </c>
      <c r="AJ4714">
        <v>62.365641149679902</v>
      </c>
      <c r="AK4714">
        <v>33.018655694375198</v>
      </c>
      <c r="AL4714">
        <v>95.130866413027803</v>
      </c>
      <c r="AM4714">
        <v>84.979081789539194</v>
      </c>
      <c r="AN4714">
        <v>0.99999998079747898</v>
      </c>
    </row>
    <row r="4715" spans="1:40" x14ac:dyDescent="0.25">
      <c r="A4715" t="str">
        <f>"20190305135025013"</f>
        <v>20190305135025013</v>
      </c>
      <c r="B4715" t="str">
        <f>"1551765025004976"</f>
        <v>1551765025004976</v>
      </c>
      <c r="C4715" t="s">
        <v>40</v>
      </c>
      <c r="D4715">
        <v>3.997935</v>
      </c>
      <c r="E4715">
        <v>0.65945359999999997</v>
      </c>
      <c r="F4715" t="s">
        <v>94</v>
      </c>
      <c r="G4715">
        <v>-208.65889999999999</v>
      </c>
      <c r="H4715" s="1">
        <v>-3.6834140000000001E-6</v>
      </c>
      <c r="I4715">
        <v>133.23830000000001</v>
      </c>
      <c r="J4715">
        <v>-191.98699999999999</v>
      </c>
      <c r="K4715">
        <v>1.1075120000000001</v>
      </c>
      <c r="L4715">
        <v>161.53870000000001</v>
      </c>
      <c r="M4715">
        <v>-4.5817459999999997E-2</v>
      </c>
      <c r="N4715">
        <v>-8.4852119999999902E-3</v>
      </c>
      <c r="O4715">
        <v>-0.99891399999999997</v>
      </c>
      <c r="P4715">
        <v>-0.137071</v>
      </c>
      <c r="Q4715">
        <v>-9.7200410000000001E-2</v>
      </c>
      <c r="R4715">
        <v>-0.98578120000000002</v>
      </c>
      <c r="S4715">
        <v>-1.6491549999999999</v>
      </c>
      <c r="T4715">
        <v>-0.10951660000000001</v>
      </c>
      <c r="U4715">
        <v>-2.810333</v>
      </c>
      <c r="V4715">
        <v>9.1403219999999993E-2</v>
      </c>
      <c r="W4715">
        <v>-8.915447E-2</v>
      </c>
      <c r="X4715">
        <v>0.991815</v>
      </c>
      <c r="Y4715">
        <v>0.46582129999999999</v>
      </c>
      <c r="Z4715">
        <v>2.5559749999999999E-2</v>
      </c>
      <c r="AA4715">
        <v>0.88450960000000001</v>
      </c>
      <c r="AB4715">
        <v>23</v>
      </c>
      <c r="AC4715">
        <v>-16.671899999999901</v>
      </c>
      <c r="AD4715">
        <v>-1.1075156834140001</v>
      </c>
      <c r="AE4715">
        <v>-28.3004</v>
      </c>
      <c r="AF4715">
        <v>15.340250790107801</v>
      </c>
      <c r="AG4715">
        <v>-1.1075156834140001</v>
      </c>
      <c r="AH4715">
        <v>29.0015963489958</v>
      </c>
      <c r="AI4715">
        <v>91.933381631184602</v>
      </c>
      <c r="AJ4715">
        <v>62.123619782466001</v>
      </c>
      <c r="AK4715">
        <v>32.8274652704484</v>
      </c>
      <c r="AL4715">
        <v>95.114966086874801</v>
      </c>
      <c r="AM4715">
        <v>84.734635171672394</v>
      </c>
      <c r="AN4715">
        <v>1.0000000311861701</v>
      </c>
    </row>
    <row r="4716" spans="1:40" x14ac:dyDescent="0.25">
      <c r="A4716" t="str">
        <f>"20190305135025024"</f>
        <v>20190305135025024</v>
      </c>
      <c r="B4716" t="str">
        <f>"1551765025014736"</f>
        <v>1551765025014736</v>
      </c>
      <c r="C4716" t="s">
        <v>40</v>
      </c>
      <c r="D4716">
        <v>4.0031910000000002</v>
      </c>
      <c r="E4716">
        <v>0.65938779999999997</v>
      </c>
      <c r="F4716" t="s">
        <v>94</v>
      </c>
      <c r="G4716">
        <v>-208.69</v>
      </c>
      <c r="H4716" s="1">
        <v>-3.738412E-6</v>
      </c>
      <c r="I4716">
        <v>133.428</v>
      </c>
      <c r="J4716">
        <v>-191.99420000000001</v>
      </c>
      <c r="K4716">
        <v>1.107432</v>
      </c>
      <c r="L4716">
        <v>161.4127</v>
      </c>
      <c r="M4716">
        <v>-4.7264260000000002E-2</v>
      </c>
      <c r="N4716">
        <v>-8.4932429999999993E-3</v>
      </c>
      <c r="O4716">
        <v>-0.99884629999999996</v>
      </c>
      <c r="P4716">
        <v>-0.14313970000000001</v>
      </c>
      <c r="Q4716">
        <v>-9.6752980000000002E-2</v>
      </c>
      <c r="R4716">
        <v>-0.984962</v>
      </c>
      <c r="S4716">
        <v>-1.664307</v>
      </c>
      <c r="T4716">
        <v>-0.1103542</v>
      </c>
      <c r="U4716">
        <v>-2.80098</v>
      </c>
      <c r="V4716">
        <v>9.6052509999999994E-2</v>
      </c>
      <c r="W4716">
        <v>-8.8740310000000003E-2</v>
      </c>
      <c r="X4716">
        <v>0.99141259999999998</v>
      </c>
      <c r="Y4716">
        <v>0.46936420000000001</v>
      </c>
      <c r="Z4716">
        <v>2.5832500000000001E-2</v>
      </c>
      <c r="AA4716">
        <v>0.88262669999999999</v>
      </c>
      <c r="AB4716">
        <v>23</v>
      </c>
      <c r="AC4716">
        <v>-16.695799999999899</v>
      </c>
      <c r="AD4716">
        <v>-1.1074357384119999</v>
      </c>
      <c r="AE4716">
        <v>-27.9847</v>
      </c>
      <c r="AF4716">
        <v>15.3367030640125</v>
      </c>
      <c r="AG4716">
        <v>-1.1074357384119999</v>
      </c>
      <c r="AH4716">
        <v>28.709408314438502</v>
      </c>
      <c r="AI4716">
        <v>91.948653168875396</v>
      </c>
      <c r="AJ4716">
        <v>61.888654262939603</v>
      </c>
      <c r="AK4716">
        <v>32.5679443710154</v>
      </c>
      <c r="AL4716">
        <v>95.091142525737894</v>
      </c>
      <c r="AM4716">
        <v>84.466198692083694</v>
      </c>
      <c r="AN4716">
        <v>0.999999935367476</v>
      </c>
    </row>
    <row r="4717" spans="1:40" x14ac:dyDescent="0.25">
      <c r="A4717" t="str">
        <f>"20190305135025037"</f>
        <v>20190305135025037</v>
      </c>
      <c r="B4717" t="str">
        <f>"1551765025035232"</f>
        <v>1551765025035232</v>
      </c>
      <c r="C4717" t="s">
        <v>40</v>
      </c>
      <c r="D4717">
        <v>4.1209550000000004</v>
      </c>
      <c r="E4717">
        <v>0.65930409999999995</v>
      </c>
      <c r="F4717" t="s">
        <v>94</v>
      </c>
      <c r="G4717">
        <v>-208.7578</v>
      </c>
      <c r="H4717" s="1">
        <v>-3.7610690000000001E-6</v>
      </c>
      <c r="I4717">
        <v>133.58799999999999</v>
      </c>
      <c r="J4717">
        <v>-192.00200000000001</v>
      </c>
      <c r="K4717">
        <v>1.1073569999999999</v>
      </c>
      <c r="L4717">
        <v>161.28389999999999</v>
      </c>
      <c r="M4717">
        <v>-4.8801879999999999E-2</v>
      </c>
      <c r="N4717">
        <v>-8.5047560000000005E-3</v>
      </c>
      <c r="O4717">
        <v>-0.99877229999999995</v>
      </c>
      <c r="P4717">
        <v>-0.14945439999999999</v>
      </c>
      <c r="Q4717">
        <v>-9.6458730000000006E-2</v>
      </c>
      <c r="R4717">
        <v>-0.9840525</v>
      </c>
      <c r="S4717">
        <v>-1.681244</v>
      </c>
      <c r="T4717">
        <v>-0.11106679999999999</v>
      </c>
      <c r="U4717">
        <v>-2.7905880000000001</v>
      </c>
      <c r="V4717">
        <v>0.1008627</v>
      </c>
      <c r="W4717">
        <v>-8.8478570000000006E-2</v>
      </c>
      <c r="X4717">
        <v>0.99095829999999996</v>
      </c>
      <c r="Y4717">
        <v>0.47337869999999999</v>
      </c>
      <c r="Z4717">
        <v>2.6063679999999999E-2</v>
      </c>
      <c r="AA4717">
        <v>0.88047330000000001</v>
      </c>
      <c r="AB4717">
        <v>23</v>
      </c>
      <c r="AC4717">
        <v>-16.755799999999901</v>
      </c>
      <c r="AD4717">
        <v>-1.1073607610689999</v>
      </c>
      <c r="AE4717">
        <v>-27.695899999999899</v>
      </c>
      <c r="AF4717">
        <v>15.3661900034016</v>
      </c>
      <c r="AG4717">
        <v>-1.1073607610689999</v>
      </c>
      <c r="AH4717">
        <v>28.447349929125899</v>
      </c>
      <c r="AI4717">
        <v>91.961583074461899</v>
      </c>
      <c r="AJ4717">
        <v>61.623748222526899</v>
      </c>
      <c r="AK4717">
        <v>32.351163210399903</v>
      </c>
      <c r="AL4717">
        <v>95.076086136529199</v>
      </c>
      <c r="AM4717">
        <v>84.188278409425607</v>
      </c>
      <c r="AN4717">
        <v>1.0000000469697099</v>
      </c>
    </row>
    <row r="4718" spans="1:40" x14ac:dyDescent="0.25">
      <c r="A4718" t="str">
        <f>"20190305135025048"</f>
        <v>20190305135025048</v>
      </c>
      <c r="B4718" t="str">
        <f>"1551765025044992"</f>
        <v>1551765025044992</v>
      </c>
      <c r="C4718" t="s">
        <v>40</v>
      </c>
      <c r="D4718">
        <v>4.3618249999999996</v>
      </c>
      <c r="E4718">
        <v>0.68046240000000002</v>
      </c>
      <c r="F4718" t="s">
        <v>94</v>
      </c>
      <c r="G4718">
        <v>-208.80549999999999</v>
      </c>
      <c r="H4718" s="1">
        <v>-3.8087559999999999E-6</v>
      </c>
      <c r="I4718">
        <v>133.7835</v>
      </c>
      <c r="J4718">
        <v>-192.0095</v>
      </c>
      <c r="K4718">
        <v>1.1072919999999999</v>
      </c>
      <c r="L4718">
        <v>161.16030000000001</v>
      </c>
      <c r="M4718">
        <v>-5.0312280000000001E-2</v>
      </c>
      <c r="N4718">
        <v>-8.5176769999999995E-3</v>
      </c>
      <c r="O4718">
        <v>-0.99869730000000001</v>
      </c>
      <c r="P4718">
        <v>-0.15580569999999999</v>
      </c>
      <c r="Q4718">
        <v>-9.6030900000000002E-2</v>
      </c>
      <c r="R4718">
        <v>-0.9831088</v>
      </c>
      <c r="S4718">
        <v>-1.6984709999999901</v>
      </c>
      <c r="T4718">
        <v>-0.1119298</v>
      </c>
      <c r="U4718">
        <v>-2.7796780000000001</v>
      </c>
      <c r="V4718">
        <v>0.10574169999999999</v>
      </c>
      <c r="W4718">
        <v>-8.8082859999999999E-2</v>
      </c>
      <c r="X4718">
        <v>0.99048480000000005</v>
      </c>
      <c r="Y4718">
        <v>0.47754639999999998</v>
      </c>
      <c r="Z4718">
        <v>2.6342339999999999E-2</v>
      </c>
      <c r="AA4718">
        <v>0.87821159999999998</v>
      </c>
      <c r="AB4718">
        <v>23</v>
      </c>
      <c r="AC4718">
        <v>-16.7959999999999</v>
      </c>
      <c r="AD4718">
        <v>-1.1072958087560001</v>
      </c>
      <c r="AE4718">
        <v>-27.376799999999999</v>
      </c>
      <c r="AF4718">
        <v>15.379009090723899</v>
      </c>
      <c r="AG4718">
        <v>-1.1072958087560001</v>
      </c>
      <c r="AH4718">
        <v>28.153739193191001</v>
      </c>
      <c r="AI4718">
        <v>91.976856803877098</v>
      </c>
      <c r="AJ4718">
        <v>61.354380939767701</v>
      </c>
      <c r="AK4718">
        <v>32.099424530338197</v>
      </c>
      <c r="AL4718">
        <v>95.053324901637694</v>
      </c>
      <c r="AM4718">
        <v>83.906324991823098</v>
      </c>
      <c r="AN4718">
        <v>1.0000000181878499</v>
      </c>
    </row>
    <row r="4719" spans="1:40" x14ac:dyDescent="0.25">
      <c r="A4719" t="str">
        <f>"20190305135025060"</f>
        <v>20190305135025060</v>
      </c>
      <c r="B4719" t="str">
        <f>"1551765025054752"</f>
        <v>1551765025054752</v>
      </c>
      <c r="C4719" t="s">
        <v>40</v>
      </c>
      <c r="D4719">
        <v>4.2237730000000004</v>
      </c>
      <c r="E4719">
        <v>0.68046240000000002</v>
      </c>
      <c r="F4719" t="s">
        <v>95</v>
      </c>
      <c r="G4719">
        <v>-220.91309999999999</v>
      </c>
      <c r="H4719">
        <v>1.0259419999999999</v>
      </c>
      <c r="I4719">
        <v>118.788</v>
      </c>
      <c r="J4719">
        <v>-192.01730000000001</v>
      </c>
      <c r="K4719">
        <v>1.1072299999999999</v>
      </c>
      <c r="L4719">
        <v>161.0393</v>
      </c>
      <c r="M4719">
        <v>-5.186905E-2</v>
      </c>
      <c r="N4719">
        <v>-8.5331160000000003E-3</v>
      </c>
      <c r="O4719">
        <v>-0.99861759999999999</v>
      </c>
      <c r="P4719">
        <v>-0.16254260000000001</v>
      </c>
      <c r="Q4719">
        <v>-9.5332349999999996E-2</v>
      </c>
      <c r="R4719">
        <v>-0.98208580000000001</v>
      </c>
      <c r="S4719">
        <v>-1.878174</v>
      </c>
      <c r="T4719">
        <v>-5.2843090000000001E-3</v>
      </c>
      <c r="U4719">
        <v>-2.7533720000000002</v>
      </c>
      <c r="V4719">
        <v>0.1109685</v>
      </c>
      <c r="W4719">
        <v>-8.7415489999999998E-2</v>
      </c>
      <c r="X4719">
        <v>0.98997199999999996</v>
      </c>
      <c r="Y4719">
        <v>0.51987299999999903</v>
      </c>
      <c r="Z4719">
        <v>-6.7911380000000004E-3</v>
      </c>
      <c r="AA4719">
        <v>0.85421650000000005</v>
      </c>
      <c r="AB4719">
        <v>23</v>
      </c>
      <c r="AC4719">
        <v>-28.895799999999898</v>
      </c>
      <c r="AD4719">
        <v>-8.1287999999999999E-2</v>
      </c>
      <c r="AE4719">
        <v>-42.251300000000001</v>
      </c>
      <c r="AF4719">
        <v>26.665218915819601</v>
      </c>
      <c r="AG4719">
        <v>-8.1287999999999999E-2</v>
      </c>
      <c r="AH4719">
        <v>43.693163012919001</v>
      </c>
      <c r="AI4719">
        <v>90.090988726098701</v>
      </c>
      <c r="AJ4719">
        <v>58.604969763218399</v>
      </c>
      <c r="AK4719">
        <v>51.187234752827202</v>
      </c>
      <c r="AL4719">
        <v>95.014939348119597</v>
      </c>
      <c r="AM4719">
        <v>83.604266902467302</v>
      </c>
      <c r="AN4719">
        <v>1.00000001833409</v>
      </c>
    </row>
    <row r="4720" spans="1:40" x14ac:dyDescent="0.25">
      <c r="A4720" t="str">
        <f>"20190305135025072"</f>
        <v>20190305135025072</v>
      </c>
      <c r="B4720" t="str">
        <f>"1551765025064512"</f>
        <v>1551765025064512</v>
      </c>
      <c r="C4720" t="s">
        <v>40</v>
      </c>
      <c r="D4720">
        <v>4.2450049999999999</v>
      </c>
      <c r="E4720">
        <v>0.73140629999999995</v>
      </c>
      <c r="F4720" t="s">
        <v>96</v>
      </c>
      <c r="G4720">
        <v>-226.29409999999999</v>
      </c>
      <c r="H4720">
        <v>1.0674030000000001</v>
      </c>
      <c r="I4720">
        <v>111.51519999999999</v>
      </c>
      <c r="J4720">
        <v>-192.0257</v>
      </c>
      <c r="K4720">
        <v>1.1071660000000001</v>
      </c>
      <c r="L4720">
        <v>160.91139999999999</v>
      </c>
      <c r="M4720">
        <v>-5.3539379999999998E-2</v>
      </c>
      <c r="N4720">
        <v>-8.5505830000000005E-3</v>
      </c>
      <c r="O4720">
        <v>-0.99852920000000001</v>
      </c>
      <c r="P4720">
        <v>-0.1697033</v>
      </c>
      <c r="Q4720">
        <v>-9.4467990000000002E-2</v>
      </c>
      <c r="R4720">
        <v>-0.98095719999999997</v>
      </c>
      <c r="S4720">
        <v>-1.8968050000000001</v>
      </c>
      <c r="T4720">
        <v>-2.2035840000000002E-3</v>
      </c>
      <c r="U4720">
        <v>-2.7405550000000001</v>
      </c>
      <c r="V4720">
        <v>0.1165143</v>
      </c>
      <c r="W4720">
        <v>-8.6584419999999995E-2</v>
      </c>
      <c r="X4720">
        <v>0.9894077</v>
      </c>
      <c r="Y4720">
        <v>0.5242308</v>
      </c>
      <c r="Z4720">
        <v>-7.7384530000000002E-3</v>
      </c>
      <c r="AA4720">
        <v>0.85154099999999999</v>
      </c>
      <c r="AB4720">
        <v>24</v>
      </c>
      <c r="AC4720">
        <v>-34.2683999999999</v>
      </c>
      <c r="AD4720">
        <v>-3.9762999999999903E-2</v>
      </c>
      <c r="AE4720">
        <v>-49.396199999999901</v>
      </c>
      <c r="AF4720">
        <v>31.574494343716299</v>
      </c>
      <c r="AG4720">
        <v>-3.9762999999999903E-2</v>
      </c>
      <c r="AH4720">
        <v>51.160101228871298</v>
      </c>
      <c r="AI4720">
        <v>90.037895647673395</v>
      </c>
      <c r="AJ4720">
        <v>58.318348175046602</v>
      </c>
      <c r="AK4720">
        <v>60.119100391688299</v>
      </c>
      <c r="AL4720">
        <v>94.967141298957301</v>
      </c>
      <c r="AM4720">
        <v>83.283686364939399</v>
      </c>
      <c r="AN4720">
        <v>1.0000000203552499</v>
      </c>
    </row>
    <row r="4721" spans="1:40" x14ac:dyDescent="0.25">
      <c r="A4721" t="str">
        <f>"20190305135025084"</f>
        <v>20190305135025084</v>
      </c>
      <c r="B4721" t="str">
        <f>"1551765025075249"</f>
        <v>1551765025075249</v>
      </c>
      <c r="C4721" t="s">
        <v>40</v>
      </c>
      <c r="D4721">
        <v>4.2653840000000001</v>
      </c>
      <c r="E4721">
        <v>0.73547130000000005</v>
      </c>
      <c r="F4721" t="s">
        <v>94</v>
      </c>
      <c r="G4721">
        <v>-197.2851</v>
      </c>
      <c r="H4721" s="1">
        <v>-1.367201E-5</v>
      </c>
      <c r="I4721">
        <v>155.0583</v>
      </c>
      <c r="J4721">
        <v>-192.03450000000001</v>
      </c>
      <c r="K4721">
        <v>1.107113</v>
      </c>
      <c r="L4721">
        <v>160.78139999999999</v>
      </c>
      <c r="M4721">
        <v>-5.5301580000000003E-2</v>
      </c>
      <c r="N4721">
        <v>-8.5721589999999993E-3</v>
      </c>
      <c r="O4721">
        <v>-0.99843289999999996</v>
      </c>
      <c r="P4721">
        <v>-0.17701810000000001</v>
      </c>
      <c r="Q4721">
        <v>-9.377162E-2</v>
      </c>
      <c r="R4721">
        <v>-0.9797304</v>
      </c>
      <c r="S4721">
        <v>-2.341415</v>
      </c>
      <c r="T4721">
        <v>-0.49290010000000001</v>
      </c>
      <c r="U4721">
        <v>-2.6057130000000002</v>
      </c>
      <c r="V4721">
        <v>0.1221309</v>
      </c>
      <c r="W4721">
        <v>-8.5918339999999996E-2</v>
      </c>
      <c r="X4721">
        <v>0.98878820000000001</v>
      </c>
      <c r="Y4721">
        <v>0.61993469999999995</v>
      </c>
      <c r="Z4721">
        <v>0.13350819999999999</v>
      </c>
      <c r="AA4721">
        <v>0.7732118</v>
      </c>
      <c r="AB4721">
        <v>24</v>
      </c>
      <c r="AC4721">
        <v>-5.2505999999999897</v>
      </c>
      <c r="AD4721">
        <v>-1.1071266720099999</v>
      </c>
      <c r="AE4721">
        <v>-5.7230999999999801</v>
      </c>
      <c r="AF4721">
        <v>4.8279544455233596</v>
      </c>
      <c r="AG4721">
        <v>-1.1071266720099999</v>
      </c>
      <c r="AH4721">
        <v>5.8851351359357</v>
      </c>
      <c r="AI4721">
        <v>98.275252626640196</v>
      </c>
      <c r="AJ4721">
        <v>50.635770691352597</v>
      </c>
      <c r="AK4721">
        <v>7.6921836408233002</v>
      </c>
      <c r="AL4721">
        <v>94.928835019452293</v>
      </c>
      <c r="AM4721">
        <v>82.958732743688998</v>
      </c>
      <c r="AN4721">
        <v>1.0000000111712</v>
      </c>
    </row>
    <row r="4722" spans="1:40" x14ac:dyDescent="0.25">
      <c r="A4722" t="str">
        <f>"20190305135025098"</f>
        <v>20190305135025098</v>
      </c>
      <c r="B4722" t="str">
        <f>"1551765025094768"</f>
        <v>1551765025094768</v>
      </c>
      <c r="C4722" t="s">
        <v>40</v>
      </c>
      <c r="D4722">
        <v>4.2054720000000003</v>
      </c>
      <c r="E4722">
        <v>0.73576580000000003</v>
      </c>
      <c r="F4722" t="s">
        <v>94</v>
      </c>
      <c r="G4722">
        <v>-197.24879999999999</v>
      </c>
      <c r="H4722" s="1">
        <v>-1.371192E-5</v>
      </c>
      <c r="I4722">
        <v>155.15889999999999</v>
      </c>
      <c r="J4722">
        <v>-192.04419999999999</v>
      </c>
      <c r="K4722">
        <v>1.1070599999999999</v>
      </c>
      <c r="L4722">
        <v>160.6437</v>
      </c>
      <c r="M4722">
        <v>-5.7212230000000003E-2</v>
      </c>
      <c r="N4722">
        <v>-8.6012640000000008E-3</v>
      </c>
      <c r="O4722">
        <v>-0.99832520000000002</v>
      </c>
      <c r="P4722">
        <v>-0.18435460000000001</v>
      </c>
      <c r="Q4722">
        <v>-9.3377710000000003E-2</v>
      </c>
      <c r="R4722">
        <v>-0.97841429999999996</v>
      </c>
      <c r="S4722">
        <v>-2.3935550000000001</v>
      </c>
      <c r="T4722">
        <v>-0.50821269999999996</v>
      </c>
      <c r="U4722">
        <v>-2.580978</v>
      </c>
      <c r="V4722">
        <v>0.1276293</v>
      </c>
      <c r="W4722">
        <v>-8.554784E-2</v>
      </c>
      <c r="X4722">
        <v>0.9881257</v>
      </c>
      <c r="Y4722">
        <v>0.63017369999999995</v>
      </c>
      <c r="Z4722">
        <v>0.13726749999999999</v>
      </c>
      <c r="AA4722">
        <v>0.76422419999999902</v>
      </c>
      <c r="AB4722">
        <v>24</v>
      </c>
      <c r="AC4722">
        <v>-5.2045999999999903</v>
      </c>
      <c r="AD4722">
        <v>-1.10707371192</v>
      </c>
      <c r="AE4722">
        <v>-5.4847999999999999</v>
      </c>
      <c r="AF4722">
        <v>4.7797974158826104</v>
      </c>
      <c r="AG4722">
        <v>-1.10707371192</v>
      </c>
      <c r="AH4722">
        <v>5.6524183478384602</v>
      </c>
      <c r="AI4722">
        <v>98.505828366133699</v>
      </c>
      <c r="AJ4722">
        <v>49.781474769996798</v>
      </c>
      <c r="AK4722">
        <v>7.4847784682970602</v>
      </c>
      <c r="AL4722">
        <v>94.907528368003995</v>
      </c>
      <c r="AM4722">
        <v>82.640251325567306</v>
      </c>
      <c r="AN4722">
        <v>1.0000000350738201</v>
      </c>
    </row>
    <row r="4723" spans="1:40" x14ac:dyDescent="0.25">
      <c r="A4723" t="str">
        <f>"20190305135025114"</f>
        <v>20190305135025114</v>
      </c>
      <c r="B4723" t="str">
        <f>"1551765025104528"</f>
        <v>1551765025104528</v>
      </c>
      <c r="C4723" t="s">
        <v>40</v>
      </c>
      <c r="D4723">
        <v>4.2185069999999998</v>
      </c>
      <c r="E4723">
        <v>0.7343904</v>
      </c>
      <c r="F4723" t="s">
        <v>94</v>
      </c>
      <c r="G4723">
        <v>-197.33959999999999</v>
      </c>
      <c r="H4723" s="1">
        <v>-1.36620899999999E-5</v>
      </c>
      <c r="I4723">
        <v>155.0239</v>
      </c>
      <c r="J4723">
        <v>-192.05629999999999</v>
      </c>
      <c r="K4723">
        <v>1.107</v>
      </c>
      <c r="L4723">
        <v>160.47540000000001</v>
      </c>
      <c r="M4723">
        <v>-5.9598480000000002E-2</v>
      </c>
      <c r="N4723">
        <v>-8.6486029999999995E-3</v>
      </c>
      <c r="O4723">
        <v>-0.99818510000000005</v>
      </c>
      <c r="P4723">
        <v>-0.1974524</v>
      </c>
      <c r="Q4723">
        <v>-9.3092339999999996E-2</v>
      </c>
      <c r="R4723">
        <v>-0.97588260000000004</v>
      </c>
      <c r="S4723">
        <v>-2.4150390000000002</v>
      </c>
      <c r="T4723">
        <v>-0.5048878</v>
      </c>
      <c r="U4723">
        <v>-2.5629430000000002</v>
      </c>
      <c r="V4723">
        <v>0.13848199999999999</v>
      </c>
      <c r="W4723">
        <v>-8.5306870000000007E-2</v>
      </c>
      <c r="X4723">
        <v>0.98668409999999995</v>
      </c>
      <c r="Y4723">
        <v>0.63448579999999999</v>
      </c>
      <c r="Z4723">
        <v>0.136365299999999</v>
      </c>
      <c r="AA4723">
        <v>0.76081030000000005</v>
      </c>
      <c r="AB4723">
        <v>24</v>
      </c>
      <c r="AC4723">
        <v>-5.2832999999999899</v>
      </c>
      <c r="AD4723">
        <v>-1.10701366209</v>
      </c>
      <c r="AE4723">
        <v>-5.4515000000000002</v>
      </c>
      <c r="AF4723">
        <v>4.8459511780983098</v>
      </c>
      <c r="AG4723">
        <v>-1.10701366209</v>
      </c>
      <c r="AH4723">
        <v>5.6368365242624003</v>
      </c>
      <c r="AI4723">
        <v>98.470346625490805</v>
      </c>
      <c r="AJ4723">
        <v>49.3145685996205</v>
      </c>
      <c r="AK4723">
        <v>7.51549386732668</v>
      </c>
      <c r="AL4723">
        <v>94.893671223001604</v>
      </c>
      <c r="AM4723">
        <v>82.010672034713494</v>
      </c>
      <c r="AN4723">
        <v>1.0000000197929999</v>
      </c>
    </row>
    <row r="4724" spans="1:40" x14ac:dyDescent="0.25">
      <c r="A4724" t="str">
        <f>"20190305135025127"</f>
        <v>20190305135025127</v>
      </c>
      <c r="B4724" t="str">
        <f>"1551765025125024"</f>
        <v>1551765025125024</v>
      </c>
      <c r="C4724" t="s">
        <v>40</v>
      </c>
      <c r="D4724">
        <v>4.2306800000000004</v>
      </c>
      <c r="E4724">
        <v>0.7317456</v>
      </c>
      <c r="F4724" t="s">
        <v>94</v>
      </c>
      <c r="G4724">
        <v>-197.5068</v>
      </c>
      <c r="H4724" s="1">
        <v>-1.3585720000000001E-5</v>
      </c>
      <c r="I4724">
        <v>154.81129999999999</v>
      </c>
      <c r="J4724">
        <v>-192.0676</v>
      </c>
      <c r="K4724">
        <v>1.106962</v>
      </c>
      <c r="L4724">
        <v>160.32599999999999</v>
      </c>
      <c r="M4724">
        <v>-6.1765479999999998E-2</v>
      </c>
      <c r="N4724">
        <v>-8.7101539999999995E-3</v>
      </c>
      <c r="O4724">
        <v>-0.99805290000000002</v>
      </c>
      <c r="P4724">
        <v>-0.20491789999999999</v>
      </c>
      <c r="Q4724">
        <v>-9.3035499999999993E-2</v>
      </c>
      <c r="R4724">
        <v>-0.97434779999999999</v>
      </c>
      <c r="S4724">
        <v>-2.4380489999999999</v>
      </c>
      <c r="T4724">
        <v>-0.4951798</v>
      </c>
      <c r="U4724">
        <v>-2.5335999999999999</v>
      </c>
      <c r="V4724">
        <v>0.14387720000000001</v>
      </c>
      <c r="W4724">
        <v>-8.5242899999999996E-2</v>
      </c>
      <c r="X4724">
        <v>0.9859173</v>
      </c>
      <c r="Y4724">
        <v>0.64100579999999996</v>
      </c>
      <c r="Z4724">
        <v>0.13392970000000001</v>
      </c>
      <c r="AA4724">
        <v>0.75576080000000001</v>
      </c>
      <c r="AB4724">
        <v>24</v>
      </c>
      <c r="AC4724">
        <v>-5.4391999999999996</v>
      </c>
      <c r="AD4724">
        <v>-1.1069755857200001</v>
      </c>
      <c r="AE4724">
        <v>-5.5147000000000004</v>
      </c>
      <c r="AF4724">
        <v>4.98634047277499</v>
      </c>
      <c r="AG4724">
        <v>-1.1069755857200001</v>
      </c>
      <c r="AH4724">
        <v>5.7232439572393199</v>
      </c>
      <c r="AI4724">
        <v>98.2971064807235</v>
      </c>
      <c r="AJ4724">
        <v>48.936195256208997</v>
      </c>
      <c r="AK4724">
        <v>7.6710173804972204</v>
      </c>
      <c r="AL4724">
        <v>94.889992898037406</v>
      </c>
      <c r="AM4724">
        <v>81.697301635245395</v>
      </c>
      <c r="AN4724">
        <v>0.999999961559769</v>
      </c>
    </row>
    <row r="4725" spans="1:40" x14ac:dyDescent="0.25">
      <c r="A4725" t="str">
        <f>"20190305135025141"</f>
        <v>20190305135025141</v>
      </c>
      <c r="B4725" t="str">
        <f>"1551765025134784"</f>
        <v>1551765025134784</v>
      </c>
      <c r="C4725" t="s">
        <v>40</v>
      </c>
      <c r="D4725">
        <v>4.2313980000000004</v>
      </c>
      <c r="E4725">
        <v>0.73050179999999998</v>
      </c>
      <c r="F4725" t="s">
        <v>94</v>
      </c>
      <c r="G4725">
        <v>-197.5909</v>
      </c>
      <c r="H4725" s="1">
        <v>-1.350889E-5</v>
      </c>
      <c r="I4725">
        <v>154.6139</v>
      </c>
      <c r="J4725">
        <v>-192.07859999999999</v>
      </c>
      <c r="K4725">
        <v>1.106938</v>
      </c>
      <c r="L4725">
        <v>160.18389999999999</v>
      </c>
      <c r="M4725">
        <v>-6.3868469999999997E-2</v>
      </c>
      <c r="N4725">
        <v>-8.7954130000000002E-3</v>
      </c>
      <c r="O4725">
        <v>-0.99791969999999997</v>
      </c>
      <c r="P4725">
        <v>-0.2121335</v>
      </c>
      <c r="Q4725">
        <v>-9.2982499999999996E-2</v>
      </c>
      <c r="R4725">
        <v>-0.97280719999999998</v>
      </c>
      <c r="S4725">
        <v>-2.4366300000000001</v>
      </c>
      <c r="T4725">
        <v>-0.4883422</v>
      </c>
      <c r="U4725">
        <v>-2.5199280000000002</v>
      </c>
      <c r="V4725">
        <v>0.149092</v>
      </c>
      <c r="W4725">
        <v>-8.5156640000000006E-2</v>
      </c>
      <c r="X4725">
        <v>0.98514970000000002</v>
      </c>
      <c r="Y4725">
        <v>0.6413624</v>
      </c>
      <c r="Z4725">
        <v>0.13244040000000001</v>
      </c>
      <c r="AA4725">
        <v>0.75572069999999902</v>
      </c>
      <c r="AB4725">
        <v>24</v>
      </c>
      <c r="AC4725">
        <v>-5.5122999999999998</v>
      </c>
      <c r="AD4725">
        <v>-1.1069515088899999</v>
      </c>
      <c r="AE4725">
        <v>-5.5699999999999896</v>
      </c>
      <c r="AF4725">
        <v>5.0446265644833099</v>
      </c>
      <c r="AG4725">
        <v>-1.1069515088899999</v>
      </c>
      <c r="AH4725">
        <v>5.7950716931406996</v>
      </c>
      <c r="AI4725">
        <v>98.198463533768006</v>
      </c>
      <c r="AJ4725">
        <v>48.960335397875397</v>
      </c>
      <c r="AK4725">
        <v>7.7625031237845699</v>
      </c>
      <c r="AL4725">
        <v>94.885032316656506</v>
      </c>
      <c r="AM4725">
        <v>81.394193890694794</v>
      </c>
      <c r="AN4725">
        <v>1.0000000046050801</v>
      </c>
    </row>
    <row r="4726" spans="1:40" x14ac:dyDescent="0.25">
      <c r="A4726" t="str">
        <f>"20190305135025153"</f>
        <v>20190305135025153</v>
      </c>
      <c r="B4726" t="str">
        <f>"1551765025144544"</f>
        <v>1551765025144544</v>
      </c>
      <c r="C4726" t="s">
        <v>40</v>
      </c>
      <c r="D4726">
        <v>4.1943449999999904</v>
      </c>
      <c r="E4726">
        <v>0.72880140000000004</v>
      </c>
      <c r="F4726" t="s">
        <v>94</v>
      </c>
      <c r="G4726">
        <v>-197.6748</v>
      </c>
      <c r="H4726" s="1">
        <v>-1.3475709999999999E-5</v>
      </c>
      <c r="I4726">
        <v>154.45240000000001</v>
      </c>
      <c r="J4726">
        <v>-192.08869999999999</v>
      </c>
      <c r="K4726">
        <v>1.1069249999999999</v>
      </c>
      <c r="L4726">
        <v>160.05719999999999</v>
      </c>
      <c r="M4726">
        <v>-6.5759739999999997E-2</v>
      </c>
      <c r="N4726">
        <v>-8.8895109999999992E-3</v>
      </c>
      <c r="O4726">
        <v>-0.99779589999999996</v>
      </c>
      <c r="P4726">
        <v>-0.21893219999999999</v>
      </c>
      <c r="Q4726">
        <v>-9.2760460000000003E-2</v>
      </c>
      <c r="R4726">
        <v>-0.97132099999999999</v>
      </c>
      <c r="S4726">
        <v>-2.4452669999999999</v>
      </c>
      <c r="T4726">
        <v>-0.48369069999999997</v>
      </c>
      <c r="U4726">
        <v>-2.5044249999999999</v>
      </c>
      <c r="V4726">
        <v>0.15410199999999999</v>
      </c>
      <c r="W4726">
        <v>-8.4890019999999997E-2</v>
      </c>
      <c r="X4726">
        <v>0.98440150000000004</v>
      </c>
      <c r="Y4726">
        <v>0.64368369999999997</v>
      </c>
      <c r="Z4726">
        <v>0.13133210000000001</v>
      </c>
      <c r="AA4726">
        <v>0.75393849999999996</v>
      </c>
      <c r="AB4726">
        <v>24</v>
      </c>
      <c r="AC4726">
        <v>-5.5861000000000098</v>
      </c>
      <c r="AD4726">
        <v>-1.10693847571</v>
      </c>
      <c r="AE4726">
        <v>-5.6047999999999796</v>
      </c>
      <c r="AF4726">
        <v>5.1055184807537497</v>
      </c>
      <c r="AG4726">
        <v>-1.10693847571</v>
      </c>
      <c r="AH4726">
        <v>5.8456351658806502</v>
      </c>
      <c r="AI4726">
        <v>98.116945149853194</v>
      </c>
      <c r="AJ4726">
        <v>48.866366718225997</v>
      </c>
      <c r="AK4726">
        <v>7.83983942685727</v>
      </c>
      <c r="AL4726">
        <v>94.869700487186606</v>
      </c>
      <c r="AM4726">
        <v>81.102906512613004</v>
      </c>
      <c r="AN4726">
        <v>1.00000002755092</v>
      </c>
    </row>
    <row r="4727" spans="1:40" x14ac:dyDescent="0.25">
      <c r="A4727" t="str">
        <f>"20190305135025167"</f>
        <v>20190305135025167</v>
      </c>
      <c r="B4727" t="str">
        <f>"1551765025165040"</f>
        <v>1551765025165040</v>
      </c>
      <c r="C4727" t="s">
        <v>40</v>
      </c>
      <c r="D4727">
        <v>4.2527080000000002</v>
      </c>
      <c r="E4727">
        <v>0.72717299999999996</v>
      </c>
      <c r="F4727" t="s">
        <v>94</v>
      </c>
      <c r="G4727">
        <v>-197.66040000000001</v>
      </c>
      <c r="H4727" s="1">
        <v>-1.3459840000000001E-5</v>
      </c>
      <c r="I4727">
        <v>154.39439999999999</v>
      </c>
      <c r="J4727">
        <v>-192.10210000000001</v>
      </c>
      <c r="K4727">
        <v>1.1069119999999999</v>
      </c>
      <c r="L4727">
        <v>159.89429999999999</v>
      </c>
      <c r="M4727">
        <v>-6.8226640000000005E-2</v>
      </c>
      <c r="N4727">
        <v>-9.0594660000000004E-3</v>
      </c>
      <c r="O4727">
        <v>-0.99762890000000004</v>
      </c>
      <c r="P4727">
        <v>-0.23086139999999999</v>
      </c>
      <c r="Q4727">
        <v>-9.2650029999999994E-2</v>
      </c>
      <c r="R4727">
        <v>-0.96856580000000003</v>
      </c>
      <c r="S4727">
        <v>-2.4498600000000001</v>
      </c>
      <c r="T4727">
        <v>-0.48671599999999998</v>
      </c>
      <c r="U4727">
        <v>-2.4899140000000002</v>
      </c>
      <c r="V4727">
        <v>0.16375139999999999</v>
      </c>
      <c r="W4727">
        <v>-8.4698220000000005E-2</v>
      </c>
      <c r="X4727">
        <v>0.98285900000000004</v>
      </c>
      <c r="Y4727">
        <v>0.64459060000000001</v>
      </c>
      <c r="Z4727">
        <v>0.1324301</v>
      </c>
      <c r="AA4727">
        <v>0.75297099999999995</v>
      </c>
      <c r="AB4727">
        <v>24</v>
      </c>
      <c r="AC4727">
        <v>-5.5583</v>
      </c>
      <c r="AD4727">
        <v>-1.10692545984</v>
      </c>
      <c r="AE4727">
        <v>-5.4998999999999896</v>
      </c>
      <c r="AF4727">
        <v>5.0685218488380501</v>
      </c>
      <c r="AG4727">
        <v>-1.10692545984</v>
      </c>
      <c r="AH4727">
        <v>5.75107461367298</v>
      </c>
      <c r="AI4727">
        <v>98.216577677666706</v>
      </c>
      <c r="AJ4727">
        <v>48.609712970118899</v>
      </c>
      <c r="AK4727">
        <v>7.7453248426276202</v>
      </c>
      <c r="AL4727">
        <v>94.858671269553398</v>
      </c>
      <c r="AM4727">
        <v>80.540992131821099</v>
      </c>
      <c r="AN4727">
        <v>1.0000000616770599</v>
      </c>
    </row>
    <row r="4728" spans="1:40" x14ac:dyDescent="0.25">
      <c r="A4728" t="str">
        <f>"20190305135025180"</f>
        <v>20190305135025180</v>
      </c>
      <c r="B4728" t="str">
        <f>"1551765025174801"</f>
        <v>1551765025174801</v>
      </c>
      <c r="C4728" t="s">
        <v>40</v>
      </c>
      <c r="D4728">
        <v>4.1958409999999997</v>
      </c>
      <c r="E4728">
        <v>0.72532209999999997</v>
      </c>
      <c r="F4728" t="s">
        <v>94</v>
      </c>
      <c r="G4728">
        <v>-197.71420000000001</v>
      </c>
      <c r="H4728" s="1">
        <v>-1.3438969999999999E-5</v>
      </c>
      <c r="I4728">
        <v>154.29249999999999</v>
      </c>
      <c r="J4728">
        <v>-192.1121</v>
      </c>
      <c r="K4728">
        <v>1.1069150000000001</v>
      </c>
      <c r="L4728">
        <v>159.77809999999999</v>
      </c>
      <c r="M4728">
        <v>-7.0014499999999993E-2</v>
      </c>
      <c r="N4728">
        <v>-9.2193199999999996E-3</v>
      </c>
      <c r="O4728">
        <v>-0.99750340000000004</v>
      </c>
      <c r="P4728">
        <v>-0.23701520000000001</v>
      </c>
      <c r="Q4728">
        <v>-9.3018649999999994E-2</v>
      </c>
      <c r="R4728">
        <v>-0.96704250000000003</v>
      </c>
      <c r="S4728">
        <v>-2.4672390000000002</v>
      </c>
      <c r="T4728">
        <v>-0.4866412</v>
      </c>
      <c r="U4728">
        <v>-2.4627530000000002</v>
      </c>
      <c r="V4728">
        <v>0.1682293</v>
      </c>
      <c r="W4728">
        <v>-8.4954210000000002E-2</v>
      </c>
      <c r="X4728">
        <v>0.98208030000000002</v>
      </c>
      <c r="Y4728">
        <v>0.64997349999999998</v>
      </c>
      <c r="Z4728">
        <v>0.13265779999999999</v>
      </c>
      <c r="AA4728">
        <v>0.74828899999999998</v>
      </c>
      <c r="AB4728">
        <v>24</v>
      </c>
      <c r="AC4728">
        <v>-5.6021000000000001</v>
      </c>
      <c r="AD4728">
        <v>-1.10692843896999</v>
      </c>
      <c r="AE4728">
        <v>-5.4855999999999998</v>
      </c>
      <c r="AF4728">
        <v>5.1025619787528997</v>
      </c>
      <c r="AG4728">
        <v>-1.10692843896999</v>
      </c>
      <c r="AH4728">
        <v>5.7497806527784903</v>
      </c>
      <c r="AI4728">
        <v>98.193846124072394</v>
      </c>
      <c r="AJ4728">
        <v>48.412998303186797</v>
      </c>
      <c r="AK4728">
        <v>7.7666857069847497</v>
      </c>
      <c r="AL4728">
        <v>94.873391696412497</v>
      </c>
      <c r="AM4728">
        <v>80.279637712136406</v>
      </c>
      <c r="AN4728">
        <v>1.00000001541165</v>
      </c>
    </row>
    <row r="4729" spans="1:40" x14ac:dyDescent="0.25">
      <c r="A4729" t="str">
        <f>"20190305135025192"</f>
        <v>20190305135025192</v>
      </c>
      <c r="B4729" t="str">
        <f>"1551765025184560"</f>
        <v>1551765025184560</v>
      </c>
      <c r="C4729" t="s">
        <v>40</v>
      </c>
      <c r="D4729">
        <v>4.2476399999999996</v>
      </c>
      <c r="E4729">
        <v>0.72388520000000001</v>
      </c>
      <c r="F4729" t="s">
        <v>94</v>
      </c>
      <c r="G4729">
        <v>-197.6508</v>
      </c>
      <c r="H4729" s="1">
        <v>-1.34305E-5</v>
      </c>
      <c r="I4729">
        <v>154.28120000000001</v>
      </c>
      <c r="J4729">
        <v>-192.12379999999999</v>
      </c>
      <c r="K4729">
        <v>1.106922</v>
      </c>
      <c r="L4729">
        <v>159.64240000000001</v>
      </c>
      <c r="M4729">
        <v>-7.2113099999999999E-2</v>
      </c>
      <c r="N4729">
        <v>-9.4206350000000001E-3</v>
      </c>
      <c r="O4729">
        <v>-0.99735209999999996</v>
      </c>
      <c r="P4729">
        <v>-0.2430667</v>
      </c>
      <c r="Q4729">
        <v>-9.3478060000000002E-2</v>
      </c>
      <c r="R4729">
        <v>-0.96549499999999999</v>
      </c>
      <c r="S4729">
        <v>-2.4684140000000001</v>
      </c>
      <c r="T4729">
        <v>-0.49332120000000002</v>
      </c>
      <c r="U4729">
        <v>-2.4497990000000001</v>
      </c>
      <c r="V4729">
        <v>0.1723034</v>
      </c>
      <c r="W4729">
        <v>-8.5259890000000005E-2</v>
      </c>
      <c r="X4729">
        <v>0.98134719999999998</v>
      </c>
      <c r="Y4729">
        <v>0.65031949999999905</v>
      </c>
      <c r="Z4729">
        <v>0.13480919999999999</v>
      </c>
      <c r="AA4729">
        <v>0.74760349999999998</v>
      </c>
      <c r="AB4729">
        <v>24</v>
      </c>
      <c r="AC4729">
        <v>-5.5270000000000099</v>
      </c>
      <c r="AD4729">
        <v>-1.1069354305000001</v>
      </c>
      <c r="AE4729">
        <v>-5.3611999999999904</v>
      </c>
      <c r="AF4729">
        <v>5.0221892826021497</v>
      </c>
      <c r="AG4729">
        <v>-1.1069354305000001</v>
      </c>
      <c r="AH4729">
        <v>5.6294870179576701</v>
      </c>
      <c r="AI4729">
        <v>98.347362166986898</v>
      </c>
      <c r="AJ4729">
        <v>48.263145349264903</v>
      </c>
      <c r="AK4729">
        <v>7.6248813317279902</v>
      </c>
      <c r="AL4729">
        <v>94.890969629952707</v>
      </c>
      <c r="AM4729">
        <v>80.041600896330706</v>
      </c>
      <c r="AN4729">
        <v>1.0000000187211</v>
      </c>
    </row>
    <row r="4730" spans="1:40" x14ac:dyDescent="0.25">
      <c r="A4730" t="str">
        <f>"20190305135025203"</f>
        <v>20190305135025203</v>
      </c>
      <c r="B4730" t="str">
        <f>"1551765025195296"</f>
        <v>1551765025195296</v>
      </c>
      <c r="C4730" t="s">
        <v>40</v>
      </c>
      <c r="D4730">
        <v>4.2679510000000001</v>
      </c>
      <c r="E4730">
        <v>0.72306719999999902</v>
      </c>
      <c r="F4730" t="s">
        <v>94</v>
      </c>
      <c r="G4730">
        <v>-197.7364</v>
      </c>
      <c r="H4730" s="1">
        <v>-1.339445E-5</v>
      </c>
      <c r="I4730">
        <v>154.10769999999999</v>
      </c>
      <c r="J4730">
        <v>-192.13460000000001</v>
      </c>
      <c r="K4730">
        <v>1.106932</v>
      </c>
      <c r="L4730">
        <v>159.52199999999999</v>
      </c>
      <c r="M4730">
        <v>-7.4003289999999999E-2</v>
      </c>
      <c r="N4730">
        <v>-9.6314539999999994E-3</v>
      </c>
      <c r="O4730">
        <v>-0.99721159999999998</v>
      </c>
      <c r="P4730">
        <v>-0.24854989999999999</v>
      </c>
      <c r="Q4730">
        <v>-9.4349429999999998E-2</v>
      </c>
      <c r="R4730">
        <v>-0.96401320000000001</v>
      </c>
      <c r="S4730">
        <v>-2.4719850000000001</v>
      </c>
      <c r="T4730">
        <v>-0.48753540000000001</v>
      </c>
      <c r="U4730">
        <v>-2.4376829999999998</v>
      </c>
      <c r="V4730">
        <v>0.17601310000000001</v>
      </c>
      <c r="W4730">
        <v>-8.5964429999999994E-2</v>
      </c>
      <c r="X4730">
        <v>0.98062709999999997</v>
      </c>
      <c r="Y4730">
        <v>0.651424</v>
      </c>
      <c r="Z4730">
        <v>0.13328589999999901</v>
      </c>
      <c r="AA4730">
        <v>0.74691470000000004</v>
      </c>
      <c r="AB4730">
        <v>24</v>
      </c>
      <c r="AC4730">
        <v>-5.6017999999999901</v>
      </c>
      <c r="AD4730">
        <v>-1.1069453944499901</v>
      </c>
      <c r="AE4730">
        <v>-5.4143000000000203</v>
      </c>
      <c r="AF4730">
        <v>5.0831239792182101</v>
      </c>
      <c r="AG4730">
        <v>-1.1069453944499901</v>
      </c>
      <c r="AH4730">
        <v>5.6989705899106804</v>
      </c>
      <c r="AI4730">
        <v>98.247816815224596</v>
      </c>
      <c r="AJ4730">
        <v>48.2690415092816</v>
      </c>
      <c r="AK4730">
        <v>7.7163296507513301</v>
      </c>
      <c r="AL4730">
        <v>94.931485634196804</v>
      </c>
      <c r="AM4730">
        <v>79.824313248760006</v>
      </c>
      <c r="AN4730">
        <v>1.0000000019256201</v>
      </c>
    </row>
    <row r="4731" spans="1:40" x14ac:dyDescent="0.25">
      <c r="A4731" t="str">
        <f>"20190305135025214"</f>
        <v>20190305135025214</v>
      </c>
      <c r="B4731" t="str">
        <f>"1551765025205056"</f>
        <v>1551765025205056</v>
      </c>
      <c r="C4731" t="s">
        <v>40</v>
      </c>
      <c r="D4731">
        <v>4.3013599999999999</v>
      </c>
      <c r="E4731">
        <v>0.72197409999999995</v>
      </c>
      <c r="F4731" t="s">
        <v>94</v>
      </c>
      <c r="G4731">
        <v>-197.7371</v>
      </c>
      <c r="H4731" s="1">
        <v>-1.3378210000000001E-5</v>
      </c>
      <c r="I4731">
        <v>154.0429</v>
      </c>
      <c r="J4731">
        <v>-192.14519999999999</v>
      </c>
      <c r="K4731">
        <v>1.106943</v>
      </c>
      <c r="L4731">
        <v>159.40549999999999</v>
      </c>
      <c r="M4731">
        <v>-7.5848059999999995E-2</v>
      </c>
      <c r="N4731">
        <v>-9.8400629999999996E-3</v>
      </c>
      <c r="O4731">
        <v>-0.99707100000000004</v>
      </c>
      <c r="P4731">
        <v>-0.25354559999999998</v>
      </c>
      <c r="Q4731">
        <v>-9.4933000000000003E-2</v>
      </c>
      <c r="R4731">
        <v>-0.96265389999999995</v>
      </c>
      <c r="S4731">
        <v>-2.4794160000000001</v>
      </c>
      <c r="T4731">
        <v>-0.4898807</v>
      </c>
      <c r="U4731">
        <v>-2.4247890000000001</v>
      </c>
      <c r="V4731">
        <v>0.17927699999999999</v>
      </c>
      <c r="W4731">
        <v>-8.6379990000000004E-2</v>
      </c>
      <c r="X4731">
        <v>0.97999910000000001</v>
      </c>
      <c r="Y4731">
        <v>0.65304989999999996</v>
      </c>
      <c r="Z4731">
        <v>0.13400989999999999</v>
      </c>
      <c r="AA4731">
        <v>0.74536380000000002</v>
      </c>
      <c r="AB4731">
        <v>24</v>
      </c>
      <c r="AC4731">
        <v>-5.5919000000000096</v>
      </c>
      <c r="AD4731">
        <v>-1.10695637821</v>
      </c>
      <c r="AE4731">
        <v>-5.36259999999998</v>
      </c>
      <c r="AF4731">
        <v>5.0656212862141698</v>
      </c>
      <c r="AG4731">
        <v>-1.10695637821</v>
      </c>
      <c r="AH4731">
        <v>5.6558509353830901</v>
      </c>
      <c r="AI4731">
        <v>98.294831476252199</v>
      </c>
      <c r="AJ4731">
        <v>48.151019390035998</v>
      </c>
      <c r="AK4731">
        <v>7.67297342898304</v>
      </c>
      <c r="AL4731">
        <v>94.955384421364499</v>
      </c>
      <c r="AM4731">
        <v>79.6331754923864</v>
      </c>
      <c r="AN4731">
        <v>0.99999999070110501</v>
      </c>
    </row>
    <row r="4732" spans="1:40" x14ac:dyDescent="0.25">
      <c r="A4732" t="str">
        <f>"20190305135025226"</f>
        <v>20190305135025226</v>
      </c>
      <c r="B4732" t="str">
        <f>"1551765025214816"</f>
        <v>1551765025214816</v>
      </c>
      <c r="C4732" t="s">
        <v>40</v>
      </c>
      <c r="D4732">
        <v>4.2701330000000004</v>
      </c>
      <c r="E4732">
        <v>0.7209989</v>
      </c>
      <c r="F4732" t="s">
        <v>94</v>
      </c>
      <c r="G4732">
        <v>-197.7619</v>
      </c>
      <c r="H4732" s="1">
        <v>-1.335577E-5</v>
      </c>
      <c r="I4732">
        <v>153.94499999999999</v>
      </c>
      <c r="J4732">
        <v>-192.1574</v>
      </c>
      <c r="K4732">
        <v>1.1069560000000001</v>
      </c>
      <c r="L4732">
        <v>159.2748</v>
      </c>
      <c r="M4732">
        <v>-7.7942629999999999E-2</v>
      </c>
      <c r="N4732">
        <v>-1.008154E-2</v>
      </c>
      <c r="O4732">
        <v>-0.99690690000000004</v>
      </c>
      <c r="P4732">
        <v>-0.2584399</v>
      </c>
      <c r="Q4732">
        <v>-9.5357269999999994E-2</v>
      </c>
      <c r="R4732">
        <v>-0.96130959999999999</v>
      </c>
      <c r="S4732">
        <v>-2.483139</v>
      </c>
      <c r="T4732">
        <v>-0.48938969999999998</v>
      </c>
      <c r="U4732">
        <v>-2.4141080000000001</v>
      </c>
      <c r="V4732">
        <v>0.18219669999999999</v>
      </c>
      <c r="W4732">
        <v>-8.6602940000000003E-2</v>
      </c>
      <c r="X4732">
        <v>0.9794408</v>
      </c>
      <c r="Y4732">
        <v>0.65367180000000003</v>
      </c>
      <c r="Z4732">
        <v>0.1339342</v>
      </c>
      <c r="AA4732">
        <v>0.74483199999999905</v>
      </c>
      <c r="AB4732">
        <v>24</v>
      </c>
      <c r="AC4732">
        <v>-5.6044999999999998</v>
      </c>
      <c r="AD4732">
        <v>-1.10696935577</v>
      </c>
      <c r="AE4732">
        <v>-5.3297999999999996</v>
      </c>
      <c r="AF4732">
        <v>5.0681848093119202</v>
      </c>
      <c r="AG4732">
        <v>-1.10696935577</v>
      </c>
      <c r="AH4732">
        <v>5.6350004957054898</v>
      </c>
      <c r="AI4732">
        <v>98.309825596384798</v>
      </c>
      <c r="AJ4732">
        <v>48.031418845418699</v>
      </c>
      <c r="AK4732">
        <v>7.6593151784317604</v>
      </c>
      <c r="AL4732">
        <v>94.968206550395706</v>
      </c>
      <c r="AM4732">
        <v>79.462221002272599</v>
      </c>
      <c r="AN4732">
        <v>0.99999999370608605</v>
      </c>
    </row>
    <row r="4733" spans="1:40" x14ac:dyDescent="0.25">
      <c r="A4733" t="str">
        <f>"20190305135025239"</f>
        <v>20190305135025239</v>
      </c>
      <c r="B4733" t="str">
        <f>"1551765025235312"</f>
        <v>1551765025235312</v>
      </c>
      <c r="C4733" t="s">
        <v>40</v>
      </c>
      <c r="D4733">
        <v>4.2908809999999997</v>
      </c>
      <c r="E4733">
        <v>0.71912480000000001</v>
      </c>
      <c r="F4733" t="s">
        <v>94</v>
      </c>
      <c r="G4733">
        <v>-197.7884</v>
      </c>
      <c r="H4733" s="1">
        <v>-1.33304399999999E-5</v>
      </c>
      <c r="I4733">
        <v>153.83500000000001</v>
      </c>
      <c r="J4733">
        <v>-192.1696</v>
      </c>
      <c r="K4733">
        <v>1.1069560000000001</v>
      </c>
      <c r="L4733">
        <v>159.14779999999999</v>
      </c>
      <c r="M4733">
        <v>-8.0015329999999996E-2</v>
      </c>
      <c r="N4733">
        <v>-1.030798E-2</v>
      </c>
      <c r="O4733">
        <v>-0.99674039999999997</v>
      </c>
      <c r="P4733">
        <v>-0.26304309999999997</v>
      </c>
      <c r="Q4733">
        <v>-9.5492679999999996E-2</v>
      </c>
      <c r="R4733">
        <v>-0.96004659999999997</v>
      </c>
      <c r="S4733">
        <v>-2.4878390000000001</v>
      </c>
      <c r="T4733">
        <v>-0.48907040000000002</v>
      </c>
      <c r="U4733">
        <v>-2.403381</v>
      </c>
      <c r="V4733">
        <v>0.18484500000000001</v>
      </c>
      <c r="W4733">
        <v>-8.6551779999999995E-2</v>
      </c>
      <c r="X4733">
        <v>0.97894899999999996</v>
      </c>
      <c r="Y4733">
        <v>0.65446569999999904</v>
      </c>
      <c r="Z4733">
        <v>0.13389479999999901</v>
      </c>
      <c r="AA4733">
        <v>0.74414169999999902</v>
      </c>
      <c r="AB4733">
        <v>24</v>
      </c>
      <c r="AC4733">
        <v>-5.6187999999999896</v>
      </c>
      <c r="AD4733">
        <v>-1.1069693304399999</v>
      </c>
      <c r="AE4733">
        <v>-5.3127999999999798</v>
      </c>
      <c r="AF4733">
        <v>5.0717222144426399</v>
      </c>
      <c r="AG4733">
        <v>-1.1069693304399999</v>
      </c>
      <c r="AH4733">
        <v>5.6300048934299296</v>
      </c>
      <c r="AI4733">
        <v>98.311281288253497</v>
      </c>
      <c r="AJ4733">
        <v>47.986272309980201</v>
      </c>
      <c r="AK4733">
        <v>7.6579829210472097</v>
      </c>
      <c r="AL4733">
        <v>94.965264146223504</v>
      </c>
      <c r="AM4733">
        <v>79.307308866686299</v>
      </c>
      <c r="AN4733">
        <v>1.0000000146235799</v>
      </c>
    </row>
    <row r="4734" spans="1:40" x14ac:dyDescent="0.25">
      <c r="A4734" t="str">
        <f>"20190305135025250"</f>
        <v>20190305135025250</v>
      </c>
      <c r="B4734" t="str">
        <f>"1551765025245072"</f>
        <v>1551765025245072</v>
      </c>
      <c r="C4734" t="s">
        <v>40</v>
      </c>
      <c r="D4734">
        <v>4.2849659999999998</v>
      </c>
      <c r="E4734">
        <v>0.71822730000000001</v>
      </c>
      <c r="F4734" t="s">
        <v>94</v>
      </c>
      <c r="G4734">
        <v>-197.82079999999999</v>
      </c>
      <c r="H4734" s="1">
        <v>-1.329947E-5</v>
      </c>
      <c r="I4734">
        <v>153.70050000000001</v>
      </c>
      <c r="J4734">
        <v>-192.1814</v>
      </c>
      <c r="K4734">
        <v>1.106954</v>
      </c>
      <c r="L4734">
        <v>159.0266</v>
      </c>
      <c r="M4734">
        <v>-8.2006830000000003E-2</v>
      </c>
      <c r="N4734">
        <v>-1.0520689999999999E-2</v>
      </c>
      <c r="O4734">
        <v>-0.99657640000000003</v>
      </c>
      <c r="P4734">
        <v>-0.26753870000000002</v>
      </c>
      <c r="Q4734">
        <v>-9.5606739999999996E-2</v>
      </c>
      <c r="R4734">
        <v>-0.95879250000000005</v>
      </c>
      <c r="S4734">
        <v>-2.4851679999999998</v>
      </c>
      <c r="T4734">
        <v>-0.48680689999999999</v>
      </c>
      <c r="U4734">
        <v>-2.3955229999999998</v>
      </c>
      <c r="V4734">
        <v>0.18746740000000001</v>
      </c>
      <c r="W4734">
        <v>-8.6493440000000005E-2</v>
      </c>
      <c r="X4734">
        <v>0.97845539999999998</v>
      </c>
      <c r="Y4734">
        <v>0.65382309999999999</v>
      </c>
      <c r="Z4734">
        <v>0.1334234</v>
      </c>
      <c r="AA4734">
        <v>0.74479099999999998</v>
      </c>
      <c r="AB4734">
        <v>24</v>
      </c>
      <c r="AC4734">
        <v>-5.6393999999999904</v>
      </c>
      <c r="AD4734">
        <v>-1.1069672994699999</v>
      </c>
      <c r="AE4734">
        <v>-5.3260999999999896</v>
      </c>
      <c r="AF4734">
        <v>5.0801443391926302</v>
      </c>
      <c r="AG4734">
        <v>-1.1069672994699999</v>
      </c>
      <c r="AH4734">
        <v>5.6554784567964598</v>
      </c>
      <c r="AI4734">
        <v>98.284776554003102</v>
      </c>
      <c r="AJ4734">
        <v>48.067610869280102</v>
      </c>
      <c r="AK4734">
        <v>7.6822965110971699</v>
      </c>
      <c r="AL4734">
        <v>94.961908724678494</v>
      </c>
      <c r="AM4734">
        <v>79.153842696932799</v>
      </c>
      <c r="AN4734">
        <v>1.00000005550747</v>
      </c>
    </row>
    <row r="4735" spans="1:40" x14ac:dyDescent="0.25">
      <c r="A4735" t="str">
        <f>"20190305135025261"</f>
        <v>20190305135025261</v>
      </c>
      <c r="B4735" t="str">
        <f>"1551765025254832"</f>
        <v>1551765025254832</v>
      </c>
      <c r="C4735" t="s">
        <v>40</v>
      </c>
      <c r="D4735">
        <v>4.2470949999999998</v>
      </c>
      <c r="E4735">
        <v>0.71737919999999999</v>
      </c>
      <c r="F4735" t="s">
        <v>94</v>
      </c>
      <c r="G4735">
        <v>-197.84059999999999</v>
      </c>
      <c r="H4735" s="1">
        <v>-1.3276620000000001E-5</v>
      </c>
      <c r="I4735">
        <v>153.6027</v>
      </c>
      <c r="J4735">
        <v>-192.1944</v>
      </c>
      <c r="K4735">
        <v>1.1069310000000001</v>
      </c>
      <c r="L4735">
        <v>158.89840000000001</v>
      </c>
      <c r="M4735">
        <v>-8.4176210000000001E-2</v>
      </c>
      <c r="N4735">
        <v>-1.073006E-2</v>
      </c>
      <c r="O4735">
        <v>-0.99639299999999997</v>
      </c>
      <c r="P4735">
        <v>-0.27203129999999998</v>
      </c>
      <c r="Q4735">
        <v>-9.5611199999999993E-2</v>
      </c>
      <c r="R4735">
        <v>-0.95752669999999995</v>
      </c>
      <c r="S4735">
        <v>-2.489258</v>
      </c>
      <c r="T4735">
        <v>-0.48691200000000001</v>
      </c>
      <c r="U4735">
        <v>-2.3857879999999998</v>
      </c>
      <c r="V4735">
        <v>0.1899139</v>
      </c>
      <c r="W4735">
        <v>-8.6333960000000001E-2</v>
      </c>
      <c r="X4735">
        <v>0.97799749999999996</v>
      </c>
      <c r="Y4735">
        <v>0.65429780000000004</v>
      </c>
      <c r="Z4735">
        <v>0.13351289999999999</v>
      </c>
      <c r="AA4735">
        <v>0.74435790000000002</v>
      </c>
      <c r="AB4735">
        <v>24</v>
      </c>
      <c r="AC4735">
        <v>-5.6461999999999897</v>
      </c>
      <c r="AD4735">
        <v>-1.1069442766199999</v>
      </c>
      <c r="AE4735">
        <v>-5.2957000000000098</v>
      </c>
      <c r="AF4735">
        <v>5.0765556405725203</v>
      </c>
      <c r="AG4735">
        <v>-1.1069442766199999</v>
      </c>
      <c r="AH4735">
        <v>5.6369417795698098</v>
      </c>
      <c r="AI4735">
        <v>98.3020329289225</v>
      </c>
      <c r="AJ4735">
        <v>47.994216114689898</v>
      </c>
      <c r="AK4735">
        <v>7.6662804168403698</v>
      </c>
      <c r="AL4735">
        <v>94.952737280123202</v>
      </c>
      <c r="AM4735">
        <v>79.010701193624101</v>
      </c>
      <c r="AN4735">
        <v>0.99999997603436996</v>
      </c>
    </row>
    <row r="4736" spans="1:40" x14ac:dyDescent="0.25">
      <c r="A4736" t="str">
        <f>"20190305135025273"</f>
        <v>20190305135025273</v>
      </c>
      <c r="B4736" t="str">
        <f>"1551765025264593"</f>
        <v>1551765025264593</v>
      </c>
      <c r="C4736" t="s">
        <v>40</v>
      </c>
      <c r="D4736">
        <v>4.285927</v>
      </c>
      <c r="E4736">
        <v>0.71668089999999995</v>
      </c>
      <c r="F4736" t="s">
        <v>94</v>
      </c>
      <c r="G4736">
        <v>-197.8854</v>
      </c>
      <c r="H4736" s="1">
        <v>-1.324874E-5</v>
      </c>
      <c r="I4736">
        <v>153.4761</v>
      </c>
      <c r="J4736">
        <v>-192.2071</v>
      </c>
      <c r="K4736">
        <v>1.106908</v>
      </c>
      <c r="L4736">
        <v>158.77590000000001</v>
      </c>
      <c r="M4736">
        <v>-8.6269129999999999E-2</v>
      </c>
      <c r="N4736">
        <v>-1.092563E-2</v>
      </c>
      <c r="O4736">
        <v>-0.99621199999999999</v>
      </c>
      <c r="P4736">
        <v>-0.2763139</v>
      </c>
      <c r="Q4736">
        <v>-9.6073519999999996E-2</v>
      </c>
      <c r="R4736">
        <v>-0.95625329999999997</v>
      </c>
      <c r="S4736">
        <v>-2.4938959999999999</v>
      </c>
      <c r="T4736">
        <v>-0.48508240000000002</v>
      </c>
      <c r="U4736">
        <v>-2.3761290000000002</v>
      </c>
      <c r="V4736">
        <v>0.19222600000000001</v>
      </c>
      <c r="W4736">
        <v>-8.6646349999999997E-2</v>
      </c>
      <c r="X4736">
        <v>0.97751809999999995</v>
      </c>
      <c r="Y4736">
        <v>0.65496109999999996</v>
      </c>
      <c r="Z4736">
        <v>0.1330327</v>
      </c>
      <c r="AA4736">
        <v>0.74386039999999998</v>
      </c>
      <c r="AB4736">
        <v>24</v>
      </c>
      <c r="AC4736">
        <v>-5.6783000000000001</v>
      </c>
      <c r="AD4736">
        <v>-1.10692124874</v>
      </c>
      <c r="AE4736">
        <v>-5.2998000000000003</v>
      </c>
      <c r="AF4736">
        <v>5.0963879782749197</v>
      </c>
      <c r="AG4736">
        <v>-1.10692124874</v>
      </c>
      <c r="AH4736">
        <v>5.6550802710074199</v>
      </c>
      <c r="AI4736">
        <v>98.273094753658199</v>
      </c>
      <c r="AJ4736">
        <v>47.974658304923999</v>
      </c>
      <c r="AK4736">
        <v>7.6927484001203803</v>
      </c>
      <c r="AL4736">
        <v>94.970702961814993</v>
      </c>
      <c r="AM4736">
        <v>78.874909971904401</v>
      </c>
      <c r="AN4736">
        <v>1.00000003043596</v>
      </c>
    </row>
    <row r="4737" spans="1:40" x14ac:dyDescent="0.25">
      <c r="A4737" t="str">
        <f>"20190305135025286"</f>
        <v>20190305135025286</v>
      </c>
      <c r="B4737" t="str">
        <f>"1551765025275328"</f>
        <v>1551765025275328</v>
      </c>
      <c r="C4737" t="s">
        <v>40</v>
      </c>
      <c r="D4737">
        <v>4.2688160000000002</v>
      </c>
      <c r="E4737">
        <v>0.71588309999999999</v>
      </c>
      <c r="F4737" t="s">
        <v>94</v>
      </c>
      <c r="G4737">
        <v>-197.9282</v>
      </c>
      <c r="H4737" s="1">
        <v>-1.3222740000000001E-5</v>
      </c>
      <c r="I4737">
        <v>153.35769999999999</v>
      </c>
      <c r="J4737">
        <v>-192.2209</v>
      </c>
      <c r="K4737">
        <v>1.1068709999999999</v>
      </c>
      <c r="L4737">
        <v>158.64510000000001</v>
      </c>
      <c r="M4737">
        <v>-8.8548699999999994E-2</v>
      </c>
      <c r="N4737">
        <v>-1.1126260000000001E-2</v>
      </c>
      <c r="O4737">
        <v>-0.99600979999999995</v>
      </c>
      <c r="P4737">
        <v>-0.2806787</v>
      </c>
      <c r="Q4737">
        <v>-9.6713999999999994E-2</v>
      </c>
      <c r="R4737">
        <v>-0.95491669999999995</v>
      </c>
      <c r="S4737">
        <v>-2.4989170000000001</v>
      </c>
      <c r="T4737">
        <v>-0.48348669999999999</v>
      </c>
      <c r="U4737">
        <v>-2.3666079999999998</v>
      </c>
      <c r="V4737">
        <v>0.19444220000000001</v>
      </c>
      <c r="W4737">
        <v>-8.7136169999999999E-2</v>
      </c>
      <c r="X4737">
        <v>0.97703609999999996</v>
      </c>
      <c r="Y4737">
        <v>0.65551729999999997</v>
      </c>
      <c r="Z4737">
        <v>0.13260549999999999</v>
      </c>
      <c r="AA4737">
        <v>0.74344659999999996</v>
      </c>
      <c r="AB4737">
        <v>24</v>
      </c>
      <c r="AC4737">
        <v>-5.7073</v>
      </c>
      <c r="AD4737">
        <v>-1.10688422274</v>
      </c>
      <c r="AE4737">
        <v>-5.2874000000000096</v>
      </c>
      <c r="AF4737">
        <v>5.1131606288260398</v>
      </c>
      <c r="AG4737">
        <v>-1.10688422274</v>
      </c>
      <c r="AH4737">
        <v>5.6575184168632298</v>
      </c>
      <c r="AI4737">
        <v>98.258862662740498</v>
      </c>
      <c r="AJ4737">
        <v>47.89330764895</v>
      </c>
      <c r="AK4737">
        <v>7.7056549972000496</v>
      </c>
      <c r="AL4737">
        <v>94.998874226387301</v>
      </c>
      <c r="AM4737">
        <v>78.744492391546899</v>
      </c>
      <c r="AN4737">
        <v>1.0000000109831499</v>
      </c>
    </row>
    <row r="4738" spans="1:40" x14ac:dyDescent="0.25">
      <c r="A4738" t="str">
        <f>"20190305135025303"</f>
        <v>20190305135025303</v>
      </c>
      <c r="B4738" t="str">
        <f>"1551765025294848"</f>
        <v>1551765025294848</v>
      </c>
      <c r="C4738" t="s">
        <v>40</v>
      </c>
      <c r="D4738">
        <v>4.3188940000000002</v>
      </c>
      <c r="E4738">
        <v>0.71456560000000002</v>
      </c>
      <c r="F4738" t="s">
        <v>94</v>
      </c>
      <c r="G4738">
        <v>-197.95339999999999</v>
      </c>
      <c r="H4738" s="1">
        <v>-1.3197480000000001E-5</v>
      </c>
      <c r="I4738">
        <v>153.2484</v>
      </c>
      <c r="J4738">
        <v>-192.24029999999999</v>
      </c>
      <c r="K4738">
        <v>1.10680499999999</v>
      </c>
      <c r="L4738">
        <v>158.46719999999999</v>
      </c>
      <c r="M4738">
        <v>-9.1749239999999996E-2</v>
      </c>
      <c r="N4738">
        <v>-1.138726E-2</v>
      </c>
      <c r="O4738">
        <v>-0.99571710000000002</v>
      </c>
      <c r="P4738">
        <v>-0.2874622</v>
      </c>
      <c r="Q4738">
        <v>-9.8398159999999998E-2</v>
      </c>
      <c r="R4738">
        <v>-0.95272460000000003</v>
      </c>
      <c r="S4738">
        <v>-2.5034480000000001</v>
      </c>
      <c r="T4738">
        <v>-0.48338700000000001</v>
      </c>
      <c r="U4738">
        <v>-2.3568120000000001</v>
      </c>
      <c r="V4738">
        <v>0.19823250000000001</v>
      </c>
      <c r="W4738">
        <v>-8.8641559999999994E-2</v>
      </c>
      <c r="X4738">
        <v>0.97613859999999997</v>
      </c>
      <c r="Y4738">
        <v>0.65530999999999995</v>
      </c>
      <c r="Z4738">
        <v>0.13261039999999999</v>
      </c>
      <c r="AA4738">
        <v>0.74362850000000003</v>
      </c>
      <c r="AB4738">
        <v>24</v>
      </c>
      <c r="AC4738">
        <v>-5.7130999999999901</v>
      </c>
      <c r="AD4738">
        <v>-1.10681819747999</v>
      </c>
      <c r="AE4738">
        <v>-5.2187999999999803</v>
      </c>
      <c r="AF4738">
        <v>5.1056858818168802</v>
      </c>
      <c r="AG4738">
        <v>-1.10681819747999</v>
      </c>
      <c r="AH4738">
        <v>5.6062872510773598</v>
      </c>
      <c r="AI4738">
        <v>98.304519573409806</v>
      </c>
      <c r="AJ4738">
        <v>47.675650158365499</v>
      </c>
      <c r="AK4738">
        <v>7.6631280550209802</v>
      </c>
      <c r="AL4738">
        <v>95.0854618100701</v>
      </c>
      <c r="AM4738">
        <v>78.520582159227104</v>
      </c>
      <c r="AN4738">
        <v>1.0000000083127201</v>
      </c>
    </row>
    <row r="4739" spans="1:40" x14ac:dyDescent="0.25">
      <c r="A4739" t="str">
        <f>"20190305135025316"</f>
        <v>20190305135025316</v>
      </c>
      <c r="B4739" t="str">
        <f>"1551765025304608"</f>
        <v>1551765025304608</v>
      </c>
      <c r="C4739" t="s">
        <v>40</v>
      </c>
      <c r="D4739">
        <v>4.2591590000000004</v>
      </c>
      <c r="E4739">
        <v>0.71400469999999905</v>
      </c>
      <c r="F4739" t="s">
        <v>94</v>
      </c>
      <c r="G4739">
        <v>-197.94810000000001</v>
      </c>
      <c r="H4739" s="1">
        <v>-1.317042E-5</v>
      </c>
      <c r="I4739">
        <v>153.14269999999999</v>
      </c>
      <c r="J4739">
        <v>-192.2552</v>
      </c>
      <c r="K4739">
        <v>1.1067480000000001</v>
      </c>
      <c r="L4739">
        <v>158.3349</v>
      </c>
      <c r="M4739">
        <v>-9.4206849999999995E-2</v>
      </c>
      <c r="N4739">
        <v>-1.1572509999999999E-2</v>
      </c>
      <c r="O4739">
        <v>-0.99548550000000002</v>
      </c>
      <c r="P4739">
        <v>-0.29100039999999999</v>
      </c>
      <c r="Q4739">
        <v>-9.9769549999999999E-2</v>
      </c>
      <c r="R4739">
        <v>-0.95150659999999998</v>
      </c>
      <c r="S4739">
        <v>-2.5098720000000001</v>
      </c>
      <c r="T4739">
        <v>-0.48670219999999997</v>
      </c>
      <c r="U4739">
        <v>-2.3413240000000002</v>
      </c>
      <c r="V4739">
        <v>0.19943830000000001</v>
      </c>
      <c r="W4739">
        <v>-8.9879360000000005E-2</v>
      </c>
      <c r="X4739">
        <v>0.97577970000000003</v>
      </c>
      <c r="Y4739">
        <v>0.65673059999999905</v>
      </c>
      <c r="Z4739">
        <v>0.13377159999999999</v>
      </c>
      <c r="AA4739">
        <v>0.74216579999999999</v>
      </c>
      <c r="AB4739">
        <v>24</v>
      </c>
      <c r="AC4739">
        <v>-5.6928999999999998</v>
      </c>
      <c r="AD4739">
        <v>-1.10676117042</v>
      </c>
      <c r="AE4739">
        <v>-5.1922000000000104</v>
      </c>
      <c r="AF4739">
        <v>5.0737204511729903</v>
      </c>
      <c r="AG4739">
        <v>-1.10676117042</v>
      </c>
      <c r="AH4739">
        <v>5.5901125377681202</v>
      </c>
      <c r="AI4739">
        <v>98.340398496808604</v>
      </c>
      <c r="AJ4739">
        <v>47.772360835216901</v>
      </c>
      <c r="AK4739">
        <v>7.6300011592340402</v>
      </c>
      <c r="AL4739">
        <v>95.156666909611602</v>
      </c>
      <c r="AM4739">
        <v>78.448492665853905</v>
      </c>
      <c r="AN4739">
        <v>0.99999997889649395</v>
      </c>
    </row>
    <row r="4740" spans="1:40" x14ac:dyDescent="0.25">
      <c r="A4740" t="str">
        <f>"20190305135025331"</f>
        <v>20190305135025331</v>
      </c>
      <c r="B4740" t="str">
        <f>"1551765025325104"</f>
        <v>1551765025325104</v>
      </c>
      <c r="C4740" t="s">
        <v>40</v>
      </c>
      <c r="D4740">
        <v>4.0807019999999996</v>
      </c>
      <c r="E4740">
        <v>0.71343610000000002</v>
      </c>
      <c r="F4740" t="s">
        <v>94</v>
      </c>
      <c r="G4740">
        <v>-197.94800000000001</v>
      </c>
      <c r="H4740" s="1">
        <v>-1.3147910000000001E-5</v>
      </c>
      <c r="I4740">
        <v>153.05330000000001</v>
      </c>
      <c r="J4740">
        <v>-192.27369999999999</v>
      </c>
      <c r="K4740">
        <v>1.1066689999999999</v>
      </c>
      <c r="L4740">
        <v>158.17509999999999</v>
      </c>
      <c r="M4740">
        <v>-9.7266729999999996E-2</v>
      </c>
      <c r="N4740">
        <v>-1.1786130000000001E-2</v>
      </c>
      <c r="O4740">
        <v>-0.99518850000000003</v>
      </c>
      <c r="P4740">
        <v>-0.29515079999999999</v>
      </c>
      <c r="Q4740">
        <v>-0.10075919999999999</v>
      </c>
      <c r="R4740">
        <v>-0.95012289999999999</v>
      </c>
      <c r="S4740">
        <v>-2.514313</v>
      </c>
      <c r="T4740">
        <v>-0.48882209999999998</v>
      </c>
      <c r="U4740">
        <v>-2.332703</v>
      </c>
      <c r="V4740">
        <v>0.2006793</v>
      </c>
      <c r="W4740">
        <v>-9.0720430000000005E-2</v>
      </c>
      <c r="X4740">
        <v>0.97544739999999996</v>
      </c>
      <c r="Y4740">
        <v>0.65637469999999998</v>
      </c>
      <c r="Z4740">
        <v>0.13443179999999999</v>
      </c>
      <c r="AA4740">
        <v>0.7423613</v>
      </c>
      <c r="AB4740">
        <v>23</v>
      </c>
      <c r="AC4740">
        <v>-5.6742999999999801</v>
      </c>
      <c r="AD4740">
        <v>-1.10668214791</v>
      </c>
      <c r="AE4740">
        <v>-5.1217999999999702</v>
      </c>
      <c r="AF4740">
        <v>5.0434607889016396</v>
      </c>
      <c r="AG4740">
        <v>-1.10668214791</v>
      </c>
      <c r="AH4740">
        <v>5.5334840288761704</v>
      </c>
      <c r="AI4740">
        <v>98.408167335901098</v>
      </c>
      <c r="AJ4740">
        <v>47.652580881745997</v>
      </c>
      <c r="AK4740">
        <v>7.5684005974524604</v>
      </c>
      <c r="AL4740">
        <v>95.205054223396104</v>
      </c>
      <c r="AM4740">
        <v>78.374711934041699</v>
      </c>
      <c r="AN4740">
        <v>1.00000000401731</v>
      </c>
    </row>
    <row r="4741" spans="1:40" x14ac:dyDescent="0.25">
      <c r="A4741" t="str">
        <f>"20190305135025343"</f>
        <v>20190305135025343</v>
      </c>
      <c r="B4741" t="str">
        <f>"1551765025334864"</f>
        <v>1551765025334864</v>
      </c>
      <c r="C4741" t="s">
        <v>40</v>
      </c>
      <c r="D4741">
        <v>4.3369220000000004</v>
      </c>
      <c r="E4741">
        <v>0.71300140000000001</v>
      </c>
      <c r="F4741" t="s">
        <v>94</v>
      </c>
      <c r="G4741">
        <v>-197.9734</v>
      </c>
      <c r="H4741" s="1">
        <v>-1.311727E-5</v>
      </c>
      <c r="I4741">
        <v>152.92259999999999</v>
      </c>
      <c r="J4741">
        <v>-192.29040000000001</v>
      </c>
      <c r="K4741">
        <v>1.1065750000000001</v>
      </c>
      <c r="L4741">
        <v>158.0359</v>
      </c>
      <c r="M4741">
        <v>-0.1000726</v>
      </c>
      <c r="N4741">
        <v>-1.19579E-2</v>
      </c>
      <c r="O4741">
        <v>-0.99490829999999997</v>
      </c>
      <c r="P4741">
        <v>-0.29867870000000002</v>
      </c>
      <c r="Q4741">
        <v>-0.10137019999999999</v>
      </c>
      <c r="R4741">
        <v>-0.94895479999999999</v>
      </c>
      <c r="S4741">
        <v>-2.5204010000000001</v>
      </c>
      <c r="T4741">
        <v>-0.48937340000000001</v>
      </c>
      <c r="U4741">
        <v>-2.3226619999999998</v>
      </c>
      <c r="V4741">
        <v>0.2015333</v>
      </c>
      <c r="W4741">
        <v>-9.1220659999999995E-2</v>
      </c>
      <c r="X4741">
        <v>0.97522470000000006</v>
      </c>
      <c r="Y4741">
        <v>0.65672529999999996</v>
      </c>
      <c r="Z4741">
        <v>0.13465869999999999</v>
      </c>
      <c r="AA4741">
        <v>0.74200999999999995</v>
      </c>
      <c r="AB4741">
        <v>23</v>
      </c>
      <c r="AC4741">
        <v>-5.6829999999999901</v>
      </c>
      <c r="AD4741">
        <v>-1.1065881172700001</v>
      </c>
      <c r="AE4741">
        <v>-5.1132999999999997</v>
      </c>
      <c r="AF4741">
        <v>5.0371864762360596</v>
      </c>
      <c r="AG4741">
        <v>-1.1065881172700001</v>
      </c>
      <c r="AH4741">
        <v>5.54029612819257</v>
      </c>
      <c r="AI4741">
        <v>98.406562452955896</v>
      </c>
      <c r="AJ4741">
        <v>47.723176390022203</v>
      </c>
      <c r="AK4741">
        <v>7.5691919017636398</v>
      </c>
      <c r="AL4741">
        <v>95.233834397882902</v>
      </c>
      <c r="AM4741">
        <v>78.324002429170207</v>
      </c>
      <c r="AN4741">
        <v>1.0000000476549</v>
      </c>
    </row>
    <row r="4742" spans="1:40" x14ac:dyDescent="0.25">
      <c r="A4742" t="str">
        <f>"20190305135025359"</f>
        <v>20190305135025359</v>
      </c>
      <c r="B4742" t="str">
        <f>"1551765025355360"</f>
        <v>1551765025355360</v>
      </c>
      <c r="C4742" t="s">
        <v>40</v>
      </c>
      <c r="D4742">
        <v>4.3188110000000002</v>
      </c>
      <c r="E4742">
        <v>0.71190509999999996</v>
      </c>
      <c r="F4742" t="s">
        <v>94</v>
      </c>
      <c r="G4742">
        <v>-197.96809999999999</v>
      </c>
      <c r="H4742" s="1">
        <v>-1.309457E-5</v>
      </c>
      <c r="I4742">
        <v>152.83420000000001</v>
      </c>
      <c r="J4742">
        <v>-192.30889999999999</v>
      </c>
      <c r="K4742">
        <v>1.106484</v>
      </c>
      <c r="L4742">
        <v>157.88630000000001</v>
      </c>
      <c r="M4742">
        <v>-0.1031885</v>
      </c>
      <c r="N4742">
        <v>-1.213231E-2</v>
      </c>
      <c r="O4742">
        <v>-0.99458789999999997</v>
      </c>
      <c r="P4742">
        <v>-0.30296669999999998</v>
      </c>
      <c r="Q4742">
        <v>-0.1007174</v>
      </c>
      <c r="R4742">
        <v>-0.94766410000000001</v>
      </c>
      <c r="S4742">
        <v>-2.525604</v>
      </c>
      <c r="T4742">
        <v>-0.49224479999999998</v>
      </c>
      <c r="U4742">
        <v>-2.3138890000000001</v>
      </c>
      <c r="V4742">
        <v>0.20286109999999999</v>
      </c>
      <c r="W4742">
        <v>-9.0464639999999999E-2</v>
      </c>
      <c r="X4742">
        <v>0.97501979999999999</v>
      </c>
      <c r="Y4742">
        <v>0.65644440000000004</v>
      </c>
      <c r="Z4742">
        <v>0.1355605</v>
      </c>
      <c r="AA4742">
        <v>0.74209449999999999</v>
      </c>
      <c r="AB4742">
        <v>23</v>
      </c>
      <c r="AC4742">
        <v>-5.6591999999999896</v>
      </c>
      <c r="AD4742">
        <v>-1.1064970945699999</v>
      </c>
      <c r="AE4742">
        <v>-5.0520999999999896</v>
      </c>
      <c r="AF4742">
        <v>5.00123154743891</v>
      </c>
      <c r="AG4742">
        <v>-1.1064970945699999</v>
      </c>
      <c r="AH4742">
        <v>5.4922902051613001</v>
      </c>
      <c r="AI4742">
        <v>98.472467545911698</v>
      </c>
      <c r="AJ4742">
        <v>47.6792794782301</v>
      </c>
      <c r="AK4742">
        <v>7.5101201394585404</v>
      </c>
      <c r="AL4742">
        <v>95.190337817111697</v>
      </c>
      <c r="AM4742">
        <v>78.246806875199397</v>
      </c>
      <c r="AN4742">
        <v>1.0000000436877801</v>
      </c>
    </row>
    <row r="4743" spans="1:40" x14ac:dyDescent="0.25">
      <c r="A4743" t="str">
        <f>"20190305135025370"</f>
        <v>20190305135025370</v>
      </c>
      <c r="B4743" t="str">
        <f>"1551765025365120"</f>
        <v>1551765025365120</v>
      </c>
      <c r="C4743" t="s">
        <v>40</v>
      </c>
      <c r="D4743">
        <v>4.0956530000000004</v>
      </c>
      <c r="E4743">
        <v>0.71143909999999999</v>
      </c>
      <c r="F4743" t="s">
        <v>94</v>
      </c>
      <c r="G4743">
        <v>-198.22810000000001</v>
      </c>
      <c r="H4743" s="1">
        <v>-1.3028989999999999E-5</v>
      </c>
      <c r="I4743">
        <v>152.482</v>
      </c>
      <c r="J4743">
        <v>-192.32509999999999</v>
      </c>
      <c r="K4743">
        <v>1.106406</v>
      </c>
      <c r="L4743">
        <v>157.75829999999999</v>
      </c>
      <c r="M4743">
        <v>-0.1059223</v>
      </c>
      <c r="N4743">
        <v>-1.2274780000000001E-2</v>
      </c>
      <c r="O4743">
        <v>-0.99429889999999999</v>
      </c>
      <c r="P4743">
        <v>-0.30630659999999998</v>
      </c>
      <c r="Q4743">
        <v>-0.1001334</v>
      </c>
      <c r="R4743">
        <v>-0.94665200000000005</v>
      </c>
      <c r="S4743">
        <v>-2.5272830000000002</v>
      </c>
      <c r="T4743">
        <v>-0.47243990000000002</v>
      </c>
      <c r="U4743">
        <v>-2.3074949999999999</v>
      </c>
      <c r="V4743">
        <v>0.20359540000000001</v>
      </c>
      <c r="W4743">
        <v>-8.9797370000000001E-2</v>
      </c>
      <c r="X4743">
        <v>0.97492840000000003</v>
      </c>
      <c r="Y4743">
        <v>0.65622789999999998</v>
      </c>
      <c r="Z4743">
        <v>0.12984849999999901</v>
      </c>
      <c r="AA4743">
        <v>0.74330629999999998</v>
      </c>
      <c r="AB4743">
        <v>23</v>
      </c>
      <c r="AC4743">
        <v>-5.9030000000000102</v>
      </c>
      <c r="AD4743">
        <v>-1.10641902899</v>
      </c>
      <c r="AE4743">
        <v>-5.2762999999999902</v>
      </c>
      <c r="AF4743">
        <v>5.2091386881216701</v>
      </c>
      <c r="AG4743">
        <v>-1.10641902899</v>
      </c>
      <c r="AH4743">
        <v>5.7594440148217503</v>
      </c>
      <c r="AI4743">
        <v>98.108635693025505</v>
      </c>
      <c r="AJ4743">
        <v>47.872181226361697</v>
      </c>
      <c r="AK4743">
        <v>7.8441369378449304</v>
      </c>
      <c r="AL4743">
        <v>95.151949944159995</v>
      </c>
      <c r="AM4743">
        <v>78.204378531829306</v>
      </c>
      <c r="AN4743">
        <v>1.0000000198433101</v>
      </c>
    </row>
    <row r="4744" spans="1:40" x14ac:dyDescent="0.25">
      <c r="A4744" t="str">
        <f>"20190305135025381"</f>
        <v>20190305135025381</v>
      </c>
      <c r="B4744" t="str">
        <f>"1551765025374880"</f>
        <v>1551765025374880</v>
      </c>
      <c r="C4744" t="s">
        <v>40</v>
      </c>
      <c r="D4744">
        <v>4.2897959999999999</v>
      </c>
      <c r="E4744">
        <v>0.7109799</v>
      </c>
      <c r="F4744" t="s">
        <v>94</v>
      </c>
      <c r="G4744">
        <v>-198.48269999999999</v>
      </c>
      <c r="H4744" s="1">
        <v>-1.297022E-5</v>
      </c>
      <c r="I4744">
        <v>152.15870000000001</v>
      </c>
      <c r="J4744">
        <v>-192.34139999999999</v>
      </c>
      <c r="K4744">
        <v>1.1063130000000001</v>
      </c>
      <c r="L4744">
        <v>157.63460000000001</v>
      </c>
      <c r="M4744">
        <v>-0.1087138</v>
      </c>
      <c r="N4744">
        <v>-1.2401250000000001E-2</v>
      </c>
      <c r="O4744">
        <v>-0.99399570000000004</v>
      </c>
      <c r="P4744">
        <v>-0.30916070000000001</v>
      </c>
      <c r="Q4744">
        <v>-9.867447E-2</v>
      </c>
      <c r="R4744">
        <v>-0.94587699999999997</v>
      </c>
      <c r="S4744">
        <v>-2.5312649999999999</v>
      </c>
      <c r="T4744">
        <v>-0.4548278</v>
      </c>
      <c r="U4744">
        <v>-2.3019099999999999</v>
      </c>
      <c r="V4744">
        <v>0.20377110000000001</v>
      </c>
      <c r="W4744">
        <v>-8.8268550000000001E-2</v>
      </c>
      <c r="X4744">
        <v>0.97503130000000005</v>
      </c>
      <c r="Y4744">
        <v>0.65610210000000002</v>
      </c>
      <c r="Z4744">
        <v>0.124683</v>
      </c>
      <c r="AA4744">
        <v>0.74430109999999905</v>
      </c>
      <c r="AB4744">
        <v>23</v>
      </c>
      <c r="AC4744">
        <v>-6.1413000000000002</v>
      </c>
      <c r="AD4744">
        <v>-1.1063259702199999</v>
      </c>
      <c r="AE4744">
        <v>-5.4758999999999904</v>
      </c>
      <c r="AF4744">
        <v>5.4117063213304899</v>
      </c>
      <c r="AG4744">
        <v>-1.1063259702199999</v>
      </c>
      <c r="AH4744">
        <v>6.0026148736957996</v>
      </c>
      <c r="AI4744">
        <v>97.794685075030003</v>
      </c>
      <c r="AJ4744">
        <v>47.963502472532703</v>
      </c>
      <c r="AK4744">
        <v>8.1573223414687792</v>
      </c>
      <c r="AL4744">
        <v>95.064005763156999</v>
      </c>
      <c r="AM4744">
        <v>78.195695566955195</v>
      </c>
      <c r="AN4744">
        <v>1.000000017047</v>
      </c>
    </row>
    <row r="4745" spans="1:40" x14ac:dyDescent="0.25">
      <c r="A4745" t="str">
        <f>"20190305135025394"</f>
        <v>20190305135025394</v>
      </c>
      <c r="B4745" t="str">
        <f>"1551765025384640"</f>
        <v>1551765025384640</v>
      </c>
      <c r="C4745" t="s">
        <v>40</v>
      </c>
      <c r="D4745">
        <v>4.3142129999999996</v>
      </c>
      <c r="E4745">
        <v>0.71059949999999905</v>
      </c>
      <c r="F4745" t="s">
        <v>94</v>
      </c>
      <c r="G4745">
        <v>-198.56569999999999</v>
      </c>
      <c r="H4745" s="1">
        <v>-1.2936749999999999E-5</v>
      </c>
      <c r="I4745">
        <v>151.99629999999999</v>
      </c>
      <c r="J4745">
        <v>-192.3578</v>
      </c>
      <c r="K4745">
        <v>1.1062190000000001</v>
      </c>
      <c r="L4745">
        <v>157.512</v>
      </c>
      <c r="M4745">
        <v>-0.1115424</v>
      </c>
      <c r="N4745">
        <v>-1.2522109999999999E-2</v>
      </c>
      <c r="O4745">
        <v>-0.99368100000000004</v>
      </c>
      <c r="P4745">
        <v>-0.31233379999999999</v>
      </c>
      <c r="Q4745">
        <v>-9.7712999999999994E-2</v>
      </c>
      <c r="R4745">
        <v>-0.94493380000000005</v>
      </c>
      <c r="S4745">
        <v>-2.5348510000000002</v>
      </c>
      <c r="T4745">
        <v>-0.45054949999999999</v>
      </c>
      <c r="U4745">
        <v>-2.2961580000000001</v>
      </c>
      <c r="V4745">
        <v>0.20424239999999999</v>
      </c>
      <c r="W4745">
        <v>-8.7248060000000002E-2</v>
      </c>
      <c r="X4745">
        <v>0.97502449999999996</v>
      </c>
      <c r="Y4745">
        <v>0.65553240000000002</v>
      </c>
      <c r="Z4745">
        <v>0.1234606</v>
      </c>
      <c r="AA4745">
        <v>0.74500659999999996</v>
      </c>
      <c r="AB4745">
        <v>23</v>
      </c>
      <c r="AC4745">
        <v>-6.2078999999999898</v>
      </c>
      <c r="AD4745">
        <v>-1.10623193675</v>
      </c>
      <c r="AE4745">
        <v>-5.5157000000000096</v>
      </c>
      <c r="AF4745">
        <v>5.45703411698147</v>
      </c>
      <c r="AG4745">
        <v>-1.10623193675</v>
      </c>
      <c r="AH4745">
        <v>6.0661264092594598</v>
      </c>
      <c r="AI4745">
        <v>97.720872819562103</v>
      </c>
      <c r="AJ4745">
        <v>48.025729805231499</v>
      </c>
      <c r="AK4745">
        <v>8.2341277658839207</v>
      </c>
      <c r="AL4745">
        <v>95.005309721628095</v>
      </c>
      <c r="AM4745">
        <v>78.169081943405899</v>
      </c>
      <c r="AN4745">
        <v>0.99999997876588598</v>
      </c>
    </row>
    <row r="4746" spans="1:40" x14ac:dyDescent="0.25">
      <c r="A4746" t="str">
        <f>"20190305135025405"</f>
        <v>20190305135025405</v>
      </c>
      <c r="B4746" t="str">
        <f>"1551765025395377"</f>
        <v>1551765025395377</v>
      </c>
      <c r="C4746" t="s">
        <v>40</v>
      </c>
      <c r="D4746">
        <v>4.3190569999999999</v>
      </c>
      <c r="E4746">
        <v>0.7102387</v>
      </c>
      <c r="F4746" t="s">
        <v>94</v>
      </c>
      <c r="G4746">
        <v>-198.61879999999999</v>
      </c>
      <c r="H4746" s="1">
        <v>-1.290947E-5</v>
      </c>
      <c r="I4746">
        <v>151.86920000000001</v>
      </c>
      <c r="J4746">
        <v>-192.37450000000001</v>
      </c>
      <c r="K4746">
        <v>1.106112</v>
      </c>
      <c r="L4746">
        <v>157.39060000000001</v>
      </c>
      <c r="M4746">
        <v>-0.11444940000000001</v>
      </c>
      <c r="N4746">
        <v>-1.263532E-2</v>
      </c>
      <c r="O4746">
        <v>-0.99334880000000003</v>
      </c>
      <c r="P4746">
        <v>-0.31535960000000002</v>
      </c>
      <c r="Q4746">
        <v>-9.6749310000000005E-2</v>
      </c>
      <c r="R4746">
        <v>-0.94402770000000003</v>
      </c>
      <c r="S4746">
        <v>-2.5397340000000002</v>
      </c>
      <c r="T4746">
        <v>-0.44873390000000002</v>
      </c>
      <c r="U4746">
        <v>-2.2889710000000001</v>
      </c>
      <c r="V4746">
        <v>0.20448640000000001</v>
      </c>
      <c r="W4746">
        <v>-8.6232980000000001E-2</v>
      </c>
      <c r="X4746">
        <v>0.97506369999999998</v>
      </c>
      <c r="Y4746">
        <v>0.65525469999999997</v>
      </c>
      <c r="Z4746">
        <v>0.1229769</v>
      </c>
      <c r="AA4746">
        <v>0.74533090000000002</v>
      </c>
      <c r="AB4746">
        <v>23</v>
      </c>
      <c r="AC4746">
        <v>-6.2442999999999804</v>
      </c>
      <c r="AD4746">
        <v>-1.1061249094700001</v>
      </c>
      <c r="AE4746">
        <v>-5.5213999999999999</v>
      </c>
      <c r="AF4746">
        <v>5.4748771600638202</v>
      </c>
      <c r="AG4746">
        <v>-1.1061249094700001</v>
      </c>
      <c r="AH4746">
        <v>6.0925356028555502</v>
      </c>
      <c r="AI4746">
        <v>97.690738176435104</v>
      </c>
      <c r="AJ4746">
        <v>48.056486912253703</v>
      </c>
      <c r="AK4746">
        <v>8.2653966816603006</v>
      </c>
      <c r="AL4746">
        <v>94.946929691887902</v>
      </c>
      <c r="AM4746">
        <v>78.155809800102006</v>
      </c>
      <c r="AN4746">
        <v>1.00000001684116</v>
      </c>
    </row>
    <row r="4747" spans="1:40" x14ac:dyDescent="0.25">
      <c r="A4747" t="str">
        <f>"20190305135025417"</f>
        <v>20190305135025417</v>
      </c>
      <c r="B4747" t="str">
        <f>"1551765025414897"</f>
        <v>1551765025414897</v>
      </c>
      <c r="C4747" t="s">
        <v>40</v>
      </c>
      <c r="D4747">
        <v>4.2785840000000004</v>
      </c>
      <c r="E4747">
        <v>0.70966989999999996</v>
      </c>
      <c r="F4747" t="s">
        <v>94</v>
      </c>
      <c r="G4747">
        <v>-198.6712</v>
      </c>
      <c r="H4747" s="1">
        <v>-1.288223E-5</v>
      </c>
      <c r="I4747">
        <v>151.74250000000001</v>
      </c>
      <c r="J4747">
        <v>-192.3914</v>
      </c>
      <c r="K4747">
        <v>1.106001</v>
      </c>
      <c r="L4747">
        <v>157.27199999999999</v>
      </c>
      <c r="M4747">
        <v>-0.1174105</v>
      </c>
      <c r="N4747">
        <v>-1.274019E-2</v>
      </c>
      <c r="O4747">
        <v>-0.99300180000000005</v>
      </c>
      <c r="P4747">
        <v>-0.3182779</v>
      </c>
      <c r="Q4747">
        <v>-9.5869469999999998E-2</v>
      </c>
      <c r="R4747">
        <v>-0.94313749999999996</v>
      </c>
      <c r="S4747">
        <v>-2.5442049999999998</v>
      </c>
      <c r="T4747">
        <v>-0.44693899999999998</v>
      </c>
      <c r="U4747">
        <v>-2.282181</v>
      </c>
      <c r="V4747">
        <v>0.204568</v>
      </c>
      <c r="W4747">
        <v>-8.5311059999999994E-2</v>
      </c>
      <c r="X4747">
        <v>0.97512770000000004</v>
      </c>
      <c r="Y4747">
        <v>0.65481129999999999</v>
      </c>
      <c r="Z4747">
        <v>0.122506</v>
      </c>
      <c r="AA4747">
        <v>0.74579790000000001</v>
      </c>
      <c r="AB4747">
        <v>23</v>
      </c>
      <c r="AC4747">
        <v>-6.2797999999999901</v>
      </c>
      <c r="AD4747">
        <v>-1.1060138822299901</v>
      </c>
      <c r="AE4747">
        <v>-5.5295000000000103</v>
      </c>
      <c r="AF4747">
        <v>5.4911409068255299</v>
      </c>
      <c r="AG4747">
        <v>-1.1060138822299901</v>
      </c>
      <c r="AH4747">
        <v>6.1216627567574102</v>
      </c>
      <c r="AI4747">
        <v>97.659909951347103</v>
      </c>
      <c r="AJ4747">
        <v>48.1078458446705</v>
      </c>
      <c r="AK4747">
        <v>8.2976291839156602</v>
      </c>
      <c r="AL4747">
        <v>94.893912084079702</v>
      </c>
      <c r="AM4747">
        <v>78.151972657493204</v>
      </c>
      <c r="AN4747">
        <v>1.0000000374447999</v>
      </c>
    </row>
    <row r="4748" spans="1:40" x14ac:dyDescent="0.25">
      <c r="A4748" t="str">
        <f>"20190305135025429"</f>
        <v>20190305135025429</v>
      </c>
      <c r="B4748" t="str">
        <f>"1551765025424656"</f>
        <v>1551765025424656</v>
      </c>
      <c r="C4748" t="s">
        <v>40</v>
      </c>
      <c r="D4748">
        <v>4.3613160000000004</v>
      </c>
      <c r="E4748">
        <v>0.70935760000000003</v>
      </c>
      <c r="F4748" t="s">
        <v>94</v>
      </c>
      <c r="G4748">
        <v>-198.7038</v>
      </c>
      <c r="H4748" s="1">
        <v>-1.2857170000000001E-5</v>
      </c>
      <c r="I4748">
        <v>151.63140000000001</v>
      </c>
      <c r="J4748">
        <v>-192.4102</v>
      </c>
      <c r="K4748">
        <v>1.1058699999999999</v>
      </c>
      <c r="L4748">
        <v>157.14240000000001</v>
      </c>
      <c r="M4748">
        <v>-0.12071510000000001</v>
      </c>
      <c r="N4748">
        <v>-1.2851039999999999E-2</v>
      </c>
      <c r="O4748">
        <v>-0.99260429999999999</v>
      </c>
      <c r="P4748">
        <v>-0.3216772</v>
      </c>
      <c r="Q4748">
        <v>-9.5425289999999996E-2</v>
      </c>
      <c r="R4748">
        <v>-0.94202900000000001</v>
      </c>
      <c r="S4748">
        <v>-2.5469970000000002</v>
      </c>
      <c r="T4748">
        <v>-0.44627020000000001</v>
      </c>
      <c r="U4748">
        <v>-2.27597</v>
      </c>
      <c r="V4748">
        <v>0.20480979999999999</v>
      </c>
      <c r="W4748">
        <v>-8.4829429999999997E-2</v>
      </c>
      <c r="X4748">
        <v>0.97511890000000001</v>
      </c>
      <c r="Y4748">
        <v>0.65373519999999996</v>
      </c>
      <c r="Z4748">
        <v>0.1223997</v>
      </c>
      <c r="AA4748">
        <v>0.74675879999999994</v>
      </c>
      <c r="AB4748">
        <v>23</v>
      </c>
      <c r="AC4748">
        <v>-6.2935999999999899</v>
      </c>
      <c r="AD4748">
        <v>-1.1058828571699999</v>
      </c>
      <c r="AE4748">
        <v>-5.5109999999999904</v>
      </c>
      <c r="AF4748">
        <v>5.4863732101627196</v>
      </c>
      <c r="AG4748">
        <v>-1.1058828571699999</v>
      </c>
      <c r="AH4748">
        <v>6.1234739482176703</v>
      </c>
      <c r="AI4748">
        <v>97.660701380678304</v>
      </c>
      <c r="AJ4748">
        <v>48.141006726982397</v>
      </c>
      <c r="AK4748">
        <v>8.2957941807565501</v>
      </c>
      <c r="AL4748">
        <v>94.866216611373304</v>
      </c>
      <c r="AM4748">
        <v>78.138260744945399</v>
      </c>
      <c r="AN4748">
        <v>0.99999997775368699</v>
      </c>
    </row>
    <row r="4749" spans="1:40" x14ac:dyDescent="0.25">
      <c r="A4749" t="str">
        <f>"20190305135025441"</f>
        <v>20190305135025441</v>
      </c>
      <c r="B4749" t="str">
        <f>"1551765025435393"</f>
        <v>1551765025435393</v>
      </c>
      <c r="C4749" t="s">
        <v>40</v>
      </c>
      <c r="D4749">
        <v>4.3064030000000004</v>
      </c>
      <c r="E4749">
        <v>0.70911749999999996</v>
      </c>
      <c r="F4749" t="s">
        <v>94</v>
      </c>
      <c r="G4749">
        <v>-198.73429999999999</v>
      </c>
      <c r="H4749" s="1">
        <v>-1.2833000000000001E-5</v>
      </c>
      <c r="I4749">
        <v>151.52459999999999</v>
      </c>
      <c r="J4749">
        <v>-192.42760000000001</v>
      </c>
      <c r="K4749">
        <v>1.105745</v>
      </c>
      <c r="L4749">
        <v>157.0282</v>
      </c>
      <c r="M4749">
        <v>-0.1238263</v>
      </c>
      <c r="N4749">
        <v>-1.2942240000000001E-2</v>
      </c>
      <c r="O4749">
        <v>-0.99221950000000003</v>
      </c>
      <c r="P4749">
        <v>-0.3251655</v>
      </c>
      <c r="Q4749">
        <v>-9.5167509999999997E-2</v>
      </c>
      <c r="R4749">
        <v>-0.94085629999999998</v>
      </c>
      <c r="S4749">
        <v>-2.5527950000000001</v>
      </c>
      <c r="T4749">
        <v>-0.44640039999999997</v>
      </c>
      <c r="U4749">
        <v>-2.2676850000000002</v>
      </c>
      <c r="V4749">
        <v>0.2053372</v>
      </c>
      <c r="W4749">
        <v>-8.4556909999999999E-2</v>
      </c>
      <c r="X4749">
        <v>0.97503169999999995</v>
      </c>
      <c r="Y4749">
        <v>0.65356059999999905</v>
      </c>
      <c r="Z4749">
        <v>0.1225179</v>
      </c>
      <c r="AA4749">
        <v>0.74689220000000001</v>
      </c>
      <c r="AB4749">
        <v>23</v>
      </c>
      <c r="AC4749">
        <v>-6.30669999999997</v>
      </c>
      <c r="AD4749">
        <v>-1.105757833</v>
      </c>
      <c r="AE4749">
        <v>-5.5035999999999996</v>
      </c>
      <c r="AF4749">
        <v>5.4809582341593304</v>
      </c>
      <c r="AG4749">
        <v>-1.105757833</v>
      </c>
      <c r="AH4749">
        <v>6.1351714684729197</v>
      </c>
      <c r="AI4749">
        <v>97.655146711799802</v>
      </c>
      <c r="AJ4749">
        <v>48.2234575809183</v>
      </c>
      <c r="AK4749">
        <v>8.3008392646408904</v>
      </c>
      <c r="AL4749">
        <v>94.850545825719806</v>
      </c>
      <c r="AM4749">
        <v>78.107551254679393</v>
      </c>
      <c r="AN4749">
        <v>1.0000000263687301</v>
      </c>
    </row>
    <row r="4750" spans="1:40" x14ac:dyDescent="0.25">
      <c r="A4750" t="str">
        <f>"20190305135025453"</f>
        <v>20190305135025453</v>
      </c>
      <c r="B4750" t="str">
        <f>"1551765025445153"</f>
        <v>1551765025445153</v>
      </c>
      <c r="C4750" t="s">
        <v>40</v>
      </c>
      <c r="D4750">
        <v>3.9411689999999999</v>
      </c>
      <c r="E4750">
        <v>0.70879349999999997</v>
      </c>
      <c r="F4750" t="s">
        <v>94</v>
      </c>
      <c r="G4750">
        <v>-198.7577</v>
      </c>
      <c r="H4750" s="1">
        <v>-1.281418E-5</v>
      </c>
      <c r="I4750">
        <v>151.44149999999999</v>
      </c>
      <c r="J4750">
        <v>-192.44759999999999</v>
      </c>
      <c r="K4750">
        <v>1.1055980000000001</v>
      </c>
      <c r="L4750">
        <v>156.89840000000001</v>
      </c>
      <c r="M4750">
        <v>-0.1274286</v>
      </c>
      <c r="N4750">
        <v>-1.304347E-2</v>
      </c>
      <c r="O4750">
        <v>-0.99176189999999997</v>
      </c>
      <c r="P4750">
        <v>-0.32890049999999998</v>
      </c>
      <c r="Q4750">
        <v>-9.5338629999999994E-2</v>
      </c>
      <c r="R4750">
        <v>-0.93954000000000004</v>
      </c>
      <c r="S4750">
        <v>-2.5594480000000002</v>
      </c>
      <c r="T4750">
        <v>-0.44708629999999999</v>
      </c>
      <c r="U4750">
        <v>-2.2588200000000001</v>
      </c>
      <c r="V4750">
        <v>0.20563780000000001</v>
      </c>
      <c r="W4750">
        <v>-8.4713609999999995E-2</v>
      </c>
      <c r="X4750">
        <v>0.97495469999999895</v>
      </c>
      <c r="Y4750">
        <v>0.6532173</v>
      </c>
      <c r="Z4750">
        <v>0.1227968</v>
      </c>
      <c r="AA4750">
        <v>0.74714669999999905</v>
      </c>
      <c r="AB4750">
        <v>23</v>
      </c>
      <c r="AC4750">
        <v>-6.3101000000000003</v>
      </c>
      <c r="AD4750">
        <v>-1.1056108141799901</v>
      </c>
      <c r="AE4750">
        <v>-5.4569000000000099</v>
      </c>
      <c r="AF4750">
        <v>5.4671989268711503</v>
      </c>
      <c r="AG4750">
        <v>-1.1056108141799901</v>
      </c>
      <c r="AH4750">
        <v>6.10925844509178</v>
      </c>
      <c r="AI4750">
        <v>97.680421331104696</v>
      </c>
      <c r="AJ4750">
        <v>48.174516046692801</v>
      </c>
      <c r="AK4750">
        <v>8.2725859395559098</v>
      </c>
      <c r="AL4750">
        <v>94.859556611559796</v>
      </c>
      <c r="AM4750">
        <v>78.089724578673895</v>
      </c>
      <c r="AN4750">
        <v>0.99999998378008004</v>
      </c>
    </row>
    <row r="4751" spans="1:40" x14ac:dyDescent="0.25">
      <c r="A4751" t="str">
        <f>"20190305135025466"</f>
        <v>20190305135025466</v>
      </c>
      <c r="B4751" t="str">
        <f>"1551765025454912"</f>
        <v>1551765025454912</v>
      </c>
      <c r="C4751" t="s">
        <v>40</v>
      </c>
      <c r="D4751">
        <v>4.3149040000000003</v>
      </c>
      <c r="E4751">
        <v>0.70857289999999995</v>
      </c>
      <c r="F4751" t="s">
        <v>94</v>
      </c>
      <c r="G4751">
        <v>-198.91139999999999</v>
      </c>
      <c r="H4751" s="1">
        <v>-1.2774379999999999E-5</v>
      </c>
      <c r="I4751">
        <v>151.22919999999999</v>
      </c>
      <c r="J4751">
        <v>-192.46940000000001</v>
      </c>
      <c r="K4751">
        <v>1.105421</v>
      </c>
      <c r="L4751">
        <v>156.76179999999999</v>
      </c>
      <c r="M4751">
        <v>-0.13141410000000001</v>
      </c>
      <c r="N4751">
        <v>-1.314539E-2</v>
      </c>
      <c r="O4751">
        <v>-0.99124040000000002</v>
      </c>
      <c r="P4751">
        <v>-0.3331209</v>
      </c>
      <c r="Q4751">
        <v>-9.482343E-2</v>
      </c>
      <c r="R4751">
        <v>-0.93810400000000005</v>
      </c>
      <c r="S4751">
        <v>-2.56575</v>
      </c>
      <c r="T4751">
        <v>-0.43885679999999999</v>
      </c>
      <c r="U4751">
        <v>-2.2503359999999999</v>
      </c>
      <c r="V4751">
        <v>0.20606289999999999</v>
      </c>
      <c r="W4751">
        <v>-8.4196279999999998E-2</v>
      </c>
      <c r="X4751">
        <v>0.97490980000000005</v>
      </c>
      <c r="Y4751">
        <v>0.65272050000000004</v>
      </c>
      <c r="Z4751">
        <v>0.12042799999999999</v>
      </c>
      <c r="AA4751">
        <v>0.74796589999999996</v>
      </c>
      <c r="AB4751">
        <v>23</v>
      </c>
      <c r="AC4751">
        <v>-6.44199999999997</v>
      </c>
      <c r="AD4751">
        <v>-1.10543377438</v>
      </c>
      <c r="AE4751">
        <v>-5.5326000000000004</v>
      </c>
      <c r="AF4751">
        <v>5.5646967527510398</v>
      </c>
      <c r="AG4751">
        <v>-1.10543377438</v>
      </c>
      <c r="AH4751">
        <v>6.2257496762148401</v>
      </c>
      <c r="AI4751">
        <v>97.541201748907497</v>
      </c>
      <c r="AJ4751">
        <v>48.209032867797802</v>
      </c>
      <c r="AK4751">
        <v>8.4230512767350003</v>
      </c>
      <c r="AL4751">
        <v>94.829809306946501</v>
      </c>
      <c r="AM4751">
        <v>78.065274743257206</v>
      </c>
      <c r="AN4751">
        <v>1.0000000252291401</v>
      </c>
    </row>
    <row r="4752" spans="1:40" x14ac:dyDescent="0.25">
      <c r="A4752" t="str">
        <f>"20190305135025482"</f>
        <v>20190305135025482</v>
      </c>
      <c r="B4752" t="str">
        <f>"1551765025475408"</f>
        <v>1551765025475408</v>
      </c>
      <c r="C4752" t="s">
        <v>40</v>
      </c>
      <c r="D4752">
        <v>4.1826109999999996</v>
      </c>
      <c r="E4752">
        <v>0.70829160000000002</v>
      </c>
      <c r="F4752" t="s">
        <v>94</v>
      </c>
      <c r="G4752">
        <v>-198.97</v>
      </c>
      <c r="H4752" s="1">
        <v>-1.274876E-5</v>
      </c>
      <c r="I4752">
        <v>151.10669999999999</v>
      </c>
      <c r="J4752">
        <v>-192.49639999999999</v>
      </c>
      <c r="K4752">
        <v>1.1052169999999999</v>
      </c>
      <c r="L4752">
        <v>156.5994</v>
      </c>
      <c r="M4752">
        <v>-0.13638919999999999</v>
      </c>
      <c r="N4752">
        <v>-1.3261820000000001E-2</v>
      </c>
      <c r="O4752">
        <v>-0.99056670000000002</v>
      </c>
      <c r="P4752">
        <v>-0.33876230000000002</v>
      </c>
      <c r="Q4752">
        <v>-9.3364639999999999E-2</v>
      </c>
      <c r="R4752">
        <v>-0.93622830000000001</v>
      </c>
      <c r="S4752">
        <v>-2.5743710000000002</v>
      </c>
      <c r="T4752">
        <v>-0.43777450000000001</v>
      </c>
      <c r="U4752">
        <v>-2.2395480000000001</v>
      </c>
      <c r="V4752">
        <v>0.206987</v>
      </c>
      <c r="W4752">
        <v>-8.2747879999999996E-2</v>
      </c>
      <c r="X4752">
        <v>0.97483799999999998</v>
      </c>
      <c r="Y4752">
        <v>0.651983599999999</v>
      </c>
      <c r="Z4752">
        <v>0.1201938</v>
      </c>
      <c r="AA4752">
        <v>0.74864600000000003</v>
      </c>
      <c r="AB4752">
        <v>23</v>
      </c>
      <c r="AC4752">
        <v>-6.4736000000000002</v>
      </c>
      <c r="AD4752">
        <v>-1.10522974876</v>
      </c>
      <c r="AE4752">
        <v>-5.4927000000000099</v>
      </c>
      <c r="AF4752">
        <v>5.5694956329723802</v>
      </c>
      <c r="AG4752">
        <v>-1.10522974876</v>
      </c>
      <c r="AH4752">
        <v>6.2189737705443404</v>
      </c>
      <c r="AI4752">
        <v>97.5414775313414</v>
      </c>
      <c r="AJ4752">
        <v>48.153486004426398</v>
      </c>
      <c r="AK4752">
        <v>8.4211904836525999</v>
      </c>
      <c r="AL4752">
        <v>94.746531689115699</v>
      </c>
      <c r="AM4752">
        <v>78.012440291741896</v>
      </c>
      <c r="AN4752">
        <v>0.99999997802874696</v>
      </c>
    </row>
    <row r="4753" spans="1:40" x14ac:dyDescent="0.25">
      <c r="A4753" t="str">
        <f>"20190305135025496"</f>
        <v>20190305135025496</v>
      </c>
      <c r="B4753" t="str">
        <f>"1551765025485170"</f>
        <v>1551765025485170</v>
      </c>
      <c r="C4753" t="s">
        <v>40</v>
      </c>
      <c r="D4753">
        <v>4.1782260000000004</v>
      </c>
      <c r="E4753">
        <v>0.67659609999999903</v>
      </c>
      <c r="F4753" t="s">
        <v>94</v>
      </c>
      <c r="G4753">
        <v>-199.0883</v>
      </c>
      <c r="H4753" s="1">
        <v>-1.2713930000000001E-5</v>
      </c>
      <c r="I4753">
        <v>150.92660000000001</v>
      </c>
      <c r="J4753">
        <v>-192.52180000000001</v>
      </c>
      <c r="K4753">
        <v>1.105016</v>
      </c>
      <c r="L4753">
        <v>156.45240000000001</v>
      </c>
      <c r="M4753">
        <v>-0.14107999999999901</v>
      </c>
      <c r="N4753">
        <v>-1.3362829999999999E-2</v>
      </c>
      <c r="O4753">
        <v>-0.98990800000000001</v>
      </c>
      <c r="P4753">
        <v>-0.34400330000000001</v>
      </c>
      <c r="Q4753">
        <v>-9.2443449999999996E-2</v>
      </c>
      <c r="R4753">
        <v>-0.93440719999999999</v>
      </c>
      <c r="S4753">
        <v>-2.5859679999999998</v>
      </c>
      <c r="T4753">
        <v>-0.4335772</v>
      </c>
      <c r="U4753">
        <v>-2.2254179999999999</v>
      </c>
      <c r="V4753">
        <v>0.207788</v>
      </c>
      <c r="W4753">
        <v>-8.1843089999999993E-2</v>
      </c>
      <c r="X4753">
        <v>0.97474400000000005</v>
      </c>
      <c r="Y4753">
        <v>0.65252900000000003</v>
      </c>
      <c r="Z4753">
        <v>0.1190426</v>
      </c>
      <c r="AA4753">
        <v>0.74835469999999904</v>
      </c>
      <c r="AB4753">
        <v>23</v>
      </c>
      <c r="AC4753">
        <v>-6.5664999999999898</v>
      </c>
      <c r="AD4753">
        <v>-1.1050287139299999</v>
      </c>
      <c r="AE4753">
        <v>-5.5258000000000003</v>
      </c>
      <c r="AF4753">
        <v>5.6278584773864804</v>
      </c>
      <c r="AG4753">
        <v>-1.1050287139299999</v>
      </c>
      <c r="AH4753">
        <v>6.2926812593198704</v>
      </c>
      <c r="AI4753">
        <v>97.457252546770704</v>
      </c>
      <c r="AJ4753">
        <v>48.192147357946602</v>
      </c>
      <c r="AK4753">
        <v>8.5142067705392392</v>
      </c>
      <c r="AL4753">
        <v>94.694514467877497</v>
      </c>
      <c r="AM4753">
        <v>77.9662736830429</v>
      </c>
      <c r="AN4753">
        <v>1.0000000049303699</v>
      </c>
    </row>
    <row r="4754" spans="1:40" x14ac:dyDescent="0.25">
      <c r="A4754" t="str">
        <f>"20190305135025511"</f>
        <v>20190305135025511</v>
      </c>
      <c r="B4754" t="str">
        <f>"1551765025504689"</f>
        <v>1551765025504689</v>
      </c>
      <c r="C4754" t="s">
        <v>40</v>
      </c>
      <c r="D4754">
        <v>4.2219569999999997</v>
      </c>
      <c r="E4754">
        <v>0.65871329999999995</v>
      </c>
      <c r="F4754" t="s">
        <v>96</v>
      </c>
      <c r="G4754">
        <v>-229.6514</v>
      </c>
      <c r="H4754">
        <v>0.97101879999999996</v>
      </c>
      <c r="I4754">
        <v>119.3841</v>
      </c>
      <c r="J4754">
        <v>-192.5498</v>
      </c>
      <c r="K4754">
        <v>1.1047979999999999</v>
      </c>
      <c r="L4754">
        <v>156.2953</v>
      </c>
      <c r="M4754">
        <v>-0.14629909999999999</v>
      </c>
      <c r="N4754">
        <v>-1.3466189999999999E-2</v>
      </c>
      <c r="O4754">
        <v>-0.98914899999999994</v>
      </c>
      <c r="P4754">
        <v>-0.34991230000000001</v>
      </c>
      <c r="Q4754">
        <v>-9.2268409999999995E-2</v>
      </c>
      <c r="R4754">
        <v>-0.93222769999999999</v>
      </c>
      <c r="S4754">
        <v>-2.3488920000000002</v>
      </c>
      <c r="T4754">
        <v>-8.476496E-3</v>
      </c>
      <c r="U4754">
        <v>-2.3450160000000002</v>
      </c>
      <c r="V4754">
        <v>0.20877290000000001</v>
      </c>
      <c r="W4754">
        <v>-8.1695309999999993E-2</v>
      </c>
      <c r="X4754">
        <v>0.97454589999999996</v>
      </c>
      <c r="Y4754">
        <v>0.59661009999999903</v>
      </c>
      <c r="Z4754">
        <v>-1.001894E-2</v>
      </c>
      <c r="AA4754">
        <v>0.80246870000000003</v>
      </c>
      <c r="AB4754">
        <v>23</v>
      </c>
      <c r="AC4754">
        <v>-37.101599999999898</v>
      </c>
      <c r="AD4754">
        <v>-0.13377919999999999</v>
      </c>
      <c r="AE4754">
        <v>-36.911200000000001</v>
      </c>
      <c r="AF4754">
        <v>31.301560932249998</v>
      </c>
      <c r="AG4754">
        <v>-0.13377919999999999</v>
      </c>
      <c r="AH4754">
        <v>41.942125575687598</v>
      </c>
      <c r="AI4754">
        <v>90.146460274950599</v>
      </c>
      <c r="AJ4754">
        <v>53.265885992035201</v>
      </c>
      <c r="AK4754">
        <v>52.334954967750399</v>
      </c>
      <c r="AL4754">
        <v>94.686018968504698</v>
      </c>
      <c r="AM4754">
        <v>77.908523687413506</v>
      </c>
      <c r="AN4754">
        <v>0.99999997932860696</v>
      </c>
    </row>
    <row r="4755" spans="1:40" x14ac:dyDescent="0.25">
      <c r="A4755" t="str">
        <f>"20190305135025527"</f>
        <v>20190305135025527</v>
      </c>
      <c r="B4755" t="str">
        <f>"1551765025515424"</f>
        <v>1551765025515424</v>
      </c>
      <c r="C4755" t="s">
        <v>40</v>
      </c>
      <c r="D4755">
        <v>4.2277639999999996</v>
      </c>
      <c r="E4755">
        <v>0.65492109999999903</v>
      </c>
      <c r="F4755" t="s">
        <v>43</v>
      </c>
      <c r="G4755">
        <v>-229.05080000000001</v>
      </c>
      <c r="H4755">
        <v>-0.05</v>
      </c>
      <c r="I4755">
        <v>117.47580000000001</v>
      </c>
      <c r="J4755">
        <v>-192.57910000000001</v>
      </c>
      <c r="K4755">
        <v>1.1045879999999999</v>
      </c>
      <c r="L4755">
        <v>156.13810000000001</v>
      </c>
      <c r="M4755">
        <v>-0.15179489999999901</v>
      </c>
      <c r="N4755">
        <v>-1.356426E-2</v>
      </c>
      <c r="O4755">
        <v>-0.98831899999999995</v>
      </c>
      <c r="P4755">
        <v>-0.3575489</v>
      </c>
      <c r="Q4755">
        <v>-9.3378909999999996E-2</v>
      </c>
      <c r="R4755">
        <v>-0.92921430000000005</v>
      </c>
      <c r="S4755">
        <v>-2.2317049999999998</v>
      </c>
      <c r="T4755">
        <v>-7.0605520000000005E-2</v>
      </c>
      <c r="U4755">
        <v>-2.373459</v>
      </c>
      <c r="V4755">
        <v>0.21130760000000001</v>
      </c>
      <c r="W4755">
        <v>-8.2863899999999893E-2</v>
      </c>
      <c r="X4755">
        <v>0.97390069999999995</v>
      </c>
      <c r="Y4755">
        <v>0.56633290000000003</v>
      </c>
      <c r="Z4755">
        <v>9.6714980000000006E-3</v>
      </c>
      <c r="AA4755">
        <v>0.82411979999999996</v>
      </c>
      <c r="AB4755">
        <v>23</v>
      </c>
      <c r="AC4755">
        <v>-36.471699999999998</v>
      </c>
      <c r="AD4755">
        <v>-1.1545879999999999</v>
      </c>
      <c r="AE4755">
        <v>-38.662300000000002</v>
      </c>
      <c r="AF4755">
        <v>30.1654738703606</v>
      </c>
      <c r="AG4755">
        <v>-1.1545879999999999</v>
      </c>
      <c r="AH4755">
        <v>43.730290045550198</v>
      </c>
      <c r="AI4755">
        <v>91.245031030143906</v>
      </c>
      <c r="AJ4755">
        <v>55.401804395379401</v>
      </c>
      <c r="AK4755">
        <v>53.137812852441499</v>
      </c>
      <c r="AL4755">
        <v>94.753202184342399</v>
      </c>
      <c r="AM4755">
        <v>77.758257429806307</v>
      </c>
      <c r="AN4755">
        <v>0.99999995060072799</v>
      </c>
    </row>
    <row r="4756" spans="1:40" x14ac:dyDescent="0.25">
      <c r="A4756" t="str">
        <f>"20190305135025542"</f>
        <v>20190305135025542</v>
      </c>
      <c r="B4756" t="str">
        <f>"1551765025534944"</f>
        <v>1551765025534944</v>
      </c>
      <c r="C4756" t="s">
        <v>40</v>
      </c>
      <c r="D4756">
        <v>4.2006709999999998</v>
      </c>
      <c r="E4756">
        <v>0.65063599999999999</v>
      </c>
      <c r="F4756" t="s">
        <v>43</v>
      </c>
      <c r="G4756">
        <v>-231.57419999999999</v>
      </c>
      <c r="H4756">
        <v>-0.05</v>
      </c>
      <c r="I4756">
        <v>114.61839999999999</v>
      </c>
      <c r="J4756">
        <v>-192.60980000000001</v>
      </c>
      <c r="K4756">
        <v>1.1043780000000001</v>
      </c>
      <c r="L4756">
        <v>155.9804</v>
      </c>
      <c r="M4756">
        <v>-0.15754960000000001</v>
      </c>
      <c r="N4756">
        <v>-1.3658200000000001E-2</v>
      </c>
      <c r="O4756">
        <v>-0.98741679999999998</v>
      </c>
      <c r="P4756">
        <v>-0.36395260000000001</v>
      </c>
      <c r="Q4756">
        <v>-9.4365610000000003E-2</v>
      </c>
      <c r="R4756">
        <v>-0.92662529999999999</v>
      </c>
      <c r="S4756">
        <v>-2.2227329999999998</v>
      </c>
      <c r="T4756">
        <v>-6.5811869999999995E-2</v>
      </c>
      <c r="U4756">
        <v>-2.366638</v>
      </c>
      <c r="V4756">
        <v>0.21231430000000001</v>
      </c>
      <c r="W4756">
        <v>-8.3886150000000007E-2</v>
      </c>
      <c r="X4756">
        <v>0.97359419999999997</v>
      </c>
      <c r="Y4756">
        <v>0.56106099999999903</v>
      </c>
      <c r="Z4756">
        <v>8.1675879999999999E-3</v>
      </c>
      <c r="AA4756">
        <v>0.82773419999999898</v>
      </c>
      <c r="AB4756">
        <v>23</v>
      </c>
      <c r="AC4756">
        <v>-38.964399999999898</v>
      </c>
      <c r="AD4756">
        <v>-1.1543779999999999</v>
      </c>
      <c r="AE4756">
        <v>-41.362000000000002</v>
      </c>
      <c r="AF4756">
        <v>31.947327749445101</v>
      </c>
      <c r="AG4756">
        <v>-1.1543779999999999</v>
      </c>
      <c r="AH4756">
        <v>46.965351407412001</v>
      </c>
      <c r="AI4756">
        <v>91.164269188420903</v>
      </c>
      <c r="AJ4756">
        <v>55.775215234376297</v>
      </c>
      <c r="AK4756">
        <v>56.812926097139503</v>
      </c>
      <c r="AL4756">
        <v>94.811977409871702</v>
      </c>
      <c r="AM4756">
        <v>77.697953129949497</v>
      </c>
      <c r="AN4756">
        <v>0.99999995720997503</v>
      </c>
    </row>
    <row r="4757" spans="1:40" x14ac:dyDescent="0.25">
      <c r="A4757" t="str">
        <f>"20190305135025556"</f>
        <v>20190305135025556</v>
      </c>
      <c r="B4757" t="str">
        <f>"1551765025544704"</f>
        <v>1551765025544704</v>
      </c>
      <c r="C4757" t="s">
        <v>40</v>
      </c>
      <c r="D4757">
        <v>4.1961250000000003</v>
      </c>
      <c r="E4757">
        <v>0.64954400000000001</v>
      </c>
      <c r="F4757" t="s">
        <v>43</v>
      </c>
      <c r="G4757">
        <v>-229.95269999999999</v>
      </c>
      <c r="H4757">
        <v>-0.05</v>
      </c>
      <c r="I4757">
        <v>115.9849</v>
      </c>
      <c r="J4757">
        <v>-192.63919999999999</v>
      </c>
      <c r="K4757">
        <v>1.1041920000000001</v>
      </c>
      <c r="L4757">
        <v>155.83420000000001</v>
      </c>
      <c r="M4757">
        <v>-0.1630721</v>
      </c>
      <c r="N4757">
        <v>-1.3742000000000001E-2</v>
      </c>
      <c r="O4757">
        <v>-0.98651849999999996</v>
      </c>
      <c r="P4757">
        <v>-0.37037629999999999</v>
      </c>
      <c r="Q4757">
        <v>-9.5068749999999994E-2</v>
      </c>
      <c r="R4757">
        <v>-0.92400400000000005</v>
      </c>
      <c r="S4757">
        <v>-2.207001</v>
      </c>
      <c r="T4757">
        <v>-6.8224789999999993E-2</v>
      </c>
      <c r="U4757">
        <v>-2.3637700000000001</v>
      </c>
      <c r="V4757">
        <v>0.21358669999999999</v>
      </c>
      <c r="W4757">
        <v>-8.4630650000000002E-2</v>
      </c>
      <c r="X4757">
        <v>0.97325150000000005</v>
      </c>
      <c r="Y4757">
        <v>0.55396999999999996</v>
      </c>
      <c r="Z4757">
        <v>8.9707720000000001E-3</v>
      </c>
      <c r="AA4757">
        <v>0.83248829999999996</v>
      </c>
      <c r="AB4757">
        <v>23</v>
      </c>
      <c r="AC4757">
        <v>-37.313499999999998</v>
      </c>
      <c r="AD4757">
        <v>-1.1541920000000001</v>
      </c>
      <c r="AE4757">
        <v>-39.849299999999999</v>
      </c>
      <c r="AF4757">
        <v>30.3014654044349</v>
      </c>
      <c r="AG4757">
        <v>-1.1541920000000001</v>
      </c>
      <c r="AH4757">
        <v>45.380862200648103</v>
      </c>
      <c r="AI4757">
        <v>91.211721052942494</v>
      </c>
      <c r="AJ4757">
        <v>56.268383922580298</v>
      </c>
      <c r="AK4757">
        <v>54.579608086750198</v>
      </c>
      <c r="AL4757">
        <v>94.8547858817915</v>
      </c>
      <c r="AM4757">
        <v>77.622268848288201</v>
      </c>
      <c r="AN4757">
        <v>1.0000000537942699</v>
      </c>
    </row>
    <row r="4758" spans="1:40" x14ac:dyDescent="0.25">
      <c r="A4758" t="str">
        <f>"20190305135025572"</f>
        <v>20190305135025572</v>
      </c>
      <c r="B4758" t="str">
        <f>"1551765025565200"</f>
        <v>1551765025565200</v>
      </c>
      <c r="C4758" t="s">
        <v>40</v>
      </c>
      <c r="D4758">
        <v>4.2212180000000004</v>
      </c>
      <c r="E4758">
        <v>0.64812799999999904</v>
      </c>
      <c r="F4758" t="s">
        <v>43</v>
      </c>
      <c r="G4758">
        <v>-227.2097</v>
      </c>
      <c r="H4758">
        <v>-0.05</v>
      </c>
      <c r="I4758">
        <v>119.139</v>
      </c>
      <c r="J4758">
        <v>-192.6712</v>
      </c>
      <c r="K4758">
        <v>1.103996</v>
      </c>
      <c r="L4758">
        <v>155.68029999999999</v>
      </c>
      <c r="M4758">
        <v>-0.16908989999999999</v>
      </c>
      <c r="N4758">
        <v>-1.3827259999999999E-2</v>
      </c>
      <c r="O4758">
        <v>-0.98550380000000004</v>
      </c>
      <c r="P4758">
        <v>-0.3782142</v>
      </c>
      <c r="Q4758">
        <v>-9.5610050000000002E-2</v>
      </c>
      <c r="R4758">
        <v>-0.92076749999999996</v>
      </c>
      <c r="S4758">
        <v>-2.215103</v>
      </c>
      <c r="T4758">
        <v>-7.3954699999999998E-2</v>
      </c>
      <c r="U4758">
        <v>-2.3512420000000001</v>
      </c>
      <c r="V4758">
        <v>0.2158737</v>
      </c>
      <c r="W4758">
        <v>-8.5235859999999997E-2</v>
      </c>
      <c r="X4758">
        <v>0.9726939</v>
      </c>
      <c r="Y4758">
        <v>0.55259930000000002</v>
      </c>
      <c r="Z4758">
        <v>1.080382E-2</v>
      </c>
      <c r="AA4758">
        <v>0.83337709999999998</v>
      </c>
      <c r="AB4758">
        <v>23</v>
      </c>
      <c r="AC4758">
        <v>-34.538499999999999</v>
      </c>
      <c r="AD4758">
        <v>-1.153996</v>
      </c>
      <c r="AE4758">
        <v>-36.5412999999999</v>
      </c>
      <c r="AF4758">
        <v>27.847048954495001</v>
      </c>
      <c r="AG4758">
        <v>-1.153996</v>
      </c>
      <c r="AH4758">
        <v>41.833660392893997</v>
      </c>
      <c r="AI4758">
        <v>91.315454377698799</v>
      </c>
      <c r="AJ4758">
        <v>56.349829981725598</v>
      </c>
      <c r="AK4758">
        <v>50.267733031339802</v>
      </c>
      <c r="AL4758">
        <v>94.889587802165394</v>
      </c>
      <c r="AM4758">
        <v>77.486938351139599</v>
      </c>
      <c r="AN4758">
        <v>1.0000000146394199</v>
      </c>
    </row>
    <row r="4759" spans="1:40" x14ac:dyDescent="0.25">
      <c r="A4759" t="str">
        <f>"20190305135025582"</f>
        <v>20190305135025582</v>
      </c>
      <c r="B4759" t="str">
        <f>"1551765025574961"</f>
        <v>1551765025574961</v>
      </c>
      <c r="C4759" t="s">
        <v>40</v>
      </c>
      <c r="D4759">
        <v>4.2075779999999998</v>
      </c>
      <c r="E4759">
        <v>0.64757619999999905</v>
      </c>
      <c r="F4759" t="s">
        <v>43</v>
      </c>
      <c r="G4759">
        <v>-228.15280000000001</v>
      </c>
      <c r="H4759">
        <v>-0.05</v>
      </c>
      <c r="I4759">
        <v>118.39960000000001</v>
      </c>
      <c r="J4759">
        <v>-192.6986</v>
      </c>
      <c r="K4759">
        <v>1.1038349999999999</v>
      </c>
      <c r="L4759">
        <v>155.55430000000001</v>
      </c>
      <c r="M4759">
        <v>-0.1742437</v>
      </c>
      <c r="N4759">
        <v>-1.3895889999999999E-2</v>
      </c>
      <c r="O4759">
        <v>-0.98460440000000005</v>
      </c>
      <c r="P4759">
        <v>-0.3843549</v>
      </c>
      <c r="Q4759">
        <v>-9.5176640000000007E-2</v>
      </c>
      <c r="R4759">
        <v>-0.91826640000000004</v>
      </c>
      <c r="S4759">
        <v>-2.2242280000000001</v>
      </c>
      <c r="T4759">
        <v>-7.2340370000000001E-2</v>
      </c>
      <c r="U4759">
        <v>-2.3370060000000001</v>
      </c>
      <c r="V4759">
        <v>0.21724280000000001</v>
      </c>
      <c r="W4759">
        <v>-8.4847610000000004E-2</v>
      </c>
      <c r="X4759">
        <v>0.97242300000000004</v>
      </c>
      <c r="Y4759">
        <v>0.55248050000000004</v>
      </c>
      <c r="Z4759">
        <v>1.029941E-2</v>
      </c>
      <c r="AA4759">
        <v>0.83346219999999904</v>
      </c>
      <c r="AB4759">
        <v>23</v>
      </c>
      <c r="AC4759">
        <v>-35.4542</v>
      </c>
      <c r="AD4759">
        <v>-1.1538349999999999</v>
      </c>
      <c r="AE4759">
        <v>-37.154699999999998</v>
      </c>
      <c r="AF4759">
        <v>28.4227904505269</v>
      </c>
      <c r="AG4759">
        <v>-1.1538349999999999</v>
      </c>
      <c r="AH4759">
        <v>42.742910020810498</v>
      </c>
      <c r="AI4759">
        <v>91.287711115249394</v>
      </c>
      <c r="AJ4759">
        <v>56.377250765803197</v>
      </c>
      <c r="AK4759">
        <v>51.343380383929599</v>
      </c>
      <c r="AL4759">
        <v>94.867261806649594</v>
      </c>
      <c r="AM4759">
        <v>77.4067057456014</v>
      </c>
      <c r="AN4759">
        <v>1.0000000210017701</v>
      </c>
    </row>
    <row r="4760" spans="1:40" x14ac:dyDescent="0.25">
      <c r="A4760" t="str">
        <f>"20190305135025595"</f>
        <v>20190305135025595</v>
      </c>
      <c r="B4760" t="str">
        <f>"1551765025584720"</f>
        <v>1551765025584720</v>
      </c>
      <c r="C4760" t="s">
        <v>40</v>
      </c>
      <c r="D4760">
        <v>4.1967270000000001</v>
      </c>
      <c r="E4760">
        <v>0.64697799999999905</v>
      </c>
      <c r="F4760" t="s">
        <v>43</v>
      </c>
      <c r="G4760">
        <v>-227.90260000000001</v>
      </c>
      <c r="H4760">
        <v>-0.05</v>
      </c>
      <c r="I4760">
        <v>118.96939999999999</v>
      </c>
      <c r="J4760">
        <v>-192.7243</v>
      </c>
      <c r="K4760">
        <v>1.1036870000000001</v>
      </c>
      <c r="L4760">
        <v>155.4385</v>
      </c>
      <c r="M4760">
        <v>-0.17907979999999901</v>
      </c>
      <c r="N4760">
        <v>-1.395804E-2</v>
      </c>
      <c r="O4760">
        <v>-0.98373569999999999</v>
      </c>
      <c r="P4760">
        <v>-0.3902447</v>
      </c>
      <c r="Q4760">
        <v>-9.4510430000000006E-2</v>
      </c>
      <c r="R4760">
        <v>-0.91584770000000004</v>
      </c>
      <c r="S4760">
        <v>-2.2358859999999998</v>
      </c>
      <c r="T4760">
        <v>-7.3282719999999996E-2</v>
      </c>
      <c r="U4760">
        <v>-2.3235929999999998</v>
      </c>
      <c r="V4760">
        <v>0.2186746</v>
      </c>
      <c r="W4760">
        <v>-8.422673E-2</v>
      </c>
      <c r="X4760">
        <v>0.97215600000000002</v>
      </c>
      <c r="Y4760">
        <v>0.55295319999999903</v>
      </c>
      <c r="Z4760">
        <v>1.060408E-2</v>
      </c>
      <c r="AA4760">
        <v>0.83314480000000002</v>
      </c>
      <c r="AB4760">
        <v>23</v>
      </c>
      <c r="AC4760">
        <v>-35.1783</v>
      </c>
      <c r="AD4760">
        <v>-1.1536869999999999</v>
      </c>
      <c r="AE4760">
        <v>-36.469099999999997</v>
      </c>
      <c r="AF4760">
        <v>28.063453061328499</v>
      </c>
      <c r="AG4760">
        <v>-1.1536869999999999</v>
      </c>
      <c r="AH4760">
        <v>42.157926053286602</v>
      </c>
      <c r="AI4760">
        <v>91.304982528830394</v>
      </c>
      <c r="AJ4760">
        <v>56.349309181283203</v>
      </c>
      <c r="AK4760">
        <v>50.657468556311997</v>
      </c>
      <c r="AL4760">
        <v>94.831560278054994</v>
      </c>
      <c r="AM4760">
        <v>77.323010416472997</v>
      </c>
      <c r="AN4760">
        <v>1.0000000055338201</v>
      </c>
    </row>
    <row r="4761" spans="1:40" x14ac:dyDescent="0.25">
      <c r="A4761" t="str">
        <f>"20190305135025608"</f>
        <v>20190305135025608</v>
      </c>
      <c r="B4761" t="str">
        <f>"1551765025605217"</f>
        <v>1551765025605217</v>
      </c>
      <c r="C4761" t="s">
        <v>40</v>
      </c>
      <c r="D4761">
        <v>4.200342</v>
      </c>
      <c r="E4761">
        <v>0.64576199999999995</v>
      </c>
      <c r="F4761" t="s">
        <v>43</v>
      </c>
      <c r="G4761">
        <v>-228.1712</v>
      </c>
      <c r="H4761">
        <v>-0.05</v>
      </c>
      <c r="I4761">
        <v>118.9756</v>
      </c>
      <c r="J4761">
        <v>-192.75489999999999</v>
      </c>
      <c r="K4761">
        <v>1.1035250000000001</v>
      </c>
      <c r="L4761">
        <v>155.3047</v>
      </c>
      <c r="M4761">
        <v>-0.18480479999999999</v>
      </c>
      <c r="N4761">
        <v>-1.4028850000000001E-2</v>
      </c>
      <c r="O4761">
        <v>-0.98267510000000002</v>
      </c>
      <c r="P4761">
        <v>-0.39651769999999997</v>
      </c>
      <c r="Q4761">
        <v>-9.4121170000000004E-2</v>
      </c>
      <c r="R4761">
        <v>-0.91318960000000005</v>
      </c>
      <c r="S4761">
        <v>-2.2464900000000001</v>
      </c>
      <c r="T4761">
        <v>-7.3116420000000001E-2</v>
      </c>
      <c r="U4761">
        <v>-2.310883</v>
      </c>
      <c r="V4761">
        <v>0.2196448</v>
      </c>
      <c r="W4761">
        <v>-8.387878E-2</v>
      </c>
      <c r="X4761">
        <v>0.97196729999999998</v>
      </c>
      <c r="Y4761">
        <v>0.55235540000000005</v>
      </c>
      <c r="Z4761">
        <v>1.05492E-2</v>
      </c>
      <c r="AA4761">
        <v>0.83354200000000001</v>
      </c>
      <c r="AB4761">
        <v>23</v>
      </c>
      <c r="AC4761">
        <v>-35.4163</v>
      </c>
      <c r="AD4761">
        <v>-1.1535249999999999</v>
      </c>
      <c r="AE4761">
        <v>-36.329099999999997</v>
      </c>
      <c r="AF4761">
        <v>28.077175187401899</v>
      </c>
      <c r="AG4761">
        <v>-1.1535249999999999</v>
      </c>
      <c r="AH4761">
        <v>42.227134264668202</v>
      </c>
      <c r="AI4761">
        <v>91.303121708308694</v>
      </c>
      <c r="AJ4761">
        <v>56.3797340604048</v>
      </c>
      <c r="AK4761">
        <v>50.7226700266853</v>
      </c>
      <c r="AL4761">
        <v>94.811553632602894</v>
      </c>
      <c r="AM4761">
        <v>77.266204265727694</v>
      </c>
      <c r="AN4761">
        <v>0.999999960085308</v>
      </c>
    </row>
    <row r="4762" spans="1:40" x14ac:dyDescent="0.25">
      <c r="A4762" t="str">
        <f>"20190305135025620"</f>
        <v>20190305135025620</v>
      </c>
      <c r="B4762" t="str">
        <f>"1551765025614977"</f>
        <v>1551765025614977</v>
      </c>
      <c r="C4762" t="s">
        <v>40</v>
      </c>
      <c r="D4762">
        <v>4.1881740000000001</v>
      </c>
      <c r="E4762">
        <v>0.64533459999999998</v>
      </c>
      <c r="F4762" t="s">
        <v>42</v>
      </c>
      <c r="G4762">
        <v>-222.83090000000001</v>
      </c>
      <c r="H4762">
        <v>7.9986210000000002E-2</v>
      </c>
      <c r="I4762">
        <v>124.62090000000001</v>
      </c>
      <c r="J4762">
        <v>-192.7842</v>
      </c>
      <c r="K4762">
        <v>1.1033729999999999</v>
      </c>
      <c r="L4762">
        <v>155.18190000000001</v>
      </c>
      <c r="M4762">
        <v>-0.1902652</v>
      </c>
      <c r="N4762">
        <v>-1.409319E-2</v>
      </c>
      <c r="O4762">
        <v>-0.98163160000000005</v>
      </c>
      <c r="P4762">
        <v>-0.40274260000000001</v>
      </c>
      <c r="Q4762">
        <v>-9.3930159999999999E-2</v>
      </c>
      <c r="R4762">
        <v>-0.91048130000000005</v>
      </c>
      <c r="S4762">
        <v>-2.253342</v>
      </c>
      <c r="T4762">
        <v>-7.6685310000000007E-2</v>
      </c>
      <c r="U4762">
        <v>-2.2988740000000001</v>
      </c>
      <c r="V4762">
        <v>0.22084210000000001</v>
      </c>
      <c r="W4762">
        <v>-8.3733760000000004E-2</v>
      </c>
      <c r="X4762">
        <v>0.97170849999999998</v>
      </c>
      <c r="Y4762">
        <v>0.5511469</v>
      </c>
      <c r="Z4762">
        <v>1.171461E-2</v>
      </c>
      <c r="AA4762">
        <v>0.83432600000000001</v>
      </c>
      <c r="AB4762">
        <v>23</v>
      </c>
      <c r="AC4762">
        <v>-30.046700000000001</v>
      </c>
      <c r="AD4762">
        <v>-1.02338679</v>
      </c>
      <c r="AE4762">
        <v>-30.561</v>
      </c>
      <c r="AF4762">
        <v>23.6689507793944</v>
      </c>
      <c r="AG4762">
        <v>-1.02338679</v>
      </c>
      <c r="AH4762">
        <v>35.699675348883098</v>
      </c>
      <c r="AI4762">
        <v>91.368670610840397</v>
      </c>
      <c r="AJ4762">
        <v>56.4555482370383</v>
      </c>
      <c r="AK4762">
        <v>42.845459170546803</v>
      </c>
      <c r="AL4762">
        <v>94.803215109230706</v>
      </c>
      <c r="AM4762">
        <v>77.195775475929196</v>
      </c>
      <c r="AN4762">
        <v>0.99999999233419801</v>
      </c>
    </row>
    <row r="4763" spans="1:40" x14ac:dyDescent="0.25">
      <c r="A4763" t="str">
        <f>"20190305135025637"</f>
        <v>20190305135025637</v>
      </c>
      <c r="B4763" t="str">
        <f>"1551765025624736"</f>
        <v>1551765025624736</v>
      </c>
      <c r="C4763" t="s">
        <v>40</v>
      </c>
      <c r="D4763">
        <v>4.2162430000000004</v>
      </c>
      <c r="E4763">
        <v>0.64494399999999996</v>
      </c>
      <c r="F4763" t="s">
        <v>42</v>
      </c>
      <c r="G4763">
        <v>-222.41970000000001</v>
      </c>
      <c r="H4763">
        <v>7.9986299999999996E-2</v>
      </c>
      <c r="I4763">
        <v>125.29940000000001</v>
      </c>
      <c r="J4763">
        <v>-192.82599999999999</v>
      </c>
      <c r="K4763">
        <v>1.1031599999999999</v>
      </c>
      <c r="L4763">
        <v>155.01140000000001</v>
      </c>
      <c r="M4763">
        <v>-0.19803560000000001</v>
      </c>
      <c r="N4763">
        <v>-1.418079E-2</v>
      </c>
      <c r="O4763">
        <v>-0.98009230000000003</v>
      </c>
      <c r="P4763">
        <v>-0.41138629999999998</v>
      </c>
      <c r="Q4763">
        <v>-9.3587879999999998E-2</v>
      </c>
      <c r="R4763">
        <v>-0.90664370000000005</v>
      </c>
      <c r="S4763">
        <v>-2.2657620000000001</v>
      </c>
      <c r="T4763">
        <v>-7.8242419999999993E-2</v>
      </c>
      <c r="U4763">
        <v>-2.284637</v>
      </c>
      <c r="V4763">
        <v>0.22234019999999999</v>
      </c>
      <c r="W4763">
        <v>-8.3456870000000002E-2</v>
      </c>
      <c r="X4763">
        <v>0.97139070000000005</v>
      </c>
      <c r="Y4763">
        <v>0.54941359999999995</v>
      </c>
      <c r="Z4763">
        <v>1.221264E-2</v>
      </c>
      <c r="AA4763">
        <v>0.83546129999999996</v>
      </c>
      <c r="AB4763">
        <v>23</v>
      </c>
      <c r="AC4763">
        <v>-29.593699999999998</v>
      </c>
      <c r="AD4763">
        <v>-1.0231736999999901</v>
      </c>
      <c r="AE4763">
        <v>-29.712</v>
      </c>
      <c r="AF4763">
        <v>23.109090750102698</v>
      </c>
      <c r="AG4763">
        <v>-1.0231736999999901</v>
      </c>
      <c r="AH4763">
        <v>34.963810543092201</v>
      </c>
      <c r="AI4763">
        <v>91.398498153344406</v>
      </c>
      <c r="AJ4763">
        <v>56.537563746721098</v>
      </c>
      <c r="AK4763">
        <v>41.923084421474798</v>
      </c>
      <c r="AL4763">
        <v>94.787294465560507</v>
      </c>
      <c r="AM4763">
        <v>77.107732547229205</v>
      </c>
      <c r="AN4763">
        <v>1.00000005286636</v>
      </c>
    </row>
    <row r="4764" spans="1:40" x14ac:dyDescent="0.25">
      <c r="A4764" t="str">
        <f>"20190305135025648"</f>
        <v>20190305135025648</v>
      </c>
      <c r="B4764" t="str">
        <f>"1551765025644821"</f>
        <v>1551765025644821</v>
      </c>
      <c r="C4764" t="s">
        <v>40</v>
      </c>
      <c r="D4764">
        <v>4.2423029999999997</v>
      </c>
      <c r="E4764">
        <v>0.64420630000000001</v>
      </c>
      <c r="F4764" t="s">
        <v>42</v>
      </c>
      <c r="G4764">
        <v>-222.8502</v>
      </c>
      <c r="H4764">
        <v>7.9986189999999999E-2</v>
      </c>
      <c r="I4764">
        <v>125.2531</v>
      </c>
      <c r="J4764">
        <v>-192.85570000000001</v>
      </c>
      <c r="K4764">
        <v>1.1030040000000001</v>
      </c>
      <c r="L4764">
        <v>154.8937</v>
      </c>
      <c r="M4764">
        <v>-0.20353450000000001</v>
      </c>
      <c r="N4764">
        <v>-1.424014E-2</v>
      </c>
      <c r="O4764">
        <v>-0.97896430000000001</v>
      </c>
      <c r="P4764">
        <v>-0.41689939999999998</v>
      </c>
      <c r="Q4764">
        <v>-9.3707970000000002E-2</v>
      </c>
      <c r="R4764">
        <v>-0.90410959999999996</v>
      </c>
      <c r="S4764">
        <v>-2.2845</v>
      </c>
      <c r="T4764">
        <v>-7.7851890000000007E-2</v>
      </c>
      <c r="U4764">
        <v>-2.2642669999999998</v>
      </c>
      <c r="V4764">
        <v>0.22277060000000001</v>
      </c>
      <c r="W4764">
        <v>-8.3614010000000002E-2</v>
      </c>
      <c r="X4764">
        <v>0.97127850000000004</v>
      </c>
      <c r="Y4764">
        <v>0.55190240000000002</v>
      </c>
      <c r="Z4764">
        <v>1.2105680000000001E-2</v>
      </c>
      <c r="AA4764">
        <v>0.83382080000000003</v>
      </c>
      <c r="AB4764">
        <v>23</v>
      </c>
      <c r="AC4764">
        <v>-29.994499999999899</v>
      </c>
      <c r="AD4764">
        <v>-1.02301781</v>
      </c>
      <c r="AE4764">
        <v>-29.6405999999999</v>
      </c>
      <c r="AF4764">
        <v>23.319299449639502</v>
      </c>
      <c r="AG4764">
        <v>-1.02301781</v>
      </c>
      <c r="AH4764">
        <v>35.104902610631001</v>
      </c>
      <c r="AI4764">
        <v>91.390533551569703</v>
      </c>
      <c r="AJ4764">
        <v>56.404916832728901</v>
      </c>
      <c r="AK4764">
        <v>42.1567370602069</v>
      </c>
      <c r="AL4764">
        <v>94.7963298354736</v>
      </c>
      <c r="AM4764">
        <v>77.082170240645496</v>
      </c>
      <c r="AN4764">
        <v>0.99999998372744403</v>
      </c>
    </row>
    <row r="4765" spans="1:40" x14ac:dyDescent="0.25">
      <c r="A4765" t="str">
        <f>"20190305135025660"</f>
        <v>20190305135025660</v>
      </c>
      <c r="B4765" t="str">
        <f>"1551765025654581"</f>
        <v>1551765025654581</v>
      </c>
      <c r="C4765" t="s">
        <v>40</v>
      </c>
      <c r="D4765">
        <v>4.155951</v>
      </c>
      <c r="E4765">
        <v>0.64383210000000002</v>
      </c>
      <c r="F4765" t="s">
        <v>43</v>
      </c>
      <c r="G4765">
        <v>-227.82650000000001</v>
      </c>
      <c r="H4765">
        <v>-0.05</v>
      </c>
      <c r="I4765">
        <v>120.5228</v>
      </c>
      <c r="J4765">
        <v>-192.88579999999999</v>
      </c>
      <c r="K4765">
        <v>1.102857</v>
      </c>
      <c r="L4765">
        <v>154.77930000000001</v>
      </c>
      <c r="M4765">
        <v>-0.20908080000000001</v>
      </c>
      <c r="N4765">
        <v>-1.429894E-2</v>
      </c>
      <c r="O4765">
        <v>-0.97779419999999995</v>
      </c>
      <c r="P4765">
        <v>-0.42266789999999999</v>
      </c>
      <c r="Q4765">
        <v>-9.4108910000000004E-2</v>
      </c>
      <c r="R4765">
        <v>-0.90138569999999996</v>
      </c>
      <c r="S4765">
        <v>-2.2925420000000001</v>
      </c>
      <c r="T4765">
        <v>-7.5586319999999999E-2</v>
      </c>
      <c r="U4765">
        <v>-2.2532199999999998</v>
      </c>
      <c r="V4765">
        <v>0.22344169999999999</v>
      </c>
      <c r="W4765">
        <v>-8.4054240000000002E-2</v>
      </c>
      <c r="X4765">
        <v>0.97108629999999996</v>
      </c>
      <c r="Y4765">
        <v>0.55068649999999997</v>
      </c>
      <c r="Z4765">
        <v>1.1380909999999999E-2</v>
      </c>
      <c r="AA4765">
        <v>0.8346346</v>
      </c>
      <c r="AB4765">
        <v>23</v>
      </c>
      <c r="AC4765">
        <v>-34.9407</v>
      </c>
      <c r="AD4765">
        <v>-1.152857</v>
      </c>
      <c r="AE4765">
        <v>-34.256500000000003</v>
      </c>
      <c r="AF4765">
        <v>26.990206364077402</v>
      </c>
      <c r="AG4765">
        <v>-1.152857</v>
      </c>
      <c r="AH4765">
        <v>40.782755206927497</v>
      </c>
      <c r="AI4765">
        <v>91.3504045684532</v>
      </c>
      <c r="AJ4765">
        <v>56.503234170585799</v>
      </c>
      <c r="AK4765">
        <v>48.918641039036501</v>
      </c>
      <c r="AL4765">
        <v>94.821642401227294</v>
      </c>
      <c r="AM4765">
        <v>77.042088505280205</v>
      </c>
      <c r="AN4765">
        <v>0.99999995530427699</v>
      </c>
    </row>
    <row r="4766" spans="1:40" x14ac:dyDescent="0.25">
      <c r="A4766" t="str">
        <f>"20190305135025671"</f>
        <v>20190305135025671</v>
      </c>
      <c r="B4766" t="str">
        <f>"1551765025665316"</f>
        <v>1551765025665316</v>
      </c>
      <c r="C4766" t="s">
        <v>40</v>
      </c>
      <c r="D4766">
        <v>4.2378530000000003</v>
      </c>
      <c r="E4766">
        <v>0.64344330000000005</v>
      </c>
      <c r="F4766" t="s">
        <v>43</v>
      </c>
      <c r="G4766">
        <v>-228.48320000000001</v>
      </c>
      <c r="H4766">
        <v>-0.05</v>
      </c>
      <c r="I4766">
        <v>120.17319999999999</v>
      </c>
      <c r="J4766">
        <v>-192.91589999999999</v>
      </c>
      <c r="K4766">
        <v>1.1027070000000001</v>
      </c>
      <c r="L4766">
        <v>154.66640000000001</v>
      </c>
      <c r="M4766">
        <v>-0.21459810000000001</v>
      </c>
      <c r="N4766">
        <v>-1.4355730000000001E-2</v>
      </c>
      <c r="O4766">
        <v>-0.9765971</v>
      </c>
      <c r="P4766">
        <v>-0.42816860000000001</v>
      </c>
      <c r="Q4766">
        <v>-9.4393530000000003E-2</v>
      </c>
      <c r="R4766">
        <v>-0.898756</v>
      </c>
      <c r="S4766">
        <v>-2.3041529999999999</v>
      </c>
      <c r="T4766">
        <v>-7.4622389999999997E-2</v>
      </c>
      <c r="U4766">
        <v>-2.2399900000000001</v>
      </c>
      <c r="V4766">
        <v>0.2238647</v>
      </c>
      <c r="W4766">
        <v>-8.4374080000000004E-2</v>
      </c>
      <c r="X4766">
        <v>0.97096119999999997</v>
      </c>
      <c r="Y4766">
        <v>0.55054130000000001</v>
      </c>
      <c r="Z4766">
        <v>1.107501E-2</v>
      </c>
      <c r="AA4766">
        <v>0.83473439999999999</v>
      </c>
      <c r="AB4766">
        <v>23</v>
      </c>
      <c r="AC4766">
        <v>-35.567300000000003</v>
      </c>
      <c r="AD4766">
        <v>-1.1527069999999999</v>
      </c>
      <c r="AE4766">
        <v>-34.493200000000002</v>
      </c>
      <c r="AF4766">
        <v>27.320771178812301</v>
      </c>
      <c r="AG4766">
        <v>-1.1527069999999999</v>
      </c>
      <c r="AH4766">
        <v>41.3005305892124</v>
      </c>
      <c r="AI4766">
        <v>91.333487292744607</v>
      </c>
      <c r="AJ4766">
        <v>56.514910324915199</v>
      </c>
      <c r="AK4766">
        <v>49.5326871690133</v>
      </c>
      <c r="AL4766">
        <v>94.840032897582901</v>
      </c>
      <c r="AM4766">
        <v>77.016772035659201</v>
      </c>
      <c r="AN4766">
        <v>1.0000000205936801</v>
      </c>
    </row>
    <row r="4767" spans="1:40" x14ac:dyDescent="0.25">
      <c r="A4767" t="str">
        <f>"20190305135025681"</f>
        <v>20190305135025681</v>
      </c>
      <c r="B4767" t="str">
        <f>"1551765025675077"</f>
        <v>1551765025675077</v>
      </c>
      <c r="C4767" t="s">
        <v>40</v>
      </c>
      <c r="D4767">
        <v>4.2224899999999996</v>
      </c>
      <c r="E4767">
        <v>0.64315959999999905</v>
      </c>
      <c r="F4767" t="s">
        <v>42</v>
      </c>
      <c r="G4767">
        <v>-223.26820000000001</v>
      </c>
      <c r="H4767">
        <v>7.9986059999999998E-2</v>
      </c>
      <c r="I4767">
        <v>125.4695</v>
      </c>
      <c r="J4767">
        <v>-192.94649999999999</v>
      </c>
      <c r="K4767">
        <v>1.1025659999999999</v>
      </c>
      <c r="L4767">
        <v>154.55629999999999</v>
      </c>
      <c r="M4767">
        <v>-0.22017729999999999</v>
      </c>
      <c r="N4767">
        <v>-1.441224E-2</v>
      </c>
      <c r="O4767">
        <v>-0.97535369999999999</v>
      </c>
      <c r="P4767">
        <v>-0.4337955</v>
      </c>
      <c r="Q4767">
        <v>-9.4359440000000003E-2</v>
      </c>
      <c r="R4767">
        <v>-0.89605709999999905</v>
      </c>
      <c r="S4767">
        <v>-2.3149869999999999</v>
      </c>
      <c r="T4767">
        <v>-7.8003639999999999E-2</v>
      </c>
      <c r="U4767">
        <v>-2.2268680000000001</v>
      </c>
      <c r="V4767">
        <v>0.2243725</v>
      </c>
      <c r="W4767">
        <v>-8.4374759999999993E-2</v>
      </c>
      <c r="X4767">
        <v>0.97084389999999998</v>
      </c>
      <c r="Y4767">
        <v>0.55016359999999997</v>
      </c>
      <c r="Z4767">
        <v>1.2179189999999999E-2</v>
      </c>
      <c r="AA4767">
        <v>0.83496809999999999</v>
      </c>
      <c r="AB4767">
        <v>23</v>
      </c>
      <c r="AC4767">
        <v>-30.3217</v>
      </c>
      <c r="AD4767">
        <v>-1.02257994</v>
      </c>
      <c r="AE4767">
        <v>-29.0868</v>
      </c>
      <c r="AF4767">
        <v>23.158812124252201</v>
      </c>
      <c r="AG4767">
        <v>-1.02257994</v>
      </c>
      <c r="AH4767">
        <v>35.0289503586962</v>
      </c>
      <c r="AI4767">
        <v>91.394966694742607</v>
      </c>
      <c r="AJ4767">
        <v>56.529974114287398</v>
      </c>
      <c r="AK4767">
        <v>42.004804629614704</v>
      </c>
      <c r="AL4767">
        <v>94.840072105212499</v>
      </c>
      <c r="AM4767">
        <v>76.986804225158707</v>
      </c>
      <c r="AN4767">
        <v>0.99999999852425803</v>
      </c>
    </row>
    <row r="4768" spans="1:40" x14ac:dyDescent="0.25">
      <c r="A4768" t="str">
        <f>"20190305135025693"</f>
        <v>20190305135025693</v>
      </c>
      <c r="B4768" t="str">
        <f>"1551765025684837"</f>
        <v>1551765025684837</v>
      </c>
      <c r="C4768" t="s">
        <v>40</v>
      </c>
      <c r="D4768">
        <v>4.2683179999999998</v>
      </c>
      <c r="E4768">
        <v>0.64281189999999999</v>
      </c>
      <c r="F4768" t="s">
        <v>42</v>
      </c>
      <c r="G4768">
        <v>-222.71029999999999</v>
      </c>
      <c r="H4768">
        <v>7.9986180000000004E-2</v>
      </c>
      <c r="I4768">
        <v>126.244</v>
      </c>
      <c r="J4768">
        <v>-192.97980000000001</v>
      </c>
      <c r="K4768">
        <v>1.102417</v>
      </c>
      <c r="L4768">
        <v>154.43860000000001</v>
      </c>
      <c r="M4768">
        <v>-0.22621140000000001</v>
      </c>
      <c r="N4768">
        <v>-1.447152E-2</v>
      </c>
      <c r="O4768">
        <v>-0.97397069999999997</v>
      </c>
      <c r="P4768">
        <v>-0.4396737</v>
      </c>
      <c r="Q4768">
        <v>-9.4225690000000001E-2</v>
      </c>
      <c r="R4768">
        <v>-0.89320140000000003</v>
      </c>
      <c r="S4768">
        <v>-2.3266749999999998</v>
      </c>
      <c r="T4768">
        <v>-7.993662E-2</v>
      </c>
      <c r="U4768">
        <v>-2.2132109999999998</v>
      </c>
      <c r="V4768">
        <v>0.22470960000000001</v>
      </c>
      <c r="W4768">
        <v>-8.4273849999999997E-2</v>
      </c>
      <c r="X4768">
        <v>0.97077469999999999</v>
      </c>
      <c r="Y4768">
        <v>0.54965189999999997</v>
      </c>
      <c r="Z4768">
        <v>1.281349E-2</v>
      </c>
      <c r="AA4768">
        <v>0.83529560000000003</v>
      </c>
      <c r="AB4768">
        <v>23</v>
      </c>
      <c r="AC4768">
        <v>-29.7304999999999</v>
      </c>
      <c r="AD4768">
        <v>-1.0224308200000001</v>
      </c>
      <c r="AE4768">
        <v>-28.194600000000001</v>
      </c>
      <c r="AF4768">
        <v>22.5670093646259</v>
      </c>
      <c r="AG4768">
        <v>-1.0224308200000001</v>
      </c>
      <c r="AH4768">
        <v>34.168397816116197</v>
      </c>
      <c r="AI4768">
        <v>91.430316887455604</v>
      </c>
      <c r="AJ4768">
        <v>56.5566594173808</v>
      </c>
      <c r="AK4768">
        <v>40.960892150503497</v>
      </c>
      <c r="AL4768">
        <v>94.834269704573501</v>
      </c>
      <c r="AM4768">
        <v>76.9670226845206</v>
      </c>
      <c r="AN4768">
        <v>1.00000000214303</v>
      </c>
    </row>
    <row r="4769" spans="1:40" x14ac:dyDescent="0.25">
      <c r="A4769" t="str">
        <f>"20190305135025705"</f>
        <v>20190305135025705</v>
      </c>
      <c r="B4769" t="str">
        <f>"1551765025694597"</f>
        <v>1551765025694597</v>
      </c>
      <c r="C4769" t="s">
        <v>40</v>
      </c>
      <c r="D4769">
        <v>4.2960349999999998</v>
      </c>
      <c r="E4769">
        <v>0.64245549999999996</v>
      </c>
      <c r="F4769" t="s">
        <v>42</v>
      </c>
      <c r="G4769">
        <v>-221.8544</v>
      </c>
      <c r="H4769">
        <v>7.9986379999999996E-2</v>
      </c>
      <c r="I4769">
        <v>127.2936</v>
      </c>
      <c r="J4769">
        <v>-193.0146</v>
      </c>
      <c r="K4769">
        <v>1.102274</v>
      </c>
      <c r="L4769">
        <v>154.3194</v>
      </c>
      <c r="M4769">
        <v>-0.2324706</v>
      </c>
      <c r="N4769">
        <v>-1.453136E-2</v>
      </c>
      <c r="O4769">
        <v>-0.97249509999999995</v>
      </c>
      <c r="P4769">
        <v>-0.44597049999999999</v>
      </c>
      <c r="Q4769">
        <v>-9.3656260000000005E-2</v>
      </c>
      <c r="R4769">
        <v>-0.89013419999999899</v>
      </c>
      <c r="S4769">
        <v>-2.3388059999999999</v>
      </c>
      <c r="T4769">
        <v>-8.2815529999999998E-2</v>
      </c>
      <c r="U4769">
        <v>-2.1987000000000001</v>
      </c>
      <c r="V4769">
        <v>0.22528780000000001</v>
      </c>
      <c r="W4769">
        <v>-8.3740229999999999E-2</v>
      </c>
      <c r="X4769">
        <v>0.97068690000000002</v>
      </c>
      <c r="Y4769">
        <v>0.54917839999999996</v>
      </c>
      <c r="Z4769">
        <v>1.375845E-2</v>
      </c>
      <c r="AA4769">
        <v>0.83559189999999905</v>
      </c>
      <c r="AB4769">
        <v>23</v>
      </c>
      <c r="AC4769">
        <v>-28.8398</v>
      </c>
      <c r="AD4769">
        <v>-1.02228762</v>
      </c>
      <c r="AE4769">
        <v>-27.0258</v>
      </c>
      <c r="AF4769">
        <v>21.751601496952201</v>
      </c>
      <c r="AG4769">
        <v>-1.02228762</v>
      </c>
      <c r="AH4769">
        <v>32.9682834501385</v>
      </c>
      <c r="AI4769">
        <v>91.482623684204</v>
      </c>
      <c r="AJ4769">
        <v>56.5842274268323</v>
      </c>
      <c r="AK4769">
        <v>39.510567615625298</v>
      </c>
      <c r="AL4769">
        <v>94.803586897712705</v>
      </c>
      <c r="AM4769">
        <v>76.933495424601304</v>
      </c>
      <c r="AN4769">
        <v>1.0000000383904499</v>
      </c>
    </row>
    <row r="4770" spans="1:40" x14ac:dyDescent="0.25">
      <c r="A4770" t="str">
        <f>"20190305135025718"</f>
        <v>20190305135025718</v>
      </c>
      <c r="B4770" t="str">
        <f>"1551765025715093"</f>
        <v>1551765025715093</v>
      </c>
      <c r="C4770" t="s">
        <v>40</v>
      </c>
      <c r="D4770">
        <v>4.2635439999999996</v>
      </c>
      <c r="E4770">
        <v>0.64190380000000002</v>
      </c>
      <c r="F4770" t="s">
        <v>42</v>
      </c>
      <c r="G4770">
        <v>-221.2285</v>
      </c>
      <c r="H4770">
        <v>7.9986539999999995E-2</v>
      </c>
      <c r="I4770">
        <v>128.1302</v>
      </c>
      <c r="J4770">
        <v>-193.05340000000001</v>
      </c>
      <c r="K4770">
        <v>1.102123</v>
      </c>
      <c r="L4770">
        <v>154.19030000000001</v>
      </c>
      <c r="M4770">
        <v>-0.23941709999999999</v>
      </c>
      <c r="N4770">
        <v>-1.4595830000000001E-2</v>
      </c>
      <c r="O4770">
        <v>-0.97080730000000004</v>
      </c>
      <c r="P4770">
        <v>-0.45253900000000002</v>
      </c>
      <c r="Q4770">
        <v>-9.2763440000000003E-2</v>
      </c>
      <c r="R4770">
        <v>-0.88690729999999995</v>
      </c>
      <c r="S4770">
        <v>-2.351791</v>
      </c>
      <c r="T4770">
        <v>-8.5213540000000004E-2</v>
      </c>
      <c r="U4770">
        <v>-2.183014</v>
      </c>
      <c r="V4770">
        <v>0.2254874</v>
      </c>
      <c r="W4770">
        <v>-8.2874470000000006E-2</v>
      </c>
      <c r="X4770">
        <v>0.97071479999999999</v>
      </c>
      <c r="Y4770">
        <v>0.54848490000000005</v>
      </c>
      <c r="Z4770">
        <v>1.4549629999999999E-2</v>
      </c>
      <c r="AA4770">
        <v>0.83603379999999905</v>
      </c>
      <c r="AB4770">
        <v>23</v>
      </c>
      <c r="AC4770">
        <v>-28.175099999999901</v>
      </c>
      <c r="AD4770">
        <v>-1.02213646</v>
      </c>
      <c r="AE4770">
        <v>-26.060099999999998</v>
      </c>
      <c r="AF4770">
        <v>21.1006377828448</v>
      </c>
      <c r="AG4770">
        <v>-1.02213646</v>
      </c>
      <c r="AH4770">
        <v>32.025628055014401</v>
      </c>
      <c r="AI4770">
        <v>91.526653318221406</v>
      </c>
      <c r="AJ4770">
        <v>56.620420821971798</v>
      </c>
      <c r="AK4770">
        <v>38.365642573842102</v>
      </c>
      <c r="AL4770">
        <v>94.753809731213707</v>
      </c>
      <c r="AM4770">
        <v>76.922679487185903</v>
      </c>
      <c r="AN4770">
        <v>0.99999998413779001</v>
      </c>
    </row>
    <row r="4771" spans="1:40" x14ac:dyDescent="0.25">
      <c r="A4771" t="str">
        <f>"20190305135025732"</f>
        <v>20190305135025732</v>
      </c>
      <c r="B4771" t="str">
        <f>"1551765025724853"</f>
        <v>1551765025724853</v>
      </c>
      <c r="C4771" t="s">
        <v>40</v>
      </c>
      <c r="D4771">
        <v>4.2831539999999997</v>
      </c>
      <c r="E4771">
        <v>0.64157449999999905</v>
      </c>
      <c r="F4771" t="s">
        <v>42</v>
      </c>
      <c r="G4771">
        <v>-220.98830000000001</v>
      </c>
      <c r="H4771">
        <v>7.9986589999999996E-2</v>
      </c>
      <c r="I4771">
        <v>128.58009999999999</v>
      </c>
      <c r="J4771">
        <v>-193.09540000000001</v>
      </c>
      <c r="K4771">
        <v>1.101963</v>
      </c>
      <c r="L4771">
        <v>154.05420000000001</v>
      </c>
      <c r="M4771">
        <v>-0.24687039999999999</v>
      </c>
      <c r="N4771">
        <v>-1.466274E-2</v>
      </c>
      <c r="O4771">
        <v>-0.96893779999999996</v>
      </c>
      <c r="P4771">
        <v>-0.46010010000000001</v>
      </c>
      <c r="Q4771">
        <v>-9.1943289999999997E-2</v>
      </c>
      <c r="R4771">
        <v>-0.88309380000000004</v>
      </c>
      <c r="S4771">
        <v>-2.3640140000000001</v>
      </c>
      <c r="T4771">
        <v>-8.6499210000000007E-2</v>
      </c>
      <c r="U4771">
        <v>-2.1672820000000002</v>
      </c>
      <c r="V4771">
        <v>0.22628300000000001</v>
      </c>
      <c r="W4771">
        <v>-8.2096100000000005E-2</v>
      </c>
      <c r="X4771">
        <v>0.97059580000000001</v>
      </c>
      <c r="Y4771">
        <v>0.54722579999999998</v>
      </c>
      <c r="Z4771">
        <v>1.4982850000000001E-2</v>
      </c>
      <c r="AA4771">
        <v>0.83685089999999995</v>
      </c>
      <c r="AB4771">
        <v>23</v>
      </c>
      <c r="AC4771">
        <v>-27.892900000000001</v>
      </c>
      <c r="AD4771">
        <v>-1.0219764099999999</v>
      </c>
      <c r="AE4771">
        <v>-25.4741</v>
      </c>
      <c r="AF4771">
        <v>20.724739603316401</v>
      </c>
      <c r="AG4771">
        <v>-1.0219764099999999</v>
      </c>
      <c r="AH4771">
        <v>31.549044822045602</v>
      </c>
      <c r="AI4771">
        <v>91.550857068038198</v>
      </c>
      <c r="AJ4771">
        <v>56.6988700464698</v>
      </c>
      <c r="AK4771">
        <v>37.761110902505401</v>
      </c>
      <c r="AL4771">
        <v>94.709059908285496</v>
      </c>
      <c r="AM4771">
        <v>76.876578825078894</v>
      </c>
      <c r="AN4771">
        <v>0.99999998635092402</v>
      </c>
    </row>
    <row r="4772" spans="1:40" x14ac:dyDescent="0.25">
      <c r="A4772" t="str">
        <f>"20190305135025745"</f>
        <v>20190305135025745</v>
      </c>
      <c r="B4772" t="str">
        <f>"1551765025734613"</f>
        <v>1551765025734613</v>
      </c>
      <c r="C4772" t="s">
        <v>40</v>
      </c>
      <c r="D4772">
        <v>4.2969379999999999</v>
      </c>
      <c r="E4772">
        <v>0.64120250000000001</v>
      </c>
      <c r="F4772" t="s">
        <v>42</v>
      </c>
      <c r="G4772">
        <v>-221.04300000000001</v>
      </c>
      <c r="H4772">
        <v>7.9986559999999998E-2</v>
      </c>
      <c r="I4772">
        <v>128.83099999999999</v>
      </c>
      <c r="J4772">
        <v>-193.13730000000001</v>
      </c>
      <c r="K4772">
        <v>1.1018059999999901</v>
      </c>
      <c r="L4772">
        <v>153.92330000000001</v>
      </c>
      <c r="M4772">
        <v>-0.2542372</v>
      </c>
      <c r="N4772">
        <v>-1.4727169999999999E-2</v>
      </c>
      <c r="O4772">
        <v>-0.9670299</v>
      </c>
      <c r="P4772">
        <v>-0.46759970000000001</v>
      </c>
      <c r="Q4772">
        <v>-9.2018020000000006E-2</v>
      </c>
      <c r="R4772">
        <v>-0.87913790000000003</v>
      </c>
      <c r="S4772">
        <v>-2.3800810000000001</v>
      </c>
      <c r="T4772">
        <v>-8.7033869999999999E-2</v>
      </c>
      <c r="U4772">
        <v>-2.148056</v>
      </c>
      <c r="V4772">
        <v>0.22712689999999999</v>
      </c>
      <c r="W4772">
        <v>-8.2213129999999995E-2</v>
      </c>
      <c r="X4772">
        <v>0.97038880000000005</v>
      </c>
      <c r="Y4772">
        <v>0.54738629999999999</v>
      </c>
      <c r="Z4772">
        <v>1.517745E-2</v>
      </c>
      <c r="AA4772">
        <v>0.83674249999999994</v>
      </c>
      <c r="AB4772">
        <v>23</v>
      </c>
      <c r="AC4772">
        <v>-27.9057</v>
      </c>
      <c r="AD4772">
        <v>-1.02181943999999</v>
      </c>
      <c r="AE4772">
        <v>-25.092299999999899</v>
      </c>
      <c r="AF4772">
        <v>20.593215128610101</v>
      </c>
      <c r="AG4772">
        <v>-1.02181943999999</v>
      </c>
      <c r="AH4772">
        <v>31.3398339570562</v>
      </c>
      <c r="AI4772">
        <v>91.560830171070506</v>
      </c>
      <c r="AJ4772">
        <v>56.691326469610303</v>
      </c>
      <c r="AK4772">
        <v>37.5141282286692</v>
      </c>
      <c r="AL4772">
        <v>94.715787792924999</v>
      </c>
      <c r="AM4772">
        <v>76.826627753652801</v>
      </c>
      <c r="AN4772">
        <v>1.0000000253067201</v>
      </c>
    </row>
    <row r="4773" spans="1:40" x14ac:dyDescent="0.25">
      <c r="A4773" t="str">
        <f>"20190305135025761"</f>
        <v>20190305135025761</v>
      </c>
      <c r="B4773" t="str">
        <f>"1551765025754913"</f>
        <v>1551765025754913</v>
      </c>
      <c r="C4773" t="s">
        <v>40</v>
      </c>
      <c r="D4773">
        <v>4.2694029999999996</v>
      </c>
      <c r="E4773">
        <v>0.64060680000000003</v>
      </c>
      <c r="F4773" t="s">
        <v>42</v>
      </c>
      <c r="G4773">
        <v>-220.51840000000001</v>
      </c>
      <c r="H4773">
        <v>7.1057990000000001E-2</v>
      </c>
      <c r="I4773">
        <v>129.59520000000001</v>
      </c>
      <c r="J4773">
        <v>-193.1874</v>
      </c>
      <c r="K4773">
        <v>1.1016330000000001</v>
      </c>
      <c r="L4773">
        <v>153.77189999999999</v>
      </c>
      <c r="M4773">
        <v>-0.26296609999999998</v>
      </c>
      <c r="N4773">
        <v>-1.480209E-2</v>
      </c>
      <c r="O4773">
        <v>-0.96469170000000004</v>
      </c>
      <c r="P4773">
        <v>-0.4776473</v>
      </c>
      <c r="Q4773">
        <v>-9.3133069999999998E-2</v>
      </c>
      <c r="R4773">
        <v>-0.87360170000000004</v>
      </c>
      <c r="S4773">
        <v>-2.3958590000000002</v>
      </c>
      <c r="T4773">
        <v>-9.0190889999999996E-2</v>
      </c>
      <c r="U4773">
        <v>-2.128708</v>
      </c>
      <c r="V4773">
        <v>0.22945270000000001</v>
      </c>
      <c r="W4773">
        <v>-8.3408179999999998E-2</v>
      </c>
      <c r="X4773">
        <v>0.96973940000000003</v>
      </c>
      <c r="Y4773">
        <v>0.54631700000000005</v>
      </c>
      <c r="Z4773">
        <v>1.6220080000000001E-2</v>
      </c>
      <c r="AA4773">
        <v>0.83742150000000004</v>
      </c>
      <c r="AB4773">
        <v>23</v>
      </c>
      <c r="AC4773">
        <v>-27.331</v>
      </c>
      <c r="AD4773">
        <v>-1.03057501</v>
      </c>
      <c r="AE4773">
        <v>-24.176699999999901</v>
      </c>
      <c r="AF4773">
        <v>19.994576230351399</v>
      </c>
      <c r="AG4773">
        <v>-1.03057501</v>
      </c>
      <c r="AH4773">
        <v>30.489205867189501</v>
      </c>
      <c r="AI4773">
        <v>91.619059870330901</v>
      </c>
      <c r="AJ4773">
        <v>56.743459425085398</v>
      </c>
      <c r="AK4773">
        <v>36.4751537062482</v>
      </c>
      <c r="AL4773">
        <v>94.784495299181799</v>
      </c>
      <c r="AM4773">
        <v>76.687912828734099</v>
      </c>
      <c r="AN4773">
        <v>0.99999998497028098</v>
      </c>
    </row>
    <row r="4774" spans="1:40" x14ac:dyDescent="0.25">
      <c r="A4774" t="str">
        <f>"20190305135025773"</f>
        <v>20190305135025773</v>
      </c>
      <c r="B4774" t="str">
        <f>"1551765025764670"</f>
        <v>1551765025764670</v>
      </c>
      <c r="C4774" t="s">
        <v>40</v>
      </c>
      <c r="D4774">
        <v>4.2927150000000003</v>
      </c>
      <c r="E4774">
        <v>0.6402736</v>
      </c>
      <c r="F4774" t="s">
        <v>42</v>
      </c>
      <c r="G4774">
        <v>-220.35489999999999</v>
      </c>
      <c r="H4774" s="1">
        <v>-5.8030659999999999E-6</v>
      </c>
      <c r="I4774">
        <v>130.12809999999999</v>
      </c>
      <c r="J4774">
        <v>-193.22720000000001</v>
      </c>
      <c r="K4774">
        <v>1.10149599999999</v>
      </c>
      <c r="L4774">
        <v>153.65459999999999</v>
      </c>
      <c r="M4774">
        <v>-0.2698354</v>
      </c>
      <c r="N4774">
        <v>-1.485971E-2</v>
      </c>
      <c r="O4774">
        <v>-0.96279199999999998</v>
      </c>
      <c r="P4774">
        <v>-0.48490240000000001</v>
      </c>
      <c r="Q4774">
        <v>-9.3656790000000004E-2</v>
      </c>
      <c r="R4774">
        <v>-0.86953919999999996</v>
      </c>
      <c r="S4774">
        <v>-2.4160159999999999</v>
      </c>
      <c r="T4774">
        <v>-9.7969410000000007E-2</v>
      </c>
      <c r="U4774">
        <v>-2.102646</v>
      </c>
      <c r="V4774">
        <v>0.2305893</v>
      </c>
      <c r="W4774">
        <v>-8.3978120000000003E-2</v>
      </c>
      <c r="X4774">
        <v>0.96942059999999997</v>
      </c>
      <c r="Y4774">
        <v>0.54889589999999999</v>
      </c>
      <c r="Z4774">
        <v>1.8802340000000001E-2</v>
      </c>
      <c r="AA4774">
        <v>0.83567919999999996</v>
      </c>
      <c r="AB4774">
        <v>23</v>
      </c>
      <c r="AC4774">
        <v>-27.127699999999901</v>
      </c>
      <c r="AD4774">
        <v>-1.10150180306599</v>
      </c>
      <c r="AE4774">
        <v>-23.526499999999999</v>
      </c>
      <c r="AF4774">
        <v>19.753641470988999</v>
      </c>
      <c r="AG4774">
        <v>-1.10150180306599</v>
      </c>
      <c r="AH4774">
        <v>29.946264650643101</v>
      </c>
      <c r="AI4774">
        <v>91.758671237478197</v>
      </c>
      <c r="AJ4774">
        <v>56.589709083141599</v>
      </c>
      <c r="AK4774">
        <v>35.8914812192656</v>
      </c>
      <c r="AL4774">
        <v>94.817265235919706</v>
      </c>
      <c r="AM4774">
        <v>76.620094874864606</v>
      </c>
      <c r="AN4774">
        <v>1.0000000248087899</v>
      </c>
    </row>
    <row r="4775" spans="1:40" x14ac:dyDescent="0.25">
      <c r="A4775" t="str">
        <f>"20190305135025784"</f>
        <v>20190305135025784</v>
      </c>
      <c r="B4775" t="str">
        <f>"1551765025774431"</f>
        <v>1551765025774431</v>
      </c>
      <c r="C4775" t="s">
        <v>40</v>
      </c>
      <c r="D4775">
        <v>4.2979779999999996</v>
      </c>
      <c r="E4775">
        <v>0.63992890000000002</v>
      </c>
      <c r="F4775" t="s">
        <v>42</v>
      </c>
      <c r="G4775">
        <v>-219.8382</v>
      </c>
      <c r="H4775" s="1">
        <v>-2.3792739999999999E-6</v>
      </c>
      <c r="I4775">
        <v>130.8484</v>
      </c>
      <c r="J4775">
        <v>-193.26599999999999</v>
      </c>
      <c r="K4775">
        <v>1.101372</v>
      </c>
      <c r="L4775">
        <v>153.54399999999899</v>
      </c>
      <c r="M4775">
        <v>-0.27646949999999998</v>
      </c>
      <c r="N4775">
        <v>-1.491487E-2</v>
      </c>
      <c r="O4775">
        <v>-0.96090690000000001</v>
      </c>
      <c r="P4775">
        <v>-0.49173879999999998</v>
      </c>
      <c r="Q4775">
        <v>-9.4544340000000004E-2</v>
      </c>
      <c r="R4775">
        <v>-0.86559489999999994</v>
      </c>
      <c r="S4775">
        <v>-2.4311219999999998</v>
      </c>
      <c r="T4775">
        <v>-0.1006306</v>
      </c>
      <c r="U4775">
        <v>-2.0835270000000001</v>
      </c>
      <c r="V4775">
        <v>0.23152420000000001</v>
      </c>
      <c r="W4775">
        <v>-8.4905510000000003E-2</v>
      </c>
      <c r="X4775">
        <v>0.96911689999999995</v>
      </c>
      <c r="Y4775">
        <v>0.54946700000000004</v>
      </c>
      <c r="Z4775">
        <v>1.9696419999999999E-2</v>
      </c>
      <c r="AA4775">
        <v>0.8352832</v>
      </c>
      <c r="AB4775">
        <v>23</v>
      </c>
      <c r="AC4775">
        <v>-26.572199999999999</v>
      </c>
      <c r="AD4775">
        <v>-1.1013743792739901</v>
      </c>
      <c r="AE4775">
        <v>-22.695599999999899</v>
      </c>
      <c r="AF4775">
        <v>19.241799038836</v>
      </c>
      <c r="AG4775">
        <v>-1.1013743792739901</v>
      </c>
      <c r="AH4775">
        <v>29.1290714050538</v>
      </c>
      <c r="AI4775">
        <v>91.806992418639496</v>
      </c>
      <c r="AJ4775">
        <v>56.552434265934103</v>
      </c>
      <c r="AK4775">
        <v>34.9279638211991</v>
      </c>
      <c r="AL4775">
        <v>94.870591430463307</v>
      </c>
      <c r="AM4775">
        <v>76.563752876658</v>
      </c>
      <c r="AN4775">
        <v>0.999999983339804</v>
      </c>
    </row>
    <row r="4776" spans="1:40" x14ac:dyDescent="0.25">
      <c r="A4776" t="str">
        <f>"20190305135025794"</f>
        <v>20190305135025794</v>
      </c>
      <c r="B4776" t="str">
        <f>"1551765025785166"</f>
        <v>1551765025785166</v>
      </c>
      <c r="C4776" t="s">
        <v>40</v>
      </c>
      <c r="D4776">
        <v>4.2757670000000001</v>
      </c>
      <c r="E4776">
        <v>0.63964169999999998</v>
      </c>
      <c r="F4776" t="s">
        <v>42</v>
      </c>
      <c r="G4776">
        <v>-219.3443</v>
      </c>
      <c r="H4776" s="1">
        <v>-2.39224E-6</v>
      </c>
      <c r="I4776">
        <v>131.51249999999999</v>
      </c>
      <c r="J4776">
        <v>-193.30179999999999</v>
      </c>
      <c r="K4776">
        <v>1.101256</v>
      </c>
      <c r="L4776">
        <v>153.44370000000001</v>
      </c>
      <c r="M4776">
        <v>-0.28256300000000001</v>
      </c>
      <c r="N4776">
        <v>-1.4964649999999999E-2</v>
      </c>
      <c r="O4776">
        <v>-0.95913210000000004</v>
      </c>
      <c r="P4776">
        <v>-0.49828499999999998</v>
      </c>
      <c r="Q4776">
        <v>-9.4721420000000001E-2</v>
      </c>
      <c r="R4776">
        <v>-0.86182359999999902</v>
      </c>
      <c r="S4776">
        <v>-2.4449619999999999</v>
      </c>
      <c r="T4776">
        <v>-0.1032588</v>
      </c>
      <c r="U4776">
        <v>-2.0655519999999998</v>
      </c>
      <c r="V4776">
        <v>0.23269570000000001</v>
      </c>
      <c r="W4776">
        <v>-8.5125549999999994E-2</v>
      </c>
      <c r="X4776">
        <v>0.96881700000000004</v>
      </c>
      <c r="Y4776">
        <v>0.55005909999999902</v>
      </c>
      <c r="Z4776">
        <v>2.0580890000000001E-2</v>
      </c>
      <c r="AA4776">
        <v>0.83487210000000001</v>
      </c>
      <c r="AB4776">
        <v>23</v>
      </c>
      <c r="AC4776">
        <v>-26.0425</v>
      </c>
      <c r="AD4776">
        <v>-1.1012583922399899</v>
      </c>
      <c r="AE4776">
        <v>-21.9312</v>
      </c>
      <c r="AF4776">
        <v>18.763722672029399</v>
      </c>
      <c r="AG4776">
        <v>-1.1012583922399899</v>
      </c>
      <c r="AH4776">
        <v>28.367063863985202</v>
      </c>
      <c r="AI4776">
        <v>91.854543826058105</v>
      </c>
      <c r="AJ4776">
        <v>56.516895645389603</v>
      </c>
      <c r="AK4776">
        <v>34.029110638139301</v>
      </c>
      <c r="AL4776">
        <v>94.883244454255205</v>
      </c>
      <c r="AM4776">
        <v>76.494222970099898</v>
      </c>
      <c r="AN4776">
        <v>1.0000000137751399</v>
      </c>
    </row>
    <row r="4777" spans="1:40" x14ac:dyDescent="0.25">
      <c r="A4777" t="str">
        <f>"20190305135025805"</f>
        <v>20190305135025805</v>
      </c>
      <c r="B4777" t="str">
        <f>"1551765025794926"</f>
        <v>1551765025794926</v>
      </c>
      <c r="C4777" t="s">
        <v>40</v>
      </c>
      <c r="D4777">
        <v>4.3007559999999998</v>
      </c>
      <c r="E4777">
        <v>0.63927119999999904</v>
      </c>
      <c r="F4777" t="s">
        <v>42</v>
      </c>
      <c r="G4777">
        <v>-219.2287</v>
      </c>
      <c r="H4777" s="1">
        <v>-2.34813E-6</v>
      </c>
      <c r="I4777">
        <v>131.845</v>
      </c>
      <c r="J4777">
        <v>-193.34039999999999</v>
      </c>
      <c r="K4777">
        <v>1.101138</v>
      </c>
      <c r="L4777">
        <v>153.33860000000001</v>
      </c>
      <c r="M4777">
        <v>-0.28905219999999998</v>
      </c>
      <c r="N4777">
        <v>-1.501689E-2</v>
      </c>
      <c r="O4777">
        <v>-0.95719560000000004</v>
      </c>
      <c r="P4777">
        <v>-0.50501200000000002</v>
      </c>
      <c r="Q4777">
        <v>-9.5005870000000006E-2</v>
      </c>
      <c r="R4777">
        <v>-0.85786770000000001</v>
      </c>
      <c r="S4777">
        <v>-2.4584809999999999</v>
      </c>
      <c r="T4777">
        <v>-0.1044252</v>
      </c>
      <c r="U4777">
        <v>-2.0480649999999998</v>
      </c>
      <c r="V4777">
        <v>0.2336925</v>
      </c>
      <c r="W4777">
        <v>-8.5449170000000005E-2</v>
      </c>
      <c r="X4777">
        <v>0.96854850000000003</v>
      </c>
      <c r="Y4777">
        <v>0.55015729999999996</v>
      </c>
      <c r="Z4777">
        <v>2.098409E-2</v>
      </c>
      <c r="AA4777">
        <v>0.83479729999999996</v>
      </c>
      <c r="AB4777">
        <v>23</v>
      </c>
      <c r="AC4777">
        <v>-25.888300000000001</v>
      </c>
      <c r="AD4777">
        <v>-1.1011403481299999</v>
      </c>
      <c r="AE4777">
        <v>-21.493600000000001</v>
      </c>
      <c r="AF4777">
        <v>18.549621701057099</v>
      </c>
      <c r="AG4777">
        <v>-1.1011403481299999</v>
      </c>
      <c r="AH4777">
        <v>28.029793480020899</v>
      </c>
      <c r="AI4777">
        <v>91.876365074315004</v>
      </c>
      <c r="AJ4777">
        <v>56.504113562209497</v>
      </c>
      <c r="AK4777">
        <v>33.629901841236901</v>
      </c>
      <c r="AL4777">
        <v>94.901854531286105</v>
      </c>
      <c r="AM4777">
        <v>76.434880033187696</v>
      </c>
      <c r="AN4777">
        <v>0.99999997103109395</v>
      </c>
    </row>
    <row r="4778" spans="1:40" x14ac:dyDescent="0.25">
      <c r="A4778" t="str">
        <f>"20190305135025816"</f>
        <v>20190305135025816</v>
      </c>
      <c r="B4778" t="str">
        <f>"1551765025804686"</f>
        <v>1551765025804686</v>
      </c>
      <c r="C4778" t="s">
        <v>40</v>
      </c>
      <c r="D4778">
        <v>4.3291740000000001</v>
      </c>
      <c r="E4778">
        <v>0.63888840000000002</v>
      </c>
      <c r="F4778" t="s">
        <v>42</v>
      </c>
      <c r="G4778">
        <v>-218.8074</v>
      </c>
      <c r="H4778" s="1">
        <v>-2.3566520000000002E-6</v>
      </c>
      <c r="I4778">
        <v>132.42099999999999</v>
      </c>
      <c r="J4778">
        <v>-193.3792</v>
      </c>
      <c r="K4778">
        <v>1.1010249999999999</v>
      </c>
      <c r="L4778">
        <v>153.2354</v>
      </c>
      <c r="M4778">
        <v>-0.29552850000000003</v>
      </c>
      <c r="N4778">
        <v>-1.506829E-2</v>
      </c>
      <c r="O4778">
        <v>-0.95521520000000004</v>
      </c>
      <c r="P4778">
        <v>-0.5120595</v>
      </c>
      <c r="Q4778">
        <v>-9.5478519999999997E-2</v>
      </c>
      <c r="R4778">
        <v>-0.85362729999999998</v>
      </c>
      <c r="S4778">
        <v>-2.4717099999999999</v>
      </c>
      <c r="T4778">
        <v>-0.1068712</v>
      </c>
      <c r="U4778">
        <v>-2.030151</v>
      </c>
      <c r="V4778">
        <v>0.23508960000000001</v>
      </c>
      <c r="W4778">
        <v>-8.5970519999999995E-2</v>
      </c>
      <c r="X4778">
        <v>0.96816420000000003</v>
      </c>
      <c r="Y4778">
        <v>0.55028739999999998</v>
      </c>
      <c r="Z4778">
        <v>2.1808899999999999E-2</v>
      </c>
      <c r="AA4778">
        <v>0.8346905</v>
      </c>
      <c r="AB4778">
        <v>23</v>
      </c>
      <c r="AC4778">
        <v>-25.4282</v>
      </c>
      <c r="AD4778">
        <v>-1.1010273566519999</v>
      </c>
      <c r="AE4778">
        <v>-20.814399999999999</v>
      </c>
      <c r="AF4778">
        <v>18.1198701463837</v>
      </c>
      <c r="AG4778">
        <v>-1.1010273566519999</v>
      </c>
      <c r="AH4778">
        <v>27.369370885850898</v>
      </c>
      <c r="AI4778">
        <v>91.9211753344172</v>
      </c>
      <c r="AJ4778">
        <v>56.4934808053574</v>
      </c>
      <c r="AK4778">
        <v>32.842417968979802</v>
      </c>
      <c r="AL4778">
        <v>94.931835949448498</v>
      </c>
      <c r="AM4778">
        <v>76.351592220613796</v>
      </c>
      <c r="AN4778">
        <v>0.99999998424943504</v>
      </c>
    </row>
    <row r="4779" spans="1:40" x14ac:dyDescent="0.25">
      <c r="A4779" t="str">
        <f>"20190305135025827"</f>
        <v>20190305135025827</v>
      </c>
      <c r="B4779" t="str">
        <f>"1551765025825182"</f>
        <v>1551765025825182</v>
      </c>
      <c r="C4779" t="s">
        <v>40</v>
      </c>
      <c r="D4779">
        <v>4.3136279999999996</v>
      </c>
      <c r="E4779">
        <v>0.63884629999999998</v>
      </c>
      <c r="F4779" t="s">
        <v>42</v>
      </c>
      <c r="G4779">
        <v>-218.1113</v>
      </c>
      <c r="H4779" s="1">
        <v>-2.408573E-6</v>
      </c>
      <c r="I4779">
        <v>133.23060000000001</v>
      </c>
      <c r="J4779">
        <v>-193.42240000000001</v>
      </c>
      <c r="K4779">
        <v>1.100902</v>
      </c>
      <c r="L4779">
        <v>153.1224</v>
      </c>
      <c r="M4779">
        <v>-0.30268990000000001</v>
      </c>
      <c r="N4779">
        <v>-1.5123910000000001E-2</v>
      </c>
      <c r="O4779">
        <v>-0.95296910000000001</v>
      </c>
      <c r="P4779">
        <v>-0.51963210000000004</v>
      </c>
      <c r="Q4779">
        <v>-9.5578529999999995E-2</v>
      </c>
      <c r="R4779">
        <v>-0.84902739999999999</v>
      </c>
      <c r="S4779">
        <v>-2.4859619999999998</v>
      </c>
      <c r="T4779">
        <v>-0.11067009999999999</v>
      </c>
      <c r="U4779">
        <v>-2.0107879999999998</v>
      </c>
      <c r="V4779">
        <v>0.23640929999999999</v>
      </c>
      <c r="W4779">
        <v>-8.6118650000000005E-2</v>
      </c>
      <c r="X4779">
        <v>0.96782959999999996</v>
      </c>
      <c r="Y4779">
        <v>0.55026160000000002</v>
      </c>
      <c r="Z4779">
        <v>2.307534E-2</v>
      </c>
      <c r="AA4779">
        <v>0.83467349999999996</v>
      </c>
      <c r="AB4779">
        <v>23</v>
      </c>
      <c r="AC4779">
        <v>-24.688899999999901</v>
      </c>
      <c r="AD4779">
        <v>-1.100904408573</v>
      </c>
      <c r="AE4779">
        <v>-19.8917999999999</v>
      </c>
      <c r="AF4779">
        <v>17.487629597932798</v>
      </c>
      <c r="AG4779">
        <v>-1.100904408573</v>
      </c>
      <c r="AH4779">
        <v>26.400543503501801</v>
      </c>
      <c r="AI4779">
        <v>91.991081031213795</v>
      </c>
      <c r="AJ4779">
        <v>56.479645220924702</v>
      </c>
      <c r="AK4779">
        <v>31.686241126893002</v>
      </c>
      <c r="AL4779">
        <v>94.940354903104094</v>
      </c>
      <c r="AM4779">
        <v>76.273299563932497</v>
      </c>
      <c r="AN4779">
        <v>0.99999995682023501</v>
      </c>
    </row>
    <row r="4780" spans="1:40" x14ac:dyDescent="0.25">
      <c r="A4780" t="str">
        <f>"20190305135025838"</f>
        <v>20190305135025838</v>
      </c>
      <c r="B4780" t="str">
        <f>"1551765025834942"</f>
        <v>1551765025834942</v>
      </c>
      <c r="C4780" t="s">
        <v>40</v>
      </c>
      <c r="D4780">
        <v>4.5061439999999999</v>
      </c>
      <c r="E4780">
        <v>0.68997600000000003</v>
      </c>
      <c r="F4780" t="s">
        <v>42</v>
      </c>
      <c r="G4780">
        <v>-218.58279999999999</v>
      </c>
      <c r="H4780" s="1">
        <v>-2.2534520000000001E-6</v>
      </c>
      <c r="I4780">
        <v>133.13310000000001</v>
      </c>
      <c r="J4780">
        <v>-193.4632</v>
      </c>
      <c r="K4780">
        <v>1.1007979999999999</v>
      </c>
      <c r="L4780">
        <v>153.01949999999999</v>
      </c>
      <c r="M4780">
        <v>-0.30937189999999998</v>
      </c>
      <c r="N4780">
        <v>-1.517547E-2</v>
      </c>
      <c r="O4780">
        <v>-0.9508202</v>
      </c>
      <c r="P4780">
        <v>-0.52686409999999995</v>
      </c>
      <c r="Q4780">
        <v>-9.5641030000000002E-2</v>
      </c>
      <c r="R4780">
        <v>-0.84455159999999996</v>
      </c>
      <c r="S4780">
        <v>-2.5034640000000001</v>
      </c>
      <c r="T4780">
        <v>-0.1095401</v>
      </c>
      <c r="U4780">
        <v>-1.988937</v>
      </c>
      <c r="V4780">
        <v>0.23785800000000001</v>
      </c>
      <c r="W4780">
        <v>-8.6230109999999999E-2</v>
      </c>
      <c r="X4780">
        <v>0.96746469999999996</v>
      </c>
      <c r="Y4780">
        <v>0.55171490000000001</v>
      </c>
      <c r="Z4780">
        <v>2.2735189999999999E-2</v>
      </c>
      <c r="AA4780">
        <v>0.83372279999999999</v>
      </c>
      <c r="AB4780">
        <v>23</v>
      </c>
      <c r="AC4780">
        <v>-25.119599999999899</v>
      </c>
      <c r="AD4780">
        <v>-1.1008002534519901</v>
      </c>
      <c r="AE4780">
        <v>-19.886399999999899</v>
      </c>
      <c r="AF4780">
        <v>17.713058409284098</v>
      </c>
      <c r="AG4780">
        <v>-1.1008002534519901</v>
      </c>
      <c r="AH4780">
        <v>26.6512951523233</v>
      </c>
      <c r="AI4780">
        <v>91.970156096100794</v>
      </c>
      <c r="AJ4780">
        <v>56.3910816139392</v>
      </c>
      <c r="AK4780">
        <v>32.019614811939299</v>
      </c>
      <c r="AL4780">
        <v>94.946764707382201</v>
      </c>
      <c r="AM4780">
        <v>76.187384748015205</v>
      </c>
      <c r="AN4780">
        <v>1.00000000289035</v>
      </c>
    </row>
    <row r="4781" spans="1:40" x14ac:dyDescent="0.25">
      <c r="A4781" t="str">
        <f>"20190305135025850"</f>
        <v>20190305135025850</v>
      </c>
      <c r="B4781" t="str">
        <f>"1551765025845362"</f>
        <v>1551765025845362</v>
      </c>
      <c r="C4781" t="s">
        <v>40</v>
      </c>
      <c r="D4781">
        <v>4.4971030000000001</v>
      </c>
      <c r="E4781">
        <v>0.70473189999999997</v>
      </c>
      <c r="F4781" t="s">
        <v>94</v>
      </c>
      <c r="G4781">
        <v>-206.31030000000001</v>
      </c>
      <c r="H4781" s="1">
        <v>-8.4923959999999993E-6</v>
      </c>
      <c r="I4781">
        <v>145.2527</v>
      </c>
      <c r="J4781">
        <v>-193.5067</v>
      </c>
      <c r="K4781">
        <v>1.1006849999999999</v>
      </c>
      <c r="L4781">
        <v>152.91069999999999</v>
      </c>
      <c r="M4781">
        <v>-0.3164614</v>
      </c>
      <c r="N4781">
        <v>-1.52287E-2</v>
      </c>
      <c r="O4781">
        <v>-0.94848310000000002</v>
      </c>
      <c r="P4781">
        <v>-0.53413920000000004</v>
      </c>
      <c r="Q4781">
        <v>-9.5759789999999997E-2</v>
      </c>
      <c r="R4781">
        <v>-0.83995560000000002</v>
      </c>
      <c r="S4781">
        <v>-2.8690639999999998</v>
      </c>
      <c r="T4781">
        <v>-0.245837</v>
      </c>
      <c r="U4781">
        <v>-1.7345119999999901</v>
      </c>
      <c r="V4781">
        <v>0.23896899999999999</v>
      </c>
      <c r="W4781">
        <v>-8.6391659999999995E-2</v>
      </c>
      <c r="X4781">
        <v>0.96717640000000005</v>
      </c>
      <c r="Y4781">
        <v>0.64586750000000004</v>
      </c>
      <c r="Z4781">
        <v>6.5229319999999993E-2</v>
      </c>
      <c r="AA4781">
        <v>0.76065780000000005</v>
      </c>
      <c r="AB4781">
        <v>22</v>
      </c>
      <c r="AC4781">
        <v>-12.803599999999999</v>
      </c>
      <c r="AD4781">
        <v>-1.1006934923959999</v>
      </c>
      <c r="AE4781">
        <v>-7.6579999999999799</v>
      </c>
      <c r="AF4781">
        <v>9.6690343146560007</v>
      </c>
      <c r="AG4781">
        <v>-1.1006934923959999</v>
      </c>
      <c r="AH4781">
        <v>11.2553765413479</v>
      </c>
      <c r="AI4781">
        <v>94.242399830840398</v>
      </c>
      <c r="AJ4781">
        <v>49.335471060327599</v>
      </c>
      <c r="AK4781">
        <v>14.8790205265576</v>
      </c>
      <c r="AL4781">
        <v>94.956055797626206</v>
      </c>
      <c r="AM4781">
        <v>76.121379434682098</v>
      </c>
      <c r="AN4781">
        <v>0.99999994529775604</v>
      </c>
    </row>
    <row r="4782" spans="1:40" x14ac:dyDescent="0.25">
      <c r="A4782" t="str">
        <f>"20190305135025860"</f>
        <v>20190305135025860</v>
      </c>
      <c r="B4782" t="str">
        <f>"1551765025855122"</f>
        <v>1551765025855122</v>
      </c>
      <c r="C4782" t="s">
        <v>40</v>
      </c>
      <c r="D4782">
        <v>4.5487970000000004</v>
      </c>
      <c r="E4782">
        <v>0.71314639999999996</v>
      </c>
      <c r="F4782" t="s">
        <v>94</v>
      </c>
      <c r="G4782">
        <v>-203.7611</v>
      </c>
      <c r="H4782" s="1">
        <v>-1.0081270000000001E-5</v>
      </c>
      <c r="I4782">
        <v>147.2852</v>
      </c>
      <c r="J4782">
        <v>-193.55410000000001</v>
      </c>
      <c r="K4782">
        <v>1.100571</v>
      </c>
      <c r="L4782">
        <v>152.797</v>
      </c>
      <c r="M4782">
        <v>-0.32407219999999998</v>
      </c>
      <c r="N4782">
        <v>-1.52862E-2</v>
      </c>
      <c r="O4782">
        <v>-0.945909</v>
      </c>
      <c r="P4782">
        <v>-0.54164559999999995</v>
      </c>
      <c r="Q4782">
        <v>-9.6073610000000004E-2</v>
      </c>
      <c r="R4782">
        <v>-0.83509889999999998</v>
      </c>
      <c r="S4782">
        <v>-2.9844210000000002</v>
      </c>
      <c r="T4782">
        <v>-0.3203452</v>
      </c>
      <c r="U4782">
        <v>-1.637238</v>
      </c>
      <c r="V4782">
        <v>0.2398457</v>
      </c>
      <c r="W4782">
        <v>-8.674055E-2</v>
      </c>
      <c r="X4782">
        <v>0.96692820000000002</v>
      </c>
      <c r="Y4782">
        <v>0.66968309999999998</v>
      </c>
      <c r="Z4782">
        <v>8.7875110000000006E-2</v>
      </c>
      <c r="AA4782">
        <v>0.73742959999999902</v>
      </c>
      <c r="AB4782">
        <v>22</v>
      </c>
      <c r="AC4782">
        <v>-10.206999999999899</v>
      </c>
      <c r="AD4782">
        <v>-1.1005810812700001</v>
      </c>
      <c r="AE4782">
        <v>-5.5117999999999903</v>
      </c>
      <c r="AF4782">
        <v>7.7993835059068299</v>
      </c>
      <c r="AG4782">
        <v>-1.1005810812700001</v>
      </c>
      <c r="AH4782">
        <v>8.4464294116811001</v>
      </c>
      <c r="AI4782">
        <v>95.468303321486005</v>
      </c>
      <c r="AJ4782">
        <v>47.280797847520198</v>
      </c>
      <c r="AK4782">
        <v>11.549191815671399</v>
      </c>
      <c r="AL4782">
        <v>94.976120706419906</v>
      </c>
      <c r="AM4782">
        <v>76.069006180609307</v>
      </c>
      <c r="AN4782">
        <v>1.0000000133890099</v>
      </c>
    </row>
    <row r="4783" spans="1:40" x14ac:dyDescent="0.25">
      <c r="A4783" t="str">
        <f>"20190305135025872"</f>
        <v>20190305135025872</v>
      </c>
      <c r="B4783" t="str">
        <f>"1551765025864882"</f>
        <v>1551765025864882</v>
      </c>
      <c r="C4783" t="s">
        <v>40</v>
      </c>
      <c r="D4783">
        <v>4.5218829999999999</v>
      </c>
      <c r="E4783">
        <v>0.71748319999999999</v>
      </c>
      <c r="F4783" t="s">
        <v>94</v>
      </c>
      <c r="G4783">
        <v>-203.0205</v>
      </c>
      <c r="H4783" s="1">
        <v>-1.0603E-5</v>
      </c>
      <c r="I4783">
        <v>147.935</v>
      </c>
      <c r="J4783">
        <v>-193.5967</v>
      </c>
      <c r="K4783">
        <v>1.100473</v>
      </c>
      <c r="L4783">
        <v>152.696</v>
      </c>
      <c r="M4783">
        <v>-0.33086840000000001</v>
      </c>
      <c r="N4783">
        <v>-1.5336219999999999E-2</v>
      </c>
      <c r="O4783">
        <v>-0.94355230000000001</v>
      </c>
      <c r="P4783">
        <v>-0.548238</v>
      </c>
      <c r="Q4783">
        <v>-9.6762790000000001E-2</v>
      </c>
      <c r="R4783">
        <v>-0.8307061</v>
      </c>
      <c r="S4783">
        <v>-3.055847</v>
      </c>
      <c r="T4783">
        <v>-0.35527789999999998</v>
      </c>
      <c r="U4783">
        <v>-1.569504</v>
      </c>
      <c r="V4783">
        <v>0.24053179999999999</v>
      </c>
      <c r="W4783">
        <v>-8.7459750000000003E-2</v>
      </c>
      <c r="X4783">
        <v>0.96669289999999997</v>
      </c>
      <c r="Y4783">
        <v>0.6834363</v>
      </c>
      <c r="Z4783">
        <v>9.8224039999999999E-2</v>
      </c>
      <c r="AA4783">
        <v>0.72337189999999996</v>
      </c>
      <c r="AB4783">
        <v>22</v>
      </c>
      <c r="AC4783">
        <v>-9.4238</v>
      </c>
      <c r="AD4783">
        <v>-1.100483603</v>
      </c>
      <c r="AE4783">
        <v>-4.7609999999999904</v>
      </c>
      <c r="AF4783">
        <v>7.2388019060718403</v>
      </c>
      <c r="AG4783">
        <v>-1.100483603</v>
      </c>
      <c r="AH4783">
        <v>7.5293859609650902</v>
      </c>
      <c r="AI4783">
        <v>96.014652513699303</v>
      </c>
      <c r="AJ4783">
        <v>46.127226437986103</v>
      </c>
      <c r="AK4783">
        <v>10.5025220849565</v>
      </c>
      <c r="AL4783">
        <v>95.017485308662202</v>
      </c>
      <c r="AM4783">
        <v>76.027446794832002</v>
      </c>
      <c r="AN4783">
        <v>0.99999995879585502</v>
      </c>
    </row>
    <row r="4784" spans="1:40" x14ac:dyDescent="0.25">
      <c r="A4784" t="str">
        <f>"20190305135025883"</f>
        <v>20190305135025883</v>
      </c>
      <c r="B4784" t="str">
        <f>"1551765025874643"</f>
        <v>1551765025874643</v>
      </c>
      <c r="C4784" t="s">
        <v>40</v>
      </c>
      <c r="D4784">
        <v>4.4978579999999999</v>
      </c>
      <c r="E4784">
        <v>0.71931460000000003</v>
      </c>
      <c r="F4784" t="s">
        <v>94</v>
      </c>
      <c r="G4784">
        <v>-202.63730000000001</v>
      </c>
      <c r="H4784" s="1">
        <v>-1.086682E-5</v>
      </c>
      <c r="I4784">
        <v>148.25059999999999</v>
      </c>
      <c r="J4784">
        <v>-193.64429999999999</v>
      </c>
      <c r="K4784">
        <v>1.1003700000000001</v>
      </c>
      <c r="L4784">
        <v>152.5865</v>
      </c>
      <c r="M4784">
        <v>-0.33837699999999998</v>
      </c>
      <c r="N4784">
        <v>-1.539105E-2</v>
      </c>
      <c r="O4784">
        <v>-0.94088479999999997</v>
      </c>
      <c r="P4784">
        <v>-0.55505689999999996</v>
      </c>
      <c r="Q4784">
        <v>-9.6968139999999994E-2</v>
      </c>
      <c r="R4784">
        <v>-0.82614120000000002</v>
      </c>
      <c r="S4784">
        <v>-3.0975950000000001</v>
      </c>
      <c r="T4784">
        <v>-0.3770599</v>
      </c>
      <c r="U4784">
        <v>-1.5231479999999999</v>
      </c>
      <c r="V4784">
        <v>0.24076710000000001</v>
      </c>
      <c r="W4784">
        <v>-8.7679720000000003E-2</v>
      </c>
      <c r="X4784">
        <v>0.96661439999999998</v>
      </c>
      <c r="Y4784">
        <v>0.68962970000000001</v>
      </c>
      <c r="Z4784">
        <v>0.10468330000000001</v>
      </c>
      <c r="AA4784">
        <v>0.71655579999999996</v>
      </c>
      <c r="AB4784">
        <v>22</v>
      </c>
      <c r="AC4784">
        <v>-8.9930000000000199</v>
      </c>
      <c r="AD4784">
        <v>-1.1003808668199999</v>
      </c>
      <c r="AE4784">
        <v>-4.3358999999999996</v>
      </c>
      <c r="AF4784">
        <v>6.91108080375498</v>
      </c>
      <c r="AG4784">
        <v>-1.1003808668199999</v>
      </c>
      <c r="AH4784">
        <v>7.0379533575876696</v>
      </c>
      <c r="AI4784">
        <v>96.365413429226194</v>
      </c>
      <c r="AJ4784">
        <v>45.521115751949203</v>
      </c>
      <c r="AK4784">
        <v>9.9250523117852492</v>
      </c>
      <c r="AL4784">
        <v>95.030137239375094</v>
      </c>
      <c r="AM4784">
        <v>76.013223215421306</v>
      </c>
      <c r="AN4784">
        <v>0.99999996401452296</v>
      </c>
    </row>
    <row r="4785" spans="1:40" x14ac:dyDescent="0.25">
      <c r="A4785" t="str">
        <f>"20190305135025896"</f>
        <v>20190305135025896</v>
      </c>
      <c r="B4785" t="str">
        <f>"1551765025884402"</f>
        <v>1551765025884402</v>
      </c>
      <c r="C4785" t="s">
        <v>40</v>
      </c>
      <c r="D4785">
        <v>4.459511</v>
      </c>
      <c r="E4785">
        <v>0.72035519999999997</v>
      </c>
      <c r="F4785" t="s">
        <v>94</v>
      </c>
      <c r="G4785">
        <v>-202.56489999999999</v>
      </c>
      <c r="H4785" s="1">
        <v>-1.0924029999999999E-5</v>
      </c>
      <c r="I4785">
        <v>148.33500000000001</v>
      </c>
      <c r="J4785">
        <v>-193.6917</v>
      </c>
      <c r="K4785">
        <v>1.100274</v>
      </c>
      <c r="L4785">
        <v>152.47980000000001</v>
      </c>
      <c r="M4785">
        <v>-0.3457711</v>
      </c>
      <c r="N4785">
        <v>-1.544384E-2</v>
      </c>
      <c r="O4785">
        <v>-0.93819189999999997</v>
      </c>
      <c r="P4785">
        <v>-0.56146430000000003</v>
      </c>
      <c r="Q4785">
        <v>-9.7395960000000004E-2</v>
      </c>
      <c r="R4785">
        <v>-0.82174939999999996</v>
      </c>
      <c r="S4785">
        <v>-3.1225589999999999</v>
      </c>
      <c r="T4785">
        <v>-0.38517839999999998</v>
      </c>
      <c r="U4785">
        <v>-1.488205</v>
      </c>
      <c r="V4785">
        <v>0.24066419999999999</v>
      </c>
      <c r="W4785">
        <v>-8.8112209999999996E-2</v>
      </c>
      <c r="X4785">
        <v>0.96660069999999998</v>
      </c>
      <c r="Y4785">
        <v>0.69248609999999999</v>
      </c>
      <c r="Z4785">
        <v>0.10711270000000001</v>
      </c>
      <c r="AA4785">
        <v>0.71343519999999905</v>
      </c>
      <c r="AB4785">
        <v>22</v>
      </c>
      <c r="AC4785">
        <v>-8.87319999999999</v>
      </c>
      <c r="AD4785">
        <v>-1.1002849240299999</v>
      </c>
      <c r="AE4785">
        <v>-4.1448</v>
      </c>
      <c r="AF4785">
        <v>6.8065208222441296</v>
      </c>
      <c r="AG4785">
        <v>-1.1002849240299999</v>
      </c>
      <c r="AH4785">
        <v>6.8708186055239198</v>
      </c>
      <c r="AI4785">
        <v>96.490425000794701</v>
      </c>
      <c r="AJ4785">
        <v>45.269348033312703</v>
      </c>
      <c r="AK4785">
        <v>9.7338327973981702</v>
      </c>
      <c r="AL4785">
        <v>95.055013361301107</v>
      </c>
      <c r="AM4785">
        <v>76.018776027826704</v>
      </c>
      <c r="AN4785">
        <v>0.99999996597660601</v>
      </c>
    </row>
    <row r="4786" spans="1:40" x14ac:dyDescent="0.25">
      <c r="A4786" t="str">
        <f>"20190305135025908"</f>
        <v>20190305135025908</v>
      </c>
      <c r="B4786" t="str">
        <f>"1551765025904898"</f>
        <v>1551765025904898</v>
      </c>
      <c r="C4786" t="s">
        <v>40</v>
      </c>
      <c r="D4786">
        <v>4.4912640000000001</v>
      </c>
      <c r="E4786">
        <v>0.72044490000000005</v>
      </c>
      <c r="F4786" t="s">
        <v>94</v>
      </c>
      <c r="G4786">
        <v>-202.4742</v>
      </c>
      <c r="H4786" s="1">
        <v>-1.098462E-5</v>
      </c>
      <c r="I4786">
        <v>148.40350000000001</v>
      </c>
      <c r="J4786">
        <v>-193.7499</v>
      </c>
      <c r="K4786">
        <v>1.100158</v>
      </c>
      <c r="L4786">
        <v>152.35149999999999</v>
      </c>
      <c r="M4786">
        <v>-0.35475390000000001</v>
      </c>
      <c r="N4786">
        <v>-1.550642E-2</v>
      </c>
      <c r="O4786">
        <v>-0.93483110000000003</v>
      </c>
      <c r="P4786">
        <v>-0.56939090000000003</v>
      </c>
      <c r="Q4786">
        <v>-9.7922460000000003E-2</v>
      </c>
      <c r="R4786">
        <v>-0.81621390000000005</v>
      </c>
      <c r="S4786">
        <v>-3.141159</v>
      </c>
      <c r="T4786">
        <v>-0.39352789999999999</v>
      </c>
      <c r="U4786">
        <v>-1.457916</v>
      </c>
      <c r="V4786">
        <v>0.24073420000000001</v>
      </c>
      <c r="W4786">
        <v>-8.8648359999999995E-2</v>
      </c>
      <c r="X4786">
        <v>0.96653429999999996</v>
      </c>
      <c r="Y4786">
        <v>0.69262299999999999</v>
      </c>
      <c r="Z4786">
        <v>0.10963729999999999</v>
      </c>
      <c r="AA4786">
        <v>0.71291879999999996</v>
      </c>
      <c r="AB4786">
        <v>22</v>
      </c>
      <c r="AC4786">
        <v>-8.7242999999999995</v>
      </c>
      <c r="AD4786">
        <v>-1.10016898462</v>
      </c>
      <c r="AE4786">
        <v>-3.9479999999999702</v>
      </c>
      <c r="AF4786">
        <v>6.6679787245862903</v>
      </c>
      <c r="AG4786">
        <v>-1.10016898462</v>
      </c>
      <c r="AH4786">
        <v>6.6980988950236897</v>
      </c>
      <c r="AI4786">
        <v>96.639598353341796</v>
      </c>
      <c r="AJ4786">
        <v>45.129114596830199</v>
      </c>
      <c r="AK4786">
        <v>9.5150849115377305</v>
      </c>
      <c r="AL4786">
        <v>95.085852901986101</v>
      </c>
      <c r="AM4786">
        <v>76.013945957064394</v>
      </c>
      <c r="AN4786">
        <v>1.0000000199284</v>
      </c>
    </row>
    <row r="4787" spans="1:40" x14ac:dyDescent="0.25">
      <c r="A4787" t="str">
        <f>"20190305135025921"</f>
        <v>20190305135025921</v>
      </c>
      <c r="B4787" t="str">
        <f>"1551765025914658"</f>
        <v>1551765025914658</v>
      </c>
      <c r="C4787" t="s">
        <v>40</v>
      </c>
      <c r="D4787">
        <v>4.467149</v>
      </c>
      <c r="E4787">
        <v>0.72010379999999996</v>
      </c>
      <c r="F4787" t="s">
        <v>94</v>
      </c>
      <c r="G4787">
        <v>-202.5077</v>
      </c>
      <c r="H4787" s="1">
        <v>-1.096654E-5</v>
      </c>
      <c r="I4787">
        <v>148.39259999999999</v>
      </c>
      <c r="J4787">
        <v>-193.80289999999999</v>
      </c>
      <c r="K4787">
        <v>1.1000650000000001</v>
      </c>
      <c r="L4787">
        <v>152.239</v>
      </c>
      <c r="M4787">
        <v>-0.36281089999999999</v>
      </c>
      <c r="N4787">
        <v>-1.5561220000000001E-2</v>
      </c>
      <c r="O4787">
        <v>-0.93173300000000003</v>
      </c>
      <c r="P4787">
        <v>-0.57647760000000003</v>
      </c>
      <c r="Q4787">
        <v>-9.7879389999999997E-2</v>
      </c>
      <c r="R4787">
        <v>-0.811229599999999</v>
      </c>
      <c r="S4787">
        <v>-3.1557010000000001</v>
      </c>
      <c r="T4787">
        <v>-0.3964221</v>
      </c>
      <c r="U4787">
        <v>-1.426498</v>
      </c>
      <c r="V4787">
        <v>0.24078720000000001</v>
      </c>
      <c r="W4787">
        <v>-8.8609869999999993E-2</v>
      </c>
      <c r="X4787">
        <v>0.96652459999999996</v>
      </c>
      <c r="Y4787">
        <v>0.6934534</v>
      </c>
      <c r="Z4787">
        <v>0.1106292</v>
      </c>
      <c r="AA4787">
        <v>0.71195759999999997</v>
      </c>
      <c r="AB4787">
        <v>22</v>
      </c>
      <c r="AC4787">
        <v>-8.7048000000000005</v>
      </c>
      <c r="AD4787">
        <v>-1.1000759665399999</v>
      </c>
      <c r="AE4787">
        <v>-3.8464000000000098</v>
      </c>
      <c r="AF4787">
        <v>6.6272924232677397</v>
      </c>
      <c r="AG4787">
        <v>-1.1000759665399999</v>
      </c>
      <c r="AH4787">
        <v>6.6539204460112504</v>
      </c>
      <c r="AI4787">
        <v>96.6810855714958</v>
      </c>
      <c r="AJ4787">
        <v>45.114874393680097</v>
      </c>
      <c r="AK4787">
        <v>9.4554655780404406</v>
      </c>
      <c r="AL4787">
        <v>95.083639008930405</v>
      </c>
      <c r="AM4787">
        <v>76.010852815670603</v>
      </c>
      <c r="AN4787">
        <v>0.99999999357520797</v>
      </c>
    </row>
    <row r="4788" spans="1:40" x14ac:dyDescent="0.25">
      <c r="A4788" t="str">
        <f>"20190305135025935"</f>
        <v>20190305135025935</v>
      </c>
      <c r="B4788" t="str">
        <f>"1551765025925393"</f>
        <v>1551765025925393</v>
      </c>
      <c r="C4788" t="s">
        <v>40</v>
      </c>
      <c r="D4788">
        <v>4.4819370000000003</v>
      </c>
      <c r="E4788">
        <v>0.71951119999999902</v>
      </c>
      <c r="F4788" t="s">
        <v>94</v>
      </c>
      <c r="G4788">
        <v>-202.52930000000001</v>
      </c>
      <c r="H4788" s="1">
        <v>-1.09528E-5</v>
      </c>
      <c r="I4788">
        <v>148.37870000000001</v>
      </c>
      <c r="J4788">
        <v>-193.8638</v>
      </c>
      <c r="K4788">
        <v>1.0999620000000001</v>
      </c>
      <c r="L4788">
        <v>152.1121</v>
      </c>
      <c r="M4788">
        <v>-0.37197980000000003</v>
      </c>
      <c r="N4788">
        <v>-1.562204E-2</v>
      </c>
      <c r="O4788">
        <v>-0.92810939999999997</v>
      </c>
      <c r="P4788">
        <v>-0.58466379999999996</v>
      </c>
      <c r="Q4788">
        <v>-9.7566979999999998E-2</v>
      </c>
      <c r="R4788">
        <v>-0.80538790000000005</v>
      </c>
      <c r="S4788">
        <v>-3.1656040000000001</v>
      </c>
      <c r="T4788">
        <v>-0.39906429999999998</v>
      </c>
      <c r="U4788">
        <v>-1.4003909999999999</v>
      </c>
      <c r="V4788">
        <v>0.24101729999999999</v>
      </c>
      <c r="W4788">
        <v>-8.8306960000000004E-2</v>
      </c>
      <c r="X4788">
        <v>0.96649499999999999</v>
      </c>
      <c r="Y4788">
        <v>0.69202559999999902</v>
      </c>
      <c r="Z4788">
        <v>0.1115215</v>
      </c>
      <c r="AA4788">
        <v>0.71320649999999997</v>
      </c>
      <c r="AB4788">
        <v>22</v>
      </c>
      <c r="AC4788">
        <v>-8.6654999999999998</v>
      </c>
      <c r="AD4788">
        <v>-1.0999729528</v>
      </c>
      <c r="AE4788">
        <v>-3.7333999999999801</v>
      </c>
      <c r="AF4788">
        <v>6.56536855487282</v>
      </c>
      <c r="AG4788">
        <v>-1.0999729528</v>
      </c>
      <c r="AH4788">
        <v>6.5995206087610097</v>
      </c>
      <c r="AI4788">
        <v>96.738943965797603</v>
      </c>
      <c r="AJ4788">
        <v>45.148635065260898</v>
      </c>
      <c r="AK4788">
        <v>9.3737760280297699</v>
      </c>
      <c r="AL4788">
        <v>95.066215098634103</v>
      </c>
      <c r="AM4788">
        <v>75.997598308833304</v>
      </c>
      <c r="AN4788">
        <v>1.0000000215543601</v>
      </c>
    </row>
    <row r="4789" spans="1:40" x14ac:dyDescent="0.25">
      <c r="A4789" t="str">
        <f>"20190305135025951"</f>
        <v>20190305135025951</v>
      </c>
      <c r="B4789" t="str">
        <f>"1551765025944914"</f>
        <v>1551765025944914</v>
      </c>
      <c r="C4789" t="s">
        <v>40</v>
      </c>
      <c r="D4789">
        <v>4.422218</v>
      </c>
      <c r="E4789">
        <v>0.71885059999999901</v>
      </c>
      <c r="F4789" t="s">
        <v>94</v>
      </c>
      <c r="G4789">
        <v>-202.6217</v>
      </c>
      <c r="H4789" s="1">
        <v>-1.089743E-5</v>
      </c>
      <c r="I4789">
        <v>148.33029999999999</v>
      </c>
      <c r="J4789">
        <v>-193.941</v>
      </c>
      <c r="K4789">
        <v>1.099845</v>
      </c>
      <c r="L4789">
        <v>151.95590000000001</v>
      </c>
      <c r="M4789">
        <v>-0.38343379999999999</v>
      </c>
      <c r="N4789">
        <v>-1.5696419999999999E-2</v>
      </c>
      <c r="O4789">
        <v>-0.92343489999999995</v>
      </c>
      <c r="P4789">
        <v>-0.59452039999999995</v>
      </c>
      <c r="Q4789">
        <v>-9.718744E-2</v>
      </c>
      <c r="R4789">
        <v>-0.79818559999999905</v>
      </c>
      <c r="S4789">
        <v>-3.1756289999999998</v>
      </c>
      <c r="T4789">
        <v>-0.3988507</v>
      </c>
      <c r="U4789">
        <v>-1.3712770000000001</v>
      </c>
      <c r="V4789">
        <v>0.24090739999999999</v>
      </c>
      <c r="W4789">
        <v>-8.7926249999999997E-2</v>
      </c>
      <c r="X4789">
        <v>0.96655709999999995</v>
      </c>
      <c r="Y4789">
        <v>0.68946839999999998</v>
      </c>
      <c r="Z4789">
        <v>0.11152629999999999</v>
      </c>
      <c r="AA4789">
        <v>0.71567819999999904</v>
      </c>
      <c r="AB4789">
        <v>22</v>
      </c>
      <c r="AC4789">
        <v>-8.6807000000000301</v>
      </c>
      <c r="AD4789">
        <v>-1.0998558974299999</v>
      </c>
      <c r="AE4789">
        <v>-3.6256000000000199</v>
      </c>
      <c r="AF4789">
        <v>6.5373428834698402</v>
      </c>
      <c r="AG4789">
        <v>-1.0998558974299999</v>
      </c>
      <c r="AH4789">
        <v>6.5872623905218797</v>
      </c>
      <c r="AI4789">
        <v>96.758698419418394</v>
      </c>
      <c r="AJ4789">
        <v>45.2179237559887</v>
      </c>
      <c r="AK4789">
        <v>9.3455101932826192</v>
      </c>
      <c r="AL4789">
        <v>95.044316879442505</v>
      </c>
      <c r="AM4789">
        <v>76.004596030518698</v>
      </c>
      <c r="AN4789">
        <v>1.0000000141871099</v>
      </c>
    </row>
    <row r="4790" spans="1:40" x14ac:dyDescent="0.25">
      <c r="A4790" t="str">
        <f>"20190305135025964"</f>
        <v>20190305135025964</v>
      </c>
      <c r="B4790" t="str">
        <f>"1551765025954674"</f>
        <v>1551765025954674</v>
      </c>
      <c r="C4790" t="s">
        <v>40</v>
      </c>
      <c r="D4790">
        <v>4.4776049999999996</v>
      </c>
      <c r="E4790">
        <v>0.71807619999999905</v>
      </c>
      <c r="F4790" t="s">
        <v>94</v>
      </c>
      <c r="G4790">
        <v>-202.64150000000001</v>
      </c>
      <c r="H4790" s="1">
        <v>-1.08829E-5</v>
      </c>
      <c r="I4790">
        <v>148.3109</v>
      </c>
      <c r="J4790">
        <v>-194.00360000000001</v>
      </c>
      <c r="K4790">
        <v>1.0997619999999999</v>
      </c>
      <c r="L4790">
        <v>151.83359999999999</v>
      </c>
      <c r="M4790">
        <v>-0.39255879999999999</v>
      </c>
      <c r="N4790">
        <v>-1.5754859999999999E-2</v>
      </c>
      <c r="O4790">
        <v>-0.91959210000000002</v>
      </c>
      <c r="P4790">
        <v>-0.60231639999999997</v>
      </c>
      <c r="Q4790">
        <v>-9.6993599999999999E-2</v>
      </c>
      <c r="R4790">
        <v>-0.79234300000000002</v>
      </c>
      <c r="S4790">
        <v>-3.187424</v>
      </c>
      <c r="T4790">
        <v>-0.40293119999999999</v>
      </c>
      <c r="U4790">
        <v>-1.3353269999999999</v>
      </c>
      <c r="V4790">
        <v>0.24078849999999999</v>
      </c>
      <c r="W4790">
        <v>-8.772684E-2</v>
      </c>
      <c r="X4790">
        <v>0.96660480000000004</v>
      </c>
      <c r="Y4790">
        <v>0.6899807</v>
      </c>
      <c r="Z4790">
        <v>0.11297219999999999</v>
      </c>
      <c r="AA4790">
        <v>0.71495719999999996</v>
      </c>
      <c r="AB4790">
        <v>22</v>
      </c>
      <c r="AC4790">
        <v>-8.6379000000000001</v>
      </c>
      <c r="AD4790">
        <v>-1.0997728829</v>
      </c>
      <c r="AE4790">
        <v>-3.52269999999998</v>
      </c>
      <c r="AF4790">
        <v>6.4713480854549097</v>
      </c>
      <c r="AG4790">
        <v>-1.0997728829</v>
      </c>
      <c r="AH4790">
        <v>6.5402521063628098</v>
      </c>
      <c r="AI4790">
        <v>96.816291827439898</v>
      </c>
      <c r="AJ4790">
        <v>45.303411773179803</v>
      </c>
      <c r="AK4790">
        <v>9.2662151956376597</v>
      </c>
      <c r="AL4790">
        <v>95.032847430930303</v>
      </c>
      <c r="AM4790">
        <v>76.011895375750896</v>
      </c>
      <c r="AN4790">
        <v>0.99999996978583705</v>
      </c>
    </row>
    <row r="4791" spans="1:40" x14ac:dyDescent="0.25">
      <c r="A4791" t="str">
        <f>"20190305135025978"</f>
        <v>20190305135025978</v>
      </c>
      <c r="B4791" t="str">
        <f>"1551765025975170"</f>
        <v>1551765025975170</v>
      </c>
      <c r="C4791" t="s">
        <v>40</v>
      </c>
      <c r="D4791">
        <v>4.4561219999999997</v>
      </c>
      <c r="E4791">
        <v>0.71651260000000006</v>
      </c>
      <c r="F4791" t="s">
        <v>94</v>
      </c>
      <c r="G4791">
        <v>-202.73740000000001</v>
      </c>
      <c r="H4791" s="1">
        <v>-1.0824930000000001E-5</v>
      </c>
      <c r="I4791">
        <v>148.25899999999999</v>
      </c>
      <c r="J4791">
        <v>-194.06299999999999</v>
      </c>
      <c r="K4791">
        <v>1.0996980000000001</v>
      </c>
      <c r="L4791">
        <v>151.72040000000001</v>
      </c>
      <c r="M4791">
        <v>-0.40111219999999997</v>
      </c>
      <c r="N4791">
        <v>-1.5808030000000001E-2</v>
      </c>
      <c r="O4791">
        <v>-0.91589259999999995</v>
      </c>
      <c r="P4791">
        <v>-0.60932390000000003</v>
      </c>
      <c r="Q4791">
        <v>-9.6332429999999997E-2</v>
      </c>
      <c r="R4791">
        <v>-0.78704830000000003</v>
      </c>
      <c r="S4791">
        <v>-3.1954799999999999</v>
      </c>
      <c r="T4791">
        <v>-0.40237859999999998</v>
      </c>
      <c r="U4791">
        <v>-1.307877</v>
      </c>
      <c r="V4791">
        <v>0.24032600000000001</v>
      </c>
      <c r="W4791">
        <v>-8.7046680000000001E-2</v>
      </c>
      <c r="X4791">
        <v>0.96678140000000001</v>
      </c>
      <c r="Y4791">
        <v>0.68916739999999999</v>
      </c>
      <c r="Z4791">
        <v>0.1129228</v>
      </c>
      <c r="AA4791">
        <v>0.71574899999999997</v>
      </c>
      <c r="AB4791">
        <v>22</v>
      </c>
      <c r="AC4791">
        <v>-8.6744000000000199</v>
      </c>
      <c r="AD4791">
        <v>-1.09970882492999</v>
      </c>
      <c r="AE4791">
        <v>-3.4614000000000198</v>
      </c>
      <c r="AF4791">
        <v>6.4675578589888696</v>
      </c>
      <c r="AG4791">
        <v>-1.09970882492999</v>
      </c>
      <c r="AH4791">
        <v>6.5595632049036796</v>
      </c>
      <c r="AI4791">
        <v>96.807780517419204</v>
      </c>
      <c r="AJ4791">
        <v>45.404650447477501</v>
      </c>
      <c r="AK4791">
        <v>9.2772050531463393</v>
      </c>
      <c r="AL4791">
        <v>94.993727359991695</v>
      </c>
      <c r="AM4791">
        <v>76.040161989091303</v>
      </c>
      <c r="AN4791">
        <v>0.99999999308049103</v>
      </c>
    </row>
    <row r="4792" spans="1:40" x14ac:dyDescent="0.25">
      <c r="A4792" t="str">
        <f>"20190305135025990"</f>
        <v>20190305135025990</v>
      </c>
      <c r="B4792" t="str">
        <f>"1551765025984930"</f>
        <v>1551765025984930</v>
      </c>
      <c r="C4792" t="s">
        <v>40</v>
      </c>
      <c r="D4792">
        <v>4.4678849999999999</v>
      </c>
      <c r="E4792">
        <v>0.71603470000000002</v>
      </c>
      <c r="F4792" t="s">
        <v>94</v>
      </c>
      <c r="G4792">
        <v>-202.90260000000001</v>
      </c>
      <c r="H4792" s="1">
        <v>-1.07220899999999E-5</v>
      </c>
      <c r="I4792">
        <v>148.15960000000001</v>
      </c>
      <c r="J4792">
        <v>-194.12530000000001</v>
      </c>
      <c r="K4792">
        <v>1.0996300000000001</v>
      </c>
      <c r="L4792">
        <v>151.60390000000001</v>
      </c>
      <c r="M4792">
        <v>-0.4099564</v>
      </c>
      <c r="N4792">
        <v>-1.5861409999999999E-2</v>
      </c>
      <c r="O4792">
        <v>-0.91196730000000004</v>
      </c>
      <c r="P4792">
        <v>-0.61679079999999997</v>
      </c>
      <c r="Q4792">
        <v>-9.5421939999999997E-2</v>
      </c>
      <c r="R4792">
        <v>-0.78132179999999996</v>
      </c>
      <c r="S4792">
        <v>-3.1971280000000002</v>
      </c>
      <c r="T4792">
        <v>-0.3977464</v>
      </c>
      <c r="U4792">
        <v>-1.287857</v>
      </c>
      <c r="V4792">
        <v>0.2401385</v>
      </c>
      <c r="W4792">
        <v>-8.6123169999999999E-2</v>
      </c>
      <c r="X4792">
        <v>0.96691070000000001</v>
      </c>
      <c r="Y4792">
        <v>0.68631299999999995</v>
      </c>
      <c r="Z4792">
        <v>0.1116269</v>
      </c>
      <c r="AA4792">
        <v>0.71868900000000002</v>
      </c>
      <c r="AB4792">
        <v>22</v>
      </c>
      <c r="AC4792">
        <v>-8.7772999999999897</v>
      </c>
      <c r="AD4792">
        <v>-1.09964072209</v>
      </c>
      <c r="AE4792">
        <v>-3.4442999999999899</v>
      </c>
      <c r="AF4792">
        <v>6.5049510048107004</v>
      </c>
      <c r="AG4792">
        <v>-1.09964072209</v>
      </c>
      <c r="AH4792">
        <v>6.6498008467765599</v>
      </c>
      <c r="AI4792">
        <v>96.7416886612816</v>
      </c>
      <c r="AJ4792">
        <v>45.630870829408103</v>
      </c>
      <c r="AK4792">
        <v>9.3671473029122705</v>
      </c>
      <c r="AL4792">
        <v>94.940614628554002</v>
      </c>
      <c r="AM4792">
        <v>76.052420402982705</v>
      </c>
      <c r="AN4792">
        <v>1.0000000006837899</v>
      </c>
    </row>
    <row r="4793" spans="1:40" x14ac:dyDescent="0.25">
      <c r="A4793" t="str">
        <f>"20190305135026006"</f>
        <v>20190305135026006</v>
      </c>
      <c r="B4793" t="str">
        <f>"1551765025994690"</f>
        <v>1551765025994690</v>
      </c>
      <c r="C4793" t="s">
        <v>40</v>
      </c>
      <c r="D4793">
        <v>4.4727180000000004</v>
      </c>
      <c r="E4793">
        <v>0.71530740000000004</v>
      </c>
      <c r="F4793" t="s">
        <v>94</v>
      </c>
      <c r="G4793">
        <v>-203.01599999999999</v>
      </c>
      <c r="H4793" s="1">
        <v>-1.0657060000000001E-5</v>
      </c>
      <c r="I4793">
        <v>148.11000000000001</v>
      </c>
      <c r="J4793">
        <v>-194.2021</v>
      </c>
      <c r="K4793">
        <v>1.099561</v>
      </c>
      <c r="L4793">
        <v>151.465</v>
      </c>
      <c r="M4793">
        <v>-0.42068509999999998</v>
      </c>
      <c r="N4793">
        <v>-1.5923119999999999E-2</v>
      </c>
      <c r="O4793">
        <v>-0.90706710000000002</v>
      </c>
      <c r="P4793">
        <v>-0.62614049999999999</v>
      </c>
      <c r="Q4793">
        <v>-9.439902E-2</v>
      </c>
      <c r="R4793">
        <v>-0.77397469999999902</v>
      </c>
      <c r="S4793">
        <v>-3.206375</v>
      </c>
      <c r="T4793">
        <v>-0.39657720000000002</v>
      </c>
      <c r="U4793">
        <v>-1.26004</v>
      </c>
      <c r="V4793">
        <v>0.240315</v>
      </c>
      <c r="W4793">
        <v>-8.5093390000000005E-2</v>
      </c>
      <c r="X4793">
        <v>0.96695799999999998</v>
      </c>
      <c r="Y4793">
        <v>0.6839229</v>
      </c>
      <c r="Z4793">
        <v>0.1112551</v>
      </c>
      <c r="AA4793">
        <v>0.72102140000000003</v>
      </c>
      <c r="AB4793">
        <v>22</v>
      </c>
      <c r="AC4793">
        <v>-8.8138999999999896</v>
      </c>
      <c r="AD4793">
        <v>-1.09957165706</v>
      </c>
      <c r="AE4793">
        <v>-3.35499999999998</v>
      </c>
      <c r="AF4793">
        <v>6.4959288726013504</v>
      </c>
      <c r="AG4793">
        <v>-1.09957165706</v>
      </c>
      <c r="AH4793">
        <v>6.66138720446168</v>
      </c>
      <c r="AI4793">
        <v>96.739844249517901</v>
      </c>
      <c r="AJ4793">
        <v>45.720478581338902</v>
      </c>
      <c r="AK4793">
        <v>9.3691103758399201</v>
      </c>
      <c r="AL4793">
        <v>94.881395282006594</v>
      </c>
      <c r="AM4793">
        <v>76.043225728846096</v>
      </c>
      <c r="AN4793">
        <v>0.99999997900534499</v>
      </c>
    </row>
    <row r="4794" spans="1:40" x14ac:dyDescent="0.25">
      <c r="A4794" t="str">
        <f>"20190305135026017"</f>
        <v>20190305135026017</v>
      </c>
      <c r="B4794" t="str">
        <f>"1551765026015186"</f>
        <v>1551765026015186</v>
      </c>
      <c r="C4794" t="s">
        <v>40</v>
      </c>
      <c r="D4794">
        <v>4.53477</v>
      </c>
      <c r="E4794">
        <v>0.71426679999999998</v>
      </c>
      <c r="F4794" t="s">
        <v>94</v>
      </c>
      <c r="G4794">
        <v>-203.1891</v>
      </c>
      <c r="H4794" s="1">
        <v>-1.0559880000000001E-5</v>
      </c>
      <c r="I4794">
        <v>148.04140000000001</v>
      </c>
      <c r="J4794">
        <v>-194.2568</v>
      </c>
      <c r="K4794">
        <v>1.0995109999999999</v>
      </c>
      <c r="L4794">
        <v>151.36879999999999</v>
      </c>
      <c r="M4794">
        <v>-0.42819430000000003</v>
      </c>
      <c r="N4794">
        <v>-1.596419E-2</v>
      </c>
      <c r="O4794">
        <v>-0.90354570000000001</v>
      </c>
      <c r="P4794">
        <v>-0.63285669999999905</v>
      </c>
      <c r="Q4794">
        <v>-9.3685329999999997E-2</v>
      </c>
      <c r="R4794">
        <v>-0.76858040000000005</v>
      </c>
      <c r="S4794">
        <v>-3.217041</v>
      </c>
      <c r="T4794">
        <v>-0.39361000000000002</v>
      </c>
      <c r="U4794">
        <v>-1.225525</v>
      </c>
      <c r="V4794">
        <v>0.2406846</v>
      </c>
      <c r="W4794">
        <v>-8.4380810000000001E-2</v>
      </c>
      <c r="X4794">
        <v>0.96692849999999997</v>
      </c>
      <c r="Y4794">
        <v>0.68553299999999995</v>
      </c>
      <c r="Z4794">
        <v>0.11051809999999999</v>
      </c>
      <c r="AA4794">
        <v>0.71960429999999997</v>
      </c>
      <c r="AB4794">
        <v>22</v>
      </c>
      <c r="AC4794">
        <v>-8.9322999999999908</v>
      </c>
      <c r="AD4794">
        <v>-1.0995215598799899</v>
      </c>
      <c r="AE4794">
        <v>-3.3273999999999799</v>
      </c>
      <c r="AF4794">
        <v>6.5595335113811304</v>
      </c>
      <c r="AG4794">
        <v>-1.0995215598799899</v>
      </c>
      <c r="AH4794">
        <v>6.7423746063153196</v>
      </c>
      <c r="AI4794">
        <v>96.666842381086695</v>
      </c>
      <c r="AJ4794">
        <v>45.7875083236015</v>
      </c>
      <c r="AK4794">
        <v>9.4707994847034307</v>
      </c>
      <c r="AL4794">
        <v>94.840420167620294</v>
      </c>
      <c r="AM4794">
        <v>76.022191700096897</v>
      </c>
      <c r="AN4794">
        <v>0.99999996094283194</v>
      </c>
    </row>
    <row r="4795" spans="1:40" x14ac:dyDescent="0.25">
      <c r="A4795" t="str">
        <f>"20190305135026031"</f>
        <v>20190305135026031</v>
      </c>
      <c r="B4795" t="str">
        <f>"1551765026024946"</f>
        <v>1551765026024946</v>
      </c>
      <c r="C4795" t="s">
        <v>40</v>
      </c>
      <c r="D4795">
        <v>4.4004640000000004</v>
      </c>
      <c r="E4795">
        <v>0.71351069999999905</v>
      </c>
      <c r="F4795" t="s">
        <v>94</v>
      </c>
      <c r="G4795">
        <v>-203.32579999999999</v>
      </c>
      <c r="H4795" s="1">
        <v>-1.04812899999999E-5</v>
      </c>
      <c r="I4795">
        <v>147.98099999999999</v>
      </c>
      <c r="J4795">
        <v>-194.32740000000001</v>
      </c>
      <c r="K4795">
        <v>1.099451</v>
      </c>
      <c r="L4795">
        <v>151.2465</v>
      </c>
      <c r="M4795">
        <v>-0.43778309999999998</v>
      </c>
      <c r="N4795">
        <v>-1.6014730000000001E-2</v>
      </c>
      <c r="O4795">
        <v>-0.89893809999999996</v>
      </c>
      <c r="P4795">
        <v>-0.64167229999999997</v>
      </c>
      <c r="Q4795">
        <v>-9.3163019999999999E-2</v>
      </c>
      <c r="R4795">
        <v>-0.76129990000000003</v>
      </c>
      <c r="S4795">
        <v>-3.2212369999999999</v>
      </c>
      <c r="T4795">
        <v>-0.39054179999999999</v>
      </c>
      <c r="U4795">
        <v>-1.2033229999999999</v>
      </c>
      <c r="V4795">
        <v>0.24151220000000001</v>
      </c>
      <c r="W4795">
        <v>-8.3870810000000004E-2</v>
      </c>
      <c r="X4795">
        <v>0.96676649999999997</v>
      </c>
      <c r="Y4795">
        <v>0.68258090000000005</v>
      </c>
      <c r="Z4795">
        <v>0.1095892</v>
      </c>
      <c r="AA4795">
        <v>0.72254659999999904</v>
      </c>
      <c r="AB4795">
        <v>22</v>
      </c>
      <c r="AC4795">
        <v>-8.99839999999997</v>
      </c>
      <c r="AD4795">
        <v>-1.0994614812900001</v>
      </c>
      <c r="AE4795">
        <v>-3.2654999999999998</v>
      </c>
      <c r="AF4795">
        <v>6.5735609746160497</v>
      </c>
      <c r="AG4795">
        <v>-1.0994614812900001</v>
      </c>
      <c r="AH4795">
        <v>6.7861895768856604</v>
      </c>
      <c r="AI4795">
        <v>96.637664599405099</v>
      </c>
      <c r="AJ4795">
        <v>45.911820394264502</v>
      </c>
      <c r="AK4795">
        <v>9.5117237349108894</v>
      </c>
      <c r="AL4795">
        <v>94.811095368344894</v>
      </c>
      <c r="AM4795">
        <v>75.973765147837</v>
      </c>
      <c r="AN4795">
        <v>0.99999996052057205</v>
      </c>
    </row>
    <row r="4796" spans="1:40" x14ac:dyDescent="0.25">
      <c r="A4796" t="str">
        <f>"20190305135026042"</f>
        <v>20190305135026042</v>
      </c>
      <c r="B4796" t="str">
        <f>"1551765026034706"</f>
        <v>1551765026034706</v>
      </c>
      <c r="C4796" t="s">
        <v>40</v>
      </c>
      <c r="D4796">
        <v>4.4027029999999998</v>
      </c>
      <c r="E4796">
        <v>0.71269680000000002</v>
      </c>
      <c r="F4796" t="s">
        <v>94</v>
      </c>
      <c r="G4796">
        <v>-203.68180000000001</v>
      </c>
      <c r="H4796" s="1">
        <v>-1.028569E-5</v>
      </c>
      <c r="I4796">
        <v>147.85419999999999</v>
      </c>
      <c r="J4796">
        <v>-194.3913</v>
      </c>
      <c r="K4796">
        <v>1.0994060000000001</v>
      </c>
      <c r="L4796">
        <v>151.13939999999999</v>
      </c>
      <c r="M4796">
        <v>-0.4463048</v>
      </c>
      <c r="N4796">
        <v>-1.6057760000000001E-2</v>
      </c>
      <c r="O4796">
        <v>-0.89473709999999995</v>
      </c>
      <c r="P4796">
        <v>-0.64956809999999998</v>
      </c>
      <c r="Q4796">
        <v>-9.296944E-2</v>
      </c>
      <c r="R4796">
        <v>-0.75459809999999905</v>
      </c>
      <c r="S4796">
        <v>-3.2303310000000001</v>
      </c>
      <c r="T4796">
        <v>-0.37967240000000002</v>
      </c>
      <c r="U4796">
        <v>-1.171448</v>
      </c>
      <c r="V4796">
        <v>0.2423805</v>
      </c>
      <c r="W4796">
        <v>-8.3690500000000001E-2</v>
      </c>
      <c r="X4796">
        <v>0.9665648</v>
      </c>
      <c r="Y4796">
        <v>0.68298340000000002</v>
      </c>
      <c r="Z4796">
        <v>0.10634830000000001</v>
      </c>
      <c r="AA4796">
        <v>0.72265049999999997</v>
      </c>
      <c r="AB4796">
        <v>22</v>
      </c>
      <c r="AC4796">
        <v>-9.2904999999999998</v>
      </c>
      <c r="AD4796">
        <v>-1.0994162856899901</v>
      </c>
      <c r="AE4796">
        <v>-3.2852000000000001</v>
      </c>
      <c r="AF4796">
        <v>6.76305387464555</v>
      </c>
      <c r="AG4796">
        <v>-1.0994162856899901</v>
      </c>
      <c r="AH4796">
        <v>6.9995712536923698</v>
      </c>
      <c r="AI4796">
        <v>96.444621891902798</v>
      </c>
      <c r="AJ4796">
        <v>45.984558804159199</v>
      </c>
      <c r="AK4796">
        <v>9.7949788981965202</v>
      </c>
      <c r="AL4796">
        <v>94.800727920743995</v>
      </c>
      <c r="AM4796">
        <v>75.9225178101875</v>
      </c>
      <c r="AN4796">
        <v>0.99999995958476895</v>
      </c>
    </row>
    <row r="4797" spans="1:40" x14ac:dyDescent="0.25">
      <c r="A4797" t="str">
        <f>"20190305135026055"</f>
        <v>20190305135026055</v>
      </c>
      <c r="B4797" t="str">
        <f>"1551765026044467"</f>
        <v>1551765026044467</v>
      </c>
      <c r="C4797" t="s">
        <v>40</v>
      </c>
      <c r="D4797">
        <v>4.4355129999999896</v>
      </c>
      <c r="E4797">
        <v>0.71191389999999999</v>
      </c>
      <c r="F4797" t="s">
        <v>94</v>
      </c>
      <c r="G4797">
        <v>-203.83179999999999</v>
      </c>
      <c r="H4797" s="1">
        <v>-1.020575E-5</v>
      </c>
      <c r="I4797">
        <v>147.8092</v>
      </c>
      <c r="J4797">
        <v>-194.45070000000001</v>
      </c>
      <c r="K4797">
        <v>1.0993679999999999</v>
      </c>
      <c r="L4797">
        <v>151.04150000000001</v>
      </c>
      <c r="M4797">
        <v>-0.45412629999999998</v>
      </c>
      <c r="N4797">
        <v>-1.6095970000000001E-2</v>
      </c>
      <c r="O4797">
        <v>-0.89079189999999997</v>
      </c>
      <c r="P4797">
        <v>-0.65677059999999998</v>
      </c>
      <c r="Q4797">
        <v>-9.2434970000000005E-2</v>
      </c>
      <c r="R4797">
        <v>-0.74840390000000001</v>
      </c>
      <c r="S4797">
        <v>-3.237717</v>
      </c>
      <c r="T4797">
        <v>-0.37705460000000002</v>
      </c>
      <c r="U4797">
        <v>-1.142136</v>
      </c>
      <c r="V4797">
        <v>0.2431507</v>
      </c>
      <c r="W4797">
        <v>-8.3166359999999995E-2</v>
      </c>
      <c r="X4797">
        <v>0.96641670000000002</v>
      </c>
      <c r="Y4797">
        <v>0.68302410000000002</v>
      </c>
      <c r="Z4797">
        <v>0.105639</v>
      </c>
      <c r="AA4797">
        <v>0.72271609999999997</v>
      </c>
      <c r="AB4797">
        <v>22</v>
      </c>
      <c r="AC4797">
        <v>-9.3810999999999698</v>
      </c>
      <c r="AD4797">
        <v>-1.0993782057499999</v>
      </c>
      <c r="AE4797">
        <v>-3.2323</v>
      </c>
      <c r="AF4797">
        <v>6.8060748809611402</v>
      </c>
      <c r="AG4797">
        <v>-1.0993782057499999</v>
      </c>
      <c r="AH4797">
        <v>7.0538411682265698</v>
      </c>
      <c r="AI4797">
        <v>96.399463253211195</v>
      </c>
      <c r="AJ4797">
        <v>46.0241368428103</v>
      </c>
      <c r="AK4797">
        <v>9.8634660718784009</v>
      </c>
      <c r="AL4797">
        <v>94.770591309612698</v>
      </c>
      <c r="AM4797">
        <v>75.877493962893595</v>
      </c>
      <c r="AN4797">
        <v>1.00000007219251</v>
      </c>
    </row>
    <row r="4798" spans="1:40" x14ac:dyDescent="0.25">
      <c r="A4798" t="str">
        <f>"20190305135026066"</f>
        <v>20190305135026066</v>
      </c>
      <c r="B4798" t="str">
        <f>"1551765026055202"</f>
        <v>1551765026055202</v>
      </c>
      <c r="C4798" t="s">
        <v>40</v>
      </c>
      <c r="D4798">
        <v>4.3880790000000003</v>
      </c>
      <c r="E4798">
        <v>0.71116519999999905</v>
      </c>
      <c r="F4798" t="s">
        <v>94</v>
      </c>
      <c r="G4798">
        <v>-204.02889999999999</v>
      </c>
      <c r="H4798" s="1">
        <v>-1.010031E-5</v>
      </c>
      <c r="I4798">
        <v>147.74709999999999</v>
      </c>
      <c r="J4798">
        <v>-194.5179</v>
      </c>
      <c r="K4798">
        <v>1.0993310000000001</v>
      </c>
      <c r="L4798">
        <v>150.9332</v>
      </c>
      <c r="M4798">
        <v>-0.46284769999999997</v>
      </c>
      <c r="N4798">
        <v>-1.6137100000000001E-2</v>
      </c>
      <c r="O4798">
        <v>-0.88629099999999905</v>
      </c>
      <c r="P4798">
        <v>-0.66464040000000002</v>
      </c>
      <c r="Q4798">
        <v>-9.1938649999999997E-2</v>
      </c>
      <c r="R4798">
        <v>-0.74148549999999902</v>
      </c>
      <c r="S4798">
        <v>-3.243973</v>
      </c>
      <c r="T4798">
        <v>-0.37234159999999999</v>
      </c>
      <c r="U4798">
        <v>-1.1157680000000001</v>
      </c>
      <c r="V4798">
        <v>0.24384980000000001</v>
      </c>
      <c r="W4798">
        <v>-8.2675719999999994E-2</v>
      </c>
      <c r="X4798">
        <v>0.96628259999999999</v>
      </c>
      <c r="Y4798">
        <v>0.68172169999999999</v>
      </c>
      <c r="Z4798">
        <v>0.1042088</v>
      </c>
      <c r="AA4798">
        <v>0.72415200000000002</v>
      </c>
      <c r="AB4798">
        <v>22</v>
      </c>
      <c r="AC4798">
        <v>-9.5109999999999904</v>
      </c>
      <c r="AD4798">
        <v>-1.09934110031</v>
      </c>
      <c r="AE4798">
        <v>-3.1861000000000099</v>
      </c>
      <c r="AF4798">
        <v>6.8731779571457103</v>
      </c>
      <c r="AG4798">
        <v>-1.09934110031</v>
      </c>
      <c r="AH4798">
        <v>7.1411163054169302</v>
      </c>
      <c r="AI4798">
        <v>96.329187410462595</v>
      </c>
      <c r="AJ4798">
        <v>46.095300706771098</v>
      </c>
      <c r="AK4798">
        <v>9.9721947520551399</v>
      </c>
      <c r="AL4798">
        <v>94.742382756711507</v>
      </c>
      <c r="AM4798">
        <v>75.836634516150795</v>
      </c>
      <c r="AN4798">
        <v>1.00000003135015</v>
      </c>
    </row>
    <row r="4799" spans="1:40" x14ac:dyDescent="0.25">
      <c r="A4799" t="str">
        <f>"20190305135026078"</f>
        <v>20190305135026078</v>
      </c>
      <c r="B4799" t="str">
        <f>"1551765026074722"</f>
        <v>1551765026074722</v>
      </c>
      <c r="C4799" t="s">
        <v>40</v>
      </c>
      <c r="D4799">
        <v>4.151923</v>
      </c>
      <c r="E4799">
        <v>0.69278469999999903</v>
      </c>
      <c r="F4799" t="s">
        <v>94</v>
      </c>
      <c r="G4799">
        <v>-204.2182</v>
      </c>
      <c r="H4799" s="1">
        <v>-1.001498E-5</v>
      </c>
      <c r="I4799">
        <v>147.69380000000001</v>
      </c>
      <c r="J4799">
        <v>-194.58009999999999</v>
      </c>
      <c r="K4799">
        <v>1.099299</v>
      </c>
      <c r="L4799">
        <v>150.8355</v>
      </c>
      <c r="M4799">
        <v>-0.47079589999999999</v>
      </c>
      <c r="N4799">
        <v>-1.6173030000000001E-2</v>
      </c>
      <c r="O4799">
        <v>-0.88209380000000004</v>
      </c>
      <c r="P4799">
        <v>-0.67158329999999999</v>
      </c>
      <c r="Q4799">
        <v>-9.1342389999999996E-2</v>
      </c>
      <c r="R4799">
        <v>-0.73527699999999996</v>
      </c>
      <c r="S4799">
        <v>-3.2514189999999998</v>
      </c>
      <c r="T4799">
        <v>-0.36848520000000001</v>
      </c>
      <c r="U4799">
        <v>-1.0858000000000001</v>
      </c>
      <c r="V4799">
        <v>0.2442232</v>
      </c>
      <c r="W4799">
        <v>-8.2075540000000002E-2</v>
      </c>
      <c r="X4799">
        <v>0.96623950000000003</v>
      </c>
      <c r="Y4799">
        <v>0.68179569999999901</v>
      </c>
      <c r="Z4799">
        <v>0.1030925</v>
      </c>
      <c r="AA4799">
        <v>0.72424200000000005</v>
      </c>
      <c r="AB4799">
        <v>22</v>
      </c>
      <c r="AC4799">
        <v>-9.6380999999999997</v>
      </c>
      <c r="AD4799">
        <v>-1.09930901498</v>
      </c>
      <c r="AE4799">
        <v>-3.1416999999999802</v>
      </c>
      <c r="AF4799">
        <v>6.9418924271898801</v>
      </c>
      <c r="AG4799">
        <v>-1.09930901498</v>
      </c>
      <c r="AH4799">
        <v>7.2248456892854902</v>
      </c>
      <c r="AI4799">
        <v>96.261339926542405</v>
      </c>
      <c r="AJ4799">
        <v>46.144220519469201</v>
      </c>
      <c r="AK4799">
        <v>10.079521120324999</v>
      </c>
      <c r="AL4799">
        <v>94.707877530412404</v>
      </c>
      <c r="AM4799">
        <v>75.815214102174806</v>
      </c>
      <c r="AN4799">
        <v>1.00000006852238</v>
      </c>
    </row>
    <row r="4800" spans="1:40" x14ac:dyDescent="0.25">
      <c r="A4800" t="str">
        <f>"20190305135026091"</f>
        <v>20190305135026091</v>
      </c>
      <c r="B4800" t="str">
        <f>"1551765026084482"</f>
        <v>1551765026084482</v>
      </c>
      <c r="C4800" t="s">
        <v>40</v>
      </c>
      <c r="D4800">
        <v>4.442475</v>
      </c>
      <c r="E4800">
        <v>0.69591899999999995</v>
      </c>
      <c r="F4800" t="s">
        <v>42</v>
      </c>
      <c r="G4800">
        <v>-235.96019999999999</v>
      </c>
      <c r="H4800" s="1">
        <v>-2.5253260000000001E-6</v>
      </c>
      <c r="I4800">
        <v>135.2397</v>
      </c>
      <c r="J4800">
        <v>-194.649</v>
      </c>
      <c r="K4800">
        <v>1.0992679999999999</v>
      </c>
      <c r="L4800">
        <v>150.7287</v>
      </c>
      <c r="M4800">
        <v>-0.47949380000000003</v>
      </c>
      <c r="N4800">
        <v>-1.6211280000000002E-2</v>
      </c>
      <c r="O4800">
        <v>-0.87739549999999999</v>
      </c>
      <c r="P4800">
        <v>-0.67910609999999905</v>
      </c>
      <c r="Q4800">
        <v>-9.0732110000000005E-2</v>
      </c>
      <c r="R4800">
        <v>-0.72841109999999998</v>
      </c>
      <c r="S4800">
        <v>-3.1541440000000001</v>
      </c>
      <c r="T4800">
        <v>-8.3792920000000007E-2</v>
      </c>
      <c r="U4800">
        <v>-1.188766</v>
      </c>
      <c r="V4800">
        <v>0.24457490000000001</v>
      </c>
      <c r="W4800">
        <v>-8.1459489999999996E-2</v>
      </c>
      <c r="X4800">
        <v>0.96620260000000002</v>
      </c>
      <c r="Y4800">
        <v>0.65174319999999997</v>
      </c>
      <c r="Z4800">
        <v>1.4884720000000001E-2</v>
      </c>
      <c r="AA4800">
        <v>0.75829369999999996</v>
      </c>
      <c r="AB4800">
        <v>22</v>
      </c>
      <c r="AC4800">
        <v>-41.3111999999999</v>
      </c>
      <c r="AD4800">
        <v>-1.099270525326</v>
      </c>
      <c r="AE4800">
        <v>-15.489000000000001</v>
      </c>
      <c r="AF4800">
        <v>28.805287366743801</v>
      </c>
      <c r="AG4800">
        <v>-1.099270525326</v>
      </c>
      <c r="AH4800">
        <v>33.382109631148303</v>
      </c>
      <c r="AI4800">
        <v>91.428159988055995</v>
      </c>
      <c r="AJ4800">
        <v>49.209223714312898</v>
      </c>
      <c r="AK4800">
        <v>44.105761748263099</v>
      </c>
      <c r="AL4800">
        <v>94.672462209348694</v>
      </c>
      <c r="AM4800">
        <v>75.795092609831002</v>
      </c>
      <c r="AN4800">
        <v>0.99999999723391497</v>
      </c>
    </row>
    <row r="4801" spans="1:40" x14ac:dyDescent="0.25">
      <c r="A4801" t="str">
        <f>"20190305135026106"</f>
        <v>20190305135026106</v>
      </c>
      <c r="B4801" t="str">
        <f>"1551765026095218"</f>
        <v>1551765026095218</v>
      </c>
      <c r="C4801" t="s">
        <v>40</v>
      </c>
      <c r="D4801">
        <v>4.4765420000000002</v>
      </c>
      <c r="E4801">
        <v>0.70399769999999995</v>
      </c>
      <c r="F4801" t="s">
        <v>42</v>
      </c>
      <c r="G4801">
        <v>-213.7345</v>
      </c>
      <c r="H4801" s="1">
        <v>-4.0499809999999999E-6</v>
      </c>
      <c r="I4801">
        <v>143.97299999999899</v>
      </c>
      <c r="J4801">
        <v>-194.7398</v>
      </c>
      <c r="K4801">
        <v>1.099226</v>
      </c>
      <c r="L4801">
        <v>150.5925</v>
      </c>
      <c r="M4801">
        <v>-0.49072779999999999</v>
      </c>
      <c r="N4801">
        <v>-1.6258089999999999E-2</v>
      </c>
      <c r="O4801">
        <v>-0.87116130000000003</v>
      </c>
      <c r="P4801">
        <v>-0.68842639999999999</v>
      </c>
      <c r="Q4801">
        <v>-9.0172929999999998E-2</v>
      </c>
      <c r="R4801">
        <v>-0.71967919999999996</v>
      </c>
      <c r="S4801">
        <v>-3.1841430000000002</v>
      </c>
      <c r="T4801">
        <v>-0.18339749999999999</v>
      </c>
      <c r="U4801">
        <v>-1.1270899999999999</v>
      </c>
      <c r="V4801">
        <v>0.2445705</v>
      </c>
      <c r="W4801">
        <v>-8.0879080000000006E-2</v>
      </c>
      <c r="X4801">
        <v>0.96625240000000001</v>
      </c>
      <c r="Y4801">
        <v>0.65624740000000004</v>
      </c>
      <c r="Z4801">
        <v>4.6046360000000001E-2</v>
      </c>
      <c r="AA4801">
        <v>0.75313940000000001</v>
      </c>
      <c r="AB4801">
        <v>22</v>
      </c>
      <c r="AC4801">
        <v>-18.994699999999899</v>
      </c>
      <c r="AD4801">
        <v>-1.0992300499809999</v>
      </c>
      <c r="AE4801">
        <v>-6.6195000000000102</v>
      </c>
      <c r="AF4801">
        <v>13.2612300982339</v>
      </c>
      <c r="AG4801">
        <v>-1.0992300499809999</v>
      </c>
      <c r="AH4801">
        <v>15.0449444458641</v>
      </c>
      <c r="AI4801">
        <v>93.137257374809195</v>
      </c>
      <c r="AJ4801">
        <v>48.605727471721103</v>
      </c>
      <c r="AK4801">
        <v>20.085290234403502</v>
      </c>
      <c r="AL4801">
        <v>94.639097394349093</v>
      </c>
      <c r="AM4801">
        <v>75.7960402876258</v>
      </c>
      <c r="AN4801">
        <v>0.99999992777882496</v>
      </c>
    </row>
    <row r="4802" spans="1:40" x14ac:dyDescent="0.25">
      <c r="A4802" t="str">
        <f>"20190305135026122"</f>
        <v>20190305135026122</v>
      </c>
      <c r="B4802" t="str">
        <f>"1551765026114738"</f>
        <v>1551765026114738</v>
      </c>
      <c r="C4802" t="s">
        <v>40</v>
      </c>
      <c r="D4802">
        <v>4.4210430000000001</v>
      </c>
      <c r="E4802">
        <v>0.71467939999999996</v>
      </c>
      <c r="F4802" t="s">
        <v>94</v>
      </c>
      <c r="G4802">
        <v>-208.8853</v>
      </c>
      <c r="H4802" s="1">
        <v>-7.5712119999999999E-6</v>
      </c>
      <c r="I4802">
        <v>146.0889</v>
      </c>
      <c r="J4802">
        <v>-194.82759999999999</v>
      </c>
      <c r="K4802">
        <v>1.0991899999999999</v>
      </c>
      <c r="L4802">
        <v>150.4648</v>
      </c>
      <c r="M4802">
        <v>-0.50136480000000005</v>
      </c>
      <c r="N4802">
        <v>-1.6300140000000001E-2</v>
      </c>
      <c r="O4802">
        <v>-0.86508240000000003</v>
      </c>
      <c r="P4802">
        <v>-0.69704690000000002</v>
      </c>
      <c r="Q4802">
        <v>-9.0245969999999995E-2</v>
      </c>
      <c r="R4802">
        <v>-0.71132410000000001</v>
      </c>
      <c r="S4802">
        <v>-3.2447509999999999</v>
      </c>
      <c r="T4802">
        <v>-0.25214730000000002</v>
      </c>
      <c r="U4802">
        <v>-1.033066</v>
      </c>
      <c r="V4802">
        <v>0.24436920000000001</v>
      </c>
      <c r="W4802">
        <v>-8.0926429999999994E-2</v>
      </c>
      <c r="X4802">
        <v>0.96629940000000003</v>
      </c>
      <c r="Y4802">
        <v>0.66964499999999905</v>
      </c>
      <c r="Z4802">
        <v>6.7249619999999996E-2</v>
      </c>
      <c r="AA4802">
        <v>0.73963029999999996</v>
      </c>
      <c r="AB4802">
        <v>22</v>
      </c>
      <c r="AC4802">
        <v>-14.057700000000001</v>
      </c>
      <c r="AD4802">
        <v>-1.0991975712119999</v>
      </c>
      <c r="AE4802">
        <v>-4.3758999999999997</v>
      </c>
      <c r="AF4802">
        <v>9.9132163543373792</v>
      </c>
      <c r="AG4802">
        <v>-1.0991975712119999</v>
      </c>
      <c r="AH4802">
        <v>10.774931812767001</v>
      </c>
      <c r="AI4802">
        <v>94.293400726960598</v>
      </c>
      <c r="AJ4802">
        <v>47.385140290213101</v>
      </c>
      <c r="AK4802">
        <v>14.6826172516428</v>
      </c>
      <c r="AL4802">
        <v>94.641819114171497</v>
      </c>
      <c r="AM4802">
        <v>75.807921063781194</v>
      </c>
      <c r="AN4802">
        <v>0.99999996171077099</v>
      </c>
    </row>
    <row r="4803" spans="1:40" x14ac:dyDescent="0.25">
      <c r="A4803" t="str">
        <f>"20190305135026136"</f>
        <v>20190305135026136</v>
      </c>
      <c r="B4803" t="str">
        <f>"1551765026124499"</f>
        <v>1551765026124499</v>
      </c>
      <c r="C4803" t="s">
        <v>40</v>
      </c>
      <c r="D4803">
        <v>4.455247</v>
      </c>
      <c r="E4803">
        <v>0.71722149999999996</v>
      </c>
      <c r="F4803" t="s">
        <v>94</v>
      </c>
      <c r="G4803">
        <v>-206.18680000000001</v>
      </c>
      <c r="H4803" s="1">
        <v>-9.086294E-6</v>
      </c>
      <c r="I4803">
        <v>147.29509999999999</v>
      </c>
      <c r="J4803">
        <v>-194.9059</v>
      </c>
      <c r="K4803">
        <v>1.0991599999999999</v>
      </c>
      <c r="L4803">
        <v>150.35329999999999</v>
      </c>
      <c r="M4803">
        <v>-0.51069439999999999</v>
      </c>
      <c r="N4803">
        <v>-1.6335550000000001E-2</v>
      </c>
      <c r="O4803">
        <v>-0.85960720000000002</v>
      </c>
      <c r="P4803">
        <v>-0.70464969999999905</v>
      </c>
      <c r="Q4803">
        <v>-9.0452850000000001E-2</v>
      </c>
      <c r="R4803">
        <v>-0.70376660000000002</v>
      </c>
      <c r="S4803">
        <v>-3.317596</v>
      </c>
      <c r="T4803">
        <v>-0.32103540000000003</v>
      </c>
      <c r="U4803">
        <v>-0.92575070000000004</v>
      </c>
      <c r="V4803">
        <v>0.2443013</v>
      </c>
      <c r="W4803">
        <v>-8.1114539999999999E-2</v>
      </c>
      <c r="X4803">
        <v>0.96630079999999996</v>
      </c>
      <c r="Y4803">
        <v>0.68634379999999995</v>
      </c>
      <c r="Z4803">
        <v>8.8080229999999995E-2</v>
      </c>
      <c r="AA4803">
        <v>0.7219238</v>
      </c>
      <c r="AB4803">
        <v>22</v>
      </c>
      <c r="AC4803">
        <v>-11.280900000000001</v>
      </c>
      <c r="AD4803">
        <v>-1.099169086294</v>
      </c>
      <c r="AE4803">
        <v>-3.0581999999999998</v>
      </c>
      <c r="AF4803">
        <v>8.0650956108224907</v>
      </c>
      <c r="AG4803">
        <v>-1.099169086294</v>
      </c>
      <c r="AH4803">
        <v>8.3175032551253594</v>
      </c>
      <c r="AI4803">
        <v>95.419632345688498</v>
      </c>
      <c r="AJ4803">
        <v>45.882689535874299</v>
      </c>
      <c r="AK4803">
        <v>11.6376458225447</v>
      </c>
      <c r="AL4803">
        <v>94.652632558607394</v>
      </c>
      <c r="AM4803">
        <v>75.811724910788698</v>
      </c>
      <c r="AN4803">
        <v>0.99999996493086996</v>
      </c>
    </row>
    <row r="4804" spans="1:40" x14ac:dyDescent="0.25">
      <c r="A4804" t="str">
        <f>"20190305135026156"</f>
        <v>20190305135026156</v>
      </c>
      <c r="B4804" t="str">
        <f>"1551765026144994"</f>
        <v>1551765026144994</v>
      </c>
      <c r="C4804" t="s">
        <v>40</v>
      </c>
      <c r="D4804">
        <v>4.3868600000000004</v>
      </c>
      <c r="E4804">
        <v>0.71810109999999905</v>
      </c>
      <c r="F4804" t="s">
        <v>94</v>
      </c>
      <c r="G4804">
        <v>-205.71940000000001</v>
      </c>
      <c r="H4804" s="1">
        <v>-9.3547539999999998E-6</v>
      </c>
      <c r="I4804">
        <v>147.52690000000001</v>
      </c>
      <c r="J4804">
        <v>-195.0273</v>
      </c>
      <c r="K4804">
        <v>1.099113</v>
      </c>
      <c r="L4804">
        <v>150.1859</v>
      </c>
      <c r="M4804">
        <v>-0.52484149999999996</v>
      </c>
      <c r="N4804">
        <v>-1.6386419999999999E-2</v>
      </c>
      <c r="O4804">
        <v>-0.85104230000000003</v>
      </c>
      <c r="P4804">
        <v>-0.71560619999999997</v>
      </c>
      <c r="Q4804">
        <v>-8.999965E-2</v>
      </c>
      <c r="R4804">
        <v>-0.69268180000000001</v>
      </c>
      <c r="S4804">
        <v>-3.341507</v>
      </c>
      <c r="T4804">
        <v>-0.33965709999999999</v>
      </c>
      <c r="U4804">
        <v>-0.8733978</v>
      </c>
      <c r="V4804">
        <v>0.24345800000000001</v>
      </c>
      <c r="W4804">
        <v>-8.0609420000000001E-2</v>
      </c>
      <c r="X4804">
        <v>0.96655590000000002</v>
      </c>
      <c r="Y4804">
        <v>0.68570450000000005</v>
      </c>
      <c r="Z4804">
        <v>9.3382000000000007E-2</v>
      </c>
      <c r="AA4804">
        <v>0.72186510000000004</v>
      </c>
      <c r="AB4804">
        <v>22</v>
      </c>
      <c r="AC4804">
        <v>-10.6921</v>
      </c>
      <c r="AD4804">
        <v>-1.0991223547540001</v>
      </c>
      <c r="AE4804">
        <v>-2.65899999999999</v>
      </c>
      <c r="AF4804">
        <v>7.6289872399952499</v>
      </c>
      <c r="AG4804">
        <v>-1.0991223547540001</v>
      </c>
      <c r="AH4804">
        <v>7.79803129976841</v>
      </c>
      <c r="AI4804">
        <v>95.753240439006305</v>
      </c>
      <c r="AJ4804">
        <v>45.627802678275302</v>
      </c>
      <c r="AK4804">
        <v>10.9644337934477</v>
      </c>
      <c r="AL4804">
        <v>94.623596102241805</v>
      </c>
      <c r="AM4804">
        <v>75.862315732931606</v>
      </c>
      <c r="AN4804">
        <v>0.99999999209077295</v>
      </c>
    </row>
    <row r="4805" spans="1:40" x14ac:dyDescent="0.25">
      <c r="A4805" t="str">
        <f>"20190305135026172"</f>
        <v>20190305135026172</v>
      </c>
      <c r="B4805" t="str">
        <f>"1551765026164513"</f>
        <v>1551765026164513</v>
      </c>
      <c r="C4805" t="s">
        <v>40</v>
      </c>
      <c r="D4805">
        <v>4.4108580000000002</v>
      </c>
      <c r="E4805">
        <v>0.71744169999999996</v>
      </c>
      <c r="F4805" t="s">
        <v>94</v>
      </c>
      <c r="G4805">
        <v>-205.56469999999999</v>
      </c>
      <c r="H4805" s="1">
        <v>-9.4508600000000002E-6</v>
      </c>
      <c r="I4805">
        <v>147.631</v>
      </c>
      <c r="J4805">
        <v>-195.12280000000001</v>
      </c>
      <c r="K4805">
        <v>1.0990869999999999</v>
      </c>
      <c r="L4805">
        <v>150.05789999999999</v>
      </c>
      <c r="M4805">
        <v>-0.53573340000000003</v>
      </c>
      <c r="N4805">
        <v>-1.6423460000000001E-2</v>
      </c>
      <c r="O4805">
        <v>-0.84422759999999997</v>
      </c>
      <c r="P4805">
        <v>-0.72386539999999999</v>
      </c>
      <c r="Q4805">
        <v>-8.9934349999999996E-2</v>
      </c>
      <c r="R4805">
        <v>-0.68405469999999902</v>
      </c>
      <c r="S4805">
        <v>-3.3596949999999999</v>
      </c>
      <c r="T4805">
        <v>-0.350439</v>
      </c>
      <c r="U4805">
        <v>-0.81457519999999894</v>
      </c>
      <c r="V4805">
        <v>0.24262880000000001</v>
      </c>
      <c r="W4805">
        <v>-8.0499189999999998E-2</v>
      </c>
      <c r="X4805">
        <v>0.96677360000000001</v>
      </c>
      <c r="Y4805">
        <v>0.68887759999999998</v>
      </c>
      <c r="Z4805">
        <v>9.6634289999999998E-2</v>
      </c>
      <c r="AA4805">
        <v>0.71840760000000004</v>
      </c>
      <c r="AB4805">
        <v>22</v>
      </c>
      <c r="AC4805">
        <v>-10.441899999999899</v>
      </c>
      <c r="AD4805">
        <v>-1.0990964508600001</v>
      </c>
      <c r="AE4805">
        <v>-2.4268999999999799</v>
      </c>
      <c r="AF4805">
        <v>7.43799718038591</v>
      </c>
      <c r="AG4805">
        <v>-1.0990964508600001</v>
      </c>
      <c r="AH4805">
        <v>7.5644469869847901</v>
      </c>
      <c r="AI4805">
        <v>95.914926036190806</v>
      </c>
      <c r="AJ4805">
        <v>45.482912557354197</v>
      </c>
      <c r="AK4805">
        <v>10.6654898285369</v>
      </c>
      <c r="AL4805">
        <v>94.617259649547094</v>
      </c>
      <c r="AM4805">
        <v>75.911592963151094</v>
      </c>
      <c r="AN4805">
        <v>1.0000000239185201</v>
      </c>
    </row>
    <row r="4806" spans="1:40" x14ac:dyDescent="0.25">
      <c r="A4806" t="str">
        <f>"20190305135026185"</f>
        <v>20190305135026185</v>
      </c>
      <c r="B4806" t="str">
        <f>"1551765026175250"</f>
        <v>1551765026175250</v>
      </c>
      <c r="C4806" t="s">
        <v>40</v>
      </c>
      <c r="D4806">
        <v>4.3871589999999996</v>
      </c>
      <c r="E4806">
        <v>0.71729019999999899</v>
      </c>
      <c r="F4806" t="s">
        <v>94</v>
      </c>
      <c r="G4806">
        <v>-205.45849999999999</v>
      </c>
      <c r="H4806" s="1">
        <v>-9.5086829999999994E-6</v>
      </c>
      <c r="I4806">
        <v>147.67169999999999</v>
      </c>
      <c r="J4806">
        <v>-195.20920000000001</v>
      </c>
      <c r="K4806">
        <v>1.099064</v>
      </c>
      <c r="L4806">
        <v>149.94550000000001</v>
      </c>
      <c r="M4806">
        <v>-0.54537749999999996</v>
      </c>
      <c r="N4806">
        <v>-1.6454489999999999E-2</v>
      </c>
      <c r="O4806">
        <v>-0.83802900000000002</v>
      </c>
      <c r="P4806">
        <v>-0.73097650000000003</v>
      </c>
      <c r="Q4806">
        <v>-8.9506329999999995E-2</v>
      </c>
      <c r="R4806">
        <v>-0.67650749999999904</v>
      </c>
      <c r="S4806">
        <v>-3.3656769999999998</v>
      </c>
      <c r="T4806">
        <v>-0.35790569999999999</v>
      </c>
      <c r="U4806">
        <v>-0.77702329999999997</v>
      </c>
      <c r="V4806">
        <v>0.2416288</v>
      </c>
      <c r="W4806">
        <v>-8.0022040000000003E-2</v>
      </c>
      <c r="X4806">
        <v>0.96706360000000002</v>
      </c>
      <c r="Y4806">
        <v>0.68823519999999905</v>
      </c>
      <c r="Z4806">
        <v>9.8863859999999998E-2</v>
      </c>
      <c r="AA4806">
        <v>0.71872000000000003</v>
      </c>
      <c r="AB4806">
        <v>22</v>
      </c>
      <c r="AC4806">
        <v>-10.2492999999999</v>
      </c>
      <c r="AD4806">
        <v>-1.0990735086829999</v>
      </c>
      <c r="AE4806">
        <v>-2.27380000000002</v>
      </c>
      <c r="AF4806">
        <v>7.2704443826696998</v>
      </c>
      <c r="AG4806">
        <v>-1.0990735086829999</v>
      </c>
      <c r="AH4806">
        <v>7.4149965973077903</v>
      </c>
      <c r="AI4806">
        <v>96.041469768317896</v>
      </c>
      <c r="AJ4806">
        <v>45.563957484049098</v>
      </c>
      <c r="AK4806">
        <v>10.4426767946283</v>
      </c>
      <c r="AL4806">
        <v>94.589832572613105</v>
      </c>
      <c r="AM4806">
        <v>75.971401762794002</v>
      </c>
      <c r="AN4806">
        <v>1.0000000051600799</v>
      </c>
    </row>
    <row r="4807" spans="1:40" x14ac:dyDescent="0.25">
      <c r="A4807" t="str">
        <f>"20190305135026198"</f>
        <v>20190305135026198</v>
      </c>
      <c r="B4807" t="str">
        <f>"1551765026194770"</f>
        <v>1551765026194770</v>
      </c>
      <c r="C4807" t="s">
        <v>40</v>
      </c>
      <c r="D4807">
        <v>4.4032749999999998</v>
      </c>
      <c r="E4807">
        <v>0.71584110000000001</v>
      </c>
      <c r="F4807" t="s">
        <v>94</v>
      </c>
      <c r="G4807">
        <v>-205.4967</v>
      </c>
      <c r="H4807" s="1">
        <v>-9.4941570000000004E-6</v>
      </c>
      <c r="I4807">
        <v>147.68090000000001</v>
      </c>
      <c r="J4807">
        <v>-195.2818</v>
      </c>
      <c r="K4807">
        <v>1.0990489999999999</v>
      </c>
      <c r="L4807">
        <v>149.85339999999999</v>
      </c>
      <c r="M4807">
        <v>-0.55333829999999995</v>
      </c>
      <c r="N4807">
        <v>-1.6478699999999999E-2</v>
      </c>
      <c r="O4807">
        <v>-0.83279380000000003</v>
      </c>
      <c r="P4807">
        <v>-0.7370236</v>
      </c>
      <c r="Q4807">
        <v>-8.9557360000000003E-2</v>
      </c>
      <c r="R4807">
        <v>-0.669907699999999</v>
      </c>
      <c r="S4807">
        <v>-3.372849</v>
      </c>
      <c r="T4807">
        <v>-0.36033870000000001</v>
      </c>
      <c r="U4807">
        <v>-0.74244690000000002</v>
      </c>
      <c r="V4807">
        <v>0.24110110000000001</v>
      </c>
      <c r="W4807">
        <v>-8.0042089999999996E-2</v>
      </c>
      <c r="X4807">
        <v>0.96719370000000005</v>
      </c>
      <c r="Y4807">
        <v>0.68861839999999996</v>
      </c>
      <c r="Z4807">
        <v>9.9554610000000002E-2</v>
      </c>
      <c r="AA4807">
        <v>0.71825729999999999</v>
      </c>
      <c r="AB4807">
        <v>22</v>
      </c>
      <c r="AC4807">
        <v>-10.2149</v>
      </c>
      <c r="AD4807">
        <v>-1.0990584941570001</v>
      </c>
      <c r="AE4807">
        <v>-2.1724999999999799</v>
      </c>
      <c r="AF4807">
        <v>7.2257405511987001</v>
      </c>
      <c r="AG4807">
        <v>-1.0990584941570001</v>
      </c>
      <c r="AH4807">
        <v>7.3808063934699204</v>
      </c>
      <c r="AI4807">
        <v>96.073728137828297</v>
      </c>
      <c r="AJ4807">
        <v>45.608239893338698</v>
      </c>
      <c r="AK4807">
        <v>10.3872787150775</v>
      </c>
      <c r="AL4807">
        <v>94.5909847746872</v>
      </c>
      <c r="AM4807">
        <v>76.002642157125706</v>
      </c>
      <c r="AN4807">
        <v>1.00000006495623</v>
      </c>
    </row>
    <row r="4808" spans="1:40" x14ac:dyDescent="0.25">
      <c r="A4808" t="str">
        <f>"20190305135026210"</f>
        <v>20190305135026210</v>
      </c>
      <c r="B4808" t="str">
        <f>"1551765026204531"</f>
        <v>1551765026204531</v>
      </c>
      <c r="C4808" t="s">
        <v>40</v>
      </c>
      <c r="D4808">
        <v>4.3875289999999998</v>
      </c>
      <c r="E4808">
        <v>0.71527430000000003</v>
      </c>
      <c r="F4808" t="s">
        <v>94</v>
      </c>
      <c r="G4808">
        <v>-205.52459999999999</v>
      </c>
      <c r="H4808" s="1">
        <v>-9.4773429999999992E-6</v>
      </c>
      <c r="I4808">
        <v>147.66399999999999</v>
      </c>
      <c r="J4808">
        <v>-195.35589999999999</v>
      </c>
      <c r="K4808">
        <v>1.09903</v>
      </c>
      <c r="L4808">
        <v>149.7602</v>
      </c>
      <c r="M4808">
        <v>-0.56137959999999998</v>
      </c>
      <c r="N4808">
        <v>-1.650248E-2</v>
      </c>
      <c r="O4808">
        <v>-0.82739390000000002</v>
      </c>
      <c r="P4808">
        <v>-0.74313229999999997</v>
      </c>
      <c r="Q4808">
        <v>-8.9469779999999999E-2</v>
      </c>
      <c r="R4808">
        <v>-0.66313650000000002</v>
      </c>
      <c r="S4808">
        <v>-3.3714900000000001</v>
      </c>
      <c r="T4808">
        <v>-0.36176190000000003</v>
      </c>
      <c r="U4808">
        <v>-0.72062680000000001</v>
      </c>
      <c r="V4808">
        <v>0.24059050000000001</v>
      </c>
      <c r="W4808">
        <v>-7.9923569999999999E-2</v>
      </c>
      <c r="X4808">
        <v>0.96733060000000004</v>
      </c>
      <c r="Y4808">
        <v>0.68595030000000001</v>
      </c>
      <c r="Z4808">
        <v>9.9930669999999999E-2</v>
      </c>
      <c r="AA4808">
        <v>0.7207538</v>
      </c>
      <c r="AB4808">
        <v>22</v>
      </c>
      <c r="AC4808">
        <v>-10.168699999999999</v>
      </c>
      <c r="AD4808">
        <v>-1.0990394773429999</v>
      </c>
      <c r="AE4808">
        <v>-2.0962000000000098</v>
      </c>
      <c r="AF4808">
        <v>7.1575397618205399</v>
      </c>
      <c r="AG4808">
        <v>-1.0990394773429999</v>
      </c>
      <c r="AH4808">
        <v>7.3614108002943599</v>
      </c>
      <c r="AI4808">
        <v>96.109735087207198</v>
      </c>
      <c r="AJ4808">
        <v>45.804478422854999</v>
      </c>
      <c r="AK4808">
        <v>10.3261140893121</v>
      </c>
      <c r="AL4808">
        <v>94.584172424756204</v>
      </c>
      <c r="AM4808">
        <v>76.033023126847496</v>
      </c>
      <c r="AN4808">
        <v>1.0000000277140699</v>
      </c>
    </row>
    <row r="4809" spans="1:40" x14ac:dyDescent="0.25">
      <c r="A4809" t="str">
        <f>"20190305135026222"</f>
        <v>20190305135026222</v>
      </c>
      <c r="B4809" t="str">
        <f>"1551765026215267"</f>
        <v>1551765026215267</v>
      </c>
      <c r="C4809" t="s">
        <v>40</v>
      </c>
      <c r="D4809">
        <v>4.4119710000000003</v>
      </c>
      <c r="E4809">
        <v>0.71469069999999901</v>
      </c>
      <c r="F4809" t="s">
        <v>94</v>
      </c>
      <c r="G4809">
        <v>-205.56649999999999</v>
      </c>
      <c r="H4809" s="1">
        <v>-9.4587789999999992E-6</v>
      </c>
      <c r="I4809">
        <v>147.66409999999999</v>
      </c>
      <c r="J4809">
        <v>-195.4358</v>
      </c>
      <c r="K4809">
        <v>1.099019</v>
      </c>
      <c r="L4809">
        <v>149.66329999999999</v>
      </c>
      <c r="M4809">
        <v>-0.56985750000000002</v>
      </c>
      <c r="N4809">
        <v>-1.652549E-2</v>
      </c>
      <c r="O4809">
        <v>-0.82157739999999901</v>
      </c>
      <c r="P4809">
        <v>-0.74966140000000003</v>
      </c>
      <c r="Q4809">
        <v>-8.9557510000000007E-2</v>
      </c>
      <c r="R4809">
        <v>-0.6557345</v>
      </c>
      <c r="S4809">
        <v>-3.3749690000000001</v>
      </c>
      <c r="T4809">
        <v>-0.36327290000000001</v>
      </c>
      <c r="U4809">
        <v>-0.69284060000000003</v>
      </c>
      <c r="V4809">
        <v>0.24022460000000001</v>
      </c>
      <c r="W4809">
        <v>-7.9984200000000005E-2</v>
      </c>
      <c r="X4809">
        <v>0.96741650000000001</v>
      </c>
      <c r="Y4809">
        <v>0.68429289999999998</v>
      </c>
      <c r="Z4809">
        <v>0.10025290000000001</v>
      </c>
      <c r="AA4809">
        <v>0.72228289999999995</v>
      </c>
      <c r="AB4809">
        <v>22</v>
      </c>
      <c r="AC4809">
        <v>-10.1306999999999</v>
      </c>
      <c r="AD4809">
        <v>-1.099028458779</v>
      </c>
      <c r="AE4809">
        <v>-1.9992000000000001</v>
      </c>
      <c r="AF4809">
        <v>7.1043983892963096</v>
      </c>
      <c r="AG4809">
        <v>-1.099028458779</v>
      </c>
      <c r="AH4809">
        <v>7.3334927348661996</v>
      </c>
      <c r="AI4809">
        <v>96.143548136955005</v>
      </c>
      <c r="AJ4809">
        <v>45.909068889072401</v>
      </c>
      <c r="AK4809">
        <v>10.2693941262071</v>
      </c>
      <c r="AL4809">
        <v>94.587657517327798</v>
      </c>
      <c r="AM4809">
        <v>76.054624962325505</v>
      </c>
      <c r="AN4809">
        <v>1.00000000758352</v>
      </c>
    </row>
    <row r="4810" spans="1:40" x14ac:dyDescent="0.25">
      <c r="A4810" t="str">
        <f>"20190305135026233"</f>
        <v>20190305135026233</v>
      </c>
      <c r="B4810" t="str">
        <f>"1551765026225026"</f>
        <v>1551765026225026</v>
      </c>
      <c r="C4810" t="s">
        <v>40</v>
      </c>
      <c r="D4810">
        <v>4.4078819999999999</v>
      </c>
      <c r="E4810">
        <v>0.71398200000000001</v>
      </c>
      <c r="F4810" t="s">
        <v>94</v>
      </c>
      <c r="G4810">
        <v>-205.57640000000001</v>
      </c>
      <c r="H4810" s="1">
        <v>-9.4571639999999997E-6</v>
      </c>
      <c r="I4810">
        <v>147.6747</v>
      </c>
      <c r="J4810">
        <v>-195.51060000000001</v>
      </c>
      <c r="K4810">
        <v>1.09901</v>
      </c>
      <c r="L4810">
        <v>149.5736</v>
      </c>
      <c r="M4810">
        <v>-0.57769409999999999</v>
      </c>
      <c r="N4810">
        <v>-1.654599E-2</v>
      </c>
      <c r="O4810">
        <v>-0.81608579999999997</v>
      </c>
      <c r="P4810">
        <v>-0.755395699999999</v>
      </c>
      <c r="Q4810">
        <v>-8.9646210000000004E-2</v>
      </c>
      <c r="R4810">
        <v>-0.64910840000000003</v>
      </c>
      <c r="S4810">
        <v>-3.3785400000000001</v>
      </c>
      <c r="T4810">
        <v>-0.36616219999999999</v>
      </c>
      <c r="U4810">
        <v>-0.66252140000000004</v>
      </c>
      <c r="V4810">
        <v>0.2394734</v>
      </c>
      <c r="W4810">
        <v>-8.0034960000000002E-2</v>
      </c>
      <c r="X4810">
        <v>0.96759859999999998</v>
      </c>
      <c r="Y4810">
        <v>0.68362829999999997</v>
      </c>
      <c r="Z4810">
        <v>0.10104580000000001</v>
      </c>
      <c r="AA4810">
        <v>0.72280159999999904</v>
      </c>
      <c r="AB4810">
        <v>22</v>
      </c>
      <c r="AC4810">
        <v>-10.0657999999999</v>
      </c>
      <c r="AD4810">
        <v>-1.099019457164</v>
      </c>
      <c r="AE4810">
        <v>-1.89889999999999</v>
      </c>
      <c r="AF4810">
        <v>7.0375349548892698</v>
      </c>
      <c r="AG4810">
        <v>-1.099019457164</v>
      </c>
      <c r="AH4810">
        <v>7.2818023701342103</v>
      </c>
      <c r="AI4810">
        <v>96.193847714757993</v>
      </c>
      <c r="AJ4810">
        <v>45.9772892660433</v>
      </c>
      <c r="AK4810">
        <v>10.1862352106264</v>
      </c>
      <c r="AL4810">
        <v>94.590574883599999</v>
      </c>
      <c r="AM4810">
        <v>76.099053951281505</v>
      </c>
      <c r="AN4810">
        <v>1.00000007742585</v>
      </c>
    </row>
    <row r="4811" spans="1:40" x14ac:dyDescent="0.25">
      <c r="A4811" t="str">
        <f>"20190305135026246"</f>
        <v>20190305135026246</v>
      </c>
      <c r="B4811" t="str">
        <f>"1551765026234787"</f>
        <v>1551765026234787</v>
      </c>
      <c r="C4811" t="s">
        <v>40</v>
      </c>
      <c r="D4811">
        <v>4.390619</v>
      </c>
      <c r="E4811">
        <v>0.71298289999999998</v>
      </c>
      <c r="F4811" t="s">
        <v>94</v>
      </c>
      <c r="G4811">
        <v>-205.60169999999999</v>
      </c>
      <c r="H4811" s="1">
        <v>-9.4455520000000002E-6</v>
      </c>
      <c r="I4811">
        <v>147.67320000000001</v>
      </c>
      <c r="J4811">
        <v>-195.59549999999999</v>
      </c>
      <c r="K4811">
        <v>1.0990009999999999</v>
      </c>
      <c r="L4811">
        <v>149.47409999999999</v>
      </c>
      <c r="M4811">
        <v>-0.58643819999999902</v>
      </c>
      <c r="N4811">
        <v>-1.6567499999999999E-2</v>
      </c>
      <c r="O4811">
        <v>-0.80982469999999995</v>
      </c>
      <c r="P4811">
        <v>-0.76187959999999999</v>
      </c>
      <c r="Q4811">
        <v>-8.9538980000000004E-2</v>
      </c>
      <c r="R4811">
        <v>-0.64150039999999997</v>
      </c>
      <c r="S4811">
        <v>-3.3806609999999999</v>
      </c>
      <c r="T4811">
        <v>-0.3681873</v>
      </c>
      <c r="U4811">
        <v>-0.63667299999999905</v>
      </c>
      <c r="V4811">
        <v>0.23878279999999999</v>
      </c>
      <c r="W4811">
        <v>-7.9889100000000005E-2</v>
      </c>
      <c r="X4811">
        <v>0.96778120000000001</v>
      </c>
      <c r="Y4811">
        <v>0.68116769999999904</v>
      </c>
      <c r="Z4811">
        <v>0.1014569</v>
      </c>
      <c r="AA4811">
        <v>0.72506359999999903</v>
      </c>
      <c r="AB4811">
        <v>22</v>
      </c>
      <c r="AC4811">
        <v>-10.0062</v>
      </c>
      <c r="AD4811">
        <v>-1.099010445552</v>
      </c>
      <c r="AE4811">
        <v>-1.80089999999998</v>
      </c>
      <c r="AF4811">
        <v>6.9667131830359699</v>
      </c>
      <c r="AG4811">
        <v>-1.099010445552</v>
      </c>
      <c r="AH4811">
        <v>7.24280526415175</v>
      </c>
      <c r="AI4811">
        <v>96.241022192261099</v>
      </c>
      <c r="AJ4811">
        <v>46.113121519248097</v>
      </c>
      <c r="AK4811">
        <v>10.109458176803701</v>
      </c>
      <c r="AL4811">
        <v>94.582191357434098</v>
      </c>
      <c r="AM4811">
        <v>76.140108263691104</v>
      </c>
      <c r="AN4811">
        <v>0.99999997247404404</v>
      </c>
    </row>
    <row r="4812" spans="1:40" x14ac:dyDescent="0.25">
      <c r="A4812" t="str">
        <f>"20190305135026265"</f>
        <v>20190305135026265</v>
      </c>
      <c r="B4812" t="str">
        <f>"1551765026255286"</f>
        <v>1551765026255286</v>
      </c>
      <c r="C4812" t="s">
        <v>40</v>
      </c>
      <c r="D4812">
        <v>4.3823990000000004</v>
      </c>
      <c r="E4812">
        <v>0.71162650000000005</v>
      </c>
      <c r="F4812" t="s">
        <v>94</v>
      </c>
      <c r="G4812">
        <v>-205.7251</v>
      </c>
      <c r="H4812" s="1">
        <v>-9.3848560000000002E-6</v>
      </c>
      <c r="I4812">
        <v>147.65049999999999</v>
      </c>
      <c r="J4812">
        <v>-195.71</v>
      </c>
      <c r="K4812">
        <v>1.099003</v>
      </c>
      <c r="L4812">
        <v>149.34370000000001</v>
      </c>
      <c r="M4812">
        <v>-0.59797409999999995</v>
      </c>
      <c r="N4812">
        <v>-1.6593460000000001E-2</v>
      </c>
      <c r="O4812">
        <v>-0.80134369999999999</v>
      </c>
      <c r="P4812">
        <v>-0.76951459999999905</v>
      </c>
      <c r="Q4812">
        <v>-8.9042040000000003E-2</v>
      </c>
      <c r="R4812">
        <v>-0.63239109999999998</v>
      </c>
      <c r="S4812">
        <v>-3.381866</v>
      </c>
      <c r="T4812">
        <v>-0.36691760000000001</v>
      </c>
      <c r="U4812">
        <v>-0.60884090000000002</v>
      </c>
      <c r="V4812">
        <v>0.23650080000000001</v>
      </c>
      <c r="W4812">
        <v>-7.9297709999999993E-2</v>
      </c>
      <c r="X4812">
        <v>0.96838999999999997</v>
      </c>
      <c r="Y4812">
        <v>0.67660880000000001</v>
      </c>
      <c r="Z4812">
        <v>0.1007212</v>
      </c>
      <c r="AA4812">
        <v>0.729421599999999</v>
      </c>
      <c r="AB4812">
        <v>22</v>
      </c>
      <c r="AC4812">
        <v>-10.015099999999901</v>
      </c>
      <c r="AD4812">
        <v>-1.0990123848560001</v>
      </c>
      <c r="AE4812">
        <v>-1.69320000000001</v>
      </c>
      <c r="AF4812">
        <v>6.9328482500634898</v>
      </c>
      <c r="AG4812">
        <v>-1.0990123848560001</v>
      </c>
      <c r="AH4812">
        <v>7.2616032255221699</v>
      </c>
      <c r="AI4812">
        <v>96.247113234976695</v>
      </c>
      <c r="AJ4812">
        <v>46.326779385126898</v>
      </c>
      <c r="AK4812">
        <v>10.0996581370554</v>
      </c>
      <c r="AL4812">
        <v>94.548199356969903</v>
      </c>
      <c r="AM4812">
        <v>76.275833782197793</v>
      </c>
      <c r="AN4812">
        <v>0.99999997365594095</v>
      </c>
    </row>
    <row r="4813" spans="1:40" x14ac:dyDescent="0.25">
      <c r="A4813" t="str">
        <f>"20190305135026278"</f>
        <v>20190305135026278</v>
      </c>
      <c r="B4813" t="str">
        <f>"1551765026274803"</f>
        <v>1551765026274803</v>
      </c>
      <c r="C4813" t="s">
        <v>40</v>
      </c>
      <c r="D4813">
        <v>4.3975400000000002</v>
      </c>
      <c r="E4813">
        <v>0.7100725</v>
      </c>
      <c r="F4813" t="s">
        <v>94</v>
      </c>
      <c r="G4813">
        <v>-205.9272</v>
      </c>
      <c r="H4813" s="1">
        <v>-9.2822010000000001E-6</v>
      </c>
      <c r="I4813">
        <v>147.60120000000001</v>
      </c>
      <c r="J4813">
        <v>-195.8064</v>
      </c>
      <c r="K4813">
        <v>1.0990120000000001</v>
      </c>
      <c r="L4813">
        <v>149.23679999999999</v>
      </c>
      <c r="M4813">
        <v>-0.60748029999999997</v>
      </c>
      <c r="N4813">
        <v>-1.661284E-2</v>
      </c>
      <c r="O4813">
        <v>-0.79416119999999901</v>
      </c>
      <c r="P4813">
        <v>-0.77609619999999901</v>
      </c>
      <c r="Q4813">
        <v>-8.8611800000000004E-2</v>
      </c>
      <c r="R4813">
        <v>-0.62435810000000003</v>
      </c>
      <c r="S4813">
        <v>-3.3824160000000001</v>
      </c>
      <c r="T4813">
        <v>-0.36382769999999998</v>
      </c>
      <c r="U4813">
        <v>-0.57684329999999995</v>
      </c>
      <c r="V4813">
        <v>0.2350816</v>
      </c>
      <c r="W4813">
        <v>-7.8803209999999999E-2</v>
      </c>
      <c r="X4813">
        <v>0.96877590000000002</v>
      </c>
      <c r="Y4813">
        <v>0.67470160000000001</v>
      </c>
      <c r="Z4813">
        <v>9.9652569999999996E-2</v>
      </c>
      <c r="AA4813">
        <v>0.73133239999999999</v>
      </c>
      <c r="AB4813">
        <v>22</v>
      </c>
      <c r="AC4813">
        <v>-10.120799999999999</v>
      </c>
      <c r="AD4813">
        <v>-1.0990212822009999</v>
      </c>
      <c r="AE4813">
        <v>-1.63559999999998</v>
      </c>
      <c r="AF4813">
        <v>6.9648844041885596</v>
      </c>
      <c r="AG4813">
        <v>-1.0990212822009999</v>
      </c>
      <c r="AH4813">
        <v>7.3635237139509897</v>
      </c>
      <c r="AI4813">
        <v>96.188484811215503</v>
      </c>
      <c r="AJ4813">
        <v>46.593649442195101</v>
      </c>
      <c r="AK4813">
        <v>10.195045072404399</v>
      </c>
      <c r="AL4813">
        <v>94.519777420267104</v>
      </c>
      <c r="AM4813">
        <v>76.360334829398596</v>
      </c>
      <c r="AN4813">
        <v>1.00000002449283</v>
      </c>
    </row>
    <row r="4814" spans="1:40" x14ac:dyDescent="0.25">
      <c r="A4814" t="str">
        <f>"20190305135026297"</f>
        <v>20190305135026297</v>
      </c>
      <c r="B4814" t="str">
        <f>"1551765026285539"</f>
        <v>1551765026285539</v>
      </c>
      <c r="C4814" t="s">
        <v>40</v>
      </c>
      <c r="D4814">
        <v>4.3648350000000002</v>
      </c>
      <c r="E4814">
        <v>0.70935579999999998</v>
      </c>
      <c r="F4814" t="s">
        <v>94</v>
      </c>
      <c r="G4814">
        <v>-206.0633</v>
      </c>
      <c r="H4814" s="1">
        <v>-9.2122380000000003E-6</v>
      </c>
      <c r="I4814">
        <v>147.56479999999999</v>
      </c>
      <c r="J4814">
        <v>-195.89089999999999</v>
      </c>
      <c r="K4814">
        <v>1.099019</v>
      </c>
      <c r="L4814">
        <v>149.1447</v>
      </c>
      <c r="M4814">
        <v>-0.61567099999999997</v>
      </c>
      <c r="N4814">
        <v>-1.6628469999999999E-2</v>
      </c>
      <c r="O4814">
        <v>-0.78782790000000003</v>
      </c>
      <c r="P4814">
        <v>-0.78155600000000003</v>
      </c>
      <c r="Q4814">
        <v>-8.7863360000000001E-2</v>
      </c>
      <c r="R4814">
        <v>-0.61761679999999997</v>
      </c>
      <c r="S4814">
        <v>-3.3807529999999999</v>
      </c>
      <c r="T4814">
        <v>-0.36224659999999997</v>
      </c>
      <c r="U4814">
        <v>-0.55111690000000002</v>
      </c>
      <c r="V4814">
        <v>0.23352600000000001</v>
      </c>
      <c r="W4814">
        <v>-7.7988169999999996E-2</v>
      </c>
      <c r="X4814">
        <v>0.96921800000000002</v>
      </c>
      <c r="Y4814">
        <v>0.67250259999999995</v>
      </c>
      <c r="Z4814">
        <v>9.9058510000000002E-2</v>
      </c>
      <c r="AA4814">
        <v>0.73343549999999902</v>
      </c>
      <c r="AB4814">
        <v>22</v>
      </c>
      <c r="AC4814">
        <v>-10.1724</v>
      </c>
      <c r="AD4814">
        <v>-1.099028212238</v>
      </c>
      <c r="AE4814">
        <v>-1.5799000000000001</v>
      </c>
      <c r="AF4814">
        <v>6.9630126285474203</v>
      </c>
      <c r="AG4814">
        <v>-1.099028212238</v>
      </c>
      <c r="AH4814">
        <v>7.4239623396171996</v>
      </c>
      <c r="AI4814">
        <v>96.162754080270105</v>
      </c>
      <c r="AJ4814">
        <v>46.835093315877202</v>
      </c>
      <c r="AK4814">
        <v>10.237510668940001</v>
      </c>
      <c r="AL4814">
        <v>94.472934834813998</v>
      </c>
      <c r="AM4814">
        <v>76.453206717377597</v>
      </c>
      <c r="AN4814">
        <v>1.00000003942997</v>
      </c>
    </row>
    <row r="4815" spans="1:40" x14ac:dyDescent="0.25">
      <c r="A4815" t="str">
        <f>"20190305135026308"</f>
        <v>20190305135026308</v>
      </c>
      <c r="B4815" t="str">
        <f>"1551765026305059"</f>
        <v>1551765026305059</v>
      </c>
      <c r="C4815" t="s">
        <v>40</v>
      </c>
      <c r="D4815">
        <v>4.230416</v>
      </c>
      <c r="E4815">
        <v>0.69245709999999905</v>
      </c>
      <c r="F4815" t="s">
        <v>94</v>
      </c>
      <c r="G4815">
        <v>-206.24189999999999</v>
      </c>
      <c r="H4815" s="1">
        <v>-9.1248059999999992E-6</v>
      </c>
      <c r="I4815">
        <v>147.53360000000001</v>
      </c>
      <c r="J4815">
        <v>-196.0162</v>
      </c>
      <c r="K4815">
        <v>1.099038</v>
      </c>
      <c r="L4815">
        <v>149.0121</v>
      </c>
      <c r="M4815">
        <v>-0.62754829999999995</v>
      </c>
      <c r="N4815">
        <v>-1.6647970000000002E-2</v>
      </c>
      <c r="O4815">
        <v>-0.77839959999999997</v>
      </c>
      <c r="P4815">
        <v>-0.78904919999999901</v>
      </c>
      <c r="Q4815">
        <v>-8.6431469999999996E-2</v>
      </c>
      <c r="R4815">
        <v>-0.60821979999999998</v>
      </c>
      <c r="S4815">
        <v>-3.3821110000000001</v>
      </c>
      <c r="T4815">
        <v>-0.35909619999999998</v>
      </c>
      <c r="U4815">
        <v>-0.52641300000000002</v>
      </c>
      <c r="V4815">
        <v>0.2305934</v>
      </c>
      <c r="W4815">
        <v>-7.6437939999999996E-2</v>
      </c>
      <c r="X4815">
        <v>0.97004319999999999</v>
      </c>
      <c r="Y4815">
        <v>0.66673000000000004</v>
      </c>
      <c r="Z4815">
        <v>9.7582210000000003E-2</v>
      </c>
      <c r="AA4815">
        <v>0.73888350000000003</v>
      </c>
      <c r="AB4815">
        <v>21</v>
      </c>
      <c r="AC4815">
        <v>-10.2256999999999</v>
      </c>
      <c r="AD4815">
        <v>-1.0990471248060001</v>
      </c>
      <c r="AE4815">
        <v>-1.4784999999999899</v>
      </c>
      <c r="AF4815">
        <v>6.95413817016441</v>
      </c>
      <c r="AG4815">
        <v>-1.0990471248060001</v>
      </c>
      <c r="AH4815">
        <v>7.4843469218525698</v>
      </c>
      <c r="AI4815">
        <v>96.140061413743993</v>
      </c>
      <c r="AJ4815">
        <v>47.103065477710402</v>
      </c>
      <c r="AK4815">
        <v>10.275377906380101</v>
      </c>
      <c r="AL4815">
        <v>94.383847658735306</v>
      </c>
      <c r="AM4815">
        <v>76.628144711841301</v>
      </c>
      <c r="AN4815">
        <v>0.99999994233061995</v>
      </c>
    </row>
    <row r="4816" spans="1:40" x14ac:dyDescent="0.25">
      <c r="A4816" t="str">
        <f>"20190305135026322"</f>
        <v>20190305135026322</v>
      </c>
      <c r="B4816" t="str">
        <f>"1551765026314819"</f>
        <v>1551765026314819</v>
      </c>
      <c r="C4816" t="s">
        <v>40</v>
      </c>
      <c r="D4816">
        <v>4.2834890000000003</v>
      </c>
      <c r="E4816">
        <v>0.69277559999999905</v>
      </c>
      <c r="F4816" t="s">
        <v>42</v>
      </c>
      <c r="G4816">
        <v>-257.16269999999997</v>
      </c>
      <c r="H4816" s="1">
        <v>-1.5930390000000001E-6</v>
      </c>
      <c r="I4816">
        <v>137.39760000000001</v>
      </c>
      <c r="J4816">
        <v>-196.10659999999999</v>
      </c>
      <c r="K4816">
        <v>1.099054</v>
      </c>
      <c r="L4816">
        <v>148.9196</v>
      </c>
      <c r="M4816">
        <v>-0.63590040000000003</v>
      </c>
      <c r="N4816">
        <v>-1.665898E-2</v>
      </c>
      <c r="O4816">
        <v>-0.77159140000000004</v>
      </c>
      <c r="P4816">
        <v>-0.7946259</v>
      </c>
      <c r="Q4816">
        <v>-8.5517850000000006E-2</v>
      </c>
      <c r="R4816">
        <v>-0.60104619999999997</v>
      </c>
      <c r="S4816">
        <v>-3.3107760000000002</v>
      </c>
      <c r="T4816">
        <v>-5.9507490000000003E-2</v>
      </c>
      <c r="U4816">
        <v>-0.62886049999999905</v>
      </c>
      <c r="V4816">
        <v>0.22903380000000001</v>
      </c>
      <c r="W4816">
        <v>-7.5456599999999999E-2</v>
      </c>
      <c r="X4816">
        <v>0.9704895</v>
      </c>
      <c r="Y4816">
        <v>0.63930540000000002</v>
      </c>
      <c r="Z4816">
        <v>8.658153E-3</v>
      </c>
      <c r="AA4816">
        <v>0.76890419999999904</v>
      </c>
      <c r="AB4816">
        <v>21</v>
      </c>
      <c r="AC4816">
        <v>-61.056100000000001</v>
      </c>
      <c r="AD4816">
        <v>-1.099055593039</v>
      </c>
      <c r="AE4816">
        <v>-11.521999999999901</v>
      </c>
      <c r="AF4816">
        <v>39.776590766395003</v>
      </c>
      <c r="AG4816">
        <v>-1.099055593039</v>
      </c>
      <c r="AH4816">
        <v>47.707566959216798</v>
      </c>
      <c r="AI4816">
        <v>91.013690135657797</v>
      </c>
      <c r="AJ4816">
        <v>50.180054448337003</v>
      </c>
      <c r="AK4816">
        <v>62.124045597192101</v>
      </c>
      <c r="AL4816">
        <v>94.327457793072099</v>
      </c>
      <c r="AM4816">
        <v>76.721259997615405</v>
      </c>
      <c r="AN4816">
        <v>1.00000002481812</v>
      </c>
    </row>
    <row r="4817" spans="1:40" x14ac:dyDescent="0.25">
      <c r="A4817" t="str">
        <f>"20190305135026338"</f>
        <v>20190305135026338</v>
      </c>
      <c r="B4817" t="str">
        <f>"1551765026335314"</f>
        <v>1551765026335314</v>
      </c>
      <c r="C4817" t="s">
        <v>40</v>
      </c>
      <c r="D4817">
        <v>4.2527869999999997</v>
      </c>
      <c r="E4817">
        <v>0.68965600000000005</v>
      </c>
      <c r="F4817" t="s">
        <v>42</v>
      </c>
      <c r="G4817">
        <v>-226.99700000000001</v>
      </c>
      <c r="H4817" s="1">
        <v>-2.2859509999999999E-6</v>
      </c>
      <c r="I4817">
        <v>143.4324</v>
      </c>
      <c r="J4817">
        <v>-196.20679999999999</v>
      </c>
      <c r="K4817">
        <v>1.0990759999999999</v>
      </c>
      <c r="L4817">
        <v>148.81870000000001</v>
      </c>
      <c r="M4817">
        <v>-0.64500109999999999</v>
      </c>
      <c r="N4817">
        <v>-1.6669630000000001E-2</v>
      </c>
      <c r="O4817">
        <v>-0.76400000000000001</v>
      </c>
      <c r="P4817">
        <v>-0.80083519999999997</v>
      </c>
      <c r="Q4817">
        <v>-8.475626E-2</v>
      </c>
      <c r="R4817">
        <v>-0.59285750000000004</v>
      </c>
      <c r="S4817">
        <v>-3.3170009999999999</v>
      </c>
      <c r="T4817">
        <v>-0.1180162</v>
      </c>
      <c r="U4817">
        <v>-0.58920289999999997</v>
      </c>
      <c r="V4817">
        <v>0.22758129999999999</v>
      </c>
      <c r="W4817">
        <v>-7.4628990000000006E-2</v>
      </c>
      <c r="X4817">
        <v>0.97089510000000001</v>
      </c>
      <c r="Y4817">
        <v>0.63894300000000004</v>
      </c>
      <c r="Z4817">
        <v>2.6065649999999999E-2</v>
      </c>
      <c r="AA4817">
        <v>0.76881239999999995</v>
      </c>
      <c r="AB4817">
        <v>21</v>
      </c>
      <c r="AC4817">
        <v>-30.790199999999999</v>
      </c>
      <c r="AD4817">
        <v>-1.099078285951</v>
      </c>
      <c r="AE4817">
        <v>-5.3863000000000003</v>
      </c>
      <c r="AF4817">
        <v>20.027565580696098</v>
      </c>
      <c r="AG4817">
        <v>-1.099078285951</v>
      </c>
      <c r="AH4817">
        <v>23.9485654588741</v>
      </c>
      <c r="AI4817">
        <v>92.016278172198795</v>
      </c>
      <c r="AJ4817">
        <v>50.095133036072198</v>
      </c>
      <c r="AK4817">
        <v>31.238520190715001</v>
      </c>
      <c r="AL4817">
        <v>94.279905192523799</v>
      </c>
      <c r="AM4817">
        <v>76.8078363381467</v>
      </c>
      <c r="AN4817">
        <v>1.0000000147310599</v>
      </c>
    </row>
    <row r="4818" spans="1:40" x14ac:dyDescent="0.25">
      <c r="A4818" t="str">
        <f>"20190305135026355"</f>
        <v>20190305135026355</v>
      </c>
      <c r="B4818" t="str">
        <f>"1551765026345074"</f>
        <v>1551765026345074</v>
      </c>
      <c r="C4818" t="s">
        <v>40</v>
      </c>
      <c r="D4818">
        <v>4.0381359999999997</v>
      </c>
      <c r="E4818">
        <v>0.68965600000000005</v>
      </c>
      <c r="F4818" t="s">
        <v>42</v>
      </c>
      <c r="G4818">
        <v>-241.92699999999999</v>
      </c>
      <c r="H4818" s="1">
        <v>-3.763597E-6</v>
      </c>
      <c r="I4818">
        <v>140.81139999999999</v>
      </c>
      <c r="J4818">
        <v>-196.33580000000001</v>
      </c>
      <c r="K4818">
        <v>1.0991150000000001</v>
      </c>
      <c r="L4818">
        <v>148.69229999999999</v>
      </c>
      <c r="M4818">
        <v>-0.65644159999999996</v>
      </c>
      <c r="N4818">
        <v>-1.6680259999999999E-2</v>
      </c>
      <c r="O4818">
        <v>-0.75419259999999999</v>
      </c>
      <c r="P4818">
        <v>-0.80823750000000005</v>
      </c>
      <c r="Q4818">
        <v>-8.3137649999999993E-2</v>
      </c>
      <c r="R4818">
        <v>-0.58295869999999905</v>
      </c>
      <c r="S4818">
        <v>-3.3086850000000001</v>
      </c>
      <c r="T4818">
        <v>-7.9538349999999994E-2</v>
      </c>
      <c r="U4818">
        <v>-0.57946779999999998</v>
      </c>
      <c r="V4818">
        <v>0.2250742</v>
      </c>
      <c r="W4818">
        <v>-7.2905559999999994E-2</v>
      </c>
      <c r="X4818">
        <v>0.97161019999999998</v>
      </c>
      <c r="Y4818">
        <v>0.62947399999999998</v>
      </c>
      <c r="Z4818">
        <v>1.466279E-2</v>
      </c>
      <c r="AA4818">
        <v>0.7768832</v>
      </c>
      <c r="AB4818">
        <v>21</v>
      </c>
      <c r="AC4818">
        <v>-45.591200000000001</v>
      </c>
      <c r="AD4818">
        <v>-1.0991187635969999</v>
      </c>
      <c r="AE4818">
        <v>-7.8808999999999898</v>
      </c>
      <c r="AF4818">
        <v>29.198777482942798</v>
      </c>
      <c r="AG4818">
        <v>-1.0991187635969999</v>
      </c>
      <c r="AH4818">
        <v>35.856427811084103</v>
      </c>
      <c r="AI4818">
        <v>91.361620370398796</v>
      </c>
      <c r="AJ4818">
        <v>50.843220209109703</v>
      </c>
      <c r="AK4818">
        <v>46.254298004903099</v>
      </c>
      <c r="AL4818">
        <v>94.180890216176905</v>
      </c>
      <c r="AM4818">
        <v>76.957440654383603</v>
      </c>
      <c r="AN4818">
        <v>0.99999999846429599</v>
      </c>
    </row>
    <row r="4819" spans="1:40" x14ac:dyDescent="0.25">
      <c r="A4819" t="str">
        <f>"20190305135026376"</f>
        <v>20190305135026376</v>
      </c>
      <c r="B4819" t="str">
        <f>"1551765026365570"</f>
        <v>1551765026365570</v>
      </c>
      <c r="C4819" t="s">
        <v>40</v>
      </c>
      <c r="D4819">
        <v>4.2196730000000002</v>
      </c>
      <c r="E4819">
        <v>0.68827680000000002</v>
      </c>
      <c r="F4819" t="s">
        <v>42</v>
      </c>
      <c r="G4819">
        <v>-245.49100000000001</v>
      </c>
      <c r="H4819" s="1">
        <v>-2.2069539999999998E-6</v>
      </c>
      <c r="I4819">
        <v>140.7073</v>
      </c>
      <c r="J4819">
        <v>-196.48929999999999</v>
      </c>
      <c r="K4819">
        <v>1.0991610000000001</v>
      </c>
      <c r="L4819">
        <v>148.547</v>
      </c>
      <c r="M4819">
        <v>-0.66965249999999998</v>
      </c>
      <c r="N4819">
        <v>-1.668851E-2</v>
      </c>
      <c r="O4819">
        <v>-0.74248709999999996</v>
      </c>
      <c r="P4819">
        <v>-0.81706489999999998</v>
      </c>
      <c r="Q4819">
        <v>-8.2098930000000001E-2</v>
      </c>
      <c r="R4819">
        <v>-0.57067049999999997</v>
      </c>
      <c r="S4819">
        <v>-3.315674</v>
      </c>
      <c r="T4819">
        <v>-7.4138880000000004E-2</v>
      </c>
      <c r="U4819">
        <v>-0.53860469999999905</v>
      </c>
      <c r="V4819">
        <v>0.22273029999999999</v>
      </c>
      <c r="W4819">
        <v>-7.1764820000000007E-2</v>
      </c>
      <c r="X4819">
        <v>0.97223510000000002</v>
      </c>
      <c r="Y4819">
        <v>0.62536910000000001</v>
      </c>
      <c r="Z4819">
        <v>1.3113619999999999E-2</v>
      </c>
      <c r="AA4819">
        <v>0.780219</v>
      </c>
      <c r="AB4819">
        <v>21</v>
      </c>
      <c r="AC4819">
        <v>-49.0017</v>
      </c>
      <c r="AD4819">
        <v>-1.099163206954</v>
      </c>
      <c r="AE4819">
        <v>-7.8396999999999899</v>
      </c>
      <c r="AF4819">
        <v>31.122322087829499</v>
      </c>
      <c r="AG4819">
        <v>-1.099163206954</v>
      </c>
      <c r="AH4819">
        <v>38.621419242819698</v>
      </c>
      <c r="AI4819">
        <v>91.269484458269204</v>
      </c>
      <c r="AJ4819">
        <v>51.1370692653201</v>
      </c>
      <c r="AK4819">
        <v>49.6127112363734</v>
      </c>
      <c r="AL4819">
        <v>94.115358816324303</v>
      </c>
      <c r="AM4819">
        <v>77.096711087548002</v>
      </c>
      <c r="AN4819">
        <v>1.0000000327998599</v>
      </c>
    </row>
    <row r="4820" spans="1:40" x14ac:dyDescent="0.25">
      <c r="A4820" t="str">
        <f>"20190305135026389"</f>
        <v>20190305135026389</v>
      </c>
      <c r="B4820" t="str">
        <f>"1551765026385091"</f>
        <v>1551765026385091</v>
      </c>
      <c r="C4820" t="s">
        <v>40</v>
      </c>
      <c r="D4820">
        <v>4.2758750000000001</v>
      </c>
      <c r="E4820">
        <v>0.68695189999999995</v>
      </c>
      <c r="F4820" t="s">
        <v>42</v>
      </c>
      <c r="G4820">
        <v>-249.53729999999999</v>
      </c>
      <c r="H4820" s="1">
        <v>-4.3980169999999998E-7</v>
      </c>
      <c r="I4820">
        <v>140.58959999999999</v>
      </c>
      <c r="J4820">
        <v>-196.58949999999999</v>
      </c>
      <c r="K4820">
        <v>1.0991930000000001</v>
      </c>
      <c r="L4820">
        <v>148.45439999999999</v>
      </c>
      <c r="M4820">
        <v>-0.67806860000000002</v>
      </c>
      <c r="N4820">
        <v>-1.6692220000000001E-2</v>
      </c>
      <c r="O4820">
        <v>-0.7348093</v>
      </c>
      <c r="P4820">
        <v>-0.82282009999999906</v>
      </c>
      <c r="Q4820">
        <v>-8.2001939999999995E-2</v>
      </c>
      <c r="R4820">
        <v>-0.56235489999999999</v>
      </c>
      <c r="S4820">
        <v>-3.3172299999999999</v>
      </c>
      <c r="T4820">
        <v>-6.8733450000000001E-2</v>
      </c>
      <c r="U4820">
        <v>-0.49758910000000001</v>
      </c>
      <c r="V4820">
        <v>0.22152959999999999</v>
      </c>
      <c r="W4820">
        <v>-7.1612990000000001E-2</v>
      </c>
      <c r="X4820">
        <v>0.97252050000000001</v>
      </c>
      <c r="Y4820">
        <v>0.62598069999999995</v>
      </c>
      <c r="Z4820">
        <v>1.165916E-2</v>
      </c>
      <c r="AA4820">
        <v>0.77975150000000004</v>
      </c>
      <c r="AB4820">
        <v>21</v>
      </c>
      <c r="AC4820">
        <v>-52.947800000000001</v>
      </c>
      <c r="AD4820">
        <v>-1.0991934398017</v>
      </c>
      <c r="AE4820">
        <v>-7.8647999999999998</v>
      </c>
      <c r="AF4820">
        <v>33.5641810498092</v>
      </c>
      <c r="AG4820">
        <v>-1.0991934398017</v>
      </c>
      <c r="AH4820">
        <v>41.669598383771998</v>
      </c>
      <c r="AI4820">
        <v>91.176879107762304</v>
      </c>
      <c r="AJ4820">
        <v>51.149123574583399</v>
      </c>
      <c r="AK4820">
        <v>53.517454211007902</v>
      </c>
      <c r="AL4820">
        <v>94.106637484276405</v>
      </c>
      <c r="AM4820">
        <v>77.167602528090598</v>
      </c>
      <c r="AN4820">
        <v>0.999999953466574</v>
      </c>
    </row>
    <row r="4821" spans="1:40" x14ac:dyDescent="0.25">
      <c r="A4821" t="str">
        <f>"20190305135026409"</f>
        <v>20190305135026409</v>
      </c>
      <c r="B4821" t="str">
        <f>"1551765026405586"</f>
        <v>1551765026405586</v>
      </c>
      <c r="C4821" t="s">
        <v>40</v>
      </c>
      <c r="D4821">
        <v>4.2979609999999999</v>
      </c>
      <c r="E4821">
        <v>0.68541809999999903</v>
      </c>
      <c r="F4821" t="s">
        <v>42</v>
      </c>
      <c r="G4821">
        <v>-243.38249999999999</v>
      </c>
      <c r="H4821" s="1">
        <v>-3.4022880000000001E-6</v>
      </c>
      <c r="I4821">
        <v>141.80019999999999</v>
      </c>
      <c r="J4821">
        <v>-196.73269999999999</v>
      </c>
      <c r="K4821">
        <v>1.0992420000000001</v>
      </c>
      <c r="L4821">
        <v>148.3262</v>
      </c>
      <c r="M4821">
        <v>-0.68978689999999998</v>
      </c>
      <c r="N4821">
        <v>-1.6694359999999998E-2</v>
      </c>
      <c r="O4821">
        <v>-0.72381989999999996</v>
      </c>
      <c r="P4821">
        <v>-0.83009949999999999</v>
      </c>
      <c r="Q4821">
        <v>-8.1443349999999998E-2</v>
      </c>
      <c r="R4821">
        <v>-0.55163569999999995</v>
      </c>
      <c r="S4821">
        <v>-3.3159640000000001</v>
      </c>
      <c r="T4821">
        <v>-7.7893970000000007E-2</v>
      </c>
      <c r="U4821">
        <v>-0.47154239999999997</v>
      </c>
      <c r="V4821">
        <v>0.21858330000000001</v>
      </c>
      <c r="W4821">
        <v>-7.0940580000000003E-2</v>
      </c>
      <c r="X4821">
        <v>0.97323630000000005</v>
      </c>
      <c r="Y4821">
        <v>0.61933389999999999</v>
      </c>
      <c r="Z4821">
        <v>1.431078E-2</v>
      </c>
      <c r="AA4821">
        <v>0.78499730000000001</v>
      </c>
      <c r="AB4821">
        <v>21</v>
      </c>
      <c r="AC4821">
        <v>-46.649799999999999</v>
      </c>
      <c r="AD4821">
        <v>-1.0992454022880001</v>
      </c>
      <c r="AE4821">
        <v>-6.5260000000000096</v>
      </c>
      <c r="AF4821">
        <v>29.252653555245502</v>
      </c>
      <c r="AG4821">
        <v>-1.0992454022880001</v>
      </c>
      <c r="AH4821">
        <v>36.887126044721903</v>
      </c>
      <c r="AI4821">
        <v>91.337569904277501</v>
      </c>
      <c r="AJ4821">
        <v>51.5844746875946</v>
      </c>
      <c r="AK4821">
        <v>47.091253416286101</v>
      </c>
      <c r="AL4821">
        <v>94.068012552875004</v>
      </c>
      <c r="AM4821">
        <v>77.3417446888417</v>
      </c>
      <c r="AN4821">
        <v>1.0000000602836501</v>
      </c>
    </row>
    <row r="4822" spans="1:40" x14ac:dyDescent="0.25">
      <c r="A4822" t="str">
        <f>"20190305135026422"</f>
        <v>20190305135026422</v>
      </c>
      <c r="B4822" t="str">
        <f>"1551765026415347"</f>
        <v>1551765026415347</v>
      </c>
      <c r="C4822" t="s">
        <v>40</v>
      </c>
      <c r="D4822">
        <v>4.2958509999999999</v>
      </c>
      <c r="E4822">
        <v>0.68480180000000002</v>
      </c>
      <c r="F4822" t="s">
        <v>42</v>
      </c>
      <c r="G4822">
        <v>-237.964</v>
      </c>
      <c r="H4822" s="1">
        <v>-1.726126E-6</v>
      </c>
      <c r="I4822">
        <v>142.88749999999999</v>
      </c>
      <c r="J4822">
        <v>-196.82839999999999</v>
      </c>
      <c r="K4822">
        <v>1.0992759999999999</v>
      </c>
      <c r="L4822">
        <v>148.2433</v>
      </c>
      <c r="M4822">
        <v>-0.69740369999999996</v>
      </c>
      <c r="N4822">
        <v>-1.6693940000000001E-2</v>
      </c>
      <c r="O4822">
        <v>-0.71648400000000001</v>
      </c>
      <c r="P4822">
        <v>-0.83501199999999998</v>
      </c>
      <c r="Q4822">
        <v>-8.0983490000000005E-2</v>
      </c>
      <c r="R4822">
        <v>-0.54423949999999999</v>
      </c>
      <c r="S4822">
        <v>-3.3147890000000002</v>
      </c>
      <c r="T4822">
        <v>-8.8373660000000007E-2</v>
      </c>
      <c r="U4822">
        <v>-0.43724059999999998</v>
      </c>
      <c r="V4822">
        <v>0.21698700000000001</v>
      </c>
      <c r="W4822">
        <v>-7.0417709999999994E-2</v>
      </c>
      <c r="X4822">
        <v>0.97363129999999998</v>
      </c>
      <c r="Y4822">
        <v>0.61889550000000004</v>
      </c>
      <c r="Z4822">
        <v>1.740125E-2</v>
      </c>
      <c r="AA4822">
        <v>0.7852806</v>
      </c>
      <c r="AB4822">
        <v>21</v>
      </c>
      <c r="AC4822">
        <v>-41.135599999999997</v>
      </c>
      <c r="AD4822">
        <v>-1.0992777261259901</v>
      </c>
      <c r="AE4822">
        <v>-5.3558000000000101</v>
      </c>
      <c r="AF4822">
        <v>25.7233688461158</v>
      </c>
      <c r="AG4822">
        <v>-1.0992777261259901</v>
      </c>
      <c r="AH4822">
        <v>32.507171463113899</v>
      </c>
      <c r="AI4822">
        <v>91.519025835237997</v>
      </c>
      <c r="AJ4822">
        <v>51.6449500880844</v>
      </c>
      <c r="AK4822">
        <v>41.468256689240803</v>
      </c>
      <c r="AL4822">
        <v>94.037979604580499</v>
      </c>
      <c r="AM4822">
        <v>77.4361768276639</v>
      </c>
      <c r="AN4822">
        <v>0.99999996019516602</v>
      </c>
    </row>
    <row r="4823" spans="1:40" x14ac:dyDescent="0.25">
      <c r="A4823" t="str">
        <f>"20190305135026433"</f>
        <v>20190305135026433</v>
      </c>
      <c r="B4823" t="str">
        <f>"1551765026425107"</f>
        <v>1551765026425107</v>
      </c>
      <c r="C4823" t="s">
        <v>40</v>
      </c>
      <c r="D4823">
        <v>4.3131240000000002</v>
      </c>
      <c r="E4823">
        <v>0.68383430000000001</v>
      </c>
      <c r="F4823" t="s">
        <v>42</v>
      </c>
      <c r="G4823">
        <v>-238.1995</v>
      </c>
      <c r="H4823" s="1">
        <v>-1.6836439999999901E-6</v>
      </c>
      <c r="I4823">
        <v>143.10749999999999</v>
      </c>
      <c r="J4823">
        <v>-196.91800000000001</v>
      </c>
      <c r="K4823">
        <v>1.099308</v>
      </c>
      <c r="L4823">
        <v>148.16679999999999</v>
      </c>
      <c r="M4823">
        <v>-0.70442459999999996</v>
      </c>
      <c r="N4823">
        <v>-1.669329E-2</v>
      </c>
      <c r="O4823">
        <v>-0.70958259999999995</v>
      </c>
      <c r="P4823">
        <v>-0.83956989999999998</v>
      </c>
      <c r="Q4823">
        <v>-8.0169069999999995E-2</v>
      </c>
      <c r="R4823">
        <v>-0.53730389999999995</v>
      </c>
      <c r="S4823">
        <v>-3.3159179999999999</v>
      </c>
      <c r="T4823">
        <v>-8.8107710000000006E-2</v>
      </c>
      <c r="U4823">
        <v>-0.41163640000000001</v>
      </c>
      <c r="V4823">
        <v>0.2155492</v>
      </c>
      <c r="W4823">
        <v>-6.9545919999999997E-2</v>
      </c>
      <c r="X4823">
        <v>0.97401329999999997</v>
      </c>
      <c r="Y4823">
        <v>0.61716340000000003</v>
      </c>
      <c r="Z4823">
        <v>1.7342130000000001E-2</v>
      </c>
      <c r="AA4823">
        <v>0.78664389999999995</v>
      </c>
      <c r="AB4823">
        <v>21</v>
      </c>
      <c r="AC4823">
        <v>-41.281500000000001</v>
      </c>
      <c r="AD4823">
        <v>-1.0993096836439999</v>
      </c>
      <c r="AE4823">
        <v>-5.0593000000000004</v>
      </c>
      <c r="AF4823">
        <v>25.7143572883483</v>
      </c>
      <c r="AG4823">
        <v>-1.0993096836439999</v>
      </c>
      <c r="AH4823">
        <v>32.651434194478298</v>
      </c>
      <c r="AI4823">
        <v>91.515137257654303</v>
      </c>
      <c r="AJ4823">
        <v>51.778102708940096</v>
      </c>
      <c r="AK4823">
        <v>41.5758680906332</v>
      </c>
      <c r="AL4823">
        <v>93.987906787215195</v>
      </c>
      <c r="AM4823">
        <v>77.521551812403899</v>
      </c>
      <c r="AN4823">
        <v>1.00000000059308</v>
      </c>
    </row>
    <row r="4824" spans="1:40" x14ac:dyDescent="0.25">
      <c r="A4824" t="str">
        <f>"20190305135026446"</f>
        <v>20190305135026446</v>
      </c>
      <c r="B4824" t="str">
        <f>"1551765026434867"</f>
        <v>1551765026434867</v>
      </c>
      <c r="C4824" t="s">
        <v>40</v>
      </c>
      <c r="D4824">
        <v>4.307518</v>
      </c>
      <c r="E4824">
        <v>0.68326189999999998</v>
      </c>
      <c r="F4824" t="s">
        <v>42</v>
      </c>
      <c r="G4824">
        <v>-237.12119999999999</v>
      </c>
      <c r="H4824" s="1">
        <v>-2.2340079999999999E-6</v>
      </c>
      <c r="I4824">
        <v>143.43729999999999</v>
      </c>
      <c r="J4824">
        <v>-197.0138</v>
      </c>
      <c r="K4824">
        <v>1.099345</v>
      </c>
      <c r="L4824">
        <v>148.0866</v>
      </c>
      <c r="M4824">
        <v>-0.71179680000000001</v>
      </c>
      <c r="N4824">
        <v>-1.669178E-2</v>
      </c>
      <c r="O4824">
        <v>-0.70218700000000001</v>
      </c>
      <c r="P4824">
        <v>-0.84430659999999902</v>
      </c>
      <c r="Q4824">
        <v>-7.9255190000000003E-2</v>
      </c>
      <c r="R4824">
        <v>-0.52996669999999901</v>
      </c>
      <c r="S4824">
        <v>-3.3150179999999998</v>
      </c>
      <c r="T4824">
        <v>-9.0645310000000007E-2</v>
      </c>
      <c r="U4824">
        <v>-0.38996890000000001</v>
      </c>
      <c r="V4824">
        <v>0.21395639999999999</v>
      </c>
      <c r="W4824">
        <v>-6.857017E-2</v>
      </c>
      <c r="X4824">
        <v>0.97443360000000001</v>
      </c>
      <c r="Y4824">
        <v>0.61396530000000005</v>
      </c>
      <c r="Z4824">
        <v>1.8056820000000001E-2</v>
      </c>
      <c r="AA4824">
        <v>0.78912640000000001</v>
      </c>
      <c r="AB4824">
        <v>21</v>
      </c>
      <c r="AC4824">
        <v>-40.107399999999899</v>
      </c>
      <c r="AD4824">
        <v>-1.0993472340079999</v>
      </c>
      <c r="AE4824">
        <v>-4.64930000000001</v>
      </c>
      <c r="AF4824">
        <v>24.8385883865243</v>
      </c>
      <c r="AG4824">
        <v>-1.0993472340079999</v>
      </c>
      <c r="AH4824">
        <v>31.793861180870799</v>
      </c>
      <c r="AI4824">
        <v>91.5608058147875</v>
      </c>
      <c r="AJ4824">
        <v>52.001676761393597</v>
      </c>
      <c r="AK4824">
        <v>40.361041192771303</v>
      </c>
      <c r="AL4824">
        <v>93.931866543958407</v>
      </c>
      <c r="AM4824">
        <v>77.616082576574797</v>
      </c>
      <c r="AN4824">
        <v>1.0000000250618699</v>
      </c>
    </row>
    <row r="4825" spans="1:40" x14ac:dyDescent="0.25">
      <c r="A4825" t="str">
        <f>"20190305135026466"</f>
        <v>20190305135026466</v>
      </c>
      <c r="B4825" t="str">
        <f>"1551765026455363"</f>
        <v>1551765026455363</v>
      </c>
      <c r="C4825" t="s">
        <v>40</v>
      </c>
      <c r="D4825">
        <v>4.3119750000000003</v>
      </c>
      <c r="E4825">
        <v>0.68178669999999997</v>
      </c>
      <c r="F4825" t="s">
        <v>42</v>
      </c>
      <c r="G4825">
        <v>-237.40280000000001</v>
      </c>
      <c r="H4825" s="1">
        <v>-2.1685589999999998E-6</v>
      </c>
      <c r="I4825">
        <v>143.6454</v>
      </c>
      <c r="J4825">
        <v>-197.1558</v>
      </c>
      <c r="K4825">
        <v>1.0993949999999999</v>
      </c>
      <c r="L4825">
        <v>147.97110000000001</v>
      </c>
      <c r="M4825">
        <v>-0.72245150000000002</v>
      </c>
      <c r="N4825">
        <v>-1.6688060000000001E-2</v>
      </c>
      <c r="O4825">
        <v>-0.69122019999999995</v>
      </c>
      <c r="P4825">
        <v>-0.85084539999999997</v>
      </c>
      <c r="Q4825">
        <v>-7.7650830000000004E-2</v>
      </c>
      <c r="R4825">
        <v>-0.51964690000000002</v>
      </c>
      <c r="S4825">
        <v>-3.3158720000000002</v>
      </c>
      <c r="T4825">
        <v>-9.025466E-2</v>
      </c>
      <c r="U4825">
        <v>-0.36460880000000001</v>
      </c>
      <c r="V4825">
        <v>0.2110747</v>
      </c>
      <c r="W4825">
        <v>-6.6860840000000005E-2</v>
      </c>
      <c r="X4825">
        <v>0.97518059999999995</v>
      </c>
      <c r="Y4825">
        <v>0.60786479999999998</v>
      </c>
      <c r="Z4825">
        <v>1.787362E-2</v>
      </c>
      <c r="AA4825">
        <v>0.79383930000000003</v>
      </c>
      <c r="AB4825">
        <v>21</v>
      </c>
      <c r="AC4825">
        <v>-40.247</v>
      </c>
      <c r="AD4825">
        <v>-1.099397168559</v>
      </c>
      <c r="AE4825">
        <v>-4.3257000000000101</v>
      </c>
      <c r="AF4825">
        <v>24.679664811820601</v>
      </c>
      <c r="AG4825">
        <v>-1.099397168559</v>
      </c>
      <c r="AH4825">
        <v>32.047342450319498</v>
      </c>
      <c r="AI4825">
        <v>91.556908262224297</v>
      </c>
      <c r="AJ4825">
        <v>52.400124906702999</v>
      </c>
      <c r="AK4825">
        <v>40.4638936273575</v>
      </c>
      <c r="AL4825">
        <v>93.833703721230194</v>
      </c>
      <c r="AM4825">
        <v>77.786911580253502</v>
      </c>
      <c r="AN4825">
        <v>1.00000005176097</v>
      </c>
    </row>
    <row r="4826" spans="1:40" x14ac:dyDescent="0.25">
      <c r="A4826" t="str">
        <f>"20190305135026488"</f>
        <v>20190305135026488</v>
      </c>
      <c r="B4826" t="str">
        <f>"1551765026484642"</f>
        <v>1551765026484642</v>
      </c>
      <c r="C4826" t="s">
        <v>40</v>
      </c>
      <c r="D4826">
        <v>4.3237860000000001</v>
      </c>
      <c r="E4826">
        <v>0.67964239999999998</v>
      </c>
      <c r="F4826" t="s">
        <v>42</v>
      </c>
      <c r="G4826">
        <v>-237.21690000000001</v>
      </c>
      <c r="H4826" s="1">
        <v>-2.3269079999999999E-6</v>
      </c>
      <c r="I4826">
        <v>143.94069999999999</v>
      </c>
      <c r="J4826">
        <v>-197.33330000000001</v>
      </c>
      <c r="K4826">
        <v>1.0994469999999901</v>
      </c>
      <c r="L4826">
        <v>147.83150000000001</v>
      </c>
      <c r="M4826">
        <v>-0.73536219999999997</v>
      </c>
      <c r="N4826">
        <v>-1.6681910000000001E-2</v>
      </c>
      <c r="O4826">
        <v>-0.67746890000000004</v>
      </c>
      <c r="P4826">
        <v>-0.85912040000000001</v>
      </c>
      <c r="Q4826">
        <v>-7.6847090000000007E-2</v>
      </c>
      <c r="R4826">
        <v>-0.50597130000000001</v>
      </c>
      <c r="S4826">
        <v>-3.3139949999999998</v>
      </c>
      <c r="T4826">
        <v>-9.0946200000000005E-2</v>
      </c>
      <c r="U4826">
        <v>-0.33340449999999999</v>
      </c>
      <c r="V4826">
        <v>0.20835709999999999</v>
      </c>
      <c r="W4826">
        <v>-6.5957089999999996E-2</v>
      </c>
      <c r="X4826">
        <v>0.97582630000000004</v>
      </c>
      <c r="Y4826">
        <v>0.60020050000000003</v>
      </c>
      <c r="Z4826">
        <v>1.7982939999999999E-2</v>
      </c>
      <c r="AA4826">
        <v>0.79964740000000001</v>
      </c>
      <c r="AB4826">
        <v>21</v>
      </c>
      <c r="AC4826">
        <v>-39.883600000000001</v>
      </c>
      <c r="AD4826">
        <v>-1.0994493269079999</v>
      </c>
      <c r="AE4826">
        <v>-3.8908000000000098</v>
      </c>
      <c r="AF4826">
        <v>24.143939815238401</v>
      </c>
      <c r="AG4826">
        <v>-1.0994493269079999</v>
      </c>
      <c r="AH4826">
        <v>31.945190454078499</v>
      </c>
      <c r="AI4826">
        <v>91.572767123049701</v>
      </c>
      <c r="AJ4826">
        <v>52.918280254062097</v>
      </c>
      <c r="AK4826">
        <v>40.057880769851501</v>
      </c>
      <c r="AL4826">
        <v>93.781808322581099</v>
      </c>
      <c r="AM4826">
        <v>77.947270372040506</v>
      </c>
      <c r="AN4826">
        <v>0.99999999330668399</v>
      </c>
    </row>
    <row r="4827" spans="1:40" x14ac:dyDescent="0.25">
      <c r="A4827" t="str">
        <f>"20190305135026511"</f>
        <v>20190305135026511</v>
      </c>
      <c r="B4827" t="str">
        <f>"1551765026505139"</f>
        <v>1551765026505139</v>
      </c>
      <c r="C4827" t="s">
        <v>40</v>
      </c>
      <c r="D4827">
        <v>4.3114019999999904</v>
      </c>
      <c r="E4827">
        <v>0.67895069999999902</v>
      </c>
      <c r="F4827" t="s">
        <v>42</v>
      </c>
      <c r="G4827">
        <v>-233.51079999999999</v>
      </c>
      <c r="H4827" s="1">
        <v>-3.9691029999999997E-6</v>
      </c>
      <c r="I4827">
        <v>144.62139999999999</v>
      </c>
      <c r="J4827">
        <v>-197.5103</v>
      </c>
      <c r="K4827">
        <v>1.0995010000000001</v>
      </c>
      <c r="L4827">
        <v>147.6977</v>
      </c>
      <c r="M4827">
        <v>-0.74778900000000004</v>
      </c>
      <c r="N4827">
        <v>-1.6674109999999999E-2</v>
      </c>
      <c r="O4827">
        <v>-0.66372690000000001</v>
      </c>
      <c r="P4827">
        <v>-0.86723639999999902</v>
      </c>
      <c r="Q4827">
        <v>-7.6255199999999995E-2</v>
      </c>
      <c r="R4827">
        <v>-0.49202279999999998</v>
      </c>
      <c r="S4827">
        <v>-3.3099820000000002</v>
      </c>
      <c r="T4827">
        <v>-0.10059170000000001</v>
      </c>
      <c r="U4827">
        <v>-0.2936859</v>
      </c>
      <c r="V4827">
        <v>0.2061038</v>
      </c>
      <c r="W4827">
        <v>-6.5282720000000002E-2</v>
      </c>
      <c r="X4827">
        <v>0.97635000000000005</v>
      </c>
      <c r="Y4827">
        <v>0.59470540000000005</v>
      </c>
      <c r="Z4827">
        <v>2.05966E-2</v>
      </c>
      <c r="AA4827">
        <v>0.80367980000000006</v>
      </c>
      <c r="AB4827">
        <v>21</v>
      </c>
      <c r="AC4827">
        <v>-36.000499999999903</v>
      </c>
      <c r="AD4827">
        <v>-1.0995049691030001</v>
      </c>
      <c r="AE4827">
        <v>-3.0762999999999998</v>
      </c>
      <c r="AF4827">
        <v>21.5771007721325</v>
      </c>
      <c r="AG4827">
        <v>-1.0995049691030001</v>
      </c>
      <c r="AH4827">
        <v>28.939831998821401</v>
      </c>
      <c r="AI4827">
        <v>91.744613310995604</v>
      </c>
      <c r="AJ4827">
        <v>53.292345614341599</v>
      </c>
      <c r="AK4827">
        <v>36.115011629900501</v>
      </c>
      <c r="AL4827">
        <v>93.743086410453202</v>
      </c>
      <c r="AM4827">
        <v>78.080077942739194</v>
      </c>
      <c r="AN4827">
        <v>0.99999996620251796</v>
      </c>
    </row>
    <row r="4828" spans="1:40" x14ac:dyDescent="0.25">
      <c r="A4828" t="str">
        <f>"20190305135026535"</f>
        <v>20190305135026535</v>
      </c>
      <c r="B4828" t="str">
        <f>"1551765026525647"</f>
        <v>1551765026525647</v>
      </c>
      <c r="C4828" t="s">
        <v>40</v>
      </c>
      <c r="D4828">
        <v>4.488397</v>
      </c>
      <c r="E4828">
        <v>0.68005230000000005</v>
      </c>
      <c r="F4828" t="s">
        <v>42</v>
      </c>
      <c r="G4828">
        <v>-234.2501</v>
      </c>
      <c r="H4828" s="1">
        <v>-3.7814240000000002E-6</v>
      </c>
      <c r="I4828">
        <v>144.98169999999999</v>
      </c>
      <c r="J4828">
        <v>-197.70169999999999</v>
      </c>
      <c r="K4828">
        <v>1.099548</v>
      </c>
      <c r="L4828">
        <v>147.559</v>
      </c>
      <c r="M4828">
        <v>-0.76074399999999998</v>
      </c>
      <c r="N4828">
        <v>-1.6664200000000001E-2</v>
      </c>
      <c r="O4828">
        <v>-0.64883829999999998</v>
      </c>
      <c r="P4828">
        <v>-0.87574079999999999</v>
      </c>
      <c r="Q4828">
        <v>-7.5952489999999998E-2</v>
      </c>
      <c r="R4828">
        <v>-0.47677000000000003</v>
      </c>
      <c r="S4828">
        <v>-3.3116759999999998</v>
      </c>
      <c r="T4828">
        <v>-9.910774E-2</v>
      </c>
      <c r="U4828">
        <v>-0.244812</v>
      </c>
      <c r="V4828">
        <v>0.20395450000000001</v>
      </c>
      <c r="W4828">
        <v>-6.4902879999999996E-2</v>
      </c>
      <c r="X4828">
        <v>0.97682659999999999</v>
      </c>
      <c r="Y4828">
        <v>0.59066430000000003</v>
      </c>
      <c r="Z4828">
        <v>2.011719E-2</v>
      </c>
      <c r="AA4828">
        <v>0.80666660000000001</v>
      </c>
      <c r="AB4828">
        <v>21</v>
      </c>
      <c r="AC4828">
        <v>-36.548400000000001</v>
      </c>
      <c r="AD4828">
        <v>-1.0995517814239999</v>
      </c>
      <c r="AE4828">
        <v>-2.5773000000000001</v>
      </c>
      <c r="AF4828">
        <v>21.736777799268399</v>
      </c>
      <c r="AG4828">
        <v>-1.0995517814239999</v>
      </c>
      <c r="AH4828">
        <v>29.453789962833099</v>
      </c>
      <c r="AI4828">
        <v>91.720494190749704</v>
      </c>
      <c r="AJ4828">
        <v>53.572824512889902</v>
      </c>
      <c r="AK4828">
        <v>36.622701516811901</v>
      </c>
      <c r="AL4828">
        <v>93.721276748655299</v>
      </c>
      <c r="AM4828">
        <v>78.206475137484205</v>
      </c>
      <c r="AN4828">
        <v>1.00000001418505</v>
      </c>
    </row>
    <row r="4829" spans="1:40" x14ac:dyDescent="0.25">
      <c r="A4829" t="str">
        <f>"20190305135026556"</f>
        <v>20190305135026556</v>
      </c>
      <c r="B4829" t="str">
        <f>"1551765026545154"</f>
        <v>1551765026545154</v>
      </c>
      <c r="C4829" t="s">
        <v>40</v>
      </c>
      <c r="D4829">
        <v>4.2295590000000001</v>
      </c>
      <c r="E4829">
        <v>0.68131459999999999</v>
      </c>
      <c r="F4829" t="s">
        <v>42</v>
      </c>
      <c r="G4829">
        <v>-236.88570000000001</v>
      </c>
      <c r="H4829" s="1">
        <v>-2.867321E-6</v>
      </c>
      <c r="I4829">
        <v>145.43790000000001</v>
      </c>
      <c r="J4829">
        <v>-197.86750000000001</v>
      </c>
      <c r="K4829">
        <v>1.099583</v>
      </c>
      <c r="L4829">
        <v>147.44319999999999</v>
      </c>
      <c r="M4829">
        <v>-0.77159409999999995</v>
      </c>
      <c r="N4829">
        <v>-1.6655179999999999E-2</v>
      </c>
      <c r="O4829">
        <v>-0.63589709999999999</v>
      </c>
      <c r="P4829">
        <v>-0.88294329999999999</v>
      </c>
      <c r="Q4829">
        <v>-7.6561539999999997E-2</v>
      </c>
      <c r="R4829">
        <v>-0.46319480000000002</v>
      </c>
      <c r="S4829">
        <v>-3.3197939999999999</v>
      </c>
      <c r="T4829">
        <v>-9.3157290000000004E-2</v>
      </c>
      <c r="U4829">
        <v>-0.179702799999999</v>
      </c>
      <c r="V4829">
        <v>0.2024939</v>
      </c>
      <c r="W4829">
        <v>-6.5459790000000004E-2</v>
      </c>
      <c r="X4829">
        <v>0.97709330000000005</v>
      </c>
      <c r="Y4829">
        <v>0.59298219999999902</v>
      </c>
      <c r="Z4829">
        <v>1.8549659999999999E-2</v>
      </c>
      <c r="AA4829">
        <v>0.80500190000000005</v>
      </c>
      <c r="AB4829">
        <v>21</v>
      </c>
      <c r="AC4829">
        <v>-39.0182</v>
      </c>
      <c r="AD4829">
        <v>-1.0995858673209999</v>
      </c>
      <c r="AE4829">
        <v>-2.0052999999999699</v>
      </c>
      <c r="AF4829">
        <v>23.2490947419181</v>
      </c>
      <c r="AG4829">
        <v>-1.0995858673209999</v>
      </c>
      <c r="AH4829">
        <v>31.360890372680199</v>
      </c>
      <c r="AI4829">
        <v>91.613395364571502</v>
      </c>
      <c r="AJ4829">
        <v>53.4489662473107</v>
      </c>
      <c r="AK4829">
        <v>39.054256366823303</v>
      </c>
      <c r="AL4829">
        <v>93.753253243410697</v>
      </c>
      <c r="AM4829">
        <v>78.2917007671102</v>
      </c>
      <c r="AN4829">
        <v>1.00000004027447</v>
      </c>
    </row>
    <row r="4830" spans="1:40" x14ac:dyDescent="0.25">
      <c r="A4830" t="str">
        <f>"20190305135026577"</f>
        <v>20190305135026577</v>
      </c>
      <c r="B4830" t="str">
        <f>"1551765026564675"</f>
        <v>1551765026564675</v>
      </c>
      <c r="C4830" t="s">
        <v>40</v>
      </c>
      <c r="D4830">
        <v>4.1611609999999999</v>
      </c>
      <c r="E4830">
        <v>0.68215119999999996</v>
      </c>
      <c r="F4830" t="s">
        <v>42</v>
      </c>
      <c r="G4830">
        <v>-239.50960000000001</v>
      </c>
      <c r="H4830" s="1">
        <v>-1.8743819999999999E-6</v>
      </c>
      <c r="I4830">
        <v>145.9365</v>
      </c>
      <c r="J4830">
        <v>-198.03579999999999</v>
      </c>
      <c r="K4830">
        <v>1.0996220000000001</v>
      </c>
      <c r="L4830">
        <v>147.33000000000001</v>
      </c>
      <c r="M4830">
        <v>-0.78225610000000001</v>
      </c>
      <c r="N4830">
        <v>-1.6645730000000001E-2</v>
      </c>
      <c r="O4830">
        <v>-0.62273480000000003</v>
      </c>
      <c r="P4830">
        <v>-0.88998580000000005</v>
      </c>
      <c r="Q4830">
        <v>-7.7301430000000004E-2</v>
      </c>
      <c r="R4830">
        <v>-0.44938850000000002</v>
      </c>
      <c r="S4830">
        <v>-3.326965</v>
      </c>
      <c r="T4830">
        <v>-8.7850570000000003E-2</v>
      </c>
      <c r="U4830">
        <v>-0.1203766</v>
      </c>
      <c r="V4830">
        <v>0.20110700000000001</v>
      </c>
      <c r="W4830">
        <v>-6.6150990000000007E-2</v>
      </c>
      <c r="X4830">
        <v>0.97733309999999995</v>
      </c>
      <c r="Y4830">
        <v>0.59380049999999995</v>
      </c>
      <c r="Z4830">
        <v>1.7144E-2</v>
      </c>
      <c r="AA4830">
        <v>0.80442969999999903</v>
      </c>
      <c r="AB4830">
        <v>21</v>
      </c>
      <c r="AC4830">
        <v>-41.473799999999997</v>
      </c>
      <c r="AD4830">
        <v>-1.0996238743819999</v>
      </c>
      <c r="AE4830">
        <v>-1.39350000000001</v>
      </c>
      <c r="AF4830">
        <v>24.723168337642999</v>
      </c>
      <c r="AG4830">
        <v>-1.0996238743819999</v>
      </c>
      <c r="AH4830">
        <v>33.292147355031197</v>
      </c>
      <c r="AI4830">
        <v>91.518976456678601</v>
      </c>
      <c r="AJ4830">
        <v>53.401954820711303</v>
      </c>
      <c r="AK4830">
        <v>41.482662653519</v>
      </c>
      <c r="AL4830">
        <v>93.792942327096497</v>
      </c>
      <c r="AM4830">
        <v>78.372476026910505</v>
      </c>
      <c r="AN4830">
        <v>0.99999998364129405</v>
      </c>
    </row>
    <row r="4831" spans="1:40" x14ac:dyDescent="0.25">
      <c r="A4831" t="str">
        <f>"20190305135026589"</f>
        <v>20190305135026589</v>
      </c>
      <c r="B4831" t="str">
        <f>"1551765026585171"</f>
        <v>1551765026585171</v>
      </c>
      <c r="C4831" t="s">
        <v>40</v>
      </c>
      <c r="D4831">
        <v>4.2228719999999997</v>
      </c>
      <c r="E4831">
        <v>0.68241909999999995</v>
      </c>
      <c r="F4831" t="s">
        <v>42</v>
      </c>
      <c r="G4831">
        <v>-256.87549999999999</v>
      </c>
      <c r="H4831" s="1">
        <v>-3.0645539999999998E-6</v>
      </c>
      <c r="I4831">
        <v>146.1627</v>
      </c>
      <c r="J4831">
        <v>-198.136</v>
      </c>
      <c r="K4831">
        <v>1.0996440000000001</v>
      </c>
      <c r="L4831">
        <v>147.26410000000001</v>
      </c>
      <c r="M4831">
        <v>-0.7884601</v>
      </c>
      <c r="N4831">
        <v>-1.6640140000000001E-2</v>
      </c>
      <c r="O4831">
        <v>-0.61486090000000004</v>
      </c>
      <c r="P4831">
        <v>-0.89410499999999904</v>
      </c>
      <c r="Q4831">
        <v>-7.7616770000000002E-2</v>
      </c>
      <c r="R4831">
        <v>-0.44108059999999899</v>
      </c>
      <c r="S4831">
        <v>-3.3320620000000001</v>
      </c>
      <c r="T4831">
        <v>-6.2271119999999999E-2</v>
      </c>
      <c r="U4831">
        <v>-6.6101069999999998E-2</v>
      </c>
      <c r="V4831">
        <v>0.20039009999999999</v>
      </c>
      <c r="W4831">
        <v>-6.6440600000000002E-2</v>
      </c>
      <c r="X4831">
        <v>0.97746069999999996</v>
      </c>
      <c r="Y4831">
        <v>0.59900889999999996</v>
      </c>
      <c r="Z4831">
        <v>1.0523080000000001E-2</v>
      </c>
      <c r="AA4831">
        <v>0.80067319999999997</v>
      </c>
      <c r="AB4831">
        <v>21</v>
      </c>
      <c r="AC4831">
        <v>-58.7394999999999</v>
      </c>
      <c r="AD4831">
        <v>-1.099647064554</v>
      </c>
      <c r="AE4831">
        <v>-1.1014000000000099</v>
      </c>
      <c r="AF4831">
        <v>35.240743916839001</v>
      </c>
      <c r="AG4831">
        <v>-1.099647064554</v>
      </c>
      <c r="AH4831">
        <v>46.981003963308702</v>
      </c>
      <c r="AI4831">
        <v>91.072681410200005</v>
      </c>
      <c r="AJ4831">
        <v>53.126207054292699</v>
      </c>
      <c r="AK4831">
        <v>58.739543655694497</v>
      </c>
      <c r="AL4831">
        <v>93.809572347243801</v>
      </c>
      <c r="AM4831">
        <v>78.414274317025999</v>
      </c>
      <c r="AN4831">
        <v>0.99999998277542901</v>
      </c>
    </row>
    <row r="4832" spans="1:40" x14ac:dyDescent="0.25">
      <c r="A4832" t="str">
        <f>"20190305135026602"</f>
        <v>20190305135026602</v>
      </c>
      <c r="B4832" t="str">
        <f>"1551765026594932"</f>
        <v>1551765026594932</v>
      </c>
      <c r="C4832" t="s">
        <v>40</v>
      </c>
      <c r="D4832">
        <v>4.213768</v>
      </c>
      <c r="E4832">
        <v>0.68241609999999997</v>
      </c>
      <c r="F4832" t="s">
        <v>42</v>
      </c>
      <c r="G4832">
        <v>-279.23849999999999</v>
      </c>
      <c r="H4832" s="1">
        <v>-2.113892E-6</v>
      </c>
      <c r="I4832">
        <v>146.39949999999999</v>
      </c>
      <c r="J4832">
        <v>-198.2449</v>
      </c>
      <c r="K4832">
        <v>1.099669</v>
      </c>
      <c r="L4832">
        <v>147.19489999999999</v>
      </c>
      <c r="M4832">
        <v>-0.79504169999999996</v>
      </c>
      <c r="N4832">
        <v>-1.663355E-2</v>
      </c>
      <c r="O4832">
        <v>-0.60632699999999995</v>
      </c>
      <c r="P4832">
        <v>-0.89849000000000001</v>
      </c>
      <c r="Q4832">
        <v>-7.785127E-2</v>
      </c>
      <c r="R4832">
        <v>-0.4320368</v>
      </c>
      <c r="S4832">
        <v>-3.3338619999999999</v>
      </c>
      <c r="T4832">
        <v>-4.5202970000000002E-2</v>
      </c>
      <c r="U4832">
        <v>-3.5537720000000002E-2</v>
      </c>
      <c r="V4832">
        <v>0.19970379999999999</v>
      </c>
      <c r="W4832">
        <v>-6.6650440000000005E-2</v>
      </c>
      <c r="X4832">
        <v>0.97758690000000004</v>
      </c>
      <c r="Y4832">
        <v>0.59778920000000002</v>
      </c>
      <c r="Z4832">
        <v>6.1005640000000002E-3</v>
      </c>
      <c r="AA4832">
        <v>0.80163009999999901</v>
      </c>
      <c r="AB4832">
        <v>21</v>
      </c>
      <c r="AC4832">
        <v>-80.993599999999901</v>
      </c>
      <c r="AD4832">
        <v>-1.0996711138919999</v>
      </c>
      <c r="AE4832">
        <v>-0.7954</v>
      </c>
      <c r="AF4832">
        <v>48.473992923737399</v>
      </c>
      <c r="AG4832">
        <v>-1.0996711138919999</v>
      </c>
      <c r="AH4832">
        <v>64.872567604222894</v>
      </c>
      <c r="AI4832">
        <v>90.777977716350193</v>
      </c>
      <c r="AJ4832">
        <v>53.232228440186802</v>
      </c>
      <c r="AK4832">
        <v>80.990044413457099</v>
      </c>
      <c r="AL4832">
        <v>93.821621868535999</v>
      </c>
      <c r="AM4832">
        <v>78.454336495485506</v>
      </c>
      <c r="AN4832">
        <v>1.00000001796912</v>
      </c>
    </row>
    <row r="4833" spans="1:40" x14ac:dyDescent="0.25">
      <c r="A4833" t="str">
        <f>"20190305135026623"</f>
        <v>20190305135026623</v>
      </c>
      <c r="B4833" t="str">
        <f>"1551765026615426"</f>
        <v>1551765026615426</v>
      </c>
      <c r="C4833" t="s">
        <v>40</v>
      </c>
      <c r="D4833">
        <v>4.2407009999999996</v>
      </c>
      <c r="E4833">
        <v>0.68212450000000002</v>
      </c>
      <c r="F4833" t="s">
        <v>94</v>
      </c>
      <c r="G4833">
        <v>-290.70490000000001</v>
      </c>
      <c r="H4833" s="1">
        <v>-1.09100399999999E-5</v>
      </c>
      <c r="I4833">
        <v>147.12</v>
      </c>
      <c r="J4833">
        <v>-198.4177</v>
      </c>
      <c r="K4833">
        <v>1.099707</v>
      </c>
      <c r="L4833">
        <v>147.08779999999999</v>
      </c>
      <c r="M4833">
        <v>-0.80522109999999902</v>
      </c>
      <c r="N4833">
        <v>-1.6622720000000001E-2</v>
      </c>
      <c r="O4833">
        <v>-0.59274169999999904</v>
      </c>
      <c r="P4833">
        <v>-0.90525949999999999</v>
      </c>
      <c r="Q4833">
        <v>-7.8176960000000004E-2</v>
      </c>
      <c r="R4833">
        <v>-0.41760449999999999</v>
      </c>
      <c r="S4833">
        <v>-3.3341980000000002</v>
      </c>
      <c r="T4833">
        <v>-3.9655570000000001E-2</v>
      </c>
      <c r="U4833">
        <v>-2.700806E-3</v>
      </c>
      <c r="V4833">
        <v>0.19873160000000001</v>
      </c>
      <c r="W4833">
        <v>-6.6939949999999998E-2</v>
      </c>
      <c r="X4833">
        <v>0.9777652</v>
      </c>
      <c r="Y4833">
        <v>0.59207480000000001</v>
      </c>
      <c r="Z4833">
        <v>4.7260640000000003E-3</v>
      </c>
      <c r="AA4833">
        <v>0.80586919999999995</v>
      </c>
      <c r="AB4833">
        <v>21</v>
      </c>
      <c r="AC4833">
        <v>-92.287199999999999</v>
      </c>
      <c r="AD4833">
        <v>-1.0997179100399901</v>
      </c>
      <c r="AE4833">
        <v>3.2200000000017298E-2</v>
      </c>
      <c r="AF4833">
        <v>54.728189812908397</v>
      </c>
      <c r="AG4833">
        <v>-1.0997179100399901</v>
      </c>
      <c r="AH4833">
        <v>74.292229180491702</v>
      </c>
      <c r="AI4833">
        <v>90.682815762083493</v>
      </c>
      <c r="AJ4833">
        <v>53.622372987534298</v>
      </c>
      <c r="AK4833">
        <v>92.280655915994103</v>
      </c>
      <c r="AL4833">
        <v>93.838246781837796</v>
      </c>
      <c r="AM4833">
        <v>78.511084313549802</v>
      </c>
      <c r="AN4833">
        <v>0.99999999603780099</v>
      </c>
    </row>
    <row r="4834" spans="1:40" x14ac:dyDescent="0.25">
      <c r="A4834" t="str">
        <f>"20190305135026644"</f>
        <v>20190305135026644</v>
      </c>
      <c r="B4834" t="str">
        <f>"1551765026634947"</f>
        <v>1551765026634947</v>
      </c>
      <c r="C4834" t="s">
        <v>40</v>
      </c>
      <c r="D4834">
        <v>4.2280860000000002</v>
      </c>
      <c r="E4834">
        <v>0.68174950000000001</v>
      </c>
      <c r="F4834" t="s">
        <v>94</v>
      </c>
      <c r="G4834">
        <v>-307.42090000000002</v>
      </c>
      <c r="H4834" s="1">
        <v>-1.175555E-5</v>
      </c>
      <c r="I4834">
        <v>148.64619999999999</v>
      </c>
      <c r="J4834">
        <v>-198.59479999999999</v>
      </c>
      <c r="K4834">
        <v>1.0997490000000001</v>
      </c>
      <c r="L4834">
        <v>146.98220000000001</v>
      </c>
      <c r="M4834">
        <v>-0.81530249999999904</v>
      </c>
      <c r="N4834">
        <v>-1.6610179999999999E-2</v>
      </c>
      <c r="O4834">
        <v>-0.57879700000000001</v>
      </c>
      <c r="P4834">
        <v>-0.91186929999999999</v>
      </c>
      <c r="Q4834">
        <v>-7.866766E-2</v>
      </c>
      <c r="R4834">
        <v>-0.40287190000000001</v>
      </c>
      <c r="S4834">
        <v>-3.3330229999999998</v>
      </c>
      <c r="T4834">
        <v>-3.362644E-2</v>
      </c>
      <c r="U4834">
        <v>4.76532E-2</v>
      </c>
      <c r="V4834">
        <v>0.1977303</v>
      </c>
      <c r="W4834">
        <v>-6.7393330000000001E-2</v>
      </c>
      <c r="X4834">
        <v>0.97793699999999995</v>
      </c>
      <c r="Y4834">
        <v>0.59039160000000002</v>
      </c>
      <c r="Z4834">
        <v>3.337128E-3</v>
      </c>
      <c r="AA4834">
        <v>0.80711009999999905</v>
      </c>
      <c r="AB4834">
        <v>21</v>
      </c>
      <c r="AC4834">
        <v>-108.8261</v>
      </c>
      <c r="AD4834">
        <v>-1.09976075555</v>
      </c>
      <c r="AE4834">
        <v>1.6639999999999799</v>
      </c>
      <c r="AF4834">
        <v>64.347190796273395</v>
      </c>
      <c r="AG4834">
        <v>-1.09976075555</v>
      </c>
      <c r="AH4834">
        <v>87.766220135158207</v>
      </c>
      <c r="AI4834">
        <v>90.578984021853202</v>
      </c>
      <c r="AJ4834">
        <v>53.752404940745301</v>
      </c>
      <c r="AK4834">
        <v>108.833266209852</v>
      </c>
      <c r="AL4834">
        <v>93.864282498767295</v>
      </c>
      <c r="AM4834">
        <v>78.569398249788307</v>
      </c>
      <c r="AN4834">
        <v>0.99999995421778798</v>
      </c>
    </row>
    <row r="4835" spans="1:40" x14ac:dyDescent="0.25">
      <c r="A4835" t="str">
        <f>"20190305135026657"</f>
        <v>20190305135026657</v>
      </c>
      <c r="B4835" t="str">
        <f>"1551765026655443"</f>
        <v>1551765026655443</v>
      </c>
      <c r="C4835" t="s">
        <v>40</v>
      </c>
      <c r="D4835">
        <v>4.231757</v>
      </c>
      <c r="E4835">
        <v>0.68109869999999995</v>
      </c>
      <c r="F4835" t="s">
        <v>94</v>
      </c>
      <c r="G4835">
        <v>-311.25909999999999</v>
      </c>
      <c r="H4835">
        <v>7.897034E-2</v>
      </c>
      <c r="I4835">
        <v>150.3056</v>
      </c>
      <c r="J4835">
        <v>-198.7012</v>
      </c>
      <c r="K4835">
        <v>1.0997790000000001</v>
      </c>
      <c r="L4835">
        <v>146.92080000000001</v>
      </c>
      <c r="M4835">
        <v>-0.82118639999999998</v>
      </c>
      <c r="N4835">
        <v>-1.6601459999999998E-2</v>
      </c>
      <c r="O4835">
        <v>-0.5704188</v>
      </c>
      <c r="P4835">
        <v>-0.91567149999999997</v>
      </c>
      <c r="Q4835">
        <v>-7.8975660000000003E-2</v>
      </c>
      <c r="R4835">
        <v>-0.39409240000000001</v>
      </c>
      <c r="S4835">
        <v>-3.3307799999999999</v>
      </c>
      <c r="T4835">
        <v>-3.0178070000000001E-2</v>
      </c>
      <c r="U4835">
        <v>9.8251340000000006E-2</v>
      </c>
      <c r="V4835">
        <v>0.19709560000000001</v>
      </c>
      <c r="W4835">
        <v>-6.7677760000000003E-2</v>
      </c>
      <c r="X4835">
        <v>0.97804550000000001</v>
      </c>
      <c r="Y4835">
        <v>0.59438789999999997</v>
      </c>
      <c r="Z4835">
        <v>2.6385480000000001E-3</v>
      </c>
      <c r="AA4835">
        <v>0.8041741</v>
      </c>
      <c r="AB4835">
        <v>21</v>
      </c>
      <c r="AC4835">
        <v>-112.5579</v>
      </c>
      <c r="AD4835">
        <v>-1.0208086599999999</v>
      </c>
      <c r="AE4835">
        <v>3.3847999999999798</v>
      </c>
      <c r="AF4835">
        <v>66.988411126891407</v>
      </c>
      <c r="AG4835">
        <v>-1.0208086599999999</v>
      </c>
      <c r="AH4835">
        <v>90.505285228929296</v>
      </c>
      <c r="AI4835">
        <v>90.519419808066104</v>
      </c>
      <c r="AJ4835">
        <v>53.492627899984399</v>
      </c>
      <c r="AK4835">
        <v>112.604155917957</v>
      </c>
      <c r="AL4835">
        <v>93.880616340535198</v>
      </c>
      <c r="AM4835">
        <v>78.606359341956207</v>
      </c>
      <c r="AN4835">
        <v>0.99999997740411295</v>
      </c>
    </row>
    <row r="4836" spans="1:40" x14ac:dyDescent="0.25">
      <c r="A4836" t="str">
        <f>"20190305135026670"</f>
        <v>20190305135026670</v>
      </c>
      <c r="B4836" t="str">
        <f>"1551765026665203"</f>
        <v>1551765026665203</v>
      </c>
      <c r="C4836" t="s">
        <v>40</v>
      </c>
      <c r="D4836">
        <v>4.2223329999999999</v>
      </c>
      <c r="E4836">
        <v>0.68065659999999995</v>
      </c>
      <c r="F4836" t="s">
        <v>94</v>
      </c>
      <c r="G4836">
        <v>-314.09710000000001</v>
      </c>
      <c r="H4836">
        <v>7.9984689999999997E-2</v>
      </c>
      <c r="I4836">
        <v>151.26140000000001</v>
      </c>
      <c r="J4836">
        <v>-198.8081</v>
      </c>
      <c r="K4836">
        <v>1.09981</v>
      </c>
      <c r="L4836">
        <v>146.86019999999999</v>
      </c>
      <c r="M4836">
        <v>-0.82698130000000003</v>
      </c>
      <c r="N4836">
        <v>-1.659238E-2</v>
      </c>
      <c r="O4836">
        <v>-0.56198479999999995</v>
      </c>
      <c r="P4836">
        <v>-0.91922999999999999</v>
      </c>
      <c r="Q4836">
        <v>-7.9244809999999999E-2</v>
      </c>
      <c r="R4836">
        <v>-0.38566440000000002</v>
      </c>
      <c r="S4836">
        <v>-3.3276210000000002</v>
      </c>
      <c r="T4836">
        <v>-2.940738E-2</v>
      </c>
      <c r="U4836">
        <v>0.1251678</v>
      </c>
      <c r="V4836">
        <v>0.1960576</v>
      </c>
      <c r="W4836">
        <v>-6.791142E-2</v>
      </c>
      <c r="X4836">
        <v>0.97823789999999999</v>
      </c>
      <c r="Y4836">
        <v>0.59267809999999999</v>
      </c>
      <c r="Z4836">
        <v>2.5410369999999999E-3</v>
      </c>
      <c r="AA4836">
        <v>0.80543549999999997</v>
      </c>
      <c r="AB4836">
        <v>21</v>
      </c>
      <c r="AC4836">
        <v>-115.289</v>
      </c>
      <c r="AD4836">
        <v>-1.0198253100000001</v>
      </c>
      <c r="AE4836">
        <v>4.40120000000001</v>
      </c>
      <c r="AF4836">
        <v>68.434440205103897</v>
      </c>
      <c r="AG4836">
        <v>-1.0198253100000001</v>
      </c>
      <c r="AH4836">
        <v>92.873955621008093</v>
      </c>
      <c r="AI4836">
        <v>90.506485404610601</v>
      </c>
      <c r="AJ4836">
        <v>53.615248662709902</v>
      </c>
      <c r="AK4836">
        <v>115.36847178732</v>
      </c>
      <c r="AL4836">
        <v>93.894034988431201</v>
      </c>
      <c r="AM4836">
        <v>78.666978010390594</v>
      </c>
      <c r="AN4836">
        <v>0.99999996624029197</v>
      </c>
    </row>
    <row r="4837" spans="1:40" x14ac:dyDescent="0.25">
      <c r="A4837" t="str">
        <f>"20190305135026690"</f>
        <v>20190305135026690</v>
      </c>
      <c r="B4837" t="str">
        <f>"1551765026684723"</f>
        <v>1551765026684723</v>
      </c>
      <c r="C4837" t="s">
        <v>40</v>
      </c>
      <c r="D4837">
        <v>4.2142839999999904</v>
      </c>
      <c r="E4837">
        <v>0.67959399999999903</v>
      </c>
      <c r="F4837" t="s">
        <v>94</v>
      </c>
      <c r="G4837">
        <v>-319.85500000000002</v>
      </c>
      <c r="H4837">
        <v>7.9985319999999999E-2</v>
      </c>
      <c r="I4837">
        <v>152.39949999999999</v>
      </c>
      <c r="J4837">
        <v>-198.97559999999999</v>
      </c>
      <c r="K4837">
        <v>1.099869</v>
      </c>
      <c r="L4837">
        <v>146.76849999999999</v>
      </c>
      <c r="M4837">
        <v>-0.83579729999999997</v>
      </c>
      <c r="N4837">
        <v>-1.6575329999999999E-2</v>
      </c>
      <c r="O4837">
        <v>-0.548788099999999</v>
      </c>
      <c r="P4837">
        <v>-0.92446680000000003</v>
      </c>
      <c r="Q4837">
        <v>-7.929013E-2</v>
      </c>
      <c r="R4837">
        <v>-0.37292720000000001</v>
      </c>
      <c r="S4837">
        <v>-3.3250269999999902</v>
      </c>
      <c r="T4837">
        <v>-2.8013469999999999E-2</v>
      </c>
      <c r="U4837">
        <v>0.15216060000000001</v>
      </c>
      <c r="V4837">
        <v>0.1940548</v>
      </c>
      <c r="W4837">
        <v>-6.7889080000000004E-2</v>
      </c>
      <c r="X4837">
        <v>0.97863880000000003</v>
      </c>
      <c r="Y4837">
        <v>0.5864298</v>
      </c>
      <c r="Z4837">
        <v>2.2907919999999998E-3</v>
      </c>
      <c r="AA4837">
        <v>0.80999679999999996</v>
      </c>
      <c r="AB4837">
        <v>21</v>
      </c>
      <c r="AC4837">
        <v>-120.8794</v>
      </c>
      <c r="AD4837">
        <v>-1.01988368</v>
      </c>
      <c r="AE4837">
        <v>5.6310000000000002</v>
      </c>
      <c r="AF4837">
        <v>71.048256681029898</v>
      </c>
      <c r="AG4837">
        <v>-1.01988368</v>
      </c>
      <c r="AH4837">
        <v>97.946937798683507</v>
      </c>
      <c r="AI4837">
        <v>90.482915156905094</v>
      </c>
      <c r="AJ4837">
        <v>54.043808558269397</v>
      </c>
      <c r="AK4837">
        <v>121.00618812388601</v>
      </c>
      <c r="AL4837">
        <v>93.892751725981995</v>
      </c>
      <c r="AM4837">
        <v>78.784277053249795</v>
      </c>
      <c r="AN4837">
        <v>1.0000000467258601</v>
      </c>
    </row>
    <row r="4838" spans="1:40" x14ac:dyDescent="0.25">
      <c r="A4838" t="str">
        <f>"20190305135026703"</f>
        <v>20190305135026703</v>
      </c>
      <c r="B4838" t="str">
        <f>"1551765026695459"</f>
        <v>1551765026695459</v>
      </c>
      <c r="C4838" t="s">
        <v>40</v>
      </c>
      <c r="D4838">
        <v>4.1905089999999996</v>
      </c>
      <c r="E4838">
        <v>0.67904960000000003</v>
      </c>
      <c r="F4838" t="s">
        <v>42</v>
      </c>
      <c r="G4838">
        <v>-326.34559999999999</v>
      </c>
      <c r="H4838">
        <v>7.9985970000000003E-2</v>
      </c>
      <c r="I4838">
        <v>154.05500000000001</v>
      </c>
      <c r="J4838">
        <v>-199.09479999999999</v>
      </c>
      <c r="K4838">
        <v>1.099917</v>
      </c>
      <c r="L4838">
        <v>146.70570000000001</v>
      </c>
      <c r="M4838">
        <v>-0.84187849999999997</v>
      </c>
      <c r="N4838">
        <v>-1.6560680000000001E-2</v>
      </c>
      <c r="O4838">
        <v>-0.53941289999999997</v>
      </c>
      <c r="P4838">
        <v>-0.92807899999999999</v>
      </c>
      <c r="Q4838">
        <v>-7.9667459999999996E-2</v>
      </c>
      <c r="R4838">
        <v>-0.36376180000000002</v>
      </c>
      <c r="S4838">
        <v>-3.3194270000000001</v>
      </c>
      <c r="T4838">
        <v>-2.6579499999999999E-2</v>
      </c>
      <c r="U4838">
        <v>0.1898956</v>
      </c>
      <c r="V4838">
        <v>0.19278319999999999</v>
      </c>
      <c r="W4838">
        <v>-6.8223060000000002E-2</v>
      </c>
      <c r="X4838">
        <v>0.97886680000000004</v>
      </c>
      <c r="Y4838">
        <v>0.58662519999999996</v>
      </c>
      <c r="Z4838">
        <v>2.08041E-3</v>
      </c>
      <c r="AA4838">
        <v>0.80985589999999996</v>
      </c>
      <c r="AB4838">
        <v>21</v>
      </c>
      <c r="AC4838">
        <v>-127.2508</v>
      </c>
      <c r="AD4838">
        <v>-1.01993103</v>
      </c>
      <c r="AE4838">
        <v>7.3492999999999897</v>
      </c>
      <c r="AF4838">
        <v>74.833414541235499</v>
      </c>
      <c r="AG4838">
        <v>-1.01993103</v>
      </c>
      <c r="AH4838">
        <v>103.172952174587</v>
      </c>
      <c r="AI4838">
        <v>90.458488393725403</v>
      </c>
      <c r="AJ4838">
        <v>54.045868932685899</v>
      </c>
      <c r="AK4838">
        <v>127.458770791288</v>
      </c>
      <c r="AL4838">
        <v>93.911932099670594</v>
      </c>
      <c r="AM4838">
        <v>78.8584566627637</v>
      </c>
      <c r="AN4838">
        <v>0.99999998013012104</v>
      </c>
    </row>
    <row r="4839" spans="1:40" x14ac:dyDescent="0.25">
      <c r="A4839" t="str">
        <f>"20190305135026724"</f>
        <v>20190305135026724</v>
      </c>
      <c r="B4839" t="str">
        <f>"1551765026714978"</f>
        <v>1551765026714978</v>
      </c>
      <c r="C4839" t="s">
        <v>40</v>
      </c>
      <c r="D4839">
        <v>4.1854699999999996</v>
      </c>
      <c r="E4839">
        <v>0.67788300000000001</v>
      </c>
      <c r="F4839" t="s">
        <v>43</v>
      </c>
      <c r="G4839">
        <v>-336.02319999999997</v>
      </c>
      <c r="H4839">
        <v>-0.05</v>
      </c>
      <c r="I4839">
        <v>155.73099999999999</v>
      </c>
      <c r="J4839">
        <v>-199.27080000000001</v>
      </c>
      <c r="K4839">
        <v>1.0999890000000001</v>
      </c>
      <c r="L4839">
        <v>146.61539999999999</v>
      </c>
      <c r="M4839">
        <v>-0.85059110000000004</v>
      </c>
      <c r="N4839">
        <v>-1.6537389999999999E-2</v>
      </c>
      <c r="O4839">
        <v>-0.52556769999999997</v>
      </c>
      <c r="P4839">
        <v>-0.93294219999999894</v>
      </c>
      <c r="Q4839">
        <v>-7.9937549999999996E-2</v>
      </c>
      <c r="R4839">
        <v>-0.35103990000000002</v>
      </c>
      <c r="S4839">
        <v>-3.3157809999999999</v>
      </c>
      <c r="T4839">
        <v>-2.7845740000000001E-2</v>
      </c>
      <c r="U4839">
        <v>0.21855160000000001</v>
      </c>
      <c r="V4839">
        <v>0.19014739999999999</v>
      </c>
      <c r="W4839">
        <v>-6.8407579999999996E-2</v>
      </c>
      <c r="X4839">
        <v>0.97936939999999995</v>
      </c>
      <c r="Y4839">
        <v>0.58038100000000004</v>
      </c>
      <c r="Z4839">
        <v>2.49322E-3</v>
      </c>
      <c r="AA4839">
        <v>0.81434119999999999</v>
      </c>
      <c r="AB4839">
        <v>21</v>
      </c>
      <c r="AC4839">
        <v>-136.752399999999</v>
      </c>
      <c r="AD4839">
        <v>-1.1499889999999999</v>
      </c>
      <c r="AE4839">
        <v>9.1156000000000006</v>
      </c>
      <c r="AF4839">
        <v>79.631572339480698</v>
      </c>
      <c r="AG4839">
        <v>-1.1499889999999999</v>
      </c>
      <c r="AH4839">
        <v>111.536904591057</v>
      </c>
      <c r="AI4839">
        <v>90.480771861346497</v>
      </c>
      <c r="AJ4839">
        <v>54.475129214691101</v>
      </c>
      <c r="AK4839">
        <v>137.05105207079799</v>
      </c>
      <c r="AL4839">
        <v>93.922528893037594</v>
      </c>
      <c r="AM4839">
        <v>79.012556254000103</v>
      </c>
      <c r="AN4839">
        <v>1.0000000261922799</v>
      </c>
    </row>
    <row r="4840" spans="1:40" x14ac:dyDescent="0.25">
      <c r="A4840" t="str">
        <f>"20190305135026747"</f>
        <v>20190305135026747</v>
      </c>
      <c r="B4840" t="str">
        <f>"1551765026735475"</f>
        <v>1551765026735475</v>
      </c>
      <c r="C4840" t="s">
        <v>40</v>
      </c>
      <c r="D4840">
        <v>4.2049960000000004</v>
      </c>
      <c r="E4840">
        <v>0.67666559999999998</v>
      </c>
      <c r="F4840" t="s">
        <v>43</v>
      </c>
      <c r="G4840">
        <v>-355.00040000000001</v>
      </c>
      <c r="H4840">
        <v>-0.05</v>
      </c>
      <c r="I4840">
        <v>158.59739999999999</v>
      </c>
      <c r="J4840">
        <v>-199.46719999999999</v>
      </c>
      <c r="K4840">
        <v>1.100082</v>
      </c>
      <c r="L4840">
        <v>146.5188</v>
      </c>
      <c r="M4840">
        <v>-0.85992000000000002</v>
      </c>
      <c r="N4840">
        <v>-1.650693E-2</v>
      </c>
      <c r="O4840">
        <v>-0.51016189999999995</v>
      </c>
      <c r="P4840">
        <v>-0.93777880000000002</v>
      </c>
      <c r="Q4840">
        <v>-8.0546930000000003E-2</v>
      </c>
      <c r="R4840">
        <v>-0.33776250000000002</v>
      </c>
      <c r="S4840">
        <v>-3.3093569999999999</v>
      </c>
      <c r="T4840">
        <v>-2.4438020000000001E-2</v>
      </c>
      <c r="U4840">
        <v>0.2546234</v>
      </c>
      <c r="V4840">
        <v>0.186387</v>
      </c>
      <c r="W4840">
        <v>-6.8898070000000006E-2</v>
      </c>
      <c r="X4840">
        <v>0.98005770000000003</v>
      </c>
      <c r="Y4840">
        <v>0.57463869999999995</v>
      </c>
      <c r="Z4840">
        <v>1.8222900000000001E-3</v>
      </c>
      <c r="AA4840">
        <v>0.81840519999999894</v>
      </c>
      <c r="AB4840">
        <v>21</v>
      </c>
      <c r="AC4840">
        <v>-155.53319999999999</v>
      </c>
      <c r="AD4840">
        <v>-1.150082</v>
      </c>
      <c r="AE4840">
        <v>12.0785999999999</v>
      </c>
      <c r="AF4840">
        <v>89.741090655491604</v>
      </c>
      <c r="AG4840">
        <v>-1.150082</v>
      </c>
      <c r="AH4840">
        <v>127.59451542522601</v>
      </c>
      <c r="AI4840">
        <v>90.422414085391694</v>
      </c>
      <c r="AJ4840">
        <v>54.8801176734992</v>
      </c>
      <c r="AK4840">
        <v>155.99726410178499</v>
      </c>
      <c r="AL4840">
        <v>93.9506981628424</v>
      </c>
      <c r="AM4840">
        <v>79.232100402702599</v>
      </c>
      <c r="AN4840">
        <v>1.000000076574</v>
      </c>
    </row>
    <row r="4841" spans="1:40" x14ac:dyDescent="0.25">
      <c r="A4841" t="str">
        <f>"20190305135026769"</f>
        <v>20190305135026769</v>
      </c>
      <c r="B4841" t="str">
        <f>"1551765026764756"</f>
        <v>1551765026764756</v>
      </c>
      <c r="C4841" t="s">
        <v>40</v>
      </c>
      <c r="D4841">
        <v>4.1881899999999996</v>
      </c>
      <c r="E4841">
        <v>0.67463759999999995</v>
      </c>
      <c r="F4841" t="s">
        <v>43</v>
      </c>
      <c r="G4841">
        <v>-346.47390000000001</v>
      </c>
      <c r="H4841">
        <v>-0.05</v>
      </c>
      <c r="I4841">
        <v>159.5264</v>
      </c>
      <c r="J4841">
        <v>-199.6567</v>
      </c>
      <c r="K4841">
        <v>1.1001989999999999</v>
      </c>
      <c r="L4841">
        <v>146.42959999999999</v>
      </c>
      <c r="M4841">
        <v>-0.86851619999999996</v>
      </c>
      <c r="N4841">
        <v>-1.647088E-2</v>
      </c>
      <c r="O4841">
        <v>-0.49538729999999997</v>
      </c>
      <c r="P4841">
        <v>-0.94186349999999996</v>
      </c>
      <c r="Q4841">
        <v>-8.1235979999999999E-2</v>
      </c>
      <c r="R4841">
        <v>-0.32602819999999999</v>
      </c>
      <c r="S4841">
        <v>-3.3020480000000001</v>
      </c>
      <c r="T4841">
        <v>-2.583301E-2</v>
      </c>
      <c r="U4841">
        <v>0.29217530000000003</v>
      </c>
      <c r="V4841">
        <v>0.18184649999999999</v>
      </c>
      <c r="W4841">
        <v>-6.9446679999999997E-2</v>
      </c>
      <c r="X4841">
        <v>0.98087159999999995</v>
      </c>
      <c r="Y4841">
        <v>0.57001999999999997</v>
      </c>
      <c r="Z4841">
        <v>2.2961420000000001E-3</v>
      </c>
      <c r="AA4841">
        <v>0.82162760000000001</v>
      </c>
      <c r="AB4841">
        <v>21</v>
      </c>
      <c r="AC4841">
        <v>-146.81720000000001</v>
      </c>
      <c r="AD4841">
        <v>-1.150199</v>
      </c>
      <c r="AE4841">
        <v>13.0968</v>
      </c>
      <c r="AF4841">
        <v>84.112437721239502</v>
      </c>
      <c r="AG4841">
        <v>-1.150199</v>
      </c>
      <c r="AH4841">
        <v>121.03416266839101</v>
      </c>
      <c r="AI4841">
        <v>90.447110839714298</v>
      </c>
      <c r="AJ4841">
        <v>55.2027122169454</v>
      </c>
      <c r="AK4841">
        <v>147.39570438105599</v>
      </c>
      <c r="AL4841">
        <v>93.982206802733998</v>
      </c>
      <c r="AM4841">
        <v>79.497024201927104</v>
      </c>
      <c r="AN4841">
        <v>1.00000004330591</v>
      </c>
    </row>
    <row r="4842" spans="1:40" x14ac:dyDescent="0.25">
      <c r="A4842" t="str">
        <f>"20190305135026792"</f>
        <v>20190305135026792</v>
      </c>
      <c r="B4842" t="str">
        <f>"1551765026785251"</f>
        <v>1551765026785251</v>
      </c>
      <c r="C4842" t="s">
        <v>40</v>
      </c>
      <c r="D4842">
        <v>4.1795339999999896</v>
      </c>
      <c r="E4842">
        <v>0.67393639999999999</v>
      </c>
      <c r="F4842" t="s">
        <v>94</v>
      </c>
      <c r="G4842">
        <v>-314.2491</v>
      </c>
      <c r="H4842">
        <v>7.9983860000000004E-2</v>
      </c>
      <c r="I4842">
        <v>157.50040000000001</v>
      </c>
      <c r="J4842">
        <v>-199.8535</v>
      </c>
      <c r="K4842">
        <v>1.1003529999999999</v>
      </c>
      <c r="L4842">
        <v>146.34100000000001</v>
      </c>
      <c r="M4842">
        <v>-0.87702089999999999</v>
      </c>
      <c r="N4842">
        <v>-1.64231E-2</v>
      </c>
      <c r="O4842">
        <v>-0.48017169999999998</v>
      </c>
      <c r="P4842">
        <v>-0.94572809999999896</v>
      </c>
      <c r="Q4842">
        <v>-8.1331440000000005E-2</v>
      </c>
      <c r="R4842">
        <v>-0.31461679999999997</v>
      </c>
      <c r="S4842">
        <v>-3.2927550000000001</v>
      </c>
      <c r="T4842">
        <v>-2.931535E-2</v>
      </c>
      <c r="U4842">
        <v>0.31811519999999999</v>
      </c>
      <c r="V4842">
        <v>0.1766297</v>
      </c>
      <c r="W4842">
        <v>-6.9382879999999994E-2</v>
      </c>
      <c r="X4842">
        <v>0.9818289</v>
      </c>
      <c r="Y4842">
        <v>0.56228859999999903</v>
      </c>
      <c r="Z4842">
        <v>3.1951789999999998E-3</v>
      </c>
      <c r="AA4842">
        <v>0.82693490000000003</v>
      </c>
      <c r="AB4842">
        <v>21</v>
      </c>
      <c r="AC4842">
        <v>-114.3956</v>
      </c>
      <c r="AD4842">
        <v>-1.0203691399999999</v>
      </c>
      <c r="AE4842">
        <v>11.1594</v>
      </c>
      <c r="AF4842">
        <v>64.720177797500796</v>
      </c>
      <c r="AG4842">
        <v>-1.0203691399999999</v>
      </c>
      <c r="AH4842">
        <v>94.974217729607602</v>
      </c>
      <c r="AI4842">
        <v>90.508670789044004</v>
      </c>
      <c r="AJ4842">
        <v>55.727527391248401</v>
      </c>
      <c r="AK4842">
        <v>114.934088070828</v>
      </c>
      <c r="AL4842">
        <v>93.978542618506495</v>
      </c>
      <c r="AM4842">
        <v>79.801650705570793</v>
      </c>
      <c r="AN4842">
        <v>1.0000000119171899</v>
      </c>
    </row>
    <row r="4843" spans="1:40" x14ac:dyDescent="0.25">
      <c r="A4843" t="str">
        <f>"20190305135026813"</f>
        <v>20190305135026813</v>
      </c>
      <c r="B4843" t="str">
        <f>"1551765026804774"</f>
        <v>1551765026804774</v>
      </c>
      <c r="C4843" t="s">
        <v>40</v>
      </c>
      <c r="D4843">
        <v>4.1579959999999998</v>
      </c>
      <c r="E4843">
        <v>0.63695369999999996</v>
      </c>
      <c r="F4843" t="s">
        <v>43</v>
      </c>
      <c r="G4843">
        <v>-331.9699</v>
      </c>
      <c r="H4843">
        <v>-0.05</v>
      </c>
      <c r="I4843">
        <v>160.5043</v>
      </c>
      <c r="J4843">
        <v>-200.04220000000001</v>
      </c>
      <c r="K4843">
        <v>1.1005210000000001</v>
      </c>
      <c r="L4843">
        <v>146.25970000000001</v>
      </c>
      <c r="M4843">
        <v>-0.8847699</v>
      </c>
      <c r="N4843">
        <v>-1.636785E-2</v>
      </c>
      <c r="O4843">
        <v>-0.4657406</v>
      </c>
      <c r="P4843">
        <v>-0.94915090000000002</v>
      </c>
      <c r="Q4843">
        <v>-8.0974560000000001E-2</v>
      </c>
      <c r="R4843">
        <v>-0.30422929999999998</v>
      </c>
      <c r="S4843">
        <v>-3.2869419999999998</v>
      </c>
      <c r="T4843">
        <v>-2.8619769999999999E-2</v>
      </c>
      <c r="U4843">
        <v>0.3523712</v>
      </c>
      <c r="V4843">
        <v>0.17136489999999999</v>
      </c>
      <c r="W4843">
        <v>-6.8868899999999997E-2</v>
      </c>
      <c r="X4843">
        <v>0.98279760000000005</v>
      </c>
      <c r="Y4843">
        <v>0.55740339999999999</v>
      </c>
      <c r="Z4843">
        <v>3.1531660000000002E-3</v>
      </c>
      <c r="AA4843">
        <v>0.83023579999999997</v>
      </c>
      <c r="AB4843">
        <v>21</v>
      </c>
      <c r="AC4843">
        <v>-131.92769999999999</v>
      </c>
      <c r="AD4843">
        <v>-1.1505209999999999</v>
      </c>
      <c r="AE4843">
        <v>14.244599999999901</v>
      </c>
      <c r="AF4843">
        <v>74.051633790606303</v>
      </c>
      <c r="AG4843">
        <v>-1.1505209999999999</v>
      </c>
      <c r="AH4843">
        <v>110.09784326113299</v>
      </c>
      <c r="AI4843">
        <v>90.496805126710996</v>
      </c>
      <c r="AJ4843">
        <v>56.075286015096097</v>
      </c>
      <c r="AK4843">
        <v>132.689499420197</v>
      </c>
      <c r="AL4843">
        <v>93.949023214315105</v>
      </c>
      <c r="AM4843">
        <v>80.109094147371493</v>
      </c>
      <c r="AN4843">
        <v>0.99999998845248905</v>
      </c>
    </row>
    <row r="4844" spans="1:40" x14ac:dyDescent="0.25">
      <c r="A4844" t="str">
        <f>"20190305135026835"</f>
        <v>20190305135026835</v>
      </c>
      <c r="B4844" t="str">
        <f>"1551765026825270"</f>
        <v>1551765026825270</v>
      </c>
      <c r="C4844" t="s">
        <v>40</v>
      </c>
      <c r="D4844">
        <v>4.1011709999999999</v>
      </c>
      <c r="E4844">
        <v>0.63504300000000002</v>
      </c>
      <c r="F4844" t="s">
        <v>42</v>
      </c>
      <c r="G4844">
        <v>-255.1985</v>
      </c>
      <c r="H4844" s="1">
        <v>-4.0244769999999998E-6</v>
      </c>
      <c r="I4844">
        <v>148.1712</v>
      </c>
      <c r="J4844">
        <v>-200.23480000000001</v>
      </c>
      <c r="K4844">
        <v>1.1006929999999999</v>
      </c>
      <c r="L4844">
        <v>146.18020000000001</v>
      </c>
      <c r="M4844">
        <v>-0.89230200000000004</v>
      </c>
      <c r="N4844">
        <v>-1.6306540000000001E-2</v>
      </c>
      <c r="O4844">
        <v>-0.4511445</v>
      </c>
      <c r="P4844">
        <v>-0.95238020000000001</v>
      </c>
      <c r="Q4844">
        <v>-8.069904E-2</v>
      </c>
      <c r="R4844">
        <v>-0.29404019999999997</v>
      </c>
      <c r="S4844">
        <v>-3.1907199999999998</v>
      </c>
      <c r="T4844">
        <v>-6.3663960000000006E-2</v>
      </c>
      <c r="U4844">
        <v>0.110580399999999</v>
      </c>
      <c r="V4844">
        <v>0.165803799999999</v>
      </c>
      <c r="W4844">
        <v>-6.8436720000000006E-2</v>
      </c>
      <c r="X4844">
        <v>0.98378120000000002</v>
      </c>
      <c r="Y4844">
        <v>0.4816762</v>
      </c>
      <c r="Z4844">
        <v>9.9432259999999995E-3</v>
      </c>
      <c r="AA4844">
        <v>0.87629279999999998</v>
      </c>
      <c r="AB4844">
        <v>21</v>
      </c>
      <c r="AC4844">
        <v>-54.963699999999903</v>
      </c>
      <c r="AD4844">
        <v>-1.100697024477</v>
      </c>
      <c r="AE4844">
        <v>1.9909999999999799</v>
      </c>
      <c r="AF4844">
        <v>26.5660362751298</v>
      </c>
      <c r="AG4844">
        <v>-1.100697024477</v>
      </c>
      <c r="AH4844">
        <v>48.133112327785298</v>
      </c>
      <c r="AI4844">
        <v>91.146952956580904</v>
      </c>
      <c r="AJ4844">
        <v>61.104442594069504</v>
      </c>
      <c r="AK4844">
        <v>54.9887472095009</v>
      </c>
      <c r="AL4844">
        <v>93.924202646203696</v>
      </c>
      <c r="AM4844">
        <v>80.433428419116495</v>
      </c>
      <c r="AN4844">
        <v>0.99999996710611805</v>
      </c>
    </row>
    <row r="4845" spans="1:40" x14ac:dyDescent="0.25">
      <c r="A4845" t="str">
        <f>"20190305135026857"</f>
        <v>20190305135026857</v>
      </c>
      <c r="B4845" t="str">
        <f>"1551765026844787"</f>
        <v>1551765026844787</v>
      </c>
      <c r="C4845" t="s">
        <v>40</v>
      </c>
      <c r="D4845">
        <v>4.1279579999999996</v>
      </c>
      <c r="E4845">
        <v>0.6330945</v>
      </c>
      <c r="F4845" t="s">
        <v>42</v>
      </c>
      <c r="G4845">
        <v>-261.79309999999998</v>
      </c>
      <c r="H4845" s="1">
        <v>-5.273806E-6</v>
      </c>
      <c r="I4845">
        <v>148.68119999999999</v>
      </c>
      <c r="J4845">
        <v>-200.43100000000001</v>
      </c>
      <c r="K4845">
        <v>1.10087</v>
      </c>
      <c r="L4845">
        <v>146.1027</v>
      </c>
      <c r="M4845">
        <v>-0.89958549999999904</v>
      </c>
      <c r="N4845">
        <v>-1.6241709999999999E-2</v>
      </c>
      <c r="O4845">
        <v>-0.43644290000000002</v>
      </c>
      <c r="P4845">
        <v>-0.95532980000000001</v>
      </c>
      <c r="Q4845">
        <v>-8.1087919999999994E-2</v>
      </c>
      <c r="R4845">
        <v>-0.28420030000000002</v>
      </c>
      <c r="S4845">
        <v>-3.18512</v>
      </c>
      <c r="T4845">
        <v>-5.6951759999999997E-2</v>
      </c>
      <c r="U4845">
        <v>0.12940979999999999</v>
      </c>
      <c r="V4845">
        <v>0.15982099999999999</v>
      </c>
      <c r="W4845">
        <v>-6.8666060000000001E-2</v>
      </c>
      <c r="X4845">
        <v>0.98475489999999999</v>
      </c>
      <c r="Y4845">
        <v>0.472528</v>
      </c>
      <c r="Z4845">
        <v>8.4161180000000002E-3</v>
      </c>
      <c r="AA4845">
        <v>0.88127549999999899</v>
      </c>
      <c r="AB4845">
        <v>21</v>
      </c>
      <c r="AC4845">
        <v>-61.362099999999998</v>
      </c>
      <c r="AD4845">
        <v>-1.1008752738059999</v>
      </c>
      <c r="AE4845">
        <v>2.5784999999999898</v>
      </c>
      <c r="AF4845">
        <v>29.095120951824502</v>
      </c>
      <c r="AG4845">
        <v>-1.1008752738059999</v>
      </c>
      <c r="AH4845">
        <v>54.064842831495802</v>
      </c>
      <c r="AI4845">
        <v>91.027236451174005</v>
      </c>
      <c r="AJ4845">
        <v>61.712980388772202</v>
      </c>
      <c r="AK4845">
        <v>61.4063939664602</v>
      </c>
      <c r="AL4845">
        <v>93.937373729104195</v>
      </c>
      <c r="AM4845">
        <v>80.781546046986406</v>
      </c>
      <c r="AN4845">
        <v>0.999999996455466</v>
      </c>
    </row>
    <row r="4846" spans="1:40" x14ac:dyDescent="0.25">
      <c r="A4846" t="str">
        <f>"20190305135026871"</f>
        <v>20190305135026871</v>
      </c>
      <c r="B4846" t="str">
        <f>"1551765026865283"</f>
        <v>1551765026865283</v>
      </c>
      <c r="C4846" t="s">
        <v>40</v>
      </c>
      <c r="D4846">
        <v>4.1536400000000002</v>
      </c>
      <c r="E4846">
        <v>0.60948919999999995</v>
      </c>
      <c r="F4846" t="s">
        <v>42</v>
      </c>
      <c r="G4846">
        <v>-256.05399999999997</v>
      </c>
      <c r="H4846" s="1">
        <v>-3.8252719999999997E-6</v>
      </c>
      <c r="I4846">
        <v>148.68950000000001</v>
      </c>
      <c r="J4846">
        <v>-200.5471</v>
      </c>
      <c r="K4846">
        <v>1.1009819999999999</v>
      </c>
      <c r="L4846">
        <v>146.0581</v>
      </c>
      <c r="M4846">
        <v>-0.90372569999999997</v>
      </c>
      <c r="N4846">
        <v>-1.6203059999999998E-2</v>
      </c>
      <c r="O4846">
        <v>-0.4278054</v>
      </c>
      <c r="P4846">
        <v>-0.95701769999999997</v>
      </c>
      <c r="Q4846">
        <v>-8.1128339999999993E-2</v>
      </c>
      <c r="R4846">
        <v>-0.27845189999999997</v>
      </c>
      <c r="S4846">
        <v>-3.1789399999999999</v>
      </c>
      <c r="T4846">
        <v>-6.2916639999999996E-2</v>
      </c>
      <c r="U4846">
        <v>0.14784239999999901</v>
      </c>
      <c r="V4846">
        <v>0.1563273</v>
      </c>
      <c r="W4846">
        <v>-6.8615140000000005E-2</v>
      </c>
      <c r="X4846">
        <v>0.9853191</v>
      </c>
      <c r="Y4846">
        <v>0.46922760000000002</v>
      </c>
      <c r="Z4846">
        <v>9.6277040000000008E-3</v>
      </c>
      <c r="AA4846">
        <v>0.88302479999999905</v>
      </c>
      <c r="AB4846">
        <v>21</v>
      </c>
      <c r="AC4846">
        <v>-55.506900000000002</v>
      </c>
      <c r="AD4846">
        <v>-1.100985825272</v>
      </c>
      <c r="AE4846">
        <v>2.63140000000001</v>
      </c>
      <c r="AF4846">
        <v>26.117391149249599</v>
      </c>
      <c r="AG4846">
        <v>-1.100985825272</v>
      </c>
      <c r="AH4846">
        <v>49.0244753191282</v>
      </c>
      <c r="AI4846">
        <v>91.135490499257301</v>
      </c>
      <c r="AJ4846">
        <v>61.953902761207999</v>
      </c>
      <c r="AK4846">
        <v>55.558342942767503</v>
      </c>
      <c r="AL4846">
        <v>93.934449334458606</v>
      </c>
      <c r="AM4846">
        <v>80.9847930843261</v>
      </c>
      <c r="AN4846">
        <v>0.99999999549365903</v>
      </c>
    </row>
    <row r="4847" spans="1:40" x14ac:dyDescent="0.25">
      <c r="A4847" t="str">
        <f>"20190305135026883"</f>
        <v>20190305135026883</v>
      </c>
      <c r="B4847" t="str">
        <f>"1551765026875043"</f>
        <v>1551765026875043</v>
      </c>
      <c r="C4847" t="s">
        <v>40</v>
      </c>
      <c r="D4847">
        <v>4.1290649999999998</v>
      </c>
      <c r="E4847">
        <v>0.60135669999999897</v>
      </c>
      <c r="F4847" t="s">
        <v>42</v>
      </c>
      <c r="G4847">
        <v>-224.97049999999999</v>
      </c>
      <c r="H4847" s="1">
        <v>-3.7201199999999999E-6</v>
      </c>
      <c r="I4847">
        <v>146.01820000000001</v>
      </c>
      <c r="J4847">
        <v>-200.67160000000001</v>
      </c>
      <c r="K4847">
        <v>1.10111</v>
      </c>
      <c r="L4847">
        <v>146.0121</v>
      </c>
      <c r="M4847">
        <v>-0.90798290000000004</v>
      </c>
      <c r="N4847">
        <v>-1.6156529999999999E-2</v>
      </c>
      <c r="O4847">
        <v>-0.4186954</v>
      </c>
      <c r="P4847">
        <v>-0.95885620000000005</v>
      </c>
      <c r="Q4847">
        <v>-8.0892430000000001E-2</v>
      </c>
      <c r="R4847">
        <v>-0.27212380000000003</v>
      </c>
      <c r="S4847">
        <v>-3.1213380000000002</v>
      </c>
      <c r="T4847">
        <v>-0.1407071</v>
      </c>
      <c r="U4847">
        <v>-5.0964360000000002E-3</v>
      </c>
      <c r="V4847">
        <v>0.15296499999999999</v>
      </c>
      <c r="W4847">
        <v>-6.829412E-2</v>
      </c>
      <c r="X4847">
        <v>0.985869</v>
      </c>
      <c r="Y4847">
        <v>0.416545</v>
      </c>
      <c r="Z4847">
        <v>2.4233890000000001E-2</v>
      </c>
      <c r="AA4847">
        <v>0.90879209999999999</v>
      </c>
      <c r="AB4847">
        <v>21</v>
      </c>
      <c r="AC4847">
        <v>-24.2988999999999</v>
      </c>
      <c r="AD4847">
        <v>-1.1011137201200001</v>
      </c>
      <c r="AE4847">
        <v>6.1000000000035401E-3</v>
      </c>
      <c r="AF4847">
        <v>10.1598430517307</v>
      </c>
      <c r="AG4847">
        <v>-1.1011137201200001</v>
      </c>
      <c r="AH4847">
        <v>22.018099681432801</v>
      </c>
      <c r="AI4847">
        <v>92.599925197659303</v>
      </c>
      <c r="AJ4847">
        <v>65.2299155385261</v>
      </c>
      <c r="AK4847">
        <v>24.274092688336498</v>
      </c>
      <c r="AL4847">
        <v>93.916012854116403</v>
      </c>
      <c r="AM4847">
        <v>81.180453117615698</v>
      </c>
      <c r="AN4847">
        <v>1.00000003160628</v>
      </c>
    </row>
    <row r="4848" spans="1:40" x14ac:dyDescent="0.25">
      <c r="A4848" t="str">
        <f>"20190305135026903"</f>
        <v>20190305135026903</v>
      </c>
      <c r="B4848" t="str">
        <f>"1551765026895539"</f>
        <v>1551765026895539</v>
      </c>
      <c r="C4848" t="s">
        <v>40</v>
      </c>
      <c r="D4848">
        <v>4.1276970000000004</v>
      </c>
      <c r="E4848">
        <v>0.59221440000000003</v>
      </c>
      <c r="F4848" t="s">
        <v>42</v>
      </c>
      <c r="G4848">
        <v>-225.6036</v>
      </c>
      <c r="H4848" s="1">
        <v>-3.4357739999999999E-6</v>
      </c>
      <c r="I4848">
        <v>145.62979999999999</v>
      </c>
      <c r="J4848">
        <v>-200.8364</v>
      </c>
      <c r="K4848">
        <v>1.1013040000000001</v>
      </c>
      <c r="L4848">
        <v>145.9529</v>
      </c>
      <c r="M4848">
        <v>-0.91338330000000001</v>
      </c>
      <c r="N4848">
        <v>-1.6089510000000001E-2</v>
      </c>
      <c r="O4848">
        <v>-0.40678259999999999</v>
      </c>
      <c r="P4848">
        <v>-0.96037430000000001</v>
      </c>
      <c r="Q4848">
        <v>-8.0507399999999896E-2</v>
      </c>
      <c r="R4848">
        <v>-0.26683279999999998</v>
      </c>
      <c r="S4848">
        <v>-3.103653</v>
      </c>
      <c r="T4848">
        <v>-0.137072</v>
      </c>
      <c r="U4848">
        <v>-4.7592160000000001E-2</v>
      </c>
      <c r="V4848">
        <v>0.14556140000000001</v>
      </c>
      <c r="W4848">
        <v>-6.7729960000000006E-2</v>
      </c>
      <c r="X4848">
        <v>0.98702809999999996</v>
      </c>
      <c r="Y4848">
        <v>0.39212469999999999</v>
      </c>
      <c r="Z4848">
        <v>2.265112E-2</v>
      </c>
      <c r="AA4848">
        <v>0.91963320000000004</v>
      </c>
      <c r="AB4848">
        <v>21</v>
      </c>
      <c r="AC4848">
        <v>-24.767199999999999</v>
      </c>
      <c r="AD4848">
        <v>-1.101307435774</v>
      </c>
      <c r="AE4848">
        <v>-0.32310000000000999</v>
      </c>
      <c r="AF4848">
        <v>9.7617197699352403</v>
      </c>
      <c r="AG4848">
        <v>-1.101307435774</v>
      </c>
      <c r="AH4848">
        <v>22.711425204665201</v>
      </c>
      <c r="AI4848">
        <v>92.550867994388597</v>
      </c>
      <c r="AJ4848">
        <v>66.741223259244506</v>
      </c>
      <c r="AK4848">
        <v>24.7449567742993</v>
      </c>
      <c r="AL4848">
        <v>93.883614089727004</v>
      </c>
      <c r="AM4848">
        <v>81.610807215716093</v>
      </c>
      <c r="AN4848">
        <v>0.999999969420585</v>
      </c>
    </row>
    <row r="4849" spans="1:40" x14ac:dyDescent="0.25">
      <c r="A4849" t="str">
        <f>"20190305135026924"</f>
        <v>20190305135026924</v>
      </c>
      <c r="B4849" t="str">
        <f>"1551765026915059"</f>
        <v>1551765026915059</v>
      </c>
      <c r="C4849" t="s">
        <v>40</v>
      </c>
      <c r="D4849">
        <v>4.1288629999999999</v>
      </c>
      <c r="E4849">
        <v>0.59000240000000004</v>
      </c>
      <c r="F4849" t="s">
        <v>42</v>
      </c>
      <c r="G4849">
        <v>-223.50309999999999</v>
      </c>
      <c r="H4849" s="1">
        <v>-4.0783359999999997E-6</v>
      </c>
      <c r="I4849">
        <v>145.22239999999999</v>
      </c>
      <c r="J4849">
        <v>-201.03469999999999</v>
      </c>
      <c r="K4849">
        <v>1.1015699999999999</v>
      </c>
      <c r="L4849">
        <v>145.8845</v>
      </c>
      <c r="M4849">
        <v>-0.9195065</v>
      </c>
      <c r="N4849">
        <v>-1.5997219999999999E-2</v>
      </c>
      <c r="O4849">
        <v>-0.39274959999999998</v>
      </c>
      <c r="P4849">
        <v>-0.96254209999999996</v>
      </c>
      <c r="Q4849">
        <v>-8.0305280000000007E-2</v>
      </c>
      <c r="R4849">
        <v>-0.25896770000000002</v>
      </c>
      <c r="S4849">
        <v>-3.083618</v>
      </c>
      <c r="T4849">
        <v>-0.1498245</v>
      </c>
      <c r="U4849">
        <v>-9.9380490000000002E-2</v>
      </c>
      <c r="V4849">
        <v>0.1385805</v>
      </c>
      <c r="W4849">
        <v>-6.7365120000000001E-2</v>
      </c>
      <c r="X4849">
        <v>0.98805739999999997</v>
      </c>
      <c r="Y4849">
        <v>0.36222480000000001</v>
      </c>
      <c r="Z4849">
        <v>2.3909260000000002E-2</v>
      </c>
      <c r="AA4849">
        <v>0.9317841</v>
      </c>
      <c r="AB4849">
        <v>20</v>
      </c>
      <c r="AC4849">
        <v>-22.468399999999999</v>
      </c>
      <c r="AD4849">
        <v>-1.101574078336</v>
      </c>
      <c r="AE4849">
        <v>-0.66210000000000901</v>
      </c>
      <c r="AF4849">
        <v>8.1970136108570806</v>
      </c>
      <c r="AG4849">
        <v>-1.101574078336</v>
      </c>
      <c r="AH4849">
        <v>20.872425036567599</v>
      </c>
      <c r="AI4849">
        <v>92.812344360927696</v>
      </c>
      <c r="AJ4849">
        <v>68.5590833558757</v>
      </c>
      <c r="AK4849">
        <v>22.4513390356515</v>
      </c>
      <c r="AL4849">
        <v>93.862662248601197</v>
      </c>
      <c r="AM4849">
        <v>82.016031576106798</v>
      </c>
      <c r="AN4849">
        <v>1.0000000200338099</v>
      </c>
    </row>
    <row r="4850" spans="1:40" x14ac:dyDescent="0.25">
      <c r="A4850" t="str">
        <f>"20190305135026947"</f>
        <v>20190305135026947</v>
      </c>
      <c r="B4850" t="str">
        <f>"1551765026934579"</f>
        <v>1551765026934579</v>
      </c>
      <c r="C4850" t="s">
        <v>40</v>
      </c>
      <c r="D4850">
        <v>4.0943589999999999</v>
      </c>
      <c r="E4850">
        <v>0.58824619999999905</v>
      </c>
      <c r="F4850" t="s">
        <v>42</v>
      </c>
      <c r="G4850">
        <v>-225.1397</v>
      </c>
      <c r="H4850" s="1">
        <v>-3.5106700000000001E-6</v>
      </c>
      <c r="I4850">
        <v>145.16200000000001</v>
      </c>
      <c r="J4850">
        <v>-201.23169999999999</v>
      </c>
      <c r="K4850">
        <v>1.1018859999999999</v>
      </c>
      <c r="L4850">
        <v>145.8193</v>
      </c>
      <c r="M4850">
        <v>-0.92518270000000002</v>
      </c>
      <c r="N4850">
        <v>-1.5892360000000001E-2</v>
      </c>
      <c r="O4850">
        <v>-0.379189</v>
      </c>
      <c r="P4850">
        <v>-0.96456240000000004</v>
      </c>
      <c r="Q4850">
        <v>-8.0206100000000002E-2</v>
      </c>
      <c r="R4850">
        <v>-0.25136940000000002</v>
      </c>
      <c r="S4850">
        <v>-3.0801699999999999</v>
      </c>
      <c r="T4850">
        <v>-0.14076050000000001</v>
      </c>
      <c r="U4850">
        <v>-9.2315670000000002E-2</v>
      </c>
      <c r="V4850">
        <v>0.131905299999999</v>
      </c>
      <c r="W4850">
        <v>-6.7116380000000003E-2</v>
      </c>
      <c r="X4850">
        <v>0.98898759999999997</v>
      </c>
      <c r="Y4850">
        <v>0.35070770000000001</v>
      </c>
      <c r="Z4850">
        <v>2.1603540000000001E-2</v>
      </c>
      <c r="AA4850">
        <v>0.93623579999999995</v>
      </c>
      <c r="AB4850">
        <v>20</v>
      </c>
      <c r="AC4850">
        <v>-23.908000000000001</v>
      </c>
      <c r="AD4850">
        <v>-1.10188951067</v>
      </c>
      <c r="AE4850">
        <v>-0.657299999999992</v>
      </c>
      <c r="AF4850">
        <v>8.4406808113315499</v>
      </c>
      <c r="AG4850">
        <v>-1.10188951067</v>
      </c>
      <c r="AH4850">
        <v>22.3239513378129</v>
      </c>
      <c r="AI4850">
        <v>92.643418417375599</v>
      </c>
      <c r="AJ4850">
        <v>69.288406419129501</v>
      </c>
      <c r="AK4850">
        <v>23.891798935734101</v>
      </c>
      <c r="AL4850">
        <v>93.848378073207996</v>
      </c>
      <c r="AM4850">
        <v>82.403063453025794</v>
      </c>
      <c r="AN4850">
        <v>1.0000000447930699</v>
      </c>
    </row>
    <row r="4851" spans="1:40" x14ac:dyDescent="0.25">
      <c r="A4851" t="str">
        <f>"20190305135026970"</f>
        <v>20190305135026970</v>
      </c>
      <c r="B4851" t="str">
        <f>"1551765026964835"</f>
        <v>1551765026964835</v>
      </c>
      <c r="C4851" t="s">
        <v>40</v>
      </c>
      <c r="D4851">
        <v>4.0817100000000002</v>
      </c>
      <c r="E4851">
        <v>0.58650290000000005</v>
      </c>
      <c r="F4851" t="s">
        <v>42</v>
      </c>
      <c r="G4851">
        <v>-225.40819999999999</v>
      </c>
      <c r="H4851" s="1">
        <v>-3.4220839999999998E-6</v>
      </c>
      <c r="I4851">
        <v>145.17769999999999</v>
      </c>
      <c r="J4851">
        <v>-201.43889999999999</v>
      </c>
      <c r="K4851">
        <v>1.102279</v>
      </c>
      <c r="L4851">
        <v>145.7535</v>
      </c>
      <c r="M4851">
        <v>-0.93070739999999996</v>
      </c>
      <c r="N4851">
        <v>-1.57687E-2</v>
      </c>
      <c r="O4851">
        <v>-0.3654249</v>
      </c>
      <c r="P4851">
        <v>-0.96675730000000004</v>
      </c>
      <c r="Q4851">
        <v>-8.0573500000000006E-2</v>
      </c>
      <c r="R4851">
        <v>-0.24266969999999999</v>
      </c>
      <c r="S4851">
        <v>-3.077286</v>
      </c>
      <c r="T4851">
        <v>-0.1402533</v>
      </c>
      <c r="U4851">
        <v>-8.1665039999999994E-2</v>
      </c>
      <c r="V4851">
        <v>0.1261951</v>
      </c>
      <c r="W4851">
        <v>-6.7358399999999999E-2</v>
      </c>
      <c r="X4851">
        <v>0.98971589999999998</v>
      </c>
      <c r="Y4851">
        <v>0.34003040000000001</v>
      </c>
      <c r="Z4851">
        <v>2.0882009999999999E-2</v>
      </c>
      <c r="AA4851">
        <v>0.94018259999999998</v>
      </c>
      <c r="AB4851">
        <v>20</v>
      </c>
      <c r="AC4851">
        <v>-23.9693</v>
      </c>
      <c r="AD4851">
        <v>-1.102282422084</v>
      </c>
      <c r="AE4851">
        <v>-0.57580000000001497</v>
      </c>
      <c r="AF4851">
        <v>8.2067532787694901</v>
      </c>
      <c r="AG4851">
        <v>-1.102282422084</v>
      </c>
      <c r="AH4851">
        <v>22.4741121802723</v>
      </c>
      <c r="AI4851">
        <v>92.6378181976566</v>
      </c>
      <c r="AJ4851">
        <v>69.939589170194296</v>
      </c>
      <c r="AK4851">
        <v>23.951023865548901</v>
      </c>
      <c r="AL4851">
        <v>93.862276576600493</v>
      </c>
      <c r="AM4851">
        <v>82.733631377213698</v>
      </c>
      <c r="AN4851">
        <v>0.99999996001368896</v>
      </c>
    </row>
    <row r="4852" spans="1:40" x14ac:dyDescent="0.25">
      <c r="A4852" t="str">
        <f>"20190305135026992"</f>
        <v>20190305135026992</v>
      </c>
      <c r="B4852" t="str">
        <f>"1551765026985331"</f>
        <v>1551765026985331</v>
      </c>
      <c r="C4852" t="s">
        <v>40</v>
      </c>
      <c r="D4852">
        <v>4.0210660000000003</v>
      </c>
      <c r="E4852">
        <v>0.585534</v>
      </c>
      <c r="F4852" t="s">
        <v>42</v>
      </c>
      <c r="G4852">
        <v>-226.88310000000001</v>
      </c>
      <c r="H4852" s="1">
        <v>-2.8015830000000002E-6</v>
      </c>
      <c r="I4852">
        <v>145.1867</v>
      </c>
      <c r="J4852">
        <v>-201.63990000000001</v>
      </c>
      <c r="K4852">
        <v>1.102716</v>
      </c>
      <c r="L4852">
        <v>145.69239999999999</v>
      </c>
      <c r="M4852">
        <v>-0.93560940000000004</v>
      </c>
      <c r="N4852">
        <v>-1.5635380000000001E-2</v>
      </c>
      <c r="O4852">
        <v>-0.35269089999999997</v>
      </c>
      <c r="P4852">
        <v>-0.96824250000000001</v>
      </c>
      <c r="Q4852">
        <v>-8.1141900000000003E-2</v>
      </c>
      <c r="R4852">
        <v>-0.23647960000000001</v>
      </c>
      <c r="S4852">
        <v>-3.074875</v>
      </c>
      <c r="T4852">
        <v>-0.133208299999999</v>
      </c>
      <c r="U4852">
        <v>-6.8496699999999994E-2</v>
      </c>
      <c r="V4852">
        <v>0.1190708</v>
      </c>
      <c r="W4852">
        <v>-6.7781140000000004E-2</v>
      </c>
      <c r="X4852">
        <v>0.99056949999999999</v>
      </c>
      <c r="Y4852">
        <v>0.33126509999999998</v>
      </c>
      <c r="Z4852">
        <v>1.9155149999999999E-2</v>
      </c>
      <c r="AA4852">
        <v>0.9433433</v>
      </c>
      <c r="AB4852">
        <v>20</v>
      </c>
      <c r="AC4852">
        <v>-25.243200000000002</v>
      </c>
      <c r="AD4852">
        <v>-1.1027188015830001</v>
      </c>
      <c r="AE4852">
        <v>-0.50569999999999005</v>
      </c>
      <c r="AF4852">
        <v>8.4148871792354694</v>
      </c>
      <c r="AG4852">
        <v>-1.1027188015830001</v>
      </c>
      <c r="AH4852">
        <v>23.753726357160701</v>
      </c>
      <c r="AI4852">
        <v>92.505570001833405</v>
      </c>
      <c r="AJ4852">
        <v>70.493031323782901</v>
      </c>
      <c r="AK4852">
        <v>25.2243103145655</v>
      </c>
      <c r="AL4852">
        <v>93.886552981635006</v>
      </c>
      <c r="AM4852">
        <v>83.145682564821101</v>
      </c>
      <c r="AN4852">
        <v>1.00000003634129</v>
      </c>
    </row>
    <row r="4853" spans="1:40" x14ac:dyDescent="0.25">
      <c r="A4853" t="str">
        <f>"20190305135027004"</f>
        <v>20190305135027004</v>
      </c>
      <c r="B4853" t="str">
        <f>"1551765026995091"</f>
        <v>1551765026995091</v>
      </c>
      <c r="C4853" t="s">
        <v>40</v>
      </c>
      <c r="D4853">
        <v>4.0788699999999896</v>
      </c>
      <c r="E4853">
        <v>0.5850263</v>
      </c>
      <c r="F4853" t="s">
        <v>42</v>
      </c>
      <c r="G4853">
        <v>-227.35390000000001</v>
      </c>
      <c r="H4853" s="1">
        <v>-2.6081920000000001E-6</v>
      </c>
      <c r="I4853">
        <v>145.21889999999999</v>
      </c>
      <c r="J4853">
        <v>-201.75710000000001</v>
      </c>
      <c r="K4853">
        <v>1.1029639999999901</v>
      </c>
      <c r="L4853">
        <v>145.65770000000001</v>
      </c>
      <c r="M4853">
        <v>-0.93829149999999995</v>
      </c>
      <c r="N4853">
        <v>-1.555666E-2</v>
      </c>
      <c r="O4853">
        <v>-0.34549550000000001</v>
      </c>
      <c r="P4853">
        <v>-0.96929339999999997</v>
      </c>
      <c r="Q4853">
        <v>-8.1606349999999994E-2</v>
      </c>
      <c r="R4853">
        <v>-0.23197219999999999</v>
      </c>
      <c r="S4853">
        <v>-3.0735169999999998</v>
      </c>
      <c r="T4853">
        <v>-0.13180459999999999</v>
      </c>
      <c r="U4853">
        <v>-5.6579589999999999E-2</v>
      </c>
      <c r="V4853">
        <v>0.1160944</v>
      </c>
      <c r="W4853">
        <v>-6.8194009999999999E-2</v>
      </c>
      <c r="X4853">
        <v>0.99089439999999995</v>
      </c>
      <c r="Y4853">
        <v>0.32768190000000003</v>
      </c>
      <c r="Z4853">
        <v>1.8671480000000001E-2</v>
      </c>
      <c r="AA4853">
        <v>0.94460359999999999</v>
      </c>
      <c r="AB4853">
        <v>20</v>
      </c>
      <c r="AC4853">
        <v>-25.596800000000002</v>
      </c>
      <c r="AD4853">
        <v>-1.10296660819199</v>
      </c>
      <c r="AE4853">
        <v>-0.43880000000001401</v>
      </c>
      <c r="AF4853">
        <v>8.4172528680472301</v>
      </c>
      <c r="AG4853">
        <v>-1.10296660819199</v>
      </c>
      <c r="AH4853">
        <v>24.127002649409899</v>
      </c>
      <c r="AI4853">
        <v>92.471561463813501</v>
      </c>
      <c r="AJ4853">
        <v>70.767514121841401</v>
      </c>
      <c r="AK4853">
        <v>25.5769219811155</v>
      </c>
      <c r="AL4853">
        <v>93.910263606575896</v>
      </c>
      <c r="AM4853">
        <v>83.317621048788396</v>
      </c>
      <c r="AN4853">
        <v>1.0000000223312899</v>
      </c>
    </row>
    <row r="4854" spans="1:40" x14ac:dyDescent="0.25">
      <c r="A4854" t="str">
        <f>"20190305135027026"</f>
        <v>20190305135027026</v>
      </c>
      <c r="B4854" t="str">
        <f>"1551765027014611"</f>
        <v>1551765027014611</v>
      </c>
      <c r="C4854" t="s">
        <v>40</v>
      </c>
      <c r="D4854">
        <v>4.072603</v>
      </c>
      <c r="E4854">
        <v>0.58421519999999905</v>
      </c>
      <c r="F4854" t="s">
        <v>42</v>
      </c>
      <c r="G4854">
        <v>-227.31880000000001</v>
      </c>
      <c r="H4854" s="1">
        <v>-2.6372809999999998E-6</v>
      </c>
      <c r="I4854">
        <v>145.27170000000001</v>
      </c>
      <c r="J4854">
        <v>-201.9452</v>
      </c>
      <c r="K4854">
        <v>1.1033409999999999</v>
      </c>
      <c r="L4854">
        <v>145.6035</v>
      </c>
      <c r="M4854">
        <v>-0.94234470000000004</v>
      </c>
      <c r="N4854">
        <v>-1.5433809999999999E-2</v>
      </c>
      <c r="O4854">
        <v>-0.33428819999999998</v>
      </c>
      <c r="P4854">
        <v>-0.97059169999999995</v>
      </c>
      <c r="Q4854">
        <v>-8.198395E-2</v>
      </c>
      <c r="R4854">
        <v>-0.22634209999999999</v>
      </c>
      <c r="S4854">
        <v>-3.0728</v>
      </c>
      <c r="T4854">
        <v>-0.13258900000000001</v>
      </c>
      <c r="U4854">
        <v>-4.6401980000000002E-2</v>
      </c>
      <c r="V4854">
        <v>0.11008569999999999</v>
      </c>
      <c r="W4854">
        <v>-6.8476919999999997E-2</v>
      </c>
      <c r="X4854">
        <v>0.99156040000000001</v>
      </c>
      <c r="Y4854">
        <v>0.31954060000000001</v>
      </c>
      <c r="Z4854">
        <v>1.8314670000000002E-2</v>
      </c>
      <c r="AA4854">
        <v>0.9473956</v>
      </c>
      <c r="AB4854">
        <v>20</v>
      </c>
      <c r="AC4854">
        <v>-25.3736</v>
      </c>
      <c r="AD4854">
        <v>-1.1033436372809999</v>
      </c>
      <c r="AE4854">
        <v>-0.33179999999998699</v>
      </c>
      <c r="AF4854">
        <v>8.1549796676850494</v>
      </c>
      <c r="AG4854">
        <v>-1.1033436372809999</v>
      </c>
      <c r="AH4854">
        <v>23.9791185720774</v>
      </c>
      <c r="AI4854">
        <v>92.494364910502597</v>
      </c>
      <c r="AJ4854">
        <v>71.217513316138906</v>
      </c>
      <c r="AK4854">
        <v>25.351906990521101</v>
      </c>
      <c r="AL4854">
        <v>93.926511268982907</v>
      </c>
      <c r="AM4854">
        <v>83.664812842578598</v>
      </c>
      <c r="AN4854">
        <v>0.99999998838266801</v>
      </c>
    </row>
    <row r="4855" spans="1:40" x14ac:dyDescent="0.25">
      <c r="A4855" t="str">
        <f>"20190305135027046"</f>
        <v>20190305135027046</v>
      </c>
      <c r="B4855" t="str">
        <f>"1551765027035107"</f>
        <v>1551765027035107</v>
      </c>
      <c r="C4855" t="s">
        <v>40</v>
      </c>
      <c r="D4855">
        <v>3.8800840000000001</v>
      </c>
      <c r="E4855">
        <v>0.58415839999999997</v>
      </c>
      <c r="F4855" t="s">
        <v>42</v>
      </c>
      <c r="G4855">
        <v>-227.26390000000001</v>
      </c>
      <c r="H4855" s="1">
        <v>-2.6727880000000002E-6</v>
      </c>
      <c r="I4855">
        <v>145.31659999999999</v>
      </c>
      <c r="J4855">
        <v>-202.12639999999999</v>
      </c>
      <c r="K4855">
        <v>1.1037129999999999</v>
      </c>
      <c r="L4855">
        <v>145.553</v>
      </c>
      <c r="M4855">
        <v>-0.94592089999999995</v>
      </c>
      <c r="N4855">
        <v>-1.531417E-2</v>
      </c>
      <c r="O4855">
        <v>-0.32403569999999998</v>
      </c>
      <c r="P4855">
        <v>-0.971723</v>
      </c>
      <c r="Q4855">
        <v>-8.1800159999999997E-2</v>
      </c>
      <c r="R4855">
        <v>-0.22150220000000001</v>
      </c>
      <c r="S4855">
        <v>-3.071472</v>
      </c>
      <c r="T4855">
        <v>-0.13384939999999901</v>
      </c>
      <c r="U4855">
        <v>-3.4805299999999997E-2</v>
      </c>
      <c r="V4855">
        <v>0.1043335</v>
      </c>
      <c r="W4855">
        <v>-6.8212380000000003E-2</v>
      </c>
      <c r="X4855">
        <v>0.99220039999999998</v>
      </c>
      <c r="Y4855">
        <v>0.3128146</v>
      </c>
      <c r="Z4855">
        <v>1.8089009999999999E-2</v>
      </c>
      <c r="AA4855">
        <v>0.94964190000000004</v>
      </c>
      <c r="AB4855">
        <v>20</v>
      </c>
      <c r="AC4855">
        <v>-25.137499999999999</v>
      </c>
      <c r="AD4855">
        <v>-1.103715672788</v>
      </c>
      <c r="AE4855">
        <v>-0.236400000000003</v>
      </c>
      <c r="AF4855">
        <v>7.9075177147707496</v>
      </c>
      <c r="AG4855">
        <v>-1.103715672788</v>
      </c>
      <c r="AH4855">
        <v>23.8115855193664</v>
      </c>
      <c r="AI4855">
        <v>92.518807762567704</v>
      </c>
      <c r="AJ4855">
        <v>71.629344483972503</v>
      </c>
      <c r="AK4855">
        <v>25.114510340475899</v>
      </c>
      <c r="AL4855">
        <v>93.911318592264905</v>
      </c>
      <c r="AM4855">
        <v>83.997199327508497</v>
      </c>
      <c r="AN4855">
        <v>1.00000002088383</v>
      </c>
    </row>
    <row r="4856" spans="1:40" x14ac:dyDescent="0.25">
      <c r="A4856" t="str">
        <f>"20190305135027069"</f>
        <v>20190305135027069</v>
      </c>
      <c r="B4856" t="str">
        <f>"1551765027065365"</f>
        <v>1551765027065365</v>
      </c>
      <c r="C4856" t="s">
        <v>40</v>
      </c>
      <c r="D4856">
        <v>3.8837929999999998</v>
      </c>
      <c r="E4856">
        <v>0.59314500000000003</v>
      </c>
      <c r="F4856" t="s">
        <v>42</v>
      </c>
      <c r="G4856">
        <v>-229.7373</v>
      </c>
      <c r="H4856" s="1">
        <v>-1.6239879999999999E-6</v>
      </c>
      <c r="I4856">
        <v>145.36269999999999</v>
      </c>
      <c r="J4856">
        <v>-202.32769999999999</v>
      </c>
      <c r="K4856">
        <v>1.1041609999999999</v>
      </c>
      <c r="L4856">
        <v>145.4984</v>
      </c>
      <c r="M4856">
        <v>-0.94952259999999999</v>
      </c>
      <c r="N4856">
        <v>-1.5173219999999999E-2</v>
      </c>
      <c r="O4856">
        <v>-0.31333119999999998</v>
      </c>
      <c r="P4856">
        <v>-0.97298209999999996</v>
      </c>
      <c r="Q4856">
        <v>-8.1321950000000004E-2</v>
      </c>
      <c r="R4856">
        <v>-0.216085</v>
      </c>
      <c r="S4856">
        <v>-3.0721280000000002</v>
      </c>
      <c r="T4856">
        <v>-0.12280489999999999</v>
      </c>
      <c r="U4856">
        <v>-2.1163939999999999E-2</v>
      </c>
      <c r="V4856">
        <v>9.8751870000000005E-2</v>
      </c>
      <c r="W4856">
        <v>-6.7669740000000006E-2</v>
      </c>
      <c r="X4856">
        <v>0.99280860000000004</v>
      </c>
      <c r="Y4856">
        <v>0.30639319999999998</v>
      </c>
      <c r="Z4856">
        <v>1.5986070000000002E-2</v>
      </c>
      <c r="AA4856">
        <v>0.95177080000000003</v>
      </c>
      <c r="AB4856">
        <v>20</v>
      </c>
      <c r="AC4856">
        <v>-27.409600000000001</v>
      </c>
      <c r="AD4856">
        <v>-1.104162623988</v>
      </c>
      <c r="AE4856">
        <v>-0.135700000000014</v>
      </c>
      <c r="AF4856">
        <v>8.4467004670037493</v>
      </c>
      <c r="AG4856">
        <v>-1.104162623988</v>
      </c>
      <c r="AH4856">
        <v>26.029318279243402</v>
      </c>
      <c r="AI4856">
        <v>92.310555042752</v>
      </c>
      <c r="AJ4856">
        <v>72.021381455159499</v>
      </c>
      <c r="AK4856">
        <v>27.387795346863001</v>
      </c>
      <c r="AL4856">
        <v>93.880155603543699</v>
      </c>
      <c r="AM4856">
        <v>84.319634629205595</v>
      </c>
      <c r="AN4856">
        <v>1.0000000208870601</v>
      </c>
    </row>
    <row r="4857" spans="1:40" x14ac:dyDescent="0.25">
      <c r="A4857" t="str">
        <f>"20190305135027093"</f>
        <v>20190305135027093</v>
      </c>
      <c r="B4857" t="str">
        <f>"1551765027084883"</f>
        <v>1551765027084883</v>
      </c>
      <c r="C4857" t="s">
        <v>40</v>
      </c>
      <c r="D4857">
        <v>3.8853710000000001</v>
      </c>
      <c r="E4857">
        <v>0.59318309999999996</v>
      </c>
      <c r="F4857" t="s">
        <v>81</v>
      </c>
      <c r="G4857">
        <v>-550.16610000000003</v>
      </c>
      <c r="H4857">
        <v>12.620189999999999</v>
      </c>
      <c r="I4857">
        <v>150.0752</v>
      </c>
      <c r="J4857">
        <v>-202.54519999999999</v>
      </c>
      <c r="K4857">
        <v>1.1046929999999999</v>
      </c>
      <c r="L4857">
        <v>145.44130000000001</v>
      </c>
      <c r="M4857">
        <v>-0.95297319999999996</v>
      </c>
      <c r="N4857">
        <v>-1.500979E-2</v>
      </c>
      <c r="O4857">
        <v>-0.30268279999999997</v>
      </c>
      <c r="P4857">
        <v>-0.97425790000000001</v>
      </c>
      <c r="Q4857">
        <v>-8.1026329999999994E-2</v>
      </c>
      <c r="R4857">
        <v>-0.21037169999999999</v>
      </c>
      <c r="S4857">
        <v>-3.1009829999999998</v>
      </c>
      <c r="T4857">
        <v>0.1026658</v>
      </c>
      <c r="U4857">
        <v>4.0801999999999998E-2</v>
      </c>
      <c r="V4857">
        <v>9.3566220000000005E-2</v>
      </c>
      <c r="W4857">
        <v>-6.7331269999999999E-2</v>
      </c>
      <c r="X4857">
        <v>0.99333369999999999</v>
      </c>
      <c r="Y4857">
        <v>0.31478739999999999</v>
      </c>
      <c r="Z4857">
        <v>-1.734252E-2</v>
      </c>
      <c r="AA4857">
        <v>0.94900379999999995</v>
      </c>
      <c r="AB4857">
        <v>20</v>
      </c>
      <c r="AC4857">
        <v>-347.62090000000001</v>
      </c>
      <c r="AD4857">
        <v>11.515497</v>
      </c>
      <c r="AE4857">
        <v>4.6338999999999801</v>
      </c>
      <c r="AF4857">
        <v>109.527026511819</v>
      </c>
      <c r="AG4857">
        <v>11.515497</v>
      </c>
      <c r="AH4857">
        <v>329.546379297746</v>
      </c>
      <c r="AI4857">
        <v>88.100768139612796</v>
      </c>
      <c r="AJ4857">
        <v>71.615414764932197</v>
      </c>
      <c r="AK4857">
        <v>347.46164150295999</v>
      </c>
      <c r="AL4857">
        <v>93.860718494924399</v>
      </c>
      <c r="AM4857">
        <v>84.618949996473901</v>
      </c>
      <c r="AN4857">
        <v>0.99999998850029503</v>
      </c>
    </row>
    <row r="4858" spans="1:40" x14ac:dyDescent="0.25">
      <c r="A4858" t="str">
        <f>"20190305135027114"</f>
        <v>20190305135027114</v>
      </c>
      <c r="B4858" t="str">
        <f>"1551765027105382"</f>
        <v>1551765027105382</v>
      </c>
      <c r="C4858" t="s">
        <v>40</v>
      </c>
      <c r="D4858">
        <v>3.8938540000000001</v>
      </c>
      <c r="E4858">
        <v>0.59245400000000004</v>
      </c>
      <c r="F4858" t="s">
        <v>81</v>
      </c>
      <c r="G4858">
        <v>-511.06220000000002</v>
      </c>
      <c r="H4858">
        <v>10.68783</v>
      </c>
      <c r="I4858">
        <v>151.4648</v>
      </c>
      <c r="J4858">
        <v>-202.73660000000001</v>
      </c>
      <c r="K4858">
        <v>1.105181</v>
      </c>
      <c r="L4858">
        <v>145.3922</v>
      </c>
      <c r="M4858">
        <v>-0.9556867</v>
      </c>
      <c r="N4858">
        <v>-1.486784E-2</v>
      </c>
      <c r="O4858">
        <v>-0.29401040000000001</v>
      </c>
      <c r="P4858">
        <v>-0.97498870000000004</v>
      </c>
      <c r="Q4858">
        <v>-8.1196690000000002E-2</v>
      </c>
      <c r="R4858">
        <v>-0.2068922</v>
      </c>
      <c r="S4858">
        <v>-3.1003569999999998</v>
      </c>
      <c r="T4858">
        <v>9.6303459999999994E-2</v>
      </c>
      <c r="U4858">
        <v>6.0531620000000001E-2</v>
      </c>
      <c r="V4858">
        <v>8.8163530000000004E-2</v>
      </c>
      <c r="W4858">
        <v>-6.7458489999999996E-2</v>
      </c>
      <c r="X4858">
        <v>0.99381920000000001</v>
      </c>
      <c r="Y4858">
        <v>0.31225720000000001</v>
      </c>
      <c r="Z4858">
        <v>-1.5974809999999999E-2</v>
      </c>
      <c r="AA4858">
        <v>0.94986329999999997</v>
      </c>
      <c r="AB4858">
        <v>20</v>
      </c>
      <c r="AC4858">
        <v>-308.32560000000001</v>
      </c>
      <c r="AD4858">
        <v>9.582649</v>
      </c>
      <c r="AE4858">
        <v>6.0725999999999898</v>
      </c>
      <c r="AF4858">
        <v>96.372033252755799</v>
      </c>
      <c r="AG4858">
        <v>9.582649</v>
      </c>
      <c r="AH4858">
        <v>292.62705723092</v>
      </c>
      <c r="AI4858">
        <v>88.218468285015902</v>
      </c>
      <c r="AJ4858">
        <v>71.771529506722203</v>
      </c>
      <c r="AK4858">
        <v>308.23690658121302</v>
      </c>
      <c r="AL4858">
        <v>93.868024117399003</v>
      </c>
      <c r="AM4858">
        <v>84.930456920079607</v>
      </c>
      <c r="AN4858">
        <v>1.00000002909189</v>
      </c>
    </row>
    <row r="4859" spans="1:40" x14ac:dyDescent="0.25">
      <c r="A4859" t="str">
        <f>"20190305135027137"</f>
        <v>20190305135027137</v>
      </c>
      <c r="B4859" t="str">
        <f>"1551765027124902"</f>
        <v>1551765027124902</v>
      </c>
      <c r="C4859" t="s">
        <v>40</v>
      </c>
      <c r="D4859">
        <v>3.8807580000000002</v>
      </c>
      <c r="E4859">
        <v>0.59153929999999999</v>
      </c>
      <c r="F4859" t="s">
        <v>81</v>
      </c>
      <c r="G4859">
        <v>-511.06209999999999</v>
      </c>
      <c r="H4859">
        <v>10.34464</v>
      </c>
      <c r="I4859">
        <v>152.03270000000001</v>
      </c>
      <c r="J4859">
        <v>-202.9341</v>
      </c>
      <c r="K4859">
        <v>1.1056459999999999</v>
      </c>
      <c r="L4859">
        <v>145.3426</v>
      </c>
      <c r="M4859">
        <v>-0.9582157</v>
      </c>
      <c r="N4859">
        <v>-1.4733909999999999E-2</v>
      </c>
      <c r="O4859">
        <v>-0.285667</v>
      </c>
      <c r="P4859">
        <v>-0.9757555</v>
      </c>
      <c r="Q4859">
        <v>-8.1040699999999993E-2</v>
      </c>
      <c r="R4859">
        <v>-0.2033066</v>
      </c>
      <c r="S4859">
        <v>-3.0988769999999999</v>
      </c>
      <c r="T4859">
        <v>9.2863080000000001E-2</v>
      </c>
      <c r="U4859">
        <v>6.674194E-2</v>
      </c>
      <c r="V4859">
        <v>8.3236249999999998E-2</v>
      </c>
      <c r="W4859">
        <v>-6.7277190000000001E-2</v>
      </c>
      <c r="X4859">
        <v>0.99425629999999998</v>
      </c>
      <c r="Y4859">
        <v>0.30591289999999999</v>
      </c>
      <c r="Z4859">
        <v>-1.5049720000000001E-2</v>
      </c>
      <c r="AA4859">
        <v>0.95194049999999997</v>
      </c>
      <c r="AB4859">
        <v>20</v>
      </c>
      <c r="AC4859">
        <v>-308.12799999999999</v>
      </c>
      <c r="AD4859">
        <v>9.2389939999999999</v>
      </c>
      <c r="AE4859">
        <v>6.6901000000000002</v>
      </c>
      <c r="AF4859">
        <v>94.358016371008205</v>
      </c>
      <c r="AG4859">
        <v>9.2389939999999999</v>
      </c>
      <c r="AH4859">
        <v>293.11038601886202</v>
      </c>
      <c r="AI4859">
        <v>88.281404648471494</v>
      </c>
      <c r="AJ4859">
        <v>72.155608613458398</v>
      </c>
      <c r="AK4859">
        <v>308.06248173987302</v>
      </c>
      <c r="AL4859">
        <v>93.857612691077605</v>
      </c>
      <c r="AM4859">
        <v>85.214522670559603</v>
      </c>
      <c r="AN4859">
        <v>1.00000004184902</v>
      </c>
    </row>
    <row r="4860" spans="1:40" x14ac:dyDescent="0.25">
      <c r="A4860" t="str">
        <f>"20190305135027160"</f>
        <v>20190305135027160</v>
      </c>
      <c r="B4860" t="str">
        <f>"1551765027155155"</f>
        <v>1551765027155155</v>
      </c>
      <c r="C4860" t="s">
        <v>40</v>
      </c>
      <c r="D4860">
        <v>3.9239540000000002</v>
      </c>
      <c r="E4860">
        <v>0.59046509999999996</v>
      </c>
      <c r="F4860" t="s">
        <v>81</v>
      </c>
      <c r="G4860">
        <v>-511.06189999999998</v>
      </c>
      <c r="H4860">
        <v>9.7515710000000002</v>
      </c>
      <c r="I4860">
        <v>152.5223</v>
      </c>
      <c r="J4860">
        <v>-203.1429</v>
      </c>
      <c r="K4860">
        <v>1.1060749999999999</v>
      </c>
      <c r="L4860">
        <v>145.2912</v>
      </c>
      <c r="M4860">
        <v>-0.96060630000000002</v>
      </c>
      <c r="N4860">
        <v>-1.460412E-2</v>
      </c>
      <c r="O4860">
        <v>-0.27752870000000002</v>
      </c>
      <c r="P4860">
        <v>-0.97655930000000002</v>
      </c>
      <c r="Q4860">
        <v>-7.9803150000000003E-2</v>
      </c>
      <c r="R4860">
        <v>-0.19990769999999999</v>
      </c>
      <c r="S4860">
        <v>-3.0968019999999998</v>
      </c>
      <c r="T4860">
        <v>8.6895230000000004E-2</v>
      </c>
      <c r="U4860">
        <v>7.2158810000000004E-2</v>
      </c>
      <c r="V4860">
        <v>7.8377180000000005E-2</v>
      </c>
      <c r="W4860">
        <v>-6.6028050000000005E-2</v>
      </c>
      <c r="X4860">
        <v>0.99473480000000003</v>
      </c>
      <c r="Y4860">
        <v>0.299554299999999</v>
      </c>
      <c r="Z4860">
        <v>-1.3815239999999999E-2</v>
      </c>
      <c r="AA4860">
        <v>0.95397920000000003</v>
      </c>
      <c r="AB4860">
        <v>20</v>
      </c>
      <c r="AC4860">
        <v>-307.91899999999998</v>
      </c>
      <c r="AD4860">
        <v>8.6454959999999996</v>
      </c>
      <c r="AE4860">
        <v>7.2310999999999899</v>
      </c>
      <c r="AF4860">
        <v>92.339705107578894</v>
      </c>
      <c r="AG4860">
        <v>8.6454959999999996</v>
      </c>
      <c r="AH4860">
        <v>293.58212737423202</v>
      </c>
      <c r="AI4860">
        <v>88.390895753654704</v>
      </c>
      <c r="AJ4860">
        <v>72.540195173339697</v>
      </c>
      <c r="AK4860">
        <v>307.882820654255</v>
      </c>
      <c r="AL4860">
        <v>93.785882872603693</v>
      </c>
      <c r="AM4860">
        <v>85.4948564250641</v>
      </c>
      <c r="AN4860">
        <v>1.00000000403129</v>
      </c>
    </row>
    <row r="4861" spans="1:40" x14ac:dyDescent="0.25">
      <c r="A4861" t="str">
        <f>"20190305135027181"</f>
        <v>20190305135027181</v>
      </c>
      <c r="B4861" t="str">
        <f>"1551765027174676"</f>
        <v>1551765027174676</v>
      </c>
      <c r="C4861" t="s">
        <v>40</v>
      </c>
      <c r="D4861">
        <v>4.0326950000000004</v>
      </c>
      <c r="E4861">
        <v>0.56653769999999903</v>
      </c>
      <c r="F4861" t="s">
        <v>81</v>
      </c>
      <c r="G4861">
        <v>-511.06200000000001</v>
      </c>
      <c r="H4861">
        <v>10.061249999999999</v>
      </c>
      <c r="I4861">
        <v>152.76840000000001</v>
      </c>
      <c r="J4861">
        <v>-203.33959999999999</v>
      </c>
      <c r="K4861">
        <v>1.106444</v>
      </c>
      <c r="L4861">
        <v>145.24379999999999</v>
      </c>
      <c r="M4861">
        <v>-0.96259989999999995</v>
      </c>
      <c r="N4861">
        <v>-1.448697E-2</v>
      </c>
      <c r="O4861">
        <v>-0.27053959999999999</v>
      </c>
      <c r="P4861">
        <v>-0.97720119999999999</v>
      </c>
      <c r="Q4861">
        <v>-7.8636590000000006E-2</v>
      </c>
      <c r="R4861">
        <v>-0.19721659999999999</v>
      </c>
      <c r="S4861">
        <v>-3.094757</v>
      </c>
      <c r="T4861">
        <v>9.0004799999999996E-2</v>
      </c>
      <c r="U4861">
        <v>7.5149540000000001E-2</v>
      </c>
      <c r="V4861">
        <v>7.3985229999999999E-2</v>
      </c>
      <c r="W4861">
        <v>-6.4863569999999995E-2</v>
      </c>
      <c r="X4861">
        <v>0.99514769999999997</v>
      </c>
      <c r="Y4861">
        <v>0.29354039999999998</v>
      </c>
      <c r="Z4861">
        <v>-1.388879E-2</v>
      </c>
      <c r="AA4861">
        <v>0.95584579999999997</v>
      </c>
      <c r="AB4861">
        <v>20</v>
      </c>
      <c r="AC4861">
        <v>-307.72239999999999</v>
      </c>
      <c r="AD4861">
        <v>8.9548059999999996</v>
      </c>
      <c r="AE4861">
        <v>7.5246000000000199</v>
      </c>
      <c r="AF4861">
        <v>90.427236259909506</v>
      </c>
      <c r="AG4861">
        <v>8.9548059999999996</v>
      </c>
      <c r="AH4861">
        <v>293.959922904998</v>
      </c>
      <c r="AI4861">
        <v>88.332235902637095</v>
      </c>
      <c r="AJ4861">
        <v>72.9011830795002</v>
      </c>
      <c r="AK4861">
        <v>307.68443230429398</v>
      </c>
      <c r="AL4861">
        <v>93.719019670692802</v>
      </c>
      <c r="AM4861">
        <v>85.748111522372895</v>
      </c>
      <c r="AN4861">
        <v>1.00000002089329</v>
      </c>
    </row>
    <row r="4862" spans="1:40" x14ac:dyDescent="0.25">
      <c r="A4862" t="str">
        <f>"20190305135027203"</f>
        <v>20190305135027203</v>
      </c>
      <c r="B4862" t="str">
        <f>"1551765027195175"</f>
        <v>1551765027195175</v>
      </c>
      <c r="C4862" t="s">
        <v>40</v>
      </c>
      <c r="D4862">
        <v>3.9331870000000002</v>
      </c>
      <c r="E4862">
        <v>0.5746462</v>
      </c>
      <c r="F4862" t="s">
        <v>42</v>
      </c>
      <c r="G4862">
        <v>-233.17250000000001</v>
      </c>
      <c r="H4862" s="1">
        <v>-4.051949E-6</v>
      </c>
      <c r="I4862">
        <v>144.43940000000001</v>
      </c>
      <c r="J4862">
        <v>-203.53970000000001</v>
      </c>
      <c r="K4862">
        <v>1.106822</v>
      </c>
      <c r="L4862">
        <v>145.1962</v>
      </c>
      <c r="M4862">
        <v>-0.9643815</v>
      </c>
      <c r="N4862">
        <v>-1.437039E-2</v>
      </c>
      <c r="O4862">
        <v>-0.26412560000000002</v>
      </c>
      <c r="P4862">
        <v>-0.97754189999999996</v>
      </c>
      <c r="Q4862">
        <v>-7.9202190000000006E-2</v>
      </c>
      <c r="R4862">
        <v>-0.1952923</v>
      </c>
      <c r="S4862">
        <v>-3.0443419999999999</v>
      </c>
      <c r="T4862">
        <v>-0.112909</v>
      </c>
      <c r="U4862">
        <v>-8.2077029999999995E-2</v>
      </c>
      <c r="V4862">
        <v>6.9365689999999994E-2</v>
      </c>
      <c r="W4862">
        <v>-6.5437040000000002E-2</v>
      </c>
      <c r="X4862">
        <v>0.99544279999999996</v>
      </c>
      <c r="Y4862">
        <v>0.2377735</v>
      </c>
      <c r="Z4862">
        <v>1.197821E-2</v>
      </c>
      <c r="AA4862">
        <v>0.97124679999999997</v>
      </c>
      <c r="AB4862">
        <v>20</v>
      </c>
      <c r="AC4862">
        <v>-29.6328</v>
      </c>
      <c r="AD4862">
        <v>-1.1068260519490001</v>
      </c>
      <c r="AE4862">
        <v>-0.75679999999999803</v>
      </c>
      <c r="AF4862">
        <v>7.0877863141122601</v>
      </c>
      <c r="AG4862">
        <v>-1.1068260519490001</v>
      </c>
      <c r="AH4862">
        <v>28.7401088016519</v>
      </c>
      <c r="AI4862">
        <v>92.141364166567996</v>
      </c>
      <c r="AJ4862">
        <v>76.146355621157497</v>
      </c>
      <c r="AK4862">
        <v>29.621877602113202</v>
      </c>
      <c r="AL4862">
        <v>93.751947165380997</v>
      </c>
      <c r="AM4862">
        <v>86.013887372580598</v>
      </c>
      <c r="AN4862">
        <v>0.99999998661248801</v>
      </c>
    </row>
    <row r="4863" spans="1:40" x14ac:dyDescent="0.25">
      <c r="A4863" t="str">
        <f>"20190305135027226"</f>
        <v>20190305135027226</v>
      </c>
      <c r="B4863" t="str">
        <f>"1551765027214694"</f>
        <v>1551765027214694</v>
      </c>
      <c r="C4863" t="s">
        <v>40</v>
      </c>
      <c r="D4863">
        <v>3.941948</v>
      </c>
      <c r="E4863">
        <v>0.57387860000000002</v>
      </c>
      <c r="F4863" t="s">
        <v>94</v>
      </c>
      <c r="G4863">
        <v>-319.4314</v>
      </c>
      <c r="H4863" s="1">
        <v>-6.8862000000000002E-6</v>
      </c>
      <c r="I4863">
        <v>144.41149999999999</v>
      </c>
      <c r="J4863">
        <v>-203.73179999999999</v>
      </c>
      <c r="K4863">
        <v>1.107213</v>
      </c>
      <c r="L4863">
        <v>145.15110000000001</v>
      </c>
      <c r="M4863">
        <v>-0.96587270000000003</v>
      </c>
      <c r="N4863">
        <v>-1.4263949999999999E-2</v>
      </c>
      <c r="O4863">
        <v>-0.25862420000000003</v>
      </c>
      <c r="P4863">
        <v>-0.97757700000000003</v>
      </c>
      <c r="Q4863">
        <v>-8.0355560000000006E-2</v>
      </c>
      <c r="R4863">
        <v>-0.1946436</v>
      </c>
      <c r="S4863">
        <v>-3.0623930000000001</v>
      </c>
      <c r="T4863">
        <v>-2.9247519999999999E-2</v>
      </c>
      <c r="U4863">
        <v>-2.0736689999999999E-2</v>
      </c>
      <c r="V4863">
        <v>6.4386139999999994E-2</v>
      </c>
      <c r="W4863">
        <v>-6.6592369999999998E-2</v>
      </c>
      <c r="X4863">
        <v>0.99570069999999999</v>
      </c>
      <c r="Y4863">
        <v>0.25207269999999998</v>
      </c>
      <c r="Z4863">
        <v>1.7277449999999999E-3</v>
      </c>
      <c r="AA4863">
        <v>0.96770670000000003</v>
      </c>
      <c r="AB4863">
        <v>20</v>
      </c>
      <c r="AC4863">
        <v>-115.6996</v>
      </c>
      <c r="AD4863">
        <v>-1.1072198862</v>
      </c>
      <c r="AE4863">
        <v>-0.73960000000002402</v>
      </c>
      <c r="AF4863">
        <v>29.208653883116298</v>
      </c>
      <c r="AG4863">
        <v>-1.1072198862</v>
      </c>
      <c r="AH4863">
        <v>111.943501158686</v>
      </c>
      <c r="AI4863">
        <v>90.548330356278498</v>
      </c>
      <c r="AJ4863">
        <v>75.376250081047303</v>
      </c>
      <c r="AK4863">
        <v>115.696667407514</v>
      </c>
      <c r="AL4863">
        <v>93.818287357804493</v>
      </c>
      <c r="AM4863">
        <v>86.3001682382653</v>
      </c>
      <c r="AN4863">
        <v>1.0000000013734001</v>
      </c>
    </row>
    <row r="4864" spans="1:40" x14ac:dyDescent="0.25">
      <c r="A4864" t="str">
        <f>"20190305135027239"</f>
        <v>20190305135027239</v>
      </c>
      <c r="B4864" t="str">
        <f>"1551765027235187"</f>
        <v>1551765027235187</v>
      </c>
      <c r="C4864" t="s">
        <v>40</v>
      </c>
      <c r="D4864">
        <v>3.9908090000000001</v>
      </c>
      <c r="E4864">
        <v>0.57361390000000001</v>
      </c>
      <c r="F4864" t="s">
        <v>42</v>
      </c>
      <c r="G4864">
        <v>-334.63170000000002</v>
      </c>
      <c r="H4864" s="1">
        <v>-3.7022950000000002E-6</v>
      </c>
      <c r="I4864">
        <v>144.0668</v>
      </c>
      <c r="J4864">
        <v>-203.845</v>
      </c>
      <c r="K4864">
        <v>1.1074520000000001</v>
      </c>
      <c r="L4864">
        <v>145.12469999999999</v>
      </c>
      <c r="M4864">
        <v>-0.96665100000000004</v>
      </c>
      <c r="N4864">
        <v>-1.420562E-2</v>
      </c>
      <c r="O4864">
        <v>-0.25570320000000002</v>
      </c>
      <c r="P4864">
        <v>-0.97707560000000004</v>
      </c>
      <c r="Q4864">
        <v>-8.1477499999999994E-2</v>
      </c>
      <c r="R4864">
        <v>-0.19668440000000001</v>
      </c>
      <c r="S4864">
        <v>-3.0616150000000002</v>
      </c>
      <c r="T4864">
        <v>-2.589667E-2</v>
      </c>
      <c r="U4864">
        <v>-2.5360110000000002E-2</v>
      </c>
      <c r="V4864">
        <v>5.931078E-2</v>
      </c>
      <c r="W4864">
        <v>-6.7698949999999994E-2</v>
      </c>
      <c r="X4864">
        <v>0.99594130000000003</v>
      </c>
      <c r="Y4864">
        <v>0.24768509999999999</v>
      </c>
      <c r="Z4864">
        <v>1.2866290000000001E-3</v>
      </c>
      <c r="AA4864">
        <v>0.96883980000000003</v>
      </c>
      <c r="AB4864">
        <v>20</v>
      </c>
      <c r="AC4864">
        <v>-130.7867</v>
      </c>
      <c r="AD4864">
        <v>-1.107455702295</v>
      </c>
      <c r="AE4864">
        <v>-1.0578999999999801</v>
      </c>
      <c r="AF4864">
        <v>32.4209034881004</v>
      </c>
      <c r="AG4864">
        <v>-1.107455702295</v>
      </c>
      <c r="AH4864">
        <v>126.699299184418</v>
      </c>
      <c r="AI4864">
        <v>90.485167792900498</v>
      </c>
      <c r="AJ4864">
        <v>75.646654982520801</v>
      </c>
      <c r="AK4864">
        <v>130.78629077598299</v>
      </c>
      <c r="AL4864">
        <v>93.881833161609293</v>
      </c>
      <c r="AM4864">
        <v>86.591919026247794</v>
      </c>
      <c r="AN4864">
        <v>0.99999999475050005</v>
      </c>
    </row>
    <row r="4865" spans="1:40" x14ac:dyDescent="0.25">
      <c r="A4865" t="str">
        <f>"20190305135027271"</f>
        <v>20190305135027271</v>
      </c>
      <c r="B4865" t="str">
        <f>"1551765027265132"</f>
        <v>1551765027265132</v>
      </c>
      <c r="C4865" t="s">
        <v>40</v>
      </c>
      <c r="D4865">
        <v>4.0026659999999996</v>
      </c>
      <c r="E4865">
        <v>0.57270189999999999</v>
      </c>
      <c r="F4865" t="s">
        <v>42</v>
      </c>
      <c r="G4865">
        <v>-331.8408</v>
      </c>
      <c r="H4865" s="1">
        <v>-4.7291290000000003E-6</v>
      </c>
      <c r="I4865">
        <v>143.70189999999999</v>
      </c>
      <c r="J4865">
        <v>-204.13050000000001</v>
      </c>
      <c r="K4865">
        <v>1.1080950000000001</v>
      </c>
      <c r="L4865">
        <v>145.0583</v>
      </c>
      <c r="M4865">
        <v>-0.96835519999999997</v>
      </c>
      <c r="N4865">
        <v>-1.407299E-2</v>
      </c>
      <c r="O4865">
        <v>-0.24917919999999999</v>
      </c>
      <c r="P4865">
        <v>-0.97643480000000005</v>
      </c>
      <c r="Q4865">
        <v>-8.3811720000000006E-2</v>
      </c>
      <c r="R4865">
        <v>-0.1988743</v>
      </c>
      <c r="S4865">
        <v>-3.0613250000000001</v>
      </c>
      <c r="T4865">
        <v>-2.6487469999999999E-2</v>
      </c>
      <c r="U4865">
        <v>-3.4027099999999998E-2</v>
      </c>
      <c r="V4865">
        <v>5.0415170000000002E-2</v>
      </c>
      <c r="W4865">
        <v>-7.0026840000000007E-2</v>
      </c>
      <c r="X4865">
        <v>0.99627030000000005</v>
      </c>
      <c r="Y4865">
        <v>0.2383979</v>
      </c>
      <c r="Z4865">
        <v>1.3107209999999999E-3</v>
      </c>
      <c r="AA4865">
        <v>0.97116670000000005</v>
      </c>
      <c r="AB4865">
        <v>20</v>
      </c>
      <c r="AC4865">
        <v>-127.7103</v>
      </c>
      <c r="AD4865">
        <v>-1.108099729129</v>
      </c>
      <c r="AE4865">
        <v>-1.3564000000000001</v>
      </c>
      <c r="AF4865">
        <v>30.5099965633446</v>
      </c>
      <c r="AG4865">
        <v>-1.108099729129</v>
      </c>
      <c r="AH4865">
        <v>124.009859140305</v>
      </c>
      <c r="AI4865">
        <v>90.497133299551294</v>
      </c>
      <c r="AJ4865">
        <v>76.178104642535203</v>
      </c>
      <c r="AK4865">
        <v>127.712696860192</v>
      </c>
      <c r="AL4865">
        <v>94.015528903556103</v>
      </c>
      <c r="AM4865">
        <v>87.103080760411601</v>
      </c>
      <c r="AN4865">
        <v>0.99999997917430195</v>
      </c>
    </row>
    <row r="4866" spans="1:40" x14ac:dyDescent="0.25">
      <c r="A4866" t="str">
        <f>"20190305135027293"</f>
        <v>20190305135027293</v>
      </c>
      <c r="B4866" t="str">
        <f>"1551765027284655"</f>
        <v>1551765027284655</v>
      </c>
      <c r="C4866" t="s">
        <v>40</v>
      </c>
      <c r="D4866">
        <v>4.0258059999999896</v>
      </c>
      <c r="E4866">
        <v>0.57211789999999996</v>
      </c>
      <c r="F4866" t="s">
        <v>94</v>
      </c>
      <c r="G4866">
        <v>-306.96980000000002</v>
      </c>
      <c r="H4866" s="1">
        <v>-1.019082E-5</v>
      </c>
      <c r="I4866">
        <v>143.4264</v>
      </c>
      <c r="J4866">
        <v>-204.3297</v>
      </c>
      <c r="K4866">
        <v>1.1085050000000001</v>
      </c>
      <c r="L4866">
        <v>145.0121</v>
      </c>
      <c r="M4866">
        <v>-0.96930649999999996</v>
      </c>
      <c r="N4866">
        <v>-1.3993220000000001E-2</v>
      </c>
      <c r="O4866">
        <v>-0.24545719999999999</v>
      </c>
      <c r="P4866">
        <v>-0.97645009999999999</v>
      </c>
      <c r="Q4866">
        <v>-8.2827750000000006E-2</v>
      </c>
      <c r="R4866">
        <v>-0.19921130000000001</v>
      </c>
      <c r="S4866">
        <v>-3.0596920000000001</v>
      </c>
      <c r="T4866">
        <v>-3.2968520000000001E-2</v>
      </c>
      <c r="U4866">
        <v>-4.8553470000000001E-2</v>
      </c>
      <c r="V4866">
        <v>4.6340260000000001E-2</v>
      </c>
      <c r="W4866">
        <v>-6.9054389999999993E-2</v>
      </c>
      <c r="X4866">
        <v>0.99653599999999998</v>
      </c>
      <c r="Y4866">
        <v>0.23003750000000001</v>
      </c>
      <c r="Z4866">
        <v>2.0086790000000002E-3</v>
      </c>
      <c r="AA4866">
        <v>0.97317969999999998</v>
      </c>
      <c r="AB4866">
        <v>20</v>
      </c>
      <c r="AC4866">
        <v>-102.6401</v>
      </c>
      <c r="AD4866">
        <v>-1.1085151908199999</v>
      </c>
      <c r="AE4866">
        <v>-1.5857000000000001</v>
      </c>
      <c r="AF4866">
        <v>23.656278435357901</v>
      </c>
      <c r="AG4866">
        <v>-1.1085151908199999</v>
      </c>
      <c r="AH4866">
        <v>99.877063838742401</v>
      </c>
      <c r="AI4866">
        <v>90.618769858348401</v>
      </c>
      <c r="AJ4866">
        <v>76.674825399181799</v>
      </c>
      <c r="AK4866">
        <v>102.646364749988</v>
      </c>
      <c r="AL4866">
        <v>93.959676467869798</v>
      </c>
      <c r="AM4866">
        <v>87.337587378614103</v>
      </c>
      <c r="AN4866">
        <v>0.999999963885569</v>
      </c>
    </row>
    <row r="4867" spans="1:40" x14ac:dyDescent="0.25">
      <c r="A4867" t="str">
        <f>"20190305135027315"</f>
        <v>20190305135027315</v>
      </c>
      <c r="B4867" t="str">
        <f>"1551765027305148"</f>
        <v>1551765027305148</v>
      </c>
      <c r="C4867" t="s">
        <v>40</v>
      </c>
      <c r="D4867">
        <v>3.9895890000000001</v>
      </c>
      <c r="E4867">
        <v>0.57154110000000002</v>
      </c>
      <c r="F4867" t="s">
        <v>42</v>
      </c>
      <c r="G4867">
        <v>-320.1755</v>
      </c>
      <c r="H4867" s="1">
        <v>-4.8080579999999999E-6</v>
      </c>
      <c r="I4867">
        <v>142.95240000000001</v>
      </c>
      <c r="J4867">
        <v>-204.52459999999999</v>
      </c>
      <c r="K4867">
        <v>1.1088100000000001</v>
      </c>
      <c r="L4867">
        <v>144.96700000000001</v>
      </c>
      <c r="M4867">
        <v>-0.97009610000000002</v>
      </c>
      <c r="N4867">
        <v>-1.3923339999999999E-2</v>
      </c>
      <c r="O4867">
        <v>-0.2423216</v>
      </c>
      <c r="P4867">
        <v>-0.97676149999999995</v>
      </c>
      <c r="Q4867">
        <v>-8.042125E-2</v>
      </c>
      <c r="R4867">
        <v>-0.1986687</v>
      </c>
      <c r="S4867">
        <v>-3.0587770000000001</v>
      </c>
      <c r="T4867">
        <v>-2.926898E-2</v>
      </c>
      <c r="U4867">
        <v>-5.4382319999999998E-2</v>
      </c>
      <c r="V4867">
        <v>4.3778810000000001E-2</v>
      </c>
      <c r="W4867">
        <v>-6.6672659999999995E-2</v>
      </c>
      <c r="X4867">
        <v>0.99681399999999998</v>
      </c>
      <c r="Y4867">
        <v>0.22503310000000001</v>
      </c>
      <c r="Z4867">
        <v>1.541957E-3</v>
      </c>
      <c r="AA4867">
        <v>0.97434989999999999</v>
      </c>
      <c r="AB4867">
        <v>20</v>
      </c>
      <c r="AC4867">
        <v>-115.65089999999999</v>
      </c>
      <c r="AD4867">
        <v>-1.108814808058</v>
      </c>
      <c r="AE4867">
        <v>-2.0146000000000002</v>
      </c>
      <c r="AF4867">
        <v>26.0704863699968</v>
      </c>
      <c r="AG4867">
        <v>-1.108814808058</v>
      </c>
      <c r="AH4867">
        <v>112.681233676006</v>
      </c>
      <c r="AI4867">
        <v>90.549279452251795</v>
      </c>
      <c r="AJ4867">
        <v>76.9729818128191</v>
      </c>
      <c r="AK4867">
        <v>115.663132209851</v>
      </c>
      <c r="AL4867">
        <v>93.822897929059593</v>
      </c>
      <c r="AM4867">
        <v>87.485257864871599</v>
      </c>
      <c r="AN4867">
        <v>0.999999989196245</v>
      </c>
    </row>
    <row r="4868" spans="1:40" x14ac:dyDescent="0.25">
      <c r="A4868" t="str">
        <f>"20190305135027337"</f>
        <v>20190305135027337</v>
      </c>
      <c r="B4868" t="str">
        <f>"1551765027324668"</f>
        <v>1551765027324668</v>
      </c>
      <c r="C4868" t="s">
        <v>40</v>
      </c>
      <c r="D4868">
        <v>4.0129950000000001</v>
      </c>
      <c r="E4868">
        <v>0.57106519999999905</v>
      </c>
      <c r="F4868" t="s">
        <v>42</v>
      </c>
      <c r="G4868">
        <v>-346.52910000000003</v>
      </c>
      <c r="H4868" s="1">
        <v>-2.1970190000000002E-6</v>
      </c>
      <c r="I4868">
        <v>142.34370000000001</v>
      </c>
      <c r="J4868">
        <v>-204.7123</v>
      </c>
      <c r="K4868">
        <v>1.1090390000000001</v>
      </c>
      <c r="L4868">
        <v>144.92359999999999</v>
      </c>
      <c r="M4868">
        <v>-0.97072159999999996</v>
      </c>
      <c r="N4868">
        <v>-1.3862279999999999E-2</v>
      </c>
      <c r="O4868">
        <v>-0.2398072</v>
      </c>
      <c r="P4868">
        <v>-0.97695359999999998</v>
      </c>
      <c r="Q4868">
        <v>-7.9429979999999997E-2</v>
      </c>
      <c r="R4868">
        <v>-0.19812360000000001</v>
      </c>
      <c r="S4868">
        <v>-3.057922</v>
      </c>
      <c r="T4868">
        <v>-2.3877140000000002E-2</v>
      </c>
      <c r="U4868">
        <v>-5.6488040000000003E-2</v>
      </c>
      <c r="V4868">
        <v>4.1813709999999997E-2</v>
      </c>
      <c r="W4868">
        <v>-6.5710580000000005E-2</v>
      </c>
      <c r="X4868">
        <v>0.99696220000000002</v>
      </c>
      <c r="Y4868">
        <v>0.2218359</v>
      </c>
      <c r="Z4868">
        <v>9.105917E-4</v>
      </c>
      <c r="AA4868">
        <v>0.97508360000000005</v>
      </c>
      <c r="AB4868">
        <v>20</v>
      </c>
      <c r="AC4868">
        <v>-141.8168</v>
      </c>
      <c r="AD4868">
        <v>-1.1090411970189999</v>
      </c>
      <c r="AE4868">
        <v>-2.5798999999999799</v>
      </c>
      <c r="AF4868">
        <v>31.5054250974353</v>
      </c>
      <c r="AG4868">
        <v>-1.1090411970189999</v>
      </c>
      <c r="AH4868">
        <v>138.28813801803199</v>
      </c>
      <c r="AI4868">
        <v>90.448010794138398</v>
      </c>
      <c r="AJ4868">
        <v>77.165676351926805</v>
      </c>
      <c r="AK4868">
        <v>141.835929508151</v>
      </c>
      <c r="AL4868">
        <v>93.767653805684503</v>
      </c>
      <c r="AM4868">
        <v>87.5983584572041</v>
      </c>
      <c r="AN4868">
        <v>0.99999994744836895</v>
      </c>
    </row>
    <row r="4869" spans="1:40" x14ac:dyDescent="0.25">
      <c r="A4869" t="str">
        <f>"20190305135027361"</f>
        <v>20190305135027361</v>
      </c>
      <c r="B4869" t="str">
        <f>"1551765027354594"</f>
        <v>1551765027354594</v>
      </c>
      <c r="C4869" t="s">
        <v>40</v>
      </c>
      <c r="D4869">
        <v>4.0517050000000001</v>
      </c>
      <c r="E4869">
        <v>0.57053100000000001</v>
      </c>
      <c r="F4869" t="s">
        <v>42</v>
      </c>
      <c r="G4869">
        <v>-348.58030000000002</v>
      </c>
      <c r="H4869" s="1">
        <v>-1.2787759999999999E-6</v>
      </c>
      <c r="I4869">
        <v>142.19980000000001</v>
      </c>
      <c r="J4869">
        <v>-204.9238</v>
      </c>
      <c r="K4869">
        <v>1.1092820000000001</v>
      </c>
      <c r="L4869">
        <v>144.87459999999999</v>
      </c>
      <c r="M4869">
        <v>-0.97127129999999995</v>
      </c>
      <c r="N4869">
        <v>-1.3801259999999999E-2</v>
      </c>
      <c r="O4869">
        <v>-0.23757519999999999</v>
      </c>
      <c r="P4869">
        <v>-0.97678880000000001</v>
      </c>
      <c r="Q4869">
        <v>-8.217679E-2</v>
      </c>
      <c r="R4869">
        <v>-0.19781480000000001</v>
      </c>
      <c r="S4869">
        <v>-3.0571139999999999</v>
      </c>
      <c r="T4869">
        <v>-2.3566480000000001E-2</v>
      </c>
      <c r="U4869">
        <v>-5.7876589999999999E-2</v>
      </c>
      <c r="V4869">
        <v>3.9820469999999997E-2</v>
      </c>
      <c r="W4869">
        <v>-6.8490739999999994E-2</v>
      </c>
      <c r="X4869">
        <v>0.99685670000000004</v>
      </c>
      <c r="Y4869">
        <v>0.2191466</v>
      </c>
      <c r="Z4869">
        <v>8.6959299999999999E-4</v>
      </c>
      <c r="AA4869">
        <v>0.97569159999999999</v>
      </c>
      <c r="AB4869">
        <v>20</v>
      </c>
      <c r="AC4869">
        <v>-143.65649999999999</v>
      </c>
      <c r="AD4869">
        <v>-1.1092832787760001</v>
      </c>
      <c r="AE4869">
        <v>-2.6747999999999701</v>
      </c>
      <c r="AF4869">
        <v>31.532383008507601</v>
      </c>
      <c r="AG4869">
        <v>-1.1092832787760001</v>
      </c>
      <c r="AH4869">
        <v>140.16987040846601</v>
      </c>
      <c r="AI4869">
        <v>90.442366066740803</v>
      </c>
      <c r="AJ4869">
        <v>77.321887814973906</v>
      </c>
      <c r="AK4869">
        <v>143.677118073526</v>
      </c>
      <c r="AL4869">
        <v>93.927305048837795</v>
      </c>
      <c r="AM4869">
        <v>87.712477142326904</v>
      </c>
      <c r="AN4869">
        <v>0.99999996581582795</v>
      </c>
    </row>
    <row r="4870" spans="1:40" x14ac:dyDescent="0.25">
      <c r="A4870" t="str">
        <f>"20190305135027383"</f>
        <v>20190305135027383</v>
      </c>
      <c r="B4870" t="str">
        <f>"1551765027375089"</f>
        <v>1551765027375089</v>
      </c>
      <c r="C4870" t="s">
        <v>40</v>
      </c>
      <c r="D4870">
        <v>4.0702749999999996</v>
      </c>
      <c r="E4870">
        <v>0.57013599999999998</v>
      </c>
      <c r="F4870" t="s">
        <v>94</v>
      </c>
      <c r="G4870">
        <v>-313.20440000000002</v>
      </c>
      <c r="H4870" s="1">
        <v>-9.0779539999999993E-6</v>
      </c>
      <c r="I4870">
        <v>142.6986</v>
      </c>
      <c r="J4870">
        <v>-205.12520000000001</v>
      </c>
      <c r="K4870">
        <v>1.109529</v>
      </c>
      <c r="L4870">
        <v>144.8278</v>
      </c>
      <c r="M4870">
        <v>-0.97166229999999998</v>
      </c>
      <c r="N4870">
        <v>-1.3751559999999999E-2</v>
      </c>
      <c r="O4870">
        <v>-0.2359734</v>
      </c>
      <c r="P4870">
        <v>-0.97635519999999998</v>
      </c>
      <c r="Q4870">
        <v>-8.5314719999999997E-2</v>
      </c>
      <c r="R4870">
        <v>-0.19862579999999999</v>
      </c>
      <c r="S4870">
        <v>-3.0561829999999999</v>
      </c>
      <c r="T4870">
        <v>-3.1309370000000003E-2</v>
      </c>
      <c r="U4870">
        <v>-6.141663E-2</v>
      </c>
      <c r="V4870">
        <v>3.7328569999999998E-2</v>
      </c>
      <c r="W4870">
        <v>-7.1652209999999994E-2</v>
      </c>
      <c r="X4870">
        <v>0.99673089999999998</v>
      </c>
      <c r="Y4870">
        <v>0.21639610000000001</v>
      </c>
      <c r="Z4870">
        <v>1.7248879999999999E-3</v>
      </c>
      <c r="AA4870">
        <v>0.97630410000000001</v>
      </c>
      <c r="AB4870">
        <v>20</v>
      </c>
      <c r="AC4870">
        <v>-108.0792</v>
      </c>
      <c r="AD4870">
        <v>-1.1095380779539901</v>
      </c>
      <c r="AE4870">
        <v>-2.1291999999999902</v>
      </c>
      <c r="AF4870">
        <v>23.434698182821101</v>
      </c>
      <c r="AG4870">
        <v>-1.1095380779539901</v>
      </c>
      <c r="AH4870">
        <v>105.51777161166299</v>
      </c>
      <c r="AI4870">
        <v>90.588124077602998</v>
      </c>
      <c r="AJ4870">
        <v>77.478279140452003</v>
      </c>
      <c r="AK4870">
        <v>108.09447848783699</v>
      </c>
      <c r="AL4870">
        <v>94.108890327196903</v>
      </c>
      <c r="AM4870">
        <v>87.855218066463706</v>
      </c>
      <c r="AN4870">
        <v>0.99999997417546904</v>
      </c>
    </row>
    <row r="4871" spans="1:40" x14ac:dyDescent="0.25">
      <c r="A4871" t="str">
        <f>"20190305135027404"</f>
        <v>20190305135027404</v>
      </c>
      <c r="B4871" t="str">
        <f>"1551765027394614"</f>
        <v>1551765027394614</v>
      </c>
      <c r="C4871" t="s">
        <v>40</v>
      </c>
      <c r="D4871">
        <v>4.0457910000000004</v>
      </c>
      <c r="E4871">
        <v>0.56977730000000004</v>
      </c>
      <c r="F4871" t="s">
        <v>94</v>
      </c>
      <c r="G4871">
        <v>-290.8972</v>
      </c>
      <c r="H4871" s="1">
        <v>-9.7437749999999997E-6</v>
      </c>
      <c r="I4871">
        <v>142.929</v>
      </c>
      <c r="J4871">
        <v>-205.30549999999999</v>
      </c>
      <c r="K4871">
        <v>1.109775</v>
      </c>
      <c r="L4871">
        <v>144.78569999999999</v>
      </c>
      <c r="M4871">
        <v>-0.97191399999999994</v>
      </c>
      <c r="N4871">
        <v>-1.3714260000000001E-2</v>
      </c>
      <c r="O4871">
        <v>-0.2349367</v>
      </c>
      <c r="P4871">
        <v>-0.97609170000000001</v>
      </c>
      <c r="Q4871">
        <v>-8.6541590000000002E-2</v>
      </c>
      <c r="R4871">
        <v>-0.1993885</v>
      </c>
      <c r="S4871">
        <v>-3.0554199999999998</v>
      </c>
      <c r="T4871">
        <v>-3.9524669999999998E-2</v>
      </c>
      <c r="U4871">
        <v>-6.7642209999999994E-2</v>
      </c>
      <c r="V4871">
        <v>3.5506589999999998E-2</v>
      </c>
      <c r="W4871">
        <v>-7.2893020000000003E-2</v>
      </c>
      <c r="X4871">
        <v>0.99670749999999997</v>
      </c>
      <c r="Y4871">
        <v>0.2133515</v>
      </c>
      <c r="Z4871">
        <v>2.6114480000000002E-3</v>
      </c>
      <c r="AA4871">
        <v>0.97697199999999995</v>
      </c>
      <c r="AB4871">
        <v>20</v>
      </c>
      <c r="AC4871">
        <v>-85.591700000000003</v>
      </c>
      <c r="AD4871">
        <v>-1.1097847437749999</v>
      </c>
      <c r="AE4871">
        <v>-1.85669999999998</v>
      </c>
      <c r="AF4871">
        <v>18.302723378342399</v>
      </c>
      <c r="AG4871">
        <v>-1.1097847437749999</v>
      </c>
      <c r="AH4871">
        <v>83.6177860093362</v>
      </c>
      <c r="AI4871">
        <v>90.742807383716496</v>
      </c>
      <c r="AJ4871">
        <v>77.653502266646697</v>
      </c>
      <c r="AK4871">
        <v>85.604646149287802</v>
      </c>
      <c r="AL4871">
        <v>94.180169906792102</v>
      </c>
      <c r="AM4871">
        <v>87.959764701808894</v>
      </c>
      <c r="AN4871">
        <v>0.99999997542719798</v>
      </c>
    </row>
    <row r="4872" spans="1:40" x14ac:dyDescent="0.25">
      <c r="A4872" t="str">
        <f>"20190305135027426"</f>
        <v>20190305135027426</v>
      </c>
      <c r="B4872" t="str">
        <f>"1551765027415105"</f>
        <v>1551765027415105</v>
      </c>
      <c r="C4872" t="s">
        <v>40</v>
      </c>
      <c r="D4872">
        <v>4.0484900000000001</v>
      </c>
      <c r="E4872">
        <v>0.56944259999999902</v>
      </c>
      <c r="F4872" t="s">
        <v>94</v>
      </c>
      <c r="G4872">
        <v>-285.72390000000001</v>
      </c>
      <c r="H4872" s="1">
        <v>-7.3395719999999899E-6</v>
      </c>
      <c r="I4872">
        <v>142.8503</v>
      </c>
      <c r="J4872">
        <v>-205.4933</v>
      </c>
      <c r="K4872">
        <v>1.1100270000000001</v>
      </c>
      <c r="L4872">
        <v>144.7415</v>
      </c>
      <c r="M4872">
        <v>-0.97208709999999998</v>
      </c>
      <c r="N4872">
        <v>-1.3681459999999999E-2</v>
      </c>
      <c r="O4872">
        <v>-0.23422119999999999</v>
      </c>
      <c r="P4872">
        <v>-0.97594829999999999</v>
      </c>
      <c r="Q4872">
        <v>-8.603508E-2</v>
      </c>
      <c r="R4872">
        <v>-0.20030809999999999</v>
      </c>
      <c r="S4872">
        <v>-3.0547330000000001</v>
      </c>
      <c r="T4872">
        <v>-4.2155619999999998E-2</v>
      </c>
      <c r="U4872">
        <v>-7.3516849999999995E-2</v>
      </c>
      <c r="V4872">
        <v>3.389172E-2</v>
      </c>
      <c r="W4872">
        <v>-7.2395970000000004E-2</v>
      </c>
      <c r="X4872">
        <v>0.99679989999999996</v>
      </c>
      <c r="Y4872">
        <v>0.21074580000000001</v>
      </c>
      <c r="Z4872">
        <v>2.8734979999999999E-3</v>
      </c>
      <c r="AA4872">
        <v>0.97753670000000004</v>
      </c>
      <c r="AB4872">
        <v>20</v>
      </c>
      <c r="AC4872">
        <v>-80.230599999999995</v>
      </c>
      <c r="AD4872">
        <v>-1.110034339572</v>
      </c>
      <c r="AE4872">
        <v>-1.89119999999999</v>
      </c>
      <c r="AF4872">
        <v>16.951639362869599</v>
      </c>
      <c r="AG4872">
        <v>-1.110034339572</v>
      </c>
      <c r="AH4872">
        <v>78.426424700264306</v>
      </c>
      <c r="AI4872">
        <v>90.792599436761407</v>
      </c>
      <c r="AJ4872">
        <v>77.803317950984706</v>
      </c>
      <c r="AK4872">
        <v>80.24521384226</v>
      </c>
      <c r="AL4872">
        <v>94.151615772060495</v>
      </c>
      <c r="AM4872">
        <v>88.052663577291895</v>
      </c>
      <c r="AN4872">
        <v>0.99999993289840206</v>
      </c>
    </row>
    <row r="4873" spans="1:40" x14ac:dyDescent="0.25">
      <c r="A4873" t="str">
        <f>"20190305135027449"</f>
        <v>20190305135027449</v>
      </c>
      <c r="B4873" t="str">
        <f>"1551765027445362"</f>
        <v>1551765027445362</v>
      </c>
      <c r="C4873" t="s">
        <v>40</v>
      </c>
      <c r="D4873">
        <v>4.0618470000000002</v>
      </c>
      <c r="E4873">
        <v>0.56912489999999905</v>
      </c>
      <c r="F4873" t="s">
        <v>94</v>
      </c>
      <c r="G4873">
        <v>-290.71230000000003</v>
      </c>
      <c r="H4873" s="1">
        <v>-9.6519649999999993E-6</v>
      </c>
      <c r="I4873">
        <v>142.5275</v>
      </c>
      <c r="J4873">
        <v>-205.6893</v>
      </c>
      <c r="K4873">
        <v>1.1102459999999901</v>
      </c>
      <c r="L4873">
        <v>144.69489999999999</v>
      </c>
      <c r="M4873">
        <v>-0.97217770000000003</v>
      </c>
      <c r="N4873">
        <v>-1.365212E-2</v>
      </c>
      <c r="O4873">
        <v>-0.2338461</v>
      </c>
      <c r="P4873">
        <v>-0.97567119999999996</v>
      </c>
      <c r="Q4873">
        <v>-8.5627789999999995E-2</v>
      </c>
      <c r="R4873">
        <v>-0.2018259</v>
      </c>
      <c r="S4873">
        <v>-3.0541230000000001</v>
      </c>
      <c r="T4873">
        <v>-3.9782049999999999E-2</v>
      </c>
      <c r="U4873">
        <v>-7.9345700000000005E-2</v>
      </c>
      <c r="V4873">
        <v>3.2006720000000002E-2</v>
      </c>
      <c r="W4873">
        <v>-7.1999270000000004E-2</v>
      </c>
      <c r="X4873">
        <v>0.99689099999999997</v>
      </c>
      <c r="Y4873">
        <v>0.20850250000000001</v>
      </c>
      <c r="Z4873">
        <v>2.586002E-3</v>
      </c>
      <c r="AA4873">
        <v>0.97801839999999995</v>
      </c>
      <c r="AB4873">
        <v>20</v>
      </c>
      <c r="AC4873">
        <v>-85.022999999999996</v>
      </c>
      <c r="AD4873">
        <v>-1.11025565196499</v>
      </c>
      <c r="AE4873">
        <v>-2.1673999999999798</v>
      </c>
      <c r="AF4873">
        <v>17.773828160754999</v>
      </c>
      <c r="AG4873">
        <v>-1.11025565196499</v>
      </c>
      <c r="AH4873">
        <v>83.157888856524707</v>
      </c>
      <c r="AI4873">
        <v>90.748027322040201</v>
      </c>
      <c r="AJ4873">
        <v>77.935364054291099</v>
      </c>
      <c r="AK4873">
        <v>85.043377838458895</v>
      </c>
      <c r="AL4873">
        <v>94.128826805329794</v>
      </c>
      <c r="AM4873">
        <v>88.161062510946905</v>
      </c>
      <c r="AN4873">
        <v>0.99999999544334495</v>
      </c>
    </row>
    <row r="4874" spans="1:40" x14ac:dyDescent="0.25">
      <c r="A4874" t="str">
        <f>"20190305135027472"</f>
        <v>20190305135027472</v>
      </c>
      <c r="B4874" t="str">
        <f>"1551765027464882"</f>
        <v>1551765027464882</v>
      </c>
      <c r="C4874" t="s">
        <v>40</v>
      </c>
      <c r="D4874">
        <v>4.0621289999999997</v>
      </c>
      <c r="E4874">
        <v>0.56887909999999997</v>
      </c>
      <c r="F4874" t="s">
        <v>94</v>
      </c>
      <c r="G4874">
        <v>-291.67739999999998</v>
      </c>
      <c r="H4874" s="1">
        <v>-9.4822830000000008E-6</v>
      </c>
      <c r="I4874">
        <v>142.25290000000001</v>
      </c>
      <c r="J4874">
        <v>-205.89340000000001</v>
      </c>
      <c r="K4874">
        <v>1.1103940000000001</v>
      </c>
      <c r="L4874">
        <v>144.64599999999999</v>
      </c>
      <c r="M4874">
        <v>-0.97217960000000003</v>
      </c>
      <c r="N4874">
        <v>-1.36144E-2</v>
      </c>
      <c r="O4874">
        <v>-0.2338414</v>
      </c>
      <c r="P4874">
        <v>-0.97514230000000002</v>
      </c>
      <c r="Q4874">
        <v>-8.6058350000000006E-2</v>
      </c>
      <c r="R4874">
        <v>-0.20418549999999999</v>
      </c>
      <c r="S4874">
        <v>-3.0534059999999998</v>
      </c>
      <c r="T4874">
        <v>-3.942478E-2</v>
      </c>
      <c r="U4874">
        <v>-8.6715699999999896E-2</v>
      </c>
      <c r="V4874">
        <v>2.9612059999999999E-2</v>
      </c>
      <c r="W4874">
        <v>-7.2457510000000003E-2</v>
      </c>
      <c r="X4874">
        <v>0.99693180000000003</v>
      </c>
      <c r="Y4874">
        <v>0.20613300000000001</v>
      </c>
      <c r="Z4874">
        <v>2.5207979999999999E-3</v>
      </c>
      <c r="AA4874">
        <v>0.97852079999999997</v>
      </c>
      <c r="AB4874">
        <v>20</v>
      </c>
      <c r="AC4874">
        <v>-85.783999999999907</v>
      </c>
      <c r="AD4874">
        <v>-1.110403482283</v>
      </c>
      <c r="AE4874">
        <v>-2.3931</v>
      </c>
      <c r="AF4874">
        <v>17.7319997211649</v>
      </c>
      <c r="AG4874">
        <v>-1.110403482283</v>
      </c>
      <c r="AH4874">
        <v>83.950773652560599</v>
      </c>
      <c r="AI4874">
        <v>90.741441157888701</v>
      </c>
      <c r="AJ4874">
        <v>78.073342932625593</v>
      </c>
      <c r="AK4874">
        <v>85.810192907767799</v>
      </c>
      <c r="AL4874">
        <v>94.155150804132703</v>
      </c>
      <c r="AM4874">
        <v>88.298632511801102</v>
      </c>
      <c r="AN4874">
        <v>0.99999998935204104</v>
      </c>
    </row>
    <row r="4875" spans="1:40" x14ac:dyDescent="0.25">
      <c r="A4875" t="str">
        <f>"20190305135027497"</f>
        <v>20190305135027497</v>
      </c>
      <c r="B4875" t="str">
        <f>"1551765027485378"</f>
        <v>1551765027485378</v>
      </c>
      <c r="C4875" t="s">
        <v>40</v>
      </c>
      <c r="D4875">
        <v>4.0799699999999897</v>
      </c>
      <c r="E4875">
        <v>0.56877519999999904</v>
      </c>
      <c r="F4875" t="s">
        <v>94</v>
      </c>
      <c r="G4875">
        <v>-290.7072</v>
      </c>
      <c r="H4875" s="1">
        <v>-9.4976560000000002E-6</v>
      </c>
      <c r="I4875">
        <v>141.96209999999999</v>
      </c>
      <c r="J4875">
        <v>-206.10210000000001</v>
      </c>
      <c r="K4875">
        <v>1.110452</v>
      </c>
      <c r="L4875">
        <v>144.59559999999999</v>
      </c>
      <c r="M4875">
        <v>-0.97211729999999996</v>
      </c>
      <c r="N4875">
        <v>-1.353876E-2</v>
      </c>
      <c r="O4875">
        <v>-0.2341036</v>
      </c>
      <c r="P4875">
        <v>-0.97458469999999997</v>
      </c>
      <c r="Q4875">
        <v>-8.6388359999999997E-2</v>
      </c>
      <c r="R4875">
        <v>-0.20669290000000001</v>
      </c>
      <c r="S4875">
        <v>-3.0527340000000001</v>
      </c>
      <c r="T4875">
        <v>-3.9967179999999998E-2</v>
      </c>
      <c r="U4875">
        <v>-9.6603389999999997E-2</v>
      </c>
      <c r="V4875">
        <v>2.7324399999999999E-2</v>
      </c>
      <c r="W4875">
        <v>-7.2860729999999999E-2</v>
      </c>
      <c r="X4875">
        <v>0.99696770000000001</v>
      </c>
      <c r="Y4875">
        <v>0.20322299999999999</v>
      </c>
      <c r="Z4875">
        <v>2.5516839999999998E-3</v>
      </c>
      <c r="AA4875">
        <v>0.97912909999999997</v>
      </c>
      <c r="AB4875">
        <v>20</v>
      </c>
      <c r="AC4875">
        <v>-84.605099999999993</v>
      </c>
      <c r="AD4875">
        <v>-1.1104614976560001</v>
      </c>
      <c r="AE4875">
        <v>-2.63349999999999</v>
      </c>
      <c r="AF4875">
        <v>17.244901861372401</v>
      </c>
      <c r="AG4875">
        <v>-1.1104614976560001</v>
      </c>
      <c r="AH4875">
        <v>82.855935304060097</v>
      </c>
      <c r="AI4875">
        <v>90.7517425300111</v>
      </c>
      <c r="AJ4875">
        <v>78.242813388518101</v>
      </c>
      <c r="AK4875">
        <v>84.638795951128301</v>
      </c>
      <c r="AL4875">
        <v>94.178314992226404</v>
      </c>
      <c r="AM4875">
        <v>88.430058496615899</v>
      </c>
      <c r="AN4875">
        <v>0.99999995182738999</v>
      </c>
    </row>
    <row r="4876" spans="1:40" x14ac:dyDescent="0.25">
      <c r="A4876" t="str">
        <f>"20190305135027516"</f>
        <v>20190305135027516</v>
      </c>
      <c r="B4876" t="str">
        <f>"1551765027504897"</f>
        <v>1551765027504897</v>
      </c>
      <c r="C4876" t="s">
        <v>40</v>
      </c>
      <c r="D4876">
        <v>4.0882670000000001</v>
      </c>
      <c r="E4876">
        <v>0.56863799999999998</v>
      </c>
      <c r="F4876" t="s">
        <v>94</v>
      </c>
      <c r="G4876">
        <v>-291.62529999999998</v>
      </c>
      <c r="H4876" s="1">
        <v>-9.3159600000000008E-6</v>
      </c>
      <c r="I4876">
        <v>141.6268</v>
      </c>
      <c r="J4876">
        <v>-206.27119999999999</v>
      </c>
      <c r="K4876">
        <v>1.1104400000000001</v>
      </c>
      <c r="L4876">
        <v>144.55459999999999</v>
      </c>
      <c r="M4876">
        <v>-0.97204489999999999</v>
      </c>
      <c r="N4876">
        <v>-1.345318E-2</v>
      </c>
      <c r="O4876">
        <v>-0.23440900000000001</v>
      </c>
      <c r="P4876">
        <v>-0.9742035</v>
      </c>
      <c r="Q4876">
        <v>-8.4716189999999997E-2</v>
      </c>
      <c r="R4876">
        <v>-0.20916580000000001</v>
      </c>
      <c r="S4876">
        <v>-3.0522459999999998</v>
      </c>
      <c r="T4876">
        <v>-3.9631369999999999E-2</v>
      </c>
      <c r="U4876">
        <v>-0.105957</v>
      </c>
      <c r="V4876">
        <v>2.5140119999999998E-2</v>
      </c>
      <c r="W4876">
        <v>-7.1274710000000005E-2</v>
      </c>
      <c r="X4876">
        <v>0.99713989999999997</v>
      </c>
      <c r="Y4876">
        <v>0.2005284</v>
      </c>
      <c r="Z4876">
        <v>2.4906559999999999E-3</v>
      </c>
      <c r="AA4876">
        <v>0.97968469999999996</v>
      </c>
      <c r="AB4876">
        <v>20</v>
      </c>
      <c r="AC4876">
        <v>-85.354099999999903</v>
      </c>
      <c r="AD4876">
        <v>-1.11044931596</v>
      </c>
      <c r="AE4876">
        <v>-2.9277999999999902</v>
      </c>
      <c r="AF4876">
        <v>17.160469536455501</v>
      </c>
      <c r="AG4876">
        <v>-1.11044931596</v>
      </c>
      <c r="AH4876">
        <v>83.647756185262693</v>
      </c>
      <c r="AI4876">
        <v>90.745058841042706</v>
      </c>
      <c r="AJ4876">
        <v>78.406539266430599</v>
      </c>
      <c r="AK4876">
        <v>85.397083833255707</v>
      </c>
      <c r="AL4876">
        <v>94.087205436797603</v>
      </c>
      <c r="AM4876">
        <v>88.555751621115803</v>
      </c>
      <c r="AN4876">
        <v>1.0000000450455999</v>
      </c>
    </row>
    <row r="4877" spans="1:40" x14ac:dyDescent="0.25">
      <c r="A4877" t="str">
        <f>"20190305135027551"</f>
        <v>20190305135027551</v>
      </c>
      <c r="B4877" t="str">
        <f>"1551765027544913"</f>
        <v>1551765027544913</v>
      </c>
      <c r="C4877" t="s">
        <v>40</v>
      </c>
      <c r="D4877">
        <v>4.0614509999999999</v>
      </c>
      <c r="E4877">
        <v>0.56859380000000004</v>
      </c>
      <c r="F4877" t="s">
        <v>94</v>
      </c>
      <c r="G4877">
        <v>-306.57040000000001</v>
      </c>
      <c r="H4877" s="1">
        <v>-9.3449710000000001E-6</v>
      </c>
      <c r="I4877">
        <v>140.77590000000001</v>
      </c>
      <c r="J4877">
        <v>-206.56190000000001</v>
      </c>
      <c r="K4877">
        <v>1.110312</v>
      </c>
      <c r="L4877">
        <v>144.48400000000001</v>
      </c>
      <c r="M4877">
        <v>-0.9719217</v>
      </c>
      <c r="N4877">
        <v>-1.321816E-2</v>
      </c>
      <c r="O4877">
        <v>-0.23493310000000001</v>
      </c>
      <c r="P4877">
        <v>-0.97391499999999998</v>
      </c>
      <c r="Q4877">
        <v>-8.1528630000000005E-2</v>
      </c>
      <c r="R4877">
        <v>-0.21176130000000001</v>
      </c>
      <c r="S4877">
        <v>-3.0518190000000001</v>
      </c>
      <c r="T4877">
        <v>-3.3787850000000001E-2</v>
      </c>
      <c r="U4877">
        <v>-0.11497499999999999</v>
      </c>
      <c r="V4877">
        <v>2.3065849999999999E-2</v>
      </c>
      <c r="W4877">
        <v>-6.8325810000000001E-2</v>
      </c>
      <c r="X4877">
        <v>0.99739639999999996</v>
      </c>
      <c r="Y4877">
        <v>0.1981666</v>
      </c>
      <c r="Z4877">
        <v>1.8556720000000001E-3</v>
      </c>
      <c r="AA4877">
        <v>0.9801666</v>
      </c>
      <c r="AB4877">
        <v>20</v>
      </c>
      <c r="AC4877">
        <v>-100.0085</v>
      </c>
      <c r="AD4877">
        <v>-1.1103213449709901</v>
      </c>
      <c r="AE4877">
        <v>-3.7081</v>
      </c>
      <c r="AF4877">
        <v>19.8906129302149</v>
      </c>
      <c r="AG4877">
        <v>-1.1103213449709901</v>
      </c>
      <c r="AH4877">
        <v>98.068080552812106</v>
      </c>
      <c r="AI4877">
        <v>90.635728553134101</v>
      </c>
      <c r="AJ4877">
        <v>78.534542780937599</v>
      </c>
      <c r="AK4877">
        <v>100.07106334770999</v>
      </c>
      <c r="AL4877">
        <v>93.917832876600599</v>
      </c>
      <c r="AM4877">
        <v>88.675210445860003</v>
      </c>
      <c r="AN4877">
        <v>1.00000001424066</v>
      </c>
    </row>
    <row r="4878" spans="1:40" x14ac:dyDescent="0.25">
      <c r="A4878" t="str">
        <f>"20190305135027573"</f>
        <v>20190305135027573</v>
      </c>
      <c r="B4878" t="str">
        <f>"1551765027564940"</f>
        <v>1551765027564940</v>
      </c>
      <c r="C4878" t="s">
        <v>40</v>
      </c>
      <c r="D4878">
        <v>4.0684800000000001</v>
      </c>
      <c r="E4878">
        <v>0.56848679999999996</v>
      </c>
      <c r="F4878" t="s">
        <v>42</v>
      </c>
      <c r="G4878">
        <v>-349.44139999999999</v>
      </c>
      <c r="H4878" s="1">
        <v>-4.1621790000000001E-7</v>
      </c>
      <c r="I4878">
        <v>138.7141</v>
      </c>
      <c r="J4878">
        <v>-206.76300000000001</v>
      </c>
      <c r="K4878">
        <v>1.1101780000000001</v>
      </c>
      <c r="L4878">
        <v>144.435</v>
      </c>
      <c r="M4878">
        <v>-0.97186360000000005</v>
      </c>
      <c r="N4878">
        <v>-1.2958040000000001E-2</v>
      </c>
      <c r="O4878">
        <v>-0.23518839999999999</v>
      </c>
      <c r="P4878">
        <v>-0.97342649999999997</v>
      </c>
      <c r="Q4878">
        <v>-8.143976E-2</v>
      </c>
      <c r="R4878">
        <v>-0.2140301</v>
      </c>
      <c r="S4878">
        <v>-3.0515750000000001</v>
      </c>
      <c r="T4878">
        <v>-2.3713709999999999E-2</v>
      </c>
      <c r="U4878">
        <v>-0.12323000000000001</v>
      </c>
      <c r="V4878">
        <v>2.0990000000000002E-2</v>
      </c>
      <c r="W4878">
        <v>-6.8503129999999995E-2</v>
      </c>
      <c r="X4878">
        <v>0.99743009999999999</v>
      </c>
      <c r="Y4878">
        <v>0.19578029999999999</v>
      </c>
      <c r="Z4878">
        <v>7.6938509999999996E-4</v>
      </c>
      <c r="AA4878">
        <v>0.98064750000000001</v>
      </c>
      <c r="AB4878">
        <v>20</v>
      </c>
      <c r="AC4878">
        <v>-142.67839999999899</v>
      </c>
      <c r="AD4878">
        <v>-1.11017841621789</v>
      </c>
      <c r="AE4878">
        <v>-5.7209000000000003</v>
      </c>
      <c r="AF4878">
        <v>27.997023641868001</v>
      </c>
      <c r="AG4878">
        <v>-1.11017841621789</v>
      </c>
      <c r="AH4878">
        <v>140.01270093036999</v>
      </c>
      <c r="AI4878">
        <v>90.445477576049697</v>
      </c>
      <c r="AJ4878">
        <v>78.692238188226</v>
      </c>
      <c r="AK4878">
        <v>142.78873292643399</v>
      </c>
      <c r="AL4878">
        <v>93.9280163557912</v>
      </c>
      <c r="AM4878">
        <v>88.794440905363601</v>
      </c>
      <c r="AN4878">
        <v>1.0000000316529001</v>
      </c>
    </row>
    <row r="4879" spans="1:40" x14ac:dyDescent="0.25">
      <c r="A4879" t="str">
        <f>"20190305135027594"</f>
        <v>20190305135027594</v>
      </c>
      <c r="B4879" t="str">
        <f>"1551765027585436"</f>
        <v>1551765027585436</v>
      </c>
      <c r="C4879" t="s">
        <v>40</v>
      </c>
      <c r="D4879">
        <v>4.0868640000000003</v>
      </c>
      <c r="E4879">
        <v>0.56846390000000002</v>
      </c>
      <c r="F4879" t="s">
        <v>42</v>
      </c>
      <c r="G4879">
        <v>-348.7679</v>
      </c>
      <c r="H4879" s="1">
        <v>-7.4661049999999995E-7</v>
      </c>
      <c r="I4879">
        <v>138.33369999999999</v>
      </c>
      <c r="J4879">
        <v>-206.94479999999999</v>
      </c>
      <c r="K4879">
        <v>1.1100399999999999</v>
      </c>
      <c r="L4879">
        <v>144.39080000000001</v>
      </c>
      <c r="M4879">
        <v>-0.97183169999999997</v>
      </c>
      <c r="N4879">
        <v>-1.270485E-2</v>
      </c>
      <c r="O4879">
        <v>-0.2353334</v>
      </c>
      <c r="P4879">
        <v>-0.97299219999999997</v>
      </c>
      <c r="Q4879">
        <v>-8.0634800000000006E-2</v>
      </c>
      <c r="R4879">
        <v>-0.2162974</v>
      </c>
      <c r="S4879">
        <v>-3.0510709999999999</v>
      </c>
      <c r="T4879">
        <v>-2.385294E-2</v>
      </c>
      <c r="U4879">
        <v>-0.13108829999999999</v>
      </c>
      <c r="V4879">
        <v>1.881621E-2</v>
      </c>
      <c r="W4879">
        <v>-6.795553E-2</v>
      </c>
      <c r="X4879">
        <v>0.99751089999999998</v>
      </c>
      <c r="Y4879">
        <v>0.19339799999999999</v>
      </c>
      <c r="Z4879">
        <v>7.9463449999999996E-4</v>
      </c>
      <c r="AA4879">
        <v>0.98111999999999999</v>
      </c>
      <c r="AB4879">
        <v>20</v>
      </c>
      <c r="AC4879">
        <v>-141.82310000000001</v>
      </c>
      <c r="AD4879">
        <v>-1.1100407466105</v>
      </c>
      <c r="AE4879">
        <v>-6.0571000000000099</v>
      </c>
      <c r="AF4879">
        <v>27.489767340999201</v>
      </c>
      <c r="AG4879">
        <v>-1.1100407466105</v>
      </c>
      <c r="AH4879">
        <v>139.256341653313</v>
      </c>
      <c r="AI4879">
        <v>90.448060394177602</v>
      </c>
      <c r="AJ4879">
        <v>78.8331543885906</v>
      </c>
      <c r="AK4879">
        <v>141.94804750184301</v>
      </c>
      <c r="AL4879">
        <v>93.896568026695803</v>
      </c>
      <c r="AM4879">
        <v>88.919348572000999</v>
      </c>
      <c r="AN4879">
        <v>0.99999999971757703</v>
      </c>
    </row>
    <row r="4880" spans="1:40" x14ac:dyDescent="0.25">
      <c r="A4880" t="str">
        <f>"20190305135027615"</f>
        <v>20190305135027615</v>
      </c>
      <c r="B4880" t="str">
        <f>"1551765027604956"</f>
        <v>1551765027604956</v>
      </c>
      <c r="C4880" t="s">
        <v>40</v>
      </c>
      <c r="D4880">
        <v>4.1048159999999996</v>
      </c>
      <c r="E4880">
        <v>0.56842300000000001</v>
      </c>
      <c r="F4880" t="s">
        <v>42</v>
      </c>
      <c r="G4880">
        <v>-365.43369999999999</v>
      </c>
      <c r="H4880" s="1">
        <v>-2.369097E-6</v>
      </c>
      <c r="I4880">
        <v>137.20410000000001</v>
      </c>
      <c r="J4880">
        <v>-207.13149999999999</v>
      </c>
      <c r="K4880">
        <v>1.109896</v>
      </c>
      <c r="L4880">
        <v>144.34549999999999</v>
      </c>
      <c r="M4880">
        <v>-0.97182559999999996</v>
      </c>
      <c r="N4880">
        <v>-1.242382E-2</v>
      </c>
      <c r="O4880">
        <v>-0.23537379999999999</v>
      </c>
      <c r="P4880">
        <v>-0.97269170000000005</v>
      </c>
      <c r="Q4880">
        <v>-8.0784880000000003E-2</v>
      </c>
      <c r="R4880">
        <v>-0.21758810000000001</v>
      </c>
      <c r="S4880">
        <v>-3.0507659999999999</v>
      </c>
      <c r="T4880">
        <v>-2.136731E-2</v>
      </c>
      <c r="U4880">
        <v>-0.13833619999999999</v>
      </c>
      <c r="V4880">
        <v>1.7515630000000001E-2</v>
      </c>
      <c r="W4880">
        <v>-6.8390699999999999E-2</v>
      </c>
      <c r="X4880">
        <v>0.99750479999999997</v>
      </c>
      <c r="Y4880">
        <v>0.19110859999999999</v>
      </c>
      <c r="Z4880">
        <v>5.4287279999999996E-4</v>
      </c>
      <c r="AA4880">
        <v>0.98156880000000002</v>
      </c>
      <c r="AB4880">
        <v>20</v>
      </c>
      <c r="AC4880">
        <v>-158.3022</v>
      </c>
      <c r="AD4880">
        <v>-1.1098983690969999</v>
      </c>
      <c r="AE4880">
        <v>-7.1413999999999698</v>
      </c>
      <c r="AF4880">
        <v>30.320845143587398</v>
      </c>
      <c r="AG4880">
        <v>-1.1098983690969999</v>
      </c>
      <c r="AH4880">
        <v>155.52738955273099</v>
      </c>
      <c r="AI4880">
        <v>90.401320757538798</v>
      </c>
      <c r="AJ4880">
        <v>78.9682738450351</v>
      </c>
      <c r="AK4880">
        <v>158.45931473314499</v>
      </c>
      <c r="AL4880">
        <v>93.921559747287304</v>
      </c>
      <c r="AM4880">
        <v>88.994021333559004</v>
      </c>
      <c r="AN4880">
        <v>0.99999995558191201</v>
      </c>
    </row>
    <row r="4881" spans="1:40" x14ac:dyDescent="0.25">
      <c r="A4881" t="str">
        <f>"20190305135027639"</f>
        <v>20190305135027639</v>
      </c>
      <c r="B4881" t="str">
        <f>"1551765027635212"</f>
        <v>1551765027635212</v>
      </c>
      <c r="C4881" t="s">
        <v>40</v>
      </c>
      <c r="D4881">
        <v>4.1250140000000002</v>
      </c>
      <c r="E4881">
        <v>0.56847740000000002</v>
      </c>
      <c r="F4881" t="s">
        <v>42</v>
      </c>
      <c r="G4881">
        <v>-351.8143</v>
      </c>
      <c r="H4881" s="1">
        <v>-3.850501E-6</v>
      </c>
      <c r="I4881">
        <v>137.6062</v>
      </c>
      <c r="J4881">
        <v>-207.33189999999999</v>
      </c>
      <c r="K4881">
        <v>1.1097269999999999</v>
      </c>
      <c r="L4881">
        <v>144.29689999999999</v>
      </c>
      <c r="M4881">
        <v>-0.97185520000000003</v>
      </c>
      <c r="N4881">
        <v>-1.209647E-2</v>
      </c>
      <c r="O4881">
        <v>-0.2352687</v>
      </c>
      <c r="P4881">
        <v>-0.97234109999999996</v>
      </c>
      <c r="Q4881">
        <v>-8.1315750000000006E-2</v>
      </c>
      <c r="R4881">
        <v>-0.2189546</v>
      </c>
      <c r="S4881">
        <v>-3.0505070000000001</v>
      </c>
      <c r="T4881">
        <v>-2.340126E-2</v>
      </c>
      <c r="U4881">
        <v>-0.14208979999999999</v>
      </c>
      <c r="V4881">
        <v>1.5978269999999999E-2</v>
      </c>
      <c r="W4881">
        <v>-6.9253159999999994E-2</v>
      </c>
      <c r="X4881">
        <v>0.9974712</v>
      </c>
      <c r="Y4881">
        <v>0.18979219999999999</v>
      </c>
      <c r="Z4881">
        <v>7.9602259999999995E-4</v>
      </c>
      <c r="AA4881">
        <v>0.98182400000000003</v>
      </c>
      <c r="AB4881">
        <v>20</v>
      </c>
      <c r="AC4881">
        <v>-144.48240000000001</v>
      </c>
      <c r="AD4881">
        <v>-1.109730850501</v>
      </c>
      <c r="AE4881">
        <v>-6.6906999999999899</v>
      </c>
      <c r="AF4881">
        <v>27.490185031357498</v>
      </c>
      <c r="AG4881">
        <v>-1.109730850501</v>
      </c>
      <c r="AH4881">
        <v>141.992099482822</v>
      </c>
      <c r="AI4881">
        <v>90.439619782737196</v>
      </c>
      <c r="AJ4881">
        <v>79.042886826801706</v>
      </c>
      <c r="AK4881">
        <v>144.63297719108999</v>
      </c>
      <c r="AL4881">
        <v>93.971092137452302</v>
      </c>
      <c r="AM4881">
        <v>89.082270102737297</v>
      </c>
      <c r="AN4881">
        <v>1.0000000500557999</v>
      </c>
    </row>
    <row r="4882" spans="1:40" x14ac:dyDescent="0.25">
      <c r="A4882" t="str">
        <f>"20190305135027661"</f>
        <v>20190305135027661</v>
      </c>
      <c r="B4882" t="str">
        <f>"1551765027655239"</f>
        <v>1551765027655239</v>
      </c>
      <c r="C4882" t="s">
        <v>40</v>
      </c>
      <c r="D4882">
        <v>4.1082450000000001</v>
      </c>
      <c r="E4882">
        <v>0.56851609999999997</v>
      </c>
      <c r="F4882" t="s">
        <v>42</v>
      </c>
      <c r="G4882">
        <v>-337.09469999999999</v>
      </c>
      <c r="H4882" s="1">
        <v>-1.6229190000000001E-6</v>
      </c>
      <c r="I4882">
        <v>138.0992</v>
      </c>
      <c r="J4882">
        <v>-207.5308</v>
      </c>
      <c r="K4882">
        <v>1.1095520000000001</v>
      </c>
      <c r="L4882">
        <v>144.24889999999999</v>
      </c>
      <c r="M4882">
        <v>-0.97192270000000003</v>
      </c>
      <c r="N4882">
        <v>-1.1768590000000001E-2</v>
      </c>
      <c r="O4882">
        <v>-0.2350062</v>
      </c>
      <c r="P4882">
        <v>-0.97218199999999999</v>
      </c>
      <c r="Q4882">
        <v>-8.1897239999999996E-2</v>
      </c>
      <c r="R4882">
        <v>-0.21944269999999999</v>
      </c>
      <c r="S4882">
        <v>-3.0503689999999999</v>
      </c>
      <c r="T4882">
        <v>-2.6086689999999999E-2</v>
      </c>
      <c r="U4882">
        <v>-0.14569089999999901</v>
      </c>
      <c r="V4882">
        <v>1.517552E-2</v>
      </c>
      <c r="W4882">
        <v>-7.0166709999999993E-2</v>
      </c>
      <c r="X4882">
        <v>0.99741979999999997</v>
      </c>
      <c r="Y4882">
        <v>0.18836639999999999</v>
      </c>
      <c r="Z4882">
        <v>1.1178609999999999E-3</v>
      </c>
      <c r="AA4882">
        <v>0.98209820000000003</v>
      </c>
      <c r="AB4882">
        <v>20</v>
      </c>
      <c r="AC4882">
        <v>-129.56389999999999</v>
      </c>
      <c r="AD4882">
        <v>-1.1095536229189999</v>
      </c>
      <c r="AE4882">
        <v>-6.1496999999999904</v>
      </c>
      <c r="AF4882">
        <v>24.471189127511899</v>
      </c>
      <c r="AG4882">
        <v>-1.1095536229189999</v>
      </c>
      <c r="AH4882">
        <v>127.370804926902</v>
      </c>
      <c r="AI4882">
        <v>90.4901392038051</v>
      </c>
      <c r="AJ4882">
        <v>79.124535710363702</v>
      </c>
      <c r="AK4882">
        <v>129.705019772881</v>
      </c>
      <c r="AL4882">
        <v>94.0235627009925</v>
      </c>
      <c r="AM4882">
        <v>89.128324739094396</v>
      </c>
      <c r="AN4882">
        <v>0.99999996051576601</v>
      </c>
    </row>
    <row r="4883" spans="1:40" x14ac:dyDescent="0.25">
      <c r="A4883" t="str">
        <f>"20190305135027683"</f>
        <v>20190305135027683</v>
      </c>
      <c r="B4883" t="str">
        <f>"1551765027674758"</f>
        <v>1551765027674758</v>
      </c>
      <c r="C4883" t="s">
        <v>40</v>
      </c>
      <c r="D4883">
        <v>4.0599249999999998</v>
      </c>
      <c r="E4883">
        <v>0.56863589999999997</v>
      </c>
      <c r="F4883" t="s">
        <v>42</v>
      </c>
      <c r="G4883">
        <v>-325.21929999999998</v>
      </c>
      <c r="H4883" s="1">
        <v>-2.2162000000000001E-6</v>
      </c>
      <c r="I4883">
        <v>138.5847</v>
      </c>
      <c r="J4883">
        <v>-207.7253</v>
      </c>
      <c r="K4883">
        <v>1.109372</v>
      </c>
      <c r="L4883">
        <v>144.2022</v>
      </c>
      <c r="M4883">
        <v>-0.97202650000000002</v>
      </c>
      <c r="N4883">
        <v>-1.146164E-2</v>
      </c>
      <c r="O4883">
        <v>-0.23459150000000001</v>
      </c>
      <c r="P4883">
        <v>-0.97214160000000005</v>
      </c>
      <c r="Q4883">
        <v>-8.2035659999999996E-2</v>
      </c>
      <c r="R4883">
        <v>-0.21956970000000001</v>
      </c>
      <c r="S4883">
        <v>-3.0502929999999999</v>
      </c>
      <c r="T4883">
        <v>-2.8757810000000002E-2</v>
      </c>
      <c r="U4883">
        <v>-0.14680480000000001</v>
      </c>
      <c r="V4883">
        <v>1.459352E-2</v>
      </c>
      <c r="W4883">
        <v>-7.0615949999999997E-2</v>
      </c>
      <c r="X4883">
        <v>0.99739679999999997</v>
      </c>
      <c r="Y4883">
        <v>0.18758610000000001</v>
      </c>
      <c r="Z4883">
        <v>1.4409259999999999E-3</v>
      </c>
      <c r="AA4883">
        <v>0.98224710000000004</v>
      </c>
      <c r="AB4883">
        <v>20</v>
      </c>
      <c r="AC4883">
        <v>-117.49399999999901</v>
      </c>
      <c r="AD4883">
        <v>-1.1093742162</v>
      </c>
      <c r="AE4883">
        <v>-5.6174999999999997</v>
      </c>
      <c r="AF4883">
        <v>22.102220216493699</v>
      </c>
      <c r="AG4883">
        <v>-1.1093742162</v>
      </c>
      <c r="AH4883">
        <v>115.52240955682601</v>
      </c>
      <c r="AI4883">
        <v>90.540399517732197</v>
      </c>
      <c r="AJ4883">
        <v>79.168829093116798</v>
      </c>
      <c r="AK4883">
        <v>117.62298227585001</v>
      </c>
      <c r="AL4883">
        <v>94.049366186388696</v>
      </c>
      <c r="AM4883">
        <v>89.161730373171594</v>
      </c>
      <c r="AN4883">
        <v>0.99999997993531597</v>
      </c>
    </row>
    <row r="4884" spans="1:40" x14ac:dyDescent="0.25">
      <c r="A4884" t="str">
        <f>"20190305135027705"</f>
        <v>20190305135027705</v>
      </c>
      <c r="B4884" t="str">
        <f>"1551765027695259"</f>
        <v>1551765027695259</v>
      </c>
      <c r="C4884" t="s">
        <v>40</v>
      </c>
      <c r="D4884">
        <v>4.0895210000000004</v>
      </c>
      <c r="E4884">
        <v>0.56868879999999999</v>
      </c>
      <c r="F4884" t="s">
        <v>42</v>
      </c>
      <c r="G4884">
        <v>-322.63529999999997</v>
      </c>
      <c r="H4884" s="1">
        <v>-3.304849E-6</v>
      </c>
      <c r="I4884">
        <v>138.69669999999999</v>
      </c>
      <c r="J4884">
        <v>-207.9128</v>
      </c>
      <c r="K4884">
        <v>1.1092059999999999</v>
      </c>
      <c r="L4884">
        <v>144.1574</v>
      </c>
      <c r="M4884">
        <v>-0.97216360000000002</v>
      </c>
      <c r="N4884">
        <v>-1.117515E-2</v>
      </c>
      <c r="O4884">
        <v>-0.2340371</v>
      </c>
      <c r="P4884">
        <v>-0.97224829999999995</v>
      </c>
      <c r="Q4884">
        <v>-8.1569000000000003E-2</v>
      </c>
      <c r="R4884">
        <v>-0.21927170000000001</v>
      </c>
      <c r="S4884">
        <v>-3.0504760000000002</v>
      </c>
      <c r="T4884">
        <v>-2.9450179999999999E-2</v>
      </c>
      <c r="U4884">
        <v>-0.14614869999999999</v>
      </c>
      <c r="V4884">
        <v>1.431577E-2</v>
      </c>
      <c r="W4884">
        <v>-7.0439230000000005E-2</v>
      </c>
      <c r="X4884">
        <v>0.99741329999999995</v>
      </c>
      <c r="Y4884">
        <v>0.18723860000000001</v>
      </c>
      <c r="Z4884">
        <v>1.55317E-3</v>
      </c>
      <c r="AA4884">
        <v>0.9823132</v>
      </c>
      <c r="AB4884">
        <v>20</v>
      </c>
      <c r="AC4884">
        <v>-114.722499999999</v>
      </c>
      <c r="AD4884">
        <v>-1.1092093048489999</v>
      </c>
      <c r="AE4884">
        <v>-5.4607000000000001</v>
      </c>
      <c r="AF4884">
        <v>21.539960169611099</v>
      </c>
      <c r="AG4884">
        <v>-1.1092093048489999</v>
      </c>
      <c r="AH4884">
        <v>112.80355056598</v>
      </c>
      <c r="AI4884">
        <v>90.553379548017404</v>
      </c>
      <c r="AJ4884">
        <v>79.189447701987305</v>
      </c>
      <c r="AK4884">
        <v>114.847034135331</v>
      </c>
      <c r="AL4884">
        <v>94.039215685213506</v>
      </c>
      <c r="AM4884">
        <v>89.177696062185603</v>
      </c>
      <c r="AN4884">
        <v>0.99999995870528702</v>
      </c>
    </row>
    <row r="4885" spans="1:40" x14ac:dyDescent="0.25">
      <c r="A4885" t="str">
        <f>"20190305135027728"</f>
        <v>20190305135027728</v>
      </c>
      <c r="B4885" t="str">
        <f>"1551765027725510"</f>
        <v>1551765027725510</v>
      </c>
      <c r="C4885" t="s">
        <v>40</v>
      </c>
      <c r="D4885">
        <v>4.06656</v>
      </c>
      <c r="E4885">
        <v>0.56887719999999997</v>
      </c>
      <c r="F4885" t="s">
        <v>42</v>
      </c>
      <c r="G4885">
        <v>-324.00330000000002</v>
      </c>
      <c r="H4885" s="1">
        <v>-2.724718E-6</v>
      </c>
      <c r="I4885">
        <v>138.65889999999999</v>
      </c>
      <c r="J4885">
        <v>-208.11089999999999</v>
      </c>
      <c r="K4885">
        <v>1.109024</v>
      </c>
      <c r="L4885">
        <v>144.1105</v>
      </c>
      <c r="M4885">
        <v>-0.97234790000000004</v>
      </c>
      <c r="N4885">
        <v>-1.0871810000000001E-2</v>
      </c>
      <c r="O4885">
        <v>-0.2332843</v>
      </c>
      <c r="P4885">
        <v>-0.97245820000000005</v>
      </c>
      <c r="Q4885">
        <v>-8.1205120000000006E-2</v>
      </c>
      <c r="R4885">
        <v>-0.21847369999999999</v>
      </c>
      <c r="S4885">
        <v>-3.050583</v>
      </c>
      <c r="T4885">
        <v>-2.9147389999999999E-2</v>
      </c>
      <c r="U4885">
        <v>-0.14448549999999999</v>
      </c>
      <c r="V4885">
        <v>1.434363E-2</v>
      </c>
      <c r="W4885">
        <v>-7.0382710000000001E-2</v>
      </c>
      <c r="X4885">
        <v>0.99741690000000005</v>
      </c>
      <c r="Y4885">
        <v>0.18701400000000001</v>
      </c>
      <c r="Z4885">
        <v>1.5630329999999999E-3</v>
      </c>
      <c r="AA4885">
        <v>0.98235600000000001</v>
      </c>
      <c r="AB4885">
        <v>20</v>
      </c>
      <c r="AC4885">
        <v>-115.89239999999999</v>
      </c>
      <c r="AD4885">
        <v>-1.1090267247179999</v>
      </c>
      <c r="AE4885">
        <v>-5.4516000000000098</v>
      </c>
      <c r="AF4885">
        <v>21.734322128996801</v>
      </c>
      <c r="AG4885">
        <v>-1.1090267247179999</v>
      </c>
      <c r="AH4885">
        <v>113.95581608003501</v>
      </c>
      <c r="AI4885">
        <v>90.547716936769206</v>
      </c>
      <c r="AJ4885">
        <v>79.201898051891803</v>
      </c>
      <c r="AK4885">
        <v>116.015252088464</v>
      </c>
      <c r="AL4885">
        <v>94.035969228632098</v>
      </c>
      <c r="AM4885">
        <v>89.176098965604496</v>
      </c>
      <c r="AN4885">
        <v>0.999999968997065</v>
      </c>
    </row>
    <row r="4886" spans="1:40" x14ac:dyDescent="0.25">
      <c r="A4886" t="str">
        <f>"20190305135027750"</f>
        <v>20190305135027750</v>
      </c>
      <c r="B4886" t="str">
        <f>"1551765027745031"</f>
        <v>1551765027745031</v>
      </c>
      <c r="C4886" t="s">
        <v>40</v>
      </c>
      <c r="D4886">
        <v>4.0679860000000003</v>
      </c>
      <c r="E4886">
        <v>0.56900850000000003</v>
      </c>
      <c r="F4886" t="s">
        <v>42</v>
      </c>
      <c r="G4886">
        <v>-324.83330000000001</v>
      </c>
      <c r="H4886" s="1">
        <v>-2.352509E-6</v>
      </c>
      <c r="I4886">
        <v>138.7499</v>
      </c>
      <c r="J4886">
        <v>-208.31309999999999</v>
      </c>
      <c r="K4886">
        <v>1.1088340000000001</v>
      </c>
      <c r="L4886">
        <v>144.06299999999999</v>
      </c>
      <c r="M4886">
        <v>-0.97257930000000004</v>
      </c>
      <c r="N4886">
        <v>-1.055148E-2</v>
      </c>
      <c r="O4886">
        <v>-0.23233219999999999</v>
      </c>
      <c r="P4886">
        <v>-0.97279729999999998</v>
      </c>
      <c r="Q4886">
        <v>-8.0754350000000003E-2</v>
      </c>
      <c r="R4886">
        <v>-0.21712770000000001</v>
      </c>
      <c r="S4886">
        <v>-3.051056</v>
      </c>
      <c r="T4886">
        <v>-2.8989319999999999E-2</v>
      </c>
      <c r="U4886">
        <v>-0.14012149999999901</v>
      </c>
      <c r="V4886">
        <v>1.4731920000000001E-2</v>
      </c>
      <c r="W4886">
        <v>-7.0256609999999997E-2</v>
      </c>
      <c r="X4886">
        <v>0.99742019999999998</v>
      </c>
      <c r="Y4886">
        <v>0.18746099999999999</v>
      </c>
      <c r="Z4886">
        <v>1.597202E-3</v>
      </c>
      <c r="AA4886">
        <v>0.98227070000000005</v>
      </c>
      <c r="AB4886">
        <v>20</v>
      </c>
      <c r="AC4886">
        <v>-116.5202</v>
      </c>
      <c r="AD4886">
        <v>-1.1088363525089999</v>
      </c>
      <c r="AE4886">
        <v>-5.3130999999999897</v>
      </c>
      <c r="AF4886">
        <v>21.903222464549899</v>
      </c>
      <c r="AG4886">
        <v>-1.1088363525089999</v>
      </c>
      <c r="AH4886">
        <v>114.55555936969699</v>
      </c>
      <c r="AI4886">
        <v>90.544708317867205</v>
      </c>
      <c r="AJ4886">
        <v>79.175591909873503</v>
      </c>
      <c r="AK4886">
        <v>116.636001538515</v>
      </c>
      <c r="AL4886">
        <v>94.028726022178802</v>
      </c>
      <c r="AM4886">
        <v>89.153801508441404</v>
      </c>
      <c r="AN4886">
        <v>1.0000000380417999</v>
      </c>
    </row>
    <row r="4887" spans="1:40" x14ac:dyDescent="0.25">
      <c r="A4887" t="str">
        <f>"20190305135027774"</f>
        <v>20190305135027774</v>
      </c>
      <c r="B4887" t="str">
        <f>"1551765027765526"</f>
        <v>1551765027765526</v>
      </c>
      <c r="C4887" t="s">
        <v>40</v>
      </c>
      <c r="D4887">
        <v>4.1129179999999996</v>
      </c>
      <c r="E4887">
        <v>0.56910119999999997</v>
      </c>
      <c r="F4887" t="s">
        <v>42</v>
      </c>
      <c r="G4887">
        <v>-328.15789999999998</v>
      </c>
      <c r="H4887" s="1">
        <v>-9.216101E-7</v>
      </c>
      <c r="I4887">
        <v>138.77619999999999</v>
      </c>
      <c r="J4887">
        <v>-208.5283</v>
      </c>
      <c r="K4887">
        <v>1.1086659999999999</v>
      </c>
      <c r="L4887">
        <v>144.01300000000001</v>
      </c>
      <c r="M4887">
        <v>-0.97287360000000001</v>
      </c>
      <c r="N4887">
        <v>-1.0209930000000001E-2</v>
      </c>
      <c r="O4887">
        <v>-0.2311117</v>
      </c>
      <c r="P4887">
        <v>-0.97332980000000002</v>
      </c>
      <c r="Q4887">
        <v>-8.0750299999999997E-2</v>
      </c>
      <c r="R4887">
        <v>-0.2147288</v>
      </c>
      <c r="S4887">
        <v>-3.0515140000000001</v>
      </c>
      <c r="T4887">
        <v>-2.823341E-2</v>
      </c>
      <c r="U4887">
        <v>-0.13461300000000001</v>
      </c>
      <c r="V4887">
        <v>1.591536E-2</v>
      </c>
      <c r="W4887">
        <v>-7.0600129999999997E-2</v>
      </c>
      <c r="X4887">
        <v>0.99737779999999998</v>
      </c>
      <c r="Y4887">
        <v>0.18800500000000001</v>
      </c>
      <c r="Z4887">
        <v>1.5716770000000001E-3</v>
      </c>
      <c r="AA4887">
        <v>0.98216680000000001</v>
      </c>
      <c r="AB4887">
        <v>20</v>
      </c>
      <c r="AC4887">
        <v>-119.629599999999</v>
      </c>
      <c r="AD4887">
        <v>-1.1086669216100999</v>
      </c>
      <c r="AE4887">
        <v>-5.2368000000000103</v>
      </c>
      <c r="AF4887">
        <v>22.5522992156505</v>
      </c>
      <c r="AG4887">
        <v>-1.1086669216100999</v>
      </c>
      <c r="AH4887">
        <v>117.590820653059</v>
      </c>
      <c r="AI4887">
        <v>90.530510733420996</v>
      </c>
      <c r="AJ4887">
        <v>79.143288235445794</v>
      </c>
      <c r="AK4887">
        <v>119.739034755234</v>
      </c>
      <c r="AL4887">
        <v>94.048457107645703</v>
      </c>
      <c r="AM4887">
        <v>89.085797206473799</v>
      </c>
      <c r="AN4887">
        <v>1.0000000764863901</v>
      </c>
    </row>
    <row r="4888" spans="1:40" x14ac:dyDescent="0.25">
      <c r="A4888" t="str">
        <f>"20190305135027795"</f>
        <v>20190305135027795</v>
      </c>
      <c r="B4888" t="str">
        <f>"1551765027785046"</f>
        <v>1551765027785046</v>
      </c>
      <c r="C4888" t="s">
        <v>40</v>
      </c>
      <c r="D4888">
        <v>3.6819299999999999</v>
      </c>
      <c r="E4888">
        <v>0.56921860000000002</v>
      </c>
      <c r="F4888" t="s">
        <v>42</v>
      </c>
      <c r="G4888">
        <v>-323.63720000000001</v>
      </c>
      <c r="H4888" s="1">
        <v>-2.7753820000000001E-6</v>
      </c>
      <c r="I4888">
        <v>139.2587</v>
      </c>
      <c r="J4888">
        <v>-208.71610000000001</v>
      </c>
      <c r="K4888">
        <v>1.108549</v>
      </c>
      <c r="L4888">
        <v>143.96979999999999</v>
      </c>
      <c r="M4888">
        <v>-0.97315689999999999</v>
      </c>
      <c r="N4888">
        <v>-9.9305049999999992E-3</v>
      </c>
      <c r="O4888">
        <v>-0.2299281</v>
      </c>
      <c r="P4888">
        <v>-0.97397650000000002</v>
      </c>
      <c r="Q4888">
        <v>-8.0753179999999994E-2</v>
      </c>
      <c r="R4888">
        <v>-0.21177470000000001</v>
      </c>
      <c r="S4888">
        <v>-3.0519560000000001</v>
      </c>
      <c r="T4888">
        <v>-2.939487E-2</v>
      </c>
      <c r="U4888">
        <v>-0.1260529</v>
      </c>
      <c r="V4888">
        <v>1.771083E-2</v>
      </c>
      <c r="W4888">
        <v>-7.0888980000000004E-2</v>
      </c>
      <c r="X4888">
        <v>0.99732699999999996</v>
      </c>
      <c r="Y4888">
        <v>0.1895645</v>
      </c>
      <c r="Z4888">
        <v>1.7494920000000001E-3</v>
      </c>
      <c r="AA4888">
        <v>0.98186669999999998</v>
      </c>
      <c r="AB4888">
        <v>20</v>
      </c>
      <c r="AC4888">
        <v>-114.9211</v>
      </c>
      <c r="AD4888">
        <v>-1.108551775382</v>
      </c>
      <c r="AE4888">
        <v>-4.7110999999999796</v>
      </c>
      <c r="AF4888">
        <v>21.8380001186779</v>
      </c>
      <c r="AG4888">
        <v>-1.108551775382</v>
      </c>
      <c r="AH4888">
        <v>112.914560653539</v>
      </c>
      <c r="AI4888">
        <v>90.552256856096903</v>
      </c>
      <c r="AJ4888">
        <v>79.053974025007193</v>
      </c>
      <c r="AK4888">
        <v>115.01228257801</v>
      </c>
      <c r="AL4888">
        <v>94.0650487400613</v>
      </c>
      <c r="AM4888">
        <v>88.982631413079702</v>
      </c>
      <c r="AN4888">
        <v>1.0000000329568599</v>
      </c>
    </row>
    <row r="4889" spans="1:40" x14ac:dyDescent="0.25">
      <c r="A4889" t="str">
        <f>"20190305135027817"</f>
        <v>20190305135027817</v>
      </c>
      <c r="B4889" t="str">
        <f>"1551765027815303"</f>
        <v>1551765027815303</v>
      </c>
      <c r="C4889" t="s">
        <v>40</v>
      </c>
      <c r="D4889">
        <v>4.1036950000000001</v>
      </c>
      <c r="E4889">
        <v>0.56929459999999998</v>
      </c>
      <c r="F4889" t="s">
        <v>42</v>
      </c>
      <c r="G4889">
        <v>-321.4633</v>
      </c>
      <c r="H4889" s="1">
        <v>-3.6675320000000001E-6</v>
      </c>
      <c r="I4889">
        <v>139.7028</v>
      </c>
      <c r="J4889">
        <v>-208.9145</v>
      </c>
      <c r="K4889">
        <v>1.1084529999999999</v>
      </c>
      <c r="L4889">
        <v>143.92439999999999</v>
      </c>
      <c r="M4889">
        <v>-0.97348109999999999</v>
      </c>
      <c r="N4889">
        <v>-9.6592799999999993E-3</v>
      </c>
      <c r="O4889">
        <v>-0.2285642</v>
      </c>
      <c r="P4889">
        <v>-0.97447779999999995</v>
      </c>
      <c r="Q4889">
        <v>-8.1103750000000002E-2</v>
      </c>
      <c r="R4889">
        <v>-0.20932120000000001</v>
      </c>
      <c r="S4889">
        <v>-3.0525669999999998</v>
      </c>
      <c r="T4889">
        <v>-3.0013439999999999E-2</v>
      </c>
      <c r="U4889">
        <v>-0.1155243</v>
      </c>
      <c r="V4889">
        <v>1.8803420000000001E-2</v>
      </c>
      <c r="W4889">
        <v>-7.1515919999999997E-2</v>
      </c>
      <c r="X4889">
        <v>0.99726219999999999</v>
      </c>
      <c r="Y4889">
        <v>0.19157650000000001</v>
      </c>
      <c r="Z4889">
        <v>1.871812E-3</v>
      </c>
      <c r="AA4889">
        <v>0.98147589999999996</v>
      </c>
      <c r="AB4889">
        <v>21</v>
      </c>
      <c r="AC4889">
        <v>-112.5488</v>
      </c>
      <c r="AD4889">
        <v>-1.108456667532</v>
      </c>
      <c r="AE4889">
        <v>-4.2215999999999898</v>
      </c>
      <c r="AF4889">
        <v>21.613889770681599</v>
      </c>
      <c r="AG4889">
        <v>-1.108456667532</v>
      </c>
      <c r="AH4889">
        <v>110.523468374804</v>
      </c>
      <c r="AI4889">
        <v>90.563927439709801</v>
      </c>
      <c r="AJ4889">
        <v>78.934923775001593</v>
      </c>
      <c r="AK4889">
        <v>112.622493174318</v>
      </c>
      <c r="AL4889">
        <v>94.101061313102903</v>
      </c>
      <c r="AM4889">
        <v>88.919813703596304</v>
      </c>
      <c r="AN4889">
        <v>0.99999999548299101</v>
      </c>
    </row>
    <row r="4890" spans="1:40" x14ac:dyDescent="0.25">
      <c r="A4890" t="str">
        <f>"20190305135027839"</f>
        <v>20190305135027839</v>
      </c>
      <c r="B4890" t="str">
        <f>"1551765027834822"</f>
        <v>1551765027834822</v>
      </c>
      <c r="C4890" t="s">
        <v>40</v>
      </c>
      <c r="D4890">
        <v>4.1567150000000002</v>
      </c>
      <c r="E4890">
        <v>0.56936129999999996</v>
      </c>
      <c r="F4890" t="s">
        <v>94</v>
      </c>
      <c r="G4890">
        <v>-316.27289999999999</v>
      </c>
      <c r="H4890" s="1">
        <v>-7.1636600000000003E-6</v>
      </c>
      <c r="I4890">
        <v>140.15649999999999</v>
      </c>
      <c r="J4890">
        <v>-209.1146</v>
      </c>
      <c r="K4890">
        <v>1.1083590000000001</v>
      </c>
      <c r="L4890">
        <v>143.8792</v>
      </c>
      <c r="M4890">
        <v>-0.97383229999999998</v>
      </c>
      <c r="N4890">
        <v>-9.4039469999999993E-3</v>
      </c>
      <c r="O4890">
        <v>-0.22707379999999999</v>
      </c>
      <c r="P4890">
        <v>-0.9749314</v>
      </c>
      <c r="Q4890">
        <v>-8.1815399999999996E-2</v>
      </c>
      <c r="R4890">
        <v>-0.2069183</v>
      </c>
      <c r="S4890">
        <v>-3.0529329999999999</v>
      </c>
      <c r="T4890">
        <v>-3.152108E-2</v>
      </c>
      <c r="U4890">
        <v>-0.1071472</v>
      </c>
      <c r="V4890">
        <v>1.9707840000000001E-2</v>
      </c>
      <c r="W4890">
        <v>-7.2487860000000001E-2</v>
      </c>
      <c r="X4890">
        <v>0.99717460000000002</v>
      </c>
      <c r="Y4890">
        <v>0.1927661</v>
      </c>
      <c r="Z4890">
        <v>2.0763819999999999E-3</v>
      </c>
      <c r="AA4890">
        <v>0.98124250000000002</v>
      </c>
      <c r="AB4890">
        <v>21</v>
      </c>
      <c r="AC4890">
        <v>-107.1583</v>
      </c>
      <c r="AD4890">
        <v>-1.10836616366</v>
      </c>
      <c r="AE4890">
        <v>-3.7227000000000001</v>
      </c>
      <c r="AF4890">
        <v>20.7062569824907</v>
      </c>
      <c r="AG4890">
        <v>-1.10836616366</v>
      </c>
      <c r="AH4890">
        <v>105.192937588966</v>
      </c>
      <c r="AI4890">
        <v>90.592310042171107</v>
      </c>
      <c r="AJ4890">
        <v>78.864222368233001</v>
      </c>
      <c r="AK4890">
        <v>107.217217238529</v>
      </c>
      <c r="AL4890">
        <v>94.156894122195993</v>
      </c>
      <c r="AM4890">
        <v>88.867771932927695</v>
      </c>
      <c r="AN4890">
        <v>1.0000000358450001</v>
      </c>
    </row>
    <row r="4891" spans="1:40" x14ac:dyDescent="0.25">
      <c r="A4891" t="str">
        <f>"20190305135027853"</f>
        <v>20190305135027853</v>
      </c>
      <c r="B4891" t="str">
        <f>"1551765027845559"</f>
        <v>1551765027845559</v>
      </c>
      <c r="C4891" t="s">
        <v>40</v>
      </c>
      <c r="D4891">
        <v>4.1382219999999998</v>
      </c>
      <c r="E4891">
        <v>0.5693918</v>
      </c>
      <c r="F4891" t="s">
        <v>94</v>
      </c>
      <c r="G4891">
        <v>-310.40609999999998</v>
      </c>
      <c r="H4891" s="1">
        <v>-9.577407E-6</v>
      </c>
      <c r="I4891">
        <v>140.59039999999999</v>
      </c>
      <c r="J4891">
        <v>-209.23609999999999</v>
      </c>
      <c r="K4891">
        <v>1.1083069999999999</v>
      </c>
      <c r="L4891">
        <v>143.8519</v>
      </c>
      <c r="M4891">
        <v>-0.97405589999999997</v>
      </c>
      <c r="N4891">
        <v>-9.2542570000000001E-3</v>
      </c>
      <c r="O4891">
        <v>-0.22611819999999999</v>
      </c>
      <c r="P4891">
        <v>-0.97515169999999995</v>
      </c>
      <c r="Q4891">
        <v>-8.2163749999999994E-2</v>
      </c>
      <c r="R4891">
        <v>-0.20573839999999999</v>
      </c>
      <c r="S4891">
        <v>-3.053299</v>
      </c>
      <c r="T4891">
        <v>-3.3410309999999999E-2</v>
      </c>
      <c r="U4891">
        <v>-9.9136349999999998E-2</v>
      </c>
      <c r="V4891">
        <v>1.99212E-2</v>
      </c>
      <c r="W4891">
        <v>-7.2988109999999995E-2</v>
      </c>
      <c r="X4891">
        <v>0.99713390000000002</v>
      </c>
      <c r="Y4891">
        <v>0.1943764</v>
      </c>
      <c r="Z4891">
        <v>2.3102280000000001E-3</v>
      </c>
      <c r="AA4891">
        <v>0.98092429999999997</v>
      </c>
      <c r="AB4891">
        <v>21</v>
      </c>
      <c r="AC4891">
        <v>-101.17</v>
      </c>
      <c r="AD4891">
        <v>-1.1083165774069901</v>
      </c>
      <c r="AE4891">
        <v>-3.2615000000000101</v>
      </c>
      <c r="AF4891">
        <v>19.6979772557236</v>
      </c>
      <c r="AG4891">
        <v>-1.1083165774069901</v>
      </c>
      <c r="AH4891">
        <v>99.275070812047502</v>
      </c>
      <c r="AI4891">
        <v>90.627399050614002</v>
      </c>
      <c r="AJ4891">
        <v>78.777240651311899</v>
      </c>
      <c r="AK4891">
        <v>101.216492521425</v>
      </c>
      <c r="AL4891">
        <v>94.1856323321894</v>
      </c>
      <c r="AM4891">
        <v>88.855470804808206</v>
      </c>
      <c r="AN4891">
        <v>1.0000000664699999</v>
      </c>
    </row>
    <row r="4892" spans="1:40" x14ac:dyDescent="0.25">
      <c r="A4892" t="str">
        <f>"20190305135027868"</f>
        <v>20190305135027868</v>
      </c>
      <c r="B4892" t="str">
        <f>"1551765027865078"</f>
        <v>1551765027865078</v>
      </c>
      <c r="C4892" t="s">
        <v>40</v>
      </c>
      <c r="D4892">
        <v>4.1341890000000001</v>
      </c>
      <c r="E4892">
        <v>0.56944969999999995</v>
      </c>
      <c r="F4892" t="s">
        <v>94</v>
      </c>
      <c r="G4892">
        <v>-307.23930000000001</v>
      </c>
      <c r="H4892" s="1">
        <v>-9.4465179999999993E-6</v>
      </c>
      <c r="I4892">
        <v>140.7944</v>
      </c>
      <c r="J4892">
        <v>-209.37289999999999</v>
      </c>
      <c r="K4892">
        <v>1.1082449999999999</v>
      </c>
      <c r="L4892">
        <v>143.82140000000001</v>
      </c>
      <c r="M4892">
        <v>-0.97431900000000005</v>
      </c>
      <c r="N4892">
        <v>-9.0895149999999994E-3</v>
      </c>
      <c r="O4892">
        <v>-0.2249893</v>
      </c>
      <c r="P4892">
        <v>-0.97539699999999996</v>
      </c>
      <c r="Q4892">
        <v>-8.2123489999999993E-2</v>
      </c>
      <c r="R4892">
        <v>-0.20458879999999999</v>
      </c>
      <c r="S4892">
        <v>-3.053436</v>
      </c>
      <c r="T4892">
        <v>-3.4531239999999998E-2</v>
      </c>
      <c r="U4892">
        <v>-9.5260620000000004E-2</v>
      </c>
      <c r="V4892">
        <v>1.9932930000000001E-2</v>
      </c>
      <c r="W4892">
        <v>-7.3114399999999996E-2</v>
      </c>
      <c r="X4892">
        <v>0.99712440000000002</v>
      </c>
      <c r="Y4892">
        <v>0.1944834</v>
      </c>
      <c r="Z4892">
        <v>2.4488700000000001E-3</v>
      </c>
      <c r="AA4892">
        <v>0.98090270000000002</v>
      </c>
      <c r="AB4892">
        <v>21</v>
      </c>
      <c r="AC4892">
        <v>-97.866399999999999</v>
      </c>
      <c r="AD4892">
        <v>-1.108254446518</v>
      </c>
      <c r="AE4892">
        <v>-3.0270000000000099</v>
      </c>
      <c r="AF4892">
        <v>19.067971117582498</v>
      </c>
      <c r="AG4892">
        <v>-1.108254446518</v>
      </c>
      <c r="AH4892">
        <v>96.025785451416098</v>
      </c>
      <c r="AI4892">
        <v>90.648571634031001</v>
      </c>
      <c r="AJ4892">
        <v>78.768795702405896</v>
      </c>
      <c r="AK4892">
        <v>97.906931429907402</v>
      </c>
      <c r="AL4892">
        <v>94.192887656450694</v>
      </c>
      <c r="AM4892">
        <v>88.854786154708606</v>
      </c>
      <c r="AN4892">
        <v>1.00000005313055</v>
      </c>
    </row>
    <row r="4893" spans="1:40" x14ac:dyDescent="0.25">
      <c r="A4893" t="str">
        <f>"20190305135027887"</f>
        <v>20190305135027887</v>
      </c>
      <c r="B4893" t="str">
        <f>"1551765027874838"</f>
        <v>1551765027874838</v>
      </c>
      <c r="C4893" t="s">
        <v>40</v>
      </c>
      <c r="D4893">
        <v>4.0746539999999998</v>
      </c>
      <c r="E4893">
        <v>0.56945319999999899</v>
      </c>
      <c r="F4893" t="s">
        <v>94</v>
      </c>
      <c r="G4893">
        <v>-306.42660000000001</v>
      </c>
      <c r="H4893" s="1">
        <v>-9.3689960000000003E-6</v>
      </c>
      <c r="I4893">
        <v>140.92609999999999</v>
      </c>
      <c r="J4893">
        <v>-209.54140000000001</v>
      </c>
      <c r="K4893">
        <v>1.108158</v>
      </c>
      <c r="L4893">
        <v>143.7841</v>
      </c>
      <c r="M4893">
        <v>-0.97465880000000005</v>
      </c>
      <c r="N4893">
        <v>-8.889971E-3</v>
      </c>
      <c r="O4893">
        <v>-0.22351969999999999</v>
      </c>
      <c r="P4893">
        <v>-0.97569470000000003</v>
      </c>
      <c r="Q4893">
        <v>-8.1718840000000001E-2</v>
      </c>
      <c r="R4893">
        <v>-0.20332800000000001</v>
      </c>
      <c r="S4893">
        <v>-3.0536500000000002</v>
      </c>
      <c r="T4893">
        <v>-3.4869549999999999E-2</v>
      </c>
      <c r="U4893">
        <v>-9.1094969999999997E-2</v>
      </c>
      <c r="V4893">
        <v>1.9714570000000001E-2</v>
      </c>
      <c r="W4893">
        <v>-7.2910920000000004E-2</v>
      </c>
      <c r="X4893">
        <v>0.99714360000000002</v>
      </c>
      <c r="Y4893">
        <v>0.1943425</v>
      </c>
      <c r="Z4893">
        <v>2.5056129999999999E-3</v>
      </c>
      <c r="AA4893">
        <v>0.98093059999999999</v>
      </c>
      <c r="AB4893">
        <v>21</v>
      </c>
      <c r="AC4893">
        <v>-96.885199999999998</v>
      </c>
      <c r="AD4893">
        <v>-1.1081673689960001</v>
      </c>
      <c r="AE4893">
        <v>-2.8580000000000001</v>
      </c>
      <c r="AF4893">
        <v>18.8684566341711</v>
      </c>
      <c r="AG4893">
        <v>-1.1081673689960001</v>
      </c>
      <c r="AH4893">
        <v>95.060169886891501</v>
      </c>
      <c r="AI4893">
        <v>90.655117970240198</v>
      </c>
      <c r="AJ4893">
        <v>78.773301853886494</v>
      </c>
      <c r="AK4893">
        <v>96.921012116042107</v>
      </c>
      <c r="AL4893">
        <v>94.181198081115497</v>
      </c>
      <c r="AM4893">
        <v>88.867350188346194</v>
      </c>
      <c r="AN4893">
        <v>1.00000001277324</v>
      </c>
    </row>
    <row r="4894" spans="1:40" x14ac:dyDescent="0.25">
      <c r="A4894" t="str">
        <f>"20190305135027908"</f>
        <v>20190305135027908</v>
      </c>
      <c r="B4894" t="str">
        <f>"1551765027905095"</f>
        <v>1551765027905095</v>
      </c>
      <c r="C4894" t="s">
        <v>40</v>
      </c>
      <c r="D4894">
        <v>4.0910120000000001</v>
      </c>
      <c r="E4894">
        <v>0.56946889999999994</v>
      </c>
      <c r="F4894" t="s">
        <v>94</v>
      </c>
      <c r="G4894">
        <v>-309.35969999999998</v>
      </c>
      <c r="H4894" s="1">
        <v>-9.7939389999999995E-6</v>
      </c>
      <c r="I4894">
        <v>140.93860000000001</v>
      </c>
      <c r="J4894">
        <v>-209.74299999999999</v>
      </c>
      <c r="K4894">
        <v>1.108058</v>
      </c>
      <c r="L4894">
        <v>143.74</v>
      </c>
      <c r="M4894">
        <v>-0.97508669999999997</v>
      </c>
      <c r="N4894">
        <v>-8.6551119999999995E-3</v>
      </c>
      <c r="O4894">
        <v>-0.22165509999999999</v>
      </c>
      <c r="P4894">
        <v>-0.97601689999999997</v>
      </c>
      <c r="Q4894">
        <v>-8.0161209999999997E-2</v>
      </c>
      <c r="R4894">
        <v>-0.20239789999999999</v>
      </c>
      <c r="S4894">
        <v>-3.0537719999999999</v>
      </c>
      <c r="T4894">
        <v>-3.390253E-2</v>
      </c>
      <c r="U4894">
        <v>-8.7051390000000006E-2</v>
      </c>
      <c r="V4894">
        <v>1.8774679999999998E-2</v>
      </c>
      <c r="W4894">
        <v>-7.1587819999999996E-2</v>
      </c>
      <c r="X4894">
        <v>0.99725759999999997</v>
      </c>
      <c r="Y4894">
        <v>0.19376599999999999</v>
      </c>
      <c r="Z4894">
        <v>2.4251889999999999E-3</v>
      </c>
      <c r="AA4894">
        <v>0.98104480000000005</v>
      </c>
      <c r="AB4894">
        <v>21</v>
      </c>
      <c r="AC4894">
        <v>-99.616699999999895</v>
      </c>
      <c r="AD4894">
        <v>-1.108067793939</v>
      </c>
      <c r="AE4894">
        <v>-2.8014000000000001</v>
      </c>
      <c r="AF4894">
        <v>19.347274894257701</v>
      </c>
      <c r="AG4894">
        <v>-1.108067793939</v>
      </c>
      <c r="AH4894">
        <v>97.747442635878102</v>
      </c>
      <c r="AI4894">
        <v>90.637119565204301</v>
      </c>
      <c r="AJ4894">
        <v>78.804083725105201</v>
      </c>
      <c r="AK4894">
        <v>99.649924244448002</v>
      </c>
      <c r="AL4894">
        <v>94.105191395070406</v>
      </c>
      <c r="AM4894">
        <v>88.921459345308307</v>
      </c>
      <c r="AN4894">
        <v>1.0000000126696</v>
      </c>
    </row>
    <row r="4895" spans="1:40" x14ac:dyDescent="0.25">
      <c r="A4895" t="str">
        <f>"20190305135027929"</f>
        <v>20190305135027929</v>
      </c>
      <c r="B4895" t="str">
        <f>"1551765027924615"</f>
        <v>1551765027924615</v>
      </c>
      <c r="C4895" t="s">
        <v>40</v>
      </c>
      <c r="D4895">
        <v>4.0617489999999998</v>
      </c>
      <c r="E4895">
        <v>0.56971210000000005</v>
      </c>
      <c r="F4895" t="s">
        <v>42</v>
      </c>
      <c r="G4895">
        <v>-322.6071</v>
      </c>
      <c r="H4895" s="1">
        <v>-3.4277019999999999E-6</v>
      </c>
      <c r="I4895">
        <v>140.6456</v>
      </c>
      <c r="J4895">
        <v>-209.93639999999999</v>
      </c>
      <c r="K4895">
        <v>1.107952</v>
      </c>
      <c r="L4895">
        <v>143.69820000000001</v>
      </c>
      <c r="M4895">
        <v>-0.97552079999999997</v>
      </c>
      <c r="N4895">
        <v>-8.4416230000000005E-3</v>
      </c>
      <c r="O4895">
        <v>-0.21974540000000001</v>
      </c>
      <c r="P4895">
        <v>-0.97624489999999997</v>
      </c>
      <c r="Q4895">
        <v>-7.9030509999999998E-2</v>
      </c>
      <c r="R4895">
        <v>-0.2017438</v>
      </c>
      <c r="S4895">
        <v>-3.0538789999999998</v>
      </c>
      <c r="T4895">
        <v>-2.998197E-2</v>
      </c>
      <c r="U4895">
        <v>-8.3724980000000004E-2</v>
      </c>
      <c r="V4895">
        <v>1.7498219999999998E-2</v>
      </c>
      <c r="W4895">
        <v>-7.0669300000000004E-2</v>
      </c>
      <c r="X4895">
        <v>0.99734630000000002</v>
      </c>
      <c r="Y4895">
        <v>0.1929177</v>
      </c>
      <c r="Z4895">
        <v>2.0356789999999999E-3</v>
      </c>
      <c r="AA4895">
        <v>0.98121290000000005</v>
      </c>
      <c r="AB4895">
        <v>21</v>
      </c>
      <c r="AC4895">
        <v>-112.6707</v>
      </c>
      <c r="AD4895">
        <v>-1.1079554277020001</v>
      </c>
      <c r="AE4895">
        <v>-3.0526000000000102</v>
      </c>
      <c r="AF4895">
        <v>21.779663375854401</v>
      </c>
      <c r="AG4895">
        <v>-1.1079554277020001</v>
      </c>
      <c r="AH4895">
        <v>110.576654379807</v>
      </c>
      <c r="AI4895">
        <v>90.563251771448293</v>
      </c>
      <c r="AJ4895">
        <v>78.857402803877093</v>
      </c>
      <c r="AK4895">
        <v>112.706600498048</v>
      </c>
      <c r="AL4895">
        <v>94.052430531649193</v>
      </c>
      <c r="AM4895">
        <v>88.994861360148093</v>
      </c>
      <c r="AN4895">
        <v>0.99999998989467398</v>
      </c>
    </row>
    <row r="4896" spans="1:40" x14ac:dyDescent="0.25">
      <c r="A4896" t="str">
        <f>"20190305135028099"</f>
        <v>20190305135028099</v>
      </c>
      <c r="B4896" t="str">
        <f>"1551765028095415"</f>
        <v>1551765028095415</v>
      </c>
      <c r="C4896" t="s">
        <v>40</v>
      </c>
      <c r="D4896">
        <v>4.0572619999999997</v>
      </c>
      <c r="E4896">
        <v>0.57042969999999904</v>
      </c>
      <c r="F4896" t="s">
        <v>42</v>
      </c>
      <c r="G4896">
        <v>-339.50819999999999</v>
      </c>
      <c r="H4896" s="1">
        <v>-4.0173630000000002E-7</v>
      </c>
      <c r="I4896">
        <v>140.32579999999999</v>
      </c>
      <c r="J4896">
        <v>-211.54429999999999</v>
      </c>
      <c r="K4896">
        <v>1.1073200000000001</v>
      </c>
      <c r="L4896">
        <v>143.3724</v>
      </c>
      <c r="M4896">
        <v>-0.97969660000000003</v>
      </c>
      <c r="N4896">
        <v>-6.9459279999999997E-3</v>
      </c>
      <c r="O4896">
        <v>-0.2003664</v>
      </c>
      <c r="P4896">
        <v>-0.97908329999999999</v>
      </c>
      <c r="Q4896">
        <v>-7.3184070000000004E-2</v>
      </c>
      <c r="R4896">
        <v>-0.18984239999999999</v>
      </c>
      <c r="S4896">
        <v>-3.0544280000000001</v>
      </c>
      <c r="T4896">
        <v>-2.6118039999999999E-2</v>
      </c>
      <c r="U4896">
        <v>-7.9498289999999999E-2</v>
      </c>
      <c r="V4896">
        <v>9.9083729999999998E-3</v>
      </c>
      <c r="W4896">
        <v>-6.6297700000000001E-2</v>
      </c>
      <c r="X4896">
        <v>0.99775069999999999</v>
      </c>
      <c r="Y4896">
        <v>0.17480090000000001</v>
      </c>
      <c r="Z4896">
        <v>1.657974E-3</v>
      </c>
      <c r="AA4896">
        <v>0.98460239999999999</v>
      </c>
      <c r="AB4896">
        <v>22</v>
      </c>
      <c r="AC4896">
        <v>-127.9639</v>
      </c>
      <c r="AD4896">
        <v>-1.1073204017363001</v>
      </c>
      <c r="AE4896">
        <v>-3.04660000000001</v>
      </c>
      <c r="AF4896">
        <v>22.653769287629299</v>
      </c>
      <c r="AG4896">
        <v>-1.1073204017363001</v>
      </c>
      <c r="AH4896">
        <v>125.96982245821</v>
      </c>
      <c r="AI4896">
        <v>90.495686487573295</v>
      </c>
      <c r="AJ4896">
        <v>79.805189705887102</v>
      </c>
      <c r="AK4896">
        <v>127.995373320922</v>
      </c>
      <c r="AL4896">
        <v>93.801366583766907</v>
      </c>
      <c r="AM4896">
        <v>89.431030924276698</v>
      </c>
      <c r="AN4896">
        <v>1.0000000101156401</v>
      </c>
    </row>
    <row r="4897" spans="1:40" x14ac:dyDescent="0.25">
      <c r="A4897" t="str">
        <f>"20190305135028119"</f>
        <v>20190305135028119</v>
      </c>
      <c r="B4897" t="str">
        <f>"1551765028114935"</f>
        <v>1551765028114935</v>
      </c>
      <c r="C4897" t="s">
        <v>40</v>
      </c>
      <c r="D4897">
        <v>4.060981</v>
      </c>
      <c r="E4897">
        <v>0.57052899999999995</v>
      </c>
      <c r="F4897" t="s">
        <v>47</v>
      </c>
      <c r="G4897">
        <v>0</v>
      </c>
      <c r="H4897">
        <v>0</v>
      </c>
      <c r="I4897">
        <v>0</v>
      </c>
      <c r="J4897">
        <v>-211.7389</v>
      </c>
      <c r="K4897">
        <v>1.1072740000000001</v>
      </c>
      <c r="L4897">
        <v>143.3355</v>
      </c>
      <c r="M4897">
        <v>-0.98021290000000005</v>
      </c>
      <c r="N4897">
        <v>-6.7510189999999996E-3</v>
      </c>
      <c r="O4897">
        <v>-0.19783149999999999</v>
      </c>
      <c r="P4897">
        <v>-0.97936080000000003</v>
      </c>
      <c r="Q4897">
        <v>-7.1774859999999996E-2</v>
      </c>
      <c r="R4897">
        <v>-0.18894730000000001</v>
      </c>
      <c r="S4897">
        <v>-3.0568080000000002</v>
      </c>
      <c r="T4897">
        <v>-4.0346380000000001E-3</v>
      </c>
      <c r="U4897">
        <v>-3.5903930000000001E-2</v>
      </c>
      <c r="V4897">
        <v>8.2634790000000007E-3</v>
      </c>
      <c r="W4897">
        <v>-6.5075579999999994E-2</v>
      </c>
      <c r="X4897">
        <v>0.99784609999999996</v>
      </c>
      <c r="Y4897">
        <v>0.1863059</v>
      </c>
      <c r="Z4897">
        <v>-3.310071E-4</v>
      </c>
      <c r="AA4897">
        <v>0.98249169999999997</v>
      </c>
      <c r="AB4897">
        <v>22</v>
      </c>
      <c r="AC4897">
        <v>-3.0568080000000002</v>
      </c>
      <c r="AD4897">
        <v>-4.0346380000000001E-3</v>
      </c>
      <c r="AE4897">
        <v>-3.5903930000000001E-2</v>
      </c>
      <c r="AF4897">
        <v>0.56955134437921096</v>
      </c>
      <c r="AG4897">
        <v>-4.0346380000000001E-3</v>
      </c>
      <c r="AH4897">
        <v>3.0034884635447998</v>
      </c>
      <c r="AI4897">
        <v>90.075618767546999</v>
      </c>
      <c r="AJ4897">
        <v>79.262498287507299</v>
      </c>
      <c r="AK4897">
        <v>3.0570161862238598</v>
      </c>
      <c r="AL4897">
        <v>93.731192828467499</v>
      </c>
      <c r="AM4897">
        <v>89.525526383420001</v>
      </c>
      <c r="AN4897">
        <v>0.99999997774136395</v>
      </c>
    </row>
    <row r="4898" spans="1:40" x14ac:dyDescent="0.25">
      <c r="A4898" t="str">
        <f>"20190305135028133"</f>
        <v>20190305135028133</v>
      </c>
      <c r="B4898" t="str">
        <f>"1551765028124695"</f>
        <v>1551765028124695</v>
      </c>
      <c r="C4898" t="s">
        <v>40</v>
      </c>
      <c r="D4898">
        <v>4.1121080000000001</v>
      </c>
      <c r="E4898">
        <v>0.57053489999999996</v>
      </c>
      <c r="F4898" t="s">
        <v>47</v>
      </c>
      <c r="G4898">
        <v>0</v>
      </c>
      <c r="H4898">
        <v>0</v>
      </c>
      <c r="I4898">
        <v>0</v>
      </c>
      <c r="J4898">
        <v>-211.875</v>
      </c>
      <c r="K4898">
        <v>1.107245</v>
      </c>
      <c r="L4898">
        <v>143.31</v>
      </c>
      <c r="M4898">
        <v>-0.9805701</v>
      </c>
      <c r="N4898">
        <v>-6.6112230000000003E-3</v>
      </c>
      <c r="O4898">
        <v>-0.1960585</v>
      </c>
      <c r="P4898">
        <v>-0.97954070000000004</v>
      </c>
      <c r="Q4898">
        <v>-7.148699E-2</v>
      </c>
      <c r="R4898">
        <v>-0.18812219999999999</v>
      </c>
      <c r="S4898">
        <v>-3.057083</v>
      </c>
      <c r="T4898">
        <v>9.7250940000000001E-4</v>
      </c>
      <c r="U4898">
        <v>-3.2226560000000001E-2</v>
      </c>
      <c r="V4898">
        <v>7.3032259999999899E-3</v>
      </c>
      <c r="W4898">
        <v>-6.4923120000000001E-2</v>
      </c>
      <c r="X4898">
        <v>0.99786350000000001</v>
      </c>
      <c r="Y4898">
        <v>0.18571090000000001</v>
      </c>
      <c r="Z4898">
        <v>-7.8052199999999996E-4</v>
      </c>
      <c r="AA4898">
        <v>0.98260409999999998</v>
      </c>
      <c r="AB4898">
        <v>22</v>
      </c>
      <c r="AC4898">
        <v>-3.057083</v>
      </c>
      <c r="AD4898">
        <v>9.7250940000000001E-4</v>
      </c>
      <c r="AE4898">
        <v>-3.2226560000000001E-2</v>
      </c>
      <c r="AF4898">
        <v>0.56777895365798703</v>
      </c>
      <c r="AG4898">
        <v>9.7250940000000001E-4</v>
      </c>
      <c r="AH4898">
        <v>3.0040672742621202</v>
      </c>
      <c r="AI4898">
        <v>89.981774262530294</v>
      </c>
      <c r="AJ4898">
        <v>79.297153958663202</v>
      </c>
      <c r="AK4898">
        <v>3.0572527004296099</v>
      </c>
      <c r="AL4898">
        <v>93.722439080767302</v>
      </c>
      <c r="AM4898">
        <v>89.580667540753396</v>
      </c>
      <c r="AN4898">
        <v>0.99999995662639396</v>
      </c>
    </row>
    <row r="4899" spans="1:40" x14ac:dyDescent="0.25">
      <c r="A4899" t="str">
        <f>"20190305135028146"</f>
        <v>20190305135028146</v>
      </c>
      <c r="B4899" t="str">
        <f>"1551765028135431"</f>
        <v>1551765028135431</v>
      </c>
      <c r="C4899" t="s">
        <v>40</v>
      </c>
      <c r="D4899">
        <v>4.111669</v>
      </c>
      <c r="E4899">
        <v>0.57043330000000003</v>
      </c>
      <c r="F4899" t="s">
        <v>47</v>
      </c>
      <c r="G4899">
        <v>0</v>
      </c>
      <c r="H4899">
        <v>0</v>
      </c>
      <c r="I4899">
        <v>0</v>
      </c>
      <c r="J4899">
        <v>-212.0027</v>
      </c>
      <c r="K4899">
        <v>1.107219</v>
      </c>
      <c r="L4899">
        <v>143.28620000000001</v>
      </c>
      <c r="M4899">
        <v>-0.98090149999999998</v>
      </c>
      <c r="N4899">
        <v>-6.4794630000000004E-3</v>
      </c>
      <c r="O4899">
        <v>-0.19439780000000001</v>
      </c>
      <c r="P4899">
        <v>-0.97962930000000004</v>
      </c>
      <c r="Q4899">
        <v>-7.1580610000000003E-2</v>
      </c>
      <c r="R4899">
        <v>-0.18762519999999999</v>
      </c>
      <c r="S4899">
        <v>-3.057159</v>
      </c>
      <c r="T4899">
        <v>2.468348E-3</v>
      </c>
      <c r="U4899">
        <v>-2.963257E-2</v>
      </c>
      <c r="V4899">
        <v>6.1169600000000003E-3</v>
      </c>
      <c r="W4899">
        <v>-6.5143209999999993E-2</v>
      </c>
      <c r="X4899">
        <v>0.9978572</v>
      </c>
      <c r="Y4899">
        <v>0.1848805</v>
      </c>
      <c r="Z4899">
        <v>-8.9774859999999996E-4</v>
      </c>
      <c r="AA4899">
        <v>0.98276059999999998</v>
      </c>
      <c r="AB4899">
        <v>22</v>
      </c>
      <c r="AC4899">
        <v>-3.057159</v>
      </c>
      <c r="AD4899">
        <v>2.468348E-3</v>
      </c>
      <c r="AE4899">
        <v>-2.963257E-2</v>
      </c>
      <c r="AF4899">
        <v>0.56524978068374898</v>
      </c>
      <c r="AG4899">
        <v>2.468348E-3</v>
      </c>
      <c r="AH4899">
        <v>3.0045931073027101</v>
      </c>
      <c r="AI4899">
        <v>89.953741581278294</v>
      </c>
      <c r="AJ4899">
        <v>79.345557853995899</v>
      </c>
      <c r="AK4899">
        <v>3.0573016121664902</v>
      </c>
      <c r="AL4899">
        <v>93.735075811253594</v>
      </c>
      <c r="AM4899">
        <v>89.648775795295407</v>
      </c>
      <c r="AN4899">
        <v>1.0000000233002899</v>
      </c>
    </row>
    <row r="4900" spans="1:40" x14ac:dyDescent="0.25">
      <c r="A4900" t="str">
        <f>"20190305135028165"</f>
        <v>20190305135028165</v>
      </c>
      <c r="B4900" t="str">
        <f>"1551765028154951"</f>
        <v>1551765028154951</v>
      </c>
      <c r="C4900" t="s">
        <v>40</v>
      </c>
      <c r="D4900">
        <v>4.116447</v>
      </c>
      <c r="E4900">
        <v>0.57016769999999894</v>
      </c>
      <c r="F4900" t="s">
        <v>47</v>
      </c>
      <c r="G4900">
        <v>0</v>
      </c>
      <c r="H4900">
        <v>0</v>
      </c>
      <c r="I4900">
        <v>0</v>
      </c>
      <c r="J4900">
        <v>-212.19130000000001</v>
      </c>
      <c r="K4900">
        <v>1.107181</v>
      </c>
      <c r="L4900">
        <v>143.2516</v>
      </c>
      <c r="M4900">
        <v>-0.98138460000000005</v>
      </c>
      <c r="N4900">
        <v>-6.2835909999999998E-3</v>
      </c>
      <c r="O4900">
        <v>-0.19195010000000001</v>
      </c>
      <c r="P4900">
        <v>-0.9795218</v>
      </c>
      <c r="Q4900">
        <v>-7.1731050000000005E-2</v>
      </c>
      <c r="R4900">
        <v>-0.18812780000000001</v>
      </c>
      <c r="S4900">
        <v>-3.0569920000000002</v>
      </c>
      <c r="T4900">
        <v>2.048612E-3</v>
      </c>
      <c r="U4900">
        <v>-2.8808589999999999E-2</v>
      </c>
      <c r="V4900">
        <v>3.1119799999999999E-3</v>
      </c>
      <c r="W4900">
        <v>-6.5476279999999998E-2</v>
      </c>
      <c r="X4900">
        <v>0.99784930000000005</v>
      </c>
      <c r="Y4900">
        <v>0.18269289999999999</v>
      </c>
      <c r="Z4900">
        <v>-8.2726209999999998E-4</v>
      </c>
      <c r="AA4900">
        <v>0.98316970000000004</v>
      </c>
      <c r="AB4900">
        <v>22</v>
      </c>
      <c r="AC4900">
        <v>-3.0569920000000002</v>
      </c>
      <c r="AD4900">
        <v>2.048612E-3</v>
      </c>
      <c r="AE4900">
        <v>-2.8808589999999999E-2</v>
      </c>
      <c r="AF4900">
        <v>0.55852837310101899</v>
      </c>
      <c r="AG4900">
        <v>2.048612E-3</v>
      </c>
      <c r="AH4900">
        <v>3.0056725845884</v>
      </c>
      <c r="AI4900">
        <v>89.961605511266001</v>
      </c>
      <c r="AJ4900">
        <v>79.473097379167896</v>
      </c>
      <c r="AK4900">
        <v>3.0571270542972702</v>
      </c>
      <c r="AL4900">
        <v>93.754200133522602</v>
      </c>
      <c r="AM4900">
        <v>89.821312955913598</v>
      </c>
      <c r="AN4900">
        <v>1.00000002658632</v>
      </c>
    </row>
    <row r="4901" spans="1:40" x14ac:dyDescent="0.25">
      <c r="A4901" t="str">
        <f>"20190305135028188"</f>
        <v>20190305135028188</v>
      </c>
      <c r="B4901" t="str">
        <f>"1551765028185207"</f>
        <v>1551765028185207</v>
      </c>
      <c r="C4901" t="s">
        <v>40</v>
      </c>
      <c r="D4901">
        <v>4.1101419999999997</v>
      </c>
      <c r="E4901">
        <v>0.56988559999999999</v>
      </c>
      <c r="F4901" t="s">
        <v>47</v>
      </c>
      <c r="G4901">
        <v>0</v>
      </c>
      <c r="H4901">
        <v>0</v>
      </c>
      <c r="I4901">
        <v>0</v>
      </c>
      <c r="J4901">
        <v>-212.4136</v>
      </c>
      <c r="K4901">
        <v>1.107137</v>
      </c>
      <c r="L4901">
        <v>143.2114</v>
      </c>
      <c r="M4901">
        <v>-0.98194429999999999</v>
      </c>
      <c r="N4901">
        <v>-6.040508E-3</v>
      </c>
      <c r="O4901">
        <v>-0.1890742</v>
      </c>
      <c r="P4901">
        <v>-0.97932220000000003</v>
      </c>
      <c r="Q4901">
        <v>-7.2398619999999997E-2</v>
      </c>
      <c r="R4901">
        <v>-0.18890940000000001</v>
      </c>
      <c r="S4901">
        <v>-3.0565639999999998</v>
      </c>
      <c r="T4901">
        <v>1.2046100000000001E-3</v>
      </c>
      <c r="U4901">
        <v>-3.2424929999999998E-2</v>
      </c>
      <c r="V4901">
        <v>-6.2025009999999996E-4</v>
      </c>
      <c r="W4901">
        <v>-6.6370579999999998E-2</v>
      </c>
      <c r="X4901">
        <v>0.99779490000000004</v>
      </c>
      <c r="Y4901">
        <v>0.1786469</v>
      </c>
      <c r="Z4901">
        <v>-7.1734360000000005E-4</v>
      </c>
      <c r="AA4901">
        <v>0.98391300000000004</v>
      </c>
      <c r="AB4901">
        <v>22</v>
      </c>
      <c r="AC4901">
        <v>-3.0565639999999998</v>
      </c>
      <c r="AD4901">
        <v>1.2046100000000001E-3</v>
      </c>
      <c r="AE4901">
        <v>-3.2424929999999998E-2</v>
      </c>
      <c r="AF4901">
        <v>0.54608775517058705</v>
      </c>
      <c r="AG4901">
        <v>1.2046100000000001E-3</v>
      </c>
      <c r="AH4901">
        <v>3.0075604937664</v>
      </c>
      <c r="AI4901">
        <v>89.977420661608605</v>
      </c>
      <c r="AJ4901">
        <v>79.708826725382593</v>
      </c>
      <c r="AK4901">
        <v>3.0567357444007</v>
      </c>
      <c r="AL4901">
        <v>93.805551363561705</v>
      </c>
      <c r="AM4901">
        <v>90.035616245778698</v>
      </c>
      <c r="AN4901">
        <v>1.0000000505328599</v>
      </c>
    </row>
    <row r="4902" spans="1:40" x14ac:dyDescent="0.25">
      <c r="A4902" t="str">
        <f>"20190305135028208"</f>
        <v>20190305135028208</v>
      </c>
      <c r="B4902" t="str">
        <f>"1551765028204728"</f>
        <v>1551765028204728</v>
      </c>
      <c r="C4902" t="s">
        <v>40</v>
      </c>
      <c r="D4902">
        <v>4.0975609999999998</v>
      </c>
      <c r="E4902">
        <v>0.56964619999999999</v>
      </c>
      <c r="F4902" t="s">
        <v>47</v>
      </c>
      <c r="G4902">
        <v>0</v>
      </c>
      <c r="H4902">
        <v>0</v>
      </c>
      <c r="I4902">
        <v>0</v>
      </c>
      <c r="J4902">
        <v>-212.625</v>
      </c>
      <c r="K4902">
        <v>1.107084</v>
      </c>
      <c r="L4902">
        <v>143.1738</v>
      </c>
      <c r="M4902">
        <v>-0.98246650000000002</v>
      </c>
      <c r="N4902">
        <v>-5.7910399999999999E-3</v>
      </c>
      <c r="O4902">
        <v>-0.18634870000000001</v>
      </c>
      <c r="P4902">
        <v>-0.97915980000000002</v>
      </c>
      <c r="Q4902">
        <v>-7.2624480000000005E-2</v>
      </c>
      <c r="R4902">
        <v>-0.1896629</v>
      </c>
      <c r="S4902">
        <v>-3.0561219999999998</v>
      </c>
      <c r="T4902">
        <v>-9.7274779999999999E-4</v>
      </c>
      <c r="U4902">
        <v>-3.7094120000000001E-2</v>
      </c>
      <c r="V4902">
        <v>-4.1618590000000004E-3</v>
      </c>
      <c r="W4902">
        <v>-6.6830169999999994E-2</v>
      </c>
      <c r="X4902">
        <v>0.99775570000000002</v>
      </c>
      <c r="Y4902">
        <v>0.17441099999999901</v>
      </c>
      <c r="Z4902">
        <v>-4.9237290000000002E-4</v>
      </c>
      <c r="AA4902">
        <v>0.98467280000000001</v>
      </c>
      <c r="AB4902">
        <v>22</v>
      </c>
      <c r="AC4902">
        <v>-3.0561219999999998</v>
      </c>
      <c r="AD4902">
        <v>-9.7274779999999999E-4</v>
      </c>
      <c r="AE4902">
        <v>-3.7094120000000001E-2</v>
      </c>
      <c r="AF4902">
        <v>0.53306957002648303</v>
      </c>
      <c r="AG4902">
        <v>-9.7274779999999999E-4</v>
      </c>
      <c r="AH4902">
        <v>3.0095003893766199</v>
      </c>
      <c r="AI4902">
        <v>90.018235607815797</v>
      </c>
      <c r="AJ4902">
        <v>79.9554435751689</v>
      </c>
      <c r="AK4902">
        <v>3.05634695451687</v>
      </c>
      <c r="AL4902">
        <v>93.831942662444803</v>
      </c>
      <c r="AM4902">
        <v>90.2389919422818</v>
      </c>
      <c r="AN4902">
        <v>1.0000000147875201</v>
      </c>
    </row>
    <row r="4903" spans="1:40" x14ac:dyDescent="0.25">
      <c r="A4903" t="str">
        <f>"20190305135028232"</f>
        <v>20190305135028232</v>
      </c>
      <c r="B4903" t="str">
        <f>"1551765028225223"</f>
        <v>1551765028225223</v>
      </c>
      <c r="C4903" t="s">
        <v>40</v>
      </c>
      <c r="D4903">
        <v>4.100689</v>
      </c>
      <c r="E4903">
        <v>0.56942530000000002</v>
      </c>
      <c r="F4903" t="s">
        <v>47</v>
      </c>
      <c r="G4903">
        <v>0</v>
      </c>
      <c r="H4903">
        <v>0</v>
      </c>
      <c r="I4903">
        <v>0</v>
      </c>
      <c r="J4903">
        <v>-212.85659999999999</v>
      </c>
      <c r="K4903">
        <v>1.107024</v>
      </c>
      <c r="L4903">
        <v>143.13319999999999</v>
      </c>
      <c r="M4903">
        <v>-0.9830276</v>
      </c>
      <c r="N4903">
        <v>-5.5077340000000002E-3</v>
      </c>
      <c r="O4903">
        <v>-0.1833747</v>
      </c>
      <c r="P4903">
        <v>-0.97907</v>
      </c>
      <c r="Q4903">
        <v>-7.1851250000000005E-2</v>
      </c>
      <c r="R4903">
        <v>-0.19041759999999999</v>
      </c>
      <c r="S4903">
        <v>-3.0557099999999999</v>
      </c>
      <c r="T4903">
        <v>-2.2027489999999999E-3</v>
      </c>
      <c r="U4903">
        <v>-4.1198730000000003E-2</v>
      </c>
      <c r="V4903">
        <v>-7.937777E-3</v>
      </c>
      <c r="W4903">
        <v>-6.6322919999999994E-2</v>
      </c>
      <c r="X4903">
        <v>0.99776659999999995</v>
      </c>
      <c r="Y4903">
        <v>0.1701056</v>
      </c>
      <c r="Z4903">
        <v>-3.5321369999999998E-4</v>
      </c>
      <c r="AA4903">
        <v>0.98542580000000002</v>
      </c>
      <c r="AB4903">
        <v>22</v>
      </c>
      <c r="AC4903">
        <v>-3.0557099999999999</v>
      </c>
      <c r="AD4903">
        <v>-2.2027489999999999E-3</v>
      </c>
      <c r="AE4903">
        <v>-4.1198730000000003E-2</v>
      </c>
      <c r="AF4903">
        <v>0.51984806235584802</v>
      </c>
      <c r="AG4903">
        <v>-2.2027489999999999E-3</v>
      </c>
      <c r="AH4903">
        <v>3.01144636799657</v>
      </c>
      <c r="AI4903">
        <v>90.041298681912494</v>
      </c>
      <c r="AJ4903">
        <v>80.205894431418997</v>
      </c>
      <c r="AK4903">
        <v>3.0559869252596599</v>
      </c>
      <c r="AL4903">
        <v>93.802814949951397</v>
      </c>
      <c r="AM4903">
        <v>90.455809531294506</v>
      </c>
      <c r="AN4903">
        <v>0.99999996304829297</v>
      </c>
    </row>
    <row r="4904" spans="1:40" x14ac:dyDescent="0.25">
      <c r="A4904" t="str">
        <f>"20190305135028244"</f>
        <v>20190305135028244</v>
      </c>
      <c r="B4904" t="str">
        <f>"1551765028234984"</f>
        <v>1551765028234984</v>
      </c>
      <c r="C4904" t="s">
        <v>40</v>
      </c>
      <c r="D4904">
        <v>4.0887830000000003</v>
      </c>
      <c r="E4904">
        <v>0.56931379999999998</v>
      </c>
      <c r="F4904" t="s">
        <v>47</v>
      </c>
      <c r="G4904">
        <v>0</v>
      </c>
      <c r="H4904">
        <v>0</v>
      </c>
      <c r="I4904">
        <v>0</v>
      </c>
      <c r="J4904">
        <v>-212.9941</v>
      </c>
      <c r="K4904">
        <v>1.1069929999999999</v>
      </c>
      <c r="L4904">
        <v>143.1095</v>
      </c>
      <c r="M4904">
        <v>-0.98335479999999997</v>
      </c>
      <c r="N4904">
        <v>-5.3422819999999899E-3</v>
      </c>
      <c r="O4904">
        <v>-0.181617</v>
      </c>
      <c r="P4904">
        <v>-0.97911320000000002</v>
      </c>
      <c r="Q4904">
        <v>-7.1341169999999995E-2</v>
      </c>
      <c r="R4904">
        <v>-0.190388</v>
      </c>
      <c r="S4904">
        <v>-3.0553439999999998</v>
      </c>
      <c r="T4904">
        <v>-6.0963629999999998E-4</v>
      </c>
      <c r="U4904">
        <v>-4.4982910000000001E-2</v>
      </c>
      <c r="V4904">
        <v>-9.6840729999999996E-3</v>
      </c>
      <c r="W4904">
        <v>-6.5970059999999997E-2</v>
      </c>
      <c r="X4904">
        <v>0.99777459999999996</v>
      </c>
      <c r="Y4904">
        <v>0.1671212</v>
      </c>
      <c r="Z4904">
        <v>-4.7542020000000001E-4</v>
      </c>
      <c r="AA4904">
        <v>0.98593620000000004</v>
      </c>
      <c r="AB4904">
        <v>23</v>
      </c>
      <c r="AC4904">
        <v>-3.0553439999999998</v>
      </c>
      <c r="AD4904">
        <v>-6.0963629999999998E-4</v>
      </c>
      <c r="AE4904">
        <v>-4.4982910000000001E-2</v>
      </c>
      <c r="AF4904">
        <v>0.51067553383824205</v>
      </c>
      <c r="AG4904">
        <v>-6.0963629999999998E-4</v>
      </c>
      <c r="AH4904">
        <v>3.0126998151748001</v>
      </c>
      <c r="AI4904">
        <v>90.011431054224502</v>
      </c>
      <c r="AJ4904">
        <v>80.3793765717827</v>
      </c>
      <c r="AK4904">
        <v>3.0556750561654402</v>
      </c>
      <c r="AL4904">
        <v>93.782553078691706</v>
      </c>
      <c r="AM4904">
        <v>90.556076582701095</v>
      </c>
      <c r="AN4904">
        <v>0.99999999124571604</v>
      </c>
    </row>
    <row r="4905" spans="1:40" x14ac:dyDescent="0.25">
      <c r="A4905" t="str">
        <f>"20190305135028257"</f>
        <v>20190305135028257</v>
      </c>
      <c r="B4905" t="str">
        <f>"1551765028254503"</f>
        <v>1551765028254503</v>
      </c>
      <c r="C4905" t="s">
        <v>40</v>
      </c>
      <c r="D4905">
        <v>4.0860510000000003</v>
      </c>
      <c r="E4905">
        <v>0.56914189999999998</v>
      </c>
      <c r="F4905" t="s">
        <v>47</v>
      </c>
      <c r="G4905">
        <v>0</v>
      </c>
      <c r="H4905">
        <v>0</v>
      </c>
      <c r="I4905">
        <v>0</v>
      </c>
      <c r="J4905">
        <v>-213.11510000000001</v>
      </c>
      <c r="K4905">
        <v>1.106965</v>
      </c>
      <c r="L4905">
        <v>143.08879999999999</v>
      </c>
      <c r="M4905">
        <v>-0.9836395</v>
      </c>
      <c r="N4905">
        <v>-5.2016179999999999E-3</v>
      </c>
      <c r="O4905">
        <v>-0.18007339999999999</v>
      </c>
      <c r="P4905">
        <v>-0.97914239999999997</v>
      </c>
      <c r="Q4905">
        <v>-7.089666E-2</v>
      </c>
      <c r="R4905">
        <v>-0.1904045</v>
      </c>
      <c r="S4905">
        <v>-3.0552060000000001</v>
      </c>
      <c r="T4905">
        <v>7.1704389999999998E-4</v>
      </c>
      <c r="U4905">
        <v>-4.5547490000000003E-2</v>
      </c>
      <c r="V4905">
        <v>-1.1260539999999999E-2</v>
      </c>
      <c r="W4905">
        <v>-6.5658759999999997E-2</v>
      </c>
      <c r="X4905">
        <v>0.99777859999999996</v>
      </c>
      <c r="Y4905">
        <v>0.16539039999999999</v>
      </c>
      <c r="Z4905">
        <v>-5.7210400000000004E-4</v>
      </c>
      <c r="AA4905">
        <v>0.98622799999999999</v>
      </c>
      <c r="AB4905">
        <v>23</v>
      </c>
      <c r="AC4905">
        <v>-3.0552060000000001</v>
      </c>
      <c r="AD4905">
        <v>7.1704389999999998E-4</v>
      </c>
      <c r="AE4905">
        <v>-4.5547490000000003E-2</v>
      </c>
      <c r="AF4905">
        <v>0.50536579239165902</v>
      </c>
      <c r="AG4905">
        <v>7.1704389999999998E-4</v>
      </c>
      <c r="AH4905">
        <v>3.0134635660412101</v>
      </c>
      <c r="AI4905">
        <v>89.986554416957006</v>
      </c>
      <c r="AJ4905">
        <v>80.479934911692695</v>
      </c>
      <c r="AK4905">
        <v>3.05554541156393</v>
      </c>
      <c r="AL4905">
        <v>93.764678100856102</v>
      </c>
      <c r="AM4905">
        <v>90.646590363790494</v>
      </c>
      <c r="AN4905">
        <v>1.0000000035718899</v>
      </c>
    </row>
    <row r="4906" spans="1:40" x14ac:dyDescent="0.25">
      <c r="A4906" t="str">
        <f>"20190305135028275"</f>
        <v>20190305135028275</v>
      </c>
      <c r="B4906" t="str">
        <f>"1551765028265242"</f>
        <v>1551765028265242</v>
      </c>
      <c r="C4906" t="s">
        <v>40</v>
      </c>
      <c r="D4906">
        <v>4.079008</v>
      </c>
      <c r="E4906">
        <v>0.56907580000000002</v>
      </c>
      <c r="F4906" t="s">
        <v>47</v>
      </c>
      <c r="G4906">
        <v>0</v>
      </c>
      <c r="H4906">
        <v>0</v>
      </c>
      <c r="I4906">
        <v>0</v>
      </c>
      <c r="J4906">
        <v>-213.3109</v>
      </c>
      <c r="K4906">
        <v>1.106919</v>
      </c>
      <c r="L4906">
        <v>143.0557</v>
      </c>
      <c r="M4906">
        <v>-0.98409369999999996</v>
      </c>
      <c r="N4906">
        <v>-4.9829360000000003E-3</v>
      </c>
      <c r="O4906">
        <v>-0.17758070000000001</v>
      </c>
      <c r="P4906">
        <v>-0.97906910000000003</v>
      </c>
      <c r="Q4906">
        <v>-7.0979689999999998E-2</v>
      </c>
      <c r="R4906">
        <v>-0.1907509</v>
      </c>
      <c r="S4906">
        <v>-3.054916</v>
      </c>
      <c r="T4906">
        <v>2.0180939999999998E-3</v>
      </c>
      <c r="U4906">
        <v>-4.6829219999999998E-2</v>
      </c>
      <c r="V4906">
        <v>-1.414439E-2</v>
      </c>
      <c r="W4906">
        <v>-6.5947119999999998E-2</v>
      </c>
      <c r="X4906">
        <v>0.99772289999999997</v>
      </c>
      <c r="Y4906">
        <v>0.1624757</v>
      </c>
      <c r="Z4906">
        <v>-6.5429940000000003E-4</v>
      </c>
      <c r="AA4906">
        <v>0.98671229999999999</v>
      </c>
      <c r="AB4906">
        <v>23</v>
      </c>
      <c r="AC4906">
        <v>-3.054916</v>
      </c>
      <c r="AD4906">
        <v>2.0180939999999998E-3</v>
      </c>
      <c r="AE4906">
        <v>-4.6829219999999998E-2</v>
      </c>
      <c r="AF4906">
        <v>0.49641569171243999</v>
      </c>
      <c r="AG4906">
        <v>2.0180939999999998E-3</v>
      </c>
      <c r="AH4906">
        <v>3.0146754482899101</v>
      </c>
      <c r="AI4906">
        <v>89.962154534010196</v>
      </c>
      <c r="AJ4906">
        <v>80.649224327066307</v>
      </c>
      <c r="AK4906">
        <v>3.0552742381337401</v>
      </c>
      <c r="AL4906">
        <v>93.781235676344096</v>
      </c>
      <c r="AM4906">
        <v>90.812209046762803</v>
      </c>
      <c r="AN4906">
        <v>1.00000003579458</v>
      </c>
    </row>
    <row r="4907" spans="1:40" x14ac:dyDescent="0.25">
      <c r="A4907" t="str">
        <f>"20190305135028297"</f>
        <v>20190305135028297</v>
      </c>
      <c r="B4907" t="str">
        <f>"1551765028294520"</f>
        <v>1551765028294520</v>
      </c>
      <c r="C4907" t="s">
        <v>40</v>
      </c>
      <c r="D4907">
        <v>4.0791180000000002</v>
      </c>
      <c r="E4907">
        <v>0.5688069</v>
      </c>
      <c r="F4907" t="s">
        <v>47</v>
      </c>
      <c r="G4907">
        <v>0</v>
      </c>
      <c r="H4907">
        <v>0</v>
      </c>
      <c r="I4907">
        <v>0</v>
      </c>
      <c r="J4907">
        <v>-213.53</v>
      </c>
      <c r="K4907">
        <v>1.1068659999999999</v>
      </c>
      <c r="L4907">
        <v>143.01929999999999</v>
      </c>
      <c r="M4907">
        <v>-0.98459300000000005</v>
      </c>
      <c r="N4907">
        <v>-4.7518630000000003E-3</v>
      </c>
      <c r="O4907">
        <v>-0.17479819999999999</v>
      </c>
      <c r="P4907">
        <v>-0.97917129999999997</v>
      </c>
      <c r="Q4907">
        <v>-7.1207370000000006E-2</v>
      </c>
      <c r="R4907">
        <v>-0.1901408</v>
      </c>
      <c r="S4907">
        <v>-3.0548250000000001</v>
      </c>
      <c r="T4907">
        <v>1.18041E-3</v>
      </c>
      <c r="U4907">
        <v>-4.8233030000000003E-2</v>
      </c>
      <c r="V4907">
        <v>-1.634992E-2</v>
      </c>
      <c r="W4907">
        <v>-6.639515E-2</v>
      </c>
      <c r="X4907">
        <v>0.99765939999999997</v>
      </c>
      <c r="Y4907">
        <v>0.15923209999999999</v>
      </c>
      <c r="Z4907">
        <v>-5.537443E-4</v>
      </c>
      <c r="AA4907">
        <v>0.98724100000000004</v>
      </c>
      <c r="AB4907">
        <v>23</v>
      </c>
      <c r="AC4907">
        <v>-3.0548250000000001</v>
      </c>
      <c r="AD4907">
        <v>1.18041E-3</v>
      </c>
      <c r="AE4907">
        <v>-4.8233030000000003E-2</v>
      </c>
      <c r="AF4907">
        <v>0.48649333840907</v>
      </c>
      <c r="AG4907">
        <v>1.18041E-3</v>
      </c>
      <c r="AH4907">
        <v>3.0162234086281901</v>
      </c>
      <c r="AI4907">
        <v>89.977863187213003</v>
      </c>
      <c r="AJ4907">
        <v>80.837547573989397</v>
      </c>
      <c r="AK4907">
        <v>3.05520552703755</v>
      </c>
      <c r="AL4907">
        <v>93.806962589004698</v>
      </c>
      <c r="AM4907">
        <v>90.938895137282003</v>
      </c>
      <c r="AN4907">
        <v>0.99999995711794298</v>
      </c>
    </row>
    <row r="4908" spans="1:40" x14ac:dyDescent="0.25">
      <c r="A4908" t="str">
        <f>"20190305135028310"</f>
        <v>20190305135028310</v>
      </c>
      <c r="B4908" t="str">
        <f>"1551765028305254"</f>
        <v>1551765028305254</v>
      </c>
      <c r="C4908" t="s">
        <v>40</v>
      </c>
      <c r="D4908">
        <v>4.090986</v>
      </c>
      <c r="E4908">
        <v>0.56873759999999995</v>
      </c>
      <c r="F4908" t="s">
        <v>47</v>
      </c>
      <c r="G4908">
        <v>0</v>
      </c>
      <c r="H4908">
        <v>0</v>
      </c>
      <c r="I4908">
        <v>0</v>
      </c>
      <c r="J4908">
        <v>-213.6634</v>
      </c>
      <c r="K4908">
        <v>1.106833</v>
      </c>
      <c r="L4908">
        <v>142.9974</v>
      </c>
      <c r="M4908">
        <v>-0.98489210000000005</v>
      </c>
      <c r="N4908">
        <v>-4.616836E-3</v>
      </c>
      <c r="O4908">
        <v>-0.1731075</v>
      </c>
      <c r="P4908">
        <v>-0.97927140000000001</v>
      </c>
      <c r="Q4908">
        <v>-7.1916599999999997E-2</v>
      </c>
      <c r="R4908">
        <v>-0.18935589999999999</v>
      </c>
      <c r="S4908">
        <v>-3.0543819999999999</v>
      </c>
      <c r="T4908">
        <v>-1.016498E-3</v>
      </c>
      <c r="U4908">
        <v>-4.8248289999999999E-2</v>
      </c>
      <c r="V4908">
        <v>-1.7278020000000002E-2</v>
      </c>
      <c r="W4908">
        <v>-6.7234779999999994E-2</v>
      </c>
      <c r="X4908">
        <v>0.99758760000000002</v>
      </c>
      <c r="Y4908">
        <v>0.15753</v>
      </c>
      <c r="Z4908">
        <v>-3.5522709999999999E-4</v>
      </c>
      <c r="AA4908">
        <v>0.98751409999999995</v>
      </c>
      <c r="AB4908">
        <v>23</v>
      </c>
      <c r="AC4908">
        <v>-3.0543819999999999</v>
      </c>
      <c r="AD4908">
        <v>-1.016498E-3</v>
      </c>
      <c r="AE4908">
        <v>-4.8248289999999999E-2</v>
      </c>
      <c r="AF4908">
        <v>0.481222154944281</v>
      </c>
      <c r="AG4908">
        <v>-1.016498E-3</v>
      </c>
      <c r="AH4908">
        <v>3.0166207037787598</v>
      </c>
      <c r="AI4908">
        <v>90.019065652099698</v>
      </c>
      <c r="AJ4908">
        <v>80.936340169304998</v>
      </c>
      <c r="AK4908">
        <v>3.05476288214716</v>
      </c>
      <c r="AL4908">
        <v>93.855177298294507</v>
      </c>
      <c r="AM4908">
        <v>90.992252364063404</v>
      </c>
      <c r="AN4908">
        <v>1.0000000326452601</v>
      </c>
    </row>
    <row r="4909" spans="1:40" x14ac:dyDescent="0.25">
      <c r="A4909" t="str">
        <f>"20190305135028331"</f>
        <v>20190305135028331</v>
      </c>
      <c r="B4909" t="str">
        <f>"1551765028324775"</f>
        <v>1551765028324775</v>
      </c>
      <c r="C4909" t="s">
        <v>40</v>
      </c>
      <c r="D4909">
        <v>4.079561</v>
      </c>
      <c r="E4909">
        <v>0.56863430000000004</v>
      </c>
      <c r="F4909" t="s">
        <v>47</v>
      </c>
      <c r="G4909">
        <v>0</v>
      </c>
      <c r="H4909">
        <v>0</v>
      </c>
      <c r="I4909">
        <v>0</v>
      </c>
      <c r="J4909">
        <v>-213.88579999999999</v>
      </c>
      <c r="K4909">
        <v>1.106792</v>
      </c>
      <c r="L4909">
        <v>142.9614</v>
      </c>
      <c r="M4909">
        <v>-0.98538429999999999</v>
      </c>
      <c r="N4909">
        <v>-4.4061689999999997E-3</v>
      </c>
      <c r="O4909">
        <v>-0.17028969999999999</v>
      </c>
      <c r="P4909">
        <v>-0.97936619999999996</v>
      </c>
      <c r="Q4909">
        <v>-7.2446549999999998E-2</v>
      </c>
      <c r="R4909">
        <v>-0.1886632</v>
      </c>
      <c r="S4909">
        <v>-3.0543209999999998</v>
      </c>
      <c r="T4909">
        <v>-3.2968519999999999E-3</v>
      </c>
      <c r="U4909">
        <v>-4.6340939999999997E-2</v>
      </c>
      <c r="V4909">
        <v>-1.9438540000000001E-2</v>
      </c>
      <c r="W4909">
        <v>-6.7964549999999999E-2</v>
      </c>
      <c r="X4909">
        <v>0.99749829999999995</v>
      </c>
      <c r="Y4909">
        <v>0.1553214</v>
      </c>
      <c r="Z4909">
        <v>-1.4419229999999901E-4</v>
      </c>
      <c r="AA4909">
        <v>0.98786399999999996</v>
      </c>
      <c r="AB4909">
        <v>23</v>
      </c>
      <c r="AC4909">
        <v>-3.0543209999999998</v>
      </c>
      <c r="AD4909">
        <v>-3.2968519999999999E-3</v>
      </c>
      <c r="AE4909">
        <v>-4.6340939999999997E-2</v>
      </c>
      <c r="AF4909">
        <v>0.47445977409220003</v>
      </c>
      <c r="AG4909">
        <v>-3.2968519999999999E-3</v>
      </c>
      <c r="AH4909">
        <v>3.0175967984641701</v>
      </c>
      <c r="AI4909">
        <v>90.061838331353997</v>
      </c>
      <c r="AJ4909">
        <v>81.064481236524003</v>
      </c>
      <c r="AK4909">
        <v>3.0546707489623</v>
      </c>
      <c r="AL4909">
        <v>93.897086235269398</v>
      </c>
      <c r="AM4909">
        <v>91.116398244099102</v>
      </c>
      <c r="AN4909">
        <v>0.99999994769846001</v>
      </c>
    </row>
    <row r="4910" spans="1:40" x14ac:dyDescent="0.25">
      <c r="A4910" t="str">
        <f>"20190305135028343"</f>
        <v>20190305135028343</v>
      </c>
      <c r="B4910" t="str">
        <f>"1551765028335512"</f>
        <v>1551765028335512</v>
      </c>
      <c r="C4910" t="s">
        <v>40</v>
      </c>
      <c r="D4910">
        <v>4.0517459999999996</v>
      </c>
      <c r="E4910">
        <v>0.56857740000000001</v>
      </c>
      <c r="F4910" t="s">
        <v>47</v>
      </c>
      <c r="G4910">
        <v>0</v>
      </c>
      <c r="H4910">
        <v>0</v>
      </c>
      <c r="I4910">
        <v>0</v>
      </c>
      <c r="J4910">
        <v>-214.01650000000001</v>
      </c>
      <c r="K4910">
        <v>1.1067709999999999</v>
      </c>
      <c r="L4910">
        <v>142.94059999999999</v>
      </c>
      <c r="M4910">
        <v>-0.98566909999999996</v>
      </c>
      <c r="N4910">
        <v>-4.2897409999999997E-3</v>
      </c>
      <c r="O4910">
        <v>-0.16863610000000001</v>
      </c>
      <c r="P4910">
        <v>-0.97953219999999996</v>
      </c>
      <c r="Q4910">
        <v>-7.2002839999999999E-2</v>
      </c>
      <c r="R4910">
        <v>-0.18796979999999999</v>
      </c>
      <c r="S4910">
        <v>-3.0541839999999998</v>
      </c>
      <c r="T4910">
        <v>-4.7286749999999999E-3</v>
      </c>
      <c r="U4910">
        <v>-4.4998169999999997E-2</v>
      </c>
      <c r="V4910">
        <v>-2.0400740000000001E-2</v>
      </c>
      <c r="W4910">
        <v>-6.7631930000000007E-2</v>
      </c>
      <c r="X4910">
        <v>0.99750170000000005</v>
      </c>
      <c r="Y4910">
        <v>0.15409729999999999</v>
      </c>
      <c r="Z4910" s="1">
        <v>-1.632373E-5</v>
      </c>
      <c r="AA4910">
        <v>0.98805560000000003</v>
      </c>
      <c r="AB4910">
        <v>24</v>
      </c>
      <c r="AC4910">
        <v>-3.0541839999999998</v>
      </c>
      <c r="AD4910">
        <v>-4.7286749999999999E-3</v>
      </c>
      <c r="AE4910">
        <v>-4.4998169999999997E-2</v>
      </c>
      <c r="AF4910">
        <v>0.47069554944666703</v>
      </c>
      <c r="AG4910">
        <v>-4.7286749999999999E-3</v>
      </c>
      <c r="AH4910">
        <v>3.0180234790863798</v>
      </c>
      <c r="AI4910">
        <v>90.0886993554128</v>
      </c>
      <c r="AJ4910">
        <v>81.135475954831705</v>
      </c>
      <c r="AK4910">
        <v>3.0545118073028998</v>
      </c>
      <c r="AL4910">
        <v>93.877984532357502</v>
      </c>
      <c r="AM4910">
        <v>91.171640479671396</v>
      </c>
      <c r="AN4910">
        <v>0.99999995482547999</v>
      </c>
    </row>
    <row r="4911" spans="1:40" x14ac:dyDescent="0.25">
      <c r="A4911" t="str">
        <f>"20190305135028367"</f>
        <v>20190305135028367</v>
      </c>
      <c r="B4911" t="str">
        <f>"1551765028364791"</f>
        <v>1551765028364791</v>
      </c>
      <c r="C4911" t="s">
        <v>40</v>
      </c>
      <c r="D4911">
        <v>4.0801910000000001</v>
      </c>
      <c r="E4911">
        <v>0.568407199999999</v>
      </c>
      <c r="F4911" t="s">
        <v>47</v>
      </c>
      <c r="G4911">
        <v>0</v>
      </c>
      <c r="H4911">
        <v>0</v>
      </c>
      <c r="I4911">
        <v>0</v>
      </c>
      <c r="J4911">
        <v>-214.26009999999999</v>
      </c>
      <c r="K4911">
        <v>1.1067309999999999</v>
      </c>
      <c r="L4911">
        <v>142.9023</v>
      </c>
      <c r="M4911">
        <v>-0.98619219999999996</v>
      </c>
      <c r="N4911">
        <v>-4.0852700000000002E-3</v>
      </c>
      <c r="O4911">
        <v>-0.16555520000000001</v>
      </c>
      <c r="P4911">
        <v>-0.9800546</v>
      </c>
      <c r="Q4911">
        <v>-7.0171049999999999E-2</v>
      </c>
      <c r="R4911">
        <v>-0.1859286</v>
      </c>
      <c r="S4911">
        <v>-3.0541689999999999</v>
      </c>
      <c r="T4911">
        <v>-3.2322409999999998E-3</v>
      </c>
      <c r="U4911">
        <v>-4.3243410000000003E-2</v>
      </c>
      <c r="V4911">
        <v>-2.1413829999999998E-2</v>
      </c>
      <c r="W4911">
        <v>-6.5997760000000003E-2</v>
      </c>
      <c r="X4911">
        <v>0.99758990000000003</v>
      </c>
      <c r="Y4911">
        <v>0.15157670000000001</v>
      </c>
      <c r="Z4911">
        <v>-1.144792E-4</v>
      </c>
      <c r="AA4911">
        <v>0.98844549999999998</v>
      </c>
      <c r="AB4911">
        <v>24</v>
      </c>
      <c r="AC4911">
        <v>-3.0541689999999999</v>
      </c>
      <c r="AD4911">
        <v>-3.2322409999999998E-3</v>
      </c>
      <c r="AE4911">
        <v>-4.3243410000000003E-2</v>
      </c>
      <c r="AF4911">
        <v>0.46299052880348501</v>
      </c>
      <c r="AG4911">
        <v>-3.2322409999999998E-3</v>
      </c>
      <c r="AH4911">
        <v>3.0191782240502101</v>
      </c>
      <c r="AI4911">
        <v>90.060630353334702</v>
      </c>
      <c r="AJ4911">
        <v>81.281618421747694</v>
      </c>
      <c r="AK4911">
        <v>3.05447341218132</v>
      </c>
      <c r="AL4911">
        <v>93.784143860708696</v>
      </c>
      <c r="AM4911">
        <v>91.229697384813605</v>
      </c>
      <c r="AN4911">
        <v>0.99999993251114505</v>
      </c>
    </row>
    <row r="4912" spans="1:40" x14ac:dyDescent="0.25">
      <c r="A4912" t="str">
        <f>"20190305135028388"</f>
        <v>20190305135028388</v>
      </c>
      <c r="B4912" t="str">
        <f>"1551765028385287"</f>
        <v>1551765028385287</v>
      </c>
      <c r="C4912" t="s">
        <v>40</v>
      </c>
      <c r="D4912">
        <v>4.0148570000000001</v>
      </c>
      <c r="E4912">
        <v>0.56823880000000004</v>
      </c>
      <c r="F4912" t="s">
        <v>47</v>
      </c>
      <c r="G4912">
        <v>0</v>
      </c>
      <c r="H4912">
        <v>0</v>
      </c>
      <c r="I4912">
        <v>0</v>
      </c>
      <c r="J4912">
        <v>-214.47829999999999</v>
      </c>
      <c r="K4912">
        <v>1.1067020000000001</v>
      </c>
      <c r="L4912">
        <v>142.86869999999999</v>
      </c>
      <c r="M4912">
        <v>-0.98665159999999996</v>
      </c>
      <c r="N4912">
        <v>-3.9151759999999898E-3</v>
      </c>
      <c r="O4912">
        <v>-0.1627979</v>
      </c>
      <c r="P4912">
        <v>-0.98055479999999995</v>
      </c>
      <c r="Q4912">
        <v>-6.8533230000000001E-2</v>
      </c>
      <c r="R4912">
        <v>-0.18389030000000001</v>
      </c>
      <c r="S4912">
        <v>-3.0540310000000002</v>
      </c>
      <c r="T4912">
        <v>2.6988979999999999E-3</v>
      </c>
      <c r="U4912">
        <v>-3.8131709999999999E-2</v>
      </c>
      <c r="V4912">
        <v>-2.2105699999999999E-2</v>
      </c>
      <c r="W4912">
        <v>-6.4524919999999999E-2</v>
      </c>
      <c r="X4912">
        <v>0.99767119999999998</v>
      </c>
      <c r="Y4912">
        <v>0.15046660000000001</v>
      </c>
      <c r="Z4912">
        <v>-5.5492159999999998E-4</v>
      </c>
      <c r="AA4912">
        <v>0.98861489999999996</v>
      </c>
      <c r="AB4912">
        <v>24</v>
      </c>
      <c r="AC4912">
        <v>-3.0540310000000002</v>
      </c>
      <c r="AD4912">
        <v>2.6988979999999999E-3</v>
      </c>
      <c r="AE4912">
        <v>-3.8131709999999999E-2</v>
      </c>
      <c r="AF4912">
        <v>0.45957031521281999</v>
      </c>
      <c r="AG4912">
        <v>2.6988979999999999E-3</v>
      </c>
      <c r="AH4912">
        <v>3.0194933239800199</v>
      </c>
      <c r="AI4912">
        <v>89.949370686359103</v>
      </c>
      <c r="AJ4912">
        <v>81.345933734794599</v>
      </c>
      <c r="AK4912">
        <v>3.0542678488035602</v>
      </c>
      <c r="AL4912">
        <v>93.699575891732806</v>
      </c>
      <c r="AM4912">
        <v>91.269312076808802</v>
      </c>
      <c r="AN4912">
        <v>0.999999975291467</v>
      </c>
    </row>
    <row r="4913" spans="1:40" x14ac:dyDescent="0.25">
      <c r="A4913" t="str">
        <f>"20190305135028410"</f>
        <v>20190305135028410</v>
      </c>
      <c r="B4913" t="str">
        <f>"1551765028404808"</f>
        <v>1551765028404808</v>
      </c>
      <c r="C4913" t="s">
        <v>40</v>
      </c>
      <c r="D4913">
        <v>4.0879560000000001</v>
      </c>
      <c r="E4913">
        <v>0.5680982</v>
      </c>
      <c r="F4913" t="s">
        <v>47</v>
      </c>
      <c r="G4913">
        <v>0</v>
      </c>
      <c r="H4913">
        <v>0</v>
      </c>
      <c r="I4913">
        <v>0</v>
      </c>
      <c r="J4913">
        <v>-214.71629999999999</v>
      </c>
      <c r="K4913">
        <v>1.1066590000000001</v>
      </c>
      <c r="L4913">
        <v>142.83269999999999</v>
      </c>
      <c r="M4913">
        <v>-0.98714259999999998</v>
      </c>
      <c r="N4913">
        <v>-3.735464E-3</v>
      </c>
      <c r="O4913">
        <v>-0.159798</v>
      </c>
      <c r="P4913">
        <v>-0.98117880000000002</v>
      </c>
      <c r="Q4913">
        <v>-6.7832219999999999E-2</v>
      </c>
      <c r="R4913">
        <v>-0.1807947</v>
      </c>
      <c r="S4913">
        <v>-3.053833</v>
      </c>
      <c r="T4913">
        <v>6.9696899999999997E-3</v>
      </c>
      <c r="U4913">
        <v>-3.2745360000000001E-2</v>
      </c>
      <c r="V4913">
        <v>-2.198276E-2</v>
      </c>
      <c r="W4913">
        <v>-6.400248E-2</v>
      </c>
      <c r="X4913">
        <v>0.99770760000000003</v>
      </c>
      <c r="Y4913">
        <v>0.149203</v>
      </c>
      <c r="Z4913">
        <v>-8.5397179999999997E-4</v>
      </c>
      <c r="AA4913">
        <v>0.98880619999999997</v>
      </c>
      <c r="AB4913">
        <v>24</v>
      </c>
      <c r="AC4913">
        <v>-3.053833</v>
      </c>
      <c r="AD4913">
        <v>6.9696899999999997E-3</v>
      </c>
      <c r="AE4913">
        <v>-3.2745360000000001E-2</v>
      </c>
      <c r="AF4913">
        <v>0.45567290213411898</v>
      </c>
      <c r="AG4913">
        <v>6.9696899999999997E-3</v>
      </c>
      <c r="AH4913">
        <v>3.0198068322912199</v>
      </c>
      <c r="AI4913">
        <v>89.869242275872494</v>
      </c>
      <c r="AJ4913">
        <v>81.419105433679306</v>
      </c>
      <c r="AK4913">
        <v>3.05400060161598</v>
      </c>
      <c r="AL4913">
        <v>93.669580164198294</v>
      </c>
      <c r="AM4913">
        <v>91.262209100036202</v>
      </c>
      <c r="AN4913">
        <v>1.0000000071405599</v>
      </c>
    </row>
    <row r="4914" spans="1:40" x14ac:dyDescent="0.25">
      <c r="A4914" t="str">
        <f>"20190305135028423"</f>
        <v>20190305135028423</v>
      </c>
      <c r="B4914" t="str">
        <f>"1551765028414568"</f>
        <v>1551765028414568</v>
      </c>
      <c r="C4914" t="s">
        <v>40</v>
      </c>
      <c r="D4914">
        <v>4.0777729999999996</v>
      </c>
      <c r="E4914">
        <v>0.56801959999999996</v>
      </c>
      <c r="F4914" t="s">
        <v>47</v>
      </c>
      <c r="G4914">
        <v>0</v>
      </c>
      <c r="H4914">
        <v>0</v>
      </c>
      <c r="I4914">
        <v>0</v>
      </c>
      <c r="J4914">
        <v>-214.85849999999999</v>
      </c>
      <c r="K4914">
        <v>1.1066279999999999</v>
      </c>
      <c r="L4914">
        <v>142.8116</v>
      </c>
      <c r="M4914">
        <v>-0.98743029999999998</v>
      </c>
      <c r="N4914">
        <v>-3.6268289999999998E-3</v>
      </c>
      <c r="O4914">
        <v>-0.158014299999999</v>
      </c>
      <c r="P4914">
        <v>-0.98159859999999999</v>
      </c>
      <c r="Q4914">
        <v>-6.7700319999999994E-2</v>
      </c>
      <c r="R4914">
        <v>-0.17855370000000001</v>
      </c>
      <c r="S4914">
        <v>-3.0536799999999999</v>
      </c>
      <c r="T4914">
        <v>8.7672469999999902E-3</v>
      </c>
      <c r="U4914">
        <v>-2.4230959999999999E-2</v>
      </c>
      <c r="V4914">
        <v>-2.1507040000000002E-2</v>
      </c>
      <c r="W4914">
        <v>-6.3980609999999993E-2</v>
      </c>
      <c r="X4914">
        <v>0.99771929999999998</v>
      </c>
      <c r="Y4914">
        <v>0.1501721</v>
      </c>
      <c r="Z4914">
        <v>-9.7037649999999996E-4</v>
      </c>
      <c r="AA4914">
        <v>0.98865939999999997</v>
      </c>
      <c r="AB4914">
        <v>24</v>
      </c>
      <c r="AC4914">
        <v>-3.0536799999999999</v>
      </c>
      <c r="AD4914">
        <v>8.7672469999999902E-3</v>
      </c>
      <c r="AE4914">
        <v>-2.4230959999999999E-2</v>
      </c>
      <c r="AF4914">
        <v>0.45859789782687399</v>
      </c>
      <c r="AG4914">
        <v>8.7672469999999902E-3</v>
      </c>
      <c r="AH4914">
        <v>3.01911956083093</v>
      </c>
      <c r="AI4914">
        <v>89.835505620229696</v>
      </c>
      <c r="AJ4914">
        <v>81.362915734293097</v>
      </c>
      <c r="AK4914">
        <v>3.05376354996636</v>
      </c>
      <c r="AL4914">
        <v>93.668324791838202</v>
      </c>
      <c r="AM4914">
        <v>91.234888219461496</v>
      </c>
      <c r="AN4914">
        <v>0.99999993640900897</v>
      </c>
    </row>
    <row r="4915" spans="1:40" x14ac:dyDescent="0.25">
      <c r="A4915" t="str">
        <f>"20190305135028443"</f>
        <v>20190305135028443</v>
      </c>
      <c r="B4915" t="str">
        <f>"1551765028435063"</f>
        <v>1551765028435063</v>
      </c>
      <c r="C4915" t="s">
        <v>40</v>
      </c>
      <c r="D4915">
        <v>4.0646589999999998</v>
      </c>
      <c r="E4915">
        <v>0.56773989999999996</v>
      </c>
      <c r="F4915" t="s">
        <v>47</v>
      </c>
      <c r="G4915">
        <v>0</v>
      </c>
      <c r="H4915">
        <v>0</v>
      </c>
      <c r="I4915">
        <v>0</v>
      </c>
      <c r="J4915">
        <v>-215.08699999999999</v>
      </c>
      <c r="K4915">
        <v>1.1065799999999999</v>
      </c>
      <c r="L4915">
        <v>142.77809999999999</v>
      </c>
      <c r="M4915">
        <v>-0.98788350000000003</v>
      </c>
      <c r="N4915">
        <v>-3.4474010000000001E-3</v>
      </c>
      <c r="O4915">
        <v>-0.15515889999999999</v>
      </c>
      <c r="P4915">
        <v>-0.98219849999999997</v>
      </c>
      <c r="Q4915">
        <v>-6.7402820000000002E-2</v>
      </c>
      <c r="R4915">
        <v>-0.17533660000000001</v>
      </c>
      <c r="S4915">
        <v>-3.0536189999999999</v>
      </c>
      <c r="T4915">
        <v>9.0473889999999994E-3</v>
      </c>
      <c r="U4915">
        <v>-1.7807010000000002E-2</v>
      </c>
      <c r="V4915">
        <v>-2.112137E-2</v>
      </c>
      <c r="W4915">
        <v>-6.3863279999999994E-2</v>
      </c>
      <c r="X4915">
        <v>0.99773509999999999</v>
      </c>
      <c r="Y4915">
        <v>0.14939340000000001</v>
      </c>
      <c r="Z4915">
        <v>-9.5863299999999997E-4</v>
      </c>
      <c r="AA4915">
        <v>0.98877740000000003</v>
      </c>
      <c r="AB4915">
        <v>24</v>
      </c>
      <c r="AC4915">
        <v>-3.0536189999999999</v>
      </c>
      <c r="AD4915">
        <v>9.0473889999999994E-3</v>
      </c>
      <c r="AE4915">
        <v>-1.7807010000000002E-2</v>
      </c>
      <c r="AF4915">
        <v>0.45620362493338501</v>
      </c>
      <c r="AG4915">
        <v>9.0473889999999994E-3</v>
      </c>
      <c r="AH4915">
        <v>3.01937421182335</v>
      </c>
      <c r="AI4915">
        <v>89.830243581422096</v>
      </c>
      <c r="AJ4915">
        <v>81.408047759364507</v>
      </c>
      <c r="AK4915">
        <v>3.05365751741645</v>
      </c>
      <c r="AL4915">
        <v>93.661588340331093</v>
      </c>
      <c r="AM4915">
        <v>91.212731347872193</v>
      </c>
      <c r="AN4915">
        <v>0.99999998028752202</v>
      </c>
    </row>
    <row r="4916" spans="1:40" x14ac:dyDescent="0.25">
      <c r="A4916" t="str">
        <f>"20190305135028466"</f>
        <v>20190305135028466</v>
      </c>
      <c r="B4916" t="str">
        <f>"1551765028455559"</f>
        <v>1551765028455559</v>
      </c>
      <c r="C4916" t="s">
        <v>40</v>
      </c>
      <c r="D4916">
        <v>4.0788929999999999</v>
      </c>
      <c r="E4916">
        <v>0.56757809999999997</v>
      </c>
      <c r="F4916" t="s">
        <v>47</v>
      </c>
      <c r="G4916">
        <v>0</v>
      </c>
      <c r="H4916">
        <v>0</v>
      </c>
      <c r="I4916">
        <v>0</v>
      </c>
      <c r="J4916">
        <v>-215.32820000000001</v>
      </c>
      <c r="K4916">
        <v>1.1065400000000001</v>
      </c>
      <c r="L4916">
        <v>142.74340000000001</v>
      </c>
      <c r="M4916">
        <v>-0.98834909999999998</v>
      </c>
      <c r="N4916">
        <v>-3.2510220000000001E-3</v>
      </c>
      <c r="O4916">
        <v>-0.15217</v>
      </c>
      <c r="P4916">
        <v>-0.98285730000000004</v>
      </c>
      <c r="Q4916">
        <v>-6.6931649999999995E-2</v>
      </c>
      <c r="R4916">
        <v>-0.17179059999999999</v>
      </c>
      <c r="S4916">
        <v>-3.0531619999999999</v>
      </c>
      <c r="T4916">
        <v>8.29231699999999E-3</v>
      </c>
      <c r="U4916">
        <v>-9.8419189999999993E-3</v>
      </c>
      <c r="V4916">
        <v>-2.0533679999999999E-2</v>
      </c>
      <c r="W4916">
        <v>-6.3590309999999997E-2</v>
      </c>
      <c r="X4916">
        <v>0.99776480000000001</v>
      </c>
      <c r="Y4916">
        <v>0.14898149999999999</v>
      </c>
      <c r="Z4916">
        <v>-8.6838009999999903E-4</v>
      </c>
      <c r="AA4916">
        <v>0.98883960000000004</v>
      </c>
      <c r="AB4916">
        <v>24</v>
      </c>
      <c r="AC4916">
        <v>-3.0531619999999999</v>
      </c>
      <c r="AD4916">
        <v>8.29231699999999E-3</v>
      </c>
      <c r="AE4916">
        <v>-9.8419189999999993E-3</v>
      </c>
      <c r="AF4916">
        <v>0.45487140786027103</v>
      </c>
      <c r="AG4916">
        <v>8.29231699999999E-3</v>
      </c>
      <c r="AH4916">
        <v>3.0190809098803602</v>
      </c>
      <c r="AI4916">
        <v>89.844386038330398</v>
      </c>
      <c r="AJ4916">
        <v>81.431945393104101</v>
      </c>
      <c r="AK4916">
        <v>3.05316660217126</v>
      </c>
      <c r="AL4916">
        <v>93.645916465058306</v>
      </c>
      <c r="AM4916">
        <v>91.178962370026497</v>
      </c>
      <c r="AN4916">
        <v>0.99999997782963901</v>
      </c>
    </row>
    <row r="4917" spans="1:40" x14ac:dyDescent="0.25">
      <c r="A4917" t="str">
        <f>"20190305135028489"</f>
        <v>20190305135028489</v>
      </c>
      <c r="B4917" t="str">
        <f>"1551765028484839"</f>
        <v>1551765028484839</v>
      </c>
      <c r="C4917" t="s">
        <v>40</v>
      </c>
      <c r="D4917">
        <v>3.9614609999999999</v>
      </c>
      <c r="E4917">
        <v>0.56735380000000002</v>
      </c>
      <c r="F4917" t="s">
        <v>47</v>
      </c>
      <c r="G4917">
        <v>0</v>
      </c>
      <c r="H4917">
        <v>0</v>
      </c>
      <c r="I4917">
        <v>0</v>
      </c>
      <c r="J4917">
        <v>-215.57859999999999</v>
      </c>
      <c r="K4917">
        <v>1.1064969999999901</v>
      </c>
      <c r="L4917">
        <v>142.7081</v>
      </c>
      <c r="M4917">
        <v>-0.98881730000000001</v>
      </c>
      <c r="N4917">
        <v>-3.04309999999999E-3</v>
      </c>
      <c r="O4917">
        <v>-0.14910119999999999</v>
      </c>
      <c r="P4917">
        <v>-0.98343369999999997</v>
      </c>
      <c r="Q4917">
        <v>-6.7479590000000006E-2</v>
      </c>
      <c r="R4917">
        <v>-0.16824049999999999</v>
      </c>
      <c r="S4917">
        <v>-3.0529630000000001</v>
      </c>
      <c r="T4917">
        <v>9.5691679999999994E-3</v>
      </c>
      <c r="U4917" s="1">
        <v>-6.1035159999999999E-5</v>
      </c>
      <c r="V4917">
        <v>-2.0037900000000001E-2</v>
      </c>
      <c r="W4917">
        <v>-6.4347989999999994E-2</v>
      </c>
      <c r="X4917">
        <v>0.99772629999999995</v>
      </c>
      <c r="Y4917">
        <v>0.1490793</v>
      </c>
      <c r="Z4917">
        <v>-9.2783359999999997E-4</v>
      </c>
      <c r="AA4917">
        <v>0.98882479999999995</v>
      </c>
      <c r="AB4917">
        <v>25</v>
      </c>
      <c r="AC4917">
        <v>-3.0529630000000001</v>
      </c>
      <c r="AD4917">
        <v>9.5691679999999994E-3</v>
      </c>
      <c r="AE4917" s="1">
        <v>-6.1035159999999999E-5</v>
      </c>
      <c r="AF4917">
        <v>0.45513771175252699</v>
      </c>
      <c r="AG4917">
        <v>9.5691679999999994E-3</v>
      </c>
      <c r="AH4917">
        <v>3.0188159286682699</v>
      </c>
      <c r="AI4917">
        <v>89.820411668709397</v>
      </c>
      <c r="AJ4917">
        <v>81.426262424030398</v>
      </c>
      <c r="AK4917">
        <v>3.0529480042766601</v>
      </c>
      <c r="AL4917">
        <v>93.689417437317999</v>
      </c>
      <c r="AM4917">
        <v>91.150548780277006</v>
      </c>
      <c r="AN4917">
        <v>0.99999997548256903</v>
      </c>
    </row>
    <row r="4918" spans="1:40" x14ac:dyDescent="0.25">
      <c r="A4918" t="str">
        <f>"20190305135028512"</f>
        <v>20190305135028512</v>
      </c>
      <c r="B4918" t="str">
        <f>"1551765028504559"</f>
        <v>1551765028504559</v>
      </c>
      <c r="C4918" t="s">
        <v>40</v>
      </c>
      <c r="D4918">
        <v>3.881135</v>
      </c>
      <c r="E4918">
        <v>0.56716250000000001</v>
      </c>
      <c r="F4918" t="s">
        <v>47</v>
      </c>
      <c r="G4918">
        <v>0</v>
      </c>
      <c r="H4918">
        <v>0</v>
      </c>
      <c r="I4918">
        <v>0</v>
      </c>
      <c r="J4918">
        <v>-215.83330000000001</v>
      </c>
      <c r="K4918">
        <v>1.1064560000000001</v>
      </c>
      <c r="L4918">
        <v>142.673</v>
      </c>
      <c r="M4918">
        <v>-0.98927710000000002</v>
      </c>
      <c r="N4918">
        <v>-2.8366490000000001E-3</v>
      </c>
      <c r="O4918">
        <v>-0.1460246</v>
      </c>
      <c r="P4918">
        <v>-0.98392500000000005</v>
      </c>
      <c r="Q4918">
        <v>-6.7819649999999995E-2</v>
      </c>
      <c r="R4918">
        <v>-0.16520499999999999</v>
      </c>
      <c r="S4918">
        <v>-3.0526279999999999</v>
      </c>
      <c r="T4918">
        <v>8.2360509999999994E-3</v>
      </c>
      <c r="U4918">
        <v>9.0026859999999993E-3</v>
      </c>
      <c r="V4918">
        <v>-2.0069549999999999E-2</v>
      </c>
      <c r="W4918">
        <v>-6.4893800000000001E-2</v>
      </c>
      <c r="X4918">
        <v>0.99769030000000003</v>
      </c>
      <c r="Y4918">
        <v>0.14893989999999999</v>
      </c>
      <c r="Z4918">
        <v>-7.9792289999999896E-4</v>
      </c>
      <c r="AA4918">
        <v>0.98884590000000006</v>
      </c>
      <c r="AB4918">
        <v>25</v>
      </c>
      <c r="AC4918">
        <v>-3.0526279999999999</v>
      </c>
      <c r="AD4918">
        <v>8.2360509999999994E-3</v>
      </c>
      <c r="AE4918">
        <v>9.0026859999999993E-3</v>
      </c>
      <c r="AF4918">
        <v>0.45466335997187401</v>
      </c>
      <c r="AG4918">
        <v>8.2360509999999994E-3</v>
      </c>
      <c r="AH4918">
        <v>3.0185699130958401</v>
      </c>
      <c r="AI4918">
        <v>89.845414770486201</v>
      </c>
      <c r="AJ4918">
        <v>81.434377823208294</v>
      </c>
      <c r="AK4918">
        <v>3.0526301649044201</v>
      </c>
      <c r="AL4918">
        <v>93.720755593097294</v>
      </c>
      <c r="AM4918">
        <v>91.152407160268993</v>
      </c>
      <c r="AN4918">
        <v>0.99999996341486497</v>
      </c>
    </row>
    <row r="4919" spans="1:40" x14ac:dyDescent="0.25">
      <c r="A4919" t="str">
        <f>"20190305135028532"</f>
        <v>20190305135028532</v>
      </c>
      <c r="B4919" t="str">
        <f>"1551765028525055"</f>
        <v>1551765028525055</v>
      </c>
      <c r="C4919" t="s">
        <v>40</v>
      </c>
      <c r="D4919">
        <v>4.0316599999999996</v>
      </c>
      <c r="E4919">
        <v>0.56694880000000003</v>
      </c>
      <c r="F4919" t="s">
        <v>47</v>
      </c>
      <c r="G4919">
        <v>0</v>
      </c>
      <c r="H4919">
        <v>0</v>
      </c>
      <c r="I4919">
        <v>0</v>
      </c>
      <c r="J4919">
        <v>-216.07910000000001</v>
      </c>
      <c r="K4919">
        <v>1.10642</v>
      </c>
      <c r="L4919">
        <v>142.63990000000001</v>
      </c>
      <c r="M4919">
        <v>-0.98970530000000001</v>
      </c>
      <c r="N4919">
        <v>-2.6483879999999998E-3</v>
      </c>
      <c r="O4919">
        <v>-0.1430971</v>
      </c>
      <c r="P4919">
        <v>-0.98440499999999997</v>
      </c>
      <c r="Q4919">
        <v>-6.7655090000000001E-2</v>
      </c>
      <c r="R4919">
        <v>-0.16238810000000001</v>
      </c>
      <c r="S4919">
        <v>-3.0523380000000002</v>
      </c>
      <c r="T4919">
        <v>7.0236919999999998E-3</v>
      </c>
      <c r="U4919">
        <v>1.690674E-2</v>
      </c>
      <c r="V4919">
        <v>-2.0164660000000001E-2</v>
      </c>
      <c r="W4919">
        <v>-6.4916390000000004E-2</v>
      </c>
      <c r="X4919">
        <v>0.99768690000000004</v>
      </c>
      <c r="Y4919">
        <v>0.1485756</v>
      </c>
      <c r="Z4919">
        <v>-6.8256909999999998E-4</v>
      </c>
      <c r="AA4919">
        <v>0.98890080000000002</v>
      </c>
      <c r="AB4919">
        <v>25</v>
      </c>
      <c r="AC4919">
        <v>-3.0523380000000002</v>
      </c>
      <c r="AD4919">
        <v>7.0236919999999998E-3</v>
      </c>
      <c r="AE4919">
        <v>1.690674E-2</v>
      </c>
      <c r="AF4919">
        <v>0.45351251040332702</v>
      </c>
      <c r="AG4919">
        <v>7.0236919999999998E-3</v>
      </c>
      <c r="AH4919">
        <v>3.0184898282575099</v>
      </c>
      <c r="AI4919">
        <v>89.868159045425102</v>
      </c>
      <c r="AJ4919">
        <v>81.4555154776385</v>
      </c>
      <c r="AK4919">
        <v>3.05237674159592</v>
      </c>
      <c r="AL4919">
        <v>93.722052686656795</v>
      </c>
      <c r="AM4919">
        <v>91.157870902465106</v>
      </c>
      <c r="AN4919">
        <v>0.99999995081757698</v>
      </c>
    </row>
    <row r="4920" spans="1:40" x14ac:dyDescent="0.25">
      <c r="A4920" t="str">
        <f>"20190305135028546"</f>
        <v>20190305135028546</v>
      </c>
      <c r="B4920" t="str">
        <f>"1551765028534816"</f>
        <v>1551765028534816</v>
      </c>
      <c r="C4920" t="s">
        <v>40</v>
      </c>
      <c r="D4920">
        <v>4.041709</v>
      </c>
      <c r="E4920">
        <v>0.56684990000000002</v>
      </c>
      <c r="F4920" t="s">
        <v>47</v>
      </c>
      <c r="G4920">
        <v>0</v>
      </c>
      <c r="H4920">
        <v>0</v>
      </c>
      <c r="I4920">
        <v>0</v>
      </c>
      <c r="J4920">
        <v>-216.23009999999999</v>
      </c>
      <c r="K4920">
        <v>1.106403</v>
      </c>
      <c r="L4920">
        <v>142.6198</v>
      </c>
      <c r="M4920">
        <v>-0.98996130000000004</v>
      </c>
      <c r="N4920">
        <v>-2.5389700000000002E-3</v>
      </c>
      <c r="O4920">
        <v>-0.14131669999999999</v>
      </c>
      <c r="P4920">
        <v>-0.98473569999999999</v>
      </c>
      <c r="Q4920">
        <v>-6.7604890000000001E-2</v>
      </c>
      <c r="R4920">
        <v>-0.160391899999999</v>
      </c>
      <c r="S4920">
        <v>-3.051987</v>
      </c>
      <c r="T4920">
        <v>6.9299940000000001E-3</v>
      </c>
      <c r="U4920">
        <v>2.4047849999999999E-2</v>
      </c>
      <c r="V4920">
        <v>-1.9937179999999999E-2</v>
      </c>
      <c r="W4920">
        <v>-6.4976249999999999E-2</v>
      </c>
      <c r="X4920">
        <v>0.99768760000000001</v>
      </c>
      <c r="Y4920">
        <v>0.149111299999999</v>
      </c>
      <c r="Z4920">
        <v>-6.5974789999999903E-4</v>
      </c>
      <c r="AA4920">
        <v>0.98882020000000004</v>
      </c>
      <c r="AB4920">
        <v>25</v>
      </c>
      <c r="AC4920">
        <v>-3.051987</v>
      </c>
      <c r="AD4920">
        <v>6.9299940000000001E-3</v>
      </c>
      <c r="AE4920">
        <v>2.4047849999999999E-2</v>
      </c>
      <c r="AF4920">
        <v>0.45510224003240002</v>
      </c>
      <c r="AG4920">
        <v>6.9299940000000001E-3</v>
      </c>
      <c r="AH4920">
        <v>3.0179444742216801</v>
      </c>
      <c r="AI4920">
        <v>89.869904934802904</v>
      </c>
      <c r="AJ4920">
        <v>81.4244819576016</v>
      </c>
      <c r="AK4920">
        <v>3.0520738724979299</v>
      </c>
      <c r="AL4920">
        <v>93.725489575647103</v>
      </c>
      <c r="AM4920">
        <v>91.144811512005603</v>
      </c>
      <c r="AN4920">
        <v>0.99999997570208699</v>
      </c>
    </row>
    <row r="4921" spans="1:40" x14ac:dyDescent="0.25">
      <c r="A4921" t="str">
        <f>"20190305135028566"</f>
        <v>20190305135028566</v>
      </c>
      <c r="B4921" t="str">
        <f>"1551765028555315"</f>
        <v>1551765028555315</v>
      </c>
      <c r="C4921" t="s">
        <v>40</v>
      </c>
      <c r="D4921">
        <v>4.0153559999999997</v>
      </c>
      <c r="E4921">
        <v>0.56661569999999895</v>
      </c>
      <c r="F4921" t="s">
        <v>47</v>
      </c>
      <c r="G4921">
        <v>0</v>
      </c>
      <c r="H4921">
        <v>0</v>
      </c>
      <c r="I4921">
        <v>0</v>
      </c>
      <c r="J4921">
        <v>-216.45169999999999</v>
      </c>
      <c r="K4921">
        <v>1.1063719999999999</v>
      </c>
      <c r="L4921">
        <v>142.5909</v>
      </c>
      <c r="M4921">
        <v>-0.99032779999999998</v>
      </c>
      <c r="N4921">
        <v>-2.3897380000000002E-3</v>
      </c>
      <c r="O4921">
        <v>-0.1387263</v>
      </c>
      <c r="P4921">
        <v>-0.98510120000000001</v>
      </c>
      <c r="Q4921">
        <v>-6.7081269999999998E-2</v>
      </c>
      <c r="R4921">
        <v>-0.15835339999999901</v>
      </c>
      <c r="S4921">
        <v>-3.0517729999999998</v>
      </c>
      <c r="T4921">
        <v>6.8415400000000001E-3</v>
      </c>
      <c r="U4921">
        <v>2.9525760000000002E-2</v>
      </c>
      <c r="V4921">
        <v>-2.0477169999999999E-2</v>
      </c>
      <c r="W4921">
        <v>-6.4598340000000004E-2</v>
      </c>
      <c r="X4921">
        <v>0.99770119999999896</v>
      </c>
      <c r="Y4921">
        <v>0.14829970000000001</v>
      </c>
      <c r="Z4921">
        <v>-6.3157399999999998E-4</v>
      </c>
      <c r="AA4921">
        <v>0.98894230000000005</v>
      </c>
      <c r="AB4921">
        <v>25</v>
      </c>
      <c r="AC4921">
        <v>-3.0517729999999998</v>
      </c>
      <c r="AD4921">
        <v>6.8415400000000001E-3</v>
      </c>
      <c r="AE4921">
        <v>2.9525760000000002E-2</v>
      </c>
      <c r="AF4921">
        <v>0.45260040985151001</v>
      </c>
      <c r="AG4921">
        <v>6.8415400000000001E-3</v>
      </c>
      <c r="AH4921">
        <v>3.01815332122165</v>
      </c>
      <c r="AI4921">
        <v>89.871558488878406</v>
      </c>
      <c r="AJ4921">
        <v>81.471510376858006</v>
      </c>
      <c r="AK4921">
        <v>3.0519081585245398</v>
      </c>
      <c r="AL4921">
        <v>93.703791353848104</v>
      </c>
      <c r="AM4921">
        <v>91.175793629169505</v>
      </c>
      <c r="AN4921">
        <v>0.99999997225170101</v>
      </c>
    </row>
    <row r="4922" spans="1:40" x14ac:dyDescent="0.25">
      <c r="A4922" t="str">
        <f>"20190305135028581"</f>
        <v>20190305135028581</v>
      </c>
      <c r="B4922" t="str">
        <f>"1551765028574832"</f>
        <v>1551765028574832</v>
      </c>
      <c r="C4922" t="s">
        <v>40</v>
      </c>
      <c r="D4922">
        <v>3.9939749999999998</v>
      </c>
      <c r="E4922">
        <v>0.56644490000000003</v>
      </c>
      <c r="F4922" t="s">
        <v>47</v>
      </c>
      <c r="G4922">
        <v>0</v>
      </c>
      <c r="H4922">
        <v>0</v>
      </c>
      <c r="I4922">
        <v>0</v>
      </c>
      <c r="J4922">
        <v>-216.6207</v>
      </c>
      <c r="K4922">
        <v>1.1063459999999901</v>
      </c>
      <c r="L4922">
        <v>142.5692</v>
      </c>
      <c r="M4922">
        <v>-0.99060060000000005</v>
      </c>
      <c r="N4922">
        <v>-2.2831420000000002E-3</v>
      </c>
      <c r="O4922">
        <v>-0.13676659999999999</v>
      </c>
      <c r="P4922">
        <v>-0.98536880000000004</v>
      </c>
      <c r="Q4922">
        <v>-6.6927249999999994E-2</v>
      </c>
      <c r="R4922">
        <v>-0.1567453</v>
      </c>
      <c r="S4922">
        <v>-3.0513309999999998</v>
      </c>
      <c r="T4922">
        <v>7.1132180000000001E-3</v>
      </c>
      <c r="U4922">
        <v>3.411865E-2</v>
      </c>
      <c r="V4922">
        <v>-2.082262E-2</v>
      </c>
      <c r="W4922">
        <v>-6.4548560000000005E-2</v>
      </c>
      <c r="X4922">
        <v>0.99769730000000001</v>
      </c>
      <c r="Y4922">
        <v>0.14783270000000001</v>
      </c>
      <c r="Z4922">
        <v>-6.3459119999999996E-4</v>
      </c>
      <c r="AA4922">
        <v>0.98901220000000001</v>
      </c>
      <c r="AB4922">
        <v>25</v>
      </c>
      <c r="AC4922">
        <v>-3.0513309999999998</v>
      </c>
      <c r="AD4922">
        <v>7.1132180000000001E-3</v>
      </c>
      <c r="AE4922">
        <v>3.411865E-2</v>
      </c>
      <c r="AF4922">
        <v>0.45111687663729599</v>
      </c>
      <c r="AG4922">
        <v>7.1132180000000001E-3</v>
      </c>
      <c r="AH4922">
        <v>3.01797569946081</v>
      </c>
      <c r="AI4922">
        <v>89.866440785706502</v>
      </c>
      <c r="AJ4922">
        <v>81.498562936712403</v>
      </c>
      <c r="AK4922">
        <v>3.0515134534839099</v>
      </c>
      <c r="AL4922">
        <v>93.700933100965898</v>
      </c>
      <c r="AM4922">
        <v>91.195628238072302</v>
      </c>
      <c r="AN4922">
        <v>1.00000000026451</v>
      </c>
    </row>
    <row r="4923" spans="1:40" x14ac:dyDescent="0.25">
      <c r="A4923" t="str">
        <f>"20190305135028600"</f>
        <v>20190305135028600</v>
      </c>
      <c r="B4923" t="str">
        <f>"1551765028595328"</f>
        <v>1551765028595328</v>
      </c>
      <c r="C4923" t="s">
        <v>40</v>
      </c>
      <c r="D4923">
        <v>4.0214160000000003</v>
      </c>
      <c r="E4923">
        <v>0.54325469999999998</v>
      </c>
      <c r="F4923" t="s">
        <v>47</v>
      </c>
      <c r="G4923">
        <v>0</v>
      </c>
      <c r="H4923">
        <v>0</v>
      </c>
      <c r="I4923">
        <v>0</v>
      </c>
      <c r="J4923">
        <v>-216.84059999999999</v>
      </c>
      <c r="K4923">
        <v>1.106314</v>
      </c>
      <c r="L4923">
        <v>142.54140000000001</v>
      </c>
      <c r="M4923">
        <v>-0.99094800000000005</v>
      </c>
      <c r="N4923">
        <v>-2.151666E-3</v>
      </c>
      <c r="O4923">
        <v>-0.13422990000000001</v>
      </c>
      <c r="P4923">
        <v>-0.9856241</v>
      </c>
      <c r="Q4923">
        <v>-6.7006079999999996E-2</v>
      </c>
      <c r="R4923">
        <v>-0.1550976</v>
      </c>
      <c r="S4923">
        <v>-3.0509490000000001</v>
      </c>
      <c r="T4923">
        <v>5.5701730000000003E-3</v>
      </c>
      <c r="U4923">
        <v>3.779602E-2</v>
      </c>
      <c r="V4923">
        <v>-2.1712909999999998E-2</v>
      </c>
      <c r="W4923">
        <v>-6.4753499999999894E-2</v>
      </c>
      <c r="X4923">
        <v>0.99766500000000002</v>
      </c>
      <c r="Y4923">
        <v>0.14649409999999999</v>
      </c>
      <c r="Z4923">
        <v>-5.1006700000000001E-4</v>
      </c>
      <c r="AA4923">
        <v>0.98921139999999996</v>
      </c>
      <c r="AB4923">
        <v>26</v>
      </c>
      <c r="AC4923">
        <v>-3.0509490000000001</v>
      </c>
      <c r="AD4923">
        <v>5.5701730000000003E-3</v>
      </c>
      <c r="AE4923">
        <v>3.779602E-2</v>
      </c>
      <c r="AF4923">
        <v>0.44698196223077902</v>
      </c>
      <c r="AG4923">
        <v>5.5701730000000003E-3</v>
      </c>
      <c r="AH4923">
        <v>3.0182550276318301</v>
      </c>
      <c r="AI4923">
        <v>89.895401848342004</v>
      </c>
      <c r="AJ4923">
        <v>81.576131807297202</v>
      </c>
      <c r="AK4923">
        <v>3.0511780205703798</v>
      </c>
      <c r="AL4923">
        <v>93.712700067575994</v>
      </c>
      <c r="AM4923">
        <v>91.246772954465797</v>
      </c>
      <c r="AN4923">
        <v>0.99999995922395801</v>
      </c>
    </row>
    <row r="4924" spans="1:40" x14ac:dyDescent="0.25">
      <c r="A4924" t="str">
        <f>"20190305135028622"</f>
        <v>20190305135028622</v>
      </c>
      <c r="B4924" t="str">
        <f>"1551765028614848"</f>
        <v>1551765028614848</v>
      </c>
      <c r="C4924" t="s">
        <v>40</v>
      </c>
      <c r="D4924">
        <v>4.013852</v>
      </c>
      <c r="E4924">
        <v>0.54343660000000005</v>
      </c>
      <c r="F4924" t="s">
        <v>41</v>
      </c>
      <c r="G4924">
        <v>-217.67230000000001</v>
      </c>
      <c r="H4924">
        <v>1.014742</v>
      </c>
      <c r="I4924">
        <v>142.51009999999999</v>
      </c>
      <c r="J4924">
        <v>-217.10749999999999</v>
      </c>
      <c r="K4924">
        <v>1.1062620000000001</v>
      </c>
      <c r="L4924">
        <v>142.5085</v>
      </c>
      <c r="M4924">
        <v>-0.99135830000000003</v>
      </c>
      <c r="N4924">
        <v>-2.0031269999999999E-3</v>
      </c>
      <c r="O4924">
        <v>-0.1311676</v>
      </c>
      <c r="P4924">
        <v>-0.98605759999999998</v>
      </c>
      <c r="Q4924">
        <v>-6.6371550000000001E-2</v>
      </c>
      <c r="R4924">
        <v>-0.15259719999999999</v>
      </c>
      <c r="S4924">
        <v>-3.0034480000000001</v>
      </c>
      <c r="T4924">
        <v>-0.33067010000000002</v>
      </c>
      <c r="U4924">
        <v>-0.11326600000000001</v>
      </c>
      <c r="V4924">
        <v>-2.2259270000000001E-2</v>
      </c>
      <c r="W4924">
        <v>-6.4263269999999997E-2</v>
      </c>
      <c r="X4924">
        <v>0.99768469999999998</v>
      </c>
      <c r="Y4924">
        <v>9.2389669999999993E-2</v>
      </c>
      <c r="Z4924">
        <v>1.9251440000000002E-2</v>
      </c>
      <c r="AA4924">
        <v>0.9955368</v>
      </c>
      <c r="AB4924">
        <v>26</v>
      </c>
      <c r="AC4924">
        <v>-0.56480000000001895</v>
      </c>
      <c r="AD4924">
        <v>-9.1520000000000004E-2</v>
      </c>
      <c r="AE4924">
        <v>1.59999999999627E-3</v>
      </c>
      <c r="AF4924">
        <v>7.3733775587069603E-2</v>
      </c>
      <c r="AG4924">
        <v>-9.1520000000000004E-2</v>
      </c>
      <c r="AH4924">
        <v>0.54539024237247902</v>
      </c>
      <c r="AI4924">
        <v>99.441524065619205</v>
      </c>
      <c r="AJ4924">
        <v>82.300606455725102</v>
      </c>
      <c r="AK4924">
        <v>0.55790957738457503</v>
      </c>
      <c r="AL4924">
        <v>93.684553174077607</v>
      </c>
      <c r="AM4924">
        <v>91.278109881515803</v>
      </c>
      <c r="AN4924">
        <v>1.0000000017930499</v>
      </c>
    </row>
    <row r="4925" spans="1:40" x14ac:dyDescent="0.25">
      <c r="A4925" t="str">
        <f>"20190305135028635"</f>
        <v>20190305135028635</v>
      </c>
      <c r="B4925" t="str">
        <f>"1551765028625584"</f>
        <v>1551765028625584</v>
      </c>
      <c r="C4925" t="s">
        <v>40</v>
      </c>
      <c r="D4925">
        <v>3.9924909999999998</v>
      </c>
      <c r="E4925">
        <v>0.54348350000000001</v>
      </c>
      <c r="F4925" t="s">
        <v>41</v>
      </c>
      <c r="G4925">
        <v>-217.9067</v>
      </c>
      <c r="H4925">
        <v>1.018197</v>
      </c>
      <c r="I4925">
        <v>142.48099999999999</v>
      </c>
      <c r="J4925">
        <v>-217.255</v>
      </c>
      <c r="K4925">
        <v>1.106239</v>
      </c>
      <c r="L4925">
        <v>142.4906</v>
      </c>
      <c r="M4925">
        <v>-0.99158009999999996</v>
      </c>
      <c r="N4925">
        <v>-1.9256690000000001E-3</v>
      </c>
      <c r="O4925">
        <v>-0.12947999999999901</v>
      </c>
      <c r="P4925">
        <v>-0.98629610000000001</v>
      </c>
      <c r="Q4925">
        <v>-6.6341919999999999E-2</v>
      </c>
      <c r="R4925">
        <v>-0.15105940000000001</v>
      </c>
      <c r="S4925">
        <v>-3.0040439999999999</v>
      </c>
      <c r="T4925">
        <v>-0.33092500000000002</v>
      </c>
      <c r="U4925">
        <v>-0.10404969999999999</v>
      </c>
      <c r="V4925">
        <v>-2.2403820000000001E-2</v>
      </c>
      <c r="W4925">
        <v>-6.4309519999999995E-2</v>
      </c>
      <c r="X4925">
        <v>0.99767850000000002</v>
      </c>
      <c r="Y4925">
        <v>9.3751509999999996E-2</v>
      </c>
      <c r="Z4925">
        <v>1.9166300000000001E-2</v>
      </c>
      <c r="AA4925">
        <v>0.99541109999999999</v>
      </c>
      <c r="AB4925">
        <v>26</v>
      </c>
      <c r="AC4925">
        <v>-0.65170000000000505</v>
      </c>
      <c r="AD4925">
        <v>-8.8041999999999898E-2</v>
      </c>
      <c r="AE4925">
        <v>-9.6000000000060395E-3</v>
      </c>
      <c r="AF4925">
        <v>7.3521547067258497E-2</v>
      </c>
      <c r="AG4925">
        <v>-8.8041999999999898E-2</v>
      </c>
      <c r="AH4925">
        <v>0.63585459768708197</v>
      </c>
      <c r="AI4925">
        <v>97.831667009592607</v>
      </c>
      <c r="AJ4925">
        <v>83.404387252122206</v>
      </c>
      <c r="AK4925">
        <v>0.64611754429589996</v>
      </c>
      <c r="AL4925">
        <v>93.687208538877897</v>
      </c>
      <c r="AM4925">
        <v>91.286415041076395</v>
      </c>
      <c r="AN4925">
        <v>1.0000000174377299</v>
      </c>
    </row>
    <row r="4926" spans="1:40" x14ac:dyDescent="0.25">
      <c r="A4926" t="str">
        <f>"20190305135028655"</f>
        <v>20190305135028655</v>
      </c>
      <c r="B4926" t="str">
        <f>"1551765028645103"</f>
        <v>1551765028645103</v>
      </c>
      <c r="C4926" t="s">
        <v>40</v>
      </c>
      <c r="D4926">
        <v>3.9853329999999998</v>
      </c>
      <c r="E4926">
        <v>0.5435719</v>
      </c>
      <c r="F4926" t="s">
        <v>41</v>
      </c>
      <c r="G4926">
        <v>-218.13800000000001</v>
      </c>
      <c r="H4926">
        <v>1.008856</v>
      </c>
      <c r="I4926">
        <v>142.4615</v>
      </c>
      <c r="J4926">
        <v>-217.4922</v>
      </c>
      <c r="K4926">
        <v>1.1061970000000001</v>
      </c>
      <c r="L4926">
        <v>142.4624</v>
      </c>
      <c r="M4926">
        <v>-0.99193050000000005</v>
      </c>
      <c r="N4926">
        <v>-1.8070530000000001E-3</v>
      </c>
      <c r="O4926">
        <v>-0.12677089999999999</v>
      </c>
      <c r="P4926">
        <v>-0.98665910000000001</v>
      </c>
      <c r="Q4926">
        <v>-6.5969929999999996E-2</v>
      </c>
      <c r="R4926">
        <v>-0.14883489999999999</v>
      </c>
      <c r="S4926">
        <v>-3.0042420000000001</v>
      </c>
      <c r="T4926">
        <v>-0.331277299999999</v>
      </c>
      <c r="U4926">
        <v>-9.9029539999999999E-2</v>
      </c>
      <c r="V4926">
        <v>-2.28785E-2</v>
      </c>
      <c r="W4926">
        <v>-6.4052250000000005E-2</v>
      </c>
      <c r="X4926">
        <v>0.99768420000000002</v>
      </c>
      <c r="Y4926">
        <v>9.2714030000000003E-2</v>
      </c>
      <c r="Z4926">
        <v>1.8847559999999999E-2</v>
      </c>
      <c r="AA4926">
        <v>0.99551440000000002</v>
      </c>
      <c r="AB4926">
        <v>26</v>
      </c>
      <c r="AC4926">
        <v>-0.64580000000000803</v>
      </c>
      <c r="AD4926">
        <v>-9.73409999999999E-2</v>
      </c>
      <c r="AE4926">
        <v>-9.0000000000145497E-4</v>
      </c>
      <c r="AF4926">
        <v>7.9177183047340199E-2</v>
      </c>
      <c r="AG4926">
        <v>-9.73409999999999E-2</v>
      </c>
      <c r="AH4926">
        <v>0.62647080923968901</v>
      </c>
      <c r="AI4926">
        <v>98.763371837265794</v>
      </c>
      <c r="AJ4926">
        <v>82.796802904855696</v>
      </c>
      <c r="AK4926">
        <v>0.63891311727475397</v>
      </c>
      <c r="AL4926">
        <v>93.672437886222696</v>
      </c>
      <c r="AM4926">
        <v>91.313653951496505</v>
      </c>
      <c r="AN4926">
        <v>0.99999993971097401</v>
      </c>
    </row>
    <row r="4927" spans="1:40" x14ac:dyDescent="0.25">
      <c r="A4927" t="str">
        <f>"20190305135028669"</f>
        <v>20190305135028669</v>
      </c>
      <c r="B4927" t="str">
        <f>"1551765028665599"</f>
        <v>1551765028665599</v>
      </c>
      <c r="C4927" t="s">
        <v>40</v>
      </c>
      <c r="D4927">
        <v>3.9476939999999998</v>
      </c>
      <c r="E4927">
        <v>0.54334179999999999</v>
      </c>
      <c r="F4927" t="s">
        <v>41</v>
      </c>
      <c r="G4927">
        <v>-218.3749</v>
      </c>
      <c r="H4927">
        <v>1.0095940000000001</v>
      </c>
      <c r="I4927">
        <v>142.4357</v>
      </c>
      <c r="J4927">
        <v>-217.65549999999999</v>
      </c>
      <c r="K4927">
        <v>1.1061669999999999</v>
      </c>
      <c r="L4927">
        <v>142.44329999999999</v>
      </c>
      <c r="M4927">
        <v>-0.99216689999999996</v>
      </c>
      <c r="N4927">
        <v>-1.7283120000000001E-3</v>
      </c>
      <c r="O4927">
        <v>-0.1249087</v>
      </c>
      <c r="P4927">
        <v>-0.98690690000000003</v>
      </c>
      <c r="Q4927">
        <v>-6.6132789999999997E-2</v>
      </c>
      <c r="R4927">
        <v>-0.147110299999999</v>
      </c>
      <c r="S4927">
        <v>-3.0047760000000001</v>
      </c>
      <c r="T4927">
        <v>-0.3287098</v>
      </c>
      <c r="U4927">
        <v>-9.1720579999999996E-2</v>
      </c>
      <c r="V4927">
        <v>-2.301278E-2</v>
      </c>
      <c r="W4927">
        <v>-6.429211E-2</v>
      </c>
      <c r="X4927">
        <v>0.99766580000000005</v>
      </c>
      <c r="Y4927">
        <v>9.3297069999999996E-2</v>
      </c>
      <c r="Z4927">
        <v>1.853935E-2</v>
      </c>
      <c r="AA4927">
        <v>0.99546570000000001</v>
      </c>
      <c r="AB4927">
        <v>26</v>
      </c>
      <c r="AC4927">
        <v>-0.71940000000000703</v>
      </c>
      <c r="AD4927">
        <v>-9.6572999999999798E-2</v>
      </c>
      <c r="AE4927">
        <v>-7.5999999999964898E-3</v>
      </c>
      <c r="AF4927">
        <v>8.0861937307694504E-2</v>
      </c>
      <c r="AG4927">
        <v>-9.6572999999999798E-2</v>
      </c>
      <c r="AH4927">
        <v>0.70206486716695904</v>
      </c>
      <c r="AI4927">
        <v>97.781399868515706</v>
      </c>
      <c r="AJ4927">
        <v>83.429777733337502</v>
      </c>
      <c r="AK4927">
        <v>0.71327419338169895</v>
      </c>
      <c r="AL4927">
        <v>93.6862088085512</v>
      </c>
      <c r="AM4927">
        <v>91.321385771570107</v>
      </c>
      <c r="AN4927">
        <v>1.0000000559705999</v>
      </c>
    </row>
    <row r="4928" spans="1:40" x14ac:dyDescent="0.25">
      <c r="A4928" t="str">
        <f>"20190305135028683"</f>
        <v>20190305135028683</v>
      </c>
      <c r="B4928" t="str">
        <f>"1551765028675360"</f>
        <v>1551765028675360</v>
      </c>
      <c r="C4928" t="s">
        <v>40</v>
      </c>
      <c r="D4928">
        <v>3.9299179999999998</v>
      </c>
      <c r="E4928">
        <v>0.54315819999999904</v>
      </c>
      <c r="F4928" t="s">
        <v>41</v>
      </c>
      <c r="G4928">
        <v>-218.3809</v>
      </c>
      <c r="H4928">
        <v>1.0254779999999999</v>
      </c>
      <c r="I4928">
        <v>142.42230000000001</v>
      </c>
      <c r="J4928">
        <v>-217.81530000000001</v>
      </c>
      <c r="K4928">
        <v>1.1061350000000001</v>
      </c>
      <c r="L4928">
        <v>142.42500000000001</v>
      </c>
      <c r="M4928">
        <v>-0.99239440000000001</v>
      </c>
      <c r="N4928">
        <v>-1.6563189999999901E-3</v>
      </c>
      <c r="O4928">
        <v>-0.1230888</v>
      </c>
      <c r="P4928">
        <v>-0.98711709999999997</v>
      </c>
      <c r="Q4928">
        <v>-6.6129980000000005E-2</v>
      </c>
      <c r="R4928">
        <v>-0.14569560000000001</v>
      </c>
      <c r="S4928">
        <v>-3.004318</v>
      </c>
      <c r="T4928">
        <v>-0.33407369999999997</v>
      </c>
      <c r="U4928">
        <v>-8.7982179999999993E-2</v>
      </c>
      <c r="V4928">
        <v>-2.341561E-2</v>
      </c>
      <c r="W4928">
        <v>-6.4358170000000006E-2</v>
      </c>
      <c r="X4928">
        <v>0.99765210000000004</v>
      </c>
      <c r="Y4928">
        <v>9.2675370000000007E-2</v>
      </c>
      <c r="Z4928">
        <v>1.861906E-2</v>
      </c>
      <c r="AA4928">
        <v>0.99552229999999997</v>
      </c>
      <c r="AB4928">
        <v>26</v>
      </c>
      <c r="AC4928">
        <v>-0.565599999999989</v>
      </c>
      <c r="AD4928">
        <v>-8.0656999999999895E-2</v>
      </c>
      <c r="AE4928">
        <v>-2.7000000000043599E-3</v>
      </c>
      <c r="AF4928">
        <v>6.5605521299657202E-2</v>
      </c>
      <c r="AG4928">
        <v>-8.0656999999999895E-2</v>
      </c>
      <c r="AH4928">
        <v>0.55043787088195695</v>
      </c>
      <c r="AI4928">
        <v>98.278588526019007</v>
      </c>
      <c r="AJ4928">
        <v>83.203101662351898</v>
      </c>
      <c r="AK4928">
        <v>0.56017094335127904</v>
      </c>
      <c r="AL4928">
        <v>93.690001870915196</v>
      </c>
      <c r="AM4928">
        <v>91.344526168139396</v>
      </c>
      <c r="AN4928">
        <v>0.999999988735915</v>
      </c>
    </row>
    <row r="4929" spans="1:40" x14ac:dyDescent="0.25">
      <c r="A4929" t="str">
        <f>"20190305135028699"</f>
        <v>20190305135028699</v>
      </c>
      <c r="B4929" t="str">
        <f>"1551765028694879"</f>
        <v>1551765028694879</v>
      </c>
      <c r="C4929" t="s">
        <v>40</v>
      </c>
      <c r="D4929">
        <v>3.9497800000000001</v>
      </c>
      <c r="E4929">
        <v>0.54300789999999999</v>
      </c>
      <c r="F4929" t="s">
        <v>41</v>
      </c>
      <c r="G4929">
        <v>-218.61600000000001</v>
      </c>
      <c r="H4929">
        <v>1.0173160000000001</v>
      </c>
      <c r="I4929">
        <v>142.4025</v>
      </c>
      <c r="J4929">
        <v>-218.0146</v>
      </c>
      <c r="K4929">
        <v>1.1060920000000001</v>
      </c>
      <c r="L4929">
        <v>142.4025</v>
      </c>
      <c r="M4929">
        <v>-0.99267329999999998</v>
      </c>
      <c r="N4929">
        <v>-1.570059E-3</v>
      </c>
      <c r="O4929">
        <v>-0.1208205</v>
      </c>
      <c r="P4929">
        <v>-0.98742649999999998</v>
      </c>
      <c r="Q4929">
        <v>-6.6440429999999995E-2</v>
      </c>
      <c r="R4929">
        <v>-0.1434406</v>
      </c>
      <c r="S4929">
        <v>-3.004257</v>
      </c>
      <c r="T4929">
        <v>-0.33322669999999999</v>
      </c>
      <c r="U4929">
        <v>-8.5189819999999999E-2</v>
      </c>
      <c r="V4929">
        <v>-2.3424529999999999E-2</v>
      </c>
      <c r="W4929">
        <v>-6.4753469999999994E-2</v>
      </c>
      <c r="X4929">
        <v>0.99762629999999997</v>
      </c>
      <c r="Y4929">
        <v>9.1351370000000001E-2</v>
      </c>
      <c r="Z4929">
        <v>1.8259439999999998E-2</v>
      </c>
      <c r="AA4929">
        <v>0.99565130000000002</v>
      </c>
      <c r="AB4929">
        <v>27</v>
      </c>
      <c r="AC4929">
        <v>-0.60139999999998395</v>
      </c>
      <c r="AD4929">
        <v>-8.8776000000000105E-2</v>
      </c>
      <c r="AE4929">
        <v>0</v>
      </c>
      <c r="AF4929">
        <v>7.1111970883372094E-2</v>
      </c>
      <c r="AG4929">
        <v>-8.8776000000000105E-2</v>
      </c>
      <c r="AH4929">
        <v>0.58426305805969103</v>
      </c>
      <c r="AI4929">
        <v>98.577389940375198</v>
      </c>
      <c r="AJ4929">
        <v>83.060534268305105</v>
      </c>
      <c r="AK4929">
        <v>0.59523223332761399</v>
      </c>
      <c r="AL4929">
        <v>93.712698277260799</v>
      </c>
      <c r="AM4929">
        <v>91.345072938896905</v>
      </c>
      <c r="AN4929">
        <v>0.99999997746722502</v>
      </c>
    </row>
    <row r="4930" spans="1:40" x14ac:dyDescent="0.25">
      <c r="A4930" t="str">
        <f>"20190305135028712"</f>
        <v>20190305135028712</v>
      </c>
      <c r="B4930" t="str">
        <f>"1551765028705616"</f>
        <v>1551765028705616</v>
      </c>
      <c r="C4930" t="s">
        <v>40</v>
      </c>
      <c r="D4930">
        <v>3.9762810000000002</v>
      </c>
      <c r="E4930">
        <v>0.54303699999999999</v>
      </c>
      <c r="F4930" t="s">
        <v>41</v>
      </c>
      <c r="G4930">
        <v>-218.8537</v>
      </c>
      <c r="H4930">
        <v>1.0114749999999999</v>
      </c>
      <c r="I4930">
        <v>142.38050000000001</v>
      </c>
      <c r="J4930">
        <v>-218.16890000000001</v>
      </c>
      <c r="K4930">
        <v>1.10606</v>
      </c>
      <c r="L4930">
        <v>142.3854</v>
      </c>
      <c r="M4930">
        <v>-0.99288520000000002</v>
      </c>
      <c r="N4930">
        <v>-1.5061759999999999E-3</v>
      </c>
      <c r="O4930">
        <v>-0.1190669</v>
      </c>
      <c r="P4930">
        <v>-0.98763199999999995</v>
      </c>
      <c r="Q4930">
        <v>-6.6650849999999998E-2</v>
      </c>
      <c r="R4930">
        <v>-0.1419195</v>
      </c>
      <c r="S4930">
        <v>-3.0039220000000002</v>
      </c>
      <c r="T4930">
        <v>-0.33871440000000003</v>
      </c>
      <c r="U4930">
        <v>-7.9147339999999997E-2</v>
      </c>
      <c r="V4930">
        <v>-2.3655780000000001E-2</v>
      </c>
      <c r="W4930">
        <v>-6.5025520000000003E-2</v>
      </c>
      <c r="X4930">
        <v>0.99760320000000002</v>
      </c>
      <c r="Y4930">
        <v>9.1556410000000005E-2</v>
      </c>
      <c r="Z4930">
        <v>1.8386469999999999E-2</v>
      </c>
      <c r="AA4930">
        <v>0.99563009999999996</v>
      </c>
      <c r="AB4930">
        <v>27</v>
      </c>
      <c r="AC4930">
        <v>-0.68479999999999497</v>
      </c>
      <c r="AD4930">
        <v>-9.45850000000001E-2</v>
      </c>
      <c r="AE4930">
        <v>-4.8999999999921303E-3</v>
      </c>
      <c r="AF4930">
        <v>7.5236714051102604E-2</v>
      </c>
      <c r="AG4930">
        <v>-9.45850000000001E-2</v>
      </c>
      <c r="AH4930">
        <v>0.66777324926989701</v>
      </c>
      <c r="AI4930">
        <v>98.011855781444694</v>
      </c>
      <c r="AJ4930">
        <v>83.571704872977406</v>
      </c>
      <c r="AK4930">
        <v>0.67862213182792896</v>
      </c>
      <c r="AL4930">
        <v>93.728318320869604</v>
      </c>
      <c r="AM4930">
        <v>91.358378164221406</v>
      </c>
      <c r="AN4930">
        <v>1.00000002941445</v>
      </c>
    </row>
    <row r="4931" spans="1:40" x14ac:dyDescent="0.25">
      <c r="A4931" t="str">
        <f>"20190305135028725"</f>
        <v>20190305135028725</v>
      </c>
      <c r="B4931" t="str">
        <f>"1551765028715376"</f>
        <v>1551765028715376</v>
      </c>
      <c r="C4931" t="s">
        <v>40</v>
      </c>
      <c r="D4931">
        <v>3.952617</v>
      </c>
      <c r="E4931">
        <v>0.54293230000000003</v>
      </c>
      <c r="F4931" t="s">
        <v>41</v>
      </c>
      <c r="G4931">
        <v>-219.09180000000001</v>
      </c>
      <c r="H4931">
        <v>1.001979</v>
      </c>
      <c r="I4931">
        <v>142.36259999999999</v>
      </c>
      <c r="J4931">
        <v>-218.33009999999999</v>
      </c>
      <c r="K4931">
        <v>1.106028</v>
      </c>
      <c r="L4931">
        <v>142.36779999999999</v>
      </c>
      <c r="M4931">
        <v>-0.99310319999999996</v>
      </c>
      <c r="N4931">
        <v>-1.4434750000000001E-3</v>
      </c>
      <c r="O4931">
        <v>-0.11723500000000001</v>
      </c>
      <c r="P4931">
        <v>-0.98785540000000005</v>
      </c>
      <c r="Q4931">
        <v>-6.6828670000000007E-2</v>
      </c>
      <c r="R4931">
        <v>-0.14027010000000001</v>
      </c>
      <c r="S4931">
        <v>-3.0040439999999999</v>
      </c>
      <c r="T4931">
        <v>-0.3387944</v>
      </c>
      <c r="U4931">
        <v>-7.4203489999999997E-2</v>
      </c>
      <c r="V4931">
        <v>-2.383617E-2</v>
      </c>
      <c r="W4931">
        <v>-6.5263970000000004E-2</v>
      </c>
      <c r="X4931">
        <v>0.99758329999999995</v>
      </c>
      <c r="Y4931">
        <v>9.1369320000000004E-2</v>
      </c>
      <c r="Z4931">
        <v>1.818268E-2</v>
      </c>
      <c r="AA4931">
        <v>0.99565110000000001</v>
      </c>
      <c r="AB4931">
        <v>27</v>
      </c>
      <c r="AC4931">
        <v>-0.76170000000001803</v>
      </c>
      <c r="AD4931">
        <v>-0.104048999999999</v>
      </c>
      <c r="AE4931">
        <v>-5.2000000000020901E-3</v>
      </c>
      <c r="AF4931">
        <v>8.2592750855101899E-2</v>
      </c>
      <c r="AG4931">
        <v>-0.104048999999999</v>
      </c>
      <c r="AH4931">
        <v>0.74318992370237702</v>
      </c>
      <c r="AI4931">
        <v>97.921649408453604</v>
      </c>
      <c r="AJ4931">
        <v>83.658582732546293</v>
      </c>
      <c r="AK4931">
        <v>0.75496954878164402</v>
      </c>
      <c r="AL4931">
        <v>93.742009712182806</v>
      </c>
      <c r="AM4931">
        <v>91.368760008364106</v>
      </c>
      <c r="AN4931">
        <v>0.99999999460965905</v>
      </c>
    </row>
    <row r="4932" spans="1:40" x14ac:dyDescent="0.25">
      <c r="A4932" t="str">
        <f>"20190305135028745"</f>
        <v>20190305135028745</v>
      </c>
      <c r="B4932" t="str">
        <f>"1551765028734896"</f>
        <v>1551765028734896</v>
      </c>
      <c r="C4932" t="s">
        <v>40</v>
      </c>
      <c r="D4932">
        <v>3.9375879999999999</v>
      </c>
      <c r="E4932">
        <v>0.54270490000000005</v>
      </c>
      <c r="F4932" t="s">
        <v>41</v>
      </c>
      <c r="G4932">
        <v>-219.09870000000001</v>
      </c>
      <c r="H4932">
        <v>1.019633</v>
      </c>
      <c r="I4932">
        <v>142.34989999999999</v>
      </c>
      <c r="J4932">
        <v>-218.57210000000001</v>
      </c>
      <c r="K4932">
        <v>1.105985</v>
      </c>
      <c r="L4932">
        <v>142.34200000000001</v>
      </c>
      <c r="M4932">
        <v>-0.99342350000000001</v>
      </c>
      <c r="N4932">
        <v>-1.3565889999999901E-3</v>
      </c>
      <c r="O4932">
        <v>-0.11449040000000001</v>
      </c>
      <c r="P4932">
        <v>-0.98812619999999896</v>
      </c>
      <c r="Q4932">
        <v>-6.733807E-2</v>
      </c>
      <c r="R4932">
        <v>-0.13810269999999999</v>
      </c>
      <c r="S4932">
        <v>-3.0040740000000001</v>
      </c>
      <c r="T4932">
        <v>-0.33769870000000002</v>
      </c>
      <c r="U4932">
        <v>-7.0114140000000005E-2</v>
      </c>
      <c r="V4932">
        <v>-2.4415550000000001E-2</v>
      </c>
      <c r="W4932">
        <v>-6.5855499999999997E-2</v>
      </c>
      <c r="X4932">
        <v>0.99753040000000004</v>
      </c>
      <c r="Y4932">
        <v>9.0005740000000001E-2</v>
      </c>
      <c r="Z4932">
        <v>1.775115E-2</v>
      </c>
      <c r="AA4932">
        <v>0.99578299999999997</v>
      </c>
      <c r="AB4932">
        <v>27</v>
      </c>
      <c r="AC4932">
        <v>-0.52660000000000196</v>
      </c>
      <c r="AD4932">
        <v>-8.6351999999999901E-2</v>
      </c>
      <c r="AE4932">
        <v>7.8999999999780305E-3</v>
      </c>
      <c r="AF4932">
        <v>6.6354898074260593E-2</v>
      </c>
      <c r="AG4932">
        <v>-8.6351999999999901E-2</v>
      </c>
      <c r="AH4932">
        <v>0.50856090140102195</v>
      </c>
      <c r="AI4932">
        <v>99.557233312742994</v>
      </c>
      <c r="AJ4932">
        <v>82.566280388317196</v>
      </c>
      <c r="AK4932">
        <v>0.52009021413238099</v>
      </c>
      <c r="AL4932">
        <v>93.775975002581902</v>
      </c>
      <c r="AM4932">
        <v>91.402091324620699</v>
      </c>
      <c r="AN4932">
        <v>0.99999998244310595</v>
      </c>
    </row>
    <row r="4933" spans="1:40" x14ac:dyDescent="0.25">
      <c r="A4933" t="str">
        <f>"20190305135028766"</f>
        <v>20190305135028766</v>
      </c>
      <c r="B4933" t="str">
        <f>"1551765028755395"</f>
        <v>1551765028755395</v>
      </c>
      <c r="C4933" t="s">
        <v>40</v>
      </c>
      <c r="D4933">
        <v>3.9491779999999999</v>
      </c>
      <c r="E4933">
        <v>0.54249769999999997</v>
      </c>
      <c r="F4933" t="s">
        <v>41</v>
      </c>
      <c r="G4933">
        <v>-219.34229999999999</v>
      </c>
      <c r="H4933">
        <v>1.01949</v>
      </c>
      <c r="I4933">
        <v>142.3254</v>
      </c>
      <c r="J4933">
        <v>-218.82499999999999</v>
      </c>
      <c r="K4933">
        <v>1.1059399999999999</v>
      </c>
      <c r="L4933">
        <v>142.31559999999999</v>
      </c>
      <c r="M4933">
        <v>-0.9937494</v>
      </c>
      <c r="N4933">
        <v>-1.2755799999999999E-3</v>
      </c>
      <c r="O4933">
        <v>-0.11162619999999999</v>
      </c>
      <c r="P4933">
        <v>-0.98841349999999994</v>
      </c>
      <c r="Q4933">
        <v>-6.767919E-2</v>
      </c>
      <c r="R4933">
        <v>-0.1358608</v>
      </c>
      <c r="S4933">
        <v>-3.0039220000000002</v>
      </c>
      <c r="T4933">
        <v>-0.33725179999999999</v>
      </c>
      <c r="U4933">
        <v>-6.5261840000000002E-2</v>
      </c>
      <c r="V4933">
        <v>-2.503797E-2</v>
      </c>
      <c r="W4933">
        <v>-6.6272419999999999E-2</v>
      </c>
      <c r="X4933">
        <v>0.99748740000000002</v>
      </c>
      <c r="Y4933">
        <v>8.8769349999999997E-2</v>
      </c>
      <c r="Z4933">
        <v>1.7349719999999999E-2</v>
      </c>
      <c r="AA4933">
        <v>0.99590109999999998</v>
      </c>
      <c r="AB4933">
        <v>27</v>
      </c>
      <c r="AC4933">
        <v>-0.51730000000000498</v>
      </c>
      <c r="AD4933">
        <v>-8.6449999999999902E-2</v>
      </c>
      <c r="AE4933">
        <v>9.8000000000126805E-3</v>
      </c>
      <c r="AF4933">
        <v>6.5650192716602704E-2</v>
      </c>
      <c r="AG4933">
        <v>-8.6449999999999902E-2</v>
      </c>
      <c r="AH4933">
        <v>0.49904069418439101</v>
      </c>
      <c r="AI4933">
        <v>99.745610475629704</v>
      </c>
      <c r="AJ4933">
        <v>82.505615896830804</v>
      </c>
      <c r="AK4933">
        <v>0.51071045099524504</v>
      </c>
      <c r="AL4933">
        <v>93.799914903480897</v>
      </c>
      <c r="AM4933">
        <v>91.437881654444993</v>
      </c>
      <c r="AN4933">
        <v>1.00000002337656</v>
      </c>
    </row>
    <row r="4934" spans="1:40" x14ac:dyDescent="0.25">
      <c r="A4934" t="str">
        <f>"20190305135028791"</f>
        <v>20190305135028791</v>
      </c>
      <c r="B4934" t="str">
        <f>"1551765028785648"</f>
        <v>1551765028785648</v>
      </c>
      <c r="C4934" t="s">
        <v>40</v>
      </c>
      <c r="D4934">
        <v>3.952842</v>
      </c>
      <c r="E4934">
        <v>0.54240489999999997</v>
      </c>
      <c r="F4934" t="s">
        <v>41</v>
      </c>
      <c r="G4934">
        <v>-219.5881</v>
      </c>
      <c r="H4934">
        <v>1.020526</v>
      </c>
      <c r="I4934">
        <v>142.3004</v>
      </c>
      <c r="J4934">
        <v>-219.12739999999999</v>
      </c>
      <c r="K4934">
        <v>1.1058920000000001</v>
      </c>
      <c r="L4934">
        <v>142.2851</v>
      </c>
      <c r="M4934">
        <v>-0.99412769999999995</v>
      </c>
      <c r="N4934">
        <v>-1.1919039999999999E-3</v>
      </c>
      <c r="O4934">
        <v>-0.1082075</v>
      </c>
      <c r="P4934">
        <v>-0.98873979999999995</v>
      </c>
      <c r="Q4934">
        <v>-6.7915710000000004E-2</v>
      </c>
      <c r="R4934">
        <v>-0.1333461</v>
      </c>
      <c r="S4934">
        <v>-3.0038299999999998</v>
      </c>
      <c r="T4934">
        <v>-0.33623500000000001</v>
      </c>
      <c r="U4934">
        <v>-6.0241699999999898E-2</v>
      </c>
      <c r="V4934">
        <v>-2.594018E-2</v>
      </c>
      <c r="W4934">
        <v>-6.6585340000000007E-2</v>
      </c>
      <c r="X4934">
        <v>0.99744350000000004</v>
      </c>
      <c r="Y4934">
        <v>8.704489E-2</v>
      </c>
      <c r="Z4934">
        <v>1.6831570000000001E-2</v>
      </c>
      <c r="AA4934">
        <v>0.99606220000000001</v>
      </c>
      <c r="AB4934">
        <v>27</v>
      </c>
      <c r="AC4934">
        <v>-0.460700000000002</v>
      </c>
      <c r="AD4934">
        <v>-8.5365999999999997E-2</v>
      </c>
      <c r="AE4934">
        <v>1.5299999999996299E-2</v>
      </c>
      <c r="AF4934">
        <v>6.2903979126291601E-2</v>
      </c>
      <c r="AG4934">
        <v>-8.5365999999999997E-2</v>
      </c>
      <c r="AH4934">
        <v>0.44120730523007401</v>
      </c>
      <c r="AI4934">
        <v>100.843423221305</v>
      </c>
      <c r="AJ4934">
        <v>81.885887227232303</v>
      </c>
      <c r="AK4934">
        <v>0.45377103337950597</v>
      </c>
      <c r="AL4934">
        <v>93.817883608667302</v>
      </c>
      <c r="AM4934">
        <v>91.489736404528401</v>
      </c>
      <c r="AN4934">
        <v>1.0000000180667901</v>
      </c>
    </row>
    <row r="4935" spans="1:40" x14ac:dyDescent="0.25">
      <c r="A4935" t="str">
        <f>"20190305135028812"</f>
        <v>20190305135028812</v>
      </c>
      <c r="B4935" t="str">
        <f>"1551765028805168"</f>
        <v>1551765028805168</v>
      </c>
      <c r="C4935" t="s">
        <v>40</v>
      </c>
      <c r="D4935">
        <v>3.9062320000000001</v>
      </c>
      <c r="E4935">
        <v>0.54248269999999998</v>
      </c>
      <c r="F4935" t="s">
        <v>41</v>
      </c>
      <c r="G4935">
        <v>-220.07599999999999</v>
      </c>
      <c r="H4935">
        <v>1.0006219999999999</v>
      </c>
      <c r="I4935">
        <v>142.26820000000001</v>
      </c>
      <c r="J4935">
        <v>-219.3947</v>
      </c>
      <c r="K4935">
        <v>1.1058520000000001</v>
      </c>
      <c r="L4935">
        <v>142.25899999999999</v>
      </c>
      <c r="M4935">
        <v>-0.99445150000000004</v>
      </c>
      <c r="N4935">
        <v>-1.1304290000000001E-3</v>
      </c>
      <c r="O4935">
        <v>-0.1051917</v>
      </c>
      <c r="P4935">
        <v>-0.9889983</v>
      </c>
      <c r="Q4935">
        <v>-6.8056630000000007E-2</v>
      </c>
      <c r="R4935">
        <v>-0.1313424</v>
      </c>
      <c r="S4935">
        <v>-3.0040740000000001</v>
      </c>
      <c r="T4935">
        <v>-0.33332260000000002</v>
      </c>
      <c r="U4935">
        <v>-5.3482059999999998E-2</v>
      </c>
      <c r="V4935">
        <v>-2.6951449999999998E-2</v>
      </c>
      <c r="W4935">
        <v>-6.6780049999999994E-2</v>
      </c>
      <c r="X4935">
        <v>0.9974037</v>
      </c>
      <c r="Y4935">
        <v>8.6308679999999999E-2</v>
      </c>
      <c r="Z4935">
        <v>1.6319630000000002E-2</v>
      </c>
      <c r="AA4935">
        <v>0.99613479999999999</v>
      </c>
      <c r="AB4935">
        <v>28</v>
      </c>
      <c r="AC4935">
        <v>-0.68129999999999302</v>
      </c>
      <c r="AD4935">
        <v>-0.10523</v>
      </c>
      <c r="AE4935">
        <v>9.2000000000211895E-3</v>
      </c>
      <c r="AF4935">
        <v>7.8933384157975905E-2</v>
      </c>
      <c r="AG4935">
        <v>-0.10523</v>
      </c>
      <c r="AH4935">
        <v>0.66079122134413504</v>
      </c>
      <c r="AI4935">
        <v>98.985461627145199</v>
      </c>
      <c r="AJ4935">
        <v>83.188133844224694</v>
      </c>
      <c r="AK4935">
        <v>0.67375727843200595</v>
      </c>
      <c r="AL4935">
        <v>93.829064440142901</v>
      </c>
      <c r="AM4935">
        <v>91.547847334911296</v>
      </c>
      <c r="AN4935">
        <v>1.00000004825439</v>
      </c>
    </row>
    <row r="4936" spans="1:40" x14ac:dyDescent="0.25">
      <c r="A4936" t="str">
        <f>"20190305135028824"</f>
        <v>20190305135028824</v>
      </c>
      <c r="B4936" t="str">
        <f>"1551765028814928"</f>
        <v>1551765028814928</v>
      </c>
      <c r="C4936" t="s">
        <v>40</v>
      </c>
      <c r="D4936">
        <v>3.9125909999999999</v>
      </c>
      <c r="E4936">
        <v>0.54248269999999998</v>
      </c>
      <c r="F4936" t="s">
        <v>41</v>
      </c>
      <c r="G4936">
        <v>-220.32730000000001</v>
      </c>
      <c r="H4936">
        <v>1.002181</v>
      </c>
      <c r="I4936">
        <v>142.24469999999999</v>
      </c>
      <c r="J4936">
        <v>-219.55520000000001</v>
      </c>
      <c r="K4936">
        <v>1.105829</v>
      </c>
      <c r="L4936">
        <v>142.24369999999999</v>
      </c>
      <c r="M4936">
        <v>-0.99464109999999994</v>
      </c>
      <c r="N4936">
        <v>-1.098473E-3</v>
      </c>
      <c r="O4936">
        <v>-0.1033834</v>
      </c>
      <c r="P4936">
        <v>-0.98920629999999998</v>
      </c>
      <c r="Q4936">
        <v>-6.7750019999999994E-2</v>
      </c>
      <c r="R4936">
        <v>-0.12992819999999999</v>
      </c>
      <c r="S4936">
        <v>-3.0041959999999999</v>
      </c>
      <c r="T4936">
        <v>-0.33394689999999999</v>
      </c>
      <c r="U4936">
        <v>-4.6646119999999999E-2</v>
      </c>
      <c r="V4936">
        <v>-2.7338149999999999E-2</v>
      </c>
      <c r="W4936">
        <v>-6.6501939999999996E-2</v>
      </c>
      <c r="X4936">
        <v>0.99741170000000001</v>
      </c>
      <c r="Y4936">
        <v>8.6767520000000001E-2</v>
      </c>
      <c r="Z4936">
        <v>1.618029E-2</v>
      </c>
      <c r="AA4936">
        <v>0.99609720000000002</v>
      </c>
      <c r="AB4936">
        <v>28</v>
      </c>
      <c r="AC4936">
        <v>-0.77209999999999401</v>
      </c>
      <c r="AD4936">
        <v>-0.103648</v>
      </c>
      <c r="AE4936">
        <v>1.0000000000047701E-3</v>
      </c>
      <c r="AF4936">
        <v>7.9386396602531606E-2</v>
      </c>
      <c r="AG4936">
        <v>-0.103648</v>
      </c>
      <c r="AH4936">
        <v>0.75426688528555497</v>
      </c>
      <c r="AI4936">
        <v>97.781875469844294</v>
      </c>
      <c r="AJ4936">
        <v>83.991754179158093</v>
      </c>
      <c r="AK4936">
        <v>0.76548262038266202</v>
      </c>
      <c r="AL4936">
        <v>93.813094629621304</v>
      </c>
      <c r="AM4936">
        <v>91.570032258725803</v>
      </c>
      <c r="AN4936">
        <v>0.99999999088303804</v>
      </c>
    </row>
    <row r="4937" spans="1:40" x14ac:dyDescent="0.25">
      <c r="A4937" t="str">
        <f>"20190305135028845"</f>
        <v>20190305135028845</v>
      </c>
      <c r="B4937" t="str">
        <f>"1551765028835427"</f>
        <v>1551765028835427</v>
      </c>
      <c r="C4937" t="s">
        <v>40</v>
      </c>
      <c r="D4937">
        <v>3.7055470000000001</v>
      </c>
      <c r="E4937">
        <v>0.56394699999999998</v>
      </c>
      <c r="F4937" t="s">
        <v>41</v>
      </c>
      <c r="G4937">
        <v>-220.33439999999999</v>
      </c>
      <c r="H4937">
        <v>1.0194719999999999</v>
      </c>
      <c r="I4937">
        <v>142.233</v>
      </c>
      <c r="J4937">
        <v>-219.81049999999999</v>
      </c>
      <c r="K4937">
        <v>1.105788</v>
      </c>
      <c r="L4937">
        <v>142.22</v>
      </c>
      <c r="M4937">
        <v>-0.99493549999999997</v>
      </c>
      <c r="N4937">
        <v>-1.0539E-3</v>
      </c>
      <c r="O4937">
        <v>-0.1005101</v>
      </c>
      <c r="P4937">
        <v>-0.98943320000000001</v>
      </c>
      <c r="Q4937">
        <v>-6.7599140000000002E-2</v>
      </c>
      <c r="R4937">
        <v>-0.12826669999999901</v>
      </c>
      <c r="S4937">
        <v>-3.0043950000000001</v>
      </c>
      <c r="T4937">
        <v>-0.33293709999999999</v>
      </c>
      <c r="U4937">
        <v>-4.2221069999999999E-2</v>
      </c>
      <c r="V4937">
        <v>-2.8547329999999999E-2</v>
      </c>
      <c r="W4937">
        <v>-6.6386749999999994E-2</v>
      </c>
      <c r="X4937">
        <v>0.99738550000000004</v>
      </c>
      <c r="Y4937">
        <v>8.5390540000000001E-2</v>
      </c>
      <c r="Z4937">
        <v>1.574364E-2</v>
      </c>
      <c r="AA4937">
        <v>0.99622319999999998</v>
      </c>
      <c r="AB4937">
        <v>28</v>
      </c>
      <c r="AC4937">
        <v>-0.52389999999999703</v>
      </c>
      <c r="AD4937">
        <v>-8.6316000000000004E-2</v>
      </c>
      <c r="AE4937">
        <v>1.30000000000052E-2</v>
      </c>
      <c r="AF4937">
        <v>6.38590664031366E-2</v>
      </c>
      <c r="AG4937">
        <v>-8.6316000000000004E-2</v>
      </c>
      <c r="AH4937">
        <v>0.50620792435334805</v>
      </c>
      <c r="AI4937">
        <v>99.602046698741802</v>
      </c>
      <c r="AJ4937">
        <v>82.810012042263693</v>
      </c>
      <c r="AK4937">
        <v>0.517469704326741</v>
      </c>
      <c r="AL4937">
        <v>93.806480102988303</v>
      </c>
      <c r="AM4937">
        <v>91.639481514654804</v>
      </c>
      <c r="AN4937">
        <v>0.99999999311797005</v>
      </c>
    </row>
    <row r="4938" spans="1:40" x14ac:dyDescent="0.25">
      <c r="A4938" t="str">
        <f>"20190305135028858"</f>
        <v>20190305135028858</v>
      </c>
      <c r="B4938" t="str">
        <f>"1551765028854943"</f>
        <v>1551765028854943</v>
      </c>
      <c r="C4938" t="s">
        <v>40</v>
      </c>
      <c r="D4938">
        <v>3.8872960000000001</v>
      </c>
      <c r="E4938">
        <v>0.57185609999999998</v>
      </c>
      <c r="F4938" t="s">
        <v>42</v>
      </c>
      <c r="G4938">
        <v>-240.5986</v>
      </c>
      <c r="H4938" s="1">
        <v>-4.6786270000000001E-6</v>
      </c>
      <c r="I4938">
        <v>143.0343</v>
      </c>
      <c r="J4938">
        <v>-219.97579999999999</v>
      </c>
      <c r="K4938">
        <v>1.1057629999999901</v>
      </c>
      <c r="L4938">
        <v>142.20500000000001</v>
      </c>
      <c r="M4938">
        <v>-0.99512160000000005</v>
      </c>
      <c r="N4938">
        <v>-1.0295160000000001E-3</v>
      </c>
      <c r="O4938">
        <v>-9.8651539999999996E-2</v>
      </c>
      <c r="P4938">
        <v>-0.98957169999999905</v>
      </c>
      <c r="Q4938">
        <v>-6.7409949999999996E-2</v>
      </c>
      <c r="R4938">
        <v>-0.12729489999999999</v>
      </c>
      <c r="S4938">
        <v>-3.036438</v>
      </c>
      <c r="T4938">
        <v>-0.16151879999999999</v>
      </c>
      <c r="U4938">
        <v>0.11895749999999999</v>
      </c>
      <c r="V4938">
        <v>-2.9431300000000001E-2</v>
      </c>
      <c r="W4938">
        <v>-6.621552E-2</v>
      </c>
      <c r="X4938">
        <v>0.99737120000000001</v>
      </c>
      <c r="Y4938">
        <v>0.1372003</v>
      </c>
      <c r="Z4938">
        <v>8.8523130000000005E-3</v>
      </c>
      <c r="AA4938">
        <v>0.99050380000000005</v>
      </c>
      <c r="AB4938">
        <v>28</v>
      </c>
      <c r="AC4938">
        <v>-20.622800000000002</v>
      </c>
      <c r="AD4938">
        <v>-1.1057676786270001</v>
      </c>
      <c r="AE4938">
        <v>0.82929999999998905</v>
      </c>
      <c r="AF4938">
        <v>2.8515417264598399</v>
      </c>
      <c r="AG4938">
        <v>-1.1057676786270001</v>
      </c>
      <c r="AH4938">
        <v>20.381888343987601</v>
      </c>
      <c r="AI4938">
        <v>93.075497844187694</v>
      </c>
      <c r="AJ4938">
        <v>82.035690539331497</v>
      </c>
      <c r="AK4938">
        <v>20.610079690375201</v>
      </c>
      <c r="AL4938">
        <v>93.796647672308097</v>
      </c>
      <c r="AM4938">
        <v>91.690243384240304</v>
      </c>
      <c r="AN4938">
        <v>1.000000003549</v>
      </c>
    </row>
    <row r="4939" spans="1:40" x14ac:dyDescent="0.25">
      <c r="A4939" t="str">
        <f>"20190305135028871"</f>
        <v>20190305135028871</v>
      </c>
      <c r="B4939" t="str">
        <f>"1551765028865680"</f>
        <v>1551765028865680</v>
      </c>
      <c r="C4939" t="s">
        <v>40</v>
      </c>
      <c r="D4939">
        <v>3.8797549999999998</v>
      </c>
      <c r="E4939">
        <v>0.57324649999999999</v>
      </c>
      <c r="F4939" t="s">
        <v>94</v>
      </c>
      <c r="G4939">
        <v>-285.41669999999999</v>
      </c>
      <c r="H4939" s="1">
        <v>-8.1579819999999996E-6</v>
      </c>
      <c r="I4939">
        <v>145.97049999999999</v>
      </c>
      <c r="J4939">
        <v>-220.13910000000001</v>
      </c>
      <c r="K4939">
        <v>1.1057410000000001</v>
      </c>
      <c r="L4939">
        <v>142.19040000000001</v>
      </c>
      <c r="M4939">
        <v>-0.99530180000000001</v>
      </c>
      <c r="N4939">
        <v>-1.0075489999999999E-3</v>
      </c>
      <c r="O4939">
        <v>-9.6816349999999995E-2</v>
      </c>
      <c r="P4939">
        <v>-0.98972340000000003</v>
      </c>
      <c r="Q4939">
        <v>-6.7285659999999997E-2</v>
      </c>
      <c r="R4939">
        <v>-0.1261765</v>
      </c>
      <c r="S4939">
        <v>-3.0506899999999999</v>
      </c>
      <c r="T4939">
        <v>-5.1548240000000002E-2</v>
      </c>
      <c r="U4939">
        <v>0.1755371</v>
      </c>
      <c r="V4939">
        <v>-3.0144879999999999E-2</v>
      </c>
      <c r="W4939">
        <v>-6.610771E-2</v>
      </c>
      <c r="X4939">
        <v>0.99735700000000005</v>
      </c>
      <c r="Y4939">
        <v>0.1537964</v>
      </c>
      <c r="Z4939">
        <v>2.9119189999999998E-3</v>
      </c>
      <c r="AA4939">
        <v>0.98809829999999998</v>
      </c>
      <c r="AB4939">
        <v>28</v>
      </c>
      <c r="AC4939">
        <v>-65.277599999999893</v>
      </c>
      <c r="AD4939">
        <v>-1.105749157982</v>
      </c>
      <c r="AE4939">
        <v>3.7800999999999698</v>
      </c>
      <c r="AF4939">
        <v>10.0794014711707</v>
      </c>
      <c r="AG4939">
        <v>-1.105749157982</v>
      </c>
      <c r="AH4939">
        <v>64.586496807987302</v>
      </c>
      <c r="AI4939">
        <v>90.969105106682093</v>
      </c>
      <c r="AJ4939">
        <v>81.129939525444797</v>
      </c>
      <c r="AK4939">
        <v>65.377615321649401</v>
      </c>
      <c r="AL4939">
        <v>93.790457199252799</v>
      </c>
      <c r="AM4939">
        <v>91.731224366484497</v>
      </c>
      <c r="AN4939">
        <v>0.999999964280328</v>
      </c>
    </row>
    <row r="4940" spans="1:40" x14ac:dyDescent="0.25">
      <c r="A4940" t="str">
        <f>"20190305135028890"</f>
        <v>20190305135028890</v>
      </c>
      <c r="B4940" t="str">
        <f>"1551765028885199"</f>
        <v>1551765028885199</v>
      </c>
      <c r="C4940" t="s">
        <v>40</v>
      </c>
      <c r="D4940">
        <v>3.884217</v>
      </c>
      <c r="E4940">
        <v>0.57425990000000005</v>
      </c>
      <c r="F4940" t="s">
        <v>42</v>
      </c>
      <c r="G4940">
        <v>-340.72210000000001</v>
      </c>
      <c r="H4940">
        <v>4.1907989999999999E-2</v>
      </c>
      <c r="I4940">
        <v>149.6163</v>
      </c>
      <c r="J4940">
        <v>-220.3767</v>
      </c>
      <c r="K4940">
        <v>1.10571</v>
      </c>
      <c r="L4940">
        <v>142.16980000000001</v>
      </c>
      <c r="M4940">
        <v>-0.99555749999999998</v>
      </c>
      <c r="N4940">
        <v>-9.8127340000000009E-4</v>
      </c>
      <c r="O4940">
        <v>-9.4149860000000002E-2</v>
      </c>
      <c r="P4940">
        <v>-0.98992219999999997</v>
      </c>
      <c r="Q4940">
        <v>-6.7217159999999998E-2</v>
      </c>
      <c r="R4940">
        <v>-0.1246432</v>
      </c>
      <c r="S4940">
        <v>-3.053299</v>
      </c>
      <c r="T4940">
        <v>-2.693748E-2</v>
      </c>
      <c r="U4940">
        <v>0.18803410000000001</v>
      </c>
      <c r="V4940">
        <v>-3.1274940000000001E-2</v>
      </c>
      <c r="W4940">
        <v>-6.6056909999999996E-2</v>
      </c>
      <c r="X4940">
        <v>0.99732560000000003</v>
      </c>
      <c r="Y4940">
        <v>0.15515670000000001</v>
      </c>
      <c r="Z4940">
        <v>1.497139E-3</v>
      </c>
      <c r="AA4940">
        <v>0.98788880000000001</v>
      </c>
      <c r="AB4940">
        <v>28</v>
      </c>
      <c r="AC4940">
        <v>-120.3454</v>
      </c>
      <c r="AD4940">
        <v>-1.0638020100000001</v>
      </c>
      <c r="AE4940">
        <v>7.4464999999999799</v>
      </c>
      <c r="AF4940">
        <v>18.742472580404598</v>
      </c>
      <c r="AG4940">
        <v>-1.0638020100000001</v>
      </c>
      <c r="AH4940">
        <v>119.100471450751</v>
      </c>
      <c r="AI4940">
        <v>90.505529711813196</v>
      </c>
      <c r="AJ4940">
        <v>81.056882687651097</v>
      </c>
      <c r="AK4940">
        <v>120.570868176914</v>
      </c>
      <c r="AL4940">
        <v>93.787540081643499</v>
      </c>
      <c r="AM4940">
        <v>91.796138629048698</v>
      </c>
      <c r="AN4940">
        <v>0.99999999482305502</v>
      </c>
    </row>
    <row r="4941" spans="1:40" x14ac:dyDescent="0.25">
      <c r="A4941" t="str">
        <f>"20190305135028903"</f>
        <v>20190305135028903</v>
      </c>
      <c r="B4941" t="str">
        <f>"1551765028894960"</f>
        <v>1551765028894960</v>
      </c>
      <c r="C4941" t="s">
        <v>40</v>
      </c>
      <c r="D4941">
        <v>3.89019</v>
      </c>
      <c r="E4941">
        <v>0.57329419999999898</v>
      </c>
      <c r="F4941" t="s">
        <v>81</v>
      </c>
      <c r="G4941">
        <v>-511.92540000000002</v>
      </c>
      <c r="H4941">
        <v>0.60621689999999995</v>
      </c>
      <c r="I4941">
        <v>161.1542</v>
      </c>
      <c r="J4941">
        <v>-220.5514</v>
      </c>
      <c r="K4941">
        <v>1.1056870000000001</v>
      </c>
      <c r="L4941">
        <v>142.15520000000001</v>
      </c>
      <c r="M4941">
        <v>-0.99574090000000004</v>
      </c>
      <c r="N4941">
        <v>-9.6616219999999997E-4</v>
      </c>
      <c r="O4941">
        <v>-9.2191519999999999E-2</v>
      </c>
      <c r="P4941">
        <v>-0.99007959999999995</v>
      </c>
      <c r="Q4941">
        <v>-6.7111509999999999E-2</v>
      </c>
      <c r="R4941">
        <v>-0.1234466</v>
      </c>
      <c r="S4941">
        <v>-3.0552519999999999</v>
      </c>
      <c r="T4941">
        <v>-5.2338840000000003E-3</v>
      </c>
      <c r="U4941">
        <v>0.19894410000000001</v>
      </c>
      <c r="V4941">
        <v>-3.2032709999999999E-2</v>
      </c>
      <c r="W4941">
        <v>-6.596043E-2</v>
      </c>
      <c r="X4941">
        <v>0.99730799999999997</v>
      </c>
      <c r="Y4941">
        <v>0.15669749999999999</v>
      </c>
      <c r="Z4941">
        <v>2.7856140000000001E-4</v>
      </c>
      <c r="AA4941">
        <v>0.98764660000000004</v>
      </c>
      <c r="AB4941">
        <v>28</v>
      </c>
      <c r="AC4941">
        <v>-291.37400000000002</v>
      </c>
      <c r="AD4941">
        <v>-0.49947009999999997</v>
      </c>
      <c r="AE4941">
        <v>18.998999999999899</v>
      </c>
      <c r="AF4941">
        <v>45.7801772938084</v>
      </c>
      <c r="AG4941">
        <v>-0.49947009999999997</v>
      </c>
      <c r="AH4941">
        <v>288.38073150849601</v>
      </c>
      <c r="AI4941">
        <v>90.098007857743895</v>
      </c>
      <c r="AJ4941">
        <v>80.979619819680906</v>
      </c>
      <c r="AK4941">
        <v>291.99232936638703</v>
      </c>
      <c r="AL4941">
        <v>93.781999856095297</v>
      </c>
      <c r="AM4941">
        <v>91.839660709115094</v>
      </c>
      <c r="AN4941">
        <v>1.00000005984986</v>
      </c>
    </row>
    <row r="4942" spans="1:40" x14ac:dyDescent="0.25">
      <c r="A4942" t="str">
        <f>"20190305135028924"</f>
        <v>20190305135028924</v>
      </c>
      <c r="B4942" t="str">
        <f>"1551765028915459"</f>
        <v>1551765028915459</v>
      </c>
      <c r="C4942" t="s">
        <v>40</v>
      </c>
      <c r="D4942">
        <v>3.9175439999999999</v>
      </c>
      <c r="E4942">
        <v>0.57297100000000001</v>
      </c>
      <c r="F4942" t="s">
        <v>81</v>
      </c>
      <c r="G4942">
        <v>-511.92520000000002</v>
      </c>
      <c r="H4942">
        <v>0.1024413</v>
      </c>
      <c r="I4942">
        <v>160.8014</v>
      </c>
      <c r="J4942">
        <v>-220.82429999999999</v>
      </c>
      <c r="K4942">
        <v>1.1056520000000001</v>
      </c>
      <c r="L4942">
        <v>142.13290000000001</v>
      </c>
      <c r="M4942">
        <v>-0.99601919999999999</v>
      </c>
      <c r="N4942">
        <v>-9.4667470000000002E-4</v>
      </c>
      <c r="O4942">
        <v>-8.9134379999999999E-2</v>
      </c>
      <c r="P4942">
        <v>-0.99025090000000004</v>
      </c>
      <c r="Q4942">
        <v>-6.7202199999999906E-2</v>
      </c>
      <c r="R4942">
        <v>-0.1220121</v>
      </c>
      <c r="S4942">
        <v>-3.0537109999999998</v>
      </c>
      <c r="T4942">
        <v>-1.05139E-2</v>
      </c>
      <c r="U4942">
        <v>0.19541929999999999</v>
      </c>
      <c r="V4942">
        <v>-3.3655989999999997E-2</v>
      </c>
      <c r="W4942">
        <v>-6.6058619999999998E-2</v>
      </c>
      <c r="X4942">
        <v>0.99724800000000002</v>
      </c>
      <c r="Y4942">
        <v>0.15256020000000001</v>
      </c>
      <c r="Z4942">
        <v>5.5681790000000001E-4</v>
      </c>
      <c r="AA4942">
        <v>0.98829400000000001</v>
      </c>
      <c r="AB4942">
        <v>29</v>
      </c>
      <c r="AC4942">
        <v>-291.10090000000002</v>
      </c>
      <c r="AD4942">
        <v>-1.0032106999999999</v>
      </c>
      <c r="AE4942">
        <v>18.668499999999899</v>
      </c>
      <c r="AF4942">
        <v>44.540774004181202</v>
      </c>
      <c r="AG4942">
        <v>-1.0032106999999999</v>
      </c>
      <c r="AH4942">
        <v>288.27478817347702</v>
      </c>
      <c r="AI4942">
        <v>90.197053169502098</v>
      </c>
      <c r="AJ4942">
        <v>81.216794691604306</v>
      </c>
      <c r="AK4942">
        <v>291.697172555826</v>
      </c>
      <c r="AL4942">
        <v>93.787638175553298</v>
      </c>
      <c r="AM4942">
        <v>91.9329339968331</v>
      </c>
      <c r="AN4942">
        <v>1.00000002022159</v>
      </c>
    </row>
    <row r="4943" spans="1:40" x14ac:dyDescent="0.25">
      <c r="A4943" t="str">
        <f>"20190305135028937"</f>
        <v>20190305135028937</v>
      </c>
      <c r="B4943" t="str">
        <f>"1551765028925217"</f>
        <v>1551765028925217</v>
      </c>
      <c r="C4943" t="s">
        <v>40</v>
      </c>
      <c r="D4943">
        <v>3.8284919999999998</v>
      </c>
      <c r="E4943">
        <v>0.57267599999999996</v>
      </c>
      <c r="F4943" t="s">
        <v>42</v>
      </c>
      <c r="G4943">
        <v>-499.9853</v>
      </c>
      <c r="H4943">
        <v>7.7549339999999994E-2</v>
      </c>
      <c r="I4943">
        <v>160.16030000000001</v>
      </c>
      <c r="J4943">
        <v>-220.99299999999999</v>
      </c>
      <c r="K4943">
        <v>1.1056319999999999</v>
      </c>
      <c r="L4943">
        <v>142.11949999999999</v>
      </c>
      <c r="M4943">
        <v>-0.99618640000000003</v>
      </c>
      <c r="N4943">
        <v>-9.3761759999999995E-4</v>
      </c>
      <c r="O4943">
        <v>-8.7246229999999994E-2</v>
      </c>
      <c r="P4943">
        <v>-0.99037770000000003</v>
      </c>
      <c r="Q4943">
        <v>-6.7176589999999994E-2</v>
      </c>
      <c r="R4943">
        <v>-0.1209943</v>
      </c>
      <c r="S4943">
        <v>-3.05307</v>
      </c>
      <c r="T4943">
        <v>-1.1243939999999999E-2</v>
      </c>
      <c r="U4943">
        <v>0.1971588</v>
      </c>
      <c r="V4943">
        <v>-3.4523379999999999E-2</v>
      </c>
      <c r="W4943">
        <v>-6.6035380000000005E-2</v>
      </c>
      <c r="X4943">
        <v>0.99721990000000005</v>
      </c>
      <c r="Y4943">
        <v>0.1512606</v>
      </c>
      <c r="Z4943">
        <v>5.8838779999999995E-4</v>
      </c>
      <c r="AA4943">
        <v>0.98849370000000003</v>
      </c>
      <c r="AB4943">
        <v>29</v>
      </c>
      <c r="AC4943">
        <v>-278.9923</v>
      </c>
      <c r="AD4943">
        <v>-1.0280826599999999</v>
      </c>
      <c r="AE4943">
        <v>18.040800000000001</v>
      </c>
      <c r="AF4943">
        <v>42.3124697111502</v>
      </c>
      <c r="AG4943">
        <v>-1.0280826599999999</v>
      </c>
      <c r="AH4943">
        <v>276.35071008745098</v>
      </c>
      <c r="AI4943">
        <v>90.210695988392203</v>
      </c>
      <c r="AJ4943">
        <v>81.294962009717693</v>
      </c>
      <c r="AK4943">
        <v>279.573097798861</v>
      </c>
      <c r="AL4943">
        <v>93.786303662955305</v>
      </c>
      <c r="AM4943">
        <v>91.982766584926694</v>
      </c>
      <c r="AN4943">
        <v>1.00000003206718</v>
      </c>
    </row>
    <row r="4944" spans="1:40" x14ac:dyDescent="0.25">
      <c r="A4944" t="str">
        <f>"20190305135028956"</f>
        <v>20190305135028956</v>
      </c>
      <c r="B4944" t="str">
        <f>"1551765028944739"</f>
        <v>1551765028944739</v>
      </c>
      <c r="C4944" t="s">
        <v>40</v>
      </c>
      <c r="D4944">
        <v>3.8867180000000001</v>
      </c>
      <c r="E4944">
        <v>0.57173260000000004</v>
      </c>
      <c r="F4944" t="s">
        <v>43</v>
      </c>
      <c r="G4944">
        <v>-490.11450000000002</v>
      </c>
      <c r="H4944">
        <v>-0.05</v>
      </c>
      <c r="I4944">
        <v>159.58410000000001</v>
      </c>
      <c r="J4944">
        <v>-221.244</v>
      </c>
      <c r="K4944">
        <v>1.105596</v>
      </c>
      <c r="L4944">
        <v>142.1001</v>
      </c>
      <c r="M4944">
        <v>-0.99642810000000004</v>
      </c>
      <c r="N4944">
        <v>-9.2751949999999998E-4</v>
      </c>
      <c r="O4944">
        <v>-8.4441299999999997E-2</v>
      </c>
      <c r="P4944">
        <v>-0.99049620000000005</v>
      </c>
      <c r="Q4944">
        <v>-6.6866529999999993E-2</v>
      </c>
      <c r="R4944">
        <v>-0.1201917</v>
      </c>
      <c r="S4944">
        <v>-3.05246</v>
      </c>
      <c r="T4944">
        <v>-1.3107540000000001E-2</v>
      </c>
      <c r="U4944">
        <v>0.1980896</v>
      </c>
      <c r="V4944">
        <v>-3.6523119999999999E-2</v>
      </c>
      <c r="W4944">
        <v>-6.5721070000000006E-2</v>
      </c>
      <c r="X4944">
        <v>0.99716939999999998</v>
      </c>
      <c r="Y4944">
        <v>0.14878949999999999</v>
      </c>
      <c r="Z4944">
        <v>6.7208160000000003E-4</v>
      </c>
      <c r="AA4944">
        <v>0.98886870000000004</v>
      </c>
      <c r="AB4944">
        <v>29</v>
      </c>
      <c r="AC4944">
        <v>-268.87049999999999</v>
      </c>
      <c r="AD4944">
        <v>-1.1555959999999901</v>
      </c>
      <c r="AE4944">
        <v>17.484000000000002</v>
      </c>
      <c r="AF4944">
        <v>40.124599583385198</v>
      </c>
      <c r="AG4944">
        <v>-1.1555959999999901</v>
      </c>
      <c r="AH4944">
        <v>266.42894325501402</v>
      </c>
      <c r="AI4944">
        <v>90.245739258268102</v>
      </c>
      <c r="AJ4944">
        <v>81.435532091678596</v>
      </c>
      <c r="AK4944">
        <v>269.43589348456499</v>
      </c>
      <c r="AL4944">
        <v>93.7682559239732</v>
      </c>
      <c r="AM4944">
        <v>92.097623149568904</v>
      </c>
      <c r="AN4944">
        <v>1.0000000048164099</v>
      </c>
    </row>
    <row r="4945" spans="1:40" x14ac:dyDescent="0.25">
      <c r="A4945" t="str">
        <f>"20190305135028970"</f>
        <v>20190305135028970</v>
      </c>
      <c r="B4945" t="str">
        <f>"1551765028965231"</f>
        <v>1551765028965231</v>
      </c>
      <c r="C4945" t="s">
        <v>40</v>
      </c>
      <c r="D4945">
        <v>3.9996390000000002</v>
      </c>
      <c r="E4945">
        <v>0.57095779999999996</v>
      </c>
      <c r="F4945" t="s">
        <v>42</v>
      </c>
      <c r="G4945">
        <v>-383.14980000000003</v>
      </c>
      <c r="H4945">
        <v>7.9986420000000003E-2</v>
      </c>
      <c r="I4945">
        <v>152.36920000000001</v>
      </c>
      <c r="J4945">
        <v>-221.41919999999999</v>
      </c>
      <c r="K4945">
        <v>1.1055740000000001</v>
      </c>
      <c r="L4945">
        <v>142.08699999999999</v>
      </c>
      <c r="M4945">
        <v>-0.99659189999999998</v>
      </c>
      <c r="N4945">
        <v>-9.2227849999999996E-4</v>
      </c>
      <c r="O4945">
        <v>-8.2486749999999998E-2</v>
      </c>
      <c r="P4945">
        <v>-0.99061719999999998</v>
      </c>
      <c r="Q4945">
        <v>-6.6478410000000002E-2</v>
      </c>
      <c r="R4945">
        <v>-0.119409</v>
      </c>
      <c r="S4945">
        <v>-3.0509490000000001</v>
      </c>
      <c r="T4945">
        <v>-1.9326570000000001E-2</v>
      </c>
      <c r="U4945">
        <v>0.19351199999999999</v>
      </c>
      <c r="V4945">
        <v>-3.768995E-2</v>
      </c>
      <c r="W4945">
        <v>-6.5329460000000006E-2</v>
      </c>
      <c r="X4945">
        <v>0.99715169999999997</v>
      </c>
      <c r="Y4945">
        <v>0.14540069999999999</v>
      </c>
      <c r="Z4945">
        <v>9.7305320000000005E-4</v>
      </c>
      <c r="AA4945">
        <v>0.98937240000000004</v>
      </c>
      <c r="AB4945">
        <v>29</v>
      </c>
      <c r="AC4945">
        <v>-161.73060000000001</v>
      </c>
      <c r="AD4945">
        <v>-1.0255875800000001</v>
      </c>
      <c r="AE4945">
        <v>10.2821999999999</v>
      </c>
      <c r="AF4945">
        <v>23.5868502794882</v>
      </c>
      <c r="AG4945">
        <v>-1.0255875800000001</v>
      </c>
      <c r="AH4945">
        <v>160.324881330681</v>
      </c>
      <c r="AI4945">
        <v>90.362609234439802</v>
      </c>
      <c r="AJ4945">
        <v>81.630734114132594</v>
      </c>
      <c r="AK4945">
        <v>162.05387656482699</v>
      </c>
      <c r="AL4945">
        <v>93.745770048493696</v>
      </c>
      <c r="AM4945">
        <v>92.164613028306803</v>
      </c>
      <c r="AN4945">
        <v>0.99999999174389198</v>
      </c>
    </row>
    <row r="4946" spans="1:40" x14ac:dyDescent="0.25">
      <c r="A4946" t="str">
        <f>"20190305135028991"</f>
        <v>20190305135028991</v>
      </c>
      <c r="B4946" t="str">
        <f>"1551765028984752"</f>
        <v>1551765028984752</v>
      </c>
      <c r="C4946" t="s">
        <v>40</v>
      </c>
      <c r="D4946">
        <v>3.948861</v>
      </c>
      <c r="E4946">
        <v>0.57037280000000001</v>
      </c>
      <c r="F4946" t="s">
        <v>94</v>
      </c>
      <c r="G4946">
        <v>-314.41919999999999</v>
      </c>
      <c r="H4946" s="1">
        <v>-9.99977E-6</v>
      </c>
      <c r="I4946">
        <v>147.9228</v>
      </c>
      <c r="J4946">
        <v>-221.70480000000001</v>
      </c>
      <c r="K4946">
        <v>1.105539</v>
      </c>
      <c r="L4946">
        <v>142.06639999999999</v>
      </c>
      <c r="M4946">
        <v>-0.99684919999999999</v>
      </c>
      <c r="N4946">
        <v>-9.1817229999999997E-4</v>
      </c>
      <c r="O4946">
        <v>-7.931581E-2</v>
      </c>
      <c r="P4946">
        <v>-0.99083730000000003</v>
      </c>
      <c r="Q4946">
        <v>-6.6040429999999997E-2</v>
      </c>
      <c r="R4946">
        <v>-0.1178149</v>
      </c>
      <c r="S4946">
        <v>-3.049042</v>
      </c>
      <c r="T4946">
        <v>-3.6247010000000003E-2</v>
      </c>
      <c r="U4946">
        <v>0.19133</v>
      </c>
      <c r="V4946">
        <v>-3.9256340000000001E-2</v>
      </c>
      <c r="W4946">
        <v>-6.4883730000000001E-2</v>
      </c>
      <c r="X4946">
        <v>0.99712040000000002</v>
      </c>
      <c r="Y4946">
        <v>0.14157500000000001</v>
      </c>
      <c r="Z4946">
        <v>1.7747539999999999E-3</v>
      </c>
      <c r="AA4946">
        <v>0.98992590000000003</v>
      </c>
      <c r="AB4946">
        <v>29</v>
      </c>
      <c r="AC4946">
        <v>-92.714399999999898</v>
      </c>
      <c r="AD4946">
        <v>-1.1055489997700001</v>
      </c>
      <c r="AE4946">
        <v>5.8563999999999998</v>
      </c>
      <c r="AF4946">
        <v>13.189801867381</v>
      </c>
      <c r="AG4946">
        <v>-1.1055489997700001</v>
      </c>
      <c r="AH4946">
        <v>91.944779933549398</v>
      </c>
      <c r="AI4946">
        <v>90.681914223708901</v>
      </c>
      <c r="AJ4946">
        <v>81.836414230580601</v>
      </c>
      <c r="AK4946">
        <v>92.892602875150899</v>
      </c>
      <c r="AL4946">
        <v>93.7201771752311</v>
      </c>
      <c r="AM4946">
        <v>92.254553814974699</v>
      </c>
      <c r="AN4946">
        <v>1.0000000253725301</v>
      </c>
    </row>
    <row r="4947" spans="1:40" x14ac:dyDescent="0.25">
      <c r="A4947" t="str">
        <f>"20190305135029014"</f>
        <v>20190305135029014</v>
      </c>
      <c r="B4947" t="str">
        <f>"1551765029005247"</f>
        <v>1551765029005247</v>
      </c>
      <c r="C4947" t="s">
        <v>40</v>
      </c>
      <c r="D4947">
        <v>3.9020260000000002</v>
      </c>
      <c r="E4947">
        <v>0.5699476</v>
      </c>
      <c r="F4947" t="s">
        <v>94</v>
      </c>
      <c r="G4947">
        <v>-308.83199999999999</v>
      </c>
      <c r="H4947" s="1">
        <v>-1.168615E-5</v>
      </c>
      <c r="I4947">
        <v>147.5539</v>
      </c>
      <c r="J4947">
        <v>-222.00899999999999</v>
      </c>
      <c r="K4947">
        <v>1.1055140000000001</v>
      </c>
      <c r="L4947">
        <v>142.0455</v>
      </c>
      <c r="M4947">
        <v>-0.99710960000000004</v>
      </c>
      <c r="N4947">
        <v>-9.1762349999999996E-4</v>
      </c>
      <c r="O4947">
        <v>-7.5972310000000001E-2</v>
      </c>
      <c r="P4947">
        <v>-0.99119800000000002</v>
      </c>
      <c r="Q4947">
        <v>-6.4940709999999999E-2</v>
      </c>
      <c r="R4947">
        <v>-0.1153653</v>
      </c>
      <c r="S4947">
        <v>-3.0480040000000002</v>
      </c>
      <c r="T4947">
        <v>-3.8675899999999999E-2</v>
      </c>
      <c r="U4947">
        <v>0.1919708</v>
      </c>
      <c r="V4947">
        <v>-4.0125960000000002E-2</v>
      </c>
      <c r="W4947">
        <v>-6.3777539999999994E-2</v>
      </c>
      <c r="X4947">
        <v>0.99715710000000002</v>
      </c>
      <c r="Y4947">
        <v>0.1384812</v>
      </c>
      <c r="Z4947">
        <v>1.8345290000000001E-3</v>
      </c>
      <c r="AA4947">
        <v>0.9903634</v>
      </c>
      <c r="AB4947">
        <v>30</v>
      </c>
      <c r="AC4947">
        <v>-86.822999999999894</v>
      </c>
      <c r="AD4947">
        <v>-1.10552568614999</v>
      </c>
      <c r="AE4947">
        <v>5.5083999999999902</v>
      </c>
      <c r="AF4947">
        <v>12.0866745653006</v>
      </c>
      <c r="AG4947">
        <v>-1.10552568614999</v>
      </c>
      <c r="AH4947">
        <v>86.139679099601807</v>
      </c>
      <c r="AI4947">
        <v>90.728167229127195</v>
      </c>
      <c r="AJ4947">
        <v>82.012698608700603</v>
      </c>
      <c r="AK4947">
        <v>86.990540890792204</v>
      </c>
      <c r="AL4947">
        <v>93.656665785475397</v>
      </c>
      <c r="AM4947">
        <v>92.3043594855328</v>
      </c>
      <c r="AN4947">
        <v>0.99999997467739099</v>
      </c>
    </row>
    <row r="4948" spans="1:40" x14ac:dyDescent="0.25">
      <c r="A4948" t="str">
        <f>"20190305135029035"</f>
        <v>20190305135029035</v>
      </c>
      <c r="B4948" t="str">
        <f>"1551765029024776"</f>
        <v>1551765029024776</v>
      </c>
      <c r="C4948" t="s">
        <v>40</v>
      </c>
      <c r="D4948">
        <v>3.9081160000000001</v>
      </c>
      <c r="E4948">
        <v>0.56959609999999905</v>
      </c>
      <c r="F4948" t="s">
        <v>94</v>
      </c>
      <c r="G4948">
        <v>-311.99579999999997</v>
      </c>
      <c r="H4948" s="1">
        <v>-1.1031300000000001E-5</v>
      </c>
      <c r="I4948">
        <v>147.84729999999999</v>
      </c>
      <c r="J4948">
        <v>-222.29300000000001</v>
      </c>
      <c r="K4948">
        <v>1.105497</v>
      </c>
      <c r="L4948">
        <v>142.02670000000001</v>
      </c>
      <c r="M4948">
        <v>-0.99733930000000004</v>
      </c>
      <c r="N4948">
        <v>-9.1986309999999996E-4</v>
      </c>
      <c r="O4948">
        <v>-7.2894089999999995E-2</v>
      </c>
      <c r="P4948">
        <v>-0.9915621</v>
      </c>
      <c r="Q4948">
        <v>-6.4533720000000003E-2</v>
      </c>
      <c r="R4948">
        <v>-0.1124285</v>
      </c>
      <c r="S4948">
        <v>-3.0470579999999998</v>
      </c>
      <c r="T4948">
        <v>-3.7434340000000003E-2</v>
      </c>
      <c r="U4948">
        <v>0.19645689999999999</v>
      </c>
      <c r="V4948">
        <v>-4.0245410000000002E-2</v>
      </c>
      <c r="W4948">
        <v>-6.3367099999999996E-2</v>
      </c>
      <c r="X4948">
        <v>0.99717849999999997</v>
      </c>
      <c r="Y4948">
        <v>0.13689689999999999</v>
      </c>
      <c r="Z4948">
        <v>1.730559E-3</v>
      </c>
      <c r="AA4948">
        <v>0.99058380000000001</v>
      </c>
      <c r="AB4948">
        <v>30</v>
      </c>
      <c r="AC4948">
        <v>-89.702799999999897</v>
      </c>
      <c r="AD4948">
        <v>-1.1055080313000001</v>
      </c>
      <c r="AE4948">
        <v>5.8205999999999802</v>
      </c>
      <c r="AF4948">
        <v>12.3420551725563</v>
      </c>
      <c r="AG4948">
        <v>-1.1055080313000001</v>
      </c>
      <c r="AH4948">
        <v>89.026409816021896</v>
      </c>
      <c r="AI4948">
        <v>90.704709226588193</v>
      </c>
      <c r="AJ4948">
        <v>82.107185755090299</v>
      </c>
      <c r="AK4948">
        <v>89.884648959763894</v>
      </c>
      <c r="AL4948">
        <v>93.633101469425299</v>
      </c>
      <c r="AM4948">
        <v>92.311162303521698</v>
      </c>
      <c r="AN4948">
        <v>1.0000000216253599</v>
      </c>
    </row>
    <row r="4949" spans="1:40" x14ac:dyDescent="0.25">
      <c r="A4949" t="str">
        <f>"20190305135029056"</f>
        <v>20190305135029056</v>
      </c>
      <c r="B4949" t="str">
        <f>"1551765029045267"</f>
        <v>1551765029045267</v>
      </c>
      <c r="C4949" t="s">
        <v>40</v>
      </c>
      <c r="D4949">
        <v>3.9062779999999999</v>
      </c>
      <c r="E4949">
        <v>0.56924889999999995</v>
      </c>
      <c r="F4949" t="s">
        <v>94</v>
      </c>
      <c r="G4949">
        <v>-306.80040000000002</v>
      </c>
      <c r="H4949" s="1">
        <v>-1.138589E-5</v>
      </c>
      <c r="I4949">
        <v>147.6619</v>
      </c>
      <c r="J4949">
        <v>-222.58430000000001</v>
      </c>
      <c r="K4949">
        <v>1.1055029999999999</v>
      </c>
      <c r="L4949">
        <v>142.00839999999999</v>
      </c>
      <c r="M4949">
        <v>-0.99756029999999996</v>
      </c>
      <c r="N4949">
        <v>-9.2432859999999996E-4</v>
      </c>
      <c r="O4949">
        <v>-6.9805370000000005E-2</v>
      </c>
      <c r="P4949">
        <v>-0.99185559999999995</v>
      </c>
      <c r="Q4949">
        <v>-6.4738959999999998E-2</v>
      </c>
      <c r="R4949">
        <v>-0.1096897</v>
      </c>
      <c r="S4949">
        <v>-3.045944</v>
      </c>
      <c r="T4949">
        <v>-3.984642E-2</v>
      </c>
      <c r="U4949">
        <v>0.2031097</v>
      </c>
      <c r="V4949">
        <v>-4.0580119999999997E-2</v>
      </c>
      <c r="W4949">
        <v>-6.3566979999999995E-2</v>
      </c>
      <c r="X4949">
        <v>0.99715220000000004</v>
      </c>
      <c r="Y4949">
        <v>0.13600509999999999</v>
      </c>
      <c r="Z4949">
        <v>1.7991509999999999E-3</v>
      </c>
      <c r="AA4949">
        <v>0.99070650000000005</v>
      </c>
      <c r="AB4949">
        <v>30</v>
      </c>
      <c r="AC4949">
        <v>-84.216099999999997</v>
      </c>
      <c r="AD4949">
        <v>-1.1055143858900001</v>
      </c>
      <c r="AE4949">
        <v>5.6535000000000002</v>
      </c>
      <c r="AF4949">
        <v>11.516471338997199</v>
      </c>
      <c r="AG4949">
        <v>-1.1055143858900001</v>
      </c>
      <c r="AH4949">
        <v>83.601679134320804</v>
      </c>
      <c r="AI4949">
        <v>90.750525017101495</v>
      </c>
      <c r="AJ4949">
        <v>82.156637103792903</v>
      </c>
      <c r="AK4949">
        <v>84.398412474627094</v>
      </c>
      <c r="AL4949">
        <v>93.644576932595697</v>
      </c>
      <c r="AM4949">
        <v>92.3304238965395</v>
      </c>
      <c r="AN4949">
        <v>1.0000000085251799</v>
      </c>
    </row>
    <row r="4950" spans="1:40" x14ac:dyDescent="0.25">
      <c r="A4950" t="str">
        <f>"20190305135029069"</f>
        <v>20190305135029069</v>
      </c>
      <c r="B4950" t="str">
        <f>"1551765029065462"</f>
        <v>1551765029065462</v>
      </c>
      <c r="C4950" t="s">
        <v>40</v>
      </c>
      <c r="D4950">
        <v>3.9117600000000001</v>
      </c>
      <c r="E4950">
        <v>0.56888099999999997</v>
      </c>
      <c r="F4950" t="s">
        <v>94</v>
      </c>
      <c r="G4950">
        <v>-300.81950000000001</v>
      </c>
      <c r="H4950" s="1">
        <v>-1.0250909999999999E-5</v>
      </c>
      <c r="I4950">
        <v>147.381</v>
      </c>
      <c r="J4950">
        <v>-222.7499</v>
      </c>
      <c r="K4950">
        <v>1.1055109999999999</v>
      </c>
      <c r="L4950">
        <v>141.9983</v>
      </c>
      <c r="M4950">
        <v>-0.99767950000000005</v>
      </c>
      <c r="N4950">
        <v>-9.2746340000000004E-4</v>
      </c>
      <c r="O4950">
        <v>-6.8079929999999997E-2</v>
      </c>
      <c r="P4950">
        <v>-0.99199579999999998</v>
      </c>
      <c r="Q4950">
        <v>-6.5102489999999999E-2</v>
      </c>
      <c r="R4950">
        <v>-0.10819520000000001</v>
      </c>
      <c r="S4950">
        <v>-3.0449519999999999</v>
      </c>
      <c r="T4950">
        <v>-4.3027160000000002E-2</v>
      </c>
      <c r="U4950">
        <v>0.2091064</v>
      </c>
      <c r="V4950">
        <v>-4.080408E-2</v>
      </c>
      <c r="W4950">
        <v>-6.3927369999999997E-2</v>
      </c>
      <c r="X4950">
        <v>0.99712000000000001</v>
      </c>
      <c r="Y4950">
        <v>0.1362525</v>
      </c>
      <c r="Z4950">
        <v>1.922525E-3</v>
      </c>
      <c r="AA4950">
        <v>0.99067229999999995</v>
      </c>
      <c r="AB4950">
        <v>30</v>
      </c>
      <c r="AC4950">
        <v>-78.069599999999994</v>
      </c>
      <c r="AD4950">
        <v>-1.1055212509100001</v>
      </c>
      <c r="AE4950">
        <v>5.3826999999999998</v>
      </c>
      <c r="AF4950">
        <v>10.6830542001355</v>
      </c>
      <c r="AG4950">
        <v>-1.1055212509100001</v>
      </c>
      <c r="AH4950">
        <v>77.506545746120807</v>
      </c>
      <c r="AI4950">
        <v>90.809535169664798</v>
      </c>
      <c r="AJ4950">
        <v>82.152130324544004</v>
      </c>
      <c r="AK4950">
        <v>78.247137058008505</v>
      </c>
      <c r="AL4950">
        <v>93.665267917527402</v>
      </c>
      <c r="AM4950">
        <v>92.343346698695399</v>
      </c>
      <c r="AN4950">
        <v>0.99999998798988099</v>
      </c>
    </row>
    <row r="4951" spans="1:40" x14ac:dyDescent="0.25">
      <c r="A4951" t="str">
        <f>"20190305135029083"</f>
        <v>20190305135029083</v>
      </c>
      <c r="B4951" t="str">
        <f>"1551765029075222"</f>
        <v>1551765029075222</v>
      </c>
      <c r="C4951" t="s">
        <v>40</v>
      </c>
      <c r="D4951">
        <v>3.9072550000000001</v>
      </c>
      <c r="E4951">
        <v>0.56873750000000001</v>
      </c>
      <c r="F4951" t="s">
        <v>94</v>
      </c>
      <c r="G4951">
        <v>-295.9119</v>
      </c>
      <c r="H4951" s="1">
        <v>-1.038622E-5</v>
      </c>
      <c r="I4951">
        <v>147.06880000000001</v>
      </c>
      <c r="J4951">
        <v>-222.9359</v>
      </c>
      <c r="K4951">
        <v>1.1055330000000001</v>
      </c>
      <c r="L4951">
        <v>141.9873</v>
      </c>
      <c r="M4951">
        <v>-0.99780559999999996</v>
      </c>
      <c r="N4951">
        <v>-9.3173819999999995E-4</v>
      </c>
      <c r="O4951">
        <v>-6.6204680000000002E-2</v>
      </c>
      <c r="P4951">
        <v>-0.99215989999999998</v>
      </c>
      <c r="Q4951">
        <v>-6.5461920000000007E-2</v>
      </c>
      <c r="R4951">
        <v>-0.1064587</v>
      </c>
      <c r="S4951">
        <v>-3.0442200000000001</v>
      </c>
      <c r="T4951">
        <v>-4.5999999999999999E-2</v>
      </c>
      <c r="U4951">
        <v>0.21098330000000001</v>
      </c>
      <c r="V4951">
        <v>-4.0932459999999997E-2</v>
      </c>
      <c r="W4951">
        <v>-6.4284439999999998E-2</v>
      </c>
      <c r="X4951">
        <v>0.99709179999999997</v>
      </c>
      <c r="Y4951">
        <v>0.13501199999999999</v>
      </c>
      <c r="Z4951">
        <v>2.0193089999999999E-3</v>
      </c>
      <c r="AA4951">
        <v>0.99084190000000005</v>
      </c>
      <c r="AB4951">
        <v>30</v>
      </c>
      <c r="AC4951">
        <v>-72.975999999999999</v>
      </c>
      <c r="AD4951">
        <v>-1.1055433862199999</v>
      </c>
      <c r="AE4951">
        <v>5.0815000000000001</v>
      </c>
      <c r="AF4951">
        <v>9.8994454576214501</v>
      </c>
      <c r="AG4951">
        <v>-1.1055433862199999</v>
      </c>
      <c r="AH4951">
        <v>72.462925573897095</v>
      </c>
      <c r="AI4951">
        <v>90.866032398141797</v>
      </c>
      <c r="AJ4951">
        <v>82.220755160976395</v>
      </c>
      <c r="AK4951">
        <v>73.144356099943806</v>
      </c>
      <c r="AL4951">
        <v>93.685768621324996</v>
      </c>
      <c r="AM4951">
        <v>92.350777613616103</v>
      </c>
      <c r="AN4951">
        <v>1.0000000065675001</v>
      </c>
    </row>
    <row r="4952" spans="1:40" x14ac:dyDescent="0.25">
      <c r="A4952" t="str">
        <f>"20190305135029096"</f>
        <v>20190305135029096</v>
      </c>
      <c r="B4952" t="str">
        <f>"1551765029084982"</f>
        <v>1551765029084982</v>
      </c>
      <c r="C4952" t="s">
        <v>40</v>
      </c>
      <c r="D4952">
        <v>3.8444769999999999</v>
      </c>
      <c r="E4952">
        <v>0.56864079999999995</v>
      </c>
      <c r="F4952" t="s">
        <v>94</v>
      </c>
      <c r="G4952">
        <v>-292.78579999999999</v>
      </c>
      <c r="H4952" s="1">
        <v>-1.0653649999999999E-5</v>
      </c>
      <c r="I4952">
        <v>146.92769999999999</v>
      </c>
      <c r="J4952">
        <v>-223.11949999999999</v>
      </c>
      <c r="K4952">
        <v>1.105566</v>
      </c>
      <c r="L4952">
        <v>141.9768</v>
      </c>
      <c r="M4952">
        <v>-0.99792389999999997</v>
      </c>
      <c r="N4952">
        <v>-9.3629189999999999E-4</v>
      </c>
      <c r="O4952">
        <v>-6.4398869999999997E-2</v>
      </c>
      <c r="P4952">
        <v>-0.99232750000000003</v>
      </c>
      <c r="Q4952">
        <v>-6.5803799999999996E-2</v>
      </c>
      <c r="R4952">
        <v>-0.1046715</v>
      </c>
      <c r="S4952">
        <v>-3.043625</v>
      </c>
      <c r="T4952">
        <v>-4.8172710000000001E-2</v>
      </c>
      <c r="U4952">
        <v>0.21527099999999999</v>
      </c>
      <c r="V4952">
        <v>-4.0938679999999998E-2</v>
      </c>
      <c r="W4952">
        <v>-6.4625230000000006E-2</v>
      </c>
      <c r="X4952">
        <v>0.99706950000000005</v>
      </c>
      <c r="Y4952">
        <v>0.1346194</v>
      </c>
      <c r="Z4952">
        <v>2.0848160000000002E-3</v>
      </c>
      <c r="AA4952">
        <v>0.99089519999999998</v>
      </c>
      <c r="AB4952">
        <v>30</v>
      </c>
      <c r="AC4952">
        <v>-69.666300000000007</v>
      </c>
      <c r="AD4952">
        <v>-1.10557665365</v>
      </c>
      <c r="AE4952">
        <v>4.9508999999999901</v>
      </c>
      <c r="AF4952">
        <v>9.4246939879559495</v>
      </c>
      <c r="AG4952">
        <v>-1.10557665365</v>
      </c>
      <c r="AH4952">
        <v>69.185520369508396</v>
      </c>
      <c r="AI4952">
        <v>90.907125457557797</v>
      </c>
      <c r="AJ4952">
        <v>82.242716567075206</v>
      </c>
      <c r="AK4952">
        <v>69.833254150894106</v>
      </c>
      <c r="AL4952">
        <v>93.705335190713797</v>
      </c>
      <c r="AM4952">
        <v>92.351186956775095</v>
      </c>
      <c r="AN4952">
        <v>0.99999999185147204</v>
      </c>
    </row>
    <row r="4953" spans="1:40" x14ac:dyDescent="0.25">
      <c r="A4953" t="str">
        <f>"20190305135029114"</f>
        <v>20190305135029114</v>
      </c>
      <c r="B4953" t="str">
        <f>"1551765029105481"</f>
        <v>1551765029105481</v>
      </c>
      <c r="C4953" t="s">
        <v>40</v>
      </c>
      <c r="D4953">
        <v>3.983514</v>
      </c>
      <c r="E4953">
        <v>0.56827430000000001</v>
      </c>
      <c r="F4953" t="s">
        <v>94</v>
      </c>
      <c r="G4953">
        <v>-290.47840000000002</v>
      </c>
      <c r="H4953" s="1">
        <v>-1.0857890000000001E-5</v>
      </c>
      <c r="I4953">
        <v>146.8485</v>
      </c>
      <c r="J4953">
        <v>-223.369</v>
      </c>
      <c r="K4953">
        <v>1.105626</v>
      </c>
      <c r="L4953">
        <v>141.96289999999999</v>
      </c>
      <c r="M4953">
        <v>-0.99807349999999995</v>
      </c>
      <c r="N4953">
        <v>-9.4318950000000005E-4</v>
      </c>
      <c r="O4953">
        <v>-6.2035819999999998E-2</v>
      </c>
      <c r="P4953">
        <v>-0.99258959999999996</v>
      </c>
      <c r="Q4953">
        <v>-6.5834660000000003E-2</v>
      </c>
      <c r="R4953">
        <v>-0.1021357</v>
      </c>
      <c r="S4953">
        <v>-3.043091</v>
      </c>
      <c r="T4953">
        <v>-4.9946900000000002E-2</v>
      </c>
      <c r="U4953">
        <v>0.22009280000000001</v>
      </c>
      <c r="V4953">
        <v>-4.0742720000000003E-2</v>
      </c>
      <c r="W4953">
        <v>-6.4656500000000006E-2</v>
      </c>
      <c r="X4953">
        <v>0.9970755</v>
      </c>
      <c r="Y4953">
        <v>0.13384589999999999</v>
      </c>
      <c r="Z4953">
        <v>2.1185869999999999E-3</v>
      </c>
      <c r="AA4953">
        <v>0.99099990000000004</v>
      </c>
      <c r="AB4953">
        <v>30</v>
      </c>
      <c r="AC4953">
        <v>-67.109399999999994</v>
      </c>
      <c r="AD4953">
        <v>-1.10563685789</v>
      </c>
      <c r="AE4953">
        <v>4.8856000000000099</v>
      </c>
      <c r="AF4953">
        <v>9.0369384051638804</v>
      </c>
      <c r="AG4953">
        <v>-1.10563685789</v>
      </c>
      <c r="AH4953">
        <v>66.659061830106594</v>
      </c>
      <c r="AI4953">
        <v>90.941633935231096</v>
      </c>
      <c r="AJ4953">
        <v>82.279506445442706</v>
      </c>
      <c r="AK4953">
        <v>67.277925151346807</v>
      </c>
      <c r="AL4953">
        <v>93.707130582385403</v>
      </c>
      <c r="AM4953">
        <v>92.339931072554805</v>
      </c>
      <c r="AN4953">
        <v>0.99999999246274895</v>
      </c>
    </row>
    <row r="4954" spans="1:40" x14ac:dyDescent="0.25">
      <c r="A4954" t="str">
        <f>"20190305135029134"</f>
        <v>20190305135029134</v>
      </c>
      <c r="B4954" t="str">
        <f>"1551765029124997"</f>
        <v>1551765029124997</v>
      </c>
      <c r="C4954" t="s">
        <v>40</v>
      </c>
      <c r="D4954">
        <v>3.9314469999999999</v>
      </c>
      <c r="E4954">
        <v>0.56806579999999995</v>
      </c>
      <c r="F4954" t="s">
        <v>94</v>
      </c>
      <c r="G4954">
        <v>-284.3759</v>
      </c>
      <c r="H4954" s="1">
        <v>-7.7799860000000001E-6</v>
      </c>
      <c r="I4954">
        <v>146.4828</v>
      </c>
      <c r="J4954">
        <v>-223.6525</v>
      </c>
      <c r="K4954">
        <v>1.1057079999999999</v>
      </c>
      <c r="L4954">
        <v>141.94759999999999</v>
      </c>
      <c r="M4954">
        <v>-0.99822860000000002</v>
      </c>
      <c r="N4954">
        <v>-9.5236370000000004E-4</v>
      </c>
      <c r="O4954">
        <v>-5.9488230000000003E-2</v>
      </c>
      <c r="P4954">
        <v>-0.99292579999999997</v>
      </c>
      <c r="Q4954">
        <v>-6.4960649999999995E-2</v>
      </c>
      <c r="R4954">
        <v>-9.9393140000000005E-2</v>
      </c>
      <c r="S4954">
        <v>-3.0419309999999999</v>
      </c>
      <c r="T4954">
        <v>-5.5129169999999998E-2</v>
      </c>
      <c r="U4954">
        <v>0.2253723</v>
      </c>
      <c r="V4954">
        <v>-4.051155E-2</v>
      </c>
      <c r="W4954">
        <v>-6.3782729999999996E-2</v>
      </c>
      <c r="X4954">
        <v>0.99714119999999995</v>
      </c>
      <c r="Y4954">
        <v>0.13304920000000001</v>
      </c>
      <c r="Z4954">
        <v>2.287426E-3</v>
      </c>
      <c r="AA4954">
        <v>0.99110679999999995</v>
      </c>
      <c r="AB4954">
        <v>31</v>
      </c>
      <c r="AC4954">
        <v>-60.723399999999998</v>
      </c>
      <c r="AD4954">
        <v>-1.105715779986</v>
      </c>
      <c r="AE4954">
        <v>4.5351999999999997</v>
      </c>
      <c r="AF4954">
        <v>8.1368142839365198</v>
      </c>
      <c r="AG4954">
        <v>-1.105715779986</v>
      </c>
      <c r="AH4954">
        <v>60.326176689706898</v>
      </c>
      <c r="AI4954">
        <v>91.040632991308001</v>
      </c>
      <c r="AJ4954">
        <v>82.318286511276398</v>
      </c>
      <c r="AK4954">
        <v>60.882492952203599</v>
      </c>
      <c r="AL4954">
        <v>93.656963673559005</v>
      </c>
      <c r="AM4954">
        <v>92.326516044699503</v>
      </c>
      <c r="AN4954">
        <v>0.99999999753354696</v>
      </c>
    </row>
    <row r="4955" spans="1:40" x14ac:dyDescent="0.25">
      <c r="A4955" t="str">
        <f>"20190305135029158"</f>
        <v>20190305135029158</v>
      </c>
      <c r="B4955" t="str">
        <f>"1551765029155254"</f>
        <v>1551765029155254</v>
      </c>
      <c r="C4955" t="s">
        <v>40</v>
      </c>
      <c r="D4955">
        <v>3.891467</v>
      </c>
      <c r="E4955">
        <v>0.56747259999999999</v>
      </c>
      <c r="F4955" t="s">
        <v>94</v>
      </c>
      <c r="G4955">
        <v>-285.92759999999998</v>
      </c>
      <c r="H4955" s="1">
        <v>-8.7127859999999905E-6</v>
      </c>
      <c r="I4955">
        <v>146.7022</v>
      </c>
      <c r="J4955">
        <v>-223.97550000000001</v>
      </c>
      <c r="K4955">
        <v>1.105807</v>
      </c>
      <c r="L4955">
        <v>141.93100000000001</v>
      </c>
      <c r="M4955">
        <v>-0.99838780000000005</v>
      </c>
      <c r="N4955">
        <v>-9.6514750000000003E-4</v>
      </c>
      <c r="O4955">
        <v>-5.6754480000000003E-2</v>
      </c>
      <c r="P4955">
        <v>-0.99329270000000003</v>
      </c>
      <c r="Q4955">
        <v>-6.4261239999999997E-2</v>
      </c>
      <c r="R4955">
        <v>-9.6126349999999999E-2</v>
      </c>
      <c r="S4955">
        <v>-3.041077</v>
      </c>
      <c r="T4955">
        <v>-5.3995370000000001E-2</v>
      </c>
      <c r="U4955">
        <v>0.23217769999999999</v>
      </c>
      <c r="V4955">
        <v>-3.9940379999999998E-2</v>
      </c>
      <c r="W4955">
        <v>-6.3083219999999995E-2</v>
      </c>
      <c r="X4955">
        <v>0.99720869999999995</v>
      </c>
      <c r="Y4955">
        <v>0.13256289999999901</v>
      </c>
      <c r="Z4955">
        <v>2.1907239999999998E-3</v>
      </c>
      <c r="AA4955">
        <v>0.99117219999999995</v>
      </c>
      <c r="AB4955">
        <v>31</v>
      </c>
      <c r="AC4955">
        <v>-61.952099999999902</v>
      </c>
      <c r="AD4955">
        <v>-1.105815712786</v>
      </c>
      <c r="AE4955">
        <v>4.7711999999999897</v>
      </c>
      <c r="AF4955">
        <v>8.2769485794576507</v>
      </c>
      <c r="AG4955">
        <v>-1.105815712786</v>
      </c>
      <c r="AH4955">
        <v>61.561957982992602</v>
      </c>
      <c r="AI4955">
        <v>91.019898312139503</v>
      </c>
      <c r="AJ4955">
        <v>82.342554931411399</v>
      </c>
      <c r="AK4955">
        <v>62.125722344914202</v>
      </c>
      <c r="AL4955">
        <v>93.616803963652899</v>
      </c>
      <c r="AM4955">
        <v>92.293594819518205</v>
      </c>
      <c r="AN4955">
        <v>0.99999995897789995</v>
      </c>
    </row>
    <row r="4956" spans="1:40" x14ac:dyDescent="0.25">
      <c r="A4956" t="str">
        <f>"20190305135029170"</f>
        <v>20190305135029170</v>
      </c>
      <c r="B4956" t="str">
        <f>"1551765029164991"</f>
        <v>1551765029164991</v>
      </c>
      <c r="C4956" t="s">
        <v>40</v>
      </c>
      <c r="D4956">
        <v>3.9117510000000002</v>
      </c>
      <c r="E4956">
        <v>0.56731219999999905</v>
      </c>
      <c r="F4956" t="s">
        <v>94</v>
      </c>
      <c r="G4956">
        <v>-285.59399999999999</v>
      </c>
      <c r="H4956" s="1">
        <v>-8.521176E-6</v>
      </c>
      <c r="I4956">
        <v>146.75190000000001</v>
      </c>
      <c r="J4956">
        <v>-224.15199999999999</v>
      </c>
      <c r="K4956">
        <v>1.1058600000000001</v>
      </c>
      <c r="L4956">
        <v>141.9222</v>
      </c>
      <c r="M4956">
        <v>-0.99846829999999998</v>
      </c>
      <c r="N4956">
        <v>-9.7312099999999997E-4</v>
      </c>
      <c r="O4956">
        <v>-5.5321250000000002E-2</v>
      </c>
      <c r="P4956">
        <v>-0.99348570000000003</v>
      </c>
      <c r="Q4956">
        <v>-6.3823770000000002E-2</v>
      </c>
      <c r="R4956">
        <v>-9.4410400000000005E-2</v>
      </c>
      <c r="S4956">
        <v>-3.0397340000000002</v>
      </c>
      <c r="T4956">
        <v>-5.4551599999999999E-2</v>
      </c>
      <c r="U4956">
        <v>0.23782349999999999</v>
      </c>
      <c r="V4956">
        <v>-3.9636680000000001E-2</v>
      </c>
      <c r="W4956">
        <v>-6.264459E-2</v>
      </c>
      <c r="X4956">
        <v>0.99724849999999998</v>
      </c>
      <c r="Y4956">
        <v>0.13300279999999901</v>
      </c>
      <c r="Z4956">
        <v>2.1939749999999999E-3</v>
      </c>
      <c r="AA4956">
        <v>0.99111320000000003</v>
      </c>
      <c r="AB4956">
        <v>31</v>
      </c>
      <c r="AC4956">
        <v>-61.441999999999901</v>
      </c>
      <c r="AD4956">
        <v>-1.105868521176</v>
      </c>
      <c r="AE4956">
        <v>4.8296999999999999</v>
      </c>
      <c r="AF4956">
        <v>8.2187070216797906</v>
      </c>
      <c r="AG4956">
        <v>-1.105868521176</v>
      </c>
      <c r="AH4956">
        <v>61.061063791247101</v>
      </c>
      <c r="AI4956">
        <v>91.028291763131307</v>
      </c>
      <c r="AJ4956">
        <v>82.334164899572997</v>
      </c>
      <c r="AK4956">
        <v>61.621616350215</v>
      </c>
      <c r="AL4956">
        <v>93.591622393643803</v>
      </c>
      <c r="AM4956">
        <v>92.276082374091899</v>
      </c>
      <c r="AN4956">
        <v>0.99999999090497005</v>
      </c>
    </row>
    <row r="4957" spans="1:40" x14ac:dyDescent="0.25">
      <c r="A4957" t="str">
        <f>"20190305135029193"</f>
        <v>20190305135029193</v>
      </c>
      <c r="B4957" t="str">
        <f>"1551765029185486"</f>
        <v>1551765029185486</v>
      </c>
      <c r="C4957" t="s">
        <v>40</v>
      </c>
      <c r="D4957">
        <v>3.8755850000000001</v>
      </c>
      <c r="E4957">
        <v>0.56696979999999997</v>
      </c>
      <c r="F4957" t="s">
        <v>94</v>
      </c>
      <c r="G4957">
        <v>-286.91629999999998</v>
      </c>
      <c r="H4957" s="1">
        <v>-9.3369989999999995E-6</v>
      </c>
      <c r="I4957">
        <v>146.91650000000001</v>
      </c>
      <c r="J4957">
        <v>-224.46899999999999</v>
      </c>
      <c r="K4957">
        <v>1.1059619999999999</v>
      </c>
      <c r="L4957">
        <v>141.90690000000001</v>
      </c>
      <c r="M4957">
        <v>-0.99859849999999994</v>
      </c>
      <c r="N4957">
        <v>-9.894356999999999E-4</v>
      </c>
      <c r="O4957">
        <v>-5.2916789999999998E-2</v>
      </c>
      <c r="P4957">
        <v>-0.99380089999999999</v>
      </c>
      <c r="Q4957">
        <v>-6.3229969999999996E-2</v>
      </c>
      <c r="R4957">
        <v>-9.144352E-2</v>
      </c>
      <c r="S4957">
        <v>-3.0392299999999999</v>
      </c>
      <c r="T4957">
        <v>-5.3549409999999999E-2</v>
      </c>
      <c r="U4957">
        <v>0.24183650000000001</v>
      </c>
      <c r="V4957">
        <v>-3.9040400000000003E-2</v>
      </c>
      <c r="W4957">
        <v>-6.2047110000000003E-2</v>
      </c>
      <c r="X4957">
        <v>0.99730940000000001</v>
      </c>
      <c r="Y4957">
        <v>0.1319311</v>
      </c>
      <c r="Z4957">
        <v>2.1044470000000002E-3</v>
      </c>
      <c r="AA4957">
        <v>0.99125669999999999</v>
      </c>
      <c r="AB4957">
        <v>31</v>
      </c>
      <c r="AC4957">
        <v>-62.447299999999899</v>
      </c>
      <c r="AD4957">
        <v>-1.1059713369990001</v>
      </c>
      <c r="AE4957">
        <v>5.0095999999999998</v>
      </c>
      <c r="AF4957">
        <v>8.3045050898368693</v>
      </c>
      <c r="AG4957">
        <v>-1.1059713369990001</v>
      </c>
      <c r="AH4957">
        <v>62.075368404995302</v>
      </c>
      <c r="AI4957">
        <v>91.011696077835396</v>
      </c>
      <c r="AJ4957">
        <v>82.380156517049201</v>
      </c>
      <c r="AK4957">
        <v>62.638162010081999</v>
      </c>
      <c r="AL4957">
        <v>93.557322487254098</v>
      </c>
      <c r="AM4957">
        <v>92.241740252218193</v>
      </c>
      <c r="AN4957">
        <v>1.00000001800993</v>
      </c>
    </row>
    <row r="4958" spans="1:40" x14ac:dyDescent="0.25">
      <c r="A4958" t="str">
        <f>"20190305135029214"</f>
        <v>20190305135029214</v>
      </c>
      <c r="B4958" t="str">
        <f>"1551765029205006"</f>
        <v>1551765029205006</v>
      </c>
      <c r="C4958" t="s">
        <v>40</v>
      </c>
      <c r="D4958">
        <v>3.9181080000000001</v>
      </c>
      <c r="E4958">
        <v>0.56665779999999999</v>
      </c>
      <c r="F4958" t="s">
        <v>94</v>
      </c>
      <c r="G4958">
        <v>-287.5095</v>
      </c>
      <c r="H4958" s="1">
        <v>-9.6857549999999999E-6</v>
      </c>
      <c r="I4958">
        <v>147.0573</v>
      </c>
      <c r="J4958">
        <v>-224.7784</v>
      </c>
      <c r="K4958">
        <v>1.10606</v>
      </c>
      <c r="L4958">
        <v>141.89259999999999</v>
      </c>
      <c r="M4958">
        <v>-0.99871160000000003</v>
      </c>
      <c r="N4958">
        <v>-1.0068060000000001E-3</v>
      </c>
      <c r="O4958">
        <v>-5.0738869999999998E-2</v>
      </c>
      <c r="P4958">
        <v>-0.99399599999999999</v>
      </c>
      <c r="Q4958">
        <v>-6.3102279999999997E-2</v>
      </c>
      <c r="R4958">
        <v>-8.9388830000000002E-2</v>
      </c>
      <c r="S4958">
        <v>-3.0381619999999998</v>
      </c>
      <c r="T4958">
        <v>-5.3300979999999998E-2</v>
      </c>
      <c r="U4958">
        <v>0.24821470000000001</v>
      </c>
      <c r="V4958">
        <v>-3.9136780000000003E-2</v>
      </c>
      <c r="W4958">
        <v>-6.1911220000000003E-2</v>
      </c>
      <c r="X4958">
        <v>0.99731400000000003</v>
      </c>
      <c r="Y4958">
        <v>0.13186500000000001</v>
      </c>
      <c r="Z4958">
        <v>2.0589860000000001E-3</v>
      </c>
      <c r="AA4958">
        <v>0.99126550000000002</v>
      </c>
      <c r="AB4958">
        <v>31</v>
      </c>
      <c r="AC4958">
        <v>-62.731099999999998</v>
      </c>
      <c r="AD4958">
        <v>-1.1060696857549901</v>
      </c>
      <c r="AE4958">
        <v>5.1647000000000096</v>
      </c>
      <c r="AF4958">
        <v>8.3383790569343699</v>
      </c>
      <c r="AG4958">
        <v>-1.1060696857549901</v>
      </c>
      <c r="AH4958">
        <v>62.368989253909703</v>
      </c>
      <c r="AI4958">
        <v>91.007035187477499</v>
      </c>
      <c r="AJ4958">
        <v>82.385036352912707</v>
      </c>
      <c r="AK4958">
        <v>62.933637873566198</v>
      </c>
      <c r="AL4958">
        <v>93.549521805588896</v>
      </c>
      <c r="AM4958">
        <v>92.247258469975804</v>
      </c>
      <c r="AN4958">
        <v>0.99999995065332703</v>
      </c>
    </row>
    <row r="4959" spans="1:40" x14ac:dyDescent="0.25">
      <c r="A4959" t="str">
        <f>"20190305135029235"</f>
        <v>20190305135029235</v>
      </c>
      <c r="B4959" t="str">
        <f>"1551765029225505"</f>
        <v>1551765029225505</v>
      </c>
      <c r="C4959" t="s">
        <v>40</v>
      </c>
      <c r="D4959">
        <v>3.9362550000000001</v>
      </c>
      <c r="E4959">
        <v>0.56627700000000003</v>
      </c>
      <c r="F4959" t="s">
        <v>94</v>
      </c>
      <c r="G4959">
        <v>-286.29270000000002</v>
      </c>
      <c r="H4959" s="1">
        <v>-9.0332280000000001E-6</v>
      </c>
      <c r="I4959">
        <v>146.99809999999999</v>
      </c>
      <c r="J4959">
        <v>-225.06979999999999</v>
      </c>
      <c r="K4959">
        <v>1.10615</v>
      </c>
      <c r="L4959">
        <v>141.87960000000001</v>
      </c>
      <c r="M4959">
        <v>-0.99880690000000005</v>
      </c>
      <c r="N4959">
        <v>-1.0246490000000001E-3</v>
      </c>
      <c r="O4959">
        <v>-4.8825420000000001E-2</v>
      </c>
      <c r="P4959">
        <v>-0.99416610000000005</v>
      </c>
      <c r="Q4959">
        <v>-6.2767329999999996E-2</v>
      </c>
      <c r="R4959">
        <v>-8.7717149999999994E-2</v>
      </c>
      <c r="S4959">
        <v>-3.0373230000000002</v>
      </c>
      <c r="T4959">
        <v>-5.4613109999999999E-2</v>
      </c>
      <c r="U4959">
        <v>0.2520905</v>
      </c>
      <c r="V4959">
        <v>-3.9353060000000002E-2</v>
      </c>
      <c r="W4959">
        <v>-6.15664E-2</v>
      </c>
      <c r="X4959">
        <v>0.99732690000000002</v>
      </c>
      <c r="Y4959">
        <v>0.13124340000000001</v>
      </c>
      <c r="Z4959">
        <v>2.071753E-3</v>
      </c>
      <c r="AA4959">
        <v>0.99134800000000001</v>
      </c>
      <c r="AB4959">
        <v>32</v>
      </c>
      <c r="AC4959">
        <v>-61.222900000000003</v>
      </c>
      <c r="AD4959">
        <v>-1.106159033228</v>
      </c>
      <c r="AE4959">
        <v>5.1184999999999796</v>
      </c>
      <c r="AF4959">
        <v>8.09900487484793</v>
      </c>
      <c r="AG4959">
        <v>-1.106159033228</v>
      </c>
      <c r="AH4959">
        <v>60.880232099975402</v>
      </c>
      <c r="AI4959">
        <v>91.031828707255599</v>
      </c>
      <c r="AJ4959">
        <v>82.4223339508208</v>
      </c>
      <c r="AK4959">
        <v>61.4265425391701</v>
      </c>
      <c r="AL4959">
        <v>93.529727084530705</v>
      </c>
      <c r="AM4959">
        <v>92.259635367509105</v>
      </c>
      <c r="AN4959">
        <v>1.0000000152019599</v>
      </c>
    </row>
    <row r="4960" spans="1:40" x14ac:dyDescent="0.25">
      <c r="A4960" t="str">
        <f>"20190305135029258"</f>
        <v>20190305135029258</v>
      </c>
      <c r="B4960" t="str">
        <f>"1551765029254782"</f>
        <v>1551765029254782</v>
      </c>
      <c r="C4960" t="s">
        <v>40</v>
      </c>
      <c r="D4960">
        <v>3.9212910000000001</v>
      </c>
      <c r="E4960">
        <v>0.56568439999999998</v>
      </c>
      <c r="F4960" t="s">
        <v>94</v>
      </c>
      <c r="G4960">
        <v>-285.4975</v>
      </c>
      <c r="H4960" s="1">
        <v>-8.5215809999999995E-6</v>
      </c>
      <c r="I4960">
        <v>146.93879999999999</v>
      </c>
      <c r="J4960">
        <v>-225.39760000000001</v>
      </c>
      <c r="K4960">
        <v>1.106247</v>
      </c>
      <c r="L4960">
        <v>141.8655</v>
      </c>
      <c r="M4960">
        <v>-0.99890259999999997</v>
      </c>
      <c r="N4960">
        <v>-1.046323E-3</v>
      </c>
      <c r="O4960">
        <v>-4.6829229999999999E-2</v>
      </c>
      <c r="P4960">
        <v>-0.99434120000000004</v>
      </c>
      <c r="Q4960">
        <v>-6.2615160000000003E-2</v>
      </c>
      <c r="R4960">
        <v>-8.5821910000000001E-2</v>
      </c>
      <c r="S4960">
        <v>-3.0365449999999998</v>
      </c>
      <c r="T4960">
        <v>-5.5585379999999997E-2</v>
      </c>
      <c r="U4960">
        <v>0.25422670000000003</v>
      </c>
      <c r="V4960">
        <v>-3.9428600000000001E-2</v>
      </c>
      <c r="W4960">
        <v>-6.1402279999999997E-2</v>
      </c>
      <c r="X4960">
        <v>0.99733400000000005</v>
      </c>
      <c r="Y4960">
        <v>0.12997520000000001</v>
      </c>
      <c r="Z4960">
        <v>2.0625230000000001E-3</v>
      </c>
      <c r="AA4960">
        <v>0.99151509999999998</v>
      </c>
      <c r="AB4960">
        <v>32</v>
      </c>
      <c r="AC4960">
        <v>-60.099899999999899</v>
      </c>
      <c r="AD4960">
        <v>-1.1062555215809999</v>
      </c>
      <c r="AE4960">
        <v>5.0732999999999802</v>
      </c>
      <c r="AF4960">
        <v>7.8795162260301597</v>
      </c>
      <c r="AG4960">
        <v>-1.1062555215809999</v>
      </c>
      <c r="AH4960">
        <v>59.776276305567102</v>
      </c>
      <c r="AI4960">
        <v>91.051138217592097</v>
      </c>
      <c r="AJ4960">
        <v>82.490747907506901</v>
      </c>
      <c r="AK4960">
        <v>60.303513879332201</v>
      </c>
      <c r="AL4960">
        <v>93.520305997336294</v>
      </c>
      <c r="AM4960">
        <v>92.263952231555905</v>
      </c>
      <c r="AN4960">
        <v>0.99999998102157905</v>
      </c>
    </row>
    <row r="4961" spans="1:40" x14ac:dyDescent="0.25">
      <c r="A4961" t="str">
        <f>"20190305135029270"</f>
        <v>20190305135029270</v>
      </c>
      <c r="B4961" t="str">
        <f>"1551765029265049"</f>
        <v>1551765029265049</v>
      </c>
      <c r="C4961" t="s">
        <v>40</v>
      </c>
      <c r="D4961">
        <v>3.8871250000000002</v>
      </c>
      <c r="E4961">
        <v>0.56551499999999999</v>
      </c>
      <c r="F4961" t="s">
        <v>94</v>
      </c>
      <c r="G4961">
        <v>-282.45179999999999</v>
      </c>
      <c r="H4961" s="1">
        <v>-6.9877999999999901E-6</v>
      </c>
      <c r="I4961">
        <v>146.67150000000001</v>
      </c>
      <c r="J4961">
        <v>-225.5797</v>
      </c>
      <c r="K4961">
        <v>1.106303</v>
      </c>
      <c r="L4961">
        <v>141.8578</v>
      </c>
      <c r="M4961">
        <v>-0.99895120000000004</v>
      </c>
      <c r="N4961">
        <v>-1.05894E-3</v>
      </c>
      <c r="O4961">
        <v>-4.5775160000000002E-2</v>
      </c>
      <c r="P4961">
        <v>-0.9943919</v>
      </c>
      <c r="Q4961">
        <v>-6.2928330000000005E-2</v>
      </c>
      <c r="R4961">
        <v>-8.5000080000000006E-2</v>
      </c>
      <c r="S4961">
        <v>-3.0354459999999999</v>
      </c>
      <c r="T4961">
        <v>-5.8855770000000002E-2</v>
      </c>
      <c r="U4961">
        <v>0.25569150000000002</v>
      </c>
      <c r="V4961">
        <v>-3.9650409999999997E-2</v>
      </c>
      <c r="W4961">
        <v>-6.1707409999999997E-2</v>
      </c>
      <c r="X4961">
        <v>0.99730640000000004</v>
      </c>
      <c r="Y4961">
        <v>0.1294305</v>
      </c>
      <c r="Z4961">
        <v>2.1588470000000002E-3</v>
      </c>
      <c r="AA4961">
        <v>0.99158610000000003</v>
      </c>
      <c r="AB4961">
        <v>32</v>
      </c>
      <c r="AC4961">
        <v>-56.872099999999897</v>
      </c>
      <c r="AD4961">
        <v>-1.1063099878</v>
      </c>
      <c r="AE4961">
        <v>4.8137000000000096</v>
      </c>
      <c r="AF4961">
        <v>7.4092013489501003</v>
      </c>
      <c r="AG4961">
        <v>-1.1063099878</v>
      </c>
      <c r="AH4961">
        <v>56.5708824107206</v>
      </c>
      <c r="AI4961">
        <v>91.110858664697801</v>
      </c>
      <c r="AJ4961">
        <v>82.538329000498194</v>
      </c>
      <c r="AK4961">
        <v>57.064743258390003</v>
      </c>
      <c r="AL4961">
        <v>93.537821780559398</v>
      </c>
      <c r="AM4961">
        <v>92.276737923285197</v>
      </c>
      <c r="AN4961">
        <v>1.0000000074715101</v>
      </c>
    </row>
    <row r="4962" spans="1:40" x14ac:dyDescent="0.25">
      <c r="A4962" t="str">
        <f>"20190305135029283"</f>
        <v>20190305135029283</v>
      </c>
      <c r="B4962" t="str">
        <f>"1551765029274810"</f>
        <v>1551765029274810</v>
      </c>
      <c r="C4962" t="s">
        <v>40</v>
      </c>
      <c r="D4962">
        <v>3.9288889999999999</v>
      </c>
      <c r="E4962">
        <v>0.56532209999999905</v>
      </c>
      <c r="F4962" t="s">
        <v>94</v>
      </c>
      <c r="G4962">
        <v>-281.16269999999997</v>
      </c>
      <c r="H4962" s="1">
        <v>-6.3807770000000004E-6</v>
      </c>
      <c r="I4962">
        <v>146.56219999999999</v>
      </c>
      <c r="J4962">
        <v>-225.77430000000001</v>
      </c>
      <c r="K4962">
        <v>1.10636</v>
      </c>
      <c r="L4962">
        <v>141.84989999999999</v>
      </c>
      <c r="M4962">
        <v>-0.99899919999999998</v>
      </c>
      <c r="N4962">
        <v>-1.073011E-3</v>
      </c>
      <c r="O4962">
        <v>-4.4715619999999998E-2</v>
      </c>
      <c r="P4962">
        <v>-0.99445629999999996</v>
      </c>
      <c r="Q4962">
        <v>-6.3060809999999995E-2</v>
      </c>
      <c r="R4962">
        <v>-8.414394E-2</v>
      </c>
      <c r="S4962">
        <v>-3.0350649999999999</v>
      </c>
      <c r="T4962">
        <v>-6.0409070000000002E-2</v>
      </c>
      <c r="U4962">
        <v>0.25688169999999999</v>
      </c>
      <c r="V4962">
        <v>-3.9841750000000002E-2</v>
      </c>
      <c r="W4962">
        <v>-6.1830679999999999E-2</v>
      </c>
      <c r="X4962">
        <v>0.99729109999999999</v>
      </c>
      <c r="Y4962">
        <v>0.12877379999999999</v>
      </c>
      <c r="Z4962">
        <v>2.1889940000000001E-3</v>
      </c>
      <c r="AA4962">
        <v>0.99167159999999999</v>
      </c>
      <c r="AB4962">
        <v>32</v>
      </c>
      <c r="AC4962">
        <v>-55.388399999999898</v>
      </c>
      <c r="AD4962">
        <v>-1.1063663807769999</v>
      </c>
      <c r="AE4962">
        <v>4.7122999999999902</v>
      </c>
      <c r="AF4962">
        <v>7.1814698377331698</v>
      </c>
      <c r="AG4962">
        <v>-1.1063663807769999</v>
      </c>
      <c r="AH4962">
        <v>55.100458051883201</v>
      </c>
      <c r="AI4962">
        <v>91.140647141399</v>
      </c>
      <c r="AJ4962">
        <v>82.5742630328281</v>
      </c>
      <c r="AK4962">
        <v>55.577495743566203</v>
      </c>
      <c r="AL4962">
        <v>93.544898283580693</v>
      </c>
      <c r="AM4962">
        <v>92.287748135333004</v>
      </c>
      <c r="AN4962">
        <v>0.99999996808576597</v>
      </c>
    </row>
    <row r="4963" spans="1:40" x14ac:dyDescent="0.25">
      <c r="A4963" t="str">
        <f>"20190305135029304"</f>
        <v>20190305135029304</v>
      </c>
      <c r="B4963" t="str">
        <f>"1551765029295305"</f>
        <v>1551765029295305</v>
      </c>
      <c r="C4963" t="s">
        <v>40</v>
      </c>
      <c r="D4963">
        <v>4.0266080000000004</v>
      </c>
      <c r="E4963">
        <v>0.56504730000000003</v>
      </c>
      <c r="F4963" t="s">
        <v>94</v>
      </c>
      <c r="G4963">
        <v>-280.24059999999997</v>
      </c>
      <c r="H4963" s="1">
        <v>-5.9458349999999998E-6</v>
      </c>
      <c r="I4963">
        <v>146.48179999999999</v>
      </c>
      <c r="J4963">
        <v>-226.05359999999999</v>
      </c>
      <c r="K4963">
        <v>1.1064419999999999</v>
      </c>
      <c r="L4963">
        <v>141.83869999999999</v>
      </c>
      <c r="M4963">
        <v>-0.99906329999999999</v>
      </c>
      <c r="N4963">
        <v>-1.0939770000000001E-3</v>
      </c>
      <c r="O4963">
        <v>-4.3263679999999999E-2</v>
      </c>
      <c r="P4963">
        <v>-0.99449659999999995</v>
      </c>
      <c r="Q4963">
        <v>-6.2983570000000003E-2</v>
      </c>
      <c r="R4963">
        <v>-8.3725620000000001E-2</v>
      </c>
      <c r="S4963">
        <v>-3.0346220000000002</v>
      </c>
      <c r="T4963">
        <v>-6.1641809999999998E-2</v>
      </c>
      <c r="U4963">
        <v>0.25807190000000002</v>
      </c>
      <c r="V4963">
        <v>-4.0858690000000003E-2</v>
      </c>
      <c r="W4963">
        <v>-6.1736190000000003E-2</v>
      </c>
      <c r="X4963">
        <v>0.99725589999999997</v>
      </c>
      <c r="Y4963">
        <v>0.12772990000000001</v>
      </c>
      <c r="Z4963">
        <v>2.1949130000000002E-3</v>
      </c>
      <c r="AA4963">
        <v>0.99180659999999998</v>
      </c>
      <c r="AB4963">
        <v>32</v>
      </c>
      <c r="AC4963">
        <v>-54.186999999999898</v>
      </c>
      <c r="AD4963">
        <v>-1.1064479458349901</v>
      </c>
      <c r="AE4963">
        <v>4.6430999999999996</v>
      </c>
      <c r="AF4963">
        <v>6.98019345041401</v>
      </c>
      <c r="AG4963">
        <v>-1.1064479458349901</v>
      </c>
      <c r="AH4963">
        <v>53.913071802420497</v>
      </c>
      <c r="AI4963">
        <v>91.165976397339804</v>
      </c>
      <c r="AJ4963">
        <v>82.622880864681306</v>
      </c>
      <c r="AK4963">
        <v>54.374319663191997</v>
      </c>
      <c r="AL4963">
        <v>93.539473717245002</v>
      </c>
      <c r="AM4963">
        <v>92.346159998802094</v>
      </c>
      <c r="AN4963">
        <v>1.00000005989451</v>
      </c>
    </row>
    <row r="4964" spans="1:40" x14ac:dyDescent="0.25">
      <c r="A4964" t="str">
        <f>"20190305135029317"</f>
        <v>20190305135029317</v>
      </c>
      <c r="B4964" t="str">
        <f>"1551765029305066"</f>
        <v>1551765029305066</v>
      </c>
      <c r="C4964" t="s">
        <v>40</v>
      </c>
      <c r="D4964">
        <v>3.980569</v>
      </c>
      <c r="E4964">
        <v>0.53014419999999995</v>
      </c>
      <c r="F4964" t="s">
        <v>94</v>
      </c>
      <c r="G4964">
        <v>-280.0027</v>
      </c>
      <c r="H4964" s="1">
        <v>-5.8175130000000004E-6</v>
      </c>
      <c r="I4964">
        <v>146.41139999999999</v>
      </c>
      <c r="J4964">
        <v>-226.24979999999999</v>
      </c>
      <c r="K4964">
        <v>1.1064909999999999</v>
      </c>
      <c r="L4964">
        <v>141.83099999999999</v>
      </c>
      <c r="M4964">
        <v>-0.99910480000000002</v>
      </c>
      <c r="N4964">
        <v>-1.1092980000000001E-3</v>
      </c>
      <c r="O4964">
        <v>-4.2292049999999998E-2</v>
      </c>
      <c r="P4964">
        <v>-0.99451979999999995</v>
      </c>
      <c r="Q4964">
        <v>-6.3098989999999994E-2</v>
      </c>
      <c r="R4964">
        <v>-8.3363439999999997E-2</v>
      </c>
      <c r="S4964">
        <v>-3.0343170000000002</v>
      </c>
      <c r="T4964">
        <v>-6.2231179999999997E-2</v>
      </c>
      <c r="U4964">
        <v>0.2571869</v>
      </c>
      <c r="V4964">
        <v>-4.1458540000000002E-2</v>
      </c>
      <c r="W4964">
        <v>-6.1839060000000001E-2</v>
      </c>
      <c r="X4964">
        <v>0.99722469999999996</v>
      </c>
      <c r="Y4964">
        <v>0.12648619999999999</v>
      </c>
      <c r="Z4964">
        <v>2.1840010000000001E-3</v>
      </c>
      <c r="AA4964">
        <v>0.99196589999999996</v>
      </c>
      <c r="AB4964">
        <v>32</v>
      </c>
      <c r="AC4964">
        <v>-53.752899999999997</v>
      </c>
      <c r="AD4964">
        <v>-1.1064968175130001</v>
      </c>
      <c r="AE4964">
        <v>4.5803999999999601</v>
      </c>
      <c r="AF4964">
        <v>6.84674301538519</v>
      </c>
      <c r="AG4964">
        <v>-1.1064968175130001</v>
      </c>
      <c r="AH4964">
        <v>53.488590433287499</v>
      </c>
      <c r="AI4964">
        <v>91.175497176425196</v>
      </c>
      <c r="AJ4964">
        <v>82.705589284124898</v>
      </c>
      <c r="AK4964">
        <v>53.936365577093397</v>
      </c>
      <c r="AL4964">
        <v>93.5453792611399</v>
      </c>
      <c r="AM4964">
        <v>92.380639232813607</v>
      </c>
      <c r="AN4964">
        <v>0.99999999108535198</v>
      </c>
    </row>
    <row r="4965" spans="1:40" x14ac:dyDescent="0.25">
      <c r="A4965" t="str">
        <f>"20190305135029331"</f>
        <v>20190305135029331</v>
      </c>
      <c r="B4965" t="str">
        <f>"1551765029325562"</f>
        <v>1551765029325562</v>
      </c>
      <c r="C4965" t="s">
        <v>40</v>
      </c>
      <c r="D4965">
        <v>3.9976370000000001</v>
      </c>
      <c r="E4965">
        <v>0.52241859999999996</v>
      </c>
      <c r="F4965" t="s">
        <v>42</v>
      </c>
      <c r="G4965">
        <v>-258.77499999999998</v>
      </c>
      <c r="H4965" s="1">
        <v>-1.049068E-6</v>
      </c>
      <c r="I4965">
        <v>141.65029999999999</v>
      </c>
      <c r="J4965">
        <v>-226.45939999999999</v>
      </c>
      <c r="K4965">
        <v>1.1065389999999999</v>
      </c>
      <c r="L4965">
        <v>141.82299999999901</v>
      </c>
      <c r="M4965">
        <v>-0.9991468</v>
      </c>
      <c r="N4965">
        <v>-1.12612E-3</v>
      </c>
      <c r="O4965">
        <v>-4.1285259999999997E-2</v>
      </c>
      <c r="P4965">
        <v>-0.99453530000000001</v>
      </c>
      <c r="Q4965">
        <v>-6.3211050000000005E-2</v>
      </c>
      <c r="R4965">
        <v>-8.3089819999999995E-2</v>
      </c>
      <c r="S4965">
        <v>-3.0086360000000001</v>
      </c>
      <c r="T4965">
        <v>-0.1023526</v>
      </c>
      <c r="U4965">
        <v>-1.670837E-2</v>
      </c>
      <c r="V4965">
        <v>-4.2182949999999997E-2</v>
      </c>
      <c r="W4965">
        <v>-6.1936619999999998E-2</v>
      </c>
      <c r="X4965">
        <v>0.99718830000000003</v>
      </c>
      <c r="Y4965">
        <v>3.5692359999999999E-2</v>
      </c>
      <c r="Z4965">
        <v>1.984305E-3</v>
      </c>
      <c r="AA4965">
        <v>0.9993609</v>
      </c>
      <c r="AB4965">
        <v>32</v>
      </c>
      <c r="AC4965">
        <v>-32.315599999999897</v>
      </c>
      <c r="AD4965">
        <v>-1.106540049068</v>
      </c>
      <c r="AE4965">
        <v>-0.172699999999991</v>
      </c>
      <c r="AF4965">
        <v>1.16024565258557</v>
      </c>
      <c r="AG4965">
        <v>-1.106540049068</v>
      </c>
      <c r="AH4965">
        <v>32.257357253424303</v>
      </c>
      <c r="AI4965">
        <v>91.963406368951794</v>
      </c>
      <c r="AJ4965">
        <v>87.940050294617294</v>
      </c>
      <c r="AK4965">
        <v>32.2971778616891</v>
      </c>
      <c r="AL4965">
        <v>93.550979649176099</v>
      </c>
      <c r="AM4965">
        <v>92.422275617152707</v>
      </c>
      <c r="AN4965">
        <v>1.0000000259123001</v>
      </c>
    </row>
    <row r="4966" spans="1:40" x14ac:dyDescent="0.25">
      <c r="A4966" t="str">
        <f>"20190305135029347"</f>
        <v>20190305135029347</v>
      </c>
      <c r="B4966" t="str">
        <f>"1551765029335322"</f>
        <v>1551765029335322</v>
      </c>
      <c r="C4966" t="s">
        <v>40</v>
      </c>
      <c r="D4966">
        <v>3.974065</v>
      </c>
      <c r="E4966">
        <v>0.52218809999999904</v>
      </c>
      <c r="F4966" t="s">
        <v>42</v>
      </c>
      <c r="G4966">
        <v>-258.3535</v>
      </c>
      <c r="H4966" s="1">
        <v>-1.0573870000000001E-6</v>
      </c>
      <c r="I4966">
        <v>141.00200000000001</v>
      </c>
      <c r="J4966">
        <v>-226.69460000000001</v>
      </c>
      <c r="K4966">
        <v>1.106584</v>
      </c>
      <c r="L4966">
        <v>141.8142</v>
      </c>
      <c r="M4966">
        <v>-0.99919119999999995</v>
      </c>
      <c r="N4966">
        <v>-1.145664E-3</v>
      </c>
      <c r="O4966">
        <v>-4.0198270000000001E-2</v>
      </c>
      <c r="P4966">
        <v>-0.99451199999999995</v>
      </c>
      <c r="Q4966">
        <v>-6.2929789999999999E-2</v>
      </c>
      <c r="R4966">
        <v>-8.3582509999999999E-2</v>
      </c>
      <c r="S4966">
        <v>-3.003403</v>
      </c>
      <c r="T4966">
        <v>-0.1042008</v>
      </c>
      <c r="U4966">
        <v>-7.7301030000000007E-2</v>
      </c>
      <c r="V4966">
        <v>-4.375333E-2</v>
      </c>
      <c r="W4966">
        <v>-6.1634899999999999E-2</v>
      </c>
      <c r="X4966">
        <v>0.99713929999999995</v>
      </c>
      <c r="Y4966">
        <v>1.444493E-2</v>
      </c>
      <c r="Z4966">
        <v>1.606229E-3</v>
      </c>
      <c r="AA4966">
        <v>0.99989439999999996</v>
      </c>
      <c r="AB4966">
        <v>33</v>
      </c>
      <c r="AC4966">
        <v>-31.6588999999999</v>
      </c>
      <c r="AD4966">
        <v>-1.106585057387</v>
      </c>
      <c r="AE4966">
        <v>-0.81219999999999004</v>
      </c>
      <c r="AF4966">
        <v>0.46052788417659102</v>
      </c>
      <c r="AG4966">
        <v>-1.106585057387</v>
      </c>
      <c r="AH4966">
        <v>31.627344957521402</v>
      </c>
      <c r="AI4966">
        <v>92.003648688664597</v>
      </c>
      <c r="AJ4966">
        <v>89.165771280045007</v>
      </c>
      <c r="AK4966">
        <v>31.6500484278206</v>
      </c>
      <c r="AL4966">
        <v>93.533659369793099</v>
      </c>
      <c r="AM4966">
        <v>92.512461525616203</v>
      </c>
      <c r="AN4966">
        <v>0.99999999919429405</v>
      </c>
    </row>
    <row r="4967" spans="1:40" x14ac:dyDescent="0.25">
      <c r="A4967" t="str">
        <f>"20190305135029362"</f>
        <v>20190305135029362</v>
      </c>
      <c r="B4967" t="str">
        <f>"1551765029354842"</f>
        <v>1551765029354842</v>
      </c>
      <c r="C4967" t="s">
        <v>40</v>
      </c>
      <c r="D4967">
        <v>3.994151</v>
      </c>
      <c r="E4967">
        <v>0.52096920000000002</v>
      </c>
      <c r="F4967" t="s">
        <v>42</v>
      </c>
      <c r="G4967">
        <v>-254.8355</v>
      </c>
      <c r="H4967" s="1">
        <v>-2.584592E-6</v>
      </c>
      <c r="I4967">
        <v>141.06970000000001</v>
      </c>
      <c r="J4967">
        <v>-226.9067</v>
      </c>
      <c r="K4967">
        <v>1.106614</v>
      </c>
      <c r="L4967">
        <v>141.8065</v>
      </c>
      <c r="M4967">
        <v>-0.99922900000000003</v>
      </c>
      <c r="N4967">
        <v>-1.1637399999999999E-3</v>
      </c>
      <c r="O4967">
        <v>-3.9244479999999998E-2</v>
      </c>
      <c r="P4967">
        <v>-0.99454180000000003</v>
      </c>
      <c r="Q4967">
        <v>-6.249416E-2</v>
      </c>
      <c r="R4967">
        <v>-8.3554959999999998E-2</v>
      </c>
      <c r="S4967">
        <v>-3.0024109999999999</v>
      </c>
      <c r="T4967">
        <v>-0.11806419999999999</v>
      </c>
      <c r="U4967">
        <v>-7.9422000000000006E-2</v>
      </c>
      <c r="V4967">
        <v>-4.4669840000000002E-2</v>
      </c>
      <c r="W4967">
        <v>-6.1181350000000002E-2</v>
      </c>
      <c r="X4967">
        <v>0.99712659999999997</v>
      </c>
      <c r="Y4967">
        <v>1.2768989999999999E-2</v>
      </c>
      <c r="Z4967">
        <v>1.754544E-3</v>
      </c>
      <c r="AA4967">
        <v>0.9999169</v>
      </c>
      <c r="AB4967">
        <v>33</v>
      </c>
      <c r="AC4967">
        <v>-27.928799999999899</v>
      </c>
      <c r="AD4967">
        <v>-1.106616584592</v>
      </c>
      <c r="AE4967">
        <v>-0.73679999999998802</v>
      </c>
      <c r="AF4967">
        <v>0.35925590874518498</v>
      </c>
      <c r="AG4967">
        <v>-1.106616584592</v>
      </c>
      <c r="AH4967">
        <v>27.8924403742887</v>
      </c>
      <c r="AI4967">
        <v>92.271797395643702</v>
      </c>
      <c r="AJ4967">
        <v>89.262068541981293</v>
      </c>
      <c r="AK4967">
        <v>27.9166956337335</v>
      </c>
      <c r="AL4967">
        <v>93.507623714768798</v>
      </c>
      <c r="AM4967">
        <v>92.565053628867901</v>
      </c>
      <c r="AN4967">
        <v>1.0000000043105</v>
      </c>
    </row>
    <row r="4968" spans="1:40" x14ac:dyDescent="0.25">
      <c r="A4968" t="str">
        <f>"20190305135029381"</f>
        <v>20190305135029381</v>
      </c>
      <c r="B4968" t="str">
        <f>"1551765029375337"</f>
        <v>1551765029375337</v>
      </c>
      <c r="C4968" t="s">
        <v>40</v>
      </c>
      <c r="D4968">
        <v>3.95818</v>
      </c>
      <c r="E4968">
        <v>0.52039060000000004</v>
      </c>
      <c r="F4968" t="s">
        <v>42</v>
      </c>
      <c r="G4968">
        <v>-250.50299999999999</v>
      </c>
      <c r="H4968" s="1">
        <v>-4.37158399999999E-6</v>
      </c>
      <c r="I4968">
        <v>141.12</v>
      </c>
      <c r="J4968">
        <v>-227.1925</v>
      </c>
      <c r="K4968">
        <v>1.1066560000000001</v>
      </c>
      <c r="L4968">
        <v>141.79640000000001</v>
      </c>
      <c r="M4968">
        <v>-0.99927779999999999</v>
      </c>
      <c r="N4968">
        <v>-1.1887919999999999E-3</v>
      </c>
      <c r="O4968">
        <v>-3.7981809999999998E-2</v>
      </c>
      <c r="P4968">
        <v>-0.99455179999999999</v>
      </c>
      <c r="Q4968">
        <v>-6.1608650000000001E-2</v>
      </c>
      <c r="R4968">
        <v>-8.4092739999999999E-2</v>
      </c>
      <c r="S4968">
        <v>-3.0002749999999998</v>
      </c>
      <c r="T4968">
        <v>-0.1407071</v>
      </c>
      <c r="U4968">
        <v>-8.7280269999999993E-2</v>
      </c>
      <c r="V4968">
        <v>-4.6459159999999999E-2</v>
      </c>
      <c r="W4968">
        <v>-6.0268259999999997E-2</v>
      </c>
      <c r="X4968">
        <v>0.9971004</v>
      </c>
      <c r="Y4968">
        <v>8.8587319999999994E-3</v>
      </c>
      <c r="Z4968">
        <v>1.9470609999999999E-3</v>
      </c>
      <c r="AA4968">
        <v>0.99995889999999998</v>
      </c>
      <c r="AB4968">
        <v>33</v>
      </c>
      <c r="AC4968">
        <v>-23.310499999999902</v>
      </c>
      <c r="AD4968">
        <v>-1.10666037158399</v>
      </c>
      <c r="AE4968">
        <v>-0.676400000000001</v>
      </c>
      <c r="AF4968">
        <v>0.20899296700401099</v>
      </c>
      <c r="AG4968">
        <v>-1.10666037158399</v>
      </c>
      <c r="AH4968">
        <v>23.266974532907401</v>
      </c>
      <c r="AI4968">
        <v>92.723029858941999</v>
      </c>
      <c r="AJ4968">
        <v>89.485360981897301</v>
      </c>
      <c r="AK4968">
        <v>23.294215572825301</v>
      </c>
      <c r="AL4968">
        <v>93.455210929884203</v>
      </c>
      <c r="AM4968">
        <v>92.667725268424704</v>
      </c>
      <c r="AN4968">
        <v>0.99999996219574505</v>
      </c>
    </row>
    <row r="4969" spans="1:40" x14ac:dyDescent="0.25">
      <c r="A4969" t="str">
        <f>"20190305135029405"</f>
        <v>20190305135029405</v>
      </c>
      <c r="B4969" t="str">
        <f>"1551765029394857"</f>
        <v>1551765029394857</v>
      </c>
      <c r="C4969" t="s">
        <v>40</v>
      </c>
      <c r="D4969">
        <v>3.9815900000000002</v>
      </c>
      <c r="E4969">
        <v>0.5200996</v>
      </c>
      <c r="F4969" t="s">
        <v>42</v>
      </c>
      <c r="G4969">
        <v>-253.56530000000001</v>
      </c>
      <c r="H4969" s="1">
        <v>-3.1021439999999999E-6</v>
      </c>
      <c r="I4969">
        <v>140.96680000000001</v>
      </c>
      <c r="J4969">
        <v>-227.55170000000001</v>
      </c>
      <c r="K4969">
        <v>1.106684</v>
      </c>
      <c r="L4969">
        <v>141.7841</v>
      </c>
      <c r="M4969">
        <v>-0.9993358</v>
      </c>
      <c r="N4969">
        <v>-1.2212169999999999E-3</v>
      </c>
      <c r="O4969">
        <v>-3.6423280000000002E-2</v>
      </c>
      <c r="P4969">
        <v>-0.99464010000000003</v>
      </c>
      <c r="Q4969">
        <v>-6.0362539999999999E-2</v>
      </c>
      <c r="R4969">
        <v>-8.3949960000000004E-2</v>
      </c>
      <c r="S4969">
        <v>-3.0006560000000002</v>
      </c>
      <c r="T4969">
        <v>-0.12591430000000001</v>
      </c>
      <c r="U4969">
        <v>-9.4375609999999999E-2</v>
      </c>
      <c r="V4969">
        <v>-4.7860140000000002E-2</v>
      </c>
      <c r="W4969">
        <v>-5.8987919999999999E-2</v>
      </c>
      <c r="X4969">
        <v>0.99711070000000002</v>
      </c>
      <c r="Y4969">
        <v>4.9554040000000001E-3</v>
      </c>
      <c r="Z4969">
        <v>1.5893439999999999E-3</v>
      </c>
      <c r="AA4969">
        <v>0.9999865</v>
      </c>
      <c r="AB4969">
        <v>33</v>
      </c>
      <c r="AC4969">
        <v>-26.0136</v>
      </c>
      <c r="AD4969">
        <v>-1.1066871021439999</v>
      </c>
      <c r="AE4969">
        <v>-0.81729999999998804</v>
      </c>
      <c r="AF4969">
        <v>0.13050760285067101</v>
      </c>
      <c r="AG4969">
        <v>-1.1066871021439999</v>
      </c>
      <c r="AH4969">
        <v>25.979134834800401</v>
      </c>
      <c r="AI4969">
        <v>92.439241655824702</v>
      </c>
      <c r="AJ4969">
        <v>89.712173943245602</v>
      </c>
      <c r="AK4969">
        <v>26.003023580752899</v>
      </c>
      <c r="AL4969">
        <v>93.381722096818194</v>
      </c>
      <c r="AM4969">
        <v>92.748020897894904</v>
      </c>
      <c r="AN4969">
        <v>0.99999995788061702</v>
      </c>
    </row>
    <row r="4970" spans="1:40" x14ac:dyDescent="0.25">
      <c r="A4970" t="str">
        <f>"20190305135029427"</f>
        <v>20190305135029427</v>
      </c>
      <c r="B4970" t="str">
        <f>"1551765029415353"</f>
        <v>1551765029415353</v>
      </c>
      <c r="C4970" t="s">
        <v>40</v>
      </c>
      <c r="D4970">
        <v>3.9727109999999999</v>
      </c>
      <c r="E4970">
        <v>0.51990259999999999</v>
      </c>
      <c r="F4970" t="s">
        <v>42</v>
      </c>
      <c r="G4970">
        <v>-256.15780000000001</v>
      </c>
      <c r="H4970" s="1">
        <v>-1.9619790000000001E-6</v>
      </c>
      <c r="I4970">
        <v>140.86160000000001</v>
      </c>
      <c r="J4970">
        <v>-227.87870000000001</v>
      </c>
      <c r="K4970">
        <v>1.1066990000000001</v>
      </c>
      <c r="L4970">
        <v>141.77350000000001</v>
      </c>
      <c r="M4970">
        <v>-0.99938590000000005</v>
      </c>
      <c r="N4970">
        <v>-1.2515429999999999E-3</v>
      </c>
      <c r="O4970">
        <v>-3.5019769999999999E-2</v>
      </c>
      <c r="P4970">
        <v>-0.99472360000000004</v>
      </c>
      <c r="Q4970">
        <v>-5.942244E-2</v>
      </c>
      <c r="R4970">
        <v>-8.3631579999999997E-2</v>
      </c>
      <c r="S4970">
        <v>-3.0009459999999999</v>
      </c>
      <c r="T4970">
        <v>-0.1160982</v>
      </c>
      <c r="U4970">
        <v>-9.6771239999999994E-2</v>
      </c>
      <c r="V4970">
        <v>-4.8934600000000002E-2</v>
      </c>
      <c r="W4970">
        <v>-5.801547E-2</v>
      </c>
      <c r="X4970">
        <v>0.99711570000000005</v>
      </c>
      <c r="Y4970">
        <v>2.7645899999999999E-3</v>
      </c>
      <c r="Z4970">
        <v>1.3649199999999999E-3</v>
      </c>
      <c r="AA4970">
        <v>0.99999519999999997</v>
      </c>
      <c r="AB4970">
        <v>33</v>
      </c>
      <c r="AC4970">
        <v>-28.2791</v>
      </c>
      <c r="AD4970">
        <v>-1.10670096197899</v>
      </c>
      <c r="AE4970">
        <v>-0.91190000000000204</v>
      </c>
      <c r="AF4970">
        <v>7.88669696669069E-2</v>
      </c>
      <c r="AG4970">
        <v>-1.10670096197899</v>
      </c>
      <c r="AH4970">
        <v>28.2504668020899</v>
      </c>
      <c r="AI4970">
        <v>92.243383829620697</v>
      </c>
      <c r="AJ4970">
        <v>89.840047500896503</v>
      </c>
      <c r="AK4970">
        <v>28.272245781934799</v>
      </c>
      <c r="AL4970">
        <v>93.325908899504</v>
      </c>
      <c r="AM4970">
        <v>92.809602123349705</v>
      </c>
      <c r="AN4970">
        <v>1.00000005451148</v>
      </c>
    </row>
    <row r="4971" spans="1:40" x14ac:dyDescent="0.25">
      <c r="A4971" t="str">
        <f>"20190305135029447"</f>
        <v>20190305135029447</v>
      </c>
      <c r="B4971" t="str">
        <f>"1551765029444633"</f>
        <v>1551765029444633</v>
      </c>
      <c r="C4971" t="s">
        <v>40</v>
      </c>
      <c r="D4971">
        <v>3.9946299999999999</v>
      </c>
      <c r="E4971">
        <v>0.52041689999999996</v>
      </c>
      <c r="F4971" t="s">
        <v>42</v>
      </c>
      <c r="G4971">
        <v>-257.45409999999998</v>
      </c>
      <c r="H4971" s="1">
        <v>-1.3928180000000001E-6</v>
      </c>
      <c r="I4971">
        <v>140.8126</v>
      </c>
      <c r="J4971">
        <v>-228.18510000000001</v>
      </c>
      <c r="K4971">
        <v>1.1067020000000001</v>
      </c>
      <c r="L4971">
        <v>141.7638</v>
      </c>
      <c r="M4971">
        <v>-0.99943079999999995</v>
      </c>
      <c r="N4971">
        <v>-1.280347E-3</v>
      </c>
      <c r="O4971">
        <v>-3.3712119999999998E-2</v>
      </c>
      <c r="P4971">
        <v>-0.99478259999999996</v>
      </c>
      <c r="Q4971">
        <v>-5.9269559999999999E-2</v>
      </c>
      <c r="R4971">
        <v>-8.3037470000000002E-2</v>
      </c>
      <c r="S4971">
        <v>-3.001007</v>
      </c>
      <c r="T4971">
        <v>-0.1122966</v>
      </c>
      <c r="U4971">
        <v>-9.7488400000000003E-2</v>
      </c>
      <c r="V4971">
        <v>-4.9642119999999998E-2</v>
      </c>
      <c r="W4971">
        <v>-5.7832219999999997E-2</v>
      </c>
      <c r="X4971">
        <v>0.99709130000000001</v>
      </c>
      <c r="Y4971">
        <v>1.221869E-3</v>
      </c>
      <c r="Z4971">
        <v>1.2408499999999999E-3</v>
      </c>
      <c r="AA4971">
        <v>0.99999850000000001</v>
      </c>
      <c r="AB4971">
        <v>33</v>
      </c>
      <c r="AC4971">
        <v>-29.268999999999899</v>
      </c>
      <c r="AD4971">
        <v>-1.1067033928179999</v>
      </c>
      <c r="AE4971">
        <v>-0.95120000000000005</v>
      </c>
      <c r="AF4971">
        <v>3.6010062128599002E-2</v>
      </c>
      <c r="AG4971">
        <v>-1.1067033928179999</v>
      </c>
      <c r="AH4971">
        <v>29.2426657245401</v>
      </c>
      <c r="AI4971">
        <v>92.167351593753807</v>
      </c>
      <c r="AJ4971">
        <v>89.929444751839</v>
      </c>
      <c r="AK4971">
        <v>29.263622260435199</v>
      </c>
      <c r="AL4971">
        <v>93.315392027171796</v>
      </c>
      <c r="AM4971">
        <v>92.850227829612095</v>
      </c>
      <c r="AN4971">
        <v>0.99999998314195604</v>
      </c>
    </row>
    <row r="4972" spans="1:40" x14ac:dyDescent="0.25">
      <c r="A4972" t="str">
        <f>"20190305135029461"</f>
        <v>20190305135029461</v>
      </c>
      <c r="B4972" t="str">
        <f>"1551765029455369"</f>
        <v>1551765029455369</v>
      </c>
      <c r="C4972" t="s">
        <v>40</v>
      </c>
      <c r="D4972">
        <v>3.843626</v>
      </c>
      <c r="E4972">
        <v>0.52056089999999999</v>
      </c>
      <c r="F4972" t="s">
        <v>42</v>
      </c>
      <c r="G4972">
        <v>-259.81959999999998</v>
      </c>
      <c r="H4972" s="1">
        <v>-3.733986E-7</v>
      </c>
      <c r="I4972">
        <v>140.79519999999999</v>
      </c>
      <c r="J4972">
        <v>-228.4008</v>
      </c>
      <c r="K4972">
        <v>1.1066990000000001</v>
      </c>
      <c r="L4972">
        <v>141.75729999999999</v>
      </c>
      <c r="M4972">
        <v>-0.9994615</v>
      </c>
      <c r="N4972">
        <v>-1.3009E-3</v>
      </c>
      <c r="O4972">
        <v>-3.2792750000000002E-2</v>
      </c>
      <c r="P4972">
        <v>-0.99480769999999996</v>
      </c>
      <c r="Q4972">
        <v>-5.9759720000000002E-2</v>
      </c>
      <c r="R4972">
        <v>-8.2383600000000001E-2</v>
      </c>
      <c r="S4972">
        <v>-3.0018009999999999</v>
      </c>
      <c r="T4972">
        <v>-0.10501489999999999</v>
      </c>
      <c r="U4972">
        <v>-9.1903689999999996E-2</v>
      </c>
      <c r="V4972">
        <v>-4.990559E-2</v>
      </c>
      <c r="W4972">
        <v>-5.8301220000000001E-2</v>
      </c>
      <c r="X4972">
        <v>0.99705080000000001</v>
      </c>
      <c r="Y4972">
        <v>2.1720760000000002E-3</v>
      </c>
      <c r="Z4972">
        <v>1.1430419999999999E-3</v>
      </c>
      <c r="AA4972">
        <v>0.99999700000000002</v>
      </c>
      <c r="AB4972">
        <v>34</v>
      </c>
      <c r="AC4972">
        <v>-31.418799999999901</v>
      </c>
      <c r="AD4972">
        <v>-1.1066993733985999</v>
      </c>
      <c r="AE4972">
        <v>-0.96209999999999196</v>
      </c>
      <c r="AF4972">
        <v>6.8641903943966104E-2</v>
      </c>
      <c r="AG4972">
        <v>-1.1066993733985999</v>
      </c>
      <c r="AH4972">
        <v>31.3945361210003</v>
      </c>
      <c r="AI4972">
        <v>92.018912015172006</v>
      </c>
      <c r="AJ4972">
        <v>89.874727082713704</v>
      </c>
      <c r="AK4972">
        <v>31.414111374776301</v>
      </c>
      <c r="AL4972">
        <v>93.342309279963999</v>
      </c>
      <c r="AM4972">
        <v>92.865446147548596</v>
      </c>
      <c r="AN4972">
        <v>0.99999994897368605</v>
      </c>
    </row>
    <row r="4973" spans="1:40" x14ac:dyDescent="0.25">
      <c r="A4973" t="str">
        <f>"20190305135029483"</f>
        <v>20190305135029483</v>
      </c>
      <c r="B4973" t="str">
        <f>"1551765029475398"</f>
        <v>1551765029475398</v>
      </c>
      <c r="C4973" t="s">
        <v>40</v>
      </c>
      <c r="D4973">
        <v>3.9782570000000002</v>
      </c>
      <c r="E4973">
        <v>0.52057330000000002</v>
      </c>
      <c r="F4973" t="s">
        <v>42</v>
      </c>
      <c r="G4973">
        <v>-260.0136</v>
      </c>
      <c r="H4973" s="1">
        <v>-4.4849949999999999E-6</v>
      </c>
      <c r="I4973">
        <v>140.82050000000001</v>
      </c>
      <c r="J4973">
        <v>-228.721</v>
      </c>
      <c r="K4973">
        <v>1.1066959999999999</v>
      </c>
      <c r="L4973">
        <v>141.74799999999999</v>
      </c>
      <c r="M4973">
        <v>-0.99950519999999998</v>
      </c>
      <c r="N4973">
        <v>-1.3315740000000001E-3</v>
      </c>
      <c r="O4973">
        <v>-3.1429199999999997E-2</v>
      </c>
      <c r="P4973">
        <v>-0.99481699999999995</v>
      </c>
      <c r="Q4973">
        <v>-6.0738029999999998E-2</v>
      </c>
      <c r="R4973">
        <v>-8.1548640000000006E-2</v>
      </c>
      <c r="S4973">
        <v>-3.0019680000000002</v>
      </c>
      <c r="T4973">
        <v>-0.10509309999999999</v>
      </c>
      <c r="U4973">
        <v>-8.8958739999999994E-2</v>
      </c>
      <c r="V4973">
        <v>-5.0434300000000001E-2</v>
      </c>
      <c r="W4973">
        <v>-5.9247330000000001E-2</v>
      </c>
      <c r="X4973">
        <v>0.99696839999999998</v>
      </c>
      <c r="Y4973">
        <v>1.7906739999999999E-3</v>
      </c>
      <c r="Z4973">
        <v>1.090115E-3</v>
      </c>
      <c r="AA4973">
        <v>0.99999780000000005</v>
      </c>
      <c r="AB4973">
        <v>34</v>
      </c>
      <c r="AC4973">
        <v>-31.2926</v>
      </c>
      <c r="AD4973">
        <v>-1.106700484995</v>
      </c>
      <c r="AE4973">
        <v>-0.92749999999998001</v>
      </c>
      <c r="AF4973">
        <v>5.6389886194008303E-2</v>
      </c>
      <c r="AG4973">
        <v>-1.106700484995</v>
      </c>
      <c r="AH4973">
        <v>31.267217710594501</v>
      </c>
      <c r="AI4973">
        <v>92.027129652151999</v>
      </c>
      <c r="AJ4973">
        <v>89.896668164939996</v>
      </c>
      <c r="AK4973">
        <v>31.2868481816955</v>
      </c>
      <c r="AL4973">
        <v>93.396611339159605</v>
      </c>
      <c r="AM4973">
        <v>92.895990798347597</v>
      </c>
      <c r="AN4973">
        <v>0.99999992766358603</v>
      </c>
    </row>
    <row r="4974" spans="1:40" x14ac:dyDescent="0.25">
      <c r="A4974" t="str">
        <f>"20190305135029504"</f>
        <v>20190305135029504</v>
      </c>
      <c r="B4974" t="str">
        <f>"1551765029494918"</f>
        <v>1551765029494918</v>
      </c>
      <c r="C4974" t="s">
        <v>40</v>
      </c>
      <c r="D4974">
        <v>4.0777869999999998</v>
      </c>
      <c r="E4974">
        <v>0.52097519999999997</v>
      </c>
      <c r="F4974" t="s">
        <v>42</v>
      </c>
      <c r="G4974">
        <v>-260.0727</v>
      </c>
      <c r="H4974" s="1">
        <v>-4.4690410000000004E-6</v>
      </c>
      <c r="I4974">
        <v>140.84379999999999</v>
      </c>
      <c r="J4974">
        <v>-229.06209999999999</v>
      </c>
      <c r="K4974">
        <v>1.106684</v>
      </c>
      <c r="L4974">
        <v>141.73849999999999</v>
      </c>
      <c r="M4974">
        <v>-0.99954969999999999</v>
      </c>
      <c r="N4974">
        <v>-1.3646299999999999E-3</v>
      </c>
      <c r="O4974">
        <v>-2.9977920000000002E-2</v>
      </c>
      <c r="P4974">
        <v>-0.99485400000000002</v>
      </c>
      <c r="Q4974">
        <v>-6.1444459999999999E-2</v>
      </c>
      <c r="R4974">
        <v>-8.0561919999999995E-2</v>
      </c>
      <c r="S4974">
        <v>-3.0020600000000002</v>
      </c>
      <c r="T4974">
        <v>-0.1059715</v>
      </c>
      <c r="U4974">
        <v>-8.6578370000000002E-2</v>
      </c>
      <c r="V4974">
        <v>-5.089718E-2</v>
      </c>
      <c r="W4974">
        <v>-5.9919029999999998E-2</v>
      </c>
      <c r="X4974">
        <v>0.99690480000000004</v>
      </c>
      <c r="Y4974">
        <v>1.1328079999999999E-3</v>
      </c>
      <c r="Z4974">
        <v>1.037285E-3</v>
      </c>
      <c r="AA4974">
        <v>0.99999879999999997</v>
      </c>
      <c r="AB4974">
        <v>34</v>
      </c>
      <c r="AC4974">
        <v>-31.0106</v>
      </c>
      <c r="AD4974">
        <v>-1.1066884690409999</v>
      </c>
      <c r="AE4974">
        <v>-0.89470000000000005</v>
      </c>
      <c r="AF4974">
        <v>3.5291290444663802E-2</v>
      </c>
      <c r="AG4974">
        <v>-1.1066884690409999</v>
      </c>
      <c r="AH4974">
        <v>30.984055640918601</v>
      </c>
      <c r="AI4974">
        <v>92.045619648800596</v>
      </c>
      <c r="AJ4974">
        <v>89.934739301237698</v>
      </c>
      <c r="AK4974">
        <v>31.0038337758773</v>
      </c>
      <c r="AL4974">
        <v>93.435165177761604</v>
      </c>
      <c r="AM4974">
        <v>92.922710114409</v>
      </c>
      <c r="AN4974">
        <v>0.99999999667556605</v>
      </c>
    </row>
    <row r="4975" spans="1:40" x14ac:dyDescent="0.25">
      <c r="A4975" t="str">
        <f>"20190305135029526"</f>
        <v>20190305135029526</v>
      </c>
      <c r="B4975" t="str">
        <f>"1551765029515414"</f>
        <v>1551765029515414</v>
      </c>
      <c r="C4975" t="s">
        <v>40</v>
      </c>
      <c r="D4975">
        <v>4.0813009999999998</v>
      </c>
      <c r="E4975">
        <v>0.56541730000000001</v>
      </c>
      <c r="F4975" t="s">
        <v>42</v>
      </c>
      <c r="G4975">
        <v>-260.0034</v>
      </c>
      <c r="H4975" s="1">
        <v>-4.5042699999999998E-6</v>
      </c>
      <c r="I4975">
        <v>140.90960000000001</v>
      </c>
      <c r="J4975">
        <v>-229.3828</v>
      </c>
      <c r="K4975">
        <v>1.1066769999999999</v>
      </c>
      <c r="L4975">
        <v>141.73009999999999</v>
      </c>
      <c r="M4975">
        <v>-0.99958959999999997</v>
      </c>
      <c r="N4975">
        <v>-1.3960400000000001E-3</v>
      </c>
      <c r="O4975">
        <v>-2.8615100000000001E-2</v>
      </c>
      <c r="P4975">
        <v>-0.99489550000000004</v>
      </c>
      <c r="Q4975">
        <v>-6.2000600000000003E-2</v>
      </c>
      <c r="R4975">
        <v>-7.9617270000000004E-2</v>
      </c>
      <c r="S4975">
        <v>-3.00238</v>
      </c>
      <c r="T4975">
        <v>-0.1073872</v>
      </c>
      <c r="U4975">
        <v>-8.042908E-2</v>
      </c>
      <c r="V4975">
        <v>-5.1313400000000002E-2</v>
      </c>
      <c r="W4975">
        <v>-6.0441979999999999E-2</v>
      </c>
      <c r="X4975">
        <v>0.99685190000000001</v>
      </c>
      <c r="Y4975">
        <v>1.8189090000000001E-3</v>
      </c>
      <c r="Z4975">
        <v>1.0166190000000001E-3</v>
      </c>
      <c r="AA4975">
        <v>0.9999979</v>
      </c>
      <c r="AB4975">
        <v>34</v>
      </c>
      <c r="AC4975">
        <v>-30.6206</v>
      </c>
      <c r="AD4975">
        <v>-1.10668150427</v>
      </c>
      <c r="AE4975">
        <v>-0.82049999999998102</v>
      </c>
      <c r="AF4975">
        <v>5.5975251118810902E-2</v>
      </c>
      <c r="AG4975">
        <v>-1.10668150427</v>
      </c>
      <c r="AH4975">
        <v>30.591608834342299</v>
      </c>
      <c r="AI4975">
        <v>92.071824162576604</v>
      </c>
      <c r="AJ4975">
        <v>89.895162687112105</v>
      </c>
      <c r="AK4975">
        <v>30.611671111751502</v>
      </c>
      <c r="AL4975">
        <v>93.465182385737705</v>
      </c>
      <c r="AM4975">
        <v>92.946725194740196</v>
      </c>
      <c r="AN4975">
        <v>1.0000000042497399</v>
      </c>
    </row>
    <row r="4976" spans="1:40" x14ac:dyDescent="0.25">
      <c r="A4976" t="str">
        <f>"20190305135029539"</f>
        <v>20190305135029539</v>
      </c>
      <c r="B4976" t="str">
        <f>"1551765029534934"</f>
        <v>1551765029534934</v>
      </c>
      <c r="C4976" t="s">
        <v>40</v>
      </c>
      <c r="D4976">
        <v>4.0225519999999904</v>
      </c>
      <c r="E4976">
        <v>0.56910879999999997</v>
      </c>
      <c r="F4976" t="s">
        <v>42</v>
      </c>
      <c r="G4976">
        <v>-262.02969999999999</v>
      </c>
      <c r="H4976" s="1">
        <v>-4.4879080000000001E-6</v>
      </c>
      <c r="I4976">
        <v>144.7045</v>
      </c>
      <c r="J4976">
        <v>-229.59739999999999</v>
      </c>
      <c r="K4976">
        <v>1.106673</v>
      </c>
      <c r="L4976">
        <v>141.72460000000001</v>
      </c>
      <c r="M4976">
        <v>-0.99961529999999998</v>
      </c>
      <c r="N4976">
        <v>-1.417244E-3</v>
      </c>
      <c r="O4976">
        <v>-2.7704320000000001E-2</v>
      </c>
      <c r="P4976">
        <v>-0.99498350000000002</v>
      </c>
      <c r="Q4976">
        <v>-6.174164E-2</v>
      </c>
      <c r="R4976">
        <v>-7.8714649999999997E-2</v>
      </c>
      <c r="S4976">
        <v>-3.0310969999999999</v>
      </c>
      <c r="T4976">
        <v>-0.1027498</v>
      </c>
      <c r="U4976">
        <v>0.27616879999999999</v>
      </c>
      <c r="V4976">
        <v>-5.131616E-2</v>
      </c>
      <c r="W4976">
        <v>-6.0161350000000002E-2</v>
      </c>
      <c r="X4976">
        <v>0.99686870000000005</v>
      </c>
      <c r="Y4976">
        <v>0.11820650000000001</v>
      </c>
      <c r="Z4976">
        <v>2.980735E-3</v>
      </c>
      <c r="AA4976">
        <v>0.99298450000000005</v>
      </c>
      <c r="AB4976">
        <v>34</v>
      </c>
      <c r="AC4976">
        <v>-32.432299999999998</v>
      </c>
      <c r="AD4976">
        <v>-1.1066774879079999</v>
      </c>
      <c r="AE4976">
        <v>2.9798999999999798</v>
      </c>
      <c r="AF4976">
        <v>3.8728002117163598</v>
      </c>
      <c r="AG4976">
        <v>-1.1066774879079999</v>
      </c>
      <c r="AH4976">
        <v>32.300001106068699</v>
      </c>
      <c r="AI4976">
        <v>91.948382359664507</v>
      </c>
      <c r="AJ4976">
        <v>83.162822297398293</v>
      </c>
      <c r="AK4976">
        <v>32.550167249864501</v>
      </c>
      <c r="AL4976">
        <v>93.449074273314807</v>
      </c>
      <c r="AM4976">
        <v>92.946833835624204</v>
      </c>
      <c r="AN4976">
        <v>0.99999997067532798</v>
      </c>
    </row>
    <row r="4977" spans="1:40" x14ac:dyDescent="0.25">
      <c r="A4977" t="str">
        <f>"20190305135029553"</f>
        <v>20190305135029553</v>
      </c>
      <c r="B4977" t="str">
        <f>"1551765029545671"</f>
        <v>1551765029545671</v>
      </c>
      <c r="C4977" t="s">
        <v>40</v>
      </c>
      <c r="D4977">
        <v>4.0196630000000004</v>
      </c>
      <c r="E4977">
        <v>0.56945630000000003</v>
      </c>
      <c r="F4977" t="s">
        <v>42</v>
      </c>
      <c r="G4977">
        <v>-263.8297</v>
      </c>
      <c r="H4977" s="1">
        <v>-3.963145E-6</v>
      </c>
      <c r="I4977">
        <v>145.1995</v>
      </c>
      <c r="J4977">
        <v>-229.80840000000001</v>
      </c>
      <c r="K4977">
        <v>1.1066689999999999</v>
      </c>
      <c r="L4977">
        <v>141.71950000000001</v>
      </c>
      <c r="M4977">
        <v>-0.99963959999999996</v>
      </c>
      <c r="N4977">
        <v>-1.438188E-3</v>
      </c>
      <c r="O4977">
        <v>-2.68106E-2</v>
      </c>
      <c r="P4977">
        <v>-0.99505750000000004</v>
      </c>
      <c r="Q4977">
        <v>-6.154809E-2</v>
      </c>
      <c r="R4977">
        <v>-7.7928010000000006E-2</v>
      </c>
      <c r="S4977">
        <v>-3.033417</v>
      </c>
      <c r="T4977">
        <v>-9.8065730000000004E-2</v>
      </c>
      <c r="U4977">
        <v>0.30792239999999999</v>
      </c>
      <c r="V4977">
        <v>-5.1419029999999998E-2</v>
      </c>
      <c r="W4977">
        <v>-5.9946039999999999E-2</v>
      </c>
      <c r="X4977">
        <v>0.9968764</v>
      </c>
      <c r="Y4977">
        <v>0.12754670000000001</v>
      </c>
      <c r="Z4977">
        <v>2.9739319999999999E-3</v>
      </c>
      <c r="AA4977">
        <v>0.99182809999999999</v>
      </c>
      <c r="AB4977">
        <v>34</v>
      </c>
      <c r="AC4977">
        <v>-34.021299999999997</v>
      </c>
      <c r="AD4977">
        <v>-1.1066729631450001</v>
      </c>
      <c r="AE4977">
        <v>3.47999999999998</v>
      </c>
      <c r="AF4977">
        <v>4.3862881806330201</v>
      </c>
      <c r="AG4977">
        <v>-1.1066729631450001</v>
      </c>
      <c r="AH4977">
        <v>33.880291051074401</v>
      </c>
      <c r="AI4977">
        <v>91.855382761552406</v>
      </c>
      <c r="AJ4977">
        <v>82.623273161575199</v>
      </c>
      <c r="AK4977">
        <v>34.1809650354759</v>
      </c>
      <c r="AL4977">
        <v>93.436715510063493</v>
      </c>
      <c r="AM4977">
        <v>92.952707941888704</v>
      </c>
      <c r="AN4977">
        <v>1.0000000006173899</v>
      </c>
    </row>
    <row r="4978" spans="1:40" x14ac:dyDescent="0.25">
      <c r="A4978" t="str">
        <f>"20190305135029572"</f>
        <v>20190305135029572</v>
      </c>
      <c r="B4978" t="str">
        <f>"1551765029565190"</f>
        <v>1551765029565190</v>
      </c>
      <c r="C4978" t="s">
        <v>40</v>
      </c>
      <c r="D4978">
        <v>4.0233800000000004</v>
      </c>
      <c r="E4978">
        <v>0.56894339999999999</v>
      </c>
      <c r="F4978" t="s">
        <v>42</v>
      </c>
      <c r="G4978">
        <v>-264.28050000000002</v>
      </c>
      <c r="H4978" s="1">
        <v>-3.823589E-6</v>
      </c>
      <c r="I4978">
        <v>145.27770000000001</v>
      </c>
      <c r="J4978">
        <v>-230.09469999999999</v>
      </c>
      <c r="K4978">
        <v>1.1066689999999999</v>
      </c>
      <c r="L4978">
        <v>141.71279999999999</v>
      </c>
      <c r="M4978">
        <v>-0.99967119999999998</v>
      </c>
      <c r="N4978">
        <v>-1.4667770000000001E-3</v>
      </c>
      <c r="O4978">
        <v>-2.560252E-2</v>
      </c>
      <c r="P4978">
        <v>-0.99514860000000005</v>
      </c>
      <c r="Q4978">
        <v>-6.1073049999999997E-2</v>
      </c>
      <c r="R4978">
        <v>-7.7133240000000006E-2</v>
      </c>
      <c r="S4978">
        <v>-3.033401</v>
      </c>
      <c r="T4978">
        <v>-9.7382549999999998E-2</v>
      </c>
      <c r="U4978">
        <v>0.31311040000000001</v>
      </c>
      <c r="V4978">
        <v>-5.1825589999999998E-2</v>
      </c>
      <c r="W4978">
        <v>-5.9440510000000002E-2</v>
      </c>
      <c r="X4978">
        <v>0.99688560000000004</v>
      </c>
      <c r="Y4978">
        <v>0.1280287</v>
      </c>
      <c r="Z4978">
        <v>2.9255879999999998E-3</v>
      </c>
      <c r="AA4978">
        <v>0.99176620000000004</v>
      </c>
      <c r="AB4978">
        <v>35</v>
      </c>
      <c r="AC4978">
        <v>-34.1858</v>
      </c>
      <c r="AD4978">
        <v>-1.106672823589</v>
      </c>
      <c r="AE4978">
        <v>3.5649000000000202</v>
      </c>
      <c r="AF4978">
        <v>4.4343778496138899</v>
      </c>
      <c r="AG4978">
        <v>-1.106672823589</v>
      </c>
      <c r="AH4978">
        <v>34.048026095346302</v>
      </c>
      <c r="AI4978">
        <v>91.846065977351699</v>
      </c>
      <c r="AJ4978">
        <v>82.579627168156094</v>
      </c>
      <c r="AK4978">
        <v>34.353406128665</v>
      </c>
      <c r="AL4978">
        <v>93.407699092160797</v>
      </c>
      <c r="AM4978">
        <v>92.975985194328103</v>
      </c>
      <c r="AN4978">
        <v>0.99999998274763402</v>
      </c>
    </row>
    <row r="4979" spans="1:40" x14ac:dyDescent="0.25">
      <c r="A4979" t="str">
        <f>"20190305135029583"</f>
        <v>20190305135029583</v>
      </c>
      <c r="B4979" t="str">
        <f>"1551765029574950"</f>
        <v>1551765029574950</v>
      </c>
      <c r="C4979" t="s">
        <v>40</v>
      </c>
      <c r="D4979">
        <v>3.9975689999999999</v>
      </c>
      <c r="E4979">
        <v>0.56882369999999904</v>
      </c>
      <c r="F4979" t="s">
        <v>42</v>
      </c>
      <c r="G4979">
        <v>-263.6234</v>
      </c>
      <c r="H4979" s="1">
        <v>-4.0264379999999999E-6</v>
      </c>
      <c r="I4979">
        <v>145.16059999999999</v>
      </c>
      <c r="J4979">
        <v>-230.29640000000001</v>
      </c>
      <c r="K4979">
        <v>1.106668</v>
      </c>
      <c r="L4979">
        <v>141.70830000000001</v>
      </c>
      <c r="M4979">
        <v>-0.99969240000000004</v>
      </c>
      <c r="N4979">
        <v>-1.486975E-3</v>
      </c>
      <c r="O4979">
        <v>-2.4756830000000001E-2</v>
      </c>
      <c r="P4979">
        <v>-0.99520779999999998</v>
      </c>
      <c r="Q4979">
        <v>-6.0924529999999998E-2</v>
      </c>
      <c r="R4979">
        <v>-7.6485029999999996E-2</v>
      </c>
      <c r="S4979">
        <v>-3.032654</v>
      </c>
      <c r="T4979">
        <v>-0.1000979</v>
      </c>
      <c r="U4979">
        <v>0.3118591</v>
      </c>
      <c r="V4979">
        <v>-5.2018639999999998E-2</v>
      </c>
      <c r="W4979">
        <v>-5.927085E-2</v>
      </c>
      <c r="X4979">
        <v>0.99688569999999999</v>
      </c>
      <c r="Y4979">
        <v>0.12680630000000001</v>
      </c>
      <c r="Z4979">
        <v>2.9594859999999999E-3</v>
      </c>
      <c r="AA4979">
        <v>0.99192309999999995</v>
      </c>
      <c r="AB4979">
        <v>35</v>
      </c>
      <c r="AC4979">
        <v>-33.326999999999998</v>
      </c>
      <c r="AD4979">
        <v>-1.1066720264379999</v>
      </c>
      <c r="AE4979">
        <v>3.4522999999999802</v>
      </c>
      <c r="AF4979">
        <v>4.2716534444006999</v>
      </c>
      <c r="AG4979">
        <v>-1.1066720264379999</v>
      </c>
      <c r="AH4979">
        <v>33.195102616985103</v>
      </c>
      <c r="AI4979">
        <v>91.8938386300742</v>
      </c>
      <c r="AJ4979">
        <v>82.667291135738097</v>
      </c>
      <c r="AK4979">
        <v>33.487110712561197</v>
      </c>
      <c r="AL4979">
        <v>93.397960940790597</v>
      </c>
      <c r="AM4979">
        <v>92.987050383075896</v>
      </c>
      <c r="AN4979">
        <v>1.0000000357158301</v>
      </c>
    </row>
    <row r="4980" spans="1:40" x14ac:dyDescent="0.25">
      <c r="A4980" t="str">
        <f>"20190305135029597"</f>
        <v>20190305135029597</v>
      </c>
      <c r="B4980" t="str">
        <f>"1551765029584712"</f>
        <v>1551765029584712</v>
      </c>
      <c r="C4980" t="s">
        <v>40</v>
      </c>
      <c r="D4980">
        <v>3.9976579999999999</v>
      </c>
      <c r="E4980">
        <v>0.56893190000000005</v>
      </c>
      <c r="F4980" t="s">
        <v>42</v>
      </c>
      <c r="G4980">
        <v>-263.48390000000001</v>
      </c>
      <c r="H4980" s="1">
        <v>-4.0690670000000003E-6</v>
      </c>
      <c r="I4980">
        <v>145.13329999999999</v>
      </c>
      <c r="J4980">
        <v>-230.4845</v>
      </c>
      <c r="K4980">
        <v>1.10667</v>
      </c>
      <c r="L4980">
        <v>141.70419999999999</v>
      </c>
      <c r="M4980">
        <v>-0.99971149999999998</v>
      </c>
      <c r="N4980">
        <v>-1.505845E-3</v>
      </c>
      <c r="O4980">
        <v>-2.3973250000000002E-2</v>
      </c>
      <c r="P4980">
        <v>-0.99527080000000001</v>
      </c>
      <c r="Q4980">
        <v>-6.073228E-2</v>
      </c>
      <c r="R4980">
        <v>-7.5815400000000005E-2</v>
      </c>
      <c r="S4980">
        <v>-3.0322879999999999</v>
      </c>
      <c r="T4980">
        <v>-0.10111489999999999</v>
      </c>
      <c r="U4980">
        <v>0.31294250000000001</v>
      </c>
      <c r="V4980">
        <v>-5.2129099999999901E-2</v>
      </c>
      <c r="W4980">
        <v>-5.9059250000000001E-2</v>
      </c>
      <c r="X4980">
        <v>0.99689249999999996</v>
      </c>
      <c r="Y4980">
        <v>0.12639059999999999</v>
      </c>
      <c r="Z4980">
        <v>2.9578740000000001E-3</v>
      </c>
      <c r="AA4980">
        <v>0.99197610000000003</v>
      </c>
      <c r="AB4980">
        <v>35</v>
      </c>
      <c r="AC4980">
        <v>-32.999400000000001</v>
      </c>
      <c r="AD4980">
        <v>-1.1066740690670001</v>
      </c>
      <c r="AE4980">
        <v>3.4291</v>
      </c>
      <c r="AF4980">
        <v>4.2145288690879603</v>
      </c>
      <c r="AG4980">
        <v>-1.1066740690670001</v>
      </c>
      <c r="AH4980">
        <v>32.871134763728897</v>
      </c>
      <c r="AI4980">
        <v>91.912606858562398</v>
      </c>
      <c r="AJ4980">
        <v>82.693758897131403</v>
      </c>
      <c r="AK4980">
        <v>33.158686369317302</v>
      </c>
      <c r="AL4980">
        <v>93.385815839383596</v>
      </c>
      <c r="AM4980">
        <v>92.9933613890191</v>
      </c>
      <c r="AN4980">
        <v>1.00000004731681</v>
      </c>
    </row>
    <row r="4981" spans="1:40" x14ac:dyDescent="0.25">
      <c r="A4981" t="str">
        <f>"20190305135029616"</f>
        <v>20190305135029616</v>
      </c>
      <c r="B4981" t="str">
        <f>"1551765029605206"</f>
        <v>1551765029605206</v>
      </c>
      <c r="C4981" t="s">
        <v>40</v>
      </c>
      <c r="D4981">
        <v>4.0150709999999998</v>
      </c>
      <c r="E4981">
        <v>0.56904049999999995</v>
      </c>
      <c r="F4981" t="s">
        <v>42</v>
      </c>
      <c r="G4981">
        <v>-263.44709999999998</v>
      </c>
      <c r="H4981" s="1">
        <v>-4.082552E-6</v>
      </c>
      <c r="I4981">
        <v>145.1387</v>
      </c>
      <c r="J4981">
        <v>-230.80179999999999</v>
      </c>
      <c r="K4981">
        <v>1.106673</v>
      </c>
      <c r="L4981">
        <v>141.6977</v>
      </c>
      <c r="M4981">
        <v>-0.99974189999999996</v>
      </c>
      <c r="N4981">
        <v>-1.537692E-3</v>
      </c>
      <c r="O4981">
        <v>-2.2667639999999999E-2</v>
      </c>
      <c r="P4981">
        <v>-0.99540300000000004</v>
      </c>
      <c r="Q4981">
        <v>-5.987249E-2</v>
      </c>
      <c r="R4981">
        <v>-7.4754769999999998E-2</v>
      </c>
      <c r="S4981">
        <v>-3.0321039999999999</v>
      </c>
      <c r="T4981">
        <v>-0.10179879999999999</v>
      </c>
      <c r="U4981">
        <v>0.31593320000000003</v>
      </c>
      <c r="V4981">
        <v>-5.2364769999999998E-2</v>
      </c>
      <c r="W4981">
        <v>-5.816702E-2</v>
      </c>
      <c r="X4981">
        <v>0.99693259999999995</v>
      </c>
      <c r="Y4981">
        <v>0.12606889999999901</v>
      </c>
      <c r="Z4981">
        <v>2.9314089999999998E-3</v>
      </c>
      <c r="AA4981">
        <v>0.99201709999999999</v>
      </c>
      <c r="AB4981">
        <v>35</v>
      </c>
      <c r="AC4981">
        <v>-32.645299999999899</v>
      </c>
      <c r="AD4981">
        <v>-1.106677082552</v>
      </c>
      <c r="AE4981">
        <v>3.4409999999999998</v>
      </c>
      <c r="AF4981">
        <v>4.17536296192121</v>
      </c>
      <c r="AG4981">
        <v>-1.106677082552</v>
      </c>
      <c r="AH4981">
        <v>32.521948567393999</v>
      </c>
      <c r="AI4981">
        <v>91.933090147463901</v>
      </c>
      <c r="AJ4981">
        <v>82.684044962832999</v>
      </c>
      <c r="AK4981">
        <v>32.807552920768899</v>
      </c>
      <c r="AL4981">
        <v>93.334606810649305</v>
      </c>
      <c r="AM4981">
        <v>93.006748548566307</v>
      </c>
      <c r="AN4981">
        <v>1.00000004014779</v>
      </c>
    </row>
    <row r="4982" spans="1:40" x14ac:dyDescent="0.25">
      <c r="A4982" t="str">
        <f>"20190305135029640"</f>
        <v>20190305135029640</v>
      </c>
      <c r="B4982" t="str">
        <f>"1551765029635462"</f>
        <v>1551765029635462</v>
      </c>
      <c r="C4982" t="s">
        <v>40</v>
      </c>
      <c r="D4982">
        <v>3.9680939999999998</v>
      </c>
      <c r="E4982">
        <v>0.56929629999999998</v>
      </c>
      <c r="F4982" t="s">
        <v>42</v>
      </c>
      <c r="G4982">
        <v>-264.18220000000002</v>
      </c>
      <c r="H4982" s="1">
        <v>-3.8472030000000001E-6</v>
      </c>
      <c r="I4982">
        <v>145.22200000000001</v>
      </c>
      <c r="J4982">
        <v>-231.13480000000001</v>
      </c>
      <c r="K4982">
        <v>1.106687</v>
      </c>
      <c r="L4982">
        <v>141.69120000000001</v>
      </c>
      <c r="M4982">
        <v>-0.99977139999999998</v>
      </c>
      <c r="N4982">
        <v>-1.570952E-3</v>
      </c>
      <c r="O4982">
        <v>-2.132887E-2</v>
      </c>
      <c r="P4982">
        <v>-0.99556259999999996</v>
      </c>
      <c r="Q4982">
        <v>-5.9090829999999997E-2</v>
      </c>
      <c r="R4982">
        <v>-7.3235239999999993E-2</v>
      </c>
      <c r="S4982">
        <v>-3.0318450000000001</v>
      </c>
      <c r="T4982">
        <v>-0.10051640000000001</v>
      </c>
      <c r="U4982">
        <v>0.32011410000000001</v>
      </c>
      <c r="V4982">
        <v>-5.2172799999999998E-2</v>
      </c>
      <c r="W4982">
        <v>-5.7353910000000001E-2</v>
      </c>
      <c r="X4982">
        <v>0.99698969999999998</v>
      </c>
      <c r="Y4982">
        <v>0.12610499999999999</v>
      </c>
      <c r="Z4982">
        <v>2.8551449999999999E-3</v>
      </c>
      <c r="AA4982">
        <v>0.99201280000000003</v>
      </c>
      <c r="AB4982">
        <v>35</v>
      </c>
      <c r="AC4982">
        <v>-33.047400000000003</v>
      </c>
      <c r="AD4982">
        <v>-1.1066908472029999</v>
      </c>
      <c r="AE4982">
        <v>3.5308000000000002</v>
      </c>
      <c r="AF4982">
        <v>4.2301709084591899</v>
      </c>
      <c r="AG4982">
        <v>-1.1066908472029999</v>
      </c>
      <c r="AH4982">
        <v>32.928063839568999</v>
      </c>
      <c r="AI4982">
        <v>91.909270507712307</v>
      </c>
      <c r="AJ4982">
        <v>82.679477155807206</v>
      </c>
      <c r="AK4982">
        <v>33.217111535604502</v>
      </c>
      <c r="AL4982">
        <v>93.287941371062402</v>
      </c>
      <c r="AM4982">
        <v>92.995574619206707</v>
      </c>
      <c r="AN4982">
        <v>0.99999996697910798</v>
      </c>
    </row>
    <row r="4983" spans="1:40" x14ac:dyDescent="0.25">
      <c r="A4983" t="str">
        <f>"20190305135029661"</f>
        <v>20190305135029661</v>
      </c>
      <c r="B4983" t="str">
        <f>"1551765029654982"</f>
        <v>1551765029654982</v>
      </c>
      <c r="C4983" t="s">
        <v>40</v>
      </c>
      <c r="D4983">
        <v>3.9808150000000002</v>
      </c>
      <c r="E4983">
        <v>0.56938299999999997</v>
      </c>
      <c r="F4983" t="s">
        <v>42</v>
      </c>
      <c r="G4983">
        <v>-265.0437</v>
      </c>
      <c r="H4983" s="1">
        <v>-3.5762390000000002E-6</v>
      </c>
      <c r="I4983">
        <v>145.34739999999999</v>
      </c>
      <c r="J4983">
        <v>-231.50620000000001</v>
      </c>
      <c r="K4983">
        <v>1.106703</v>
      </c>
      <c r="L4983">
        <v>141.68450000000001</v>
      </c>
      <c r="M4983">
        <v>-0.99980100000000005</v>
      </c>
      <c r="N4983">
        <v>-1.6078010000000001E-3</v>
      </c>
      <c r="O4983">
        <v>-1.988695E-2</v>
      </c>
      <c r="P4983">
        <v>-0.99575829999999999</v>
      </c>
      <c r="Q4983">
        <v>-5.844009E-2</v>
      </c>
      <c r="R4983">
        <v>-7.1064829999999996E-2</v>
      </c>
      <c r="S4983">
        <v>-3.031555</v>
      </c>
      <c r="T4983">
        <v>-9.8941329999999994E-2</v>
      </c>
      <c r="U4983">
        <v>0.32687379999999999</v>
      </c>
      <c r="V4983">
        <v>-5.1431259999999999E-2</v>
      </c>
      <c r="W4983">
        <v>-5.6671369999999999E-2</v>
      </c>
      <c r="X4983">
        <v>0.99706729999999999</v>
      </c>
      <c r="Y4983">
        <v>0.12687399999999999</v>
      </c>
      <c r="Z4983">
        <v>2.781473E-3</v>
      </c>
      <c r="AA4983">
        <v>0.99191490000000004</v>
      </c>
      <c r="AB4983">
        <v>35</v>
      </c>
      <c r="AC4983">
        <v>-33.537499999999902</v>
      </c>
      <c r="AD4983">
        <v>-1.106706576239</v>
      </c>
      <c r="AE4983">
        <v>3.6628999999999698</v>
      </c>
      <c r="AF4983">
        <v>4.32448142775681</v>
      </c>
      <c r="AG4983">
        <v>-1.106706576239</v>
      </c>
      <c r="AH4983">
        <v>33.422057873712397</v>
      </c>
      <c r="AI4983">
        <v>91.880877694713107</v>
      </c>
      <c r="AJ4983">
        <v>82.627457835219602</v>
      </c>
      <c r="AK4983">
        <v>33.718835857405999</v>
      </c>
      <c r="AL4983">
        <v>93.248770856374506</v>
      </c>
      <c r="AM4983">
        <v>92.952844536023306</v>
      </c>
      <c r="AN4983">
        <v>1.0000000097060699</v>
      </c>
    </row>
    <row r="4984" spans="1:40" x14ac:dyDescent="0.25">
      <c r="A4984" t="str">
        <f>"20190305135029683"</f>
        <v>20190305135029683</v>
      </c>
      <c r="B4984" t="str">
        <f>"1551765029675481"</f>
        <v>1551765029675481</v>
      </c>
      <c r="C4984" t="s">
        <v>40</v>
      </c>
      <c r="D4984">
        <v>3.9610249999999998</v>
      </c>
      <c r="E4984">
        <v>0.5693918</v>
      </c>
      <c r="F4984" t="s">
        <v>42</v>
      </c>
      <c r="G4984">
        <v>-265.62979999999999</v>
      </c>
      <c r="H4984" s="1">
        <v>-3.394667E-6</v>
      </c>
      <c r="I4984">
        <v>145.44810000000001</v>
      </c>
      <c r="J4984">
        <v>-231.85740000000001</v>
      </c>
      <c r="K4984">
        <v>1.106727</v>
      </c>
      <c r="L4984">
        <v>141.67859999999999</v>
      </c>
      <c r="M4984">
        <v>-0.99982599999999999</v>
      </c>
      <c r="N4984">
        <v>-1.642562E-3</v>
      </c>
      <c r="O4984">
        <v>-1.8589499999999998E-2</v>
      </c>
      <c r="P4984">
        <v>-0.99590089999999998</v>
      </c>
      <c r="Q4984">
        <v>-5.8731319999999997E-2</v>
      </c>
      <c r="R4984">
        <v>-6.879209E-2</v>
      </c>
      <c r="S4984">
        <v>-3.0308839999999999</v>
      </c>
      <c r="T4984">
        <v>-9.8298670000000005E-2</v>
      </c>
      <c r="U4984">
        <v>0.33428960000000002</v>
      </c>
      <c r="V4984">
        <v>-5.0446320000000003E-2</v>
      </c>
      <c r="W4984">
        <v>-5.6935029999999998E-2</v>
      </c>
      <c r="X4984">
        <v>0.99710259999999995</v>
      </c>
      <c r="Y4984">
        <v>0.1280095</v>
      </c>
      <c r="Z4984">
        <v>2.7451099999999998E-3</v>
      </c>
      <c r="AA4984">
        <v>0.99176909999999896</v>
      </c>
      <c r="AB4984">
        <v>35</v>
      </c>
      <c r="AC4984">
        <v>-33.772399999999898</v>
      </c>
      <c r="AD4984">
        <v>-1.106730394667</v>
      </c>
      <c r="AE4984">
        <v>3.7695000000000198</v>
      </c>
      <c r="AF4984">
        <v>4.3920029198371902</v>
      </c>
      <c r="AG4984">
        <v>-1.106730394667</v>
      </c>
      <c r="AH4984">
        <v>33.660787721612898</v>
      </c>
      <c r="AI4984">
        <v>91.867328234967204</v>
      </c>
      <c r="AJ4984">
        <v>82.566139450827905</v>
      </c>
      <c r="AK4984">
        <v>33.964145386772501</v>
      </c>
      <c r="AL4984">
        <v>93.263901885029298</v>
      </c>
      <c r="AM4984">
        <v>92.896290623923406</v>
      </c>
      <c r="AN4984">
        <v>1.0000000118846999</v>
      </c>
    </row>
    <row r="4985" spans="1:40" x14ac:dyDescent="0.25">
      <c r="A4985" t="str">
        <f>"20190305135029694"</f>
        <v>20190305135029694</v>
      </c>
      <c r="B4985" t="str">
        <f>"1551765029685238"</f>
        <v>1551765029685238</v>
      </c>
      <c r="C4985" t="s">
        <v>40</v>
      </c>
      <c r="D4985">
        <v>3.9703149999999998</v>
      </c>
      <c r="E4985">
        <v>0.56953640000000005</v>
      </c>
      <c r="F4985" t="s">
        <v>42</v>
      </c>
      <c r="G4985">
        <v>-265.23340000000002</v>
      </c>
      <c r="H4985" s="1">
        <v>-3.5279979999999999E-6</v>
      </c>
      <c r="I4985">
        <v>145.4393</v>
      </c>
      <c r="J4985">
        <v>-232.05600000000001</v>
      </c>
      <c r="K4985">
        <v>1.106746</v>
      </c>
      <c r="L4985">
        <v>141.6754</v>
      </c>
      <c r="M4985">
        <v>-0.99983869999999997</v>
      </c>
      <c r="N4985">
        <v>-1.6622360000000001E-3</v>
      </c>
      <c r="O4985">
        <v>-1.7890280000000001E-2</v>
      </c>
      <c r="P4985">
        <v>-0.99594559999999999</v>
      </c>
      <c r="Q4985">
        <v>-5.913674E-2</v>
      </c>
      <c r="R4985">
        <v>-6.7790340000000004E-2</v>
      </c>
      <c r="S4985">
        <v>-3.0300289999999999</v>
      </c>
      <c r="T4985">
        <v>-0.1004742</v>
      </c>
      <c r="U4985">
        <v>0.34141539999999998</v>
      </c>
      <c r="V4985">
        <v>-5.0139490000000002E-2</v>
      </c>
      <c r="W4985">
        <v>-5.7324710000000001E-2</v>
      </c>
      <c r="X4985">
        <v>0.99709579999999998</v>
      </c>
      <c r="Y4985">
        <v>0.12964589999999901</v>
      </c>
      <c r="Z4985">
        <v>2.8119500000000001E-3</v>
      </c>
      <c r="AA4985">
        <v>0.99155629999999995</v>
      </c>
      <c r="AB4985">
        <v>36</v>
      </c>
      <c r="AC4985">
        <v>-33.177399999999999</v>
      </c>
      <c r="AD4985">
        <v>-1.106749527998</v>
      </c>
      <c r="AE4985">
        <v>3.7639</v>
      </c>
      <c r="AF4985">
        <v>4.3520699205167599</v>
      </c>
      <c r="AG4985">
        <v>-1.106749527998</v>
      </c>
      <c r="AH4985">
        <v>33.068422152164899</v>
      </c>
      <c r="AI4985">
        <v>91.900510396545101</v>
      </c>
      <c r="AJ4985">
        <v>82.502504368269797</v>
      </c>
      <c r="AK4985">
        <v>33.371933578151797</v>
      </c>
      <c r="AL4985">
        <v>93.286265262542599</v>
      </c>
      <c r="AM4985">
        <v>92.878723816258102</v>
      </c>
      <c r="AN4985">
        <v>1.0000000626058401</v>
      </c>
    </row>
    <row r="4986" spans="1:40" x14ac:dyDescent="0.25">
      <c r="A4986" t="str">
        <f>"20190305135029715"</f>
        <v>20190305135029715</v>
      </c>
      <c r="B4986" t="str">
        <f>"1551765029704758"</f>
        <v>1551765029704758</v>
      </c>
      <c r="C4986" t="s">
        <v>40</v>
      </c>
      <c r="D4986">
        <v>4.0102960000000003</v>
      </c>
      <c r="E4986">
        <v>0.56949839999999996</v>
      </c>
      <c r="F4986" t="s">
        <v>42</v>
      </c>
      <c r="G4986">
        <v>-265.65359999999998</v>
      </c>
      <c r="H4986" s="1">
        <v>-3.39696E-6</v>
      </c>
      <c r="I4986">
        <v>145.5067</v>
      </c>
      <c r="J4986">
        <v>-232.3783</v>
      </c>
      <c r="K4986">
        <v>1.1067769999999999</v>
      </c>
      <c r="L4986">
        <v>141.6705</v>
      </c>
      <c r="M4986">
        <v>-0.9998572</v>
      </c>
      <c r="N4986">
        <v>-1.6942319999999999E-3</v>
      </c>
      <c r="O4986">
        <v>-1.6814550000000001E-2</v>
      </c>
      <c r="P4986">
        <v>-0.99597460000000004</v>
      </c>
      <c r="Q4986">
        <v>-6.045917E-2</v>
      </c>
      <c r="R4986">
        <v>-6.6178390000000004E-2</v>
      </c>
      <c r="S4986">
        <v>-3.029785</v>
      </c>
      <c r="T4986">
        <v>-9.9805119999999997E-2</v>
      </c>
      <c r="U4986">
        <v>0.3455048</v>
      </c>
      <c r="V4986">
        <v>-4.9596580000000001E-2</v>
      </c>
      <c r="W4986">
        <v>-5.8622599999999997E-2</v>
      </c>
      <c r="X4986">
        <v>0.99704740000000003</v>
      </c>
      <c r="Y4986">
        <v>0.12991069999999999</v>
      </c>
      <c r="Z4986">
        <v>2.7663520000000001E-3</v>
      </c>
      <c r="AA4986">
        <v>0.99152180000000001</v>
      </c>
      <c r="AB4986">
        <v>36</v>
      </c>
      <c r="AC4986">
        <v>-33.275299999999902</v>
      </c>
      <c r="AD4986">
        <v>-1.1067803969600001</v>
      </c>
      <c r="AE4986">
        <v>3.8361999999999901</v>
      </c>
      <c r="AF4986">
        <v>4.39037422149043</v>
      </c>
      <c r="AG4986">
        <v>-1.1067803969600001</v>
      </c>
      <c r="AH4986">
        <v>33.1698766270992</v>
      </c>
      <c r="AI4986">
        <v>91.894569727602104</v>
      </c>
      <c r="AJ4986">
        <v>82.460141508298605</v>
      </c>
      <c r="AK4986">
        <v>33.477470993323401</v>
      </c>
      <c r="AL4986">
        <v>93.360754462745803</v>
      </c>
      <c r="AM4986">
        <v>92.847742606928904</v>
      </c>
      <c r="AN4986">
        <v>0.99999997391260698</v>
      </c>
    </row>
    <row r="4987" spans="1:40" x14ac:dyDescent="0.25">
      <c r="A4987" t="str">
        <f>"20190305135029728"</f>
        <v>20190305135029728</v>
      </c>
      <c r="B4987" t="str">
        <f>"1551765029725254"</f>
        <v>1551765029725254</v>
      </c>
      <c r="C4987" t="s">
        <v>40</v>
      </c>
      <c r="D4987">
        <v>3.9715980000000002</v>
      </c>
      <c r="E4987">
        <v>0.56947460000000005</v>
      </c>
      <c r="F4987" t="s">
        <v>42</v>
      </c>
      <c r="G4987">
        <v>-263.77359999999999</v>
      </c>
      <c r="H4987" s="1">
        <v>-4.0003189999999999E-6</v>
      </c>
      <c r="I4987">
        <v>145.3013</v>
      </c>
      <c r="J4987">
        <v>-232.58269999999999</v>
      </c>
      <c r="K4987">
        <v>1.106806</v>
      </c>
      <c r="L4987">
        <v>141.66749999999999</v>
      </c>
      <c r="M4987">
        <v>-0.99986790000000003</v>
      </c>
      <c r="N4987">
        <v>-1.714562E-3</v>
      </c>
      <c r="O4987">
        <v>-1.6166460000000001E-2</v>
      </c>
      <c r="P4987">
        <v>-0.99597029999999998</v>
      </c>
      <c r="Q4987">
        <v>-6.119902E-2</v>
      </c>
      <c r="R4987">
        <v>-6.5559190000000003E-2</v>
      </c>
      <c r="S4987">
        <v>-3.028915</v>
      </c>
      <c r="T4987">
        <v>-0.1067789</v>
      </c>
      <c r="U4987">
        <v>0.350296</v>
      </c>
      <c r="V4987">
        <v>-4.962155E-2</v>
      </c>
      <c r="W4987">
        <v>-5.9346179999999998E-2</v>
      </c>
      <c r="X4987">
        <v>0.99700339999999998</v>
      </c>
      <c r="Y4987">
        <v>0.13083620000000001</v>
      </c>
      <c r="Z4987">
        <v>2.950753E-3</v>
      </c>
      <c r="AA4987">
        <v>0.99139960000000005</v>
      </c>
      <c r="AB4987">
        <v>36</v>
      </c>
      <c r="AC4987">
        <v>-31.190899999999999</v>
      </c>
      <c r="AD4987">
        <v>-1.106810000319</v>
      </c>
      <c r="AE4987">
        <v>3.6337999999999999</v>
      </c>
      <c r="AF4987">
        <v>4.1324384289951102</v>
      </c>
      <c r="AG4987">
        <v>-1.106810000319</v>
      </c>
      <c r="AH4987">
        <v>31.089454791428601</v>
      </c>
      <c r="AI4987">
        <v>92.021153759339199</v>
      </c>
      <c r="AJ4987">
        <v>82.428575597898302</v>
      </c>
      <c r="AK4987">
        <v>31.382419839370701</v>
      </c>
      <c r="AL4987">
        <v>93.402284684469905</v>
      </c>
      <c r="AM4987">
        <v>92.8492995089358</v>
      </c>
      <c r="AN4987">
        <v>1.00000002345827</v>
      </c>
    </row>
    <row r="4988" spans="1:40" x14ac:dyDescent="0.25">
      <c r="A4988" t="str">
        <f>"20190305135029741"</f>
        <v>20190305135029741</v>
      </c>
      <c r="B4988" t="str">
        <f>"1551765029735014"</f>
        <v>1551765029735014</v>
      </c>
      <c r="C4988" t="s">
        <v>40</v>
      </c>
      <c r="D4988">
        <v>5.6624480000000004</v>
      </c>
      <c r="E4988">
        <v>0.60005379999999997</v>
      </c>
      <c r="F4988" t="s">
        <v>42</v>
      </c>
      <c r="G4988">
        <v>-263.22899999999998</v>
      </c>
      <c r="H4988" s="1">
        <v>-4.1728659999999998E-6</v>
      </c>
      <c r="I4988">
        <v>145.22929999999999</v>
      </c>
      <c r="J4988">
        <v>-232.7953</v>
      </c>
      <c r="K4988">
        <v>1.1068389999999999</v>
      </c>
      <c r="L4988">
        <v>141.66460000000001</v>
      </c>
      <c r="M4988">
        <v>-0.99987800000000004</v>
      </c>
      <c r="N4988">
        <v>-1.735847E-3</v>
      </c>
      <c r="O4988">
        <v>-1.553209E-2</v>
      </c>
      <c r="P4988">
        <v>-0.99594649999999996</v>
      </c>
      <c r="Q4988">
        <v>-6.1818749999999999E-2</v>
      </c>
      <c r="R4988">
        <v>-6.5342720000000007E-2</v>
      </c>
      <c r="S4988">
        <v>-3.0285639999999998</v>
      </c>
      <c r="T4988">
        <v>-0.1093787</v>
      </c>
      <c r="U4988">
        <v>0.35198970000000002</v>
      </c>
      <c r="V4988">
        <v>-5.0034769999999999E-2</v>
      </c>
      <c r="W4988">
        <v>-5.9947809999999997E-2</v>
      </c>
      <c r="X4988">
        <v>0.99694680000000002</v>
      </c>
      <c r="Y4988">
        <v>0.1307632</v>
      </c>
      <c r="Z4988">
        <v>2.9986750000000001E-3</v>
      </c>
      <c r="AA4988">
        <v>0.99140910000000004</v>
      </c>
      <c r="AB4988">
        <v>36</v>
      </c>
      <c r="AC4988">
        <v>-30.433700000000002</v>
      </c>
      <c r="AD4988">
        <v>-1.106843172866</v>
      </c>
      <c r="AE4988">
        <v>3.5646999999999802</v>
      </c>
      <c r="AF4988">
        <v>4.0317090178708002</v>
      </c>
      <c r="AG4988">
        <v>-1.106843172866</v>
      </c>
      <c r="AH4988">
        <v>30.335080151141</v>
      </c>
      <c r="AI4988">
        <v>92.071438784779801</v>
      </c>
      <c r="AJ4988">
        <v>82.429424246674003</v>
      </c>
      <c r="AK4988">
        <v>30.6218364437904</v>
      </c>
      <c r="AL4988">
        <v>93.436816867285202</v>
      </c>
      <c r="AM4988">
        <v>92.873150099323894</v>
      </c>
      <c r="AN4988">
        <v>1.0000000700814899</v>
      </c>
    </row>
    <row r="4989" spans="1:40" x14ac:dyDescent="0.25">
      <c r="A4989" t="str">
        <f>"20190305135029754"</f>
        <v>20190305135029754</v>
      </c>
      <c r="B4989" t="str">
        <f>"1551765029744774"</f>
        <v>1551765029744774</v>
      </c>
      <c r="C4989" t="s">
        <v>40</v>
      </c>
      <c r="D4989">
        <v>3.9556019999999998</v>
      </c>
      <c r="E4989">
        <v>0.60005379999999997</v>
      </c>
      <c r="F4989" t="s">
        <v>84</v>
      </c>
      <c r="G4989">
        <v>-469.37110000000001</v>
      </c>
      <c r="H4989">
        <v>21.28894</v>
      </c>
      <c r="I4989">
        <v>185.5283</v>
      </c>
      <c r="J4989">
        <v>-233.00309999999999</v>
      </c>
      <c r="K4989">
        <v>1.1068690000000001</v>
      </c>
      <c r="L4989">
        <v>141.6618</v>
      </c>
      <c r="M4989">
        <v>-0.99988699999999997</v>
      </c>
      <c r="N4989">
        <v>-1.756741E-3</v>
      </c>
      <c r="O4989">
        <v>-1.493014E-2</v>
      </c>
      <c r="P4989">
        <v>-0.99591010000000002</v>
      </c>
      <c r="Q4989">
        <v>-6.230053E-2</v>
      </c>
      <c r="R4989">
        <v>-6.5434580000000006E-2</v>
      </c>
      <c r="S4989">
        <v>-3.0657350000000001</v>
      </c>
      <c r="T4989">
        <v>0.26153609999999999</v>
      </c>
      <c r="U4989">
        <v>0.56842040000000005</v>
      </c>
      <c r="V4989">
        <v>-5.0723589999999999E-2</v>
      </c>
      <c r="W4989">
        <v>-6.0411050000000001E-2</v>
      </c>
      <c r="X4989">
        <v>0.99688390000000004</v>
      </c>
      <c r="Y4989">
        <v>0.19623380000000001</v>
      </c>
      <c r="Z4989">
        <v>-9.3978210000000006E-3</v>
      </c>
      <c r="AA4989">
        <v>0.9805121</v>
      </c>
      <c r="AB4989">
        <v>36</v>
      </c>
      <c r="AC4989">
        <v>-236.36799999999999</v>
      </c>
      <c r="AD4989">
        <v>20.182071000000001</v>
      </c>
      <c r="AE4989">
        <v>43.866500000000002</v>
      </c>
      <c r="AF4989">
        <v>47.058965474679297</v>
      </c>
      <c r="AG4989">
        <v>20.182071000000001</v>
      </c>
      <c r="AH4989">
        <v>234.03729350130899</v>
      </c>
      <c r="AI4989">
        <v>85.167574701998902</v>
      </c>
      <c r="AJ4989">
        <v>78.630875389472294</v>
      </c>
      <c r="AK4989">
        <v>239.57319752178901</v>
      </c>
      <c r="AL4989">
        <v>93.463407192576298</v>
      </c>
      <c r="AM4989">
        <v>92.912820071735695</v>
      </c>
      <c r="AN4989">
        <v>0.99999994381189805</v>
      </c>
    </row>
    <row r="4990" spans="1:40" x14ac:dyDescent="0.25">
      <c r="A4990" t="str">
        <f>"20190305135029772"</f>
        <v>20190305135029772</v>
      </c>
      <c r="B4990" t="str">
        <f>"1551765029765270"</f>
        <v>1551765029765270</v>
      </c>
      <c r="C4990" t="s">
        <v>40</v>
      </c>
      <c r="D4990">
        <v>3.8270789999999999</v>
      </c>
      <c r="E4990">
        <v>0.46459460000000002</v>
      </c>
      <c r="F4990" t="s">
        <v>84</v>
      </c>
      <c r="G4990">
        <v>-469.58449999999999</v>
      </c>
      <c r="H4990">
        <v>21.182369999999999</v>
      </c>
      <c r="I4990">
        <v>185.4923</v>
      </c>
      <c r="J4990">
        <v>-233.2997</v>
      </c>
      <c r="K4990">
        <v>1.106908</v>
      </c>
      <c r="L4990">
        <v>141.65799999999999</v>
      </c>
      <c r="M4990">
        <v>-0.99989870000000003</v>
      </c>
      <c r="N4990">
        <v>-1.786756E-3</v>
      </c>
      <c r="O4990">
        <v>-1.4114689999999999E-2</v>
      </c>
      <c r="P4990">
        <v>-0.99580740000000001</v>
      </c>
      <c r="Q4990">
        <v>-6.3075049999999994E-2</v>
      </c>
      <c r="R4990">
        <v>-6.625122E-2</v>
      </c>
      <c r="S4990">
        <v>-3.065903</v>
      </c>
      <c r="T4990">
        <v>0.26016270000000002</v>
      </c>
      <c r="U4990">
        <v>0.56800839999999997</v>
      </c>
      <c r="V4990">
        <v>-5.2349689999999997E-2</v>
      </c>
      <c r="W4990">
        <v>-6.1157089999999997E-2</v>
      </c>
      <c r="X4990">
        <v>0.99675440000000004</v>
      </c>
      <c r="Y4990">
        <v>0.19531119999999999</v>
      </c>
      <c r="Z4990">
        <v>-9.2370579999999994E-3</v>
      </c>
      <c r="AA4990">
        <v>0.98069779999999995</v>
      </c>
      <c r="AB4990">
        <v>36</v>
      </c>
      <c r="AC4990">
        <v>-236.28479999999999</v>
      </c>
      <c r="AD4990">
        <v>20.075461999999899</v>
      </c>
      <c r="AE4990">
        <v>43.834299999999999</v>
      </c>
      <c r="AF4990">
        <v>46.838163761993698</v>
      </c>
      <c r="AG4990">
        <v>20.075461999999899</v>
      </c>
      <c r="AH4990">
        <v>234.00950912748701</v>
      </c>
      <c r="AI4990">
        <v>85.191564545413499</v>
      </c>
      <c r="AJ4990">
        <v>78.681530750969699</v>
      </c>
      <c r="AK4990">
        <v>239.49381645711901</v>
      </c>
      <c r="AL4990">
        <v>93.506231102614294</v>
      </c>
      <c r="AM4990">
        <v>93.006420660599801</v>
      </c>
      <c r="AN4990">
        <v>1.00000000680986</v>
      </c>
    </row>
    <row r="4991" spans="1:40" x14ac:dyDescent="0.25">
      <c r="A4991" t="str">
        <f>"20190305135029784"</f>
        <v>20190305135029784</v>
      </c>
      <c r="B4991" t="str">
        <f>"1551765029775030"</f>
        <v>1551765029775030</v>
      </c>
      <c r="C4991" t="s">
        <v>40</v>
      </c>
      <c r="D4991">
        <v>3.8621660000000002</v>
      </c>
      <c r="E4991">
        <v>0.45751009999999998</v>
      </c>
      <c r="F4991" t="s">
        <v>60</v>
      </c>
      <c r="G4991">
        <v>-368.61149999999998</v>
      </c>
      <c r="H4991">
        <v>0.54980709999999999</v>
      </c>
      <c r="I4991">
        <v>119.18989999999999</v>
      </c>
      <c r="J4991">
        <v>-233.51</v>
      </c>
      <c r="K4991">
        <v>1.1069359999999999</v>
      </c>
      <c r="L4991">
        <v>141.65539999999999</v>
      </c>
      <c r="M4991">
        <v>-0.99990639999999997</v>
      </c>
      <c r="N4991">
        <v>-1.8082910000000001E-3</v>
      </c>
      <c r="O4991">
        <v>-1.356367E-2</v>
      </c>
      <c r="P4991">
        <v>-0.99573069999999997</v>
      </c>
      <c r="Q4991">
        <v>-6.335673E-2</v>
      </c>
      <c r="R4991">
        <v>-6.7128460000000001E-2</v>
      </c>
      <c r="S4991">
        <v>-2.9789430000000001</v>
      </c>
      <c r="T4991">
        <v>-1.2264489999999999E-2</v>
      </c>
      <c r="U4991">
        <v>-0.49464419999999998</v>
      </c>
      <c r="V4991">
        <v>-5.3773700000000001E-2</v>
      </c>
      <c r="W4991">
        <v>-6.1417289999999999E-2</v>
      </c>
      <c r="X4991">
        <v>0.99666259999999995</v>
      </c>
      <c r="Y4991">
        <v>-0.15040680000000001</v>
      </c>
      <c r="Z4991">
        <v>-4.1334759999999999E-4</v>
      </c>
      <c r="AA4991">
        <v>0.98862410000000001</v>
      </c>
      <c r="AB4991">
        <v>36</v>
      </c>
      <c r="AC4991">
        <v>-135.10149999999999</v>
      </c>
      <c r="AD4991">
        <v>-0.55712890000000004</v>
      </c>
      <c r="AE4991">
        <v>-22.465499999999899</v>
      </c>
      <c r="AF4991">
        <v>-20.630616867589499</v>
      </c>
      <c r="AG4991">
        <v>-0.55712890000000004</v>
      </c>
      <c r="AH4991">
        <v>135.391546524696</v>
      </c>
      <c r="AI4991">
        <v>90.233077366155399</v>
      </c>
      <c r="AJ4991">
        <v>98.663938594165003</v>
      </c>
      <c r="AK4991">
        <v>136.95548041351799</v>
      </c>
      <c r="AL4991">
        <v>93.5211675089122</v>
      </c>
      <c r="AM4991">
        <v>93.088328645757997</v>
      </c>
      <c r="AN4991">
        <v>1.0000000162806899</v>
      </c>
    </row>
    <row r="4992" spans="1:40" x14ac:dyDescent="0.25">
      <c r="A4992" t="str">
        <f>"20190305135029797"</f>
        <v>20190305135029797</v>
      </c>
      <c r="B4992" t="str">
        <f>"1551765029795526"</f>
        <v>1551765029795526</v>
      </c>
      <c r="C4992" t="s">
        <v>40</v>
      </c>
      <c r="D4992">
        <v>3.7768860000000002</v>
      </c>
      <c r="E4992">
        <v>0.45095380000000002</v>
      </c>
      <c r="F4992" t="s">
        <v>60</v>
      </c>
      <c r="G4992">
        <v>-354.7876</v>
      </c>
      <c r="H4992">
        <v>1.761641</v>
      </c>
      <c r="I4992">
        <v>119.0004</v>
      </c>
      <c r="J4992">
        <v>-233.71709999999999</v>
      </c>
      <c r="K4992">
        <v>1.106959</v>
      </c>
      <c r="L4992">
        <v>141.65299999999999</v>
      </c>
      <c r="M4992">
        <v>-0.99991339999999995</v>
      </c>
      <c r="N4992">
        <v>-1.8296390000000001E-3</v>
      </c>
      <c r="O4992">
        <v>-1.303494E-2</v>
      </c>
      <c r="P4992">
        <v>-0.99568350000000005</v>
      </c>
      <c r="Q4992">
        <v>-6.3122259999999999E-2</v>
      </c>
      <c r="R4992">
        <v>-6.8045850000000005E-2</v>
      </c>
      <c r="S4992">
        <v>-2.9763950000000001</v>
      </c>
      <c r="T4992">
        <v>1.6068099999999998E-2</v>
      </c>
      <c r="U4992">
        <v>-0.55599980000000004</v>
      </c>
      <c r="V4992">
        <v>-5.5214510000000001E-2</v>
      </c>
      <c r="W4992">
        <v>-6.1161060000000003E-2</v>
      </c>
      <c r="X4992">
        <v>0.99659960000000003</v>
      </c>
      <c r="Y4992">
        <v>-0.17079649999999999</v>
      </c>
      <c r="Z4992">
        <v>2.0608329999999999E-4</v>
      </c>
      <c r="AA4992">
        <v>0.98530629999999997</v>
      </c>
      <c r="AB4992">
        <v>36</v>
      </c>
      <c r="AC4992">
        <v>-121.0705</v>
      </c>
      <c r="AD4992">
        <v>0.65468199999999999</v>
      </c>
      <c r="AE4992">
        <v>-22.6526</v>
      </c>
      <c r="AF4992">
        <v>-21.071930857934198</v>
      </c>
      <c r="AG4992">
        <v>0.65468199999999999</v>
      </c>
      <c r="AH4992">
        <v>121.35206140074899</v>
      </c>
      <c r="AI4992">
        <v>89.695455222916607</v>
      </c>
      <c r="AJ4992">
        <v>99.8507857856398</v>
      </c>
      <c r="AK4992">
        <v>123.16971090659401</v>
      </c>
      <c r="AL4992">
        <v>93.506458876769699</v>
      </c>
      <c r="AM4992">
        <v>93.1711105553659</v>
      </c>
      <c r="AN4992">
        <v>1.00000004004751</v>
      </c>
    </row>
    <row r="4993" spans="1:40" x14ac:dyDescent="0.25">
      <c r="A4993" t="str">
        <f>"20190305135029817"</f>
        <v>20190305135029817</v>
      </c>
      <c r="B4993" t="str">
        <f>"1551765029805286"</f>
        <v>1551765029805286</v>
      </c>
      <c r="C4993" t="s">
        <v>40</v>
      </c>
      <c r="D4993">
        <v>3.7805330000000001</v>
      </c>
      <c r="E4993">
        <v>0.44980930000000002</v>
      </c>
      <c r="F4993" t="s">
        <v>60</v>
      </c>
      <c r="G4993">
        <v>-343.58170000000001</v>
      </c>
      <c r="H4993">
        <v>2.6613419999999999</v>
      </c>
      <c r="I4993">
        <v>119.00060000000001</v>
      </c>
      <c r="J4993">
        <v>-234.04759999999999</v>
      </c>
      <c r="K4993">
        <v>1.106995</v>
      </c>
      <c r="L4993">
        <v>141.64930000000001</v>
      </c>
      <c r="M4993">
        <v>-0.99992369999999997</v>
      </c>
      <c r="N4993">
        <v>-1.863977E-3</v>
      </c>
      <c r="O4993">
        <v>-1.221534E-2</v>
      </c>
      <c r="P4993">
        <v>-0.99559379999999997</v>
      </c>
      <c r="Q4993">
        <v>-6.2390189999999998E-2</v>
      </c>
      <c r="R4993">
        <v>-7.0003339999999997E-2</v>
      </c>
      <c r="S4993">
        <v>-2.97377</v>
      </c>
      <c r="T4993">
        <v>4.2073609999999997E-2</v>
      </c>
      <c r="U4993">
        <v>-0.61314389999999996</v>
      </c>
      <c r="V4993">
        <v>-5.7983229999999997E-2</v>
      </c>
      <c r="W4993">
        <v>-6.0392290000000001E-2</v>
      </c>
      <c r="X4993">
        <v>0.99648919999999996</v>
      </c>
      <c r="Y4993">
        <v>-0.18994330000000001</v>
      </c>
      <c r="Z4993">
        <v>9.5725689999999995E-4</v>
      </c>
      <c r="AA4993">
        <v>0.98179459999999996</v>
      </c>
      <c r="AB4993">
        <v>37</v>
      </c>
      <c r="AC4993">
        <v>-109.5341</v>
      </c>
      <c r="AD4993">
        <v>1.5543469999999899</v>
      </c>
      <c r="AE4993">
        <v>-22.648700000000002</v>
      </c>
      <c r="AF4993">
        <v>-21.3048973543697</v>
      </c>
      <c r="AG4993">
        <v>1.5543469999999899</v>
      </c>
      <c r="AH4993">
        <v>109.781389285058</v>
      </c>
      <c r="AI4993">
        <v>89.203682970731407</v>
      </c>
      <c r="AJ4993">
        <v>100.982677365095</v>
      </c>
      <c r="AK4993">
        <v>111.84036873702701</v>
      </c>
      <c r="AL4993">
        <v>93.462330146536701</v>
      </c>
      <c r="AM4993">
        <v>93.330144015587607</v>
      </c>
      <c r="AN4993">
        <v>1.00000000468465</v>
      </c>
    </row>
    <row r="4994" spans="1:40" x14ac:dyDescent="0.25">
      <c r="A4994" t="str">
        <f>"20190305135029840"</f>
        <v>20190305135029840</v>
      </c>
      <c r="B4994" t="str">
        <f>"1551765029835542"</f>
        <v>1551765029835542</v>
      </c>
      <c r="C4994" t="s">
        <v>40</v>
      </c>
      <c r="D4994">
        <v>3.8337159999999999</v>
      </c>
      <c r="E4994">
        <v>0.44812010000000002</v>
      </c>
      <c r="F4994" t="s">
        <v>60</v>
      </c>
      <c r="G4994">
        <v>-341.10309999999998</v>
      </c>
      <c r="H4994">
        <v>3.0098120000000002</v>
      </c>
      <c r="I4994">
        <v>119.0008</v>
      </c>
      <c r="J4994">
        <v>-234.4205</v>
      </c>
      <c r="K4994">
        <v>1.1070310000000001</v>
      </c>
      <c r="L4994">
        <v>141.6455</v>
      </c>
      <c r="M4994">
        <v>-0.99993430000000005</v>
      </c>
      <c r="N4994">
        <v>-1.903018E-3</v>
      </c>
      <c r="O4994">
        <v>-1.1316959999999999E-2</v>
      </c>
      <c r="P4994">
        <v>-0.99553789999999998</v>
      </c>
      <c r="Q4994">
        <v>-6.1222020000000002E-2</v>
      </c>
      <c r="R4994">
        <v>-7.1810540000000006E-2</v>
      </c>
      <c r="S4994">
        <v>-2.9723660000000001</v>
      </c>
      <c r="T4994">
        <v>5.2831530000000002E-2</v>
      </c>
      <c r="U4994">
        <v>-0.62883</v>
      </c>
      <c r="V4994">
        <v>-6.068018E-2</v>
      </c>
      <c r="W4994">
        <v>-5.918238E-2</v>
      </c>
      <c r="X4994">
        <v>0.99640119999999999</v>
      </c>
      <c r="Y4994">
        <v>-0.19586819999999999</v>
      </c>
      <c r="Z4994">
        <v>1.3129189999999901E-3</v>
      </c>
      <c r="AA4994">
        <v>0.98062939999999998</v>
      </c>
      <c r="AB4994">
        <v>37</v>
      </c>
      <c r="AC4994">
        <v>-106.682599999999</v>
      </c>
      <c r="AD4994">
        <v>1.9027810000000001</v>
      </c>
      <c r="AE4994">
        <v>-22.6447</v>
      </c>
      <c r="AF4994">
        <v>-21.429401924819601</v>
      </c>
      <c r="AG4994">
        <v>1.9027810000000001</v>
      </c>
      <c r="AH4994">
        <v>106.899497042522</v>
      </c>
      <c r="AI4994">
        <v>89.000146658286596</v>
      </c>
      <c r="AJ4994">
        <v>101.335441989195</v>
      </c>
      <c r="AK4994">
        <v>109.04284621346601</v>
      </c>
      <c r="AL4994">
        <v>93.392883208275606</v>
      </c>
      <c r="AM4994">
        <v>93.484971398218505</v>
      </c>
      <c r="AN4994">
        <v>0.99999999485436797</v>
      </c>
    </row>
    <row r="4995" spans="1:40" x14ac:dyDescent="0.25">
      <c r="A4995" t="str">
        <f>"20190305135029861"</f>
        <v>20190305135029861</v>
      </c>
      <c r="B4995" t="str">
        <f>"1551765029855063"</f>
        <v>1551765029855063</v>
      </c>
      <c r="C4995" t="s">
        <v>40</v>
      </c>
      <c r="D4995">
        <v>3.7821120000000001</v>
      </c>
      <c r="E4995">
        <v>0.44721670000000002</v>
      </c>
      <c r="F4995" t="s">
        <v>60</v>
      </c>
      <c r="G4995">
        <v>-334.72629999999998</v>
      </c>
      <c r="H4995">
        <v>3.0112890000000001</v>
      </c>
      <c r="I4995">
        <v>119.7698</v>
      </c>
      <c r="J4995">
        <v>-234.78129999999999</v>
      </c>
      <c r="K4995">
        <v>1.1070489999999999</v>
      </c>
      <c r="L4995">
        <v>141.642</v>
      </c>
      <c r="M4995">
        <v>-0.99994340000000004</v>
      </c>
      <c r="N4995">
        <v>-1.940988E-3</v>
      </c>
      <c r="O4995">
        <v>-1.046149E-2</v>
      </c>
      <c r="P4995">
        <v>-0.99545470000000003</v>
      </c>
      <c r="Q4995">
        <v>-6.0853169999999998E-2</v>
      </c>
      <c r="R4995">
        <v>-7.3260430000000001E-2</v>
      </c>
      <c r="S4995">
        <v>-2.9701840000000002</v>
      </c>
      <c r="T4995">
        <v>5.6387899999999998E-2</v>
      </c>
      <c r="U4995">
        <v>-0.64776610000000001</v>
      </c>
      <c r="V4995">
        <v>-6.2979690000000005E-2</v>
      </c>
      <c r="W4995">
        <v>-5.8772890000000001E-2</v>
      </c>
      <c r="X4995">
        <v>0.99628280000000002</v>
      </c>
      <c r="Y4995">
        <v>-0.2028191</v>
      </c>
      <c r="Z4995">
        <v>1.48726E-3</v>
      </c>
      <c r="AA4995">
        <v>0.9792151</v>
      </c>
      <c r="AB4995">
        <v>37</v>
      </c>
      <c r="AC4995">
        <v>-99.944999999999993</v>
      </c>
      <c r="AD4995">
        <v>1.9042399999999999</v>
      </c>
      <c r="AE4995">
        <v>-21.8721999999999</v>
      </c>
      <c r="AF4995">
        <v>-20.818215629740902</v>
      </c>
      <c r="AG4995">
        <v>1.9042399999999999</v>
      </c>
      <c r="AH4995">
        <v>100.133658490267</v>
      </c>
      <c r="AI4995">
        <v>88.933341910379397</v>
      </c>
      <c r="AJ4995">
        <v>101.744726257175</v>
      </c>
      <c r="AK4995">
        <v>102.292589148136</v>
      </c>
      <c r="AL4995">
        <v>93.3693800422691</v>
      </c>
      <c r="AM4995">
        <v>93.617120889060701</v>
      </c>
      <c r="AN4995">
        <v>1.0000000557636399</v>
      </c>
    </row>
    <row r="4996" spans="1:40" x14ac:dyDescent="0.25">
      <c r="A4996" t="str">
        <f>"20190305135029874"</f>
        <v>20190305135029874</v>
      </c>
      <c r="B4996" t="str">
        <f>"1551765029864822"</f>
        <v>1551765029864822</v>
      </c>
      <c r="C4996" t="s">
        <v>40</v>
      </c>
      <c r="D4996">
        <v>3.7737430000000001</v>
      </c>
      <c r="E4996">
        <v>0.44728259999999997</v>
      </c>
      <c r="F4996" t="s">
        <v>60</v>
      </c>
      <c r="G4996">
        <v>-333.35969999999998</v>
      </c>
      <c r="H4996">
        <v>2.7836789999999998</v>
      </c>
      <c r="I4996">
        <v>119.7697</v>
      </c>
      <c r="J4996">
        <v>-234.99369999999999</v>
      </c>
      <c r="K4996">
        <v>1.107056</v>
      </c>
      <c r="L4996">
        <v>141.64019999999999</v>
      </c>
      <c r="M4996">
        <v>-0.99994870000000002</v>
      </c>
      <c r="N4996">
        <v>-1.9634840000000001E-3</v>
      </c>
      <c r="O4996">
        <v>-9.9603279999999992E-3</v>
      </c>
      <c r="P4996">
        <v>-0.99543369999999998</v>
      </c>
      <c r="Q4996">
        <v>-6.0824799999999998E-2</v>
      </c>
      <c r="R4996">
        <v>-7.3570299999999894E-2</v>
      </c>
      <c r="S4996">
        <v>-2.9683069999999998</v>
      </c>
      <c r="T4996">
        <v>5.048561E-2</v>
      </c>
      <c r="U4996">
        <v>-0.65859990000000002</v>
      </c>
      <c r="V4996">
        <v>-6.3787969999999999E-2</v>
      </c>
      <c r="W4996">
        <v>-5.872132E-2</v>
      </c>
      <c r="X4996">
        <v>0.99623439999999996</v>
      </c>
      <c r="Y4996">
        <v>-0.20685149999999999</v>
      </c>
      <c r="Z4996">
        <v>1.345668E-3</v>
      </c>
      <c r="AA4996">
        <v>0.9783714</v>
      </c>
      <c r="AB4996">
        <v>37</v>
      </c>
      <c r="AC4996">
        <v>-98.366</v>
      </c>
      <c r="AD4996">
        <v>1.676623</v>
      </c>
      <c r="AE4996">
        <v>-21.8705</v>
      </c>
      <c r="AF4996">
        <v>-20.883874370553201</v>
      </c>
      <c r="AG4996">
        <v>1.676623</v>
      </c>
      <c r="AH4996">
        <v>98.551675388718195</v>
      </c>
      <c r="AI4996">
        <v>89.046511289583805</v>
      </c>
      <c r="AJ4996">
        <v>101.964433965239</v>
      </c>
      <c r="AK4996">
        <v>100.754056967114</v>
      </c>
      <c r="AL4996">
        <v>93.366420243133305</v>
      </c>
      <c r="AM4996">
        <v>93.663594816881002</v>
      </c>
      <c r="AN4996">
        <v>1.00000003914131</v>
      </c>
    </row>
    <row r="4997" spans="1:40" x14ac:dyDescent="0.25">
      <c r="A4997" t="str">
        <f>"20190305135029887"</f>
        <v>20190305135029887</v>
      </c>
      <c r="B4997" t="str">
        <f>"1551765029875559"</f>
        <v>1551765029875559</v>
      </c>
      <c r="C4997" t="s">
        <v>40</v>
      </c>
      <c r="D4997">
        <v>3.7822990000000001</v>
      </c>
      <c r="E4997">
        <v>0.44728689999999999</v>
      </c>
      <c r="F4997" t="s">
        <v>60</v>
      </c>
      <c r="G4997">
        <v>-333.46260000000001</v>
      </c>
      <c r="H4997">
        <v>2.8776419999999998</v>
      </c>
      <c r="I4997">
        <v>119.7697</v>
      </c>
      <c r="J4997">
        <v>-235.20920000000001</v>
      </c>
      <c r="K4997">
        <v>1.107059</v>
      </c>
      <c r="L4997">
        <v>141.63839999999999</v>
      </c>
      <c r="M4997">
        <v>-0.99995339999999999</v>
      </c>
      <c r="N4997">
        <v>-1.986434E-3</v>
      </c>
      <c r="O4997">
        <v>-9.4517760000000003E-3</v>
      </c>
      <c r="P4997">
        <v>-0.99543170000000003</v>
      </c>
      <c r="Q4997">
        <v>-6.0773340000000002E-2</v>
      </c>
      <c r="R4997">
        <v>-7.3637659999999994E-2</v>
      </c>
      <c r="S4997">
        <v>-2.9682919999999999</v>
      </c>
      <c r="T4997">
        <v>5.3373690000000001E-2</v>
      </c>
      <c r="U4997">
        <v>-0.65927119999999995</v>
      </c>
      <c r="V4997">
        <v>-6.4361130000000003E-2</v>
      </c>
      <c r="W4997">
        <v>-5.8646429999999999E-2</v>
      </c>
      <c r="X4997">
        <v>0.99620189999999997</v>
      </c>
      <c r="Y4997">
        <v>-0.20755789999999999</v>
      </c>
      <c r="Z4997">
        <v>1.448422E-3</v>
      </c>
      <c r="AA4997">
        <v>0.97822169999999997</v>
      </c>
      <c r="AB4997">
        <v>37</v>
      </c>
      <c r="AC4997">
        <v>-98.253399999999999</v>
      </c>
      <c r="AD4997">
        <v>1.77058299999999</v>
      </c>
      <c r="AE4997">
        <v>-21.868699999999901</v>
      </c>
      <c r="AF4997">
        <v>-20.932575408913699</v>
      </c>
      <c r="AG4997">
        <v>1.77058299999999</v>
      </c>
      <c r="AH4997">
        <v>98.425255491042407</v>
      </c>
      <c r="AI4997">
        <v>88.991951325964493</v>
      </c>
      <c r="AJ4997">
        <v>102.006483718022</v>
      </c>
      <c r="AK4997">
        <v>100.642131316296</v>
      </c>
      <c r="AL4997">
        <v>93.362122112827194</v>
      </c>
      <c r="AM4997">
        <v>93.696543053149398</v>
      </c>
      <c r="AN4997">
        <v>0.99999999218511504</v>
      </c>
    </row>
    <row r="4998" spans="1:40" x14ac:dyDescent="0.25">
      <c r="A4998" t="str">
        <f>"20190305135029906"</f>
        <v>20190305135029906</v>
      </c>
      <c r="B4998" t="str">
        <f>"1551765029895078"</f>
        <v>1551765029895078</v>
      </c>
      <c r="C4998" t="s">
        <v>40</v>
      </c>
      <c r="D4998">
        <v>3.8791699999999998</v>
      </c>
      <c r="E4998">
        <v>0.44738060000000002</v>
      </c>
      <c r="F4998" t="s">
        <v>60</v>
      </c>
      <c r="G4998">
        <v>-333.64249999999998</v>
      </c>
      <c r="H4998">
        <v>2.942847</v>
      </c>
      <c r="I4998">
        <v>119.7698</v>
      </c>
      <c r="J4998">
        <v>-235.52780000000001</v>
      </c>
      <c r="K4998">
        <v>1.107064</v>
      </c>
      <c r="L4998">
        <v>141.636</v>
      </c>
      <c r="M4998">
        <v>-0.99996019999999997</v>
      </c>
      <c r="N4998">
        <v>-2.0203729999999998E-3</v>
      </c>
      <c r="O4998">
        <v>-8.6992000000000007E-3</v>
      </c>
      <c r="P4998">
        <v>-0.99539040000000001</v>
      </c>
      <c r="Q4998">
        <v>-6.1226009999999997E-2</v>
      </c>
      <c r="R4998">
        <v>-7.3823879999999995E-2</v>
      </c>
      <c r="S4998">
        <v>-2.968353</v>
      </c>
      <c r="T4998">
        <v>5.5360439999999997E-2</v>
      </c>
      <c r="U4998">
        <v>-0.65946959999999999</v>
      </c>
      <c r="V4998">
        <v>-6.5297670000000002E-2</v>
      </c>
      <c r="W4998">
        <v>-5.906397E-2</v>
      </c>
      <c r="X4998">
        <v>0.99611629999999995</v>
      </c>
      <c r="Y4998">
        <v>-0.2083497</v>
      </c>
      <c r="Z4998">
        <v>1.52869799999999E-3</v>
      </c>
      <c r="AA4998">
        <v>0.97805319999999996</v>
      </c>
      <c r="AB4998">
        <v>37</v>
      </c>
      <c r="AC4998">
        <v>-98.1146999999999</v>
      </c>
      <c r="AD4998">
        <v>1.8357829999999999</v>
      </c>
      <c r="AE4998">
        <v>-21.8661999999999</v>
      </c>
      <c r="AF4998">
        <v>-21.0048459888548</v>
      </c>
      <c r="AG4998">
        <v>1.8357829999999999</v>
      </c>
      <c r="AH4998">
        <v>98.268431734512603</v>
      </c>
      <c r="AI4998">
        <v>88.953400822038901</v>
      </c>
      <c r="AJ4998">
        <v>102.065389790395</v>
      </c>
      <c r="AK4998">
        <v>100.505016440967</v>
      </c>
      <c r="AL4998">
        <v>93.386086872522398</v>
      </c>
      <c r="AM4998">
        <v>93.750501616710693</v>
      </c>
      <c r="AN4998">
        <v>1.0000000106926299</v>
      </c>
    </row>
    <row r="4999" spans="1:40" x14ac:dyDescent="0.25">
      <c r="A4999" t="str">
        <f>"20190305135029921"</f>
        <v>20190305135029921</v>
      </c>
      <c r="B4999" t="str">
        <f>"1551765029915574"</f>
        <v>1551765029915574</v>
      </c>
      <c r="C4999" t="s">
        <v>40</v>
      </c>
      <c r="D4999">
        <v>3.7834210000000001</v>
      </c>
      <c r="E4999">
        <v>0.44767050000000003</v>
      </c>
      <c r="F4999" t="s">
        <v>60</v>
      </c>
      <c r="G4999">
        <v>-334.15589999999997</v>
      </c>
      <c r="H4999">
        <v>2.229663</v>
      </c>
      <c r="I4999">
        <v>119.76949999999999</v>
      </c>
      <c r="J4999">
        <v>-235.7816</v>
      </c>
      <c r="K4999">
        <v>1.107064</v>
      </c>
      <c r="L4999">
        <v>141.63419999999999</v>
      </c>
      <c r="M4999">
        <v>-0.99996510000000005</v>
      </c>
      <c r="N4999">
        <v>-2.0474669999999999E-3</v>
      </c>
      <c r="O4999">
        <v>-8.0986189999999996E-3</v>
      </c>
      <c r="P4999">
        <v>-0.99540200000000001</v>
      </c>
      <c r="Q4999">
        <v>-6.177436E-2</v>
      </c>
      <c r="R4999">
        <v>-7.3205019999999996E-2</v>
      </c>
      <c r="S4999">
        <v>-2.9671630000000002</v>
      </c>
      <c r="T4999">
        <v>3.3773060000000001E-2</v>
      </c>
      <c r="U4999">
        <v>-0.65783689999999995</v>
      </c>
      <c r="V4999">
        <v>-6.5278069999999994E-2</v>
      </c>
      <c r="W4999">
        <v>-5.9585779999999998E-2</v>
      </c>
      <c r="X4999">
        <v>0.99608649999999999</v>
      </c>
      <c r="Y4999">
        <v>-0.2085264</v>
      </c>
      <c r="Z4999">
        <v>8.4900109999999998E-4</v>
      </c>
      <c r="AA4999">
        <v>0.97801640000000001</v>
      </c>
      <c r="AB4999">
        <v>37</v>
      </c>
      <c r="AC4999">
        <v>-98.374299999999906</v>
      </c>
      <c r="AD4999">
        <v>1.1225989999999999</v>
      </c>
      <c r="AE4999">
        <v>-21.864699999999999</v>
      </c>
      <c r="AF4999">
        <v>-21.064671340683098</v>
      </c>
      <c r="AG4999">
        <v>1.1225989999999999</v>
      </c>
      <c r="AH4999">
        <v>98.535920556597105</v>
      </c>
      <c r="AI4999">
        <v>89.361690812284195</v>
      </c>
      <c r="AJ4999">
        <v>102.066863188393</v>
      </c>
      <c r="AK4999">
        <v>100.768587601205</v>
      </c>
      <c r="AL4999">
        <v>93.416037158249793</v>
      </c>
      <c r="AM4999">
        <v>93.749490913823806</v>
      </c>
      <c r="AN4999">
        <v>1.0000000035416901</v>
      </c>
    </row>
    <row r="5000" spans="1:40" x14ac:dyDescent="0.25">
      <c r="A5000" t="str">
        <f>"20190305135029939"</f>
        <v>20190305135029939</v>
      </c>
      <c r="B5000" t="str">
        <f>"1551765029935094"</f>
        <v>1551765029935094</v>
      </c>
      <c r="C5000" t="s">
        <v>40</v>
      </c>
      <c r="D5000">
        <v>3.8095050000000001</v>
      </c>
      <c r="E5000">
        <v>0.44754369999999999</v>
      </c>
      <c r="F5000" t="s">
        <v>60</v>
      </c>
      <c r="G5000">
        <v>-338.65280000000001</v>
      </c>
      <c r="H5000">
        <v>1.7910520000000001</v>
      </c>
      <c r="I5000">
        <v>119.0004</v>
      </c>
      <c r="J5000">
        <v>-236.09299999999999</v>
      </c>
      <c r="K5000">
        <v>1.1070629999999999</v>
      </c>
      <c r="L5000">
        <v>141.63220000000001</v>
      </c>
      <c r="M5000">
        <v>-0.99997080000000005</v>
      </c>
      <c r="N5000">
        <v>-2.080761E-3</v>
      </c>
      <c r="O5000">
        <v>-7.36023199999999E-3</v>
      </c>
      <c r="P5000">
        <v>-0.99540209999999996</v>
      </c>
      <c r="Q5000">
        <v>-6.2581970000000001E-2</v>
      </c>
      <c r="R5000">
        <v>-7.2514880000000004E-2</v>
      </c>
      <c r="S5000">
        <v>-2.9670719999999999</v>
      </c>
      <c r="T5000">
        <v>1.972842E-2</v>
      </c>
      <c r="U5000">
        <v>-0.65281679999999997</v>
      </c>
      <c r="V5000">
        <v>-6.5324900000000005E-2</v>
      </c>
      <c r="W5000">
        <v>-6.0360440000000001E-2</v>
      </c>
      <c r="X5000">
        <v>0.99603680000000006</v>
      </c>
      <c r="Y5000">
        <v>-0.20768410000000001</v>
      </c>
      <c r="Z5000">
        <v>4.001788E-4</v>
      </c>
      <c r="AA5000">
        <v>0.97819579999999995</v>
      </c>
      <c r="AB5000">
        <v>38</v>
      </c>
      <c r="AC5000">
        <v>-102.5598</v>
      </c>
      <c r="AD5000">
        <v>0.68398899999999996</v>
      </c>
      <c r="AE5000">
        <v>-22.631799999999998</v>
      </c>
      <c r="AF5000">
        <v>-21.8753936637629</v>
      </c>
      <c r="AG5000">
        <v>0.68398899999999996</v>
      </c>
      <c r="AH5000">
        <v>102.719241025987</v>
      </c>
      <c r="AI5000">
        <v>89.626851004769904</v>
      </c>
      <c r="AJ5000">
        <v>102.022276548283</v>
      </c>
      <c r="AK5000">
        <v>105.024964488694</v>
      </c>
      <c r="AL5000">
        <v>93.460501901136098</v>
      </c>
      <c r="AM5000">
        <v>93.752359779513895</v>
      </c>
      <c r="AN5000">
        <v>1.0000000161156199</v>
      </c>
    </row>
    <row r="5001" spans="1:40" x14ac:dyDescent="0.25">
      <c r="A5001" t="str">
        <f>"20190305135029953"</f>
        <v>20190305135029953</v>
      </c>
      <c r="B5001" t="str">
        <f>"1551765029944855"</f>
        <v>1551765029944855</v>
      </c>
      <c r="C5001" t="s">
        <v>40</v>
      </c>
      <c r="D5001">
        <v>3.8128250000000001</v>
      </c>
      <c r="E5001">
        <v>0.44754300000000002</v>
      </c>
      <c r="F5001" t="s">
        <v>60</v>
      </c>
      <c r="G5001">
        <v>-339.05419999999998</v>
      </c>
      <c r="H5001">
        <v>1.8214980000000001</v>
      </c>
      <c r="I5001">
        <v>119.0004</v>
      </c>
      <c r="J5001">
        <v>-236.32859999999999</v>
      </c>
      <c r="K5001">
        <v>1.1070599999999999</v>
      </c>
      <c r="L5001">
        <v>141.63079999999999</v>
      </c>
      <c r="M5001">
        <v>-0.99997480000000005</v>
      </c>
      <c r="N5001">
        <v>-2.105974E-3</v>
      </c>
      <c r="O5001">
        <v>-6.8006610000000004E-3</v>
      </c>
      <c r="P5001">
        <v>-0.99540890000000004</v>
      </c>
      <c r="Q5001">
        <v>-6.3108440000000002E-2</v>
      </c>
      <c r="R5001">
        <v>-7.1963750000000007E-2</v>
      </c>
      <c r="S5001">
        <v>-2.9676360000000002</v>
      </c>
      <c r="T5001">
        <v>2.0592450000000002E-2</v>
      </c>
      <c r="U5001">
        <v>-0.65231319999999904</v>
      </c>
      <c r="V5001">
        <v>-6.5331940000000005E-2</v>
      </c>
      <c r="W5001">
        <v>-6.0861899999999997E-2</v>
      </c>
      <c r="X5001">
        <v>0.99600580000000005</v>
      </c>
      <c r="Y5001">
        <v>-0.20803379999999999</v>
      </c>
      <c r="Z5001">
        <v>4.308297E-4</v>
      </c>
      <c r="AA5001">
        <v>0.97812149999999998</v>
      </c>
      <c r="AB5001">
        <v>38</v>
      </c>
      <c r="AC5001">
        <v>-102.7256</v>
      </c>
      <c r="AD5001">
        <v>0.71443800000000002</v>
      </c>
      <c r="AE5001">
        <v>-22.630399999999899</v>
      </c>
      <c r="AF5001">
        <v>-21.9302615854469</v>
      </c>
      <c r="AG5001">
        <v>0.71443800000000002</v>
      </c>
      <c r="AH5001">
        <v>102.872380907783</v>
      </c>
      <c r="AI5001">
        <v>89.6108374611279</v>
      </c>
      <c r="AJ5001">
        <v>102.03413328866399</v>
      </c>
      <c r="AK5001">
        <v>105.18637529879101</v>
      </c>
      <c r="AL5001">
        <v>93.4892864433656</v>
      </c>
      <c r="AM5001">
        <v>93.752879480530197</v>
      </c>
      <c r="AN5001">
        <v>0.99999999344470603</v>
      </c>
    </row>
    <row r="5002" spans="1:40" x14ac:dyDescent="0.25">
      <c r="A5002" t="str">
        <f>"20190305135029967"</f>
        <v>20190305135029967</v>
      </c>
      <c r="B5002" t="str">
        <f>"1551765029955590"</f>
        <v>1551765029955590</v>
      </c>
      <c r="C5002" t="s">
        <v>40</v>
      </c>
      <c r="D5002">
        <v>3.8057840000000001</v>
      </c>
      <c r="E5002">
        <v>0.44731989999999999</v>
      </c>
      <c r="F5002" t="s">
        <v>60</v>
      </c>
      <c r="G5002">
        <v>-339.51889999999997</v>
      </c>
      <c r="H5002">
        <v>1.854786</v>
      </c>
      <c r="I5002">
        <v>119.0004</v>
      </c>
      <c r="J5002">
        <v>-236.56800000000001</v>
      </c>
      <c r="K5002">
        <v>1.107059</v>
      </c>
      <c r="L5002">
        <v>141.62960000000001</v>
      </c>
      <c r="M5002">
        <v>-0.99997849999999999</v>
      </c>
      <c r="N5002">
        <v>-2.1316009999999999E-3</v>
      </c>
      <c r="O5002">
        <v>-6.2316730000000001E-3</v>
      </c>
      <c r="P5002">
        <v>-0.99542299999999995</v>
      </c>
      <c r="Q5002">
        <v>-6.3584920000000003E-2</v>
      </c>
      <c r="R5002">
        <v>-7.1344820000000003E-2</v>
      </c>
      <c r="S5002">
        <v>-2.9681549999999999</v>
      </c>
      <c r="T5002">
        <v>2.150786E-2</v>
      </c>
      <c r="U5002">
        <v>-0.65093990000000002</v>
      </c>
      <c r="V5002">
        <v>-6.5280740000000004E-2</v>
      </c>
      <c r="W5002">
        <v>-6.1313039999999999E-2</v>
      </c>
      <c r="X5002">
        <v>0.99598149999999996</v>
      </c>
      <c r="Y5002">
        <v>-0.20812240000000001</v>
      </c>
      <c r="Z5002">
        <v>4.6301349999999997E-4</v>
      </c>
      <c r="AA5002">
        <v>0.97810269999999999</v>
      </c>
      <c r="AB5002">
        <v>38</v>
      </c>
      <c r="AC5002">
        <v>-102.9509</v>
      </c>
      <c r="AD5002">
        <v>0.74772700000000003</v>
      </c>
      <c r="AE5002">
        <v>-22.629200000000001</v>
      </c>
      <c r="AF5002">
        <v>-21.9860966014007</v>
      </c>
      <c r="AG5002">
        <v>0.74772700000000003</v>
      </c>
      <c r="AH5002">
        <v>103.084731908973</v>
      </c>
      <c r="AI5002">
        <v>89.593552641878603</v>
      </c>
      <c r="AJ5002">
        <v>102.03975069480499</v>
      </c>
      <c r="AK5002">
        <v>105.405927215587</v>
      </c>
      <c r="AL5002">
        <v>93.515183181533502</v>
      </c>
      <c r="AM5002">
        <v>93.750038011019697</v>
      </c>
      <c r="AN5002">
        <v>1.00000000611561</v>
      </c>
    </row>
    <row r="5003" spans="1:40" x14ac:dyDescent="0.25">
      <c r="A5003" t="str">
        <f>"20190305135029984"</f>
        <v>20190305135029984</v>
      </c>
      <c r="B5003" t="str">
        <f>"1551765029975110"</f>
        <v>1551765029975110</v>
      </c>
      <c r="C5003" t="s">
        <v>40</v>
      </c>
      <c r="D5003">
        <v>3.8120980000000002</v>
      </c>
      <c r="E5003">
        <v>0.44577250000000002</v>
      </c>
      <c r="F5003" t="s">
        <v>60</v>
      </c>
      <c r="G5003">
        <v>-339.71499999999997</v>
      </c>
      <c r="H5003">
        <v>1.89178</v>
      </c>
      <c r="I5003">
        <v>119.0004</v>
      </c>
      <c r="J5003">
        <v>-236.8595</v>
      </c>
      <c r="K5003">
        <v>1.1070530000000001</v>
      </c>
      <c r="L5003">
        <v>141.6283</v>
      </c>
      <c r="M5003">
        <v>-0.99998240000000005</v>
      </c>
      <c r="N5003">
        <v>-2.1628350000000001E-3</v>
      </c>
      <c r="O5003">
        <v>-5.5379909999999999E-3</v>
      </c>
      <c r="P5003">
        <v>-0.99543289999999995</v>
      </c>
      <c r="Q5003">
        <v>-6.4245899999999995E-2</v>
      </c>
      <c r="R5003">
        <v>-7.0612419999999995E-2</v>
      </c>
      <c r="S5003">
        <v>-2.9685359999999998</v>
      </c>
      <c r="T5003">
        <v>2.2584440000000001E-2</v>
      </c>
      <c r="U5003">
        <v>-0.65126039999999996</v>
      </c>
      <c r="V5003">
        <v>-6.5240670000000001E-2</v>
      </c>
      <c r="W5003">
        <v>-6.1942940000000002E-2</v>
      </c>
      <c r="X5003">
        <v>0.99594519999999997</v>
      </c>
      <c r="Y5003">
        <v>-0.2088749</v>
      </c>
      <c r="Z5003">
        <v>5.0319809999999998E-4</v>
      </c>
      <c r="AA5003">
        <v>0.97794219999999998</v>
      </c>
      <c r="AB5003">
        <v>38</v>
      </c>
      <c r="AC5003">
        <v>-102.855499999999</v>
      </c>
      <c r="AD5003">
        <v>0.78472699999999995</v>
      </c>
      <c r="AE5003">
        <v>-22.6279</v>
      </c>
      <c r="AF5003">
        <v>-22.056714274415501</v>
      </c>
      <c r="AG5003">
        <v>0.78472699999999995</v>
      </c>
      <c r="AH5003">
        <v>102.973518943992</v>
      </c>
      <c r="AI5003">
        <v>89.573060290391794</v>
      </c>
      <c r="AJ5003">
        <v>102.089947961589</v>
      </c>
      <c r="AK5003">
        <v>105.312202734328</v>
      </c>
      <c r="AL5003">
        <v>93.551342344148097</v>
      </c>
      <c r="AM5003">
        <v>93.747878968115899</v>
      </c>
      <c r="AN5003">
        <v>1.0000000571204599</v>
      </c>
    </row>
    <row r="5004" spans="1:40" x14ac:dyDescent="0.25">
      <c r="A5004" t="str">
        <f>"20190305135029997"</f>
        <v>20190305135029997</v>
      </c>
      <c r="B5004" t="str">
        <f>"1551765029984871"</f>
        <v>1551765029984871</v>
      </c>
      <c r="C5004" t="s">
        <v>40</v>
      </c>
      <c r="D5004">
        <v>3.8094709999999998</v>
      </c>
      <c r="E5004">
        <v>0.44498159999999998</v>
      </c>
      <c r="F5004" t="s">
        <v>60</v>
      </c>
      <c r="G5004">
        <v>-334.86739999999998</v>
      </c>
      <c r="H5004">
        <v>1.89463</v>
      </c>
      <c r="I5004">
        <v>119.7694</v>
      </c>
      <c r="J5004">
        <v>-237.0736</v>
      </c>
      <c r="K5004">
        <v>1.1070489999999999</v>
      </c>
      <c r="L5004">
        <v>141.62739999999999</v>
      </c>
      <c r="M5004">
        <v>-0.99998509999999996</v>
      </c>
      <c r="N5004">
        <v>-2.1858120000000001E-3</v>
      </c>
      <c r="O5004">
        <v>-5.0281320000000003E-3</v>
      </c>
      <c r="P5004">
        <v>-0.99548029999999998</v>
      </c>
      <c r="Q5004">
        <v>-6.4319119999999994E-2</v>
      </c>
      <c r="R5004">
        <v>-6.9874069999999996E-2</v>
      </c>
      <c r="S5004">
        <v>-2.9683380000000001</v>
      </c>
      <c r="T5004">
        <v>2.3853539999999999E-2</v>
      </c>
      <c r="U5004">
        <v>-0.66203310000000004</v>
      </c>
      <c r="V5004">
        <v>-6.5010129999999999E-2</v>
      </c>
      <c r="W5004">
        <v>-6.1993619999999999E-2</v>
      </c>
      <c r="X5004">
        <v>0.99595710000000004</v>
      </c>
      <c r="Y5004">
        <v>-0.2127684</v>
      </c>
      <c r="Z5004">
        <v>5.5838600000000002E-4</v>
      </c>
      <c r="AA5004">
        <v>0.97710249999999998</v>
      </c>
      <c r="AB5004">
        <v>38</v>
      </c>
      <c r="AC5004">
        <v>-97.793799999999905</v>
      </c>
      <c r="AD5004">
        <v>0.78758099999999998</v>
      </c>
      <c r="AE5004">
        <v>-21.857999999999901</v>
      </c>
      <c r="AF5004">
        <v>-21.364682689895702</v>
      </c>
      <c r="AG5004">
        <v>0.78758099999999998</v>
      </c>
      <c r="AH5004">
        <v>97.896421606089305</v>
      </c>
      <c r="AI5004">
        <v>89.549661970088806</v>
      </c>
      <c r="AJ5004">
        <v>102.311068061931</v>
      </c>
      <c r="AK5004">
        <v>100.203689121452</v>
      </c>
      <c r="AL5004">
        <v>93.554251762502304</v>
      </c>
      <c r="AM5004">
        <v>93.734628193684998</v>
      </c>
      <c r="AN5004">
        <v>1.0000000354818599</v>
      </c>
    </row>
    <row r="5005" spans="1:40" x14ac:dyDescent="0.25">
      <c r="A5005" t="str">
        <f>"20190305135030019"</f>
        <v>20190305135030019</v>
      </c>
      <c r="B5005" t="str">
        <f>"1551765030015127"</f>
        <v>1551765030015127</v>
      </c>
      <c r="C5005" t="s">
        <v>40</v>
      </c>
      <c r="D5005">
        <v>3.7878560000000001</v>
      </c>
      <c r="E5005">
        <v>0.44299889999999997</v>
      </c>
      <c r="F5005" t="s">
        <v>60</v>
      </c>
      <c r="G5005">
        <v>-334.43830000000003</v>
      </c>
      <c r="H5005">
        <v>1.901297</v>
      </c>
      <c r="I5005">
        <v>119.7694</v>
      </c>
      <c r="J5005">
        <v>-237.4442</v>
      </c>
      <c r="K5005">
        <v>1.107048</v>
      </c>
      <c r="L5005">
        <v>141.62620000000001</v>
      </c>
      <c r="M5005">
        <v>-0.99998900000000002</v>
      </c>
      <c r="N5005">
        <v>-2.225636E-3</v>
      </c>
      <c r="O5005">
        <v>-4.146935E-3</v>
      </c>
      <c r="P5005">
        <v>-0.99557269999999998</v>
      </c>
      <c r="Q5005">
        <v>-6.4562610000000006E-2</v>
      </c>
      <c r="R5005">
        <v>-6.8313269999999995E-2</v>
      </c>
      <c r="S5005">
        <v>-2.9684140000000001</v>
      </c>
      <c r="T5005">
        <v>2.42151E-2</v>
      </c>
      <c r="U5005">
        <v>-0.66639709999999996</v>
      </c>
      <c r="V5005">
        <v>-6.4326839999999996E-2</v>
      </c>
      <c r="W5005">
        <v>-6.2198490000000002E-2</v>
      </c>
      <c r="X5005">
        <v>0.99598869999999895</v>
      </c>
      <c r="Y5005">
        <v>-0.2149913</v>
      </c>
      <c r="Z5005">
        <v>5.8139719999999995E-4</v>
      </c>
      <c r="AA5005">
        <v>0.97661580000000003</v>
      </c>
      <c r="AB5005">
        <v>38</v>
      </c>
      <c r="AC5005">
        <v>-96.994100000000003</v>
      </c>
      <c r="AD5005">
        <v>0.79424899999999998</v>
      </c>
      <c r="AE5005">
        <v>-21.8568</v>
      </c>
      <c r="AF5005">
        <v>-21.4530138795654</v>
      </c>
      <c r="AG5005">
        <v>0.79424899999999998</v>
      </c>
      <c r="AH5005">
        <v>97.077710079818402</v>
      </c>
      <c r="AI5005">
        <v>89.542283242849294</v>
      </c>
      <c r="AJ5005">
        <v>102.461404945891</v>
      </c>
      <c r="AK5005">
        <v>99.423057840382796</v>
      </c>
      <c r="AL5005">
        <v>93.566012619751703</v>
      </c>
      <c r="AM5005">
        <v>93.695367749132998</v>
      </c>
      <c r="AN5005">
        <v>1.0000000425151701</v>
      </c>
    </row>
    <row r="5006" spans="1:40" x14ac:dyDescent="0.25">
      <c r="A5006" t="str">
        <f>"20190305135030041"</f>
        <v>20190305135030041</v>
      </c>
      <c r="B5006" t="str">
        <f>"1551765030035623"</f>
        <v>1551765030035623</v>
      </c>
      <c r="C5006" t="s">
        <v>40</v>
      </c>
      <c r="D5006">
        <v>3.812243</v>
      </c>
      <c r="E5006">
        <v>0.44192199999999998</v>
      </c>
      <c r="F5006" t="s">
        <v>60</v>
      </c>
      <c r="G5006">
        <v>-333.11009999999999</v>
      </c>
      <c r="H5006">
        <v>1.9986189999999999</v>
      </c>
      <c r="I5006">
        <v>119.76949999999999</v>
      </c>
      <c r="J5006">
        <v>-237.8321</v>
      </c>
      <c r="K5006">
        <v>1.1070439999999999</v>
      </c>
      <c r="L5006">
        <v>141.62530000000001</v>
      </c>
      <c r="M5006">
        <v>-0.99999229999999995</v>
      </c>
      <c r="N5006">
        <v>-2.2673020000000001E-3</v>
      </c>
      <c r="O5006">
        <v>-3.2258040000000001E-3</v>
      </c>
      <c r="P5006">
        <v>-0.99570720000000001</v>
      </c>
      <c r="Q5006">
        <v>-6.4625840000000004E-2</v>
      </c>
      <c r="R5006">
        <v>-6.6262760000000004E-2</v>
      </c>
      <c r="S5006">
        <v>-2.9686129999999999</v>
      </c>
      <c r="T5006">
        <v>2.766681E-2</v>
      </c>
      <c r="U5006">
        <v>-0.67823789999999995</v>
      </c>
      <c r="V5006">
        <v>-6.3194020000000004E-2</v>
      </c>
      <c r="W5006">
        <v>-6.2222029999999998E-2</v>
      </c>
      <c r="X5006">
        <v>0.99605969999999999</v>
      </c>
      <c r="Y5006">
        <v>-0.219578</v>
      </c>
      <c r="Z5006">
        <v>7.2117820000000001E-4</v>
      </c>
      <c r="AA5006">
        <v>0.97559470000000004</v>
      </c>
      <c r="AB5006">
        <v>38</v>
      </c>
      <c r="AC5006">
        <v>-95.278000000000006</v>
      </c>
      <c r="AD5006">
        <v>0.89157499999999901</v>
      </c>
      <c r="AE5006">
        <v>-21.855799999999999</v>
      </c>
      <c r="AF5006">
        <v>-21.546544957379901</v>
      </c>
      <c r="AG5006">
        <v>0.89157499999999901</v>
      </c>
      <c r="AH5006">
        <v>95.340075857089104</v>
      </c>
      <c r="AI5006">
        <v>89.477391795791604</v>
      </c>
      <c r="AJ5006">
        <v>102.734728251066</v>
      </c>
      <c r="AK5006">
        <v>97.748547661929607</v>
      </c>
      <c r="AL5006">
        <v>93.567364147517296</v>
      </c>
      <c r="AM5006">
        <v>93.630208433575703</v>
      </c>
      <c r="AN5006">
        <v>0.99999999557258501</v>
      </c>
    </row>
    <row r="5007" spans="1:40" x14ac:dyDescent="0.25">
      <c r="A5007" t="str">
        <f>"20190305135030062"</f>
        <v>20190305135030062</v>
      </c>
      <c r="B5007" t="str">
        <f>"1551765030055142"</f>
        <v>1551765030055142</v>
      </c>
      <c r="C5007" t="s">
        <v>40</v>
      </c>
      <c r="D5007">
        <v>3.8171240000000002</v>
      </c>
      <c r="E5007">
        <v>0.44089099999999998</v>
      </c>
      <c r="F5007" t="s">
        <v>60</v>
      </c>
      <c r="G5007">
        <v>-333.05369999999999</v>
      </c>
      <c r="H5007">
        <v>2.0832709999999999</v>
      </c>
      <c r="I5007">
        <v>119.76860000000001</v>
      </c>
      <c r="J5007">
        <v>-238.21729999999999</v>
      </c>
      <c r="K5007">
        <v>1.1070420000000001</v>
      </c>
      <c r="L5007">
        <v>141.62479999999999</v>
      </c>
      <c r="M5007">
        <v>-0.99999479999999996</v>
      </c>
      <c r="N5007">
        <v>-2.3087440000000002E-3</v>
      </c>
      <c r="O5007">
        <v>-2.3121830000000002E-3</v>
      </c>
      <c r="P5007">
        <v>-0.99582029999999999</v>
      </c>
      <c r="Q5007">
        <v>-6.4613219999999999E-2</v>
      </c>
      <c r="R5007">
        <v>-6.4555329999999994E-2</v>
      </c>
      <c r="S5007">
        <v>-2.9695279999999999</v>
      </c>
      <c r="T5007">
        <v>3.0444499999999999E-2</v>
      </c>
      <c r="U5007">
        <v>-0.6816101</v>
      </c>
      <c r="V5007">
        <v>-6.2397220000000003E-2</v>
      </c>
      <c r="W5007">
        <v>-6.2169059999999998E-2</v>
      </c>
      <c r="X5007">
        <v>0.99611320000000003</v>
      </c>
      <c r="Y5007">
        <v>-0.2214546</v>
      </c>
      <c r="Z5007">
        <v>8.3301419999999896E-4</v>
      </c>
      <c r="AA5007">
        <v>0.97517030000000005</v>
      </c>
      <c r="AB5007">
        <v>39</v>
      </c>
      <c r="AC5007">
        <v>-94.836399999999998</v>
      </c>
      <c r="AD5007">
        <v>0.97622899999999901</v>
      </c>
      <c r="AE5007">
        <v>-21.856199999999902</v>
      </c>
      <c r="AF5007">
        <v>-21.634685057601502</v>
      </c>
      <c r="AG5007">
        <v>0.97622899999999901</v>
      </c>
      <c r="AH5007">
        <v>94.877135746050698</v>
      </c>
      <c r="AI5007">
        <v>89.425234146072697</v>
      </c>
      <c r="AJ5007">
        <v>102.84543169383301</v>
      </c>
      <c r="AK5007">
        <v>97.317436813638807</v>
      </c>
      <c r="AL5007">
        <v>93.564323443633597</v>
      </c>
      <c r="AM5007">
        <v>93.584363987368903</v>
      </c>
      <c r="AN5007">
        <v>0.999999956149625</v>
      </c>
    </row>
    <row r="5008" spans="1:40" x14ac:dyDescent="0.25">
      <c r="A5008" t="str">
        <f>"20190305135030076"</f>
        <v>20190305135030076</v>
      </c>
      <c r="B5008" t="str">
        <f>"1551765030064902"</f>
        <v>1551765030064902</v>
      </c>
      <c r="C5008" t="s">
        <v>40</v>
      </c>
      <c r="D5008">
        <v>3.746569</v>
      </c>
      <c r="E5008">
        <v>0.44038909999999998</v>
      </c>
      <c r="F5008" t="s">
        <v>60</v>
      </c>
      <c r="G5008">
        <v>-333.05369999999999</v>
      </c>
      <c r="H5008">
        <v>2.1731039999999999</v>
      </c>
      <c r="I5008">
        <v>119.73909999999999</v>
      </c>
      <c r="J5008">
        <v>-238.44739999999999</v>
      </c>
      <c r="K5008">
        <v>1.10704</v>
      </c>
      <c r="L5008">
        <v>141.62459999999999</v>
      </c>
      <c r="M5008">
        <v>-0.99999570000000004</v>
      </c>
      <c r="N5008">
        <v>-2.3335249999999999E-3</v>
      </c>
      <c r="O5008">
        <v>-1.767039E-3</v>
      </c>
      <c r="P5008">
        <v>-0.99586059999999998</v>
      </c>
      <c r="Q5008">
        <v>-6.4582710000000002E-2</v>
      </c>
      <c r="R5008">
        <v>-6.3960719999999999E-2</v>
      </c>
      <c r="S5008">
        <v>-2.9703369999999998</v>
      </c>
      <c r="T5008">
        <v>3.3390160000000002E-2</v>
      </c>
      <c r="U5008">
        <v>-0.68547060000000004</v>
      </c>
      <c r="V5008">
        <v>-6.2345669999999999E-2</v>
      </c>
      <c r="W5008">
        <v>-6.2113460000000002E-2</v>
      </c>
      <c r="X5008">
        <v>0.99611989999999995</v>
      </c>
      <c r="Y5008">
        <v>-0.22312960000000001</v>
      </c>
      <c r="Z5008">
        <v>9.5042119999999997E-4</v>
      </c>
      <c r="AA5008">
        <v>0.97478830000000005</v>
      </c>
      <c r="AB5008">
        <v>39</v>
      </c>
      <c r="AC5008">
        <v>-94.606300000000005</v>
      </c>
      <c r="AD5008">
        <v>1.0660639999999999</v>
      </c>
      <c r="AE5008">
        <v>-21.8855</v>
      </c>
      <c r="AF5008">
        <v>-21.7156750180079</v>
      </c>
      <c r="AG5008">
        <v>1.0660639999999999</v>
      </c>
      <c r="AH5008">
        <v>94.633419014730407</v>
      </c>
      <c r="AI5008">
        <v>89.370927863925203</v>
      </c>
      <c r="AJ5008">
        <v>102.92400313452301</v>
      </c>
      <c r="AK5008">
        <v>97.098872436075993</v>
      </c>
      <c r="AL5008">
        <v>93.561131616420596</v>
      </c>
      <c r="AM5008">
        <v>93.581386418581701</v>
      </c>
      <c r="AN5008">
        <v>0.99999995982846401</v>
      </c>
    </row>
    <row r="5009" spans="1:40" x14ac:dyDescent="0.25">
      <c r="A5009" t="str">
        <f>"20190305135030088"</f>
        <v>20190305135030088</v>
      </c>
      <c r="B5009" t="str">
        <f>"1551765030085398"</f>
        <v>1551765030085398</v>
      </c>
      <c r="C5009" t="s">
        <v>40</v>
      </c>
      <c r="D5009">
        <v>3.806041</v>
      </c>
      <c r="E5009">
        <v>0.4394382</v>
      </c>
      <c r="F5009" t="s">
        <v>60</v>
      </c>
      <c r="G5009">
        <v>-333.05369999999999</v>
      </c>
      <c r="H5009">
        <v>2.2296390000000001</v>
      </c>
      <c r="I5009">
        <v>119.7127</v>
      </c>
      <c r="J5009">
        <v>-238.6677</v>
      </c>
      <c r="K5009">
        <v>1.107038</v>
      </c>
      <c r="L5009">
        <v>141.62450000000001</v>
      </c>
      <c r="M5009">
        <v>-0.99999649999999995</v>
      </c>
      <c r="N5009">
        <v>-2.3572240000000002E-3</v>
      </c>
      <c r="O5009">
        <v>-1.245737E-3</v>
      </c>
      <c r="P5009">
        <v>-0.99588429999999994</v>
      </c>
      <c r="Q5009">
        <v>-6.4720459999999994E-2</v>
      </c>
      <c r="R5009">
        <v>-6.3448760000000007E-2</v>
      </c>
      <c r="S5009">
        <v>-2.9705810000000001</v>
      </c>
      <c r="T5009">
        <v>3.5249349999999999E-2</v>
      </c>
      <c r="U5009">
        <v>-0.68801880000000004</v>
      </c>
      <c r="V5009">
        <v>-6.2353770000000003E-2</v>
      </c>
      <c r="W5009">
        <v>-6.2227079999999997E-2</v>
      </c>
      <c r="X5009">
        <v>0.99611229999999995</v>
      </c>
      <c r="Y5009">
        <v>-0.22441230000000001</v>
      </c>
      <c r="Z5009">
        <v>1.028574E-3</v>
      </c>
      <c r="AA5009">
        <v>0.97449370000000002</v>
      </c>
      <c r="AB5009">
        <v>39</v>
      </c>
      <c r="AC5009">
        <v>-94.385999999999996</v>
      </c>
      <c r="AD5009">
        <v>1.122601</v>
      </c>
      <c r="AE5009">
        <v>-21.911799999999999</v>
      </c>
      <c r="AF5009">
        <v>-21.791277575063301</v>
      </c>
      <c r="AG5009">
        <v>1.122601</v>
      </c>
      <c r="AH5009">
        <v>94.400552107791597</v>
      </c>
      <c r="AI5009">
        <v>89.336133351853405</v>
      </c>
      <c r="AJ5009">
        <v>102.99838243581</v>
      </c>
      <c r="AK5009">
        <v>96.889546647791306</v>
      </c>
      <c r="AL5009">
        <v>93.567654186621695</v>
      </c>
      <c r="AM5009">
        <v>93.581877761100898</v>
      </c>
      <c r="AN5009">
        <v>0.99999995816491305</v>
      </c>
    </row>
    <row r="5010" spans="1:40" x14ac:dyDescent="0.25">
      <c r="A5010" t="str">
        <f>"20190305135030106"</f>
        <v>20190305135030106</v>
      </c>
      <c r="B5010" t="str">
        <f>"1551765030095158"</f>
        <v>1551765030095158</v>
      </c>
      <c r="C5010" t="s">
        <v>40</v>
      </c>
      <c r="D5010">
        <v>3.7920419999999999</v>
      </c>
      <c r="E5010">
        <v>0.4389922</v>
      </c>
      <c r="F5010" t="s">
        <v>60</v>
      </c>
      <c r="G5010">
        <v>-333.05369999999999</v>
      </c>
      <c r="H5010">
        <v>2.311312</v>
      </c>
      <c r="I5010">
        <v>119.56529999999999</v>
      </c>
      <c r="J5010">
        <v>-238.97970000000001</v>
      </c>
      <c r="K5010">
        <v>1.1070329999999999</v>
      </c>
      <c r="L5010">
        <v>141.62459999999999</v>
      </c>
      <c r="M5010">
        <v>-0.99999709999999997</v>
      </c>
      <c r="N5010">
        <v>-2.3907720000000002E-3</v>
      </c>
      <c r="O5010">
        <v>-5.0878570000000001E-4</v>
      </c>
      <c r="P5010">
        <v>-0.99590540000000005</v>
      </c>
      <c r="Q5010">
        <v>-6.4595710000000001E-2</v>
      </c>
      <c r="R5010">
        <v>-6.3248369999999998E-2</v>
      </c>
      <c r="S5010">
        <v>-2.9706419999999998</v>
      </c>
      <c r="T5010">
        <v>3.7902949999999998E-2</v>
      </c>
      <c r="U5010">
        <v>-0.69427490000000003</v>
      </c>
      <c r="V5010">
        <v>-6.2887819999999997E-2</v>
      </c>
      <c r="W5010">
        <v>-6.2066919999999998E-2</v>
      </c>
      <c r="X5010">
        <v>0.99608869999999905</v>
      </c>
      <c r="Y5010">
        <v>-0.22706989999999999</v>
      </c>
      <c r="Z5010">
        <v>1.1466390000000001E-3</v>
      </c>
      <c r="AA5010">
        <v>0.97387780000000002</v>
      </c>
      <c r="AB5010">
        <v>39</v>
      </c>
      <c r="AC5010">
        <v>-94.073999999999899</v>
      </c>
      <c r="AD5010">
        <v>1.2042790000000001</v>
      </c>
      <c r="AE5010">
        <v>-22.0593</v>
      </c>
      <c r="AF5010">
        <v>-22.008014896004099</v>
      </c>
      <c r="AG5010">
        <v>1.2042790000000001</v>
      </c>
      <c r="AH5010">
        <v>94.070598875036893</v>
      </c>
      <c r="AI5010">
        <v>89.285829419358805</v>
      </c>
      <c r="AJ5010">
        <v>103.16764030506</v>
      </c>
      <c r="AK5010">
        <v>96.618220746817101</v>
      </c>
      <c r="AL5010">
        <v>93.558459988713807</v>
      </c>
      <c r="AM5010">
        <v>93.612560435648504</v>
      </c>
      <c r="AN5010">
        <v>0.99999993936516196</v>
      </c>
    </row>
    <row r="5011" spans="1:40" x14ac:dyDescent="0.25">
      <c r="A5011" t="str">
        <f>"20190305135030119"</f>
        <v>20190305135030119</v>
      </c>
      <c r="B5011" t="str">
        <f>"1551765030114679"</f>
        <v>1551765030114679</v>
      </c>
      <c r="C5011" t="s">
        <v>40</v>
      </c>
      <c r="D5011">
        <v>3.9527070000000002</v>
      </c>
      <c r="E5011">
        <v>0.43865029999999999</v>
      </c>
      <c r="F5011" t="s">
        <v>60</v>
      </c>
      <c r="G5011">
        <v>-333.05369999999999</v>
      </c>
      <c r="H5011">
        <v>2.378711</v>
      </c>
      <c r="I5011">
        <v>119.5436</v>
      </c>
      <c r="J5011">
        <v>-239.1969</v>
      </c>
      <c r="K5011">
        <v>1.1070279999999999</v>
      </c>
      <c r="L5011">
        <v>141.62479999999999</v>
      </c>
      <c r="M5011">
        <v>-0.99999720000000003</v>
      </c>
      <c r="N5011">
        <v>-2.4141570000000001E-3</v>
      </c>
      <c r="O5011" s="1">
        <v>3.9331340000000002E-6</v>
      </c>
      <c r="P5011">
        <v>-0.9959133</v>
      </c>
      <c r="Q5011">
        <v>-6.4561320000000005E-2</v>
      </c>
      <c r="R5011">
        <v>-6.3159380000000001E-2</v>
      </c>
      <c r="S5011">
        <v>-2.9706419999999998</v>
      </c>
      <c r="T5011">
        <v>4.0157079999999998E-2</v>
      </c>
      <c r="U5011">
        <v>-0.69726560000000004</v>
      </c>
      <c r="V5011">
        <v>-6.3309799999999999E-2</v>
      </c>
      <c r="W5011">
        <v>-6.2007689999999997E-2</v>
      </c>
      <c r="X5011">
        <v>0.99606570000000005</v>
      </c>
      <c r="Y5011">
        <v>-0.22849630000000001</v>
      </c>
      <c r="Z5011">
        <v>1.244174E-3</v>
      </c>
      <c r="AA5011">
        <v>0.97354399999999996</v>
      </c>
      <c r="AB5011">
        <v>39</v>
      </c>
      <c r="AC5011">
        <v>-93.856800000000007</v>
      </c>
      <c r="AD5011">
        <v>1.2716829999999999</v>
      </c>
      <c r="AE5011">
        <v>-22.0811999999999</v>
      </c>
      <c r="AF5011">
        <v>-22.077728682735899</v>
      </c>
      <c r="AG5011">
        <v>1.2716829999999999</v>
      </c>
      <c r="AH5011">
        <v>93.840389408429303</v>
      </c>
      <c r="AI5011">
        <v>89.244232960699094</v>
      </c>
      <c r="AJ5011">
        <v>103.23915285864599</v>
      </c>
      <c r="AK5011">
        <v>96.410901695641499</v>
      </c>
      <c r="AL5011">
        <v>93.555059659985702</v>
      </c>
      <c r="AM5011">
        <v>93.636819784159002</v>
      </c>
      <c r="AN5011">
        <v>0.99999998155583203</v>
      </c>
    </row>
    <row r="5012" spans="1:40" x14ac:dyDescent="0.25">
      <c r="A5012" t="str">
        <f>"20190305135030132"</f>
        <v>20190305135030132</v>
      </c>
      <c r="B5012" t="str">
        <f>"1551765030125415"</f>
        <v>1551765030125415</v>
      </c>
      <c r="C5012" t="s">
        <v>40</v>
      </c>
      <c r="D5012">
        <v>4.0221489999999998</v>
      </c>
      <c r="E5012">
        <v>0.43865029999999999</v>
      </c>
      <c r="F5012" t="s">
        <v>60</v>
      </c>
      <c r="G5012">
        <v>-333.05369999999999</v>
      </c>
      <c r="H5012">
        <v>2.4387940000000001</v>
      </c>
      <c r="I5012">
        <v>119.52079999999999</v>
      </c>
      <c r="J5012">
        <v>-239.44120000000001</v>
      </c>
      <c r="K5012">
        <v>1.107024</v>
      </c>
      <c r="L5012">
        <v>141.62520000000001</v>
      </c>
      <c r="M5012">
        <v>-0.99999689999999997</v>
      </c>
      <c r="N5012">
        <v>-2.4404800000000001E-3</v>
      </c>
      <c r="O5012">
        <v>5.8007109999999996E-4</v>
      </c>
      <c r="P5012">
        <v>-0.99589030000000001</v>
      </c>
      <c r="Q5012">
        <v>-6.4498829999999993E-2</v>
      </c>
      <c r="R5012">
        <v>-6.3579670000000005E-2</v>
      </c>
      <c r="S5012">
        <v>-2.9706730000000001</v>
      </c>
      <c r="T5012">
        <v>4.2152290000000002E-2</v>
      </c>
      <c r="U5012">
        <v>-0.69961549999999995</v>
      </c>
      <c r="V5012">
        <v>-6.4304230000000004E-2</v>
      </c>
      <c r="W5012">
        <v>-6.191613E-2</v>
      </c>
      <c r="X5012">
        <v>0.99600770000000005</v>
      </c>
      <c r="Y5012">
        <v>-0.2297826</v>
      </c>
      <c r="Z5012">
        <v>1.3335020000000001E-3</v>
      </c>
      <c r="AA5012">
        <v>0.97324109999999997</v>
      </c>
      <c r="AB5012">
        <v>39</v>
      </c>
      <c r="AC5012">
        <v>-93.612499999999898</v>
      </c>
      <c r="AD5012">
        <v>1.3317699999999899</v>
      </c>
      <c r="AE5012">
        <v>-22.104399999999998</v>
      </c>
      <c r="AF5012">
        <v>-22.1544512870536</v>
      </c>
      <c r="AG5012">
        <v>1.3317699999999899</v>
      </c>
      <c r="AH5012">
        <v>93.581722258511405</v>
      </c>
      <c r="AI5012">
        <v>89.206600773222107</v>
      </c>
      <c r="AJ5012">
        <v>103.318942015413</v>
      </c>
      <c r="AK5012">
        <v>96.177606874118595</v>
      </c>
      <c r="AL5012">
        <v>93.549803529474502</v>
      </c>
      <c r="AM5012">
        <v>93.694002201698297</v>
      </c>
      <c r="AN5012">
        <v>0.99999998980467997</v>
      </c>
    </row>
    <row r="5013" spans="1:40" x14ac:dyDescent="0.25">
      <c r="A5013" t="str">
        <f>"20190305135030144"</f>
        <v>20190305135030144</v>
      </c>
      <c r="B5013" t="str">
        <f>"1551765030135175"</f>
        <v>1551765030135175</v>
      </c>
      <c r="C5013" t="s">
        <v>40</v>
      </c>
      <c r="D5013">
        <v>3.9792339999999999</v>
      </c>
      <c r="E5013">
        <v>0.49557030000000002</v>
      </c>
      <c r="F5013" t="s">
        <v>60</v>
      </c>
      <c r="G5013">
        <v>-333.05369999999999</v>
      </c>
      <c r="H5013">
        <v>2.4568669999999999</v>
      </c>
      <c r="I5013">
        <v>119.5429</v>
      </c>
      <c r="J5013">
        <v>-239.66659999999999</v>
      </c>
      <c r="K5013">
        <v>1.107022</v>
      </c>
      <c r="L5013">
        <v>141.62569999999999</v>
      </c>
      <c r="M5013">
        <v>-0.99999649999999995</v>
      </c>
      <c r="N5013">
        <v>-2.4648130000000002E-3</v>
      </c>
      <c r="O5013">
        <v>1.110015E-3</v>
      </c>
      <c r="P5013">
        <v>-0.99584170000000005</v>
      </c>
      <c r="Q5013">
        <v>-6.4428189999999996E-2</v>
      </c>
      <c r="R5013">
        <v>-6.4411919999999998E-2</v>
      </c>
      <c r="S5013">
        <v>-2.9704440000000001</v>
      </c>
      <c r="T5013">
        <v>4.283261E-2</v>
      </c>
      <c r="U5013">
        <v>-0.70069890000000001</v>
      </c>
      <c r="V5013">
        <v>-6.5664310000000004E-2</v>
      </c>
      <c r="W5013">
        <v>-6.1817660000000003E-2</v>
      </c>
      <c r="X5013">
        <v>0.99592510000000001</v>
      </c>
      <c r="Y5013">
        <v>-0.23065050000000001</v>
      </c>
      <c r="Z5013">
        <v>1.370724E-3</v>
      </c>
      <c r="AA5013">
        <v>0.97303569999999995</v>
      </c>
      <c r="AB5013">
        <v>39</v>
      </c>
      <c r="AC5013">
        <v>-93.387100000000004</v>
      </c>
      <c r="AD5013">
        <v>1.349845</v>
      </c>
      <c r="AE5013">
        <v>-22.082799999999899</v>
      </c>
      <c r="AF5013">
        <v>-22.182058765987701</v>
      </c>
      <c r="AG5013">
        <v>1.349845</v>
      </c>
      <c r="AH5013">
        <v>93.344060814745205</v>
      </c>
      <c r="AI5013">
        <v>89.193949462065802</v>
      </c>
      <c r="AJ5013">
        <v>103.36768126093099</v>
      </c>
      <c r="AK5013">
        <v>95.953006737718297</v>
      </c>
      <c r="AL5013">
        <v>93.544150697127094</v>
      </c>
      <c r="AM5013">
        <v>93.772221676448297</v>
      </c>
      <c r="AN5013">
        <v>1.0000000147528301</v>
      </c>
    </row>
    <row r="5014" spans="1:40" x14ac:dyDescent="0.25">
      <c r="A5014" t="str">
        <f>"20190305135030163"</f>
        <v>20190305135030163</v>
      </c>
      <c r="B5014" t="str">
        <f>"1551765030154694"</f>
        <v>1551765030154694</v>
      </c>
      <c r="C5014" t="s">
        <v>40</v>
      </c>
      <c r="D5014">
        <v>3.9232930000000001</v>
      </c>
      <c r="E5014">
        <v>0.50882429999999901</v>
      </c>
      <c r="F5014" t="s">
        <v>94</v>
      </c>
      <c r="G5014">
        <v>-307.69850000000002</v>
      </c>
      <c r="H5014" s="1">
        <v>-8.07016E-6</v>
      </c>
      <c r="I5014">
        <v>136.1558</v>
      </c>
      <c r="J5014">
        <v>-239.98480000000001</v>
      </c>
      <c r="K5014">
        <v>1.1070199999999999</v>
      </c>
      <c r="L5014">
        <v>141.62649999999999</v>
      </c>
      <c r="M5014">
        <v>-0.99999530000000003</v>
      </c>
      <c r="N5014">
        <v>-2.4992719999999999E-3</v>
      </c>
      <c r="O5014">
        <v>1.8563239999999999E-3</v>
      </c>
      <c r="P5014">
        <v>-0.99573389999999995</v>
      </c>
      <c r="Q5014">
        <v>-6.4126169999999996E-2</v>
      </c>
      <c r="R5014">
        <v>-6.6347379999999997E-2</v>
      </c>
      <c r="S5014">
        <v>-2.993805</v>
      </c>
      <c r="T5014">
        <v>-4.8715830000000002E-2</v>
      </c>
      <c r="U5014">
        <v>-0.24070739999999999</v>
      </c>
      <c r="V5014">
        <v>-6.8342490000000006E-2</v>
      </c>
      <c r="W5014">
        <v>-6.1474620000000001E-2</v>
      </c>
      <c r="X5014">
        <v>0.99576609999999999</v>
      </c>
      <c r="Y5014">
        <v>-8.1980789999999998E-2</v>
      </c>
      <c r="Z5014">
        <v>-7.9403000000000004E-4</v>
      </c>
      <c r="AA5014">
        <v>0.99663360000000001</v>
      </c>
      <c r="AB5014">
        <v>39</v>
      </c>
      <c r="AC5014">
        <v>-67.713700000000003</v>
      </c>
      <c r="AD5014">
        <v>-1.1070280701599999</v>
      </c>
      <c r="AE5014">
        <v>-5.4706999999999901</v>
      </c>
      <c r="AF5014">
        <v>-5.59490381430947</v>
      </c>
      <c r="AG5014">
        <v>-1.1070280701599999</v>
      </c>
      <c r="AH5014">
        <v>67.685454354189105</v>
      </c>
      <c r="AI5014">
        <v>90.933832094241694</v>
      </c>
      <c r="AJ5014">
        <v>94.725346776781194</v>
      </c>
      <c r="AK5014">
        <v>67.9253206909802</v>
      </c>
      <c r="AL5014">
        <v>93.524458638852906</v>
      </c>
      <c r="AM5014">
        <v>93.926228458635904</v>
      </c>
      <c r="AN5014">
        <v>0.99999997537637697</v>
      </c>
    </row>
    <row r="5015" spans="1:40" x14ac:dyDescent="0.25">
      <c r="A5015" t="str">
        <f>"20190305135030177"</f>
        <v>20190305135030177</v>
      </c>
      <c r="B5015" t="str">
        <f>"1551765030165430"</f>
        <v>1551765030165430</v>
      </c>
      <c r="C5015" t="s">
        <v>40</v>
      </c>
      <c r="D5015">
        <v>3.8920089999999998</v>
      </c>
      <c r="E5015">
        <v>0.51057359999999996</v>
      </c>
      <c r="F5015" t="s">
        <v>94</v>
      </c>
      <c r="G5015">
        <v>-286.91840000000002</v>
      </c>
      <c r="H5015" s="1">
        <v>-6.9811199999999997E-6</v>
      </c>
      <c r="I5015">
        <v>139.45740000000001</v>
      </c>
      <c r="J5015">
        <v>-240.22319999999999</v>
      </c>
      <c r="K5015">
        <v>1.107019</v>
      </c>
      <c r="L5015">
        <v>141.62729999999999</v>
      </c>
      <c r="M5015">
        <v>-0.99999400000000005</v>
      </c>
      <c r="N5015">
        <v>-2.5250860000000002E-3</v>
      </c>
      <c r="O5015">
        <v>2.4118970000000001E-3</v>
      </c>
      <c r="P5015">
        <v>-0.99569300000000005</v>
      </c>
      <c r="Q5015">
        <v>-6.4127870000000003E-2</v>
      </c>
      <c r="R5015">
        <v>-6.6957320000000001E-2</v>
      </c>
      <c r="S5015">
        <v>-2.9990839999999999</v>
      </c>
      <c r="T5015">
        <v>-7.0739629999999998E-2</v>
      </c>
      <c r="U5015">
        <v>-0.13861080000000001</v>
      </c>
      <c r="V5015">
        <v>-6.9505890000000001E-2</v>
      </c>
      <c r="W5015">
        <v>-6.1447660000000001E-2</v>
      </c>
      <c r="X5015">
        <v>0.99568719999999999</v>
      </c>
      <c r="Y5015">
        <v>-4.8562180000000003E-2</v>
      </c>
      <c r="Z5015">
        <v>-6.8445500000000005E-4</v>
      </c>
      <c r="AA5015">
        <v>0.99881989999999998</v>
      </c>
      <c r="AB5015">
        <v>40</v>
      </c>
      <c r="AC5015">
        <v>-46.6952</v>
      </c>
      <c r="AD5015">
        <v>-1.1070259811200001</v>
      </c>
      <c r="AE5015">
        <v>-2.1698999999999802</v>
      </c>
      <c r="AF5015">
        <v>-2.2812386532742899</v>
      </c>
      <c r="AG5015">
        <v>-1.1070259811200001</v>
      </c>
      <c r="AH5015">
        <v>46.663660021342899</v>
      </c>
      <c r="AI5015">
        <v>91.357381858115801</v>
      </c>
      <c r="AJ5015">
        <v>92.798781121506906</v>
      </c>
      <c r="AK5015">
        <v>46.732501783058197</v>
      </c>
      <c r="AL5015">
        <v>93.522911136680506</v>
      </c>
      <c r="AM5015">
        <v>93.993165972467494</v>
      </c>
      <c r="AN5015">
        <v>0.99999994195400199</v>
      </c>
    </row>
    <row r="5016" spans="1:40" x14ac:dyDescent="0.25">
      <c r="A5016" t="str">
        <f>"20190305135030190"</f>
        <v>20190305135030190</v>
      </c>
      <c r="B5016" t="str">
        <f>"1551765030184951"</f>
        <v>1551765030184951</v>
      </c>
      <c r="C5016" t="s">
        <v>40</v>
      </c>
      <c r="D5016">
        <v>3.8950979999999999</v>
      </c>
      <c r="E5016">
        <v>0.51196450000000004</v>
      </c>
      <c r="F5016" t="s">
        <v>94</v>
      </c>
      <c r="G5016">
        <v>-283.02409999999998</v>
      </c>
      <c r="H5016" s="1">
        <v>-5.0283749999999999E-6</v>
      </c>
      <c r="I5016">
        <v>139.83189999999999</v>
      </c>
      <c r="J5016">
        <v>-240.4631</v>
      </c>
      <c r="K5016">
        <v>1.1070169999999999</v>
      </c>
      <c r="L5016">
        <v>141.62819999999999</v>
      </c>
      <c r="M5016">
        <v>-0.9999924</v>
      </c>
      <c r="N5016">
        <v>-2.5510329999999999E-3</v>
      </c>
      <c r="O5016">
        <v>2.9674699999999998E-3</v>
      </c>
      <c r="P5016">
        <v>-0.99565650000000006</v>
      </c>
      <c r="Q5016">
        <v>-6.4071829999999996E-2</v>
      </c>
      <c r="R5016">
        <v>-6.7552710000000002E-2</v>
      </c>
      <c r="S5016">
        <v>-2.9995120000000002</v>
      </c>
      <c r="T5016">
        <v>-7.7580930000000006E-2</v>
      </c>
      <c r="U5016">
        <v>-0.12582399999999999</v>
      </c>
      <c r="V5016">
        <v>-7.0654220000000004E-2</v>
      </c>
      <c r="W5016">
        <v>-6.1363040000000001E-2</v>
      </c>
      <c r="X5016">
        <v>0.99561169999999999</v>
      </c>
      <c r="Y5016">
        <v>-4.4858729999999999E-2</v>
      </c>
      <c r="Z5016">
        <v>-7.0616789999999896E-4</v>
      </c>
      <c r="AA5016">
        <v>0.99899309999999997</v>
      </c>
      <c r="AB5016">
        <v>40</v>
      </c>
      <c r="AC5016">
        <v>-42.5609999999999</v>
      </c>
      <c r="AD5016">
        <v>-1.1070220283750001</v>
      </c>
      <c r="AE5016">
        <v>-1.7963</v>
      </c>
      <c r="AF5016">
        <v>-1.9212934784962401</v>
      </c>
      <c r="AG5016">
        <v>-1.1070220283750001</v>
      </c>
      <c r="AH5016">
        <v>42.526762528187803</v>
      </c>
      <c r="AI5016">
        <v>91.489621527058404</v>
      </c>
      <c r="AJ5016">
        <v>92.586775872508198</v>
      </c>
      <c r="AK5016">
        <v>42.584532374216501</v>
      </c>
      <c r="AL5016">
        <v>93.518053222703799</v>
      </c>
      <c r="AM5016">
        <v>94.059226451397706</v>
      </c>
      <c r="AN5016">
        <v>1.0000000493293599</v>
      </c>
    </row>
    <row r="5017" spans="1:40" x14ac:dyDescent="0.25">
      <c r="A5017" t="str">
        <f>"20190305135030206"</f>
        <v>20190305135030206</v>
      </c>
      <c r="B5017" t="str">
        <f>"1551765030194710"</f>
        <v>1551765030194710</v>
      </c>
      <c r="C5017" t="s">
        <v>40</v>
      </c>
      <c r="D5017">
        <v>4.0782970000000001</v>
      </c>
      <c r="E5017">
        <v>0.51248559999999999</v>
      </c>
      <c r="F5017" t="s">
        <v>94</v>
      </c>
      <c r="G5017">
        <v>-279.97800000000001</v>
      </c>
      <c r="H5017" s="1">
        <v>-3.764657E-6</v>
      </c>
      <c r="I5017">
        <v>140.101</v>
      </c>
      <c r="J5017">
        <v>-240.7619</v>
      </c>
      <c r="K5017">
        <v>1.1070089999999999</v>
      </c>
      <c r="L5017">
        <v>141.62950000000001</v>
      </c>
      <c r="M5017">
        <v>-0.99999000000000005</v>
      </c>
      <c r="N5017">
        <v>-2.5833150000000001E-3</v>
      </c>
      <c r="O5017">
        <v>3.6462439999999999E-3</v>
      </c>
      <c r="P5017">
        <v>-0.99561670000000002</v>
      </c>
      <c r="Q5017">
        <v>-6.4209269999999999E-2</v>
      </c>
      <c r="R5017">
        <v>-6.8005899999999994E-2</v>
      </c>
      <c r="S5017">
        <v>-2.9998170000000002</v>
      </c>
      <c r="T5017">
        <v>-8.4040519999999994E-2</v>
      </c>
      <c r="U5017">
        <v>-0.11593630000000001</v>
      </c>
      <c r="V5017">
        <v>-7.1783139999999995E-2</v>
      </c>
      <c r="W5017">
        <v>-6.1466369999999999E-2</v>
      </c>
      <c r="X5017">
        <v>0.99552450000000003</v>
      </c>
      <c r="Y5017">
        <v>-4.2242990000000001E-2</v>
      </c>
      <c r="Z5017">
        <v>-7.3866190000000003E-4</v>
      </c>
      <c r="AA5017">
        <v>0.99910710000000003</v>
      </c>
      <c r="AB5017">
        <v>40</v>
      </c>
      <c r="AC5017">
        <v>-39.216099999999997</v>
      </c>
      <c r="AD5017">
        <v>-1.1070127646569901</v>
      </c>
      <c r="AE5017">
        <v>-1.5285</v>
      </c>
      <c r="AF5017">
        <v>-1.6701529455350701</v>
      </c>
      <c r="AG5017">
        <v>-1.1070127646569901</v>
      </c>
      <c r="AH5017">
        <v>39.179093507843902</v>
      </c>
      <c r="AI5017">
        <v>91.617004805079006</v>
      </c>
      <c r="AJ5017">
        <v>92.440965450608502</v>
      </c>
      <c r="AK5017">
        <v>39.2302976820081</v>
      </c>
      <c r="AL5017">
        <v>93.523985029816004</v>
      </c>
      <c r="AM5017">
        <v>94.124223123556007</v>
      </c>
      <c r="AN5017">
        <v>0.99999998196474305</v>
      </c>
    </row>
    <row r="5018" spans="1:40" x14ac:dyDescent="0.25">
      <c r="A5018" t="str">
        <f>"20190305135030222"</f>
        <v>20190305135030222</v>
      </c>
      <c r="B5018" t="str">
        <f>"1551765030215206"</f>
        <v>1551765030215206</v>
      </c>
      <c r="C5018" t="s">
        <v>40</v>
      </c>
      <c r="D5018">
        <v>3.9173399999999998</v>
      </c>
      <c r="E5018">
        <v>0.5130439</v>
      </c>
      <c r="F5018" t="s">
        <v>94</v>
      </c>
      <c r="G5018">
        <v>-280.66070000000002</v>
      </c>
      <c r="H5018" s="1">
        <v>-4.0760969999999999E-6</v>
      </c>
      <c r="I5018">
        <v>140.12790000000001</v>
      </c>
      <c r="J5018">
        <v>-241.02099999999999</v>
      </c>
      <c r="K5018">
        <v>1.107013</v>
      </c>
      <c r="L5018">
        <v>141.6309</v>
      </c>
      <c r="M5018">
        <v>-0.99998779999999998</v>
      </c>
      <c r="N5018">
        <v>-2.6112230000000002E-3</v>
      </c>
      <c r="O5018">
        <v>4.2193380000000004E-3</v>
      </c>
      <c r="P5018">
        <v>-0.99564319999999895</v>
      </c>
      <c r="Q5018">
        <v>-6.4134170000000004E-2</v>
      </c>
      <c r="R5018">
        <v>-6.7691199999999896E-2</v>
      </c>
      <c r="S5018">
        <v>-3.0001220000000002</v>
      </c>
      <c r="T5018">
        <v>-8.3239789999999994E-2</v>
      </c>
      <c r="U5018">
        <v>-0.112915</v>
      </c>
      <c r="V5018">
        <v>-7.2037550000000006E-2</v>
      </c>
      <c r="W5018">
        <v>-6.136407E-2</v>
      </c>
      <c r="X5018">
        <v>0.99551239999999996</v>
      </c>
      <c r="Y5018">
        <v>-4.180731E-2</v>
      </c>
      <c r="Z5018">
        <v>-7.402741E-4</v>
      </c>
      <c r="AA5018">
        <v>0.99912540000000005</v>
      </c>
      <c r="AB5018">
        <v>40</v>
      </c>
      <c r="AC5018">
        <v>-39.639699999999998</v>
      </c>
      <c r="AD5018">
        <v>-1.107017076097</v>
      </c>
      <c r="AE5018">
        <v>-1.5029999999999799</v>
      </c>
      <c r="AF5018">
        <v>-1.66894070004149</v>
      </c>
      <c r="AG5018">
        <v>-1.107017076097</v>
      </c>
      <c r="AH5018">
        <v>39.6021634340918</v>
      </c>
      <c r="AI5018">
        <v>91.599778472988802</v>
      </c>
      <c r="AJ5018">
        <v>92.413168908628705</v>
      </c>
      <c r="AK5018">
        <v>39.652770376451002</v>
      </c>
      <c r="AL5018">
        <v>93.518112705273197</v>
      </c>
      <c r="AM5018">
        <v>94.138839402226694</v>
      </c>
      <c r="AN5018">
        <v>0.99999994812536197</v>
      </c>
    </row>
    <row r="5019" spans="1:40" x14ac:dyDescent="0.25">
      <c r="A5019" t="str">
        <f>"20190305135030241"</f>
        <v>20190305135030241</v>
      </c>
      <c r="B5019" t="str">
        <f>"1551765030234727"</f>
        <v>1551765030234727</v>
      </c>
      <c r="C5019" t="s">
        <v>40</v>
      </c>
      <c r="D5019">
        <v>3.8747120000000002</v>
      </c>
      <c r="E5019">
        <v>0.51288889999999998</v>
      </c>
      <c r="F5019" t="s">
        <v>94</v>
      </c>
      <c r="G5019">
        <v>-280.5378</v>
      </c>
      <c r="H5019" s="1">
        <v>-4.0503879999999999E-6</v>
      </c>
      <c r="I5019">
        <v>140.21690000000001</v>
      </c>
      <c r="J5019">
        <v>-241.38640000000001</v>
      </c>
      <c r="K5019">
        <v>1.107027</v>
      </c>
      <c r="L5019">
        <v>141.63299999999899</v>
      </c>
      <c r="M5019">
        <v>-0.99998410000000004</v>
      </c>
      <c r="N5019">
        <v>-2.6503669999999998E-3</v>
      </c>
      <c r="O5019">
        <v>4.991026E-3</v>
      </c>
      <c r="P5019">
        <v>-0.99571849999999995</v>
      </c>
      <c r="Q5019">
        <v>-6.4398319999999995E-2</v>
      </c>
      <c r="R5019">
        <v>-6.6315079999999998E-2</v>
      </c>
      <c r="S5019">
        <v>-3.0004119999999999</v>
      </c>
      <c r="T5019">
        <v>-8.4053039999999996E-2</v>
      </c>
      <c r="U5019">
        <v>-0.10736080000000001</v>
      </c>
      <c r="V5019">
        <v>-7.1427009999999999E-2</v>
      </c>
      <c r="W5019">
        <v>-6.1594240000000001E-2</v>
      </c>
      <c r="X5019">
        <v>0.99554219999999904</v>
      </c>
      <c r="Y5019">
        <v>-4.0727489999999998E-2</v>
      </c>
      <c r="Z5019">
        <v>-7.5069979999999904E-4</v>
      </c>
      <c r="AA5019">
        <v>0.99917</v>
      </c>
      <c r="AB5019">
        <v>40</v>
      </c>
      <c r="AC5019">
        <v>-39.151400000000002</v>
      </c>
      <c r="AD5019">
        <v>-1.1070310503880001</v>
      </c>
      <c r="AE5019">
        <v>-1.4160999999999699</v>
      </c>
      <c r="AF5019">
        <v>-1.6102029957839801</v>
      </c>
      <c r="AG5019">
        <v>-1.1070310503880001</v>
      </c>
      <c r="AH5019">
        <v>39.112614390694901</v>
      </c>
      <c r="AI5019">
        <v>91.619877363285397</v>
      </c>
      <c r="AJ5019">
        <v>92.357443233372706</v>
      </c>
      <c r="AK5019">
        <v>39.161395224242803</v>
      </c>
      <c r="AL5019">
        <v>93.531325391661099</v>
      </c>
      <c r="AM5019">
        <v>94.103759424600298</v>
      </c>
      <c r="AN5019">
        <v>0.99999997006977803</v>
      </c>
    </row>
    <row r="5020" spans="1:40" x14ac:dyDescent="0.25">
      <c r="A5020" t="str">
        <f>"20190305135030264"</f>
        <v>20190305135030264</v>
      </c>
      <c r="B5020" t="str">
        <f>"1551765030255226"</f>
        <v>1551765030255226</v>
      </c>
      <c r="C5020" t="s">
        <v>40</v>
      </c>
      <c r="D5020">
        <v>3.8952279999999999</v>
      </c>
      <c r="E5020">
        <v>0.51288129999999998</v>
      </c>
      <c r="F5020" t="s">
        <v>42</v>
      </c>
      <c r="G5020">
        <v>-278.65820000000002</v>
      </c>
      <c r="H5020" s="1">
        <v>-7.5011629999999997E-7</v>
      </c>
      <c r="I5020">
        <v>140.33840000000001</v>
      </c>
      <c r="J5020">
        <v>-241.7878</v>
      </c>
      <c r="K5020">
        <v>1.107059</v>
      </c>
      <c r="L5020">
        <v>141.63550000000001</v>
      </c>
      <c r="M5020">
        <v>-0.99997990000000003</v>
      </c>
      <c r="N5020">
        <v>-2.6930209999999999E-3</v>
      </c>
      <c r="O5020">
        <v>5.7667500000000002E-3</v>
      </c>
      <c r="P5020">
        <v>-0.9958186</v>
      </c>
      <c r="Q5020">
        <v>-6.5336950000000005E-2</v>
      </c>
      <c r="R5020">
        <v>-6.3850959999999998E-2</v>
      </c>
      <c r="S5020">
        <v>-3.0001980000000001</v>
      </c>
      <c r="T5020">
        <v>-8.9110369999999994E-2</v>
      </c>
      <c r="U5020">
        <v>-0.1042023</v>
      </c>
      <c r="V5020">
        <v>-6.9731559999999998E-2</v>
      </c>
      <c r="W5020">
        <v>-6.2501219999999996E-2</v>
      </c>
      <c r="X5020">
        <v>0.99560590000000004</v>
      </c>
      <c r="Y5020">
        <v>-4.0452040000000002E-2</v>
      </c>
      <c r="Z5020">
        <v>-8.10602E-4</v>
      </c>
      <c r="AA5020">
        <v>0.99918119999999999</v>
      </c>
      <c r="AB5020">
        <v>40</v>
      </c>
      <c r="AC5020">
        <v>-36.870399999999997</v>
      </c>
      <c r="AD5020">
        <v>-1.1070597501163</v>
      </c>
      <c r="AE5020">
        <v>-1.2970999999999999</v>
      </c>
      <c r="AF5020">
        <v>-1.5083433938616</v>
      </c>
      <c r="AG5020">
        <v>-1.1070597501163</v>
      </c>
      <c r="AH5020">
        <v>36.829144829476</v>
      </c>
      <c r="AI5020">
        <v>91.720313523532099</v>
      </c>
      <c r="AJ5020">
        <v>92.345246961347101</v>
      </c>
      <c r="AK5020">
        <v>36.876640166298401</v>
      </c>
      <c r="AL5020">
        <v>93.583391734320998</v>
      </c>
      <c r="AM5020">
        <v>94.006414806555298</v>
      </c>
      <c r="AN5020">
        <v>1.00000000053816</v>
      </c>
    </row>
    <row r="5021" spans="1:40" x14ac:dyDescent="0.25">
      <c r="A5021" t="str">
        <f>"20190305135030277"</f>
        <v>20190305135030277</v>
      </c>
      <c r="B5021" t="str">
        <f>"1551765030274743"</f>
        <v>1551765030274743</v>
      </c>
      <c r="C5021" t="s">
        <v>40</v>
      </c>
      <c r="D5021">
        <v>3.858082</v>
      </c>
      <c r="E5021">
        <v>0.5129669</v>
      </c>
      <c r="F5021" t="s">
        <v>42</v>
      </c>
      <c r="G5021">
        <v>-276.63130000000001</v>
      </c>
      <c r="H5021" s="1">
        <v>-1.665984E-6</v>
      </c>
      <c r="I5021">
        <v>140.51249999999999</v>
      </c>
      <c r="J5021">
        <v>-242.0307</v>
      </c>
      <c r="K5021">
        <v>1.107092</v>
      </c>
      <c r="L5021">
        <v>141.63720000000001</v>
      </c>
      <c r="M5021">
        <v>-0.99997709999999995</v>
      </c>
      <c r="N5021">
        <v>-2.7187420000000001E-3</v>
      </c>
      <c r="O5021">
        <v>6.1899729999999997E-3</v>
      </c>
      <c r="P5021">
        <v>-0.99587950000000003</v>
      </c>
      <c r="Q5021">
        <v>-6.5981769999999995E-2</v>
      </c>
      <c r="R5021">
        <v>-6.2216019999999997E-2</v>
      </c>
      <c r="S5021">
        <v>-3.0001370000000001</v>
      </c>
      <c r="T5021">
        <v>-9.532177E-2</v>
      </c>
      <c r="U5021">
        <v>-9.6694950000000002E-2</v>
      </c>
      <c r="V5021">
        <v>-6.8514420000000006E-2</v>
      </c>
      <c r="W5021">
        <v>-6.3128809999999994E-2</v>
      </c>
      <c r="X5021">
        <v>0.99565079999999995</v>
      </c>
      <c r="Y5021">
        <v>-3.8376E-2</v>
      </c>
      <c r="Z5021">
        <v>-8.4128700000000002E-4</v>
      </c>
      <c r="AA5021">
        <v>0.99926300000000001</v>
      </c>
      <c r="AB5021">
        <v>40</v>
      </c>
      <c r="AC5021">
        <v>-34.6006</v>
      </c>
      <c r="AD5021">
        <v>-1.1070936659840001</v>
      </c>
      <c r="AE5021">
        <v>-1.12470000000001</v>
      </c>
      <c r="AF5021">
        <v>-1.33748820183007</v>
      </c>
      <c r="AG5021">
        <v>-1.1070936659840001</v>
      </c>
      <c r="AH5021">
        <v>34.557633574333103</v>
      </c>
      <c r="AI5021">
        <v>91.833537043299899</v>
      </c>
      <c r="AJ5021">
        <v>92.216419128559295</v>
      </c>
      <c r="AK5021">
        <v>34.601222078608302</v>
      </c>
      <c r="AL5021">
        <v>93.619421168316805</v>
      </c>
      <c r="AM5021">
        <v>93.936529088229705</v>
      </c>
      <c r="AN5021">
        <v>0.99999999397029604</v>
      </c>
    </row>
    <row r="5022" spans="1:40" x14ac:dyDescent="0.25">
      <c r="A5022" t="str">
        <f>"20190305135030290"</f>
        <v>20190305135030290</v>
      </c>
      <c r="B5022" t="str">
        <f>"1551765030285478"</f>
        <v>1551765030285478</v>
      </c>
      <c r="C5022" t="s">
        <v>40</v>
      </c>
      <c r="D5022">
        <v>3.8569040000000001</v>
      </c>
      <c r="E5022">
        <v>0.51303149999999997</v>
      </c>
      <c r="F5022" t="s">
        <v>42</v>
      </c>
      <c r="G5022">
        <v>-275.88709999999998</v>
      </c>
      <c r="H5022" s="1">
        <v>-2.0109990000000001E-6</v>
      </c>
      <c r="I5022">
        <v>140.60929999999999</v>
      </c>
      <c r="J5022">
        <v>-242.2653</v>
      </c>
      <c r="K5022">
        <v>1.1071249999999999</v>
      </c>
      <c r="L5022">
        <v>141.63890000000001</v>
      </c>
      <c r="M5022">
        <v>-0.99997480000000005</v>
      </c>
      <c r="N5022">
        <v>-2.7435889999999998E-3</v>
      </c>
      <c r="O5022">
        <v>6.5739070000000004E-3</v>
      </c>
      <c r="P5022">
        <v>-0.99592210000000003</v>
      </c>
      <c r="Q5022">
        <v>-6.6430450000000002E-2</v>
      </c>
      <c r="R5022">
        <v>-6.1046280000000001E-2</v>
      </c>
      <c r="S5022">
        <v>-3.000229</v>
      </c>
      <c r="T5022">
        <v>-9.8106739999999998E-2</v>
      </c>
      <c r="U5022">
        <v>-9.1079709999999994E-2</v>
      </c>
      <c r="V5022">
        <v>-6.7722530000000003E-2</v>
      </c>
      <c r="W5022">
        <v>-6.3560610000000003E-2</v>
      </c>
      <c r="X5022">
        <v>0.99567749999999999</v>
      </c>
      <c r="Y5022">
        <v>-3.6889569999999997E-2</v>
      </c>
      <c r="Z5022">
        <v>-8.5030649999999995E-4</v>
      </c>
      <c r="AA5022">
        <v>0.99931899999999996</v>
      </c>
      <c r="AB5022">
        <v>41</v>
      </c>
      <c r="AC5022">
        <v>-33.621799999999901</v>
      </c>
      <c r="AD5022">
        <v>-1.1071270109989999</v>
      </c>
      <c r="AE5022">
        <v>-1.0296000000000101</v>
      </c>
      <c r="AF5022">
        <v>-1.24925182644769</v>
      </c>
      <c r="AG5022">
        <v>-1.1071270109989999</v>
      </c>
      <c r="AH5022">
        <v>33.577930230521297</v>
      </c>
      <c r="AI5022">
        <v>91.887159923217695</v>
      </c>
      <c r="AJ5022">
        <v>92.130681047390198</v>
      </c>
      <c r="AK5022">
        <v>33.619395576216398</v>
      </c>
      <c r="AL5022">
        <v>93.644211293427603</v>
      </c>
      <c r="AM5022">
        <v>93.891067226120796</v>
      </c>
      <c r="AN5022">
        <v>0.99999998810971102</v>
      </c>
    </row>
    <row r="5023" spans="1:40" x14ac:dyDescent="0.25">
      <c r="A5023" t="str">
        <f>"20190305135030307"</f>
        <v>20190305135030307</v>
      </c>
      <c r="B5023" t="str">
        <f>"1551765030304999"</f>
        <v>1551765030304999</v>
      </c>
      <c r="C5023" t="s">
        <v>40</v>
      </c>
      <c r="D5023">
        <v>3.8822230000000002</v>
      </c>
      <c r="E5023">
        <v>0.51307369999999997</v>
      </c>
      <c r="F5023" t="s">
        <v>42</v>
      </c>
      <c r="G5023">
        <v>-275.74770000000001</v>
      </c>
      <c r="H5023" s="1">
        <v>-2.086297E-6</v>
      </c>
      <c r="I5023">
        <v>140.66749999999999</v>
      </c>
      <c r="J5023">
        <v>-242.58760000000001</v>
      </c>
      <c r="K5023">
        <v>1.1071740000000001</v>
      </c>
      <c r="L5023">
        <v>141.6413</v>
      </c>
      <c r="M5023">
        <v>-0.99997159999999996</v>
      </c>
      <c r="N5023">
        <v>-2.777795E-3</v>
      </c>
      <c r="O5023">
        <v>7.0221169999999996E-3</v>
      </c>
      <c r="P5023">
        <v>-0.99594850000000001</v>
      </c>
      <c r="Q5023">
        <v>-6.8086430000000003E-2</v>
      </c>
      <c r="R5023">
        <v>-5.8745470000000001E-2</v>
      </c>
      <c r="S5023">
        <v>-3.0003510000000002</v>
      </c>
      <c r="T5023">
        <v>-9.9209549999999994E-2</v>
      </c>
      <c r="U5023">
        <v>-8.7036130000000003E-2</v>
      </c>
      <c r="V5023">
        <v>-6.5860970000000005E-2</v>
      </c>
      <c r="W5023">
        <v>-6.5196420000000005E-2</v>
      </c>
      <c r="X5023">
        <v>0.99569660000000004</v>
      </c>
      <c r="Y5023">
        <v>-3.599041E-2</v>
      </c>
      <c r="Z5023">
        <v>-8.5734280000000003E-4</v>
      </c>
      <c r="AA5023">
        <v>0.99935169999999995</v>
      </c>
      <c r="AB5023">
        <v>41</v>
      </c>
      <c r="AC5023">
        <v>-33.1601</v>
      </c>
      <c r="AD5023">
        <v>-1.1071760862969999</v>
      </c>
      <c r="AE5023">
        <v>-0.97380000000001099</v>
      </c>
      <c r="AF5023">
        <v>-1.2052884517440901</v>
      </c>
      <c r="AG5023">
        <v>-1.1071760862969999</v>
      </c>
      <c r="AH5023">
        <v>33.1155584364666</v>
      </c>
      <c r="AI5023">
        <v>91.913631246505702</v>
      </c>
      <c r="AJ5023">
        <v>92.0844423331136</v>
      </c>
      <c r="AK5023">
        <v>33.155976379787198</v>
      </c>
      <c r="AL5023">
        <v>93.738131176861202</v>
      </c>
      <c r="AM5023">
        <v>93.784352191277506</v>
      </c>
      <c r="AN5023">
        <v>0.99999997990085798</v>
      </c>
    </row>
    <row r="5024" spans="1:40" x14ac:dyDescent="0.25">
      <c r="A5024" t="str">
        <f>"20190305135030321"</f>
        <v>20190305135030321</v>
      </c>
      <c r="B5024" t="str">
        <f>"1551765030314759"</f>
        <v>1551765030314759</v>
      </c>
      <c r="C5024" t="s">
        <v>40</v>
      </c>
      <c r="D5024">
        <v>3.8619050000000001</v>
      </c>
      <c r="E5024">
        <v>0.51308790000000004</v>
      </c>
      <c r="F5024" t="s">
        <v>42</v>
      </c>
      <c r="G5024">
        <v>-274.72570000000002</v>
      </c>
      <c r="H5024" s="1">
        <v>-2.5560510000000001E-6</v>
      </c>
      <c r="I5024">
        <v>140.78530000000001</v>
      </c>
      <c r="J5024">
        <v>-242.83369999999999</v>
      </c>
      <c r="K5024">
        <v>1.107221</v>
      </c>
      <c r="L5024">
        <v>141.64320000000001</v>
      </c>
      <c r="M5024">
        <v>-0.99996949999999996</v>
      </c>
      <c r="N5024">
        <v>-2.803945E-3</v>
      </c>
      <c r="O5024">
        <v>7.3127940000000001E-3</v>
      </c>
      <c r="P5024">
        <v>-0.99596910000000005</v>
      </c>
      <c r="Q5024">
        <v>-6.8563219999999994E-2</v>
      </c>
      <c r="R5024">
        <v>-5.7838050000000002E-2</v>
      </c>
      <c r="S5024">
        <v>-3.0004119999999999</v>
      </c>
      <c r="T5024">
        <v>-0.103366</v>
      </c>
      <c r="U5024">
        <v>-7.991028E-2</v>
      </c>
      <c r="V5024">
        <v>-6.5235600000000005E-2</v>
      </c>
      <c r="W5024">
        <v>-6.5656489999999998E-2</v>
      </c>
      <c r="X5024">
        <v>0.99570760000000003</v>
      </c>
      <c r="Y5024">
        <v>-3.390779E-2</v>
      </c>
      <c r="Z5024">
        <v>-8.6267709999999999E-4</v>
      </c>
      <c r="AA5024">
        <v>0.9994246</v>
      </c>
      <c r="AB5024">
        <v>41</v>
      </c>
      <c r="AC5024">
        <v>-31.891999999999999</v>
      </c>
      <c r="AD5024">
        <v>-1.107223556051</v>
      </c>
      <c r="AE5024">
        <v>-0.8579</v>
      </c>
      <c r="AF5024">
        <v>-1.08978495980668</v>
      </c>
      <c r="AG5024">
        <v>-1.107223556051</v>
      </c>
      <c r="AH5024">
        <v>31.846515662619201</v>
      </c>
      <c r="AI5024">
        <v>91.990064728640505</v>
      </c>
      <c r="AJ5024">
        <v>91.959891752411096</v>
      </c>
      <c r="AK5024">
        <v>31.884387011688698</v>
      </c>
      <c r="AL5024">
        <v>93.764547615415196</v>
      </c>
      <c r="AM5024">
        <v>93.748480258289803</v>
      </c>
      <c r="AN5024">
        <v>1.00000004144211</v>
      </c>
    </row>
    <row r="5025" spans="1:40" x14ac:dyDescent="0.25">
      <c r="A5025" t="str">
        <f>"20190305135030333"</f>
        <v>20190305135030333</v>
      </c>
      <c r="B5025" t="str">
        <f>"1551765030325495"</f>
        <v>1551765030325495</v>
      </c>
      <c r="C5025" t="s">
        <v>40</v>
      </c>
      <c r="D5025">
        <v>3.886787</v>
      </c>
      <c r="E5025">
        <v>0.51309439999999995</v>
      </c>
      <c r="F5025" t="s">
        <v>42</v>
      </c>
      <c r="G5025">
        <v>-274.92700000000002</v>
      </c>
      <c r="H5025" s="1">
        <v>-2.4784080000000001E-6</v>
      </c>
      <c r="I5025">
        <v>140.81809999999999</v>
      </c>
      <c r="J5025">
        <v>-243.05950000000001</v>
      </c>
      <c r="K5025">
        <v>1.107264</v>
      </c>
      <c r="L5025">
        <v>141.64490000000001</v>
      </c>
      <c r="M5025">
        <v>-0.99996750000000001</v>
      </c>
      <c r="N5025">
        <v>-2.8279960000000002E-3</v>
      </c>
      <c r="O5025">
        <v>7.5544109999999996E-3</v>
      </c>
      <c r="P5025">
        <v>-0.99596949999999995</v>
      </c>
      <c r="Q5025">
        <v>-6.899479E-2</v>
      </c>
      <c r="R5025">
        <v>-5.7311330000000001E-2</v>
      </c>
      <c r="S5025">
        <v>-3.0005190000000002</v>
      </c>
      <c r="T5025">
        <v>-0.1035184</v>
      </c>
      <c r="U5025">
        <v>-7.7133179999999996E-2</v>
      </c>
      <c r="V5025">
        <v>-6.4942739999999999E-2</v>
      </c>
      <c r="W5025">
        <v>-6.6072270000000002E-2</v>
      </c>
      <c r="X5025">
        <v>0.99569920000000001</v>
      </c>
      <c r="Y5025">
        <v>-3.3224179999999999E-2</v>
      </c>
      <c r="Z5025">
        <v>-8.5901490000000005E-4</v>
      </c>
      <c r="AA5025">
        <v>0.99944759999999999</v>
      </c>
      <c r="AB5025">
        <v>41</v>
      </c>
      <c r="AC5025">
        <v>-31.8675</v>
      </c>
      <c r="AD5025">
        <v>-1.107266478408</v>
      </c>
      <c r="AE5025">
        <v>-0.82680000000001996</v>
      </c>
      <c r="AF5025">
        <v>-1.06623117957489</v>
      </c>
      <c r="AG5025">
        <v>-1.107266478408</v>
      </c>
      <c r="AH5025">
        <v>31.8219524520273</v>
      </c>
      <c r="AI5025">
        <v>91.991724802725898</v>
      </c>
      <c r="AJ5025">
        <v>91.919043173237696</v>
      </c>
      <c r="AK5025">
        <v>31.859057516530299</v>
      </c>
      <c r="AL5025">
        <v>93.788422049702405</v>
      </c>
      <c r="AM5025">
        <v>93.7317313792704</v>
      </c>
      <c r="AN5025">
        <v>1.00000000061115</v>
      </c>
    </row>
    <row r="5026" spans="1:40" x14ac:dyDescent="0.25">
      <c r="A5026" t="str">
        <f>"20190305135030345"</f>
        <v>20190305135030345</v>
      </c>
      <c r="B5026" t="str">
        <f>"1551765030335255"</f>
        <v>1551765030335255</v>
      </c>
      <c r="C5026" t="s">
        <v>40</v>
      </c>
      <c r="D5026">
        <v>3.907276</v>
      </c>
      <c r="E5026">
        <v>0.5131308</v>
      </c>
      <c r="F5026" t="s">
        <v>42</v>
      </c>
      <c r="G5026">
        <v>-274.6628</v>
      </c>
      <c r="H5026" s="1">
        <v>-2.5999409999999999E-6</v>
      </c>
      <c r="I5026">
        <v>140.84880000000001</v>
      </c>
      <c r="J5026">
        <v>-243.28219999999999</v>
      </c>
      <c r="K5026">
        <v>1.107308</v>
      </c>
      <c r="L5026">
        <v>141.64670000000001</v>
      </c>
      <c r="M5026">
        <v>-0.99996589999999996</v>
      </c>
      <c r="N5026">
        <v>-2.8518139999999998E-3</v>
      </c>
      <c r="O5026">
        <v>7.7541750000000003E-3</v>
      </c>
      <c r="P5026">
        <v>-0.99591620000000003</v>
      </c>
      <c r="Q5026">
        <v>-6.9898790000000002E-2</v>
      </c>
      <c r="R5026">
        <v>-5.714524E-2</v>
      </c>
      <c r="S5026">
        <v>-3.0005190000000002</v>
      </c>
      <c r="T5026">
        <v>-0.1051275</v>
      </c>
      <c r="U5026">
        <v>-7.5576779999999996E-2</v>
      </c>
      <c r="V5026">
        <v>-6.4968330000000005E-2</v>
      </c>
      <c r="W5026">
        <v>-6.6960409999999998E-2</v>
      </c>
      <c r="X5026">
        <v>0.99563820000000003</v>
      </c>
      <c r="Y5026">
        <v>-3.2905080000000003E-2</v>
      </c>
      <c r="Z5026">
        <v>-8.7256639999999999E-4</v>
      </c>
      <c r="AA5026">
        <v>0.99945810000000002</v>
      </c>
      <c r="AB5026">
        <v>41</v>
      </c>
      <c r="AC5026">
        <v>-31.380600000000001</v>
      </c>
      <c r="AD5026">
        <v>-1.107310599941</v>
      </c>
      <c r="AE5026">
        <v>-0.79789999999999806</v>
      </c>
      <c r="AF5026">
        <v>-1.03991366145385</v>
      </c>
      <c r="AG5026">
        <v>-1.107310599941</v>
      </c>
      <c r="AH5026">
        <v>31.3344790349725</v>
      </c>
      <c r="AI5026">
        <v>92.022786693212694</v>
      </c>
      <c r="AJ5026">
        <v>91.900807197940907</v>
      </c>
      <c r="AK5026">
        <v>31.371278800538999</v>
      </c>
      <c r="AL5026">
        <v>93.839421663396294</v>
      </c>
      <c r="AM5026">
        <v>93.733425747011097</v>
      </c>
      <c r="AN5026">
        <v>1.00000000285479</v>
      </c>
    </row>
    <row r="5027" spans="1:40" x14ac:dyDescent="0.25">
      <c r="A5027" t="str">
        <f>"20190305135030364"</f>
        <v>20190305135030364</v>
      </c>
      <c r="B5027" t="str">
        <f>"1551765030354775"</f>
        <v>1551765030354775</v>
      </c>
      <c r="C5027" t="s">
        <v>40</v>
      </c>
      <c r="D5027">
        <v>3.866225</v>
      </c>
      <c r="E5027">
        <v>0.5131869</v>
      </c>
      <c r="F5027" t="s">
        <v>42</v>
      </c>
      <c r="G5027">
        <v>-274.32220000000001</v>
      </c>
      <c r="H5027" s="1">
        <v>-2.7526620000000001E-6</v>
      </c>
      <c r="I5027">
        <v>140.87370000000001</v>
      </c>
      <c r="J5027">
        <v>-243.62459999999999</v>
      </c>
      <c r="K5027">
        <v>1.1073789999999999</v>
      </c>
      <c r="L5027">
        <v>141.64959999999999</v>
      </c>
      <c r="M5027">
        <v>-0.99996379999999996</v>
      </c>
      <c r="N5027">
        <v>-2.8885199999999999E-3</v>
      </c>
      <c r="O5027">
        <v>8.004242E-3</v>
      </c>
      <c r="P5027">
        <v>-0.99582519999999997</v>
      </c>
      <c r="Q5027">
        <v>-7.0754189999999995E-2</v>
      </c>
      <c r="R5027">
        <v>-5.7673429999999998E-2</v>
      </c>
      <c r="S5027">
        <v>-3.0005039999999998</v>
      </c>
      <c r="T5027">
        <v>-0.1070392</v>
      </c>
      <c r="U5027">
        <v>-7.4722289999999997E-2</v>
      </c>
      <c r="V5027">
        <v>-6.5734210000000001E-2</v>
      </c>
      <c r="W5027">
        <v>-6.7790030000000001E-2</v>
      </c>
      <c r="X5027">
        <v>0.99553179999999997</v>
      </c>
      <c r="Y5027">
        <v>-3.286965E-2</v>
      </c>
      <c r="Z5027">
        <v>-8.9581229999999995E-4</v>
      </c>
      <c r="AA5027">
        <v>0.99945930000000005</v>
      </c>
      <c r="AB5027">
        <v>41</v>
      </c>
      <c r="AC5027">
        <v>-30.697600000000001</v>
      </c>
      <c r="AD5027">
        <v>-1.107381752662</v>
      </c>
      <c r="AE5027">
        <v>-0.77589999999997805</v>
      </c>
      <c r="AF5027">
        <v>-1.0202603440082201</v>
      </c>
      <c r="AG5027">
        <v>-1.107381752662</v>
      </c>
      <c r="AH5027">
        <v>30.650545228310801</v>
      </c>
      <c r="AI5027">
        <v>92.068010181090202</v>
      </c>
      <c r="AJ5027">
        <v>91.906492538949294</v>
      </c>
      <c r="AK5027">
        <v>30.6875080172439</v>
      </c>
      <c r="AL5027">
        <v>93.887063580265007</v>
      </c>
      <c r="AM5027">
        <v>93.777713150222397</v>
      </c>
      <c r="AN5027">
        <v>1.00000001967148</v>
      </c>
    </row>
    <row r="5028" spans="1:40" x14ac:dyDescent="0.25">
      <c r="A5028" t="str">
        <f>"20190305135030386"</f>
        <v>20190305135030386</v>
      </c>
      <c r="B5028" t="str">
        <f>"1551765030375270"</f>
        <v>1551765030375270</v>
      </c>
      <c r="C5028" t="s">
        <v>40</v>
      </c>
      <c r="D5028">
        <v>3.9458169999999999</v>
      </c>
      <c r="E5028">
        <v>0.51321269999999997</v>
      </c>
      <c r="F5028" t="s">
        <v>42</v>
      </c>
      <c r="G5028">
        <v>-274.14409999999998</v>
      </c>
      <c r="H5028" s="1">
        <v>-2.8298099999999998E-6</v>
      </c>
      <c r="I5028">
        <v>140.87639999999999</v>
      </c>
      <c r="J5028">
        <v>-244.02209999999999</v>
      </c>
      <c r="K5028">
        <v>1.10747</v>
      </c>
      <c r="L5028">
        <v>141.65280000000001</v>
      </c>
      <c r="M5028">
        <v>-0.99996189999999996</v>
      </c>
      <c r="N5028">
        <v>-2.9313E-3</v>
      </c>
      <c r="O5028">
        <v>8.2248259999999993E-3</v>
      </c>
      <c r="P5028">
        <v>-0.99572530000000004</v>
      </c>
      <c r="Q5028">
        <v>-7.1047410000000005E-2</v>
      </c>
      <c r="R5028">
        <v>-5.9021009999999999E-2</v>
      </c>
      <c r="S5028">
        <v>-3.0004430000000002</v>
      </c>
      <c r="T5028">
        <v>-0.10886940000000001</v>
      </c>
      <c r="U5028">
        <v>-7.600403E-2</v>
      </c>
      <c r="V5028">
        <v>-6.7288050000000002E-2</v>
      </c>
      <c r="W5028">
        <v>-6.8051440000000005E-2</v>
      </c>
      <c r="X5028">
        <v>0.99541009999999996</v>
      </c>
      <c r="Y5028">
        <v>-3.3515789999999997E-2</v>
      </c>
      <c r="Z5028">
        <v>-9.3109639999999999E-4</v>
      </c>
      <c r="AA5028">
        <v>0.99943769999999998</v>
      </c>
      <c r="AB5028">
        <v>41</v>
      </c>
      <c r="AC5028">
        <v>-30.1219999999999</v>
      </c>
      <c r="AD5028">
        <v>-1.1074728298100001</v>
      </c>
      <c r="AE5028">
        <v>-0.77640000000002296</v>
      </c>
      <c r="AF5028">
        <v>-1.02274142669208</v>
      </c>
      <c r="AG5028">
        <v>-1.1074728298100001</v>
      </c>
      <c r="AH5028">
        <v>30.073969647022601</v>
      </c>
      <c r="AI5028">
        <v>92.107744655152203</v>
      </c>
      <c r="AJ5028">
        <v>91.947737314743407</v>
      </c>
      <c r="AK5028">
        <v>30.111727722345599</v>
      </c>
      <c r="AL5028">
        <v>93.902076117241407</v>
      </c>
      <c r="AM5028">
        <v>93.8672151162571</v>
      </c>
      <c r="AN5028">
        <v>0.99999997367044202</v>
      </c>
    </row>
    <row r="5029" spans="1:40" x14ac:dyDescent="0.25">
      <c r="A5029" t="str">
        <f>"20190305135030398"</f>
        <v>20190305135030398</v>
      </c>
      <c r="B5029" t="str">
        <f>"1551765030394791"</f>
        <v>1551765030394791</v>
      </c>
      <c r="C5029" t="s">
        <v>40</v>
      </c>
      <c r="D5029">
        <v>3.876455</v>
      </c>
      <c r="E5029">
        <v>0.51322909999999999</v>
      </c>
      <c r="F5029" t="s">
        <v>42</v>
      </c>
      <c r="G5029">
        <v>-274.51979999999998</v>
      </c>
      <c r="H5029" s="1">
        <v>-2.6592229999999999E-6</v>
      </c>
      <c r="I5029">
        <v>140.84110000000001</v>
      </c>
      <c r="J5029">
        <v>-244.25200000000001</v>
      </c>
      <c r="K5029">
        <v>1.1075109999999999</v>
      </c>
      <c r="L5029">
        <v>141.65479999999999</v>
      </c>
      <c r="M5029">
        <v>-0.99996099999999999</v>
      </c>
      <c r="N5029">
        <v>-2.956013E-3</v>
      </c>
      <c r="O5029">
        <v>8.3225869999999993E-3</v>
      </c>
      <c r="P5029">
        <v>-0.99567479999999997</v>
      </c>
      <c r="Q5029">
        <v>-7.1017300000000005E-2</v>
      </c>
      <c r="R5029">
        <v>-5.99036999999999E-2</v>
      </c>
      <c r="S5029">
        <v>-3.0003660000000001</v>
      </c>
      <c r="T5029">
        <v>-0.10895340000000001</v>
      </c>
      <c r="U5029">
        <v>-7.9849240000000002E-2</v>
      </c>
      <c r="V5029">
        <v>-6.8261290000000002E-2</v>
      </c>
      <c r="W5029">
        <v>-6.8002190000000004E-2</v>
      </c>
      <c r="X5029">
        <v>0.99534719999999999</v>
      </c>
      <c r="Y5029">
        <v>-3.4893019999999997E-2</v>
      </c>
      <c r="Z5029">
        <v>-9.6230480000000004E-4</v>
      </c>
      <c r="AA5029">
        <v>0.99939060000000002</v>
      </c>
      <c r="AB5029">
        <v>41</v>
      </c>
      <c r="AC5029">
        <v>-30.267799999999902</v>
      </c>
      <c r="AD5029">
        <v>-1.1075136592229999</v>
      </c>
      <c r="AE5029">
        <v>-0.81369999999998199</v>
      </c>
      <c r="AF5029">
        <v>-1.06415558669701</v>
      </c>
      <c r="AG5029">
        <v>-1.1075136592229999</v>
      </c>
      <c r="AH5029">
        <v>30.219548950615099</v>
      </c>
      <c r="AI5029">
        <v>92.097589768046902</v>
      </c>
      <c r="AJ5029">
        <v>92.016788548378301</v>
      </c>
      <c r="AK5029">
        <v>30.258555028234301</v>
      </c>
      <c r="AL5029">
        <v>93.899247742691301</v>
      </c>
      <c r="AM5029">
        <v>93.923223414364898</v>
      </c>
      <c r="AN5029">
        <v>0.99999997505254901</v>
      </c>
    </row>
    <row r="5030" spans="1:40" x14ac:dyDescent="0.25">
      <c r="A5030" t="str">
        <f>"20190305135030412"</f>
        <v>20190305135030412</v>
      </c>
      <c r="B5030" t="str">
        <f>"1551765030405527"</f>
        <v>1551765030405527</v>
      </c>
      <c r="C5030" t="s">
        <v>40</v>
      </c>
      <c r="D5030">
        <v>3.9130370000000001</v>
      </c>
      <c r="E5030">
        <v>0.51322909999999999</v>
      </c>
      <c r="F5030" t="s">
        <v>42</v>
      </c>
      <c r="G5030">
        <v>-275.43549999999999</v>
      </c>
      <c r="H5030" s="1">
        <v>-2.2547289999999999E-6</v>
      </c>
      <c r="I5030">
        <v>140.79730000000001</v>
      </c>
      <c r="J5030">
        <v>-244.51769999999999</v>
      </c>
      <c r="K5030">
        <v>1.107558</v>
      </c>
      <c r="L5030">
        <v>141.65700000000001</v>
      </c>
      <c r="M5030">
        <v>-0.99996010000000002</v>
      </c>
      <c r="N5030">
        <v>-2.9845689999999999E-3</v>
      </c>
      <c r="O5030">
        <v>8.4200339999999999E-3</v>
      </c>
      <c r="P5030">
        <v>-0.99562119999999998</v>
      </c>
      <c r="Q5030">
        <v>-7.1028400000000005E-2</v>
      </c>
      <c r="R5030">
        <v>-6.077254E-2</v>
      </c>
      <c r="S5030">
        <v>-3.0005039999999998</v>
      </c>
      <c r="T5030">
        <v>-0.10656599999999999</v>
      </c>
      <c r="U5030">
        <v>-8.2504270000000005E-2</v>
      </c>
      <c r="V5030">
        <v>-6.9219559999999999E-2</v>
      </c>
      <c r="W5030">
        <v>-6.7990910000000002E-2</v>
      </c>
      <c r="X5030">
        <v>0.99528179999999999</v>
      </c>
      <c r="Y5030">
        <v>-3.5873380000000003E-2</v>
      </c>
      <c r="Z5030">
        <v>-9.6406439999999996E-4</v>
      </c>
      <c r="AA5030">
        <v>0.99935589999999996</v>
      </c>
      <c r="AB5030">
        <v>41</v>
      </c>
      <c r="AC5030">
        <v>-30.9178</v>
      </c>
      <c r="AD5030">
        <v>-1.107560254729</v>
      </c>
      <c r="AE5030">
        <v>-0.85970000000000302</v>
      </c>
      <c r="AF5030">
        <v>-1.1185652992653099</v>
      </c>
      <c r="AG5030">
        <v>-1.107560254729</v>
      </c>
      <c r="AH5030">
        <v>30.869881502513099</v>
      </c>
      <c r="AI5030">
        <v>92.053449901140198</v>
      </c>
      <c r="AJ5030">
        <v>92.075195654734102</v>
      </c>
      <c r="AK5030">
        <v>30.909989680130501</v>
      </c>
      <c r="AL5030">
        <v>93.898599902804193</v>
      </c>
      <c r="AM5030">
        <v>93.978383610179407</v>
      </c>
      <c r="AN5030">
        <v>0.99999998637023002</v>
      </c>
    </row>
    <row r="5031" spans="1:40" x14ac:dyDescent="0.25">
      <c r="A5031" t="str">
        <f>"20190305135030432"</f>
        <v>20190305135030432</v>
      </c>
      <c r="B5031" t="str">
        <f>"1551765030425048"</f>
        <v>1551765030425048</v>
      </c>
      <c r="C5031" t="s">
        <v>40</v>
      </c>
      <c r="D5031">
        <v>3.8726189999999998</v>
      </c>
      <c r="E5031">
        <v>0.53590319999999902</v>
      </c>
      <c r="F5031" t="s">
        <v>42</v>
      </c>
      <c r="G5031">
        <v>-275.67399999999998</v>
      </c>
      <c r="H5031" s="1">
        <v>-2.1462790000000002E-6</v>
      </c>
      <c r="I5031">
        <v>140.77420000000001</v>
      </c>
      <c r="J5031">
        <v>-244.88489999999999</v>
      </c>
      <c r="K5031">
        <v>1.107612</v>
      </c>
      <c r="L5031">
        <v>141.6602</v>
      </c>
      <c r="M5031">
        <v>-0.99995919999999905</v>
      </c>
      <c r="N5031">
        <v>-3.0240459999999999E-3</v>
      </c>
      <c r="O5031">
        <v>8.5244180000000006E-3</v>
      </c>
      <c r="P5031">
        <v>-0.9955408</v>
      </c>
      <c r="Q5031">
        <v>-7.0522559999999998E-2</v>
      </c>
      <c r="R5031">
        <v>-6.2654810000000005E-2</v>
      </c>
      <c r="S5031">
        <v>-3.0004119999999999</v>
      </c>
      <c r="T5031">
        <v>-0.1066604</v>
      </c>
      <c r="U5031">
        <v>-8.5006709999999999E-2</v>
      </c>
      <c r="V5031">
        <v>-7.1196789999999996E-2</v>
      </c>
      <c r="W5031">
        <v>-6.7452449999999997E-2</v>
      </c>
      <c r="X5031">
        <v>0.99517900000000004</v>
      </c>
      <c r="Y5031">
        <v>-3.6810610000000001E-2</v>
      </c>
      <c r="Z5031">
        <v>-9.8674929999999998E-4</v>
      </c>
      <c r="AA5031">
        <v>0.99932180000000004</v>
      </c>
      <c r="AB5031">
        <v>42</v>
      </c>
      <c r="AC5031">
        <v>-30.789100000000001</v>
      </c>
      <c r="AD5031">
        <v>-1.1076141462789999</v>
      </c>
      <c r="AE5031">
        <v>-0.88599999999999501</v>
      </c>
      <c r="AF5031">
        <v>-1.1469450534021399</v>
      </c>
      <c r="AG5031">
        <v>-1.1076141462789999</v>
      </c>
      <c r="AH5031">
        <v>30.740678660935298</v>
      </c>
      <c r="AI5031">
        <v>92.062091975800101</v>
      </c>
      <c r="AJ5031">
        <v>92.136733671689797</v>
      </c>
      <c r="AK5031">
        <v>30.782001503921801</v>
      </c>
      <c r="AL5031">
        <v>93.867677261297501</v>
      </c>
      <c r="AM5031">
        <v>94.092065187744694</v>
      </c>
      <c r="AN5031">
        <v>1.00000002897915</v>
      </c>
    </row>
    <row r="5032" spans="1:40" x14ac:dyDescent="0.25">
      <c r="A5032" t="str">
        <f>"20190305135030454"</f>
        <v>20190305135030454</v>
      </c>
      <c r="B5032" t="str">
        <f>"1551765030445542"</f>
        <v>1551765030445542</v>
      </c>
      <c r="C5032" t="s">
        <v>40</v>
      </c>
      <c r="D5032">
        <v>3.8422170000000002</v>
      </c>
      <c r="E5032">
        <v>0.5396531</v>
      </c>
      <c r="F5032" t="s">
        <v>85</v>
      </c>
      <c r="G5032">
        <v>-472.93459999999999</v>
      </c>
      <c r="H5032" s="1">
        <v>-6.1030590000000004E-6</v>
      </c>
      <c r="I5032">
        <v>147.9528</v>
      </c>
      <c r="J5032">
        <v>-245.3021</v>
      </c>
      <c r="K5032">
        <v>1.1076619999999999</v>
      </c>
      <c r="L5032">
        <v>141.66380000000001</v>
      </c>
      <c r="M5032">
        <v>-0.99995820000000002</v>
      </c>
      <c r="N5032">
        <v>-3.068851E-3</v>
      </c>
      <c r="O5032">
        <v>8.6174069999999901E-3</v>
      </c>
      <c r="P5032">
        <v>-0.99548110000000001</v>
      </c>
      <c r="Q5032">
        <v>-6.9707379999999999E-2</v>
      </c>
      <c r="R5032">
        <v>-6.4487199999999995E-2</v>
      </c>
      <c r="S5032">
        <v>-3.017639</v>
      </c>
      <c r="T5032">
        <v>-1.465642E-2</v>
      </c>
      <c r="U5032">
        <v>8.3267209999999994E-2</v>
      </c>
      <c r="V5032">
        <v>-7.3112780000000002E-2</v>
      </c>
      <c r="W5032">
        <v>-6.6599179999999994E-2</v>
      </c>
      <c r="X5032">
        <v>0.99509749999999997</v>
      </c>
      <c r="Y5032">
        <v>1.8967459999999998E-2</v>
      </c>
      <c r="Z5032" s="1">
        <v>5.9760029999999999E-5</v>
      </c>
      <c r="AA5032">
        <v>0.99982009999999999</v>
      </c>
      <c r="AB5032">
        <v>42</v>
      </c>
      <c r="AC5032">
        <v>-227.63249999999999</v>
      </c>
      <c r="AD5032">
        <v>-1.1076681030589901</v>
      </c>
      <c r="AE5032">
        <v>6.2889999999999802</v>
      </c>
      <c r="AF5032">
        <v>4.3270530464249699</v>
      </c>
      <c r="AG5032">
        <v>-1.1076681030589901</v>
      </c>
      <c r="AH5032">
        <v>227.67285613137</v>
      </c>
      <c r="AI5032">
        <v>90.2787014184821</v>
      </c>
      <c r="AJ5032">
        <v>88.911191974307599</v>
      </c>
      <c r="AK5032">
        <v>227.71666547644</v>
      </c>
      <c r="AL5032">
        <v>93.818678484499898</v>
      </c>
      <c r="AM5032">
        <v>94.202141147133403</v>
      </c>
      <c r="AN5032">
        <v>0.99999998194112505</v>
      </c>
    </row>
    <row r="5033" spans="1:40" x14ac:dyDescent="0.25">
      <c r="A5033" t="str">
        <f>"20190305135030475"</f>
        <v>20190305135030475</v>
      </c>
      <c r="B5033" t="str">
        <f>"1551765030465063"</f>
        <v>1551765030465063</v>
      </c>
      <c r="C5033" t="s">
        <v>40</v>
      </c>
      <c r="D5033">
        <v>3.867791</v>
      </c>
      <c r="E5033">
        <v>0.53866759999999902</v>
      </c>
      <c r="F5033" t="s">
        <v>81</v>
      </c>
      <c r="G5033">
        <v>-511.0591</v>
      </c>
      <c r="H5033">
        <v>1.467211</v>
      </c>
      <c r="I5033">
        <v>151.04839999999999</v>
      </c>
      <c r="J5033">
        <v>-245.7071</v>
      </c>
      <c r="K5033">
        <v>1.1076900000000001</v>
      </c>
      <c r="L5033">
        <v>141.66739999999999</v>
      </c>
      <c r="M5033">
        <v>-0.99995750000000005</v>
      </c>
      <c r="N5033">
        <v>-3.112302E-3</v>
      </c>
      <c r="O5033">
        <v>8.6955130000000002E-3</v>
      </c>
      <c r="P5033">
        <v>-0.9954094</v>
      </c>
      <c r="Q5033">
        <v>-6.9363679999999997E-2</v>
      </c>
      <c r="R5033">
        <v>-6.5949090000000002E-2</v>
      </c>
      <c r="S5033">
        <v>-3.0208279999999998</v>
      </c>
      <c r="T5033">
        <v>4.0874479999999996E-3</v>
      </c>
      <c r="U5033">
        <v>0.1066742</v>
      </c>
      <c r="V5033">
        <v>-7.4645790000000004E-2</v>
      </c>
      <c r="W5033">
        <v>-6.6217769999999995E-2</v>
      </c>
      <c r="X5033">
        <v>0.99500909999999998</v>
      </c>
      <c r="Y5033">
        <v>2.659955E-2</v>
      </c>
      <c r="Z5033" s="1">
        <v>6.2233230000000001E-5</v>
      </c>
      <c r="AA5033">
        <v>0.99964620000000004</v>
      </c>
      <c r="AB5033">
        <v>42</v>
      </c>
      <c r="AC5033">
        <v>-265.35199999999998</v>
      </c>
      <c r="AD5033">
        <v>0.35952099999999998</v>
      </c>
      <c r="AE5033">
        <v>9.3810000000000002</v>
      </c>
      <c r="AF5033">
        <v>7.07324976948009</v>
      </c>
      <c r="AG5033">
        <v>0.35952099999999998</v>
      </c>
      <c r="AH5033">
        <v>265.42305418465497</v>
      </c>
      <c r="AI5033">
        <v>89.922419275381898</v>
      </c>
      <c r="AJ5033">
        <v>88.473488049285294</v>
      </c>
      <c r="AK5033">
        <v>265.51752825446601</v>
      </c>
      <c r="AL5033">
        <v>93.796777082373495</v>
      </c>
      <c r="AM5033">
        <v>94.290304704205397</v>
      </c>
      <c r="AN5033">
        <v>0.99999994805565195</v>
      </c>
    </row>
    <row r="5034" spans="1:40" x14ac:dyDescent="0.25">
      <c r="A5034" t="str">
        <f>"20190305135030490"</f>
        <v>20190305135030490</v>
      </c>
      <c r="B5034" t="str">
        <f>"1551765030485559"</f>
        <v>1551765030485559</v>
      </c>
      <c r="C5034" t="s">
        <v>40</v>
      </c>
      <c r="D5034">
        <v>3.8140489999999998</v>
      </c>
      <c r="E5034">
        <v>0.53819700000000004</v>
      </c>
      <c r="F5034" t="s">
        <v>81</v>
      </c>
      <c r="G5034">
        <v>-511.05880000000002</v>
      </c>
      <c r="H5034">
        <v>0.4070165</v>
      </c>
      <c r="I5034">
        <v>150.06389999999999</v>
      </c>
      <c r="J5034">
        <v>-245.97929999999999</v>
      </c>
      <c r="K5034">
        <v>1.10771</v>
      </c>
      <c r="L5034">
        <v>141.66980000000001</v>
      </c>
      <c r="M5034">
        <v>-0.99995679999999998</v>
      </c>
      <c r="N5034">
        <v>-3.1415369999999998E-3</v>
      </c>
      <c r="O5034">
        <v>8.7475699999999997E-3</v>
      </c>
      <c r="P5034">
        <v>-0.99534370000000005</v>
      </c>
      <c r="Q5034">
        <v>-6.9822789999999996E-2</v>
      </c>
      <c r="R5034">
        <v>-6.6452059999999993E-2</v>
      </c>
      <c r="S5034">
        <v>-3.0196230000000002</v>
      </c>
      <c r="T5034">
        <v>-7.9729559999999998E-3</v>
      </c>
      <c r="U5034">
        <v>9.5550540000000003E-2</v>
      </c>
      <c r="V5034">
        <v>-7.519779E-2</v>
      </c>
      <c r="W5034">
        <v>-6.6651260000000004E-2</v>
      </c>
      <c r="X5034">
        <v>0.99493869999999895</v>
      </c>
      <c r="Y5034">
        <v>2.288275E-2</v>
      </c>
      <c r="Z5034" s="1">
        <v>7.0539850000000002E-5</v>
      </c>
      <c r="AA5034">
        <v>0.99973820000000002</v>
      </c>
      <c r="AB5034">
        <v>42</v>
      </c>
      <c r="AC5034">
        <v>-265.0795</v>
      </c>
      <c r="AD5034">
        <v>-0.70069349999999997</v>
      </c>
      <c r="AE5034">
        <v>8.3940999999999804</v>
      </c>
      <c r="AF5034">
        <v>6.0749234936055698</v>
      </c>
      <c r="AG5034">
        <v>-0.70069349999999997</v>
      </c>
      <c r="AH5034">
        <v>265.14093536669498</v>
      </c>
      <c r="AI5034">
        <v>90.151376675256898</v>
      </c>
      <c r="AJ5034">
        <v>88.687465636650302</v>
      </c>
      <c r="AK5034">
        <v>265.21144634792802</v>
      </c>
      <c r="AL5034">
        <v>93.821668804790704</v>
      </c>
      <c r="AM5034">
        <v>94.322216064115807</v>
      </c>
      <c r="AN5034">
        <v>1.0000000574190699</v>
      </c>
    </row>
    <row r="5035" spans="1:40" x14ac:dyDescent="0.25">
      <c r="A5035" t="str">
        <f>"20190305135030504"</f>
        <v>20190305135030504</v>
      </c>
      <c r="B5035" t="str">
        <f>"1551765030495318"</f>
        <v>1551765030495318</v>
      </c>
      <c r="C5035" t="s">
        <v>40</v>
      </c>
      <c r="D5035">
        <v>3.815124</v>
      </c>
      <c r="E5035">
        <v>0.53815570000000001</v>
      </c>
      <c r="F5035" t="s">
        <v>42</v>
      </c>
      <c r="G5035">
        <v>-462.62259999999998</v>
      </c>
      <c r="H5035" s="1">
        <v>-4.3594250000000002E-6</v>
      </c>
      <c r="I5035">
        <v>148.18260000000001</v>
      </c>
      <c r="J5035">
        <v>-246.23769999999999</v>
      </c>
      <c r="K5035">
        <v>1.1077189999999999</v>
      </c>
      <c r="L5035">
        <v>141.6721</v>
      </c>
      <c r="M5035">
        <v>-0.99995630000000002</v>
      </c>
      <c r="N5035">
        <v>-3.1692270000000002E-3</v>
      </c>
      <c r="O5035">
        <v>8.8023890000000007E-3</v>
      </c>
      <c r="P5035">
        <v>-0.99529909999999999</v>
      </c>
      <c r="Q5035">
        <v>-7.0108019999999993E-2</v>
      </c>
      <c r="R5035">
        <v>-6.6817390000000004E-2</v>
      </c>
      <c r="S5035">
        <v>-3.019028</v>
      </c>
      <c r="T5035">
        <v>-1.543653E-2</v>
      </c>
      <c r="U5035">
        <v>9.0759279999999998E-2</v>
      </c>
      <c r="V5035">
        <v>-7.5614909999999994E-2</v>
      </c>
      <c r="W5035">
        <v>-6.6911310000000002E-2</v>
      </c>
      <c r="X5035">
        <v>0.99488960000000004</v>
      </c>
      <c r="Y5035">
        <v>2.124879E-2</v>
      </c>
      <c r="Z5035" s="1">
        <v>7.0886660000000004E-5</v>
      </c>
      <c r="AA5035">
        <v>0.99977419999999995</v>
      </c>
      <c r="AB5035">
        <v>42</v>
      </c>
      <c r="AC5035">
        <v>-216.38489999999999</v>
      </c>
      <c r="AD5035">
        <v>-1.107723359425</v>
      </c>
      <c r="AE5035">
        <v>6.5105000000000004</v>
      </c>
      <c r="AF5035">
        <v>4.6054136794751299</v>
      </c>
      <c r="AG5035">
        <v>-1.107723359425</v>
      </c>
      <c r="AH5035">
        <v>216.42815832834299</v>
      </c>
      <c r="AI5035">
        <v>90.293182530763005</v>
      </c>
      <c r="AJ5035">
        <v>88.7809767804752</v>
      </c>
      <c r="AK5035">
        <v>216.47998661215399</v>
      </c>
      <c r="AL5035">
        <v>93.836602024003895</v>
      </c>
      <c r="AM5035">
        <v>94.346313333339694</v>
      </c>
      <c r="AN5035">
        <v>1.00000002710419</v>
      </c>
    </row>
    <row r="5036" spans="1:40" x14ac:dyDescent="0.25">
      <c r="A5036" t="str">
        <f>"20190305135030520"</f>
        <v>20190305135030520</v>
      </c>
      <c r="B5036" t="str">
        <f>"1551765030514839"</f>
        <v>1551765030514839</v>
      </c>
      <c r="C5036" t="s">
        <v>40</v>
      </c>
      <c r="D5036">
        <v>3.8456589999999999</v>
      </c>
      <c r="E5036">
        <v>0.53811540000000002</v>
      </c>
      <c r="F5036" t="s">
        <v>42</v>
      </c>
      <c r="G5036">
        <v>-441.1628</v>
      </c>
      <c r="H5036" s="1">
        <v>-4.2550620000000004E-6</v>
      </c>
      <c r="I5036">
        <v>147.44139999999999</v>
      </c>
      <c r="J5036">
        <v>-246.55359999999999</v>
      </c>
      <c r="K5036">
        <v>1.107731</v>
      </c>
      <c r="L5036">
        <v>141.67490000000001</v>
      </c>
      <c r="M5036">
        <v>-0.9999555</v>
      </c>
      <c r="N5036">
        <v>-3.2031469999999999E-3</v>
      </c>
      <c r="O5036">
        <v>8.8763309999999995E-3</v>
      </c>
      <c r="P5036">
        <v>-0.99519029999999997</v>
      </c>
      <c r="Q5036">
        <v>-7.1050089999999996E-2</v>
      </c>
      <c r="R5036">
        <v>-6.7441360000000006E-2</v>
      </c>
      <c r="S5036">
        <v>-3.018967</v>
      </c>
      <c r="T5036">
        <v>-1.715624E-2</v>
      </c>
      <c r="U5036">
        <v>8.9355470000000006E-2</v>
      </c>
      <c r="V5036">
        <v>-7.6309909999999995E-2</v>
      </c>
      <c r="W5036">
        <v>-6.7821960000000001E-2</v>
      </c>
      <c r="X5036">
        <v>0.99477479999999996</v>
      </c>
      <c r="Y5036">
        <v>2.0710929999999999E-2</v>
      </c>
      <c r="Z5036" s="1">
        <v>7.0010859999999995E-5</v>
      </c>
      <c r="AA5036">
        <v>0.99978549999999999</v>
      </c>
      <c r="AB5036">
        <v>42</v>
      </c>
      <c r="AC5036">
        <v>-194.60919999999999</v>
      </c>
      <c r="AD5036">
        <v>-1.1077352550620001</v>
      </c>
      <c r="AE5036">
        <v>5.7664999999999704</v>
      </c>
      <c r="AF5036">
        <v>4.0387175920664804</v>
      </c>
      <c r="AG5036">
        <v>-1.1077352550620001</v>
      </c>
      <c r="AH5036">
        <v>194.64641782337799</v>
      </c>
      <c r="AI5036">
        <v>90.325997329119303</v>
      </c>
      <c r="AJ5036">
        <v>88.8113407063056</v>
      </c>
      <c r="AK5036">
        <v>194.69146434463099</v>
      </c>
      <c r="AL5036">
        <v>93.888897480538006</v>
      </c>
      <c r="AM5036">
        <v>94.386610654395298</v>
      </c>
      <c r="AN5036">
        <v>0.99999996166874405</v>
      </c>
    </row>
    <row r="5037" spans="1:40" x14ac:dyDescent="0.25">
      <c r="A5037" t="str">
        <f>"20190305135030544"</f>
        <v>20190305135030544</v>
      </c>
      <c r="B5037" t="str">
        <f>"1551765030535338"</f>
        <v>1551765030535338</v>
      </c>
      <c r="C5037" t="s">
        <v>40</v>
      </c>
      <c r="D5037">
        <v>3.8064580000000001</v>
      </c>
      <c r="E5037">
        <v>0.53802229999999995</v>
      </c>
      <c r="F5037" t="s">
        <v>42</v>
      </c>
      <c r="G5037">
        <v>-395.93340000000001</v>
      </c>
      <c r="H5037" s="1">
        <v>-3.389612E-6</v>
      </c>
      <c r="I5037">
        <v>146.00200000000001</v>
      </c>
      <c r="J5037">
        <v>-246.9991</v>
      </c>
      <c r="K5037">
        <v>1.1077399999999999</v>
      </c>
      <c r="L5037">
        <v>141.679</v>
      </c>
      <c r="M5037">
        <v>-0.99995420000000002</v>
      </c>
      <c r="N5037">
        <v>-3.250995E-3</v>
      </c>
      <c r="O5037">
        <v>8.994541E-3</v>
      </c>
      <c r="P5037">
        <v>-0.99513459999999998</v>
      </c>
      <c r="Q5037">
        <v>-7.1466660000000001E-2</v>
      </c>
      <c r="R5037">
        <v>-6.7820500000000006E-2</v>
      </c>
      <c r="S5037">
        <v>-3.0188139999999999</v>
      </c>
      <c r="T5037">
        <v>-2.238619E-2</v>
      </c>
      <c r="U5037">
        <v>8.7448120000000004E-2</v>
      </c>
      <c r="V5037">
        <v>-7.6804120000000003E-2</v>
      </c>
      <c r="W5037">
        <v>-6.8193210000000004E-2</v>
      </c>
      <c r="X5037">
        <v>0.99471140000000002</v>
      </c>
      <c r="Y5037">
        <v>1.9962859999999999E-2</v>
      </c>
      <c r="Z5037" s="1">
        <v>6.901284E-5</v>
      </c>
      <c r="AA5037">
        <v>0.99980069999999999</v>
      </c>
      <c r="AB5037">
        <v>42</v>
      </c>
      <c r="AC5037">
        <v>-148.93430000000001</v>
      </c>
      <c r="AD5037">
        <v>-1.1077433896119999</v>
      </c>
      <c r="AE5037">
        <v>4.3230000000000004</v>
      </c>
      <c r="AF5037">
        <v>2.98305740709643</v>
      </c>
      <c r="AG5037">
        <v>-1.1077433896119999</v>
      </c>
      <c r="AH5037">
        <v>148.95892530032199</v>
      </c>
      <c r="AI5037">
        <v>90.425990779464698</v>
      </c>
      <c r="AJ5037">
        <v>88.852745772952801</v>
      </c>
      <c r="AK5037">
        <v>148.99290974250499</v>
      </c>
      <c r="AL5037">
        <v>93.910217836559298</v>
      </c>
      <c r="AM5037">
        <v>94.415188219845106</v>
      </c>
      <c r="AN5037">
        <v>0.99999997801451901</v>
      </c>
    </row>
    <row r="5038" spans="1:40" x14ac:dyDescent="0.25">
      <c r="A5038" t="str">
        <f>"20190305135030556"</f>
        <v>20190305135030556</v>
      </c>
      <c r="B5038" t="str">
        <f>"1551765030545098"</f>
        <v>1551765030545098</v>
      </c>
      <c r="C5038" t="s">
        <v>40</v>
      </c>
      <c r="D5038">
        <v>3.8485909999999999</v>
      </c>
      <c r="E5038">
        <v>0.53807510000000003</v>
      </c>
      <c r="F5038" t="s">
        <v>42</v>
      </c>
      <c r="G5038">
        <v>-378.55110000000002</v>
      </c>
      <c r="H5038" s="1">
        <v>-2.1460159999999999E-6</v>
      </c>
      <c r="I5038">
        <v>145.41200000000001</v>
      </c>
      <c r="J5038">
        <v>-247.2432</v>
      </c>
      <c r="K5038">
        <v>1.1077429999999999</v>
      </c>
      <c r="L5038">
        <v>141.68119999999999</v>
      </c>
      <c r="M5038">
        <v>-0.99995369999999995</v>
      </c>
      <c r="N5038">
        <v>-3.2771499999999999E-3</v>
      </c>
      <c r="O5038">
        <v>9.0652990000000006E-3</v>
      </c>
      <c r="P5038">
        <v>-0.99513560000000001</v>
      </c>
      <c r="Q5038">
        <v>-7.1597640000000004E-2</v>
      </c>
      <c r="R5038">
        <v>-6.7669820000000006E-2</v>
      </c>
      <c r="S5038">
        <v>-3.0186920000000002</v>
      </c>
      <c r="T5038">
        <v>-2.541912E-2</v>
      </c>
      <c r="U5038">
        <v>8.5662840000000004E-2</v>
      </c>
      <c r="V5038">
        <v>-7.6722940000000003E-2</v>
      </c>
      <c r="W5038">
        <v>-6.8299070000000003E-2</v>
      </c>
      <c r="X5038">
        <v>0.99471039999999999</v>
      </c>
      <c r="Y5038">
        <v>1.9302360000000001E-2</v>
      </c>
      <c r="Z5038" s="1">
        <v>6.6274569999999995E-5</v>
      </c>
      <c r="AA5038">
        <v>0.99981370000000003</v>
      </c>
      <c r="AB5038">
        <v>42</v>
      </c>
      <c r="AC5038">
        <v>-131.30789999999999</v>
      </c>
      <c r="AD5038">
        <v>-1.1077451460159999</v>
      </c>
      <c r="AE5038">
        <v>3.7308000000000101</v>
      </c>
      <c r="AF5038">
        <v>2.5401144875403201</v>
      </c>
      <c r="AG5038">
        <v>-1.1077451460159999</v>
      </c>
      <c r="AH5038">
        <v>131.326986383551</v>
      </c>
      <c r="AI5038">
        <v>90.483188948182601</v>
      </c>
      <c r="AJ5038">
        <v>88.891928470520199</v>
      </c>
      <c r="AK5038">
        <v>131.356220383748</v>
      </c>
      <c r="AL5038">
        <v>93.916297349404999</v>
      </c>
      <c r="AM5038">
        <v>94.410544318362497</v>
      </c>
      <c r="AN5038">
        <v>0.99999997617663405</v>
      </c>
    </row>
    <row r="5039" spans="1:40" x14ac:dyDescent="0.25">
      <c r="A5039" t="str">
        <f>"20190305135030569"</f>
        <v>20190305135030569</v>
      </c>
      <c r="B5039" t="str">
        <f>"1551765030565590"</f>
        <v>1551765030565590</v>
      </c>
      <c r="C5039" t="s">
        <v>40</v>
      </c>
      <c r="D5039">
        <v>3.787636</v>
      </c>
      <c r="E5039">
        <v>0.5378212</v>
      </c>
      <c r="F5039" t="s">
        <v>42</v>
      </c>
      <c r="G5039">
        <v>-375.48520000000002</v>
      </c>
      <c r="H5039" s="1">
        <v>-3.4284359999999998E-6</v>
      </c>
      <c r="I5039">
        <v>145.3612</v>
      </c>
      <c r="J5039">
        <v>-247.49090000000001</v>
      </c>
      <c r="K5039">
        <v>1.1077459999999999</v>
      </c>
      <c r="L5039">
        <v>141.68350000000001</v>
      </c>
      <c r="M5039">
        <v>-0.99995279999999998</v>
      </c>
      <c r="N5039">
        <v>-3.3036609999999998E-3</v>
      </c>
      <c r="O5039">
        <v>9.1402900000000006E-3</v>
      </c>
      <c r="P5039">
        <v>-0.99511939999999999</v>
      </c>
      <c r="Q5039">
        <v>-7.180607E-2</v>
      </c>
      <c r="R5039">
        <v>-6.7685510000000004E-2</v>
      </c>
      <c r="S5039">
        <v>-3.0186769999999998</v>
      </c>
      <c r="T5039">
        <v>-2.607512E-2</v>
      </c>
      <c r="U5039">
        <v>8.6624149999999997E-2</v>
      </c>
      <c r="V5039">
        <v>-7.6812569999999997E-2</v>
      </c>
      <c r="W5039">
        <v>-6.8481920000000002E-2</v>
      </c>
      <c r="X5039">
        <v>0.99469099999999999</v>
      </c>
      <c r="Y5039">
        <v>1.95456E-2</v>
      </c>
      <c r="Z5039" s="1">
        <v>6.7950620000000001E-5</v>
      </c>
      <c r="AA5039">
        <v>0.99980899999999995</v>
      </c>
      <c r="AB5039">
        <v>43</v>
      </c>
      <c r="AC5039">
        <v>-127.9943</v>
      </c>
      <c r="AD5039">
        <v>-1.1077494284360001</v>
      </c>
      <c r="AE5039">
        <v>3.6776999999999802</v>
      </c>
      <c r="AF5039">
        <v>2.5074473382518301</v>
      </c>
      <c r="AG5039">
        <v>-1.1077494284360001</v>
      </c>
      <c r="AH5039">
        <v>128.01298791733001</v>
      </c>
      <c r="AI5039">
        <v>90.495696668856596</v>
      </c>
      <c r="AJ5039">
        <v>88.877865574183502</v>
      </c>
      <c r="AK5039">
        <v>128.042334704084</v>
      </c>
      <c r="AL5039">
        <v>93.926798121110394</v>
      </c>
      <c r="AM5039">
        <v>94.415762260740706</v>
      </c>
      <c r="AN5039">
        <v>1.00000006487894</v>
      </c>
    </row>
    <row r="5040" spans="1:40" x14ac:dyDescent="0.25">
      <c r="A5040" t="str">
        <f>"20190305135030586"</f>
        <v>20190305135030586</v>
      </c>
      <c r="B5040" t="str">
        <f>"1551765030575350"</f>
        <v>1551765030575350</v>
      </c>
      <c r="C5040" t="s">
        <v>40</v>
      </c>
      <c r="D5040">
        <v>3.8216519999999998</v>
      </c>
      <c r="E5040">
        <v>0.53787719999999895</v>
      </c>
      <c r="F5040" t="s">
        <v>42</v>
      </c>
      <c r="G5040">
        <v>-365.6669</v>
      </c>
      <c r="H5040" s="1">
        <v>-3.2729290000000002E-6</v>
      </c>
      <c r="I5040">
        <v>144.99719999999999</v>
      </c>
      <c r="J5040">
        <v>-247.80860000000001</v>
      </c>
      <c r="K5040">
        <v>1.1077509999999999</v>
      </c>
      <c r="L5040">
        <v>141.6865</v>
      </c>
      <c r="M5040">
        <v>-0.99995179999999995</v>
      </c>
      <c r="N5040">
        <v>-3.3376740000000001E-3</v>
      </c>
      <c r="O5040">
        <v>9.2423899999999996E-3</v>
      </c>
      <c r="P5040">
        <v>-0.99511970000000005</v>
      </c>
      <c r="Q5040">
        <v>-7.2070209999999996E-2</v>
      </c>
      <c r="R5040">
        <v>-6.7401069999999993E-2</v>
      </c>
      <c r="S5040">
        <v>-3.0184329999999999</v>
      </c>
      <c r="T5040">
        <v>-2.8293970000000002E-2</v>
      </c>
      <c r="U5040">
        <v>8.4640499999999994E-2</v>
      </c>
      <c r="V5040">
        <v>-7.6629210000000003E-2</v>
      </c>
      <c r="W5040">
        <v>-6.8713079999999996E-2</v>
      </c>
      <c r="X5040">
        <v>0.99468909999999999</v>
      </c>
      <c r="Y5040">
        <v>1.8789239999999999E-2</v>
      </c>
      <c r="Z5040" s="1">
        <v>6.3636739999999996E-5</v>
      </c>
      <c r="AA5040">
        <v>0.99982349999999998</v>
      </c>
      <c r="AB5040">
        <v>43</v>
      </c>
      <c r="AC5040">
        <v>-117.8583</v>
      </c>
      <c r="AD5040">
        <v>-1.107754272929</v>
      </c>
      <c r="AE5040">
        <v>3.31069999999999</v>
      </c>
      <c r="AF5040">
        <v>2.2210641828970399</v>
      </c>
      <c r="AG5040">
        <v>-1.107754272929</v>
      </c>
      <c r="AH5040">
        <v>117.873460003261</v>
      </c>
      <c r="AI5040">
        <v>90.538344362459299</v>
      </c>
      <c r="AJ5040">
        <v>88.920515729729999</v>
      </c>
      <c r="AK5040">
        <v>117.899587865158</v>
      </c>
      <c r="AL5040">
        <v>93.940074281257907</v>
      </c>
      <c r="AM5040">
        <v>94.405271277183303</v>
      </c>
      <c r="AN5040">
        <v>0.99999996442355898</v>
      </c>
    </row>
    <row r="5041" spans="1:40" x14ac:dyDescent="0.25">
      <c r="A5041" t="str">
        <f>"20190305135030599"</f>
        <v>20190305135030599</v>
      </c>
      <c r="B5041" t="str">
        <f>"1551765030594871"</f>
        <v>1551765030594871</v>
      </c>
      <c r="C5041" t="s">
        <v>40</v>
      </c>
      <c r="D5041">
        <v>3.8157679999999998</v>
      </c>
      <c r="E5041">
        <v>0.53791020000000001</v>
      </c>
      <c r="F5041" t="s">
        <v>42</v>
      </c>
      <c r="G5041">
        <v>-364.16460000000001</v>
      </c>
      <c r="H5041" s="1">
        <v>-3.8134100000000001E-6</v>
      </c>
      <c r="I5041">
        <v>144.99799999999999</v>
      </c>
      <c r="J5041">
        <v>-248.0532</v>
      </c>
      <c r="K5041">
        <v>1.107753</v>
      </c>
      <c r="L5041">
        <v>141.68879999999999</v>
      </c>
      <c r="M5041">
        <v>-0.99995089999999998</v>
      </c>
      <c r="N5041">
        <v>-3.3638510000000002E-3</v>
      </c>
      <c r="O5041">
        <v>9.3235829999999999E-3</v>
      </c>
      <c r="P5041">
        <v>-0.99510920000000003</v>
      </c>
      <c r="Q5041">
        <v>-7.2252670000000005E-2</v>
      </c>
      <c r="R5041">
        <v>-6.7360899999999904E-2</v>
      </c>
      <c r="S5041">
        <v>-3.0184630000000001</v>
      </c>
      <c r="T5041">
        <v>-2.8736950000000001E-2</v>
      </c>
      <c r="U5041">
        <v>8.5906979999999994E-2</v>
      </c>
      <c r="V5041">
        <v>-7.666916E-2</v>
      </c>
      <c r="W5041">
        <v>-6.8870050000000002E-2</v>
      </c>
      <c r="X5041">
        <v>0.99467519999999998</v>
      </c>
      <c r="Y5041">
        <v>1.9126890000000001E-2</v>
      </c>
      <c r="Z5041" s="1">
        <v>6.5822389999999994E-5</v>
      </c>
      <c r="AA5041">
        <v>0.99981710000000001</v>
      </c>
      <c r="AB5041">
        <v>43</v>
      </c>
      <c r="AC5041">
        <v>-116.1114</v>
      </c>
      <c r="AD5041">
        <v>-1.10775681341</v>
      </c>
      <c r="AE5041">
        <v>3.3092000000000001</v>
      </c>
      <c r="AF5041">
        <v>2.22627331555451</v>
      </c>
      <c r="AG5041">
        <v>-1.10775681341</v>
      </c>
      <c r="AH5041">
        <v>116.12664554776801</v>
      </c>
      <c r="AI5041">
        <v>90.546439669387794</v>
      </c>
      <c r="AJ5041">
        <v>88.901712514304606</v>
      </c>
      <c r="AK5041">
        <v>116.15326609359801</v>
      </c>
      <c r="AL5041">
        <v>93.949089220791606</v>
      </c>
      <c r="AM5041">
        <v>94.4076202314847</v>
      </c>
      <c r="AN5041">
        <v>0.99999999868857403</v>
      </c>
    </row>
    <row r="5042" spans="1:40" x14ac:dyDescent="0.25">
      <c r="A5042" t="str">
        <f>"20190305135030612"</f>
        <v>20190305135030612</v>
      </c>
      <c r="B5042" t="str">
        <f>"1551765030605608"</f>
        <v>1551765030605608</v>
      </c>
      <c r="C5042" t="s">
        <v>40</v>
      </c>
      <c r="D5042">
        <v>3.7772480000000002</v>
      </c>
      <c r="E5042">
        <v>0.53788159999999996</v>
      </c>
      <c r="F5042" t="s">
        <v>42</v>
      </c>
      <c r="G5042">
        <v>-356.43880000000001</v>
      </c>
      <c r="H5042" s="1">
        <v>-2.8857650000000001E-6</v>
      </c>
      <c r="I5042">
        <v>144.7867</v>
      </c>
      <c r="J5042">
        <v>-248.30029999999999</v>
      </c>
      <c r="K5042">
        <v>1.107758</v>
      </c>
      <c r="L5042">
        <v>141.69120000000001</v>
      </c>
      <c r="M5042">
        <v>-0.99995000000000001</v>
      </c>
      <c r="N5042">
        <v>-3.390278E-3</v>
      </c>
      <c r="O5042">
        <v>9.4070999999999998E-3</v>
      </c>
      <c r="P5042">
        <v>-0.99510529999999997</v>
      </c>
      <c r="Q5042">
        <v>-7.231253E-2</v>
      </c>
      <c r="R5042">
        <v>-6.7354730000000002E-2</v>
      </c>
      <c r="S5042">
        <v>-3.0183409999999999</v>
      </c>
      <c r="T5042">
        <v>-3.0848980000000002E-2</v>
      </c>
      <c r="U5042">
        <v>8.627319E-2</v>
      </c>
      <c r="V5042">
        <v>-7.6745350000000004E-2</v>
      </c>
      <c r="W5042">
        <v>-6.8904160000000006E-2</v>
      </c>
      <c r="X5042">
        <v>0.99466699999999997</v>
      </c>
      <c r="Y5042">
        <v>1.9165629999999999E-2</v>
      </c>
      <c r="Z5042" s="1">
        <v>6.6183139999999996E-5</v>
      </c>
      <c r="AA5042">
        <v>0.99981629999999999</v>
      </c>
      <c r="AB5042">
        <v>43</v>
      </c>
      <c r="AC5042">
        <v>-108.13849999999999</v>
      </c>
      <c r="AD5042">
        <v>-1.1077608857650001</v>
      </c>
      <c r="AE5042">
        <v>3.0954999999999799</v>
      </c>
      <c r="AF5042">
        <v>2.07786962656145</v>
      </c>
      <c r="AG5042">
        <v>-1.1077608857650001</v>
      </c>
      <c r="AH5042">
        <v>108.151495033136</v>
      </c>
      <c r="AI5042">
        <v>90.586733399495103</v>
      </c>
      <c r="AJ5042">
        <v>88.899335466855803</v>
      </c>
      <c r="AK5042">
        <v>108.177125836599</v>
      </c>
      <c r="AL5042">
        <v>93.9510480841071</v>
      </c>
      <c r="AM5042">
        <v>94.412019248438298</v>
      </c>
      <c r="AN5042">
        <v>1.00000003645046</v>
      </c>
    </row>
    <row r="5043" spans="1:40" x14ac:dyDescent="0.25">
      <c r="A5043" t="str">
        <f>"20190305135030627"</f>
        <v>20190305135030627</v>
      </c>
      <c r="B5043" t="str">
        <f>"1551765030615367"</f>
        <v>1551765030615367</v>
      </c>
      <c r="C5043" t="s">
        <v>40</v>
      </c>
      <c r="D5043">
        <v>3.824675</v>
      </c>
      <c r="E5043">
        <v>0.53785169999999904</v>
      </c>
      <c r="F5043" t="s">
        <v>42</v>
      </c>
      <c r="G5043">
        <v>-355.31699999999898</v>
      </c>
      <c r="H5043" s="1">
        <v>-3.3551100000000001E-6</v>
      </c>
      <c r="I5043">
        <v>144.74189999999999</v>
      </c>
      <c r="J5043">
        <v>-248.5924</v>
      </c>
      <c r="K5043">
        <v>1.1077589999999999</v>
      </c>
      <c r="L5043">
        <v>141.69399999999999</v>
      </c>
      <c r="M5043">
        <v>-0.99994899999999998</v>
      </c>
      <c r="N5043">
        <v>-3.4215130000000002E-3</v>
      </c>
      <c r="O5043">
        <v>9.5078950000000006E-3</v>
      </c>
      <c r="P5043">
        <v>-0.99512489999999998</v>
      </c>
      <c r="Q5043">
        <v>-7.2084960000000003E-2</v>
      </c>
      <c r="R5043">
        <v>-6.7309399999999894E-2</v>
      </c>
      <c r="S5043">
        <v>-3.0183110000000002</v>
      </c>
      <c r="T5043">
        <v>-3.1243440000000001E-2</v>
      </c>
      <c r="U5043">
        <v>8.6044309999999999E-2</v>
      </c>
      <c r="V5043">
        <v>-7.6800320000000005E-2</v>
      </c>
      <c r="W5043">
        <v>-6.8645899999999996E-2</v>
      </c>
      <c r="X5043">
        <v>0.99468060000000003</v>
      </c>
      <c r="Y5043">
        <v>1.8989369999999998E-2</v>
      </c>
      <c r="Z5043" s="1">
        <v>6.4887509999999999E-5</v>
      </c>
      <c r="AA5043">
        <v>0.99981969999999998</v>
      </c>
      <c r="AB5043">
        <v>43</v>
      </c>
      <c r="AC5043">
        <v>-106.724599999999</v>
      </c>
      <c r="AD5043">
        <v>-1.10776235511</v>
      </c>
      <c r="AE5043">
        <v>3.0478999999999901</v>
      </c>
      <c r="AF5043">
        <v>2.0328112251475301</v>
      </c>
      <c r="AG5043">
        <v>-1.10776235511</v>
      </c>
      <c r="AH5043">
        <v>106.73726499899399</v>
      </c>
      <c r="AI5043">
        <v>90.594509543297406</v>
      </c>
      <c r="AJ5043">
        <v>88.908933773590405</v>
      </c>
      <c r="AK5043">
        <v>106.762367894207</v>
      </c>
      <c r="AL5043">
        <v>93.936215812002402</v>
      </c>
      <c r="AM5043">
        <v>94.415106803202605</v>
      </c>
      <c r="AN5043">
        <v>1.00000002237763</v>
      </c>
    </row>
    <row r="5044" spans="1:40" x14ac:dyDescent="0.25">
      <c r="A5044" t="str">
        <f>"20190305135030644"</f>
        <v>20190305135030644</v>
      </c>
      <c r="B5044" t="str">
        <f>"1551765030634886"</f>
        <v>1551765030634886</v>
      </c>
      <c r="C5044" t="s">
        <v>40</v>
      </c>
      <c r="D5044">
        <v>3.8228460000000002</v>
      </c>
      <c r="E5044">
        <v>0.53758009999999901</v>
      </c>
      <c r="F5044" t="s">
        <v>42</v>
      </c>
      <c r="G5044">
        <v>-358.51729999999998</v>
      </c>
      <c r="H5044" s="1">
        <v>-2.00292E-6</v>
      </c>
      <c r="I5044">
        <v>144.81979999999999</v>
      </c>
      <c r="J5044">
        <v>-248.93209999999999</v>
      </c>
      <c r="K5044">
        <v>1.107764</v>
      </c>
      <c r="L5044">
        <v>141.69730000000001</v>
      </c>
      <c r="M5044">
        <v>-0.99994780000000005</v>
      </c>
      <c r="N5044">
        <v>-3.4577430000000001E-3</v>
      </c>
      <c r="O5044">
        <v>9.6266240000000003E-3</v>
      </c>
      <c r="P5044">
        <v>-0.99513379999999996</v>
      </c>
      <c r="Q5044">
        <v>-7.1782189999999996E-2</v>
      </c>
      <c r="R5044">
        <v>-6.7500599999999994E-2</v>
      </c>
      <c r="S5044">
        <v>-3.0183110000000002</v>
      </c>
      <c r="T5044">
        <v>-3.0416849999999999E-2</v>
      </c>
      <c r="U5044">
        <v>8.5830690000000001E-2</v>
      </c>
      <c r="V5044">
        <v>-7.7109460000000005E-2</v>
      </c>
      <c r="W5044">
        <v>-6.8307409999999999E-2</v>
      </c>
      <c r="X5044">
        <v>0.99468000000000001</v>
      </c>
      <c r="Y5044">
        <v>1.8800000000000001E-2</v>
      </c>
      <c r="Z5044" s="1">
        <v>6.3512460000000003E-5</v>
      </c>
      <c r="AA5044">
        <v>0.99982329999999997</v>
      </c>
      <c r="AB5044">
        <v>43</v>
      </c>
      <c r="AC5044">
        <v>-109.5852</v>
      </c>
      <c r="AD5044">
        <v>-1.10776600292</v>
      </c>
      <c r="AE5044">
        <v>3.1224999999999699</v>
      </c>
      <c r="AF5044">
        <v>2.06720254157158</v>
      </c>
      <c r="AG5044">
        <v>-1.10776600292</v>
      </c>
      <c r="AH5044">
        <v>109.598990979585</v>
      </c>
      <c r="AI5044">
        <v>90.578991366683198</v>
      </c>
      <c r="AJ5044">
        <v>88.919443167636501</v>
      </c>
      <c r="AK5044">
        <v>109.62408173211</v>
      </c>
      <c r="AL5044">
        <v>93.916776077202101</v>
      </c>
      <c r="AM5044">
        <v>94.432810655282907</v>
      </c>
      <c r="AN5044">
        <v>1.0000000367411901</v>
      </c>
    </row>
    <row r="5045" spans="1:40" x14ac:dyDescent="0.25">
      <c r="A5045" t="str">
        <f>"20190305135030665"</f>
        <v>20190305135030665</v>
      </c>
      <c r="B5045" t="str">
        <f>"1551765030655386"</f>
        <v>1551765030655386</v>
      </c>
      <c r="C5045" t="s">
        <v>40</v>
      </c>
      <c r="D5045">
        <v>3.853469</v>
      </c>
      <c r="E5045">
        <v>0.52472680000000005</v>
      </c>
      <c r="F5045" t="s">
        <v>42</v>
      </c>
      <c r="G5045">
        <v>-362.04050000000001</v>
      </c>
      <c r="H5045" s="1">
        <v>-4.5030799999999996E-6</v>
      </c>
      <c r="I5045">
        <v>144.8109</v>
      </c>
      <c r="J5045">
        <v>-249.33009999999999</v>
      </c>
      <c r="K5045">
        <v>1.107772</v>
      </c>
      <c r="L5045">
        <v>141.7012</v>
      </c>
      <c r="M5045">
        <v>-0.99994620000000001</v>
      </c>
      <c r="N5045">
        <v>-3.5001799999999999E-3</v>
      </c>
      <c r="O5045">
        <v>9.7627419999999996E-3</v>
      </c>
      <c r="P5045">
        <v>-0.99512029999999996</v>
      </c>
      <c r="Q5045">
        <v>-7.1796750000000006E-2</v>
      </c>
      <c r="R5045">
        <v>-6.7681729999999996E-2</v>
      </c>
      <c r="S5045">
        <v>-3.018173</v>
      </c>
      <c r="T5045">
        <v>-2.955961E-2</v>
      </c>
      <c r="U5045">
        <v>8.3084110000000003E-2</v>
      </c>
      <c r="V5045">
        <v>-7.7424510000000002E-2</v>
      </c>
      <c r="W5045">
        <v>-6.8280439999999998E-2</v>
      </c>
      <c r="X5045">
        <v>0.99465729999999997</v>
      </c>
      <c r="Y5045">
        <v>1.775614E-2</v>
      </c>
      <c r="Z5045" s="1">
        <v>5.6589709999999999E-5</v>
      </c>
      <c r="AA5045">
        <v>0.99984229999999996</v>
      </c>
      <c r="AB5045">
        <v>43</v>
      </c>
      <c r="AC5045">
        <v>-112.71040000000001</v>
      </c>
      <c r="AD5045">
        <v>-1.10777650308</v>
      </c>
      <c r="AE5045">
        <v>3.1097000000000001</v>
      </c>
      <c r="AF5045">
        <v>2.00898856432558</v>
      </c>
      <c r="AG5045">
        <v>-1.10777650308</v>
      </c>
      <c r="AH5045">
        <v>112.724507029099</v>
      </c>
      <c r="AI5045">
        <v>90.562954765814794</v>
      </c>
      <c r="AJ5045">
        <v>88.978976407405199</v>
      </c>
      <c r="AK5045">
        <v>112.747850040636</v>
      </c>
      <c r="AL5045">
        <v>93.915227499300599</v>
      </c>
      <c r="AM5045">
        <v>94.450950554736806</v>
      </c>
      <c r="AN5045">
        <v>0.99999995883931003</v>
      </c>
    </row>
    <row r="5046" spans="1:40" x14ac:dyDescent="0.25">
      <c r="A5046" t="str">
        <f>"20190305135030677"</f>
        <v>20190305135030677</v>
      </c>
      <c r="B5046" t="str">
        <f>"1551765030674903"</f>
        <v>1551765030674903</v>
      </c>
      <c r="C5046" t="s">
        <v>40</v>
      </c>
      <c r="D5046">
        <v>3.8114219999999999</v>
      </c>
      <c r="E5046">
        <v>0.52506149999999996</v>
      </c>
      <c r="F5046" t="s">
        <v>42</v>
      </c>
      <c r="G5046">
        <v>-320.16899999999998</v>
      </c>
      <c r="H5046" s="1">
        <v>-4.5103470000000001E-6</v>
      </c>
      <c r="I5046">
        <v>141.26159999999999</v>
      </c>
      <c r="J5046">
        <v>-249.57599999999999</v>
      </c>
      <c r="K5046">
        <v>1.107772</v>
      </c>
      <c r="L5046">
        <v>141.7037</v>
      </c>
      <c r="M5046">
        <v>-0.99994539999999998</v>
      </c>
      <c r="N5046">
        <v>-3.5263510000000001E-3</v>
      </c>
      <c r="O5046">
        <v>9.8423799999999995E-3</v>
      </c>
      <c r="P5046">
        <v>-0.99512230000000002</v>
      </c>
      <c r="Q5046">
        <v>-7.1631269999999997E-2</v>
      </c>
      <c r="R5046">
        <v>-6.7827170000000006E-2</v>
      </c>
      <c r="S5046">
        <v>-3.01004</v>
      </c>
      <c r="T5046">
        <v>-4.7070979999999998E-2</v>
      </c>
      <c r="U5046">
        <v>-1.8676760000000001E-2</v>
      </c>
      <c r="V5046">
        <v>-7.7648919999999996E-2</v>
      </c>
      <c r="W5046">
        <v>-6.8089490000000003E-2</v>
      </c>
      <c r="X5046">
        <v>0.99465289999999995</v>
      </c>
      <c r="Y5046">
        <v>-1.604353E-2</v>
      </c>
      <c r="Z5046">
        <v>-2.7292290000000002E-4</v>
      </c>
      <c r="AA5046">
        <v>0.99987130000000002</v>
      </c>
      <c r="AB5046">
        <v>43</v>
      </c>
      <c r="AC5046">
        <v>-70.593000000000004</v>
      </c>
      <c r="AD5046">
        <v>-1.1077765103470001</v>
      </c>
      <c r="AE5046">
        <v>-0.44210000000000998</v>
      </c>
      <c r="AF5046">
        <v>-1.13660611715516</v>
      </c>
      <c r="AG5046">
        <v>-1.1077765103470001</v>
      </c>
      <c r="AH5046">
        <v>70.567852430115295</v>
      </c>
      <c r="AI5046">
        <v>90.899240579964797</v>
      </c>
      <c r="AJ5046">
        <v>90.922758744960902</v>
      </c>
      <c r="AK5046">
        <v>70.585698543408697</v>
      </c>
      <c r="AL5046">
        <v>93.904261334051199</v>
      </c>
      <c r="AM5046">
        <v>94.463818953229605</v>
      </c>
      <c r="AN5046">
        <v>0.99999996245201705</v>
      </c>
    </row>
    <row r="5047" spans="1:40" x14ac:dyDescent="0.25">
      <c r="A5047" t="str">
        <f>"20190305135030690"</f>
        <v>20190305135030690</v>
      </c>
      <c r="B5047" t="str">
        <f>"1551765030684663"</f>
        <v>1551765030684663</v>
      </c>
      <c r="C5047" t="s">
        <v>40</v>
      </c>
      <c r="D5047">
        <v>3.8097240000000001</v>
      </c>
      <c r="E5047">
        <v>0.52536300000000002</v>
      </c>
      <c r="F5047" t="s">
        <v>42</v>
      </c>
      <c r="G5047">
        <v>-320.91390000000001</v>
      </c>
      <c r="H5047" s="1">
        <v>-4.2661149999999999E-6</v>
      </c>
      <c r="I5047">
        <v>141.31379999999999</v>
      </c>
      <c r="J5047">
        <v>-249.82429999999999</v>
      </c>
      <c r="K5047">
        <v>1.1077790000000001</v>
      </c>
      <c r="L5047">
        <v>141.70609999999999</v>
      </c>
      <c r="M5047">
        <v>-0.99994450000000001</v>
      </c>
      <c r="N5047">
        <v>-3.5527620000000001E-3</v>
      </c>
      <c r="O5047">
        <v>9.920346E-3</v>
      </c>
      <c r="P5047">
        <v>-0.99511930000000004</v>
      </c>
      <c r="Q5047">
        <v>-7.1621080000000004E-2</v>
      </c>
      <c r="R5047">
        <v>-6.788363E-2</v>
      </c>
      <c r="S5047">
        <v>-3.0102389999999999</v>
      </c>
      <c r="T5047">
        <v>-4.6744819999999999E-2</v>
      </c>
      <c r="U5047">
        <v>-1.644897E-2</v>
      </c>
      <c r="V5047">
        <v>-7.7781929999999999E-2</v>
      </c>
      <c r="W5047">
        <v>-6.8053719999999998E-2</v>
      </c>
      <c r="X5047">
        <v>0.994645</v>
      </c>
      <c r="Y5047">
        <v>-1.5381260000000001E-2</v>
      </c>
      <c r="Z5047">
        <v>-2.6553690000000001E-4</v>
      </c>
      <c r="AA5047">
        <v>0.99988169999999998</v>
      </c>
      <c r="AB5047">
        <v>43</v>
      </c>
      <c r="AC5047">
        <v>-71.089600000000004</v>
      </c>
      <c r="AD5047">
        <v>-1.107783266115</v>
      </c>
      <c r="AE5047">
        <v>-0.39230000000000498</v>
      </c>
      <c r="AF5047">
        <v>-1.0972521271443101</v>
      </c>
      <c r="AG5047">
        <v>-1.107783266115</v>
      </c>
      <c r="AH5047">
        <v>71.064954030482596</v>
      </c>
      <c r="AI5047">
        <v>90.892966213506199</v>
      </c>
      <c r="AJ5047">
        <v>90.884583993129993</v>
      </c>
      <c r="AK5047">
        <v>71.082057070331103</v>
      </c>
      <c r="AL5047">
        <v>93.902206925955298</v>
      </c>
      <c r="AM5047">
        <v>94.471469713755695</v>
      </c>
      <c r="AN5047">
        <v>1.00000000673268</v>
      </c>
    </row>
    <row r="5048" spans="1:40" x14ac:dyDescent="0.25">
      <c r="A5048" t="str">
        <f>"20190305135030703"</f>
        <v>20190305135030703</v>
      </c>
      <c r="B5048" t="str">
        <f>"1551765030695399"</f>
        <v>1551765030695399</v>
      </c>
      <c r="C5048" t="s">
        <v>40</v>
      </c>
      <c r="D5048">
        <v>3.8131159999999999</v>
      </c>
      <c r="E5048">
        <v>0.5255396</v>
      </c>
      <c r="F5048" t="s">
        <v>94</v>
      </c>
      <c r="G5048">
        <v>-318.36950000000002</v>
      </c>
      <c r="H5048" s="1">
        <v>-6.5582250000000002E-6</v>
      </c>
      <c r="I5048">
        <v>141.38509999999999</v>
      </c>
      <c r="J5048">
        <v>-250.0789</v>
      </c>
      <c r="K5048">
        <v>1.1077870000000001</v>
      </c>
      <c r="L5048">
        <v>141.70869999999999</v>
      </c>
      <c r="M5048">
        <v>-0.99994380000000005</v>
      </c>
      <c r="N5048">
        <v>-3.5799099999999999E-3</v>
      </c>
      <c r="O5048">
        <v>9.9912089999999992E-3</v>
      </c>
      <c r="P5048">
        <v>-0.9951257</v>
      </c>
      <c r="Q5048">
        <v>-7.1225640000000007E-2</v>
      </c>
      <c r="R5048">
        <v>-6.8206729999999993E-2</v>
      </c>
      <c r="S5048">
        <v>-3.0102389999999999</v>
      </c>
      <c r="T5048">
        <v>-4.8649669999999999E-2</v>
      </c>
      <c r="U5048">
        <v>-1.409912E-2</v>
      </c>
      <c r="V5048">
        <v>-7.8174489999999999E-2</v>
      </c>
      <c r="W5048">
        <v>-6.7632289999999998E-2</v>
      </c>
      <c r="X5048">
        <v>0.99464300000000005</v>
      </c>
      <c r="Y5048">
        <v>-1.4671470000000001E-2</v>
      </c>
      <c r="Z5048">
        <v>-2.705044E-4</v>
      </c>
      <c r="AA5048">
        <v>0.99989240000000001</v>
      </c>
      <c r="AB5048">
        <v>44</v>
      </c>
      <c r="AC5048">
        <v>-68.290599999999998</v>
      </c>
      <c r="AD5048">
        <v>-1.107793558225</v>
      </c>
      <c r="AE5048">
        <v>-0.323599999999998</v>
      </c>
      <c r="AF5048">
        <v>-1.0056291736090901</v>
      </c>
      <c r="AG5048">
        <v>-1.107793558225</v>
      </c>
      <c r="AH5048">
        <v>68.265994686884298</v>
      </c>
      <c r="AI5048">
        <v>90.929590805615405</v>
      </c>
      <c r="AJ5048">
        <v>90.843965438678794</v>
      </c>
      <c r="AK5048">
        <v>68.282388118695494</v>
      </c>
      <c r="AL5048">
        <v>93.878004885099003</v>
      </c>
      <c r="AM5048">
        <v>94.493953700319693</v>
      </c>
      <c r="AN5048">
        <v>1.0000000374932001</v>
      </c>
    </row>
    <row r="5049" spans="1:40" x14ac:dyDescent="0.25">
      <c r="A5049" t="str">
        <f>"20190305135030721"</f>
        <v>20190305135030721</v>
      </c>
      <c r="B5049" t="str">
        <f>"1551765030714919"</f>
        <v>1551765030714919</v>
      </c>
      <c r="C5049" t="s">
        <v>40</v>
      </c>
      <c r="D5049">
        <v>3.8422149999999999</v>
      </c>
      <c r="E5049">
        <v>0.52583279999999999</v>
      </c>
      <c r="F5049" t="s">
        <v>42</v>
      </c>
      <c r="G5049">
        <v>-322.04509999999999</v>
      </c>
      <c r="H5049" s="1">
        <v>-3.863711E-6</v>
      </c>
      <c r="I5049">
        <v>141.37809999999999</v>
      </c>
      <c r="J5049">
        <v>-250.43690000000001</v>
      </c>
      <c r="K5049">
        <v>1.1078049999999999</v>
      </c>
      <c r="L5049">
        <v>141.7123</v>
      </c>
      <c r="M5049">
        <v>-0.99994269999999996</v>
      </c>
      <c r="N5049">
        <v>-3.6179979999999999E-3</v>
      </c>
      <c r="O5049">
        <v>1.008069E-2</v>
      </c>
      <c r="P5049">
        <v>-0.9951584</v>
      </c>
      <c r="Q5049">
        <v>-7.0482829999999996E-2</v>
      </c>
      <c r="R5049">
        <v>-6.8500259999999993E-2</v>
      </c>
      <c r="S5049">
        <v>-3.010437</v>
      </c>
      <c r="T5049">
        <v>-4.6340350000000002E-2</v>
      </c>
      <c r="U5049">
        <v>-1.382446E-2</v>
      </c>
      <c r="V5049">
        <v>-7.855521E-2</v>
      </c>
      <c r="W5049">
        <v>-6.6853369999999995E-2</v>
      </c>
      <c r="X5049">
        <v>0.99466560000000004</v>
      </c>
      <c r="Y5049">
        <v>-1.4669700000000001E-2</v>
      </c>
      <c r="Z5049">
        <v>-2.581323E-4</v>
      </c>
      <c r="AA5049">
        <v>0.99989240000000001</v>
      </c>
      <c r="AB5049">
        <v>44</v>
      </c>
      <c r="AC5049">
        <v>-71.608199999999897</v>
      </c>
      <c r="AD5049">
        <v>-1.107808863711</v>
      </c>
      <c r="AE5049">
        <v>-0.33420000000000899</v>
      </c>
      <c r="AF5049">
        <v>-1.0557950858560201</v>
      </c>
      <c r="AG5049">
        <v>-1.107808863711</v>
      </c>
      <c r="AH5049">
        <v>71.584060331333404</v>
      </c>
      <c r="AI5049">
        <v>90.886521450898599</v>
      </c>
      <c r="AJ5049">
        <v>90.844995608641696</v>
      </c>
      <c r="AK5049">
        <v>71.600416460114403</v>
      </c>
      <c r="AL5049">
        <v>93.833275056844997</v>
      </c>
      <c r="AM5049">
        <v>94.515647360412999</v>
      </c>
      <c r="AN5049">
        <v>0.99999997496092996</v>
      </c>
    </row>
    <row r="5050" spans="1:40" x14ac:dyDescent="0.25">
      <c r="A5050" t="str">
        <f>"20190305135030734"</f>
        <v>20190305135030734</v>
      </c>
      <c r="B5050" t="str">
        <f>"1551765030724679"</f>
        <v>1551765030724679</v>
      </c>
      <c r="C5050" t="s">
        <v>40</v>
      </c>
      <c r="D5050">
        <v>3.8101889999999998</v>
      </c>
      <c r="E5050">
        <v>0.52590499999999996</v>
      </c>
      <c r="F5050" t="s">
        <v>42</v>
      </c>
      <c r="G5050">
        <v>-326.0831</v>
      </c>
      <c r="H5050" s="1">
        <v>-2.1380149999999999E-6</v>
      </c>
      <c r="I5050">
        <v>141.40289999999999</v>
      </c>
      <c r="J5050">
        <v>-250.6833</v>
      </c>
      <c r="K5050">
        <v>1.107815</v>
      </c>
      <c r="L5050">
        <v>141.7149</v>
      </c>
      <c r="M5050">
        <v>-0.999942</v>
      </c>
      <c r="N5050">
        <v>-3.6441780000000001E-3</v>
      </c>
      <c r="O5050">
        <v>1.013378E-2</v>
      </c>
      <c r="P5050">
        <v>-0.99518949999999995</v>
      </c>
      <c r="Q5050">
        <v>-7.008027E-2</v>
      </c>
      <c r="R5050">
        <v>-6.8458469999999993E-2</v>
      </c>
      <c r="S5050">
        <v>-3.0106199999999999</v>
      </c>
      <c r="T5050">
        <v>-4.4089320000000001E-2</v>
      </c>
      <c r="U5050">
        <v>-1.231384E-2</v>
      </c>
      <c r="V5050">
        <v>-7.8565029999999994E-2</v>
      </c>
      <c r="W5050">
        <v>-6.6426310000000002E-2</v>
      </c>
      <c r="X5050">
        <v>0.99469350000000001</v>
      </c>
      <c r="Y5050">
        <v>-1.422114E-2</v>
      </c>
      <c r="Z5050">
        <v>-2.4150690000000001E-4</v>
      </c>
      <c r="AA5050">
        <v>0.99989890000000003</v>
      </c>
      <c r="AB5050">
        <v>44</v>
      </c>
      <c r="AC5050">
        <v>-75.399799999999999</v>
      </c>
      <c r="AD5050">
        <v>-1.1078171380149999</v>
      </c>
      <c r="AE5050">
        <v>-0.31200000000001099</v>
      </c>
      <c r="AF5050">
        <v>-1.0758418069940201</v>
      </c>
      <c r="AG5050">
        <v>-1.1078171380149999</v>
      </c>
      <c r="AH5050">
        <v>75.376495178357203</v>
      </c>
      <c r="AI5050">
        <v>90.841936387018094</v>
      </c>
      <c r="AJ5050">
        <v>90.817721884867296</v>
      </c>
      <c r="AK5050">
        <v>75.392312073432706</v>
      </c>
      <c r="AL5050">
        <v>93.808751564199099</v>
      </c>
      <c r="AM5050">
        <v>94.516083365243205</v>
      </c>
      <c r="AN5050">
        <v>1.00000003877068</v>
      </c>
    </row>
    <row r="5051" spans="1:40" x14ac:dyDescent="0.25">
      <c r="A5051" t="str">
        <f>"20190305135030746"</f>
        <v>20190305135030746</v>
      </c>
      <c r="B5051" t="str">
        <f>"1551765030735415"</f>
        <v>1551765030735415</v>
      </c>
      <c r="C5051" t="s">
        <v>40</v>
      </c>
      <c r="D5051">
        <v>3.8136389999999998</v>
      </c>
      <c r="E5051">
        <v>0.52603330000000004</v>
      </c>
      <c r="F5051" t="s">
        <v>42</v>
      </c>
      <c r="G5051">
        <v>-326.43619999999999</v>
      </c>
      <c r="H5051" s="1">
        <v>-1.9925859999999998E-6</v>
      </c>
      <c r="I5051">
        <v>141.42570000000001</v>
      </c>
      <c r="J5051">
        <v>-250.93039999999999</v>
      </c>
      <c r="K5051">
        <v>1.1078209999999999</v>
      </c>
      <c r="L5051">
        <v>141.7174</v>
      </c>
      <c r="M5051">
        <v>-0.99994159999999999</v>
      </c>
      <c r="N5051">
        <v>-3.670441E-3</v>
      </c>
      <c r="O5051">
        <v>1.017852E-2</v>
      </c>
      <c r="P5051">
        <v>-0.99519210000000002</v>
      </c>
      <c r="Q5051">
        <v>-6.9895890000000002E-2</v>
      </c>
      <c r="R5051">
        <v>-6.8611530000000004E-2</v>
      </c>
      <c r="S5051">
        <v>-3.0106199999999999</v>
      </c>
      <c r="T5051">
        <v>-4.4027570000000002E-2</v>
      </c>
      <c r="U5051">
        <v>-1.1489869999999999E-2</v>
      </c>
      <c r="V5051">
        <v>-7.8761070000000002E-2</v>
      </c>
      <c r="W5051">
        <v>-6.6217659999999998E-2</v>
      </c>
      <c r="X5051">
        <v>0.99469180000000001</v>
      </c>
      <c r="Y5051">
        <v>-1.3992249999999999E-2</v>
      </c>
      <c r="Z5051">
        <v>-2.394703E-4</v>
      </c>
      <c r="AA5051">
        <v>0.99990210000000002</v>
      </c>
      <c r="AB5051">
        <v>44</v>
      </c>
      <c r="AC5051">
        <v>-75.505799999999994</v>
      </c>
      <c r="AD5051">
        <v>-1.1078229925859999</v>
      </c>
      <c r="AE5051">
        <v>-0.29169999999999102</v>
      </c>
      <c r="AF5051">
        <v>-1.0599990738331999</v>
      </c>
      <c r="AG5051">
        <v>-1.1078229925859999</v>
      </c>
      <c r="AH5051">
        <v>75.482670681863198</v>
      </c>
      <c r="AI5051">
        <v>90.840759450743207</v>
      </c>
      <c r="AJ5051">
        <v>90.8045486578674</v>
      </c>
      <c r="AK5051">
        <v>75.498241324457695</v>
      </c>
      <c r="AL5051">
        <v>93.796770831527695</v>
      </c>
      <c r="AM5051">
        <v>94.527313073899506</v>
      </c>
      <c r="AN5051">
        <v>0.99999993081532701</v>
      </c>
    </row>
    <row r="5052" spans="1:40" x14ac:dyDescent="0.25">
      <c r="A5052" t="str">
        <f>"20190305135030758"</f>
        <v>20190305135030758</v>
      </c>
      <c r="B5052" t="str">
        <f>"1551765030754936"</f>
        <v>1551765030754936</v>
      </c>
      <c r="C5052" t="s">
        <v>40</v>
      </c>
      <c r="D5052">
        <v>3.811782</v>
      </c>
      <c r="E5052">
        <v>0.52617230000000004</v>
      </c>
      <c r="F5052" t="s">
        <v>42</v>
      </c>
      <c r="G5052">
        <v>-326.59500000000003</v>
      </c>
      <c r="H5052" s="1">
        <v>-1.9292070000000001E-6</v>
      </c>
      <c r="I5052">
        <v>141.4435</v>
      </c>
      <c r="J5052">
        <v>-251.16759999999999</v>
      </c>
      <c r="K5052">
        <v>1.107831</v>
      </c>
      <c r="L5052">
        <v>141.71979999999999</v>
      </c>
      <c r="M5052">
        <v>-0.99994119999999997</v>
      </c>
      <c r="N5052">
        <v>-3.6956200000000002E-3</v>
      </c>
      <c r="O5052">
        <v>1.0213130000000001E-2</v>
      </c>
      <c r="P5052">
        <v>-0.99518269999999998</v>
      </c>
      <c r="Q5052">
        <v>-6.9766460000000002E-2</v>
      </c>
      <c r="R5052">
        <v>-6.8877889999999997E-2</v>
      </c>
      <c r="S5052">
        <v>-3.0106510000000002</v>
      </c>
      <c r="T5052">
        <v>-4.407966E-2</v>
      </c>
      <c r="U5052">
        <v>-1.089478E-2</v>
      </c>
      <c r="V5052">
        <v>-7.9060210000000006E-2</v>
      </c>
      <c r="W5052">
        <v>-6.6065070000000004E-2</v>
      </c>
      <c r="X5052">
        <v>0.99467830000000002</v>
      </c>
      <c r="Y5052">
        <v>-1.38292E-2</v>
      </c>
      <c r="Z5052">
        <v>-2.385686E-4</v>
      </c>
      <c r="AA5052">
        <v>0.99990429999999997</v>
      </c>
      <c r="AB5052">
        <v>44</v>
      </c>
      <c r="AC5052">
        <v>-75.427400000000006</v>
      </c>
      <c r="AD5052">
        <v>-1.1078329292069999</v>
      </c>
      <c r="AE5052">
        <v>-0.276299999999992</v>
      </c>
      <c r="AF5052">
        <v>-1.04641481999654</v>
      </c>
      <c r="AG5052">
        <v>-1.1078329292069999</v>
      </c>
      <c r="AH5052">
        <v>75.404378088361497</v>
      </c>
      <c r="AI5052">
        <v>90.841641780962803</v>
      </c>
      <c r="AJ5052">
        <v>90.795063973983105</v>
      </c>
      <c r="AK5052">
        <v>75.419775342194697</v>
      </c>
      <c r="AL5052">
        <v>93.788008560725999</v>
      </c>
      <c r="AM5052">
        <v>94.544497653162395</v>
      </c>
      <c r="AN5052">
        <v>1.0000000153851101</v>
      </c>
    </row>
    <row r="5053" spans="1:40" x14ac:dyDescent="0.25">
      <c r="A5053" t="str">
        <f>"20190305135030776"</f>
        <v>20190305135030776</v>
      </c>
      <c r="B5053" t="str">
        <f>"1551765030765671"</f>
        <v>1551765030765671</v>
      </c>
      <c r="C5053" t="s">
        <v>40</v>
      </c>
      <c r="D5053">
        <v>3.7899799999999999</v>
      </c>
      <c r="E5053">
        <v>0.52615109999999998</v>
      </c>
      <c r="F5053" t="s">
        <v>42</v>
      </c>
      <c r="G5053">
        <v>-329.05950000000001</v>
      </c>
      <c r="H5053" s="1">
        <v>-8.7254969999999999E-7</v>
      </c>
      <c r="I5053">
        <v>141.44569999999999</v>
      </c>
      <c r="J5053">
        <v>-251.5172</v>
      </c>
      <c r="K5053">
        <v>1.1078509999999999</v>
      </c>
      <c r="L5053">
        <v>141.7234</v>
      </c>
      <c r="M5053">
        <v>-0.99994050000000001</v>
      </c>
      <c r="N5053">
        <v>-3.732614E-3</v>
      </c>
      <c r="O5053">
        <v>1.0254910000000001E-2</v>
      </c>
      <c r="P5053">
        <v>-0.99517109999999998</v>
      </c>
      <c r="Q5053">
        <v>-6.9567680000000007E-2</v>
      </c>
      <c r="R5053">
        <v>-6.9245070000000006E-2</v>
      </c>
      <c r="S5053">
        <v>-3.0107879999999998</v>
      </c>
      <c r="T5053">
        <v>-4.2821529999999997E-2</v>
      </c>
      <c r="U5053">
        <v>-1.0589599999999999E-2</v>
      </c>
      <c r="V5053">
        <v>-7.9466010000000004E-2</v>
      </c>
      <c r="W5053">
        <v>-6.5832199999999994E-2</v>
      </c>
      <c r="X5053">
        <v>0.99466140000000003</v>
      </c>
      <c r="Y5053">
        <v>-1.376961E-2</v>
      </c>
      <c r="Z5053">
        <v>-2.3118220000000001E-4</v>
      </c>
      <c r="AA5053">
        <v>0.99990520000000005</v>
      </c>
      <c r="AB5053">
        <v>44</v>
      </c>
      <c r="AC5053">
        <v>-77.542299999999997</v>
      </c>
      <c r="AD5053">
        <v>-1.1078518725497</v>
      </c>
      <c r="AE5053">
        <v>-0.27770000000000999</v>
      </c>
      <c r="AF5053">
        <v>-1.07266125624799</v>
      </c>
      <c r="AG5053">
        <v>-1.1078518725497</v>
      </c>
      <c r="AH5053">
        <v>77.519551625537304</v>
      </c>
      <c r="AI5053">
        <v>90.818694635230997</v>
      </c>
      <c r="AJ5053">
        <v>90.7927682688901</v>
      </c>
      <c r="AK5053">
        <v>77.534887774256205</v>
      </c>
      <c r="AL5053">
        <v>93.774636992164304</v>
      </c>
      <c r="AM5053">
        <v>94.567802459606995</v>
      </c>
      <c r="AN5053">
        <v>1.00000001297606</v>
      </c>
    </row>
    <row r="5054" spans="1:40" x14ac:dyDescent="0.25">
      <c r="A5054" t="str">
        <f>"20190305135030789"</f>
        <v>20190305135030789</v>
      </c>
      <c r="B5054" t="str">
        <f>"1551765030785191"</f>
        <v>1551765030785191</v>
      </c>
      <c r="C5054" t="s">
        <v>40</v>
      </c>
      <c r="D5054">
        <v>3.7999869999999998</v>
      </c>
      <c r="E5054">
        <v>0.5263061</v>
      </c>
      <c r="F5054" t="s">
        <v>42</v>
      </c>
      <c r="G5054">
        <v>-329.29230000000001</v>
      </c>
      <c r="H5054" s="1">
        <v>-7.6502489999999999E-7</v>
      </c>
      <c r="I5054">
        <v>141.417</v>
      </c>
      <c r="J5054">
        <v>-251.77459999999999</v>
      </c>
      <c r="K5054">
        <v>1.1078589999999999</v>
      </c>
      <c r="L5054">
        <v>141.7261</v>
      </c>
      <c r="M5054">
        <v>-0.99994019999999995</v>
      </c>
      <c r="N5054">
        <v>-3.7597389999999998E-3</v>
      </c>
      <c r="O5054">
        <v>1.0279190000000001E-2</v>
      </c>
      <c r="P5054">
        <v>-0.99516360000000004</v>
      </c>
      <c r="Q5054">
        <v>-6.9645479999999996E-2</v>
      </c>
      <c r="R5054">
        <v>-6.9274370000000002E-2</v>
      </c>
      <c r="S5054">
        <v>-3.010742</v>
      </c>
      <c r="T5054">
        <v>-4.2885899999999998E-2</v>
      </c>
      <c r="U5054">
        <v>-1.185608E-2</v>
      </c>
      <c r="V5054">
        <v>-7.9517889999999994E-2</v>
      </c>
      <c r="W5054">
        <v>-6.5884999999999999E-2</v>
      </c>
      <c r="X5054">
        <v>0.99465380000000003</v>
      </c>
      <c r="Y5054">
        <v>-1.421449E-2</v>
      </c>
      <c r="Z5054">
        <v>-2.3572019999999999E-4</v>
      </c>
      <c r="AA5054">
        <v>0.99989899999999998</v>
      </c>
      <c r="AB5054">
        <v>44</v>
      </c>
      <c r="AC5054">
        <v>-77.517700000000005</v>
      </c>
      <c r="AD5054">
        <v>-1.10785976502489</v>
      </c>
      <c r="AE5054">
        <v>-0.30909999999999999</v>
      </c>
      <c r="AF5054">
        <v>-1.1056825526830301</v>
      </c>
      <c r="AG5054">
        <v>-1.10785976502489</v>
      </c>
      <c r="AH5054">
        <v>77.494598957145001</v>
      </c>
      <c r="AI5054">
        <v>90.818959092781199</v>
      </c>
      <c r="AJ5054">
        <v>90.817433037932204</v>
      </c>
      <c r="AK5054">
        <v>77.510404170633805</v>
      </c>
      <c r="AL5054">
        <v>93.777668632611906</v>
      </c>
      <c r="AM5054">
        <v>94.570806729326094</v>
      </c>
      <c r="AN5054">
        <v>1.0000000549547401</v>
      </c>
    </row>
    <row r="5055" spans="1:40" x14ac:dyDescent="0.25">
      <c r="A5055" t="str">
        <f>"20190305135030802"</f>
        <v>20190305135030802</v>
      </c>
      <c r="B5055" t="str">
        <f>"1551765030794950"</f>
        <v>1551765030794950</v>
      </c>
      <c r="C5055" t="s">
        <v>40</v>
      </c>
      <c r="D5055">
        <v>3.827191</v>
      </c>
      <c r="E5055">
        <v>0.52635880000000002</v>
      </c>
      <c r="F5055" t="s">
        <v>42</v>
      </c>
      <c r="G5055">
        <v>-332.6823</v>
      </c>
      <c r="H5055" s="1">
        <v>-3.9236890000000001E-6</v>
      </c>
      <c r="I5055">
        <v>141.4358</v>
      </c>
      <c r="J5055">
        <v>-252.02950000000001</v>
      </c>
      <c r="K5055">
        <v>1.107869</v>
      </c>
      <c r="L5055">
        <v>141.7287</v>
      </c>
      <c r="M5055">
        <v>-0.99993989999999999</v>
      </c>
      <c r="N5055">
        <v>-3.7865640000000001E-3</v>
      </c>
      <c r="O5055">
        <v>1.0291679999999999E-2</v>
      </c>
      <c r="P5055">
        <v>-0.99515070000000005</v>
      </c>
      <c r="Q5055">
        <v>-6.9765419999999995E-2</v>
      </c>
      <c r="R5055">
        <v>-6.9340120000000005E-2</v>
      </c>
      <c r="S5055">
        <v>-3.0109560000000002</v>
      </c>
      <c r="T5055">
        <v>-4.1228769999999998E-2</v>
      </c>
      <c r="U5055">
        <v>-1.0803220000000001E-2</v>
      </c>
      <c r="V5055">
        <v>-7.9594230000000002E-2</v>
      </c>
      <c r="W5055">
        <v>-6.5980319999999995E-2</v>
      </c>
      <c r="X5055">
        <v>0.99464129999999995</v>
      </c>
      <c r="Y5055">
        <v>-1.3877280000000001E-2</v>
      </c>
      <c r="Z5055">
        <v>-2.2322659999999999E-4</v>
      </c>
      <c r="AA5055">
        <v>0.99990369999999995</v>
      </c>
      <c r="AB5055">
        <v>44</v>
      </c>
      <c r="AC5055">
        <v>-80.6527999999999</v>
      </c>
      <c r="AD5055">
        <v>-1.1078729236889999</v>
      </c>
      <c r="AE5055">
        <v>-0.29290000000000299</v>
      </c>
      <c r="AF5055">
        <v>-1.12273138042847</v>
      </c>
      <c r="AG5055">
        <v>-1.1078729236889999</v>
      </c>
      <c r="AH5055">
        <v>80.630300397897201</v>
      </c>
      <c r="AI5055">
        <v>90.787127129956403</v>
      </c>
      <c r="AJ5055">
        <v>90.797759803575005</v>
      </c>
      <c r="AK5055">
        <v>80.645726795799803</v>
      </c>
      <c r="AL5055">
        <v>93.783142260065901</v>
      </c>
      <c r="AM5055">
        <v>94.575233499104399</v>
      </c>
      <c r="AN5055">
        <v>0.99999997987114198</v>
      </c>
    </row>
    <row r="5056" spans="1:40" x14ac:dyDescent="0.25">
      <c r="A5056" t="str">
        <f>"20190305135030815"</f>
        <v>20190305135030815</v>
      </c>
      <c r="B5056" t="str">
        <f>"1551765030804712"</f>
        <v>1551765030804712</v>
      </c>
      <c r="C5056" t="s">
        <v>40</v>
      </c>
      <c r="D5056">
        <v>3.8064659999999999</v>
      </c>
      <c r="E5056">
        <v>0.52651269999999994</v>
      </c>
      <c r="F5056" t="s">
        <v>42</v>
      </c>
      <c r="G5056">
        <v>-331.73570000000001</v>
      </c>
      <c r="H5056" s="1">
        <v>-4.3703089999999999E-6</v>
      </c>
      <c r="I5056">
        <v>141.45160000000001</v>
      </c>
      <c r="J5056">
        <v>-252.2894</v>
      </c>
      <c r="K5056">
        <v>1.107882</v>
      </c>
      <c r="L5056">
        <v>141.7313</v>
      </c>
      <c r="M5056">
        <v>-0.99993980000000005</v>
      </c>
      <c r="N5056">
        <v>-3.8139279999999998E-3</v>
      </c>
      <c r="O5056">
        <v>1.029509E-2</v>
      </c>
      <c r="P5056">
        <v>-0.99514749999999996</v>
      </c>
      <c r="Q5056">
        <v>-6.9840970000000002E-2</v>
      </c>
      <c r="R5056">
        <v>-6.931292E-2</v>
      </c>
      <c r="S5056">
        <v>-3.0109560000000002</v>
      </c>
      <c r="T5056">
        <v>-4.1850690000000003E-2</v>
      </c>
      <c r="U5056">
        <v>-1.0467529999999999E-2</v>
      </c>
      <c r="V5056">
        <v>-7.9568340000000001E-2</v>
      </c>
      <c r="W5056">
        <v>-6.6031069999999997E-2</v>
      </c>
      <c r="X5056">
        <v>0.99464010000000003</v>
      </c>
      <c r="Y5056">
        <v>-1.3769160000000001E-2</v>
      </c>
      <c r="Z5056">
        <v>-2.2577019999999999E-4</v>
      </c>
      <c r="AA5056">
        <v>0.99990520000000005</v>
      </c>
      <c r="AB5056">
        <v>44</v>
      </c>
      <c r="AC5056">
        <v>-79.446299999999994</v>
      </c>
      <c r="AD5056">
        <v>-1.1078863703090001</v>
      </c>
      <c r="AE5056">
        <v>-0.27969999999999101</v>
      </c>
      <c r="AF5056">
        <v>-1.0973844765423</v>
      </c>
      <c r="AG5056">
        <v>-1.1078863703090001</v>
      </c>
      <c r="AH5056">
        <v>79.423765048919407</v>
      </c>
      <c r="AI5056">
        <v>90.7990938176562</v>
      </c>
      <c r="AJ5056">
        <v>90.791595542617301</v>
      </c>
      <c r="AK5056">
        <v>79.439071743348293</v>
      </c>
      <c r="AL5056">
        <v>93.786056012441094</v>
      </c>
      <c r="AM5056">
        <v>94.573757100678307</v>
      </c>
      <c r="AN5056">
        <v>1.0000000757318499</v>
      </c>
    </row>
    <row r="5057" spans="1:40" x14ac:dyDescent="0.25">
      <c r="A5057" t="str">
        <f>"20190305135030833"</f>
        <v>20190305135030833</v>
      </c>
      <c r="B5057" t="str">
        <f>"1551765030825207"</f>
        <v>1551765030825207</v>
      </c>
      <c r="C5057" t="s">
        <v>40</v>
      </c>
      <c r="D5057">
        <v>3.802044</v>
      </c>
      <c r="E5057">
        <v>0.52665509999999904</v>
      </c>
      <c r="F5057" t="s">
        <v>42</v>
      </c>
      <c r="G5057">
        <v>-331.8236</v>
      </c>
      <c r="H5057" s="1">
        <v>-4.3436999999999996E-6</v>
      </c>
      <c r="I5057">
        <v>141.49189999999999</v>
      </c>
      <c r="J5057">
        <v>-252.66409999999999</v>
      </c>
      <c r="K5057">
        <v>1.107901</v>
      </c>
      <c r="L5057">
        <v>141.73519999999999</v>
      </c>
      <c r="M5057">
        <v>-0.99993980000000005</v>
      </c>
      <c r="N5057">
        <v>-3.8533730000000002E-3</v>
      </c>
      <c r="O5057">
        <v>1.027513E-2</v>
      </c>
      <c r="P5057">
        <v>-0.99518879999999998</v>
      </c>
      <c r="Q5057">
        <v>-6.9421979999999994E-2</v>
      </c>
      <c r="R5057">
        <v>-6.9139229999999996E-2</v>
      </c>
      <c r="S5057">
        <v>-3.011063</v>
      </c>
      <c r="T5057">
        <v>-4.1943189999999998E-2</v>
      </c>
      <c r="U5057">
        <v>-9.0637210000000003E-3</v>
      </c>
      <c r="V5057">
        <v>-7.9371059999999993E-2</v>
      </c>
      <c r="W5057">
        <v>-6.5577209999999997E-2</v>
      </c>
      <c r="X5057">
        <v>0.99468579999999995</v>
      </c>
      <c r="Y5057">
        <v>-1.328296E-2</v>
      </c>
      <c r="Z5057">
        <v>-2.2163080000000001E-4</v>
      </c>
      <c r="AA5057">
        <v>0.99991169999999996</v>
      </c>
      <c r="AB5057">
        <v>44</v>
      </c>
      <c r="AC5057">
        <v>-79.159499999999994</v>
      </c>
      <c r="AD5057">
        <v>-1.1079053436999999</v>
      </c>
      <c r="AE5057">
        <v>-0.24330000000000401</v>
      </c>
      <c r="AF5057">
        <v>-1.05646039363488</v>
      </c>
      <c r="AG5057">
        <v>-1.1079053436999999</v>
      </c>
      <c r="AH5057">
        <v>79.137319509803405</v>
      </c>
      <c r="AI5057">
        <v>90.802004661414102</v>
      </c>
      <c r="AJ5057">
        <v>90.764836700483102</v>
      </c>
      <c r="AK5057">
        <v>79.152125063138001</v>
      </c>
      <c r="AL5057">
        <v>93.759995596235299</v>
      </c>
      <c r="AM5057">
        <v>94.562256229975404</v>
      </c>
      <c r="AN5057">
        <v>0.99999998817927305</v>
      </c>
    </row>
    <row r="5058" spans="1:40" x14ac:dyDescent="0.25">
      <c r="A5058" t="str">
        <f>"20190305135030857"</f>
        <v>20190305135030857</v>
      </c>
      <c r="B5058" t="str">
        <f>"1551765030844727"</f>
        <v>1551765030844727</v>
      </c>
      <c r="C5058" t="s">
        <v>40</v>
      </c>
      <c r="D5058">
        <v>3.806972</v>
      </c>
      <c r="E5058">
        <v>0.52685999999999999</v>
      </c>
      <c r="F5058" t="s">
        <v>42</v>
      </c>
      <c r="G5058">
        <v>-334.39859999999999</v>
      </c>
      <c r="H5058" s="1">
        <v>-3.1396029999999998E-6</v>
      </c>
      <c r="I5058">
        <v>141.53799999999899</v>
      </c>
      <c r="J5058">
        <v>-253.11500000000001</v>
      </c>
      <c r="K5058">
        <v>1.1079319999999999</v>
      </c>
      <c r="L5058">
        <v>141.7398</v>
      </c>
      <c r="M5058">
        <v>-0.9999403</v>
      </c>
      <c r="N5058">
        <v>-3.9008440000000001E-3</v>
      </c>
      <c r="O5058">
        <v>1.0206450000000001E-2</v>
      </c>
      <c r="P5058">
        <v>-0.99516800000000005</v>
      </c>
      <c r="Q5058">
        <v>-6.9892170000000003E-2</v>
      </c>
      <c r="R5058">
        <v>-6.8964059999999994E-2</v>
      </c>
      <c r="S5058">
        <v>-3.0111849999999998</v>
      </c>
      <c r="T5058">
        <v>-4.0816310000000001E-2</v>
      </c>
      <c r="U5058">
        <v>-7.2631839999999998E-3</v>
      </c>
      <c r="V5058">
        <v>-7.912218E-2</v>
      </c>
      <c r="W5058">
        <v>-6.6007159999999995E-2</v>
      </c>
      <c r="X5058">
        <v>0.99467720000000004</v>
      </c>
      <c r="Y5058">
        <v>-1.2616459999999999E-2</v>
      </c>
      <c r="Z5058">
        <v>-2.0863890000000001E-4</v>
      </c>
      <c r="AA5058">
        <v>0.99992040000000004</v>
      </c>
      <c r="AB5058">
        <v>45</v>
      </c>
      <c r="AC5058">
        <v>-81.283599999999893</v>
      </c>
      <c r="AD5058">
        <v>-1.1079351396029999</v>
      </c>
      <c r="AE5058">
        <v>-0.20180000000001999</v>
      </c>
      <c r="AF5058">
        <v>-1.0312212137044401</v>
      </c>
      <c r="AG5058">
        <v>-1.1079351396029999</v>
      </c>
      <c r="AH5058">
        <v>81.262208796409993</v>
      </c>
      <c r="AI5058">
        <v>90.781063740502404</v>
      </c>
      <c r="AJ5058">
        <v>90.727047084518802</v>
      </c>
      <c r="AK5058">
        <v>81.276303532680998</v>
      </c>
      <c r="AL5058">
        <v>93.784683368418598</v>
      </c>
      <c r="AM5058">
        <v>94.548049850351205</v>
      </c>
      <c r="AN5058">
        <v>0.99999999836952902</v>
      </c>
    </row>
    <row r="5059" spans="1:40" x14ac:dyDescent="0.25">
      <c r="A5059" t="str">
        <f>"20190305135030870"</f>
        <v>20190305135030870</v>
      </c>
      <c r="B5059" t="str">
        <f>"1551765030865223"</f>
        <v>1551765030865223</v>
      </c>
      <c r="C5059" t="s">
        <v>40</v>
      </c>
      <c r="D5059">
        <v>3.791471</v>
      </c>
      <c r="E5059">
        <v>0.52689629999999998</v>
      </c>
      <c r="F5059" t="s">
        <v>42</v>
      </c>
      <c r="G5059">
        <v>-333.3553</v>
      </c>
      <c r="H5059" s="1">
        <v>-3.6500869999999999E-6</v>
      </c>
      <c r="I5059">
        <v>141.60310000000001</v>
      </c>
      <c r="J5059">
        <v>-253.37870000000001</v>
      </c>
      <c r="K5059">
        <v>1.1079540000000001</v>
      </c>
      <c r="L5059">
        <v>141.7424</v>
      </c>
      <c r="M5059">
        <v>-0.99994090000000002</v>
      </c>
      <c r="N5059">
        <v>-3.9285930000000002E-3</v>
      </c>
      <c r="O5059">
        <v>1.0149419999999999E-2</v>
      </c>
      <c r="P5059">
        <v>-0.99517330000000004</v>
      </c>
      <c r="Q5059">
        <v>-7.004254E-2</v>
      </c>
      <c r="R5059">
        <v>-6.8733929999999999E-2</v>
      </c>
      <c r="S5059">
        <v>-3.011307</v>
      </c>
      <c r="T5059">
        <v>-4.1579249999999998E-2</v>
      </c>
      <c r="U5059">
        <v>-5.1269530000000001E-3</v>
      </c>
      <c r="V5059">
        <v>-7.8831700000000005E-2</v>
      </c>
      <c r="W5059">
        <v>-6.6134330000000005E-2</v>
      </c>
      <c r="X5059">
        <v>0.99469180000000001</v>
      </c>
      <c r="Y5059">
        <v>-1.1850009999999999E-2</v>
      </c>
      <c r="Z5059">
        <v>-2.0534509999999999E-4</v>
      </c>
      <c r="AA5059">
        <v>0.99992979999999998</v>
      </c>
      <c r="AB5059">
        <v>45</v>
      </c>
      <c r="AC5059">
        <v>-79.976599999999905</v>
      </c>
      <c r="AD5059">
        <v>-1.1079576500870001</v>
      </c>
      <c r="AE5059">
        <v>-0.13929999999999099</v>
      </c>
      <c r="AF5059">
        <v>-0.95083260859329299</v>
      </c>
      <c r="AG5059">
        <v>-1.1079576500870001</v>
      </c>
      <c r="AH5059">
        <v>79.955721719554404</v>
      </c>
      <c r="AI5059">
        <v>90.793848716421294</v>
      </c>
      <c r="AJ5059">
        <v>90.681328695770802</v>
      </c>
      <c r="AK5059">
        <v>79.969050816542605</v>
      </c>
      <c r="AL5059">
        <v>93.791985691666397</v>
      </c>
      <c r="AM5059">
        <v>94.531356099411099</v>
      </c>
      <c r="AN5059">
        <v>0.99999998175833904</v>
      </c>
    </row>
    <row r="5060" spans="1:40" x14ac:dyDescent="0.25">
      <c r="A5060" t="str">
        <f>"20190305135030881"</f>
        <v>20190305135030881</v>
      </c>
      <c r="B5060" t="str">
        <f>"1551765030874983"</f>
        <v>1551765030874983</v>
      </c>
      <c r="C5060" t="s">
        <v>40</v>
      </c>
      <c r="D5060">
        <v>3.7892920000000001</v>
      </c>
      <c r="E5060">
        <v>0.52702059999999995</v>
      </c>
      <c r="F5060" t="s">
        <v>42</v>
      </c>
      <c r="G5060">
        <v>-332.92860000000002</v>
      </c>
      <c r="H5060" s="1">
        <v>-3.8607500000000003E-6</v>
      </c>
      <c r="I5060">
        <v>141.63679999999999</v>
      </c>
      <c r="J5060">
        <v>-253.6387</v>
      </c>
      <c r="K5060">
        <v>1.10798</v>
      </c>
      <c r="L5060">
        <v>141.745</v>
      </c>
      <c r="M5060">
        <v>-0.99994159999999999</v>
      </c>
      <c r="N5060">
        <v>-3.9558550000000003E-3</v>
      </c>
      <c r="O5060">
        <v>1.00692E-2</v>
      </c>
      <c r="P5060">
        <v>-0.99517800000000001</v>
      </c>
      <c r="Q5060">
        <v>-7.0015859999999999E-2</v>
      </c>
      <c r="R5060">
        <v>-6.8693130000000005E-2</v>
      </c>
      <c r="S5060">
        <v>-3.011307</v>
      </c>
      <c r="T5060">
        <v>-4.1940930000000001E-2</v>
      </c>
      <c r="U5060">
        <v>-3.9978030000000003E-3</v>
      </c>
      <c r="V5060">
        <v>-7.8707219999999994E-2</v>
      </c>
      <c r="W5060">
        <v>-6.6085340000000006E-2</v>
      </c>
      <c r="X5060">
        <v>0.99470499999999995</v>
      </c>
      <c r="Y5060">
        <v>-1.139487E-2</v>
      </c>
      <c r="Z5060">
        <v>-2.0229070000000001E-4</v>
      </c>
      <c r="AA5060">
        <v>0.99993500000000002</v>
      </c>
      <c r="AB5060">
        <v>45</v>
      </c>
      <c r="AC5060">
        <v>-79.289900000000003</v>
      </c>
      <c r="AD5060">
        <v>-1.1079838607500001</v>
      </c>
      <c r="AE5060">
        <v>-0.10820000000001</v>
      </c>
      <c r="AF5060">
        <v>-0.90640953401138402</v>
      </c>
      <c r="AG5060">
        <v>-1.1079838607500001</v>
      </c>
      <c r="AH5060">
        <v>79.269312053886097</v>
      </c>
      <c r="AI5060">
        <v>90.800745139410495</v>
      </c>
      <c r="AJ5060">
        <v>90.6551233538448</v>
      </c>
      <c r="AK5060">
        <v>79.282236597963106</v>
      </c>
      <c r="AL5060">
        <v>93.789172290727905</v>
      </c>
      <c r="AM5060">
        <v>94.524170755770001</v>
      </c>
      <c r="AN5060">
        <v>1.00000006783401</v>
      </c>
    </row>
    <row r="5061" spans="1:40" x14ac:dyDescent="0.25">
      <c r="A5061" t="str">
        <f>"20190305135030900"</f>
        <v>20190305135030900</v>
      </c>
      <c r="B5061" t="str">
        <f>"1551765030895478"</f>
        <v>1551765030895478</v>
      </c>
      <c r="C5061" t="s">
        <v>40</v>
      </c>
      <c r="D5061">
        <v>3.7812350000000001</v>
      </c>
      <c r="E5061">
        <v>0.53411980000000003</v>
      </c>
      <c r="F5061" t="s">
        <v>42</v>
      </c>
      <c r="G5061">
        <v>-335.85759999999999</v>
      </c>
      <c r="H5061" s="1">
        <v>-2.483401E-6</v>
      </c>
      <c r="I5061">
        <v>141.66380000000001</v>
      </c>
      <c r="J5061">
        <v>-253.9855</v>
      </c>
      <c r="K5061">
        <v>1.1080129999999999</v>
      </c>
      <c r="L5061">
        <v>141.7484</v>
      </c>
      <c r="M5061">
        <v>-0.99994260000000001</v>
      </c>
      <c r="N5061">
        <v>-3.9922389999999999E-3</v>
      </c>
      <c r="O5061">
        <v>9.9456920000000008E-3</v>
      </c>
      <c r="P5061">
        <v>-0.99517140000000004</v>
      </c>
      <c r="Q5061">
        <v>-7.003094E-2</v>
      </c>
      <c r="R5061">
        <v>-6.8772669999999994E-2</v>
      </c>
      <c r="S5061">
        <v>-3.0114749999999999</v>
      </c>
      <c r="T5061">
        <v>-4.058266E-2</v>
      </c>
      <c r="U5061">
        <v>-2.9754640000000001E-3</v>
      </c>
      <c r="V5061">
        <v>-7.8657969999999994E-2</v>
      </c>
      <c r="W5061">
        <v>-6.6070649999999995E-2</v>
      </c>
      <c r="X5061">
        <v>0.99470979999999998</v>
      </c>
      <c r="Y5061">
        <v>-1.0932030000000001E-2</v>
      </c>
      <c r="Z5061">
        <v>-1.8979540000000001E-4</v>
      </c>
      <c r="AA5061">
        <v>0.99994019999999995</v>
      </c>
      <c r="AB5061">
        <v>45</v>
      </c>
      <c r="AC5061">
        <v>-81.872099999999904</v>
      </c>
      <c r="AD5061">
        <v>-1.1080154834010001</v>
      </c>
      <c r="AE5061">
        <v>-8.4599999999994596E-2</v>
      </c>
      <c r="AF5061">
        <v>-0.89871236715270397</v>
      </c>
      <c r="AG5061">
        <v>-1.1080154834010001</v>
      </c>
      <c r="AH5061">
        <v>81.8522174986214</v>
      </c>
      <c r="AI5061">
        <v>90.775506270461605</v>
      </c>
      <c r="AJ5061">
        <v>90.629064894714702</v>
      </c>
      <c r="AK5061">
        <v>81.864649829287998</v>
      </c>
      <c r="AL5061">
        <v>93.788329042394906</v>
      </c>
      <c r="AM5061">
        <v>94.521329829954794</v>
      </c>
      <c r="AN5061">
        <v>0.99999999662599104</v>
      </c>
    </row>
    <row r="5062" spans="1:40" x14ac:dyDescent="0.25">
      <c r="A5062" t="str">
        <f>"20190305135030914"</f>
        <v>20190305135030914</v>
      </c>
      <c r="B5062" t="str">
        <f>"1551765030905239"</f>
        <v>1551765030905239</v>
      </c>
      <c r="C5062" t="s">
        <v>40</v>
      </c>
      <c r="D5062">
        <v>3.7752889999999999</v>
      </c>
      <c r="E5062">
        <v>0.53454519999999905</v>
      </c>
      <c r="F5062" t="s">
        <v>47</v>
      </c>
      <c r="G5062">
        <v>0</v>
      </c>
      <c r="H5062">
        <v>0</v>
      </c>
      <c r="I5062">
        <v>0</v>
      </c>
      <c r="J5062">
        <v>-254.25720000000001</v>
      </c>
      <c r="K5062">
        <v>1.108039</v>
      </c>
      <c r="L5062">
        <v>141.75110000000001</v>
      </c>
      <c r="M5062">
        <v>-0.99994369999999999</v>
      </c>
      <c r="N5062">
        <v>-4.0207300000000001E-3</v>
      </c>
      <c r="O5062">
        <v>9.8344569999999996E-3</v>
      </c>
      <c r="P5062">
        <v>-0.99514420000000003</v>
      </c>
      <c r="Q5062">
        <v>-7.0114930000000006E-2</v>
      </c>
      <c r="R5062">
        <v>-6.9079730000000006E-2</v>
      </c>
      <c r="S5062">
        <v>-3.0183719999999998</v>
      </c>
      <c r="T5062">
        <v>5.4601429999999998E-3</v>
      </c>
      <c r="U5062">
        <v>5.0079350000000002E-2</v>
      </c>
      <c r="V5062">
        <v>-7.8850680000000006E-2</v>
      </c>
      <c r="W5062">
        <v>-6.6131410000000002E-2</v>
      </c>
      <c r="X5062">
        <v>0.99469050000000003</v>
      </c>
      <c r="Y5062">
        <v>6.755423E-3</v>
      </c>
      <c r="Z5062" s="1">
        <v>6.4800819999999898E-5</v>
      </c>
      <c r="AA5062">
        <v>0.99997720000000001</v>
      </c>
      <c r="AB5062">
        <v>45</v>
      </c>
      <c r="AC5062">
        <v>-3.0183719999999998</v>
      </c>
      <c r="AD5062">
        <v>5.4601429999999998E-3</v>
      </c>
      <c r="AE5062">
        <v>5.0079350000000002E-2</v>
      </c>
      <c r="AF5062">
        <v>2.0392576096026599E-2</v>
      </c>
      <c r="AG5062">
        <v>5.4601429999999998E-3</v>
      </c>
      <c r="AH5062">
        <v>3.01870866240683</v>
      </c>
      <c r="AI5062">
        <v>89.896367717073105</v>
      </c>
      <c r="AJ5062">
        <v>89.612950138201498</v>
      </c>
      <c r="AK5062">
        <v>3.0187824795455902</v>
      </c>
      <c r="AL5062">
        <v>93.791817982196207</v>
      </c>
      <c r="AM5062">
        <v>94.532448450003997</v>
      </c>
      <c r="AN5062">
        <v>0.99999999195764999</v>
      </c>
    </row>
    <row r="5063" spans="1:40" x14ac:dyDescent="0.25">
      <c r="A5063" t="str">
        <f>"20190305135031066"</f>
        <v>20190305135031066</v>
      </c>
      <c r="B5063" t="str">
        <f>"1551765031055740"</f>
        <v>1551765031055740</v>
      </c>
      <c r="C5063" t="s">
        <v>40</v>
      </c>
      <c r="D5063">
        <v>3.8089590000000002</v>
      </c>
      <c r="E5063">
        <v>0.55140889999999998</v>
      </c>
      <c r="F5063" t="s">
        <v>47</v>
      </c>
      <c r="G5063">
        <v>0</v>
      </c>
      <c r="H5063">
        <v>0</v>
      </c>
      <c r="I5063">
        <v>0</v>
      </c>
      <c r="J5063">
        <v>-257.38569999999999</v>
      </c>
      <c r="K5063">
        <v>1.108247</v>
      </c>
      <c r="L5063">
        <v>141.77860000000001</v>
      </c>
      <c r="M5063">
        <v>-0.99995840000000003</v>
      </c>
      <c r="N5063">
        <v>-4.3441699999999996E-3</v>
      </c>
      <c r="O5063">
        <v>8.0403750000000006E-3</v>
      </c>
      <c r="P5063">
        <v>-0.99474669999999998</v>
      </c>
      <c r="Q5063">
        <v>-6.7920499999999995E-2</v>
      </c>
      <c r="R5063">
        <v>-7.6591629999999994E-2</v>
      </c>
      <c r="S5063">
        <v>-3.0179140000000002</v>
      </c>
      <c r="T5063">
        <v>-6.2131879999999997E-3</v>
      </c>
      <c r="U5063">
        <v>5.3527829999999998E-2</v>
      </c>
      <c r="V5063">
        <v>-8.45466E-2</v>
      </c>
      <c r="W5063">
        <v>-6.3655589999999998E-2</v>
      </c>
      <c r="X5063">
        <v>0.99438419999999905</v>
      </c>
      <c r="Y5063">
        <v>9.6941100000000006E-3</v>
      </c>
      <c r="Z5063" s="1">
        <v>4.9412010000000001E-5</v>
      </c>
      <c r="AA5063">
        <v>0.99995299999999998</v>
      </c>
      <c r="AB5063">
        <v>46</v>
      </c>
      <c r="AC5063">
        <v>-3.0179140000000002</v>
      </c>
      <c r="AD5063">
        <v>-6.2131879999999997E-3</v>
      </c>
      <c r="AE5063">
        <v>5.3527829999999998E-2</v>
      </c>
      <c r="AF5063">
        <v>2.9260590385370801E-2</v>
      </c>
      <c r="AG5063">
        <v>-6.2131879999999997E-3</v>
      </c>
      <c r="AH5063">
        <v>3.0182340450851801</v>
      </c>
      <c r="AI5063">
        <v>90.117940561898493</v>
      </c>
      <c r="AJ5063">
        <v>89.444557383346293</v>
      </c>
      <c r="AK5063">
        <v>3.0183822714769</v>
      </c>
      <c r="AL5063">
        <v>93.649664064987604</v>
      </c>
      <c r="AM5063">
        <v>94.859832600577505</v>
      </c>
      <c r="AN5063">
        <v>1.0000000494597201</v>
      </c>
    </row>
    <row r="5064" spans="1:40" x14ac:dyDescent="0.25">
      <c r="A5064" t="str">
        <f>"20190305135031078"</f>
        <v>20190305135031078</v>
      </c>
      <c r="B5064" t="str">
        <f>"1551765031075260"</f>
        <v>1551765031075260</v>
      </c>
      <c r="C5064" t="s">
        <v>40</v>
      </c>
      <c r="D5064">
        <v>3.7721290000000001</v>
      </c>
      <c r="E5064">
        <v>0.54954040000000004</v>
      </c>
      <c r="F5064" t="s">
        <v>42</v>
      </c>
      <c r="G5064">
        <v>-377.02850000000001</v>
      </c>
      <c r="H5064" s="1">
        <v>-3.448549E-6</v>
      </c>
      <c r="I5064">
        <v>148.43530000000001</v>
      </c>
      <c r="J5064">
        <v>-257.62490000000003</v>
      </c>
      <c r="K5064">
        <v>1.108249</v>
      </c>
      <c r="L5064">
        <v>141.78049999999999</v>
      </c>
      <c r="M5064">
        <v>-0.9999593</v>
      </c>
      <c r="N5064">
        <v>-4.368551E-3</v>
      </c>
      <c r="O5064">
        <v>7.8908339999999993E-3</v>
      </c>
      <c r="P5064">
        <v>-0.99468670000000003</v>
      </c>
      <c r="Q5064">
        <v>-6.8343059999999997E-2</v>
      </c>
      <c r="R5064">
        <v>-7.6991210000000004E-2</v>
      </c>
      <c r="S5064">
        <v>-3.0268860000000002</v>
      </c>
      <c r="T5064">
        <v>-2.803802E-2</v>
      </c>
      <c r="U5064">
        <v>0.16841130000000001</v>
      </c>
      <c r="V5064">
        <v>-8.4795739999999994E-2</v>
      </c>
      <c r="W5064">
        <v>-6.4056020000000005E-2</v>
      </c>
      <c r="X5064">
        <v>0.99433720000000003</v>
      </c>
      <c r="Y5064">
        <v>4.7669169999999997E-2</v>
      </c>
      <c r="Z5064">
        <v>2.8622780000000001E-4</v>
      </c>
      <c r="AA5064">
        <v>0.99886319999999995</v>
      </c>
      <c r="AB5064">
        <v>46</v>
      </c>
      <c r="AC5064">
        <v>-119.403599999999</v>
      </c>
      <c r="AD5064">
        <v>-1.108252448549</v>
      </c>
      <c r="AE5064">
        <v>6.6548000000000203</v>
      </c>
      <c r="AF5064">
        <v>5.7118992691482804</v>
      </c>
      <c r="AG5064">
        <v>-1.108252448549</v>
      </c>
      <c r="AH5064">
        <v>119.44213717179299</v>
      </c>
      <c r="AI5064">
        <v>90.531000960271996</v>
      </c>
      <c r="AJ5064">
        <v>87.262117079065803</v>
      </c>
      <c r="AK5064">
        <v>119.583770424402</v>
      </c>
      <c r="AL5064">
        <v>93.672654190363005</v>
      </c>
      <c r="AM5064">
        <v>94.874313831534806</v>
      </c>
      <c r="AN5064">
        <v>0.99999997926211304</v>
      </c>
    </row>
    <row r="5065" spans="1:40" x14ac:dyDescent="0.25">
      <c r="A5065" t="str">
        <f>"20190305135031089"</f>
        <v>20190305135031089</v>
      </c>
      <c r="B5065" t="str">
        <f>"1551765031085021"</f>
        <v>1551765031085021</v>
      </c>
      <c r="C5065" t="s">
        <v>40</v>
      </c>
      <c r="D5065">
        <v>3.7748409999999999</v>
      </c>
      <c r="E5065">
        <v>0.54730610000000002</v>
      </c>
      <c r="F5065" t="s">
        <v>42</v>
      </c>
      <c r="G5065">
        <v>-338.57010000000002</v>
      </c>
      <c r="H5065" s="1">
        <v>-2.3226640000000001E-6</v>
      </c>
      <c r="I5065">
        <v>145.87860000000001</v>
      </c>
      <c r="J5065">
        <v>-257.87099999999998</v>
      </c>
      <c r="K5065">
        <v>1.1082559999999999</v>
      </c>
      <c r="L5065">
        <v>141.7824</v>
      </c>
      <c r="M5065">
        <v>-0.99996039999999997</v>
      </c>
      <c r="N5065">
        <v>-4.3935859999999997E-3</v>
      </c>
      <c r="O5065">
        <v>7.7368799999999998E-3</v>
      </c>
      <c r="P5065">
        <v>-0.99465890000000001</v>
      </c>
      <c r="Q5065">
        <v>-6.865156E-2</v>
      </c>
      <c r="R5065">
        <v>-7.7076930000000002E-2</v>
      </c>
      <c r="S5065">
        <v>-3.0250240000000002</v>
      </c>
      <c r="T5065">
        <v>-4.1416759999999997E-2</v>
      </c>
      <c r="U5065">
        <v>0.1531525</v>
      </c>
      <c r="V5065">
        <v>-8.4726380000000004E-2</v>
      </c>
      <c r="W5065">
        <v>-6.4341380000000004E-2</v>
      </c>
      <c r="X5065">
        <v>0.99432469999999995</v>
      </c>
      <c r="Y5065">
        <v>4.2830210000000001E-2</v>
      </c>
      <c r="Z5065">
        <v>3.1527870000000002E-4</v>
      </c>
      <c r="AA5065">
        <v>0.99908229999999998</v>
      </c>
      <c r="AB5065">
        <v>46</v>
      </c>
      <c r="AC5065">
        <v>-80.699100000000001</v>
      </c>
      <c r="AD5065">
        <v>-1.1082583226639999</v>
      </c>
      <c r="AE5065">
        <v>4.0961999999999996</v>
      </c>
      <c r="AF5065">
        <v>3.47105914392945</v>
      </c>
      <c r="AG5065">
        <v>-1.1082583226639999</v>
      </c>
      <c r="AH5065">
        <v>80.713193243924096</v>
      </c>
      <c r="AI5065">
        <v>90.785942254886294</v>
      </c>
      <c r="AJ5065">
        <v>87.537520632770295</v>
      </c>
      <c r="AK5065">
        <v>80.795396228507002</v>
      </c>
      <c r="AL5065">
        <v>93.6890378690277</v>
      </c>
      <c r="AM5065">
        <v>94.870406928514299</v>
      </c>
      <c r="AN5065">
        <v>0.99999999083914903</v>
      </c>
    </row>
    <row r="5066" spans="1:40" x14ac:dyDescent="0.25">
      <c r="A5066" t="str">
        <f>"20190305135031101"</f>
        <v>20190305135031101</v>
      </c>
      <c r="B5066" t="str">
        <f>"1551765031095756"</f>
        <v>1551765031095756</v>
      </c>
      <c r="C5066" t="s">
        <v>40</v>
      </c>
      <c r="D5066">
        <v>3.789202</v>
      </c>
      <c r="E5066">
        <v>0.54605800000000004</v>
      </c>
      <c r="F5066" t="s">
        <v>42</v>
      </c>
      <c r="G5066">
        <v>-322.20499999999998</v>
      </c>
      <c r="H5066" s="1">
        <v>-4.422268E-6</v>
      </c>
      <c r="I5066">
        <v>144.6711</v>
      </c>
      <c r="J5066">
        <v>-258.13099999999997</v>
      </c>
      <c r="K5066">
        <v>1.1082639999999999</v>
      </c>
      <c r="L5066">
        <v>141.78440000000001</v>
      </c>
      <c r="M5066">
        <v>-0.99996160000000001</v>
      </c>
      <c r="N5066">
        <v>-4.4200999999999997E-3</v>
      </c>
      <c r="O5066">
        <v>7.5740440000000003E-3</v>
      </c>
      <c r="P5066">
        <v>-0.99461569999999999</v>
      </c>
      <c r="Q5066">
        <v>-6.8899829999999995E-2</v>
      </c>
      <c r="R5066">
        <v>-7.7413640000000006E-2</v>
      </c>
      <c r="S5066">
        <v>-3.0230410000000001</v>
      </c>
      <c r="T5066">
        <v>-5.2076940000000002E-2</v>
      </c>
      <c r="U5066">
        <v>0.13574220000000001</v>
      </c>
      <c r="V5066">
        <v>-8.4899160000000001E-2</v>
      </c>
      <c r="W5066">
        <v>-6.4565170000000005E-2</v>
      </c>
      <c r="X5066">
        <v>0.9942955</v>
      </c>
      <c r="Y5066">
        <v>3.7283240000000002E-2</v>
      </c>
      <c r="Z5066">
        <v>3.064624E-4</v>
      </c>
      <c r="AA5066">
        <v>0.99930469999999905</v>
      </c>
      <c r="AB5066">
        <v>46</v>
      </c>
      <c r="AC5066">
        <v>-64.073999999999998</v>
      </c>
      <c r="AD5066">
        <v>-1.1082684222679999</v>
      </c>
      <c r="AE5066">
        <v>2.8866999999999901</v>
      </c>
      <c r="AF5066">
        <v>2.4005964419969299</v>
      </c>
      <c r="AG5066">
        <v>-1.1082684222679999</v>
      </c>
      <c r="AH5066">
        <v>64.074895486030201</v>
      </c>
      <c r="AI5066">
        <v>90.990220367362397</v>
      </c>
      <c r="AJ5066">
        <v>87.854389891191801</v>
      </c>
      <c r="AK5066">
        <v>64.129426581865104</v>
      </c>
      <c r="AL5066">
        <v>93.701886644677202</v>
      </c>
      <c r="AM5066">
        <v>94.880433714085996</v>
      </c>
      <c r="AN5066">
        <v>1.00000003493304</v>
      </c>
    </row>
    <row r="5067" spans="1:40" x14ac:dyDescent="0.25">
      <c r="A5067" t="str">
        <f>"20190305135031114"</f>
        <v>20190305135031114</v>
      </c>
      <c r="B5067" t="str">
        <f>"1551765031105517"</f>
        <v>1551765031105517</v>
      </c>
      <c r="C5067" t="s">
        <v>40</v>
      </c>
      <c r="D5067">
        <v>3.8226719999999998</v>
      </c>
      <c r="E5067">
        <v>0.54551660000000002</v>
      </c>
      <c r="F5067" t="s">
        <v>94</v>
      </c>
      <c r="G5067">
        <v>-312.38940000000002</v>
      </c>
      <c r="H5067" s="1">
        <v>-9.7376649999999992E-6</v>
      </c>
      <c r="I5067">
        <v>144.03540000000001</v>
      </c>
      <c r="J5067">
        <v>-258.37869999999998</v>
      </c>
      <c r="K5067">
        <v>1.1082730000000001</v>
      </c>
      <c r="L5067">
        <v>141.78620000000001</v>
      </c>
      <c r="M5067">
        <v>-0.99996260000000003</v>
      </c>
      <c r="N5067">
        <v>-4.4453499999999998E-3</v>
      </c>
      <c r="O5067">
        <v>7.4192599999999996E-3</v>
      </c>
      <c r="P5067">
        <v>-0.99457910000000005</v>
      </c>
      <c r="Q5067">
        <v>-6.8992440000000002E-2</v>
      </c>
      <c r="R5067">
        <v>-7.77973E-2</v>
      </c>
      <c r="S5067">
        <v>-3.0217290000000001</v>
      </c>
      <c r="T5067">
        <v>-6.1721320000000003E-2</v>
      </c>
      <c r="U5067">
        <v>0.12536620000000001</v>
      </c>
      <c r="V5067">
        <v>-8.5127750000000002E-2</v>
      </c>
      <c r="W5067">
        <v>-6.4634460000000005E-2</v>
      </c>
      <c r="X5067">
        <v>0.99427140000000003</v>
      </c>
      <c r="Y5067">
        <v>3.4030810000000002E-2</v>
      </c>
      <c r="Z5067">
        <v>3.0455929999999998E-4</v>
      </c>
      <c r="AA5067">
        <v>0.9994208</v>
      </c>
      <c r="AB5067">
        <v>46</v>
      </c>
      <c r="AC5067">
        <v>-54.0107</v>
      </c>
      <c r="AD5067">
        <v>-1.108282737665</v>
      </c>
      <c r="AE5067">
        <v>2.2492000000000001</v>
      </c>
      <c r="AF5067">
        <v>1.8476380946737301</v>
      </c>
      <c r="AG5067">
        <v>-1.108282737665</v>
      </c>
      <c r="AH5067">
        <v>54.003201898939899</v>
      </c>
      <c r="AI5067">
        <v>91.175002433842593</v>
      </c>
      <c r="AJ5067">
        <v>88.040475672486295</v>
      </c>
      <c r="AK5067">
        <v>54.046164271788598</v>
      </c>
      <c r="AL5067">
        <v>93.705865175100399</v>
      </c>
      <c r="AM5067">
        <v>94.893628537972106</v>
      </c>
      <c r="AN5067">
        <v>0.99999998204875695</v>
      </c>
    </row>
    <row r="5068" spans="1:40" x14ac:dyDescent="0.25">
      <c r="A5068" t="str">
        <f>"20190305135031126"</f>
        <v>20190305135031126</v>
      </c>
      <c r="B5068" t="str">
        <f>"1551765031115277"</f>
        <v>1551765031115277</v>
      </c>
      <c r="C5068" t="s">
        <v>40</v>
      </c>
      <c r="D5068">
        <v>3.8082850000000001</v>
      </c>
      <c r="E5068">
        <v>0.54451660000000002</v>
      </c>
      <c r="F5068" t="s">
        <v>94</v>
      </c>
      <c r="G5068">
        <v>-312.28989999999999</v>
      </c>
      <c r="H5068" s="1">
        <v>-9.7460260000000007E-6</v>
      </c>
      <c r="I5068">
        <v>143.92529999999999</v>
      </c>
      <c r="J5068">
        <v>-258.63310000000001</v>
      </c>
      <c r="K5068">
        <v>1.108284</v>
      </c>
      <c r="L5068">
        <v>141.78799999999899</v>
      </c>
      <c r="M5068">
        <v>-0.99996359999999995</v>
      </c>
      <c r="N5068">
        <v>-4.4712739999999999E-3</v>
      </c>
      <c r="O5068">
        <v>7.2598860000000001E-3</v>
      </c>
      <c r="P5068">
        <v>-0.99456259999999996</v>
      </c>
      <c r="Q5068">
        <v>-6.8863720000000003E-2</v>
      </c>
      <c r="R5068">
        <v>-7.8120739999999994E-2</v>
      </c>
      <c r="S5068">
        <v>-3.0214539999999999</v>
      </c>
      <c r="T5068">
        <v>-6.2113639999999998E-2</v>
      </c>
      <c r="U5068">
        <v>0.1198883</v>
      </c>
      <c r="V5068">
        <v>-8.5292179999999995E-2</v>
      </c>
      <c r="W5068">
        <v>-6.4481529999999995E-2</v>
      </c>
      <c r="X5068">
        <v>0.99426729999999997</v>
      </c>
      <c r="Y5068">
        <v>3.238514E-2</v>
      </c>
      <c r="Z5068">
        <v>2.8843530000000002E-4</v>
      </c>
      <c r="AA5068">
        <v>0.99947540000000001</v>
      </c>
      <c r="AB5068">
        <v>46</v>
      </c>
      <c r="AC5068">
        <v>-53.656799999999897</v>
      </c>
      <c r="AD5068">
        <v>-1.1082937460259901</v>
      </c>
      <c r="AE5068">
        <v>2.13730000000001</v>
      </c>
      <c r="AF5068">
        <v>1.7469533720543</v>
      </c>
      <c r="AG5068">
        <v>-1.1082937460259901</v>
      </c>
      <c r="AH5068">
        <v>53.648050571754403</v>
      </c>
      <c r="AI5068">
        <v>91.182855601692296</v>
      </c>
      <c r="AJ5068">
        <v>88.1349238544217</v>
      </c>
      <c r="AK5068">
        <v>53.687926866858298</v>
      </c>
      <c r="AL5068">
        <v>93.697084386258496</v>
      </c>
      <c r="AM5068">
        <v>94.903054997452301</v>
      </c>
      <c r="AN5068">
        <v>1.00000004376479</v>
      </c>
    </row>
    <row r="5069" spans="1:40" x14ac:dyDescent="0.25">
      <c r="A5069" t="str">
        <f>"20190305135031140"</f>
        <v>20190305135031140</v>
      </c>
      <c r="B5069" t="str">
        <f>"1551765031135772"</f>
        <v>1551765031135772</v>
      </c>
      <c r="C5069" t="s">
        <v>40</v>
      </c>
      <c r="D5069">
        <v>3.78735</v>
      </c>
      <c r="E5069">
        <v>0.5432553</v>
      </c>
      <c r="F5069" t="s">
        <v>94</v>
      </c>
      <c r="G5069">
        <v>-307.92189999999999</v>
      </c>
      <c r="H5069" s="1">
        <v>-1.0380439999999999E-5</v>
      </c>
      <c r="I5069">
        <v>143.60419999999999</v>
      </c>
      <c r="J5069">
        <v>-258.91820000000001</v>
      </c>
      <c r="K5069">
        <v>1.1082959999999999</v>
      </c>
      <c r="L5069">
        <v>141.79</v>
      </c>
      <c r="M5069">
        <v>-0.99996490000000005</v>
      </c>
      <c r="N5069">
        <v>-4.5000839999999997E-3</v>
      </c>
      <c r="O5069">
        <v>7.0807149999999996E-3</v>
      </c>
      <c r="P5069">
        <v>-0.99457629999999997</v>
      </c>
      <c r="Q5069">
        <v>-6.8551490000000007E-2</v>
      </c>
      <c r="R5069">
        <v>-7.8222699999999895E-2</v>
      </c>
      <c r="S5069">
        <v>-3.0204469999999999</v>
      </c>
      <c r="T5069">
        <v>-6.7916870000000004E-2</v>
      </c>
      <c r="U5069">
        <v>0.1112976</v>
      </c>
      <c r="V5069">
        <v>-8.5214880000000007E-2</v>
      </c>
      <c r="W5069">
        <v>-6.4141879999999998E-2</v>
      </c>
      <c r="X5069">
        <v>0.99429579999999995</v>
      </c>
      <c r="Y5069">
        <v>2.9738299999999999E-2</v>
      </c>
      <c r="Z5069">
        <v>2.7384989999999998E-4</v>
      </c>
      <c r="AA5069">
        <v>0.99955769999999999</v>
      </c>
      <c r="AB5069">
        <v>46</v>
      </c>
      <c r="AC5069">
        <v>-49.003699999999903</v>
      </c>
      <c r="AD5069">
        <v>-1.10830638044</v>
      </c>
      <c r="AE5069">
        <v>1.8142</v>
      </c>
      <c r="AF5069">
        <v>1.46642072972649</v>
      </c>
      <c r="AG5069">
        <v>-1.10830638044</v>
      </c>
      <c r="AH5069">
        <v>48.990292309899203</v>
      </c>
      <c r="AI5069">
        <v>91.295400186801999</v>
      </c>
      <c r="AJ5069">
        <v>88.285484020110303</v>
      </c>
      <c r="AK5069">
        <v>49.024763879073099</v>
      </c>
      <c r="AL5069">
        <v>93.677583861484194</v>
      </c>
      <c r="AM5069">
        <v>94.898493280060507</v>
      </c>
      <c r="AN5069">
        <v>0.99999994722049201</v>
      </c>
    </row>
    <row r="5070" spans="1:40" x14ac:dyDescent="0.25">
      <c r="A5070" t="str">
        <f>"20190305135031156"</f>
        <v>20190305135031156</v>
      </c>
      <c r="B5070" t="str">
        <f>"1551765031145532"</f>
        <v>1551765031145532</v>
      </c>
      <c r="C5070" t="s">
        <v>40</v>
      </c>
      <c r="D5070">
        <v>3.7999350000000001</v>
      </c>
      <c r="E5070">
        <v>0.54282869999999905</v>
      </c>
      <c r="F5070" t="s">
        <v>94</v>
      </c>
      <c r="G5070">
        <v>-306.16410000000002</v>
      </c>
      <c r="H5070" s="1">
        <v>-1.0059E-5</v>
      </c>
      <c r="I5070">
        <v>143.37219999999999</v>
      </c>
      <c r="J5070">
        <v>-259.245</v>
      </c>
      <c r="K5070">
        <v>1.108314</v>
      </c>
      <c r="L5070">
        <v>141.79220000000001</v>
      </c>
      <c r="M5070">
        <v>-0.99996629999999997</v>
      </c>
      <c r="N5070">
        <v>-4.5330199999999996E-3</v>
      </c>
      <c r="O5070">
        <v>6.8751259999999996E-3</v>
      </c>
      <c r="P5070">
        <v>-0.99465420000000004</v>
      </c>
      <c r="Q5070">
        <v>-6.7256579999999996E-2</v>
      </c>
      <c r="R5070">
        <v>-7.8357969999999999E-2</v>
      </c>
      <c r="S5070">
        <v>-3.0194700000000001</v>
      </c>
      <c r="T5070">
        <v>-7.0831420000000006E-2</v>
      </c>
      <c r="U5070">
        <v>0.10112</v>
      </c>
      <c r="V5070">
        <v>-8.5146699999999895E-2</v>
      </c>
      <c r="W5070">
        <v>-6.2815220000000005E-2</v>
      </c>
      <c r="X5070">
        <v>0.9943864</v>
      </c>
      <c r="Y5070">
        <v>2.6590929999999999E-2</v>
      </c>
      <c r="Z5070">
        <v>2.420023E-4</v>
      </c>
      <c r="AA5070">
        <v>0.99964640000000005</v>
      </c>
      <c r="AB5070">
        <v>47</v>
      </c>
      <c r="AC5070">
        <v>-46.9191</v>
      </c>
      <c r="AD5070">
        <v>-1.1083240590000001</v>
      </c>
      <c r="AE5070">
        <v>1.5799999999999801</v>
      </c>
      <c r="AF5070">
        <v>1.2566842508037399</v>
      </c>
      <c r="AG5070">
        <v>-1.1083240590000001</v>
      </c>
      <c r="AH5070">
        <v>46.902711835472701</v>
      </c>
      <c r="AI5070">
        <v>91.353177757295697</v>
      </c>
      <c r="AJ5070">
        <v>88.465217075869802</v>
      </c>
      <c r="AK5070">
        <v>46.9326327308342</v>
      </c>
      <c r="AL5070">
        <v>93.601417987108604</v>
      </c>
      <c r="AM5070">
        <v>94.894149280242502</v>
      </c>
      <c r="AN5070">
        <v>1.0000000124447399</v>
      </c>
    </row>
    <row r="5071" spans="1:40" x14ac:dyDescent="0.25">
      <c r="A5071" t="str">
        <f>"20190305135031181"</f>
        <v>20190305135031181</v>
      </c>
      <c r="B5071" t="str">
        <f>"1551765031175789"</f>
        <v>1551765031175789</v>
      </c>
      <c r="C5071" t="s">
        <v>40</v>
      </c>
      <c r="D5071">
        <v>3.8382779999999999</v>
      </c>
      <c r="E5071">
        <v>0.54204830000000004</v>
      </c>
      <c r="F5071" t="s">
        <v>94</v>
      </c>
      <c r="G5071">
        <v>-308.42239999999998</v>
      </c>
      <c r="H5071" s="1">
        <v>-1.038537E-5</v>
      </c>
      <c r="I5071">
        <v>143.3792</v>
      </c>
      <c r="J5071">
        <v>-259.76130000000001</v>
      </c>
      <c r="K5071">
        <v>1.10833</v>
      </c>
      <c r="L5071">
        <v>141.79560000000001</v>
      </c>
      <c r="M5071">
        <v>-0.99996810000000003</v>
      </c>
      <c r="N5071">
        <v>-4.5850439999999999E-3</v>
      </c>
      <c r="O5071">
        <v>6.5503180000000003E-3</v>
      </c>
      <c r="P5071">
        <v>-0.9947587</v>
      </c>
      <c r="Q5071">
        <v>-6.5242289999999994E-2</v>
      </c>
      <c r="R5071">
        <v>-7.8732159999999995E-2</v>
      </c>
      <c r="S5071">
        <v>-3.019196</v>
      </c>
      <c r="T5071">
        <v>-6.8044419999999994E-2</v>
      </c>
      <c r="U5071">
        <v>9.7427369999999999E-2</v>
      </c>
      <c r="V5071">
        <v>-8.5198369999999995E-2</v>
      </c>
      <c r="W5071">
        <v>-6.0750690000000003E-2</v>
      </c>
      <c r="X5071">
        <v>0.99451020000000001</v>
      </c>
      <c r="Y5071">
        <v>2.5698060000000002E-2</v>
      </c>
      <c r="Z5071">
        <v>2.3086729999999999E-4</v>
      </c>
      <c r="AA5071">
        <v>0.99966969999999999</v>
      </c>
      <c r="AB5071">
        <v>47</v>
      </c>
      <c r="AC5071">
        <v>-48.661099999999898</v>
      </c>
      <c r="AD5071">
        <v>-1.10834038537</v>
      </c>
      <c r="AE5071">
        <v>1.5835999999999899</v>
      </c>
      <c r="AF5071">
        <v>1.2641618895384901</v>
      </c>
      <c r="AG5071">
        <v>-1.10834038537</v>
      </c>
      <c r="AH5071">
        <v>48.6452197914588</v>
      </c>
      <c r="AI5071">
        <v>91.304769927978398</v>
      </c>
      <c r="AJ5071">
        <v>88.511367766577607</v>
      </c>
      <c r="AK5071">
        <v>48.674263551204703</v>
      </c>
      <c r="AL5071">
        <v>93.4829028376721</v>
      </c>
      <c r="AM5071">
        <v>94.896498138658799</v>
      </c>
      <c r="AN5071">
        <v>0.99999997324508605</v>
      </c>
    </row>
    <row r="5072" spans="1:40" x14ac:dyDescent="0.25">
      <c r="A5072" t="str">
        <f>"20190305135031194"</f>
        <v>20190305135031194</v>
      </c>
      <c r="B5072" t="str">
        <f>"1551765031185549"</f>
        <v>1551765031185549</v>
      </c>
      <c r="C5072" t="s">
        <v>40</v>
      </c>
      <c r="D5072">
        <v>3.7990490000000001</v>
      </c>
      <c r="E5072">
        <v>0.54182719999999995</v>
      </c>
      <c r="F5072" t="s">
        <v>94</v>
      </c>
      <c r="G5072">
        <v>-310.32679999999999</v>
      </c>
      <c r="H5072" s="1">
        <v>-1.0420950000000001E-5</v>
      </c>
      <c r="I5072">
        <v>143.30779999999999</v>
      </c>
      <c r="J5072">
        <v>-260.05439999999999</v>
      </c>
      <c r="K5072">
        <v>1.1083400000000001</v>
      </c>
      <c r="L5072">
        <v>141.79750000000001</v>
      </c>
      <c r="M5072">
        <v>-0.9999692</v>
      </c>
      <c r="N5072">
        <v>-4.6146E-3</v>
      </c>
      <c r="O5072">
        <v>6.3655519999999896E-3</v>
      </c>
      <c r="P5072">
        <v>-0.99478230000000001</v>
      </c>
      <c r="Q5072">
        <v>-6.4520629999999995E-2</v>
      </c>
      <c r="R5072">
        <v>-7.9027799999999995E-2</v>
      </c>
      <c r="S5072">
        <v>-3.0186160000000002</v>
      </c>
      <c r="T5072">
        <v>-6.6164730000000005E-2</v>
      </c>
      <c r="U5072">
        <v>9.0271000000000004E-2</v>
      </c>
      <c r="V5072">
        <v>-8.5309899999999994E-2</v>
      </c>
      <c r="W5072">
        <v>-6.000055E-2</v>
      </c>
      <c r="X5072">
        <v>0.99454620000000005</v>
      </c>
      <c r="Y5072">
        <v>2.3522149999999999E-2</v>
      </c>
      <c r="Z5072">
        <v>2.018864E-4</v>
      </c>
      <c r="AA5072">
        <v>0.99972329999999998</v>
      </c>
      <c r="AB5072">
        <v>47</v>
      </c>
      <c r="AC5072">
        <v>-50.272399999999998</v>
      </c>
      <c r="AD5072">
        <v>-1.1083504209499999</v>
      </c>
      <c r="AE5072">
        <v>1.51029999999997</v>
      </c>
      <c r="AF5072">
        <v>1.1896767114617599</v>
      </c>
      <c r="AG5072">
        <v>-1.1083504209499999</v>
      </c>
      <c r="AH5072">
        <v>50.256589462438001</v>
      </c>
      <c r="AI5072">
        <v>91.263033026540697</v>
      </c>
      <c r="AJ5072">
        <v>88.643944457919204</v>
      </c>
      <c r="AK5072">
        <v>50.282885316272797</v>
      </c>
      <c r="AL5072">
        <v>93.439844356059695</v>
      </c>
      <c r="AM5072">
        <v>94.902700130472198</v>
      </c>
      <c r="AN5072">
        <v>0.999999994486376</v>
      </c>
    </row>
    <row r="5073" spans="1:40" x14ac:dyDescent="0.25">
      <c r="A5073" t="str">
        <f>"20190305135031205"</f>
        <v>20190305135031205</v>
      </c>
      <c r="B5073" t="str">
        <f>"1551765031195309"</f>
        <v>1551765031195309</v>
      </c>
      <c r="C5073" t="s">
        <v>40</v>
      </c>
      <c r="D5073">
        <v>3.859375</v>
      </c>
      <c r="E5073">
        <v>0.54169179999999995</v>
      </c>
      <c r="F5073" t="s">
        <v>94</v>
      </c>
      <c r="G5073">
        <v>-311.57420000000002</v>
      </c>
      <c r="H5073" s="1">
        <v>-9.8639909999999995E-6</v>
      </c>
      <c r="I5073">
        <v>143.29499999999999</v>
      </c>
      <c r="J5073">
        <v>-260.29270000000002</v>
      </c>
      <c r="K5073">
        <v>1.108349</v>
      </c>
      <c r="L5073">
        <v>141.7989</v>
      </c>
      <c r="M5073">
        <v>-0.99997000000000003</v>
      </c>
      <c r="N5073">
        <v>-4.638624E-3</v>
      </c>
      <c r="O5073">
        <v>6.2148439999999998E-3</v>
      </c>
      <c r="P5073">
        <v>-0.99482939999999997</v>
      </c>
      <c r="Q5073">
        <v>-6.3499440000000004E-2</v>
      </c>
      <c r="R5073">
        <v>-7.9262739999999998E-2</v>
      </c>
      <c r="S5073">
        <v>-3.018494</v>
      </c>
      <c r="T5073">
        <v>-6.4937110000000006E-2</v>
      </c>
      <c r="U5073">
        <v>8.7738040000000003E-2</v>
      </c>
      <c r="V5073">
        <v>-8.5395849999999995E-2</v>
      </c>
      <c r="W5073">
        <v>-5.8955970000000003E-2</v>
      </c>
      <c r="X5073">
        <v>0.99460130000000002</v>
      </c>
      <c r="Y5073">
        <v>2.2836180000000001E-2</v>
      </c>
      <c r="Z5073">
        <v>1.937087E-4</v>
      </c>
      <c r="AA5073">
        <v>0.99973920000000005</v>
      </c>
      <c r="AB5073">
        <v>47</v>
      </c>
      <c r="AC5073">
        <v>-51.281500000000001</v>
      </c>
      <c r="AD5073">
        <v>-1.108358863991</v>
      </c>
      <c r="AE5073">
        <v>1.49609999999998</v>
      </c>
      <c r="AF5073">
        <v>1.1768119187392601</v>
      </c>
      <c r="AG5073">
        <v>-1.108358863991</v>
      </c>
      <c r="AH5073">
        <v>51.265880187979803</v>
      </c>
      <c r="AI5073">
        <v>91.238205145711902</v>
      </c>
      <c r="AJ5073">
        <v>88.685002254687404</v>
      </c>
      <c r="AK5073">
        <v>51.291362012640803</v>
      </c>
      <c r="AL5073">
        <v>93.379888156585196</v>
      </c>
      <c r="AM5073">
        <v>94.907344955076894</v>
      </c>
      <c r="AN5073">
        <v>1.00000000177877</v>
      </c>
    </row>
    <row r="5074" spans="1:40" x14ac:dyDescent="0.25">
      <c r="A5074" t="str">
        <f>"20190305135031224"</f>
        <v>20190305135031224</v>
      </c>
      <c r="B5074" t="str">
        <f>"1551765031214828"</f>
        <v>1551765031214828</v>
      </c>
      <c r="C5074" t="s">
        <v>40</v>
      </c>
      <c r="D5074">
        <v>3.8164180000000001</v>
      </c>
      <c r="E5074">
        <v>0.54130769999999995</v>
      </c>
      <c r="F5074" t="s">
        <v>94</v>
      </c>
      <c r="G5074">
        <v>-313.35640000000001</v>
      </c>
      <c r="H5074" s="1">
        <v>-9.1824860000000006E-6</v>
      </c>
      <c r="I5074">
        <v>143.31129999999999</v>
      </c>
      <c r="J5074">
        <v>-260.69260000000003</v>
      </c>
      <c r="K5074">
        <v>1.108374</v>
      </c>
      <c r="L5074">
        <v>141.8013</v>
      </c>
      <c r="M5074">
        <v>-0.99997119999999995</v>
      </c>
      <c r="N5074">
        <v>-4.7166909999999899E-3</v>
      </c>
      <c r="O5074">
        <v>5.9626419999999998E-3</v>
      </c>
      <c r="P5074">
        <v>-0.99486039999999998</v>
      </c>
      <c r="Q5074">
        <v>-6.1960920000000003E-2</v>
      </c>
      <c r="R5074">
        <v>-8.0086350000000001E-2</v>
      </c>
      <c r="S5074">
        <v>-3.0184329999999999</v>
      </c>
      <c r="T5074">
        <v>-6.3046930000000001E-2</v>
      </c>
      <c r="U5074">
        <v>8.6029049999999996E-2</v>
      </c>
      <c r="V5074">
        <v>-8.5969719999999999E-2</v>
      </c>
      <c r="W5074">
        <v>-5.734127E-2</v>
      </c>
      <c r="X5074">
        <v>0.99464629999999998</v>
      </c>
      <c r="Y5074">
        <v>2.2523629999999999E-2</v>
      </c>
      <c r="Z5074">
        <v>1.9190759999999999E-4</v>
      </c>
      <c r="AA5074">
        <v>0.99974629999999998</v>
      </c>
      <c r="AB5074">
        <v>47</v>
      </c>
      <c r="AC5074">
        <v>-52.663799999999902</v>
      </c>
      <c r="AD5074">
        <v>-1.108383182486</v>
      </c>
      <c r="AE5074">
        <v>1.50999999999999</v>
      </c>
      <c r="AF5074">
        <v>1.1954252297844099</v>
      </c>
      <c r="AG5074">
        <v>-1.108383182486</v>
      </c>
      <c r="AH5074">
        <v>52.6485659121998</v>
      </c>
      <c r="AI5074">
        <v>91.205729750456996</v>
      </c>
      <c r="AJ5074">
        <v>88.699279793737006</v>
      </c>
      <c r="AK5074">
        <v>52.6737984900507</v>
      </c>
      <c r="AL5074">
        <v>93.287215724662701</v>
      </c>
      <c r="AM5074">
        <v>94.939937822921394</v>
      </c>
      <c r="AN5074">
        <v>1.00000003805289</v>
      </c>
    </row>
    <row r="5075" spans="1:40" x14ac:dyDescent="0.25">
      <c r="A5075" t="str">
        <f>"20190305135031240"</f>
        <v>20190305135031240</v>
      </c>
      <c r="B5075" t="str">
        <f>"1551765031235325"</f>
        <v>1551765031235325</v>
      </c>
      <c r="C5075" t="s">
        <v>40</v>
      </c>
      <c r="D5075">
        <v>3.8616190000000001</v>
      </c>
      <c r="E5075">
        <v>0.54105999999999999</v>
      </c>
      <c r="F5075" t="s">
        <v>94</v>
      </c>
      <c r="G5075">
        <v>-315.55070000000001</v>
      </c>
      <c r="H5075" s="1">
        <v>-8.3053199999999996E-6</v>
      </c>
      <c r="I5075">
        <v>143.2681</v>
      </c>
      <c r="J5075">
        <v>-260.99470000000002</v>
      </c>
      <c r="K5075">
        <v>1.1084080000000001</v>
      </c>
      <c r="L5075">
        <v>141.803</v>
      </c>
      <c r="M5075">
        <v>-0.99997170000000002</v>
      </c>
      <c r="N5075">
        <v>-4.8360549999999997E-3</v>
      </c>
      <c r="O5075">
        <v>5.7726749999999997E-3</v>
      </c>
      <c r="P5075">
        <v>-0.99483429999999995</v>
      </c>
      <c r="Q5075">
        <v>-6.1700539999999998E-2</v>
      </c>
      <c r="R5075">
        <v>-8.0611100000000005E-2</v>
      </c>
      <c r="S5075">
        <v>-3.0182190000000002</v>
      </c>
      <c r="T5075">
        <v>-6.0981630000000002E-2</v>
      </c>
      <c r="U5075">
        <v>8.0703739999999996E-2</v>
      </c>
      <c r="V5075">
        <v>-8.6305019999999996E-2</v>
      </c>
      <c r="W5075">
        <v>-5.6963409999999999E-2</v>
      </c>
      <c r="X5075">
        <v>0.99463889999999999</v>
      </c>
      <c r="Y5075">
        <v>2.0953570000000001E-2</v>
      </c>
      <c r="Z5075">
        <v>1.7361300000000001E-4</v>
      </c>
      <c r="AA5075">
        <v>0.99978040000000001</v>
      </c>
      <c r="AB5075">
        <v>47</v>
      </c>
      <c r="AC5075">
        <v>-54.555999999999898</v>
      </c>
      <c r="AD5075">
        <v>-1.10841630532</v>
      </c>
      <c r="AE5075">
        <v>1.4651000000000001</v>
      </c>
      <c r="AF5075">
        <v>1.1496636469411099</v>
      </c>
      <c r="AG5075">
        <v>-1.10841630532</v>
      </c>
      <c r="AH5075">
        <v>54.541051269483702</v>
      </c>
      <c r="AI5075">
        <v>91.163980810666899</v>
      </c>
      <c r="AJ5075">
        <v>88.792448623389106</v>
      </c>
      <c r="AK5075">
        <v>54.564426019041399</v>
      </c>
      <c r="AL5075">
        <v>93.265530739105799</v>
      </c>
      <c r="AM5075">
        <v>94.959145437153794</v>
      </c>
      <c r="AN5075">
        <v>0.99999996397461799</v>
      </c>
    </row>
    <row r="5076" spans="1:40" x14ac:dyDescent="0.25">
      <c r="A5076" t="str">
        <f>"20190305135031253"</f>
        <v>20190305135031253</v>
      </c>
      <c r="B5076" t="str">
        <f>"1551765031245086"</f>
        <v>1551765031245086</v>
      </c>
      <c r="C5076" t="s">
        <v>40</v>
      </c>
      <c r="D5076">
        <v>3.8543210000000001</v>
      </c>
      <c r="E5076">
        <v>0.54099119999999901</v>
      </c>
      <c r="F5076" t="s">
        <v>94</v>
      </c>
      <c r="G5076">
        <v>-314.05349999999999</v>
      </c>
      <c r="H5076" s="1">
        <v>-8.8809E-6</v>
      </c>
      <c r="I5076">
        <v>143.16290000000001</v>
      </c>
      <c r="J5076">
        <v>-261.30180000000001</v>
      </c>
      <c r="K5076">
        <v>1.1084510000000001</v>
      </c>
      <c r="L5076">
        <v>141.8047</v>
      </c>
      <c r="M5076">
        <v>-0.99997190000000002</v>
      </c>
      <c r="N5076">
        <v>-5.0172109999999997E-3</v>
      </c>
      <c r="O5076">
        <v>5.5803119999999996E-3</v>
      </c>
      <c r="P5076">
        <v>-0.99483509999999997</v>
      </c>
      <c r="Q5076">
        <v>-6.1275950000000003E-2</v>
      </c>
      <c r="R5076">
        <v>-8.0923419999999996E-2</v>
      </c>
      <c r="S5076">
        <v>-3.017944</v>
      </c>
      <c r="T5076">
        <v>-6.3045980000000001E-2</v>
      </c>
      <c r="U5076">
        <v>7.7346799999999993E-2</v>
      </c>
      <c r="V5076">
        <v>-8.6426069999999994E-2</v>
      </c>
      <c r="W5076">
        <v>-5.6359640000000003E-2</v>
      </c>
      <c r="X5076">
        <v>0.99466279999999996</v>
      </c>
      <c r="Y5076">
        <v>2.0036890000000002E-2</v>
      </c>
      <c r="Z5076">
        <v>1.70963E-4</v>
      </c>
      <c r="AA5076">
        <v>0.99979929999999995</v>
      </c>
      <c r="AB5076">
        <v>47</v>
      </c>
      <c r="AC5076">
        <v>-52.7516999999999</v>
      </c>
      <c r="AD5076">
        <v>-1.1084598808999999</v>
      </c>
      <c r="AE5076">
        <v>1.3582000000000101</v>
      </c>
      <c r="AF5076">
        <v>1.0633350285848899</v>
      </c>
      <c r="AG5076">
        <v>-1.1084598808999999</v>
      </c>
      <c r="AH5076">
        <v>52.735188798604703</v>
      </c>
      <c r="AI5076">
        <v>91.203898621233094</v>
      </c>
      <c r="AJ5076">
        <v>88.844863250375894</v>
      </c>
      <c r="AK5076">
        <v>52.757553983435102</v>
      </c>
      <c r="AL5076">
        <v>93.230881546470002</v>
      </c>
      <c r="AM5076">
        <v>94.965947564541494</v>
      </c>
      <c r="AN5076">
        <v>0.99999998015020697</v>
      </c>
    </row>
    <row r="5077" spans="1:40" x14ac:dyDescent="0.25">
      <c r="A5077" t="str">
        <f>"20190305135031267"</f>
        <v>20190305135031267</v>
      </c>
      <c r="B5077" t="str">
        <f>"1551765031265580"</f>
        <v>1551765031265580</v>
      </c>
      <c r="C5077" t="s">
        <v>40</v>
      </c>
      <c r="D5077">
        <v>3.8499680000000001</v>
      </c>
      <c r="E5077">
        <v>0.54075549999999994</v>
      </c>
      <c r="F5077" t="s">
        <v>94</v>
      </c>
      <c r="G5077">
        <v>-314.5881</v>
      </c>
      <c r="H5077" s="1">
        <v>-8.6753679999999906E-6</v>
      </c>
      <c r="I5077">
        <v>143.14670000000001</v>
      </c>
      <c r="J5077">
        <v>-261.60660000000001</v>
      </c>
      <c r="K5077">
        <v>1.1085210000000001</v>
      </c>
      <c r="L5077">
        <v>141.8064</v>
      </c>
      <c r="M5077">
        <v>-0.99997159999999996</v>
      </c>
      <c r="N5077">
        <v>-5.2826230000000002E-3</v>
      </c>
      <c r="O5077">
        <v>5.3896959999999898E-3</v>
      </c>
      <c r="P5077">
        <v>-0.99485060000000003</v>
      </c>
      <c r="Q5077">
        <v>-6.0483889999999998E-2</v>
      </c>
      <c r="R5077">
        <v>-8.1326830000000003E-2</v>
      </c>
      <c r="S5077">
        <v>-3.0178530000000001</v>
      </c>
      <c r="T5077">
        <v>-6.2777280000000005E-2</v>
      </c>
      <c r="U5077">
        <v>7.600403E-2</v>
      </c>
      <c r="V5077">
        <v>-8.6639869999999994E-2</v>
      </c>
      <c r="W5077">
        <v>-5.5304619999999999E-2</v>
      </c>
      <c r="X5077">
        <v>0.99470340000000002</v>
      </c>
      <c r="Y5077">
        <v>1.9783680000000001E-2</v>
      </c>
      <c r="Z5077">
        <v>1.7436710000000001E-4</v>
      </c>
      <c r="AA5077">
        <v>0.99980429999999998</v>
      </c>
      <c r="AB5077">
        <v>47</v>
      </c>
      <c r="AC5077">
        <v>-52.981499999999897</v>
      </c>
      <c r="AD5077">
        <v>-1.1085296753679901</v>
      </c>
      <c r="AE5077">
        <v>1.34030000000001</v>
      </c>
      <c r="AF5077">
        <v>1.0542611625259899</v>
      </c>
      <c r="AG5077">
        <v>-1.1085296753679901</v>
      </c>
      <c r="AH5077">
        <v>52.9647827856612</v>
      </c>
      <c r="AI5077">
        <v>91.198763098965401</v>
      </c>
      <c r="AJ5077">
        <v>88.859681164567206</v>
      </c>
      <c r="AK5077">
        <v>52.986871205726601</v>
      </c>
      <c r="AL5077">
        <v>93.1703389736291</v>
      </c>
      <c r="AM5077">
        <v>94.9779684532933</v>
      </c>
      <c r="AN5077">
        <v>0.99999996101925903</v>
      </c>
    </row>
    <row r="5078" spans="1:40" x14ac:dyDescent="0.25">
      <c r="A5078" t="str">
        <f>"20190305135031282"</f>
        <v>20190305135031282</v>
      </c>
      <c r="B5078" t="str">
        <f>"1551765031275341"</f>
        <v>1551765031275341</v>
      </c>
      <c r="C5078" t="s">
        <v>40</v>
      </c>
      <c r="D5078">
        <v>3.8593130000000002</v>
      </c>
      <c r="E5078">
        <v>0.54064239999999997</v>
      </c>
      <c r="F5078" t="s">
        <v>94</v>
      </c>
      <c r="G5078">
        <v>-315.16969999999998</v>
      </c>
      <c r="H5078" s="1">
        <v>-8.4307809999999902E-6</v>
      </c>
      <c r="I5078">
        <v>143.10339999999999</v>
      </c>
      <c r="J5078">
        <v>-261.90129999999999</v>
      </c>
      <c r="K5078">
        <v>1.108617</v>
      </c>
      <c r="L5078">
        <v>141.80789999999999</v>
      </c>
      <c r="M5078">
        <v>-0.99997049999999998</v>
      </c>
      <c r="N5078">
        <v>-5.6616399999999999E-3</v>
      </c>
      <c r="O5078">
        <v>5.2018150000000003E-3</v>
      </c>
      <c r="P5078">
        <v>-0.99485670000000004</v>
      </c>
      <c r="Q5078">
        <v>-6.0214959999999998E-2</v>
      </c>
      <c r="R5078">
        <v>-8.1452129999999998E-2</v>
      </c>
      <c r="S5078">
        <v>-3.0177</v>
      </c>
      <c r="T5078">
        <v>-6.2453630000000003E-2</v>
      </c>
      <c r="U5078">
        <v>7.3074340000000002E-2</v>
      </c>
      <c r="V5078">
        <v>-8.6578450000000001E-2</v>
      </c>
      <c r="W5078">
        <v>-5.4659949999999999E-2</v>
      </c>
      <c r="X5078">
        <v>0.99474439999999997</v>
      </c>
      <c r="Y5078">
        <v>1.9002850000000002E-2</v>
      </c>
      <c r="Z5078">
        <v>1.722176E-4</v>
      </c>
      <c r="AA5078">
        <v>0.99981940000000002</v>
      </c>
      <c r="AB5078">
        <v>47</v>
      </c>
      <c r="AC5078">
        <v>-53.2683999999999</v>
      </c>
      <c r="AD5078">
        <v>-1.108625430781</v>
      </c>
      <c r="AE5078">
        <v>1.2955000000000001</v>
      </c>
      <c r="AF5078">
        <v>1.0179450302975299</v>
      </c>
      <c r="AG5078">
        <v>-1.108625430781</v>
      </c>
      <c r="AH5078">
        <v>53.251366566776099</v>
      </c>
      <c r="AI5078">
        <v>91.192434871509406</v>
      </c>
      <c r="AJ5078">
        <v>88.904875965302296</v>
      </c>
      <c r="AK5078">
        <v>53.272631844687801</v>
      </c>
      <c r="AL5078">
        <v>93.133346084716393</v>
      </c>
      <c r="AM5078">
        <v>94.974253225826502</v>
      </c>
      <c r="AN5078">
        <v>0.99999997973488197</v>
      </c>
    </row>
    <row r="5079" spans="1:40" x14ac:dyDescent="0.25">
      <c r="A5079" t="str">
        <f>"20190305135031294"</f>
        <v>20190305135031294</v>
      </c>
      <c r="B5079" t="str">
        <f>"1551765031285101"</f>
        <v>1551765031285101</v>
      </c>
      <c r="C5079" t="s">
        <v>40</v>
      </c>
      <c r="D5079">
        <v>3.850587</v>
      </c>
      <c r="E5079">
        <v>0.54054199999999997</v>
      </c>
      <c r="F5079" t="s">
        <v>94</v>
      </c>
      <c r="G5079">
        <v>-314.67779999999999</v>
      </c>
      <c r="H5079" s="1">
        <v>-8.6201419999999904E-6</v>
      </c>
      <c r="I5079">
        <v>143.06540000000001</v>
      </c>
      <c r="J5079">
        <v>-262.17939999999999</v>
      </c>
      <c r="K5079">
        <v>1.108714</v>
      </c>
      <c r="L5079">
        <v>141.8092</v>
      </c>
      <c r="M5079">
        <v>-0.99996910000000006</v>
      </c>
      <c r="N5079">
        <v>-6.0688799999999996E-3</v>
      </c>
      <c r="O5079">
        <v>5.0269870000000001E-3</v>
      </c>
      <c r="P5079">
        <v>-0.99486479999999999</v>
      </c>
      <c r="Q5079">
        <v>-5.9942309999999999E-2</v>
      </c>
      <c r="R5079">
        <v>-8.155424E-2</v>
      </c>
      <c r="S5079">
        <v>-3.0175480000000001</v>
      </c>
      <c r="T5079">
        <v>-6.3386799999999993E-2</v>
      </c>
      <c r="U5079">
        <v>7.1899409999999997E-2</v>
      </c>
      <c r="V5079">
        <v>-8.6506219999999995E-2</v>
      </c>
      <c r="W5079">
        <v>-5.398348E-2</v>
      </c>
      <c r="X5079">
        <v>0.99478759999999999</v>
      </c>
      <c r="Y5079">
        <v>1.8789610000000002E-2</v>
      </c>
      <c r="Z5079">
        <v>1.7926429999999999E-4</v>
      </c>
      <c r="AA5079">
        <v>0.99982349999999998</v>
      </c>
      <c r="AB5079">
        <v>47</v>
      </c>
      <c r="AC5079">
        <v>-52.498399999999997</v>
      </c>
      <c r="AD5079">
        <v>-1.108722620142</v>
      </c>
      <c r="AE5079">
        <v>1.2562</v>
      </c>
      <c r="AF5079">
        <v>0.99182841081576401</v>
      </c>
      <c r="AG5079">
        <v>-1.108722620142</v>
      </c>
      <c r="AH5079">
        <v>52.480657661827301</v>
      </c>
      <c r="AI5079">
        <v>91.210052326938097</v>
      </c>
      <c r="AJ5079">
        <v>88.917299816235499</v>
      </c>
      <c r="AK5079">
        <v>52.501737286139701</v>
      </c>
      <c r="AL5079">
        <v>93.094529969114205</v>
      </c>
      <c r="AM5079">
        <v>94.969909385991599</v>
      </c>
      <c r="AN5079">
        <v>0.99999995566267796</v>
      </c>
    </row>
    <row r="5080" spans="1:40" x14ac:dyDescent="0.25">
      <c r="A5080" t="str">
        <f>"20190305135031307"</f>
        <v>20190305135031307</v>
      </c>
      <c r="B5080" t="str">
        <f>"1551765031295838"</f>
        <v>1551765031295838</v>
      </c>
      <c r="C5080" t="s">
        <v>40</v>
      </c>
      <c r="D5080">
        <v>3.8465060000000002</v>
      </c>
      <c r="E5080">
        <v>0.54041870000000003</v>
      </c>
      <c r="F5080" t="s">
        <v>94</v>
      </c>
      <c r="G5080">
        <v>-314.54360000000003</v>
      </c>
      <c r="H5080" s="1">
        <v>-8.6641760000000002E-6</v>
      </c>
      <c r="I5080">
        <v>143.04079999999999</v>
      </c>
      <c r="J5080">
        <v>-262.43630000000002</v>
      </c>
      <c r="K5080">
        <v>1.1088089999999999</v>
      </c>
      <c r="L5080">
        <v>141.81039999999999</v>
      </c>
      <c r="M5080">
        <v>-0.99996719999999895</v>
      </c>
      <c r="N5080">
        <v>-6.4893650000000004E-3</v>
      </c>
      <c r="O5080">
        <v>4.8702009999999898E-3</v>
      </c>
      <c r="P5080">
        <v>-0.99490299999999998</v>
      </c>
      <c r="Q5080">
        <v>-5.9343140000000003E-2</v>
      </c>
      <c r="R5080">
        <v>-8.1528799999999998E-2</v>
      </c>
      <c r="S5080">
        <v>-3.0174259999999999</v>
      </c>
      <c r="T5080">
        <v>-6.3888909999999993E-2</v>
      </c>
      <c r="U5080">
        <v>7.0968630000000005E-2</v>
      </c>
      <c r="V5080">
        <v>-8.6324979999999996E-2</v>
      </c>
      <c r="W5080">
        <v>-5.2966970000000002E-2</v>
      </c>
      <c r="X5080">
        <v>0.99485800000000002</v>
      </c>
      <c r="Y5080">
        <v>1.8638930000000001E-2</v>
      </c>
      <c r="Z5080">
        <v>1.8627769999999999E-4</v>
      </c>
      <c r="AA5080">
        <v>0.99982629999999995</v>
      </c>
      <c r="AB5080">
        <v>47</v>
      </c>
      <c r="AC5080">
        <v>-52.107300000000002</v>
      </c>
      <c r="AD5080">
        <v>-1.1088176641759999</v>
      </c>
      <c r="AE5080">
        <v>1.2303999999999999</v>
      </c>
      <c r="AF5080">
        <v>0.97616529037766497</v>
      </c>
      <c r="AG5080">
        <v>-1.1088176641759999</v>
      </c>
      <c r="AH5080">
        <v>52.089100719814397</v>
      </c>
      <c r="AI5080">
        <v>91.219253744903895</v>
      </c>
      <c r="AJ5080">
        <v>88.926385667660796</v>
      </c>
      <c r="AK5080">
        <v>52.110044992165399</v>
      </c>
      <c r="AL5080">
        <v>93.036204731116896</v>
      </c>
      <c r="AM5080">
        <v>94.959199663354298</v>
      </c>
      <c r="AN5080">
        <v>0.99999997112349004</v>
      </c>
    </row>
    <row r="5081" spans="1:40" x14ac:dyDescent="0.25">
      <c r="A5081" t="str">
        <f>"20190305135031325"</f>
        <v>20190305135031325</v>
      </c>
      <c r="B5081" t="str">
        <f>"1551765031315357"</f>
        <v>1551765031315357</v>
      </c>
      <c r="C5081" t="s">
        <v>40</v>
      </c>
      <c r="D5081">
        <v>3.8657409999999999</v>
      </c>
      <c r="E5081">
        <v>0.54022769999999898</v>
      </c>
      <c r="F5081" t="s">
        <v>94</v>
      </c>
      <c r="G5081">
        <v>-314.952</v>
      </c>
      <c r="H5081" s="1">
        <v>-8.5083279999999994E-6</v>
      </c>
      <c r="I5081">
        <v>143.03290000000001</v>
      </c>
      <c r="J5081">
        <v>-262.8073</v>
      </c>
      <c r="K5081">
        <v>1.1089370000000001</v>
      </c>
      <c r="L5081">
        <v>141.81209999999999</v>
      </c>
      <c r="M5081">
        <v>-0.99996390000000002</v>
      </c>
      <c r="N5081">
        <v>-7.1089760000000004E-3</v>
      </c>
      <c r="O5081">
        <v>4.64321E-3</v>
      </c>
      <c r="P5081">
        <v>-0.99490599999999996</v>
      </c>
      <c r="Q5081">
        <v>-5.896142E-2</v>
      </c>
      <c r="R5081">
        <v>-8.1766870000000005E-2</v>
      </c>
      <c r="S5081">
        <v>-3.017334</v>
      </c>
      <c r="T5081">
        <v>-6.3708070000000006E-2</v>
      </c>
      <c r="U5081">
        <v>7.0236209999999993E-2</v>
      </c>
      <c r="V5081">
        <v>-8.6337570000000002E-2</v>
      </c>
      <c r="W5081">
        <v>-5.197003E-2</v>
      </c>
      <c r="X5081">
        <v>0.9949095</v>
      </c>
      <c r="Y5081">
        <v>1.8623859999999999E-2</v>
      </c>
      <c r="Z5081">
        <v>1.9777320000000001E-4</v>
      </c>
      <c r="AA5081">
        <v>0.99982660000000001</v>
      </c>
      <c r="AB5081">
        <v>47</v>
      </c>
      <c r="AC5081">
        <v>-52.1447</v>
      </c>
      <c r="AD5081">
        <v>-1.108945508328</v>
      </c>
      <c r="AE5081">
        <v>1.2208000000000201</v>
      </c>
      <c r="AF5081">
        <v>0.97821973691820896</v>
      </c>
      <c r="AG5081">
        <v>-1.108945508328</v>
      </c>
      <c r="AH5081">
        <v>52.126244092937299</v>
      </c>
      <c r="AI5081">
        <v>91.218525048084203</v>
      </c>
      <c r="AJ5081">
        <v>88.924893109929997</v>
      </c>
      <c r="AK5081">
        <v>52.147214664166</v>
      </c>
      <c r="AL5081">
        <v>92.979005439086805</v>
      </c>
      <c r="AM5081">
        <v>94.959663864134399</v>
      </c>
      <c r="AN5081">
        <v>0.999999986600977</v>
      </c>
    </row>
    <row r="5082" spans="1:40" x14ac:dyDescent="0.25">
      <c r="A5082" t="str">
        <f>"20190305135031338"</f>
        <v>20190305135031338</v>
      </c>
      <c r="B5082" t="str">
        <f>"1551765031334878"</f>
        <v>1551765031334878</v>
      </c>
      <c r="C5082" t="s">
        <v>40</v>
      </c>
      <c r="D5082">
        <v>3.8573360000000001</v>
      </c>
      <c r="E5082">
        <v>0.54008730000000005</v>
      </c>
      <c r="F5082" t="s">
        <v>94</v>
      </c>
      <c r="G5082">
        <v>-314.06709999999998</v>
      </c>
      <c r="H5082" s="1">
        <v>-8.8252109999999999E-6</v>
      </c>
      <c r="I5082">
        <v>142.97149999999999</v>
      </c>
      <c r="J5082">
        <v>-263.0883</v>
      </c>
      <c r="K5082">
        <v>1.1090150000000001</v>
      </c>
      <c r="L5082">
        <v>141.8133</v>
      </c>
      <c r="M5082">
        <v>-0.99996149999999995</v>
      </c>
      <c r="N5082">
        <v>-7.5626719999999899E-3</v>
      </c>
      <c r="O5082">
        <v>4.467731E-3</v>
      </c>
      <c r="P5082">
        <v>-0.99489530000000004</v>
      </c>
      <c r="Q5082">
        <v>-5.9306680000000001E-2</v>
      </c>
      <c r="R5082">
        <v>-8.1648390000000001E-2</v>
      </c>
      <c r="S5082">
        <v>-3.0170590000000002</v>
      </c>
      <c r="T5082">
        <v>-6.5270419999999996E-2</v>
      </c>
      <c r="U5082">
        <v>6.8237300000000001E-2</v>
      </c>
      <c r="V5082">
        <v>-8.6044389999999998E-2</v>
      </c>
      <c r="W5082">
        <v>-5.1864210000000001E-2</v>
      </c>
      <c r="X5082">
        <v>0.99494050000000001</v>
      </c>
      <c r="Y5082">
        <v>1.813915E-2</v>
      </c>
      <c r="Z5082">
        <v>2.0192530000000001E-4</v>
      </c>
      <c r="AA5082">
        <v>0.99983540000000004</v>
      </c>
      <c r="AB5082">
        <v>47</v>
      </c>
      <c r="AC5082">
        <v>-50.9787999999999</v>
      </c>
      <c r="AD5082">
        <v>-1.1090238252109901</v>
      </c>
      <c r="AE5082">
        <v>1.1581999999999899</v>
      </c>
      <c r="AF5082">
        <v>0.929982480022292</v>
      </c>
      <c r="AG5082">
        <v>-1.1090238252109901</v>
      </c>
      <c r="AH5082">
        <v>50.959361120627698</v>
      </c>
      <c r="AI5082">
        <v>91.246518416379303</v>
      </c>
      <c r="AJ5082">
        <v>88.954497155703507</v>
      </c>
      <c r="AK5082">
        <v>50.9799106225244</v>
      </c>
      <c r="AL5082">
        <v>92.972933975872806</v>
      </c>
      <c r="AM5082">
        <v>94.9427524652926</v>
      </c>
      <c r="AN5082">
        <v>1.00000006593482</v>
      </c>
    </row>
    <row r="5083" spans="1:40" x14ac:dyDescent="0.25">
      <c r="A5083" t="str">
        <f>"20190305135031351"</f>
        <v>20190305135031351</v>
      </c>
      <c r="B5083" t="str">
        <f>"1551765031345614"</f>
        <v>1551765031345614</v>
      </c>
      <c r="C5083" t="s">
        <v>40</v>
      </c>
      <c r="D5083">
        <v>3.840195</v>
      </c>
      <c r="E5083">
        <v>0.54005740000000002</v>
      </c>
      <c r="F5083" t="s">
        <v>94</v>
      </c>
      <c r="G5083">
        <v>-312.09179999999998</v>
      </c>
      <c r="H5083" s="1">
        <v>-9.5529740000000004E-6</v>
      </c>
      <c r="I5083">
        <v>142.91149999999999</v>
      </c>
      <c r="J5083">
        <v>-263.36680000000001</v>
      </c>
      <c r="K5083">
        <v>1.109083</v>
      </c>
      <c r="L5083">
        <v>141.81440000000001</v>
      </c>
      <c r="M5083">
        <v>-0.99995889999999998</v>
      </c>
      <c r="N5083">
        <v>-7.9974659999999999E-3</v>
      </c>
      <c r="O5083">
        <v>4.291525E-3</v>
      </c>
      <c r="P5083">
        <v>-0.99487139999999996</v>
      </c>
      <c r="Q5083">
        <v>-5.9729490000000003E-2</v>
      </c>
      <c r="R5083">
        <v>-8.1630880000000003E-2</v>
      </c>
      <c r="S5083">
        <v>-3.0168759999999999</v>
      </c>
      <c r="T5083">
        <v>-6.8276519999999993E-2</v>
      </c>
      <c r="U5083">
        <v>6.7611690000000002E-2</v>
      </c>
      <c r="V5083">
        <v>-8.5850860000000001E-2</v>
      </c>
      <c r="W5083">
        <v>-5.1854709999999998E-2</v>
      </c>
      <c r="X5083">
        <v>0.9949576</v>
      </c>
      <c r="Y5083">
        <v>1.8108929999999999E-2</v>
      </c>
      <c r="Z5083">
        <v>2.1451749999999999E-4</v>
      </c>
      <c r="AA5083">
        <v>0.99983599999999995</v>
      </c>
      <c r="AB5083">
        <v>47</v>
      </c>
      <c r="AC5083">
        <v>-48.724999999999902</v>
      </c>
      <c r="AD5083">
        <v>-1.1090925529739999</v>
      </c>
      <c r="AE5083">
        <v>1.09709999999998</v>
      </c>
      <c r="AF5083">
        <v>0.88751906217509102</v>
      </c>
      <c r="AG5083">
        <v>-1.1090925529739999</v>
      </c>
      <c r="AH5083">
        <v>48.704037824992099</v>
      </c>
      <c r="AI5083">
        <v>91.304302508546002</v>
      </c>
      <c r="AJ5083">
        <v>88.956031753455804</v>
      </c>
      <c r="AK5083">
        <v>48.724748094115903</v>
      </c>
      <c r="AL5083">
        <v>92.972389267223804</v>
      </c>
      <c r="AM5083">
        <v>94.931605834800294</v>
      </c>
      <c r="AN5083">
        <v>0.99999995345484005</v>
      </c>
    </row>
    <row r="5084" spans="1:40" x14ac:dyDescent="0.25">
      <c r="A5084" t="str">
        <f>"20190305135031364"</f>
        <v>20190305135031364</v>
      </c>
      <c r="B5084" t="str">
        <f>"1551765031355374"</f>
        <v>1551765031355374</v>
      </c>
      <c r="C5084" t="s">
        <v>40</v>
      </c>
      <c r="D5084">
        <v>3.8598710000000001</v>
      </c>
      <c r="E5084">
        <v>0.5400007</v>
      </c>
      <c r="F5084" t="s">
        <v>94</v>
      </c>
      <c r="G5084">
        <v>-310.93130000000002</v>
      </c>
      <c r="H5084" s="1">
        <v>-1.002571E-5</v>
      </c>
      <c r="I5084">
        <v>142.8802</v>
      </c>
      <c r="J5084">
        <v>-263.64080000000001</v>
      </c>
      <c r="K5084">
        <v>1.1091299999999999</v>
      </c>
      <c r="L5084">
        <v>141.81549999999999</v>
      </c>
      <c r="M5084">
        <v>-0.99995630000000002</v>
      </c>
      <c r="N5084">
        <v>-8.3930800000000007E-3</v>
      </c>
      <c r="O5084">
        <v>4.1140430000000004E-3</v>
      </c>
      <c r="P5084">
        <v>-0.99485029999999997</v>
      </c>
      <c r="Q5084">
        <v>-6.005369E-2</v>
      </c>
      <c r="R5084">
        <v>-8.1647280000000003E-2</v>
      </c>
      <c r="S5084">
        <v>-3.0167540000000002</v>
      </c>
      <c r="T5084">
        <v>-7.0343610000000001E-2</v>
      </c>
      <c r="U5084">
        <v>6.7596439999999994E-2</v>
      </c>
      <c r="V5084">
        <v>-8.5690799999999998E-2</v>
      </c>
      <c r="W5084">
        <v>-5.178547E-2</v>
      </c>
      <c r="X5084">
        <v>0.99497500000000005</v>
      </c>
      <c r="Y5084">
        <v>1.8281740000000001E-2</v>
      </c>
      <c r="Z5084">
        <v>2.2845299999999999E-4</v>
      </c>
      <c r="AA5084">
        <v>0.99983290000000002</v>
      </c>
      <c r="AB5084">
        <v>47</v>
      </c>
      <c r="AC5084">
        <v>-47.290500000000002</v>
      </c>
      <c r="AD5084">
        <v>-1.1091400257099999</v>
      </c>
      <c r="AE5084">
        <v>1.06470000000001</v>
      </c>
      <c r="AF5084">
        <v>0.86965084866739795</v>
      </c>
      <c r="AG5084">
        <v>-1.1091400257099999</v>
      </c>
      <c r="AH5084">
        <v>47.268491917347397</v>
      </c>
      <c r="AI5084">
        <v>91.3439531013384</v>
      </c>
      <c r="AJ5084">
        <v>88.945984938895194</v>
      </c>
      <c r="AK5084">
        <v>47.289500022051001</v>
      </c>
      <c r="AL5084">
        <v>92.968416782109401</v>
      </c>
      <c r="AM5084">
        <v>94.922370926616196</v>
      </c>
      <c r="AN5084">
        <v>0.99999994936637904</v>
      </c>
    </row>
    <row r="5085" spans="1:40" x14ac:dyDescent="0.25">
      <c r="A5085" t="str">
        <f>"20190305135031379"</f>
        <v>20190305135031379</v>
      </c>
      <c r="B5085" t="str">
        <f>"1551765031374907"</f>
        <v>1551765031374907</v>
      </c>
      <c r="C5085" t="s">
        <v>40</v>
      </c>
      <c r="D5085">
        <v>3.8521920000000001</v>
      </c>
      <c r="E5085">
        <v>0.53992769999999901</v>
      </c>
      <c r="F5085" t="s">
        <v>94</v>
      </c>
      <c r="G5085">
        <v>-309.87869999999998</v>
      </c>
      <c r="H5085" s="1">
        <v>-1.043532E-5</v>
      </c>
      <c r="I5085">
        <v>142.8441</v>
      </c>
      <c r="J5085">
        <v>-263.95609999999999</v>
      </c>
      <c r="K5085">
        <v>1.109173</v>
      </c>
      <c r="L5085">
        <v>141.81659999999999</v>
      </c>
      <c r="M5085">
        <v>-0.99995350000000005</v>
      </c>
      <c r="N5085">
        <v>-8.8219019999999995E-3</v>
      </c>
      <c r="O5085">
        <v>3.9085999999999999E-3</v>
      </c>
      <c r="P5085">
        <v>-0.99482210000000004</v>
      </c>
      <c r="Q5085">
        <v>-6.0745229999999997E-2</v>
      </c>
      <c r="R5085">
        <v>-8.1480350000000007E-2</v>
      </c>
      <c r="S5085">
        <v>-3.016724</v>
      </c>
      <c r="T5085">
        <v>-7.2364209999999998E-2</v>
      </c>
      <c r="U5085">
        <v>6.7108150000000005E-2</v>
      </c>
      <c r="V5085">
        <v>-8.5319080000000005E-2</v>
      </c>
      <c r="W5085">
        <v>-5.205038E-2</v>
      </c>
      <c r="X5085">
        <v>0.99499320000000002</v>
      </c>
      <c r="Y5085">
        <v>1.832516E-2</v>
      </c>
      <c r="Z5085">
        <v>2.4133220000000001E-4</v>
      </c>
      <c r="AA5085">
        <v>0.99983200000000005</v>
      </c>
      <c r="AB5085">
        <v>47</v>
      </c>
      <c r="AC5085">
        <v>-45.922599999999903</v>
      </c>
      <c r="AD5085">
        <v>-1.1091834353200001</v>
      </c>
      <c r="AE5085">
        <v>1.0275000000000001</v>
      </c>
      <c r="AF5085">
        <v>0.84749793224935299</v>
      </c>
      <c r="AG5085">
        <v>-1.1091834353200001</v>
      </c>
      <c r="AH5085">
        <v>45.899501837345099</v>
      </c>
      <c r="AI5085">
        <v>91.384074695298295</v>
      </c>
      <c r="AJ5085">
        <v>88.9421990305149</v>
      </c>
      <c r="AK5085">
        <v>45.920723094860001</v>
      </c>
      <c r="AL5085">
        <v>92.983615271453701</v>
      </c>
      <c r="AM5085">
        <v>94.901033088035405</v>
      </c>
      <c r="AN5085">
        <v>1.00000002775821</v>
      </c>
    </row>
    <row r="5086" spans="1:40" x14ac:dyDescent="0.25">
      <c r="A5086" t="str">
        <f>"20190305135031393"</f>
        <v>20190305135031393</v>
      </c>
      <c r="B5086" t="str">
        <f>"1551765031385630"</f>
        <v>1551765031385630</v>
      </c>
      <c r="C5086" t="s">
        <v>40</v>
      </c>
      <c r="D5086">
        <v>3.8425579999999999</v>
      </c>
      <c r="E5086">
        <v>0.53987089999999904</v>
      </c>
      <c r="F5086" t="s">
        <v>94</v>
      </c>
      <c r="G5086">
        <v>-307.56670000000003</v>
      </c>
      <c r="H5086" s="1">
        <v>-1.0087009999999999E-5</v>
      </c>
      <c r="I5086">
        <v>142.7893</v>
      </c>
      <c r="J5086">
        <v>-264.24540000000002</v>
      </c>
      <c r="K5086">
        <v>1.10921</v>
      </c>
      <c r="L5086">
        <v>141.8176</v>
      </c>
      <c r="M5086">
        <v>-0.99995080000000003</v>
      </c>
      <c r="N5086">
        <v>-9.1933369999999993E-3</v>
      </c>
      <c r="O5086">
        <v>3.7199249999999998E-3</v>
      </c>
      <c r="P5086">
        <v>-0.99479949999999995</v>
      </c>
      <c r="Q5086">
        <v>-6.1217960000000002E-2</v>
      </c>
      <c r="R5086">
        <v>-8.1403519999999993E-2</v>
      </c>
      <c r="S5086">
        <v>-3.0164789999999999</v>
      </c>
      <c r="T5086">
        <v>-7.6720479999999994E-2</v>
      </c>
      <c r="U5086">
        <v>6.7276000000000002E-2</v>
      </c>
      <c r="V5086">
        <v>-8.5054350000000001E-2</v>
      </c>
      <c r="W5086">
        <v>-5.2153680000000001E-2</v>
      </c>
      <c r="X5086">
        <v>0.99501039999999996</v>
      </c>
      <c r="Y5086">
        <v>1.8570280000000002E-2</v>
      </c>
      <c r="Z5086">
        <v>2.6108959999999998E-4</v>
      </c>
      <c r="AA5086">
        <v>0.99982749999999998</v>
      </c>
      <c r="AB5086">
        <v>47</v>
      </c>
      <c r="AC5086">
        <v>-43.321300000000001</v>
      </c>
      <c r="AD5086">
        <v>-1.10922008701</v>
      </c>
      <c r="AE5086">
        <v>0.97169999999999801</v>
      </c>
      <c r="AF5086">
        <v>0.81000371196367105</v>
      </c>
      <c r="AG5086">
        <v>-1.10922008701</v>
      </c>
      <c r="AH5086">
        <v>43.2962447181012</v>
      </c>
      <c r="AI5086">
        <v>91.467300897545996</v>
      </c>
      <c r="AJ5086">
        <v>88.928212343134106</v>
      </c>
      <c r="AK5086">
        <v>43.318024907704697</v>
      </c>
      <c r="AL5086">
        <v>92.989542140657804</v>
      </c>
      <c r="AM5086">
        <v>94.885815728558597</v>
      </c>
      <c r="AN5086">
        <v>0.99999997244981198</v>
      </c>
    </row>
    <row r="5087" spans="1:40" x14ac:dyDescent="0.25">
      <c r="A5087" t="str">
        <f>"20190305135031405"</f>
        <v>20190305135031405</v>
      </c>
      <c r="B5087" t="str">
        <f>"1551765031395389"</f>
        <v>1551765031395389</v>
      </c>
      <c r="C5087" t="s">
        <v>40</v>
      </c>
      <c r="D5087">
        <v>3.8359179999999999</v>
      </c>
      <c r="E5087">
        <v>0.53982350000000001</v>
      </c>
      <c r="F5087" t="s">
        <v>94</v>
      </c>
      <c r="G5087">
        <v>-306.48169999999999</v>
      </c>
      <c r="H5087" s="1">
        <v>-9.9214900000000008E-6</v>
      </c>
      <c r="I5087">
        <v>142.7567</v>
      </c>
      <c r="J5087">
        <v>-264.50229999999999</v>
      </c>
      <c r="K5087">
        <v>1.1092390000000001</v>
      </c>
      <c r="L5087">
        <v>141.8185</v>
      </c>
      <c r="M5087">
        <v>-0.99994870000000002</v>
      </c>
      <c r="N5087">
        <v>-9.4997810000000005E-3</v>
      </c>
      <c r="O5087">
        <v>3.553573E-3</v>
      </c>
      <c r="P5087">
        <v>-0.99476819999999999</v>
      </c>
      <c r="Q5087">
        <v>-6.1842910000000001E-2</v>
      </c>
      <c r="R5087">
        <v>-8.131476E-2</v>
      </c>
      <c r="S5087">
        <v>-3.0162960000000001</v>
      </c>
      <c r="T5087">
        <v>-7.9214690000000004E-2</v>
      </c>
      <c r="U5087">
        <v>6.7062380000000005E-2</v>
      </c>
      <c r="V5087">
        <v>-8.4799570000000005E-2</v>
      </c>
      <c r="W5087">
        <v>-5.2474010000000001E-2</v>
      </c>
      <c r="X5087">
        <v>0.99501530000000005</v>
      </c>
      <c r="Y5087">
        <v>1.8666599999999998E-2</v>
      </c>
      <c r="Z5087">
        <v>2.741943E-4</v>
      </c>
      <c r="AA5087">
        <v>0.99982570000000004</v>
      </c>
      <c r="AB5087">
        <v>47</v>
      </c>
      <c r="AC5087">
        <v>-41.979399999999998</v>
      </c>
      <c r="AD5087">
        <v>-1.1092489214900001</v>
      </c>
      <c r="AE5087">
        <v>0.93819999999999404</v>
      </c>
      <c r="AF5087">
        <v>0.78846026678537295</v>
      </c>
      <c r="AG5087">
        <v>-1.1092489214900001</v>
      </c>
      <c r="AH5087">
        <v>41.953191550653997</v>
      </c>
      <c r="AI5087">
        <v>91.514289189786496</v>
      </c>
      <c r="AJ5087">
        <v>88.923320817967493</v>
      </c>
      <c r="AK5087">
        <v>41.975259189765502</v>
      </c>
      <c r="AL5087">
        <v>93.007920877754202</v>
      </c>
      <c r="AM5087">
        <v>94.871226941082895</v>
      </c>
      <c r="AN5087">
        <v>0.99999996801587698</v>
      </c>
    </row>
    <row r="5088" spans="1:40" x14ac:dyDescent="0.25">
      <c r="A5088" t="str">
        <f>"20190305135031416"</f>
        <v>20190305135031416</v>
      </c>
      <c r="B5088" t="str">
        <f>"1551765031405149"</f>
        <v>1551765031405149</v>
      </c>
      <c r="C5088" t="s">
        <v>40</v>
      </c>
      <c r="D5088">
        <v>3.8614850000000001</v>
      </c>
      <c r="E5088">
        <v>0.53982010000000002</v>
      </c>
      <c r="F5088" t="s">
        <v>94</v>
      </c>
      <c r="G5088">
        <v>-305.22320000000002</v>
      </c>
      <c r="H5088" s="1">
        <v>-9.7306940000000001E-6</v>
      </c>
      <c r="I5088">
        <v>142.72290000000001</v>
      </c>
      <c r="J5088">
        <v>-264.75290000000001</v>
      </c>
      <c r="K5088">
        <v>1.109262</v>
      </c>
      <c r="L5088">
        <v>141.8193</v>
      </c>
      <c r="M5088">
        <v>-0.99994649999999996</v>
      </c>
      <c r="N5088">
        <v>-9.7811840000000001E-3</v>
      </c>
      <c r="O5088">
        <v>3.3928510000000001E-3</v>
      </c>
      <c r="P5088">
        <v>-0.99476819999999999</v>
      </c>
      <c r="Q5088">
        <v>-6.1839730000000002E-2</v>
      </c>
      <c r="R5088">
        <v>-8.1316449999999998E-2</v>
      </c>
      <c r="S5088">
        <v>-3.0161440000000002</v>
      </c>
      <c r="T5088">
        <v>-8.2160590000000006E-2</v>
      </c>
      <c r="U5088">
        <v>6.6986080000000003E-2</v>
      </c>
      <c r="V5088">
        <v>-8.4640939999999998E-2</v>
      </c>
      <c r="W5088">
        <v>-5.2190930000000003E-2</v>
      </c>
      <c r="X5088">
        <v>0.99504380000000003</v>
      </c>
      <c r="Y5088">
        <v>1.8802449999999998E-2</v>
      </c>
      <c r="Z5088">
        <v>2.8879129999999999E-4</v>
      </c>
      <c r="AA5088">
        <v>0.99982320000000002</v>
      </c>
      <c r="AB5088">
        <v>47</v>
      </c>
      <c r="AC5088">
        <v>-40.470300000000002</v>
      </c>
      <c r="AD5088">
        <v>-1.1092717306940001</v>
      </c>
      <c r="AE5088">
        <v>0.90360000000001095</v>
      </c>
      <c r="AF5088">
        <v>0.76570357201334904</v>
      </c>
      <c r="AG5088">
        <v>-1.1092717306940001</v>
      </c>
      <c r="AH5088">
        <v>40.442764182379101</v>
      </c>
      <c r="AI5088">
        <v>91.570844114807002</v>
      </c>
      <c r="AJ5088">
        <v>88.915347578448404</v>
      </c>
      <c r="AK5088">
        <v>40.465219144893297</v>
      </c>
      <c r="AL5088">
        <v>92.991679018318393</v>
      </c>
      <c r="AM5088">
        <v>94.862019729406498</v>
      </c>
      <c r="AN5088">
        <v>1.00000007290839</v>
      </c>
    </row>
    <row r="5089" spans="1:40" x14ac:dyDescent="0.25">
      <c r="A5089" t="str">
        <f>"20190305135031430"</f>
        <v>20190305135031430</v>
      </c>
      <c r="B5089" t="str">
        <f>"1551765031425645"</f>
        <v>1551765031425645</v>
      </c>
      <c r="C5089" t="s">
        <v>40</v>
      </c>
      <c r="D5089">
        <v>3.8322259999999999</v>
      </c>
      <c r="E5089">
        <v>0.53980600000000001</v>
      </c>
      <c r="F5089" t="s">
        <v>94</v>
      </c>
      <c r="G5089">
        <v>-305.13490000000002</v>
      </c>
      <c r="H5089" s="1">
        <v>-9.7159520000000002E-6</v>
      </c>
      <c r="I5089">
        <v>142.7159</v>
      </c>
      <c r="J5089">
        <v>-265.02629999999999</v>
      </c>
      <c r="K5089">
        <v>1.109283</v>
      </c>
      <c r="L5089">
        <v>141.8201</v>
      </c>
      <c r="M5089">
        <v>-0.99994400000000006</v>
      </c>
      <c r="N5089">
        <v>-1.007573E-2</v>
      </c>
      <c r="O5089">
        <v>3.2185429999999999E-3</v>
      </c>
      <c r="P5089">
        <v>-0.99477579999999999</v>
      </c>
      <c r="Q5089">
        <v>-6.1643860000000002E-2</v>
      </c>
      <c r="R5089">
        <v>-8.1369709999999998E-2</v>
      </c>
      <c r="S5089">
        <v>-3.0161129999999998</v>
      </c>
      <c r="T5089">
        <v>-8.2851049999999996E-2</v>
      </c>
      <c r="U5089">
        <v>6.6970829999999995E-2</v>
      </c>
      <c r="V5089">
        <v>-8.4521609999999997E-2</v>
      </c>
      <c r="W5089">
        <v>-5.1702070000000003E-2</v>
      </c>
      <c r="X5089">
        <v>0.99507939999999995</v>
      </c>
      <c r="Y5089">
        <v>1.8971559999999998E-2</v>
      </c>
      <c r="Z5089">
        <v>3.0014249999999999E-4</v>
      </c>
      <c r="AA5089">
        <v>0.99982000000000004</v>
      </c>
      <c r="AB5089">
        <v>47</v>
      </c>
      <c r="AC5089">
        <v>-40.108600000000003</v>
      </c>
      <c r="AD5089">
        <v>-1.1092927159520001</v>
      </c>
      <c r="AE5089">
        <v>0.89580000000000803</v>
      </c>
      <c r="AF5089">
        <v>0.76611182132788902</v>
      </c>
      <c r="AG5089">
        <v>-1.1092927159520001</v>
      </c>
      <c r="AH5089">
        <v>40.080632269413002</v>
      </c>
      <c r="AI5089">
        <v>91.585054126958198</v>
      </c>
      <c r="AJ5089">
        <v>88.904966640183702</v>
      </c>
      <c r="AK5089">
        <v>40.103298377669098</v>
      </c>
      <c r="AL5089">
        <v>92.963631725771805</v>
      </c>
      <c r="AM5089">
        <v>94.855024990719301</v>
      </c>
      <c r="AN5089">
        <v>1.00000000945181</v>
      </c>
    </row>
    <row r="5090" spans="1:40" x14ac:dyDescent="0.25">
      <c r="A5090" t="str">
        <f>"20190305135031447"</f>
        <v>20190305135031447</v>
      </c>
      <c r="B5090" t="str">
        <f>"1551765031435404"</f>
        <v>1551765031435404</v>
      </c>
      <c r="C5090" t="s">
        <v>40</v>
      </c>
      <c r="D5090">
        <v>3.8137270000000001</v>
      </c>
      <c r="E5090">
        <v>0.53979129999999997</v>
      </c>
      <c r="F5090" t="s">
        <v>94</v>
      </c>
      <c r="G5090">
        <v>-305.13249999999999</v>
      </c>
      <c r="H5090" s="1">
        <v>-9.7133629999999997E-6</v>
      </c>
      <c r="I5090">
        <v>142.70840000000001</v>
      </c>
      <c r="J5090">
        <v>-265.3836</v>
      </c>
      <c r="K5090">
        <v>1.109302</v>
      </c>
      <c r="L5090">
        <v>141.821</v>
      </c>
      <c r="M5090">
        <v>-0.99994119999999997</v>
      </c>
      <c r="N5090">
        <v>-1.042303E-2</v>
      </c>
      <c r="O5090">
        <v>2.9903059999999999E-3</v>
      </c>
      <c r="P5090">
        <v>-0.99476310000000001</v>
      </c>
      <c r="Q5090">
        <v>-6.2000300000000001E-2</v>
      </c>
      <c r="R5090">
        <v>-8.1255919999999995E-2</v>
      </c>
      <c r="S5090">
        <v>-3.0160520000000002</v>
      </c>
      <c r="T5090">
        <v>-8.3420629999999996E-2</v>
      </c>
      <c r="U5090">
        <v>6.6802979999999998E-2</v>
      </c>
      <c r="V5090">
        <v>-8.4179939999999995E-2</v>
      </c>
      <c r="W5090">
        <v>-5.1712929999999997E-2</v>
      </c>
      <c r="X5090">
        <v>0.99510779999999999</v>
      </c>
      <c r="Y5090">
        <v>1.9144250000000002E-2</v>
      </c>
      <c r="Z5090">
        <v>3.1296280000000002E-4</v>
      </c>
      <c r="AA5090">
        <v>0.9998167</v>
      </c>
      <c r="AB5090">
        <v>47</v>
      </c>
      <c r="AC5090">
        <v>-39.7488999999999</v>
      </c>
      <c r="AD5090">
        <v>-1.1093117133629999</v>
      </c>
      <c r="AE5090">
        <v>0.88740000000001296</v>
      </c>
      <c r="AF5090">
        <v>0.76793039095796201</v>
      </c>
      <c r="AG5090">
        <v>-1.1093117133629999</v>
      </c>
      <c r="AH5090">
        <v>39.720454917237802</v>
      </c>
      <c r="AI5090">
        <v>91.599440302983396</v>
      </c>
      <c r="AJ5090">
        <v>88.892417277470699</v>
      </c>
      <c r="AK5090">
        <v>39.743362067080902</v>
      </c>
      <c r="AL5090">
        <v>92.964254785274903</v>
      </c>
      <c r="AM5090">
        <v>94.835354943948403</v>
      </c>
      <c r="AN5090">
        <v>1.00000001152421</v>
      </c>
    </row>
    <row r="5091" spans="1:40" x14ac:dyDescent="0.25">
      <c r="A5091" t="str">
        <f>"20190305135031463"</f>
        <v>20190305135031463</v>
      </c>
      <c r="B5091" t="str">
        <f>"1551765031454925"</f>
        <v>1551765031454925</v>
      </c>
      <c r="C5091" t="s">
        <v>40</v>
      </c>
      <c r="D5091">
        <v>3.8226439999999999</v>
      </c>
      <c r="E5091">
        <v>0.53975989999999996</v>
      </c>
      <c r="F5091" t="s">
        <v>94</v>
      </c>
      <c r="G5091">
        <v>-304.55930000000001</v>
      </c>
      <c r="H5091" s="1">
        <v>-9.6266149999999996E-6</v>
      </c>
      <c r="I5091">
        <v>142.6935</v>
      </c>
      <c r="J5091">
        <v>-265.71940000000001</v>
      </c>
      <c r="K5091">
        <v>1.109324</v>
      </c>
      <c r="L5091">
        <v>141.8218</v>
      </c>
      <c r="M5091">
        <v>-0.99993880000000002</v>
      </c>
      <c r="N5091">
        <v>-1.0721029999999999E-2</v>
      </c>
      <c r="O5091">
        <v>2.7720829999999998E-3</v>
      </c>
      <c r="P5091">
        <v>-0.99474010000000002</v>
      </c>
      <c r="Q5091">
        <v>-6.2212870000000003E-2</v>
      </c>
      <c r="R5091">
        <v>-8.1376820000000002E-2</v>
      </c>
      <c r="S5091">
        <v>-3.0159609999999999</v>
      </c>
      <c r="T5091">
        <v>-8.5400939999999995E-2</v>
      </c>
      <c r="U5091">
        <v>6.7169190000000004E-2</v>
      </c>
      <c r="V5091">
        <v>-8.4083969999999994E-2</v>
      </c>
      <c r="W5091">
        <v>-5.1629170000000002E-2</v>
      </c>
      <c r="X5091">
        <v>0.99512020000000001</v>
      </c>
      <c r="Y5091">
        <v>1.9483750000000001E-2</v>
      </c>
      <c r="Z5091">
        <v>3.3149660000000001E-4</v>
      </c>
      <c r="AA5091">
        <v>0.99981010000000003</v>
      </c>
      <c r="AB5091">
        <v>47</v>
      </c>
      <c r="AC5091">
        <v>-38.8399</v>
      </c>
      <c r="AD5091">
        <v>-1.109333626615</v>
      </c>
      <c r="AE5091">
        <v>0.87170000000000403</v>
      </c>
      <c r="AF5091">
        <v>0.76340060155922895</v>
      </c>
      <c r="AG5091">
        <v>-1.109333626615</v>
      </c>
      <c r="AH5091">
        <v>38.810522763292198</v>
      </c>
      <c r="AI5091">
        <v>91.636941397433304</v>
      </c>
      <c r="AJ5091">
        <v>88.873140847037206</v>
      </c>
      <c r="AK5091">
        <v>38.833877977014097</v>
      </c>
      <c r="AL5091">
        <v>92.959449457149404</v>
      </c>
      <c r="AM5091">
        <v>94.829808552952301</v>
      </c>
      <c r="AN5091">
        <v>0.99999994882694299</v>
      </c>
    </row>
    <row r="5092" spans="1:40" x14ac:dyDescent="0.25">
      <c r="A5092" t="str">
        <f>"20190305135031482"</f>
        <v>20190305135031482</v>
      </c>
      <c r="B5092" t="str">
        <f>"1551765031475422"</f>
        <v>1551765031475422</v>
      </c>
      <c r="C5092" t="s">
        <v>40</v>
      </c>
      <c r="D5092">
        <v>3.80728</v>
      </c>
      <c r="E5092">
        <v>0.53973979999999999</v>
      </c>
      <c r="F5092" t="s">
        <v>94</v>
      </c>
      <c r="G5092">
        <v>-304.22739999999999</v>
      </c>
      <c r="H5092" s="1">
        <v>-9.5724580000000004E-6</v>
      </c>
      <c r="I5092">
        <v>142.67160000000001</v>
      </c>
      <c r="J5092">
        <v>-266.10759999999999</v>
      </c>
      <c r="K5092">
        <v>1.1093470000000001</v>
      </c>
      <c r="L5092">
        <v>141.82259999999999</v>
      </c>
      <c r="M5092">
        <v>-0.99993600000000005</v>
      </c>
      <c r="N5092">
        <v>-1.103553E-2</v>
      </c>
      <c r="O5092">
        <v>2.5102420000000002E-3</v>
      </c>
      <c r="P5092">
        <v>-0.99472369999999999</v>
      </c>
      <c r="Q5092">
        <v>-6.1927759999999998E-2</v>
      </c>
      <c r="R5092">
        <v>-8.1792649999999995E-2</v>
      </c>
      <c r="S5092">
        <v>-3.0158689999999999</v>
      </c>
      <c r="T5092">
        <v>-8.6880680000000002E-2</v>
      </c>
      <c r="U5092">
        <v>6.6558839999999994E-2</v>
      </c>
      <c r="V5092">
        <v>-8.4239359999999999E-2</v>
      </c>
      <c r="W5092">
        <v>-5.1031819999999999E-2</v>
      </c>
      <c r="X5092">
        <v>0.99513790000000002</v>
      </c>
      <c r="Y5092">
        <v>1.9543499999999998E-2</v>
      </c>
      <c r="Z5092">
        <v>3.4469980000000002E-4</v>
      </c>
      <c r="AA5092">
        <v>0.99980899999999995</v>
      </c>
      <c r="AB5092">
        <v>47</v>
      </c>
      <c r="AC5092">
        <v>-38.119799999999998</v>
      </c>
      <c r="AD5092">
        <v>-1.1093565724579999</v>
      </c>
      <c r="AE5092">
        <v>0.84900000000001696</v>
      </c>
      <c r="AF5092">
        <v>0.75266445012897298</v>
      </c>
      <c r="AG5092">
        <v>-1.1093565724579999</v>
      </c>
      <c r="AH5092">
        <v>38.089568480290801</v>
      </c>
      <c r="AI5092">
        <v>91.667939376317605</v>
      </c>
      <c r="AJ5092">
        <v>88.867960797743393</v>
      </c>
      <c r="AK5092">
        <v>38.113152622081898</v>
      </c>
      <c r="AL5092">
        <v>92.925178556441097</v>
      </c>
      <c r="AM5092">
        <v>94.838606207515596</v>
      </c>
      <c r="AN5092">
        <v>0.99999997822106501</v>
      </c>
    </row>
    <row r="5093" spans="1:40" x14ac:dyDescent="0.25">
      <c r="A5093" t="str">
        <f>"20190305135031496"</f>
        <v>20190305135031496</v>
      </c>
      <c r="B5093" t="str">
        <f>"1551765031485181"</f>
        <v>1551765031485181</v>
      </c>
      <c r="C5093" t="s">
        <v>40</v>
      </c>
      <c r="D5093">
        <v>3.816891</v>
      </c>
      <c r="E5093">
        <v>0.53974219999999995</v>
      </c>
      <c r="F5093" t="s">
        <v>94</v>
      </c>
      <c r="G5093">
        <v>-304.80169999999998</v>
      </c>
      <c r="H5093" s="1">
        <v>-9.6512690000000004E-6</v>
      </c>
      <c r="I5093">
        <v>142.6593</v>
      </c>
      <c r="J5093">
        <v>-266.42059999999998</v>
      </c>
      <c r="K5093">
        <v>1.109362</v>
      </c>
      <c r="L5093">
        <v>141.82320000000001</v>
      </c>
      <c r="M5093">
        <v>-0.99993399999999999</v>
      </c>
      <c r="N5093">
        <v>-1.1266109999999999E-2</v>
      </c>
      <c r="O5093">
        <v>2.2880600000000002E-3</v>
      </c>
      <c r="P5093">
        <v>-0.99471010000000004</v>
      </c>
      <c r="Q5093">
        <v>-6.1674729999999997E-2</v>
      </c>
      <c r="R5093">
        <v>-8.2147689999999995E-2</v>
      </c>
      <c r="S5093">
        <v>-3.0158999999999998</v>
      </c>
      <c r="T5093">
        <v>-8.6465719999999996E-2</v>
      </c>
      <c r="U5093">
        <v>6.5216060000000006E-2</v>
      </c>
      <c r="V5093">
        <v>-8.4373340000000005E-2</v>
      </c>
      <c r="W5093">
        <v>-5.0550390000000001E-2</v>
      </c>
      <c r="X5093">
        <v>0.99515120000000001</v>
      </c>
      <c r="Y5093">
        <v>1.9320589999999999E-2</v>
      </c>
      <c r="Z5093">
        <v>3.4594759999999997E-4</v>
      </c>
      <c r="AA5093">
        <v>0.99981330000000002</v>
      </c>
      <c r="AB5093">
        <v>47</v>
      </c>
      <c r="AC5093">
        <v>-38.381100000000004</v>
      </c>
      <c r="AD5093">
        <v>-1.1093716512689999</v>
      </c>
      <c r="AE5093">
        <v>0.83609999999998696</v>
      </c>
      <c r="AF5093">
        <v>0.74764965905101699</v>
      </c>
      <c r="AG5093">
        <v>-1.1093716512689999</v>
      </c>
      <c r="AH5093">
        <v>38.350887723286299</v>
      </c>
      <c r="AI5093">
        <v>91.656611679028799</v>
      </c>
      <c r="AJ5093">
        <v>88.8831615906781</v>
      </c>
      <c r="AK5093">
        <v>38.374213668001403</v>
      </c>
      <c r="AL5093">
        <v>92.897558772409099</v>
      </c>
      <c r="AM5093">
        <v>94.846200771125993</v>
      </c>
      <c r="AN5093">
        <v>1.00000005664667</v>
      </c>
    </row>
    <row r="5094" spans="1:40" x14ac:dyDescent="0.25">
      <c r="A5094" t="str">
        <f>"20190305135031515"</f>
        <v>20190305135031515</v>
      </c>
      <c r="B5094" t="str">
        <f>"1551765031505677"</f>
        <v>1551765031505677</v>
      </c>
      <c r="C5094" t="s">
        <v>40</v>
      </c>
      <c r="D5094">
        <v>3.8074669999999999</v>
      </c>
      <c r="E5094">
        <v>0.53968850000000002</v>
      </c>
      <c r="F5094" t="s">
        <v>94</v>
      </c>
      <c r="G5094">
        <v>-305.38240000000002</v>
      </c>
      <c r="H5094" s="1">
        <v>-9.7328139999999993E-6</v>
      </c>
      <c r="I5094">
        <v>142.65309999999999</v>
      </c>
      <c r="J5094">
        <v>-266.8109</v>
      </c>
      <c r="K5094">
        <v>1.109383</v>
      </c>
      <c r="L5094">
        <v>141.82390000000001</v>
      </c>
      <c r="M5094">
        <v>-0.99993149999999997</v>
      </c>
      <c r="N5094">
        <v>-1.152604E-2</v>
      </c>
      <c r="O5094">
        <v>1.9919159999999998E-3</v>
      </c>
      <c r="P5094">
        <v>-0.99467399999999995</v>
      </c>
      <c r="Q5094">
        <v>-6.1438659999999999E-2</v>
      </c>
      <c r="R5094">
        <v>-8.275855E-2</v>
      </c>
      <c r="S5094">
        <v>-3.0158999999999998</v>
      </c>
      <c r="T5094">
        <v>-8.5872649999999995E-2</v>
      </c>
      <c r="U5094">
        <v>6.4239500000000005E-2</v>
      </c>
      <c r="V5094">
        <v>-8.4689089999999995E-2</v>
      </c>
      <c r="W5094">
        <v>-5.0058159999999997E-2</v>
      </c>
      <c r="X5094">
        <v>0.99514919999999996</v>
      </c>
      <c r="Y5094">
        <v>1.929312E-2</v>
      </c>
      <c r="Z5094">
        <v>3.5207359999999999E-4</v>
      </c>
      <c r="AA5094">
        <v>0.99981379999999997</v>
      </c>
      <c r="AB5094">
        <v>47</v>
      </c>
      <c r="AC5094">
        <v>-38.5715</v>
      </c>
      <c r="AD5094">
        <v>-1.1093927328139901</v>
      </c>
      <c r="AE5094">
        <v>0.82919999999998595</v>
      </c>
      <c r="AF5094">
        <v>0.75174046474558798</v>
      </c>
      <c r="AG5094">
        <v>-1.1093927328139901</v>
      </c>
      <c r="AH5094">
        <v>38.5412067318086</v>
      </c>
      <c r="AI5094">
        <v>91.648466737591804</v>
      </c>
      <c r="AJ5094">
        <v>88.882596089182897</v>
      </c>
      <c r="AK5094">
        <v>38.564497692903501</v>
      </c>
      <c r="AL5094">
        <v>92.869320495279595</v>
      </c>
      <c r="AM5094">
        <v>94.864259560227595</v>
      </c>
      <c r="AN5094">
        <v>0.99999999580412602</v>
      </c>
    </row>
    <row r="5095" spans="1:40" x14ac:dyDescent="0.25">
      <c r="A5095" t="str">
        <f>"20190305135031531"</f>
        <v>20190305135031531</v>
      </c>
      <c r="B5095" t="str">
        <f>"1551765031525197"</f>
        <v>1551765031525197</v>
      </c>
      <c r="C5095" t="s">
        <v>40</v>
      </c>
      <c r="D5095">
        <v>3.7893080000000001</v>
      </c>
      <c r="E5095">
        <v>0.53967270000000001</v>
      </c>
      <c r="F5095" t="s">
        <v>94</v>
      </c>
      <c r="G5095">
        <v>-305.7407</v>
      </c>
      <c r="H5095" s="1">
        <v>-9.7754650000000008E-6</v>
      </c>
      <c r="I5095">
        <v>142.62350000000001</v>
      </c>
      <c r="J5095">
        <v>-267.15499999999997</v>
      </c>
      <c r="K5095">
        <v>1.1094059999999999</v>
      </c>
      <c r="L5095">
        <v>141.82429999999999</v>
      </c>
      <c r="M5095">
        <v>-0.99992970000000003</v>
      </c>
      <c r="N5095">
        <v>-1.173342E-2</v>
      </c>
      <c r="O5095">
        <v>1.7111559999999999E-3</v>
      </c>
      <c r="P5095">
        <v>-0.99465689999999995</v>
      </c>
      <c r="Q5095">
        <v>-6.1343099999999998E-2</v>
      </c>
      <c r="R5095">
        <v>-8.3035369999999997E-2</v>
      </c>
      <c r="S5095">
        <v>-3.0158999999999998</v>
      </c>
      <c r="T5095">
        <v>-8.5945010000000002E-2</v>
      </c>
      <c r="U5095">
        <v>6.1950680000000001E-2</v>
      </c>
      <c r="V5095">
        <v>-8.4685129999999997E-2</v>
      </c>
      <c r="W5095">
        <v>-4.9758900000000002E-2</v>
      </c>
      <c r="X5095">
        <v>0.99516459999999995</v>
      </c>
      <c r="Y5095">
        <v>1.881555E-2</v>
      </c>
      <c r="Z5095">
        <v>3.497719E-4</v>
      </c>
      <c r="AA5095">
        <v>0.99982289999999996</v>
      </c>
      <c r="AB5095">
        <v>47</v>
      </c>
      <c r="AC5095">
        <v>-38.585700000000003</v>
      </c>
      <c r="AD5095">
        <v>-1.10941577546499</v>
      </c>
      <c r="AE5095">
        <v>0.79920000000001301</v>
      </c>
      <c r="AF5095">
        <v>0.73256279923545997</v>
      </c>
      <c r="AG5095">
        <v>-1.10941577546499</v>
      </c>
      <c r="AH5095">
        <v>38.555152157827898</v>
      </c>
      <c r="AI5095">
        <v>91.647921013231596</v>
      </c>
      <c r="AJ5095">
        <v>88.911489011398899</v>
      </c>
      <c r="AK5095">
        <v>38.578066430692601</v>
      </c>
      <c r="AL5095">
        <v>92.8521526102504</v>
      </c>
      <c r="AM5095">
        <v>94.863958293295497</v>
      </c>
      <c r="AN5095">
        <v>1.00000005023274</v>
      </c>
    </row>
    <row r="5096" spans="1:40" x14ac:dyDescent="0.25">
      <c r="A5096" t="str">
        <f>"20190305135031545"</f>
        <v>20190305135031545</v>
      </c>
      <c r="B5096" t="str">
        <f>"1551765031534957"</f>
        <v>1551765031534957</v>
      </c>
      <c r="C5096" t="s">
        <v>40</v>
      </c>
      <c r="D5096">
        <v>3.788564</v>
      </c>
      <c r="E5096">
        <v>0.53964569999999901</v>
      </c>
      <c r="F5096" t="s">
        <v>94</v>
      </c>
      <c r="G5096">
        <v>-305.91430000000003</v>
      </c>
      <c r="H5096" s="1">
        <v>-9.7958789999999997E-6</v>
      </c>
      <c r="I5096">
        <v>142.60830000000001</v>
      </c>
      <c r="J5096">
        <v>-267.47820000000002</v>
      </c>
      <c r="K5096">
        <v>1.109432</v>
      </c>
      <c r="L5096">
        <v>141.8246</v>
      </c>
      <c r="M5096">
        <v>-0.99992809999999999</v>
      </c>
      <c r="N5096">
        <v>-1.1907060000000001E-2</v>
      </c>
      <c r="O5096">
        <v>1.423068E-3</v>
      </c>
      <c r="P5096">
        <v>-0.99457779999999996</v>
      </c>
      <c r="Q5096">
        <v>-6.1581370000000003E-2</v>
      </c>
      <c r="R5096">
        <v>-8.3802589999999996E-2</v>
      </c>
      <c r="S5096">
        <v>-3.0158689999999999</v>
      </c>
      <c r="T5096">
        <v>-8.6323739999999996E-2</v>
      </c>
      <c r="U5096">
        <v>6.1004639999999999E-2</v>
      </c>
      <c r="V5096">
        <v>-8.5163639999999999E-2</v>
      </c>
      <c r="W5096">
        <v>-4.9829190000000002E-2</v>
      </c>
      <c r="X5096">
        <v>0.99512020000000001</v>
      </c>
      <c r="Y5096">
        <v>1.8790149999999999E-2</v>
      </c>
      <c r="Z5096">
        <v>3.569712E-4</v>
      </c>
      <c r="AA5096">
        <v>0.99982340000000003</v>
      </c>
      <c r="AB5096">
        <v>47</v>
      </c>
      <c r="AC5096">
        <v>-38.436100000000003</v>
      </c>
      <c r="AD5096">
        <v>-1.1094417958789999</v>
      </c>
      <c r="AE5096">
        <v>0.78370000000001006</v>
      </c>
      <c r="AF5096">
        <v>0.72839152748115399</v>
      </c>
      <c r="AG5096">
        <v>-1.1094417958789999</v>
      </c>
      <c r="AH5096">
        <v>38.405191892801803</v>
      </c>
      <c r="AI5096">
        <v>91.654391920575407</v>
      </c>
      <c r="AJ5096">
        <v>88.913460514215402</v>
      </c>
      <c r="AK5096">
        <v>38.428117045188102</v>
      </c>
      <c r="AL5096">
        <v>92.856185067185706</v>
      </c>
      <c r="AM5096">
        <v>94.891526112338795</v>
      </c>
      <c r="AN5096">
        <v>1.0000000031010701</v>
      </c>
    </row>
    <row r="5097" spans="1:40" x14ac:dyDescent="0.25">
      <c r="A5097" t="str">
        <f>"20190305135031561"</f>
        <v>20190305135031561</v>
      </c>
      <c r="B5097" t="str">
        <f>"1551765031555453"</f>
        <v>1551765031555453</v>
      </c>
      <c r="C5097" t="s">
        <v>40</v>
      </c>
      <c r="D5097">
        <v>3.769501</v>
      </c>
      <c r="E5097">
        <v>0.53964400000000001</v>
      </c>
      <c r="F5097" t="s">
        <v>94</v>
      </c>
      <c r="G5097">
        <v>-305.91219999999998</v>
      </c>
      <c r="H5097" s="1">
        <v>-9.7841000000000001E-6</v>
      </c>
      <c r="I5097">
        <v>142.56970000000001</v>
      </c>
      <c r="J5097">
        <v>-267.77640000000002</v>
      </c>
      <c r="K5097">
        <v>1.1094580000000001</v>
      </c>
      <c r="L5097">
        <v>141.82480000000001</v>
      </c>
      <c r="M5097">
        <v>-0.99992669999999995</v>
      </c>
      <c r="N5097">
        <v>-1.205255E-2</v>
      </c>
      <c r="O5097">
        <v>1.1333560000000001E-3</v>
      </c>
      <c r="P5097">
        <v>-0.9945155</v>
      </c>
      <c r="Q5097">
        <v>-6.1828939999999999E-2</v>
      </c>
      <c r="R5097">
        <v>-8.4357399999999999E-2</v>
      </c>
      <c r="S5097">
        <v>-3.0158999999999998</v>
      </c>
      <c r="T5097">
        <v>-8.7057469999999998E-2</v>
      </c>
      <c r="U5097">
        <v>5.8471679999999998E-2</v>
      </c>
      <c r="V5097">
        <v>-8.5427470000000005E-2</v>
      </c>
      <c r="W5097">
        <v>-4.9937160000000001E-2</v>
      </c>
      <c r="X5097">
        <v>0.99509219999999998</v>
      </c>
      <c r="Y5097">
        <v>1.8240320000000001E-2</v>
      </c>
      <c r="Z5097">
        <v>3.5410429999999999E-4</v>
      </c>
      <c r="AA5097">
        <v>0.99983359999999999</v>
      </c>
      <c r="AB5097">
        <v>47</v>
      </c>
      <c r="AC5097">
        <v>-38.135799999999897</v>
      </c>
      <c r="AD5097">
        <v>-1.1094677841</v>
      </c>
      <c r="AE5097">
        <v>0.74490000000000101</v>
      </c>
      <c r="AF5097">
        <v>0.70108179023129802</v>
      </c>
      <c r="AG5097">
        <v>-1.1094677841</v>
      </c>
      <c r="AH5097">
        <v>38.104381443548903</v>
      </c>
      <c r="AI5097">
        <v>91.667501658292295</v>
      </c>
      <c r="AJ5097">
        <v>88.945934972147896</v>
      </c>
      <c r="AK5097">
        <v>38.126976271873701</v>
      </c>
      <c r="AL5097">
        <v>92.862378927824196</v>
      </c>
      <c r="AM5097">
        <v>94.906743184425594</v>
      </c>
      <c r="AN5097">
        <v>1.0000000295401501</v>
      </c>
    </row>
    <row r="5098" spans="1:40" x14ac:dyDescent="0.25">
      <c r="A5098" t="str">
        <f>"20190305135031573"</f>
        <v>20190305135031573</v>
      </c>
      <c r="B5098" t="str">
        <f>"1551765031565214"</f>
        <v>1551765031565214</v>
      </c>
      <c r="C5098" t="s">
        <v>40</v>
      </c>
      <c r="D5098">
        <v>3.782041</v>
      </c>
      <c r="E5098">
        <v>0.53965810000000003</v>
      </c>
      <c r="F5098" t="s">
        <v>94</v>
      </c>
      <c r="G5098">
        <v>-305.84829999999999</v>
      </c>
      <c r="H5098" s="1">
        <v>-9.7663600000000008E-6</v>
      </c>
      <c r="I5098">
        <v>142.541</v>
      </c>
      <c r="J5098">
        <v>-268.06610000000001</v>
      </c>
      <c r="K5098">
        <v>1.109486</v>
      </c>
      <c r="L5098">
        <v>141.82490000000001</v>
      </c>
      <c r="M5098">
        <v>-0.99992559999999997</v>
      </c>
      <c r="N5098">
        <v>-1.2180170000000001E-2</v>
      </c>
      <c r="O5098">
        <v>8.3014320000000005E-4</v>
      </c>
      <c r="P5098">
        <v>-0.99446889999999999</v>
      </c>
      <c r="Q5098">
        <v>-6.2006930000000002E-2</v>
      </c>
      <c r="R5098">
        <v>-8.4776809999999994E-2</v>
      </c>
      <c r="S5098">
        <v>-3.0158999999999998</v>
      </c>
      <c r="T5098">
        <v>-8.7887530000000005E-2</v>
      </c>
      <c r="U5098">
        <v>5.673218E-2</v>
      </c>
      <c r="V5098">
        <v>-8.5541580000000006E-2</v>
      </c>
      <c r="W5098">
        <v>-4.9993889999999999E-2</v>
      </c>
      <c r="X5098">
        <v>0.99507950000000001</v>
      </c>
      <c r="Y5098">
        <v>1.7966949999999999E-2</v>
      </c>
      <c r="Z5098">
        <v>3.5710450000000002E-4</v>
      </c>
      <c r="AA5098">
        <v>0.99983849999999996</v>
      </c>
      <c r="AB5098">
        <v>47</v>
      </c>
      <c r="AC5098">
        <v>-37.782199999999897</v>
      </c>
      <c r="AD5098">
        <v>-1.10949576636</v>
      </c>
      <c r="AE5098">
        <v>0.71609999999998297</v>
      </c>
      <c r="AF5098">
        <v>0.68414304419067995</v>
      </c>
      <c r="AG5098">
        <v>-1.10949576636</v>
      </c>
      <c r="AH5098">
        <v>37.750239766058101</v>
      </c>
      <c r="AI5098">
        <v>91.683186735219195</v>
      </c>
      <c r="AJ5098">
        <v>88.961749152662804</v>
      </c>
      <c r="AK5098">
        <v>37.772736662245698</v>
      </c>
      <c r="AL5098">
        <v>92.865633521131301</v>
      </c>
      <c r="AM5098">
        <v>94.913327718963103</v>
      </c>
      <c r="AN5098">
        <v>0.99999998113323896</v>
      </c>
    </row>
    <row r="5099" spans="1:40" x14ac:dyDescent="0.25">
      <c r="A5099" t="str">
        <f>"20190305135031586"</f>
        <v>20190305135031586</v>
      </c>
      <c r="B5099" t="str">
        <f>"1551765031574974"</f>
        <v>1551765031574974</v>
      </c>
      <c r="C5099" t="s">
        <v>40</v>
      </c>
      <c r="D5099">
        <v>3.7710170000000001</v>
      </c>
      <c r="E5099">
        <v>0.53967080000000001</v>
      </c>
      <c r="F5099" t="s">
        <v>94</v>
      </c>
      <c r="G5099">
        <v>-305.8261</v>
      </c>
      <c r="H5099" s="1">
        <v>-9.7569109999999998E-6</v>
      </c>
      <c r="I5099">
        <v>142.51990000000001</v>
      </c>
      <c r="J5099">
        <v>-268.33030000000002</v>
      </c>
      <c r="K5099">
        <v>1.109515</v>
      </c>
      <c r="L5099">
        <v>141.82490000000001</v>
      </c>
      <c r="M5099">
        <v>-0.99992449999999999</v>
      </c>
      <c r="N5099">
        <v>-1.227963E-2</v>
      </c>
      <c r="O5099">
        <v>5.2715839999999895E-4</v>
      </c>
      <c r="P5099">
        <v>-0.99446060000000003</v>
      </c>
      <c r="Q5099">
        <v>-6.182149E-2</v>
      </c>
      <c r="R5099">
        <v>-8.5008459999999994E-2</v>
      </c>
      <c r="S5099">
        <v>-3.0158999999999998</v>
      </c>
      <c r="T5099">
        <v>-8.8615659999999999E-2</v>
      </c>
      <c r="U5099">
        <v>5.551147E-2</v>
      </c>
      <c r="V5099">
        <v>-8.5469229999999993E-2</v>
      </c>
      <c r="W5099">
        <v>-4.9715370000000002E-2</v>
      </c>
      <c r="X5099">
        <v>0.99509970000000003</v>
      </c>
      <c r="Y5099">
        <v>1.786519E-2</v>
      </c>
      <c r="Z5099">
        <v>3.6310949999999998E-4</v>
      </c>
      <c r="AA5099">
        <v>0.99984030000000002</v>
      </c>
      <c r="AB5099">
        <v>47</v>
      </c>
      <c r="AC5099">
        <v>-37.495799999999903</v>
      </c>
      <c r="AD5099">
        <v>-1.1095247569110001</v>
      </c>
      <c r="AE5099">
        <v>0.69499999999999296</v>
      </c>
      <c r="AF5099">
        <v>0.67464167032724398</v>
      </c>
      <c r="AG5099">
        <v>-1.1095247569110001</v>
      </c>
      <c r="AH5099">
        <v>37.463369305721201</v>
      </c>
      <c r="AI5099">
        <v>91.696115807690404</v>
      </c>
      <c r="AJ5099">
        <v>88.968327100590102</v>
      </c>
      <c r="AK5099">
        <v>37.4858670208706</v>
      </c>
      <c r="AL5099">
        <v>92.849655548860497</v>
      </c>
      <c r="AM5099">
        <v>94.909093237985104</v>
      </c>
      <c r="AN5099">
        <v>1.0000000101155599</v>
      </c>
    </row>
    <row r="5100" spans="1:40" x14ac:dyDescent="0.25">
      <c r="A5100" t="str">
        <f>"20190305135031604"</f>
        <v>20190305135031604</v>
      </c>
      <c r="B5100" t="str">
        <f>"1551765031595472"</f>
        <v>1551765031595472</v>
      </c>
      <c r="C5100" t="s">
        <v>40</v>
      </c>
      <c r="D5100">
        <v>3.7377039999999999</v>
      </c>
      <c r="E5100">
        <v>0.53966029999999998</v>
      </c>
      <c r="F5100" t="s">
        <v>94</v>
      </c>
      <c r="G5100">
        <v>-306.30869999999999</v>
      </c>
      <c r="H5100" s="1">
        <v>-9.8254639999999992E-6</v>
      </c>
      <c r="I5100">
        <v>142.51740000000001</v>
      </c>
      <c r="J5100">
        <v>-268.68340000000001</v>
      </c>
      <c r="K5100">
        <v>1.1093379999999999</v>
      </c>
      <c r="L5100">
        <v>141.82480000000001</v>
      </c>
      <c r="M5100">
        <v>-0.99993160000000003</v>
      </c>
      <c r="N5100">
        <v>-1.169952E-2</v>
      </c>
      <c r="O5100">
        <v>1.024983E-4</v>
      </c>
      <c r="P5100">
        <v>-0.99449330000000002</v>
      </c>
      <c r="Q5100">
        <v>-6.1099059999999997E-2</v>
      </c>
      <c r="R5100">
        <v>-8.514824E-2</v>
      </c>
      <c r="S5100">
        <v>-3.01593</v>
      </c>
      <c r="T5100">
        <v>-8.8109370000000006E-2</v>
      </c>
      <c r="U5100">
        <v>5.4992680000000002E-2</v>
      </c>
      <c r="V5100">
        <v>-8.5185129999999998E-2</v>
      </c>
      <c r="W5100">
        <v>-4.9571850000000001E-2</v>
      </c>
      <c r="X5100">
        <v>0.99513119999999999</v>
      </c>
      <c r="Y5100">
        <v>1.811774E-2</v>
      </c>
      <c r="Z5100">
        <v>3.6880730000000002E-4</v>
      </c>
      <c r="AA5100">
        <v>0.99983580000000005</v>
      </c>
      <c r="AB5100">
        <v>47</v>
      </c>
      <c r="AC5100">
        <v>-37.625299999999903</v>
      </c>
      <c r="AD5100">
        <v>-1.1093478254639999</v>
      </c>
      <c r="AE5100">
        <v>0.692599999999998</v>
      </c>
      <c r="AF5100">
        <v>0.68814519324951995</v>
      </c>
      <c r="AG5100">
        <v>-1.1093478254639999</v>
      </c>
      <c r="AH5100">
        <v>37.592702091081399</v>
      </c>
      <c r="AI5100">
        <v>91.690005434216403</v>
      </c>
      <c r="AJ5100">
        <v>88.951301447162606</v>
      </c>
      <c r="AK5100">
        <v>37.615361847437399</v>
      </c>
      <c r="AL5100">
        <v>92.841422364387</v>
      </c>
      <c r="AM5100">
        <v>94.892700616741095</v>
      </c>
      <c r="AN5100">
        <v>0.99999998994948902</v>
      </c>
    </row>
    <row r="5101" spans="1:40" x14ac:dyDescent="0.25">
      <c r="A5101" t="str">
        <f>"20190305135031625"</f>
        <v>20190305135031625</v>
      </c>
      <c r="B5101" t="str">
        <f>"1551765031614988"</f>
        <v>1551765031614988</v>
      </c>
      <c r="C5101" t="s">
        <v>40</v>
      </c>
      <c r="D5101">
        <v>3.7328250000000001</v>
      </c>
      <c r="E5101">
        <v>0.53963079999999997</v>
      </c>
      <c r="F5101" t="s">
        <v>94</v>
      </c>
      <c r="G5101">
        <v>-307.42059999999998</v>
      </c>
      <c r="H5101" s="1">
        <v>-9.9873399999999995E-6</v>
      </c>
      <c r="I5101">
        <v>142.5248</v>
      </c>
      <c r="J5101">
        <v>-269.15480000000002</v>
      </c>
      <c r="K5101">
        <v>1.1089979999999999</v>
      </c>
      <c r="L5101">
        <v>141.8245</v>
      </c>
      <c r="M5101">
        <v>-0.99994539999999998</v>
      </c>
      <c r="N5101">
        <v>-1.0447949999999999E-2</v>
      </c>
      <c r="O5101">
        <v>-4.8715089999999998E-4</v>
      </c>
      <c r="P5101">
        <v>-0.99450640000000001</v>
      </c>
      <c r="Q5101">
        <v>-6.0367839999999999E-2</v>
      </c>
      <c r="R5101">
        <v>-8.5515859999999999E-2</v>
      </c>
      <c r="S5101">
        <v>-3.0159609999999999</v>
      </c>
      <c r="T5101">
        <v>-8.6370589999999997E-2</v>
      </c>
      <c r="U5101">
        <v>5.450439E-2</v>
      </c>
      <c r="V5101">
        <v>-8.4965150000000003E-2</v>
      </c>
      <c r="W5101">
        <v>-5.0086110000000003E-2</v>
      </c>
      <c r="X5101">
        <v>0.99512429999999996</v>
      </c>
      <c r="Y5101">
        <v>1.854567E-2</v>
      </c>
      <c r="Z5101">
        <v>3.712559E-4</v>
      </c>
      <c r="AA5101">
        <v>0.99982789999999999</v>
      </c>
      <c r="AB5101">
        <v>47</v>
      </c>
      <c r="AC5101">
        <v>-38.265799999999899</v>
      </c>
      <c r="AD5101">
        <v>-1.1090079873399901</v>
      </c>
      <c r="AE5101">
        <v>0.70029999999999804</v>
      </c>
      <c r="AF5101">
        <v>0.71833899252609201</v>
      </c>
      <c r="AG5101">
        <v>-1.1090079873399901</v>
      </c>
      <c r="AH5101">
        <v>38.233351357252999</v>
      </c>
      <c r="AI5101">
        <v>91.661179589570807</v>
      </c>
      <c r="AJ5101">
        <v>88.923637368894703</v>
      </c>
      <c r="AK5101">
        <v>38.256176829779101</v>
      </c>
      <c r="AL5101">
        <v>92.870923814512295</v>
      </c>
      <c r="AM5101">
        <v>94.880160597730594</v>
      </c>
      <c r="AN5101">
        <v>1.0000000337899699</v>
      </c>
    </row>
    <row r="5102" spans="1:40" x14ac:dyDescent="0.25">
      <c r="A5102" t="str">
        <f>"20190305135031641"</f>
        <v>20190305135031641</v>
      </c>
      <c r="B5102" t="str">
        <f>"1551765031635485"</f>
        <v>1551765031635485</v>
      </c>
      <c r="C5102" t="s">
        <v>40</v>
      </c>
      <c r="D5102">
        <v>3.7699669999999998</v>
      </c>
      <c r="E5102">
        <v>0.53964230000000002</v>
      </c>
      <c r="F5102" t="s">
        <v>94</v>
      </c>
      <c r="G5102">
        <v>-308.59949999999998</v>
      </c>
      <c r="H5102" s="1">
        <v>-1.0155490000000001E-5</v>
      </c>
      <c r="I5102">
        <v>142.52090000000001</v>
      </c>
      <c r="J5102">
        <v>-269.4751</v>
      </c>
      <c r="K5102">
        <v>1.1087819999999999</v>
      </c>
      <c r="L5102">
        <v>141.82409999999999</v>
      </c>
      <c r="M5102">
        <v>-0.99995429999999996</v>
      </c>
      <c r="N5102">
        <v>-9.5166729999999998E-3</v>
      </c>
      <c r="O5102">
        <v>-9.2110290000000001E-4</v>
      </c>
      <c r="P5102">
        <v>-0.99449100000000001</v>
      </c>
      <c r="Q5102">
        <v>-5.9862789999999999E-2</v>
      </c>
      <c r="R5102">
        <v>-8.6047750000000006E-2</v>
      </c>
      <c r="S5102">
        <v>-3.0159609999999999</v>
      </c>
      <c r="T5102">
        <v>-8.4795480000000006E-2</v>
      </c>
      <c r="U5102">
        <v>5.3253170000000002E-2</v>
      </c>
      <c r="V5102">
        <v>-8.5064409999999993E-2</v>
      </c>
      <c r="W5102">
        <v>-5.0508659999999997E-2</v>
      </c>
      <c r="X5102">
        <v>0.99509440000000005</v>
      </c>
      <c r="Y5102">
        <v>1.8565379999999999E-2</v>
      </c>
      <c r="Z5102">
        <v>3.6641499999999998E-4</v>
      </c>
      <c r="AA5102">
        <v>0.99982760000000004</v>
      </c>
      <c r="AB5102">
        <v>48</v>
      </c>
      <c r="AC5102">
        <v>-39.124399999999902</v>
      </c>
      <c r="AD5102">
        <v>-1.10879215549</v>
      </c>
      <c r="AE5102">
        <v>0.69680000000002396</v>
      </c>
      <c r="AF5102">
        <v>0.73225100231359197</v>
      </c>
      <c r="AG5102">
        <v>-1.10879215549</v>
      </c>
      <c r="AH5102">
        <v>39.092353883559198</v>
      </c>
      <c r="AI5102">
        <v>91.624382869479405</v>
      </c>
      <c r="AJ5102">
        <v>88.926900479251401</v>
      </c>
      <c r="AK5102">
        <v>39.114929933874201</v>
      </c>
      <c r="AL5102">
        <v>92.895165007485105</v>
      </c>
      <c r="AM5102">
        <v>94.885980328497098</v>
      </c>
      <c r="AN5102">
        <v>0.99999997174750099</v>
      </c>
    </row>
    <row r="5103" spans="1:40" x14ac:dyDescent="0.25">
      <c r="A5103" t="str">
        <f>"20190305135031656"</f>
        <v>20190305135031656</v>
      </c>
      <c r="B5103" t="str">
        <f>"1551765031645245"</f>
        <v>1551765031645245</v>
      </c>
      <c r="C5103" t="s">
        <v>40</v>
      </c>
      <c r="D5103">
        <v>3.7797269999999998</v>
      </c>
      <c r="E5103">
        <v>0.53964820000000002</v>
      </c>
      <c r="F5103" t="s">
        <v>94</v>
      </c>
      <c r="G5103">
        <v>-309.34519999999998</v>
      </c>
      <c r="H5103" s="1">
        <v>-1.0258700000000001E-5</v>
      </c>
      <c r="I5103">
        <v>142.50790000000001</v>
      </c>
      <c r="J5103">
        <v>-269.82389999999998</v>
      </c>
      <c r="K5103">
        <v>1.1085989999999999</v>
      </c>
      <c r="L5103">
        <v>141.8236</v>
      </c>
      <c r="M5103">
        <v>-0.99996260000000003</v>
      </c>
      <c r="N5103">
        <v>-8.5465009999999998E-3</v>
      </c>
      <c r="O5103">
        <v>-1.431007E-3</v>
      </c>
      <c r="P5103">
        <v>-0.99450019999999995</v>
      </c>
      <c r="Q5103">
        <v>-5.9083049999999998E-2</v>
      </c>
      <c r="R5103">
        <v>-8.6479360000000005E-2</v>
      </c>
      <c r="S5103">
        <v>-3.0160520000000002</v>
      </c>
      <c r="T5103">
        <v>-8.3876969999999995E-2</v>
      </c>
      <c r="U5103">
        <v>5.1727290000000002E-2</v>
      </c>
      <c r="V5103">
        <v>-8.4986720000000002E-2</v>
      </c>
      <c r="W5103">
        <v>-5.0697100000000002E-2</v>
      </c>
      <c r="X5103">
        <v>0.99509150000000002</v>
      </c>
      <c r="Y5103">
        <v>1.856932E-2</v>
      </c>
      <c r="Z5103">
        <v>3.6507629999999998E-4</v>
      </c>
      <c r="AA5103">
        <v>0.99982749999999998</v>
      </c>
      <c r="AB5103">
        <v>48</v>
      </c>
      <c r="AC5103">
        <v>-39.521299999999997</v>
      </c>
      <c r="AD5103">
        <v>-1.1086092586999901</v>
      </c>
      <c r="AE5103">
        <v>0.68430000000000701</v>
      </c>
      <c r="AF5103">
        <v>0.74027429982604798</v>
      </c>
      <c r="AG5103">
        <v>-1.1086092586999901</v>
      </c>
      <c r="AH5103">
        <v>39.489217293119701</v>
      </c>
      <c r="AI5103">
        <v>91.607801006248707</v>
      </c>
      <c r="AJ5103">
        <v>88.926045423277003</v>
      </c>
      <c r="AK5103">
        <v>39.511710959545702</v>
      </c>
      <c r="AL5103">
        <v>92.905975545988397</v>
      </c>
      <c r="AM5103">
        <v>94.881553654573196</v>
      </c>
      <c r="AN5103">
        <v>1.0000000159485001</v>
      </c>
    </row>
    <row r="5104" spans="1:40" x14ac:dyDescent="0.25">
      <c r="A5104" t="str">
        <f>"20190305135031671"</f>
        <v>20190305135031671</v>
      </c>
      <c r="B5104" t="str">
        <f>"1551765031665741"</f>
        <v>1551765031665741</v>
      </c>
      <c r="C5104" t="s">
        <v>40</v>
      </c>
      <c r="D5104">
        <v>3.7285780000000002</v>
      </c>
      <c r="E5104">
        <v>0.53965430000000003</v>
      </c>
      <c r="F5104" t="s">
        <v>94</v>
      </c>
      <c r="G5104">
        <v>-310.82350000000002</v>
      </c>
      <c r="H5104" s="1">
        <v>-9.9629609999999993E-6</v>
      </c>
      <c r="I5104">
        <v>142.5085</v>
      </c>
      <c r="J5104">
        <v>-270.12200000000001</v>
      </c>
      <c r="K5104">
        <v>1.108487</v>
      </c>
      <c r="L5104">
        <v>141.82310000000001</v>
      </c>
      <c r="M5104">
        <v>-0.99996790000000002</v>
      </c>
      <c r="N5104">
        <v>-7.7777769999999996E-3</v>
      </c>
      <c r="O5104">
        <v>-1.8983940000000001E-3</v>
      </c>
      <c r="P5104">
        <v>-0.99447799999999997</v>
      </c>
      <c r="Q5104">
        <v>-5.9074929999999998E-2</v>
      </c>
      <c r="R5104">
        <v>-8.6738229999999999E-2</v>
      </c>
      <c r="S5104">
        <v>-3.0160830000000001</v>
      </c>
      <c r="T5104">
        <v>-8.1553459999999994E-2</v>
      </c>
      <c r="U5104">
        <v>5.0384520000000002E-2</v>
      </c>
      <c r="V5104">
        <v>-8.4776519999999994E-2</v>
      </c>
      <c r="W5104">
        <v>-5.1459009999999999E-2</v>
      </c>
      <c r="X5104">
        <v>0.99507029999999996</v>
      </c>
      <c r="Y5104">
        <v>1.8592009999999999E-2</v>
      </c>
      <c r="Z5104">
        <v>3.6017809999999999E-4</v>
      </c>
      <c r="AA5104">
        <v>0.99982709999999997</v>
      </c>
      <c r="AB5104">
        <v>48</v>
      </c>
      <c r="AC5104">
        <v>-40.701500000000003</v>
      </c>
      <c r="AD5104">
        <v>-1.108496962961</v>
      </c>
      <c r="AE5104">
        <v>0.68539999999998702</v>
      </c>
      <c r="AF5104">
        <v>0.76210347157784197</v>
      </c>
      <c r="AG5104">
        <v>-1.108496962961</v>
      </c>
      <c r="AH5104">
        <v>40.6699677089996</v>
      </c>
      <c r="AI5104">
        <v>91.5609881474563</v>
      </c>
      <c r="AJ5104">
        <v>88.926475600269598</v>
      </c>
      <c r="AK5104">
        <v>40.692208599059299</v>
      </c>
      <c r="AL5104">
        <v>92.949686893484994</v>
      </c>
      <c r="AM5104">
        <v>94.869641347944395</v>
      </c>
      <c r="AN5104">
        <v>0.99999999499779002</v>
      </c>
    </row>
    <row r="5105" spans="1:40" x14ac:dyDescent="0.25">
      <c r="A5105" t="str">
        <f>"20190305135031694"</f>
        <v>20190305135031694</v>
      </c>
      <c r="B5105" t="str">
        <f>"1551765031685261"</f>
        <v>1551765031685261</v>
      </c>
      <c r="C5105" t="s">
        <v>40</v>
      </c>
      <c r="D5105">
        <v>3.7897259999999999</v>
      </c>
      <c r="E5105">
        <v>0.53959880000000005</v>
      </c>
      <c r="F5105" t="s">
        <v>94</v>
      </c>
      <c r="G5105">
        <v>-311.00619999999998</v>
      </c>
      <c r="H5105" s="1">
        <v>-9.8783070000000008E-6</v>
      </c>
      <c r="I5105">
        <v>142.49639999999999</v>
      </c>
      <c r="J5105">
        <v>-270.63200000000001</v>
      </c>
      <c r="K5105">
        <v>1.1084780000000001</v>
      </c>
      <c r="L5105">
        <v>141.8219</v>
      </c>
      <c r="M5105">
        <v>-0.99997329999999995</v>
      </c>
      <c r="N5105">
        <v>-6.7655579999999996E-3</v>
      </c>
      <c r="O5105">
        <v>-2.801118E-3</v>
      </c>
      <c r="P5105">
        <v>-0.99451409999999996</v>
      </c>
      <c r="Q5105">
        <v>-5.79058E-2</v>
      </c>
      <c r="R5105">
        <v>-8.711257E-2</v>
      </c>
      <c r="S5105">
        <v>-3.0161440000000002</v>
      </c>
      <c r="T5105">
        <v>-8.1777100000000005E-2</v>
      </c>
      <c r="U5105">
        <v>4.9667360000000001E-2</v>
      </c>
      <c r="V5105">
        <v>-8.4240010000000004E-2</v>
      </c>
      <c r="W5105">
        <v>-5.1316359999999998E-2</v>
      </c>
      <c r="X5105">
        <v>0.99512319999999999</v>
      </c>
      <c r="Y5105">
        <v>1.9256260000000001E-2</v>
      </c>
      <c r="Z5105">
        <v>3.8312390000000001E-4</v>
      </c>
      <c r="AA5105">
        <v>0.99981450000000005</v>
      </c>
      <c r="AB5105">
        <v>48</v>
      </c>
      <c r="AC5105">
        <v>-40.374199999999902</v>
      </c>
      <c r="AD5105">
        <v>-1.108487878307</v>
      </c>
      <c r="AE5105">
        <v>0.67449999999999399</v>
      </c>
      <c r="AF5105">
        <v>0.78699975600054695</v>
      </c>
      <c r="AG5105">
        <v>-1.108487878307</v>
      </c>
      <c r="AH5105">
        <v>40.341751221642198</v>
      </c>
      <c r="AI5105">
        <v>91.573645801415907</v>
      </c>
      <c r="AJ5105">
        <v>88.882397412645901</v>
      </c>
      <c r="AK5105">
        <v>40.364650445918201</v>
      </c>
      <c r="AL5105">
        <v>92.941502924003402</v>
      </c>
      <c r="AM5105">
        <v>94.838714502736195</v>
      </c>
      <c r="AN5105">
        <v>0.99999996563334403</v>
      </c>
    </row>
    <row r="5106" spans="1:40" x14ac:dyDescent="0.25">
      <c r="A5106" t="str">
        <f>"20190305135031706"</f>
        <v>20190305135031706</v>
      </c>
      <c r="B5106" t="str">
        <f>"1551765031695021"</f>
        <v>1551765031695021</v>
      </c>
      <c r="C5106" t="s">
        <v>40</v>
      </c>
      <c r="D5106">
        <v>3.795048</v>
      </c>
      <c r="E5106">
        <v>0.52884350000000002</v>
      </c>
      <c r="F5106" t="s">
        <v>94</v>
      </c>
      <c r="G5106">
        <v>-313.4624</v>
      </c>
      <c r="H5106" s="1">
        <v>-8.9291760000000002E-6</v>
      </c>
      <c r="I5106">
        <v>142.50290000000001</v>
      </c>
      <c r="J5106">
        <v>-270.9092</v>
      </c>
      <c r="K5106">
        <v>1.1085320000000001</v>
      </c>
      <c r="L5106">
        <v>141.821</v>
      </c>
      <c r="M5106">
        <v>-0.99997429999999998</v>
      </c>
      <c r="N5106">
        <v>-6.3495380000000001E-3</v>
      </c>
      <c r="O5106">
        <v>-3.3297940000000001E-3</v>
      </c>
      <c r="P5106">
        <v>-0.9945349</v>
      </c>
      <c r="Q5106">
        <v>-5.730321E-2</v>
      </c>
      <c r="R5106">
        <v>-8.7275859999999997E-2</v>
      </c>
      <c r="S5106">
        <v>-3.0162049999999998</v>
      </c>
      <c r="T5106">
        <v>-7.8062060000000003E-2</v>
      </c>
      <c r="U5106">
        <v>4.795837E-2</v>
      </c>
      <c r="V5106">
        <v>-8.3868269999999995E-2</v>
      </c>
      <c r="W5106">
        <v>-5.1142090000000001E-2</v>
      </c>
      <c r="X5106">
        <v>0.99516360000000004</v>
      </c>
      <c r="Y5106">
        <v>1.921894E-2</v>
      </c>
      <c r="Z5106">
        <v>3.7469700000000001E-4</v>
      </c>
      <c r="AA5106">
        <v>0.99981520000000002</v>
      </c>
      <c r="AB5106">
        <v>49</v>
      </c>
      <c r="AC5106">
        <v>-42.553199999999997</v>
      </c>
      <c r="AD5106">
        <v>-1.108540929176</v>
      </c>
      <c r="AE5106">
        <v>0.68190000000001205</v>
      </c>
      <c r="AF5106">
        <v>0.82303406574614901</v>
      </c>
      <c r="AG5106">
        <v>-1.108540929176</v>
      </c>
      <c r="AH5106">
        <v>42.521843865882602</v>
      </c>
      <c r="AI5106">
        <v>91.493078418260197</v>
      </c>
      <c r="AJ5106">
        <v>88.891146607308599</v>
      </c>
      <c r="AK5106">
        <v>42.544252888251897</v>
      </c>
      <c r="AL5106">
        <v>92.931504772497803</v>
      </c>
      <c r="AM5106">
        <v>94.817267960228904</v>
      </c>
      <c r="AN5106">
        <v>0.99999999542366003</v>
      </c>
    </row>
    <row r="5107" spans="1:40" x14ac:dyDescent="0.25">
      <c r="A5107" t="str">
        <f>"20190305135031726"</f>
        <v>20190305135031726</v>
      </c>
      <c r="B5107" t="str">
        <f>"1551765031715520"</f>
        <v>1551765031715520</v>
      </c>
      <c r="C5107" t="s">
        <v>40</v>
      </c>
      <c r="D5107">
        <v>3.7999540000000001</v>
      </c>
      <c r="E5107">
        <v>0.52786499999999903</v>
      </c>
      <c r="F5107" t="s">
        <v>42</v>
      </c>
      <c r="G5107">
        <v>-324.90719999999999</v>
      </c>
      <c r="H5107" s="1">
        <v>-2.568422E-6</v>
      </c>
      <c r="I5107">
        <v>141.12469999999999</v>
      </c>
      <c r="J5107">
        <v>-271.32100000000003</v>
      </c>
      <c r="K5107">
        <v>1.1086800000000001</v>
      </c>
      <c r="L5107">
        <v>141.8193</v>
      </c>
      <c r="M5107">
        <v>-0.99997389999999997</v>
      </c>
      <c r="N5107">
        <v>-5.910879E-3</v>
      </c>
      <c r="O5107">
        <v>-4.171012E-3</v>
      </c>
      <c r="P5107">
        <v>-0.99458069999999998</v>
      </c>
      <c r="Q5107">
        <v>-5.6168620000000002E-2</v>
      </c>
      <c r="R5107">
        <v>-8.7490280000000004E-2</v>
      </c>
      <c r="S5107">
        <v>-3.0095519999999998</v>
      </c>
      <c r="T5107">
        <v>-6.1783669999999999E-2</v>
      </c>
      <c r="U5107">
        <v>-3.88031E-2</v>
      </c>
      <c r="V5107">
        <v>-8.3231440000000004E-2</v>
      </c>
      <c r="W5107">
        <v>-5.0468150000000003E-2</v>
      </c>
      <c r="X5107">
        <v>0.99525149999999996</v>
      </c>
      <c r="Y5107">
        <v>-8.7194719999999903E-3</v>
      </c>
      <c r="Z5107" s="1">
        <v>-5.4301130000000003E-5</v>
      </c>
      <c r="AA5107">
        <v>0.99996200000000002</v>
      </c>
      <c r="AB5107">
        <v>49</v>
      </c>
      <c r="AC5107">
        <v>-53.586199999999998</v>
      </c>
      <c r="AD5107">
        <v>-1.1086825684220001</v>
      </c>
      <c r="AE5107">
        <v>-0.69460000000000799</v>
      </c>
      <c r="AF5107">
        <v>-0.47087985229485602</v>
      </c>
      <c r="AG5107">
        <v>-1.1086825684220001</v>
      </c>
      <c r="AH5107">
        <v>53.565705400218199</v>
      </c>
      <c r="AI5107">
        <v>91.185671125854896</v>
      </c>
      <c r="AJ5107">
        <v>90.503656827959304</v>
      </c>
      <c r="AK5107">
        <v>53.579246914227802</v>
      </c>
      <c r="AL5107">
        <v>92.892840829999898</v>
      </c>
      <c r="AM5107">
        <v>94.7804393057026</v>
      </c>
      <c r="AN5107">
        <v>1.00000002751057</v>
      </c>
    </row>
    <row r="5108" spans="1:40" x14ac:dyDescent="0.25">
      <c r="A5108" t="str">
        <f>"20190305135031738"</f>
        <v>20190305135031738</v>
      </c>
      <c r="B5108" t="str">
        <f>"1551765031735037"</f>
        <v>1551765031735037</v>
      </c>
      <c r="C5108" t="s">
        <v>40</v>
      </c>
      <c r="D5108">
        <v>3.7682380000000002</v>
      </c>
      <c r="E5108">
        <v>0.52729209999999904</v>
      </c>
      <c r="F5108" t="s">
        <v>42</v>
      </c>
      <c r="G5108">
        <v>-337.01029999999997</v>
      </c>
      <c r="H5108" s="1">
        <v>-1.7041820000000001E-6</v>
      </c>
      <c r="I5108">
        <v>140.78309999999999</v>
      </c>
      <c r="J5108">
        <v>-271.59809999999999</v>
      </c>
      <c r="K5108">
        <v>1.108797</v>
      </c>
      <c r="L5108">
        <v>141.81799999999899</v>
      </c>
      <c r="M5108">
        <v>-0.99997230000000004</v>
      </c>
      <c r="N5108">
        <v>-5.7006009999999996E-3</v>
      </c>
      <c r="O5108">
        <v>-4.7762450000000001E-3</v>
      </c>
      <c r="P5108">
        <v>-0.99459129999999996</v>
      </c>
      <c r="Q5108">
        <v>-5.548032E-2</v>
      </c>
      <c r="R5108">
        <v>-8.7809470000000001E-2</v>
      </c>
      <c r="S5108">
        <v>-3.0093079999999999</v>
      </c>
      <c r="T5108">
        <v>-5.079007E-2</v>
      </c>
      <c r="U5108">
        <v>-4.747009E-2</v>
      </c>
      <c r="V5108">
        <v>-8.2938659999999997E-2</v>
      </c>
      <c r="W5108">
        <v>-5.0005760000000003E-2</v>
      </c>
      <c r="X5108">
        <v>0.9952993</v>
      </c>
      <c r="Y5108">
        <v>-1.0994759999999999E-2</v>
      </c>
      <c r="Z5108" s="1">
        <v>-7.0739000000000002E-5</v>
      </c>
      <c r="AA5108">
        <v>0.99993960000000004</v>
      </c>
      <c r="AB5108">
        <v>49</v>
      </c>
      <c r="AC5108">
        <v>-65.412199999999899</v>
      </c>
      <c r="AD5108">
        <v>-1.108798704182</v>
      </c>
      <c r="AE5108">
        <v>-1.0348999999999899</v>
      </c>
      <c r="AF5108">
        <v>-0.72225093570888299</v>
      </c>
      <c r="AG5108">
        <v>-1.108798704182</v>
      </c>
      <c r="AH5108">
        <v>65.397610586392403</v>
      </c>
      <c r="AI5108">
        <v>90.971282073328794</v>
      </c>
      <c r="AJ5108">
        <v>90.632748622899001</v>
      </c>
      <c r="AK5108">
        <v>65.410997174710204</v>
      </c>
      <c r="AL5108">
        <v>92.866314284903396</v>
      </c>
      <c r="AM5108">
        <v>94.763473136318893</v>
      </c>
      <c r="AN5108">
        <v>1.0000000469681301</v>
      </c>
    </row>
    <row r="5109" spans="1:40" x14ac:dyDescent="0.25">
      <c r="A5109" t="str">
        <f>"20190305135031751"</f>
        <v>20190305135031751</v>
      </c>
      <c r="B5109" t="str">
        <f>"1551765031745775"</f>
        <v>1551765031745775</v>
      </c>
      <c r="C5109" t="s">
        <v>40</v>
      </c>
      <c r="D5109">
        <v>3.751687</v>
      </c>
      <c r="E5109">
        <v>0.527640199999999</v>
      </c>
      <c r="F5109" t="s">
        <v>42</v>
      </c>
      <c r="G5109">
        <v>-340.59370000000001</v>
      </c>
      <c r="H5109" s="1">
        <v>-4.24871999999999E-6</v>
      </c>
      <c r="I5109">
        <v>140.60130000000001</v>
      </c>
      <c r="J5109">
        <v>-271.88959999999997</v>
      </c>
      <c r="K5109">
        <v>1.1089249999999999</v>
      </c>
      <c r="L5109">
        <v>141.81639999999999</v>
      </c>
      <c r="M5109">
        <v>-0.99997000000000003</v>
      </c>
      <c r="N5109">
        <v>-5.5178140000000002E-3</v>
      </c>
      <c r="O5109">
        <v>-5.4362100000000003E-3</v>
      </c>
      <c r="P5109">
        <v>-0.99460479999999996</v>
      </c>
      <c r="Q5109">
        <v>-5.4766990000000002E-2</v>
      </c>
      <c r="R5109">
        <v>-8.8101830000000006E-2</v>
      </c>
      <c r="S5109">
        <v>-3.0089419999999998</v>
      </c>
      <c r="T5109">
        <v>-4.8355580000000002E-2</v>
      </c>
      <c r="U5109">
        <v>-5.3054810000000001E-2</v>
      </c>
      <c r="V5109">
        <v>-8.2564899999999899E-2</v>
      </c>
      <c r="W5109">
        <v>-4.9491140000000003E-2</v>
      </c>
      <c r="X5109">
        <v>0.99535600000000002</v>
      </c>
      <c r="Y5109">
        <v>-1.2192120000000001E-2</v>
      </c>
      <c r="Z5109" s="1">
        <v>-7.423989E-5</v>
      </c>
      <c r="AA5109">
        <v>0.99992570000000003</v>
      </c>
      <c r="AB5109">
        <v>49</v>
      </c>
      <c r="AC5109">
        <v>-68.704099999999997</v>
      </c>
      <c r="AD5109">
        <v>-1.10892924872</v>
      </c>
      <c r="AE5109">
        <v>-1.2150999999999701</v>
      </c>
      <c r="AF5109">
        <v>-0.84136731828266198</v>
      </c>
      <c r="AG5109">
        <v>-1.10892924872</v>
      </c>
      <c r="AH5109">
        <v>68.691800370716294</v>
      </c>
      <c r="AI5109">
        <v>90.924807363360003</v>
      </c>
      <c r="AJ5109">
        <v>90.701748761643898</v>
      </c>
      <c r="AK5109">
        <v>68.705902666461498</v>
      </c>
      <c r="AL5109">
        <v>92.836792448939704</v>
      </c>
      <c r="AM5109">
        <v>94.741835938182405</v>
      </c>
      <c r="AN5109">
        <v>0.99999995119325302</v>
      </c>
    </row>
    <row r="5110" spans="1:40" x14ac:dyDescent="0.25">
      <c r="A5110" t="str">
        <f>"20190305135031764"</f>
        <v>20190305135031764</v>
      </c>
      <c r="B5110" t="str">
        <f>"1551765031755533"</f>
        <v>1551765031755533</v>
      </c>
      <c r="C5110" t="s">
        <v>40</v>
      </c>
      <c r="D5110">
        <v>3.807623</v>
      </c>
      <c r="E5110">
        <v>0.52771859999999904</v>
      </c>
      <c r="F5110" t="s">
        <v>42</v>
      </c>
      <c r="G5110">
        <v>-348.40550000000002</v>
      </c>
      <c r="H5110" s="1">
        <v>-9.0499189999999996E-7</v>
      </c>
      <c r="I5110">
        <v>140.51310000000001</v>
      </c>
      <c r="J5110">
        <v>-272.1696</v>
      </c>
      <c r="K5110">
        <v>1.1090370000000001</v>
      </c>
      <c r="L5110">
        <v>141.81460000000001</v>
      </c>
      <c r="M5110">
        <v>-0.99996689999999999</v>
      </c>
      <c r="N5110">
        <v>-5.3863690000000002E-3</v>
      </c>
      <c r="O5110">
        <v>-6.1102129999999998E-3</v>
      </c>
      <c r="P5110">
        <v>-0.99457779999999996</v>
      </c>
      <c r="Q5110">
        <v>-5.424255E-2</v>
      </c>
      <c r="R5110">
        <v>-8.8730260000000005E-2</v>
      </c>
      <c r="S5110">
        <v>-3.0093380000000001</v>
      </c>
      <c r="T5110">
        <v>-4.361367E-2</v>
      </c>
      <c r="U5110">
        <v>-5.1254269999999998E-2</v>
      </c>
      <c r="V5110">
        <v>-8.2514229999999994E-2</v>
      </c>
      <c r="W5110">
        <v>-4.9112790000000003E-2</v>
      </c>
      <c r="X5110">
        <v>0.99537900000000001</v>
      </c>
      <c r="Y5110">
        <v>-1.0918219999999999E-2</v>
      </c>
      <c r="Z5110" s="1">
        <v>-5.2884920000000001E-5</v>
      </c>
      <c r="AA5110">
        <v>0.99994039999999995</v>
      </c>
      <c r="AB5110">
        <v>49</v>
      </c>
      <c r="AC5110">
        <v>-76.235900000000001</v>
      </c>
      <c r="AD5110">
        <v>-1.1090379049918999</v>
      </c>
      <c r="AE5110">
        <v>-1.3015000000000001</v>
      </c>
      <c r="AF5110">
        <v>-0.83547463484666895</v>
      </c>
      <c r="AG5110">
        <v>-1.1090379049918999</v>
      </c>
      <c r="AH5110">
        <v>76.226302438749002</v>
      </c>
      <c r="AI5110">
        <v>90.833503535581698</v>
      </c>
      <c r="AJ5110">
        <v>90.627962425158699</v>
      </c>
      <c r="AK5110">
        <v>76.238947831300806</v>
      </c>
      <c r="AL5110">
        <v>92.815088032662104</v>
      </c>
      <c r="AM5110">
        <v>94.738830132730399</v>
      </c>
      <c r="AN5110">
        <v>1.0000000089675301</v>
      </c>
    </row>
    <row r="5111" spans="1:40" x14ac:dyDescent="0.25">
      <c r="A5111" t="str">
        <f>"20190305135031893"</f>
        <v>20190305135031893</v>
      </c>
      <c r="B5111" t="str">
        <f>"1551765031885344"</f>
        <v>1551765031885344</v>
      </c>
      <c r="C5111" t="s">
        <v>40</v>
      </c>
      <c r="D5111">
        <v>3.7146249999999998</v>
      </c>
      <c r="E5111">
        <v>0.53572030000000004</v>
      </c>
      <c r="F5111" t="s">
        <v>42</v>
      </c>
      <c r="G5111">
        <v>-351.8852</v>
      </c>
      <c r="H5111" s="1">
        <v>-3.678691E-6</v>
      </c>
      <c r="I5111">
        <v>140.42490000000001</v>
      </c>
      <c r="J5111">
        <v>-275.0188</v>
      </c>
      <c r="K5111">
        <v>1.10968</v>
      </c>
      <c r="L5111">
        <v>141.78489999999999</v>
      </c>
      <c r="M5111">
        <v>-0.99988999999999995</v>
      </c>
      <c r="N5111">
        <v>-4.8295400000000002E-3</v>
      </c>
      <c r="O5111">
        <v>-1.4024429999999999E-2</v>
      </c>
      <c r="P5111">
        <v>-0.99414480000000005</v>
      </c>
      <c r="Q5111">
        <v>-4.9827169999999997E-2</v>
      </c>
      <c r="R5111">
        <v>-9.5884349999999993E-2</v>
      </c>
      <c r="S5111">
        <v>-3.0093990000000002</v>
      </c>
      <c r="T5111">
        <v>-4.1868210000000003E-2</v>
      </c>
      <c r="U5111">
        <v>-5.2459720000000001E-2</v>
      </c>
      <c r="V5111">
        <v>-8.1754679999999996E-2</v>
      </c>
      <c r="W5111">
        <v>-4.534038E-2</v>
      </c>
      <c r="X5111">
        <v>0.99562059999999997</v>
      </c>
      <c r="Y5111">
        <v>-3.4052689999999998E-3</v>
      </c>
      <c r="Z5111" s="1">
        <v>9.5442110000000006E-5</v>
      </c>
      <c r="AA5111">
        <v>0.99999420000000006</v>
      </c>
      <c r="AB5111">
        <v>50</v>
      </c>
      <c r="AC5111">
        <v>-76.866399999999999</v>
      </c>
      <c r="AD5111">
        <v>-1.109683678691</v>
      </c>
      <c r="AE5111">
        <v>-1.3599999999999799</v>
      </c>
      <c r="AF5111">
        <v>-0.28178752796154199</v>
      </c>
      <c r="AG5111">
        <v>-1.109683678691</v>
      </c>
      <c r="AH5111">
        <v>76.861899654378405</v>
      </c>
      <c r="AI5111">
        <v>90.827137340251497</v>
      </c>
      <c r="AJ5111">
        <v>90.21005418563</v>
      </c>
      <c r="AK5111">
        <v>76.870426176504395</v>
      </c>
      <c r="AL5111">
        <v>92.598703371464495</v>
      </c>
      <c r="AM5111">
        <v>94.694270460320993</v>
      </c>
      <c r="AN5111">
        <v>0.99999997845240296</v>
      </c>
    </row>
    <row r="5112" spans="1:40" x14ac:dyDescent="0.25">
      <c r="A5112" t="str">
        <f>"20190305135031906"</f>
        <v>20190305135031906</v>
      </c>
      <c r="B5112" t="str">
        <f>"1551765031895102"</f>
        <v>1551765031895102</v>
      </c>
      <c r="C5112" t="s">
        <v>40</v>
      </c>
      <c r="D5112">
        <v>3.7356400000000001</v>
      </c>
      <c r="E5112">
        <v>0.53630979999999995</v>
      </c>
      <c r="F5112" t="s">
        <v>47</v>
      </c>
      <c r="G5112">
        <v>0</v>
      </c>
      <c r="H5112">
        <v>0</v>
      </c>
      <c r="I5112">
        <v>0</v>
      </c>
      <c r="J5112">
        <v>-275.31380000000001</v>
      </c>
      <c r="K5112">
        <v>1.109715</v>
      </c>
      <c r="L5112">
        <v>141.78049999999999</v>
      </c>
      <c r="M5112">
        <v>-0.99987760000000003</v>
      </c>
      <c r="N5112">
        <v>-4.8181550000000002E-3</v>
      </c>
      <c r="O5112">
        <v>-1.48877E-2</v>
      </c>
      <c r="P5112">
        <v>-0.99404669999999895</v>
      </c>
      <c r="Q5112">
        <v>-5.0167089999999998E-2</v>
      </c>
      <c r="R5112">
        <v>-9.6719410000000006E-2</v>
      </c>
      <c r="S5112">
        <v>-3.0173030000000001</v>
      </c>
      <c r="T5112">
        <v>1.6530510000000002E-2</v>
      </c>
      <c r="U5112">
        <v>-1.231384E-2</v>
      </c>
      <c r="V5112">
        <v>-8.1726750000000001E-2</v>
      </c>
      <c r="W5112">
        <v>-4.5698450000000002E-2</v>
      </c>
      <c r="X5112">
        <v>0.99560649999999995</v>
      </c>
      <c r="Y5112">
        <v>1.0806349999999999E-2</v>
      </c>
      <c r="Z5112">
        <v>-1.5686009999999999E-4</v>
      </c>
      <c r="AA5112">
        <v>0.99994159999999999</v>
      </c>
      <c r="AB5112">
        <v>50</v>
      </c>
      <c r="AC5112">
        <v>-3.0173030000000001</v>
      </c>
      <c r="AD5112">
        <v>1.6530510000000002E-2</v>
      </c>
      <c r="AE5112">
        <v>-1.231384E-2</v>
      </c>
      <c r="AF5112">
        <v>3.2607767697906097E-2</v>
      </c>
      <c r="AG5112">
        <v>1.6530510000000002E-2</v>
      </c>
      <c r="AH5112">
        <v>3.0170613628218499</v>
      </c>
      <c r="AI5112">
        <v>89.686097312823307</v>
      </c>
      <c r="AJ5112">
        <v>89.380783316938803</v>
      </c>
      <c r="AK5112">
        <v>3.01728284907258</v>
      </c>
      <c r="AL5112">
        <v>92.619240617272098</v>
      </c>
      <c r="AM5112">
        <v>94.692740073483094</v>
      </c>
      <c r="AN5112">
        <v>0.99999995642010597</v>
      </c>
    </row>
    <row r="5113" spans="1:40" x14ac:dyDescent="0.25">
      <c r="A5113" t="str">
        <f>"20190305135031920"</f>
        <v>20190305135031920</v>
      </c>
      <c r="B5113" t="str">
        <f>"1551765031915597"</f>
        <v>1551765031915597</v>
      </c>
      <c r="C5113" t="s">
        <v>40</v>
      </c>
      <c r="D5113">
        <v>3.732723</v>
      </c>
      <c r="E5113">
        <v>0.53817869999999901</v>
      </c>
      <c r="F5113" t="s">
        <v>47</v>
      </c>
      <c r="G5113">
        <v>0</v>
      </c>
      <c r="H5113">
        <v>0</v>
      </c>
      <c r="I5113">
        <v>0</v>
      </c>
      <c r="J5113">
        <v>-275.60219999999998</v>
      </c>
      <c r="K5113">
        <v>1.1097459999999999</v>
      </c>
      <c r="L5113">
        <v>141.77600000000001</v>
      </c>
      <c r="M5113">
        <v>-0.9998648</v>
      </c>
      <c r="N5113">
        <v>-4.8112600000000004E-3</v>
      </c>
      <c r="O5113">
        <v>-1.5730589999999999E-2</v>
      </c>
      <c r="P5113">
        <v>-0.99396090000000004</v>
      </c>
      <c r="Q5113">
        <v>-5.0336289999999999E-2</v>
      </c>
      <c r="R5113">
        <v>-9.7510749999999993E-2</v>
      </c>
      <c r="S5113">
        <v>-3.0182500000000001</v>
      </c>
      <c r="T5113">
        <v>2.5902390000000001E-2</v>
      </c>
      <c r="U5113">
        <v>-1.074219E-2</v>
      </c>
      <c r="V5113">
        <v>-8.1676230000000002E-2</v>
      </c>
      <c r="W5113">
        <v>-4.5880659999999997E-2</v>
      </c>
      <c r="X5113">
        <v>0.99560230000000005</v>
      </c>
      <c r="Y5113">
        <v>1.2170439999999999E-2</v>
      </c>
      <c r="Z5113">
        <v>-2.336192E-4</v>
      </c>
      <c r="AA5113">
        <v>0.99992590000000003</v>
      </c>
      <c r="AB5113">
        <v>50</v>
      </c>
      <c r="AC5113">
        <v>-3.0182500000000001</v>
      </c>
      <c r="AD5113">
        <v>2.5902390000000001E-2</v>
      </c>
      <c r="AE5113">
        <v>-1.074219E-2</v>
      </c>
      <c r="AF5113">
        <v>3.6735831288150701E-2</v>
      </c>
      <c r="AG5113">
        <v>2.5902390000000001E-2</v>
      </c>
      <c r="AH5113">
        <v>3.0178232579883302</v>
      </c>
      <c r="AI5113">
        <v>89.508270988947302</v>
      </c>
      <c r="AJ5113">
        <v>89.302575414485005</v>
      </c>
      <c r="AK5113">
        <v>3.0181579931414202</v>
      </c>
      <c r="AL5113">
        <v>92.629691353469596</v>
      </c>
      <c r="AM5113">
        <v>94.689871861052396</v>
      </c>
      <c r="AN5113">
        <v>0.99999999063716905</v>
      </c>
    </row>
    <row r="5114" spans="1:40" x14ac:dyDescent="0.25">
      <c r="A5114" t="str">
        <f>"20190305135031938"</f>
        <v>20190305135031938</v>
      </c>
      <c r="B5114" t="str">
        <f>"1551765031925357"</f>
        <v>1551765031925357</v>
      </c>
      <c r="C5114" t="s">
        <v>40</v>
      </c>
      <c r="D5114">
        <v>3.822848</v>
      </c>
      <c r="E5114">
        <v>0.53614910000000005</v>
      </c>
      <c r="F5114" t="s">
        <v>47</v>
      </c>
      <c r="G5114">
        <v>0</v>
      </c>
      <c r="H5114">
        <v>0</v>
      </c>
      <c r="I5114">
        <v>0</v>
      </c>
      <c r="J5114">
        <v>-276.00040000000001</v>
      </c>
      <c r="K5114">
        <v>1.1097870000000001</v>
      </c>
      <c r="L5114">
        <v>141.76939999999999</v>
      </c>
      <c r="M5114">
        <v>-0.99984580000000001</v>
      </c>
      <c r="N5114">
        <v>-4.8060660000000003E-3</v>
      </c>
      <c r="O5114">
        <v>-1.6890559999999999E-2</v>
      </c>
      <c r="P5114">
        <v>-0.99380630000000003</v>
      </c>
      <c r="Q5114">
        <v>-5.0852029999999999E-2</v>
      </c>
      <c r="R5114">
        <v>-9.8808419999999994E-2</v>
      </c>
      <c r="S5114">
        <v>-3.020416</v>
      </c>
      <c r="T5114">
        <v>4.1599990000000003E-2</v>
      </c>
      <c r="U5114">
        <v>8.2397459999999998E-4</v>
      </c>
      <c r="V5114">
        <v>-8.1814739999999997E-2</v>
      </c>
      <c r="W5114">
        <v>-4.6410479999999997E-2</v>
      </c>
      <c r="X5114">
        <v>0.99556639999999996</v>
      </c>
      <c r="Y5114">
        <v>1.7159540000000001E-2</v>
      </c>
      <c r="Z5114">
        <v>-3.9071519999999999E-4</v>
      </c>
      <c r="AA5114">
        <v>0.99985270000000004</v>
      </c>
      <c r="AB5114">
        <v>50</v>
      </c>
      <c r="AC5114">
        <v>-3.020416</v>
      </c>
      <c r="AD5114">
        <v>4.1599990000000003E-2</v>
      </c>
      <c r="AE5114">
        <v>8.2397459999999998E-4</v>
      </c>
      <c r="AF5114">
        <v>5.1831131560319099E-2</v>
      </c>
      <c r="AG5114">
        <v>4.1599990000000003E-2</v>
      </c>
      <c r="AH5114">
        <v>3.0193984321441798</v>
      </c>
      <c r="AI5114">
        <v>89.210769271108106</v>
      </c>
      <c r="AJ5114">
        <v>89.016554619517194</v>
      </c>
      <c r="AK5114">
        <v>3.0201297848605102</v>
      </c>
      <c r="AL5114">
        <v>92.660080096757497</v>
      </c>
      <c r="AM5114">
        <v>94.697958220213295</v>
      </c>
      <c r="AN5114">
        <v>1.0000000205720201</v>
      </c>
    </row>
    <row r="5115" spans="1:40" x14ac:dyDescent="0.25">
      <c r="A5115" t="str">
        <f>"20190305135031950"</f>
        <v>20190305135031950</v>
      </c>
      <c r="B5115" t="str">
        <f>"1551765031945854"</f>
        <v>1551765031945854</v>
      </c>
      <c r="C5115" t="s">
        <v>40</v>
      </c>
      <c r="D5115">
        <v>3.8231649999999999</v>
      </c>
      <c r="E5115">
        <v>0.53461340000000002</v>
      </c>
      <c r="F5115" t="s">
        <v>47</v>
      </c>
      <c r="G5115">
        <v>0</v>
      </c>
      <c r="H5115">
        <v>0</v>
      </c>
      <c r="I5115">
        <v>0</v>
      </c>
      <c r="J5115">
        <v>-276.29910000000001</v>
      </c>
      <c r="K5115">
        <v>1.109815</v>
      </c>
      <c r="L5115">
        <v>141.76419999999999</v>
      </c>
      <c r="M5115">
        <v>-0.99983080000000002</v>
      </c>
      <c r="N5115">
        <v>-4.8049290000000003E-3</v>
      </c>
      <c r="O5115">
        <v>-1.7757269999999999E-2</v>
      </c>
      <c r="P5115">
        <v>-0.99369730000000001</v>
      </c>
      <c r="Q5115">
        <v>-5.0997460000000001E-2</v>
      </c>
      <c r="R5115">
        <v>-9.9824570000000001E-2</v>
      </c>
      <c r="S5115">
        <v>-3.0183409999999999</v>
      </c>
      <c r="T5115">
        <v>3.0720230000000001E-2</v>
      </c>
      <c r="U5115">
        <v>-1.8814089999999999E-2</v>
      </c>
      <c r="V5115">
        <v>-8.1966059999999993E-2</v>
      </c>
      <c r="W5115">
        <v>-4.6563350000000003E-2</v>
      </c>
      <c r="X5115">
        <v>0.99554679999999995</v>
      </c>
      <c r="Y5115">
        <v>1.152267E-2</v>
      </c>
      <c r="Z5115">
        <v>-2.969906E-4</v>
      </c>
      <c r="AA5115">
        <v>0.99993350000000003</v>
      </c>
      <c r="AB5115">
        <v>50</v>
      </c>
      <c r="AC5115">
        <v>-3.0183409999999999</v>
      </c>
      <c r="AD5115">
        <v>3.0720230000000001E-2</v>
      </c>
      <c r="AE5115">
        <v>-1.8814089999999999E-2</v>
      </c>
      <c r="AF5115">
        <v>3.4783387342868302E-2</v>
      </c>
      <c r="AG5115">
        <v>3.0720230000000001E-2</v>
      </c>
      <c r="AH5115">
        <v>3.0178865628770901</v>
      </c>
      <c r="AI5115">
        <v>89.416823061608298</v>
      </c>
      <c r="AJ5115">
        <v>89.339652764228504</v>
      </c>
      <c r="AK5115">
        <v>3.0182433505203599</v>
      </c>
      <c r="AL5115">
        <v>92.668848421327397</v>
      </c>
      <c r="AM5115">
        <v>94.706700548315894</v>
      </c>
      <c r="AN5115">
        <v>1.0000000057726901</v>
      </c>
    </row>
    <row r="5116" spans="1:40" x14ac:dyDescent="0.25">
      <c r="A5116" t="str">
        <f>"20190305135031963"</f>
        <v>20190305135031963</v>
      </c>
      <c r="B5116" t="str">
        <f>"1551765031955613"</f>
        <v>1551765031955613</v>
      </c>
      <c r="C5116" t="s">
        <v>40</v>
      </c>
      <c r="D5116">
        <v>3.764284</v>
      </c>
      <c r="E5116">
        <v>0.53380879999999997</v>
      </c>
      <c r="F5116" t="s">
        <v>47</v>
      </c>
      <c r="G5116">
        <v>0</v>
      </c>
      <c r="H5116">
        <v>0</v>
      </c>
      <c r="I5116">
        <v>0</v>
      </c>
      <c r="J5116">
        <v>-276.58429999999998</v>
      </c>
      <c r="K5116">
        <v>1.109836</v>
      </c>
      <c r="L5116">
        <v>141.75890000000001</v>
      </c>
      <c r="M5116">
        <v>-0.99981589999999998</v>
      </c>
      <c r="N5116">
        <v>-4.8069940000000002E-3</v>
      </c>
      <c r="O5116">
        <v>-1.8577449999999999E-2</v>
      </c>
      <c r="P5116">
        <v>-0.99362950000000005</v>
      </c>
      <c r="Q5116">
        <v>-5.093201E-2</v>
      </c>
      <c r="R5116">
        <v>-0.1005315</v>
      </c>
      <c r="S5116">
        <v>-3.016785</v>
      </c>
      <c r="T5116">
        <v>2.232611E-2</v>
      </c>
      <c r="U5116">
        <v>-3.363037E-2</v>
      </c>
      <c r="V5116">
        <v>-8.1855230000000001E-2</v>
      </c>
      <c r="W5116">
        <v>-4.6499760000000001E-2</v>
      </c>
      <c r="X5116">
        <v>0.99555890000000002</v>
      </c>
      <c r="Y5116">
        <v>7.4299190000000001E-3</v>
      </c>
      <c r="Z5116">
        <v>-2.3640609999999999E-4</v>
      </c>
      <c r="AA5116">
        <v>0.99997230000000004</v>
      </c>
      <c r="AB5116">
        <v>50</v>
      </c>
      <c r="AC5116">
        <v>-3.016785</v>
      </c>
      <c r="AD5116">
        <v>2.232611E-2</v>
      </c>
      <c r="AE5116">
        <v>-3.363037E-2</v>
      </c>
      <c r="AF5116">
        <v>2.24190244598447E-2</v>
      </c>
      <c r="AG5116">
        <v>2.232611E-2</v>
      </c>
      <c r="AH5116">
        <v>3.01672393447961</v>
      </c>
      <c r="AI5116">
        <v>89.575985993545402</v>
      </c>
      <c r="AJ5116">
        <v>89.574209684480294</v>
      </c>
      <c r="AK5116">
        <v>3.0168898496145999</v>
      </c>
      <c r="AL5116">
        <v>92.665201007704198</v>
      </c>
      <c r="AM5116">
        <v>94.700308069164606</v>
      </c>
      <c r="AN5116">
        <v>1.00000001486381</v>
      </c>
    </row>
    <row r="5117" spans="1:40" x14ac:dyDescent="0.25">
      <c r="A5117" t="str">
        <f>"20190305135031975"</f>
        <v>20190305135031975</v>
      </c>
      <c r="B5117" t="str">
        <f>"1551765031965373"</f>
        <v>1551765031965373</v>
      </c>
      <c r="C5117" t="s">
        <v>40</v>
      </c>
      <c r="D5117">
        <v>3.7492510000000001</v>
      </c>
      <c r="E5117">
        <v>0.5333099</v>
      </c>
      <c r="F5117" t="s">
        <v>47</v>
      </c>
      <c r="G5117">
        <v>0</v>
      </c>
      <c r="H5117">
        <v>0</v>
      </c>
      <c r="I5117">
        <v>0</v>
      </c>
      <c r="J5117">
        <v>-276.85230000000001</v>
      </c>
      <c r="K5117">
        <v>1.1098520000000001</v>
      </c>
      <c r="L5117">
        <v>141.75380000000001</v>
      </c>
      <c r="M5117">
        <v>-0.99980119999999895</v>
      </c>
      <c r="N5117">
        <v>-4.809911E-3</v>
      </c>
      <c r="O5117">
        <v>-1.9343829999999999E-2</v>
      </c>
      <c r="P5117">
        <v>-0.99356509999999998</v>
      </c>
      <c r="Q5117">
        <v>-5.0812789999999997E-2</v>
      </c>
      <c r="R5117">
        <v>-0.1012243</v>
      </c>
      <c r="S5117">
        <v>-3.0159910000000001</v>
      </c>
      <c r="T5117">
        <v>2.003336E-2</v>
      </c>
      <c r="U5117">
        <v>-4.2068479999999998E-2</v>
      </c>
      <c r="V5117">
        <v>-8.1784949999999995E-2</v>
      </c>
      <c r="W5117">
        <v>-4.6380940000000002E-2</v>
      </c>
      <c r="X5117">
        <v>0.99557019999999996</v>
      </c>
      <c r="Y5117">
        <v>5.3963619999999896E-3</v>
      </c>
      <c r="Z5117">
        <v>-2.264574E-4</v>
      </c>
      <c r="AA5117">
        <v>0.99998540000000002</v>
      </c>
      <c r="AB5117">
        <v>50</v>
      </c>
      <c r="AC5117">
        <v>-3.0159910000000001</v>
      </c>
      <c r="AD5117">
        <v>2.003336E-2</v>
      </c>
      <c r="AE5117">
        <v>-4.2068479999999998E-2</v>
      </c>
      <c r="AF5117">
        <v>1.62801725360321E-2</v>
      </c>
      <c r="AG5117">
        <v>2.003336E-2</v>
      </c>
      <c r="AH5117">
        <v>3.0161073931734701</v>
      </c>
      <c r="AI5117">
        <v>89.619445454624497</v>
      </c>
      <c r="AJ5117">
        <v>89.690735111344296</v>
      </c>
      <c r="AK5117">
        <v>3.0162178612770001</v>
      </c>
      <c r="AL5117">
        <v>92.658385819240095</v>
      </c>
      <c r="AM5117">
        <v>94.696237429283201</v>
      </c>
      <c r="AN5117">
        <v>0.99999999638491299</v>
      </c>
    </row>
    <row r="5118" spans="1:40" x14ac:dyDescent="0.25">
      <c r="A5118" t="str">
        <f>"20190305135031987"</f>
        <v>20190305135031987</v>
      </c>
      <c r="B5118" t="str">
        <f>"1551765031975133"</f>
        <v>1551765031975133</v>
      </c>
      <c r="C5118" t="s">
        <v>40</v>
      </c>
      <c r="D5118">
        <v>3.8388620000000002</v>
      </c>
      <c r="E5118">
        <v>0.53319189999999905</v>
      </c>
      <c r="F5118" t="s">
        <v>47</v>
      </c>
      <c r="G5118">
        <v>0</v>
      </c>
      <c r="H5118">
        <v>0</v>
      </c>
      <c r="I5118">
        <v>0</v>
      </c>
      <c r="J5118">
        <v>-277.14080000000001</v>
      </c>
      <c r="K5118">
        <v>1.109866</v>
      </c>
      <c r="L5118">
        <v>141.74809999999999</v>
      </c>
      <c r="M5118">
        <v>-0.99978509999999998</v>
      </c>
      <c r="N5118">
        <v>-4.8143029999999998E-3</v>
      </c>
      <c r="O5118">
        <v>-2.0163E-2</v>
      </c>
      <c r="P5118">
        <v>-0.99349419999999999</v>
      </c>
      <c r="Q5118">
        <v>-5.0868780000000002E-2</v>
      </c>
      <c r="R5118">
        <v>-0.10189090000000001</v>
      </c>
      <c r="S5118">
        <v>-3.0154719999999999</v>
      </c>
      <c r="T5118">
        <v>1.7622829999999999E-2</v>
      </c>
      <c r="U5118">
        <v>-4.7805790000000001E-2</v>
      </c>
      <c r="V5118">
        <v>-8.1635199999999894E-2</v>
      </c>
      <c r="W5118">
        <v>-4.6435190000000001E-2</v>
      </c>
      <c r="X5118">
        <v>0.99558000000000002</v>
      </c>
      <c r="Y5118">
        <v>4.3112609999999899E-3</v>
      </c>
      <c r="Z5118">
        <v>-2.171071E-4</v>
      </c>
      <c r="AA5118">
        <v>0.99999070000000001</v>
      </c>
      <c r="AB5118">
        <v>50</v>
      </c>
      <c r="AC5118">
        <v>-3.0154719999999999</v>
      </c>
      <c r="AD5118">
        <v>1.7622829999999999E-2</v>
      </c>
      <c r="AE5118">
        <v>-4.7805790000000001E-2</v>
      </c>
      <c r="AF5118">
        <v>1.30051522477319E-2</v>
      </c>
      <c r="AG5118">
        <v>1.7622829999999999E-2</v>
      </c>
      <c r="AH5118">
        <v>3.0157199050796502</v>
      </c>
      <c r="AI5118">
        <v>89.665190093162195</v>
      </c>
      <c r="AJ5118">
        <v>89.752916139417295</v>
      </c>
      <c r="AK5118">
        <v>3.01579943696788</v>
      </c>
      <c r="AL5118">
        <v>92.661497366173293</v>
      </c>
      <c r="AM5118">
        <v>94.687630936388302</v>
      </c>
      <c r="AN5118">
        <v>1.00000003457468</v>
      </c>
    </row>
    <row r="5119" spans="1:40" x14ac:dyDescent="0.25">
      <c r="A5119" t="str">
        <f>"20190305135032005"</f>
        <v>20190305135032005</v>
      </c>
      <c r="B5119" t="str">
        <f>"1551765031995632"</f>
        <v>1551765031995632</v>
      </c>
      <c r="C5119" t="s">
        <v>40</v>
      </c>
      <c r="D5119">
        <v>3.8988480000000001</v>
      </c>
      <c r="E5119">
        <v>0.53314159999999999</v>
      </c>
      <c r="F5119" t="s">
        <v>47</v>
      </c>
      <c r="G5119">
        <v>0</v>
      </c>
      <c r="H5119">
        <v>0</v>
      </c>
      <c r="I5119">
        <v>0</v>
      </c>
      <c r="J5119">
        <v>-277.52319999999997</v>
      </c>
      <c r="K5119">
        <v>1.1098709999999901</v>
      </c>
      <c r="L5119">
        <v>141.74010000000001</v>
      </c>
      <c r="M5119">
        <v>-0.99976310000000002</v>
      </c>
      <c r="N5119">
        <v>-4.8221619999999996E-3</v>
      </c>
      <c r="O5119">
        <v>-2.123179E-2</v>
      </c>
      <c r="P5119">
        <v>-0.99337940000000002</v>
      </c>
      <c r="Q5119">
        <v>-5.0603849999999999E-2</v>
      </c>
      <c r="R5119">
        <v>-0.1031347</v>
      </c>
      <c r="S5119">
        <v>-3.0152890000000001</v>
      </c>
      <c r="T5119">
        <v>1.716554E-2</v>
      </c>
      <c r="U5119">
        <v>-5.0842289999999998E-2</v>
      </c>
      <c r="V5119">
        <v>-8.1816609999999998E-2</v>
      </c>
      <c r="W5119">
        <v>-4.6165989999999997E-2</v>
      </c>
      <c r="X5119">
        <v>0.99557759999999995</v>
      </c>
      <c r="Y5119">
        <v>4.3725309999999998E-3</v>
      </c>
      <c r="Z5119">
        <v>-2.251342E-4</v>
      </c>
      <c r="AA5119">
        <v>0.99999039999999995</v>
      </c>
      <c r="AB5119">
        <v>50</v>
      </c>
      <c r="AC5119">
        <v>-3.0152890000000001</v>
      </c>
      <c r="AD5119">
        <v>1.716554E-2</v>
      </c>
      <c r="AE5119">
        <v>-5.0842289999999998E-2</v>
      </c>
      <c r="AF5119">
        <v>1.31894614361218E-2</v>
      </c>
      <c r="AG5119">
        <v>1.716554E-2</v>
      </c>
      <c r="AH5119">
        <v>3.01559106100148</v>
      </c>
      <c r="AI5119">
        <v>89.673863947039095</v>
      </c>
      <c r="AJ5119">
        <v>89.749403801668507</v>
      </c>
      <c r="AK5119">
        <v>3.0156687591392499</v>
      </c>
      <c r="AL5119">
        <v>92.646056856716996</v>
      </c>
      <c r="AM5119">
        <v>94.698012503036793</v>
      </c>
      <c r="AN5119">
        <v>1.00000000696316</v>
      </c>
    </row>
    <row r="5120" spans="1:40" x14ac:dyDescent="0.25">
      <c r="A5120" t="str">
        <f>"20190305135032018"</f>
        <v>20190305135032018</v>
      </c>
      <c r="B5120" t="str">
        <f>"1551765032005390"</f>
        <v>1551765032005390</v>
      </c>
      <c r="C5120" t="s">
        <v>40</v>
      </c>
      <c r="D5120">
        <v>3.7408999999999999</v>
      </c>
      <c r="E5120">
        <v>0.5331996</v>
      </c>
      <c r="F5120" t="s">
        <v>47</v>
      </c>
      <c r="G5120">
        <v>0</v>
      </c>
      <c r="H5120">
        <v>0</v>
      </c>
      <c r="I5120">
        <v>0</v>
      </c>
      <c r="J5120">
        <v>-277.81330000000003</v>
      </c>
      <c r="K5120">
        <v>1.1098730000000001</v>
      </c>
      <c r="L5120">
        <v>141.7337</v>
      </c>
      <c r="M5120">
        <v>-0.99974569999999996</v>
      </c>
      <c r="N5120">
        <v>-4.8292880000000002E-3</v>
      </c>
      <c r="O5120">
        <v>-2.2028909999999999E-2</v>
      </c>
      <c r="P5120">
        <v>-0.99328090000000002</v>
      </c>
      <c r="Q5120">
        <v>-5.062519E-2</v>
      </c>
      <c r="R5120">
        <v>-0.1040691</v>
      </c>
      <c r="S5120">
        <v>-3.0151370000000002</v>
      </c>
      <c r="T5120">
        <v>1.7520549999999999E-2</v>
      </c>
      <c r="U5120">
        <v>-5.5053709999999999E-2</v>
      </c>
      <c r="V5120">
        <v>-8.1958509999999998E-2</v>
      </c>
      <c r="W5120">
        <v>-4.6181970000000003E-2</v>
      </c>
      <c r="X5120">
        <v>0.99556520000000004</v>
      </c>
      <c r="Y5120">
        <v>3.772601E-3</v>
      </c>
      <c r="Z5120">
        <v>-2.3621659999999999E-4</v>
      </c>
      <c r="AA5120">
        <v>0.99999280000000002</v>
      </c>
      <c r="AB5120">
        <v>51</v>
      </c>
      <c r="AC5120">
        <v>-3.0151370000000002</v>
      </c>
      <c r="AD5120">
        <v>1.7520549999999999E-2</v>
      </c>
      <c r="AE5120">
        <v>-5.5053709999999999E-2</v>
      </c>
      <c r="AF5120">
        <v>1.13802200023017E-2</v>
      </c>
      <c r="AG5120">
        <v>1.7520549999999999E-2</v>
      </c>
      <c r="AH5120">
        <v>3.0155163110296099</v>
      </c>
      <c r="AI5120">
        <v>89.667110032813596</v>
      </c>
      <c r="AJ5120">
        <v>89.783773187294699</v>
      </c>
      <c r="AK5120">
        <v>3.0155886823579299</v>
      </c>
      <c r="AL5120">
        <v>92.646973387435096</v>
      </c>
      <c r="AM5120">
        <v>94.706182365149601</v>
      </c>
      <c r="AN5120">
        <v>1.0000000195827701</v>
      </c>
    </row>
    <row r="5121" spans="1:40" x14ac:dyDescent="0.25">
      <c r="A5121" t="str">
        <f>"20190305135032030"</f>
        <v>20190305135032030</v>
      </c>
      <c r="B5121" t="str">
        <f>"1551765032025886"</f>
        <v>1551765032025886</v>
      </c>
      <c r="C5121" t="s">
        <v>40</v>
      </c>
      <c r="D5121">
        <v>3.7470819999999998</v>
      </c>
      <c r="E5121">
        <v>0.53330769999999905</v>
      </c>
      <c r="F5121" t="s">
        <v>47</v>
      </c>
      <c r="G5121">
        <v>0</v>
      </c>
      <c r="H5121">
        <v>0</v>
      </c>
      <c r="I5121">
        <v>0</v>
      </c>
      <c r="J5121">
        <v>-278.10669999999999</v>
      </c>
      <c r="K5121">
        <v>1.1098709999999901</v>
      </c>
      <c r="L5121">
        <v>141.72710000000001</v>
      </c>
      <c r="M5121">
        <v>-0.9997277</v>
      </c>
      <c r="N5121">
        <v>-4.8371689999999997E-3</v>
      </c>
      <c r="O5121">
        <v>-2.2826240000000001E-2</v>
      </c>
      <c r="P5121">
        <v>-0.99322929999999998</v>
      </c>
      <c r="Q5121">
        <v>-5.031534E-2</v>
      </c>
      <c r="R5121">
        <v>-0.1047096</v>
      </c>
      <c r="S5121">
        <v>-3.015228</v>
      </c>
      <c r="T5121">
        <v>1.931596E-2</v>
      </c>
      <c r="U5121">
        <v>-5.755615E-2</v>
      </c>
      <c r="V5121">
        <v>-8.1807320000000003E-2</v>
      </c>
      <c r="W5121">
        <v>-4.5863899999999999E-2</v>
      </c>
      <c r="X5121">
        <v>0.99559229999999999</v>
      </c>
      <c r="Y5121">
        <v>3.7408519999999998E-3</v>
      </c>
      <c r="Z5121">
        <v>-2.5954439999999998E-4</v>
      </c>
      <c r="AA5121">
        <v>0.99999300000000002</v>
      </c>
      <c r="AB5121">
        <v>51</v>
      </c>
      <c r="AC5121">
        <v>-3.015228</v>
      </c>
      <c r="AD5121">
        <v>1.931596E-2</v>
      </c>
      <c r="AE5121">
        <v>-5.755615E-2</v>
      </c>
      <c r="AF5121">
        <v>1.12855100965434E-2</v>
      </c>
      <c r="AG5121">
        <v>1.931596E-2</v>
      </c>
      <c r="AH5121">
        <v>3.0156324499088498</v>
      </c>
      <c r="AI5121">
        <v>89.633012272170902</v>
      </c>
      <c r="AJ5121">
        <v>89.785580938548605</v>
      </c>
      <c r="AK5121">
        <v>3.01571542788641</v>
      </c>
      <c r="AL5121">
        <v>92.628730088626597</v>
      </c>
      <c r="AM5121">
        <v>94.697412398650798</v>
      </c>
      <c r="AN5121">
        <v>0.999999981374041</v>
      </c>
    </row>
    <row r="5122" spans="1:40" x14ac:dyDescent="0.25">
      <c r="A5122" t="str">
        <f>"20190305135032043"</f>
        <v>20190305135032043</v>
      </c>
      <c r="B5122" t="str">
        <f>"1551765032035645"</f>
        <v>1551765032035645</v>
      </c>
      <c r="C5122" t="s">
        <v>40</v>
      </c>
      <c r="D5122">
        <v>3.605191</v>
      </c>
      <c r="E5122">
        <v>0.5333464</v>
      </c>
      <c r="F5122" t="s">
        <v>47</v>
      </c>
      <c r="G5122">
        <v>0</v>
      </c>
      <c r="H5122">
        <v>0</v>
      </c>
      <c r="I5122">
        <v>0</v>
      </c>
      <c r="J5122">
        <v>-278.40480000000002</v>
      </c>
      <c r="K5122">
        <v>1.109858</v>
      </c>
      <c r="L5122">
        <v>141.7201</v>
      </c>
      <c r="M5122">
        <v>-0.99970939999999997</v>
      </c>
      <c r="N5122">
        <v>-4.8460150000000004E-3</v>
      </c>
      <c r="O5122">
        <v>-2.3615400000000002E-2</v>
      </c>
      <c r="P5122">
        <v>-0.99316510000000002</v>
      </c>
      <c r="Q5122">
        <v>-4.9882099999999999E-2</v>
      </c>
      <c r="R5122">
        <v>-0.1055232</v>
      </c>
      <c r="S5122">
        <v>-3.0152890000000001</v>
      </c>
      <c r="T5122">
        <v>2.0284650000000001E-2</v>
      </c>
      <c r="U5122">
        <v>-5.859375E-2</v>
      </c>
      <c r="V5122">
        <v>-8.1838880000000003E-2</v>
      </c>
      <c r="W5122">
        <v>-4.542115E-2</v>
      </c>
      <c r="X5122">
        <v>0.99560999999999999</v>
      </c>
      <c r="Y5122">
        <v>4.186487E-3</v>
      </c>
      <c r="Z5122">
        <v>-2.7720829999999997E-4</v>
      </c>
      <c r="AA5122">
        <v>0.99999119999999997</v>
      </c>
      <c r="AB5122">
        <v>51</v>
      </c>
      <c r="AC5122">
        <v>-3.0152890000000001</v>
      </c>
      <c r="AD5122">
        <v>2.0284650000000001E-2</v>
      </c>
      <c r="AE5122">
        <v>-5.859375E-2</v>
      </c>
      <c r="AF5122">
        <v>1.2630109779972301E-2</v>
      </c>
      <c r="AG5122">
        <v>2.0284650000000001E-2</v>
      </c>
      <c r="AH5122">
        <v>3.0156953730732599</v>
      </c>
      <c r="AI5122">
        <v>89.614617204196307</v>
      </c>
      <c r="AJ5122">
        <v>89.760039505104302</v>
      </c>
      <c r="AK5122">
        <v>3.0157900407478899</v>
      </c>
      <c r="AL5122">
        <v>92.603335926466599</v>
      </c>
      <c r="AM5122">
        <v>94.699133304732797</v>
      </c>
      <c r="AN5122">
        <v>0.99999997762348802</v>
      </c>
    </row>
    <row r="5123" spans="1:40" x14ac:dyDescent="0.25">
      <c r="A5123" t="str">
        <f>"20190305135032061"</f>
        <v>20190305135032061</v>
      </c>
      <c r="B5123" t="str">
        <f>"1551765032055165"</f>
        <v>1551765032055165</v>
      </c>
      <c r="C5123" t="s">
        <v>40</v>
      </c>
      <c r="D5123">
        <v>3.71984</v>
      </c>
      <c r="E5123">
        <v>0.53353059999999997</v>
      </c>
      <c r="F5123" t="s">
        <v>47</v>
      </c>
      <c r="G5123">
        <v>0</v>
      </c>
      <c r="H5123">
        <v>0</v>
      </c>
      <c r="I5123">
        <v>0</v>
      </c>
      <c r="J5123">
        <v>-278.8159</v>
      </c>
      <c r="K5123">
        <v>1.109845</v>
      </c>
      <c r="L5123">
        <v>141.71010000000001</v>
      </c>
      <c r="M5123">
        <v>-0.99968360000000001</v>
      </c>
      <c r="N5123">
        <v>-4.85923E-3</v>
      </c>
      <c r="O5123">
        <v>-2.4683710000000001E-2</v>
      </c>
      <c r="P5123">
        <v>-0.99310240000000005</v>
      </c>
      <c r="Q5123">
        <v>-4.9364900000000003E-2</v>
      </c>
      <c r="R5123">
        <v>-0.10635319999999999</v>
      </c>
      <c r="S5123">
        <v>-3.0152890000000001</v>
      </c>
      <c r="T5123">
        <v>2.1575690000000002E-2</v>
      </c>
      <c r="U5123">
        <v>-6.0775759999999998E-2</v>
      </c>
      <c r="V5123">
        <v>-8.1610119999999994E-2</v>
      </c>
      <c r="W5123">
        <v>-4.4887669999999998E-2</v>
      </c>
      <c r="X5123">
        <v>0.99565300000000001</v>
      </c>
      <c r="Y5123">
        <v>4.5315370000000004E-3</v>
      </c>
      <c r="Z5123">
        <v>-3.017238E-4</v>
      </c>
      <c r="AA5123">
        <v>0.99998969999999998</v>
      </c>
      <c r="AB5123">
        <v>51</v>
      </c>
      <c r="AC5123">
        <v>-3.0152890000000001</v>
      </c>
      <c r="AD5123">
        <v>2.1575690000000002E-2</v>
      </c>
      <c r="AE5123">
        <v>-6.0775759999999998E-2</v>
      </c>
      <c r="AF5123">
        <v>1.36714490594255E-2</v>
      </c>
      <c r="AG5123">
        <v>2.1575690000000002E-2</v>
      </c>
      <c r="AH5123">
        <v>3.01571609881898</v>
      </c>
      <c r="AI5123">
        <v>89.590093316728499</v>
      </c>
      <c r="AJ5123">
        <v>89.740257060291597</v>
      </c>
      <c r="AK5123">
        <v>3.0158242666963</v>
      </c>
      <c r="AL5123">
        <v>92.572738492462193</v>
      </c>
      <c r="AM5123">
        <v>94.685855159523499</v>
      </c>
      <c r="AN5123">
        <v>1.00000000550672</v>
      </c>
    </row>
    <row r="5124" spans="1:40" x14ac:dyDescent="0.25">
      <c r="A5124" t="str">
        <f>"20190305135032084"</f>
        <v>20190305135032084</v>
      </c>
      <c r="B5124" t="str">
        <f>"1551765032075662"</f>
        <v>1551765032075662</v>
      </c>
      <c r="C5124" t="s">
        <v>40</v>
      </c>
      <c r="D5124">
        <v>3.7445979999999999</v>
      </c>
      <c r="E5124">
        <v>0.53399619999999903</v>
      </c>
      <c r="F5124" t="s">
        <v>47</v>
      </c>
      <c r="G5124">
        <v>0</v>
      </c>
      <c r="H5124">
        <v>0</v>
      </c>
      <c r="I5124">
        <v>0</v>
      </c>
      <c r="J5124">
        <v>-279.32510000000002</v>
      </c>
      <c r="K5124">
        <v>1.109809</v>
      </c>
      <c r="L5124">
        <v>141.69720000000001</v>
      </c>
      <c r="M5124">
        <v>-0.99965099999999996</v>
      </c>
      <c r="N5124">
        <v>-4.876933E-3</v>
      </c>
      <c r="O5124">
        <v>-2.5964939999999999E-2</v>
      </c>
      <c r="P5124">
        <v>-0.99304079999999995</v>
      </c>
      <c r="Q5124">
        <v>-4.872949E-2</v>
      </c>
      <c r="R5124">
        <v>-0.1072173</v>
      </c>
      <c r="S5124">
        <v>-3.0154719999999999</v>
      </c>
      <c r="T5124">
        <v>2.5641919999999999E-2</v>
      </c>
      <c r="U5124">
        <v>-6.1996460000000003E-2</v>
      </c>
      <c r="V5124">
        <v>-8.1204680000000001E-2</v>
      </c>
      <c r="W5124">
        <v>-4.422864E-2</v>
      </c>
      <c r="X5124">
        <v>0.99571560000000003</v>
      </c>
      <c r="Y5124">
        <v>5.4091800000000004E-3</v>
      </c>
      <c r="Z5124">
        <v>-3.5716699999999998E-4</v>
      </c>
      <c r="AA5124">
        <v>0.99998529999999997</v>
      </c>
      <c r="AB5124">
        <v>51</v>
      </c>
      <c r="AC5124">
        <v>-3.0154719999999999</v>
      </c>
      <c r="AD5124">
        <v>2.5641919999999999E-2</v>
      </c>
      <c r="AE5124">
        <v>-6.1996460000000003E-2</v>
      </c>
      <c r="AF5124">
        <v>1.6320740100164599E-2</v>
      </c>
      <c r="AG5124">
        <v>2.5641919999999999E-2</v>
      </c>
      <c r="AH5124">
        <v>3.01584709554598</v>
      </c>
      <c r="AI5124">
        <v>89.512867583821404</v>
      </c>
      <c r="AJ5124">
        <v>89.689937729518604</v>
      </c>
      <c r="AK5124">
        <v>3.0160002616597801</v>
      </c>
      <c r="AL5124">
        <v>92.534941418311504</v>
      </c>
      <c r="AM5124">
        <v>94.662386828555398</v>
      </c>
      <c r="AN5124">
        <v>0.99999996436675498</v>
      </c>
    </row>
    <row r="5125" spans="1:40" x14ac:dyDescent="0.25">
      <c r="A5125" t="str">
        <f>"20190305135032104"</f>
        <v>20190305135032104</v>
      </c>
      <c r="B5125" t="str">
        <f>"1551765032095185"</f>
        <v>1551765032095185</v>
      </c>
      <c r="C5125" t="s">
        <v>40</v>
      </c>
      <c r="D5125">
        <v>3.7733340000000002</v>
      </c>
      <c r="E5125">
        <v>0.53431439999999997</v>
      </c>
      <c r="F5125" t="s">
        <v>47</v>
      </c>
      <c r="G5125">
        <v>0</v>
      </c>
      <c r="H5125">
        <v>0</v>
      </c>
      <c r="I5125">
        <v>0</v>
      </c>
      <c r="J5125">
        <v>-279.7987</v>
      </c>
      <c r="K5125">
        <v>1.109774</v>
      </c>
      <c r="L5125">
        <v>141.68459999999999</v>
      </c>
      <c r="M5125">
        <v>-0.99962070000000003</v>
      </c>
      <c r="N5125">
        <v>-4.8943650000000003E-3</v>
      </c>
      <c r="O5125">
        <v>-2.710806E-2</v>
      </c>
      <c r="P5125">
        <v>-0.99290259999999997</v>
      </c>
      <c r="Q5125">
        <v>-4.9453539999999997E-2</v>
      </c>
      <c r="R5125">
        <v>-0.1081623</v>
      </c>
      <c r="S5125">
        <v>-3.016022</v>
      </c>
      <c r="T5125">
        <v>3.189111E-2</v>
      </c>
      <c r="U5125">
        <v>-6.0958859999999997E-2</v>
      </c>
      <c r="V5125">
        <v>-8.1013639999999998E-2</v>
      </c>
      <c r="W5125">
        <v>-4.4929469999999999E-2</v>
      </c>
      <c r="X5125">
        <v>0.99569980000000002</v>
      </c>
      <c r="Y5125">
        <v>6.8992760000000002E-3</v>
      </c>
      <c r="Z5125">
        <v>-4.3881999999999998E-4</v>
      </c>
      <c r="AA5125">
        <v>0.99997610000000003</v>
      </c>
      <c r="AB5125">
        <v>51</v>
      </c>
      <c r="AC5125">
        <v>-3.016022</v>
      </c>
      <c r="AD5125">
        <v>3.189111E-2</v>
      </c>
      <c r="AE5125">
        <v>-6.0958859999999997E-2</v>
      </c>
      <c r="AF5125">
        <v>2.08206858872323E-2</v>
      </c>
      <c r="AG5125">
        <v>3.189111E-2</v>
      </c>
      <c r="AH5125">
        <v>3.0162290100869402</v>
      </c>
      <c r="AI5125">
        <v>89.394238836435903</v>
      </c>
      <c r="AJ5125">
        <v>89.604500030766999</v>
      </c>
      <c r="AK5125">
        <v>3.0164694570222101</v>
      </c>
      <c r="AL5125">
        <v>92.575135941944495</v>
      </c>
      <c r="AM5125">
        <v>94.6515398933509</v>
      </c>
      <c r="AN5125">
        <v>0.99999997943028496</v>
      </c>
    </row>
    <row r="5126" spans="1:40" x14ac:dyDescent="0.25">
      <c r="A5126" t="str">
        <f>"20190305135032117"</f>
        <v>20190305135032117</v>
      </c>
      <c r="B5126" t="str">
        <f>"1551765032104942"</f>
        <v>1551765032104942</v>
      </c>
      <c r="C5126" t="s">
        <v>40</v>
      </c>
      <c r="D5126">
        <v>3.7549610000000002</v>
      </c>
      <c r="E5126">
        <v>0.53438529999999995</v>
      </c>
      <c r="F5126" t="s">
        <v>47</v>
      </c>
      <c r="G5126">
        <v>0</v>
      </c>
      <c r="H5126">
        <v>0</v>
      </c>
      <c r="I5126">
        <v>0</v>
      </c>
      <c r="J5126">
        <v>-280.08969999999999</v>
      </c>
      <c r="K5126">
        <v>1.10975</v>
      </c>
      <c r="L5126">
        <v>141.67660000000001</v>
      </c>
      <c r="M5126">
        <v>-0.99960210000000005</v>
      </c>
      <c r="N5126">
        <v>-4.9056330000000004E-3</v>
      </c>
      <c r="O5126">
        <v>-2.7784759999999999E-2</v>
      </c>
      <c r="P5126">
        <v>-0.99283469999999996</v>
      </c>
      <c r="Q5126">
        <v>-4.9858890000000003E-2</v>
      </c>
      <c r="R5126">
        <v>-0.10859969999999999</v>
      </c>
      <c r="S5126">
        <v>-3.0163570000000002</v>
      </c>
      <c r="T5126">
        <v>3.2945509999999997E-2</v>
      </c>
      <c r="U5126">
        <v>-6.1340329999999998E-2</v>
      </c>
      <c r="V5126">
        <v>-8.0779569999999995E-2</v>
      </c>
      <c r="W5126">
        <v>-4.5318780000000003E-2</v>
      </c>
      <c r="X5126">
        <v>0.99570119999999895</v>
      </c>
      <c r="Y5126">
        <v>7.4517840000000004E-3</v>
      </c>
      <c r="Z5126">
        <v>-4.620971E-4</v>
      </c>
      <c r="AA5126">
        <v>0.99997210000000003</v>
      </c>
      <c r="AB5126">
        <v>51</v>
      </c>
      <c r="AC5126">
        <v>-3.0163570000000002</v>
      </c>
      <c r="AD5126">
        <v>3.2945509999999997E-2</v>
      </c>
      <c r="AE5126">
        <v>-6.1340329999999998E-2</v>
      </c>
      <c r="AF5126">
        <v>2.2490416690974301E-2</v>
      </c>
      <c r="AG5126">
        <v>3.2945509999999997E-2</v>
      </c>
      <c r="AH5126">
        <v>3.0165370781187</v>
      </c>
      <c r="AI5126">
        <v>89.3742788093071</v>
      </c>
      <c r="AJ5126">
        <v>89.572827369103607</v>
      </c>
      <c r="AK5126">
        <v>3.01680081694782</v>
      </c>
      <c r="AL5126">
        <v>92.597464439592201</v>
      </c>
      <c r="AM5126">
        <v>94.638152582846999</v>
      </c>
      <c r="AN5126">
        <v>1.0000000052157501</v>
      </c>
    </row>
    <row r="5127" spans="1:40" x14ac:dyDescent="0.25">
      <c r="A5127" t="str">
        <f>"20190305135032130"</f>
        <v>20190305135032130</v>
      </c>
      <c r="B5127" t="str">
        <f>"1551765032125437"</f>
        <v>1551765032125437</v>
      </c>
      <c r="C5127" t="s">
        <v>40</v>
      </c>
      <c r="D5127">
        <v>3.63415</v>
      </c>
      <c r="E5127">
        <v>0.53455319999999995</v>
      </c>
      <c r="F5127" t="s">
        <v>47</v>
      </c>
      <c r="G5127">
        <v>0</v>
      </c>
      <c r="H5127">
        <v>0</v>
      </c>
      <c r="I5127">
        <v>0</v>
      </c>
      <c r="J5127">
        <v>-280.37950000000001</v>
      </c>
      <c r="K5127">
        <v>1.1097250000000001</v>
      </c>
      <c r="L5127">
        <v>141.66849999999999</v>
      </c>
      <c r="M5127">
        <v>-0.99958340000000001</v>
      </c>
      <c r="N5127">
        <v>-4.9171350000000004E-3</v>
      </c>
      <c r="O5127">
        <v>-2.844679E-2</v>
      </c>
      <c r="P5127">
        <v>-0.99276790000000004</v>
      </c>
      <c r="Q5127">
        <v>-4.9795359999999997E-2</v>
      </c>
      <c r="R5127">
        <v>-0.1092364</v>
      </c>
      <c r="S5127">
        <v>-3.0164789999999999</v>
      </c>
      <c r="T5127">
        <v>3.3333179999999997E-2</v>
      </c>
      <c r="U5127">
        <v>-6.2194819999999998E-2</v>
      </c>
      <c r="V5127">
        <v>-8.0761349999999996E-2</v>
      </c>
      <c r="W5127">
        <v>-4.5239590000000003E-2</v>
      </c>
      <c r="X5127">
        <v>0.99570630000000004</v>
      </c>
      <c r="Y5127">
        <v>7.8315720000000002E-3</v>
      </c>
      <c r="Z5127">
        <v>-4.7813830000000002E-4</v>
      </c>
      <c r="AA5127">
        <v>0.9999692</v>
      </c>
      <c r="AB5127">
        <v>51</v>
      </c>
      <c r="AC5127">
        <v>-3.0164789999999999</v>
      </c>
      <c r="AD5127">
        <v>3.3333179999999997E-2</v>
      </c>
      <c r="AE5127">
        <v>-6.2194819999999998E-2</v>
      </c>
      <c r="AF5127">
        <v>2.3637631240465699E-2</v>
      </c>
      <c r="AG5127">
        <v>3.3333179999999997E-2</v>
      </c>
      <c r="AH5127">
        <v>3.0166592814700302</v>
      </c>
      <c r="AI5127">
        <v>89.366944023116602</v>
      </c>
      <c r="AJ5127">
        <v>89.5510567603109</v>
      </c>
      <c r="AK5127">
        <v>3.0169360382644599</v>
      </c>
      <c r="AL5127">
        <v>92.592922474572106</v>
      </c>
      <c r="AM5127">
        <v>94.637087353004105</v>
      </c>
      <c r="AN5127">
        <v>1.0000000260084301</v>
      </c>
    </row>
    <row r="5128" spans="1:40" x14ac:dyDescent="0.25">
      <c r="A5128" t="str">
        <f>"20190305135032143"</f>
        <v>20190305135032143</v>
      </c>
      <c r="B5128" t="str">
        <f>"1551765032135197"</f>
        <v>1551765032135197</v>
      </c>
      <c r="C5128" t="s">
        <v>40</v>
      </c>
      <c r="D5128">
        <v>3.7637170000000002</v>
      </c>
      <c r="E5128">
        <v>0.53447909999999998</v>
      </c>
      <c r="F5128" t="s">
        <v>47</v>
      </c>
      <c r="G5128">
        <v>0</v>
      </c>
      <c r="H5128">
        <v>0</v>
      </c>
      <c r="I5128">
        <v>0</v>
      </c>
      <c r="J5128">
        <v>-280.68259999999998</v>
      </c>
      <c r="K5128">
        <v>1.1096980000000001</v>
      </c>
      <c r="L5128">
        <v>141.65969999999999</v>
      </c>
      <c r="M5128">
        <v>-0.99956409999999996</v>
      </c>
      <c r="N5128">
        <v>-4.9293119999999999E-3</v>
      </c>
      <c r="O5128">
        <v>-2.910925E-2</v>
      </c>
      <c r="P5128">
        <v>-0.99270890000000001</v>
      </c>
      <c r="Q5128">
        <v>-4.9553079999999999E-2</v>
      </c>
      <c r="R5128">
        <v>-0.1098816</v>
      </c>
      <c r="S5128">
        <v>-3.0167540000000002</v>
      </c>
      <c r="T5128">
        <v>3.5749910000000003E-2</v>
      </c>
      <c r="U5128">
        <v>-6.2942499999999998E-2</v>
      </c>
      <c r="V5128">
        <v>-8.0752329999999997E-2</v>
      </c>
      <c r="W5128">
        <v>-4.4980279999999997E-2</v>
      </c>
      <c r="X5128">
        <v>0.99571880000000001</v>
      </c>
      <c r="Y5128">
        <v>8.2479029999999991E-3</v>
      </c>
      <c r="Z5128">
        <v>-5.1687100000000002E-4</v>
      </c>
      <c r="AA5128">
        <v>0.99996580000000002</v>
      </c>
      <c r="AB5128">
        <v>51</v>
      </c>
      <c r="AC5128">
        <v>-3.0167540000000002</v>
      </c>
      <c r="AD5128">
        <v>3.5749910000000003E-2</v>
      </c>
      <c r="AE5128">
        <v>-6.2942499999999998E-2</v>
      </c>
      <c r="AF5128">
        <v>2.4897190203487098E-2</v>
      </c>
      <c r="AG5128">
        <v>3.5749910000000003E-2</v>
      </c>
      <c r="AH5128">
        <v>3.0168843217336101</v>
      </c>
      <c r="AI5128">
        <v>89.321103119272493</v>
      </c>
      <c r="AJ5128">
        <v>89.5271706219892</v>
      </c>
      <c r="AK5128">
        <v>3.0171988560363601</v>
      </c>
      <c r="AL5128">
        <v>92.578049913601305</v>
      </c>
      <c r="AM5128">
        <v>94.636513755850302</v>
      </c>
      <c r="AN5128">
        <v>1.0000000465313701</v>
      </c>
    </row>
    <row r="5129" spans="1:40" x14ac:dyDescent="0.25">
      <c r="A5129" t="str">
        <f>"20190305135032154"</f>
        <v>20190305135032154</v>
      </c>
      <c r="B5129" t="str">
        <f>"1551765032144958"</f>
        <v>1551765032144958</v>
      </c>
      <c r="C5129" t="s">
        <v>40</v>
      </c>
      <c r="D5129">
        <v>3.7767550000000001</v>
      </c>
      <c r="E5129">
        <v>0.53438949999999996</v>
      </c>
      <c r="F5129" t="s">
        <v>47</v>
      </c>
      <c r="G5129">
        <v>0</v>
      </c>
      <c r="H5129">
        <v>0</v>
      </c>
      <c r="I5129">
        <v>0</v>
      </c>
      <c r="J5129">
        <v>-280.94209999999998</v>
      </c>
      <c r="K5129">
        <v>1.109672</v>
      </c>
      <c r="L5129">
        <v>141.65209999999999</v>
      </c>
      <c r="M5129">
        <v>-0.99954770000000004</v>
      </c>
      <c r="N5129">
        <v>-4.9398769999999996E-3</v>
      </c>
      <c r="O5129">
        <v>-2.9666479999999999E-2</v>
      </c>
      <c r="P5129">
        <v>-0.99266829999999995</v>
      </c>
      <c r="Q5129">
        <v>-4.8950340000000002E-2</v>
      </c>
      <c r="R5129">
        <v>-0.11051420000000001</v>
      </c>
      <c r="S5129">
        <v>-3.0165709999999999</v>
      </c>
      <c r="T5129">
        <v>3.5923959999999998E-2</v>
      </c>
      <c r="U5129">
        <v>-6.5429689999999999E-2</v>
      </c>
      <c r="V5129">
        <v>-8.0835740000000003E-2</v>
      </c>
      <c r="W5129">
        <v>-4.4363020000000003E-2</v>
      </c>
      <c r="X5129">
        <v>0.99573970000000001</v>
      </c>
      <c r="Y5129">
        <v>7.9798860000000003E-3</v>
      </c>
      <c r="Z5129">
        <v>-5.2752180000000004E-4</v>
      </c>
      <c r="AA5129">
        <v>0.99996799999999997</v>
      </c>
      <c r="AB5129">
        <v>51</v>
      </c>
      <c r="AC5129">
        <v>-3.0165709999999999</v>
      </c>
      <c r="AD5129">
        <v>3.5923959999999998E-2</v>
      </c>
      <c r="AE5129">
        <v>-6.5429689999999999E-2</v>
      </c>
      <c r="AF5129">
        <v>2.4087825184632199E-2</v>
      </c>
      <c r="AG5129">
        <v>3.5923959999999998E-2</v>
      </c>
      <c r="AH5129">
        <v>3.0167566865692699</v>
      </c>
      <c r="AI5129">
        <v>89.317767847545895</v>
      </c>
      <c r="AJ5129">
        <v>89.542521477488705</v>
      </c>
      <c r="AK5129">
        <v>3.0170667311454298</v>
      </c>
      <c r="AL5129">
        <v>92.542648242808795</v>
      </c>
      <c r="AM5129">
        <v>94.641184959124104</v>
      </c>
      <c r="AN5129">
        <v>1.0000000222804699</v>
      </c>
    </row>
    <row r="5130" spans="1:40" x14ac:dyDescent="0.25">
      <c r="A5130" t="str">
        <f>"20190305135032174"</f>
        <v>20190305135032174</v>
      </c>
      <c r="B5130" t="str">
        <f>"1551765032165453"</f>
        <v>1551765032165453</v>
      </c>
      <c r="C5130" t="s">
        <v>40</v>
      </c>
      <c r="D5130">
        <v>3.833313</v>
      </c>
      <c r="E5130">
        <v>0.50606139999999999</v>
      </c>
      <c r="F5130" t="s">
        <v>47</v>
      </c>
      <c r="G5130">
        <v>0</v>
      </c>
      <c r="H5130">
        <v>0</v>
      </c>
      <c r="I5130">
        <v>0</v>
      </c>
      <c r="J5130">
        <v>-281.38589999999999</v>
      </c>
      <c r="K5130">
        <v>1.1096250000000001</v>
      </c>
      <c r="L5130">
        <v>141.6387</v>
      </c>
      <c r="M5130">
        <v>-0.99951979999999996</v>
      </c>
      <c r="N5130">
        <v>-4.9582659999999898E-3</v>
      </c>
      <c r="O5130">
        <v>-3.058978E-2</v>
      </c>
      <c r="P5130">
        <v>-0.99255599999999999</v>
      </c>
      <c r="Q5130">
        <v>-4.8562269999999998E-2</v>
      </c>
      <c r="R5130">
        <v>-0.1116915</v>
      </c>
      <c r="S5130">
        <v>-3.0164179999999998</v>
      </c>
      <c r="T5130">
        <v>3.6933420000000002E-2</v>
      </c>
      <c r="U5130">
        <v>-6.7916870000000004E-2</v>
      </c>
      <c r="V5130">
        <v>-8.1101720000000002E-2</v>
      </c>
      <c r="W5130">
        <v>-4.3950290000000003E-2</v>
      </c>
      <c r="X5130">
        <v>0.99573639999999997</v>
      </c>
      <c r="Y5130">
        <v>8.0780219999999903E-3</v>
      </c>
      <c r="Z5130">
        <v>-5.5550089999999999E-4</v>
      </c>
      <c r="AA5130">
        <v>0.99996719999999895</v>
      </c>
      <c r="AB5130">
        <v>52</v>
      </c>
      <c r="AC5130">
        <v>-3.0164179999999998</v>
      </c>
      <c r="AD5130">
        <v>3.6933420000000002E-2</v>
      </c>
      <c r="AE5130">
        <v>-6.7916870000000004E-2</v>
      </c>
      <c r="AF5130">
        <v>2.4383950884008299E-2</v>
      </c>
      <c r="AG5130">
        <v>3.6933420000000002E-2</v>
      </c>
      <c r="AH5130">
        <v>3.0166319187028998</v>
      </c>
      <c r="AI5130">
        <v>89.298570623245695</v>
      </c>
      <c r="AJ5130">
        <v>89.536878517279206</v>
      </c>
      <c r="AK5130">
        <v>3.0169565438552102</v>
      </c>
      <c r="AL5130">
        <v>92.518977404170698</v>
      </c>
      <c r="AM5130">
        <v>94.656404524716606</v>
      </c>
      <c r="AN5130">
        <v>1.0000000476315001</v>
      </c>
    </row>
    <row r="5131" spans="1:40" x14ac:dyDescent="0.25">
      <c r="A5131" t="str">
        <f>"20190305135032186"</f>
        <v>20190305135032186</v>
      </c>
      <c r="B5131" t="str">
        <f>"1551765032175215"</f>
        <v>1551765032175215</v>
      </c>
      <c r="C5131" t="s">
        <v>40</v>
      </c>
      <c r="D5131">
        <v>3.7633999999999999</v>
      </c>
      <c r="E5131">
        <v>0.5007682</v>
      </c>
      <c r="F5131" t="s">
        <v>94</v>
      </c>
      <c r="G5131">
        <v>-439.53280000000001</v>
      </c>
      <c r="H5131">
        <v>7.9986870000000002E-2</v>
      </c>
      <c r="I5131">
        <v>126.11360000000001</v>
      </c>
      <c r="J5131">
        <v>-281.68970000000002</v>
      </c>
      <c r="K5131">
        <v>1.1095889999999999</v>
      </c>
      <c r="L5131">
        <v>141.6293</v>
      </c>
      <c r="M5131">
        <v>-0.99950079999999997</v>
      </c>
      <c r="N5131">
        <v>-4.9709480000000002E-3</v>
      </c>
      <c r="O5131">
        <v>-3.120264E-2</v>
      </c>
      <c r="P5131">
        <v>-0.99248879999999995</v>
      </c>
      <c r="Q5131">
        <v>-4.8491329999999999E-2</v>
      </c>
      <c r="R5131">
        <v>-0.1123147</v>
      </c>
      <c r="S5131">
        <v>-2.9885250000000001</v>
      </c>
      <c r="T5131">
        <v>-1.9457220000000001E-2</v>
      </c>
      <c r="U5131">
        <v>-0.29338069999999999</v>
      </c>
      <c r="V5131">
        <v>-8.1119579999999997E-2</v>
      </c>
      <c r="W5131">
        <v>-4.3861770000000001E-2</v>
      </c>
      <c r="X5131">
        <v>0.99573880000000003</v>
      </c>
      <c r="Y5131">
        <v>-6.6595669999999996E-2</v>
      </c>
      <c r="Z5131">
        <v>-3.344466E-4</v>
      </c>
      <c r="AA5131">
        <v>0.99778</v>
      </c>
      <c r="AB5131">
        <v>52</v>
      </c>
      <c r="AC5131">
        <v>-157.84309999999999</v>
      </c>
      <c r="AD5131">
        <v>-1.02960213</v>
      </c>
      <c r="AE5131">
        <v>-15.515699999999899</v>
      </c>
      <c r="AF5131">
        <v>-10.582517057970399</v>
      </c>
      <c r="AG5131">
        <v>-1.02960213</v>
      </c>
      <c r="AH5131">
        <v>158.243709100041</v>
      </c>
      <c r="AI5131">
        <v>90.371955119425607</v>
      </c>
      <c r="AJ5131">
        <v>93.825947303627302</v>
      </c>
      <c r="AK5131">
        <v>158.60050825128801</v>
      </c>
      <c r="AL5131">
        <v>92.513900807488795</v>
      </c>
      <c r="AM5131">
        <v>94.657414258556898</v>
      </c>
      <c r="AN5131">
        <v>0.99999999947617402</v>
      </c>
    </row>
    <row r="5132" spans="1:40" x14ac:dyDescent="0.25">
      <c r="A5132" t="str">
        <f>"20190305135032199"</f>
        <v>20190305135032199</v>
      </c>
      <c r="B5132" t="str">
        <f>"1551765032195710"</f>
        <v>1551765032195710</v>
      </c>
      <c r="C5132" t="s">
        <v>40</v>
      </c>
      <c r="D5132">
        <v>3.761816</v>
      </c>
      <c r="E5132">
        <v>0.49624020000000002</v>
      </c>
      <c r="F5132" t="s">
        <v>47</v>
      </c>
      <c r="G5132">
        <v>0</v>
      </c>
      <c r="H5132">
        <v>0</v>
      </c>
      <c r="I5132">
        <v>0</v>
      </c>
      <c r="J5132">
        <v>-281.97809999999998</v>
      </c>
      <c r="K5132">
        <v>1.1095569999999999</v>
      </c>
      <c r="L5132">
        <v>141.62020000000001</v>
      </c>
      <c r="M5132">
        <v>-0.99948289999999995</v>
      </c>
      <c r="N5132">
        <v>-4.9830400000000002E-3</v>
      </c>
      <c r="O5132">
        <v>-3.177083E-2</v>
      </c>
      <c r="P5132">
        <v>-0.99240170000000005</v>
      </c>
      <c r="Q5132">
        <v>-4.8822360000000002E-2</v>
      </c>
      <c r="R5132">
        <v>-0.1129411</v>
      </c>
      <c r="S5132">
        <v>-2.984985</v>
      </c>
      <c r="T5132">
        <v>1.3330099999999999E-2</v>
      </c>
      <c r="U5132">
        <v>-0.33877560000000001</v>
      </c>
      <c r="V5132">
        <v>-8.1183039999999998E-2</v>
      </c>
      <c r="W5132">
        <v>-4.4176529999999999E-2</v>
      </c>
      <c r="X5132">
        <v>0.99571969999999999</v>
      </c>
      <c r="Y5132">
        <v>-8.1145289999999995E-2</v>
      </c>
      <c r="Z5132">
        <v>-3.214607E-4</v>
      </c>
      <c r="AA5132">
        <v>0.99670230000000004</v>
      </c>
      <c r="AB5132">
        <v>52</v>
      </c>
      <c r="AC5132">
        <v>-2.984985</v>
      </c>
      <c r="AD5132">
        <v>1.3330099999999999E-2</v>
      </c>
      <c r="AE5132">
        <v>-0.33877560000000001</v>
      </c>
      <c r="AF5132">
        <v>-0.24376316059137099</v>
      </c>
      <c r="AG5132">
        <v>1.3330099999999999E-2</v>
      </c>
      <c r="AH5132">
        <v>2.9941824437202</v>
      </c>
      <c r="AI5132">
        <v>89.745762015965298</v>
      </c>
      <c r="AJ5132">
        <v>94.654314165973801</v>
      </c>
      <c r="AK5132">
        <v>3.0041182860050202</v>
      </c>
      <c r="AL5132">
        <v>92.531952758270805</v>
      </c>
      <c r="AM5132">
        <v>94.6611307297064</v>
      </c>
      <c r="AN5132">
        <v>0.99999998637728604</v>
      </c>
    </row>
    <row r="5133" spans="1:40" x14ac:dyDescent="0.25">
      <c r="A5133" t="str">
        <f>"20190305135032216"</f>
        <v>20190305135032216</v>
      </c>
      <c r="B5133" t="str">
        <f>"1551765032205470"</f>
        <v>1551765032205470</v>
      </c>
      <c r="C5133" t="s">
        <v>40</v>
      </c>
      <c r="D5133">
        <v>3.7199490000000002</v>
      </c>
      <c r="E5133">
        <v>0.4954983</v>
      </c>
      <c r="F5133" t="s">
        <v>83</v>
      </c>
      <c r="G5133">
        <v>-457.3494</v>
      </c>
      <c r="H5133">
        <v>3.3891140000000002</v>
      </c>
      <c r="I5133">
        <v>119.395</v>
      </c>
      <c r="J5133">
        <v>-282.37090000000001</v>
      </c>
      <c r="K5133">
        <v>1.1095090000000001</v>
      </c>
      <c r="L5133">
        <v>141.60759999999999</v>
      </c>
      <c r="M5133">
        <v>-0.99945819999999996</v>
      </c>
      <c r="N5133">
        <v>-4.9997560000000002E-3</v>
      </c>
      <c r="O5133">
        <v>-3.2531490000000003E-2</v>
      </c>
      <c r="P5133">
        <v>-0.99221809999999999</v>
      </c>
      <c r="Q5133">
        <v>-5.0113810000000002E-2</v>
      </c>
      <c r="R5133">
        <v>-0.1139805</v>
      </c>
      <c r="S5133">
        <v>-2.9818730000000002</v>
      </c>
      <c r="T5133">
        <v>3.8760540000000003E-2</v>
      </c>
      <c r="U5133">
        <v>-0.37789919999999999</v>
      </c>
      <c r="V5133">
        <v>-8.1468940000000004E-2</v>
      </c>
      <c r="W5133">
        <v>-4.544695E-2</v>
      </c>
      <c r="X5133">
        <v>0.99563919999999995</v>
      </c>
      <c r="Y5133">
        <v>-9.338668E-2</v>
      </c>
      <c r="Z5133">
        <v>-2.1287460000000001E-4</v>
      </c>
      <c r="AA5133">
        <v>0.99562989999999996</v>
      </c>
      <c r="AB5133">
        <v>52</v>
      </c>
      <c r="AC5133">
        <v>-174.9785</v>
      </c>
      <c r="AD5133">
        <v>2.2796050000000001</v>
      </c>
      <c r="AE5133">
        <v>-22.212599999999899</v>
      </c>
      <c r="AF5133">
        <v>-16.5057032915436</v>
      </c>
      <c r="AG5133">
        <v>2.2796050000000001</v>
      </c>
      <c r="AH5133">
        <v>175.57917366649201</v>
      </c>
      <c r="AI5133">
        <v>89.259415754486895</v>
      </c>
      <c r="AJ5133">
        <v>95.3704317404015</v>
      </c>
      <c r="AK5133">
        <v>176.368027333507</v>
      </c>
      <c r="AL5133">
        <v>92.604815588239305</v>
      </c>
      <c r="AM5133">
        <v>94.677849499241901</v>
      </c>
      <c r="AN5133">
        <v>1.0000000150128301</v>
      </c>
    </row>
    <row r="5134" spans="1:40" x14ac:dyDescent="0.25">
      <c r="A5134" t="str">
        <f>"20190305135032230"</f>
        <v>20190305135032230</v>
      </c>
      <c r="B5134" t="str">
        <f>"1551765032224989"</f>
        <v>1551765032224989</v>
      </c>
      <c r="C5134" t="s">
        <v>40</v>
      </c>
      <c r="D5134">
        <v>3.7699850000000001</v>
      </c>
      <c r="E5134">
        <v>0.49293490000000001</v>
      </c>
      <c r="F5134" t="s">
        <v>83</v>
      </c>
      <c r="G5134">
        <v>-450.29239999999999</v>
      </c>
      <c r="H5134">
        <v>3.3521559999999999</v>
      </c>
      <c r="I5134">
        <v>119.7931</v>
      </c>
      <c r="J5134">
        <v>-282.70209999999997</v>
      </c>
      <c r="K5134">
        <v>1.1094759999999999</v>
      </c>
      <c r="L5134">
        <v>141.5967</v>
      </c>
      <c r="M5134">
        <v>-0.99943749999999998</v>
      </c>
      <c r="N5134">
        <v>-5.0141509999999997E-3</v>
      </c>
      <c r="O5134">
        <v>-3.3162270000000001E-2</v>
      </c>
      <c r="P5134">
        <v>-0.99212160000000005</v>
      </c>
      <c r="Q5134">
        <v>-5.0711739999999998E-2</v>
      </c>
      <c r="R5134">
        <v>-0.114557199999999</v>
      </c>
      <c r="S5134">
        <v>-2.9810789999999998</v>
      </c>
      <c r="T5134">
        <v>3.9813759999999997E-2</v>
      </c>
      <c r="U5134">
        <v>-0.3872681</v>
      </c>
      <c r="V5134">
        <v>-8.1420740000000005E-2</v>
      </c>
      <c r="W5134">
        <v>-4.6025789999999997E-2</v>
      </c>
      <c r="X5134">
        <v>0.99561659999999996</v>
      </c>
      <c r="Y5134">
        <v>-9.5869270000000006E-2</v>
      </c>
      <c r="Z5134">
        <v>-2.1029849999999999E-4</v>
      </c>
      <c r="AA5134">
        <v>0.99539390000000005</v>
      </c>
      <c r="AB5134">
        <v>52</v>
      </c>
      <c r="AC5134">
        <v>-167.59030000000001</v>
      </c>
      <c r="AD5134">
        <v>2.24268</v>
      </c>
      <c r="AE5134">
        <v>-21.803599999999999</v>
      </c>
      <c r="AF5134">
        <v>-16.231004993405499</v>
      </c>
      <c r="AG5134">
        <v>2.24268</v>
      </c>
      <c r="AH5134">
        <v>168.19156796117099</v>
      </c>
      <c r="AI5134">
        <v>89.239590868417196</v>
      </c>
      <c r="AJ5134">
        <v>95.512150437773997</v>
      </c>
      <c r="AK5134">
        <v>168.98780627582499</v>
      </c>
      <c r="AL5134">
        <v>92.638015294734998</v>
      </c>
      <c r="AM5134">
        <v>94.675199835952498</v>
      </c>
      <c r="AN5134">
        <v>1.00000006222141</v>
      </c>
    </row>
    <row r="5135" spans="1:40" x14ac:dyDescent="0.25">
      <c r="A5135" t="str">
        <f>"20190305135032243"</f>
        <v>20190305135032243</v>
      </c>
      <c r="B5135" t="str">
        <f>"1551765032235726"</f>
        <v>1551765032235726</v>
      </c>
      <c r="C5135" t="s">
        <v>40</v>
      </c>
      <c r="D5135">
        <v>3.769997</v>
      </c>
      <c r="E5135">
        <v>0.49219370000000001</v>
      </c>
      <c r="F5135" t="s">
        <v>83</v>
      </c>
      <c r="G5135">
        <v>-441.65159999999997</v>
      </c>
      <c r="H5135">
        <v>1.713441</v>
      </c>
      <c r="I5135">
        <v>119.8177</v>
      </c>
      <c r="J5135">
        <v>-283.01440000000002</v>
      </c>
      <c r="K5135">
        <v>1.109443</v>
      </c>
      <c r="L5135">
        <v>141.58619999999999</v>
      </c>
      <c r="M5135">
        <v>-0.99941789999999997</v>
      </c>
      <c r="N5135">
        <v>-5.0276629999999999E-3</v>
      </c>
      <c r="O5135">
        <v>-3.3745520000000001E-2</v>
      </c>
      <c r="P5135">
        <v>-0.99208529999999995</v>
      </c>
      <c r="Q5135">
        <v>-5.1353320000000001E-2</v>
      </c>
      <c r="R5135">
        <v>-0.1145849</v>
      </c>
      <c r="S5135">
        <v>-2.9772949999999998</v>
      </c>
      <c r="T5135">
        <v>1.1313439999999999E-2</v>
      </c>
      <c r="U5135">
        <v>-0.40794370000000002</v>
      </c>
      <c r="V5135">
        <v>-8.0869099999999999E-2</v>
      </c>
      <c r="W5135">
        <v>-4.664778E-2</v>
      </c>
      <c r="X5135">
        <v>0.99563250000000003</v>
      </c>
      <c r="Y5135">
        <v>-0.1022406</v>
      </c>
      <c r="Z5135">
        <v>-3.613992E-4</v>
      </c>
      <c r="AA5135">
        <v>0.99475959999999997</v>
      </c>
      <c r="AB5135">
        <v>52</v>
      </c>
      <c r="AC5135">
        <v>-158.63719999999901</v>
      </c>
      <c r="AD5135">
        <v>0.60399799999999904</v>
      </c>
      <c r="AE5135">
        <v>-21.7684999999999</v>
      </c>
      <c r="AF5135">
        <v>-16.402506231865299</v>
      </c>
      <c r="AG5135">
        <v>0.60399799999999904</v>
      </c>
      <c r="AH5135">
        <v>159.27917941089299</v>
      </c>
      <c r="AI5135">
        <v>89.783874313568106</v>
      </c>
      <c r="AJ5135">
        <v>95.879571036715802</v>
      </c>
      <c r="AK5135">
        <v>160.12265304471401</v>
      </c>
      <c r="AL5135">
        <v>92.673691313095105</v>
      </c>
      <c r="AM5135">
        <v>94.643589687843701</v>
      </c>
      <c r="AN5135">
        <v>0.99999995088499305</v>
      </c>
    </row>
    <row r="5136" spans="1:40" x14ac:dyDescent="0.25">
      <c r="A5136" t="str">
        <f>"20190305135032263"</f>
        <v>20190305135032263</v>
      </c>
      <c r="B5136" t="str">
        <f>"1551765032255245"</f>
        <v>1551765032255245</v>
      </c>
      <c r="C5136" t="s">
        <v>40</v>
      </c>
      <c r="D5136">
        <v>3.797472</v>
      </c>
      <c r="E5136">
        <v>0.49178870000000002</v>
      </c>
      <c r="F5136" t="s">
        <v>83</v>
      </c>
      <c r="G5136">
        <v>-440.20710000000003</v>
      </c>
      <c r="H5136">
        <v>1.1751849999999999</v>
      </c>
      <c r="I5136">
        <v>119.74769999999999</v>
      </c>
      <c r="J5136">
        <v>-283.4554</v>
      </c>
      <c r="K5136">
        <v>1.1094040000000001</v>
      </c>
      <c r="L5136">
        <v>141.5712</v>
      </c>
      <c r="M5136">
        <v>-0.99938990000000005</v>
      </c>
      <c r="N5136">
        <v>-5.0469620000000003E-3</v>
      </c>
      <c r="O5136">
        <v>-3.4559390000000002E-2</v>
      </c>
      <c r="P5136">
        <v>-0.99199159999999997</v>
      </c>
      <c r="Q5136">
        <v>-5.2001859999999997E-2</v>
      </c>
      <c r="R5136">
        <v>-0.1151036</v>
      </c>
      <c r="S5136">
        <v>-2.9762270000000002</v>
      </c>
      <c r="T5136">
        <v>1.24526E-3</v>
      </c>
      <c r="U5136">
        <v>-0.41348269999999998</v>
      </c>
      <c r="V5136">
        <v>-8.0580460000000007E-2</v>
      </c>
      <c r="W5136">
        <v>-4.7270810000000003E-2</v>
      </c>
      <c r="X5136">
        <v>0.99562660000000003</v>
      </c>
      <c r="Y5136">
        <v>-0.1032942</v>
      </c>
      <c r="Z5136">
        <v>-4.2850020000000002E-4</v>
      </c>
      <c r="AA5136">
        <v>0.99465079999999995</v>
      </c>
      <c r="AB5136">
        <v>52</v>
      </c>
      <c r="AC5136">
        <v>-156.7517</v>
      </c>
      <c r="AD5136">
        <v>6.5781000000000006E-2</v>
      </c>
      <c r="AE5136">
        <v>-21.823499999999999</v>
      </c>
      <c r="AF5136">
        <v>-16.393148337217301</v>
      </c>
      <c r="AG5136">
        <v>6.5781000000000006E-2</v>
      </c>
      <c r="AH5136">
        <v>157.412250598409</v>
      </c>
      <c r="AI5136">
        <v>89.976185461509999</v>
      </c>
      <c r="AJ5136">
        <v>95.945436743616597</v>
      </c>
      <c r="AK5136">
        <v>158.26356585772399</v>
      </c>
      <c r="AL5136">
        <v>92.709427505706103</v>
      </c>
      <c r="AM5136">
        <v>94.627115069007999</v>
      </c>
      <c r="AN5136">
        <v>1.0000000333197101</v>
      </c>
    </row>
    <row r="5137" spans="1:40" x14ac:dyDescent="0.25">
      <c r="A5137" t="str">
        <f>"20190305135032284"</f>
        <v>20190305135032284</v>
      </c>
      <c r="B5137" t="str">
        <f>"1551765032275741"</f>
        <v>1551765032275741</v>
      </c>
      <c r="C5137" t="s">
        <v>40</v>
      </c>
      <c r="D5137">
        <v>3.7751610000000002</v>
      </c>
      <c r="E5137">
        <v>0.49115950000000003</v>
      </c>
      <c r="F5137" t="s">
        <v>43</v>
      </c>
      <c r="G5137">
        <v>-457.98250000000002</v>
      </c>
      <c r="H5137">
        <v>-0.05</v>
      </c>
      <c r="I5137">
        <v>117.09399999999999</v>
      </c>
      <c r="J5137">
        <v>-283.96800000000002</v>
      </c>
      <c r="K5137">
        <v>1.1093649999999999</v>
      </c>
      <c r="L5137">
        <v>141.5532</v>
      </c>
      <c r="M5137">
        <v>-0.99935739999999995</v>
      </c>
      <c r="N5137">
        <v>-5.0696409999999997E-3</v>
      </c>
      <c r="O5137">
        <v>-3.5485870000000003E-2</v>
      </c>
      <c r="P5137">
        <v>-0.9919367</v>
      </c>
      <c r="Q5137">
        <v>-5.2301210000000001E-2</v>
      </c>
      <c r="R5137">
        <v>-0.11543970000000001</v>
      </c>
      <c r="S5137">
        <v>-2.9747620000000001</v>
      </c>
      <c r="T5137">
        <v>-1.976168E-2</v>
      </c>
      <c r="U5137">
        <v>-0.41720580000000002</v>
      </c>
      <c r="V5137">
        <v>-7.9998340000000001E-2</v>
      </c>
      <c r="W5137">
        <v>-4.7539119999999997E-2</v>
      </c>
      <c r="X5137">
        <v>0.99566069999999995</v>
      </c>
      <c r="Y5137">
        <v>-0.103655399999999</v>
      </c>
      <c r="Z5137">
        <v>-5.514122E-4</v>
      </c>
      <c r="AA5137">
        <v>0.99461310000000003</v>
      </c>
      <c r="AB5137">
        <v>52</v>
      </c>
      <c r="AC5137">
        <v>-174.0145</v>
      </c>
      <c r="AD5137">
        <v>-1.159365</v>
      </c>
      <c r="AE5137">
        <v>-24.459199999999999</v>
      </c>
      <c r="AF5137">
        <v>-18.2678647147549</v>
      </c>
      <c r="AG5137">
        <v>-1.159365</v>
      </c>
      <c r="AH5137">
        <v>174.76525888963101</v>
      </c>
      <c r="AI5137">
        <v>90.378026030190796</v>
      </c>
      <c r="AJ5137">
        <v>95.967343498492099</v>
      </c>
      <c r="AK5137">
        <v>175.72124152531899</v>
      </c>
      <c r="AL5137">
        <v>92.724818022147204</v>
      </c>
      <c r="AM5137">
        <v>94.593675329617696</v>
      </c>
      <c r="AN5137">
        <v>0.99999996592880902</v>
      </c>
    </row>
    <row r="5138" spans="1:40" x14ac:dyDescent="0.25">
      <c r="A5138" t="str">
        <f>"20190305135032299"</f>
        <v>20190305135032299</v>
      </c>
      <c r="B5138" t="str">
        <f>"1551765032295262"</f>
        <v>1551765032295262</v>
      </c>
      <c r="C5138" t="s">
        <v>40</v>
      </c>
      <c r="D5138">
        <v>3.586344</v>
      </c>
      <c r="E5138">
        <v>0.49153599999999997</v>
      </c>
      <c r="F5138" t="s">
        <v>42</v>
      </c>
      <c r="G5138">
        <v>-387.65570000000002</v>
      </c>
      <c r="H5138">
        <v>7.9986160000000001E-2</v>
      </c>
      <c r="I5138">
        <v>126.8069</v>
      </c>
      <c r="J5138">
        <v>-284.28339999999997</v>
      </c>
      <c r="K5138">
        <v>1.1093409999999999</v>
      </c>
      <c r="L5138">
        <v>141.5419</v>
      </c>
      <c r="M5138">
        <v>-0.9993377</v>
      </c>
      <c r="N5138">
        <v>-5.0835289999999998E-3</v>
      </c>
      <c r="O5138">
        <v>-3.6038819999999999E-2</v>
      </c>
      <c r="P5138">
        <v>-0.99189839999999996</v>
      </c>
      <c r="Q5138">
        <v>-5.2254910000000002E-2</v>
      </c>
      <c r="R5138">
        <v>-0.1157908</v>
      </c>
      <c r="S5138">
        <v>-2.9736020000000001</v>
      </c>
      <c r="T5138">
        <v>-2.952099E-2</v>
      </c>
      <c r="U5138">
        <v>-0.42289729999999998</v>
      </c>
      <c r="V5138">
        <v>-7.9802509999999993E-2</v>
      </c>
      <c r="W5138">
        <v>-4.747378E-2</v>
      </c>
      <c r="X5138">
        <v>0.9956796</v>
      </c>
      <c r="Y5138">
        <v>-0.1050214</v>
      </c>
      <c r="Z5138">
        <v>-6.1371039999999998E-4</v>
      </c>
      <c r="AA5138">
        <v>0.99446979999999996</v>
      </c>
      <c r="AB5138">
        <v>52</v>
      </c>
      <c r="AC5138">
        <v>-103.3723</v>
      </c>
      <c r="AD5138">
        <v>-1.0293548400000001</v>
      </c>
      <c r="AE5138">
        <v>-14.734999999999999</v>
      </c>
      <c r="AF5138">
        <v>-10.998895908364901</v>
      </c>
      <c r="AG5138">
        <v>-1.0293548400000001</v>
      </c>
      <c r="AH5138">
        <v>103.826095405671</v>
      </c>
      <c r="AI5138">
        <v>90.564863891345198</v>
      </c>
      <c r="AJ5138">
        <v>96.047117991687301</v>
      </c>
      <c r="AK5138">
        <v>104.412132292072</v>
      </c>
      <c r="AL5138">
        <v>92.721069901127805</v>
      </c>
      <c r="AM5138">
        <v>94.582391689927306</v>
      </c>
      <c r="AN5138">
        <v>1.0000000331229699</v>
      </c>
    </row>
    <row r="5139" spans="1:40" x14ac:dyDescent="0.25">
      <c r="A5139" t="str">
        <f>"20190305135032311"</f>
        <v>20190305135032311</v>
      </c>
      <c r="B5139" t="str">
        <f>"1551765032305022"</f>
        <v>1551765032305022</v>
      </c>
      <c r="C5139" t="s">
        <v>40</v>
      </c>
      <c r="D5139">
        <v>3.7688000000000001</v>
      </c>
      <c r="E5139">
        <v>0.49131219999999998</v>
      </c>
      <c r="F5139" t="s">
        <v>42</v>
      </c>
      <c r="G5139">
        <v>-373.58359999999999</v>
      </c>
      <c r="H5139">
        <v>7.9985819999999999E-2</v>
      </c>
      <c r="I5139">
        <v>128.9059</v>
      </c>
      <c r="J5139">
        <v>-284.59820000000002</v>
      </c>
      <c r="K5139">
        <v>1.1093150000000001</v>
      </c>
      <c r="L5139">
        <v>141.53039999999999</v>
      </c>
      <c r="M5139">
        <v>-0.99931780000000003</v>
      </c>
      <c r="N5139">
        <v>-5.0972839999999997E-3</v>
      </c>
      <c r="O5139">
        <v>-3.657767E-2</v>
      </c>
      <c r="P5139">
        <v>-0.99181660000000005</v>
      </c>
      <c r="Q5139">
        <v>-5.2393479999999999E-2</v>
      </c>
      <c r="R5139">
        <v>-0.116425399999999</v>
      </c>
      <c r="S5139">
        <v>-2.9736020000000001</v>
      </c>
      <c r="T5139">
        <v>-3.427649E-2</v>
      </c>
      <c r="U5139">
        <v>-0.4207611</v>
      </c>
      <c r="V5139">
        <v>-7.9905550000000006E-2</v>
      </c>
      <c r="W5139">
        <v>-4.7594129999999998E-2</v>
      </c>
      <c r="X5139">
        <v>0.99566560000000004</v>
      </c>
      <c r="Y5139">
        <v>-0.103783</v>
      </c>
      <c r="Z5139">
        <v>-6.2748369999999999E-4</v>
      </c>
      <c r="AA5139">
        <v>0.99459980000000003</v>
      </c>
      <c r="AB5139">
        <v>52</v>
      </c>
      <c r="AC5139">
        <v>-88.985399999999899</v>
      </c>
      <c r="AD5139">
        <v>-1.02932918</v>
      </c>
      <c r="AE5139">
        <v>-12.6244999999999</v>
      </c>
      <c r="AF5139">
        <v>-9.3599030183412992</v>
      </c>
      <c r="AG5139">
        <v>-1.02932918</v>
      </c>
      <c r="AH5139">
        <v>89.375908435196607</v>
      </c>
      <c r="AI5139">
        <v>90.656249356719897</v>
      </c>
      <c r="AJ5139">
        <v>95.978514964302406</v>
      </c>
      <c r="AK5139">
        <v>89.8705753385957</v>
      </c>
      <c r="AL5139">
        <v>92.727973225547302</v>
      </c>
      <c r="AM5139">
        <v>94.588347409706998</v>
      </c>
      <c r="AN5139">
        <v>1.0000000425772999</v>
      </c>
    </row>
    <row r="5140" spans="1:40" x14ac:dyDescent="0.25">
      <c r="A5140" t="str">
        <f>"20190305135032328"</f>
        <v>20190305135032328</v>
      </c>
      <c r="B5140" t="str">
        <f>"1551765032314781"</f>
        <v>1551765032314781</v>
      </c>
      <c r="C5140" t="s">
        <v>40</v>
      </c>
      <c r="D5140">
        <v>3.7551380000000001</v>
      </c>
      <c r="E5140">
        <v>0.49112679999999997</v>
      </c>
      <c r="F5140" t="s">
        <v>42</v>
      </c>
      <c r="G5140">
        <v>-368.21019999999999</v>
      </c>
      <c r="H5140">
        <v>7.4024800000000002E-2</v>
      </c>
      <c r="I5140">
        <v>129.59219999999999</v>
      </c>
      <c r="J5140">
        <v>-284.9932</v>
      </c>
      <c r="K5140">
        <v>1.109275</v>
      </c>
      <c r="L5140">
        <v>141.51589999999999</v>
      </c>
      <c r="M5140">
        <v>-0.99929429999999997</v>
      </c>
      <c r="N5140">
        <v>-5.1142189999999997E-3</v>
      </c>
      <c r="O5140">
        <v>-3.721518E-2</v>
      </c>
      <c r="P5140">
        <v>-0.99175270000000004</v>
      </c>
      <c r="Q5140">
        <v>-5.1213130000000003E-2</v>
      </c>
      <c r="R5140">
        <v>-0.1174906</v>
      </c>
      <c r="S5140">
        <v>-2.9729920000000001</v>
      </c>
      <c r="T5140">
        <v>-3.6811829999999997E-2</v>
      </c>
      <c r="U5140">
        <v>-0.42448429999999998</v>
      </c>
      <c r="V5140">
        <v>-8.0345929999999996E-2</v>
      </c>
      <c r="W5140">
        <v>-4.6390029999999999E-2</v>
      </c>
      <c r="X5140">
        <v>0.99568690000000004</v>
      </c>
      <c r="Y5140">
        <v>-0.10439660000000001</v>
      </c>
      <c r="Z5140">
        <v>-6.4280000000000001E-4</v>
      </c>
      <c r="AA5140">
        <v>0.99453559999999996</v>
      </c>
      <c r="AB5140">
        <v>53</v>
      </c>
      <c r="AC5140">
        <v>-83.216999999999899</v>
      </c>
      <c r="AD5140">
        <v>-1.0352501999999999</v>
      </c>
      <c r="AE5140">
        <v>-11.923699999999901</v>
      </c>
      <c r="AF5140">
        <v>-8.8171270417456302</v>
      </c>
      <c r="AG5140">
        <v>-1.0352501999999999</v>
      </c>
      <c r="AH5140">
        <v>83.590423990761906</v>
      </c>
      <c r="AI5140">
        <v>90.705645893091102</v>
      </c>
      <c r="AJ5140">
        <v>96.0212998442653</v>
      </c>
      <c r="AK5140">
        <v>84.060528520835604</v>
      </c>
      <c r="AL5140">
        <v>92.6589073142801</v>
      </c>
      <c r="AM5140">
        <v>94.6134278371661</v>
      </c>
      <c r="AN5140">
        <v>0.99999995309128598</v>
      </c>
    </row>
    <row r="5141" spans="1:40" x14ac:dyDescent="0.25">
      <c r="A5141" t="str">
        <f>"20190305135032344"</f>
        <v>20190305135032344</v>
      </c>
      <c r="B5141" t="str">
        <f>"1551765032335277"</f>
        <v>1551765032335277</v>
      </c>
      <c r="C5141" t="s">
        <v>40</v>
      </c>
      <c r="D5141">
        <v>3.7716590000000001</v>
      </c>
      <c r="E5141">
        <v>0.49122949999999999</v>
      </c>
      <c r="F5141" t="s">
        <v>42</v>
      </c>
      <c r="G5141">
        <v>-374.28949999999998</v>
      </c>
      <c r="H5141">
        <v>7.9985619999999993E-2</v>
      </c>
      <c r="I5141">
        <v>128.62309999999999</v>
      </c>
      <c r="J5141">
        <v>-285.35969999999998</v>
      </c>
      <c r="K5141">
        <v>1.1092249999999999</v>
      </c>
      <c r="L5141">
        <v>141.50210000000001</v>
      </c>
      <c r="M5141">
        <v>-0.99927370000000004</v>
      </c>
      <c r="N5141">
        <v>-5.1299830000000003E-3</v>
      </c>
      <c r="O5141">
        <v>-3.7758090000000001E-2</v>
      </c>
      <c r="P5141">
        <v>-0.99164960000000002</v>
      </c>
      <c r="Q5141">
        <v>-5.068777E-2</v>
      </c>
      <c r="R5141">
        <v>-0.1185823</v>
      </c>
      <c r="S5141">
        <v>-2.9723820000000001</v>
      </c>
      <c r="T5141">
        <v>-3.4261699999999999E-2</v>
      </c>
      <c r="U5141">
        <v>-0.42915340000000002</v>
      </c>
      <c r="V5141">
        <v>-8.0907729999999997E-2</v>
      </c>
      <c r="W5141">
        <v>-4.5841109999999997E-2</v>
      </c>
      <c r="X5141">
        <v>0.99566690000000002</v>
      </c>
      <c r="Y5141">
        <v>-0.10541639999999999</v>
      </c>
      <c r="Z5141">
        <v>-6.3646630000000002E-4</v>
      </c>
      <c r="AA5141">
        <v>0.99442799999999998</v>
      </c>
      <c r="AB5141">
        <v>53</v>
      </c>
      <c r="AC5141">
        <v>-88.9298</v>
      </c>
      <c r="AD5141">
        <v>-1.0292393799999999</v>
      </c>
      <c r="AE5141">
        <v>-12.879</v>
      </c>
      <c r="AF5141">
        <v>-9.5107043693337392</v>
      </c>
      <c r="AG5141">
        <v>-1.0292393799999999</v>
      </c>
      <c r="AH5141">
        <v>89.340954891402106</v>
      </c>
      <c r="AI5141">
        <v>90.656330319323004</v>
      </c>
      <c r="AJ5141">
        <v>96.076481554024497</v>
      </c>
      <c r="AK5141">
        <v>89.851650247559505</v>
      </c>
      <c r="AL5141">
        <v>92.627422836279493</v>
      </c>
      <c r="AM5141">
        <v>94.645638347651598</v>
      </c>
      <c r="AN5141">
        <v>1.0000000219476901</v>
      </c>
    </row>
    <row r="5142" spans="1:40" x14ac:dyDescent="0.25">
      <c r="A5142" t="str">
        <f>"20190305135032356"</f>
        <v>20190305135032356</v>
      </c>
      <c r="B5142" t="str">
        <f>"1551765032345038"</f>
        <v>1551765032345038</v>
      </c>
      <c r="C5142" t="s">
        <v>40</v>
      </c>
      <c r="D5142">
        <v>3.7402419999999998</v>
      </c>
      <c r="E5142">
        <v>0.49110819999999999</v>
      </c>
      <c r="F5142" t="s">
        <v>42</v>
      </c>
      <c r="G5142">
        <v>-367.37939999999998</v>
      </c>
      <c r="H5142">
        <v>6.7649630000000002E-2</v>
      </c>
      <c r="I5142">
        <v>129.5986</v>
      </c>
      <c r="J5142">
        <v>-285.6497</v>
      </c>
      <c r="K5142">
        <v>1.109175</v>
      </c>
      <c r="L5142">
        <v>141.49109999999999</v>
      </c>
      <c r="M5142">
        <v>-0.99925889999999995</v>
      </c>
      <c r="N5142">
        <v>-5.1423399999999996E-3</v>
      </c>
      <c r="O5142">
        <v>-3.8147559999999997E-2</v>
      </c>
      <c r="P5142">
        <v>-0.99157609999999996</v>
      </c>
      <c r="Q5142">
        <v>-5.0319509999999998E-2</v>
      </c>
      <c r="R5142">
        <v>-0.1193526</v>
      </c>
      <c r="S5142">
        <v>-2.9717709999999999</v>
      </c>
      <c r="T5142">
        <v>-3.7738800000000003E-2</v>
      </c>
      <c r="U5142">
        <v>-0.4312897</v>
      </c>
      <c r="V5142">
        <v>-8.1298960000000003E-2</v>
      </c>
      <c r="W5142">
        <v>-4.545213E-2</v>
      </c>
      <c r="X5142">
        <v>0.99565289999999995</v>
      </c>
      <c r="Y5142">
        <v>-0.1057564</v>
      </c>
      <c r="Z5142">
        <v>-6.551676E-4</v>
      </c>
      <c r="AA5142">
        <v>0.9943919</v>
      </c>
      <c r="AB5142">
        <v>53</v>
      </c>
      <c r="AC5142">
        <v>-81.729699999999895</v>
      </c>
      <c r="AD5142">
        <v>-1.04152537</v>
      </c>
      <c r="AE5142">
        <v>-11.892499999999901</v>
      </c>
      <c r="AF5142">
        <v>-8.7646197670707604</v>
      </c>
      <c r="AG5142">
        <v>-1.04152537</v>
      </c>
      <c r="AH5142">
        <v>82.110826484168896</v>
      </c>
      <c r="AI5142">
        <v>90.7226182227338</v>
      </c>
      <c r="AJ5142">
        <v>96.092758538446603</v>
      </c>
      <c r="AK5142">
        <v>82.583843218095495</v>
      </c>
      <c r="AL5142">
        <v>92.605112577540496</v>
      </c>
      <c r="AM5142">
        <v>94.668068680651004</v>
      </c>
      <c r="AN5142">
        <v>1.0000000571485099</v>
      </c>
    </row>
    <row r="5143" spans="1:40" x14ac:dyDescent="0.25">
      <c r="A5143" t="str">
        <f>"20190305135032374"</f>
        <v>20190305135032374</v>
      </c>
      <c r="B5143" t="str">
        <f>"1551765032365533"</f>
        <v>1551765032365533</v>
      </c>
      <c r="C5143" t="s">
        <v>40</v>
      </c>
      <c r="D5143">
        <v>3.893669</v>
      </c>
      <c r="E5143">
        <v>0.49139549999999999</v>
      </c>
      <c r="F5143" t="s">
        <v>42</v>
      </c>
      <c r="G5143">
        <v>-368.98110000000003</v>
      </c>
      <c r="H5143">
        <v>7.9985669999999995E-2</v>
      </c>
      <c r="I5143">
        <v>129.30510000000001</v>
      </c>
      <c r="J5143">
        <v>-286.07589999999999</v>
      </c>
      <c r="K5143">
        <v>1.1090949999999999</v>
      </c>
      <c r="L5143">
        <v>141.47479999999999</v>
      </c>
      <c r="M5143">
        <v>-0.99923969999999995</v>
      </c>
      <c r="N5143">
        <v>-5.1603270000000001E-3</v>
      </c>
      <c r="O5143">
        <v>-3.8645400000000003E-2</v>
      </c>
      <c r="P5143">
        <v>-0.99147070000000004</v>
      </c>
      <c r="Q5143">
        <v>-4.9839609999999999E-2</v>
      </c>
      <c r="R5143">
        <v>-0.120425</v>
      </c>
      <c r="S5143">
        <v>-2.9713129999999999</v>
      </c>
      <c r="T5143">
        <v>-3.6697390000000003E-2</v>
      </c>
      <c r="U5143">
        <v>-0.43450929999999999</v>
      </c>
      <c r="V5143">
        <v>-8.1889550000000005E-2</v>
      </c>
      <c r="W5143">
        <v>-4.4938640000000002E-2</v>
      </c>
      <c r="X5143">
        <v>0.99562779999999995</v>
      </c>
      <c r="Y5143">
        <v>-0.10633819999999999</v>
      </c>
      <c r="Z5143">
        <v>-6.5322280000000002E-4</v>
      </c>
      <c r="AA5143">
        <v>0.99432980000000004</v>
      </c>
      <c r="AB5143">
        <v>53</v>
      </c>
      <c r="AC5143">
        <v>-82.905199999999994</v>
      </c>
      <c r="AD5143">
        <v>-1.02910933</v>
      </c>
      <c r="AE5143">
        <v>-12.169699999999899</v>
      </c>
      <c r="AF5143">
        <v>-8.9553109132667394</v>
      </c>
      <c r="AG5143">
        <v>-1.02910933</v>
      </c>
      <c r="AH5143">
        <v>83.301011630625098</v>
      </c>
      <c r="AI5143">
        <v>90.703747333368</v>
      </c>
      <c r="AJ5143">
        <v>96.136040792004906</v>
      </c>
      <c r="AK5143">
        <v>83.787321226137195</v>
      </c>
      <c r="AL5143">
        <v>92.575661698871002</v>
      </c>
      <c r="AM5143">
        <v>94.701946013793602</v>
      </c>
      <c r="AN5143">
        <v>1.00000004794854</v>
      </c>
    </row>
    <row r="5144" spans="1:40" x14ac:dyDescent="0.25">
      <c r="A5144" t="str">
        <f>"20190305135032387"</f>
        <v>20190305135032387</v>
      </c>
      <c r="B5144" t="str">
        <f>"1551765032375294"</f>
        <v>1551765032375294</v>
      </c>
      <c r="C5144" t="s">
        <v>40</v>
      </c>
      <c r="D5144">
        <v>3.9167770000000002</v>
      </c>
      <c r="E5144">
        <v>0.4917069</v>
      </c>
      <c r="F5144" t="s">
        <v>42</v>
      </c>
      <c r="G5144">
        <v>-366.4862</v>
      </c>
      <c r="H5144" s="1">
        <v>-3.8203009999999999E-6</v>
      </c>
      <c r="I5144">
        <v>129.69990000000001</v>
      </c>
      <c r="J5144">
        <v>-286.40730000000002</v>
      </c>
      <c r="K5144">
        <v>1.1090150000000001</v>
      </c>
      <c r="L5144">
        <v>141.46199999999999</v>
      </c>
      <c r="M5144">
        <v>-0.99922699999999998</v>
      </c>
      <c r="N5144">
        <v>-5.1742689999999996E-3</v>
      </c>
      <c r="O5144">
        <v>-3.8969400000000001E-2</v>
      </c>
      <c r="P5144">
        <v>-0.99136950000000001</v>
      </c>
      <c r="Q5144">
        <v>-4.9855879999999998E-2</v>
      </c>
      <c r="R5144">
        <v>-0.1212468</v>
      </c>
      <c r="S5144">
        <v>-2.970917</v>
      </c>
      <c r="T5144">
        <v>-4.0977840000000001E-2</v>
      </c>
      <c r="U5144">
        <v>-0.43504330000000002</v>
      </c>
      <c r="V5144">
        <v>-8.2400429999999997E-2</v>
      </c>
      <c r="W5144">
        <v>-4.4926830000000001E-2</v>
      </c>
      <c r="X5144">
        <v>0.99558619999999998</v>
      </c>
      <c r="Y5144">
        <v>-0.10620789999999999</v>
      </c>
      <c r="Z5144">
        <v>-6.7139190000000001E-4</v>
      </c>
      <c r="AA5144">
        <v>0.99434370000000005</v>
      </c>
      <c r="AB5144">
        <v>53</v>
      </c>
      <c r="AC5144">
        <v>-80.078899999999905</v>
      </c>
      <c r="AD5144">
        <v>-1.1090188203010001</v>
      </c>
      <c r="AE5144">
        <v>-11.7621</v>
      </c>
      <c r="AF5144">
        <v>-8.6308764204782804</v>
      </c>
      <c r="AG5144">
        <v>-1.1090188203010001</v>
      </c>
      <c r="AH5144">
        <v>80.461332582268298</v>
      </c>
      <c r="AI5144">
        <v>90.785168461358097</v>
      </c>
      <c r="AJ5144">
        <v>96.122557192708996</v>
      </c>
      <c r="AK5144">
        <v>80.930513352157405</v>
      </c>
      <c r="AL5144">
        <v>92.574984304416503</v>
      </c>
      <c r="AM5144">
        <v>94.731343836583605</v>
      </c>
      <c r="AN5144">
        <v>1.0000000662742301</v>
      </c>
    </row>
    <row r="5145" spans="1:40" x14ac:dyDescent="0.25">
      <c r="A5145" t="str">
        <f>"20190305135032402"</f>
        <v>20190305135032402</v>
      </c>
      <c r="B5145" t="str">
        <f>"1551765032394814"</f>
        <v>1551765032394814</v>
      </c>
      <c r="C5145" t="s">
        <v>40</v>
      </c>
      <c r="D5145">
        <v>3.7654920000000001</v>
      </c>
      <c r="E5145">
        <v>0.49141689999999999</v>
      </c>
      <c r="F5145" t="s">
        <v>42</v>
      </c>
      <c r="G5145">
        <v>-359.6979</v>
      </c>
      <c r="H5145" s="1">
        <v>-2.4519479999999998E-6</v>
      </c>
      <c r="I5145">
        <v>130.73490000000001</v>
      </c>
      <c r="J5145">
        <v>-286.74930000000001</v>
      </c>
      <c r="K5145">
        <v>1.1089249999999999</v>
      </c>
      <c r="L5145">
        <v>141.4487</v>
      </c>
      <c r="M5145">
        <v>-0.99921720000000003</v>
      </c>
      <c r="N5145">
        <v>-5.1889889999999998E-3</v>
      </c>
      <c r="O5145">
        <v>-3.9223109999999999E-2</v>
      </c>
      <c r="P5145">
        <v>-0.99129829999999997</v>
      </c>
      <c r="Q5145">
        <v>-4.9535650000000001E-2</v>
      </c>
      <c r="R5145">
        <v>-0.1219615</v>
      </c>
      <c r="S5145">
        <v>-2.9707029999999999</v>
      </c>
      <c r="T5145">
        <v>-4.4952029999999997E-2</v>
      </c>
      <c r="U5145">
        <v>-0.4347992</v>
      </c>
      <c r="V5145">
        <v>-8.2875519999999994E-2</v>
      </c>
      <c r="W5145">
        <v>-4.4575120000000003E-2</v>
      </c>
      <c r="X5145">
        <v>0.99556250000000002</v>
      </c>
      <c r="Y5145">
        <v>-0.1058838</v>
      </c>
      <c r="Z5145">
        <v>-6.8583429999999996E-4</v>
      </c>
      <c r="AA5145">
        <v>0.99437830000000005</v>
      </c>
      <c r="AB5145">
        <v>53</v>
      </c>
      <c r="AC5145">
        <v>-72.948599999999999</v>
      </c>
      <c r="AD5145">
        <v>-1.1089274519479999</v>
      </c>
      <c r="AE5145">
        <v>-10.7137999999999</v>
      </c>
      <c r="AF5145">
        <v>-7.8424723344891598</v>
      </c>
      <c r="AG5145">
        <v>-1.1089274519479999</v>
      </c>
      <c r="AH5145">
        <v>73.296117046907895</v>
      </c>
      <c r="AI5145">
        <v>90.861866854927896</v>
      </c>
      <c r="AJ5145">
        <v>96.1072472362018</v>
      </c>
      <c r="AK5145">
        <v>73.722824597033295</v>
      </c>
      <c r="AL5145">
        <v>92.554812787670201</v>
      </c>
      <c r="AM5145">
        <v>94.758610840862005</v>
      </c>
      <c r="AN5145">
        <v>0.99999999227226699</v>
      </c>
    </row>
    <row r="5146" spans="1:40" x14ac:dyDescent="0.25">
      <c r="A5146" t="str">
        <f>"20190305135032418"</f>
        <v>20190305135032418</v>
      </c>
      <c r="B5146" t="str">
        <f>"1551765032405550"</f>
        <v>1551765032405550</v>
      </c>
      <c r="C5146" t="s">
        <v>40</v>
      </c>
      <c r="D5146">
        <v>3.7564519999999999</v>
      </c>
      <c r="E5146">
        <v>0.49130380000000001</v>
      </c>
      <c r="F5146" t="s">
        <v>42</v>
      </c>
      <c r="G5146">
        <v>-362.77550000000002</v>
      </c>
      <c r="H5146" s="1">
        <v>-4.9490730000000001E-6</v>
      </c>
      <c r="I5146">
        <v>130.20349999999999</v>
      </c>
      <c r="J5146">
        <v>-287.10090000000002</v>
      </c>
      <c r="K5146">
        <v>1.1088100000000001</v>
      </c>
      <c r="L5146">
        <v>141.435</v>
      </c>
      <c r="M5146">
        <v>-0.99920969999999998</v>
      </c>
      <c r="N5146">
        <v>-5.2042870000000001E-3</v>
      </c>
      <c r="O5146">
        <v>-3.9406610000000002E-2</v>
      </c>
      <c r="P5146">
        <v>-0.99117189999999999</v>
      </c>
      <c r="Q5146">
        <v>-4.975686E-2</v>
      </c>
      <c r="R5146">
        <v>-0.1228914</v>
      </c>
      <c r="S5146">
        <v>-2.9701230000000001</v>
      </c>
      <c r="T5146">
        <v>-4.3322680000000002E-2</v>
      </c>
      <c r="U5146">
        <v>-0.43931579999999898</v>
      </c>
      <c r="V5146">
        <v>-8.3637660000000003E-2</v>
      </c>
      <c r="W5146">
        <v>-4.4762009999999998E-2</v>
      </c>
      <c r="X5146">
        <v>0.9954904</v>
      </c>
      <c r="Y5146">
        <v>-0.1072095</v>
      </c>
      <c r="Z5146">
        <v>-6.9115319999999997E-4</v>
      </c>
      <c r="AA5146">
        <v>0.99423620000000001</v>
      </c>
      <c r="AB5146">
        <v>53</v>
      </c>
      <c r="AC5146">
        <v>-75.674599999999998</v>
      </c>
      <c r="AD5146">
        <v>-1.1088149490729999</v>
      </c>
      <c r="AE5146">
        <v>-11.2315</v>
      </c>
      <c r="AF5146">
        <v>-8.2389252201578902</v>
      </c>
      <c r="AG5146">
        <v>-1.1088149490729999</v>
      </c>
      <c r="AH5146">
        <v>76.042446186559403</v>
      </c>
      <c r="AI5146">
        <v>90.830540801067102</v>
      </c>
      <c r="AJ5146">
        <v>96.183670092137405</v>
      </c>
      <c r="AK5146">
        <v>76.495509550629393</v>
      </c>
      <c r="AL5146">
        <v>92.565531433582294</v>
      </c>
      <c r="AM5146">
        <v>94.802514437355697</v>
      </c>
      <c r="AN5146">
        <v>1.00000001610083</v>
      </c>
    </row>
    <row r="5147" spans="1:40" x14ac:dyDescent="0.25">
      <c r="A5147" t="str">
        <f>"20190305135032440"</f>
        <v>20190305135032440</v>
      </c>
      <c r="B5147" t="str">
        <f>"1551765032434829"</f>
        <v>1551765032434829</v>
      </c>
      <c r="C5147" t="s">
        <v>40</v>
      </c>
      <c r="D5147">
        <v>3.64575</v>
      </c>
      <c r="E5147">
        <v>0.49116709999999902</v>
      </c>
      <c r="F5147" t="s">
        <v>42</v>
      </c>
      <c r="G5147">
        <v>-362.59480000000002</v>
      </c>
      <c r="H5147" s="1">
        <v>-5.0192990000000001E-6</v>
      </c>
      <c r="I5147">
        <v>130.17070000000001</v>
      </c>
      <c r="J5147">
        <v>-287.65699999999998</v>
      </c>
      <c r="K5147">
        <v>1.108609</v>
      </c>
      <c r="L5147">
        <v>141.41329999999999</v>
      </c>
      <c r="M5147">
        <v>-0.99920640000000005</v>
      </c>
      <c r="N5147">
        <v>-5.2290039999999998E-3</v>
      </c>
      <c r="O5147">
        <v>-3.949006E-2</v>
      </c>
      <c r="P5147">
        <v>-0.99113519999999999</v>
      </c>
      <c r="Q5147">
        <v>-4.9853630000000003E-2</v>
      </c>
      <c r="R5147">
        <v>-0.12315</v>
      </c>
      <c r="S5147">
        <v>-2.9696039999999999</v>
      </c>
      <c r="T5147">
        <v>-4.3616059999999998E-2</v>
      </c>
      <c r="U5147">
        <v>-0.4430847</v>
      </c>
      <c r="V5147">
        <v>-8.3835950000000006E-2</v>
      </c>
      <c r="W5147">
        <v>-4.4794420000000001E-2</v>
      </c>
      <c r="X5147">
        <v>0.99547229999999998</v>
      </c>
      <c r="Y5147">
        <v>-0.1083858</v>
      </c>
      <c r="Z5147">
        <v>-7.0578329999999997E-4</v>
      </c>
      <c r="AA5147">
        <v>0.99410869999999996</v>
      </c>
      <c r="AB5147">
        <v>53</v>
      </c>
      <c r="AC5147">
        <v>-74.937799999999996</v>
      </c>
      <c r="AD5147">
        <v>-1.1086140192989999</v>
      </c>
      <c r="AE5147">
        <v>-11.2425999999999</v>
      </c>
      <c r="AF5147">
        <v>-8.2727211143983403</v>
      </c>
      <c r="AG5147">
        <v>-1.1086140192989999</v>
      </c>
      <c r="AH5147">
        <v>75.307202496357107</v>
      </c>
      <c r="AI5147">
        <v>90.838360311809197</v>
      </c>
      <c r="AJ5147">
        <v>96.268975817887906</v>
      </c>
      <c r="AK5147">
        <v>75.768342251284196</v>
      </c>
      <c r="AL5147">
        <v>92.567390158627802</v>
      </c>
      <c r="AM5147">
        <v>94.813934016387407</v>
      </c>
      <c r="AN5147">
        <v>1.00000005332141</v>
      </c>
    </row>
    <row r="5148" spans="1:40" x14ac:dyDescent="0.25">
      <c r="A5148" t="str">
        <f>"20190305135032465"</f>
        <v>20190305135032465</v>
      </c>
      <c r="B5148" t="str">
        <f>"1551765032455325"</f>
        <v>1551765032455325</v>
      </c>
      <c r="C5148" t="s">
        <v>40</v>
      </c>
      <c r="D5148">
        <v>3.723916</v>
      </c>
      <c r="E5148">
        <v>0.49100349999999998</v>
      </c>
      <c r="F5148" t="s">
        <v>42</v>
      </c>
      <c r="G5148">
        <v>-360.5018</v>
      </c>
      <c r="H5148" s="1">
        <v>-5.6736159999999998E-6</v>
      </c>
      <c r="I5148">
        <v>130.50239999999999</v>
      </c>
      <c r="J5148">
        <v>-288.21699999999998</v>
      </c>
      <c r="K5148">
        <v>1.108366</v>
      </c>
      <c r="L5148">
        <v>141.3914</v>
      </c>
      <c r="M5148">
        <v>-0.99921360000000004</v>
      </c>
      <c r="N5148">
        <v>-5.2549129999999999E-3</v>
      </c>
      <c r="O5148">
        <v>-3.9300359999999999E-2</v>
      </c>
      <c r="P5148">
        <v>-0.99120319999999995</v>
      </c>
      <c r="Q5148">
        <v>-4.9929590000000003E-2</v>
      </c>
      <c r="R5148">
        <v>-0.12256930000000001</v>
      </c>
      <c r="S5148">
        <v>-2.9693299999999998</v>
      </c>
      <c r="T5148">
        <v>-4.5189859999999998E-2</v>
      </c>
      <c r="U5148">
        <v>-0.44474789999999997</v>
      </c>
      <c r="V5148">
        <v>-8.346713E-2</v>
      </c>
      <c r="W5148">
        <v>-4.47964E-2</v>
      </c>
      <c r="X5148">
        <v>0.99550309999999997</v>
      </c>
      <c r="Y5148">
        <v>-0.1091317</v>
      </c>
      <c r="Z5148">
        <v>-7.2548419999999897E-4</v>
      </c>
      <c r="AA5148">
        <v>0.99402699999999999</v>
      </c>
      <c r="AB5148">
        <v>53</v>
      </c>
      <c r="AC5148">
        <v>-72.284800000000004</v>
      </c>
      <c r="AD5148">
        <v>-1.1083716736160001</v>
      </c>
      <c r="AE5148">
        <v>-10.888999999999999</v>
      </c>
      <c r="AF5148">
        <v>-8.0378815528041692</v>
      </c>
      <c r="AG5148">
        <v>-1.1083716736160001</v>
      </c>
      <c r="AH5148">
        <v>72.640202117448197</v>
      </c>
      <c r="AI5148">
        <v>90.868870541640703</v>
      </c>
      <c r="AJ5148">
        <v>96.3142823955327</v>
      </c>
      <c r="AK5148">
        <v>73.091962562839399</v>
      </c>
      <c r="AL5148">
        <v>92.567503981976202</v>
      </c>
      <c r="AM5148">
        <v>94.792707324942</v>
      </c>
      <c r="AN5148">
        <v>0.99999995067650205</v>
      </c>
    </row>
    <row r="5149" spans="1:40" x14ac:dyDescent="0.25">
      <c r="A5149" t="str">
        <f>"20190305135032486"</f>
        <v>20190305135032486</v>
      </c>
      <c r="B5149" t="str">
        <f>"1551765032474846"</f>
        <v>1551765032474846</v>
      </c>
      <c r="C5149" t="s">
        <v>40</v>
      </c>
      <c r="D5149">
        <v>3.702</v>
      </c>
      <c r="E5149">
        <v>0.49112610000000001</v>
      </c>
      <c r="F5149" t="s">
        <v>42</v>
      </c>
      <c r="G5149">
        <v>-360.8922</v>
      </c>
      <c r="H5149" s="1">
        <v>-5.5057230000000001E-6</v>
      </c>
      <c r="I5149">
        <v>130.52019999999999</v>
      </c>
      <c r="J5149">
        <v>-288.74549999999999</v>
      </c>
      <c r="K5149">
        <v>1.108114</v>
      </c>
      <c r="L5149">
        <v>141.37110000000001</v>
      </c>
      <c r="M5149">
        <v>-0.99923150000000005</v>
      </c>
      <c r="N5149">
        <v>-5.2807269999999998E-3</v>
      </c>
      <c r="O5149">
        <v>-3.8842099999999997E-2</v>
      </c>
      <c r="P5149">
        <v>-0.99126080000000005</v>
      </c>
      <c r="Q5149">
        <v>-5.0657180000000003E-2</v>
      </c>
      <c r="R5149">
        <v>-0.1218041</v>
      </c>
      <c r="S5149">
        <v>-2.9694210000000001</v>
      </c>
      <c r="T5149">
        <v>-4.5286769999999997E-2</v>
      </c>
      <c r="U5149">
        <v>-0.4441833</v>
      </c>
      <c r="V5149">
        <v>-8.3183649999999998E-2</v>
      </c>
      <c r="W5149">
        <v>-4.5447050000000003E-2</v>
      </c>
      <c r="X5149">
        <v>0.99549739999999998</v>
      </c>
      <c r="Y5149">
        <v>-0.109398</v>
      </c>
      <c r="Z5149">
        <v>-7.3565320000000003E-4</v>
      </c>
      <c r="AA5149">
        <v>0.99399780000000004</v>
      </c>
      <c r="AB5149">
        <v>53</v>
      </c>
      <c r="AC5149">
        <v>-72.146699999999996</v>
      </c>
      <c r="AD5149">
        <v>-1.108119505723</v>
      </c>
      <c r="AE5149">
        <v>-10.850899999999999</v>
      </c>
      <c r="AF5149">
        <v>-8.0384887230512803</v>
      </c>
      <c r="AG5149">
        <v>-1.108119505723</v>
      </c>
      <c r="AH5149">
        <v>72.497007128688594</v>
      </c>
      <c r="AI5149">
        <v>90.870366809108305</v>
      </c>
      <c r="AJ5149">
        <v>96.327127268585599</v>
      </c>
      <c r="AK5149">
        <v>72.949717425132704</v>
      </c>
      <c r="AL5149">
        <v>92.604821327181398</v>
      </c>
      <c r="AM5149">
        <v>94.776532482134996</v>
      </c>
      <c r="AN5149">
        <v>1.00000001369389</v>
      </c>
    </row>
    <row r="5150" spans="1:40" x14ac:dyDescent="0.25">
      <c r="A5150" t="str">
        <f>"20190305135032508"</f>
        <v>20190305135032508</v>
      </c>
      <c r="B5150" t="str">
        <f>"1551765032495453"</f>
        <v>1551765032495453</v>
      </c>
      <c r="C5150" t="s">
        <v>40</v>
      </c>
      <c r="D5150">
        <v>3.8757600000000001</v>
      </c>
      <c r="E5150">
        <v>0.4916719</v>
      </c>
      <c r="F5150" t="s">
        <v>42</v>
      </c>
      <c r="G5150">
        <v>-356.08690000000001</v>
      </c>
      <c r="H5150" s="1">
        <v>-3.5103850000000001E-6</v>
      </c>
      <c r="I5150">
        <v>131.37540000000001</v>
      </c>
      <c r="J5150">
        <v>-289.26170000000002</v>
      </c>
      <c r="K5150">
        <v>1.1078319999999999</v>
      </c>
      <c r="L5150">
        <v>141.35149999999999</v>
      </c>
      <c r="M5150">
        <v>-0.99925940000000002</v>
      </c>
      <c r="N5150">
        <v>-5.3071759999999898E-3</v>
      </c>
      <c r="O5150">
        <v>-3.8114710000000003E-2</v>
      </c>
      <c r="P5150">
        <v>-0.99139670000000002</v>
      </c>
      <c r="Q5150">
        <v>-5.1611150000000001E-2</v>
      </c>
      <c r="R5150">
        <v>-0.12028800000000001</v>
      </c>
      <c r="S5150">
        <v>-2.9697879999999999</v>
      </c>
      <c r="T5150">
        <v>-4.8868540000000002E-2</v>
      </c>
      <c r="U5150">
        <v>-0.44081120000000001</v>
      </c>
      <c r="V5150">
        <v>-8.2417959999999998E-2</v>
      </c>
      <c r="W5150">
        <v>-4.6319199999999998E-2</v>
      </c>
      <c r="X5150">
        <v>0.99552090000000004</v>
      </c>
      <c r="Y5150">
        <v>-0.1089976</v>
      </c>
      <c r="Z5150">
        <v>-7.6085819999999996E-4</v>
      </c>
      <c r="AA5150">
        <v>0.99404170000000003</v>
      </c>
      <c r="AB5150">
        <v>54</v>
      </c>
      <c r="AC5150">
        <v>-66.825199999999995</v>
      </c>
      <c r="AD5150">
        <v>-1.1078355103849999</v>
      </c>
      <c r="AE5150">
        <v>-9.9760999999999704</v>
      </c>
      <c r="AF5150">
        <v>-7.4197974374716003</v>
      </c>
      <c r="AG5150">
        <v>-1.1078355103849999</v>
      </c>
      <c r="AH5150">
        <v>67.138833194327304</v>
      </c>
      <c r="AI5150">
        <v>90.939613285527102</v>
      </c>
      <c r="AJ5150">
        <v>96.306408655733506</v>
      </c>
      <c r="AK5150">
        <v>67.556669665007107</v>
      </c>
      <c r="AL5150">
        <v>92.654844494844895</v>
      </c>
      <c r="AM5150">
        <v>94.732654821835993</v>
      </c>
      <c r="AN5150">
        <v>1.0000000253779999</v>
      </c>
    </row>
    <row r="5151" spans="1:40" x14ac:dyDescent="0.25">
      <c r="A5151" t="str">
        <f>"20190305135032530"</f>
        <v>20190305135032530</v>
      </c>
      <c r="B5151" t="str">
        <f>"1551765032525709"</f>
        <v>1551765032525709</v>
      </c>
      <c r="C5151" t="s">
        <v>40</v>
      </c>
      <c r="D5151">
        <v>3.8088920000000002</v>
      </c>
      <c r="E5151">
        <v>0.4918534</v>
      </c>
      <c r="F5151" t="s">
        <v>42</v>
      </c>
      <c r="G5151">
        <v>-346.98099999999999</v>
      </c>
      <c r="H5151" s="1">
        <v>-2.7835819999999998E-6</v>
      </c>
      <c r="I5151">
        <v>132.96350000000001</v>
      </c>
      <c r="J5151">
        <v>-289.7962</v>
      </c>
      <c r="K5151">
        <v>1.107521</v>
      </c>
      <c r="L5151">
        <v>141.33170000000001</v>
      </c>
      <c r="M5151">
        <v>-0.99929840000000003</v>
      </c>
      <c r="N5151">
        <v>-5.3359729999999999E-3</v>
      </c>
      <c r="O5151">
        <v>-3.7070619999999999E-2</v>
      </c>
      <c r="P5151">
        <v>-0.99154219999999904</v>
      </c>
      <c r="Q5151">
        <v>-5.2533509999999999E-2</v>
      </c>
      <c r="R5151">
        <v>-0.1186774</v>
      </c>
      <c r="S5151">
        <v>-2.9707340000000002</v>
      </c>
      <c r="T5151">
        <v>-5.7018760000000002E-2</v>
      </c>
      <c r="U5151">
        <v>-0.43171690000000001</v>
      </c>
      <c r="V5151">
        <v>-8.1878839999999994E-2</v>
      </c>
      <c r="W5151">
        <v>-4.7151789999999999E-2</v>
      </c>
      <c r="X5151">
        <v>0.99552629999999998</v>
      </c>
      <c r="Y5151">
        <v>-0.1070068</v>
      </c>
      <c r="Z5151">
        <v>-7.9827070000000003E-4</v>
      </c>
      <c r="AA5151">
        <v>0.99425799999999998</v>
      </c>
      <c r="AB5151">
        <v>54</v>
      </c>
      <c r="AC5151">
        <v>-57.184800000000003</v>
      </c>
      <c r="AD5151">
        <v>-1.107523783582</v>
      </c>
      <c r="AE5151">
        <v>-8.3681999999999999</v>
      </c>
      <c r="AF5151">
        <v>-6.2402501324095603</v>
      </c>
      <c r="AG5151">
        <v>-1.107523783582</v>
      </c>
      <c r="AH5151">
        <v>57.434619641806997</v>
      </c>
      <c r="AI5151">
        <v>91.098247936597403</v>
      </c>
      <c r="AJ5151">
        <v>96.200841762432802</v>
      </c>
      <c r="AK5151">
        <v>57.783240338745998</v>
      </c>
      <c r="AL5151">
        <v>92.702600572547794</v>
      </c>
      <c r="AM5151">
        <v>94.7018110029898</v>
      </c>
      <c r="AN5151">
        <v>1.0000000248658101</v>
      </c>
    </row>
    <row r="5152" spans="1:40" x14ac:dyDescent="0.25">
      <c r="A5152" t="str">
        <f>"20190305135032553"</f>
        <v>20190305135032553</v>
      </c>
      <c r="B5152" t="str">
        <f>"1551765032545232"</f>
        <v>1551765032545232</v>
      </c>
      <c r="C5152" t="s">
        <v>40</v>
      </c>
      <c r="D5152">
        <v>3.676825</v>
      </c>
      <c r="E5152">
        <v>0.49172440000000001</v>
      </c>
      <c r="F5152" t="s">
        <v>42</v>
      </c>
      <c r="G5152">
        <v>-343.78579999999999</v>
      </c>
      <c r="H5152" s="1">
        <v>-3.715329E-6</v>
      </c>
      <c r="I5152">
        <v>133.6001</v>
      </c>
      <c r="J5152">
        <v>-290.35129999999998</v>
      </c>
      <c r="K5152">
        <v>1.1071869999999999</v>
      </c>
      <c r="L5152">
        <v>141.31190000000001</v>
      </c>
      <c r="M5152">
        <v>-0.99934959999999995</v>
      </c>
      <c r="N5152">
        <v>-5.366956E-3</v>
      </c>
      <c r="O5152">
        <v>-3.565952E-2</v>
      </c>
      <c r="P5152">
        <v>-0.9917492</v>
      </c>
      <c r="Q5152">
        <v>-5.2918720000000002E-2</v>
      </c>
      <c r="R5152">
        <v>-0.1167619</v>
      </c>
      <c r="S5152">
        <v>-2.9714659999999999</v>
      </c>
      <c r="T5152">
        <v>-6.0955639999999998E-2</v>
      </c>
      <c r="U5152">
        <v>-0.42552190000000001</v>
      </c>
      <c r="V5152">
        <v>-8.1401100000000004E-2</v>
      </c>
      <c r="W5152">
        <v>-4.7440410000000002E-2</v>
      </c>
      <c r="X5152">
        <v>0.99555179999999999</v>
      </c>
      <c r="Y5152">
        <v>-0.106342699999999</v>
      </c>
      <c r="Z5152">
        <v>-8.3535670000000001E-4</v>
      </c>
      <c r="AA5152">
        <v>0.99432920000000002</v>
      </c>
      <c r="AB5152">
        <v>54</v>
      </c>
      <c r="AC5152">
        <v>-53.4345</v>
      </c>
      <c r="AD5152">
        <v>-1.1071907153289999</v>
      </c>
      <c r="AE5152">
        <v>-7.71180000000001</v>
      </c>
      <c r="AF5152">
        <v>-5.7989801603914204</v>
      </c>
      <c r="AG5152">
        <v>-1.1071907153289999</v>
      </c>
      <c r="AH5152">
        <v>53.652952219726401</v>
      </c>
      <c r="AI5152">
        <v>91.175353524748701</v>
      </c>
      <c r="AJ5152">
        <v>96.168761698790604</v>
      </c>
      <c r="AK5152">
        <v>53.976785047582901</v>
      </c>
      <c r="AL5152">
        <v>92.719155713844501</v>
      </c>
      <c r="AM5152">
        <v>94.674379984778696</v>
      </c>
      <c r="AN5152">
        <v>1.0000000590327001</v>
      </c>
    </row>
    <row r="5153" spans="1:40" x14ac:dyDescent="0.25">
      <c r="A5153" t="str">
        <f>"20190305135032565"</f>
        <v>20190305135032565</v>
      </c>
      <c r="B5153" t="str">
        <f>"1551765032555059"</f>
        <v>1551765032555059</v>
      </c>
      <c r="C5153" t="s">
        <v>40</v>
      </c>
      <c r="D5153">
        <v>3.6737730000000002</v>
      </c>
      <c r="E5153">
        <v>0.49165170000000002</v>
      </c>
      <c r="F5153" t="s">
        <v>42</v>
      </c>
      <c r="G5153">
        <v>-343.8356</v>
      </c>
      <c r="H5153" s="1">
        <v>-3.6694430000000001E-6</v>
      </c>
      <c r="I5153">
        <v>133.73849999999999</v>
      </c>
      <c r="J5153">
        <v>-290.68450000000001</v>
      </c>
      <c r="K5153">
        <v>1.106989</v>
      </c>
      <c r="L5153">
        <v>141.30029999999999</v>
      </c>
      <c r="M5153">
        <v>-0.99938360000000004</v>
      </c>
      <c r="N5153">
        <v>-5.3855919999999998E-3</v>
      </c>
      <c r="O5153">
        <v>-3.4692790000000001E-2</v>
      </c>
      <c r="P5153">
        <v>-0.99189070000000001</v>
      </c>
      <c r="Q5153">
        <v>-5.2943299999999999E-2</v>
      </c>
      <c r="R5153">
        <v>-0.1155434</v>
      </c>
      <c r="S5153">
        <v>-2.9721679999999999</v>
      </c>
      <c r="T5153">
        <v>-6.1527610000000003E-2</v>
      </c>
      <c r="U5153">
        <v>-0.42085270000000002</v>
      </c>
      <c r="V5153">
        <v>-8.1164349999999996E-2</v>
      </c>
      <c r="W5153">
        <v>-4.7407810000000002E-2</v>
      </c>
      <c r="X5153">
        <v>0.99557260000000003</v>
      </c>
      <c r="Y5153">
        <v>-0.10574020000000001</v>
      </c>
      <c r="Z5153">
        <v>-8.4716369999999997E-4</v>
      </c>
      <c r="AA5153">
        <v>0.99439339999999998</v>
      </c>
      <c r="AB5153">
        <v>54</v>
      </c>
      <c r="AC5153">
        <v>-53.1510999999999</v>
      </c>
      <c r="AD5153">
        <v>-1.1069926694429999</v>
      </c>
      <c r="AE5153">
        <v>-7.5617999999999999</v>
      </c>
      <c r="AF5153">
        <v>-5.7108332408753499</v>
      </c>
      <c r="AG5153">
        <v>-1.1069926694429999</v>
      </c>
      <c r="AH5153">
        <v>53.358760581273003</v>
      </c>
      <c r="AI5153">
        <v>91.181753272945897</v>
      </c>
      <c r="AJ5153">
        <v>96.108946189445902</v>
      </c>
      <c r="AK5153">
        <v>53.674913878318399</v>
      </c>
      <c r="AL5153">
        <v>92.717285990593197</v>
      </c>
      <c r="AM5153">
        <v>94.660747878997199</v>
      </c>
      <c r="AN5153">
        <v>0.99999997701533905</v>
      </c>
    </row>
    <row r="5154" spans="1:40" x14ac:dyDescent="0.25">
      <c r="A5154" t="str">
        <f>"20190305135032579"</f>
        <v>20190305135032579</v>
      </c>
      <c r="B5154" t="str">
        <f>"1551765032575555"</f>
        <v>1551765032575555</v>
      </c>
      <c r="C5154" t="s">
        <v>40</v>
      </c>
      <c r="D5154">
        <v>3.660952</v>
      </c>
      <c r="E5154">
        <v>0.49146580000000001</v>
      </c>
      <c r="F5154" t="s">
        <v>42</v>
      </c>
      <c r="G5154">
        <v>-344.49950000000001</v>
      </c>
      <c r="H5154" s="1">
        <v>-3.4226960000000002E-6</v>
      </c>
      <c r="I5154">
        <v>133.7353</v>
      </c>
      <c r="J5154">
        <v>-290.98430000000002</v>
      </c>
      <c r="K5154">
        <v>1.1068119999999999</v>
      </c>
      <c r="L5154">
        <v>141.2903</v>
      </c>
      <c r="M5154">
        <v>-0.99941610000000003</v>
      </c>
      <c r="N5154">
        <v>-5.4020730000000003E-3</v>
      </c>
      <c r="O5154">
        <v>-3.3742099999999997E-2</v>
      </c>
      <c r="P5154">
        <v>-0.99201539999999999</v>
      </c>
      <c r="Q5154">
        <v>-5.2963830000000003E-2</v>
      </c>
      <c r="R5154">
        <v>-0.1144572</v>
      </c>
      <c r="S5154">
        <v>-2.9725649999999999</v>
      </c>
      <c r="T5154">
        <v>-6.1146739999999998E-2</v>
      </c>
      <c r="U5154">
        <v>-0.41786190000000001</v>
      </c>
      <c r="V5154">
        <v>-8.1041509999999997E-2</v>
      </c>
      <c r="W5154">
        <v>-4.7377919999999997E-2</v>
      </c>
      <c r="X5154">
        <v>0.99558409999999997</v>
      </c>
      <c r="Y5154">
        <v>-0.1056869</v>
      </c>
      <c r="Z5154">
        <v>-8.5987200000000002E-4</v>
      </c>
      <c r="AA5154">
        <v>0.99439909999999998</v>
      </c>
      <c r="AB5154">
        <v>54</v>
      </c>
      <c r="AC5154">
        <v>-53.515199999999901</v>
      </c>
      <c r="AD5154">
        <v>-1.1068154226960001</v>
      </c>
      <c r="AE5154">
        <v>-7.5549999999999997</v>
      </c>
      <c r="AF5154">
        <v>-5.7425480973155301</v>
      </c>
      <c r="AG5154">
        <v>-1.1068154226960001</v>
      </c>
      <c r="AH5154">
        <v>53.717122569106898</v>
      </c>
      <c r="AI5154">
        <v>91.173699114131907</v>
      </c>
      <c r="AJ5154">
        <v>96.101944382363897</v>
      </c>
      <c r="AK5154">
        <v>54.034536697693198</v>
      </c>
      <c r="AL5154">
        <v>92.715571303223996</v>
      </c>
      <c r="AM5154">
        <v>94.653671453024501</v>
      </c>
      <c r="AN5154">
        <v>1.0000000469096999</v>
      </c>
    </row>
    <row r="5155" spans="1:40" x14ac:dyDescent="0.25">
      <c r="A5155" t="str">
        <f>"20190305135032592"</f>
        <v>20190305135032592</v>
      </c>
      <c r="B5155" t="str">
        <f>"1551765032585316"</f>
        <v>1551765032585316</v>
      </c>
      <c r="C5155" t="s">
        <v>40</v>
      </c>
      <c r="D5155">
        <v>3.6502539999999999</v>
      </c>
      <c r="E5155">
        <v>0.49139620000000001</v>
      </c>
      <c r="F5155" t="s">
        <v>42</v>
      </c>
      <c r="G5155">
        <v>-345.16250000000002</v>
      </c>
      <c r="H5155" s="1">
        <v>-3.2045669999999999E-6</v>
      </c>
      <c r="I5155">
        <v>133.7071</v>
      </c>
      <c r="J5155">
        <v>-291.31709999999998</v>
      </c>
      <c r="K5155">
        <v>1.106616</v>
      </c>
      <c r="L5155">
        <v>141.27930000000001</v>
      </c>
      <c r="M5155">
        <v>-0.99945269999999997</v>
      </c>
      <c r="N5155">
        <v>-5.4200000000000003E-3</v>
      </c>
      <c r="O5155">
        <v>-3.2632300000000003E-2</v>
      </c>
      <c r="P5155">
        <v>-0.99217120000000003</v>
      </c>
      <c r="Q5155">
        <v>-5.2811089999999998E-2</v>
      </c>
      <c r="R5155">
        <v>-0.11316859999999999</v>
      </c>
      <c r="S5155">
        <v>-2.972931</v>
      </c>
      <c r="T5155">
        <v>-6.0734509999999998E-2</v>
      </c>
      <c r="U5155">
        <v>-0.41610720000000001</v>
      </c>
      <c r="V5155">
        <v>-8.0874719999999997E-2</v>
      </c>
      <c r="W5155">
        <v>-4.717031E-2</v>
      </c>
      <c r="X5155">
        <v>0.99560749999999998</v>
      </c>
      <c r="Y5155">
        <v>-0.1061986</v>
      </c>
      <c r="Z5155">
        <v>-8.8187289999999902E-4</v>
      </c>
      <c r="AA5155">
        <v>0.99434449999999996</v>
      </c>
      <c r="AB5155">
        <v>54</v>
      </c>
      <c r="AC5155">
        <v>-53.845399999999998</v>
      </c>
      <c r="AD5155">
        <v>-1.106619204567</v>
      </c>
      <c r="AE5155">
        <v>-7.5721999999999996</v>
      </c>
      <c r="AF5155">
        <v>-5.8086361594217903</v>
      </c>
      <c r="AG5155">
        <v>-1.106619204567</v>
      </c>
      <c r="AH5155">
        <v>54.041441215419901</v>
      </c>
      <c r="AI5155">
        <v>91.166378739085303</v>
      </c>
      <c r="AJ5155">
        <v>96.134875178841497</v>
      </c>
      <c r="AK5155">
        <v>54.363979147374202</v>
      </c>
      <c r="AL5155">
        <v>92.703662868585496</v>
      </c>
      <c r="AM5155">
        <v>94.644027082741999</v>
      </c>
      <c r="AN5155">
        <v>1.0000000262684099</v>
      </c>
    </row>
    <row r="5156" spans="1:40" x14ac:dyDescent="0.25">
      <c r="A5156" t="str">
        <f>"20190305135032607"</f>
        <v>20190305135032607</v>
      </c>
      <c r="B5156" t="str">
        <f>"1551765032595076"</f>
        <v>1551765032595076</v>
      </c>
      <c r="C5156" t="s">
        <v>40</v>
      </c>
      <c r="D5156">
        <v>3.6303450000000002</v>
      </c>
      <c r="E5156">
        <v>0.49133680000000002</v>
      </c>
      <c r="F5156" t="s">
        <v>42</v>
      </c>
      <c r="G5156">
        <v>-346.04719999999998</v>
      </c>
      <c r="H5156" s="1">
        <v>-2.9104300000000001E-6</v>
      </c>
      <c r="I5156">
        <v>133.68100000000001</v>
      </c>
      <c r="J5156">
        <v>-291.68439999999998</v>
      </c>
      <c r="K5156">
        <v>1.1064020000000001</v>
      </c>
      <c r="L5156">
        <v>141.26769999999999</v>
      </c>
      <c r="M5156">
        <v>-0.99949489999999996</v>
      </c>
      <c r="N5156">
        <v>-5.4394100000000004E-3</v>
      </c>
      <c r="O5156">
        <v>-3.1313130000000002E-2</v>
      </c>
      <c r="P5156">
        <v>-0.99236440000000004</v>
      </c>
      <c r="Q5156">
        <v>-5.3580200000000001E-2</v>
      </c>
      <c r="R5156">
        <v>-0.11109579999999999</v>
      </c>
      <c r="S5156">
        <v>-2.9733890000000001</v>
      </c>
      <c r="T5156">
        <v>-6.0120699999999999E-2</v>
      </c>
      <c r="U5156">
        <v>-0.412796</v>
      </c>
      <c r="V5156">
        <v>-8.0136139999999995E-2</v>
      </c>
      <c r="W5156">
        <v>-4.7882580000000001E-2</v>
      </c>
      <c r="X5156">
        <v>0.9956332</v>
      </c>
      <c r="Y5156">
        <v>-0.106404</v>
      </c>
      <c r="Z5156">
        <v>-9.0126659999999995E-4</v>
      </c>
      <c r="AA5156">
        <v>0.99432259999999995</v>
      </c>
      <c r="AB5156">
        <v>54</v>
      </c>
      <c r="AC5156">
        <v>-54.362799999999901</v>
      </c>
      <c r="AD5156">
        <v>-1.10640491043</v>
      </c>
      <c r="AE5156">
        <v>-7.5866999999999702</v>
      </c>
      <c r="AF5156">
        <v>-5.8782967216140101</v>
      </c>
      <c r="AG5156">
        <v>-1.10640491043</v>
      </c>
      <c r="AH5156">
        <v>54.551543479719399</v>
      </c>
      <c r="AI5156">
        <v>91.155217997274903</v>
      </c>
      <c r="AJ5156">
        <v>96.150275253022201</v>
      </c>
      <c r="AK5156">
        <v>54.878496701284398</v>
      </c>
      <c r="AL5156">
        <v>92.7445191581849</v>
      </c>
      <c r="AM5156">
        <v>94.601680699120095</v>
      </c>
      <c r="AN5156">
        <v>1.0000000056718901</v>
      </c>
    </row>
    <row r="5157" spans="1:40" x14ac:dyDescent="0.25">
      <c r="A5157" t="str">
        <f>"20190305135032622"</f>
        <v>20190305135032622</v>
      </c>
      <c r="B5157" t="str">
        <f>"1551765032615573"</f>
        <v>1551765032615573</v>
      </c>
      <c r="C5157" t="s">
        <v>40</v>
      </c>
      <c r="D5157">
        <v>3.7305229999999998</v>
      </c>
      <c r="E5157">
        <v>0.49139500000000003</v>
      </c>
      <c r="F5157" t="s">
        <v>42</v>
      </c>
      <c r="G5157">
        <v>-344.5829</v>
      </c>
      <c r="H5157" s="1">
        <v>-3.3157479999999999E-6</v>
      </c>
      <c r="I5157">
        <v>134.03049999999999</v>
      </c>
      <c r="J5157">
        <v>-292.03649999999999</v>
      </c>
      <c r="K5157">
        <v>1.1062080000000001</v>
      </c>
      <c r="L5157">
        <v>141.25700000000001</v>
      </c>
      <c r="M5157">
        <v>-0.99953599999999998</v>
      </c>
      <c r="N5157">
        <v>-5.4576319999999996E-3</v>
      </c>
      <c r="O5157">
        <v>-2.9969059999999999E-2</v>
      </c>
      <c r="P5157">
        <v>-0.99252960000000001</v>
      </c>
      <c r="Q5157">
        <v>-5.3736199999999998E-2</v>
      </c>
      <c r="R5157">
        <v>-0.10953209999999999</v>
      </c>
      <c r="S5157">
        <v>-2.9742130000000002</v>
      </c>
      <c r="T5157">
        <v>-6.2207579999999998E-2</v>
      </c>
      <c r="U5157">
        <v>-0.40690609999999999</v>
      </c>
      <c r="V5157">
        <v>-7.9929210000000001E-2</v>
      </c>
      <c r="W5157">
        <v>-4.798492E-2</v>
      </c>
      <c r="X5157">
        <v>0.99564490000000005</v>
      </c>
      <c r="Y5157">
        <v>-0.10576969999999999</v>
      </c>
      <c r="Z5157">
        <v>-9.3031129999999996E-4</v>
      </c>
      <c r="AA5157">
        <v>0.9943902</v>
      </c>
      <c r="AB5157">
        <v>54</v>
      </c>
      <c r="AC5157">
        <v>-52.546399999999998</v>
      </c>
      <c r="AD5157">
        <v>-1.106211315748</v>
      </c>
      <c r="AE5157">
        <v>-7.2265000000000104</v>
      </c>
      <c r="AF5157">
        <v>-5.6460085923232004</v>
      </c>
      <c r="AG5157">
        <v>-1.106211315748</v>
      </c>
      <c r="AH5157">
        <v>52.716441753112498</v>
      </c>
      <c r="AI5157">
        <v>91.195294637808402</v>
      </c>
      <c r="AJ5157">
        <v>96.1131593614693</v>
      </c>
      <c r="AK5157">
        <v>53.029466786014098</v>
      </c>
      <c r="AL5157">
        <v>92.750389574440604</v>
      </c>
      <c r="AM5157">
        <v>94.589795228429907</v>
      </c>
      <c r="AN5157">
        <v>0.99999999902731995</v>
      </c>
    </row>
    <row r="5158" spans="1:40" x14ac:dyDescent="0.25">
      <c r="A5158" t="str">
        <f>"20190305135032641"</f>
        <v>20190305135032641</v>
      </c>
      <c r="B5158" t="str">
        <f>"1551765032635091"</f>
        <v>1551765032635091</v>
      </c>
      <c r="C5158" t="s">
        <v>40</v>
      </c>
      <c r="D5158">
        <v>3.8181910000000001</v>
      </c>
      <c r="E5158">
        <v>0.4915081</v>
      </c>
      <c r="F5158" t="s">
        <v>42</v>
      </c>
      <c r="G5158">
        <v>-342.9128</v>
      </c>
      <c r="H5158" s="1">
        <v>-3.9504170000000002E-6</v>
      </c>
      <c r="I5158">
        <v>134.38630000000001</v>
      </c>
      <c r="J5158">
        <v>-292.51650000000001</v>
      </c>
      <c r="K5158">
        <v>1.105955</v>
      </c>
      <c r="L5158">
        <v>141.2432</v>
      </c>
      <c r="M5158">
        <v>-0.99959129999999996</v>
      </c>
      <c r="N5158">
        <v>-5.4816259999999999E-3</v>
      </c>
      <c r="O5158">
        <v>-2.8058199999999998E-2</v>
      </c>
      <c r="P5158">
        <v>-0.99272380000000005</v>
      </c>
      <c r="Q5158">
        <v>-5.5015620000000001E-2</v>
      </c>
      <c r="R5158">
        <v>-0.10711320000000001</v>
      </c>
      <c r="S5158">
        <v>-2.9747620000000001</v>
      </c>
      <c r="T5158">
        <v>-6.4680810000000005E-2</v>
      </c>
      <c r="U5158">
        <v>-0.40173340000000002</v>
      </c>
      <c r="V5158">
        <v>-7.9442170000000006E-2</v>
      </c>
      <c r="W5158">
        <v>-4.9195999999999997E-2</v>
      </c>
      <c r="X5158">
        <v>0.99562479999999998</v>
      </c>
      <c r="Y5158">
        <v>-0.1059462</v>
      </c>
      <c r="Z5158">
        <v>-9.8448580000000006E-4</v>
      </c>
      <c r="AA5158">
        <v>0.99437140000000002</v>
      </c>
      <c r="AB5158">
        <v>54</v>
      </c>
      <c r="AC5158">
        <v>-50.396299999999997</v>
      </c>
      <c r="AD5158">
        <v>-1.105958950417</v>
      </c>
      <c r="AE5158">
        <v>-6.8568999999999898</v>
      </c>
      <c r="AF5158">
        <v>-5.4375785364096201</v>
      </c>
      <c r="AG5158">
        <v>-1.105958950417</v>
      </c>
      <c r="AH5158">
        <v>50.544953403125199</v>
      </c>
      <c r="AI5158">
        <v>91.246282994710896</v>
      </c>
      <c r="AJ5158">
        <v>96.140211314283206</v>
      </c>
      <c r="AK5158">
        <v>50.848625547439703</v>
      </c>
      <c r="AL5158">
        <v>92.819861343253294</v>
      </c>
      <c r="AM5158">
        <v>94.562037926011897</v>
      </c>
      <c r="AN5158">
        <v>1.00000002358267</v>
      </c>
    </row>
    <row r="5159" spans="1:40" x14ac:dyDescent="0.25">
      <c r="A5159" t="str">
        <f>"20190305135032657"</f>
        <v>20190305135032657</v>
      </c>
      <c r="B5159" t="str">
        <f>"1551765032655587"</f>
        <v>1551765032655587</v>
      </c>
      <c r="C5159" t="s">
        <v>40</v>
      </c>
      <c r="D5159">
        <v>3.7192940000000001</v>
      </c>
      <c r="E5159">
        <v>0.54230009999999995</v>
      </c>
      <c r="F5159" t="s">
        <v>42</v>
      </c>
      <c r="G5159">
        <v>-341.56369999999998</v>
      </c>
      <c r="H5159" s="1">
        <v>-4.4637959999999901E-6</v>
      </c>
      <c r="I5159">
        <v>134.75479999999999</v>
      </c>
      <c r="J5159">
        <v>-292.90219999999999</v>
      </c>
      <c r="K5159">
        <v>1.1057680000000001</v>
      </c>
      <c r="L5159">
        <v>141.23269999999999</v>
      </c>
      <c r="M5159">
        <v>-0.99963480000000005</v>
      </c>
      <c r="N5159">
        <v>-5.5001709999999999E-3</v>
      </c>
      <c r="O5159">
        <v>-2.6464020000000001E-2</v>
      </c>
      <c r="P5159">
        <v>-0.99284760000000005</v>
      </c>
      <c r="Q5159">
        <v>-5.609447E-2</v>
      </c>
      <c r="R5159">
        <v>-0.10539080000000001</v>
      </c>
      <c r="S5159">
        <v>-2.9758300000000002</v>
      </c>
      <c r="T5159">
        <v>-6.7101720000000004E-2</v>
      </c>
      <c r="U5159">
        <v>-0.3936615</v>
      </c>
      <c r="V5159">
        <v>-7.9331760000000001E-2</v>
      </c>
      <c r="W5159">
        <v>-5.0222320000000001E-2</v>
      </c>
      <c r="X5159">
        <v>0.99558230000000003</v>
      </c>
      <c r="Y5159">
        <v>-0.1048331</v>
      </c>
      <c r="Z5159">
        <v>-1.017488E-3</v>
      </c>
      <c r="AA5159">
        <v>0.99448930000000002</v>
      </c>
      <c r="AB5159">
        <v>55</v>
      </c>
      <c r="AC5159">
        <v>-48.661499999999897</v>
      </c>
      <c r="AD5159">
        <v>-1.105772463796</v>
      </c>
      <c r="AE5159">
        <v>-6.4779</v>
      </c>
      <c r="AF5159">
        <v>-5.1852021205001799</v>
      </c>
      <c r="AG5159">
        <v>-1.105772463796</v>
      </c>
      <c r="AH5159">
        <v>48.791134892017901</v>
      </c>
      <c r="AI5159">
        <v>91.2910267748168</v>
      </c>
      <c r="AJ5159">
        <v>96.066250897448199</v>
      </c>
      <c r="AK5159">
        <v>49.078344489430499</v>
      </c>
      <c r="AL5159">
        <v>92.878738111000203</v>
      </c>
      <c r="AM5159">
        <v>94.555917899620894</v>
      </c>
      <c r="AN5159">
        <v>0.99999996282208403</v>
      </c>
    </row>
    <row r="5160" spans="1:40" x14ac:dyDescent="0.25">
      <c r="A5160" t="str">
        <f>"20190305135032676"</f>
        <v>20190305135032676</v>
      </c>
      <c r="B5160" t="str">
        <f>"1551765032665347"</f>
        <v>1551765032665347</v>
      </c>
      <c r="C5160" t="s">
        <v>40</v>
      </c>
      <c r="D5160">
        <v>3.6461269999999999</v>
      </c>
      <c r="E5160">
        <v>0.54973340000000004</v>
      </c>
      <c r="F5160" t="s">
        <v>94</v>
      </c>
      <c r="G5160">
        <v>-422.9803</v>
      </c>
      <c r="H5160" s="1">
        <v>-1.1060609999999999E-5</v>
      </c>
      <c r="I5160">
        <v>141.76669999999999</v>
      </c>
      <c r="J5160">
        <v>-293.34640000000002</v>
      </c>
      <c r="K5160">
        <v>1.105558</v>
      </c>
      <c r="L5160">
        <v>141.22130000000001</v>
      </c>
      <c r="M5160">
        <v>-0.99968270000000004</v>
      </c>
      <c r="N5160">
        <v>-5.5207759999999998E-3</v>
      </c>
      <c r="O5160">
        <v>-2.4579050000000002E-2</v>
      </c>
      <c r="P5160">
        <v>-0.99300339999999998</v>
      </c>
      <c r="Q5160">
        <v>-5.7895259999999997E-2</v>
      </c>
      <c r="R5160">
        <v>-0.1029216</v>
      </c>
      <c r="S5160">
        <v>-3.021515</v>
      </c>
      <c r="T5160">
        <v>-2.5685550000000001E-2</v>
      </c>
      <c r="U5160">
        <v>1.24054E-2</v>
      </c>
      <c r="V5160">
        <v>-7.8769270000000002E-2</v>
      </c>
      <c r="W5160">
        <v>-5.196866E-2</v>
      </c>
      <c r="X5160">
        <v>0.99553740000000002</v>
      </c>
      <c r="Y5160">
        <v>2.8681809999999999E-2</v>
      </c>
      <c r="Z5160">
        <v>2.743062E-4</v>
      </c>
      <c r="AA5160">
        <v>0.99958849999999999</v>
      </c>
      <c r="AB5160">
        <v>55</v>
      </c>
      <c r="AC5160">
        <v>-129.63389999999899</v>
      </c>
      <c r="AD5160">
        <v>-1.1055690606099999</v>
      </c>
      <c r="AE5160">
        <v>0.54539999999997202</v>
      </c>
      <c r="AF5160">
        <v>3.7312903328047602</v>
      </c>
      <c r="AG5160">
        <v>-1.1055690606099999</v>
      </c>
      <c r="AH5160">
        <v>129.57190537920999</v>
      </c>
      <c r="AI5160">
        <v>90.488660386491304</v>
      </c>
      <c r="AJ5160">
        <v>88.350505681448197</v>
      </c>
      <c r="AK5160">
        <v>129.63033392726501</v>
      </c>
      <c r="AL5160">
        <v>92.9789267167248</v>
      </c>
      <c r="AM5160">
        <v>94.523952579010896</v>
      </c>
      <c r="AN5160">
        <v>1.00000002715864</v>
      </c>
    </row>
    <row r="5161" spans="1:40" x14ac:dyDescent="0.25">
      <c r="A5161" t="str">
        <f>"20190305135032696"</f>
        <v>20190305135032696</v>
      </c>
      <c r="B5161" t="str">
        <f>"1551765032684867"</f>
        <v>1551765032684867</v>
      </c>
      <c r="C5161" t="s">
        <v>40</v>
      </c>
      <c r="D5161">
        <v>3.6276649999999999</v>
      </c>
      <c r="E5161">
        <v>0.55599209999999999</v>
      </c>
      <c r="F5161" t="s">
        <v>94</v>
      </c>
      <c r="G5161">
        <v>-404.13979999999998</v>
      </c>
      <c r="H5161" s="1">
        <v>-9.0487009999999997E-6</v>
      </c>
      <c r="I5161">
        <v>144.10980000000001</v>
      </c>
      <c r="J5161">
        <v>-293.86189999999999</v>
      </c>
      <c r="K5161">
        <v>1.1053489999999999</v>
      </c>
      <c r="L5161">
        <v>141.209</v>
      </c>
      <c r="M5161">
        <v>-0.99973509999999999</v>
      </c>
      <c r="N5161">
        <v>-5.5438950000000001E-3</v>
      </c>
      <c r="O5161">
        <v>-2.2342290000000001E-2</v>
      </c>
      <c r="P5161">
        <v>-0.99326999999999999</v>
      </c>
      <c r="Q5161">
        <v>-5.8319469999999998E-2</v>
      </c>
      <c r="R5161">
        <v>-0.1000701</v>
      </c>
      <c r="S5161">
        <v>-3.0275880000000002</v>
      </c>
      <c r="T5161">
        <v>-3.0211209999999999E-2</v>
      </c>
      <c r="U5161">
        <v>7.8933719999999999E-2</v>
      </c>
      <c r="V5161">
        <v>-7.8167249999999994E-2</v>
      </c>
      <c r="W5161">
        <v>-5.2334150000000003E-2</v>
      </c>
      <c r="X5161">
        <v>0.9955657</v>
      </c>
      <c r="Y5161">
        <v>4.8387199999999998E-2</v>
      </c>
      <c r="Z5161">
        <v>4.7459189999999999E-4</v>
      </c>
      <c r="AA5161">
        <v>0.99882850000000001</v>
      </c>
      <c r="AB5161">
        <v>55</v>
      </c>
      <c r="AC5161">
        <v>-110.2779</v>
      </c>
      <c r="AD5161">
        <v>-1.105358048701</v>
      </c>
      <c r="AE5161">
        <v>2.9007999999999998</v>
      </c>
      <c r="AF5161">
        <v>5.3634358583119504</v>
      </c>
      <c r="AG5161">
        <v>-1.105358048701</v>
      </c>
      <c r="AH5161">
        <v>110.174498682633</v>
      </c>
      <c r="AI5161">
        <v>90.574137599891401</v>
      </c>
      <c r="AJ5161">
        <v>87.212968232497502</v>
      </c>
      <c r="AK5161">
        <v>110.31050911219501</v>
      </c>
      <c r="AL5161">
        <v>92.999896299955495</v>
      </c>
      <c r="AM5161">
        <v>94.4893915816928</v>
      </c>
      <c r="AN5161">
        <v>1.00000002262263</v>
      </c>
    </row>
    <row r="5162" spans="1:40" x14ac:dyDescent="0.25">
      <c r="A5162" t="str">
        <f>"20190305135032720"</f>
        <v>20190305135032720</v>
      </c>
      <c r="B5162" t="str">
        <f>"1551765032715123"</f>
        <v>1551765032715123</v>
      </c>
      <c r="C5162" t="s">
        <v>40</v>
      </c>
      <c r="D5162">
        <v>3.618744</v>
      </c>
      <c r="E5162">
        <v>0.55765069999999906</v>
      </c>
      <c r="F5162" t="s">
        <v>94</v>
      </c>
      <c r="G5162">
        <v>-408.68529999999998</v>
      </c>
      <c r="H5162" s="1">
        <v>-1.2464790000000001E-5</v>
      </c>
      <c r="I5162">
        <v>146.40729999999999</v>
      </c>
      <c r="J5162">
        <v>-294.4341</v>
      </c>
      <c r="K5162">
        <v>1.105151</v>
      </c>
      <c r="L5162">
        <v>141.1968</v>
      </c>
      <c r="M5162">
        <v>-0.99978809999999996</v>
      </c>
      <c r="N5162">
        <v>-5.5689009999999898E-3</v>
      </c>
      <c r="O5162">
        <v>-1.9819170000000001E-2</v>
      </c>
      <c r="P5162">
        <v>-0.99353959999999997</v>
      </c>
      <c r="Q5162">
        <v>-5.7640490000000003E-2</v>
      </c>
      <c r="R5162">
        <v>-9.7758830000000005E-2</v>
      </c>
      <c r="S5162">
        <v>-3.03241</v>
      </c>
      <c r="T5162">
        <v>-2.9191849999999998E-2</v>
      </c>
      <c r="U5162">
        <v>0.1372833</v>
      </c>
      <c r="V5162">
        <v>-7.8384380000000003E-2</v>
      </c>
      <c r="W5162">
        <v>-5.1590089999999998E-2</v>
      </c>
      <c r="X5162">
        <v>0.99558749999999996</v>
      </c>
      <c r="Y5162">
        <v>6.5011109999999997E-2</v>
      </c>
      <c r="Z5162">
        <v>5.7426619999999999E-4</v>
      </c>
      <c r="AA5162">
        <v>0.9978844</v>
      </c>
      <c r="AB5162">
        <v>55</v>
      </c>
      <c r="AC5162">
        <v>-114.251199999999</v>
      </c>
      <c r="AD5162">
        <v>-1.1051634647899999</v>
      </c>
      <c r="AE5162">
        <v>5.2104999999999899</v>
      </c>
      <c r="AF5162">
        <v>7.4731777249666997</v>
      </c>
      <c r="AG5162">
        <v>-1.1051634647899999</v>
      </c>
      <c r="AH5162">
        <v>114.114833373713</v>
      </c>
      <c r="AI5162">
        <v>90.553686892110207</v>
      </c>
      <c r="AJ5162">
        <v>86.253151446403507</v>
      </c>
      <c r="AK5162">
        <v>114.36461414049</v>
      </c>
      <c r="AL5162">
        <v>92.957207023055005</v>
      </c>
      <c r="AM5162">
        <v>94.501712682690197</v>
      </c>
      <c r="AN5162">
        <v>1.0000000592852101</v>
      </c>
    </row>
    <row r="5163" spans="1:40" x14ac:dyDescent="0.25">
      <c r="A5163" t="str">
        <f>"20190305135032743"</f>
        <v>20190305135032743</v>
      </c>
      <c r="B5163" t="str">
        <f>"1551765032735623"</f>
        <v>1551765032735623</v>
      </c>
      <c r="C5163" t="s">
        <v>40</v>
      </c>
      <c r="D5163">
        <v>3.679351</v>
      </c>
      <c r="E5163">
        <v>0.55890319999999905</v>
      </c>
      <c r="F5163" t="s">
        <v>42</v>
      </c>
      <c r="G5163">
        <v>-379.60140000000001</v>
      </c>
      <c r="H5163" s="1">
        <v>-1.7538839999999901E-6</v>
      </c>
      <c r="I5163">
        <v>145.6317</v>
      </c>
      <c r="J5163">
        <v>-295.0172</v>
      </c>
      <c r="K5163">
        <v>1.1049659999999999</v>
      </c>
      <c r="L5163">
        <v>141.1857</v>
      </c>
      <c r="M5163">
        <v>-0.99983599999999995</v>
      </c>
      <c r="N5163">
        <v>-5.5937679999999998E-3</v>
      </c>
      <c r="O5163">
        <v>-1.7227329999999999E-2</v>
      </c>
      <c r="P5163">
        <v>-0.99374589999999996</v>
      </c>
      <c r="Q5163">
        <v>-5.7711850000000002E-2</v>
      </c>
      <c r="R5163">
        <v>-9.5594709999999999E-2</v>
      </c>
      <c r="S5163">
        <v>-3.0327760000000001</v>
      </c>
      <c r="T5163">
        <v>-3.9354090000000001E-2</v>
      </c>
      <c r="U5163">
        <v>0.1579285</v>
      </c>
      <c r="V5163">
        <v>-7.8820150000000005E-2</v>
      </c>
      <c r="W5163">
        <v>-5.1599230000000003E-2</v>
      </c>
      <c r="X5163">
        <v>0.99555249999999995</v>
      </c>
      <c r="Y5163">
        <v>6.9191219999999998E-2</v>
      </c>
      <c r="Z5163">
        <v>7.6937360000000005E-4</v>
      </c>
      <c r="AA5163">
        <v>0.99760309999999996</v>
      </c>
      <c r="AB5163">
        <v>55</v>
      </c>
      <c r="AC5163">
        <v>-84.584199999999996</v>
      </c>
      <c r="AD5163">
        <v>-1.1049677538839999</v>
      </c>
      <c r="AE5163">
        <v>4.44599999999999</v>
      </c>
      <c r="AF5163">
        <v>5.9015184865733099</v>
      </c>
      <c r="AG5163">
        <v>-1.1049677538839999</v>
      </c>
      <c r="AH5163">
        <v>84.480675902496799</v>
      </c>
      <c r="AI5163">
        <v>90.747537750202298</v>
      </c>
      <c r="AJ5163">
        <v>86.004012942308194</v>
      </c>
      <c r="AK5163">
        <v>84.693762905701604</v>
      </c>
      <c r="AL5163">
        <v>92.957731762674797</v>
      </c>
      <c r="AM5163">
        <v>94.526794250701897</v>
      </c>
      <c r="AN5163">
        <v>0.99999993841943002</v>
      </c>
    </row>
    <row r="5164" spans="1:40" x14ac:dyDescent="0.25">
      <c r="A5164" t="str">
        <f>"20190305135032763"</f>
        <v>20190305135032763</v>
      </c>
      <c r="B5164" t="str">
        <f>"1551765032755139"</f>
        <v>1551765032755139</v>
      </c>
      <c r="C5164" t="s">
        <v>40</v>
      </c>
      <c r="D5164">
        <v>3.5298370000000001</v>
      </c>
      <c r="E5164">
        <v>0.55968399999999996</v>
      </c>
      <c r="F5164" t="s">
        <v>94</v>
      </c>
      <c r="G5164">
        <v>-407.05810000000002</v>
      </c>
      <c r="H5164" s="1">
        <v>-1.20493899999999E-5</v>
      </c>
      <c r="I5164">
        <v>147.6129</v>
      </c>
      <c r="J5164">
        <v>-295.52629999999999</v>
      </c>
      <c r="K5164">
        <v>1.1048309999999999</v>
      </c>
      <c r="L5164">
        <v>141.1772</v>
      </c>
      <c r="M5164">
        <v>-0.99987239999999999</v>
      </c>
      <c r="N5164">
        <v>-5.6153319999999998E-3</v>
      </c>
      <c r="O5164">
        <v>-1.495902E-2</v>
      </c>
      <c r="P5164">
        <v>-0.99388460000000001</v>
      </c>
      <c r="Q5164">
        <v>-5.8043289999999997E-2</v>
      </c>
      <c r="R5164">
        <v>-9.3940200000000001E-2</v>
      </c>
      <c r="S5164">
        <v>-3.0339049999999999</v>
      </c>
      <c r="T5164">
        <v>-2.992117E-2</v>
      </c>
      <c r="U5164">
        <v>0.17404169999999999</v>
      </c>
      <c r="V5164">
        <v>-7.944039E-2</v>
      </c>
      <c r="W5164">
        <v>-5.187874E-2</v>
      </c>
      <c r="X5164">
        <v>0.99548879999999995</v>
      </c>
      <c r="Y5164">
        <v>7.2194099999999997E-2</v>
      </c>
      <c r="Z5164">
        <v>6.2206309999999999E-4</v>
      </c>
      <c r="AA5164">
        <v>0.99739040000000001</v>
      </c>
      <c r="AB5164">
        <v>55</v>
      </c>
      <c r="AC5164">
        <v>-111.5318</v>
      </c>
      <c r="AD5164">
        <v>-1.1048430493900001</v>
      </c>
      <c r="AE5164">
        <v>6.43569999999999</v>
      </c>
      <c r="AF5164">
        <v>8.1026200273951101</v>
      </c>
      <c r="AG5164">
        <v>-1.1048430493900001</v>
      </c>
      <c r="AH5164">
        <v>111.41215012830401</v>
      </c>
      <c r="AI5164">
        <v>90.566671024106697</v>
      </c>
      <c r="AJ5164">
        <v>85.840399552194597</v>
      </c>
      <c r="AK5164">
        <v>111.711862958613</v>
      </c>
      <c r="AL5164">
        <v>92.973767608307696</v>
      </c>
      <c r="AM5164">
        <v>94.562556743043601</v>
      </c>
      <c r="AN5164">
        <v>1.0000000650763801</v>
      </c>
    </row>
    <row r="5165" spans="1:40" x14ac:dyDescent="0.25">
      <c r="A5165" t="str">
        <f>"20190305135032786"</f>
        <v>20190305135032786</v>
      </c>
      <c r="B5165" t="str">
        <f>"1551765032775640"</f>
        <v>1551765032775640</v>
      </c>
      <c r="C5165" t="s">
        <v>40</v>
      </c>
      <c r="D5165">
        <v>3.7248109999999999</v>
      </c>
      <c r="E5165">
        <v>0.56026709999999902</v>
      </c>
      <c r="F5165" t="s">
        <v>94</v>
      </c>
      <c r="G5165">
        <v>-434.45010000000002</v>
      </c>
      <c r="H5165">
        <v>7.5498640000000006E-2</v>
      </c>
      <c r="I5165">
        <v>149.6421</v>
      </c>
      <c r="J5165">
        <v>-296.0684</v>
      </c>
      <c r="K5165">
        <v>1.104698</v>
      </c>
      <c r="L5165">
        <v>141.1694</v>
      </c>
      <c r="M5165">
        <v>-0.9999053</v>
      </c>
      <c r="N5165">
        <v>-5.6380889999999998E-3</v>
      </c>
      <c r="O5165">
        <v>-1.2549100000000001E-2</v>
      </c>
      <c r="P5165">
        <v>-0.99410829999999994</v>
      </c>
      <c r="Q5165">
        <v>-5.7568000000000001E-2</v>
      </c>
      <c r="R5165">
        <v>-9.1840729999999995E-2</v>
      </c>
      <c r="S5165">
        <v>-3.0346069999999998</v>
      </c>
      <c r="T5165">
        <v>-2.2484420000000001E-2</v>
      </c>
      <c r="U5165">
        <v>0.18490599999999999</v>
      </c>
      <c r="V5165">
        <v>-7.9749199999999895E-2</v>
      </c>
      <c r="W5165">
        <v>-5.1354230000000001E-2</v>
      </c>
      <c r="X5165">
        <v>0.99549129999999997</v>
      </c>
      <c r="Y5165">
        <v>7.3337360000000004E-2</v>
      </c>
      <c r="Z5165">
        <v>5.005923E-4</v>
      </c>
      <c r="AA5165">
        <v>0.9973071</v>
      </c>
      <c r="AB5165">
        <v>55</v>
      </c>
      <c r="AC5165">
        <v>-138.3817</v>
      </c>
      <c r="AD5165">
        <v>-1.02919936</v>
      </c>
      <c r="AE5165">
        <v>8.4726999999999997</v>
      </c>
      <c r="AF5165">
        <v>10.208063763833501</v>
      </c>
      <c r="AG5165">
        <v>-1.02919936</v>
      </c>
      <c r="AH5165">
        <v>138.25685750383499</v>
      </c>
      <c r="AI5165">
        <v>90.425350476839995</v>
      </c>
      <c r="AJ5165">
        <v>85.7772827479059</v>
      </c>
      <c r="AK5165">
        <v>138.63701693258099</v>
      </c>
      <c r="AL5165">
        <v>92.943675301604301</v>
      </c>
      <c r="AM5165">
        <v>94.580206076485894</v>
      </c>
      <c r="AN5165">
        <v>1.0000000601076</v>
      </c>
    </row>
    <row r="5166" spans="1:40" x14ac:dyDescent="0.25">
      <c r="A5166" t="str">
        <f>"20190305135032807"</f>
        <v>20190305135032807</v>
      </c>
      <c r="B5166" t="str">
        <f>"1551765032804916"</f>
        <v>1551765032804916</v>
      </c>
      <c r="C5166" t="s">
        <v>40</v>
      </c>
      <c r="D5166">
        <v>3.6565810000000001</v>
      </c>
      <c r="E5166">
        <v>0.54569599999999996</v>
      </c>
      <c r="F5166" t="s">
        <v>85</v>
      </c>
      <c r="G5166">
        <v>-477.25810000000001</v>
      </c>
      <c r="H5166">
        <v>7.9987589999999997E-2</v>
      </c>
      <c r="I5166">
        <v>152.8546</v>
      </c>
      <c r="J5166">
        <v>-296.62220000000002</v>
      </c>
      <c r="K5166">
        <v>1.1045849999999999</v>
      </c>
      <c r="L5166">
        <v>141.1627</v>
      </c>
      <c r="M5166">
        <v>-0.99993310000000002</v>
      </c>
      <c r="N5166">
        <v>-5.6611269999999898E-3</v>
      </c>
      <c r="O5166">
        <v>-1.009578E-2</v>
      </c>
      <c r="P5166">
        <v>-0.99430189999999996</v>
      </c>
      <c r="Q5166">
        <v>-5.661733E-2</v>
      </c>
      <c r="R5166">
        <v>-9.0325020000000006E-2</v>
      </c>
      <c r="S5166">
        <v>-3.0348820000000001</v>
      </c>
      <c r="T5166">
        <v>-1.7163629999999999E-2</v>
      </c>
      <c r="U5166">
        <v>0.1957245</v>
      </c>
      <c r="V5166">
        <v>-8.0678449999999999E-2</v>
      </c>
      <c r="W5166">
        <v>-5.0352420000000002E-2</v>
      </c>
      <c r="X5166">
        <v>0.99546749999999995</v>
      </c>
      <c r="Y5166">
        <v>7.4427300000000002E-2</v>
      </c>
      <c r="Z5166">
        <v>4.210846E-4</v>
      </c>
      <c r="AA5166">
        <v>0.99722639999999996</v>
      </c>
      <c r="AB5166">
        <v>55</v>
      </c>
      <c r="AC5166">
        <v>-180.63589999999999</v>
      </c>
      <c r="AD5166">
        <v>-1.0245974099999999</v>
      </c>
      <c r="AE5166">
        <v>11.6919</v>
      </c>
      <c r="AF5166">
        <v>13.514560489863801</v>
      </c>
      <c r="AG5166">
        <v>-1.0245974099999999</v>
      </c>
      <c r="AH5166">
        <v>180.50286992283699</v>
      </c>
      <c r="AI5166">
        <v>90.324319645804096</v>
      </c>
      <c r="AJ5166">
        <v>85.718155483166001</v>
      </c>
      <c r="AK5166">
        <v>181.01099191890901</v>
      </c>
      <c r="AL5166">
        <v>92.886201740441706</v>
      </c>
      <c r="AM5166">
        <v>94.633454599952998</v>
      </c>
      <c r="AN5166">
        <v>0.99999996102525301</v>
      </c>
    </row>
    <row r="5167" spans="1:40" x14ac:dyDescent="0.25">
      <c r="A5167" t="str">
        <f>"20190305135032832"</f>
        <v>20190305135032832</v>
      </c>
      <c r="B5167" t="str">
        <f>"1551765032825415"</f>
        <v>1551765032825415</v>
      </c>
      <c r="C5167" t="s">
        <v>40</v>
      </c>
      <c r="D5167">
        <v>3.7437469999999999</v>
      </c>
      <c r="E5167">
        <v>0.55883919999999998</v>
      </c>
      <c r="F5167" t="s">
        <v>94</v>
      </c>
      <c r="G5167">
        <v>-315.57409999999999</v>
      </c>
      <c r="H5167" s="1">
        <v>-7.8926880000000004E-6</v>
      </c>
      <c r="I5167">
        <v>141.74440000000001</v>
      </c>
      <c r="J5167">
        <v>-297.21289999999999</v>
      </c>
      <c r="K5167">
        <v>1.1044860000000001</v>
      </c>
      <c r="L5167">
        <v>141.15710000000001</v>
      </c>
      <c r="M5167">
        <v>-0.99995599999999996</v>
      </c>
      <c r="N5167">
        <v>-5.6862669999999896E-3</v>
      </c>
      <c r="O5167">
        <v>-7.4898480000000003E-3</v>
      </c>
      <c r="P5167">
        <v>-0.99454120000000001</v>
      </c>
      <c r="Q5167">
        <v>-5.6816999999999902E-2</v>
      </c>
      <c r="R5167">
        <v>-8.7521370000000001E-2</v>
      </c>
      <c r="S5167">
        <v>-3.0155940000000001</v>
      </c>
      <c r="T5167">
        <v>-0.175761</v>
      </c>
      <c r="U5167">
        <v>9.2559810000000006E-2</v>
      </c>
      <c r="V5167">
        <v>-8.047986E-2</v>
      </c>
      <c r="W5167">
        <v>-5.0509749999999999E-2</v>
      </c>
      <c r="X5167">
        <v>0.99547560000000002</v>
      </c>
      <c r="Y5167">
        <v>3.8083619999999999E-2</v>
      </c>
      <c r="Z5167">
        <v>1.610565E-3</v>
      </c>
      <c r="AA5167">
        <v>0.99927319999999997</v>
      </c>
      <c r="AB5167">
        <v>55</v>
      </c>
      <c r="AC5167">
        <v>-18.3612</v>
      </c>
      <c r="AD5167">
        <v>-1.1044938926879999</v>
      </c>
      <c r="AE5167">
        <v>0.58729999999999905</v>
      </c>
      <c r="AF5167">
        <v>0.72219773957029998</v>
      </c>
      <c r="AG5167">
        <v>-1.1044938926879999</v>
      </c>
      <c r="AH5167">
        <v>18.290171382556998</v>
      </c>
      <c r="AI5167">
        <v>93.453056083068006</v>
      </c>
      <c r="AJ5167">
        <v>87.738818464818493</v>
      </c>
      <c r="AK5167">
        <v>18.3377164755412</v>
      </c>
      <c r="AL5167">
        <v>92.895227584021697</v>
      </c>
      <c r="AM5167">
        <v>94.622061383636904</v>
      </c>
      <c r="AN5167">
        <v>0.99999995645301998</v>
      </c>
    </row>
    <row r="5168" spans="1:40" x14ac:dyDescent="0.25">
      <c r="A5168" t="str">
        <f>"20190305135032854"</f>
        <v>20190305135032854</v>
      </c>
      <c r="B5168" t="str">
        <f>"1551765032844931"</f>
        <v>1551765032844931</v>
      </c>
      <c r="C5168" t="s">
        <v>40</v>
      </c>
      <c r="D5168">
        <v>3.6833830000000001</v>
      </c>
      <c r="E5168">
        <v>0.55839930000000004</v>
      </c>
      <c r="F5168" t="s">
        <v>42</v>
      </c>
      <c r="G5168">
        <v>-448.76490000000001</v>
      </c>
      <c r="H5168">
        <v>7.9987559999999999E-2</v>
      </c>
      <c r="I5168">
        <v>151.0574</v>
      </c>
      <c r="J5168">
        <v>-297.77370000000002</v>
      </c>
      <c r="K5168">
        <v>1.1043970000000001</v>
      </c>
      <c r="L5168">
        <v>141.1532</v>
      </c>
      <c r="M5168">
        <v>-0.99997119999999995</v>
      </c>
      <c r="N5168">
        <v>-5.7102699999999999E-3</v>
      </c>
      <c r="O5168">
        <v>-5.0235920000000003E-3</v>
      </c>
      <c r="P5168">
        <v>-0.99479720000000005</v>
      </c>
      <c r="Q5168">
        <v>-5.7905709999999999E-2</v>
      </c>
      <c r="R5168">
        <v>-8.3819870000000005E-2</v>
      </c>
      <c r="S5168">
        <v>-3.0327449999999998</v>
      </c>
      <c r="T5168">
        <v>-2.0501490000000001E-2</v>
      </c>
      <c r="U5168">
        <v>0.19812009999999999</v>
      </c>
      <c r="V5168">
        <v>-7.9249410000000006E-2</v>
      </c>
      <c r="W5168">
        <v>-5.156956E-2</v>
      </c>
      <c r="X5168">
        <v>0.99551999999999996</v>
      </c>
      <c r="Y5168">
        <v>7.0197259999999997E-2</v>
      </c>
      <c r="Z5168">
        <v>4.429247E-4</v>
      </c>
      <c r="AA5168">
        <v>0.997533</v>
      </c>
      <c r="AB5168">
        <v>56</v>
      </c>
      <c r="AC5168">
        <v>-150.99119999999999</v>
      </c>
      <c r="AD5168">
        <v>-1.0244094399999999</v>
      </c>
      <c r="AE5168">
        <v>9.9041999999999994</v>
      </c>
      <c r="AF5168">
        <v>10.662116802244499</v>
      </c>
      <c r="AG5168">
        <v>-1.0244094399999999</v>
      </c>
      <c r="AH5168">
        <v>150.93262150793899</v>
      </c>
      <c r="AI5168">
        <v>90.387905139202402</v>
      </c>
      <c r="AJ5168">
        <v>85.959248893745198</v>
      </c>
      <c r="AK5168">
        <v>151.312214922207</v>
      </c>
      <c r="AL5168">
        <v>92.956029409104602</v>
      </c>
      <c r="AM5168">
        <v>94.551492146373903</v>
      </c>
      <c r="AN5168">
        <v>0.99999997945196994</v>
      </c>
    </row>
    <row r="5169" spans="1:40" x14ac:dyDescent="0.25">
      <c r="A5169" t="str">
        <f>"20190305135032877"</f>
        <v>20190305135032877</v>
      </c>
      <c r="B5169" t="str">
        <f>"1551765032865428"</f>
        <v>1551765032865428</v>
      </c>
      <c r="C5169" t="s">
        <v>40</v>
      </c>
      <c r="D5169">
        <v>3.555863</v>
      </c>
      <c r="E5169">
        <v>0.55827360000000004</v>
      </c>
      <c r="F5169" t="s">
        <v>94</v>
      </c>
      <c r="G5169">
        <v>-427.75189999999998</v>
      </c>
      <c r="H5169" s="1">
        <v>-1.488519E-5</v>
      </c>
      <c r="I5169">
        <v>149.9889</v>
      </c>
      <c r="J5169">
        <v>-298.3356</v>
      </c>
      <c r="K5169">
        <v>1.10432</v>
      </c>
      <c r="L5169">
        <v>141.1507</v>
      </c>
      <c r="M5169">
        <v>-0.99998030000000004</v>
      </c>
      <c r="N5169">
        <v>-5.734818E-3</v>
      </c>
      <c r="O5169">
        <v>-2.5573079999999999E-3</v>
      </c>
      <c r="P5169">
        <v>-0.99504510000000002</v>
      </c>
      <c r="Q5169">
        <v>-6.0009430000000002E-2</v>
      </c>
      <c r="R5169">
        <v>-7.9272910000000002E-2</v>
      </c>
      <c r="S5169">
        <v>-3.0316160000000001</v>
      </c>
      <c r="T5169">
        <v>-2.5759339999999999E-2</v>
      </c>
      <c r="U5169">
        <v>0.2060852</v>
      </c>
      <c r="V5169">
        <v>-7.7182459999999994E-2</v>
      </c>
      <c r="W5169">
        <v>-5.3653430000000002E-2</v>
      </c>
      <c r="X5169">
        <v>0.99557229999999997</v>
      </c>
      <c r="Y5169">
        <v>7.0369119999999993E-2</v>
      </c>
      <c r="Z5169">
        <v>5.0768280000000002E-4</v>
      </c>
      <c r="AA5169">
        <v>0.99752090000000004</v>
      </c>
      <c r="AB5169">
        <v>56</v>
      </c>
      <c r="AC5169">
        <v>-129.41629999999901</v>
      </c>
      <c r="AD5169">
        <v>-1.1043348851899999</v>
      </c>
      <c r="AE5169">
        <v>8.8382000000000005</v>
      </c>
      <c r="AF5169">
        <v>9.1684693687563996</v>
      </c>
      <c r="AG5169">
        <v>-1.1043348851899999</v>
      </c>
      <c r="AH5169">
        <v>129.383897021352</v>
      </c>
      <c r="AI5169">
        <v>90.487803629049594</v>
      </c>
      <c r="AJ5169">
        <v>85.946652074552901</v>
      </c>
      <c r="AK5169">
        <v>129.71304172879599</v>
      </c>
      <c r="AL5169">
        <v>93.075591871750703</v>
      </c>
      <c r="AM5169">
        <v>94.433029598797305</v>
      </c>
      <c r="AN5169">
        <v>1.0000000136048499</v>
      </c>
    </row>
    <row r="5170" spans="1:40" x14ac:dyDescent="0.25">
      <c r="A5170" t="str">
        <f>"20190305135032898"</f>
        <v>20190305135032898</v>
      </c>
      <c r="B5170" t="str">
        <f>"1551765032895684"</f>
        <v>1551765032895684</v>
      </c>
      <c r="C5170" t="s">
        <v>40</v>
      </c>
      <c r="D5170">
        <v>3.7084359999999998</v>
      </c>
      <c r="E5170">
        <v>0.55747780000000002</v>
      </c>
      <c r="F5170" t="s">
        <v>94</v>
      </c>
      <c r="G5170">
        <v>-404.40219999999999</v>
      </c>
      <c r="H5170" s="1">
        <v>-1.11004E-5</v>
      </c>
      <c r="I5170">
        <v>148.8186</v>
      </c>
      <c r="J5170">
        <v>-298.88589999999999</v>
      </c>
      <c r="K5170">
        <v>1.104255</v>
      </c>
      <c r="L5170">
        <v>141.14959999999999</v>
      </c>
      <c r="M5170">
        <v>-0.99998339999999997</v>
      </c>
      <c r="N5170">
        <v>-5.7591889999999996E-3</v>
      </c>
      <c r="O5170">
        <v>-1.4582969999999901E-4</v>
      </c>
      <c r="P5170">
        <v>-0.995309</v>
      </c>
      <c r="Q5170">
        <v>-6.0454170000000002E-2</v>
      </c>
      <c r="R5170">
        <v>-7.5534790000000004E-2</v>
      </c>
      <c r="S5170">
        <v>-3.0305179999999998</v>
      </c>
      <c r="T5170">
        <v>-3.1552789999999997E-2</v>
      </c>
      <c r="U5170">
        <v>0.21908569999999999</v>
      </c>
      <c r="V5170">
        <v>-7.5854749999999999E-2</v>
      </c>
      <c r="W5170">
        <v>-5.4074610000000002E-2</v>
      </c>
      <c r="X5170">
        <v>0.99565150000000002</v>
      </c>
      <c r="Y5170">
        <v>7.2244390000000006E-2</v>
      </c>
      <c r="Z5170">
        <v>5.845863E-4</v>
      </c>
      <c r="AA5170">
        <v>0.99738680000000002</v>
      </c>
      <c r="AB5170">
        <v>56</v>
      </c>
      <c r="AC5170">
        <v>-105.5163</v>
      </c>
      <c r="AD5170">
        <v>-1.1042661004000001</v>
      </c>
      <c r="AE5170">
        <v>7.6690000000000103</v>
      </c>
      <c r="AF5170">
        <v>7.68355047472508</v>
      </c>
      <c r="AG5170">
        <v>-1.1042661004000001</v>
      </c>
      <c r="AH5170">
        <v>105.503686049583</v>
      </c>
      <c r="AI5170">
        <v>90.598086911952194</v>
      </c>
      <c r="AJ5170">
        <v>85.834655745562102</v>
      </c>
      <c r="AK5170">
        <v>105.78886577313899</v>
      </c>
      <c r="AL5170">
        <v>93.099758964155399</v>
      </c>
      <c r="AM5170">
        <v>94.356722583517296</v>
      </c>
      <c r="AN5170">
        <v>0.99999995799823105</v>
      </c>
    </row>
    <row r="5171" spans="1:40" x14ac:dyDescent="0.25">
      <c r="A5171" t="str">
        <f>"20190305135032921"</f>
        <v>20190305135032921</v>
      </c>
      <c r="B5171" t="str">
        <f>"1551765032915203"</f>
        <v>1551765032915203</v>
      </c>
      <c r="C5171" t="s">
        <v>40</v>
      </c>
      <c r="D5171">
        <v>3.728011</v>
      </c>
      <c r="E5171">
        <v>0.55725719999999901</v>
      </c>
      <c r="F5171" t="s">
        <v>42</v>
      </c>
      <c r="G5171">
        <v>-390.71159999999998</v>
      </c>
      <c r="H5171" s="1">
        <v>-5.5130259999999999E-6</v>
      </c>
      <c r="I5171">
        <v>147.95500000000001</v>
      </c>
      <c r="J5171">
        <v>-299.45190000000002</v>
      </c>
      <c r="K5171">
        <v>1.1042099999999999</v>
      </c>
      <c r="L5171">
        <v>141.1498</v>
      </c>
      <c r="M5171">
        <v>-0.9999806</v>
      </c>
      <c r="N5171">
        <v>-5.7844309999999996E-3</v>
      </c>
      <c r="O5171">
        <v>2.3280240000000002E-3</v>
      </c>
      <c r="P5171">
        <v>-0.99570700000000001</v>
      </c>
      <c r="Q5171">
        <v>-5.8234470000000003E-2</v>
      </c>
      <c r="R5171">
        <v>-7.1946200000000002E-2</v>
      </c>
      <c r="S5171">
        <v>-3.0289609999999998</v>
      </c>
      <c r="T5171">
        <v>-3.6425109999999997E-2</v>
      </c>
      <c r="U5171">
        <v>0.2244873</v>
      </c>
      <c r="V5171">
        <v>-7.4716099999999994E-2</v>
      </c>
      <c r="W5171">
        <v>-5.1829920000000002E-2</v>
      </c>
      <c r="X5171">
        <v>0.99585699999999999</v>
      </c>
      <c r="Y5171">
        <v>7.1581439999999996E-2</v>
      </c>
      <c r="Z5171">
        <v>6.2261769999999905E-4</v>
      </c>
      <c r="AA5171">
        <v>0.99743459999999995</v>
      </c>
      <c r="AB5171">
        <v>56</v>
      </c>
      <c r="AC5171">
        <v>-91.259699999999896</v>
      </c>
      <c r="AD5171">
        <v>-1.1042155130260001</v>
      </c>
      <c r="AE5171">
        <v>6.8052000000000099</v>
      </c>
      <c r="AF5171">
        <v>6.5917635239911503</v>
      </c>
      <c r="AG5171">
        <v>-1.1042155130260001</v>
      </c>
      <c r="AH5171">
        <v>91.262008488933304</v>
      </c>
      <c r="AI5171">
        <v>90.691409677722305</v>
      </c>
      <c r="AJ5171">
        <v>85.868757498364303</v>
      </c>
      <c r="AK5171">
        <v>91.506419620098598</v>
      </c>
      <c r="AL5171">
        <v>92.970966852843404</v>
      </c>
      <c r="AM5171">
        <v>94.2906880463307</v>
      </c>
      <c r="AN5171">
        <v>1.0000000003277001</v>
      </c>
    </row>
    <row r="5172" spans="1:40" x14ac:dyDescent="0.25">
      <c r="A5172" t="str">
        <f>"20190305135032943"</f>
        <v>20190305135032943</v>
      </c>
      <c r="B5172" t="str">
        <f>"1551765032935699"</f>
        <v>1551765032935699</v>
      </c>
      <c r="C5172" t="s">
        <v>40</v>
      </c>
      <c r="D5172">
        <v>3.825113</v>
      </c>
      <c r="E5172">
        <v>0.54098179999999996</v>
      </c>
      <c r="F5172" t="s">
        <v>94</v>
      </c>
      <c r="G5172">
        <v>-414.8777</v>
      </c>
      <c r="H5172" s="1">
        <v>-1.3940200000000001E-5</v>
      </c>
      <c r="I5172">
        <v>150.0506</v>
      </c>
      <c r="J5172">
        <v>-300.02569999999997</v>
      </c>
      <c r="K5172">
        <v>1.104166</v>
      </c>
      <c r="L5172">
        <v>141.1514</v>
      </c>
      <c r="M5172">
        <v>-0.99997159999999996</v>
      </c>
      <c r="N5172">
        <v>-5.8098960000000002E-3</v>
      </c>
      <c r="O5172">
        <v>4.8216470000000001E-3</v>
      </c>
      <c r="P5172">
        <v>-0.99602780000000002</v>
      </c>
      <c r="Q5172">
        <v>-5.6948070000000003E-2</v>
      </c>
      <c r="R5172">
        <v>-6.8455059999999998E-2</v>
      </c>
      <c r="S5172">
        <v>-3.0281069999999999</v>
      </c>
      <c r="T5172">
        <v>-2.896845E-2</v>
      </c>
      <c r="U5172">
        <v>0.2335052</v>
      </c>
      <c r="V5172">
        <v>-7.3701009999999997E-2</v>
      </c>
      <c r="W5172">
        <v>-5.0519990000000001E-2</v>
      </c>
      <c r="X5172">
        <v>0.99599990000000005</v>
      </c>
      <c r="Y5172">
        <v>7.2070780000000001E-2</v>
      </c>
      <c r="Z5172">
        <v>5.358146E-4</v>
      </c>
      <c r="AA5172">
        <v>0.99739940000000005</v>
      </c>
      <c r="AB5172">
        <v>56</v>
      </c>
      <c r="AC5172">
        <v>-114.852</v>
      </c>
      <c r="AD5172">
        <v>-1.1041799402000001</v>
      </c>
      <c r="AE5172">
        <v>8.8992000000000004</v>
      </c>
      <c r="AF5172">
        <v>8.3445447940945296</v>
      </c>
      <c r="AG5172">
        <v>-1.1041799402000001</v>
      </c>
      <c r="AH5172">
        <v>114.88301939863599</v>
      </c>
      <c r="AI5172">
        <v>90.5492255264965</v>
      </c>
      <c r="AJ5172">
        <v>85.845608487684103</v>
      </c>
      <c r="AK5172">
        <v>115.190966604628</v>
      </c>
      <c r="AL5172">
        <v>92.895815048399598</v>
      </c>
      <c r="AM5172">
        <v>94.232003162237405</v>
      </c>
      <c r="AN5172">
        <v>0.99999995453231405</v>
      </c>
    </row>
    <row r="5173" spans="1:40" x14ac:dyDescent="0.25">
      <c r="A5173" t="str">
        <f>"20190305135032964"</f>
        <v>20190305135032964</v>
      </c>
      <c r="B5173" t="str">
        <f>"1551765032955223"</f>
        <v>1551765032955223</v>
      </c>
      <c r="C5173" t="s">
        <v>40</v>
      </c>
      <c r="D5173">
        <v>3.7762560000000001</v>
      </c>
      <c r="E5173">
        <v>0.53931600000000002</v>
      </c>
      <c r="F5173" t="s">
        <v>42</v>
      </c>
      <c r="G5173">
        <v>-326.87849999999997</v>
      </c>
      <c r="H5173" s="1">
        <v>-2.0117480000000002E-6</v>
      </c>
      <c r="I5173">
        <v>142.21080000000001</v>
      </c>
      <c r="J5173">
        <v>-300.55700000000002</v>
      </c>
      <c r="K5173">
        <v>1.1041289999999999</v>
      </c>
      <c r="L5173">
        <v>141.1541</v>
      </c>
      <c r="M5173">
        <v>-0.99995769999999995</v>
      </c>
      <c r="N5173">
        <v>-5.8330229999999997E-3</v>
      </c>
      <c r="O5173">
        <v>7.1033729999999996E-3</v>
      </c>
      <c r="P5173">
        <v>-0.99612409999999996</v>
      </c>
      <c r="Q5173">
        <v>-5.8666250000000003E-2</v>
      </c>
      <c r="R5173">
        <v>-6.5537159999999997E-2</v>
      </c>
      <c r="S5173">
        <v>-3.0130919999999999</v>
      </c>
      <c r="T5173">
        <v>-0.1238964</v>
      </c>
      <c r="U5173">
        <v>0.11888120000000001</v>
      </c>
      <c r="V5173">
        <v>-7.3072929999999994E-2</v>
      </c>
      <c r="W5173">
        <v>-5.2218090000000002E-2</v>
      </c>
      <c r="X5173">
        <v>0.99595860000000003</v>
      </c>
      <c r="Y5173">
        <v>3.2298550000000002E-2</v>
      </c>
      <c r="Z5173">
        <v>5.0735899999999998E-4</v>
      </c>
      <c r="AA5173">
        <v>0.99947819999999998</v>
      </c>
      <c r="AB5173">
        <v>56</v>
      </c>
      <c r="AC5173">
        <v>-26.321499999999901</v>
      </c>
      <c r="AD5173">
        <v>-1.1041310117479901</v>
      </c>
      <c r="AE5173">
        <v>1.0567</v>
      </c>
      <c r="AF5173">
        <v>0.86817351414555399</v>
      </c>
      <c r="AG5173">
        <v>-1.1041310117479901</v>
      </c>
      <c r="AH5173">
        <v>26.282169838815701</v>
      </c>
      <c r="AI5173">
        <v>92.404308474721702</v>
      </c>
      <c r="AJ5173">
        <v>88.108048236193099</v>
      </c>
      <c r="AK5173">
        <v>26.3196748076059</v>
      </c>
      <c r="AL5173">
        <v>92.993237642276199</v>
      </c>
      <c r="AM5173">
        <v>94.196240777444899</v>
      </c>
      <c r="AN5173">
        <v>0.99999995746799497</v>
      </c>
    </row>
    <row r="5174" spans="1:40" x14ac:dyDescent="0.25">
      <c r="A5174" t="str">
        <f>"20190305135032987"</f>
        <v>20190305135032987</v>
      </c>
      <c r="B5174" t="str">
        <f>"1551765032975715"</f>
        <v>1551765032975715</v>
      </c>
      <c r="C5174" t="s">
        <v>40</v>
      </c>
      <c r="D5174">
        <v>3.6465459999999998</v>
      </c>
      <c r="E5174">
        <v>0.53730619999999996</v>
      </c>
      <c r="F5174" t="s">
        <v>42</v>
      </c>
      <c r="G5174">
        <v>-332.24770000000001</v>
      </c>
      <c r="H5174" s="1">
        <v>-4.332608E-6</v>
      </c>
      <c r="I5174">
        <v>142.3475</v>
      </c>
      <c r="J5174">
        <v>-301.11810000000003</v>
      </c>
      <c r="K5174">
        <v>1.104114</v>
      </c>
      <c r="L5174">
        <v>141.1583</v>
      </c>
      <c r="M5174">
        <v>-0.99993799999999999</v>
      </c>
      <c r="N5174">
        <v>-5.8567380000000002E-3</v>
      </c>
      <c r="O5174">
        <v>9.4671159999999994E-3</v>
      </c>
      <c r="P5174">
        <v>-0.99618519999999999</v>
      </c>
      <c r="Q5174">
        <v>-6.0364319999999999E-2</v>
      </c>
      <c r="R5174">
        <v>-6.3018149999999995E-2</v>
      </c>
      <c r="S5174">
        <v>-3.0129700000000001</v>
      </c>
      <c r="T5174">
        <v>-0.1049747</v>
      </c>
      <c r="U5174">
        <v>0.11346440000000001</v>
      </c>
      <c r="V5174">
        <v>-7.2922520000000005E-2</v>
      </c>
      <c r="W5174">
        <v>-5.3894499999999998E-2</v>
      </c>
      <c r="X5174">
        <v>0.9958804</v>
      </c>
      <c r="Y5174">
        <v>2.8153750000000002E-2</v>
      </c>
      <c r="Z5174">
        <v>2.9844129999999998E-4</v>
      </c>
      <c r="AA5174">
        <v>0.99960360000000004</v>
      </c>
      <c r="AB5174">
        <v>56</v>
      </c>
      <c r="AC5174">
        <v>-31.1295999999999</v>
      </c>
      <c r="AD5174">
        <v>-1.104118332608</v>
      </c>
      <c r="AE5174">
        <v>1.18919999999999</v>
      </c>
      <c r="AF5174">
        <v>0.89331194838417405</v>
      </c>
      <c r="AG5174">
        <v>-1.104118332608</v>
      </c>
      <c r="AH5174">
        <v>31.100395792110302</v>
      </c>
      <c r="AI5174">
        <v>92.032408713739201</v>
      </c>
      <c r="AJ5174">
        <v>88.354717549380993</v>
      </c>
      <c r="AK5174">
        <v>31.132807485921301</v>
      </c>
      <c r="AL5174">
        <v>93.089424093701993</v>
      </c>
      <c r="AM5174">
        <v>94.187961842063899</v>
      </c>
      <c r="AN5174">
        <v>1.0000000410787699</v>
      </c>
    </row>
    <row r="5175" spans="1:40" x14ac:dyDescent="0.25">
      <c r="A5175" t="str">
        <f>"20190305135033009"</f>
        <v>20190305135033009</v>
      </c>
      <c r="B5175" t="str">
        <f>"1551765033004996"</f>
        <v>1551765033004996</v>
      </c>
      <c r="C5175" t="s">
        <v>40</v>
      </c>
      <c r="D5175">
        <v>3.789663</v>
      </c>
      <c r="E5175">
        <v>0.5361515</v>
      </c>
      <c r="F5175" t="s">
        <v>42</v>
      </c>
      <c r="G5175">
        <v>-332.97719999999998</v>
      </c>
      <c r="H5175" s="1">
        <v>-4.0055040000000001E-6</v>
      </c>
      <c r="I5175">
        <v>142.2672</v>
      </c>
      <c r="J5175">
        <v>-301.70100000000002</v>
      </c>
      <c r="K5175">
        <v>1.1041289999999999</v>
      </c>
      <c r="L5175">
        <v>141.16399999999999</v>
      </c>
      <c r="M5175">
        <v>-0.99991240000000003</v>
      </c>
      <c r="N5175">
        <v>-5.8805929999999999E-3</v>
      </c>
      <c r="O5175">
        <v>1.1858459999999999E-2</v>
      </c>
      <c r="P5175">
        <v>-0.99628320000000004</v>
      </c>
      <c r="Q5175">
        <v>-6.0848619999999999E-2</v>
      </c>
      <c r="R5175">
        <v>-6.0970679999999999E-2</v>
      </c>
      <c r="S5175">
        <v>-3.0117799999999999</v>
      </c>
      <c r="T5175">
        <v>-0.10437689999999999</v>
      </c>
      <c r="U5175">
        <v>0.1048279</v>
      </c>
      <c r="V5175">
        <v>-7.3258779999999996E-2</v>
      </c>
      <c r="W5175">
        <v>-5.4356000000000002E-2</v>
      </c>
      <c r="X5175">
        <v>0.99583060000000001</v>
      </c>
      <c r="Y5175">
        <v>2.2919789999999999E-2</v>
      </c>
      <c r="Z5175">
        <v>1.2336119999999999E-4</v>
      </c>
      <c r="AA5175">
        <v>0.99973730000000005</v>
      </c>
      <c r="AB5175">
        <v>57</v>
      </c>
      <c r="AC5175">
        <v>-31.276199999999999</v>
      </c>
      <c r="AD5175">
        <v>-1.104133005504</v>
      </c>
      <c r="AE5175">
        <v>1.10320000000001</v>
      </c>
      <c r="AF5175">
        <v>0.73131815648962595</v>
      </c>
      <c r="AG5175">
        <v>-1.104133005504</v>
      </c>
      <c r="AH5175">
        <v>31.248187721633101</v>
      </c>
      <c r="AI5175">
        <v>92.023111137672103</v>
      </c>
      <c r="AJ5175">
        <v>88.659320771817207</v>
      </c>
      <c r="AK5175">
        <v>31.276239732843202</v>
      </c>
      <c r="AL5175">
        <v>93.115905028348493</v>
      </c>
      <c r="AM5175">
        <v>94.207413809432893</v>
      </c>
      <c r="AN5175">
        <v>1.0000000037397201</v>
      </c>
    </row>
    <row r="5176" spans="1:40" x14ac:dyDescent="0.25">
      <c r="A5176" t="str">
        <f>"20190305135033033"</f>
        <v>20190305135033033</v>
      </c>
      <c r="B5176" t="str">
        <f>"1551765033025495"</f>
        <v>1551765033025495</v>
      </c>
      <c r="C5176" t="s">
        <v>40</v>
      </c>
      <c r="D5176">
        <v>3.8194170000000001</v>
      </c>
      <c r="E5176">
        <v>0.53565249999999998</v>
      </c>
      <c r="F5176" t="s">
        <v>42</v>
      </c>
      <c r="G5176">
        <v>-341.92140000000001</v>
      </c>
      <c r="H5176" s="1">
        <v>-4.1353900000000004E-6</v>
      </c>
      <c r="I5176">
        <v>142.50970000000001</v>
      </c>
      <c r="J5176">
        <v>-302.28480000000002</v>
      </c>
      <c r="K5176">
        <v>1.1041729999999901</v>
      </c>
      <c r="L5176">
        <v>141.1711</v>
      </c>
      <c r="M5176">
        <v>-0.99988250000000001</v>
      </c>
      <c r="N5176">
        <v>-5.9039050000000001E-3</v>
      </c>
      <c r="O5176">
        <v>1.415522E-2</v>
      </c>
      <c r="P5176">
        <v>-0.99653259999999999</v>
      </c>
      <c r="Q5176">
        <v>-5.995412E-2</v>
      </c>
      <c r="R5176">
        <v>-5.7695389999999999E-2</v>
      </c>
      <c r="S5176">
        <v>-3.0123600000000001</v>
      </c>
      <c r="T5176">
        <v>-8.2695599999999994E-2</v>
      </c>
      <c r="U5176">
        <v>0.1007996</v>
      </c>
      <c r="V5176">
        <v>-7.2259379999999998E-2</v>
      </c>
      <c r="W5176">
        <v>-5.3453800000000003E-2</v>
      </c>
      <c r="X5176">
        <v>0.99595239999999996</v>
      </c>
      <c r="Y5176">
        <v>1.928684E-2</v>
      </c>
      <c r="Z5176" s="1">
        <v>1.673856E-5</v>
      </c>
      <c r="AA5176">
        <v>0.99981399999999998</v>
      </c>
      <c r="AB5176">
        <v>57</v>
      </c>
      <c r="AC5176">
        <v>-39.636599999999902</v>
      </c>
      <c r="AD5176">
        <v>-1.1041771353899901</v>
      </c>
      <c r="AE5176">
        <v>1.33860000000001</v>
      </c>
      <c r="AF5176">
        <v>0.77678924302254604</v>
      </c>
      <c r="AG5176">
        <v>-1.1041771353899901</v>
      </c>
      <c r="AH5176">
        <v>39.620864781104899</v>
      </c>
      <c r="AI5176">
        <v>91.596032128384294</v>
      </c>
      <c r="AJ5176">
        <v>88.876828047898698</v>
      </c>
      <c r="AK5176">
        <v>39.643858725873201</v>
      </c>
      <c r="AL5176">
        <v>93.064137658142201</v>
      </c>
      <c r="AM5176">
        <v>94.149712217811</v>
      </c>
      <c r="AN5176">
        <v>0.99999995489909099</v>
      </c>
    </row>
    <row r="5177" spans="1:40" x14ac:dyDescent="0.25">
      <c r="A5177" t="str">
        <f>"20190305135033055"</f>
        <v>20190305135033055</v>
      </c>
      <c r="B5177" t="str">
        <f>"1551765033045011"</f>
        <v>1551765033045011</v>
      </c>
      <c r="C5177" t="s">
        <v>40</v>
      </c>
      <c r="D5177">
        <v>3.7309600000000001</v>
      </c>
      <c r="E5177">
        <v>0.53540069999999995</v>
      </c>
      <c r="F5177" t="s">
        <v>42</v>
      </c>
      <c r="G5177">
        <v>-348.48559999999998</v>
      </c>
      <c r="H5177" s="1">
        <v>-1.4804240000000001E-6</v>
      </c>
      <c r="I5177">
        <v>142.80500000000001</v>
      </c>
      <c r="J5177">
        <v>-302.85919999999999</v>
      </c>
      <c r="K5177">
        <v>1.104239</v>
      </c>
      <c r="L5177">
        <v>141.17930000000001</v>
      </c>
      <c r="M5177">
        <v>-0.99984960000000001</v>
      </c>
      <c r="N5177">
        <v>-5.9291140000000001E-3</v>
      </c>
      <c r="O5177">
        <v>1.6307909999999998E-2</v>
      </c>
      <c r="P5177">
        <v>-0.9967104</v>
      </c>
      <c r="Q5177">
        <v>-6.0041740000000003E-2</v>
      </c>
      <c r="R5177">
        <v>-5.4439599999999998E-2</v>
      </c>
      <c r="S5177">
        <v>-3.0122990000000001</v>
      </c>
      <c r="T5177">
        <v>-7.1992399999999998E-2</v>
      </c>
      <c r="U5177">
        <v>0.1065369</v>
      </c>
      <c r="V5177">
        <v>-7.1142990000000003E-2</v>
      </c>
      <c r="W5177">
        <v>-5.3536300000000002E-2</v>
      </c>
      <c r="X5177">
        <v>0.99602840000000004</v>
      </c>
      <c r="Y5177">
        <v>1.9038349999999999E-2</v>
      </c>
      <c r="Z5177" s="1">
        <v>-9.0020910000000001E-6</v>
      </c>
      <c r="AA5177">
        <v>0.99981869999999995</v>
      </c>
      <c r="AB5177">
        <v>57</v>
      </c>
      <c r="AC5177">
        <v>-45.626399999999897</v>
      </c>
      <c r="AD5177">
        <v>-1.104240480424</v>
      </c>
      <c r="AE5177">
        <v>1.6256999999999899</v>
      </c>
      <c r="AF5177">
        <v>0.88088431621930996</v>
      </c>
      <c r="AG5177">
        <v>-1.104240480424</v>
      </c>
      <c r="AH5177">
        <v>45.620157435299703</v>
      </c>
      <c r="AI5177">
        <v>91.386321017749097</v>
      </c>
      <c r="AJ5177">
        <v>88.893807359643105</v>
      </c>
      <c r="AK5177">
        <v>45.642020864973702</v>
      </c>
      <c r="AL5177">
        <v>93.068871147414796</v>
      </c>
      <c r="AM5177">
        <v>94.085508283982193</v>
      </c>
      <c r="AN5177">
        <v>1.0000000170251899</v>
      </c>
    </row>
    <row r="5178" spans="1:40" x14ac:dyDescent="0.25">
      <c r="A5178" t="str">
        <f>"20190305135033077"</f>
        <v>20190305135033077</v>
      </c>
      <c r="B5178" t="str">
        <f>"1551765033065508"</f>
        <v>1551765033065508</v>
      </c>
      <c r="C5178" t="s">
        <v>40</v>
      </c>
      <c r="D5178">
        <v>3.8360850000000002</v>
      </c>
      <c r="E5178">
        <v>0.53510990000000003</v>
      </c>
      <c r="F5178" t="s">
        <v>42</v>
      </c>
      <c r="G5178">
        <v>-345.63920000000002</v>
      </c>
      <c r="H5178" s="1">
        <v>-2.7025310000000002E-6</v>
      </c>
      <c r="I5178">
        <v>142.80879999999999</v>
      </c>
      <c r="J5178">
        <v>-303.4171</v>
      </c>
      <c r="K5178">
        <v>1.1043130000000001</v>
      </c>
      <c r="L5178">
        <v>141.1885</v>
      </c>
      <c r="M5178">
        <v>-0.99981489999999995</v>
      </c>
      <c r="N5178">
        <v>-5.9560250000000002E-3</v>
      </c>
      <c r="O5178">
        <v>1.829925E-2</v>
      </c>
      <c r="P5178">
        <v>-0.99683719999999998</v>
      </c>
      <c r="Q5178">
        <v>-6.049409E-2</v>
      </c>
      <c r="R5178">
        <v>-5.1540099999999998E-2</v>
      </c>
      <c r="S5178">
        <v>-3.0115050000000001</v>
      </c>
      <c r="T5178">
        <v>-7.7733280000000002E-2</v>
      </c>
      <c r="U5178">
        <v>0.1147156</v>
      </c>
      <c r="V5178">
        <v>-7.0223690000000005E-2</v>
      </c>
      <c r="W5178">
        <v>-5.3981660000000001E-2</v>
      </c>
      <c r="X5178">
        <v>0.9960696</v>
      </c>
      <c r="Y5178">
        <v>1.9767650000000001E-2</v>
      </c>
      <c r="Z5178" s="1">
        <v>-4.9189530000000003E-5</v>
      </c>
      <c r="AA5178">
        <v>0.99980460000000004</v>
      </c>
      <c r="AB5178">
        <v>57</v>
      </c>
      <c r="AC5178">
        <v>-42.222099999999998</v>
      </c>
      <c r="AD5178">
        <v>-1.104315702531</v>
      </c>
      <c r="AE5178">
        <v>1.6202999999999801</v>
      </c>
      <c r="AF5178">
        <v>0.84680384717401902</v>
      </c>
      <c r="AG5178">
        <v>-1.104315702531</v>
      </c>
      <c r="AH5178">
        <v>42.2158441131008</v>
      </c>
      <c r="AI5178">
        <v>91.498145719713804</v>
      </c>
      <c r="AJ5178">
        <v>88.850863180939697</v>
      </c>
      <c r="AK5178">
        <v>42.238774652066802</v>
      </c>
      <c r="AL5178">
        <v>93.094425348068697</v>
      </c>
      <c r="AM5178">
        <v>94.032724973361596</v>
      </c>
      <c r="AN5178">
        <v>1.0000000171488601</v>
      </c>
    </row>
    <row r="5179" spans="1:40" x14ac:dyDescent="0.25">
      <c r="A5179" t="str">
        <f>"20190305135033099"</f>
        <v>20190305135033099</v>
      </c>
      <c r="B5179" t="str">
        <f>"1551765033095764"</f>
        <v>1551765033095764</v>
      </c>
      <c r="C5179" t="s">
        <v>40</v>
      </c>
      <c r="D5179">
        <v>3.8431250000000001</v>
      </c>
      <c r="E5179">
        <v>0.53411569999999997</v>
      </c>
      <c r="F5179" t="s">
        <v>42</v>
      </c>
      <c r="G5179">
        <v>-348.39109999999999</v>
      </c>
      <c r="H5179" s="1">
        <v>-1.571848E-6</v>
      </c>
      <c r="I5179">
        <v>142.99619999999999</v>
      </c>
      <c r="J5179">
        <v>-303.98390000000001</v>
      </c>
      <c r="K5179">
        <v>1.1044069999999999</v>
      </c>
      <c r="L5179">
        <v>141.19880000000001</v>
      </c>
      <c r="M5179">
        <v>-0.9997779</v>
      </c>
      <c r="N5179">
        <v>-5.9843040000000002E-3</v>
      </c>
      <c r="O5179">
        <v>2.0209479999999998E-2</v>
      </c>
      <c r="P5179">
        <v>-0.99699249999999995</v>
      </c>
      <c r="Q5179">
        <v>-5.9583730000000001E-2</v>
      </c>
      <c r="R5179">
        <v>-4.9558039999999998E-2</v>
      </c>
      <c r="S5179">
        <v>-3.0112920000000001</v>
      </c>
      <c r="T5179">
        <v>-7.3940870000000006E-2</v>
      </c>
      <c r="U5179">
        <v>0.121048</v>
      </c>
      <c r="V5179">
        <v>-7.0128369999999995E-2</v>
      </c>
      <c r="W5179">
        <v>-5.3058180000000003E-2</v>
      </c>
      <c r="X5179">
        <v>0.99612590000000001</v>
      </c>
      <c r="Y5179">
        <v>1.9959850000000001E-2</v>
      </c>
      <c r="Z5179" s="1">
        <v>-7.0311830000000002E-5</v>
      </c>
      <c r="AA5179">
        <v>0.99980080000000005</v>
      </c>
      <c r="AB5179">
        <v>57</v>
      </c>
      <c r="AC5179">
        <v>-44.407199999999897</v>
      </c>
      <c r="AD5179">
        <v>-1.1044085718479999</v>
      </c>
      <c r="AE5179">
        <v>1.7973999999999799</v>
      </c>
      <c r="AF5179">
        <v>0.89901529889215903</v>
      </c>
      <c r="AG5179">
        <v>-1.1044085718479999</v>
      </c>
      <c r="AH5179">
        <v>44.407033803214503</v>
      </c>
      <c r="AI5179">
        <v>91.424367892783494</v>
      </c>
      <c r="AJ5179">
        <v>88.840211955713301</v>
      </c>
      <c r="AK5179">
        <v>44.429861557302303</v>
      </c>
      <c r="AL5179">
        <v>93.041437999882902</v>
      </c>
      <c r="AM5179">
        <v>94.027042202192305</v>
      </c>
      <c r="AN5179">
        <v>0.99999998369728904</v>
      </c>
    </row>
    <row r="5180" spans="1:40" x14ac:dyDescent="0.25">
      <c r="A5180" t="str">
        <f>"20190305135033122"</f>
        <v>20190305135033122</v>
      </c>
      <c r="B5180" t="str">
        <f>"1551765033115287"</f>
        <v>1551765033115287</v>
      </c>
      <c r="C5180" t="s">
        <v>40</v>
      </c>
      <c r="D5180">
        <v>3.9085399999999999</v>
      </c>
      <c r="E5180">
        <v>0.53386230000000001</v>
      </c>
      <c r="F5180" t="s">
        <v>42</v>
      </c>
      <c r="G5180">
        <v>-353.7998</v>
      </c>
      <c r="H5180" s="1">
        <v>-3.5869879999999998E-6</v>
      </c>
      <c r="I5180">
        <v>143.1671</v>
      </c>
      <c r="J5180">
        <v>-304.565</v>
      </c>
      <c r="K5180">
        <v>1.1045199999999999</v>
      </c>
      <c r="L5180">
        <v>141.2105</v>
      </c>
      <c r="M5180">
        <v>-0.99973909999999999</v>
      </c>
      <c r="N5180">
        <v>-6.0134209999999997E-3</v>
      </c>
      <c r="O5180">
        <v>2.2037879999999999E-2</v>
      </c>
      <c r="P5180">
        <v>-0.997166</v>
      </c>
      <c r="Q5180">
        <v>-5.8180000000000003E-2</v>
      </c>
      <c r="R5180">
        <v>-4.7701159999999999E-2</v>
      </c>
      <c r="S5180">
        <v>-3.0109560000000002</v>
      </c>
      <c r="T5180">
        <v>-6.6752430000000001E-2</v>
      </c>
      <c r="U5180">
        <v>0.1189728</v>
      </c>
      <c r="V5180">
        <v>-7.0071839999999996E-2</v>
      </c>
      <c r="W5180">
        <v>-5.164291E-2</v>
      </c>
      <c r="X5180">
        <v>0.99620430000000004</v>
      </c>
      <c r="Y5180">
        <v>1.744923E-2</v>
      </c>
      <c r="Z5180">
        <v>-1.09942E-4</v>
      </c>
      <c r="AA5180">
        <v>0.99984779999999995</v>
      </c>
      <c r="AB5180">
        <v>57</v>
      </c>
      <c r="AC5180">
        <v>-49.2348</v>
      </c>
      <c r="AD5180">
        <v>-1.1045235869879999</v>
      </c>
      <c r="AE5180">
        <v>1.9565999999999999</v>
      </c>
      <c r="AF5180">
        <v>0.87063713681786004</v>
      </c>
      <c r="AG5180">
        <v>-1.1045235869879999</v>
      </c>
      <c r="AH5180">
        <v>49.241219508434099</v>
      </c>
      <c r="AI5180">
        <v>91.284778185399205</v>
      </c>
      <c r="AJ5180">
        <v>88.987055221792502</v>
      </c>
      <c r="AK5180">
        <v>49.261300024014901</v>
      </c>
      <c r="AL5180">
        <v>92.960237511930501</v>
      </c>
      <c r="AM5180">
        <v>94.023491069940405</v>
      </c>
      <c r="AN5180">
        <v>1.0000000301263701</v>
      </c>
    </row>
    <row r="5181" spans="1:40" x14ac:dyDescent="0.25">
      <c r="A5181" t="str">
        <f>"20190305135033143"</f>
        <v>20190305135033143</v>
      </c>
      <c r="B5181" t="str">
        <f>"1551765033135781"</f>
        <v>1551765033135781</v>
      </c>
      <c r="C5181" t="s">
        <v>40</v>
      </c>
      <c r="D5181">
        <v>3.8748010000000002</v>
      </c>
      <c r="E5181">
        <v>0.53330679999999997</v>
      </c>
      <c r="F5181" t="s">
        <v>42</v>
      </c>
      <c r="G5181">
        <v>-355.65879999999999</v>
      </c>
      <c r="H5181" s="1">
        <v>-2.8231009999999999E-6</v>
      </c>
      <c r="I5181">
        <v>143.29349999999999</v>
      </c>
      <c r="J5181">
        <v>-305.1327</v>
      </c>
      <c r="K5181">
        <v>1.104638</v>
      </c>
      <c r="L5181">
        <v>141.22290000000001</v>
      </c>
      <c r="M5181">
        <v>-0.99970110000000001</v>
      </c>
      <c r="N5181">
        <v>-6.0430359999999999E-3</v>
      </c>
      <c r="O5181">
        <v>2.369346E-2</v>
      </c>
      <c r="P5181">
        <v>-0.99731009999999998</v>
      </c>
      <c r="Q5181">
        <v>-5.751564E-2</v>
      </c>
      <c r="R5181">
        <v>-4.5440599999999998E-2</v>
      </c>
      <c r="S5181">
        <v>-3.0105900000000001</v>
      </c>
      <c r="T5181">
        <v>-6.5081600000000003E-2</v>
      </c>
      <c r="U5181">
        <v>0.1227417</v>
      </c>
      <c r="V5181">
        <v>-6.9445279999999998E-2</v>
      </c>
      <c r="W5181">
        <v>-5.0972650000000001E-2</v>
      </c>
      <c r="X5181">
        <v>0.99628260000000002</v>
      </c>
      <c r="Y5181">
        <v>1.7048270000000001E-2</v>
      </c>
      <c r="Z5181">
        <v>-1.3297290000000001E-4</v>
      </c>
      <c r="AA5181">
        <v>0.99985469999999999</v>
      </c>
      <c r="AB5181">
        <v>57</v>
      </c>
      <c r="AC5181">
        <v>-50.5260999999999</v>
      </c>
      <c r="AD5181">
        <v>-1.1046408231010001</v>
      </c>
      <c r="AE5181">
        <v>2.0705999999999798</v>
      </c>
      <c r="AF5181">
        <v>0.87244251247562998</v>
      </c>
      <c r="AG5181">
        <v>-1.1046408231010001</v>
      </c>
      <c r="AH5181">
        <v>50.536860731886499</v>
      </c>
      <c r="AI5181">
        <v>91.251992201872099</v>
      </c>
      <c r="AJ5181">
        <v>89.010973215848196</v>
      </c>
      <c r="AK5181">
        <v>50.556460318338502</v>
      </c>
      <c r="AL5181">
        <v>92.921784063261995</v>
      </c>
      <c r="AM5181">
        <v>93.987318497138105</v>
      </c>
      <c r="AN5181">
        <v>0.999999938512528</v>
      </c>
    </row>
    <row r="5182" spans="1:40" x14ac:dyDescent="0.25">
      <c r="A5182" t="str">
        <f>"20190305135033165"</f>
        <v>20190305135033165</v>
      </c>
      <c r="B5182" t="str">
        <f>"1551765033155300"</f>
        <v>1551765033155300</v>
      </c>
      <c r="C5182" t="s">
        <v>40</v>
      </c>
      <c r="D5182">
        <v>3.8841009999999998</v>
      </c>
      <c r="E5182">
        <v>0.53272849999999905</v>
      </c>
      <c r="F5182" t="s">
        <v>42</v>
      </c>
      <c r="G5182">
        <v>-359.24470000000002</v>
      </c>
      <c r="H5182" s="1">
        <v>-1.3322529999999999E-6</v>
      </c>
      <c r="I5182">
        <v>143.47200000000001</v>
      </c>
      <c r="J5182">
        <v>-305.6918</v>
      </c>
      <c r="K5182">
        <v>1.104762</v>
      </c>
      <c r="L5182">
        <v>141.23599999999999</v>
      </c>
      <c r="M5182">
        <v>-0.99966390000000005</v>
      </c>
      <c r="N5182">
        <v>-6.0745189999999996E-3</v>
      </c>
      <c r="O5182">
        <v>2.5203090000000001E-2</v>
      </c>
      <c r="P5182">
        <v>-0.99734270000000003</v>
      </c>
      <c r="Q5182">
        <v>-5.8364430000000002E-2</v>
      </c>
      <c r="R5182">
        <v>-4.3604530000000002E-2</v>
      </c>
      <c r="S5182">
        <v>-3.0102540000000002</v>
      </c>
      <c r="T5182">
        <v>-6.1451199999999997E-2</v>
      </c>
      <c r="U5182">
        <v>0.12512210000000001</v>
      </c>
      <c r="V5182">
        <v>-6.9104990000000005E-2</v>
      </c>
      <c r="W5182">
        <v>-5.1813100000000001E-2</v>
      </c>
      <c r="X5182">
        <v>0.99626300000000001</v>
      </c>
      <c r="Y5182">
        <v>1.6332599999999999E-2</v>
      </c>
      <c r="Z5182">
        <v>-1.4480600000000001E-4</v>
      </c>
      <c r="AA5182">
        <v>0.99986660000000005</v>
      </c>
      <c r="AB5182">
        <v>57</v>
      </c>
      <c r="AC5182">
        <v>-53.552900000000001</v>
      </c>
      <c r="AD5182">
        <v>-1.1047633322529999</v>
      </c>
      <c r="AE5182">
        <v>2.23600000000001</v>
      </c>
      <c r="AF5182">
        <v>0.88519020081454902</v>
      </c>
      <c r="AG5182">
        <v>-1.1047633322529999</v>
      </c>
      <c r="AH5182">
        <v>53.569485561445603</v>
      </c>
      <c r="AI5182">
        <v>91.181281990924106</v>
      </c>
      <c r="AJ5182">
        <v>89.053322116371504</v>
      </c>
      <c r="AK5182">
        <v>53.5881875699285</v>
      </c>
      <c r="AL5182">
        <v>92.970001749815097</v>
      </c>
      <c r="AM5182">
        <v>93.9679205431935</v>
      </c>
      <c r="AN5182">
        <v>1.0000000310717501</v>
      </c>
    </row>
    <row r="5183" spans="1:40" x14ac:dyDescent="0.25">
      <c r="A5183" t="str">
        <f>"20190305135033188"</f>
        <v>20190305135033188</v>
      </c>
      <c r="B5183" t="str">
        <f>"1551765033174820"</f>
        <v>1551765033174820</v>
      </c>
      <c r="C5183" t="s">
        <v>40</v>
      </c>
      <c r="D5183">
        <v>3.8951950000000002</v>
      </c>
      <c r="E5183">
        <v>0.53208789999999995</v>
      </c>
      <c r="F5183" t="s">
        <v>42</v>
      </c>
      <c r="G5183">
        <v>-358.2824</v>
      </c>
      <c r="H5183" s="1">
        <v>-1.736284E-6</v>
      </c>
      <c r="I5183">
        <v>143.43899999999999</v>
      </c>
      <c r="J5183">
        <v>-306.27539999999999</v>
      </c>
      <c r="K5183">
        <v>1.1048910000000001</v>
      </c>
      <c r="L5183">
        <v>141.25059999999999</v>
      </c>
      <c r="M5183">
        <v>-0.99962580000000001</v>
      </c>
      <c r="N5183">
        <v>-6.1092009999999999E-3</v>
      </c>
      <c r="O5183">
        <v>2.666427E-2</v>
      </c>
      <c r="P5183">
        <v>-0.99738890000000002</v>
      </c>
      <c r="Q5183">
        <v>-5.8740859999999999E-2</v>
      </c>
      <c r="R5183">
        <v>-4.2012590000000002E-2</v>
      </c>
      <c r="S5183">
        <v>-3.0097960000000001</v>
      </c>
      <c r="T5183">
        <v>-6.3226340000000006E-2</v>
      </c>
      <c r="U5183">
        <v>0.12608339999999901</v>
      </c>
      <c r="V5183">
        <v>-6.8956879999999998E-2</v>
      </c>
      <c r="W5183">
        <v>-5.2177880000000003E-2</v>
      </c>
      <c r="X5183">
        <v>0.99625419999999998</v>
      </c>
      <c r="Y5183">
        <v>1.5196650000000001E-2</v>
      </c>
      <c r="Z5183">
        <v>-1.908689E-4</v>
      </c>
      <c r="AA5183">
        <v>0.99988449999999995</v>
      </c>
      <c r="AB5183">
        <v>58</v>
      </c>
      <c r="AC5183">
        <v>-52.006999999999998</v>
      </c>
      <c r="AD5183">
        <v>-1.104892736284</v>
      </c>
      <c r="AE5183">
        <v>2.1884000000000001</v>
      </c>
      <c r="AF5183">
        <v>0.80050666509428503</v>
      </c>
      <c r="AG5183">
        <v>-1.104892736284</v>
      </c>
      <c r="AH5183">
        <v>52.023421704356998</v>
      </c>
      <c r="AI5183">
        <v>91.216542143476005</v>
      </c>
      <c r="AJ5183">
        <v>89.118434880321701</v>
      </c>
      <c r="AK5183">
        <v>52.041310559102101</v>
      </c>
      <c r="AL5183">
        <v>92.990930486367603</v>
      </c>
      <c r="AM5183">
        <v>93.9594781965572</v>
      </c>
      <c r="AN5183">
        <v>1.0000000067391299</v>
      </c>
    </row>
    <row r="5184" spans="1:40" x14ac:dyDescent="0.25">
      <c r="A5184" t="str">
        <f>"20190305135033203"</f>
        <v>20190305135033203</v>
      </c>
      <c r="B5184" t="str">
        <f>"1551765033195316"</f>
        <v>1551765033195316</v>
      </c>
      <c r="C5184" t="s">
        <v>40</v>
      </c>
      <c r="D5184">
        <v>3.9078909999999998</v>
      </c>
      <c r="E5184">
        <v>0.5315105</v>
      </c>
      <c r="F5184" t="s">
        <v>42</v>
      </c>
      <c r="G5184">
        <v>-355.73849999999999</v>
      </c>
      <c r="H5184" s="1">
        <v>-2.7963560000000001E-6</v>
      </c>
      <c r="I5184">
        <v>143.32149999999999</v>
      </c>
      <c r="J5184">
        <v>-306.66140000000001</v>
      </c>
      <c r="K5184">
        <v>1.1049770000000001</v>
      </c>
      <c r="L5184">
        <v>141.26079999999999</v>
      </c>
      <c r="M5184">
        <v>-0.99960130000000003</v>
      </c>
      <c r="N5184">
        <v>-6.1323159999999996E-3</v>
      </c>
      <c r="O5184">
        <v>2.7566449999999999E-2</v>
      </c>
      <c r="P5184">
        <v>-0.99742850000000005</v>
      </c>
      <c r="Q5184">
        <v>-5.899683E-2</v>
      </c>
      <c r="R5184">
        <v>-4.0691289999999998E-2</v>
      </c>
      <c r="S5184">
        <v>-3.0092159999999999</v>
      </c>
      <c r="T5184">
        <v>-6.7219139999999997E-2</v>
      </c>
      <c r="U5184">
        <v>0.12599179999999999</v>
      </c>
      <c r="V5184">
        <v>-6.8526989999999996E-2</v>
      </c>
      <c r="W5184">
        <v>-5.2427910000000001E-2</v>
      </c>
      <c r="X5184">
        <v>0.99627069999999995</v>
      </c>
      <c r="Y5184">
        <v>1.427235E-2</v>
      </c>
      <c r="Z5184">
        <v>-2.4317579999999999E-4</v>
      </c>
      <c r="AA5184">
        <v>0.99989810000000001</v>
      </c>
      <c r="AB5184">
        <v>58</v>
      </c>
      <c r="AC5184">
        <v>-49.077099999999902</v>
      </c>
      <c r="AD5184">
        <v>-1.104979796356</v>
      </c>
      <c r="AE5184">
        <v>2.06069999999999</v>
      </c>
      <c r="AF5184">
        <v>0.70665257743298404</v>
      </c>
      <c r="AG5184">
        <v>-1.104979796356</v>
      </c>
      <c r="AH5184">
        <v>49.0904141628818</v>
      </c>
      <c r="AI5184">
        <v>91.289323704635194</v>
      </c>
      <c r="AJ5184">
        <v>89.175288806661797</v>
      </c>
      <c r="AK5184">
        <v>49.107933176817902</v>
      </c>
      <c r="AL5184">
        <v>93.005275892775103</v>
      </c>
      <c r="AM5184">
        <v>93.934806893442698</v>
      </c>
      <c r="AN5184">
        <v>0.99999997089195802</v>
      </c>
    </row>
    <row r="5185" spans="1:40" x14ac:dyDescent="0.25">
      <c r="A5185" t="str">
        <f>"20190305135033214"</f>
        <v>20190305135033214</v>
      </c>
      <c r="B5185" t="str">
        <f>"1551765033205076"</f>
        <v>1551765033205076</v>
      </c>
      <c r="C5185" t="s">
        <v>40</v>
      </c>
      <c r="D5185">
        <v>3.892909</v>
      </c>
      <c r="E5185">
        <v>0.53125999999999995</v>
      </c>
      <c r="F5185" t="s">
        <v>42</v>
      </c>
      <c r="G5185">
        <v>-355.93520000000001</v>
      </c>
      <c r="H5185" s="1">
        <v>-2.7098179999999999E-6</v>
      </c>
      <c r="I5185">
        <v>143.3135</v>
      </c>
      <c r="J5185">
        <v>-306.98360000000002</v>
      </c>
      <c r="K5185">
        <v>1.1050469999999999</v>
      </c>
      <c r="L5185">
        <v>141.26949999999999</v>
      </c>
      <c r="M5185">
        <v>-0.99958080000000005</v>
      </c>
      <c r="N5185">
        <v>-6.1515600000000004E-3</v>
      </c>
      <c r="O5185">
        <v>2.8296160000000001E-2</v>
      </c>
      <c r="P5185">
        <v>-0.99746539999999995</v>
      </c>
      <c r="Q5185">
        <v>-5.8954069999999997E-2</v>
      </c>
      <c r="R5185">
        <v>-3.9841580000000001E-2</v>
      </c>
      <c r="S5185">
        <v>-3.0088499999999998</v>
      </c>
      <c r="T5185">
        <v>-6.7474370000000006E-2</v>
      </c>
      <c r="U5185">
        <v>0.12535099999999999</v>
      </c>
      <c r="V5185">
        <v>-6.8396070000000003E-2</v>
      </c>
      <c r="W5185">
        <v>-5.2378300000000003E-2</v>
      </c>
      <c r="X5185">
        <v>0.99628229999999995</v>
      </c>
      <c r="Y5185">
        <v>1.333528E-2</v>
      </c>
      <c r="Z5185">
        <v>-2.6953799999999999E-4</v>
      </c>
      <c r="AA5185">
        <v>0.99991110000000005</v>
      </c>
      <c r="AB5185">
        <v>58</v>
      </c>
      <c r="AC5185">
        <v>-48.9515999999999</v>
      </c>
      <c r="AD5185">
        <v>-1.1050497098180001</v>
      </c>
      <c r="AE5185">
        <v>2.0440000000000098</v>
      </c>
      <c r="AF5185">
        <v>0.65767863415359296</v>
      </c>
      <c r="AG5185">
        <v>-1.1050497098180001</v>
      </c>
      <c r="AH5185">
        <v>48.964927550361097</v>
      </c>
      <c r="AI5185">
        <v>91.292725920096501</v>
      </c>
      <c r="AJ5185">
        <v>89.2304707455243</v>
      </c>
      <c r="AK5185">
        <v>48.981810971615801</v>
      </c>
      <c r="AL5185">
        <v>93.002429555930107</v>
      </c>
      <c r="AM5185">
        <v>93.927267454459795</v>
      </c>
      <c r="AN5185">
        <v>0.99999996499781096</v>
      </c>
    </row>
    <row r="5186" spans="1:40" x14ac:dyDescent="0.25">
      <c r="A5186" t="str">
        <f>"20190305135033227"</f>
        <v>20190305135033227</v>
      </c>
      <c r="B5186" t="str">
        <f>"1551765033214836"</f>
        <v>1551765033214836</v>
      </c>
      <c r="C5186" t="s">
        <v>40</v>
      </c>
      <c r="D5186">
        <v>3.943406</v>
      </c>
      <c r="E5186">
        <v>0.53102399999999905</v>
      </c>
      <c r="F5186" t="s">
        <v>42</v>
      </c>
      <c r="G5186">
        <v>-357.11880000000002</v>
      </c>
      <c r="H5186" s="1">
        <v>-2.2164870000000001E-6</v>
      </c>
      <c r="I5186">
        <v>143.36760000000001</v>
      </c>
      <c r="J5186">
        <v>-307.30680000000001</v>
      </c>
      <c r="K5186">
        <v>1.105118</v>
      </c>
      <c r="L5186">
        <v>141.27850000000001</v>
      </c>
      <c r="M5186">
        <v>-0.99956040000000002</v>
      </c>
      <c r="N5186">
        <v>-6.1707719999999997E-3</v>
      </c>
      <c r="O5186">
        <v>2.9006000000000001E-2</v>
      </c>
      <c r="P5186">
        <v>-0.99748029999999999</v>
      </c>
      <c r="Q5186">
        <v>-5.9193759999999998E-2</v>
      </c>
      <c r="R5186">
        <v>-3.9112290000000001E-2</v>
      </c>
      <c r="S5186">
        <v>-3.0087280000000001</v>
      </c>
      <c r="T5186">
        <v>-6.6316600000000003E-2</v>
      </c>
      <c r="U5186">
        <v>0.12591550000000001</v>
      </c>
      <c r="V5186">
        <v>-6.8367209999999998E-2</v>
      </c>
      <c r="W5186">
        <v>-5.261035E-2</v>
      </c>
      <c r="X5186">
        <v>0.99627209999999999</v>
      </c>
      <c r="Y5186">
        <v>1.281437E-2</v>
      </c>
      <c r="Z5186">
        <v>-2.7916300000000002E-4</v>
      </c>
      <c r="AA5186">
        <v>0.99991790000000003</v>
      </c>
      <c r="AB5186">
        <v>58</v>
      </c>
      <c r="AC5186">
        <v>-49.811999999999998</v>
      </c>
      <c r="AD5186">
        <v>-1.105120216487</v>
      </c>
      <c r="AE5186">
        <v>2.0891000000000002</v>
      </c>
      <c r="AF5186">
        <v>0.64303092257241901</v>
      </c>
      <c r="AG5186">
        <v>-1.105120216487</v>
      </c>
      <c r="AH5186">
        <v>49.827155364408299</v>
      </c>
      <c r="AI5186">
        <v>91.270453330162596</v>
      </c>
      <c r="AJ5186">
        <v>89.260625806184393</v>
      </c>
      <c r="AK5186">
        <v>49.843557168095003</v>
      </c>
      <c r="AL5186">
        <v>93.015743260683195</v>
      </c>
      <c r="AM5186">
        <v>93.925655575670106</v>
      </c>
      <c r="AN5186">
        <v>1.0000000107843501</v>
      </c>
    </row>
    <row r="5187" spans="1:40" x14ac:dyDescent="0.25">
      <c r="A5187" t="str">
        <f>"20190305135033243"</f>
        <v>20190305135033243</v>
      </c>
      <c r="B5187" t="str">
        <f>"1551765033235335"</f>
        <v>1551765033235335</v>
      </c>
      <c r="C5187" t="s">
        <v>40</v>
      </c>
      <c r="D5187">
        <v>3.9494030000000002</v>
      </c>
      <c r="E5187">
        <v>0.53059000000000001</v>
      </c>
      <c r="F5187" t="s">
        <v>42</v>
      </c>
      <c r="G5187">
        <v>-357.03500000000003</v>
      </c>
      <c r="H5187" s="1">
        <v>-2.251976E-6</v>
      </c>
      <c r="I5187">
        <v>143.36590000000001</v>
      </c>
      <c r="J5187">
        <v>-307.72239999999999</v>
      </c>
      <c r="K5187">
        <v>1.1051930000000001</v>
      </c>
      <c r="L5187">
        <v>141.29040000000001</v>
      </c>
      <c r="M5187">
        <v>-0.99953429999999999</v>
      </c>
      <c r="N5187">
        <v>-6.1950540000000002E-3</v>
      </c>
      <c r="O5187">
        <v>2.9885109999999999E-2</v>
      </c>
      <c r="P5187">
        <v>-0.99754010000000004</v>
      </c>
      <c r="Q5187">
        <v>-5.8654730000000002E-2</v>
      </c>
      <c r="R5187">
        <v>-3.8389149999999997E-2</v>
      </c>
      <c r="S5187">
        <v>-3.008575</v>
      </c>
      <c r="T5187">
        <v>-6.6860199999999995E-2</v>
      </c>
      <c r="U5187">
        <v>0.12629699999999999</v>
      </c>
      <c r="V5187">
        <v>-6.8508379999999994E-2</v>
      </c>
      <c r="W5187">
        <v>-5.2059670000000002E-2</v>
      </c>
      <c r="X5187">
        <v>0.99629129999999999</v>
      </c>
      <c r="Y5187">
        <v>1.206398E-2</v>
      </c>
      <c r="Z5187">
        <v>-3.0713140000000001E-4</v>
      </c>
      <c r="AA5187">
        <v>0.99992720000000002</v>
      </c>
      <c r="AB5187">
        <v>58</v>
      </c>
      <c r="AC5187">
        <v>-49.312600000000003</v>
      </c>
      <c r="AD5187">
        <v>-1.105195251976</v>
      </c>
      <c r="AE5187">
        <v>2.0754999999999999</v>
      </c>
      <c r="AF5187">
        <v>0.60053128642051301</v>
      </c>
      <c r="AG5187">
        <v>-1.105195251976</v>
      </c>
      <c r="AH5187">
        <v>49.327867420155897</v>
      </c>
      <c r="AI5187">
        <v>91.283407217920896</v>
      </c>
      <c r="AJ5187">
        <v>89.302499576261397</v>
      </c>
      <c r="AK5187">
        <v>49.343901331283398</v>
      </c>
      <c r="AL5187">
        <v>92.984148411781803</v>
      </c>
      <c r="AM5187">
        <v>93.933660584667606</v>
      </c>
      <c r="AN5187">
        <v>0.99999998091321096</v>
      </c>
    </row>
    <row r="5188" spans="1:40" x14ac:dyDescent="0.25">
      <c r="A5188" t="str">
        <f>"20190305135033259"</f>
        <v>20190305135033259</v>
      </c>
      <c r="B5188" t="str">
        <f>"1551765033254852"</f>
        <v>1551765033254852</v>
      </c>
      <c r="C5188" t="s">
        <v>40</v>
      </c>
      <c r="D5188">
        <v>3.9455070000000001</v>
      </c>
      <c r="E5188">
        <v>0.53012789999999999</v>
      </c>
      <c r="F5188" t="s">
        <v>42</v>
      </c>
      <c r="G5188">
        <v>-358.62860000000001</v>
      </c>
      <c r="H5188" s="1">
        <v>-1.579374E-6</v>
      </c>
      <c r="I5188">
        <v>143.4074</v>
      </c>
      <c r="J5188">
        <v>-308.13670000000002</v>
      </c>
      <c r="K5188">
        <v>1.1052709999999999</v>
      </c>
      <c r="L5188">
        <v>141.30269999999999</v>
      </c>
      <c r="M5188">
        <v>-0.99950819999999996</v>
      </c>
      <c r="N5188">
        <v>-6.2190419999999897E-3</v>
      </c>
      <c r="O5188">
        <v>3.0738850000000002E-2</v>
      </c>
      <c r="P5188">
        <v>-0.9975697</v>
      </c>
      <c r="Q5188">
        <v>-5.8789180000000003E-2</v>
      </c>
      <c r="R5188">
        <v>-3.7403539999999999E-2</v>
      </c>
      <c r="S5188">
        <v>-3.0083310000000001</v>
      </c>
      <c r="T5188">
        <v>-6.5312149999999999E-2</v>
      </c>
      <c r="U5188">
        <v>0.12510679999999999</v>
      </c>
      <c r="V5188">
        <v>-6.8365880000000004E-2</v>
      </c>
      <c r="W5188">
        <v>-5.2183840000000002E-2</v>
      </c>
      <c r="X5188">
        <v>0.99629460000000003</v>
      </c>
      <c r="Y5188">
        <v>1.081874E-2</v>
      </c>
      <c r="Z5188">
        <v>-3.2464259999999997E-4</v>
      </c>
      <c r="AA5188">
        <v>0.99994139999999998</v>
      </c>
      <c r="AB5188">
        <v>58</v>
      </c>
      <c r="AC5188">
        <v>-50.491900000000001</v>
      </c>
      <c r="AD5188">
        <v>-1.1052725793739999</v>
      </c>
      <c r="AE5188">
        <v>2.1046999999999998</v>
      </c>
      <c r="AF5188">
        <v>0.55134884662428896</v>
      </c>
      <c r="AG5188">
        <v>-1.1052725793739999</v>
      </c>
      <c r="AH5188">
        <v>50.508575897181402</v>
      </c>
      <c r="AI5188">
        <v>91.253521340115398</v>
      </c>
      <c r="AJ5188">
        <v>89.374587250802094</v>
      </c>
      <c r="AK5188">
        <v>50.523676154717101</v>
      </c>
      <c r="AL5188">
        <v>92.991272490129901</v>
      </c>
      <c r="AM5188">
        <v>93.925491068774605</v>
      </c>
      <c r="AN5188">
        <v>0.99999998834724002</v>
      </c>
    </row>
    <row r="5189" spans="1:40" x14ac:dyDescent="0.25">
      <c r="A5189" t="str">
        <f>"20190305135033278"</f>
        <v>20190305135033278</v>
      </c>
      <c r="B5189" t="str">
        <f>"1551765033275347"</f>
        <v>1551765033275347</v>
      </c>
      <c r="C5189" t="s">
        <v>40</v>
      </c>
      <c r="D5189">
        <v>3.7913239999999999</v>
      </c>
      <c r="E5189">
        <v>0.52972969999999997</v>
      </c>
      <c r="F5189" t="s">
        <v>42</v>
      </c>
      <c r="G5189">
        <v>-358.97089999999997</v>
      </c>
      <c r="H5189" s="1">
        <v>-1.432216E-6</v>
      </c>
      <c r="I5189">
        <v>143.40629999999999</v>
      </c>
      <c r="J5189">
        <v>-308.6223</v>
      </c>
      <c r="K5189">
        <v>1.1053580000000001</v>
      </c>
      <c r="L5189">
        <v>141.3176</v>
      </c>
      <c r="M5189">
        <v>-0.99947750000000002</v>
      </c>
      <c r="N5189">
        <v>-6.2467850000000004E-3</v>
      </c>
      <c r="O5189">
        <v>3.1715E-2</v>
      </c>
      <c r="P5189">
        <v>-0.99759370000000003</v>
      </c>
      <c r="Q5189">
        <v>-5.8633690000000002E-2</v>
      </c>
      <c r="R5189">
        <v>-3.7001770000000003E-2</v>
      </c>
      <c r="S5189">
        <v>-3.0080870000000002</v>
      </c>
      <c r="T5189">
        <v>-6.5403939999999994E-2</v>
      </c>
      <c r="U5189">
        <v>0.1244812</v>
      </c>
      <c r="V5189">
        <v>-6.8926130000000002E-2</v>
      </c>
      <c r="W5189">
        <v>-5.2011559999999998E-2</v>
      </c>
      <c r="X5189">
        <v>0.99626499999999996</v>
      </c>
      <c r="Y5189">
        <v>9.6383690000000008E-3</v>
      </c>
      <c r="Z5189">
        <v>-3.560719E-4</v>
      </c>
      <c r="AA5189">
        <v>0.99995350000000005</v>
      </c>
      <c r="AB5189">
        <v>58</v>
      </c>
      <c r="AC5189">
        <v>-50.348599999999898</v>
      </c>
      <c r="AD5189">
        <v>-1.1053594322159901</v>
      </c>
      <c r="AE5189">
        <v>2.0886999999999798</v>
      </c>
      <c r="AF5189">
        <v>0.49057630465346103</v>
      </c>
      <c r="AG5189">
        <v>-1.1053594322159901</v>
      </c>
      <c r="AH5189">
        <v>50.365282170512103</v>
      </c>
      <c r="AI5189">
        <v>91.257200586025505</v>
      </c>
      <c r="AJ5189">
        <v>89.441935759841797</v>
      </c>
      <c r="AK5189">
        <v>50.379798855299001</v>
      </c>
      <c r="AL5189">
        <v>92.981388169049694</v>
      </c>
      <c r="AM5189">
        <v>93.957675388121999</v>
      </c>
      <c r="AN5189">
        <v>0.99999998199770501</v>
      </c>
    </row>
    <row r="5190" spans="1:40" x14ac:dyDescent="0.25">
      <c r="A5190" t="str">
        <f>"20190305135033300"</f>
        <v>20190305135033300</v>
      </c>
      <c r="B5190" t="str">
        <f>"1551765033295844"</f>
        <v>1551765033295844</v>
      </c>
      <c r="C5190" t="s">
        <v>40</v>
      </c>
      <c r="D5190">
        <v>3.9312990000000001</v>
      </c>
      <c r="E5190">
        <v>0.52935500000000002</v>
      </c>
      <c r="F5190" t="s">
        <v>42</v>
      </c>
      <c r="G5190">
        <v>-360.86509999999998</v>
      </c>
      <c r="H5190" s="1">
        <v>-4.6607479999999997E-6</v>
      </c>
      <c r="I5190">
        <v>143.44470000000001</v>
      </c>
      <c r="J5190">
        <v>-309.2038</v>
      </c>
      <c r="K5190">
        <v>1.1054489999999999</v>
      </c>
      <c r="L5190">
        <v>141.33609999999999</v>
      </c>
      <c r="M5190">
        <v>-0.99944029999999995</v>
      </c>
      <c r="N5190">
        <v>-6.2792669999999998E-3</v>
      </c>
      <c r="O5190">
        <v>3.2857699999999997E-2</v>
      </c>
      <c r="P5190">
        <v>-0.99761500000000003</v>
      </c>
      <c r="Q5190">
        <v>-5.8693769999999999E-2</v>
      </c>
      <c r="R5190">
        <v>-3.6321230000000003E-2</v>
      </c>
      <c r="S5190">
        <v>-3.008057</v>
      </c>
      <c r="T5190">
        <v>-6.3645119999999999E-2</v>
      </c>
      <c r="U5190">
        <v>0.1224823</v>
      </c>
      <c r="V5190">
        <v>-6.9373950000000004E-2</v>
      </c>
      <c r="W5190">
        <v>-5.2052300000000003E-2</v>
      </c>
      <c r="X5190">
        <v>0.9962318</v>
      </c>
      <c r="Y5190">
        <v>7.8326179999999995E-3</v>
      </c>
      <c r="Z5190">
        <v>-3.809258E-4</v>
      </c>
      <c r="AA5190">
        <v>0.9999692</v>
      </c>
      <c r="AB5190">
        <v>58</v>
      </c>
      <c r="AC5190">
        <v>-51.661299999999898</v>
      </c>
      <c r="AD5190">
        <v>-1.1054536607480001</v>
      </c>
      <c r="AE5190">
        <v>2.10860000000002</v>
      </c>
      <c r="AF5190">
        <v>0.409769095255754</v>
      </c>
      <c r="AG5190">
        <v>-1.1054536607480001</v>
      </c>
      <c r="AH5190">
        <v>51.679065589029697</v>
      </c>
      <c r="AI5190">
        <v>91.225373963769002</v>
      </c>
      <c r="AJ5190">
        <v>89.545704871862895</v>
      </c>
      <c r="AK5190">
        <v>51.692511630435597</v>
      </c>
      <c r="AL5190">
        <v>92.983725532171803</v>
      </c>
      <c r="AM5190">
        <v>93.983438614256499</v>
      </c>
      <c r="AN5190">
        <v>0.99999999310256604</v>
      </c>
    </row>
    <row r="5191" spans="1:40" x14ac:dyDescent="0.25">
      <c r="A5191" t="str">
        <f>"20190305135033314"</f>
        <v>20190305135033314</v>
      </c>
      <c r="B5191" t="str">
        <f>"1551765033305604"</f>
        <v>1551765033305604</v>
      </c>
      <c r="C5191" t="s">
        <v>40</v>
      </c>
      <c r="D5191">
        <v>3.9750519999999998</v>
      </c>
      <c r="E5191">
        <v>0.52900700000000001</v>
      </c>
      <c r="F5191" t="s">
        <v>42</v>
      </c>
      <c r="G5191">
        <v>-362.35570000000001</v>
      </c>
      <c r="H5191" s="1">
        <v>-4.1599359999999999E-6</v>
      </c>
      <c r="I5191">
        <v>143.4812</v>
      </c>
      <c r="J5191">
        <v>-309.5582</v>
      </c>
      <c r="K5191">
        <v>1.105505</v>
      </c>
      <c r="L5191">
        <v>141.3476</v>
      </c>
      <c r="M5191">
        <v>-0.99941749999999996</v>
      </c>
      <c r="N5191">
        <v>-6.2986980000000001E-3</v>
      </c>
      <c r="O5191">
        <v>3.3544749999999998E-2</v>
      </c>
      <c r="P5191">
        <v>-0.99763840000000004</v>
      </c>
      <c r="Q5191">
        <v>-5.8740519999999997E-2</v>
      </c>
      <c r="R5191">
        <v>-3.5600760000000002E-2</v>
      </c>
      <c r="S5191">
        <v>-3.0079039999999999</v>
      </c>
      <c r="T5191">
        <v>-6.2558409999999995E-2</v>
      </c>
      <c r="U5191">
        <v>0.1213989</v>
      </c>
      <c r="V5191">
        <v>-6.9332489999999997E-2</v>
      </c>
      <c r="W5191">
        <v>-5.2088620000000002E-2</v>
      </c>
      <c r="X5191">
        <v>0.99623280000000003</v>
      </c>
      <c r="Y5191">
        <v>6.7879269999999896E-3</v>
      </c>
      <c r="Z5191">
        <v>-3.9389390000000001E-4</v>
      </c>
      <c r="AA5191">
        <v>0.99997689999999995</v>
      </c>
      <c r="AB5191">
        <v>58</v>
      </c>
      <c r="AC5191">
        <v>-52.797499999999999</v>
      </c>
      <c r="AD5191">
        <v>-1.1055091599360001</v>
      </c>
      <c r="AE5191">
        <v>2.1335999999999999</v>
      </c>
      <c r="AF5191">
        <v>0.36112728908673097</v>
      </c>
      <c r="AG5191">
        <v>-1.1055091599360001</v>
      </c>
      <c r="AH5191">
        <v>52.816239407994701</v>
      </c>
      <c r="AI5191">
        <v>91.199068355843494</v>
      </c>
      <c r="AJ5191">
        <v>89.6082502780623</v>
      </c>
      <c r="AK5191">
        <v>52.8290422838068</v>
      </c>
      <c r="AL5191">
        <v>92.985809305763993</v>
      </c>
      <c r="AM5191">
        <v>93.981061662986903</v>
      </c>
      <c r="AN5191">
        <v>1.00000000514947</v>
      </c>
    </row>
    <row r="5192" spans="1:40" x14ac:dyDescent="0.25">
      <c r="A5192" t="str">
        <f>"20190305135033326"</f>
        <v>20190305135033326</v>
      </c>
      <c r="B5192" t="str">
        <f>"1551765033315364"</f>
        <v>1551765033315364</v>
      </c>
      <c r="C5192" t="s">
        <v>40</v>
      </c>
      <c r="D5192">
        <v>3.9689760000000001</v>
      </c>
      <c r="E5192">
        <v>0.52876919999999905</v>
      </c>
      <c r="F5192" t="s">
        <v>42</v>
      </c>
      <c r="G5192">
        <v>-361.863</v>
      </c>
      <c r="H5192" s="1">
        <v>-4.3218449999999996E-6</v>
      </c>
      <c r="I5192">
        <v>143.4487</v>
      </c>
      <c r="J5192">
        <v>-309.87720000000002</v>
      </c>
      <c r="K5192">
        <v>1.105548</v>
      </c>
      <c r="L5192">
        <v>141.35830000000001</v>
      </c>
      <c r="M5192">
        <v>-0.99939659999999997</v>
      </c>
      <c r="N5192">
        <v>-6.315948E-3</v>
      </c>
      <c r="O5192">
        <v>3.4157779999999999E-2</v>
      </c>
      <c r="P5192">
        <v>-0.99765479999999995</v>
      </c>
      <c r="Q5192">
        <v>-5.878514E-2</v>
      </c>
      <c r="R5192">
        <v>-3.5064209999999998E-2</v>
      </c>
      <c r="S5192">
        <v>-3.00766</v>
      </c>
      <c r="T5192">
        <v>-6.356966E-2</v>
      </c>
      <c r="U5192">
        <v>0.1208191</v>
      </c>
      <c r="V5192">
        <v>-6.9402199999999997E-2</v>
      </c>
      <c r="W5192">
        <v>-5.2123080000000002E-2</v>
      </c>
      <c r="X5192">
        <v>0.9962261</v>
      </c>
      <c r="Y5192">
        <v>5.9857469999999996E-3</v>
      </c>
      <c r="Z5192">
        <v>-4.235121E-4</v>
      </c>
      <c r="AA5192">
        <v>0.99998200000000004</v>
      </c>
      <c r="AB5192">
        <v>58</v>
      </c>
      <c r="AC5192">
        <v>-51.985799999999998</v>
      </c>
      <c r="AD5192">
        <v>-1.1055523218449901</v>
      </c>
      <c r="AE5192">
        <v>2.0903999999999798</v>
      </c>
      <c r="AF5192">
        <v>0.313283894484229</v>
      </c>
      <c r="AG5192">
        <v>-1.1055523218449901</v>
      </c>
      <c r="AH5192">
        <v>52.003386329911599</v>
      </c>
      <c r="AI5192">
        <v>91.217859017248898</v>
      </c>
      <c r="AJ5192">
        <v>89.654837327554503</v>
      </c>
      <c r="AK5192">
        <v>52.016080037935502</v>
      </c>
      <c r="AL5192">
        <v>92.987786534372702</v>
      </c>
      <c r="AM5192">
        <v>93.985078225906307</v>
      </c>
      <c r="AN5192">
        <v>0.99999996157736704</v>
      </c>
    </row>
    <row r="5193" spans="1:40" x14ac:dyDescent="0.25">
      <c r="A5193" t="str">
        <f>"20190305135033339"</f>
        <v>20190305135033339</v>
      </c>
      <c r="B5193" t="str">
        <f>"1551765033335862"</f>
        <v>1551765033335862</v>
      </c>
      <c r="C5193" t="s">
        <v>40</v>
      </c>
      <c r="D5193">
        <v>3.9500190000000002</v>
      </c>
      <c r="E5193">
        <v>0.52830109999999997</v>
      </c>
      <c r="F5193" t="s">
        <v>42</v>
      </c>
      <c r="G5193">
        <v>-361.70330000000001</v>
      </c>
      <c r="H5193" s="1">
        <v>-4.373855E-6</v>
      </c>
      <c r="I5193">
        <v>143.43549999999999</v>
      </c>
      <c r="J5193">
        <v>-310.21780000000001</v>
      </c>
      <c r="K5193">
        <v>1.1055900000000001</v>
      </c>
      <c r="L5193">
        <v>141.3699</v>
      </c>
      <c r="M5193">
        <v>-0.99937410000000004</v>
      </c>
      <c r="N5193">
        <v>-6.3338680000000003E-3</v>
      </c>
      <c r="O5193">
        <v>3.4807919999999999E-2</v>
      </c>
      <c r="P5193">
        <v>-0.99768409999999996</v>
      </c>
      <c r="Q5193">
        <v>-5.8725960000000001E-2</v>
      </c>
      <c r="R5193">
        <v>-3.4321780000000003E-2</v>
      </c>
      <c r="S5193">
        <v>-3.0075069999999999</v>
      </c>
      <c r="T5193">
        <v>-6.4156169999999998E-2</v>
      </c>
      <c r="U5193">
        <v>0.1205444</v>
      </c>
      <c r="V5193">
        <v>-6.9303169999999997E-2</v>
      </c>
      <c r="W5193">
        <v>-5.2053830000000002E-2</v>
      </c>
      <c r="X5193">
        <v>0.99623669999999998</v>
      </c>
      <c r="Y5193">
        <v>5.2464149999999999E-3</v>
      </c>
      <c r="Z5193">
        <v>-4.4890830000000003E-4</v>
      </c>
      <c r="AA5193">
        <v>0.99998609999999999</v>
      </c>
      <c r="AB5193">
        <v>58</v>
      </c>
      <c r="AC5193">
        <v>-51.485500000000002</v>
      </c>
      <c r="AD5193">
        <v>-1.105594373855</v>
      </c>
      <c r="AE5193">
        <v>2.0655999999999799</v>
      </c>
      <c r="AF5193">
        <v>0.27208413106448898</v>
      </c>
      <c r="AG5193">
        <v>-1.105594373855</v>
      </c>
      <c r="AH5193">
        <v>51.502489194296601</v>
      </c>
      <c r="AI5193">
        <v>91.229751826974606</v>
      </c>
      <c r="AJ5193">
        <v>89.697313127969593</v>
      </c>
      <c r="AK5193">
        <v>51.515073152452302</v>
      </c>
      <c r="AL5193">
        <v>92.983813154221806</v>
      </c>
      <c r="AM5193">
        <v>93.979367994559695</v>
      </c>
      <c r="AN5193">
        <v>1.0000000465083001</v>
      </c>
    </row>
    <row r="5194" spans="1:40" x14ac:dyDescent="0.25">
      <c r="A5194" t="str">
        <f>"20190305135033352"</f>
        <v>20190305135033352</v>
      </c>
      <c r="B5194" t="str">
        <f>"1551765033345620"</f>
        <v>1551765033345620</v>
      </c>
      <c r="C5194" t="s">
        <v>40</v>
      </c>
      <c r="D5194">
        <v>3.959603</v>
      </c>
      <c r="E5194">
        <v>0.52804249999999997</v>
      </c>
      <c r="F5194" t="s">
        <v>42</v>
      </c>
      <c r="G5194">
        <v>-362.05130000000003</v>
      </c>
      <c r="H5194" s="1">
        <v>-4.2533109999999997E-6</v>
      </c>
      <c r="I5194">
        <v>143.42359999999999</v>
      </c>
      <c r="J5194">
        <v>-310.5788</v>
      </c>
      <c r="K5194">
        <v>1.1056280000000001</v>
      </c>
      <c r="L5194">
        <v>141.38239999999999</v>
      </c>
      <c r="M5194">
        <v>-0.99934979999999995</v>
      </c>
      <c r="N5194">
        <v>-6.3525819999999998E-3</v>
      </c>
      <c r="O5194">
        <v>3.5494070000000003E-2</v>
      </c>
      <c r="P5194">
        <v>-0.9977087</v>
      </c>
      <c r="Q5194">
        <v>-5.9028419999999998E-2</v>
      </c>
      <c r="R5194">
        <v>-3.3063330000000002E-2</v>
      </c>
      <c r="S5194">
        <v>-3.0073240000000001</v>
      </c>
      <c r="T5194">
        <v>-6.4145450000000007E-2</v>
      </c>
      <c r="U5194">
        <v>0.1191559</v>
      </c>
      <c r="V5194">
        <v>-6.8725850000000005E-2</v>
      </c>
      <c r="W5194">
        <v>-5.2347860000000003E-2</v>
      </c>
      <c r="X5194">
        <v>0.99626119999999996</v>
      </c>
      <c r="Y5194">
        <v>4.101698E-3</v>
      </c>
      <c r="Z5194">
        <v>-4.7423700000000002E-4</v>
      </c>
      <c r="AA5194">
        <v>0.99999150000000003</v>
      </c>
      <c r="AB5194">
        <v>59</v>
      </c>
      <c r="AC5194">
        <v>-51.472499999999997</v>
      </c>
      <c r="AD5194">
        <v>-1.1056322533109999</v>
      </c>
      <c r="AE5194">
        <v>2.0411999999999999</v>
      </c>
      <c r="AF5194">
        <v>0.21281053258898</v>
      </c>
      <c r="AG5194">
        <v>-1.1056322533109999</v>
      </c>
      <c r="AH5194">
        <v>51.488797892022802</v>
      </c>
      <c r="AI5194">
        <v>91.230127516137003</v>
      </c>
      <c r="AJ5194">
        <v>89.763189734041305</v>
      </c>
      <c r="AK5194">
        <v>51.501106972257602</v>
      </c>
      <c r="AL5194">
        <v>93.000683092083605</v>
      </c>
      <c r="AM5194">
        <v>93.946226883974603</v>
      </c>
      <c r="AN5194">
        <v>0.99999995976512002</v>
      </c>
    </row>
    <row r="5195" spans="1:40" x14ac:dyDescent="0.25">
      <c r="A5195" t="str">
        <f>"20190305135033367"</f>
        <v>20190305135033367</v>
      </c>
      <c r="B5195" t="str">
        <f>"1551765033355381"</f>
        <v>1551765033355381</v>
      </c>
      <c r="C5195" t="s">
        <v>40</v>
      </c>
      <c r="D5195">
        <v>3.938669</v>
      </c>
      <c r="E5195">
        <v>0.52781619999999996</v>
      </c>
      <c r="F5195" t="s">
        <v>42</v>
      </c>
      <c r="G5195">
        <v>-361.42189999999999</v>
      </c>
      <c r="H5195" s="1">
        <v>-4.4678200000000004E-6</v>
      </c>
      <c r="I5195">
        <v>143.4254</v>
      </c>
      <c r="J5195">
        <v>-310.95060000000001</v>
      </c>
      <c r="K5195">
        <v>1.105664</v>
      </c>
      <c r="L5195">
        <v>141.3956</v>
      </c>
      <c r="M5195">
        <v>-0.9993244</v>
      </c>
      <c r="N5195">
        <v>-6.371463E-3</v>
      </c>
      <c r="O5195">
        <v>3.6196840000000001E-2</v>
      </c>
      <c r="P5195">
        <v>-0.99776549999999997</v>
      </c>
      <c r="Q5195">
        <v>-5.897376E-2</v>
      </c>
      <c r="R5195">
        <v>-3.1406870000000003E-2</v>
      </c>
      <c r="S5195">
        <v>-3.0070190000000001</v>
      </c>
      <c r="T5195">
        <v>-6.5390589999999998E-2</v>
      </c>
      <c r="U5195">
        <v>0.12083439999999999</v>
      </c>
      <c r="V5195">
        <v>-6.7767399999999894E-2</v>
      </c>
      <c r="W5195">
        <v>-5.2285779999999997E-2</v>
      </c>
      <c r="X5195">
        <v>0.9963301</v>
      </c>
      <c r="Y5195">
        <v>3.9600570000000003E-3</v>
      </c>
      <c r="Z5195">
        <v>-5.00199E-4</v>
      </c>
      <c r="AA5195">
        <v>0.99999199999999999</v>
      </c>
      <c r="AB5195">
        <v>59</v>
      </c>
      <c r="AC5195">
        <v>-50.4712999999999</v>
      </c>
      <c r="AD5195">
        <v>-1.1056684678199999</v>
      </c>
      <c r="AE5195">
        <v>2.0297999999999901</v>
      </c>
      <c r="AF5195">
        <v>0.201434666089157</v>
      </c>
      <c r="AG5195">
        <v>-1.1056684678199999</v>
      </c>
      <c r="AH5195">
        <v>50.487507230977101</v>
      </c>
      <c r="AI5195">
        <v>91.254558038673494</v>
      </c>
      <c r="AJ5195">
        <v>89.771402954751096</v>
      </c>
      <c r="AK5195">
        <v>50.500014505774097</v>
      </c>
      <c r="AL5195">
        <v>92.9971213343008</v>
      </c>
      <c r="AM5195">
        <v>93.8910948403269</v>
      </c>
      <c r="AN5195">
        <v>0.99999994572948703</v>
      </c>
    </row>
    <row r="5196" spans="1:40" x14ac:dyDescent="0.25">
      <c r="A5196" t="str">
        <f>"20190305135033389"</f>
        <v>20190305135033389</v>
      </c>
      <c r="B5196" t="str">
        <f>"1551765033385636"</f>
        <v>1551765033385636</v>
      </c>
      <c r="C5196" t="s">
        <v>40</v>
      </c>
      <c r="D5196">
        <v>4.0052310000000002</v>
      </c>
      <c r="E5196">
        <v>0.52718640000000005</v>
      </c>
      <c r="F5196" t="s">
        <v>42</v>
      </c>
      <c r="G5196">
        <v>-361.91030000000001</v>
      </c>
      <c r="H5196" s="1">
        <v>-4.3142199999999998E-6</v>
      </c>
      <c r="I5196">
        <v>143.49639999999999</v>
      </c>
      <c r="J5196">
        <v>-311.54199999999997</v>
      </c>
      <c r="K5196">
        <v>1.105721</v>
      </c>
      <c r="L5196">
        <v>141.417</v>
      </c>
      <c r="M5196">
        <v>-0.99928349999999999</v>
      </c>
      <c r="N5196">
        <v>-6.4011880000000004E-3</v>
      </c>
      <c r="O5196">
        <v>3.7306470000000001E-2</v>
      </c>
      <c r="P5196">
        <v>-0.99782389999999999</v>
      </c>
      <c r="Q5196">
        <v>-5.9083650000000001E-2</v>
      </c>
      <c r="R5196">
        <v>-2.927099E-2</v>
      </c>
      <c r="S5196">
        <v>-3.0067439999999999</v>
      </c>
      <c r="T5196">
        <v>-6.5237160000000002E-2</v>
      </c>
      <c r="U5196">
        <v>0.1239624</v>
      </c>
      <c r="V5196">
        <v>-6.6733710000000002E-2</v>
      </c>
      <c r="W5196">
        <v>-5.2380669999999997E-2</v>
      </c>
      <c r="X5196">
        <v>0.99639489999999997</v>
      </c>
      <c r="Y5196">
        <v>3.8920550000000002E-3</v>
      </c>
      <c r="Z5196">
        <v>-5.1526269999999997E-4</v>
      </c>
      <c r="AA5196">
        <v>0.99999229999999995</v>
      </c>
      <c r="AB5196">
        <v>59</v>
      </c>
      <c r="AC5196">
        <v>-50.368299999999898</v>
      </c>
      <c r="AD5196">
        <v>-1.1057253142200001</v>
      </c>
      <c r="AE5196">
        <v>2.0793999999999899</v>
      </c>
      <c r="AF5196">
        <v>0.19875506287498301</v>
      </c>
      <c r="AG5196">
        <v>-1.1057253142200001</v>
      </c>
      <c r="AH5196">
        <v>50.386571149887203</v>
      </c>
      <c r="AI5196">
        <v>91.257135241161805</v>
      </c>
      <c r="AJ5196">
        <v>89.773992019385602</v>
      </c>
      <c r="AK5196">
        <v>50.399094082018699</v>
      </c>
      <c r="AL5196">
        <v>93.002565549537906</v>
      </c>
      <c r="AM5196">
        <v>93.831671752903006</v>
      </c>
      <c r="AN5196">
        <v>0.99999995969301003</v>
      </c>
    </row>
    <row r="5197" spans="1:40" x14ac:dyDescent="0.25">
      <c r="A5197" t="str">
        <f>"20190305135033404"</f>
        <v>20190305135033404</v>
      </c>
      <c r="B5197" t="str">
        <f>"1551765033395396"</f>
        <v>1551765033395396</v>
      </c>
      <c r="C5197" t="s">
        <v>40</v>
      </c>
      <c r="D5197">
        <v>3.9522620000000002</v>
      </c>
      <c r="E5197">
        <v>0.52698519999999904</v>
      </c>
      <c r="F5197" t="s">
        <v>42</v>
      </c>
      <c r="G5197">
        <v>-362.7355</v>
      </c>
      <c r="H5197" s="1">
        <v>-4.0424679999999998E-6</v>
      </c>
      <c r="I5197">
        <v>143.54750000000001</v>
      </c>
      <c r="J5197">
        <v>-311.92189999999999</v>
      </c>
      <c r="K5197">
        <v>1.1057600000000001</v>
      </c>
      <c r="L5197">
        <v>141.43119999999999</v>
      </c>
      <c r="M5197">
        <v>-0.99925699999999995</v>
      </c>
      <c r="N5197">
        <v>-6.4210530000000004E-3</v>
      </c>
      <c r="O5197">
        <v>3.8005230000000001E-2</v>
      </c>
      <c r="P5197">
        <v>-0.99784669999999998</v>
      </c>
      <c r="Q5197">
        <v>-5.9085510000000001E-2</v>
      </c>
      <c r="R5197">
        <v>-2.8481409999999999E-2</v>
      </c>
      <c r="S5197">
        <v>-3.0063780000000002</v>
      </c>
      <c r="T5197">
        <v>-6.4934610000000004E-2</v>
      </c>
      <c r="U5197">
        <v>0.12512210000000001</v>
      </c>
      <c r="V5197">
        <v>-6.6637299999999997E-2</v>
      </c>
      <c r="W5197">
        <v>-5.2369310000000002E-2</v>
      </c>
      <c r="X5197">
        <v>0.99640200000000001</v>
      </c>
      <c r="Y5197">
        <v>3.5829780000000001E-3</v>
      </c>
      <c r="Z5197">
        <v>-5.2592610000000005E-4</v>
      </c>
      <c r="AA5197">
        <v>0.99999340000000003</v>
      </c>
      <c r="AB5197">
        <v>59</v>
      </c>
      <c r="AC5197">
        <v>-50.813600000000001</v>
      </c>
      <c r="AD5197">
        <v>-1.105764042468</v>
      </c>
      <c r="AE5197">
        <v>2.1163000000000198</v>
      </c>
      <c r="AF5197">
        <v>0.183462073530823</v>
      </c>
      <c r="AG5197">
        <v>-1.105764042468</v>
      </c>
      <c r="AH5197">
        <v>50.833289457083403</v>
      </c>
      <c r="AI5197">
        <v>91.246136359525195</v>
      </c>
      <c r="AJ5197">
        <v>89.793215096114196</v>
      </c>
      <c r="AK5197">
        <v>50.845645727807103</v>
      </c>
      <c r="AL5197">
        <v>93.001913623754703</v>
      </c>
      <c r="AM5197">
        <v>93.826125419141704</v>
      </c>
      <c r="AN5197">
        <v>1.0000000099925801</v>
      </c>
    </row>
    <row r="5198" spans="1:40" x14ac:dyDescent="0.25">
      <c r="A5198" t="str">
        <f>"20190305135033416"</f>
        <v>20190305135033416</v>
      </c>
      <c r="B5198" t="str">
        <f>"1551765033405158"</f>
        <v>1551765033405158</v>
      </c>
      <c r="C5198" t="s">
        <v>40</v>
      </c>
      <c r="D5198">
        <v>3.973338</v>
      </c>
      <c r="E5198">
        <v>0.52696119999999902</v>
      </c>
      <c r="F5198" t="s">
        <v>42</v>
      </c>
      <c r="G5198">
        <v>-363.3734</v>
      </c>
      <c r="H5198" s="1">
        <v>-3.8317309999999999E-6</v>
      </c>
      <c r="I5198">
        <v>143.58330000000001</v>
      </c>
      <c r="J5198">
        <v>-312.25049999999999</v>
      </c>
      <c r="K5198">
        <v>1.105793</v>
      </c>
      <c r="L5198">
        <v>141.4436</v>
      </c>
      <c r="M5198">
        <v>-0.99923410000000001</v>
      </c>
      <c r="N5198">
        <v>-6.4387709999999898E-3</v>
      </c>
      <c r="O5198">
        <v>3.8596169999999999E-2</v>
      </c>
      <c r="P5198">
        <v>-0.99783679999999997</v>
      </c>
      <c r="Q5198">
        <v>-5.9592480000000003E-2</v>
      </c>
      <c r="R5198">
        <v>-2.7750899999999998E-2</v>
      </c>
      <c r="S5198">
        <v>-3.0062259999999998</v>
      </c>
      <c r="T5198">
        <v>-6.4608100000000002E-2</v>
      </c>
      <c r="U5198">
        <v>0.12574769999999999</v>
      </c>
      <c r="V5198">
        <v>-6.6493499999999997E-2</v>
      </c>
      <c r="W5198">
        <v>-5.2865080000000002E-2</v>
      </c>
      <c r="X5198">
        <v>0.99638539999999998</v>
      </c>
      <c r="Y5198">
        <v>3.2015519999999999E-3</v>
      </c>
      <c r="Z5198">
        <v>-5.355278E-4</v>
      </c>
      <c r="AA5198">
        <v>0.99999479999999996</v>
      </c>
      <c r="AB5198">
        <v>59</v>
      </c>
      <c r="AC5198">
        <v>-51.122900000000001</v>
      </c>
      <c r="AD5198">
        <v>-1.1057968317309901</v>
      </c>
      <c r="AE5198">
        <v>2.1396999999999999</v>
      </c>
      <c r="AF5198">
        <v>0.16483950295380001</v>
      </c>
      <c r="AG5198">
        <v>-1.1057968317309901</v>
      </c>
      <c r="AH5198">
        <v>51.143505818416997</v>
      </c>
      <c r="AI5198">
        <v>91.238618497968304</v>
      </c>
      <c r="AJ5198">
        <v>89.815331879168198</v>
      </c>
      <c r="AK5198">
        <v>51.155724470417297</v>
      </c>
      <c r="AL5198">
        <v>93.030358635055606</v>
      </c>
      <c r="AM5198">
        <v>93.817956693581806</v>
      </c>
      <c r="AN5198">
        <v>0.99999998377940802</v>
      </c>
    </row>
    <row r="5199" spans="1:40" x14ac:dyDescent="0.25">
      <c r="A5199" t="str">
        <f>"20190305135033429"</f>
        <v>20190305135033429</v>
      </c>
      <c r="B5199" t="str">
        <f>"1551765033425652"</f>
        <v>1551765033425652</v>
      </c>
      <c r="C5199" t="s">
        <v>40</v>
      </c>
      <c r="D5199">
        <v>3.9894660000000002</v>
      </c>
      <c r="E5199">
        <v>0.52732469999999998</v>
      </c>
      <c r="F5199" t="s">
        <v>42</v>
      </c>
      <c r="G5199">
        <v>-362.59699999999998</v>
      </c>
      <c r="H5199" s="1">
        <v>-4.0954489999999997E-6</v>
      </c>
      <c r="I5199">
        <v>143.5805</v>
      </c>
      <c r="J5199">
        <v>-312.59289999999999</v>
      </c>
      <c r="K5199">
        <v>1.1058269999999999</v>
      </c>
      <c r="L5199">
        <v>141.45670000000001</v>
      </c>
      <c r="M5199">
        <v>-0.99921059999999995</v>
      </c>
      <c r="N5199">
        <v>-6.4577369999999999E-3</v>
      </c>
      <c r="O5199">
        <v>3.9200150000000003E-2</v>
      </c>
      <c r="P5199">
        <v>-0.9978397</v>
      </c>
      <c r="Q5199">
        <v>-5.9939050000000001E-2</v>
      </c>
      <c r="R5199">
        <v>-2.6895059999999998E-2</v>
      </c>
      <c r="S5199">
        <v>-3.0060730000000002</v>
      </c>
      <c r="T5199">
        <v>-6.6024659999999999E-2</v>
      </c>
      <c r="U5199">
        <v>0.12759400000000001</v>
      </c>
      <c r="V5199">
        <v>-6.6237169999999998E-2</v>
      </c>
      <c r="W5199">
        <v>-5.32001E-2</v>
      </c>
      <c r="X5199">
        <v>0.99638470000000001</v>
      </c>
      <c r="Y5199">
        <v>3.2126239999999999E-3</v>
      </c>
      <c r="Z5199">
        <v>-5.6139440000000003E-4</v>
      </c>
      <c r="AA5199">
        <v>0.99999470000000001</v>
      </c>
      <c r="AB5199">
        <v>59</v>
      </c>
      <c r="AC5199">
        <v>-50.004100000000001</v>
      </c>
      <c r="AD5199">
        <v>-1.105831095449</v>
      </c>
      <c r="AE5199">
        <v>2.1237999999999801</v>
      </c>
      <c r="AF5199">
        <v>0.161879587330091</v>
      </c>
      <c r="AG5199">
        <v>-1.105831095449</v>
      </c>
      <c r="AH5199">
        <v>50.024498030533401</v>
      </c>
      <c r="AI5199">
        <v>91.2663556463026</v>
      </c>
      <c r="AJ5199">
        <v>89.814591147667301</v>
      </c>
      <c r="AK5199">
        <v>50.036981030226997</v>
      </c>
      <c r="AL5199">
        <v>93.049580740156998</v>
      </c>
      <c r="AM5199">
        <v>93.803284554622493</v>
      </c>
      <c r="AN5199">
        <v>1.00000004186185</v>
      </c>
    </row>
    <row r="5200" spans="1:40" x14ac:dyDescent="0.25">
      <c r="A5200" t="str">
        <f>"20190305135033445"</f>
        <v>20190305135033445</v>
      </c>
      <c r="B5200" t="str">
        <f>"1551765033435412"</f>
        <v>1551765033435412</v>
      </c>
      <c r="C5200" t="s">
        <v>40</v>
      </c>
      <c r="D5200">
        <v>3.9642900000000001</v>
      </c>
      <c r="E5200">
        <v>0.52755799999999997</v>
      </c>
      <c r="F5200" t="s">
        <v>42</v>
      </c>
      <c r="G5200">
        <v>-362.09829999999999</v>
      </c>
      <c r="H5200" s="1">
        <v>-4.2765709999999997E-6</v>
      </c>
      <c r="I5200">
        <v>143.64490000000001</v>
      </c>
      <c r="J5200">
        <v>-313.00020000000001</v>
      </c>
      <c r="K5200">
        <v>1.105869</v>
      </c>
      <c r="L5200">
        <v>141.4727</v>
      </c>
      <c r="M5200">
        <v>-0.9991835</v>
      </c>
      <c r="N5200">
        <v>-6.4805260000000003E-3</v>
      </c>
      <c r="O5200">
        <v>3.9879900000000003E-2</v>
      </c>
      <c r="P5200">
        <v>-0.99774439999999998</v>
      </c>
      <c r="Q5200">
        <v>-6.1537010000000003E-2</v>
      </c>
      <c r="R5200">
        <v>-2.6825229999999999E-2</v>
      </c>
      <c r="S5200">
        <v>-3.0060419999999999</v>
      </c>
      <c r="T5200">
        <v>-6.7147849999999995E-2</v>
      </c>
      <c r="U5200">
        <v>0.13287349999999901</v>
      </c>
      <c r="V5200">
        <v>-6.6841960000000006E-2</v>
      </c>
      <c r="W5200">
        <v>-5.4781669999999998E-2</v>
      </c>
      <c r="X5200">
        <v>0.99625859999999999</v>
      </c>
      <c r="Y5200">
        <v>4.285685E-3</v>
      </c>
      <c r="Z5200">
        <v>-5.6976610000000001E-4</v>
      </c>
      <c r="AA5200">
        <v>0.99999059999999995</v>
      </c>
      <c r="AB5200">
        <v>59</v>
      </c>
      <c r="AC5200">
        <v>-49.098099999999903</v>
      </c>
      <c r="AD5200">
        <v>-1.105873276571</v>
      </c>
      <c r="AE5200">
        <v>2.1722000000000001</v>
      </c>
      <c r="AF5200">
        <v>0.21229604179528899</v>
      </c>
      <c r="AG5200">
        <v>-1.105873276571</v>
      </c>
      <c r="AH5200">
        <v>49.120797548803402</v>
      </c>
      <c r="AI5200">
        <v>91.289689528279993</v>
      </c>
      <c r="AJ5200">
        <v>89.752373901176298</v>
      </c>
      <c r="AK5200">
        <v>49.133703067687897</v>
      </c>
      <c r="AL5200">
        <v>93.140330407254993</v>
      </c>
      <c r="AM5200">
        <v>93.838392115996996</v>
      </c>
      <c r="AN5200">
        <v>1.00000003852929</v>
      </c>
    </row>
    <row r="5201" spans="1:40" x14ac:dyDescent="0.25">
      <c r="A5201" t="str">
        <f>"20190305135033468"</f>
        <v>20190305135033468</v>
      </c>
      <c r="B5201" t="str">
        <f>"1551765033465668"</f>
        <v>1551765033465668</v>
      </c>
      <c r="C5201" t="s">
        <v>40</v>
      </c>
      <c r="D5201">
        <v>3.9297900000000001</v>
      </c>
      <c r="E5201">
        <v>0.52818580000000004</v>
      </c>
      <c r="F5201" t="s">
        <v>42</v>
      </c>
      <c r="G5201">
        <v>-359.47730000000001</v>
      </c>
      <c r="H5201" s="1">
        <v>-1.255452E-6</v>
      </c>
      <c r="I5201">
        <v>143.55840000000001</v>
      </c>
      <c r="J5201">
        <v>-313.62540000000001</v>
      </c>
      <c r="K5201">
        <v>1.1059490000000001</v>
      </c>
      <c r="L5201">
        <v>141.49760000000001</v>
      </c>
      <c r="M5201">
        <v>-0.99914349999999996</v>
      </c>
      <c r="N5201">
        <v>-6.517279E-3</v>
      </c>
      <c r="O5201">
        <v>4.0863089999999998E-2</v>
      </c>
      <c r="P5201">
        <v>-0.99767729999999999</v>
      </c>
      <c r="Q5201">
        <v>-6.2746170000000004E-2</v>
      </c>
      <c r="R5201">
        <v>-2.6513129999999999E-2</v>
      </c>
      <c r="S5201">
        <v>-3.0059809999999998</v>
      </c>
      <c r="T5201">
        <v>-7.1523899999999904E-2</v>
      </c>
      <c r="U5201">
        <v>0.134903</v>
      </c>
      <c r="V5201">
        <v>-6.7500690000000002E-2</v>
      </c>
      <c r="W5201">
        <v>-5.5966109999999999E-2</v>
      </c>
      <c r="X5201">
        <v>0.99614829999999999</v>
      </c>
      <c r="Y5201">
        <v>3.9773789999999996E-3</v>
      </c>
      <c r="Z5201">
        <v>-6.4470650000000005E-4</v>
      </c>
      <c r="AA5201">
        <v>0.99999190000000004</v>
      </c>
      <c r="AB5201">
        <v>59</v>
      </c>
      <c r="AC5201">
        <v>-45.851900000000001</v>
      </c>
      <c r="AD5201">
        <v>-1.105950255452</v>
      </c>
      <c r="AE5201">
        <v>2.0608</v>
      </c>
      <c r="AF5201">
        <v>0.185280970698988</v>
      </c>
      <c r="AG5201">
        <v>-1.105950255452</v>
      </c>
      <c r="AH5201">
        <v>45.871180256067902</v>
      </c>
      <c r="AI5201">
        <v>91.381117540431504</v>
      </c>
      <c r="AJ5201">
        <v>89.768574519888304</v>
      </c>
      <c r="AK5201">
        <v>45.884884581856703</v>
      </c>
      <c r="AL5201">
        <v>93.208298254410394</v>
      </c>
      <c r="AM5201">
        <v>93.876532742478403</v>
      </c>
      <c r="AN5201">
        <v>0.99999999210594903</v>
      </c>
    </row>
    <row r="5202" spans="1:40" x14ac:dyDescent="0.25">
      <c r="A5202" t="str">
        <f>"20190305135033492"</f>
        <v>20190305135033492</v>
      </c>
      <c r="B5202" t="str">
        <f>"1551765033485189"</f>
        <v>1551765033485189</v>
      </c>
      <c r="C5202" t="s">
        <v>40</v>
      </c>
      <c r="D5202">
        <v>3.9569079999999999</v>
      </c>
      <c r="E5202">
        <v>0.52850779999999997</v>
      </c>
      <c r="F5202" t="s">
        <v>42</v>
      </c>
      <c r="G5202">
        <v>-358.06709999999998</v>
      </c>
      <c r="H5202" s="1">
        <v>-1.8660129999999999E-6</v>
      </c>
      <c r="I5202">
        <v>143.5795</v>
      </c>
      <c r="J5202">
        <v>-314.21589999999998</v>
      </c>
      <c r="K5202">
        <v>1.106031</v>
      </c>
      <c r="L5202">
        <v>141.52160000000001</v>
      </c>
      <c r="M5202">
        <v>-0.99910849999999995</v>
      </c>
      <c r="N5202">
        <v>-6.5537319999999996E-3</v>
      </c>
      <c r="O5202">
        <v>4.1705279999999997E-2</v>
      </c>
      <c r="P5202">
        <v>-0.99751679999999998</v>
      </c>
      <c r="Q5202">
        <v>-6.5057439999999994E-2</v>
      </c>
      <c r="R5202">
        <v>-2.6977210000000001E-2</v>
      </c>
      <c r="S5202">
        <v>-3.0059809999999998</v>
      </c>
      <c r="T5202">
        <v>-7.4805140000000006E-2</v>
      </c>
      <c r="U5202">
        <v>0.14082339999999999</v>
      </c>
      <c r="V5202">
        <v>-6.8794530000000007E-2</v>
      </c>
      <c r="W5202">
        <v>-5.8251780000000003E-2</v>
      </c>
      <c r="X5202">
        <v>0.9959287</v>
      </c>
      <c r="Y5202">
        <v>5.1001850000000001E-3</v>
      </c>
      <c r="Z5202">
        <v>-6.8323169999999999E-4</v>
      </c>
      <c r="AA5202">
        <v>0.99998679999999995</v>
      </c>
      <c r="AB5202">
        <v>59</v>
      </c>
      <c r="AC5202">
        <v>-43.851199999999999</v>
      </c>
      <c r="AD5202">
        <v>-1.1060328660130001</v>
      </c>
      <c r="AE5202">
        <v>2.0578999999999801</v>
      </c>
      <c r="AF5202">
        <v>0.22709952299243699</v>
      </c>
      <c r="AG5202">
        <v>-1.1060328660130001</v>
      </c>
      <c r="AH5202">
        <v>43.871024946439</v>
      </c>
      <c r="AI5202">
        <v>91.444159233055402</v>
      </c>
      <c r="AJ5202">
        <v>89.703409528475504</v>
      </c>
      <c r="AK5202">
        <v>43.885552437506298</v>
      </c>
      <c r="AL5202">
        <v>93.339471695930897</v>
      </c>
      <c r="AM5202">
        <v>93.951472619502098</v>
      </c>
      <c r="AN5202">
        <v>0.99999996635738897</v>
      </c>
    </row>
    <row r="5203" spans="1:40" x14ac:dyDescent="0.25">
      <c r="A5203" t="str">
        <f>"20190305135033513"</f>
        <v>20190305135033513</v>
      </c>
      <c r="B5203" t="str">
        <f>"1551765033505684"</f>
        <v>1551765033505684</v>
      </c>
      <c r="C5203" t="s">
        <v>40</v>
      </c>
      <c r="D5203">
        <v>3.9229379999999998</v>
      </c>
      <c r="E5203">
        <v>0.52880509999999903</v>
      </c>
      <c r="F5203" t="s">
        <v>42</v>
      </c>
      <c r="G5203">
        <v>-355.04169999999999</v>
      </c>
      <c r="H5203" s="1">
        <v>-3.1288980000000002E-6</v>
      </c>
      <c r="I5203">
        <v>143.4478</v>
      </c>
      <c r="J5203">
        <v>-314.82119999999998</v>
      </c>
      <c r="K5203">
        <v>1.10612</v>
      </c>
      <c r="L5203">
        <v>141.54679999999999</v>
      </c>
      <c r="M5203">
        <v>-0.99907570000000001</v>
      </c>
      <c r="N5203">
        <v>-6.5917750000000002E-3</v>
      </c>
      <c r="O5203">
        <v>4.2481079999999997E-2</v>
      </c>
      <c r="P5203">
        <v>-0.99745280000000003</v>
      </c>
      <c r="Q5203">
        <v>-6.6192490000000007E-2</v>
      </c>
      <c r="R5203">
        <v>-2.6591070000000001E-2</v>
      </c>
      <c r="S5203">
        <v>-3.0059809999999998</v>
      </c>
      <c r="T5203">
        <v>-8.1436869999999995E-2</v>
      </c>
      <c r="U5203">
        <v>0.1418304</v>
      </c>
      <c r="V5203">
        <v>-6.9169919999999996E-2</v>
      </c>
      <c r="W5203">
        <v>-5.936346E-2</v>
      </c>
      <c r="X5203">
        <v>0.99583710000000003</v>
      </c>
      <c r="Y5203">
        <v>4.6597440000000004E-3</v>
      </c>
      <c r="Z5203">
        <v>-7.9107159999999995E-4</v>
      </c>
      <c r="AA5203">
        <v>0.99998889999999996</v>
      </c>
      <c r="AB5203">
        <v>59</v>
      </c>
      <c r="AC5203">
        <v>-40.220500000000001</v>
      </c>
      <c r="AD5203">
        <v>-1.106123128898</v>
      </c>
      <c r="AE5203">
        <v>1.90100000000001</v>
      </c>
      <c r="AF5203">
        <v>0.19049298151288699</v>
      </c>
      <c r="AG5203">
        <v>-1.106123128898</v>
      </c>
      <c r="AH5203">
        <v>40.2345856705617</v>
      </c>
      <c r="AI5203">
        <v>91.574752584241693</v>
      </c>
      <c r="AJ5203">
        <v>89.728731832728499</v>
      </c>
      <c r="AK5203">
        <v>40.250238260587402</v>
      </c>
      <c r="AL5203">
        <v>93.403276536453902</v>
      </c>
      <c r="AM5203">
        <v>93.973329967276101</v>
      </c>
      <c r="AN5203">
        <v>1.00000001397619</v>
      </c>
    </row>
    <row r="5204" spans="1:40" x14ac:dyDescent="0.25">
      <c r="A5204" t="str">
        <f>"20190305135033534"</f>
        <v>20190305135033534</v>
      </c>
      <c r="B5204" t="str">
        <f>"1551765033525204"</f>
        <v>1551765033525204</v>
      </c>
      <c r="C5204" t="s">
        <v>40</v>
      </c>
      <c r="D5204">
        <v>3.9264510000000001</v>
      </c>
      <c r="E5204">
        <v>0.52910869999999999</v>
      </c>
      <c r="F5204" t="s">
        <v>42</v>
      </c>
      <c r="G5204">
        <v>-354.25720000000001</v>
      </c>
      <c r="H5204" s="1">
        <v>-3.4667100000000001E-6</v>
      </c>
      <c r="I5204">
        <v>143.45269999999999</v>
      </c>
      <c r="J5204">
        <v>-315.39499999999998</v>
      </c>
      <c r="K5204">
        <v>1.106212</v>
      </c>
      <c r="L5204">
        <v>141.571</v>
      </c>
      <c r="M5204">
        <v>-0.99904669999999896</v>
      </c>
      <c r="N5204">
        <v>-6.6278719999999999E-3</v>
      </c>
      <c r="O5204">
        <v>4.3149170000000001E-2</v>
      </c>
      <c r="P5204">
        <v>-0.997556</v>
      </c>
      <c r="Q5204">
        <v>-6.5113240000000003E-2</v>
      </c>
      <c r="R5204">
        <v>-2.5340310000000001E-2</v>
      </c>
      <c r="S5204">
        <v>-3.005951</v>
      </c>
      <c r="T5204">
        <v>-8.4312680000000001E-2</v>
      </c>
      <c r="U5204">
        <v>0.14527889999999999</v>
      </c>
      <c r="V5204">
        <v>-6.8574609999999994E-2</v>
      </c>
      <c r="W5204">
        <v>-5.8263780000000001E-2</v>
      </c>
      <c r="X5204">
        <v>0.99594320000000003</v>
      </c>
      <c r="Y5204">
        <v>5.136687E-3</v>
      </c>
      <c r="Z5204">
        <v>-8.3379250000000004E-4</v>
      </c>
      <c r="AA5204">
        <v>0.9999865</v>
      </c>
      <c r="AB5204">
        <v>60</v>
      </c>
      <c r="AC5204">
        <v>-38.862200000000001</v>
      </c>
      <c r="AD5204">
        <v>-1.1062154667099999</v>
      </c>
      <c r="AE5204">
        <v>1.8816999999999899</v>
      </c>
      <c r="AF5204">
        <v>0.20287495463153299</v>
      </c>
      <c r="AG5204">
        <v>-1.1062154667099999</v>
      </c>
      <c r="AH5204">
        <v>38.875773491862297</v>
      </c>
      <c r="AI5204">
        <v>91.629897265388905</v>
      </c>
      <c r="AJ5204">
        <v>89.701002138132196</v>
      </c>
      <c r="AK5204">
        <v>38.892038201881199</v>
      </c>
      <c r="AL5204">
        <v>93.340160297828504</v>
      </c>
      <c r="AM5204">
        <v>93.938823346562501</v>
      </c>
      <c r="AN5204">
        <v>1.0000000014113899</v>
      </c>
    </row>
    <row r="5205" spans="1:40" x14ac:dyDescent="0.25">
      <c r="A5205" t="str">
        <f>"20190305135033548"</f>
        <v>20190305135033548</v>
      </c>
      <c r="B5205" t="str">
        <f>"1551765033545701"</f>
        <v>1551765033545701</v>
      </c>
      <c r="C5205" t="s">
        <v>40</v>
      </c>
      <c r="D5205">
        <v>3.9119760000000001</v>
      </c>
      <c r="E5205">
        <v>0.52942330000000004</v>
      </c>
      <c r="F5205" t="s">
        <v>42</v>
      </c>
      <c r="G5205">
        <v>-356.4479</v>
      </c>
      <c r="H5205" s="1">
        <v>-2.577242E-6</v>
      </c>
      <c r="I5205">
        <v>143.64179999999999</v>
      </c>
      <c r="J5205">
        <v>-315.77550000000002</v>
      </c>
      <c r="K5205">
        <v>1.1062719999999999</v>
      </c>
      <c r="L5205">
        <v>141.5873</v>
      </c>
      <c r="M5205">
        <v>-0.99902860000000004</v>
      </c>
      <c r="N5205">
        <v>-6.6525710000000004E-3</v>
      </c>
      <c r="O5205">
        <v>4.3561139999999998E-2</v>
      </c>
      <c r="P5205">
        <v>-0.99764679999999994</v>
      </c>
      <c r="Q5205">
        <v>-6.4181160000000001E-2</v>
      </c>
      <c r="R5205">
        <v>-2.4121360000000001E-2</v>
      </c>
      <c r="S5205">
        <v>-3.0059200000000001</v>
      </c>
      <c r="T5205">
        <v>-8.0997819999999998E-2</v>
      </c>
      <c r="U5205">
        <v>0.1516266</v>
      </c>
      <c r="V5205">
        <v>-6.7760059999999997E-2</v>
      </c>
      <c r="W5205">
        <v>-5.7318239999999999E-2</v>
      </c>
      <c r="X5205">
        <v>0.99605379999999999</v>
      </c>
      <c r="Y5205">
        <v>6.8298279999999996E-3</v>
      </c>
      <c r="Z5205">
        <v>-7.678416E-4</v>
      </c>
      <c r="AA5205">
        <v>0.99997639999999999</v>
      </c>
      <c r="AB5205">
        <v>60</v>
      </c>
      <c r="AC5205">
        <v>-40.672399999999897</v>
      </c>
      <c r="AD5205">
        <v>-1.106274577242</v>
      </c>
      <c r="AE5205">
        <v>2.0544999999999898</v>
      </c>
      <c r="AF5205">
        <v>0.28056732393823502</v>
      </c>
      <c r="AG5205">
        <v>-1.106274577242</v>
      </c>
      <c r="AH5205">
        <v>40.693259808013501</v>
      </c>
      <c r="AI5205">
        <v>91.557205074606799</v>
      </c>
      <c r="AJ5205">
        <v>89.604969744588502</v>
      </c>
      <c r="AK5205">
        <v>40.709261296000001</v>
      </c>
      <c r="AL5205">
        <v>93.285894189055497</v>
      </c>
      <c r="AM5205">
        <v>93.891750620156699</v>
      </c>
      <c r="AN5205">
        <v>0.99999998943116997</v>
      </c>
    </row>
    <row r="5206" spans="1:40" x14ac:dyDescent="0.25">
      <c r="A5206" t="str">
        <f>"20190305135033562"</f>
        <v>20190305135033562</v>
      </c>
      <c r="B5206" t="str">
        <f>"1551765033555460"</f>
        <v>1551765033555460</v>
      </c>
      <c r="C5206" t="s">
        <v>40</v>
      </c>
      <c r="D5206">
        <v>3.9012090000000001</v>
      </c>
      <c r="E5206">
        <v>0.52954780000000001</v>
      </c>
      <c r="F5206" t="s">
        <v>42</v>
      </c>
      <c r="G5206">
        <v>-358.56229999999999</v>
      </c>
      <c r="H5206" s="1">
        <v>-1.7215270000000001E-6</v>
      </c>
      <c r="I5206">
        <v>143.8348</v>
      </c>
      <c r="J5206">
        <v>-316.1234</v>
      </c>
      <c r="K5206">
        <v>1.106328</v>
      </c>
      <c r="L5206">
        <v>141.60239999999999</v>
      </c>
      <c r="M5206">
        <v>-0.99901359999999995</v>
      </c>
      <c r="N5206">
        <v>-6.6760539999999998E-3</v>
      </c>
      <c r="O5206">
        <v>4.3902009999999998E-2</v>
      </c>
      <c r="P5206">
        <v>-0.99771509999999997</v>
      </c>
      <c r="Q5206">
        <v>-6.3418219999999997E-2</v>
      </c>
      <c r="R5206">
        <v>-2.3298960000000001E-2</v>
      </c>
      <c r="S5206">
        <v>-3.0059200000000001</v>
      </c>
      <c r="T5206">
        <v>-7.7719570000000002E-2</v>
      </c>
      <c r="U5206">
        <v>0.15789790000000001</v>
      </c>
      <c r="V5206">
        <v>-6.7271449999999997E-2</v>
      </c>
      <c r="W5206">
        <v>-5.6541290000000001E-2</v>
      </c>
      <c r="X5206">
        <v>0.9961314</v>
      </c>
      <c r="Y5206">
        <v>8.5679850000000002E-3</v>
      </c>
      <c r="Z5206">
        <v>-7.0122869999999897E-4</v>
      </c>
      <c r="AA5206">
        <v>0.99996300000000005</v>
      </c>
      <c r="AB5206">
        <v>60</v>
      </c>
      <c r="AC5206">
        <v>-42.438899999999897</v>
      </c>
      <c r="AD5206">
        <v>-1.106329721527</v>
      </c>
      <c r="AE5206">
        <v>2.2324000000000099</v>
      </c>
      <c r="AF5206">
        <v>0.36680451919914098</v>
      </c>
      <c r="AG5206">
        <v>-1.106329721527</v>
      </c>
      <c r="AH5206">
        <v>42.467209146894596</v>
      </c>
      <c r="AI5206">
        <v>91.492241383138506</v>
      </c>
      <c r="AJ5206">
        <v>89.505128105481006</v>
      </c>
      <c r="AK5206">
        <v>42.483200959133598</v>
      </c>
      <c r="AL5206">
        <v>93.241305669985394</v>
      </c>
      <c r="AM5206">
        <v>93.863472880806398</v>
      </c>
      <c r="AN5206">
        <v>1.00000006576296</v>
      </c>
    </row>
    <row r="5207" spans="1:40" x14ac:dyDescent="0.25">
      <c r="A5207" t="str">
        <f>"20190305135033574"</f>
        <v>20190305135033574</v>
      </c>
      <c r="B5207" t="str">
        <f>"1551765033565221"</f>
        <v>1551765033565221</v>
      </c>
      <c r="C5207" t="s">
        <v>40</v>
      </c>
      <c r="D5207">
        <v>3.9015080000000002</v>
      </c>
      <c r="E5207">
        <v>0.52965530000000005</v>
      </c>
      <c r="F5207" t="s">
        <v>42</v>
      </c>
      <c r="G5207">
        <v>-360.27960000000002</v>
      </c>
      <c r="H5207" s="1">
        <v>-4.9535140000000001E-6</v>
      </c>
      <c r="I5207">
        <v>143.97200000000001</v>
      </c>
      <c r="J5207">
        <v>-316.46539999999999</v>
      </c>
      <c r="K5207">
        <v>1.106382</v>
      </c>
      <c r="L5207">
        <v>141.6173</v>
      </c>
      <c r="M5207">
        <v>-0.99899939999999998</v>
      </c>
      <c r="N5207">
        <v>-6.6992090000000002E-3</v>
      </c>
      <c r="O5207">
        <v>4.4219689999999999E-2</v>
      </c>
      <c r="P5207">
        <v>-0.99775709999999995</v>
      </c>
      <c r="Q5207">
        <v>-6.2974890000000006E-2</v>
      </c>
      <c r="R5207">
        <v>-2.270142E-2</v>
      </c>
      <c r="S5207">
        <v>-3.0058590000000001</v>
      </c>
      <c r="T5207">
        <v>-7.5311779999999995E-2</v>
      </c>
      <c r="U5207">
        <v>0.16131589999999901</v>
      </c>
      <c r="V5207">
        <v>-6.6984379999999996E-2</v>
      </c>
      <c r="W5207">
        <v>-5.608366E-2</v>
      </c>
      <c r="X5207">
        <v>0.99617650000000002</v>
      </c>
      <c r="Y5207">
        <v>9.3841719999999997E-3</v>
      </c>
      <c r="Z5207">
        <v>-6.6128189999999998E-4</v>
      </c>
      <c r="AA5207">
        <v>0.99995579999999995</v>
      </c>
      <c r="AB5207">
        <v>60</v>
      </c>
      <c r="AC5207">
        <v>-43.8142</v>
      </c>
      <c r="AD5207">
        <v>-1.1063869535140001</v>
      </c>
      <c r="AE5207">
        <v>2.3546999999999998</v>
      </c>
      <c r="AF5207">
        <v>0.41463920877778199</v>
      </c>
      <c r="AG5207">
        <v>-1.1063869535140001</v>
      </c>
      <c r="AH5207">
        <v>43.847587810397599</v>
      </c>
      <c r="AI5207">
        <v>91.445347978039194</v>
      </c>
      <c r="AJ5207">
        <v>89.458205804133001</v>
      </c>
      <c r="AK5207">
        <v>43.863503901933001</v>
      </c>
      <c r="AL5207">
        <v>93.215044098660499</v>
      </c>
      <c r="AM5207">
        <v>93.846862104465202</v>
      </c>
      <c r="AN5207">
        <v>0.99999995161761301</v>
      </c>
    </row>
    <row r="5208" spans="1:40" x14ac:dyDescent="0.25">
      <c r="A5208" t="str">
        <f>"20190305135033591"</f>
        <v>20190305135033591</v>
      </c>
      <c r="B5208" t="str">
        <f>"1551765033585717"</f>
        <v>1551765033585717</v>
      </c>
      <c r="C5208" t="s">
        <v>40</v>
      </c>
      <c r="D5208">
        <v>3.8913310000000001</v>
      </c>
      <c r="E5208">
        <v>0.52986169999999899</v>
      </c>
      <c r="F5208" t="s">
        <v>42</v>
      </c>
      <c r="G5208">
        <v>-361.67290000000003</v>
      </c>
      <c r="H5208" s="1">
        <v>-4.4988400000000003E-6</v>
      </c>
      <c r="I5208">
        <v>144.08170000000001</v>
      </c>
      <c r="J5208">
        <v>-316.89339999999999</v>
      </c>
      <c r="K5208">
        <v>1.1064510000000001</v>
      </c>
      <c r="L5208">
        <v>141.6361</v>
      </c>
      <c r="M5208">
        <v>-0.99898299999999995</v>
      </c>
      <c r="N5208">
        <v>-6.7281420000000003E-3</v>
      </c>
      <c r="O5208">
        <v>4.4585189999999997E-2</v>
      </c>
      <c r="P5208">
        <v>-0.99781690000000001</v>
      </c>
      <c r="Q5208">
        <v>-6.2374329999999999E-2</v>
      </c>
      <c r="R5208">
        <v>-2.1706610000000001E-2</v>
      </c>
      <c r="S5208">
        <v>-3.0058289999999999</v>
      </c>
      <c r="T5208">
        <v>-7.3563459999999997E-2</v>
      </c>
      <c r="U5208">
        <v>0.16386410000000001</v>
      </c>
      <c r="V5208">
        <v>-6.6347290000000003E-2</v>
      </c>
      <c r="W5208">
        <v>-5.5466149999999999E-2</v>
      </c>
      <c r="X5208">
        <v>0.99625370000000002</v>
      </c>
      <c r="Y5208">
        <v>9.8636309999999994E-3</v>
      </c>
      <c r="Z5208">
        <v>-6.3589129999999997E-4</v>
      </c>
      <c r="AA5208">
        <v>0.99995109999999998</v>
      </c>
      <c r="AB5208">
        <v>60</v>
      </c>
      <c r="AC5208">
        <v>-44.779499999999999</v>
      </c>
      <c r="AD5208">
        <v>-1.1064554988399999</v>
      </c>
      <c r="AE5208">
        <v>2.44560000000001</v>
      </c>
      <c r="AF5208">
        <v>0.44634868615376899</v>
      </c>
      <c r="AG5208">
        <v>-1.1064554988399999</v>
      </c>
      <c r="AH5208">
        <v>44.816727889954002</v>
      </c>
      <c r="AI5208">
        <v>91.414186529114502</v>
      </c>
      <c r="AJ5208">
        <v>89.429386043933704</v>
      </c>
      <c r="AK5208">
        <v>44.832606099609301</v>
      </c>
      <c r="AL5208">
        <v>93.179608237713893</v>
      </c>
      <c r="AM5208">
        <v>93.810088409363502</v>
      </c>
      <c r="AN5208">
        <v>0.99999994572492601</v>
      </c>
    </row>
    <row r="5209" spans="1:40" x14ac:dyDescent="0.25">
      <c r="A5209" t="str">
        <f>"20190305135033605"</f>
        <v>20190305135033605</v>
      </c>
      <c r="B5209" t="str">
        <f>"1551765033595477"</f>
        <v>1551765033595477</v>
      </c>
      <c r="C5209" t="s">
        <v>40</v>
      </c>
      <c r="D5209">
        <v>3.9211659999999999</v>
      </c>
      <c r="E5209">
        <v>0.52996509999999997</v>
      </c>
      <c r="F5209" t="s">
        <v>42</v>
      </c>
      <c r="G5209">
        <v>-363.77730000000003</v>
      </c>
      <c r="H5209" s="1">
        <v>-3.8145789999999999E-6</v>
      </c>
      <c r="I5209">
        <v>144.26140000000001</v>
      </c>
      <c r="J5209">
        <v>-317.28140000000002</v>
      </c>
      <c r="K5209">
        <v>1.1065069999999999</v>
      </c>
      <c r="L5209">
        <v>141.6533</v>
      </c>
      <c r="M5209">
        <v>-0.99896960000000001</v>
      </c>
      <c r="N5209">
        <v>-6.7537509999999997E-3</v>
      </c>
      <c r="O5209">
        <v>4.4880509999999998E-2</v>
      </c>
      <c r="P5209">
        <v>-0.99783180000000005</v>
      </c>
      <c r="Q5209">
        <v>-6.2448110000000001E-2</v>
      </c>
      <c r="R5209">
        <v>-2.0794710000000001E-2</v>
      </c>
      <c r="S5209">
        <v>-3.0057680000000002</v>
      </c>
      <c r="T5209">
        <v>-7.0935960000000006E-2</v>
      </c>
      <c r="U5209">
        <v>0.16831969999999999</v>
      </c>
      <c r="V5209">
        <v>-6.5723309999999993E-2</v>
      </c>
      <c r="W5209">
        <v>-5.5525520000000002E-2</v>
      </c>
      <c r="X5209">
        <v>0.99629179999999995</v>
      </c>
      <c r="Y5209">
        <v>1.104604E-2</v>
      </c>
      <c r="Z5209">
        <v>-5.8702299999999999E-4</v>
      </c>
      <c r="AA5209">
        <v>0.99993880000000002</v>
      </c>
      <c r="AB5209">
        <v>60</v>
      </c>
      <c r="AC5209">
        <v>-46.495899999999999</v>
      </c>
      <c r="AD5209">
        <v>-1.1065108145789999</v>
      </c>
      <c r="AE5209">
        <v>2.6080999999999999</v>
      </c>
      <c r="AF5209">
        <v>0.51837204570467199</v>
      </c>
      <c r="AG5209">
        <v>-1.1065108145789999</v>
      </c>
      <c r="AH5209">
        <v>46.5398273808295</v>
      </c>
      <c r="AI5209">
        <v>91.361898643532001</v>
      </c>
      <c r="AJ5209">
        <v>89.361851902377893</v>
      </c>
      <c r="AK5209">
        <v>46.555865456437999</v>
      </c>
      <c r="AL5209">
        <v>93.183014985466002</v>
      </c>
      <c r="AM5209">
        <v>93.774215605159995</v>
      </c>
      <c r="AN5209">
        <v>0.99999999379793303</v>
      </c>
    </row>
    <row r="5210" spans="1:40" x14ac:dyDescent="0.25">
      <c r="A5210" t="str">
        <f>"20190305135033624"</f>
        <v>20190305135033624</v>
      </c>
      <c r="B5210" t="str">
        <f>"1551765033614996"</f>
        <v>1551765033614996</v>
      </c>
      <c r="C5210" t="s">
        <v>40</v>
      </c>
      <c r="D5210">
        <v>3.9083160000000001</v>
      </c>
      <c r="E5210">
        <v>0.53018469999999995</v>
      </c>
      <c r="F5210" t="s">
        <v>42</v>
      </c>
      <c r="G5210">
        <v>-364.15960000000001</v>
      </c>
      <c r="H5210" s="1">
        <v>-3.697071E-6</v>
      </c>
      <c r="I5210">
        <v>144.33240000000001</v>
      </c>
      <c r="J5210">
        <v>-317.78590000000003</v>
      </c>
      <c r="K5210">
        <v>1.106582</v>
      </c>
      <c r="L5210">
        <v>141.67580000000001</v>
      </c>
      <c r="M5210">
        <v>-0.99895339999999999</v>
      </c>
      <c r="N5210">
        <v>-6.7862799999999996E-3</v>
      </c>
      <c r="O5210">
        <v>4.5233099999999998E-2</v>
      </c>
      <c r="P5210">
        <v>-0.99785489999999999</v>
      </c>
      <c r="Q5210">
        <v>-6.2378400000000001E-2</v>
      </c>
      <c r="R5210">
        <v>-1.9864380000000001E-2</v>
      </c>
      <c r="S5210">
        <v>-3.005646</v>
      </c>
      <c r="T5210">
        <v>-7.0945140000000004E-2</v>
      </c>
      <c r="U5210">
        <v>0.171783399999999</v>
      </c>
      <c r="V5210">
        <v>-6.5135960000000007E-2</v>
      </c>
      <c r="W5210">
        <v>-5.5436829999999999E-2</v>
      </c>
      <c r="X5210">
        <v>0.99633530000000003</v>
      </c>
      <c r="Y5210">
        <v>1.184375E-2</v>
      </c>
      <c r="Z5210">
        <v>-5.7930510000000005E-4</v>
      </c>
      <c r="AA5210">
        <v>0.99992970000000003</v>
      </c>
      <c r="AB5210">
        <v>60</v>
      </c>
      <c r="AC5210">
        <v>-46.3736999999999</v>
      </c>
      <c r="AD5210">
        <v>-1.106585697071</v>
      </c>
      <c r="AE5210">
        <v>2.6565999999999899</v>
      </c>
      <c r="AF5210">
        <v>0.55589071023597603</v>
      </c>
      <c r="AG5210">
        <v>-1.106585697071</v>
      </c>
      <c r="AH5210">
        <v>46.4200557984244</v>
      </c>
      <c r="AI5210">
        <v>91.365490410534505</v>
      </c>
      <c r="AJ5210">
        <v>89.313902823968903</v>
      </c>
      <c r="AK5210">
        <v>46.436571005141197</v>
      </c>
      <c r="AL5210">
        <v>93.177925618966398</v>
      </c>
      <c r="AM5210">
        <v>93.740419881862096</v>
      </c>
      <c r="AN5210">
        <v>0.99999998271583002</v>
      </c>
    </row>
    <row r="5211" spans="1:40" x14ac:dyDescent="0.25">
      <c r="A5211" t="str">
        <f>"20190305135033639"</f>
        <v>20190305135033639</v>
      </c>
      <c r="B5211" t="str">
        <f>"1551765033635493"</f>
        <v>1551765033635493</v>
      </c>
      <c r="C5211" t="s">
        <v>40</v>
      </c>
      <c r="D5211">
        <v>3.8795890000000002</v>
      </c>
      <c r="E5211">
        <v>0.53032419999999902</v>
      </c>
      <c r="F5211" t="s">
        <v>42</v>
      </c>
      <c r="G5211">
        <v>-364.95240000000001</v>
      </c>
      <c r="H5211" s="1">
        <v>-3.432409E-6</v>
      </c>
      <c r="I5211">
        <v>144.44460000000001</v>
      </c>
      <c r="J5211">
        <v>-318.19779999999997</v>
      </c>
      <c r="K5211">
        <v>1.1066400000000001</v>
      </c>
      <c r="L5211">
        <v>141.6944</v>
      </c>
      <c r="M5211">
        <v>-0.99894139999999998</v>
      </c>
      <c r="N5211">
        <v>-6.8130959999999898E-3</v>
      </c>
      <c r="O5211">
        <v>4.5495769999999998E-2</v>
      </c>
      <c r="P5211">
        <v>-0.99787199999999998</v>
      </c>
      <c r="Q5211">
        <v>-6.2231969999999998E-2</v>
      </c>
      <c r="R5211">
        <v>-1.9466359999999999E-2</v>
      </c>
      <c r="S5211">
        <v>-3.0055540000000001</v>
      </c>
      <c r="T5211">
        <v>-7.0514080000000007E-2</v>
      </c>
      <c r="U5211">
        <v>0.17643739999999999</v>
      </c>
      <c r="V5211">
        <v>-6.4992610000000006E-2</v>
      </c>
      <c r="W5211">
        <v>-5.52734E-2</v>
      </c>
      <c r="X5211">
        <v>0.99635370000000001</v>
      </c>
      <c r="Y5211">
        <v>1.31252E-2</v>
      </c>
      <c r="Z5211">
        <v>-5.5726270000000001E-4</v>
      </c>
      <c r="AA5211">
        <v>0.99991370000000002</v>
      </c>
      <c r="AB5211">
        <v>60</v>
      </c>
      <c r="AC5211">
        <v>-46.754600000000003</v>
      </c>
      <c r="AD5211">
        <v>-1.106643432409</v>
      </c>
      <c r="AE5211">
        <v>2.7502</v>
      </c>
      <c r="AF5211">
        <v>0.61982039572639402</v>
      </c>
      <c r="AG5211">
        <v>-1.106643432409</v>
      </c>
      <c r="AH5211">
        <v>46.805178924517797</v>
      </c>
      <c r="AI5211">
        <v>91.354308063075194</v>
      </c>
      <c r="AJ5211">
        <v>89.241301543054306</v>
      </c>
      <c r="AK5211">
        <v>46.8223622980043</v>
      </c>
      <c r="AL5211">
        <v>93.168547519959105</v>
      </c>
      <c r="AM5211">
        <v>93.732142598377493</v>
      </c>
      <c r="AN5211">
        <v>0.99999994180292895</v>
      </c>
    </row>
    <row r="5212" spans="1:40" x14ac:dyDescent="0.25">
      <c r="A5212" t="str">
        <f>"20190305135033652"</f>
        <v>20190305135033652</v>
      </c>
      <c r="B5212" t="str">
        <f>"1551765033645252"</f>
        <v>1551765033645252</v>
      </c>
      <c r="C5212" t="s">
        <v>40</v>
      </c>
      <c r="D5212">
        <v>3.9027479999999999</v>
      </c>
      <c r="E5212">
        <v>0.53038050000000003</v>
      </c>
      <c r="F5212" t="s">
        <v>42</v>
      </c>
      <c r="G5212">
        <v>-365.7294</v>
      </c>
      <c r="H5212" s="1">
        <v>-3.1196370000000001E-6</v>
      </c>
      <c r="I5212">
        <v>144.52170000000001</v>
      </c>
      <c r="J5212">
        <v>-318.52890000000002</v>
      </c>
      <c r="K5212">
        <v>1.106687</v>
      </c>
      <c r="L5212">
        <v>141.70939999999999</v>
      </c>
      <c r="M5212">
        <v>-0.99893200000000004</v>
      </c>
      <c r="N5212">
        <v>-6.8356229999999999E-3</v>
      </c>
      <c r="O5212">
        <v>4.5695739999999999E-2</v>
      </c>
      <c r="P5212">
        <v>-0.99791269999999999</v>
      </c>
      <c r="Q5212">
        <v>-6.1641219999999997E-2</v>
      </c>
      <c r="R5212">
        <v>-1.9248649999999999E-2</v>
      </c>
      <c r="S5212">
        <v>-3.0055239999999999</v>
      </c>
      <c r="T5212">
        <v>-6.9975609999999994E-2</v>
      </c>
      <c r="U5212">
        <v>0.17878720000000001</v>
      </c>
      <c r="V5212">
        <v>-6.496818E-2</v>
      </c>
      <c r="W5212">
        <v>-5.4667470000000003E-2</v>
      </c>
      <c r="X5212">
        <v>0.99638879999999996</v>
      </c>
      <c r="Y5212">
        <v>1.37044E-2</v>
      </c>
      <c r="Z5212">
        <v>-5.4367559999999996E-4</v>
      </c>
      <c r="AA5212">
        <v>0.99990590000000001</v>
      </c>
      <c r="AB5212">
        <v>60</v>
      </c>
      <c r="AC5212">
        <v>-47.200499999999899</v>
      </c>
      <c r="AD5212">
        <v>-1.106690119637</v>
      </c>
      <c r="AE5212">
        <v>2.81230000000002</v>
      </c>
      <c r="AF5212">
        <v>0.65209272717016198</v>
      </c>
      <c r="AG5212">
        <v>-1.106690119637</v>
      </c>
      <c r="AH5212">
        <v>47.253819865379</v>
      </c>
      <c r="AI5212">
        <v>91.341501076510994</v>
      </c>
      <c r="AJ5212">
        <v>89.2093805364715</v>
      </c>
      <c r="AK5212">
        <v>47.271275419808802</v>
      </c>
      <c r="AL5212">
        <v>93.133777471855794</v>
      </c>
      <c r="AM5212">
        <v>93.730612637522796</v>
      </c>
      <c r="AN5212">
        <v>1.0000000187270699</v>
      </c>
    </row>
    <row r="5213" spans="1:40" x14ac:dyDescent="0.25">
      <c r="A5213" t="str">
        <f>"20190305135033665"</f>
        <v>20190305135033665</v>
      </c>
      <c r="B5213" t="str">
        <f>"1551765033655013"</f>
        <v>1551765033655013</v>
      </c>
      <c r="C5213" t="s">
        <v>40</v>
      </c>
      <c r="D5213">
        <v>3.9171900000000002</v>
      </c>
      <c r="E5213">
        <v>0.53044219999999997</v>
      </c>
      <c r="F5213" t="s">
        <v>42</v>
      </c>
      <c r="G5213">
        <v>-367.3329</v>
      </c>
      <c r="H5213" s="1">
        <v>-2.4604979999999999E-6</v>
      </c>
      <c r="I5213">
        <v>144.62979999999999</v>
      </c>
      <c r="J5213">
        <v>-318.90879999999999</v>
      </c>
      <c r="K5213">
        <v>1.106741</v>
      </c>
      <c r="L5213">
        <v>141.72669999999999</v>
      </c>
      <c r="M5213">
        <v>-0.99892210000000004</v>
      </c>
      <c r="N5213">
        <v>-6.8658520000000004E-3</v>
      </c>
      <c r="O5213">
        <v>4.5906860000000001E-2</v>
      </c>
      <c r="P5213">
        <v>-0.99793659999999995</v>
      </c>
      <c r="Q5213">
        <v>-6.117065E-2</v>
      </c>
      <c r="R5213">
        <v>-1.950638E-2</v>
      </c>
      <c r="S5213">
        <v>-3.005493</v>
      </c>
      <c r="T5213">
        <v>-6.815338E-2</v>
      </c>
      <c r="U5213">
        <v>0.1798553</v>
      </c>
      <c r="V5213">
        <v>-6.5429360000000006E-2</v>
      </c>
      <c r="W5213">
        <v>-5.4173930000000002E-2</v>
      </c>
      <c r="X5213">
        <v>0.99638559999999998</v>
      </c>
      <c r="Y5213">
        <v>1.3847480000000001E-2</v>
      </c>
      <c r="Z5213">
        <v>-5.1979469999999999E-4</v>
      </c>
      <c r="AA5213">
        <v>0.99990400000000002</v>
      </c>
      <c r="AB5213">
        <v>60</v>
      </c>
      <c r="AC5213">
        <v>-48.424100000000003</v>
      </c>
      <c r="AD5213">
        <v>-1.106743460498</v>
      </c>
      <c r="AE5213">
        <v>2.90309999999999</v>
      </c>
      <c r="AF5213">
        <v>0.676636163146206</v>
      </c>
      <c r="AG5213">
        <v>-1.106743460498</v>
      </c>
      <c r="AH5213">
        <v>48.481086652816202</v>
      </c>
      <c r="AI5213">
        <v>91.307613956791599</v>
      </c>
      <c r="AJ5213">
        <v>89.200391695849703</v>
      </c>
      <c r="AK5213">
        <v>48.4984379194063</v>
      </c>
      <c r="AL5213">
        <v>93.105457680245905</v>
      </c>
      <c r="AM5213">
        <v>93.757031037728595</v>
      </c>
      <c r="AN5213">
        <v>1.0000000398644999</v>
      </c>
    </row>
    <row r="5214" spans="1:40" x14ac:dyDescent="0.25">
      <c r="A5214" t="str">
        <f>"20190305135033680"</f>
        <v>20190305135033680</v>
      </c>
      <c r="B5214" t="str">
        <f>"1551765033675508"</f>
        <v>1551765033675508</v>
      </c>
      <c r="C5214" t="s">
        <v>40</v>
      </c>
      <c r="D5214">
        <v>3.8975689999999998</v>
      </c>
      <c r="E5214">
        <v>0.53058649999999996</v>
      </c>
      <c r="F5214" t="s">
        <v>42</v>
      </c>
      <c r="G5214">
        <v>-368.79500000000002</v>
      </c>
      <c r="H5214" s="1">
        <v>-1.8532990000000001E-6</v>
      </c>
      <c r="I5214">
        <v>144.70519999999999</v>
      </c>
      <c r="J5214">
        <v>-319.29320000000001</v>
      </c>
      <c r="K5214">
        <v>1.1068009999999999</v>
      </c>
      <c r="L5214">
        <v>141.74420000000001</v>
      </c>
      <c r="M5214">
        <v>-0.99891280000000005</v>
      </c>
      <c r="N5214">
        <v>-6.9079120000000004E-3</v>
      </c>
      <c r="O5214">
        <v>4.610537E-2</v>
      </c>
      <c r="P5214">
        <v>-0.99791850000000004</v>
      </c>
      <c r="Q5214">
        <v>-6.089079E-2</v>
      </c>
      <c r="R5214">
        <v>-2.123616E-2</v>
      </c>
      <c r="S5214">
        <v>-3.0056150000000001</v>
      </c>
      <c r="T5214">
        <v>-6.6680669999999997E-2</v>
      </c>
      <c r="U5214">
        <v>0.1794586</v>
      </c>
      <c r="V5214">
        <v>-6.7347009999999999E-2</v>
      </c>
      <c r="W5214">
        <v>-5.3856660000000001E-2</v>
      </c>
      <c r="X5214">
        <v>0.99627500000000002</v>
      </c>
      <c r="Y5214">
        <v>1.3514760000000001E-2</v>
      </c>
      <c r="Z5214">
        <v>-5.0633449999999995E-4</v>
      </c>
      <c r="AA5214">
        <v>0.99990860000000004</v>
      </c>
      <c r="AB5214">
        <v>60</v>
      </c>
      <c r="AC5214">
        <v>-49.501800000000003</v>
      </c>
      <c r="AD5214">
        <v>-1.106802853299</v>
      </c>
      <c r="AE5214">
        <v>2.9609999999999799</v>
      </c>
      <c r="AF5214">
        <v>0.675161721759724</v>
      </c>
      <c r="AG5214">
        <v>-1.106802853299</v>
      </c>
      <c r="AH5214">
        <v>49.560989550539801</v>
      </c>
      <c r="AI5214">
        <v>91.279205947083994</v>
      </c>
      <c r="AJ5214">
        <v>89.219516705561205</v>
      </c>
      <c r="AK5214">
        <v>49.577944099521801</v>
      </c>
      <c r="AL5214">
        <v>93.087252940672499</v>
      </c>
      <c r="AM5214">
        <v>93.867243409187793</v>
      </c>
      <c r="AN5214">
        <v>1.0000000176036401</v>
      </c>
    </row>
    <row r="5215" spans="1:40" x14ac:dyDescent="0.25">
      <c r="A5215" t="str">
        <f>"20190305135033703"</f>
        <v>20190305135033703</v>
      </c>
      <c r="B5215" t="str">
        <f>"1551765033695030"</f>
        <v>1551765033695030</v>
      </c>
      <c r="C5215" t="s">
        <v>40</v>
      </c>
      <c r="D5215">
        <v>3.8548249999999999</v>
      </c>
      <c r="E5215">
        <v>0.53070469999999903</v>
      </c>
      <c r="F5215" t="s">
        <v>42</v>
      </c>
      <c r="G5215">
        <v>-370.17950000000002</v>
      </c>
      <c r="H5215" s="1">
        <v>-5.1187689999999901E-6</v>
      </c>
      <c r="I5215">
        <v>144.7115</v>
      </c>
      <c r="J5215">
        <v>-319.93009999999998</v>
      </c>
      <c r="K5215">
        <v>1.106886</v>
      </c>
      <c r="L5215">
        <v>141.77359999999999</v>
      </c>
      <c r="M5215">
        <v>-0.99889810000000001</v>
      </c>
      <c r="N5215">
        <v>-7.0289569999999997E-3</v>
      </c>
      <c r="O5215">
        <v>4.6403069999999998E-2</v>
      </c>
      <c r="P5215">
        <v>-0.99782780000000004</v>
      </c>
      <c r="Q5215">
        <v>-6.1526089999999999E-2</v>
      </c>
      <c r="R5215">
        <v>-2.354769E-2</v>
      </c>
      <c r="S5215">
        <v>-3.0060120000000001</v>
      </c>
      <c r="T5215">
        <v>-6.5382480000000007E-2</v>
      </c>
      <c r="U5215">
        <v>0.175293</v>
      </c>
      <c r="V5215">
        <v>-6.9938609999999998E-2</v>
      </c>
      <c r="W5215">
        <v>-5.4380930000000001E-2</v>
      </c>
      <c r="X5215">
        <v>0.99606790000000001</v>
      </c>
      <c r="Y5215">
        <v>1.182831E-2</v>
      </c>
      <c r="Z5215">
        <v>-5.1151639999999997E-4</v>
      </c>
      <c r="AA5215">
        <v>0.99992990000000004</v>
      </c>
      <c r="AB5215">
        <v>60</v>
      </c>
      <c r="AC5215">
        <v>-50.249400000000001</v>
      </c>
      <c r="AD5215">
        <v>-1.106891118769</v>
      </c>
      <c r="AE5215">
        <v>2.9379000000000102</v>
      </c>
      <c r="AF5215">
        <v>0.60265974494667496</v>
      </c>
      <c r="AG5215">
        <v>-1.106891118769</v>
      </c>
      <c r="AH5215">
        <v>50.307272023113804</v>
      </c>
      <c r="AI5215">
        <v>91.260362720162505</v>
      </c>
      <c r="AJ5215">
        <v>89.313653735819798</v>
      </c>
      <c r="AK5215">
        <v>50.323056595605998</v>
      </c>
      <c r="AL5215">
        <v>93.117335608040193</v>
      </c>
      <c r="AM5215">
        <v>94.016414248285201</v>
      </c>
      <c r="AN5215">
        <v>0.99999997806340302</v>
      </c>
    </row>
    <row r="5216" spans="1:40" x14ac:dyDescent="0.25">
      <c r="A5216" t="str">
        <f>"20190305135033724"</f>
        <v>20190305135033724</v>
      </c>
      <c r="B5216" t="str">
        <f>"1551765033715528"</f>
        <v>1551765033715528</v>
      </c>
      <c r="C5216" t="s">
        <v>40</v>
      </c>
      <c r="D5216">
        <v>3.8960499999999998</v>
      </c>
      <c r="E5216">
        <v>0.5309142</v>
      </c>
      <c r="F5216" t="s">
        <v>42</v>
      </c>
      <c r="G5216">
        <v>-369.80290000000002</v>
      </c>
      <c r="H5216" s="1">
        <v>-1.3875109999999999E-6</v>
      </c>
      <c r="I5216">
        <v>144.5796</v>
      </c>
      <c r="J5216">
        <v>-320.48070000000001</v>
      </c>
      <c r="K5216">
        <v>1.1069850000000001</v>
      </c>
      <c r="L5216">
        <v>141.79910000000001</v>
      </c>
      <c r="M5216">
        <v>-0.99888639999999995</v>
      </c>
      <c r="N5216">
        <v>-7.2281100000000003E-3</v>
      </c>
      <c r="O5216">
        <v>4.6625479999999997E-2</v>
      </c>
      <c r="P5216">
        <v>-0.99761900000000003</v>
      </c>
      <c r="Q5216">
        <v>-6.4137180000000002E-2</v>
      </c>
      <c r="R5216">
        <v>-2.5361910000000001E-2</v>
      </c>
      <c r="S5216">
        <v>-3.0064389999999999</v>
      </c>
      <c r="T5216">
        <v>-6.6725610000000005E-2</v>
      </c>
      <c r="U5216">
        <v>0.1691589</v>
      </c>
      <c r="V5216">
        <v>-7.1958729999999999E-2</v>
      </c>
      <c r="W5216">
        <v>-5.680379E-2</v>
      </c>
      <c r="X5216">
        <v>0.99578880000000003</v>
      </c>
      <c r="Y5216">
        <v>9.5646180000000004E-3</v>
      </c>
      <c r="Z5216">
        <v>-5.5568260000000004E-4</v>
      </c>
      <c r="AA5216">
        <v>0.99995409999999996</v>
      </c>
      <c r="AB5216">
        <v>60</v>
      </c>
      <c r="AC5216">
        <v>-49.322200000000002</v>
      </c>
      <c r="AD5216">
        <v>-1.106986387511</v>
      </c>
      <c r="AE5216">
        <v>2.78049999999998</v>
      </c>
      <c r="AF5216">
        <v>0.47750504028853102</v>
      </c>
      <c r="AG5216">
        <v>-1.106986387511</v>
      </c>
      <c r="AH5216">
        <v>49.373409736913501</v>
      </c>
      <c r="AI5216">
        <v>91.284336229337796</v>
      </c>
      <c r="AJ5216">
        <v>89.445892623206802</v>
      </c>
      <c r="AK5216">
        <v>49.388126295444501</v>
      </c>
      <c r="AL5216">
        <v>93.2563701330198</v>
      </c>
      <c r="AM5216">
        <v>94.133183012927802</v>
      </c>
      <c r="AN5216">
        <v>1.0000000317935001</v>
      </c>
    </row>
    <row r="5217" spans="1:40" x14ac:dyDescent="0.25">
      <c r="A5217" t="str">
        <f>"20190305135033738"</f>
        <v>20190305135033738</v>
      </c>
      <c r="B5217" t="str">
        <f>"1551765033735045"</f>
        <v>1551765033735045</v>
      </c>
      <c r="C5217" t="s">
        <v>40</v>
      </c>
      <c r="D5217">
        <v>3.8109869999999999</v>
      </c>
      <c r="E5217">
        <v>0.53122389999999997</v>
      </c>
      <c r="F5217" t="s">
        <v>42</v>
      </c>
      <c r="G5217">
        <v>-365.17939999999999</v>
      </c>
      <c r="H5217" s="1">
        <v>-3.2855920000000001E-6</v>
      </c>
      <c r="I5217">
        <v>144.25880000000001</v>
      </c>
      <c r="J5217">
        <v>-320.86750000000001</v>
      </c>
      <c r="K5217">
        <v>1.1070770000000001</v>
      </c>
      <c r="L5217">
        <v>141.81710000000001</v>
      </c>
      <c r="M5217">
        <v>-0.99887859999999995</v>
      </c>
      <c r="N5217">
        <v>-7.4428740000000004E-3</v>
      </c>
      <c r="O5217">
        <v>4.6758510000000003E-2</v>
      </c>
      <c r="P5217">
        <v>-0.99753789999999998</v>
      </c>
      <c r="Q5217">
        <v>-6.510109E-2</v>
      </c>
      <c r="R5217">
        <v>-2.608367E-2</v>
      </c>
      <c r="S5217">
        <v>-3.006561</v>
      </c>
      <c r="T5217">
        <v>-7.4459200000000003E-2</v>
      </c>
      <c r="U5217">
        <v>0.16545099999999999</v>
      </c>
      <c r="V5217">
        <v>-7.2803119999999999E-2</v>
      </c>
      <c r="W5217">
        <v>-5.7561809999999998E-2</v>
      </c>
      <c r="X5217">
        <v>0.99568380000000001</v>
      </c>
      <c r="Y5217">
        <v>8.2013139999999995E-3</v>
      </c>
      <c r="Z5217">
        <v>-6.7631810000000001E-4</v>
      </c>
      <c r="AA5217">
        <v>0.99996609999999997</v>
      </c>
      <c r="AB5217">
        <v>60</v>
      </c>
      <c r="AC5217">
        <v>-44.311899999999902</v>
      </c>
      <c r="AD5217">
        <v>-1.1070802855919999</v>
      </c>
      <c r="AE5217">
        <v>2.4416999999999902</v>
      </c>
      <c r="AF5217">
        <v>0.36678533410650599</v>
      </c>
      <c r="AG5217">
        <v>-1.1070802855919999</v>
      </c>
      <c r="AH5217">
        <v>44.350004303632304</v>
      </c>
      <c r="AI5217">
        <v>91.429891407244099</v>
      </c>
      <c r="AJ5217">
        <v>89.526160755674894</v>
      </c>
      <c r="AK5217">
        <v>44.365336017799599</v>
      </c>
      <c r="AL5217">
        <v>93.299872955179396</v>
      </c>
      <c r="AM5217">
        <v>94.181951647593394</v>
      </c>
      <c r="AN5217">
        <v>0.99999994291732297</v>
      </c>
    </row>
    <row r="5218" spans="1:40" x14ac:dyDescent="0.25">
      <c r="A5218" t="str">
        <f>"20190305135033750"</f>
        <v>20190305135033750</v>
      </c>
      <c r="B5218" t="str">
        <f>"1551765033745781"</f>
        <v>1551765033745781</v>
      </c>
      <c r="C5218" t="s">
        <v>40</v>
      </c>
      <c r="D5218">
        <v>3.8219750000000001</v>
      </c>
      <c r="E5218">
        <v>0.53135969999999999</v>
      </c>
      <c r="F5218" t="s">
        <v>42</v>
      </c>
      <c r="G5218">
        <v>-364.50310000000002</v>
      </c>
      <c r="H5218" s="1">
        <v>-3.5605590000000002E-6</v>
      </c>
      <c r="I5218">
        <v>144.2218</v>
      </c>
      <c r="J5218">
        <v>-321.18889999999999</v>
      </c>
      <c r="K5218">
        <v>1.107162</v>
      </c>
      <c r="L5218">
        <v>141.8321</v>
      </c>
      <c r="M5218">
        <v>-0.99887230000000005</v>
      </c>
      <c r="N5218">
        <v>-7.6550450000000001E-3</v>
      </c>
      <c r="O5218">
        <v>4.6858770000000001E-2</v>
      </c>
      <c r="P5218">
        <v>-0.99748930000000002</v>
      </c>
      <c r="Q5218">
        <v>-6.5621180000000001E-2</v>
      </c>
      <c r="R5218">
        <v>-2.6637040000000001E-2</v>
      </c>
      <c r="S5218">
        <v>-3.0067750000000002</v>
      </c>
      <c r="T5218">
        <v>-7.6285119999999998E-2</v>
      </c>
      <c r="U5218">
        <v>0.16571040000000001</v>
      </c>
      <c r="V5218">
        <v>-7.3448399999999997E-2</v>
      </c>
      <c r="W5218">
        <v>-5.7877409999999997E-2</v>
      </c>
      <c r="X5218">
        <v>0.99561820000000001</v>
      </c>
      <c r="Y5218">
        <v>8.1831649999999992E-3</v>
      </c>
      <c r="Z5218">
        <v>-6.9337830000000002E-4</v>
      </c>
      <c r="AA5218">
        <v>0.99996629999999997</v>
      </c>
      <c r="AB5218">
        <v>61</v>
      </c>
      <c r="AC5218">
        <v>-43.3142</v>
      </c>
      <c r="AD5218">
        <v>-1.1071655605589901</v>
      </c>
      <c r="AE5218">
        <v>2.3896999999999999</v>
      </c>
      <c r="AF5218">
        <v>0.35713279751239102</v>
      </c>
      <c r="AG5218">
        <v>-1.1071655605589901</v>
      </c>
      <c r="AH5218">
        <v>43.350361084200898</v>
      </c>
      <c r="AI5218">
        <v>91.462963021468994</v>
      </c>
      <c r="AJ5218">
        <v>89.527991495085402</v>
      </c>
      <c r="AK5218">
        <v>43.3659678266743</v>
      </c>
      <c r="AL5218">
        <v>93.3179854083142</v>
      </c>
      <c r="AM5218">
        <v>94.219161499574696</v>
      </c>
      <c r="AN5218">
        <v>1.00000003111105</v>
      </c>
    </row>
    <row r="5219" spans="1:40" x14ac:dyDescent="0.25">
      <c r="A5219" t="str">
        <f>"20190305135033769"</f>
        <v>20190305135033769</v>
      </c>
      <c r="B5219" t="str">
        <f>"1551765033765300"</f>
        <v>1551765033765300</v>
      </c>
      <c r="C5219" t="s">
        <v>40</v>
      </c>
      <c r="D5219">
        <v>3.8624269999999998</v>
      </c>
      <c r="E5219">
        <v>0.53164889999999998</v>
      </c>
      <c r="F5219" t="s">
        <v>42</v>
      </c>
      <c r="G5219">
        <v>-364.1884</v>
      </c>
      <c r="H5219" s="1">
        <v>-3.662827E-6</v>
      </c>
      <c r="I5219">
        <v>144.19470000000001</v>
      </c>
      <c r="J5219">
        <v>-321.69319999999999</v>
      </c>
      <c r="K5219">
        <v>1.107326</v>
      </c>
      <c r="L5219">
        <v>141.85570000000001</v>
      </c>
      <c r="M5219">
        <v>-0.99886269999999999</v>
      </c>
      <c r="N5219">
        <v>-8.1175099999999997E-3</v>
      </c>
      <c r="O5219">
        <v>4.698364E-2</v>
      </c>
      <c r="P5219">
        <v>-0.99745189999999995</v>
      </c>
      <c r="Q5219">
        <v>-6.595463E-2</v>
      </c>
      <c r="R5219">
        <v>-2.719597E-2</v>
      </c>
      <c r="S5219">
        <v>-3.006866</v>
      </c>
      <c r="T5219">
        <v>-7.7421899999999905E-2</v>
      </c>
      <c r="U5219">
        <v>0.16522220000000001</v>
      </c>
      <c r="V5219">
        <v>-7.4120190000000002E-2</v>
      </c>
      <c r="W5219">
        <v>-5.776129E-2</v>
      </c>
      <c r="X5219">
        <v>0.99557510000000005</v>
      </c>
      <c r="Y5219">
        <v>7.8943480000000007E-3</v>
      </c>
      <c r="Z5219">
        <v>-6.9300999999999998E-4</v>
      </c>
      <c r="AA5219">
        <v>0.99996859999999999</v>
      </c>
      <c r="AB5219">
        <v>61</v>
      </c>
      <c r="AC5219">
        <v>-42.495199999999997</v>
      </c>
      <c r="AD5219">
        <v>-1.107329662827</v>
      </c>
      <c r="AE5219">
        <v>2.3389999999999902</v>
      </c>
      <c r="AF5219">
        <v>0.33954200798075601</v>
      </c>
      <c r="AG5219">
        <v>-1.107329662827</v>
      </c>
      <c r="AH5219">
        <v>42.529375556924897</v>
      </c>
      <c r="AI5219">
        <v>91.491415376359996</v>
      </c>
      <c r="AJ5219">
        <v>89.542577090561196</v>
      </c>
      <c r="AK5219">
        <v>42.545143706647899</v>
      </c>
      <c r="AL5219">
        <v>93.311321261367894</v>
      </c>
      <c r="AM5219">
        <v>94.257794104231493</v>
      </c>
      <c r="AN5219">
        <v>0.99999997446405398</v>
      </c>
    </row>
    <row r="5220" spans="1:40" x14ac:dyDescent="0.25">
      <c r="A5220" t="str">
        <f>"20190305135033783"</f>
        <v>20190305135033783</v>
      </c>
      <c r="B5220" t="str">
        <f>"1551765033775062"</f>
        <v>1551765033775062</v>
      </c>
      <c r="C5220" t="s">
        <v>40</v>
      </c>
      <c r="D5220">
        <v>3.7841070000000001</v>
      </c>
      <c r="E5220">
        <v>0.53181669999999903</v>
      </c>
      <c r="F5220" t="s">
        <v>42</v>
      </c>
      <c r="G5220">
        <v>-364.8888</v>
      </c>
      <c r="H5220" s="1">
        <v>-3.404377E-6</v>
      </c>
      <c r="I5220">
        <v>144.23660000000001</v>
      </c>
      <c r="J5220">
        <v>-322.0874</v>
      </c>
      <c r="K5220">
        <v>1.1074630000000001</v>
      </c>
      <c r="L5220">
        <v>141.8742</v>
      </c>
      <c r="M5220">
        <v>-0.99885559999999995</v>
      </c>
      <c r="N5220">
        <v>-8.5663010000000001E-3</v>
      </c>
      <c r="O5220">
        <v>4.7054220000000001E-2</v>
      </c>
      <c r="P5220">
        <v>-0.99743539999999997</v>
      </c>
      <c r="Q5220">
        <v>-6.6169560000000002E-2</v>
      </c>
      <c r="R5220">
        <v>-2.7283539999999998E-2</v>
      </c>
      <c r="S5220">
        <v>-3.0071110000000001</v>
      </c>
      <c r="T5220">
        <v>-7.7088119999999996E-2</v>
      </c>
      <c r="U5220">
        <v>0.16575619999999999</v>
      </c>
      <c r="V5220">
        <v>-7.4270680000000006E-2</v>
      </c>
      <c r="W5220">
        <v>-5.7537619999999998E-2</v>
      </c>
      <c r="X5220">
        <v>0.99557689999999999</v>
      </c>
      <c r="Y5220">
        <v>7.9956090000000007E-3</v>
      </c>
      <c r="Z5220">
        <v>-6.6476019999999999E-4</v>
      </c>
      <c r="AA5220">
        <v>0.99996779999999996</v>
      </c>
      <c r="AB5220">
        <v>61</v>
      </c>
      <c r="AC5220">
        <v>-42.801400000000001</v>
      </c>
      <c r="AD5220">
        <v>-1.1074664043769999</v>
      </c>
      <c r="AE5220">
        <v>2.3624000000000001</v>
      </c>
      <c r="AF5220">
        <v>0.34549206264017601</v>
      </c>
      <c r="AG5220">
        <v>-1.1074664043769999</v>
      </c>
      <c r="AH5220">
        <v>42.836560330792899</v>
      </c>
      <c r="AI5220">
        <v>91.480906883086206</v>
      </c>
      <c r="AJ5220">
        <v>89.537899222485393</v>
      </c>
      <c r="AK5220">
        <v>42.852266539540601</v>
      </c>
      <c r="AL5220">
        <v>93.298484356261099</v>
      </c>
      <c r="AM5220">
        <v>94.266399347669307</v>
      </c>
      <c r="AN5220">
        <v>1.0000000377182601</v>
      </c>
    </row>
    <row r="5221" spans="1:40" x14ac:dyDescent="0.25">
      <c r="A5221" t="str">
        <f>"20190305135033795"</f>
        <v>20190305135033795</v>
      </c>
      <c r="B5221" t="str">
        <f>"1551765033785797"</f>
        <v>1551765033785797</v>
      </c>
      <c r="C5221" t="s">
        <v>40</v>
      </c>
      <c r="D5221">
        <v>3.7657280000000002</v>
      </c>
      <c r="E5221">
        <v>0.53181669999999903</v>
      </c>
      <c r="F5221" t="s">
        <v>42</v>
      </c>
      <c r="G5221">
        <v>-365.40879999999999</v>
      </c>
      <c r="H5221" s="1">
        <v>-3.1922729999999998E-6</v>
      </c>
      <c r="I5221">
        <v>144.27780000000001</v>
      </c>
      <c r="J5221">
        <v>-322.40570000000002</v>
      </c>
      <c r="K5221">
        <v>1.1075790000000001</v>
      </c>
      <c r="L5221">
        <v>141.88919999999999</v>
      </c>
      <c r="M5221">
        <v>-0.99885029999999997</v>
      </c>
      <c r="N5221">
        <v>-8.9478330000000005E-3</v>
      </c>
      <c r="O5221">
        <v>4.709547E-2</v>
      </c>
      <c r="P5221">
        <v>-0.99742500000000001</v>
      </c>
      <c r="Q5221">
        <v>-6.6366120000000001E-2</v>
      </c>
      <c r="R5221">
        <v>-2.7184839999999998E-2</v>
      </c>
      <c r="S5221">
        <v>-3.0071720000000002</v>
      </c>
      <c r="T5221">
        <v>-7.6875449999999998E-2</v>
      </c>
      <c r="U5221">
        <v>0.1668549</v>
      </c>
      <c r="V5221">
        <v>-7.4207339999999997E-2</v>
      </c>
      <c r="W5221">
        <v>-5.736161E-2</v>
      </c>
      <c r="X5221">
        <v>0.99559180000000003</v>
      </c>
      <c r="Y5221">
        <v>8.3167429999999997E-3</v>
      </c>
      <c r="Z5221">
        <v>-6.3735419999999998E-4</v>
      </c>
      <c r="AA5221">
        <v>0.9999652</v>
      </c>
      <c r="AB5221">
        <v>60</v>
      </c>
      <c r="AC5221">
        <v>-43.003099999999897</v>
      </c>
      <c r="AD5221">
        <v>-1.107582192273</v>
      </c>
      <c r="AE5221">
        <v>2.3886000000000198</v>
      </c>
      <c r="AF5221">
        <v>0.36037873544353999</v>
      </c>
      <c r="AG5221">
        <v>-1.107582192273</v>
      </c>
      <c r="AH5221">
        <v>43.039413353152398</v>
      </c>
      <c r="AI5221">
        <v>91.474080476930297</v>
      </c>
      <c r="AJ5221">
        <v>89.520260700028899</v>
      </c>
      <c r="AK5221">
        <v>43.055170571362403</v>
      </c>
      <c r="AL5221">
        <v>93.288382976717102</v>
      </c>
      <c r="AM5221">
        <v>94.262710705636593</v>
      </c>
      <c r="AN5221">
        <v>1.0000000579194499</v>
      </c>
    </row>
    <row r="5222" spans="1:40" x14ac:dyDescent="0.25">
      <c r="A5222" t="str">
        <f>"20190305135033807"</f>
        <v>20190305135033807</v>
      </c>
      <c r="B5222" t="str">
        <f>"1551765033805317"</f>
        <v>1551765033805317</v>
      </c>
      <c r="C5222" t="s">
        <v>40</v>
      </c>
      <c r="D5222">
        <v>3.749924</v>
      </c>
      <c r="E5222">
        <v>0.55168519999999999</v>
      </c>
      <c r="F5222" t="s">
        <v>42</v>
      </c>
      <c r="G5222">
        <v>-365.39429999999999</v>
      </c>
      <c r="H5222" s="1">
        <v>-3.1986289999999999E-6</v>
      </c>
      <c r="I5222">
        <v>144.2783</v>
      </c>
      <c r="J5222">
        <v>-322.74119999999999</v>
      </c>
      <c r="K5222">
        <v>1.1077060000000001</v>
      </c>
      <c r="L5222">
        <v>141.905</v>
      </c>
      <c r="M5222">
        <v>-0.99884530000000005</v>
      </c>
      <c r="N5222">
        <v>-9.3678219999999996E-3</v>
      </c>
      <c r="O5222">
        <v>4.7122079999999997E-2</v>
      </c>
      <c r="P5222">
        <v>-0.99740300000000004</v>
      </c>
      <c r="Q5222">
        <v>-6.6805820000000002E-2</v>
      </c>
      <c r="R5222">
        <v>-2.691201E-2</v>
      </c>
      <c r="S5222">
        <v>-3.0071110000000001</v>
      </c>
      <c r="T5222">
        <v>-7.7476980000000001E-2</v>
      </c>
      <c r="U5222">
        <v>0.16712949999999999</v>
      </c>
      <c r="V5222">
        <v>-7.395417E-2</v>
      </c>
      <c r="W5222">
        <v>-5.7391579999999998E-2</v>
      </c>
      <c r="X5222">
        <v>0.99560890000000002</v>
      </c>
      <c r="Y5222">
        <v>8.3818050000000009E-3</v>
      </c>
      <c r="Z5222">
        <v>-6.2371400000000004E-4</v>
      </c>
      <c r="AA5222">
        <v>0.99996470000000004</v>
      </c>
      <c r="AB5222">
        <v>60</v>
      </c>
      <c r="AC5222">
        <v>-42.653100000000002</v>
      </c>
      <c r="AD5222">
        <v>-1.10770919862899</v>
      </c>
      <c r="AE5222">
        <v>2.3733</v>
      </c>
      <c r="AF5222">
        <v>0.36043021138687797</v>
      </c>
      <c r="AG5222">
        <v>-1.10770919862899</v>
      </c>
      <c r="AH5222">
        <v>42.688851191370802</v>
      </c>
      <c r="AI5222">
        <v>91.486349734096294</v>
      </c>
      <c r="AJ5222">
        <v>89.516252167870306</v>
      </c>
      <c r="AK5222">
        <v>42.704741489031498</v>
      </c>
      <c r="AL5222">
        <v>93.290102999811097</v>
      </c>
      <c r="AM5222">
        <v>94.248148432676103</v>
      </c>
      <c r="AN5222">
        <v>1.0000000472372399</v>
      </c>
    </row>
    <row r="5223" spans="1:40" x14ac:dyDescent="0.25">
      <c r="A5223" t="str">
        <f>"20190305135033820"</f>
        <v>20190305135033820</v>
      </c>
      <c r="B5223" t="str">
        <f>"1551765033815077"</f>
        <v>1551765033815077</v>
      </c>
      <c r="C5223" t="s">
        <v>40</v>
      </c>
      <c r="D5223">
        <v>3.7579920000000002</v>
      </c>
      <c r="E5223">
        <v>0.55151939999999999</v>
      </c>
      <c r="F5223" t="s">
        <v>81</v>
      </c>
      <c r="G5223">
        <v>-511.92579999999998</v>
      </c>
      <c r="H5223">
        <v>1.8813200000000001</v>
      </c>
      <c r="I5223">
        <v>162.1309</v>
      </c>
      <c r="J5223">
        <v>-323.0813</v>
      </c>
      <c r="K5223">
        <v>1.107828</v>
      </c>
      <c r="L5223">
        <v>141.92099999999999</v>
      </c>
      <c r="M5223">
        <v>-0.99884150000000005</v>
      </c>
      <c r="N5223">
        <v>-9.7867730000000003E-3</v>
      </c>
      <c r="O5223">
        <v>4.711771E-2</v>
      </c>
      <c r="P5223">
        <v>-0.9973706</v>
      </c>
      <c r="Q5223">
        <v>-6.7557930000000002E-2</v>
      </c>
      <c r="R5223">
        <v>-2.6231319999999999E-2</v>
      </c>
      <c r="S5223">
        <v>-3.017334</v>
      </c>
      <c r="T5223">
        <v>1.233923E-2</v>
      </c>
      <c r="U5223">
        <v>0.32258609999999999</v>
      </c>
      <c r="V5223">
        <v>-7.3260989999999998E-2</v>
      </c>
      <c r="W5223">
        <v>-5.7736709999999997E-2</v>
      </c>
      <c r="X5223">
        <v>0.99564019999999998</v>
      </c>
      <c r="Y5223">
        <v>5.9339290000000003E-2</v>
      </c>
      <c r="Z5223">
        <v>8.2241970000000004E-4</v>
      </c>
      <c r="AA5223">
        <v>0.99823759999999995</v>
      </c>
      <c r="AB5223">
        <v>60</v>
      </c>
      <c r="AC5223">
        <v>-188.84450000000001</v>
      </c>
      <c r="AD5223">
        <v>0.77349199999999996</v>
      </c>
      <c r="AE5223">
        <v>20.209900000000001</v>
      </c>
      <c r="AF5223">
        <v>11.2889187152375</v>
      </c>
      <c r="AG5223">
        <v>0.77349199999999996</v>
      </c>
      <c r="AH5223">
        <v>189.58388381537799</v>
      </c>
      <c r="AI5223">
        <v>89.766650935295601</v>
      </c>
      <c r="AJ5223">
        <v>86.592302333768004</v>
      </c>
      <c r="AK5223">
        <v>189.921265207864</v>
      </c>
      <c r="AL5223">
        <v>93.3099103129572</v>
      </c>
      <c r="AM5223">
        <v>94.208342012000102</v>
      </c>
      <c r="AN5223">
        <v>1.00000005409672</v>
      </c>
    </row>
    <row r="5224" spans="1:40" x14ac:dyDescent="0.25">
      <c r="A5224" t="str">
        <f>"20190305135033835"</f>
        <v>20190305135033835</v>
      </c>
      <c r="B5224" t="str">
        <f>"1551765033825813"</f>
        <v>1551765033825813</v>
      </c>
      <c r="C5224" t="s">
        <v>40</v>
      </c>
      <c r="D5224">
        <v>3.744561</v>
      </c>
      <c r="E5224">
        <v>0.55154219999999998</v>
      </c>
      <c r="F5224" t="s">
        <v>81</v>
      </c>
      <c r="G5224">
        <v>-511.92579999999998</v>
      </c>
      <c r="H5224">
        <v>1.693657</v>
      </c>
      <c r="I5224">
        <v>162.17160000000001</v>
      </c>
      <c r="J5224">
        <v>-323.49290000000002</v>
      </c>
      <c r="K5224">
        <v>1.1079730000000001</v>
      </c>
      <c r="L5224">
        <v>141.94040000000001</v>
      </c>
      <c r="M5224">
        <v>-0.99883820000000001</v>
      </c>
      <c r="N5224">
        <v>-1.027838E-2</v>
      </c>
      <c r="O5224">
        <v>4.7083369999999999E-2</v>
      </c>
      <c r="P5224">
        <v>-0.99733079999999996</v>
      </c>
      <c r="Q5224">
        <v>-6.8574819999999995E-2</v>
      </c>
      <c r="R5224">
        <v>-2.5082989999999999E-2</v>
      </c>
      <c r="S5224">
        <v>-3.0170590000000002</v>
      </c>
      <c r="T5224">
        <v>9.3601940000000005E-3</v>
      </c>
      <c r="U5224">
        <v>0.32353209999999999</v>
      </c>
      <c r="V5224">
        <v>-7.2068950000000007E-2</v>
      </c>
      <c r="W5224">
        <v>-5.8277530000000001E-2</v>
      </c>
      <c r="X5224">
        <v>0.99569569999999996</v>
      </c>
      <c r="Y5224">
        <v>5.9692099999999901E-2</v>
      </c>
      <c r="Z5224">
        <v>8.4384939999999995E-4</v>
      </c>
      <c r="AA5224">
        <v>0.99821649999999995</v>
      </c>
      <c r="AB5224">
        <v>60</v>
      </c>
      <c r="AC5224">
        <v>-188.43289999999999</v>
      </c>
      <c r="AD5224">
        <v>0.58568399999999998</v>
      </c>
      <c r="AE5224">
        <v>20.231200000000001</v>
      </c>
      <c r="AF5224">
        <v>11.3361286451161</v>
      </c>
      <c r="AG5224">
        <v>0.58568399999999998</v>
      </c>
      <c r="AH5224">
        <v>189.17469545772701</v>
      </c>
      <c r="AI5224">
        <v>89.822930725197907</v>
      </c>
      <c r="AJ5224">
        <v>86.570701214977504</v>
      </c>
      <c r="AK5224">
        <v>189.51494991142599</v>
      </c>
      <c r="AL5224">
        <v>93.340949241263004</v>
      </c>
      <c r="AM5224">
        <v>94.139877572574804</v>
      </c>
      <c r="AN5224">
        <v>1.0000000655277399</v>
      </c>
    </row>
    <row r="5225" spans="1:40" x14ac:dyDescent="0.25">
      <c r="A5225" t="str">
        <f>"20190305135033849"</f>
        <v>20190305135033849</v>
      </c>
      <c r="B5225" t="str">
        <f>"1551765033845333"</f>
        <v>1551765033845333</v>
      </c>
      <c r="C5225" t="s">
        <v>40</v>
      </c>
      <c r="D5225">
        <v>3.751077</v>
      </c>
      <c r="E5225">
        <v>0.55157140000000004</v>
      </c>
      <c r="F5225" t="s">
        <v>81</v>
      </c>
      <c r="G5225">
        <v>-511.92570000000001</v>
      </c>
      <c r="H5225">
        <v>1.557256</v>
      </c>
      <c r="I5225">
        <v>162.3836</v>
      </c>
      <c r="J5225">
        <v>-323.85879999999997</v>
      </c>
      <c r="K5225">
        <v>1.1080970000000001</v>
      </c>
      <c r="L5225">
        <v>141.95760000000001</v>
      </c>
      <c r="M5225">
        <v>-0.99883659999999996</v>
      </c>
      <c r="N5225">
        <v>-1.069603E-2</v>
      </c>
      <c r="O5225">
        <v>4.7022130000000002E-2</v>
      </c>
      <c r="P5225">
        <v>-0.99732569999999998</v>
      </c>
      <c r="Q5225">
        <v>-6.8916480000000002E-2</v>
      </c>
      <c r="R5225">
        <v>-2.4329569999999998E-2</v>
      </c>
      <c r="S5225">
        <v>-3.016724</v>
      </c>
      <c r="T5225">
        <v>7.1935649999999999E-3</v>
      </c>
      <c r="U5225">
        <v>0.32728580000000002</v>
      </c>
      <c r="V5225">
        <v>-7.1245420000000004E-2</v>
      </c>
      <c r="W5225">
        <v>-5.821581E-2</v>
      </c>
      <c r="X5225">
        <v>0.99575849999999999</v>
      </c>
      <c r="Y5225">
        <v>6.0992339999999999E-2</v>
      </c>
      <c r="Z5225">
        <v>8.6828869999999996E-4</v>
      </c>
      <c r="AA5225">
        <v>0.99813779999999996</v>
      </c>
      <c r="AB5225">
        <v>60</v>
      </c>
      <c r="AC5225">
        <v>-188.0669</v>
      </c>
      <c r="AD5225">
        <v>0.44915899999999997</v>
      </c>
      <c r="AE5225">
        <v>20.425999999999899</v>
      </c>
      <c r="AF5225">
        <v>11.559526034686799</v>
      </c>
      <c r="AG5225">
        <v>0.44915899999999997</v>
      </c>
      <c r="AH5225">
        <v>188.818310090046</v>
      </c>
      <c r="AI5225">
        <v>89.863960356826794</v>
      </c>
      <c r="AJ5225">
        <v>86.496703754013893</v>
      </c>
      <c r="AK5225">
        <v>189.17235160354301</v>
      </c>
      <c r="AL5225">
        <v>93.337407183064201</v>
      </c>
      <c r="AM5225">
        <v>94.092475738304699</v>
      </c>
      <c r="AN5225">
        <v>0.999999990363591</v>
      </c>
    </row>
    <row r="5226" spans="1:40" x14ac:dyDescent="0.25">
      <c r="A5226" t="str">
        <f>"20190305135033861"</f>
        <v>20190305135033861</v>
      </c>
      <c r="B5226" t="str">
        <f>"1551765033855093"</f>
        <v>1551765033855093</v>
      </c>
      <c r="C5226" t="s">
        <v>40</v>
      </c>
      <c r="D5226">
        <v>3.7700360000000002</v>
      </c>
      <c r="E5226">
        <v>0.5516025</v>
      </c>
      <c r="F5226" t="s">
        <v>81</v>
      </c>
      <c r="G5226">
        <v>-511.92579999999998</v>
      </c>
      <c r="H5226">
        <v>1.6508149999999999</v>
      </c>
      <c r="I5226">
        <v>162.5059</v>
      </c>
      <c r="J5226">
        <v>-324.20139999999998</v>
      </c>
      <c r="K5226">
        <v>1.108212</v>
      </c>
      <c r="L5226">
        <v>141.97370000000001</v>
      </c>
      <c r="M5226">
        <v>-0.99883770000000005</v>
      </c>
      <c r="N5226">
        <v>-1.105312E-2</v>
      </c>
      <c r="O5226">
        <v>4.6915449999999997E-2</v>
      </c>
      <c r="P5226">
        <v>-0.9973322</v>
      </c>
      <c r="Q5226">
        <v>-6.9149879999999997E-2</v>
      </c>
      <c r="R5226">
        <v>-2.3392E-2</v>
      </c>
      <c r="S5226">
        <v>-3.0166930000000001</v>
      </c>
      <c r="T5226">
        <v>8.7062119999999996E-3</v>
      </c>
      <c r="U5226">
        <v>0.32960509999999998</v>
      </c>
      <c r="V5226">
        <v>-7.0192229999999994E-2</v>
      </c>
      <c r="W5226">
        <v>-5.810659E-2</v>
      </c>
      <c r="X5226">
        <v>0.99583969999999999</v>
      </c>
      <c r="Y5226">
        <v>6.1858879999999998E-2</v>
      </c>
      <c r="Z5226">
        <v>9.0627470000000001E-4</v>
      </c>
      <c r="AA5226">
        <v>0.99808450000000004</v>
      </c>
      <c r="AB5226">
        <v>60</v>
      </c>
      <c r="AC5226">
        <v>-187.7244</v>
      </c>
      <c r="AD5226">
        <v>0.54260299999999995</v>
      </c>
      <c r="AE5226">
        <v>20.5321999999999</v>
      </c>
      <c r="AF5226">
        <v>11.7017790602297</v>
      </c>
      <c r="AG5226">
        <v>0.54260299999999995</v>
      </c>
      <c r="AH5226">
        <v>188.47944484820101</v>
      </c>
      <c r="AI5226">
        <v>89.835371798403003</v>
      </c>
      <c r="AJ5226">
        <v>86.447341553276701</v>
      </c>
      <c r="AK5226">
        <v>188.84312849949299</v>
      </c>
      <c r="AL5226">
        <v>93.331138639502896</v>
      </c>
      <c r="AM5226">
        <v>94.031851793958793</v>
      </c>
      <c r="AN5226">
        <v>1.0000000165249401</v>
      </c>
    </row>
    <row r="5227" spans="1:40" x14ac:dyDescent="0.25">
      <c r="A5227" t="str">
        <f>"20190305135033876"</f>
        <v>20190305135033876</v>
      </c>
      <c r="B5227" t="str">
        <f>"1551765033865828"</f>
        <v>1551765033865828</v>
      </c>
      <c r="C5227" t="s">
        <v>40</v>
      </c>
      <c r="D5227">
        <v>3.7570459999999999</v>
      </c>
      <c r="E5227">
        <v>0.55163459999999997</v>
      </c>
      <c r="F5227" t="s">
        <v>81</v>
      </c>
      <c r="G5227">
        <v>-511.92570000000001</v>
      </c>
      <c r="H5227">
        <v>1.6319220000000001</v>
      </c>
      <c r="I5227">
        <v>162.67750000000001</v>
      </c>
      <c r="J5227">
        <v>-324.57780000000002</v>
      </c>
      <c r="K5227">
        <v>1.108341</v>
      </c>
      <c r="L5227">
        <v>141.9913</v>
      </c>
      <c r="M5227">
        <v>-0.99884070000000003</v>
      </c>
      <c r="N5227">
        <v>-1.1427639999999999E-2</v>
      </c>
      <c r="O5227">
        <v>4.6763399999999997E-2</v>
      </c>
      <c r="P5227">
        <v>-0.99734259999999997</v>
      </c>
      <c r="Q5227">
        <v>-6.9279540000000001E-2</v>
      </c>
      <c r="R5227">
        <v>-2.2543230000000001E-2</v>
      </c>
      <c r="S5227">
        <v>-3.0163880000000001</v>
      </c>
      <c r="T5227">
        <v>8.4158180000000003E-3</v>
      </c>
      <c r="U5227">
        <v>0.33267210000000003</v>
      </c>
      <c r="V5227">
        <v>-6.9180720000000001E-2</v>
      </c>
      <c r="W5227">
        <v>-5.787809E-2</v>
      </c>
      <c r="X5227">
        <v>0.99592380000000003</v>
      </c>
      <c r="Y5227">
        <v>6.3024430000000006E-2</v>
      </c>
      <c r="Z5227">
        <v>9.3679509999999996E-4</v>
      </c>
      <c r="AA5227">
        <v>0.99801150000000005</v>
      </c>
      <c r="AB5227">
        <v>60</v>
      </c>
      <c r="AC5227">
        <v>-187.34790000000001</v>
      </c>
      <c r="AD5227">
        <v>0.52358099999999896</v>
      </c>
      <c r="AE5227">
        <v>20.686199999999999</v>
      </c>
      <c r="AF5227">
        <v>11.901878137831501</v>
      </c>
      <c r="AG5227">
        <v>0.52358099999999896</v>
      </c>
      <c r="AH5227">
        <v>188.108882123787</v>
      </c>
      <c r="AI5227">
        <v>89.840841978284701</v>
      </c>
      <c r="AJ5227">
        <v>86.379652131421494</v>
      </c>
      <c r="AK5227">
        <v>188.48575642242099</v>
      </c>
      <c r="AL5227">
        <v>93.318024437345301</v>
      </c>
      <c r="AM5227">
        <v>93.973603521268103</v>
      </c>
      <c r="AN5227">
        <v>1.0000000303640999</v>
      </c>
    </row>
    <row r="5228" spans="1:40" x14ac:dyDescent="0.25">
      <c r="A5228" t="str">
        <f>"20190305135033893"</f>
        <v>20190305135033893</v>
      </c>
      <c r="B5228" t="str">
        <f>"1551765033885348"</f>
        <v>1551765033885348</v>
      </c>
      <c r="C5228" t="s">
        <v>40</v>
      </c>
      <c r="D5228">
        <v>3.8021720000000001</v>
      </c>
      <c r="E5228">
        <v>0.53576950000000001</v>
      </c>
      <c r="F5228" t="s">
        <v>81</v>
      </c>
      <c r="G5228">
        <v>-511.92570000000001</v>
      </c>
      <c r="H5228">
        <v>1.610784</v>
      </c>
      <c r="I5228">
        <v>162.83160000000001</v>
      </c>
      <c r="J5228">
        <v>-325.0376</v>
      </c>
      <c r="K5228">
        <v>1.1084969999999901</v>
      </c>
      <c r="L5228">
        <v>142.0128</v>
      </c>
      <c r="M5228">
        <v>-0.9988475</v>
      </c>
      <c r="N5228">
        <v>-1.1852089999999999E-2</v>
      </c>
      <c r="O5228">
        <v>4.6509929999999998E-2</v>
      </c>
      <c r="P5228">
        <v>-0.9973552</v>
      </c>
      <c r="Q5228">
        <v>-6.958665E-2</v>
      </c>
      <c r="R5228">
        <v>-2.0985130000000001E-2</v>
      </c>
      <c r="S5228">
        <v>-3.0161440000000002</v>
      </c>
      <c r="T5228">
        <v>8.0896619999999992E-3</v>
      </c>
      <c r="U5228">
        <v>0.33551029999999998</v>
      </c>
      <c r="V5228">
        <v>-6.7355490000000004E-2</v>
      </c>
      <c r="W5228">
        <v>-5.7781520000000003E-2</v>
      </c>
      <c r="X5228">
        <v>0.99605449999999995</v>
      </c>
      <c r="Y5228">
        <v>6.4214160000000006E-2</v>
      </c>
      <c r="Z5228">
        <v>9.7017930000000004E-4</v>
      </c>
      <c r="AA5228">
        <v>0.99793569999999998</v>
      </c>
      <c r="AB5228">
        <v>60</v>
      </c>
      <c r="AC5228">
        <v>-186.88810000000001</v>
      </c>
      <c r="AD5228">
        <v>0.50228700000000004</v>
      </c>
      <c r="AE5228">
        <v>20.8188</v>
      </c>
      <c r="AF5228">
        <v>12.1034178180475</v>
      </c>
      <c r="AG5228">
        <v>0.50228700000000004</v>
      </c>
      <c r="AH5228">
        <v>187.65283651762601</v>
      </c>
      <c r="AI5228">
        <v>89.846955784509305</v>
      </c>
      <c r="AJ5228">
        <v>86.309592123259407</v>
      </c>
      <c r="AK5228">
        <v>188.04343133494399</v>
      </c>
      <c r="AL5228">
        <v>93.312482154637394</v>
      </c>
      <c r="AM5228">
        <v>93.868582488171498</v>
      </c>
      <c r="AN5228">
        <v>1.0000000165284499</v>
      </c>
    </row>
    <row r="5229" spans="1:40" x14ac:dyDescent="0.25">
      <c r="A5229" t="str">
        <f>"20190305135033914"</f>
        <v>20190305135033914</v>
      </c>
      <c r="B5229" t="str">
        <f>"1551765033905844"</f>
        <v>1551765033905844</v>
      </c>
      <c r="C5229" t="s">
        <v>40</v>
      </c>
      <c r="D5229">
        <v>3.839817</v>
      </c>
      <c r="E5229">
        <v>0.52279249999999999</v>
      </c>
      <c r="F5229" t="s">
        <v>94</v>
      </c>
      <c r="G5229">
        <v>-435.61410000000001</v>
      </c>
      <c r="H5229">
        <v>7.9982150000000002E-2</v>
      </c>
      <c r="I5229">
        <v>149.9084</v>
      </c>
      <c r="J5229">
        <v>-325.60820000000001</v>
      </c>
      <c r="K5229">
        <v>1.1086879999999999</v>
      </c>
      <c r="L5229">
        <v>142.03909999999999</v>
      </c>
      <c r="M5229">
        <v>-0.99886189999999997</v>
      </c>
      <c r="N5229">
        <v>-1.232757E-2</v>
      </c>
      <c r="O5229">
        <v>4.6074780000000003E-2</v>
      </c>
      <c r="P5229">
        <v>-0.99739</v>
      </c>
      <c r="Q5229">
        <v>-6.9368050000000001E-2</v>
      </c>
      <c r="R5229">
        <v>-2.003595E-2</v>
      </c>
      <c r="S5229">
        <v>-3.0105590000000002</v>
      </c>
      <c r="T5229">
        <v>-2.800238E-2</v>
      </c>
      <c r="U5229">
        <v>0.21496580000000001</v>
      </c>
      <c r="V5229">
        <v>-6.5953520000000002E-2</v>
      </c>
      <c r="W5229">
        <v>-5.71143E-2</v>
      </c>
      <c r="X5229">
        <v>0.99618680000000004</v>
      </c>
      <c r="Y5229">
        <v>2.518339E-2</v>
      </c>
      <c r="Z5229">
        <v>4.1236670000000002E-4</v>
      </c>
      <c r="AA5229">
        <v>0.99968279999999998</v>
      </c>
      <c r="AB5229">
        <v>60</v>
      </c>
      <c r="AC5229">
        <v>-110.0059</v>
      </c>
      <c r="AD5229">
        <v>-1.0287058499999999</v>
      </c>
      <c r="AE5229">
        <v>7.8693000000000097</v>
      </c>
      <c r="AF5229">
        <v>2.7918156439823298</v>
      </c>
      <c r="AG5229">
        <v>-1.0287058499999999</v>
      </c>
      <c r="AH5229">
        <v>110.242067684868</v>
      </c>
      <c r="AI5229">
        <v>90.534459348064303</v>
      </c>
      <c r="AJ5229">
        <v>88.549328085434297</v>
      </c>
      <c r="AK5229">
        <v>110.282210522599</v>
      </c>
      <c r="AL5229">
        <v>93.274189996605699</v>
      </c>
      <c r="AM5229">
        <v>93.787795232495</v>
      </c>
      <c r="AN5229">
        <v>1.00000002527956</v>
      </c>
    </row>
    <row r="5230" spans="1:40" x14ac:dyDescent="0.25">
      <c r="A5230" t="str">
        <f>"20190305135033931"</f>
        <v>20190305135033931</v>
      </c>
      <c r="B5230" t="str">
        <f>"1551765033925366"</f>
        <v>1551765033925366</v>
      </c>
      <c r="C5230" t="s">
        <v>40</v>
      </c>
      <c r="D5230">
        <v>3.8254619999999999</v>
      </c>
      <c r="E5230">
        <v>0.51772819999999997</v>
      </c>
      <c r="F5230" t="s">
        <v>94</v>
      </c>
      <c r="G5230">
        <v>-419.34480000000002</v>
      </c>
      <c r="H5230" s="1">
        <v>-1.1957459999999999E-5</v>
      </c>
      <c r="I5230">
        <v>145.6105</v>
      </c>
      <c r="J5230">
        <v>-326.03559999999999</v>
      </c>
      <c r="K5230">
        <v>1.10884</v>
      </c>
      <c r="L5230">
        <v>142.05860000000001</v>
      </c>
      <c r="M5230">
        <v>-0.99887619999999999</v>
      </c>
      <c r="N5230">
        <v>-1.265501E-2</v>
      </c>
      <c r="O5230">
        <v>4.5675019999999997E-2</v>
      </c>
      <c r="P5230">
        <v>-0.9973687</v>
      </c>
      <c r="Q5230">
        <v>-6.9679900000000003E-2</v>
      </c>
      <c r="R5230">
        <v>-2.001348E-2</v>
      </c>
      <c r="S5230">
        <v>-3.0076900000000002</v>
      </c>
      <c r="T5230">
        <v>-3.5574439999999999E-2</v>
      </c>
      <c r="U5230">
        <v>0.1145935</v>
      </c>
      <c r="V5230">
        <v>-6.5514089999999997E-2</v>
      </c>
      <c r="W5230">
        <v>-5.7120120000000003E-2</v>
      </c>
      <c r="X5230">
        <v>0.99621550000000003</v>
      </c>
      <c r="Y5230">
        <v>-7.6116380000000004E-3</v>
      </c>
      <c r="Z5230" s="1">
        <v>-5.4835630000000003E-5</v>
      </c>
      <c r="AA5230">
        <v>0.99997100000000005</v>
      </c>
      <c r="AB5230">
        <v>60</v>
      </c>
      <c r="AC5230">
        <v>-93.309200000000004</v>
      </c>
      <c r="AD5230">
        <v>-1.10885195746</v>
      </c>
      <c r="AE5230">
        <v>3.5518999999999799</v>
      </c>
      <c r="AF5230">
        <v>-0.71394769556807902</v>
      </c>
      <c r="AG5230">
        <v>-1.10885195746</v>
      </c>
      <c r="AH5230">
        <v>93.360883091764094</v>
      </c>
      <c r="AI5230">
        <v>90.680452998041105</v>
      </c>
      <c r="AJ5230">
        <v>90.438142732081204</v>
      </c>
      <c r="AK5230">
        <v>93.370197416786098</v>
      </c>
      <c r="AL5230">
        <v>93.274523878774502</v>
      </c>
      <c r="AM5230">
        <v>93.7625228550841</v>
      </c>
      <c r="AN5230">
        <v>1.00000006326879</v>
      </c>
    </row>
    <row r="5231" spans="1:40" x14ac:dyDescent="0.25">
      <c r="A5231" t="str">
        <f>"20190305135033943"</f>
        <v>20190305135033943</v>
      </c>
      <c r="B5231" t="str">
        <f>"1551765033935125"</f>
        <v>1551765033935125</v>
      </c>
      <c r="C5231" t="s">
        <v>40</v>
      </c>
      <c r="D5231">
        <v>3.7892290000000002</v>
      </c>
      <c r="E5231">
        <v>0.51686920000000003</v>
      </c>
      <c r="F5231" t="s">
        <v>94</v>
      </c>
      <c r="G5231">
        <v>-402.09829999999999</v>
      </c>
      <c r="H5231" s="1">
        <v>-8.0762489999999997E-6</v>
      </c>
      <c r="I5231">
        <v>143.94649999999999</v>
      </c>
      <c r="J5231">
        <v>-326.40780000000001</v>
      </c>
      <c r="K5231">
        <v>1.108976</v>
      </c>
      <c r="L5231">
        <v>142.0754</v>
      </c>
      <c r="M5231">
        <v>-0.99889249999999996</v>
      </c>
      <c r="N5231">
        <v>-1.2912119999999999E-2</v>
      </c>
      <c r="O5231">
        <v>4.5247330000000002E-2</v>
      </c>
      <c r="P5231">
        <v>-0.99742059999999999</v>
      </c>
      <c r="Q5231">
        <v>-6.8957160000000003E-2</v>
      </c>
      <c r="R5231">
        <v>-1.9935720000000001E-2</v>
      </c>
      <c r="S5231">
        <v>-3.0063170000000001</v>
      </c>
      <c r="T5231">
        <v>-4.3826339999999998E-2</v>
      </c>
      <c r="U5231">
        <v>7.4615479999999998E-2</v>
      </c>
      <c r="V5231">
        <v>-6.4996990000000004E-2</v>
      </c>
      <c r="W5231">
        <v>-5.6158329999999999E-2</v>
      </c>
      <c r="X5231">
        <v>0.99630399999999997</v>
      </c>
      <c r="Y5231">
        <v>-2.0446510000000001E-2</v>
      </c>
      <c r="Z5231">
        <v>-3.5586739999999997E-4</v>
      </c>
      <c r="AA5231">
        <v>0.99979090000000004</v>
      </c>
      <c r="AB5231">
        <v>60</v>
      </c>
      <c r="AC5231">
        <v>-75.690499999999901</v>
      </c>
      <c r="AD5231">
        <v>-1.108984076249</v>
      </c>
      <c r="AE5231">
        <v>1.87109999999998</v>
      </c>
      <c r="AF5231">
        <v>-1.55556104567548</v>
      </c>
      <c r="AG5231">
        <v>-1.108984076249</v>
      </c>
      <c r="AH5231">
        <v>75.681398872159505</v>
      </c>
      <c r="AI5231">
        <v>90.839336298108705</v>
      </c>
      <c r="AJ5231">
        <v>91.177495871238307</v>
      </c>
      <c r="AK5231">
        <v>75.705506742211995</v>
      </c>
      <c r="AL5231">
        <v>93.219328928361804</v>
      </c>
      <c r="AM5231">
        <v>93.732579066820605</v>
      </c>
      <c r="AN5231">
        <v>1.00000001357672</v>
      </c>
    </row>
    <row r="5232" spans="1:40" x14ac:dyDescent="0.25">
      <c r="A5232" t="str">
        <f>"20190305135033958"</f>
        <v>20190305135033958</v>
      </c>
      <c r="B5232" t="str">
        <f>"1551765033955621"</f>
        <v>1551765033955621</v>
      </c>
      <c r="C5232" t="s">
        <v>40</v>
      </c>
      <c r="D5232">
        <v>3.7991739999999998</v>
      </c>
      <c r="E5232">
        <v>0.51574750000000003</v>
      </c>
      <c r="F5232" t="s">
        <v>94</v>
      </c>
      <c r="G5232">
        <v>-402.76080000000002</v>
      </c>
      <c r="H5232" s="1">
        <v>-8.3129219999999998E-6</v>
      </c>
      <c r="I5232">
        <v>143.8075</v>
      </c>
      <c r="J5232">
        <v>-326.7971</v>
      </c>
      <c r="K5232">
        <v>1.1091139999999999</v>
      </c>
      <c r="L5232">
        <v>142.09280000000001</v>
      </c>
      <c r="M5232">
        <v>-0.99891169999999996</v>
      </c>
      <c r="N5232">
        <v>-1.316371E-2</v>
      </c>
      <c r="O5232">
        <v>4.4744539999999999E-2</v>
      </c>
      <c r="P5232">
        <v>-0.99748610000000004</v>
      </c>
      <c r="Q5232">
        <v>-6.7999879999999999E-2</v>
      </c>
      <c r="R5232">
        <v>-1.9942049999999999E-2</v>
      </c>
      <c r="S5232">
        <v>-3.0061040000000001</v>
      </c>
      <c r="T5232">
        <v>-4.3661949999999998E-2</v>
      </c>
      <c r="U5232">
        <v>6.819153E-2</v>
      </c>
      <c r="V5232">
        <v>-6.4490080000000005E-2</v>
      </c>
      <c r="W5232">
        <v>-5.4968280000000001E-2</v>
      </c>
      <c r="X5232">
        <v>0.99640329999999999</v>
      </c>
      <c r="Y5232">
        <v>-2.2076620000000002E-2</v>
      </c>
      <c r="Z5232">
        <v>-3.6599350000000001E-4</v>
      </c>
      <c r="AA5232">
        <v>0.99975619999999998</v>
      </c>
      <c r="AB5232">
        <v>60</v>
      </c>
      <c r="AC5232">
        <v>-75.963700000000003</v>
      </c>
      <c r="AD5232">
        <v>-1.109122312922</v>
      </c>
      <c r="AE5232">
        <v>1.7146999999999899</v>
      </c>
      <c r="AF5232">
        <v>-1.6859138580432</v>
      </c>
      <c r="AG5232">
        <v>-1.109122312922</v>
      </c>
      <c r="AH5232">
        <v>75.948153958744797</v>
      </c>
      <c r="AI5232">
        <v>90.836463551949194</v>
      </c>
      <c r="AJ5232">
        <v>91.271655493097995</v>
      </c>
      <c r="AK5232">
        <v>75.974960003825998</v>
      </c>
      <c r="AL5232">
        <v>93.151038599271502</v>
      </c>
      <c r="AM5232">
        <v>93.703182042684304</v>
      </c>
      <c r="AN5232">
        <v>1.0000000092377199</v>
      </c>
    </row>
    <row r="5233" spans="1:40" x14ac:dyDescent="0.25">
      <c r="A5233" t="str">
        <f>"20190305135033974"</f>
        <v>20190305135033974</v>
      </c>
      <c r="B5233" t="str">
        <f>"1551765033965381"</f>
        <v>1551765033965381</v>
      </c>
      <c r="C5233" t="s">
        <v>40</v>
      </c>
      <c r="D5233">
        <v>3.8099829999999999</v>
      </c>
      <c r="E5233">
        <v>0.51539250000000003</v>
      </c>
      <c r="F5233" t="s">
        <v>42</v>
      </c>
      <c r="G5233">
        <v>-399.58109999999999</v>
      </c>
      <c r="H5233" s="1">
        <v>-1.2045019999999999E-6</v>
      </c>
      <c r="I5233">
        <v>143.5342</v>
      </c>
      <c r="J5233">
        <v>-327.2199</v>
      </c>
      <c r="K5233">
        <v>1.1092610000000001</v>
      </c>
      <c r="L5233">
        <v>142.11150000000001</v>
      </c>
      <c r="M5233">
        <v>-0.99893569999999998</v>
      </c>
      <c r="N5233">
        <v>-1.3416630000000001E-2</v>
      </c>
      <c r="O5233">
        <v>4.4129620000000001E-2</v>
      </c>
      <c r="P5233">
        <v>-0.99746190000000001</v>
      </c>
      <c r="Q5233">
        <v>-6.8230970000000002E-2</v>
      </c>
      <c r="R5233">
        <v>-2.0355700000000001E-2</v>
      </c>
      <c r="S5233">
        <v>-3.0056150000000001</v>
      </c>
      <c r="T5233">
        <v>-4.5800920000000002E-2</v>
      </c>
      <c r="U5233">
        <v>5.9524540000000001E-2</v>
      </c>
      <c r="V5233">
        <v>-6.4271040000000002E-2</v>
      </c>
      <c r="W5233">
        <v>-5.4968860000000001E-2</v>
      </c>
      <c r="X5233">
        <v>0.99641740000000001</v>
      </c>
      <c r="Y5233">
        <v>-2.43383E-2</v>
      </c>
      <c r="Z5233">
        <v>-4.2860080000000001E-4</v>
      </c>
      <c r="AA5233">
        <v>0.99970369999999997</v>
      </c>
      <c r="AB5233">
        <v>60</v>
      </c>
      <c r="AC5233">
        <v>-72.361199999999997</v>
      </c>
      <c r="AD5233">
        <v>-1.109262204502</v>
      </c>
      <c r="AE5233">
        <v>1.4226999999999901</v>
      </c>
      <c r="AF5233">
        <v>-1.7718297779698999</v>
      </c>
      <c r="AG5233">
        <v>-1.109262204502</v>
      </c>
      <c r="AH5233">
        <v>72.3364908019376</v>
      </c>
      <c r="AI5233">
        <v>90.878284363391401</v>
      </c>
      <c r="AJ5233">
        <v>91.403137916070193</v>
      </c>
      <c r="AK5233">
        <v>72.366689470634498</v>
      </c>
      <c r="AL5233">
        <v>93.151071946278506</v>
      </c>
      <c r="AM5233">
        <v>93.690586957606797</v>
      </c>
      <c r="AN5233">
        <v>0.99999998858757</v>
      </c>
    </row>
    <row r="5234" spans="1:40" x14ac:dyDescent="0.25">
      <c r="A5234" t="str">
        <f>"20190305135033986"</f>
        <v>20190305135033986</v>
      </c>
      <c r="B5234" t="str">
        <f>"1551765033975140"</f>
        <v>1551765033975140</v>
      </c>
      <c r="C5234" t="s">
        <v>40</v>
      </c>
      <c r="D5234">
        <v>3.7936860000000001</v>
      </c>
      <c r="E5234">
        <v>0.51506909999999995</v>
      </c>
      <c r="F5234" t="s">
        <v>42</v>
      </c>
      <c r="G5234">
        <v>-395.20209999999997</v>
      </c>
      <c r="H5234" s="1">
        <v>-3.0399190000000002E-6</v>
      </c>
      <c r="I5234">
        <v>143.37190000000001</v>
      </c>
      <c r="J5234">
        <v>-327.54169999999999</v>
      </c>
      <c r="K5234">
        <v>1.1093789999999999</v>
      </c>
      <c r="L5234">
        <v>142.12549999999999</v>
      </c>
      <c r="M5234">
        <v>-0.99895639999999997</v>
      </c>
      <c r="N5234">
        <v>-1.3594119999999999E-2</v>
      </c>
      <c r="O5234">
        <v>4.3604990000000003E-2</v>
      </c>
      <c r="P5234">
        <v>-0.99745600000000001</v>
      </c>
      <c r="Q5234">
        <v>-6.8093929999999997E-2</v>
      </c>
      <c r="R5234">
        <v>-2.1098860000000001E-2</v>
      </c>
      <c r="S5234">
        <v>-3.0054020000000001</v>
      </c>
      <c r="T5234">
        <v>-4.903913E-2</v>
      </c>
      <c r="U5234">
        <v>5.57251E-2</v>
      </c>
      <c r="V5234">
        <v>-6.4475939999999995E-2</v>
      </c>
      <c r="W5234">
        <v>-5.4672520000000002E-2</v>
      </c>
      <c r="X5234">
        <v>0.99642050000000004</v>
      </c>
      <c r="Y5234">
        <v>-2.5074430000000002E-2</v>
      </c>
      <c r="Z5234">
        <v>-4.9322479999999995E-4</v>
      </c>
      <c r="AA5234">
        <v>0.9996855</v>
      </c>
      <c r="AB5234">
        <v>60</v>
      </c>
      <c r="AC5234">
        <v>-67.660399999999896</v>
      </c>
      <c r="AD5234">
        <v>-1.109382039919</v>
      </c>
      <c r="AE5234">
        <v>1.2464000000000199</v>
      </c>
      <c r="AF5234">
        <v>-1.7049311244343299</v>
      </c>
      <c r="AG5234">
        <v>-1.109382039919</v>
      </c>
      <c r="AH5234">
        <v>67.632211156173398</v>
      </c>
      <c r="AI5234">
        <v>90.939449208023802</v>
      </c>
      <c r="AJ5234">
        <v>91.444055597526102</v>
      </c>
      <c r="AK5234">
        <v>67.662792615460305</v>
      </c>
      <c r="AL5234">
        <v>93.134067238476803</v>
      </c>
      <c r="AM5234">
        <v>93.702308615228404</v>
      </c>
      <c r="AN5234">
        <v>1.00000002205114</v>
      </c>
    </row>
    <row r="5235" spans="1:40" x14ac:dyDescent="0.25">
      <c r="A5235" t="str">
        <f>"20190305135034004"</f>
        <v>20190305135034004</v>
      </c>
      <c r="B5235" t="str">
        <f>"1551765033995329"</f>
        <v>1551765033995329</v>
      </c>
      <c r="C5235" t="s">
        <v>40</v>
      </c>
      <c r="D5235">
        <v>3.7610790000000001</v>
      </c>
      <c r="E5235">
        <v>0.51626620000000001</v>
      </c>
      <c r="F5235" t="s">
        <v>42</v>
      </c>
      <c r="G5235">
        <v>-394.02109999999999</v>
      </c>
      <c r="H5235" s="1">
        <v>-3.5146740000000001E-6</v>
      </c>
      <c r="I5235">
        <v>143.25210000000001</v>
      </c>
      <c r="J5235">
        <v>-327.99509999999998</v>
      </c>
      <c r="K5235">
        <v>1.10955</v>
      </c>
      <c r="L5235">
        <v>142.14490000000001</v>
      </c>
      <c r="M5235">
        <v>-0.99898900000000002</v>
      </c>
      <c r="N5235">
        <v>-1.3821740000000001E-2</v>
      </c>
      <c r="O5235">
        <v>4.2778289999999997E-2</v>
      </c>
      <c r="P5235">
        <v>-0.99740830000000003</v>
      </c>
      <c r="Q5235">
        <v>-6.836776E-2</v>
      </c>
      <c r="R5235">
        <v>-2.2417619999999999E-2</v>
      </c>
      <c r="S5235">
        <v>-3.00528</v>
      </c>
      <c r="T5235">
        <v>-5.0150989999999999E-2</v>
      </c>
      <c r="U5235">
        <v>5.0933840000000001E-2</v>
      </c>
      <c r="V5235">
        <v>-6.4946989999999996E-2</v>
      </c>
      <c r="W5235">
        <v>-5.4745889999999998E-2</v>
      </c>
      <c r="X5235">
        <v>0.99638590000000005</v>
      </c>
      <c r="Y5235">
        <v>-2.5839319999999999E-2</v>
      </c>
      <c r="Z5235">
        <v>-5.1628510000000004E-4</v>
      </c>
      <c r="AA5235">
        <v>0.99966600000000005</v>
      </c>
      <c r="AB5235">
        <v>60</v>
      </c>
      <c r="AC5235">
        <v>-66.025999999999996</v>
      </c>
      <c r="AD5235">
        <v>-1.1095535146740001</v>
      </c>
      <c r="AE5235">
        <v>1.1072</v>
      </c>
      <c r="AF5235">
        <v>-1.7180778308735001</v>
      </c>
      <c r="AG5235">
        <v>-1.1095535146740001</v>
      </c>
      <c r="AH5235">
        <v>65.994284606453505</v>
      </c>
      <c r="AI5235">
        <v>90.962889718128693</v>
      </c>
      <c r="AJ5235">
        <v>91.491286391072705</v>
      </c>
      <c r="AK5235">
        <v>66.025968384813893</v>
      </c>
      <c r="AL5235">
        <v>93.138277269724099</v>
      </c>
      <c r="AM5235">
        <v>93.7294101204252</v>
      </c>
      <c r="AN5235">
        <v>1.0000000428503799</v>
      </c>
    </row>
    <row r="5236" spans="1:40" x14ac:dyDescent="0.25">
      <c r="A5236" t="str">
        <f>"20190305135034018"</f>
        <v>20190305135034018</v>
      </c>
      <c r="B5236" t="str">
        <f>"1551765034015823"</f>
        <v>1551765034015823</v>
      </c>
      <c r="C5236" t="s">
        <v>40</v>
      </c>
      <c r="D5236">
        <v>3.7461980000000001</v>
      </c>
      <c r="E5236">
        <v>0.51716269999999998</v>
      </c>
      <c r="F5236" t="s">
        <v>94</v>
      </c>
      <c r="G5236">
        <v>-417.33449999999999</v>
      </c>
      <c r="H5236" s="1">
        <v>-1.149985E-5</v>
      </c>
      <c r="I5236">
        <v>143.80439999999999</v>
      </c>
      <c r="J5236">
        <v>-328.3854</v>
      </c>
      <c r="K5236">
        <v>1.109702</v>
      </c>
      <c r="L5236">
        <v>142.16120000000001</v>
      </c>
      <c r="M5236">
        <v>-0.99901969999999995</v>
      </c>
      <c r="N5236">
        <v>-1.400092E-2</v>
      </c>
      <c r="O5236">
        <v>4.1997300000000001E-2</v>
      </c>
      <c r="P5236">
        <v>-0.99737240000000005</v>
      </c>
      <c r="Q5236">
        <v>-6.8420060000000005E-2</v>
      </c>
      <c r="R5236">
        <v>-2.3817870000000001E-2</v>
      </c>
      <c r="S5236">
        <v>-3.0065</v>
      </c>
      <c r="T5236">
        <v>-3.7339570000000002E-2</v>
      </c>
      <c r="U5236">
        <v>5.5847170000000002E-2</v>
      </c>
      <c r="V5236">
        <v>-6.554836E-2</v>
      </c>
      <c r="W5236">
        <v>-5.464343E-2</v>
      </c>
      <c r="X5236">
        <v>0.99635209999999996</v>
      </c>
      <c r="Y5236">
        <v>-2.3434389999999999E-2</v>
      </c>
      <c r="Z5236">
        <v>-2.427823E-4</v>
      </c>
      <c r="AA5236">
        <v>0.99972530000000004</v>
      </c>
      <c r="AB5236">
        <v>60</v>
      </c>
      <c r="AC5236">
        <v>-88.949099999999902</v>
      </c>
      <c r="AD5236">
        <v>-1.10971349985</v>
      </c>
      <c r="AE5236">
        <v>1.64319999999997</v>
      </c>
      <c r="AF5236">
        <v>-2.0939121728735199</v>
      </c>
      <c r="AG5236">
        <v>-1.10971349985</v>
      </c>
      <c r="AH5236">
        <v>88.925787460452796</v>
      </c>
      <c r="AI5236">
        <v>90.714764358641801</v>
      </c>
      <c r="AJ5236">
        <v>91.348879421094296</v>
      </c>
      <c r="AK5236">
        <v>88.957358367372194</v>
      </c>
      <c r="AL5236">
        <v>93.1323980795447</v>
      </c>
      <c r="AM5236">
        <v>93.763970721177799</v>
      </c>
      <c r="AN5236">
        <v>0.99999999955763197</v>
      </c>
    </row>
    <row r="5237" spans="1:40" x14ac:dyDescent="0.25">
      <c r="A5237" t="str">
        <f>"20190305135034032"</f>
        <v>20190305135034032</v>
      </c>
      <c r="B5237" t="str">
        <f>"1551765034025582"</f>
        <v>1551765034025582</v>
      </c>
      <c r="C5237" t="s">
        <v>40</v>
      </c>
      <c r="D5237">
        <v>3.7460960000000001</v>
      </c>
      <c r="E5237">
        <v>0.51752569999999998</v>
      </c>
      <c r="F5237" t="s">
        <v>42</v>
      </c>
      <c r="G5237">
        <v>-449.45170000000002</v>
      </c>
      <c r="H5237" s="1">
        <v>-5.0583469999999997E-7</v>
      </c>
      <c r="I5237">
        <v>144.50819999999999</v>
      </c>
      <c r="J5237">
        <v>-328.76940000000002</v>
      </c>
      <c r="K5237">
        <v>1.1098520000000001</v>
      </c>
      <c r="L5237">
        <v>142.1771</v>
      </c>
      <c r="M5237">
        <v>-0.99905160000000004</v>
      </c>
      <c r="N5237">
        <v>-1.4164349999999999E-2</v>
      </c>
      <c r="O5237">
        <v>4.1175589999999998E-2</v>
      </c>
      <c r="P5237">
        <v>-0.99734560000000005</v>
      </c>
      <c r="Q5237">
        <v>-6.8346240000000003E-2</v>
      </c>
      <c r="R5237">
        <v>-2.512029E-2</v>
      </c>
      <c r="S5237">
        <v>-3.0074160000000001</v>
      </c>
      <c r="T5237">
        <v>-2.7566190000000001E-2</v>
      </c>
      <c r="U5237">
        <v>5.8303830000000001E-2</v>
      </c>
      <c r="V5237">
        <v>-6.6012349999999997E-2</v>
      </c>
      <c r="W5237">
        <v>-5.4430010000000001E-2</v>
      </c>
      <c r="X5237">
        <v>0.99633309999999997</v>
      </c>
      <c r="Y5237">
        <v>-2.1802530000000001E-2</v>
      </c>
      <c r="Z5237" s="1">
        <v>-4.82189E-5</v>
      </c>
      <c r="AA5237">
        <v>0.99976229999999999</v>
      </c>
      <c r="AB5237">
        <v>60</v>
      </c>
      <c r="AC5237">
        <v>-120.6823</v>
      </c>
      <c r="AD5237">
        <v>-1.1098525058347</v>
      </c>
      <c r="AE5237">
        <v>2.33109999999999</v>
      </c>
      <c r="AF5237">
        <v>-2.6403171876367</v>
      </c>
      <c r="AG5237">
        <v>-1.1098525058347</v>
      </c>
      <c r="AH5237">
        <v>120.665724432665</v>
      </c>
      <c r="AI5237">
        <v>90.526850978888206</v>
      </c>
      <c r="AJ5237">
        <v>91.253503391146097</v>
      </c>
      <c r="AK5237">
        <v>120.699710439984</v>
      </c>
      <c r="AL5237">
        <v>93.120151939783398</v>
      </c>
      <c r="AM5237">
        <v>93.790609000520902</v>
      </c>
      <c r="AN5237">
        <v>0.99999995124836505</v>
      </c>
    </row>
    <row r="5238" spans="1:40" x14ac:dyDescent="0.25">
      <c r="A5238" t="str">
        <f>"20190305135034047"</f>
        <v>20190305135034047</v>
      </c>
      <c r="B5238" t="str">
        <f>"1551765034035342"</f>
        <v>1551765034035342</v>
      </c>
      <c r="C5238" t="s">
        <v>40</v>
      </c>
      <c r="D5238">
        <v>3.7651249999999998</v>
      </c>
      <c r="E5238">
        <v>0.51786109999999996</v>
      </c>
      <c r="F5238" t="s">
        <v>85</v>
      </c>
      <c r="G5238">
        <v>-475.73680000000002</v>
      </c>
      <c r="H5238" s="1">
        <v>-4.3936270000000003E-6</v>
      </c>
      <c r="I5238">
        <v>144.9692</v>
      </c>
      <c r="J5238">
        <v>-329.17540000000002</v>
      </c>
      <c r="K5238">
        <v>1.1100219999999901</v>
      </c>
      <c r="L5238">
        <v>142.1934</v>
      </c>
      <c r="M5238">
        <v>-0.99908770000000002</v>
      </c>
      <c r="N5238">
        <v>-1.4320350000000001E-2</v>
      </c>
      <c r="O5238">
        <v>4.0236559999999998E-2</v>
      </c>
      <c r="P5238">
        <v>-0.99736040000000004</v>
      </c>
      <c r="Q5238">
        <v>-6.7378430000000003E-2</v>
      </c>
      <c r="R5238">
        <v>-2.7071870000000001E-2</v>
      </c>
      <c r="S5238">
        <v>-3.0079039999999999</v>
      </c>
      <c r="T5238">
        <v>-2.2714850000000002E-2</v>
      </c>
      <c r="U5238">
        <v>5.7144170000000001E-2</v>
      </c>
      <c r="V5238">
        <v>-6.7012550000000004E-2</v>
      </c>
      <c r="W5238">
        <v>-5.3332860000000003E-2</v>
      </c>
      <c r="X5238">
        <v>0.99632569999999998</v>
      </c>
      <c r="Y5238">
        <v>-2.1251559999999999E-2</v>
      </c>
      <c r="Z5238" s="1">
        <v>4.0198170000000002E-5</v>
      </c>
      <c r="AA5238">
        <v>0.99977419999999995</v>
      </c>
      <c r="AB5238">
        <v>60</v>
      </c>
      <c r="AC5238">
        <v>-146.56139999999999</v>
      </c>
      <c r="AD5238">
        <v>-1.1100263936269901</v>
      </c>
      <c r="AE5238">
        <v>2.7757999999999998</v>
      </c>
      <c r="AF5238">
        <v>-3.1239997031283999</v>
      </c>
      <c r="AG5238">
        <v>-1.1100263936269901</v>
      </c>
      <c r="AH5238">
        <v>146.54598444246801</v>
      </c>
      <c r="AI5238">
        <v>90.433885419181706</v>
      </c>
      <c r="AJ5238">
        <v>91.221220033455296</v>
      </c>
      <c r="AK5238">
        <v>146.58348163743401</v>
      </c>
      <c r="AL5238">
        <v>93.057198306075904</v>
      </c>
      <c r="AM5238">
        <v>93.847900447150096</v>
      </c>
      <c r="AN5238">
        <v>0.99999998814688595</v>
      </c>
    </row>
    <row r="5239" spans="1:40" x14ac:dyDescent="0.25">
      <c r="A5239" t="str">
        <f>"20190305135034063"</f>
        <v>20190305135034063</v>
      </c>
      <c r="B5239" t="str">
        <f>"1551765034055838"</f>
        <v>1551765034055838</v>
      </c>
      <c r="C5239" t="s">
        <v>40</v>
      </c>
      <c r="D5239">
        <v>3.772856</v>
      </c>
      <c r="E5239">
        <v>0.51844570000000001</v>
      </c>
      <c r="F5239" t="s">
        <v>43</v>
      </c>
      <c r="G5239">
        <v>-555.62860000000001</v>
      </c>
      <c r="H5239">
        <v>-0.05</v>
      </c>
      <c r="I5239">
        <v>146.23990000000001</v>
      </c>
      <c r="J5239">
        <v>-329.6</v>
      </c>
      <c r="K5239">
        <v>1.110179</v>
      </c>
      <c r="L5239">
        <v>142.21010000000001</v>
      </c>
      <c r="M5239">
        <v>-0.99912730000000005</v>
      </c>
      <c r="N5239">
        <v>-1.446683E-2</v>
      </c>
      <c r="O5239">
        <v>3.9186489999999997E-2</v>
      </c>
      <c r="P5239">
        <v>-0.9973554</v>
      </c>
      <c r="Q5239">
        <v>-6.6804000000000002E-2</v>
      </c>
      <c r="R5239">
        <v>-2.8631110000000001E-2</v>
      </c>
      <c r="S5239">
        <v>-3.008362</v>
      </c>
      <c r="T5239">
        <v>-1.541054E-2</v>
      </c>
      <c r="U5239">
        <v>5.3756709999999999E-2</v>
      </c>
      <c r="V5239">
        <v>-6.7508170000000006E-2</v>
      </c>
      <c r="W5239">
        <v>-5.2637660000000003E-2</v>
      </c>
      <c r="X5239">
        <v>0.99632920000000003</v>
      </c>
      <c r="Y5239">
        <v>-2.132904E-2</v>
      </c>
      <c r="Z5239">
        <v>1.5746090000000001E-4</v>
      </c>
      <c r="AA5239">
        <v>0.99977249999999995</v>
      </c>
      <c r="AB5239">
        <v>60</v>
      </c>
      <c r="AC5239">
        <v>-226.02860000000001</v>
      </c>
      <c r="AD5239">
        <v>-1.1601790000000001</v>
      </c>
      <c r="AE5239">
        <v>4.0297999999999901</v>
      </c>
      <c r="AF5239">
        <v>-4.8313620866462301</v>
      </c>
      <c r="AG5239">
        <v>-1.1601790000000001</v>
      </c>
      <c r="AH5239">
        <v>226.00693202226</v>
      </c>
      <c r="AI5239">
        <v>90.294051128703103</v>
      </c>
      <c r="AJ5239">
        <v>91.224628375494405</v>
      </c>
      <c r="AK5239">
        <v>226.06154338374</v>
      </c>
      <c r="AL5239">
        <v>93.017310286034601</v>
      </c>
      <c r="AM5239">
        <v>93.876259225295698</v>
      </c>
      <c r="AN5239">
        <v>0.999999975519832</v>
      </c>
    </row>
    <row r="5240" spans="1:40" x14ac:dyDescent="0.25">
      <c r="A5240" t="str">
        <f>"20190305135034077"</f>
        <v>20190305135034077</v>
      </c>
      <c r="B5240" t="str">
        <f>"1551765034065599"</f>
        <v>1551765034065599</v>
      </c>
      <c r="C5240" t="s">
        <v>40</v>
      </c>
      <c r="D5240">
        <v>3.763754</v>
      </c>
      <c r="E5240">
        <v>0.51874500000000001</v>
      </c>
      <c r="F5240" t="s">
        <v>47</v>
      </c>
      <c r="G5240">
        <v>0</v>
      </c>
      <c r="H5240">
        <v>0</v>
      </c>
      <c r="I5240">
        <v>0</v>
      </c>
      <c r="J5240">
        <v>-329.95839999999998</v>
      </c>
      <c r="K5240">
        <v>1.1103019999999999</v>
      </c>
      <c r="L5240">
        <v>142.22380000000001</v>
      </c>
      <c r="M5240">
        <v>-0.99916150000000004</v>
      </c>
      <c r="N5240">
        <v>-1.458046E-2</v>
      </c>
      <c r="O5240">
        <v>3.8259609999999999E-2</v>
      </c>
      <c r="P5240">
        <v>-0.99732480000000001</v>
      </c>
      <c r="Q5240">
        <v>-6.6603300000000004E-2</v>
      </c>
      <c r="R5240">
        <v>-3.012246E-2</v>
      </c>
      <c r="S5240">
        <v>-3.0089419999999998</v>
      </c>
      <c r="T5240">
        <v>-7.6686139999999998E-3</v>
      </c>
      <c r="U5240">
        <v>5.3619380000000001E-2</v>
      </c>
      <c r="V5240">
        <v>-6.8059839999999996E-2</v>
      </c>
      <c r="W5240">
        <v>-5.2345559999999999E-2</v>
      </c>
      <c r="X5240">
        <v>0.9963071</v>
      </c>
      <c r="Y5240">
        <v>-2.045025E-2</v>
      </c>
      <c r="Z5240">
        <v>2.8534129999999998E-4</v>
      </c>
      <c r="AA5240">
        <v>0.99979079999999998</v>
      </c>
      <c r="AB5240">
        <v>60</v>
      </c>
      <c r="AC5240">
        <v>-3.0089419999999998</v>
      </c>
      <c r="AD5240">
        <v>-7.6686139999999998E-3</v>
      </c>
      <c r="AE5240">
        <v>5.3619380000000001E-2</v>
      </c>
      <c r="AF5240">
        <v>-6.15526679353329E-2</v>
      </c>
      <c r="AG5240">
        <v>-7.6686139999999998E-3</v>
      </c>
      <c r="AH5240">
        <v>3.0087706214016698</v>
      </c>
      <c r="AI5240">
        <v>90.146001940943094</v>
      </c>
      <c r="AJ5240">
        <v>91.171979076868297</v>
      </c>
      <c r="AK5240">
        <v>3.00940994063295</v>
      </c>
      <c r="AL5240">
        <v>93.000550954490095</v>
      </c>
      <c r="AM5240">
        <v>93.907924292751602</v>
      </c>
      <c r="AN5240">
        <v>1.0000000184914699</v>
      </c>
    </row>
    <row r="5241" spans="1:40" x14ac:dyDescent="0.25">
      <c r="A5241" t="str">
        <f>"20190305135034094"</f>
        <v>20190305135034094</v>
      </c>
      <c r="B5241" t="str">
        <f>"1551765034085119"</f>
        <v>1551765034085119</v>
      </c>
      <c r="C5241" t="s">
        <v>40</v>
      </c>
      <c r="D5241">
        <v>3.8236599999999998</v>
      </c>
      <c r="E5241">
        <v>0.51878959999999996</v>
      </c>
      <c r="F5241" t="s">
        <v>47</v>
      </c>
      <c r="G5241">
        <v>0</v>
      </c>
      <c r="H5241">
        <v>0</v>
      </c>
      <c r="I5241">
        <v>0</v>
      </c>
      <c r="J5241">
        <v>-330.41770000000002</v>
      </c>
      <c r="K5241">
        <v>1.110465</v>
      </c>
      <c r="L5241">
        <v>142.24100000000001</v>
      </c>
      <c r="M5241">
        <v>-0.99920629999999999</v>
      </c>
      <c r="N5241">
        <v>-1.4713189999999999E-2</v>
      </c>
      <c r="O5241">
        <v>3.7019410000000003E-2</v>
      </c>
      <c r="P5241">
        <v>-0.9972858</v>
      </c>
      <c r="Q5241">
        <v>-6.5875740000000002E-2</v>
      </c>
      <c r="R5241">
        <v>-3.2890410000000002E-2</v>
      </c>
      <c r="S5241">
        <v>-3.0093079999999999</v>
      </c>
      <c r="T5241">
        <v>-4.261613E-3</v>
      </c>
      <c r="U5241">
        <v>5.137634E-2</v>
      </c>
      <c r="V5241">
        <v>-6.9574460000000005E-2</v>
      </c>
      <c r="W5241">
        <v>-5.1517109999999998E-2</v>
      </c>
      <c r="X5241">
        <v>0.99624559999999995</v>
      </c>
      <c r="Y5241">
        <v>-1.9956229999999998E-2</v>
      </c>
      <c r="Z5241">
        <v>3.3143559999999997E-4</v>
      </c>
      <c r="AA5241">
        <v>0.99980080000000005</v>
      </c>
      <c r="AB5241">
        <v>60</v>
      </c>
      <c r="AC5241">
        <v>-3.0093079999999999</v>
      </c>
      <c r="AD5241">
        <v>-4.261613E-3</v>
      </c>
      <c r="AE5241">
        <v>5.137634E-2</v>
      </c>
      <c r="AF5241">
        <v>-6.0073621956639199E-2</v>
      </c>
      <c r="AG5241">
        <v>-4.261613E-3</v>
      </c>
      <c r="AH5241">
        <v>3.0091409080565299</v>
      </c>
      <c r="AI5241">
        <v>90.0811273517036</v>
      </c>
      <c r="AJ5241">
        <v>91.143684509246697</v>
      </c>
      <c r="AK5241">
        <v>3.0097435116533799</v>
      </c>
      <c r="AL5241">
        <v>92.953020312414907</v>
      </c>
      <c r="AM5241">
        <v>93.994859476077195</v>
      </c>
      <c r="AN5241">
        <v>0.99999995681320097</v>
      </c>
    </row>
    <row r="5242" spans="1:40" x14ac:dyDescent="0.25">
      <c r="A5242" t="str">
        <f>"20190305135034115"</f>
        <v>20190305135034115</v>
      </c>
      <c r="B5242" t="str">
        <f>"1551765034105600"</f>
        <v>1551765034105600</v>
      </c>
      <c r="C5242" t="s">
        <v>40</v>
      </c>
      <c r="D5242">
        <v>3.8747560000000001</v>
      </c>
      <c r="E5242">
        <v>0.51822879999999905</v>
      </c>
      <c r="F5242" t="s">
        <v>47</v>
      </c>
      <c r="G5242">
        <v>0</v>
      </c>
      <c r="H5242">
        <v>0</v>
      </c>
      <c r="I5242">
        <v>0</v>
      </c>
      <c r="J5242">
        <v>-330.98009999999999</v>
      </c>
      <c r="K5242">
        <v>1.110652</v>
      </c>
      <c r="L5242">
        <v>142.2612</v>
      </c>
      <c r="M5242">
        <v>-0.99926210000000004</v>
      </c>
      <c r="N5242">
        <v>-1.485595E-2</v>
      </c>
      <c r="O5242">
        <v>3.5423660000000003E-2</v>
      </c>
      <c r="P5242">
        <v>-0.99726190000000003</v>
      </c>
      <c r="Q5242">
        <v>-6.5127019999999994E-2</v>
      </c>
      <c r="R5242">
        <v>-3.5040590000000003E-2</v>
      </c>
      <c r="S5242">
        <v>-3.0094599999999998</v>
      </c>
      <c r="T5242">
        <v>-2.222538E-3</v>
      </c>
      <c r="U5242">
        <v>4.356384E-2</v>
      </c>
      <c r="V5242">
        <v>-7.0115759999999999E-2</v>
      </c>
      <c r="W5242">
        <v>-5.0656899999999998E-2</v>
      </c>
      <c r="X5242">
        <v>0.99625180000000002</v>
      </c>
      <c r="Y5242">
        <v>-2.095518E-2</v>
      </c>
      <c r="Z5242">
        <v>3.3680830000000001E-4</v>
      </c>
      <c r="AA5242">
        <v>0.99978040000000001</v>
      </c>
      <c r="AB5242">
        <v>60</v>
      </c>
      <c r="AC5242">
        <v>-3.0094599999999998</v>
      </c>
      <c r="AD5242">
        <v>-2.222538E-3</v>
      </c>
      <c r="AE5242">
        <v>4.356384E-2</v>
      </c>
      <c r="AF5242">
        <v>-6.30813117558046E-2</v>
      </c>
      <c r="AG5242">
        <v>-2.222538E-3</v>
      </c>
      <c r="AH5242">
        <v>3.0091125217446502</v>
      </c>
      <c r="AI5242">
        <v>90.042309501941403</v>
      </c>
      <c r="AJ5242">
        <v>91.200940008428205</v>
      </c>
      <c r="AK5242">
        <v>3.0097744699708699</v>
      </c>
      <c r="AL5242">
        <v>92.903669352785499</v>
      </c>
      <c r="AM5242">
        <v>94.025813321222898</v>
      </c>
      <c r="AN5242">
        <v>0.999999995160613</v>
      </c>
    </row>
    <row r="5243" spans="1:40" x14ac:dyDescent="0.25">
      <c r="A5243" t="str">
        <f>"20190305135034130"</f>
        <v>20190305135034130</v>
      </c>
      <c r="B5243" t="str">
        <f>"1551765034125120"</f>
        <v>1551765034125120</v>
      </c>
      <c r="C5243" t="s">
        <v>40</v>
      </c>
      <c r="D5243">
        <v>3.8384299999999998</v>
      </c>
      <c r="E5243">
        <v>0.51791849999999995</v>
      </c>
      <c r="F5243" t="s">
        <v>47</v>
      </c>
      <c r="G5243">
        <v>0</v>
      </c>
      <c r="H5243">
        <v>0</v>
      </c>
      <c r="I5243">
        <v>0</v>
      </c>
      <c r="J5243">
        <v>-331.37970000000001</v>
      </c>
      <c r="K5243">
        <v>1.1107769999999999</v>
      </c>
      <c r="L5243">
        <v>142.27500000000001</v>
      </c>
      <c r="M5243">
        <v>-0.99930140000000001</v>
      </c>
      <c r="N5243">
        <v>-1.494737E-2</v>
      </c>
      <c r="O5243">
        <v>3.4253190000000003E-2</v>
      </c>
      <c r="P5243">
        <v>-0.99724669999999904</v>
      </c>
      <c r="Q5243">
        <v>-6.4802360000000003E-2</v>
      </c>
      <c r="R5243">
        <v>-3.6050659999999998E-2</v>
      </c>
      <c r="S5243">
        <v>-3.009064</v>
      </c>
      <c r="T5243">
        <v>-4.9707889999999998E-3</v>
      </c>
      <c r="U5243">
        <v>3.2989499999999998E-2</v>
      </c>
      <c r="V5243">
        <v>-6.9947099999999998E-2</v>
      </c>
      <c r="W5243">
        <v>-5.0259140000000001E-2</v>
      </c>
      <c r="X5243">
        <v>0.99628380000000005</v>
      </c>
      <c r="Y5243">
        <v>-2.329533E-2</v>
      </c>
      <c r="Z5243">
        <v>2.621802E-4</v>
      </c>
      <c r="AA5243">
        <v>0.99972859999999997</v>
      </c>
      <c r="AB5243">
        <v>60</v>
      </c>
      <c r="AC5243">
        <v>-3.009064</v>
      </c>
      <c r="AD5243">
        <v>-4.9707889999999998E-3</v>
      </c>
      <c r="AE5243">
        <v>3.2989499999999998E-2</v>
      </c>
      <c r="AF5243">
        <v>-7.0111229042821396E-2</v>
      </c>
      <c r="AG5243">
        <v>-4.9707889999999998E-3</v>
      </c>
      <c r="AH5243">
        <v>3.0084197615166701</v>
      </c>
      <c r="AI5243">
        <v>90.094643594807195</v>
      </c>
      <c r="AJ5243">
        <v>91.335036603936501</v>
      </c>
      <c r="AK5243">
        <v>3.0092407272707802</v>
      </c>
      <c r="AL5243">
        <v>92.880850319192902</v>
      </c>
      <c r="AM5243">
        <v>94.016032578588295</v>
      </c>
      <c r="AN5243">
        <v>0.99999999404719397</v>
      </c>
    </row>
    <row r="5244" spans="1:40" x14ac:dyDescent="0.25">
      <c r="A5244" t="str">
        <f>"20190305135034141"</f>
        <v>20190305135034141</v>
      </c>
      <c r="B5244" t="str">
        <f>"1551765034135856"</f>
        <v>1551765034135856</v>
      </c>
      <c r="C5244" t="s">
        <v>40</v>
      </c>
      <c r="D5244">
        <v>3.8601760000000001</v>
      </c>
      <c r="E5244">
        <v>0.51781409999999894</v>
      </c>
      <c r="F5244" t="s">
        <v>47</v>
      </c>
      <c r="G5244">
        <v>0</v>
      </c>
      <c r="H5244">
        <v>0</v>
      </c>
      <c r="I5244">
        <v>0</v>
      </c>
      <c r="J5244">
        <v>-331.68979999999999</v>
      </c>
      <c r="K5244">
        <v>1.110867</v>
      </c>
      <c r="L5244">
        <v>142.28530000000001</v>
      </c>
      <c r="M5244">
        <v>-0.9993322</v>
      </c>
      <c r="N5244">
        <v>-1.500984E-2</v>
      </c>
      <c r="O5244">
        <v>3.3315209999999998E-2</v>
      </c>
      <c r="P5244">
        <v>-0.99726000000000004</v>
      </c>
      <c r="Q5244">
        <v>-6.4252249999999997E-2</v>
      </c>
      <c r="R5244">
        <v>-3.6663080000000001E-2</v>
      </c>
      <c r="S5244">
        <v>-3.0088200000000001</v>
      </c>
      <c r="T5244">
        <v>-7.6913830000000004E-3</v>
      </c>
      <c r="U5244">
        <v>2.7786249999999998E-2</v>
      </c>
      <c r="V5244">
        <v>-6.9618540000000007E-2</v>
      </c>
      <c r="W5244">
        <v>-4.9658130000000002E-2</v>
      </c>
      <c r="X5244">
        <v>0.99633689999999997</v>
      </c>
      <c r="Y5244">
        <v>-2.4084999999999999E-2</v>
      </c>
      <c r="Z5244">
        <v>2.0346470000000001E-4</v>
      </c>
      <c r="AA5244">
        <v>0.99970990000000004</v>
      </c>
      <c r="AB5244">
        <v>60</v>
      </c>
      <c r="AC5244">
        <v>-3.0088200000000001</v>
      </c>
      <c r="AD5244">
        <v>-7.6913830000000004E-3</v>
      </c>
      <c r="AE5244">
        <v>2.7786249999999998E-2</v>
      </c>
      <c r="AF5244">
        <v>-7.24794657716335E-2</v>
      </c>
      <c r="AG5244">
        <v>-7.6913830000000004E-3</v>
      </c>
      <c r="AH5244">
        <v>3.0080555649032101</v>
      </c>
      <c r="AI5244">
        <v>90.146458383555597</v>
      </c>
      <c r="AJ5244">
        <v>91.380281718915796</v>
      </c>
      <c r="AK5244">
        <v>3.0089384692738701</v>
      </c>
      <c r="AL5244">
        <v>92.846372069165</v>
      </c>
      <c r="AM5244">
        <v>93.997017164493599</v>
      </c>
      <c r="AN5244">
        <v>0.99999994464421704</v>
      </c>
    </row>
    <row r="5245" spans="1:40" x14ac:dyDescent="0.25">
      <c r="A5245" t="str">
        <f>"20190305135034153"</f>
        <v>20190305135034153</v>
      </c>
      <c r="B5245" t="str">
        <f>"1551765034145616"</f>
        <v>1551765034145616</v>
      </c>
      <c r="C5245" t="s">
        <v>40</v>
      </c>
      <c r="D5245">
        <v>3.8671920000000002</v>
      </c>
      <c r="E5245">
        <v>0.51770590000000005</v>
      </c>
      <c r="F5245" t="s">
        <v>47</v>
      </c>
      <c r="G5245">
        <v>0</v>
      </c>
      <c r="H5245">
        <v>0</v>
      </c>
      <c r="I5245">
        <v>0</v>
      </c>
      <c r="J5245">
        <v>-331.9966</v>
      </c>
      <c r="K5245">
        <v>1.1109519999999999</v>
      </c>
      <c r="L5245">
        <v>142.2954</v>
      </c>
      <c r="M5245">
        <v>-0.99936210000000003</v>
      </c>
      <c r="N5245">
        <v>-1.5069000000000001E-2</v>
      </c>
      <c r="O5245">
        <v>3.2379020000000001E-2</v>
      </c>
      <c r="P5245">
        <v>-0.99724429999999997</v>
      </c>
      <c r="Q5245">
        <v>-6.3960110000000001E-2</v>
      </c>
      <c r="R5245">
        <v>-3.7593509999999997E-2</v>
      </c>
      <c r="S5245">
        <v>-3.0086979999999999</v>
      </c>
      <c r="T5245">
        <v>-7.7364440000000003E-3</v>
      </c>
      <c r="U5245">
        <v>2.529907E-2</v>
      </c>
      <c r="V5245">
        <v>-6.9607349999999998E-2</v>
      </c>
      <c r="W5245">
        <v>-4.9320030000000001E-2</v>
      </c>
      <c r="X5245">
        <v>0.99635450000000003</v>
      </c>
      <c r="Y5245">
        <v>-2.3974539999999999E-2</v>
      </c>
      <c r="Z5245">
        <v>1.9330559999999999E-4</v>
      </c>
      <c r="AA5245">
        <v>0.9997125</v>
      </c>
      <c r="AB5245">
        <v>60</v>
      </c>
      <c r="AC5245">
        <v>-3.0086979999999999</v>
      </c>
      <c r="AD5245">
        <v>-7.7364440000000003E-3</v>
      </c>
      <c r="AE5245">
        <v>2.529907E-2</v>
      </c>
      <c r="AF5245">
        <v>-7.2143472541499401E-2</v>
      </c>
      <c r="AG5245">
        <v>-7.7364440000000003E-3</v>
      </c>
      <c r="AH5245">
        <v>3.0079194326929799</v>
      </c>
      <c r="AI5245">
        <v>90.147323484616294</v>
      </c>
      <c r="AJ5245">
        <v>91.3739477572326</v>
      </c>
      <c r="AK5245">
        <v>3.00879441749818</v>
      </c>
      <c r="AL5245">
        <v>92.826976529793399</v>
      </c>
      <c r="AM5245">
        <v>93.996306428752305</v>
      </c>
      <c r="AN5245">
        <v>0.99999996910173605</v>
      </c>
    </row>
    <row r="5246" spans="1:40" x14ac:dyDescent="0.25">
      <c r="A5246" t="str">
        <f>"20190305135034166"</f>
        <v>20190305135034166</v>
      </c>
      <c r="B5246" t="str">
        <f>"1551765034155377"</f>
        <v>1551765034155377</v>
      </c>
      <c r="C5246" t="s">
        <v>40</v>
      </c>
      <c r="D5246">
        <v>4.0831679999999997</v>
      </c>
      <c r="E5246">
        <v>0.51777910000000005</v>
      </c>
      <c r="F5246" t="s">
        <v>47</v>
      </c>
      <c r="G5246">
        <v>0</v>
      </c>
      <c r="H5246">
        <v>0</v>
      </c>
      <c r="I5246">
        <v>0</v>
      </c>
      <c r="J5246">
        <v>-332.34</v>
      </c>
      <c r="K5246">
        <v>1.11104</v>
      </c>
      <c r="L5246">
        <v>142.30619999999999</v>
      </c>
      <c r="M5246">
        <v>-0.99939520000000004</v>
      </c>
      <c r="N5246">
        <v>-1.512931E-2</v>
      </c>
      <c r="O5246">
        <v>3.1311310000000002E-2</v>
      </c>
      <c r="P5246">
        <v>-0.99724860000000004</v>
      </c>
      <c r="Q5246">
        <v>-6.3646220000000003E-2</v>
      </c>
      <c r="R5246">
        <v>-3.8004250000000003E-2</v>
      </c>
      <c r="S5246">
        <v>-3.0085139999999999</v>
      </c>
      <c r="T5246">
        <v>-8.5804460000000003E-3</v>
      </c>
      <c r="U5246">
        <v>2.1759029999999999E-2</v>
      </c>
      <c r="V5246">
        <v>-6.8946759999999996E-2</v>
      </c>
      <c r="W5246">
        <v>-4.895567E-2</v>
      </c>
      <c r="X5246">
        <v>0.99641840000000004</v>
      </c>
      <c r="Y5246">
        <v>-2.4082349999999999E-2</v>
      </c>
      <c r="Z5246">
        <v>1.6799689999999999E-4</v>
      </c>
      <c r="AA5246">
        <v>0.99970999999999999</v>
      </c>
      <c r="AB5246">
        <v>60</v>
      </c>
      <c r="AC5246">
        <v>-3.0085139999999999</v>
      </c>
      <c r="AD5246">
        <v>-8.5804460000000003E-3</v>
      </c>
      <c r="AE5246">
        <v>2.1759029999999999E-2</v>
      </c>
      <c r="AF5246">
        <v>-7.2462346502789404E-2</v>
      </c>
      <c r="AG5246">
        <v>-8.5804460000000003E-3</v>
      </c>
      <c r="AH5246">
        <v>3.0076954476162001</v>
      </c>
      <c r="AI5246">
        <v>90.163407300171698</v>
      </c>
      <c r="AJ5246">
        <v>91.380120990629194</v>
      </c>
      <c r="AK5246">
        <v>3.0085804495352102</v>
      </c>
      <c r="AL5246">
        <v>92.806074985671501</v>
      </c>
      <c r="AM5246">
        <v>93.958248643956594</v>
      </c>
      <c r="AN5246">
        <v>0.99999997059910195</v>
      </c>
    </row>
    <row r="5247" spans="1:40" x14ac:dyDescent="0.25">
      <c r="A5247" t="str">
        <f>"20190305135034182"</f>
        <v>20190305135034182</v>
      </c>
      <c r="B5247" t="str">
        <f>"1551765034175872"</f>
        <v>1551765034175872</v>
      </c>
      <c r="C5247" t="s">
        <v>40</v>
      </c>
      <c r="D5247">
        <v>4.1061120000000004</v>
      </c>
      <c r="E5247">
        <v>0.51785270000000005</v>
      </c>
      <c r="F5247" t="s">
        <v>47</v>
      </c>
      <c r="G5247">
        <v>0</v>
      </c>
      <c r="H5247">
        <v>0</v>
      </c>
      <c r="I5247">
        <v>0</v>
      </c>
      <c r="J5247">
        <v>-332.78190000000001</v>
      </c>
      <c r="K5247">
        <v>1.111138</v>
      </c>
      <c r="L5247">
        <v>142.31960000000001</v>
      </c>
      <c r="M5247">
        <v>-0.99943720000000003</v>
      </c>
      <c r="N5247">
        <v>-1.519885E-2</v>
      </c>
      <c r="O5247">
        <v>2.9910429999999998E-2</v>
      </c>
      <c r="P5247">
        <v>-0.99719669999999905</v>
      </c>
      <c r="Q5247">
        <v>-6.4118110000000006E-2</v>
      </c>
      <c r="R5247">
        <v>-3.8571300000000003E-2</v>
      </c>
      <c r="S5247">
        <v>-3.0083920000000002</v>
      </c>
      <c r="T5247">
        <v>-1.0406489999999999E-2</v>
      </c>
      <c r="U5247">
        <v>2.1347049999999999E-2</v>
      </c>
      <c r="V5247">
        <v>-6.8101990000000001E-2</v>
      </c>
      <c r="W5247">
        <v>-4.9370020000000001E-2</v>
      </c>
      <c r="X5247">
        <v>0.99645609999999996</v>
      </c>
      <c r="Y5247">
        <v>-2.2817850000000001E-2</v>
      </c>
      <c r="Z5247">
        <v>1.3836100000000001E-4</v>
      </c>
      <c r="AA5247">
        <v>0.99973959999999995</v>
      </c>
      <c r="AB5247">
        <v>60</v>
      </c>
      <c r="AC5247">
        <v>-3.0083920000000002</v>
      </c>
      <c r="AD5247">
        <v>-1.0406489999999999E-2</v>
      </c>
      <c r="AE5247">
        <v>2.1347049999999999E-2</v>
      </c>
      <c r="AF5247">
        <v>-6.8654359085051797E-2</v>
      </c>
      <c r="AG5247">
        <v>-1.0406489999999999E-2</v>
      </c>
      <c r="AH5247">
        <v>3.0076482698289899</v>
      </c>
      <c r="AI5247">
        <v>90.198191493080898</v>
      </c>
      <c r="AJ5247">
        <v>91.307640280869705</v>
      </c>
      <c r="AK5247">
        <v>3.0084497388290901</v>
      </c>
      <c r="AL5247">
        <v>92.829844096427095</v>
      </c>
      <c r="AM5247">
        <v>93.9097540965615</v>
      </c>
      <c r="AN5247">
        <v>1.00000001957198</v>
      </c>
    </row>
    <row r="5248" spans="1:40" x14ac:dyDescent="0.25">
      <c r="A5248" t="str">
        <f>"20190305135034199"</f>
        <v>20190305135034199</v>
      </c>
      <c r="B5248" t="str">
        <f>"1551765034185632"</f>
        <v>1551765034185632</v>
      </c>
      <c r="C5248" t="s">
        <v>40</v>
      </c>
      <c r="D5248">
        <v>3.9755349999999998</v>
      </c>
      <c r="E5248">
        <v>0.51785270000000005</v>
      </c>
      <c r="F5248" t="s">
        <v>47</v>
      </c>
      <c r="G5248">
        <v>0</v>
      </c>
      <c r="H5248">
        <v>0</v>
      </c>
      <c r="I5248">
        <v>0</v>
      </c>
      <c r="J5248">
        <v>-333.19529999999997</v>
      </c>
      <c r="K5248">
        <v>1.1112280000000001</v>
      </c>
      <c r="L5248">
        <v>142.33160000000001</v>
      </c>
      <c r="M5248">
        <v>-0.99947509999999995</v>
      </c>
      <c r="N5248">
        <v>-1.525746E-2</v>
      </c>
      <c r="O5248">
        <v>2.857846E-2</v>
      </c>
      <c r="P5248">
        <v>-0.99714899999999995</v>
      </c>
      <c r="Q5248">
        <v>-6.4020519999999997E-2</v>
      </c>
      <c r="R5248">
        <v>-3.9940129999999997E-2</v>
      </c>
      <c r="S5248">
        <v>-3.0083920000000002</v>
      </c>
      <c r="T5248">
        <v>-1.385403E-2</v>
      </c>
      <c r="U5248">
        <v>2.0431520000000002E-2</v>
      </c>
      <c r="V5248">
        <v>-6.8132399999999996E-2</v>
      </c>
      <c r="W5248">
        <v>-4.922907E-2</v>
      </c>
      <c r="X5248">
        <v>0.99646100000000004</v>
      </c>
      <c r="Y5248">
        <v>-2.1789929999999999E-2</v>
      </c>
      <c r="Z5248" s="1">
        <v>8.8110119999999895E-5</v>
      </c>
      <c r="AA5248">
        <v>0.99976259999999995</v>
      </c>
      <c r="AB5248">
        <v>60</v>
      </c>
      <c r="AC5248">
        <v>-3.0083920000000002</v>
      </c>
      <c r="AD5248">
        <v>-1.385403E-2</v>
      </c>
      <c r="AE5248">
        <v>2.0431520000000002E-2</v>
      </c>
      <c r="AF5248">
        <v>-6.5560656385838995E-2</v>
      </c>
      <c r="AG5248">
        <v>-1.385403E-2</v>
      </c>
      <c r="AH5248">
        <v>3.0076831310700798</v>
      </c>
      <c r="AI5248">
        <v>90.263852039236497</v>
      </c>
      <c r="AJ5248">
        <v>91.248720023756803</v>
      </c>
      <c r="AK5248">
        <v>3.0084294824270801</v>
      </c>
      <c r="AL5248">
        <v>92.821758409564197</v>
      </c>
      <c r="AM5248">
        <v>93.911475350207894</v>
      </c>
      <c r="AN5248">
        <v>1.0000000248919101</v>
      </c>
    </row>
    <row r="5249" spans="1:40" x14ac:dyDescent="0.25">
      <c r="A5249" t="str">
        <f>"20190305135034211"</f>
        <v>20190305135034211</v>
      </c>
      <c r="B5249" t="str">
        <f>"1551765034205153"</f>
        <v>1551765034205153</v>
      </c>
      <c r="C5249" t="s">
        <v>40</v>
      </c>
      <c r="D5249">
        <v>3.9663650000000001</v>
      </c>
      <c r="E5249">
        <v>0.55663229999999997</v>
      </c>
      <c r="F5249" t="s">
        <v>47</v>
      </c>
      <c r="G5249">
        <v>0</v>
      </c>
      <c r="H5249">
        <v>0</v>
      </c>
      <c r="I5249">
        <v>0</v>
      </c>
      <c r="J5249">
        <v>-333.53820000000002</v>
      </c>
      <c r="K5249">
        <v>1.1113109999999999</v>
      </c>
      <c r="L5249">
        <v>142.34129999999999</v>
      </c>
      <c r="M5249">
        <v>-0.9995058</v>
      </c>
      <c r="N5249">
        <v>-1.5302390000000001E-2</v>
      </c>
      <c r="O5249">
        <v>2.7460869999999998E-2</v>
      </c>
      <c r="P5249">
        <v>-0.99711719999999904</v>
      </c>
      <c r="Q5249">
        <v>-6.4005080000000006E-2</v>
      </c>
      <c r="R5249">
        <v>-4.0752299999999998E-2</v>
      </c>
      <c r="S5249">
        <v>-3.0083310000000001</v>
      </c>
      <c r="T5249">
        <v>-1.361418E-2</v>
      </c>
      <c r="U5249">
        <v>1.6342160000000001E-2</v>
      </c>
      <c r="V5249">
        <v>-6.782183E-2</v>
      </c>
      <c r="W5249">
        <v>-4.9178479999999997E-2</v>
      </c>
      <c r="X5249">
        <v>0.99648460000000005</v>
      </c>
      <c r="Y5249">
        <v>-2.2030930000000001E-2</v>
      </c>
      <c r="Z5249" s="1">
        <v>7.7605260000000004E-5</v>
      </c>
      <c r="AA5249">
        <v>0.99975729999999996</v>
      </c>
      <c r="AB5249">
        <v>60</v>
      </c>
      <c r="AC5249">
        <v>-3.0083310000000001</v>
      </c>
      <c r="AD5249">
        <v>-1.361418E-2</v>
      </c>
      <c r="AE5249">
        <v>1.6342160000000001E-2</v>
      </c>
      <c r="AF5249">
        <v>-6.6283703022462906E-2</v>
      </c>
      <c r="AG5249">
        <v>-1.361418E-2</v>
      </c>
      <c r="AH5249">
        <v>3.0075834588687602</v>
      </c>
      <c r="AI5249">
        <v>90.259291346530205</v>
      </c>
      <c r="AJ5249">
        <v>91.262529133610002</v>
      </c>
      <c r="AK5249">
        <v>3.0083445841931802</v>
      </c>
      <c r="AL5249">
        <v>92.818856538298206</v>
      </c>
      <c r="AM5249">
        <v>93.893608590330004</v>
      </c>
      <c r="AN5249">
        <v>0.99999994077840704</v>
      </c>
    </row>
    <row r="5250" spans="1:40" x14ac:dyDescent="0.25">
      <c r="A5250" t="str">
        <f>"20190305135034225"</f>
        <v>20190305135034225</v>
      </c>
      <c r="B5250" t="str">
        <f>"1551765034215888"</f>
        <v>1551765034215888</v>
      </c>
      <c r="C5250" t="s">
        <v>40</v>
      </c>
      <c r="D5250">
        <v>3.922002</v>
      </c>
      <c r="E5250">
        <v>0.55919430000000003</v>
      </c>
      <c r="F5250" t="s">
        <v>41</v>
      </c>
      <c r="G5250">
        <v>-334.7045</v>
      </c>
      <c r="H5250">
        <v>0.95401930000000001</v>
      </c>
      <c r="I5250">
        <v>142.4727</v>
      </c>
      <c r="J5250">
        <v>-333.93189999999998</v>
      </c>
      <c r="K5250">
        <v>1.1113999999999999</v>
      </c>
      <c r="L5250">
        <v>142.35169999999999</v>
      </c>
      <c r="M5250">
        <v>-0.99953999999999998</v>
      </c>
      <c r="N5250">
        <v>-1.5348209999999999E-2</v>
      </c>
      <c r="O5250">
        <v>2.6158290000000001E-2</v>
      </c>
      <c r="P5250">
        <v>-0.99710089999999996</v>
      </c>
      <c r="Q5250">
        <v>-6.3824179999999994E-2</v>
      </c>
      <c r="R5250">
        <v>-4.1430670000000003E-2</v>
      </c>
      <c r="S5250">
        <v>-2.9964599999999999</v>
      </c>
      <c r="T5250">
        <v>-0.40429720000000002</v>
      </c>
      <c r="U5250">
        <v>0.3364258</v>
      </c>
      <c r="V5250">
        <v>-6.7194359999999995E-2</v>
      </c>
      <c r="W5250">
        <v>-4.8959799999999998E-2</v>
      </c>
      <c r="X5250">
        <v>0.99653789999999998</v>
      </c>
      <c r="Y5250">
        <v>8.4873770000000001E-2</v>
      </c>
      <c r="Z5250">
        <v>3.2367960000000001E-3</v>
      </c>
      <c r="AA5250">
        <v>0.99638649999999995</v>
      </c>
      <c r="AB5250">
        <v>59</v>
      </c>
      <c r="AC5250">
        <v>-0.77260000000001094</v>
      </c>
      <c r="AD5250">
        <v>-0.15738069999999901</v>
      </c>
      <c r="AE5250">
        <v>0.121000000000009</v>
      </c>
      <c r="AF5250">
        <v>9.6824774242058598E-2</v>
      </c>
      <c r="AG5250">
        <v>-0.15738069999999901</v>
      </c>
      <c r="AH5250">
        <v>0.74531481824818802</v>
      </c>
      <c r="AI5250">
        <v>101.82687197697</v>
      </c>
      <c r="AJ5250">
        <v>82.598088831605693</v>
      </c>
      <c r="AK5250">
        <v>0.76787883154821102</v>
      </c>
      <c r="AL5250">
        <v>92.806311916834204</v>
      </c>
      <c r="AM5250">
        <v>93.857489499270102</v>
      </c>
      <c r="AN5250">
        <v>0.99999996508412903</v>
      </c>
    </row>
    <row r="5251" spans="1:40" x14ac:dyDescent="0.25">
      <c r="A5251" t="str">
        <f>"20190305135034242"</f>
        <v>20190305135034242</v>
      </c>
      <c r="B5251" t="str">
        <f>"1551765034235408"</f>
        <v>1551765034235408</v>
      </c>
      <c r="C5251" t="s">
        <v>40</v>
      </c>
      <c r="D5251">
        <v>3.9519479999999998</v>
      </c>
      <c r="E5251">
        <v>0.56053999999999904</v>
      </c>
      <c r="F5251" t="s">
        <v>41</v>
      </c>
      <c r="G5251">
        <v>-334.72269999999997</v>
      </c>
      <c r="H5251">
        <v>0.99015129999999996</v>
      </c>
      <c r="I5251">
        <v>142.44649999999999</v>
      </c>
      <c r="J5251">
        <v>-334.35359999999997</v>
      </c>
      <c r="K5251">
        <v>1.1114889999999999</v>
      </c>
      <c r="L5251">
        <v>142.36240000000001</v>
      </c>
      <c r="M5251">
        <v>-0.99957530000000006</v>
      </c>
      <c r="N5251">
        <v>-1.539228E-2</v>
      </c>
      <c r="O5251">
        <v>2.4746089999999998E-2</v>
      </c>
      <c r="P5251">
        <v>-0.99704619999999999</v>
      </c>
      <c r="Q5251">
        <v>-6.3824039999999999E-2</v>
      </c>
      <c r="R5251">
        <v>-4.272956E-2</v>
      </c>
      <c r="S5251">
        <v>-2.9941409999999999</v>
      </c>
      <c r="T5251">
        <v>-0.45935559999999998</v>
      </c>
      <c r="U5251">
        <v>0.35684199999999999</v>
      </c>
      <c r="V5251">
        <v>-6.7076150000000001E-2</v>
      </c>
      <c r="W5251">
        <v>-4.8927390000000001E-2</v>
      </c>
      <c r="X5251">
        <v>0.99654750000000003</v>
      </c>
      <c r="Y5251">
        <v>9.2782530000000002E-2</v>
      </c>
      <c r="Z5251">
        <v>4.3905990000000002E-3</v>
      </c>
      <c r="AA5251">
        <v>0.99567669999999997</v>
      </c>
      <c r="AB5251">
        <v>59</v>
      </c>
      <c r="AC5251">
        <v>-0.36910000000000298</v>
      </c>
      <c r="AD5251">
        <v>-0.12133769999999899</v>
      </c>
      <c r="AE5251">
        <v>8.4099999999977998E-2</v>
      </c>
      <c r="AF5251">
        <v>6.7957682431666902E-2</v>
      </c>
      <c r="AG5251">
        <v>-0.12133769999999899</v>
      </c>
      <c r="AH5251">
        <v>0.33649791904015502</v>
      </c>
      <c r="AI5251">
        <v>109.466147347678</v>
      </c>
      <c r="AJ5251">
        <v>78.582362970389894</v>
      </c>
      <c r="AK5251">
        <v>0.36410428940226403</v>
      </c>
      <c r="AL5251">
        <v>92.804452607536106</v>
      </c>
      <c r="AM5251">
        <v>93.850686758208298</v>
      </c>
      <c r="AN5251">
        <v>1.0000000095736401</v>
      </c>
    </row>
    <row r="5252" spans="1:40" x14ac:dyDescent="0.25">
      <c r="A5252" t="str">
        <f>"20190305135034260"</f>
        <v>20190305135034260</v>
      </c>
      <c r="B5252" t="str">
        <f>"1551765034255904"</f>
        <v>1551765034255904</v>
      </c>
      <c r="C5252" t="s">
        <v>40</v>
      </c>
      <c r="D5252">
        <v>3.9438249999999999</v>
      </c>
      <c r="E5252">
        <v>0.56083439999999996</v>
      </c>
      <c r="F5252" t="s">
        <v>41</v>
      </c>
      <c r="G5252">
        <v>-335.23849999999999</v>
      </c>
      <c r="H5252">
        <v>0.96124989999999999</v>
      </c>
      <c r="I5252">
        <v>142.47069999999999</v>
      </c>
      <c r="J5252">
        <v>-334.82389999999998</v>
      </c>
      <c r="K5252">
        <v>1.111594</v>
      </c>
      <c r="L5252">
        <v>142.37360000000001</v>
      </c>
      <c r="M5252">
        <v>-0.99961270000000002</v>
      </c>
      <c r="N5252">
        <v>-1.543631E-2</v>
      </c>
      <c r="O5252">
        <v>2.315325E-2</v>
      </c>
      <c r="P5252">
        <v>-0.99705319999999997</v>
      </c>
      <c r="Q5252">
        <v>-6.2840190000000004E-2</v>
      </c>
      <c r="R5252">
        <v>-4.4002510000000002E-2</v>
      </c>
      <c r="S5252">
        <v>-2.9920650000000002</v>
      </c>
      <c r="T5252">
        <v>-0.50810349999999904</v>
      </c>
      <c r="U5252">
        <v>0.3652802</v>
      </c>
      <c r="V5252">
        <v>-6.6759650000000004E-2</v>
      </c>
      <c r="W5252">
        <v>-4.790937E-2</v>
      </c>
      <c r="X5252">
        <v>0.99661820000000001</v>
      </c>
      <c r="Y5252">
        <v>9.6940789999999999E-2</v>
      </c>
      <c r="Z5252">
        <v>5.3656110000000002E-3</v>
      </c>
      <c r="AA5252">
        <v>0.99527569999999999</v>
      </c>
      <c r="AB5252">
        <v>59</v>
      </c>
      <c r="AC5252">
        <v>-0.41460000000000702</v>
      </c>
      <c r="AD5252">
        <v>-0.15034409999999901</v>
      </c>
      <c r="AE5252">
        <v>9.7099999999983297E-2</v>
      </c>
      <c r="AF5252">
        <v>7.7777788243944407E-2</v>
      </c>
      <c r="AG5252">
        <v>-0.15034409999999901</v>
      </c>
      <c r="AH5252">
        <v>0.37054548478976901</v>
      </c>
      <c r="AI5252">
        <v>111.65723927308601</v>
      </c>
      <c r="AJ5252">
        <v>78.145665470019907</v>
      </c>
      <c r="AK5252">
        <v>0.40737782100528602</v>
      </c>
      <c r="AL5252">
        <v>92.746055897974998</v>
      </c>
      <c r="AM5252">
        <v>93.8323004304102</v>
      </c>
      <c r="AN5252">
        <v>0.99999999758657898</v>
      </c>
    </row>
    <row r="5253" spans="1:40" x14ac:dyDescent="0.25">
      <c r="A5253" t="str">
        <f>"20190305135034275"</f>
        <v>20190305135034275</v>
      </c>
      <c r="B5253" t="str">
        <f>"1551765034265666"</f>
        <v>1551765034265666</v>
      </c>
      <c r="C5253" t="s">
        <v>40</v>
      </c>
      <c r="D5253">
        <v>3.9620860000000002</v>
      </c>
      <c r="E5253">
        <v>0.56084849999999997</v>
      </c>
      <c r="F5253" t="s">
        <v>41</v>
      </c>
      <c r="G5253">
        <v>-335.76069999999999</v>
      </c>
      <c r="H5253">
        <v>0.94560230000000001</v>
      </c>
      <c r="I5253">
        <v>142.4881</v>
      </c>
      <c r="J5253">
        <v>-335.2355</v>
      </c>
      <c r="K5253">
        <v>1.1116760000000001</v>
      </c>
      <c r="L5253">
        <v>142.3828</v>
      </c>
      <c r="M5253">
        <v>-0.99964390000000003</v>
      </c>
      <c r="N5253">
        <v>-1.547075E-2</v>
      </c>
      <c r="O5253">
        <v>2.1744289999999999E-2</v>
      </c>
      <c r="P5253">
        <v>-0.99699320000000002</v>
      </c>
      <c r="Q5253">
        <v>-6.2726459999999998E-2</v>
      </c>
      <c r="R5253">
        <v>-4.549566E-2</v>
      </c>
      <c r="S5253">
        <v>-2.9915470000000002</v>
      </c>
      <c r="T5253">
        <v>-0.5301477</v>
      </c>
      <c r="U5253">
        <v>0.3646393</v>
      </c>
      <c r="V5253">
        <v>-6.6840869999999997E-2</v>
      </c>
      <c r="W5253">
        <v>-4.7772410000000001E-2</v>
      </c>
      <c r="X5253">
        <v>0.99661929999999999</v>
      </c>
      <c r="Y5253">
        <v>9.8017430000000003E-2</v>
      </c>
      <c r="Z5253">
        <v>5.8788340000000003E-3</v>
      </c>
      <c r="AA5253">
        <v>0.99516729999999998</v>
      </c>
      <c r="AB5253">
        <v>59</v>
      </c>
      <c r="AC5253">
        <v>-0.52519999999998301</v>
      </c>
      <c r="AD5253">
        <v>-0.16607369999999999</v>
      </c>
      <c r="AE5253">
        <v>0.10529999999999901</v>
      </c>
      <c r="AF5253">
        <v>8.5623111863540505E-2</v>
      </c>
      <c r="AG5253">
        <v>-0.16607369999999999</v>
      </c>
      <c r="AH5253">
        <v>0.481118268893792</v>
      </c>
      <c r="AI5253">
        <v>108.769962252412</v>
      </c>
      <c r="AJ5253">
        <v>79.908900155533502</v>
      </c>
      <c r="AK5253">
        <v>0.51612651528500797</v>
      </c>
      <c r="AL5253">
        <v>92.738199755919297</v>
      </c>
      <c r="AM5253">
        <v>93.836944678368397</v>
      </c>
      <c r="AN5253">
        <v>0.99999996709602601</v>
      </c>
    </row>
    <row r="5254" spans="1:40" x14ac:dyDescent="0.25">
      <c r="A5254" t="str">
        <f>"20190305135034291"</f>
        <v>20190305135034291</v>
      </c>
      <c r="B5254" t="str">
        <f>"1551765034285184"</f>
        <v>1551765034285184</v>
      </c>
      <c r="C5254" t="s">
        <v>40</v>
      </c>
      <c r="D5254">
        <v>3.980524</v>
      </c>
      <c r="E5254">
        <v>0.56055010000000005</v>
      </c>
      <c r="F5254" t="s">
        <v>41</v>
      </c>
      <c r="G5254">
        <v>-336.28030000000001</v>
      </c>
      <c r="H5254">
        <v>0.92437789999999997</v>
      </c>
      <c r="I5254">
        <v>142.50880000000001</v>
      </c>
      <c r="J5254">
        <v>-335.6155</v>
      </c>
      <c r="K5254">
        <v>1.111742</v>
      </c>
      <c r="L5254">
        <v>142.39089999999999</v>
      </c>
      <c r="M5254">
        <v>-0.99967119999999998</v>
      </c>
      <c r="N5254">
        <v>-1.54997E-2</v>
      </c>
      <c r="O5254">
        <v>2.0432579999999999E-2</v>
      </c>
      <c r="P5254">
        <v>-0.99698019999999998</v>
      </c>
      <c r="Q5254">
        <v>-6.2012780000000003E-2</v>
      </c>
      <c r="R5254">
        <v>-4.6745410000000001E-2</v>
      </c>
      <c r="S5254">
        <v>-2.9917600000000002</v>
      </c>
      <c r="T5254">
        <v>-0.53633750000000002</v>
      </c>
      <c r="U5254">
        <v>0.3605042</v>
      </c>
      <c r="V5254">
        <v>-6.6782369999999994E-2</v>
      </c>
      <c r="W5254">
        <v>-4.7037929999999999E-2</v>
      </c>
      <c r="X5254">
        <v>0.99665820000000005</v>
      </c>
      <c r="Y5254">
        <v>9.7913529999999999E-2</v>
      </c>
      <c r="Z5254">
        <v>6.1380469999999998E-3</v>
      </c>
      <c r="AA5254">
        <v>0.99517599999999995</v>
      </c>
      <c r="AB5254">
        <v>59</v>
      </c>
      <c r="AC5254">
        <v>-0.66480000000001305</v>
      </c>
      <c r="AD5254">
        <v>-0.18736409999999901</v>
      </c>
      <c r="AE5254">
        <v>0.11790000000002</v>
      </c>
      <c r="AF5254">
        <v>9.6833142076494003E-2</v>
      </c>
      <c r="AG5254">
        <v>-0.18736409999999901</v>
      </c>
      <c r="AH5254">
        <v>0.619373128695625</v>
      </c>
      <c r="AI5254">
        <v>106.640114500781</v>
      </c>
      <c r="AJ5254">
        <v>81.114275846105599</v>
      </c>
      <c r="AK5254">
        <v>0.654297360474138</v>
      </c>
      <c r="AL5254">
        <v>92.696069669536101</v>
      </c>
      <c r="AM5254">
        <v>93.833447371507006</v>
      </c>
      <c r="AN5254">
        <v>1.00000000971437</v>
      </c>
    </row>
    <row r="5255" spans="1:40" x14ac:dyDescent="0.25">
      <c r="A5255" t="str">
        <f>"20190305135034305"</f>
        <v>20190305135034305</v>
      </c>
      <c r="B5255" t="str">
        <f>"1551765034295451"</f>
        <v>1551765034295451</v>
      </c>
      <c r="C5255" t="s">
        <v>40</v>
      </c>
      <c r="D5255">
        <v>3.9857420000000001</v>
      </c>
      <c r="E5255">
        <v>0.56026049999999905</v>
      </c>
      <c r="F5255" t="s">
        <v>41</v>
      </c>
      <c r="G5255">
        <v>-336.79700000000003</v>
      </c>
      <c r="H5255">
        <v>0.89551119999999995</v>
      </c>
      <c r="I5255">
        <v>142.53129999999999</v>
      </c>
      <c r="J5255">
        <v>-336.01240000000001</v>
      </c>
      <c r="K5255">
        <v>1.111804</v>
      </c>
      <c r="L5255">
        <v>142.39859999999999</v>
      </c>
      <c r="M5255">
        <v>-0.99969799999999998</v>
      </c>
      <c r="N5255">
        <v>-1.552605E-2</v>
      </c>
      <c r="O5255">
        <v>1.9046879999999999E-2</v>
      </c>
      <c r="P5255">
        <v>-0.99691779999999997</v>
      </c>
      <c r="Q5255">
        <v>-6.1772290000000001E-2</v>
      </c>
      <c r="R5255">
        <v>-4.8367790000000001E-2</v>
      </c>
      <c r="S5255">
        <v>-2.9916689999999999</v>
      </c>
      <c r="T5255">
        <v>-0.54763269999999997</v>
      </c>
      <c r="U5255">
        <v>0.35446169999999999</v>
      </c>
      <c r="V5255">
        <v>-6.7017950000000007E-2</v>
      </c>
      <c r="W5255">
        <v>-4.6781509999999998E-2</v>
      </c>
      <c r="X5255">
        <v>0.9966545</v>
      </c>
      <c r="Y5255">
        <v>9.7251130000000005E-2</v>
      </c>
      <c r="Z5255">
        <v>6.4096200000000004E-3</v>
      </c>
      <c r="AA5255">
        <v>0.99523930000000005</v>
      </c>
      <c r="AB5255">
        <v>59</v>
      </c>
      <c r="AC5255">
        <v>-0.784599999999954</v>
      </c>
      <c r="AD5255">
        <v>-0.21629280000000001</v>
      </c>
      <c r="AE5255">
        <v>0.13269999999999901</v>
      </c>
      <c r="AF5255">
        <v>0.10963023348413101</v>
      </c>
      <c r="AG5255">
        <v>-0.21629280000000001</v>
      </c>
      <c r="AH5255">
        <v>0.732841633922935</v>
      </c>
      <c r="AI5255">
        <v>106.272236539224</v>
      </c>
      <c r="AJ5255">
        <v>81.491869553270305</v>
      </c>
      <c r="AK5255">
        <v>0.77191853445584702</v>
      </c>
      <c r="AL5255">
        <v>92.681361575942901</v>
      </c>
      <c r="AM5255">
        <v>93.846943860794397</v>
      </c>
      <c r="AN5255">
        <v>1.0000000538351601</v>
      </c>
    </row>
    <row r="5256" spans="1:40" x14ac:dyDescent="0.25">
      <c r="A5256" t="str">
        <f>"20190305135034327"</f>
        <v>20190305135034327</v>
      </c>
      <c r="B5256" t="str">
        <f>"1551765034314970"</f>
        <v>1551765034314970</v>
      </c>
      <c r="C5256" t="s">
        <v>40</v>
      </c>
      <c r="D5256">
        <v>4.0423669999999996</v>
      </c>
      <c r="E5256">
        <v>0.55965640000000005</v>
      </c>
      <c r="F5256" t="s">
        <v>41</v>
      </c>
      <c r="G5256">
        <v>-336.8272</v>
      </c>
      <c r="H5256">
        <v>0.96108389999999999</v>
      </c>
      <c r="I5256">
        <v>142.49359999999999</v>
      </c>
      <c r="J5256">
        <v>-336.59800000000001</v>
      </c>
      <c r="K5256">
        <v>1.111891</v>
      </c>
      <c r="L5256">
        <v>142.4091</v>
      </c>
      <c r="M5256">
        <v>-0.99973469999999998</v>
      </c>
      <c r="N5256">
        <v>-1.55608E-2</v>
      </c>
      <c r="O5256">
        <v>1.6987240000000001E-2</v>
      </c>
      <c r="P5256">
        <v>-0.99679620000000002</v>
      </c>
      <c r="Q5256">
        <v>-6.1795389999999999E-2</v>
      </c>
      <c r="R5256">
        <v>-5.0785799999999999E-2</v>
      </c>
      <c r="S5256">
        <v>-2.9917600000000002</v>
      </c>
      <c r="T5256">
        <v>-0.55364099999999905</v>
      </c>
      <c r="U5256">
        <v>0.34727479999999999</v>
      </c>
      <c r="V5256">
        <v>-6.7374359999999994E-2</v>
      </c>
      <c r="W5256">
        <v>-4.6784630000000001E-2</v>
      </c>
      <c r="X5256">
        <v>0.99663029999999997</v>
      </c>
      <c r="Y5256">
        <v>9.6886029999999998E-2</v>
      </c>
      <c r="Z5256">
        <v>6.7788070000000004E-3</v>
      </c>
      <c r="AA5256">
        <v>0.99527239999999995</v>
      </c>
      <c r="AB5256">
        <v>59</v>
      </c>
      <c r="AC5256">
        <v>-0.22919999999999099</v>
      </c>
      <c r="AD5256">
        <v>-0.150807099999999</v>
      </c>
      <c r="AE5256">
        <v>8.4499999999991304E-2</v>
      </c>
      <c r="AF5256">
        <v>5.8353809699908298E-2</v>
      </c>
      <c r="AG5256">
        <v>-0.150807099999999</v>
      </c>
      <c r="AH5256">
        <v>0.166967256329901</v>
      </c>
      <c r="AI5256">
        <v>130.45225517327199</v>
      </c>
      <c r="AJ5256">
        <v>70.735860412582198</v>
      </c>
      <c r="AK5256">
        <v>0.23243496553495899</v>
      </c>
      <c r="AL5256">
        <v>92.681540597509596</v>
      </c>
      <c r="AM5256">
        <v>93.867434100876096</v>
      </c>
      <c r="AN5256">
        <v>1.0000000304338601</v>
      </c>
    </row>
    <row r="5257" spans="1:40" x14ac:dyDescent="0.25">
      <c r="A5257" t="str">
        <f>"20190305135034343"</f>
        <v>20190305135034343</v>
      </c>
      <c r="B5257" t="str">
        <f>"1551765034335467"</f>
        <v>1551765034335467</v>
      </c>
      <c r="C5257" t="s">
        <v>40</v>
      </c>
      <c r="D5257">
        <v>4.0283490000000004</v>
      </c>
      <c r="E5257">
        <v>0.55937079999999995</v>
      </c>
      <c r="F5257" t="s">
        <v>41</v>
      </c>
      <c r="G5257">
        <v>-337.35969999999998</v>
      </c>
      <c r="H5257">
        <v>0.96835349999999998</v>
      </c>
      <c r="I5257">
        <v>142.49449999999999</v>
      </c>
      <c r="J5257">
        <v>-337.0154</v>
      </c>
      <c r="K5257">
        <v>1.111947</v>
      </c>
      <c r="L5257">
        <v>142.41579999999999</v>
      </c>
      <c r="M5257">
        <v>-0.99975840000000005</v>
      </c>
      <c r="N5257">
        <v>-1.5582E-2</v>
      </c>
      <c r="O5257">
        <v>1.55059E-2</v>
      </c>
      <c r="P5257">
        <v>-0.99670139999999996</v>
      </c>
      <c r="Q5257">
        <v>-6.1950329999999998E-2</v>
      </c>
      <c r="R5257">
        <v>-5.2426979999999998E-2</v>
      </c>
      <c r="S5257">
        <v>-2.9917910000000001</v>
      </c>
      <c r="T5257">
        <v>-0.56375710000000001</v>
      </c>
      <c r="U5257">
        <v>0.33564759999999999</v>
      </c>
      <c r="V5257">
        <v>-6.7532170000000002E-2</v>
      </c>
      <c r="W5257">
        <v>-4.6927290000000003E-2</v>
      </c>
      <c r="X5257">
        <v>0.99661290000000002</v>
      </c>
      <c r="Y5257">
        <v>9.4510510000000006E-2</v>
      </c>
      <c r="Z5257">
        <v>6.8977200000000004E-3</v>
      </c>
      <c r="AA5257">
        <v>0.99550000000000005</v>
      </c>
      <c r="AB5257">
        <v>59</v>
      </c>
      <c r="AC5257">
        <v>-0.34429999999997501</v>
      </c>
      <c r="AD5257">
        <v>-0.14359350000000001</v>
      </c>
      <c r="AE5257">
        <v>7.8699999999997702E-2</v>
      </c>
      <c r="AF5257">
        <v>6.2946112121019596E-2</v>
      </c>
      <c r="AG5257">
        <v>-0.14359350000000001</v>
      </c>
      <c r="AH5257">
        <v>0.296471790639671</v>
      </c>
      <c r="AI5257">
        <v>115.350668018025</v>
      </c>
      <c r="AJ5257">
        <v>78.013112663449803</v>
      </c>
      <c r="AK5257">
        <v>0.33537565343729803</v>
      </c>
      <c r="AL5257">
        <v>92.689723432854606</v>
      </c>
      <c r="AM5257">
        <v>93.876532623438806</v>
      </c>
      <c r="AN5257">
        <v>1.0000000184890301</v>
      </c>
    </row>
    <row r="5258" spans="1:40" x14ac:dyDescent="0.25">
      <c r="A5258" t="str">
        <f>"20190305135034361"</f>
        <v>20190305135034361</v>
      </c>
      <c r="B5258" t="str">
        <f>"1551765034354986"</f>
        <v>1551765034354986</v>
      </c>
      <c r="C5258" t="s">
        <v>40</v>
      </c>
      <c r="D5258">
        <v>4.1264310000000002</v>
      </c>
      <c r="E5258">
        <v>0.55969550000000001</v>
      </c>
      <c r="F5258" t="s">
        <v>41</v>
      </c>
      <c r="G5258">
        <v>-337.87779999999998</v>
      </c>
      <c r="H5258">
        <v>0.94750540000000005</v>
      </c>
      <c r="I5258">
        <v>142.51079999999999</v>
      </c>
      <c r="J5258">
        <v>-337.5</v>
      </c>
      <c r="K5258">
        <v>1.111998</v>
      </c>
      <c r="L5258">
        <v>142.4228</v>
      </c>
      <c r="M5258">
        <v>-0.99978350000000005</v>
      </c>
      <c r="N5258">
        <v>-1.560394E-2</v>
      </c>
      <c r="O5258">
        <v>1.377636E-2</v>
      </c>
      <c r="P5258">
        <v>-0.99660669999999996</v>
      </c>
      <c r="Q5258">
        <v>-6.2391710000000003E-2</v>
      </c>
      <c r="R5258">
        <v>-5.3688729999999997E-2</v>
      </c>
      <c r="S5258">
        <v>-2.9917600000000002</v>
      </c>
      <c r="T5258">
        <v>-0.57062729999999995</v>
      </c>
      <c r="U5258">
        <v>0.32862849999999999</v>
      </c>
      <c r="V5258">
        <v>-6.7061300000000004E-2</v>
      </c>
      <c r="W5258">
        <v>-4.7350910000000003E-2</v>
      </c>
      <c r="X5258">
        <v>0.99662459999999997</v>
      </c>
      <c r="Y5258">
        <v>9.387624E-2</v>
      </c>
      <c r="Z5258">
        <v>7.2050949999999999E-3</v>
      </c>
      <c r="AA5258">
        <v>0.99555780000000005</v>
      </c>
      <c r="AB5258">
        <v>59</v>
      </c>
      <c r="AC5258">
        <v>-0.37779999999997899</v>
      </c>
      <c r="AD5258">
        <v>-0.16449259999999999</v>
      </c>
      <c r="AE5258">
        <v>8.7999999999993805E-2</v>
      </c>
      <c r="AF5258">
        <v>7.0168956959627896E-2</v>
      </c>
      <c r="AG5258">
        <v>-0.16449259999999999</v>
      </c>
      <c r="AH5258">
        <v>0.32121729650590303</v>
      </c>
      <c r="AI5258">
        <v>116.578510707074</v>
      </c>
      <c r="AJ5258">
        <v>77.677481221344095</v>
      </c>
      <c r="AK5258">
        <v>0.36764391678650599</v>
      </c>
      <c r="AL5258">
        <v>92.714022241583294</v>
      </c>
      <c r="AM5258">
        <v>93.849539885726799</v>
      </c>
      <c r="AN5258">
        <v>0.99999995998033797</v>
      </c>
    </row>
    <row r="5259" spans="1:40" x14ac:dyDescent="0.25">
      <c r="A5259" t="str">
        <f>"20190305135034383"</f>
        <v>20190305135034383</v>
      </c>
      <c r="B5259" t="str">
        <f>"1551765034375482"</f>
        <v>1551765034375482</v>
      </c>
      <c r="C5259" t="s">
        <v>40</v>
      </c>
      <c r="D5259">
        <v>4.2402290000000002</v>
      </c>
      <c r="E5259">
        <v>0.57642130000000003</v>
      </c>
      <c r="F5259" t="s">
        <v>41</v>
      </c>
      <c r="G5259">
        <v>-338.40109999999999</v>
      </c>
      <c r="H5259">
        <v>0.93772840000000002</v>
      </c>
      <c r="I5259">
        <v>142.5215</v>
      </c>
      <c r="J5259">
        <v>-338.07600000000002</v>
      </c>
      <c r="K5259">
        <v>1.1120589999999999</v>
      </c>
      <c r="L5259">
        <v>142.43010000000001</v>
      </c>
      <c r="M5259">
        <v>-0.99980939999999996</v>
      </c>
      <c r="N5259">
        <v>-1.562624E-2</v>
      </c>
      <c r="O5259">
        <v>1.170876E-2</v>
      </c>
      <c r="P5259">
        <v>-0.99657779999999996</v>
      </c>
      <c r="Q5259">
        <v>-6.1838280000000002E-2</v>
      </c>
      <c r="R5259">
        <v>-5.4854689999999998E-2</v>
      </c>
      <c r="S5259">
        <v>-2.991638</v>
      </c>
      <c r="T5259">
        <v>-0.57856790000000002</v>
      </c>
      <c r="U5259">
        <v>0.3274994</v>
      </c>
      <c r="V5259">
        <v>-6.6166310000000006E-2</v>
      </c>
      <c r="W5259">
        <v>-4.6774950000000003E-2</v>
      </c>
      <c r="X5259">
        <v>0.99671169999999998</v>
      </c>
      <c r="Y5259">
        <v>9.5461669999999998E-2</v>
      </c>
      <c r="Z5259">
        <v>7.8193210000000006E-3</v>
      </c>
      <c r="AA5259">
        <v>0.99540240000000002</v>
      </c>
      <c r="AB5259">
        <v>59</v>
      </c>
      <c r="AC5259">
        <v>-0.32510000000001998</v>
      </c>
      <c r="AD5259">
        <v>-0.174330599999999</v>
      </c>
      <c r="AE5259">
        <v>9.1399999999993001E-2</v>
      </c>
      <c r="AF5259">
        <v>6.9157281063598502E-2</v>
      </c>
      <c r="AG5259">
        <v>-0.174330599999999</v>
      </c>
      <c r="AH5259">
        <v>0.25752194449232702</v>
      </c>
      <c r="AI5259">
        <v>123.176239126276</v>
      </c>
      <c r="AJ5259">
        <v>74.967936251795294</v>
      </c>
      <c r="AK5259">
        <v>0.31857721123077698</v>
      </c>
      <c r="AL5259">
        <v>92.680985328195106</v>
      </c>
      <c r="AM5259">
        <v>93.797984955759205</v>
      </c>
      <c r="AN5259">
        <v>1.0000000447216999</v>
      </c>
    </row>
    <row r="5260" spans="1:40" x14ac:dyDescent="0.25">
      <c r="A5260" t="str">
        <f>"20190305135034398"</f>
        <v>20190305135034398</v>
      </c>
      <c r="B5260" t="str">
        <f>"1551765034385242"</f>
        <v>1551765034385242</v>
      </c>
      <c r="C5260" t="s">
        <v>40</v>
      </c>
      <c r="D5260">
        <v>4.148962</v>
      </c>
      <c r="E5260">
        <v>0.57881859999999996</v>
      </c>
      <c r="F5260" t="s">
        <v>41</v>
      </c>
      <c r="G5260">
        <v>-338.91829999999999</v>
      </c>
      <c r="H5260">
        <v>0.91317769999999998</v>
      </c>
      <c r="I5260">
        <v>142.56030000000001</v>
      </c>
      <c r="J5260">
        <v>-338.49200000000002</v>
      </c>
      <c r="K5260">
        <v>1.1120969999999999</v>
      </c>
      <c r="L5260">
        <v>142.43459999999999</v>
      </c>
      <c r="M5260">
        <v>-0.99982550000000003</v>
      </c>
      <c r="N5260">
        <v>-1.5640049999999999E-2</v>
      </c>
      <c r="O5260">
        <v>1.020862E-2</v>
      </c>
      <c r="P5260">
        <v>-0.99652750000000001</v>
      </c>
      <c r="Q5260">
        <v>-6.1577380000000001E-2</v>
      </c>
      <c r="R5260">
        <v>-5.6044999999999998E-2</v>
      </c>
      <c r="S5260">
        <v>-2.9918520000000002</v>
      </c>
      <c r="T5260">
        <v>-0.7065167</v>
      </c>
      <c r="U5260">
        <v>0.46118160000000002</v>
      </c>
      <c r="V5260">
        <v>-6.5860119999999994E-2</v>
      </c>
      <c r="W5260">
        <v>-4.6502370000000001E-2</v>
      </c>
      <c r="X5260">
        <v>0.99674470000000004</v>
      </c>
      <c r="Y5260">
        <v>0.1385082</v>
      </c>
      <c r="Z5260">
        <v>1.49389E-2</v>
      </c>
      <c r="AA5260">
        <v>0.99024860000000003</v>
      </c>
      <c r="AB5260">
        <v>59</v>
      </c>
      <c r="AC5260">
        <v>-0.42630000000002599</v>
      </c>
      <c r="AD5260">
        <v>-0.19891929999999899</v>
      </c>
      <c r="AE5260">
        <v>0.12570000000002299</v>
      </c>
      <c r="AF5260">
        <v>0.101090849934484</v>
      </c>
      <c r="AG5260">
        <v>-0.19891929999999899</v>
      </c>
      <c r="AH5260">
        <v>0.35620711855523801</v>
      </c>
      <c r="AI5260">
        <v>118.245662427846</v>
      </c>
      <c r="AJ5260">
        <v>74.156166727812206</v>
      </c>
      <c r="AK5260">
        <v>0.42032339830467702</v>
      </c>
      <c r="AL5260">
        <v>92.665350720869</v>
      </c>
      <c r="AM5260">
        <v>93.780335754780197</v>
      </c>
      <c r="AN5260">
        <v>1.00000001140006</v>
      </c>
    </row>
    <row r="5261" spans="1:40" x14ac:dyDescent="0.25">
      <c r="A5261" t="str">
        <f>"20190305135034413"</f>
        <v>20190305135034413</v>
      </c>
      <c r="B5261" t="str">
        <f>"1551765034405739"</f>
        <v>1551765034405739</v>
      </c>
      <c r="C5261" t="s">
        <v>40</v>
      </c>
      <c r="D5261">
        <v>4.1576459999999997</v>
      </c>
      <c r="E5261">
        <v>0.57989979999999997</v>
      </c>
      <c r="F5261" t="s">
        <v>41</v>
      </c>
      <c r="G5261">
        <v>-339.43540000000002</v>
      </c>
      <c r="H5261">
        <v>0.88740160000000001</v>
      </c>
      <c r="I5261">
        <v>142.58500000000001</v>
      </c>
      <c r="J5261">
        <v>-338.88010000000003</v>
      </c>
      <c r="K5261">
        <v>1.1121270000000001</v>
      </c>
      <c r="L5261">
        <v>142.4383</v>
      </c>
      <c r="M5261">
        <v>-0.99983880000000003</v>
      </c>
      <c r="N5261">
        <v>-1.5651579999999998E-2</v>
      </c>
      <c r="O5261">
        <v>8.8049600000000006E-3</v>
      </c>
      <c r="P5261">
        <v>-0.99652529999999995</v>
      </c>
      <c r="Q5261">
        <v>-6.079217E-2</v>
      </c>
      <c r="R5261">
        <v>-5.6937759999999997E-2</v>
      </c>
      <c r="S5261">
        <v>-2.9932249999999998</v>
      </c>
      <c r="T5261">
        <v>-0.71292290000000003</v>
      </c>
      <c r="U5261">
        <v>0.4770508</v>
      </c>
      <c r="V5261">
        <v>-6.5358239999999998E-2</v>
      </c>
      <c r="W5261">
        <v>-4.5704729999999999E-2</v>
      </c>
      <c r="X5261">
        <v>0.9968146</v>
      </c>
      <c r="Y5261">
        <v>0.144679</v>
      </c>
      <c r="Z5261">
        <v>1.612533E-2</v>
      </c>
      <c r="AA5261">
        <v>0.98934719999999998</v>
      </c>
      <c r="AB5261">
        <v>59</v>
      </c>
      <c r="AC5261">
        <v>-0.55529999999998803</v>
      </c>
      <c r="AD5261">
        <v>-0.22472539999999999</v>
      </c>
      <c r="AE5261">
        <v>0.14670000000000899</v>
      </c>
      <c r="AF5261">
        <v>0.12297756028824899</v>
      </c>
      <c r="AG5261">
        <v>-0.22472539999999999</v>
      </c>
      <c r="AH5261">
        <v>0.48267683211322598</v>
      </c>
      <c r="AI5261">
        <v>114.283379712794</v>
      </c>
      <c r="AJ5261">
        <v>75.706155277487198</v>
      </c>
      <c r="AK5261">
        <v>0.54644479135450597</v>
      </c>
      <c r="AL5261">
        <v>92.619600737981401</v>
      </c>
      <c r="AM5261">
        <v>93.751348369190396</v>
      </c>
      <c r="AN5261">
        <v>0.999999984326715</v>
      </c>
    </row>
    <row r="5262" spans="1:40" x14ac:dyDescent="0.25">
      <c r="A5262" t="str">
        <f>"20190305135034427"</f>
        <v>20190305135034427</v>
      </c>
      <c r="B5262" t="str">
        <f>"1551765034415499"</f>
        <v>1551765034415499</v>
      </c>
      <c r="C5262" t="s">
        <v>40</v>
      </c>
      <c r="D5262">
        <v>4.1287310000000002</v>
      </c>
      <c r="E5262">
        <v>0.58020749999999999</v>
      </c>
      <c r="F5262" t="s">
        <v>41</v>
      </c>
      <c r="G5262">
        <v>-339.94959999999998</v>
      </c>
      <c r="H5262">
        <v>0.85558840000000003</v>
      </c>
      <c r="I5262">
        <v>142.6113</v>
      </c>
      <c r="J5262">
        <v>-339.23989999999998</v>
      </c>
      <c r="K5262">
        <v>1.1121449999999999</v>
      </c>
      <c r="L5262">
        <v>142.44120000000001</v>
      </c>
      <c r="M5262">
        <v>-0.9998494</v>
      </c>
      <c r="N5262">
        <v>-1.566097E-2</v>
      </c>
      <c r="O5262">
        <v>7.4999669999999997E-3</v>
      </c>
      <c r="P5262">
        <v>-0.99651889999999999</v>
      </c>
      <c r="Q5262">
        <v>-5.9695150000000002E-2</v>
      </c>
      <c r="R5262">
        <v>-5.8199470000000003E-2</v>
      </c>
      <c r="S5262">
        <v>-2.9942630000000001</v>
      </c>
      <c r="T5262">
        <v>-0.71836449999999996</v>
      </c>
      <c r="U5262">
        <v>0.48338320000000001</v>
      </c>
      <c r="V5262">
        <v>-6.5325859999999999E-2</v>
      </c>
      <c r="W5262">
        <v>-4.4600550000000003E-2</v>
      </c>
      <c r="X5262">
        <v>0.99686680000000005</v>
      </c>
      <c r="Y5262">
        <v>0.14777770000000001</v>
      </c>
      <c r="Z5262">
        <v>1.6904929999999999E-2</v>
      </c>
      <c r="AA5262">
        <v>0.98887610000000004</v>
      </c>
      <c r="AB5262">
        <v>59</v>
      </c>
      <c r="AC5262">
        <v>-0.709699999999997</v>
      </c>
      <c r="AD5262">
        <v>-0.25655660000000002</v>
      </c>
      <c r="AE5262">
        <v>0.17009999999999001</v>
      </c>
      <c r="AF5262">
        <v>0.146648570781966</v>
      </c>
      <c r="AG5262">
        <v>-0.25655660000000002</v>
      </c>
      <c r="AH5262">
        <v>0.63275784388842105</v>
      </c>
      <c r="AI5262">
        <v>111.553450094493</v>
      </c>
      <c r="AJ5262">
        <v>76.951445594971105</v>
      </c>
      <c r="AK5262">
        <v>0.69836207036055298</v>
      </c>
      <c r="AL5262">
        <v>92.556271129886298</v>
      </c>
      <c r="AM5262">
        <v>93.7492993875575</v>
      </c>
      <c r="AN5262">
        <v>1.0000000469936401</v>
      </c>
    </row>
    <row r="5263" spans="1:40" x14ac:dyDescent="0.25">
      <c r="A5263" t="str">
        <f>"20190305135034443"</f>
        <v>20190305135034443</v>
      </c>
      <c r="B5263" t="str">
        <f>"1551765034435019"</f>
        <v>1551765034435019</v>
      </c>
      <c r="C5263" t="s">
        <v>40</v>
      </c>
      <c r="D5263">
        <v>4.1000829999999997</v>
      </c>
      <c r="E5263">
        <v>0.58076859999999997</v>
      </c>
      <c r="F5263" t="s">
        <v>41</v>
      </c>
      <c r="G5263">
        <v>-339.98230000000001</v>
      </c>
      <c r="H5263">
        <v>0.93439890000000003</v>
      </c>
      <c r="I5263">
        <v>142.56110000000001</v>
      </c>
      <c r="J5263">
        <v>-339.66419999999999</v>
      </c>
      <c r="K5263">
        <v>1.1121749999999999</v>
      </c>
      <c r="L5263">
        <v>142.44399999999999</v>
      </c>
      <c r="M5263">
        <v>-0.99985950000000001</v>
      </c>
      <c r="N5263">
        <v>-1.5670690000000001E-2</v>
      </c>
      <c r="O5263">
        <v>5.9581479999999999E-3</v>
      </c>
      <c r="P5263">
        <v>-0.99644480000000002</v>
      </c>
      <c r="Q5263">
        <v>-5.9563739999999997E-2</v>
      </c>
      <c r="R5263">
        <v>-5.9580899999999999E-2</v>
      </c>
      <c r="S5263">
        <v>-2.9956360000000002</v>
      </c>
      <c r="T5263">
        <v>-0.71739719999999996</v>
      </c>
      <c r="U5263">
        <v>0.48216249999999999</v>
      </c>
      <c r="V5263">
        <v>-6.5169879999999999E-2</v>
      </c>
      <c r="W5263">
        <v>-4.4461529999999999E-2</v>
      </c>
      <c r="X5263">
        <v>0.99688319999999997</v>
      </c>
      <c r="Y5263">
        <v>0.14878440000000001</v>
      </c>
      <c r="Z5263">
        <v>1.7343049999999999E-2</v>
      </c>
      <c r="AA5263">
        <v>0.98871759999999997</v>
      </c>
      <c r="AB5263">
        <v>59</v>
      </c>
      <c r="AC5263">
        <v>-0.31810000000001498</v>
      </c>
      <c r="AD5263">
        <v>-0.17777609999999999</v>
      </c>
      <c r="AE5263">
        <v>0.11710000000002101</v>
      </c>
      <c r="AF5263">
        <v>9.0350608481911995E-2</v>
      </c>
      <c r="AG5263">
        <v>-0.17777609999999999</v>
      </c>
      <c r="AH5263">
        <v>0.25002138162363602</v>
      </c>
      <c r="AI5263">
        <v>123.77140562817399</v>
      </c>
      <c r="AJ5263">
        <v>70.1315872242279</v>
      </c>
      <c r="AK5263">
        <v>0.31980973320593797</v>
      </c>
      <c r="AL5263">
        <v>92.548298010874106</v>
      </c>
      <c r="AM5263">
        <v>93.740311186635196</v>
      </c>
      <c r="AN5263">
        <v>1.00000002767569</v>
      </c>
    </row>
    <row r="5264" spans="1:40" x14ac:dyDescent="0.25">
      <c r="A5264" t="str">
        <f>"20190305135034456"</f>
        <v>20190305135034456</v>
      </c>
      <c r="B5264" t="str">
        <f>"1551765034445755"</f>
        <v>1551765034445755</v>
      </c>
      <c r="C5264" t="s">
        <v>40</v>
      </c>
      <c r="D5264">
        <v>4.1219659999999996</v>
      </c>
      <c r="E5264">
        <v>0.58083309999999999</v>
      </c>
      <c r="F5264" t="s">
        <v>41</v>
      </c>
      <c r="G5264">
        <v>-340.50009999999997</v>
      </c>
      <c r="H5264">
        <v>0.9135354</v>
      </c>
      <c r="I5264">
        <v>142.57839999999999</v>
      </c>
      <c r="J5264">
        <v>-340.00599999999997</v>
      </c>
      <c r="K5264">
        <v>1.1121920000000001</v>
      </c>
      <c r="L5264">
        <v>142.44569999999999</v>
      </c>
      <c r="M5264">
        <v>-0.99986600000000003</v>
      </c>
      <c r="N5264">
        <v>-1.5677730000000001E-2</v>
      </c>
      <c r="O5264">
        <v>4.7160550000000002E-3</v>
      </c>
      <c r="P5264">
        <v>-0.99639710000000004</v>
      </c>
      <c r="Q5264">
        <v>-5.917211E-2</v>
      </c>
      <c r="R5264">
        <v>-6.0758569999999998E-2</v>
      </c>
      <c r="S5264">
        <v>-2.9969480000000002</v>
      </c>
      <c r="T5264">
        <v>-0.71221849999999998</v>
      </c>
      <c r="U5264">
        <v>0.48234559999999999</v>
      </c>
      <c r="V5264">
        <v>-6.5111130000000003E-2</v>
      </c>
      <c r="W5264">
        <v>-4.4064480000000003E-2</v>
      </c>
      <c r="X5264">
        <v>0.99690460000000003</v>
      </c>
      <c r="Y5264">
        <v>0.14999949999999901</v>
      </c>
      <c r="Z5264">
        <v>1.764518E-2</v>
      </c>
      <c r="AA5264">
        <v>0.98852859999999998</v>
      </c>
      <c r="AB5264">
        <v>59</v>
      </c>
      <c r="AC5264">
        <v>-0.49410000000000298</v>
      </c>
      <c r="AD5264">
        <v>-0.19865659999999999</v>
      </c>
      <c r="AE5264">
        <v>0.13269999999999901</v>
      </c>
      <c r="AF5264">
        <v>0.113287171069788</v>
      </c>
      <c r="AG5264">
        <v>-0.19865659999999999</v>
      </c>
      <c r="AH5264">
        <v>0.42990196815398501</v>
      </c>
      <c r="AI5264">
        <v>114.077144283241</v>
      </c>
      <c r="AJ5264">
        <v>75.237109736643205</v>
      </c>
      <c r="AK5264">
        <v>0.48694366211629198</v>
      </c>
      <c r="AL5264">
        <v>92.525526576043902</v>
      </c>
      <c r="AM5264">
        <v>93.736868900052499</v>
      </c>
      <c r="AN5264">
        <v>0.99999995957435295</v>
      </c>
    </row>
    <row r="5265" spans="1:40" x14ac:dyDescent="0.25">
      <c r="A5265" t="str">
        <f>"20190305135034474"</f>
        <v>20190305135034474</v>
      </c>
      <c r="B5265" t="str">
        <f>"1551765034465274"</f>
        <v>1551765034465274</v>
      </c>
      <c r="C5265" t="s">
        <v>40</v>
      </c>
      <c r="D5265">
        <v>4.0790389999999999</v>
      </c>
      <c r="E5265">
        <v>0.58114359999999998</v>
      </c>
      <c r="F5265" t="s">
        <v>41</v>
      </c>
      <c r="G5265">
        <v>-341.01029999999997</v>
      </c>
      <c r="H5265">
        <v>0.87380990000000003</v>
      </c>
      <c r="I5265">
        <v>142.60650000000001</v>
      </c>
      <c r="J5265">
        <v>-340.46170000000001</v>
      </c>
      <c r="K5265">
        <v>1.1122069999999999</v>
      </c>
      <c r="L5265">
        <v>142.44749999999999</v>
      </c>
      <c r="M5265">
        <v>-0.99987230000000005</v>
      </c>
      <c r="N5265">
        <v>-1.5686099999999901E-2</v>
      </c>
      <c r="O5265">
        <v>3.0620030000000002E-3</v>
      </c>
      <c r="P5265">
        <v>-0.99628799999999995</v>
      </c>
      <c r="Q5265">
        <v>-5.9261889999999998E-2</v>
      </c>
      <c r="R5265">
        <v>-6.2436350000000002E-2</v>
      </c>
      <c r="S5265">
        <v>-2.9977719999999999</v>
      </c>
      <c r="T5265">
        <v>-0.71163199999999904</v>
      </c>
      <c r="U5265">
        <v>0.47929379999999999</v>
      </c>
      <c r="V5265">
        <v>-6.5137970000000003E-2</v>
      </c>
      <c r="W5265">
        <v>-4.4148890000000003E-2</v>
      </c>
      <c r="X5265">
        <v>0.99689910000000004</v>
      </c>
      <c r="Y5265">
        <v>0.15056249999999999</v>
      </c>
      <c r="Z5265">
        <v>1.8058959999999999E-2</v>
      </c>
      <c r="AA5265">
        <v>0.98843559999999997</v>
      </c>
      <c r="AB5265">
        <v>59</v>
      </c>
      <c r="AC5265">
        <v>-0.54859999999996401</v>
      </c>
      <c r="AD5265">
        <v>-0.238397099999999</v>
      </c>
      <c r="AE5265">
        <v>0.15900000000001999</v>
      </c>
      <c r="AF5265">
        <v>0.13397935088837701</v>
      </c>
      <c r="AG5265">
        <v>-0.238397099999999</v>
      </c>
      <c r="AH5265">
        <v>0.467622190136118</v>
      </c>
      <c r="AI5265">
        <v>116.10893406653599</v>
      </c>
      <c r="AJ5265">
        <v>74.0123588750658</v>
      </c>
      <c r="AK5265">
        <v>0.54171409106703206</v>
      </c>
      <c r="AL5265">
        <v>92.530367654482205</v>
      </c>
      <c r="AM5265">
        <v>93.738425505238396</v>
      </c>
      <c r="AN5265">
        <v>0.99999994760237998</v>
      </c>
    </row>
    <row r="5266" spans="1:40" x14ac:dyDescent="0.25">
      <c r="A5266" t="str">
        <f>"20190305135034496"</f>
        <v>20190305135034496</v>
      </c>
      <c r="B5266" t="str">
        <f>"1551765034485771"</f>
        <v>1551765034485771</v>
      </c>
      <c r="C5266" t="s">
        <v>40</v>
      </c>
      <c r="D5266">
        <v>4.0772890000000004</v>
      </c>
      <c r="E5266">
        <v>0.58109719999999998</v>
      </c>
      <c r="F5266" t="s">
        <v>41</v>
      </c>
      <c r="G5266">
        <v>-341.53</v>
      </c>
      <c r="H5266">
        <v>0.85824840000000002</v>
      </c>
      <c r="I5266">
        <v>142.6174</v>
      </c>
      <c r="J5266">
        <v>-341.04599999999999</v>
      </c>
      <c r="K5266">
        <v>1.1122270000000001</v>
      </c>
      <c r="L5266">
        <v>142.4486</v>
      </c>
      <c r="M5266">
        <v>-0.99987649999999995</v>
      </c>
      <c r="N5266">
        <v>-1.569518E-2</v>
      </c>
      <c r="O5266">
        <v>9.4861629999999999E-4</v>
      </c>
      <c r="P5266">
        <v>-0.9961295</v>
      </c>
      <c r="Q5266">
        <v>-5.9527509999999999E-2</v>
      </c>
      <c r="R5266">
        <v>-6.4673419999999995E-2</v>
      </c>
      <c r="S5266">
        <v>-2.998688</v>
      </c>
      <c r="T5266">
        <v>-0.71286930000000004</v>
      </c>
      <c r="U5266">
        <v>0.47662349999999998</v>
      </c>
      <c r="V5266">
        <v>-6.5266530000000003E-2</v>
      </c>
      <c r="W5266">
        <v>-4.4408999999999997E-2</v>
      </c>
      <c r="X5266">
        <v>0.99687919999999997</v>
      </c>
      <c r="Y5266">
        <v>0.15165039999999999</v>
      </c>
      <c r="Z5266">
        <v>1.8679709999999999E-2</v>
      </c>
      <c r="AA5266">
        <v>0.98825770000000002</v>
      </c>
      <c r="AB5266">
        <v>59</v>
      </c>
      <c r="AC5266">
        <v>-0.48399999999998</v>
      </c>
      <c r="AD5266">
        <v>-0.2539786</v>
      </c>
      <c r="AE5266">
        <v>0.168800000000004</v>
      </c>
      <c r="AF5266">
        <v>0.135159104238817</v>
      </c>
      <c r="AG5266">
        <v>-0.2539786</v>
      </c>
      <c r="AH5266">
        <v>0.388727192789173</v>
      </c>
      <c r="AI5266">
        <v>121.6795961845</v>
      </c>
      <c r="AJ5266">
        <v>70.827613089880401</v>
      </c>
      <c r="AK5266">
        <v>0.48361342323218298</v>
      </c>
      <c r="AL5266">
        <v>92.545285334676905</v>
      </c>
      <c r="AM5266">
        <v>93.745857450719896</v>
      </c>
      <c r="AN5266">
        <v>1.00000000930594</v>
      </c>
    </row>
    <row r="5267" spans="1:40" x14ac:dyDescent="0.25">
      <c r="A5267" t="str">
        <f>"20190305135034517"</f>
        <v>20190305135034517</v>
      </c>
      <c r="B5267" t="str">
        <f>"1551765034505291"</f>
        <v>1551765034505291</v>
      </c>
      <c r="C5267" t="s">
        <v>40</v>
      </c>
      <c r="D5267">
        <v>4.0420600000000002</v>
      </c>
      <c r="E5267">
        <v>0.58128539999999995</v>
      </c>
      <c r="F5267" t="s">
        <v>41</v>
      </c>
      <c r="G5267">
        <v>-342.0609</v>
      </c>
      <c r="H5267">
        <v>0.87139059999999902</v>
      </c>
      <c r="I5267">
        <v>142.608</v>
      </c>
      <c r="J5267">
        <v>-341.62569999999999</v>
      </c>
      <c r="K5267">
        <v>1.112247</v>
      </c>
      <c r="L5267">
        <v>142.4485</v>
      </c>
      <c r="M5267">
        <v>-0.99987630000000005</v>
      </c>
      <c r="N5267">
        <v>-1.5702150000000002E-2</v>
      </c>
      <c r="O5267">
        <v>-1.1328410000000001E-3</v>
      </c>
      <c r="P5267">
        <v>-0.99599230000000005</v>
      </c>
      <c r="Q5267">
        <v>-5.9393290000000001E-2</v>
      </c>
      <c r="R5267">
        <v>-6.6876089999999999E-2</v>
      </c>
      <c r="S5267">
        <v>-2.9996339999999999</v>
      </c>
      <c r="T5267">
        <v>-0.71196029999999999</v>
      </c>
      <c r="U5267">
        <v>0.4697113</v>
      </c>
      <c r="V5267">
        <v>-6.5395759999999997E-2</v>
      </c>
      <c r="W5267">
        <v>-4.4269650000000001E-2</v>
      </c>
      <c r="X5267">
        <v>0.99687689999999995</v>
      </c>
      <c r="Y5267">
        <v>0.15140519999999999</v>
      </c>
      <c r="Z5267">
        <v>1.9077899999999998E-2</v>
      </c>
      <c r="AA5267">
        <v>0.98828769999999999</v>
      </c>
      <c r="AB5267">
        <v>59</v>
      </c>
      <c r="AC5267">
        <v>-0.43520000000000802</v>
      </c>
      <c r="AD5267">
        <v>-0.2408564</v>
      </c>
      <c r="AE5267">
        <v>0.159500000000008</v>
      </c>
      <c r="AF5267">
        <v>0.125976317519015</v>
      </c>
      <c r="AG5267">
        <v>-0.2408564</v>
      </c>
      <c r="AH5267">
        <v>0.34252812936475402</v>
      </c>
      <c r="AI5267">
        <v>123.422954894846</v>
      </c>
      <c r="AJ5267">
        <v>69.807292463372903</v>
      </c>
      <c r="AK5267">
        <v>0.43727263509477599</v>
      </c>
      <c r="AL5267">
        <v>92.537293380961103</v>
      </c>
      <c r="AM5267">
        <v>93.753261834675598</v>
      </c>
      <c r="AN5267">
        <v>0.99999998054535399</v>
      </c>
    </row>
    <row r="5268" spans="1:40" x14ac:dyDescent="0.25">
      <c r="A5268" t="str">
        <f>"20190305135034539"</f>
        <v>20190305135034539</v>
      </c>
      <c r="B5268" t="str">
        <f>"1551765034535547"</f>
        <v>1551765034535547</v>
      </c>
      <c r="C5268" t="s">
        <v>40</v>
      </c>
      <c r="D5268">
        <v>4.0526350000000004</v>
      </c>
      <c r="E5268">
        <v>0.58158350000000003</v>
      </c>
      <c r="F5268" t="s">
        <v>41</v>
      </c>
      <c r="G5268">
        <v>-342.59089999999998</v>
      </c>
      <c r="H5268">
        <v>0.8833801</v>
      </c>
      <c r="I5268">
        <v>142.59809999999999</v>
      </c>
      <c r="J5268">
        <v>-342.185</v>
      </c>
      <c r="K5268">
        <v>1.1122590000000001</v>
      </c>
      <c r="L5268">
        <v>142.44730000000001</v>
      </c>
      <c r="M5268">
        <v>-0.99987190000000004</v>
      </c>
      <c r="N5268">
        <v>-1.5707140000000001E-2</v>
      </c>
      <c r="O5268">
        <v>-3.1186899999999999E-3</v>
      </c>
      <c r="P5268">
        <v>-0.99594450000000001</v>
      </c>
      <c r="Q5268">
        <v>-5.8023739999999997E-2</v>
      </c>
      <c r="R5268">
        <v>-6.876119E-2</v>
      </c>
      <c r="S5268">
        <v>-3.0008539999999999</v>
      </c>
      <c r="T5268">
        <v>-0.71157859999999995</v>
      </c>
      <c r="U5268">
        <v>0.46467589999999998</v>
      </c>
      <c r="V5268">
        <v>-6.5314109999999995E-2</v>
      </c>
      <c r="W5268">
        <v>-4.2892420000000001E-2</v>
      </c>
      <c r="X5268">
        <v>0.99694249999999995</v>
      </c>
      <c r="Y5268">
        <v>0.151639</v>
      </c>
      <c r="Z5268">
        <v>1.952427E-2</v>
      </c>
      <c r="AA5268">
        <v>0.98824310000000004</v>
      </c>
      <c r="AB5268">
        <v>59</v>
      </c>
      <c r="AC5268">
        <v>-0.405899999999974</v>
      </c>
      <c r="AD5268">
        <v>-0.2288789</v>
      </c>
      <c r="AE5268">
        <v>0.15079999999997501</v>
      </c>
      <c r="AF5268">
        <v>0.118857064611401</v>
      </c>
      <c r="AG5268">
        <v>-0.2288789</v>
      </c>
      <c r="AH5268">
        <v>0.31688980367872099</v>
      </c>
      <c r="AI5268">
        <v>124.069027485411</v>
      </c>
      <c r="AJ5268">
        <v>69.440247475277204</v>
      </c>
      <c r="AK5268">
        <v>0.40857276016492799</v>
      </c>
      <c r="AL5268">
        <v>92.458308764924396</v>
      </c>
      <c r="AM5268">
        <v>93.748343103536499</v>
      </c>
      <c r="AN5268">
        <v>1.00000002048239</v>
      </c>
    </row>
    <row r="5269" spans="1:40" x14ac:dyDescent="0.25">
      <c r="A5269" t="str">
        <f>"20190305135034556"</f>
        <v>20190305135034556</v>
      </c>
      <c r="B5269" t="str">
        <f>"1551765034545307"</f>
        <v>1551765034545307</v>
      </c>
      <c r="C5269" t="s">
        <v>40</v>
      </c>
      <c r="D5269">
        <v>4.0475949999999896</v>
      </c>
      <c r="E5269">
        <v>0.58173739999999996</v>
      </c>
      <c r="F5269" t="s">
        <v>41</v>
      </c>
      <c r="G5269">
        <v>-343.11930000000001</v>
      </c>
      <c r="H5269">
        <v>0.89203519999999903</v>
      </c>
      <c r="I5269">
        <v>142.5909</v>
      </c>
      <c r="J5269">
        <v>-342.61810000000003</v>
      </c>
      <c r="K5269">
        <v>1.1122559999999999</v>
      </c>
      <c r="L5269">
        <v>142.44560000000001</v>
      </c>
      <c r="M5269">
        <v>-0.99986580000000003</v>
      </c>
      <c r="N5269">
        <v>-1.570999E-2</v>
      </c>
      <c r="O5269">
        <v>-4.6347860000000001E-3</v>
      </c>
      <c r="P5269">
        <v>-0.99589499999999997</v>
      </c>
      <c r="Q5269">
        <v>-5.7441979999999997E-2</v>
      </c>
      <c r="R5269">
        <v>-6.9953370000000001E-2</v>
      </c>
      <c r="S5269">
        <v>-3.002869</v>
      </c>
      <c r="T5269">
        <v>-0.70781169999999904</v>
      </c>
      <c r="U5269">
        <v>0.46144099999999999</v>
      </c>
      <c r="V5269">
        <v>-6.5002000000000004E-2</v>
      </c>
      <c r="W5269">
        <v>-4.230271E-2</v>
      </c>
      <c r="X5269">
        <v>0.99698810000000004</v>
      </c>
      <c r="Y5269">
        <v>0.15200050000000001</v>
      </c>
      <c r="Z5269">
        <v>1.9791110000000001E-2</v>
      </c>
      <c r="AA5269">
        <v>0.98818220000000001</v>
      </c>
      <c r="AB5269">
        <v>59</v>
      </c>
      <c r="AC5269">
        <v>-0.50119999999998299</v>
      </c>
      <c r="AD5269">
        <v>-0.22022079999999999</v>
      </c>
      <c r="AE5269">
        <v>0.14529999999999099</v>
      </c>
      <c r="AF5269">
        <v>0.125305599483862</v>
      </c>
      <c r="AG5269">
        <v>-0.22022079999999999</v>
      </c>
      <c r="AH5269">
        <v>0.42485694504340399</v>
      </c>
      <c r="AI5269">
        <v>116.43510669210499</v>
      </c>
      <c r="AJ5269">
        <v>73.567315246465299</v>
      </c>
      <c r="AK5269">
        <v>0.49467374881457399</v>
      </c>
      <c r="AL5269">
        <v>92.424490162298696</v>
      </c>
      <c r="AM5269">
        <v>93.730311828698305</v>
      </c>
      <c r="AN5269">
        <v>1.0000000254094701</v>
      </c>
    </row>
    <row r="5270" spans="1:40" x14ac:dyDescent="0.25">
      <c r="A5270" t="str">
        <f>"20190305135034568"</f>
        <v>20190305135034568</v>
      </c>
      <c r="B5270" t="str">
        <f>"1551765034555067"</f>
        <v>1551765034555067</v>
      </c>
      <c r="C5270" t="s">
        <v>40</v>
      </c>
      <c r="D5270">
        <v>4.0596009999999998</v>
      </c>
      <c r="E5270">
        <v>0.58182670000000003</v>
      </c>
      <c r="F5270" t="s">
        <v>41</v>
      </c>
      <c r="G5270">
        <v>-343.63619999999997</v>
      </c>
      <c r="H5270">
        <v>0.87298699999999996</v>
      </c>
      <c r="I5270">
        <v>142.6011</v>
      </c>
      <c r="J5270">
        <v>-342.95389999999998</v>
      </c>
      <c r="K5270">
        <v>1.1122510000000001</v>
      </c>
      <c r="L5270">
        <v>142.44390000000001</v>
      </c>
      <c r="M5270">
        <v>-0.99985979999999997</v>
      </c>
      <c r="N5270">
        <v>-1.571171E-2</v>
      </c>
      <c r="O5270">
        <v>-5.796186E-3</v>
      </c>
      <c r="P5270">
        <v>-0.99586399999999997</v>
      </c>
      <c r="Q5270">
        <v>-5.6655360000000002E-2</v>
      </c>
      <c r="R5270">
        <v>-7.1028579999999994E-2</v>
      </c>
      <c r="S5270">
        <v>-3.003876</v>
      </c>
      <c r="T5270">
        <v>-0.70596969999999903</v>
      </c>
      <c r="U5270">
        <v>0.45906069999999999</v>
      </c>
      <c r="V5270">
        <v>-6.4927620000000005E-2</v>
      </c>
      <c r="W5270">
        <v>-4.1510980000000003E-2</v>
      </c>
      <c r="X5270">
        <v>0.99702619999999997</v>
      </c>
      <c r="Y5270">
        <v>0.15232109999999999</v>
      </c>
      <c r="Z5270">
        <v>2.0028319999999999E-2</v>
      </c>
      <c r="AA5270">
        <v>0.98812809999999995</v>
      </c>
      <c r="AB5270">
        <v>59</v>
      </c>
      <c r="AC5270">
        <v>-0.68229999999999702</v>
      </c>
      <c r="AD5270">
        <v>-0.239264</v>
      </c>
      <c r="AE5270">
        <v>0.15719999999998799</v>
      </c>
      <c r="AF5270">
        <v>0.14430204131926799</v>
      </c>
      <c r="AG5270">
        <v>-0.239264</v>
      </c>
      <c r="AH5270">
        <v>0.61013064279701201</v>
      </c>
      <c r="AI5270">
        <v>110.888047455828</v>
      </c>
      <c r="AJ5270">
        <v>76.693483806378495</v>
      </c>
      <c r="AK5270">
        <v>0.67106612349663597</v>
      </c>
      <c r="AL5270">
        <v>92.379087549062007</v>
      </c>
      <c r="AM5270">
        <v>93.725913381885206</v>
      </c>
      <c r="AN5270">
        <v>1.0000000003929299</v>
      </c>
    </row>
    <row r="5271" spans="1:40" x14ac:dyDescent="0.25">
      <c r="A5271" t="str">
        <f>"20190305135034583"</f>
        <v>20190305135034583</v>
      </c>
      <c r="B5271" t="str">
        <f>"1551765034575566"</f>
        <v>1551765034575566</v>
      </c>
      <c r="C5271" t="s">
        <v>40</v>
      </c>
      <c r="D5271">
        <v>4.0118169999999997</v>
      </c>
      <c r="E5271">
        <v>0.58214840000000001</v>
      </c>
      <c r="F5271" t="s">
        <v>41</v>
      </c>
      <c r="G5271">
        <v>-343.666</v>
      </c>
      <c r="H5271">
        <v>0.94549039999999995</v>
      </c>
      <c r="I5271">
        <v>142.55199999999999</v>
      </c>
      <c r="J5271">
        <v>-343.3458</v>
      </c>
      <c r="K5271">
        <v>1.112233</v>
      </c>
      <c r="L5271">
        <v>142.44130000000001</v>
      </c>
      <c r="M5271">
        <v>-0.99985119999999905</v>
      </c>
      <c r="N5271">
        <v>-1.571291E-2</v>
      </c>
      <c r="O5271">
        <v>-7.1223859999999996E-3</v>
      </c>
      <c r="P5271">
        <v>-0.99584170000000005</v>
      </c>
      <c r="Q5271">
        <v>-5.5869679999999998E-2</v>
      </c>
      <c r="R5271">
        <v>-7.1959759999999998E-2</v>
      </c>
      <c r="S5271">
        <v>-3.0050050000000001</v>
      </c>
      <c r="T5271">
        <v>-0.703739</v>
      </c>
      <c r="U5271">
        <v>0.45643620000000001</v>
      </c>
      <c r="V5271">
        <v>-6.4546049999999994E-2</v>
      </c>
      <c r="W5271">
        <v>-4.0716339999999997E-2</v>
      </c>
      <c r="X5271">
        <v>0.99708370000000002</v>
      </c>
      <c r="Y5271">
        <v>0.15271970000000001</v>
      </c>
      <c r="Z5271">
        <v>2.029777E-2</v>
      </c>
      <c r="AA5271">
        <v>0.98806110000000003</v>
      </c>
      <c r="AB5271">
        <v>59</v>
      </c>
      <c r="AC5271">
        <v>-0.32019999999999899</v>
      </c>
      <c r="AD5271">
        <v>-0.16674259999999899</v>
      </c>
      <c r="AE5271">
        <v>0.110700000000008</v>
      </c>
      <c r="AF5271">
        <v>9.0948212386781802E-2</v>
      </c>
      <c r="AG5271">
        <v>-0.16674259999999899</v>
      </c>
      <c r="AH5271">
        <v>0.257122150218071</v>
      </c>
      <c r="AI5271">
        <v>121.440628391939</v>
      </c>
      <c r="AJ5271">
        <v>70.520499367771293</v>
      </c>
      <c r="AK5271">
        <v>0.31966618858408402</v>
      </c>
      <c r="AL5271">
        <v>92.333519597736696</v>
      </c>
      <c r="AM5271">
        <v>93.703864866767503</v>
      </c>
      <c r="AN5271">
        <v>0.99999995885964299</v>
      </c>
    </row>
    <row r="5272" spans="1:40" x14ac:dyDescent="0.25">
      <c r="A5272" t="str">
        <f>"20190305135034599"</f>
        <v>20190305135034599</v>
      </c>
      <c r="B5272" t="str">
        <f>"1551765034595084"</f>
        <v>1551765034595084</v>
      </c>
      <c r="C5272" t="s">
        <v>40</v>
      </c>
      <c r="D5272">
        <v>4.024591</v>
      </c>
      <c r="E5272">
        <v>0.58236909999999997</v>
      </c>
      <c r="F5272" t="s">
        <v>41</v>
      </c>
      <c r="G5272">
        <v>-344.17829999999998</v>
      </c>
      <c r="H5272">
        <v>0.91806449999999995</v>
      </c>
      <c r="I5272">
        <v>142.56809999999999</v>
      </c>
      <c r="J5272">
        <v>-343.7783</v>
      </c>
      <c r="K5272">
        <v>1.1122050000000001</v>
      </c>
      <c r="L5272">
        <v>142.43780000000001</v>
      </c>
      <c r="M5272">
        <v>-0.99983999999999995</v>
      </c>
      <c r="N5272">
        <v>-1.5713640000000001E-2</v>
      </c>
      <c r="O5272">
        <v>-8.5538999999999997E-3</v>
      </c>
      <c r="P5272">
        <v>-0.99577890000000002</v>
      </c>
      <c r="Q5272">
        <v>-5.5332760000000002E-2</v>
      </c>
      <c r="R5272">
        <v>-7.3232389999999994E-2</v>
      </c>
      <c r="S5272">
        <v>-3.0061650000000002</v>
      </c>
      <c r="T5272">
        <v>-0.70124580000000003</v>
      </c>
      <c r="U5272">
        <v>0.45660400000000001</v>
      </c>
      <c r="V5272">
        <v>-6.4400089999999993E-2</v>
      </c>
      <c r="W5272">
        <v>-4.0171680000000001E-2</v>
      </c>
      <c r="X5272">
        <v>0.99711530000000004</v>
      </c>
      <c r="Y5272">
        <v>0.15409300000000001</v>
      </c>
      <c r="Z5272">
        <v>2.0698169999999998E-2</v>
      </c>
      <c r="AA5272">
        <v>0.98783949999999998</v>
      </c>
      <c r="AB5272">
        <v>59</v>
      </c>
      <c r="AC5272">
        <v>-0.39999999999997699</v>
      </c>
      <c r="AD5272">
        <v>-0.19414049999999899</v>
      </c>
      <c r="AE5272">
        <v>0.13029999999997699</v>
      </c>
      <c r="AF5272">
        <v>0.110239758069271</v>
      </c>
      <c r="AG5272">
        <v>-0.19414049999999899</v>
      </c>
      <c r="AH5272">
        <v>0.32883876943442197</v>
      </c>
      <c r="AI5272">
        <v>119.238559481821</v>
      </c>
      <c r="AJ5272">
        <v>71.4668115734069</v>
      </c>
      <c r="AK5272">
        <v>0.39746480886056601</v>
      </c>
      <c r="AL5272">
        <v>92.302287162369893</v>
      </c>
      <c r="AM5272">
        <v>93.695395645833301</v>
      </c>
      <c r="AN5272">
        <v>1.0000000284800501</v>
      </c>
    </row>
    <row r="5273" spans="1:40" x14ac:dyDescent="0.25">
      <c r="A5273" t="str">
        <f>"20190305135034612"</f>
        <v>20190305135034612</v>
      </c>
      <c r="B5273" t="str">
        <f>"1551765034605819"</f>
        <v>1551765034605819</v>
      </c>
      <c r="C5273" t="s">
        <v>40</v>
      </c>
      <c r="D5273">
        <v>3.9381550000000001</v>
      </c>
      <c r="E5273">
        <v>0.58243840000000002</v>
      </c>
      <c r="F5273" t="s">
        <v>41</v>
      </c>
      <c r="G5273">
        <v>-344.69450000000001</v>
      </c>
      <c r="H5273">
        <v>0.89895069999999999</v>
      </c>
      <c r="I5273">
        <v>142.57660000000001</v>
      </c>
      <c r="J5273">
        <v>-344.11200000000002</v>
      </c>
      <c r="K5273">
        <v>1.1121799999999999</v>
      </c>
      <c r="L5273">
        <v>142.4349</v>
      </c>
      <c r="M5273">
        <v>-0.9998302</v>
      </c>
      <c r="N5273">
        <v>-1.5713830000000002E-2</v>
      </c>
      <c r="O5273">
        <v>-9.6357400000000003E-3</v>
      </c>
      <c r="P5273">
        <v>-0.99570639999999999</v>
      </c>
      <c r="Q5273">
        <v>-5.5073589999999999E-2</v>
      </c>
      <c r="R5273">
        <v>-7.4404090000000006E-2</v>
      </c>
      <c r="S5273">
        <v>-3.007263</v>
      </c>
      <c r="T5273">
        <v>-0.70001389999999997</v>
      </c>
      <c r="U5273">
        <v>0.45466610000000002</v>
      </c>
      <c r="V5273">
        <v>-6.449966E-2</v>
      </c>
      <c r="W5273">
        <v>-3.9908100000000002E-2</v>
      </c>
      <c r="X5273">
        <v>0.99711939999999999</v>
      </c>
      <c r="Y5273">
        <v>0.1544681</v>
      </c>
      <c r="Z5273">
        <v>2.0934910000000001E-2</v>
      </c>
      <c r="AA5273">
        <v>0.98777590000000004</v>
      </c>
      <c r="AB5273">
        <v>59</v>
      </c>
      <c r="AC5273">
        <v>-0.58250000000003799</v>
      </c>
      <c r="AD5273">
        <v>-0.21322929999999901</v>
      </c>
      <c r="AE5273">
        <v>0.14170000000001401</v>
      </c>
      <c r="AF5273">
        <v>0.130763682705276</v>
      </c>
      <c r="AG5273">
        <v>-0.21322929999999901</v>
      </c>
      <c r="AH5273">
        <v>0.51584635472242002</v>
      </c>
      <c r="AI5273">
        <v>111.835225495161</v>
      </c>
      <c r="AJ5273">
        <v>75.775525002395298</v>
      </c>
      <c r="AK5273">
        <v>0.573291668152909</v>
      </c>
      <c r="AL5273">
        <v>92.287173131326995</v>
      </c>
      <c r="AM5273">
        <v>93.701078111304597</v>
      </c>
      <c r="AN5273">
        <v>0.99999998022104197</v>
      </c>
    </row>
    <row r="5274" spans="1:40" x14ac:dyDescent="0.25">
      <c r="A5274" t="str">
        <f>"20190305135034628"</f>
        <v>20190305135034628</v>
      </c>
      <c r="B5274" t="str">
        <f>"1551765034615579"</f>
        <v>1551765034615579</v>
      </c>
      <c r="C5274" t="s">
        <v>40</v>
      </c>
      <c r="D5274">
        <v>4.0238550000000002</v>
      </c>
      <c r="E5274">
        <v>0.5825245</v>
      </c>
      <c r="F5274" t="s">
        <v>41</v>
      </c>
      <c r="G5274">
        <v>-345.20209999999997</v>
      </c>
      <c r="H5274">
        <v>0.85898549999999996</v>
      </c>
      <c r="I5274">
        <v>142.5986</v>
      </c>
      <c r="J5274">
        <v>-344.51929999999999</v>
      </c>
      <c r="K5274">
        <v>1.1121430000000001</v>
      </c>
      <c r="L5274">
        <v>142.4307</v>
      </c>
      <c r="M5274">
        <v>-0.99981699999999996</v>
      </c>
      <c r="N5274">
        <v>-1.571351E-2</v>
      </c>
      <c r="O5274">
        <v>-1.091959E-2</v>
      </c>
      <c r="P5274">
        <v>-0.9956256</v>
      </c>
      <c r="Q5274">
        <v>-5.4426769999999999E-2</v>
      </c>
      <c r="R5274">
        <v>-7.5946089999999994E-2</v>
      </c>
      <c r="S5274">
        <v>-3.0079959999999999</v>
      </c>
      <c r="T5274">
        <v>-0.69869879999999995</v>
      </c>
      <c r="U5274">
        <v>0.45156859999999999</v>
      </c>
      <c r="V5274">
        <v>-6.4771880000000004E-2</v>
      </c>
      <c r="W5274">
        <v>-3.9256359999999997E-2</v>
      </c>
      <c r="X5274">
        <v>0.99712769999999995</v>
      </c>
      <c r="Y5274">
        <v>0.15468799999999999</v>
      </c>
      <c r="Z5274">
        <v>2.119501E-2</v>
      </c>
      <c r="AA5274">
        <v>0.98773599999999995</v>
      </c>
      <c r="AB5274">
        <v>59</v>
      </c>
      <c r="AC5274">
        <v>-0.68279999999998597</v>
      </c>
      <c r="AD5274">
        <v>-0.25315749999999998</v>
      </c>
      <c r="AE5274">
        <v>0.16790000000000299</v>
      </c>
      <c r="AF5274">
        <v>0.155225311126372</v>
      </c>
      <c r="AG5274">
        <v>-0.25315749999999998</v>
      </c>
      <c r="AH5274">
        <v>0.60278770295531903</v>
      </c>
      <c r="AI5274">
        <v>112.13203426582</v>
      </c>
      <c r="AJ5274">
        <v>75.559368320735899</v>
      </c>
      <c r="AK5274">
        <v>0.67196475491998697</v>
      </c>
      <c r="AL5274">
        <v>92.249801724893103</v>
      </c>
      <c r="AM5274">
        <v>93.716623924146703</v>
      </c>
      <c r="AN5274">
        <v>1.0000000541732299</v>
      </c>
    </row>
    <row r="5275" spans="1:40" x14ac:dyDescent="0.25">
      <c r="A5275" t="str">
        <f>"20190305135034644"</f>
        <v>20190305135034644</v>
      </c>
      <c r="B5275" t="str">
        <f>"1551765034635099"</f>
        <v>1551765034635099</v>
      </c>
      <c r="C5275" t="s">
        <v>40</v>
      </c>
      <c r="D5275">
        <v>3.9923069999999998</v>
      </c>
      <c r="E5275">
        <v>0.58275250000000001</v>
      </c>
      <c r="F5275" t="s">
        <v>41</v>
      </c>
      <c r="G5275">
        <v>-345.23719999999997</v>
      </c>
      <c r="H5275">
        <v>0.94610810000000001</v>
      </c>
      <c r="I5275">
        <v>142.5377</v>
      </c>
      <c r="J5275">
        <v>-344.95190000000002</v>
      </c>
      <c r="K5275">
        <v>1.112096</v>
      </c>
      <c r="L5275">
        <v>142.4256</v>
      </c>
      <c r="M5275">
        <v>-0.99980170000000002</v>
      </c>
      <c r="N5275">
        <v>-1.5712569999999999E-2</v>
      </c>
      <c r="O5275">
        <v>-1.223522E-2</v>
      </c>
      <c r="P5275">
        <v>-0.99555519999999997</v>
      </c>
      <c r="Q5275">
        <v>-5.4107679999999998E-2</v>
      </c>
      <c r="R5275">
        <v>-7.7085760000000003E-2</v>
      </c>
      <c r="S5275">
        <v>-3.0092469999999998</v>
      </c>
      <c r="T5275">
        <v>-0.69604089999999996</v>
      </c>
      <c r="U5275">
        <v>0.4477081</v>
      </c>
      <c r="V5275">
        <v>-6.4609159999999999E-2</v>
      </c>
      <c r="W5275">
        <v>-3.8927870000000003E-2</v>
      </c>
      <c r="X5275">
        <v>0.99715109999999996</v>
      </c>
      <c r="Y5275">
        <v>0.15469340000000001</v>
      </c>
      <c r="Z5275">
        <v>2.139305E-2</v>
      </c>
      <c r="AA5275">
        <v>0.98773089999999997</v>
      </c>
      <c r="AB5275">
        <v>59</v>
      </c>
      <c r="AC5275">
        <v>-0.28529999999994898</v>
      </c>
      <c r="AD5275">
        <v>-0.16598789999999899</v>
      </c>
      <c r="AE5275">
        <v>0.11209999999999801</v>
      </c>
      <c r="AF5275">
        <v>8.9375714869349698E-2</v>
      </c>
      <c r="AG5275">
        <v>-0.16598789999999899</v>
      </c>
      <c r="AH5275">
        <v>0.21953434355642401</v>
      </c>
      <c r="AI5275">
        <v>125.002841923538</v>
      </c>
      <c r="AJ5275">
        <v>67.848026522421307</v>
      </c>
      <c r="AK5275">
        <v>0.28937057444662101</v>
      </c>
      <c r="AL5275">
        <v>92.230966315141501</v>
      </c>
      <c r="AM5275">
        <v>93.707226331864305</v>
      </c>
      <c r="AN5275">
        <v>1.0000000194249199</v>
      </c>
    </row>
    <row r="5276" spans="1:40" x14ac:dyDescent="0.25">
      <c r="A5276" t="str">
        <f>"20190305135034657"</f>
        <v>20190305135034657</v>
      </c>
      <c r="B5276" t="str">
        <f>"1551765034645836"</f>
        <v>1551765034645836</v>
      </c>
      <c r="C5276" t="s">
        <v>40</v>
      </c>
      <c r="D5276">
        <v>3.9945940000000002</v>
      </c>
      <c r="E5276">
        <v>0.58281269999999996</v>
      </c>
      <c r="F5276" t="s">
        <v>41</v>
      </c>
      <c r="G5276">
        <v>-345.75189999999998</v>
      </c>
      <c r="H5276">
        <v>0.92742400000000003</v>
      </c>
      <c r="I5276">
        <v>142.54429999999999</v>
      </c>
      <c r="J5276">
        <v>-345.28469999999999</v>
      </c>
      <c r="K5276">
        <v>1.1120509999999999</v>
      </c>
      <c r="L5276">
        <v>142.42140000000001</v>
      </c>
      <c r="M5276">
        <v>-0.99978920000000004</v>
      </c>
      <c r="N5276">
        <v>-1.5711590000000001E-2</v>
      </c>
      <c r="O5276">
        <v>-1.321722E-2</v>
      </c>
      <c r="P5276">
        <v>-0.99548789999999998</v>
      </c>
      <c r="Q5276">
        <v>-5.3619189999999997E-2</v>
      </c>
      <c r="R5276">
        <v>-7.8287099999999998E-2</v>
      </c>
      <c r="S5276">
        <v>-3.0101619999999998</v>
      </c>
      <c r="T5276">
        <v>-0.69493530000000003</v>
      </c>
      <c r="U5276">
        <v>0.44601439999999998</v>
      </c>
      <c r="V5276">
        <v>-6.4840040000000002E-2</v>
      </c>
      <c r="W5276">
        <v>-3.8434669999999997E-2</v>
      </c>
      <c r="X5276">
        <v>0.99715520000000002</v>
      </c>
      <c r="Y5276">
        <v>0.15505939999999999</v>
      </c>
      <c r="Z5276">
        <v>2.160815E-2</v>
      </c>
      <c r="AA5276">
        <v>0.98766880000000001</v>
      </c>
      <c r="AB5276">
        <v>59</v>
      </c>
      <c r="AC5276">
        <v>-0.46719999999999101</v>
      </c>
      <c r="AD5276">
        <v>-0.18462700000000001</v>
      </c>
      <c r="AE5276">
        <v>0.12289999999998701</v>
      </c>
      <c r="AF5276">
        <v>0.11261652765006</v>
      </c>
      <c r="AG5276">
        <v>-0.18462700000000001</v>
      </c>
      <c r="AH5276">
        <v>0.40620496454405203</v>
      </c>
      <c r="AI5276">
        <v>113.653213840207</v>
      </c>
      <c r="AJ5276">
        <v>74.504463688292802</v>
      </c>
      <c r="AK5276">
        <v>0.46018701051767102</v>
      </c>
      <c r="AL5276">
        <v>92.202686973223393</v>
      </c>
      <c r="AM5276">
        <v>93.720421661796493</v>
      </c>
      <c r="AN5276">
        <v>0.99999997376612404</v>
      </c>
    </row>
    <row r="5277" spans="1:40" x14ac:dyDescent="0.25">
      <c r="A5277" t="str">
        <f>"20190305135034673"</f>
        <v>20190305135034673</v>
      </c>
      <c r="B5277" t="str">
        <f>"1551765034665358"</f>
        <v>1551765034665358</v>
      </c>
      <c r="C5277" t="s">
        <v>40</v>
      </c>
      <c r="D5277">
        <v>4.0116839999999998</v>
      </c>
      <c r="E5277">
        <v>0.58304449999999997</v>
      </c>
      <c r="F5277" t="s">
        <v>41</v>
      </c>
      <c r="G5277">
        <v>-346.25889999999998</v>
      </c>
      <c r="H5277">
        <v>0.88759949999999999</v>
      </c>
      <c r="I5277">
        <v>142.56489999999999</v>
      </c>
      <c r="J5277">
        <v>-345.69639999999998</v>
      </c>
      <c r="K5277">
        <v>1.111993</v>
      </c>
      <c r="L5277">
        <v>142.41579999999999</v>
      </c>
      <c r="M5277">
        <v>-0.99977280000000002</v>
      </c>
      <c r="N5277">
        <v>-1.571753E-2</v>
      </c>
      <c r="O5277">
        <v>-1.4398330000000001E-2</v>
      </c>
      <c r="P5277">
        <v>-0.99546999999999997</v>
      </c>
      <c r="Q5277">
        <v>-5.2449080000000002E-2</v>
      </c>
      <c r="R5277">
        <v>-7.930152E-2</v>
      </c>
      <c r="S5277">
        <v>-3.0110169999999998</v>
      </c>
      <c r="T5277">
        <v>-0.69382489999999997</v>
      </c>
      <c r="U5277">
        <v>0.44268800000000003</v>
      </c>
      <c r="V5277">
        <v>-6.4691739999999998E-2</v>
      </c>
      <c r="W5277">
        <v>-3.7246990000000001E-2</v>
      </c>
      <c r="X5277">
        <v>0.99720989999999998</v>
      </c>
      <c r="Y5277">
        <v>0.15510499999999999</v>
      </c>
      <c r="Z5277">
        <v>2.1826930000000001E-2</v>
      </c>
      <c r="AA5277">
        <v>0.9876568</v>
      </c>
      <c r="AB5277">
        <v>59</v>
      </c>
      <c r="AC5277">
        <v>-0.5625</v>
      </c>
      <c r="AD5277">
        <v>-0.224393499999999</v>
      </c>
      <c r="AE5277">
        <v>0.14910000000000401</v>
      </c>
      <c r="AF5277">
        <v>0.136837963312156</v>
      </c>
      <c r="AG5277">
        <v>-0.224393499999999</v>
      </c>
      <c r="AH5277">
        <v>0.48776771975073002</v>
      </c>
      <c r="AI5277">
        <v>113.890543285318</v>
      </c>
      <c r="AJ5277">
        <v>74.329109945700694</v>
      </c>
      <c r="AK5277">
        <v>0.55407077118044701</v>
      </c>
      <c r="AL5277">
        <v>92.134589146541302</v>
      </c>
      <c r="AM5277">
        <v>93.711733211225607</v>
      </c>
      <c r="AN5277">
        <v>0.99999997207314795</v>
      </c>
    </row>
    <row r="5278" spans="1:40" x14ac:dyDescent="0.25">
      <c r="A5278" t="str">
        <f>"20190305135034689"</f>
        <v>20190305135034689</v>
      </c>
      <c r="B5278" t="str">
        <f>"1551765034675115"</f>
        <v>1551765034675115</v>
      </c>
      <c r="C5278" t="s">
        <v>40</v>
      </c>
      <c r="D5278">
        <v>4.0190960000000002</v>
      </c>
      <c r="E5278">
        <v>0.58319809999999905</v>
      </c>
      <c r="F5278" t="s">
        <v>41</v>
      </c>
      <c r="G5278">
        <v>-346.77229999999997</v>
      </c>
      <c r="H5278">
        <v>0.86495659999999897</v>
      </c>
      <c r="I5278">
        <v>142.57329999999999</v>
      </c>
      <c r="J5278">
        <v>-346.11919999999998</v>
      </c>
      <c r="K5278">
        <v>1.1119399999999999</v>
      </c>
      <c r="L5278">
        <v>142.40950000000001</v>
      </c>
      <c r="M5278">
        <v>-0.99975499999999995</v>
      </c>
      <c r="N5278">
        <v>-1.5747489999999999E-2</v>
      </c>
      <c r="O5278">
        <v>-1.5565509999999999E-2</v>
      </c>
      <c r="P5278">
        <v>-0.99540839999999997</v>
      </c>
      <c r="Q5278">
        <v>-5.196274E-2</v>
      </c>
      <c r="R5278">
        <v>-8.0388340000000003E-2</v>
      </c>
      <c r="S5278">
        <v>-3.0123289999999998</v>
      </c>
      <c r="T5278">
        <v>-0.69162860000000004</v>
      </c>
      <c r="U5278">
        <v>0.4410095</v>
      </c>
      <c r="V5278">
        <v>-6.4625489999999994E-2</v>
      </c>
      <c r="W5278">
        <v>-3.6719540000000002E-2</v>
      </c>
      <c r="X5278">
        <v>0.99723379999999995</v>
      </c>
      <c r="Y5278">
        <v>0.1556469</v>
      </c>
      <c r="Z5278">
        <v>2.2067239999999998E-2</v>
      </c>
      <c r="AA5278">
        <v>0.98756619999999995</v>
      </c>
      <c r="AB5278">
        <v>58</v>
      </c>
      <c r="AC5278">
        <v>-0.65309999999999402</v>
      </c>
      <c r="AD5278">
        <v>-0.24698339999999999</v>
      </c>
      <c r="AE5278">
        <v>0.16379999999997999</v>
      </c>
      <c r="AF5278">
        <v>0.15331831282853101</v>
      </c>
      <c r="AG5278">
        <v>-0.24698339999999999</v>
      </c>
      <c r="AH5278">
        <v>0.57332959198227795</v>
      </c>
      <c r="AI5278">
        <v>112.595337378233</v>
      </c>
      <c r="AJ5278">
        <v>75.028431799788706</v>
      </c>
      <c r="AK5278">
        <v>0.64281733483682102</v>
      </c>
      <c r="AL5278">
        <v>92.104347707046301</v>
      </c>
      <c r="AM5278">
        <v>93.707854063676393</v>
      </c>
      <c r="AN5278">
        <v>1.0000000152189901</v>
      </c>
    </row>
    <row r="5279" spans="1:40" x14ac:dyDescent="0.25">
      <c r="A5279" t="str">
        <f>"20190305135034704"</f>
        <v>20190305135034704</v>
      </c>
      <c r="B5279" t="str">
        <f>"1551765034695612"</f>
        <v>1551765034695612</v>
      </c>
      <c r="C5279" t="s">
        <v>40</v>
      </c>
      <c r="D5279">
        <v>4.0362980000000004</v>
      </c>
      <c r="E5279">
        <v>0.58335979999999998</v>
      </c>
      <c r="F5279" t="s">
        <v>41</v>
      </c>
      <c r="G5279">
        <v>-346.8082</v>
      </c>
      <c r="H5279">
        <v>0.95386599999999999</v>
      </c>
      <c r="I5279">
        <v>142.50989999999999</v>
      </c>
      <c r="J5279">
        <v>-346.5068</v>
      </c>
      <c r="K5279">
        <v>1.1119000000000001</v>
      </c>
      <c r="L5279">
        <v>142.4032</v>
      </c>
      <c r="M5279">
        <v>-0.99973730000000005</v>
      </c>
      <c r="N5279">
        <v>-1.5823830000000001E-2</v>
      </c>
      <c r="O5279">
        <v>-1.6582260000000001E-2</v>
      </c>
      <c r="P5279">
        <v>-0.99535750000000001</v>
      </c>
      <c r="Q5279">
        <v>-5.1788269999999997E-2</v>
      </c>
      <c r="R5279">
        <v>-8.1129240000000005E-2</v>
      </c>
      <c r="S5279">
        <v>-3.0131839999999999</v>
      </c>
      <c r="T5279">
        <v>-0.69131699999999996</v>
      </c>
      <c r="U5279">
        <v>0.43885800000000003</v>
      </c>
      <c r="V5279">
        <v>-6.4360780000000006E-2</v>
      </c>
      <c r="W5279">
        <v>-3.6456740000000001E-2</v>
      </c>
      <c r="X5279">
        <v>0.99726060000000005</v>
      </c>
      <c r="Y5279">
        <v>0.1558956</v>
      </c>
      <c r="Z5279">
        <v>2.230149E-2</v>
      </c>
      <c r="AA5279">
        <v>0.98752180000000001</v>
      </c>
      <c r="AB5279">
        <v>58</v>
      </c>
      <c r="AC5279">
        <v>-0.301400000000001</v>
      </c>
      <c r="AD5279">
        <v>-0.15803400000000001</v>
      </c>
      <c r="AE5279">
        <v>0.106699999999989</v>
      </c>
      <c r="AF5279">
        <v>8.9755852561691399E-2</v>
      </c>
      <c r="AG5279">
        <v>-0.15803400000000001</v>
      </c>
      <c r="AH5279">
        <v>0.240767733448737</v>
      </c>
      <c r="AI5279">
        <v>121.592722921972</v>
      </c>
      <c r="AJ5279">
        <v>69.555037612256299</v>
      </c>
      <c r="AK5279">
        <v>0.30166199577526898</v>
      </c>
      <c r="AL5279">
        <v>92.089280206406201</v>
      </c>
      <c r="AM5279">
        <v>93.692609610997806</v>
      </c>
      <c r="AN5279">
        <v>1.0000000541029901</v>
      </c>
    </row>
    <row r="5280" spans="1:40" x14ac:dyDescent="0.25">
      <c r="A5280" t="str">
        <f>"20190305135034719"</f>
        <v>20190305135034719</v>
      </c>
      <c r="B5280" t="str">
        <f>"1551765034705370"</f>
        <v>1551765034705370</v>
      </c>
      <c r="C5280" t="s">
        <v>40</v>
      </c>
      <c r="D5280">
        <v>3.9754529999999999</v>
      </c>
      <c r="E5280">
        <v>0.58336549999999998</v>
      </c>
      <c r="F5280" t="s">
        <v>41</v>
      </c>
      <c r="G5280">
        <v>-347.31729999999999</v>
      </c>
      <c r="H5280">
        <v>0.92590150000000004</v>
      </c>
      <c r="I5280">
        <v>142.52109999999999</v>
      </c>
      <c r="J5280">
        <v>-346.86040000000003</v>
      </c>
      <c r="K5280">
        <v>1.1118650000000001</v>
      </c>
      <c r="L5280">
        <v>142.3972</v>
      </c>
      <c r="M5280">
        <v>-0.99972050000000001</v>
      </c>
      <c r="N5280">
        <v>-1.5919470000000002E-2</v>
      </c>
      <c r="O5280">
        <v>-1.7482060000000001E-2</v>
      </c>
      <c r="P5280">
        <v>-0.99529900000000004</v>
      </c>
      <c r="Q5280">
        <v>-5.1808890000000003E-2</v>
      </c>
      <c r="R5280">
        <v>-8.1825819999999994E-2</v>
      </c>
      <c r="S5280">
        <v>-3.0137330000000002</v>
      </c>
      <c r="T5280">
        <v>-0.69166640000000001</v>
      </c>
      <c r="U5280">
        <v>0.43791200000000002</v>
      </c>
      <c r="V5280">
        <v>-6.4167429999999998E-2</v>
      </c>
      <c r="W5280">
        <v>-3.637137E-2</v>
      </c>
      <c r="X5280">
        <v>0.9972761</v>
      </c>
      <c r="Y5280">
        <v>0.156416</v>
      </c>
      <c r="Z5280">
        <v>2.2566449999999998E-2</v>
      </c>
      <c r="AA5280">
        <v>0.98743340000000002</v>
      </c>
      <c r="AB5280">
        <v>58</v>
      </c>
      <c r="AC5280">
        <v>-0.456899999999961</v>
      </c>
      <c r="AD5280">
        <v>-0.185963499999999</v>
      </c>
      <c r="AE5280">
        <v>0.123899999999991</v>
      </c>
      <c r="AF5280">
        <v>0.114240999340185</v>
      </c>
      <c r="AG5280">
        <v>-0.185963499999999</v>
      </c>
      <c r="AH5280">
        <v>0.39388337592600398</v>
      </c>
      <c r="AI5280">
        <v>114.391499502377</v>
      </c>
      <c r="AJ5280">
        <v>73.825852423324704</v>
      </c>
      <c r="AK5280">
        <v>0.45030827562166797</v>
      </c>
      <c r="AL5280">
        <v>92.0843857792959</v>
      </c>
      <c r="AM5280">
        <v>93.6814899174001</v>
      </c>
      <c r="AN5280">
        <v>0.99999997762984505</v>
      </c>
    </row>
    <row r="5281" spans="1:40" x14ac:dyDescent="0.25">
      <c r="A5281" t="str">
        <f>"20190305135034740"</f>
        <v>20190305135034740</v>
      </c>
      <c r="B5281" t="str">
        <f>"1551765034735627"</f>
        <v>1551765034735627</v>
      </c>
      <c r="C5281" t="s">
        <v>40</v>
      </c>
      <c r="D5281">
        <v>4.0527550000000003</v>
      </c>
      <c r="E5281">
        <v>0.58342989999999995</v>
      </c>
      <c r="F5281" t="s">
        <v>41</v>
      </c>
      <c r="G5281">
        <v>-347.82429999999999</v>
      </c>
      <c r="H5281">
        <v>0.8906174</v>
      </c>
      <c r="I5281">
        <v>142.53659999999999</v>
      </c>
      <c r="J5281">
        <v>-347.44749999999999</v>
      </c>
      <c r="K5281">
        <v>1.111826</v>
      </c>
      <c r="L5281">
        <v>142.38640000000001</v>
      </c>
      <c r="M5281">
        <v>-0.99969079999999999</v>
      </c>
      <c r="N5281">
        <v>-1.6136620000000001E-2</v>
      </c>
      <c r="O5281">
        <v>-1.8916470000000001E-2</v>
      </c>
      <c r="P5281">
        <v>-0.99520090000000005</v>
      </c>
      <c r="Q5281">
        <v>-5.1906239999999999E-2</v>
      </c>
      <c r="R5281">
        <v>-8.2949239999999994E-2</v>
      </c>
      <c r="S5281">
        <v>-3.0139770000000001</v>
      </c>
      <c r="T5281">
        <v>-0.69177349999999904</v>
      </c>
      <c r="U5281">
        <v>0.43583680000000002</v>
      </c>
      <c r="V5281">
        <v>-6.3871490000000003E-2</v>
      </c>
      <c r="W5281">
        <v>-3.6235080000000003E-2</v>
      </c>
      <c r="X5281">
        <v>0.99730010000000002</v>
      </c>
      <c r="Y5281">
        <v>0.15709989999999999</v>
      </c>
      <c r="Z5281">
        <v>2.296608E-2</v>
      </c>
      <c r="AA5281">
        <v>0.98731570000000002</v>
      </c>
      <c r="AB5281">
        <v>58</v>
      </c>
      <c r="AC5281">
        <v>-0.37680000000000202</v>
      </c>
      <c r="AD5281">
        <v>-0.22120859999999901</v>
      </c>
      <c r="AE5281">
        <v>0.15019999999998301</v>
      </c>
      <c r="AF5281">
        <v>0.121244100320297</v>
      </c>
      <c r="AG5281">
        <v>-0.22120859999999901</v>
      </c>
      <c r="AH5281">
        <v>0.28818537615366102</v>
      </c>
      <c r="AI5281">
        <v>125.280345113648</v>
      </c>
      <c r="AJ5281">
        <v>67.182747502460998</v>
      </c>
      <c r="AK5281">
        <v>0.38299371744881799</v>
      </c>
      <c r="AL5281">
        <v>92.076571700850295</v>
      </c>
      <c r="AM5281">
        <v>93.664469322374899</v>
      </c>
      <c r="AN5281">
        <v>1.0000000188587099</v>
      </c>
    </row>
    <row r="5282" spans="1:40" x14ac:dyDescent="0.25">
      <c r="A5282" t="str">
        <f>"20190305135034757"</f>
        <v>20190305135034757</v>
      </c>
      <c r="B5282" t="str">
        <f>"1551765034745585"</f>
        <v>1551765034745585</v>
      </c>
      <c r="C5282" t="s">
        <v>40</v>
      </c>
      <c r="D5282">
        <v>4.0110340000000004</v>
      </c>
      <c r="E5282">
        <v>0.58346239999999905</v>
      </c>
      <c r="F5282" t="s">
        <v>41</v>
      </c>
      <c r="G5282">
        <v>-348.3494</v>
      </c>
      <c r="H5282">
        <v>0.90451689999999996</v>
      </c>
      <c r="I5282">
        <v>142.5164</v>
      </c>
      <c r="J5282">
        <v>-347.86270000000002</v>
      </c>
      <c r="K5282">
        <v>1.1118059999999901</v>
      </c>
      <c r="L5282">
        <v>142.3783</v>
      </c>
      <c r="M5282">
        <v>-0.99966889999999997</v>
      </c>
      <c r="N5282">
        <v>-1.632629E-2</v>
      </c>
      <c r="O5282">
        <v>-1.9889980000000002E-2</v>
      </c>
      <c r="P5282">
        <v>-0.99511579999999999</v>
      </c>
      <c r="Q5282">
        <v>-5.1832679999999999E-2</v>
      </c>
      <c r="R5282">
        <v>-8.4010959999999996E-2</v>
      </c>
      <c r="S5282">
        <v>-3.0144350000000002</v>
      </c>
      <c r="T5282">
        <v>-0.69305519999999998</v>
      </c>
      <c r="U5282">
        <v>0.43307499999999999</v>
      </c>
      <c r="V5282">
        <v>-6.3971500000000001E-2</v>
      </c>
      <c r="W5282">
        <v>-3.5963019999999998E-2</v>
      </c>
      <c r="X5282">
        <v>0.99730350000000001</v>
      </c>
      <c r="Y5282">
        <v>0.15711269999999999</v>
      </c>
      <c r="Z5282">
        <v>2.3221439999999999E-2</v>
      </c>
      <c r="AA5282">
        <v>0.98730770000000001</v>
      </c>
      <c r="AB5282">
        <v>58</v>
      </c>
      <c r="AC5282">
        <v>-0.48669999999998398</v>
      </c>
      <c r="AD5282">
        <v>-0.207289099999999</v>
      </c>
      <c r="AE5282">
        <v>0.13810000000000799</v>
      </c>
      <c r="AF5282">
        <v>0.126515009057309</v>
      </c>
      <c r="AG5282">
        <v>-0.207289099999999</v>
      </c>
      <c r="AH5282">
        <v>0.41430309541136301</v>
      </c>
      <c r="AI5282">
        <v>115.57197001060599</v>
      </c>
      <c r="AJ5282">
        <v>73.018992904662298</v>
      </c>
      <c r="AK5282">
        <v>0.48023106247203301</v>
      </c>
      <c r="AL5282">
        <v>92.060973722077193</v>
      </c>
      <c r="AM5282">
        <v>93.670179000554597</v>
      </c>
      <c r="AN5282">
        <v>0.99999998136600998</v>
      </c>
    </row>
    <row r="5283" spans="1:40" x14ac:dyDescent="0.25">
      <c r="A5283" t="str">
        <f>"20190305135034773"</f>
        <v>20190305135034773</v>
      </c>
      <c r="B5283" t="str">
        <f>"1551765034765106"</f>
        <v>1551765034765106</v>
      </c>
      <c r="C5283" t="s">
        <v>40</v>
      </c>
      <c r="D5283">
        <v>4.0249920000000001</v>
      </c>
      <c r="E5283">
        <v>0.58358209999999999</v>
      </c>
      <c r="F5283" t="s">
        <v>41</v>
      </c>
      <c r="G5283">
        <v>-348.8596</v>
      </c>
      <c r="H5283">
        <v>0.88245079999999998</v>
      </c>
      <c r="I5283">
        <v>142.5205</v>
      </c>
      <c r="J5283">
        <v>-348.30090000000001</v>
      </c>
      <c r="K5283">
        <v>1.1117900000000001</v>
      </c>
      <c r="L5283">
        <v>142.36930000000001</v>
      </c>
      <c r="M5283">
        <v>-0.99964500000000001</v>
      </c>
      <c r="N5283">
        <v>-1.6545049999999999E-2</v>
      </c>
      <c r="O5283">
        <v>-2.0887309999999999E-2</v>
      </c>
      <c r="P5283">
        <v>-0.995089</v>
      </c>
      <c r="Q5283">
        <v>-5.133861E-2</v>
      </c>
      <c r="R5283">
        <v>-8.4631429999999994E-2</v>
      </c>
      <c r="S5283">
        <v>-3.0148929999999998</v>
      </c>
      <c r="T5283">
        <v>-0.69362009999999996</v>
      </c>
      <c r="U5283">
        <v>0.4300079</v>
      </c>
      <c r="V5283">
        <v>-6.3607910000000004E-2</v>
      </c>
      <c r="W5283">
        <v>-3.5237749999999998E-2</v>
      </c>
      <c r="X5283">
        <v>0.99735269999999998</v>
      </c>
      <c r="Y5283">
        <v>0.15706120000000001</v>
      </c>
      <c r="Z5283">
        <v>2.345359E-2</v>
      </c>
      <c r="AA5283">
        <v>0.98731029999999997</v>
      </c>
      <c r="AB5283">
        <v>58</v>
      </c>
      <c r="AC5283">
        <v>-0.55869999999998698</v>
      </c>
      <c r="AD5283">
        <v>-0.22933919999999999</v>
      </c>
      <c r="AE5283">
        <v>0.15119999999998801</v>
      </c>
      <c r="AF5283">
        <v>0.140741741326085</v>
      </c>
      <c r="AG5283">
        <v>-0.22933919999999999</v>
      </c>
      <c r="AH5283">
        <v>0.48005098077823</v>
      </c>
      <c r="AI5283">
        <v>114.628740828959</v>
      </c>
      <c r="AJ5283">
        <v>73.659874711012193</v>
      </c>
      <c r="AK5283">
        <v>0.55032140659280104</v>
      </c>
      <c r="AL5283">
        <v>92.019392340411301</v>
      </c>
      <c r="AM5283">
        <v>93.649196073070598</v>
      </c>
      <c r="AN5283">
        <v>1.0000000367184501</v>
      </c>
    </row>
    <row r="5284" spans="1:40" x14ac:dyDescent="0.25">
      <c r="A5284" t="str">
        <f>"20190305135034789"</f>
        <v>20190305135034789</v>
      </c>
      <c r="B5284" t="str">
        <f>"1551765034775842"</f>
        <v>1551765034775842</v>
      </c>
      <c r="C5284" t="s">
        <v>40</v>
      </c>
      <c r="D5284">
        <v>4.0478839999999998</v>
      </c>
      <c r="E5284">
        <v>0.5836055</v>
      </c>
      <c r="F5284" t="s">
        <v>41</v>
      </c>
      <c r="G5284">
        <v>-349.37099999999998</v>
      </c>
      <c r="H5284">
        <v>0.86562929999999905</v>
      </c>
      <c r="I5284">
        <v>142.52189999999999</v>
      </c>
      <c r="J5284">
        <v>-348.7176</v>
      </c>
      <c r="K5284">
        <v>1.111775</v>
      </c>
      <c r="L5284">
        <v>142.3603</v>
      </c>
      <c r="M5284">
        <v>-0.9996216</v>
      </c>
      <c r="N5284">
        <v>-1.6759130000000001E-2</v>
      </c>
      <c r="O5284">
        <v>-2.1811460000000001E-2</v>
      </c>
      <c r="P5284">
        <v>-0.99500040000000001</v>
      </c>
      <c r="Q5284">
        <v>-5.1256280000000001E-2</v>
      </c>
      <c r="R5284">
        <v>-8.5716269999999997E-2</v>
      </c>
      <c r="S5284">
        <v>-3.0155029999999998</v>
      </c>
      <c r="T5284">
        <v>-0.69374609999999903</v>
      </c>
      <c r="U5284">
        <v>0.42912289999999997</v>
      </c>
      <c r="V5284">
        <v>-6.3779790000000003E-2</v>
      </c>
      <c r="W5284">
        <v>-3.4934180000000002E-2</v>
      </c>
      <c r="X5284">
        <v>0.99735240000000003</v>
      </c>
      <c r="Y5284">
        <v>0.1576226</v>
      </c>
      <c r="Z5284">
        <v>2.3728309999999999E-2</v>
      </c>
      <c r="AA5284">
        <v>0.98721429999999999</v>
      </c>
      <c r="AB5284">
        <v>58</v>
      </c>
      <c r="AC5284">
        <v>-0.653399999999976</v>
      </c>
      <c r="AD5284">
        <v>-0.2461457</v>
      </c>
      <c r="AE5284">
        <v>0.161599999999992</v>
      </c>
      <c r="AF5284">
        <v>0.15507618430243</v>
      </c>
      <c r="AG5284">
        <v>-0.2461457</v>
      </c>
      <c r="AH5284">
        <v>0.57307908311203604</v>
      </c>
      <c r="AI5284">
        <v>112.519033807715</v>
      </c>
      <c r="AJ5284">
        <v>74.858296380340306</v>
      </c>
      <c r="AK5284">
        <v>0.64269430063353095</v>
      </c>
      <c r="AL5284">
        <v>92.001988350635699</v>
      </c>
      <c r="AM5284">
        <v>93.659031201252404</v>
      </c>
      <c r="AN5284">
        <v>1.00000003416523</v>
      </c>
    </row>
    <row r="5285" spans="1:40" x14ac:dyDescent="0.25">
      <c r="A5285" t="str">
        <f>"20190305135034802"</f>
        <v>20190305135034802</v>
      </c>
      <c r="B5285" t="str">
        <f>"1551765034785602"</f>
        <v>1551765034785602</v>
      </c>
      <c r="C5285" t="s">
        <v>40</v>
      </c>
      <c r="D5285">
        <v>4.0749180000000003</v>
      </c>
      <c r="E5285">
        <v>0.58368019999999998</v>
      </c>
      <c r="F5285" t="s">
        <v>41</v>
      </c>
      <c r="G5285">
        <v>-349.87959999999998</v>
      </c>
      <c r="H5285">
        <v>0.84424849999999996</v>
      </c>
      <c r="I5285">
        <v>142.5247</v>
      </c>
      <c r="J5285">
        <v>-349.03359999999998</v>
      </c>
      <c r="K5285">
        <v>1.1117649999999999</v>
      </c>
      <c r="L5285">
        <v>142.35310000000001</v>
      </c>
      <c r="M5285">
        <v>-0.99960360000000004</v>
      </c>
      <c r="N5285">
        <v>-1.692482E-2</v>
      </c>
      <c r="O5285">
        <v>-2.2493780000000001E-2</v>
      </c>
      <c r="P5285">
        <v>-0.99495750000000005</v>
      </c>
      <c r="Q5285">
        <v>-5.116652E-2</v>
      </c>
      <c r="R5285">
        <v>-8.6263880000000001E-2</v>
      </c>
      <c r="S5285">
        <v>-3.016022</v>
      </c>
      <c r="T5285">
        <v>-0.69438800000000001</v>
      </c>
      <c r="U5285">
        <v>0.42619319999999999</v>
      </c>
      <c r="V5285">
        <v>-6.3652449999999999E-2</v>
      </c>
      <c r="W5285">
        <v>-3.467187E-2</v>
      </c>
      <c r="X5285">
        <v>0.99736959999999997</v>
      </c>
      <c r="Y5285">
        <v>0.1573157</v>
      </c>
      <c r="Z5285">
        <v>2.3861919999999998E-2</v>
      </c>
      <c r="AA5285">
        <v>0.98726000000000003</v>
      </c>
      <c r="AB5285">
        <v>58</v>
      </c>
      <c r="AC5285">
        <v>-0.84600000000000297</v>
      </c>
      <c r="AD5285">
        <v>-0.26751649999999899</v>
      </c>
      <c r="AE5285">
        <v>0.17159999999998299</v>
      </c>
      <c r="AF5285">
        <v>0.17388883069337799</v>
      </c>
      <c r="AG5285">
        <v>-0.26751649999999899</v>
      </c>
      <c r="AH5285">
        <v>0.76815238945448105</v>
      </c>
      <c r="AI5285">
        <v>108.76084592861299</v>
      </c>
      <c r="AJ5285">
        <v>77.244771313200999</v>
      </c>
      <c r="AK5285">
        <v>0.83178151977354498</v>
      </c>
      <c r="AL5285">
        <v>91.986950160093997</v>
      </c>
      <c r="AM5285">
        <v>93.651682718370296</v>
      </c>
      <c r="AN5285">
        <v>0.99999994598222797</v>
      </c>
    </row>
    <row r="5286" spans="1:40" x14ac:dyDescent="0.25">
      <c r="A5286" t="str">
        <f>"20190305135034818"</f>
        <v>20190305135034818</v>
      </c>
      <c r="B5286" t="str">
        <f>"1551765034805122"</f>
        <v>1551765034805122</v>
      </c>
      <c r="C5286" t="s">
        <v>40</v>
      </c>
      <c r="D5286">
        <v>4.0913500000000003</v>
      </c>
      <c r="E5286">
        <v>0.58365149999999999</v>
      </c>
      <c r="F5286" t="s">
        <v>41</v>
      </c>
      <c r="G5286">
        <v>-349.90530000000001</v>
      </c>
      <c r="H5286">
        <v>0.91104649999999998</v>
      </c>
      <c r="I5286">
        <v>142.47620000000001</v>
      </c>
      <c r="J5286">
        <v>-349.45440000000002</v>
      </c>
      <c r="K5286">
        <v>1.1117549999999901</v>
      </c>
      <c r="L5286">
        <v>142.3433</v>
      </c>
      <c r="M5286">
        <v>-0.9995792</v>
      </c>
      <c r="N5286">
        <v>-1.715057E-2</v>
      </c>
      <c r="O5286">
        <v>-2.3393480000000001E-2</v>
      </c>
      <c r="P5286">
        <v>-0.99491189999999996</v>
      </c>
      <c r="Q5286">
        <v>-5.104918E-2</v>
      </c>
      <c r="R5286">
        <v>-8.6857509999999999E-2</v>
      </c>
      <c r="S5286">
        <v>-3.0163570000000002</v>
      </c>
      <c r="T5286">
        <v>-0.69462049999999997</v>
      </c>
      <c r="U5286">
        <v>0.42527769999999998</v>
      </c>
      <c r="V5286">
        <v>-6.3356449999999995E-2</v>
      </c>
      <c r="W5286">
        <v>-3.4318849999999998E-2</v>
      </c>
      <c r="X5286">
        <v>0.99740070000000003</v>
      </c>
      <c r="Y5286">
        <v>0.15785460000000001</v>
      </c>
      <c r="Z5286">
        <v>2.4134639999999999E-2</v>
      </c>
      <c r="AA5286">
        <v>0.98716740000000003</v>
      </c>
      <c r="AB5286">
        <v>58</v>
      </c>
      <c r="AC5286">
        <v>-0.45089999999998998</v>
      </c>
      <c r="AD5286">
        <v>-0.20070849999999901</v>
      </c>
      <c r="AE5286">
        <v>0.13290000000000601</v>
      </c>
      <c r="AF5286">
        <v>0.121300030025631</v>
      </c>
      <c r="AG5286">
        <v>-0.20070849999999901</v>
      </c>
      <c r="AH5286">
        <v>0.37864018271521499</v>
      </c>
      <c r="AI5286">
        <v>116.784914470148</v>
      </c>
      <c r="AJ5286">
        <v>72.236776106263207</v>
      </c>
      <c r="AK5286">
        <v>0.44538296692069501</v>
      </c>
      <c r="AL5286">
        <v>91.966711471774602</v>
      </c>
      <c r="AM5286">
        <v>93.634634067238295</v>
      </c>
      <c r="AN5286">
        <v>0.99999998979120697</v>
      </c>
    </row>
    <row r="5287" spans="1:40" x14ac:dyDescent="0.25">
      <c r="A5287" t="str">
        <f>"20190305135034836"</f>
        <v>20190305135034836</v>
      </c>
      <c r="B5287" t="str">
        <f>"1551765034825618"</f>
        <v>1551765034825618</v>
      </c>
      <c r="C5287" t="s">
        <v>40</v>
      </c>
      <c r="D5287">
        <v>3.990275</v>
      </c>
      <c r="E5287">
        <v>0.54525539999999995</v>
      </c>
      <c r="F5287" t="s">
        <v>41</v>
      </c>
      <c r="G5287">
        <v>-350.41329999999999</v>
      </c>
      <c r="H5287">
        <v>0.89080239999999999</v>
      </c>
      <c r="I5287">
        <v>142.47790000000001</v>
      </c>
      <c r="J5287">
        <v>-349.9042</v>
      </c>
      <c r="K5287">
        <v>1.11174</v>
      </c>
      <c r="L5287">
        <v>142.3323</v>
      </c>
      <c r="M5287">
        <v>-0.9995522</v>
      </c>
      <c r="N5287">
        <v>-1.740363E-2</v>
      </c>
      <c r="O5287">
        <v>-2.4342389999999998E-2</v>
      </c>
      <c r="P5287">
        <v>-0.99483790000000005</v>
      </c>
      <c r="Q5287">
        <v>-5.1257270000000001E-2</v>
      </c>
      <c r="R5287">
        <v>-8.7581430000000002E-2</v>
      </c>
      <c r="S5287">
        <v>-3.0166019999999998</v>
      </c>
      <c r="T5287">
        <v>-0.69516929999999999</v>
      </c>
      <c r="U5287">
        <v>0.4230042</v>
      </c>
      <c r="V5287">
        <v>-6.3140650000000006E-2</v>
      </c>
      <c r="W5287">
        <v>-3.4264370000000002E-2</v>
      </c>
      <c r="X5287">
        <v>0.99741630000000003</v>
      </c>
      <c r="Y5287">
        <v>0.15801460000000001</v>
      </c>
      <c r="Z5287">
        <v>2.438456E-2</v>
      </c>
      <c r="AA5287">
        <v>0.9871356</v>
      </c>
      <c r="AB5287">
        <v>58</v>
      </c>
      <c r="AC5287">
        <v>-0.50909999999998901</v>
      </c>
      <c r="AD5287">
        <v>-0.22093760000000001</v>
      </c>
      <c r="AE5287">
        <v>0.14560000000000101</v>
      </c>
      <c r="AF5287">
        <v>0.134530248161496</v>
      </c>
      <c r="AG5287">
        <v>-0.22093760000000001</v>
      </c>
      <c r="AH5287">
        <v>0.43046249668131298</v>
      </c>
      <c r="AI5287">
        <v>116.099744479973</v>
      </c>
      <c r="AJ5287">
        <v>72.644675704350306</v>
      </c>
      <c r="AK5287">
        <v>0.50220491018434199</v>
      </c>
      <c r="AL5287">
        <v>91.9635880776124</v>
      </c>
      <c r="AM5287">
        <v>93.622230562692806</v>
      </c>
      <c r="AN5287">
        <v>1.0000000321197999</v>
      </c>
    </row>
    <row r="5288" spans="1:40" x14ac:dyDescent="0.25">
      <c r="A5288" t="str">
        <f>"20190305135034851"</f>
        <v>20190305135034851</v>
      </c>
      <c r="B5288" t="str">
        <f>"1551765034845151"</f>
        <v>1551765034845151</v>
      </c>
      <c r="C5288" t="s">
        <v>40</v>
      </c>
      <c r="D5288">
        <v>3.9813969999999999</v>
      </c>
      <c r="E5288">
        <v>0.53793259999999998</v>
      </c>
      <c r="F5288" t="s">
        <v>41</v>
      </c>
      <c r="G5288">
        <v>-350.94229999999999</v>
      </c>
      <c r="H5288">
        <v>0.93559440000000005</v>
      </c>
      <c r="I5288">
        <v>142.37029999999999</v>
      </c>
      <c r="J5288">
        <v>-350.31670000000003</v>
      </c>
      <c r="K5288">
        <v>1.1117319999999999</v>
      </c>
      <c r="L5288">
        <v>142.3219</v>
      </c>
      <c r="M5288">
        <v>-0.99952660000000004</v>
      </c>
      <c r="N5288">
        <v>-1.7650269999999999E-2</v>
      </c>
      <c r="O5288">
        <v>-2.5205519999999999E-2</v>
      </c>
      <c r="P5288">
        <v>-0.99480780000000002</v>
      </c>
      <c r="Q5288">
        <v>-5.1301699999999902E-2</v>
      </c>
      <c r="R5288">
        <v>-8.7897719999999999E-2</v>
      </c>
      <c r="S5288">
        <v>-2.998993</v>
      </c>
      <c r="T5288">
        <v>-0.50894430000000002</v>
      </c>
      <c r="U5288">
        <v>0.10923769999999999</v>
      </c>
      <c r="V5288">
        <v>-6.2602240000000003E-2</v>
      </c>
      <c r="W5288">
        <v>-3.4051049999999999E-2</v>
      </c>
      <c r="X5288">
        <v>0.9974575</v>
      </c>
      <c r="Y5288">
        <v>6.0340060000000001E-2</v>
      </c>
      <c r="Z5288">
        <v>9.4228929999999999E-3</v>
      </c>
      <c r="AA5288">
        <v>0.99813339999999995</v>
      </c>
      <c r="AB5288">
        <v>58</v>
      </c>
      <c r="AC5288">
        <v>-0.62559999999996296</v>
      </c>
      <c r="AD5288">
        <v>-0.17613760000000001</v>
      </c>
      <c r="AE5288">
        <v>4.83999999999866E-2</v>
      </c>
      <c r="AF5288">
        <v>5.9469525614672301E-2</v>
      </c>
      <c r="AG5288">
        <v>-0.17613760000000001</v>
      </c>
      <c r="AH5288">
        <v>0.57858899062656699</v>
      </c>
      <c r="AI5288">
        <v>106.84792330461801</v>
      </c>
      <c r="AJ5288">
        <v>84.131534842246495</v>
      </c>
      <c r="AK5288">
        <v>0.607722221648068</v>
      </c>
      <c r="AL5288">
        <v>91.951358689279004</v>
      </c>
      <c r="AM5288">
        <v>93.591276479843302</v>
      </c>
      <c r="AN5288">
        <v>0.99999998938268397</v>
      </c>
    </row>
    <row r="5289" spans="1:40" x14ac:dyDescent="0.25">
      <c r="A5289" t="str">
        <f>"20190305135034867"</f>
        <v>20190305135034867</v>
      </c>
      <c r="B5289" t="str">
        <f>"1551765034855873"</f>
        <v>1551765034855873</v>
      </c>
      <c r="C5289" t="s">
        <v>40</v>
      </c>
      <c r="D5289">
        <v>3.9879829999999998</v>
      </c>
      <c r="E5289">
        <v>0.53683190000000003</v>
      </c>
      <c r="F5289" t="s">
        <v>41</v>
      </c>
      <c r="G5289">
        <v>-351.47359999999998</v>
      </c>
      <c r="H5289">
        <v>0.97243049999999998</v>
      </c>
      <c r="I5289">
        <v>142.33959999999999</v>
      </c>
      <c r="J5289">
        <v>-350.7158</v>
      </c>
      <c r="K5289">
        <v>1.111721</v>
      </c>
      <c r="L5289">
        <v>142.31139999999999</v>
      </c>
      <c r="M5289">
        <v>-0.99950070000000002</v>
      </c>
      <c r="N5289">
        <v>-1.7905419999999998E-2</v>
      </c>
      <c r="O5289">
        <v>-2.6036730000000001E-2</v>
      </c>
      <c r="P5289">
        <v>-0.99475599999999997</v>
      </c>
      <c r="Q5289">
        <v>-5.146121E-2</v>
      </c>
      <c r="R5289">
        <v>-8.8389800000000004E-2</v>
      </c>
      <c r="S5289">
        <v>-3.0009769999999998</v>
      </c>
      <c r="T5289">
        <v>-0.3614078</v>
      </c>
      <c r="U5289">
        <v>4.5059200000000001E-2</v>
      </c>
      <c r="V5289">
        <v>-6.2270949999999999E-2</v>
      </c>
      <c r="W5289">
        <v>-3.3946150000000001E-2</v>
      </c>
      <c r="X5289">
        <v>0.99748179999999997</v>
      </c>
      <c r="Y5289">
        <v>4.0572709999999998E-2</v>
      </c>
      <c r="Z5289">
        <v>5.4581769999999998E-3</v>
      </c>
      <c r="AA5289">
        <v>0.99916170000000004</v>
      </c>
      <c r="AB5289">
        <v>58</v>
      </c>
      <c r="AC5289">
        <v>-0.75779999999997405</v>
      </c>
      <c r="AD5289">
        <v>-0.13929049999999901</v>
      </c>
      <c r="AE5289">
        <v>2.8199999999998199E-2</v>
      </c>
      <c r="AF5289">
        <v>4.6360087637536102E-2</v>
      </c>
      <c r="AG5289">
        <v>-0.13929049999999901</v>
      </c>
      <c r="AH5289">
        <v>0.732108033604564</v>
      </c>
      <c r="AI5289">
        <v>100.751284945637</v>
      </c>
      <c r="AJ5289">
        <v>86.376633908488301</v>
      </c>
      <c r="AK5289">
        <v>0.74668150772893205</v>
      </c>
      <c r="AL5289">
        <v>91.945344909687293</v>
      </c>
      <c r="AM5289">
        <v>93.572234048963793</v>
      </c>
      <c r="AN5289">
        <v>0.99999997682248198</v>
      </c>
    </row>
    <row r="5290" spans="1:40" x14ac:dyDescent="0.25">
      <c r="A5290" t="str">
        <f>"20190305135034880"</f>
        <v>20190305135034880</v>
      </c>
      <c r="B5290" t="str">
        <f>"1551765034875394"</f>
        <v>1551765034875394</v>
      </c>
      <c r="C5290" t="s">
        <v>40</v>
      </c>
      <c r="D5290">
        <v>3.9969459999999999</v>
      </c>
      <c r="E5290">
        <v>0.53600340000000002</v>
      </c>
      <c r="F5290" t="s">
        <v>41</v>
      </c>
      <c r="G5290">
        <v>-351.50310000000002</v>
      </c>
      <c r="H5290">
        <v>1.032184</v>
      </c>
      <c r="I5290">
        <v>142.3203</v>
      </c>
      <c r="J5290">
        <v>-351.03370000000001</v>
      </c>
      <c r="K5290">
        <v>1.111718</v>
      </c>
      <c r="L5290">
        <v>142.30269999999999</v>
      </c>
      <c r="M5290">
        <v>-0.99947949999999997</v>
      </c>
      <c r="N5290">
        <v>-1.811275E-2</v>
      </c>
      <c r="O5290">
        <v>-2.6696669999999999E-2</v>
      </c>
      <c r="P5290">
        <v>-0.99467989999999995</v>
      </c>
      <c r="Q5290">
        <v>-5.1779800000000001E-2</v>
      </c>
      <c r="R5290">
        <v>-8.9057040000000004E-2</v>
      </c>
      <c r="S5290">
        <v>-3.0030519999999998</v>
      </c>
      <c r="T5290">
        <v>-0.30353750000000002</v>
      </c>
      <c r="U5290">
        <v>3.2897950000000002E-2</v>
      </c>
      <c r="V5290">
        <v>-6.2284989999999998E-2</v>
      </c>
      <c r="W5290">
        <v>-3.405217E-2</v>
      </c>
      <c r="X5290">
        <v>0.99747739999999996</v>
      </c>
      <c r="Y5290">
        <v>3.733363E-2</v>
      </c>
      <c r="Z5290">
        <v>4.429812E-3</v>
      </c>
      <c r="AA5290">
        <v>0.99929299999999999</v>
      </c>
      <c r="AB5290">
        <v>58</v>
      </c>
      <c r="AC5290">
        <v>-0.46940000000000698</v>
      </c>
      <c r="AD5290">
        <v>-7.9533999999999994E-2</v>
      </c>
      <c r="AE5290">
        <v>1.7600000000015801E-2</v>
      </c>
      <c r="AF5290">
        <v>2.9287558762612902E-2</v>
      </c>
      <c r="AG5290">
        <v>-7.9533999999999994E-2</v>
      </c>
      <c r="AH5290">
        <v>0.45569838228395698</v>
      </c>
      <c r="AI5290">
        <v>99.880250259652399</v>
      </c>
      <c r="AJ5290">
        <v>86.322680006759498</v>
      </c>
      <c r="AK5290">
        <v>0.46351314314751502</v>
      </c>
      <c r="AL5290">
        <v>91.951422746488802</v>
      </c>
      <c r="AM5290">
        <v>93.573053101325399</v>
      </c>
      <c r="AN5290">
        <v>1.0000000668858799</v>
      </c>
    </row>
    <row r="5291" spans="1:40" x14ac:dyDescent="0.25">
      <c r="A5291" t="str">
        <f>"20190305135034892"</f>
        <v>20190305135034892</v>
      </c>
      <c r="B5291" t="str">
        <f>"1551765034885153"</f>
        <v>1551765034885153</v>
      </c>
      <c r="C5291" t="s">
        <v>40</v>
      </c>
      <c r="D5291">
        <v>3.996521</v>
      </c>
      <c r="E5291">
        <v>0.53598840000000003</v>
      </c>
      <c r="F5291" t="s">
        <v>41</v>
      </c>
      <c r="G5291">
        <v>-352.01799999999997</v>
      </c>
      <c r="H5291">
        <v>1.0377620000000001</v>
      </c>
      <c r="I5291">
        <v>142.3099</v>
      </c>
      <c r="J5291">
        <v>-351.38199999999898</v>
      </c>
      <c r="K5291">
        <v>1.111704</v>
      </c>
      <c r="L5291">
        <v>142.29300000000001</v>
      </c>
      <c r="M5291">
        <v>-0.99945600000000001</v>
      </c>
      <c r="N5291">
        <v>-1.833922E-2</v>
      </c>
      <c r="O5291">
        <v>-2.7417049999999998E-2</v>
      </c>
      <c r="P5291">
        <v>-0.99462459999999997</v>
      </c>
      <c r="Q5291">
        <v>-5.1988590000000001E-2</v>
      </c>
      <c r="R5291">
        <v>-8.9551519999999996E-2</v>
      </c>
      <c r="S5291">
        <v>-3.0061650000000002</v>
      </c>
      <c r="T5291">
        <v>-0.22595519999999999</v>
      </c>
      <c r="U5291">
        <v>2.1499629999999999E-2</v>
      </c>
      <c r="V5291">
        <v>-6.2065780000000001E-2</v>
      </c>
      <c r="W5291">
        <v>-3.4027219999999997E-2</v>
      </c>
      <c r="X5291">
        <v>0.99749180000000004</v>
      </c>
      <c r="Y5291">
        <v>3.4404959999999998E-2</v>
      </c>
      <c r="Z5291">
        <v>3.1625920000000001E-3</v>
      </c>
      <c r="AA5291">
        <v>0.99940300000000004</v>
      </c>
      <c r="AB5291">
        <v>57</v>
      </c>
      <c r="AC5291">
        <v>-0.63600000000008095</v>
      </c>
      <c r="AD5291">
        <v>-7.3941999999999897E-2</v>
      </c>
      <c r="AE5291">
        <v>1.6899999999992501E-2</v>
      </c>
      <c r="AF5291">
        <v>3.3876249566580197E-2</v>
      </c>
      <c r="AG5291">
        <v>-7.3941999999999897E-2</v>
      </c>
      <c r="AH5291">
        <v>0.626830753895388</v>
      </c>
      <c r="AI5291">
        <v>96.717902124494998</v>
      </c>
      <c r="AJ5291">
        <v>86.9065337891479</v>
      </c>
      <c r="AK5291">
        <v>0.63208528987610302</v>
      </c>
      <c r="AL5291">
        <v>91.949992612260104</v>
      </c>
      <c r="AM5291">
        <v>93.560458995396402</v>
      </c>
      <c r="AN5291">
        <v>0.99999995190758695</v>
      </c>
    </row>
    <row r="5292" spans="1:40" x14ac:dyDescent="0.25">
      <c r="A5292" t="str">
        <f>"20190305135034907"</f>
        <v>20190305135034907</v>
      </c>
      <c r="B5292" t="str">
        <f>"1551765034905650"</f>
        <v>1551765034905650</v>
      </c>
      <c r="C5292" t="s">
        <v>40</v>
      </c>
      <c r="D5292">
        <v>3.997017</v>
      </c>
      <c r="E5292">
        <v>0.5363078</v>
      </c>
      <c r="F5292" t="s">
        <v>41</v>
      </c>
      <c r="G5292">
        <v>-352.52760000000001</v>
      </c>
      <c r="H5292">
        <v>1.0354939999999999</v>
      </c>
      <c r="I5292">
        <v>142.3004</v>
      </c>
      <c r="J5292">
        <v>-351.76</v>
      </c>
      <c r="K5292">
        <v>1.111691</v>
      </c>
      <c r="L5292">
        <v>142.28229999999999</v>
      </c>
      <c r="M5292">
        <v>-0.99942989999999998</v>
      </c>
      <c r="N5292">
        <v>-1.8579640000000001E-2</v>
      </c>
      <c r="O5292">
        <v>-2.8192470000000001E-2</v>
      </c>
      <c r="P5292">
        <v>-0.99454640000000005</v>
      </c>
      <c r="Q5292">
        <v>-5.2557649999999997E-2</v>
      </c>
      <c r="R5292">
        <v>-9.0082969999999998E-2</v>
      </c>
      <c r="S5292">
        <v>-3.0074459999999998</v>
      </c>
      <c r="T5292">
        <v>-0.2000741</v>
      </c>
      <c r="U5292">
        <v>1.893616E-2</v>
      </c>
      <c r="V5292">
        <v>-6.1828229999999998E-2</v>
      </c>
      <c r="W5292">
        <v>-3.4348410000000003E-2</v>
      </c>
      <c r="X5292">
        <v>0.99749560000000004</v>
      </c>
      <c r="Y5292">
        <v>3.4361000000000003E-2</v>
      </c>
      <c r="Z5292">
        <v>2.8112050000000002E-3</v>
      </c>
      <c r="AA5292">
        <v>0.99940549999999995</v>
      </c>
      <c r="AB5292">
        <v>57</v>
      </c>
      <c r="AC5292">
        <v>-0.76760000000001505</v>
      </c>
      <c r="AD5292">
        <v>-7.6196999999999807E-2</v>
      </c>
      <c r="AE5292">
        <v>1.8100000000003998E-2</v>
      </c>
      <c r="AF5292">
        <v>3.9349548625715901E-2</v>
      </c>
      <c r="AG5292">
        <v>-7.6196999999999807E-2</v>
      </c>
      <c r="AH5292">
        <v>0.75930648010659096</v>
      </c>
      <c r="AI5292">
        <v>95.722863349675606</v>
      </c>
      <c r="AJ5292">
        <v>87.033413959011298</v>
      </c>
      <c r="AK5292">
        <v>0.76413395456418998</v>
      </c>
      <c r="AL5292">
        <v>91.968406098980594</v>
      </c>
      <c r="AM5292">
        <v>93.546853104217305</v>
      </c>
      <c r="AN5292">
        <v>1.00000000765691</v>
      </c>
    </row>
    <row r="5293" spans="1:40" x14ac:dyDescent="0.25">
      <c r="A5293" t="str">
        <f>"20190305135034932"</f>
        <v>20190305135034932</v>
      </c>
      <c r="B5293" t="str">
        <f>"1551765034925170"</f>
        <v>1551765034925170</v>
      </c>
      <c r="C5293" t="s">
        <v>40</v>
      </c>
      <c r="D5293">
        <v>4.0072679999999998</v>
      </c>
      <c r="E5293">
        <v>0.53632749999999996</v>
      </c>
      <c r="F5293" t="s">
        <v>42</v>
      </c>
      <c r="G5293">
        <v>-371.59820000000002</v>
      </c>
      <c r="H5293" s="1">
        <v>-4.226903E-6</v>
      </c>
      <c r="I5293">
        <v>142.40549999999999</v>
      </c>
      <c r="J5293">
        <v>-352.3329</v>
      </c>
      <c r="K5293">
        <v>1.111658</v>
      </c>
      <c r="L5293">
        <v>142.2653</v>
      </c>
      <c r="M5293">
        <v>-0.99939020000000001</v>
      </c>
      <c r="N5293">
        <v>-1.892889E-2</v>
      </c>
      <c r="O5293">
        <v>-2.9346009999999999E-2</v>
      </c>
      <c r="P5293">
        <v>-0.99447350000000001</v>
      </c>
      <c r="Q5293">
        <v>-5.2793880000000001E-2</v>
      </c>
      <c r="R5293">
        <v>-9.0750220000000006E-2</v>
      </c>
      <c r="S5293">
        <v>-3.0092469999999998</v>
      </c>
      <c r="T5293">
        <v>-0.16863210000000001</v>
      </c>
      <c r="U5293">
        <v>1.870728E-2</v>
      </c>
      <c r="V5293">
        <v>-6.1352839999999999E-2</v>
      </c>
      <c r="W5293">
        <v>-3.4223160000000002E-2</v>
      </c>
      <c r="X5293">
        <v>0.99752929999999995</v>
      </c>
      <c r="Y5293">
        <v>3.5469840000000002E-2</v>
      </c>
      <c r="Z5293">
        <v>2.4168850000000001E-3</v>
      </c>
      <c r="AA5293">
        <v>0.99936780000000003</v>
      </c>
      <c r="AB5293">
        <v>57</v>
      </c>
      <c r="AC5293">
        <v>-19.2653</v>
      </c>
      <c r="AD5293">
        <v>-1.1116622269030001</v>
      </c>
      <c r="AE5293">
        <v>0.140199999999993</v>
      </c>
      <c r="AF5293">
        <v>0.70325906175193198</v>
      </c>
      <c r="AG5293">
        <v>-1.1116622269030001</v>
      </c>
      <c r="AH5293">
        <v>19.1889960637222</v>
      </c>
      <c r="AI5293">
        <v>93.313349613818801</v>
      </c>
      <c r="AJ5293">
        <v>87.901101742379694</v>
      </c>
      <c r="AK5293">
        <v>19.234030678674898</v>
      </c>
      <c r="AL5293">
        <v>91.961225497910903</v>
      </c>
      <c r="AM5293">
        <v>93.519531979947104</v>
      </c>
      <c r="AN5293">
        <v>1.00000005000746</v>
      </c>
    </row>
    <row r="5294" spans="1:40" x14ac:dyDescent="0.25">
      <c r="A5294" t="str">
        <f>"20190305135034952"</f>
        <v>20190305135034952</v>
      </c>
      <c r="B5294" t="str">
        <f>"1551765034945669"</f>
        <v>1551765034945669</v>
      </c>
      <c r="C5294" t="s">
        <v>40</v>
      </c>
      <c r="D5294">
        <v>3.9853019999999999</v>
      </c>
      <c r="E5294">
        <v>0.5362422</v>
      </c>
      <c r="F5294" t="s">
        <v>42</v>
      </c>
      <c r="G5294">
        <v>-374.68819999999999</v>
      </c>
      <c r="H5294" s="1">
        <v>-2.997795E-6</v>
      </c>
      <c r="I5294">
        <v>142.38509999999999</v>
      </c>
      <c r="J5294">
        <v>-352.89030000000002</v>
      </c>
      <c r="K5294">
        <v>1.1116220000000001</v>
      </c>
      <c r="L5294">
        <v>142.2482</v>
      </c>
      <c r="M5294">
        <v>-0.99935130000000005</v>
      </c>
      <c r="N5294">
        <v>-1.925721E-2</v>
      </c>
      <c r="O5294">
        <v>-3.0431090000000001E-2</v>
      </c>
      <c r="P5294">
        <v>-0.99433050000000001</v>
      </c>
      <c r="Q5294">
        <v>-5.3624369999999998E-2</v>
      </c>
      <c r="R5294">
        <v>-9.1822360000000006E-2</v>
      </c>
      <c r="S5294">
        <v>-3.0102229999999999</v>
      </c>
      <c r="T5294">
        <v>-0.14968919999999999</v>
      </c>
      <c r="U5294">
        <v>1.61438E-2</v>
      </c>
      <c r="V5294">
        <v>-6.1349889999999997E-2</v>
      </c>
      <c r="W5294">
        <v>-3.4716360000000002E-2</v>
      </c>
      <c r="X5294">
        <v>0.99751239999999997</v>
      </c>
      <c r="Y5294">
        <v>3.5721370000000002E-2</v>
      </c>
      <c r="Z5294">
        <v>2.1581320000000001E-3</v>
      </c>
      <c r="AA5294">
        <v>0.99935940000000001</v>
      </c>
      <c r="AB5294">
        <v>57</v>
      </c>
      <c r="AC5294">
        <v>-21.797899999999899</v>
      </c>
      <c r="AD5294">
        <v>-1.1116249977949999</v>
      </c>
      <c r="AE5294">
        <v>0.136899999999997</v>
      </c>
      <c r="AF5294">
        <v>0.79821766041896303</v>
      </c>
      <c r="AG5294">
        <v>-1.1116249977949999</v>
      </c>
      <c r="AH5294">
        <v>21.7271310044156</v>
      </c>
      <c r="AI5294">
        <v>92.926898501745697</v>
      </c>
      <c r="AJ5294">
        <v>87.8959972336622</v>
      </c>
      <c r="AK5294">
        <v>21.7701879471024</v>
      </c>
      <c r="AL5294">
        <v>91.989500654785502</v>
      </c>
      <c r="AM5294">
        <v>93.5194226529768</v>
      </c>
      <c r="AN5294">
        <v>1.00000001140421</v>
      </c>
    </row>
    <row r="5295" spans="1:40" x14ac:dyDescent="0.25">
      <c r="A5295" t="str">
        <f>"20190305135034968"</f>
        <v>20190305135034968</v>
      </c>
      <c r="B5295" t="str">
        <f>"1551765034965187"</f>
        <v>1551765034965187</v>
      </c>
      <c r="C5295" t="s">
        <v>40</v>
      </c>
      <c r="D5295">
        <v>4.0327840000000004</v>
      </c>
      <c r="E5295">
        <v>0.53628790000000004</v>
      </c>
      <c r="F5295" t="s">
        <v>42</v>
      </c>
      <c r="G5295">
        <v>-376.81830000000002</v>
      </c>
      <c r="H5295" s="1">
        <v>-2.0723029999999999E-6</v>
      </c>
      <c r="I5295">
        <v>142.34129999999999</v>
      </c>
      <c r="J5295">
        <v>-353.28820000000002</v>
      </c>
      <c r="K5295">
        <v>1.1115980000000001</v>
      </c>
      <c r="L5295">
        <v>142.23560000000001</v>
      </c>
      <c r="M5295">
        <v>-0.99932350000000003</v>
      </c>
      <c r="N5295">
        <v>-1.9494729999999998E-2</v>
      </c>
      <c r="O5295">
        <v>-3.118665E-2</v>
      </c>
      <c r="P5295">
        <v>-0.99423550000000005</v>
      </c>
      <c r="Q5295">
        <v>-5.4037160000000001E-2</v>
      </c>
      <c r="R5295">
        <v>-9.2605279999999998E-2</v>
      </c>
      <c r="S5295">
        <v>-3.0106510000000002</v>
      </c>
      <c r="T5295">
        <v>-0.13986599999999999</v>
      </c>
      <c r="U5295">
        <v>1.171875E-2</v>
      </c>
      <c r="V5295">
        <v>-6.1385679999999998E-2</v>
      </c>
      <c r="W5295">
        <v>-3.4885060000000002E-2</v>
      </c>
      <c r="X5295">
        <v>0.99750430000000001</v>
      </c>
      <c r="Y5295">
        <v>3.5017909999999999E-2</v>
      </c>
      <c r="Z5295">
        <v>1.994595E-3</v>
      </c>
      <c r="AA5295">
        <v>0.99938470000000001</v>
      </c>
      <c r="AB5295">
        <v>57</v>
      </c>
      <c r="AC5295">
        <v>-23.530100000000001</v>
      </c>
      <c r="AD5295">
        <v>-1.111600072303</v>
      </c>
      <c r="AE5295">
        <v>0.105699999999984</v>
      </c>
      <c r="AF5295">
        <v>0.83774338805208903</v>
      </c>
      <c r="AG5295">
        <v>-1.111600072303</v>
      </c>
      <c r="AH5295">
        <v>23.4629900791209</v>
      </c>
      <c r="AI5295">
        <v>92.7107345185144</v>
      </c>
      <c r="AJ5295">
        <v>87.955129384162504</v>
      </c>
      <c r="AK5295">
        <v>23.5042415780193</v>
      </c>
      <c r="AL5295">
        <v>91.999172336254603</v>
      </c>
      <c r="AM5295">
        <v>93.521499154864003</v>
      </c>
      <c r="AN5295">
        <v>0.99999999881937796</v>
      </c>
    </row>
    <row r="5296" spans="1:40" x14ac:dyDescent="0.25">
      <c r="A5296" t="str">
        <f>"20190305135034981"</f>
        <v>20190305135034981</v>
      </c>
      <c r="B5296" t="str">
        <f>"1551765034975923"</f>
        <v>1551765034975923</v>
      </c>
      <c r="C5296" t="s">
        <v>40</v>
      </c>
      <c r="D5296">
        <v>4.0022679999999999</v>
      </c>
      <c r="E5296">
        <v>0.53644419999999904</v>
      </c>
      <c r="F5296" t="s">
        <v>42</v>
      </c>
      <c r="G5296">
        <v>-378.24650000000003</v>
      </c>
      <c r="H5296" s="1">
        <v>-1.452407E-6</v>
      </c>
      <c r="I5296">
        <v>142.3141</v>
      </c>
      <c r="J5296">
        <v>-353.62720000000002</v>
      </c>
      <c r="K5296">
        <v>1.111577</v>
      </c>
      <c r="L5296">
        <v>142.22460000000001</v>
      </c>
      <c r="M5296">
        <v>-0.99929999999999997</v>
      </c>
      <c r="N5296">
        <v>-1.9697869999999999E-2</v>
      </c>
      <c r="O5296">
        <v>-3.181026E-2</v>
      </c>
      <c r="P5296">
        <v>-0.99416680000000002</v>
      </c>
      <c r="Q5296">
        <v>-5.4281160000000002E-2</v>
      </c>
      <c r="R5296">
        <v>-9.3200439999999996E-2</v>
      </c>
      <c r="S5296">
        <v>-3.0109560000000002</v>
      </c>
      <c r="T5296">
        <v>-0.134102799999999</v>
      </c>
      <c r="U5296">
        <v>9.4757079999999994E-3</v>
      </c>
      <c r="V5296">
        <v>-6.1363729999999998E-2</v>
      </c>
      <c r="W5296">
        <v>-3.4919560000000002E-2</v>
      </c>
      <c r="X5296">
        <v>0.99750450000000002</v>
      </c>
      <c r="Y5296">
        <v>3.4902009999999997E-2</v>
      </c>
      <c r="Z5296">
        <v>1.910234E-3</v>
      </c>
      <c r="AA5296">
        <v>0.99938890000000002</v>
      </c>
      <c r="AB5296">
        <v>57</v>
      </c>
      <c r="AC5296">
        <v>-24.619299999999999</v>
      </c>
      <c r="AD5296">
        <v>-1.111578452407</v>
      </c>
      <c r="AE5296">
        <v>8.9499999999986798E-2</v>
      </c>
      <c r="AF5296">
        <v>0.87097730961929298</v>
      </c>
      <c r="AG5296">
        <v>-1.111578452407</v>
      </c>
      <c r="AH5296">
        <v>24.5539337792388</v>
      </c>
      <c r="AI5296">
        <v>92.590434178644301</v>
      </c>
      <c r="AJ5296">
        <v>87.9684554979182</v>
      </c>
      <c r="AK5296">
        <v>24.594508984018599</v>
      </c>
      <c r="AL5296">
        <v>92.001150132711103</v>
      </c>
      <c r="AM5296">
        <v>93.520242416919103</v>
      </c>
      <c r="AN5296">
        <v>1.00000005527517</v>
      </c>
    </row>
    <row r="5297" spans="1:40" x14ac:dyDescent="0.25">
      <c r="A5297" t="str">
        <f>"20190305135034994"</f>
        <v>20190305135034994</v>
      </c>
      <c r="B5297" t="str">
        <f>"1551765034985682"</f>
        <v>1551765034985682</v>
      </c>
      <c r="C5297" t="s">
        <v>40</v>
      </c>
      <c r="D5297">
        <v>4.0101950000000004</v>
      </c>
      <c r="E5297">
        <v>0.53655039999999998</v>
      </c>
      <c r="F5297" t="s">
        <v>42</v>
      </c>
      <c r="G5297">
        <v>-379.17340000000002</v>
      </c>
      <c r="H5297" s="1">
        <v>-1.0506670000000001E-6</v>
      </c>
      <c r="I5297">
        <v>142.2987</v>
      </c>
      <c r="J5297">
        <v>-353.95299999999997</v>
      </c>
      <c r="K5297">
        <v>1.1115539999999999</v>
      </c>
      <c r="L5297">
        <v>142.2139</v>
      </c>
      <c r="M5297">
        <v>-0.99927739999999998</v>
      </c>
      <c r="N5297">
        <v>-1.9893460000000002E-2</v>
      </c>
      <c r="O5297">
        <v>-3.239359E-2</v>
      </c>
      <c r="P5297">
        <v>-0.99405980000000005</v>
      </c>
      <c r="Q5297">
        <v>-5.4791899999999998E-2</v>
      </c>
      <c r="R5297">
        <v>-9.4038070000000001E-2</v>
      </c>
      <c r="S5297">
        <v>-3.0112920000000001</v>
      </c>
      <c r="T5297">
        <v>-0.1310289</v>
      </c>
      <c r="U5297">
        <v>8.7432859999999994E-3</v>
      </c>
      <c r="V5297">
        <v>-6.1624659999999998E-2</v>
      </c>
      <c r="W5297">
        <v>-3.5230129999999998E-2</v>
      </c>
      <c r="X5297">
        <v>0.99747739999999996</v>
      </c>
      <c r="Y5297">
        <v>3.524418E-2</v>
      </c>
      <c r="Z5297">
        <v>1.881553E-3</v>
      </c>
      <c r="AA5297">
        <v>0.99937699999999996</v>
      </c>
      <c r="AB5297">
        <v>57</v>
      </c>
      <c r="AC5297">
        <v>-25.220399999999898</v>
      </c>
      <c r="AD5297">
        <v>-1.111555050667</v>
      </c>
      <c r="AE5297">
        <v>8.4800000000001305E-2</v>
      </c>
      <c r="AF5297">
        <v>0.90014780793681204</v>
      </c>
      <c r="AG5297">
        <v>-1.111555050667</v>
      </c>
      <c r="AH5297">
        <v>25.1555475655591</v>
      </c>
      <c r="AI5297">
        <v>92.528482261047998</v>
      </c>
      <c r="AJ5297">
        <v>87.950643916878704</v>
      </c>
      <c r="AK5297">
        <v>25.196178163163999</v>
      </c>
      <c r="AL5297">
        <v>92.018955625956593</v>
      </c>
      <c r="AM5297">
        <v>93.535269063623105</v>
      </c>
      <c r="AN5297">
        <v>0.99999996214534503</v>
      </c>
    </row>
    <row r="5298" spans="1:40" x14ac:dyDescent="0.25">
      <c r="A5298" t="str">
        <f>"20190305135035008"</f>
        <v>20190305135035008</v>
      </c>
      <c r="B5298" t="str">
        <f>"1551765034995442"</f>
        <v>1551765034995442</v>
      </c>
      <c r="C5298" t="s">
        <v>40</v>
      </c>
      <c r="D5298">
        <v>3.9954040000000002</v>
      </c>
      <c r="E5298">
        <v>0.5367516</v>
      </c>
      <c r="F5298" t="s">
        <v>42</v>
      </c>
      <c r="G5298">
        <v>-379.87639999999999</v>
      </c>
      <c r="H5298" s="1">
        <v>-7.4246110000000001E-7</v>
      </c>
      <c r="I5298">
        <v>142.27379999999999</v>
      </c>
      <c r="J5298">
        <v>-354.28649999999999</v>
      </c>
      <c r="K5298">
        <v>1.111524</v>
      </c>
      <c r="L5298">
        <v>142.2028</v>
      </c>
      <c r="M5298">
        <v>-0.99925450000000005</v>
      </c>
      <c r="N5298">
        <v>-2.0094250000000001E-2</v>
      </c>
      <c r="O5298">
        <v>-3.296897E-2</v>
      </c>
      <c r="P5298">
        <v>-0.99403909999999995</v>
      </c>
      <c r="Q5298">
        <v>-5.4796869999999998E-2</v>
      </c>
      <c r="R5298">
        <v>-9.4253160000000002E-2</v>
      </c>
      <c r="S5298">
        <v>-3.0115050000000001</v>
      </c>
      <c r="T5298">
        <v>-0.12912879999999999</v>
      </c>
      <c r="U5298">
        <v>6.9580079999999999E-3</v>
      </c>
      <c r="V5298">
        <v>-6.1272170000000001E-2</v>
      </c>
      <c r="W5298">
        <v>-3.5025090000000002E-2</v>
      </c>
      <c r="X5298">
        <v>0.99750640000000002</v>
      </c>
      <c r="Y5298">
        <v>3.522865E-2</v>
      </c>
      <c r="Z5298">
        <v>1.859505E-3</v>
      </c>
      <c r="AA5298">
        <v>0.99937750000000003</v>
      </c>
      <c r="AB5298">
        <v>57</v>
      </c>
      <c r="AC5298">
        <v>-25.5899</v>
      </c>
      <c r="AD5298">
        <v>-1.1115247424610999</v>
      </c>
      <c r="AE5298">
        <v>7.0999999999997898E-2</v>
      </c>
      <c r="AF5298">
        <v>0.91308160046464804</v>
      </c>
      <c r="AG5298">
        <v>-1.1115247424610999</v>
      </c>
      <c r="AH5298">
        <v>25.525483459558799</v>
      </c>
      <c r="AI5298">
        <v>92.4918171865733</v>
      </c>
      <c r="AJ5298">
        <v>87.951324800109603</v>
      </c>
      <c r="AK5298">
        <v>25.565983476221302</v>
      </c>
      <c r="AL5298">
        <v>92.007200313957398</v>
      </c>
      <c r="AM5298">
        <v>93.514996410777002</v>
      </c>
      <c r="AN5298">
        <v>1.0000000268934801</v>
      </c>
    </row>
    <row r="5299" spans="1:40" x14ac:dyDescent="0.25">
      <c r="A5299" t="str">
        <f>"20190305135035023"</f>
        <v>20190305135035023</v>
      </c>
      <c r="B5299" t="str">
        <f>"1551765035015939"</f>
        <v>1551765035015939</v>
      </c>
      <c r="C5299" t="s">
        <v>40</v>
      </c>
      <c r="D5299">
        <v>3.970923</v>
      </c>
      <c r="E5299">
        <v>0.53707769999999899</v>
      </c>
      <c r="F5299" t="s">
        <v>42</v>
      </c>
      <c r="G5299">
        <v>-380.90120000000002</v>
      </c>
      <c r="H5299" s="1">
        <v>-4.4403999999999999E-6</v>
      </c>
      <c r="I5299">
        <v>142.27189999999999</v>
      </c>
      <c r="J5299">
        <v>-354.68020000000001</v>
      </c>
      <c r="K5299">
        <v>1.1114839999999999</v>
      </c>
      <c r="L5299">
        <v>142.18940000000001</v>
      </c>
      <c r="M5299">
        <v>-0.99922849999999996</v>
      </c>
      <c r="N5299">
        <v>-2.0330890000000001E-2</v>
      </c>
      <c r="O5299">
        <v>-3.3605120000000002E-2</v>
      </c>
      <c r="P5299">
        <v>-0.99394939999999998</v>
      </c>
      <c r="Q5299">
        <v>-5.5201340000000002E-2</v>
      </c>
      <c r="R5299">
        <v>-9.4960649999999994E-2</v>
      </c>
      <c r="S5299">
        <v>-3.0118100000000001</v>
      </c>
      <c r="T5299">
        <v>-0.12578449999999999</v>
      </c>
      <c r="U5299">
        <v>7.8277590000000001E-3</v>
      </c>
      <c r="V5299">
        <v>-6.1352219999999999E-2</v>
      </c>
      <c r="W5299">
        <v>-3.5184300000000002E-2</v>
      </c>
      <c r="X5299">
        <v>0.99749580000000004</v>
      </c>
      <c r="Y5299">
        <v>3.6154909999999998E-2</v>
      </c>
      <c r="Z5299">
        <v>1.841912E-3</v>
      </c>
      <c r="AA5299">
        <v>0.99934449999999997</v>
      </c>
      <c r="AB5299">
        <v>57</v>
      </c>
      <c r="AC5299">
        <v>-26.221</v>
      </c>
      <c r="AD5299">
        <v>-1.1114884403999901</v>
      </c>
      <c r="AE5299">
        <v>8.2499999999981796E-2</v>
      </c>
      <c r="AF5299">
        <v>0.96206662497458195</v>
      </c>
      <c r="AG5299">
        <v>-1.1114884403999901</v>
      </c>
      <c r="AH5299">
        <v>26.156412320546</v>
      </c>
      <c r="AI5299">
        <v>92.431615965612195</v>
      </c>
      <c r="AJ5299">
        <v>87.893536811128996</v>
      </c>
      <c r="AK5299">
        <v>26.1976885283119</v>
      </c>
      <c r="AL5299">
        <v>92.016328154932395</v>
      </c>
      <c r="AM5299">
        <v>93.5196144047883</v>
      </c>
      <c r="AN5299">
        <v>0.99999995044152801</v>
      </c>
    </row>
    <row r="5300" spans="1:40" x14ac:dyDescent="0.25">
      <c r="A5300" t="str">
        <f>"20190305135035037"</f>
        <v>20190305135035037</v>
      </c>
      <c r="B5300" t="str">
        <f>"1551765035025698"</f>
        <v>1551765035025698</v>
      </c>
      <c r="C5300" t="s">
        <v>40</v>
      </c>
      <c r="D5300">
        <v>3.9988359999999998</v>
      </c>
      <c r="E5300">
        <v>0.53722289999999995</v>
      </c>
      <c r="F5300" t="s">
        <v>42</v>
      </c>
      <c r="G5300">
        <v>-382.37029999999999</v>
      </c>
      <c r="H5300" s="1">
        <v>-3.9388939999999999E-6</v>
      </c>
      <c r="I5300">
        <v>142.2629</v>
      </c>
      <c r="J5300">
        <v>-355.01769999999999</v>
      </c>
      <c r="K5300">
        <v>1.111448</v>
      </c>
      <c r="L5300">
        <v>142.17769999999999</v>
      </c>
      <c r="M5300">
        <v>-0.99920679999999995</v>
      </c>
      <c r="N5300">
        <v>-2.0534920000000002E-2</v>
      </c>
      <c r="O5300">
        <v>-3.4118849999999999E-2</v>
      </c>
      <c r="P5300">
        <v>-0.99388100000000001</v>
      </c>
      <c r="Q5300">
        <v>-5.5802099999999903E-2</v>
      </c>
      <c r="R5300">
        <v>-9.5323939999999996E-2</v>
      </c>
      <c r="S5300">
        <v>-3.0122990000000001</v>
      </c>
      <c r="T5300">
        <v>-0.1209148</v>
      </c>
      <c r="U5300">
        <v>8.0108639999999995E-3</v>
      </c>
      <c r="V5300">
        <v>-6.1209149999999997E-2</v>
      </c>
      <c r="W5300">
        <v>-3.5572119999999999E-2</v>
      </c>
      <c r="X5300">
        <v>0.99749089999999996</v>
      </c>
      <c r="Y5300">
        <v>3.6732479999999998E-2</v>
      </c>
      <c r="Z5300">
        <v>1.782498E-3</v>
      </c>
      <c r="AA5300">
        <v>0.99932350000000003</v>
      </c>
      <c r="AB5300">
        <v>56</v>
      </c>
      <c r="AC5300">
        <v>-27.352599999999899</v>
      </c>
      <c r="AD5300">
        <v>-1.1114519388940001</v>
      </c>
      <c r="AE5300">
        <v>8.5200000000014597E-2</v>
      </c>
      <c r="AF5300">
        <v>1.01690741351424</v>
      </c>
      <c r="AG5300">
        <v>-1.1114519388940001</v>
      </c>
      <c r="AH5300">
        <v>27.288703521307699</v>
      </c>
      <c r="AI5300">
        <v>92.330716438106506</v>
      </c>
      <c r="AJ5300">
        <v>87.865873128640004</v>
      </c>
      <c r="AK5300">
        <v>27.330253675624</v>
      </c>
      <c r="AL5300">
        <v>92.038562391171496</v>
      </c>
      <c r="AM5300">
        <v>93.511444623848803</v>
      </c>
      <c r="AN5300">
        <v>1.0000000156739099</v>
      </c>
    </row>
    <row r="5301" spans="1:40" x14ac:dyDescent="0.25">
      <c r="A5301" t="str">
        <f>"20190305135035050"</f>
        <v>20190305135035050</v>
      </c>
      <c r="B5301" t="str">
        <f>"1551765035045217"</f>
        <v>1551765035045217</v>
      </c>
      <c r="C5301" t="s">
        <v>40</v>
      </c>
      <c r="D5301">
        <v>3.987263</v>
      </c>
      <c r="E5301">
        <v>0.53727499999999995</v>
      </c>
      <c r="F5301" t="s">
        <v>42</v>
      </c>
      <c r="G5301">
        <v>-382.91789999999997</v>
      </c>
      <c r="H5301" s="1">
        <v>-3.721589E-6</v>
      </c>
      <c r="I5301">
        <v>142.25110000000001</v>
      </c>
      <c r="J5301">
        <v>-355.35399999999998</v>
      </c>
      <c r="K5301">
        <v>1.111402</v>
      </c>
      <c r="L5301">
        <v>142.16589999999999</v>
      </c>
      <c r="M5301">
        <v>-0.99918580000000001</v>
      </c>
      <c r="N5301">
        <v>-2.073968E-2</v>
      </c>
      <c r="O5301">
        <v>-3.460556E-2</v>
      </c>
      <c r="P5301">
        <v>-0.99382150000000002</v>
      </c>
      <c r="Q5301">
        <v>-5.6282430000000001E-2</v>
      </c>
      <c r="R5301">
        <v>-9.5659809999999998E-2</v>
      </c>
      <c r="S5301">
        <v>-3.0125120000000001</v>
      </c>
      <c r="T5301">
        <v>-0.1200087</v>
      </c>
      <c r="U5301">
        <v>7.9345700000000002E-3</v>
      </c>
      <c r="V5301">
        <v>-6.1065889999999998E-2</v>
      </c>
      <c r="W5301">
        <v>-3.5838219999999997E-2</v>
      </c>
      <c r="X5301">
        <v>0.99749019999999999</v>
      </c>
      <c r="Y5301">
        <v>3.7193999999999998E-2</v>
      </c>
      <c r="Z5301">
        <v>1.786606E-3</v>
      </c>
      <c r="AA5301">
        <v>0.99930640000000004</v>
      </c>
      <c r="AB5301">
        <v>56</v>
      </c>
      <c r="AC5301">
        <v>-27.563899999999901</v>
      </c>
      <c r="AD5301">
        <v>-1.1114057215889901</v>
      </c>
      <c r="AE5301">
        <v>8.5200000000014597E-2</v>
      </c>
      <c r="AF5301">
        <v>1.0375315910212899</v>
      </c>
      <c r="AG5301">
        <v>-1.1114057215889901</v>
      </c>
      <c r="AH5301">
        <v>27.4997261192166</v>
      </c>
      <c r="AI5301">
        <v>92.312714680414899</v>
      </c>
      <c r="AJ5301">
        <v>87.839323976441705</v>
      </c>
      <c r="AK5301">
        <v>27.541725274794899</v>
      </c>
      <c r="AL5301">
        <v>92.053818434610804</v>
      </c>
      <c r="AM5301">
        <v>93.5032490327945</v>
      </c>
      <c r="AN5301">
        <v>1.00000006001514</v>
      </c>
    </row>
    <row r="5302" spans="1:40" x14ac:dyDescent="0.25">
      <c r="A5302" t="str">
        <f>"20190305135035062"</f>
        <v>20190305135035062</v>
      </c>
      <c r="B5302" t="str">
        <f>"1551765035054978"</f>
        <v>1551765035054978</v>
      </c>
      <c r="C5302" t="s">
        <v>40</v>
      </c>
      <c r="D5302">
        <v>4.019908</v>
      </c>
      <c r="E5302">
        <v>0.53738649999999999</v>
      </c>
      <c r="F5302" t="s">
        <v>42</v>
      </c>
      <c r="G5302">
        <v>-383.92680000000001</v>
      </c>
      <c r="H5302" s="1">
        <v>-3.2840569999999999E-6</v>
      </c>
      <c r="I5302">
        <v>142.23330000000001</v>
      </c>
      <c r="J5302">
        <v>-355.6748</v>
      </c>
      <c r="K5302">
        <v>1.1113599999999999</v>
      </c>
      <c r="L5302">
        <v>142.15459999999999</v>
      </c>
      <c r="M5302">
        <v>-0.99916709999999997</v>
      </c>
      <c r="N5302">
        <v>-2.09436E-2</v>
      </c>
      <c r="O5302">
        <v>-3.5022919999999999E-2</v>
      </c>
      <c r="P5302">
        <v>-0.99377380000000004</v>
      </c>
      <c r="Q5302">
        <v>-5.7104750000000003E-2</v>
      </c>
      <c r="R5302">
        <v>-9.5669110000000002E-2</v>
      </c>
      <c r="S5302">
        <v>-3.0126949999999999</v>
      </c>
      <c r="T5302">
        <v>-0.1171862</v>
      </c>
      <c r="U5302">
        <v>7.1105959999999899E-3</v>
      </c>
      <c r="V5302">
        <v>-6.0663580000000002E-2</v>
      </c>
      <c r="W5302">
        <v>-3.6445890000000002E-2</v>
      </c>
      <c r="X5302">
        <v>0.99749270000000001</v>
      </c>
      <c r="Y5302">
        <v>3.7340180000000001E-2</v>
      </c>
      <c r="Z5302">
        <v>1.7452609999999999E-3</v>
      </c>
      <c r="AA5302">
        <v>0.99930110000000005</v>
      </c>
      <c r="AB5302">
        <v>56</v>
      </c>
      <c r="AC5302">
        <v>-28.251999999999999</v>
      </c>
      <c r="AD5302">
        <v>-1.111363284057</v>
      </c>
      <c r="AE5302">
        <v>7.8700000000026193E-2</v>
      </c>
      <c r="AF5302">
        <v>1.0666856270110401</v>
      </c>
      <c r="AG5302">
        <v>-1.111363284057</v>
      </c>
      <c r="AH5302">
        <v>28.1882838209841</v>
      </c>
      <c r="AI5302">
        <v>92.256185265733095</v>
      </c>
      <c r="AJ5302">
        <v>87.832878459853106</v>
      </c>
      <c r="AK5302">
        <v>28.230343450768999</v>
      </c>
      <c r="AL5302">
        <v>92.088658184824396</v>
      </c>
      <c r="AM5302">
        <v>93.480217387524505</v>
      </c>
      <c r="AN5302">
        <v>1.00000002969479</v>
      </c>
    </row>
    <row r="5303" spans="1:40" x14ac:dyDescent="0.25">
      <c r="A5303" t="str">
        <f>"20190305135035086"</f>
        <v>20190305135035086</v>
      </c>
      <c r="B5303" t="str">
        <f>"1551765035075474"</f>
        <v>1551765035075474</v>
      </c>
      <c r="C5303" t="s">
        <v>40</v>
      </c>
      <c r="D5303">
        <v>3.990265</v>
      </c>
      <c r="E5303">
        <v>0.53750540000000002</v>
      </c>
      <c r="F5303" t="s">
        <v>42</v>
      </c>
      <c r="G5303">
        <v>-384.02100000000002</v>
      </c>
      <c r="H5303" s="1">
        <v>-3.2427319999999999E-6</v>
      </c>
      <c r="I5303">
        <v>142.22999999999999</v>
      </c>
      <c r="J5303">
        <v>-356.23540000000003</v>
      </c>
      <c r="K5303">
        <v>1.1112899999999999</v>
      </c>
      <c r="L5303">
        <v>142.1344</v>
      </c>
      <c r="M5303">
        <v>-0.99913569999999996</v>
      </c>
      <c r="N5303">
        <v>-2.1309439999999999E-2</v>
      </c>
      <c r="O5303">
        <v>-3.5691340000000002E-2</v>
      </c>
      <c r="P5303">
        <v>-0.99369660000000004</v>
      </c>
      <c r="Q5303">
        <v>-5.821776E-2</v>
      </c>
      <c r="R5303">
        <v>-9.5802830000000005E-2</v>
      </c>
      <c r="S5303">
        <v>-3.012756</v>
      </c>
      <c r="T5303">
        <v>-0.11812060000000001</v>
      </c>
      <c r="U5303">
        <v>8.0261229999999996E-3</v>
      </c>
      <c r="V5303">
        <v>-6.0141609999999998E-2</v>
      </c>
      <c r="W5303">
        <v>-3.7174449999999998E-2</v>
      </c>
      <c r="X5303">
        <v>0.99749739999999998</v>
      </c>
      <c r="Y5303">
        <v>3.8310509999999999E-2</v>
      </c>
      <c r="Z5303">
        <v>1.7971739999999999E-3</v>
      </c>
      <c r="AA5303">
        <v>0.99926420000000005</v>
      </c>
      <c r="AB5303">
        <v>56</v>
      </c>
      <c r="AC5303">
        <v>-27.785599999999899</v>
      </c>
      <c r="AD5303">
        <v>-1.1112932427319999</v>
      </c>
      <c r="AE5303">
        <v>9.5599999999990304E-2</v>
      </c>
      <c r="AF5303">
        <v>1.0857327998358099</v>
      </c>
      <c r="AG5303">
        <v>-1.1112932427319999</v>
      </c>
      <c r="AH5303">
        <v>27.720134549708899</v>
      </c>
      <c r="AI5303">
        <v>92.2939870083774</v>
      </c>
      <c r="AJ5303">
        <v>87.757004927905896</v>
      </c>
      <c r="AK5303">
        <v>27.763638951656599</v>
      </c>
      <c r="AL5303">
        <v>92.130429953578798</v>
      </c>
      <c r="AM5303">
        <v>93.450328855575805</v>
      </c>
      <c r="AN5303">
        <v>1.0000000079964699</v>
      </c>
    </row>
    <row r="5304" spans="1:40" x14ac:dyDescent="0.25">
      <c r="A5304" t="str">
        <f>"20190305135035101"</f>
        <v>20190305135035101</v>
      </c>
      <c r="B5304" t="str">
        <f>"1551765035094994"</f>
        <v>1551765035094994</v>
      </c>
      <c r="C5304" t="s">
        <v>40</v>
      </c>
      <c r="D5304">
        <v>3.992184</v>
      </c>
      <c r="E5304">
        <v>0.53766169999999902</v>
      </c>
      <c r="F5304" t="s">
        <v>42</v>
      </c>
      <c r="G5304">
        <v>-384.58969999999999</v>
      </c>
      <c r="H5304" s="1">
        <v>-2.9945400000000001E-6</v>
      </c>
      <c r="I5304">
        <v>142.214</v>
      </c>
      <c r="J5304">
        <v>-356.6164</v>
      </c>
      <c r="K5304">
        <v>1.1112359999999999</v>
      </c>
      <c r="L5304">
        <v>142.12049999999999</v>
      </c>
      <c r="M5304">
        <v>-0.99911609999999995</v>
      </c>
      <c r="N5304">
        <v>-2.1566100000000001E-2</v>
      </c>
      <c r="O5304">
        <v>-3.6082370000000002E-2</v>
      </c>
      <c r="P5304">
        <v>-0.99365499999999995</v>
      </c>
      <c r="Q5304">
        <v>-5.8242059999999998E-2</v>
      </c>
      <c r="R5304">
        <v>-9.6217250000000004E-2</v>
      </c>
      <c r="S5304">
        <v>-3.0129389999999998</v>
      </c>
      <c r="T5304">
        <v>-0.1180867</v>
      </c>
      <c r="U5304">
        <v>8.4686280000000006E-3</v>
      </c>
      <c r="V5304">
        <v>-6.0175439999999997E-2</v>
      </c>
      <c r="W5304">
        <v>-3.6929950000000003E-2</v>
      </c>
      <c r="X5304">
        <v>0.99750439999999996</v>
      </c>
      <c r="Y5304">
        <v>3.8847680000000002E-2</v>
      </c>
      <c r="Z5304">
        <v>1.815381E-3</v>
      </c>
      <c r="AA5304">
        <v>0.99924349999999995</v>
      </c>
      <c r="AB5304">
        <v>56</v>
      </c>
      <c r="AC5304">
        <v>-27.973299999999899</v>
      </c>
      <c r="AD5304">
        <v>-1.1112389945399901</v>
      </c>
      <c r="AE5304">
        <v>9.3500000000005898E-2</v>
      </c>
      <c r="AF5304">
        <v>1.1012789611713001</v>
      </c>
      <c r="AG5304">
        <v>-1.1112389945399901</v>
      </c>
      <c r="AH5304">
        <v>27.907661480470399</v>
      </c>
      <c r="AI5304">
        <v>92.278451381714305</v>
      </c>
      <c r="AJ5304">
        <v>87.740193512869098</v>
      </c>
      <c r="AK5304">
        <v>27.951480045998199</v>
      </c>
      <c r="AL5304">
        <v>92.116411597610195</v>
      </c>
      <c r="AM5304">
        <v>93.452240824898297</v>
      </c>
      <c r="AN5304">
        <v>0.999999966402777</v>
      </c>
    </row>
    <row r="5305" spans="1:40" x14ac:dyDescent="0.25">
      <c r="A5305" t="str">
        <f>"20190305135035115"</f>
        <v>20190305135035115</v>
      </c>
      <c r="B5305" t="str">
        <f>"1551765035105730"</f>
        <v>1551765035105730</v>
      </c>
      <c r="C5305" t="s">
        <v>40</v>
      </c>
      <c r="D5305">
        <v>4.003126</v>
      </c>
      <c r="E5305">
        <v>0.53776899999999905</v>
      </c>
      <c r="F5305" t="s">
        <v>42</v>
      </c>
      <c r="G5305">
        <v>-385.93880000000001</v>
      </c>
      <c r="H5305" s="1">
        <v>-2.4124699999999998E-6</v>
      </c>
      <c r="I5305">
        <v>142.20160000000001</v>
      </c>
      <c r="J5305">
        <v>-356.97550000000001</v>
      </c>
      <c r="K5305">
        <v>1.1111850000000001</v>
      </c>
      <c r="L5305">
        <v>142.10730000000001</v>
      </c>
      <c r="M5305">
        <v>-0.99909899999999996</v>
      </c>
      <c r="N5305">
        <v>-2.1812580000000002E-2</v>
      </c>
      <c r="O5305">
        <v>-3.641076E-2</v>
      </c>
      <c r="P5305">
        <v>-0.99361279999999996</v>
      </c>
      <c r="Q5305">
        <v>-5.8678130000000002E-2</v>
      </c>
      <c r="R5305">
        <v>-9.6387619999999993E-2</v>
      </c>
      <c r="S5305">
        <v>-3.013245</v>
      </c>
      <c r="T5305">
        <v>-0.1141938</v>
      </c>
      <c r="U5305">
        <v>8.3465580000000004E-3</v>
      </c>
      <c r="V5305">
        <v>-6.0026650000000001E-2</v>
      </c>
      <c r="W5305">
        <v>-3.7107340000000003E-2</v>
      </c>
      <c r="X5305">
        <v>0.99750680000000003</v>
      </c>
      <c r="Y5305">
        <v>3.9138409999999998E-2</v>
      </c>
      <c r="Z5305">
        <v>1.7533539999999999E-3</v>
      </c>
      <c r="AA5305">
        <v>0.99923220000000001</v>
      </c>
      <c r="AB5305">
        <v>56</v>
      </c>
      <c r="AC5305">
        <v>-28.9633</v>
      </c>
      <c r="AD5305">
        <v>-1.1111874124700001</v>
      </c>
      <c r="AE5305">
        <v>9.4300000000004006E-2</v>
      </c>
      <c r="AF5305">
        <v>1.14737518695656</v>
      </c>
      <c r="AG5305">
        <v>-1.1111874124700001</v>
      </c>
      <c r="AH5305">
        <v>28.898116480562599</v>
      </c>
      <c r="AI5305">
        <v>92.200314669653295</v>
      </c>
      <c r="AJ5305">
        <v>87.726313964728504</v>
      </c>
      <c r="AK5305">
        <v>28.9422242305155</v>
      </c>
      <c r="AL5305">
        <v>92.126582228554994</v>
      </c>
      <c r="AM5305">
        <v>93.443717104983804</v>
      </c>
      <c r="AN5305">
        <v>0.99999998471916896</v>
      </c>
    </row>
    <row r="5306" spans="1:40" x14ac:dyDescent="0.25">
      <c r="A5306" t="str">
        <f>"20190305135035133"</f>
        <v>20190305135035133</v>
      </c>
      <c r="B5306" t="str">
        <f>"1551765035125250"</f>
        <v>1551765035125250</v>
      </c>
      <c r="C5306" t="s">
        <v>40</v>
      </c>
      <c r="D5306">
        <v>4.0219360000000002</v>
      </c>
      <c r="E5306">
        <v>0.53794960000000003</v>
      </c>
      <c r="F5306" t="s">
        <v>42</v>
      </c>
      <c r="G5306">
        <v>-386.48939999999999</v>
      </c>
      <c r="H5306" s="1">
        <v>-2.173355E-6</v>
      </c>
      <c r="I5306">
        <v>142.19069999999999</v>
      </c>
      <c r="J5306">
        <v>-357.37849999999997</v>
      </c>
      <c r="K5306">
        <v>1.111127</v>
      </c>
      <c r="L5306">
        <v>142.09229999999999</v>
      </c>
      <c r="M5306">
        <v>-0.99908110000000006</v>
      </c>
      <c r="N5306">
        <v>-2.2094900000000001E-2</v>
      </c>
      <c r="O5306">
        <v>-3.672951E-2</v>
      </c>
      <c r="P5306">
        <v>-0.99357689999999999</v>
      </c>
      <c r="Q5306">
        <v>-5.9034330000000003E-2</v>
      </c>
      <c r="R5306">
        <v>-9.6541210000000002E-2</v>
      </c>
      <c r="S5306">
        <v>-3.013458</v>
      </c>
      <c r="T5306">
        <v>-0.11345570000000001</v>
      </c>
      <c r="U5306">
        <v>8.5296629999999998E-3</v>
      </c>
      <c r="V5306">
        <v>-5.9871929999999997E-2</v>
      </c>
      <c r="W5306">
        <v>-3.7167060000000002E-2</v>
      </c>
      <c r="X5306">
        <v>0.99751389999999995</v>
      </c>
      <c r="Y5306">
        <v>3.9518060000000001E-2</v>
      </c>
      <c r="Z5306">
        <v>1.7510339999999901E-3</v>
      </c>
      <c r="AA5306">
        <v>0.99921729999999997</v>
      </c>
      <c r="AB5306">
        <v>55</v>
      </c>
      <c r="AC5306">
        <v>-29.110900000000001</v>
      </c>
      <c r="AD5306">
        <v>-1.1111291733549999</v>
      </c>
      <c r="AE5306">
        <v>9.8399999999998003E-2</v>
      </c>
      <c r="AF5306">
        <v>1.1661247363367899</v>
      </c>
      <c r="AG5306">
        <v>-1.1111291733549999</v>
      </c>
      <c r="AH5306">
        <v>29.0453181049729</v>
      </c>
      <c r="AI5306">
        <v>92.1890209963004</v>
      </c>
      <c r="AJ5306">
        <v>87.700897574289897</v>
      </c>
      <c r="AK5306">
        <v>29.089946008194001</v>
      </c>
      <c r="AL5306">
        <v>92.130006241707704</v>
      </c>
      <c r="AM5306">
        <v>93.4348377385963</v>
      </c>
      <c r="AN5306">
        <v>1.00000000952208</v>
      </c>
    </row>
    <row r="5307" spans="1:40" x14ac:dyDescent="0.25">
      <c r="A5307" t="str">
        <f>"20190305135035153"</f>
        <v>20190305135035153</v>
      </c>
      <c r="B5307" t="str">
        <f>"1551765035145746"</f>
        <v>1551765035145746</v>
      </c>
      <c r="C5307" t="s">
        <v>40</v>
      </c>
      <c r="D5307">
        <v>3.9221539999999999</v>
      </c>
      <c r="E5307">
        <v>0.58546169999999997</v>
      </c>
      <c r="F5307" t="s">
        <v>42</v>
      </c>
      <c r="G5307">
        <v>-387.18209999999999</v>
      </c>
      <c r="H5307" s="1">
        <v>-1.8749569999999999E-6</v>
      </c>
      <c r="I5307">
        <v>142.18610000000001</v>
      </c>
      <c r="J5307">
        <v>-357.8974</v>
      </c>
      <c r="K5307">
        <v>1.111048</v>
      </c>
      <c r="L5307">
        <v>142.0729</v>
      </c>
      <c r="M5307">
        <v>-0.99906059999999997</v>
      </c>
      <c r="N5307">
        <v>-2.2469780000000002E-2</v>
      </c>
      <c r="O5307">
        <v>-3.7054469999999999E-2</v>
      </c>
      <c r="P5307">
        <v>-0.99353400000000003</v>
      </c>
      <c r="Q5307">
        <v>-5.9331410000000001E-2</v>
      </c>
      <c r="R5307">
        <v>-9.6797969999999997E-2</v>
      </c>
      <c r="S5307">
        <v>-3.0136409999999998</v>
      </c>
      <c r="T5307">
        <v>-0.1123538</v>
      </c>
      <c r="U5307">
        <v>9.4909669999999995E-3</v>
      </c>
      <c r="V5307">
        <v>-5.9817919999999997E-2</v>
      </c>
      <c r="W5307">
        <v>-3.7070989999999998E-2</v>
      </c>
      <c r="X5307">
        <v>0.99752070000000004</v>
      </c>
      <c r="Y5307">
        <v>4.016202E-2</v>
      </c>
      <c r="Z5307">
        <v>1.7479479999999901E-3</v>
      </c>
      <c r="AA5307">
        <v>0.99919159999999996</v>
      </c>
      <c r="AB5307">
        <v>55</v>
      </c>
      <c r="AC5307">
        <v>-29.284699999999901</v>
      </c>
      <c r="AD5307">
        <v>-1.1110498749569999</v>
      </c>
      <c r="AE5307">
        <v>0.113200000000006</v>
      </c>
      <c r="AF5307">
        <v>1.1968026256843001</v>
      </c>
      <c r="AG5307">
        <v>-1.1110498749569999</v>
      </c>
      <c r="AH5307">
        <v>29.218326242918401</v>
      </c>
      <c r="AI5307">
        <v>92.175845182036696</v>
      </c>
      <c r="AJ5307">
        <v>87.654436877245104</v>
      </c>
      <c r="AK5307">
        <v>29.263925860812002</v>
      </c>
      <c r="AL5307">
        <v>92.124498072413203</v>
      </c>
      <c r="AM5307">
        <v>93.431723268931293</v>
      </c>
      <c r="AN5307">
        <v>0.99999999439059795</v>
      </c>
    </row>
    <row r="5308" spans="1:40" x14ac:dyDescent="0.25">
      <c r="A5308" t="str">
        <f>"20190305135035169"</f>
        <v>20190305135035169</v>
      </c>
      <c r="B5308" t="str">
        <f>"1551765035165266"</f>
        <v>1551765035165266</v>
      </c>
      <c r="C5308" t="s">
        <v>40</v>
      </c>
      <c r="D5308">
        <v>3.9001009999999998</v>
      </c>
      <c r="E5308">
        <v>0.59255190000000002</v>
      </c>
      <c r="F5308" t="s">
        <v>81</v>
      </c>
      <c r="G5308">
        <v>-510.17570000000001</v>
      </c>
      <c r="H5308">
        <v>5.7997769999999997</v>
      </c>
      <c r="I5308">
        <v>160.90700000000001</v>
      </c>
      <c r="J5308">
        <v>-358.28719999999998</v>
      </c>
      <c r="K5308">
        <v>1.1109899999999999</v>
      </c>
      <c r="L5308">
        <v>142.0583</v>
      </c>
      <c r="M5308">
        <v>-0.99904680000000001</v>
      </c>
      <c r="N5308">
        <v>-2.2758569999999999E-2</v>
      </c>
      <c r="O5308">
        <v>-3.7249919999999999E-2</v>
      </c>
      <c r="P5308">
        <v>-0.99348919999999996</v>
      </c>
      <c r="Q5308">
        <v>-5.992654E-2</v>
      </c>
      <c r="R5308">
        <v>-9.6893170000000001E-2</v>
      </c>
      <c r="S5308">
        <v>-3.0620729999999998</v>
      </c>
      <c r="T5308">
        <v>9.4283699999999998E-2</v>
      </c>
      <c r="U5308">
        <v>0.37872309999999998</v>
      </c>
      <c r="V5308">
        <v>-5.9728320000000001E-2</v>
      </c>
      <c r="W5308">
        <v>-3.7363760000000003E-2</v>
      </c>
      <c r="X5308">
        <v>0.99751509999999999</v>
      </c>
      <c r="Y5308">
        <v>0.15956770000000001</v>
      </c>
      <c r="Z5308">
        <v>-2.6104650000000002E-3</v>
      </c>
      <c r="AA5308">
        <v>0.98718349999999999</v>
      </c>
      <c r="AB5308">
        <v>55</v>
      </c>
      <c r="AC5308">
        <v>-151.88849999999999</v>
      </c>
      <c r="AD5308">
        <v>4.6887869999999996</v>
      </c>
      <c r="AE5308">
        <v>18.848700000000001</v>
      </c>
      <c r="AF5308">
        <v>24.4719451837883</v>
      </c>
      <c r="AG5308">
        <v>4.6887869999999996</v>
      </c>
      <c r="AH5308">
        <v>150.939081077135</v>
      </c>
      <c r="AI5308">
        <v>88.243650040486799</v>
      </c>
      <c r="AJ5308">
        <v>80.790698003913903</v>
      </c>
      <c r="AK5308">
        <v>152.98191730076999</v>
      </c>
      <c r="AL5308">
        <v>92.141284285240801</v>
      </c>
      <c r="AM5308">
        <v>93.426614411179798</v>
      </c>
      <c r="AN5308">
        <v>0.99999994874968301</v>
      </c>
    </row>
    <row r="5309" spans="1:40" x14ac:dyDescent="0.25">
      <c r="A5309" t="str">
        <f>"20190305135035180"</f>
        <v>20190305135035180</v>
      </c>
      <c r="B5309" t="str">
        <f>"1551765035176002"</f>
        <v>1551765035176002</v>
      </c>
      <c r="C5309" t="s">
        <v>40</v>
      </c>
      <c r="D5309">
        <v>3.9161540000000001</v>
      </c>
      <c r="E5309">
        <v>0.59384079999999995</v>
      </c>
      <c r="F5309" t="s">
        <v>81</v>
      </c>
      <c r="G5309">
        <v>-510.17610000000002</v>
      </c>
      <c r="H5309">
        <v>7.2182309999999896</v>
      </c>
      <c r="I5309">
        <v>163.51179999999999</v>
      </c>
      <c r="J5309">
        <v>-358.57279999999997</v>
      </c>
      <c r="K5309">
        <v>1.1109469999999999</v>
      </c>
      <c r="L5309">
        <v>142.04750000000001</v>
      </c>
      <c r="M5309">
        <v>-0.99903770000000003</v>
      </c>
      <c r="N5309">
        <v>-2.2979360000000001E-2</v>
      </c>
      <c r="O5309">
        <v>-3.735898E-2</v>
      </c>
      <c r="P5309">
        <v>-0.9934518</v>
      </c>
      <c r="Q5309">
        <v>-6.036917E-2</v>
      </c>
      <c r="R5309">
        <v>-9.7001050000000005E-2</v>
      </c>
      <c r="S5309">
        <v>-3.069366</v>
      </c>
      <c r="T5309">
        <v>0.1234157</v>
      </c>
      <c r="U5309">
        <v>0.43353269999999999</v>
      </c>
      <c r="V5309">
        <v>-5.973403E-2</v>
      </c>
      <c r="W5309">
        <v>-3.7576180000000001E-2</v>
      </c>
      <c r="X5309">
        <v>0.99750689999999997</v>
      </c>
      <c r="Y5309">
        <v>0.17662849999999999</v>
      </c>
      <c r="Z5309">
        <v>-3.8403170000000002E-3</v>
      </c>
      <c r="AA5309">
        <v>0.98427010000000004</v>
      </c>
      <c r="AB5309">
        <v>55</v>
      </c>
      <c r="AC5309">
        <v>-151.60329999999999</v>
      </c>
      <c r="AD5309">
        <v>6.1072839999999999</v>
      </c>
      <c r="AE5309">
        <v>21.464299999999898</v>
      </c>
      <c r="AF5309">
        <v>27.071478826459899</v>
      </c>
      <c r="AG5309">
        <v>6.1072839999999999</v>
      </c>
      <c r="AH5309">
        <v>150.45594567926</v>
      </c>
      <c r="AI5309">
        <v>87.712232763429199</v>
      </c>
      <c r="AJ5309">
        <v>79.799933101932595</v>
      </c>
      <c r="AK5309">
        <v>152.99397201834</v>
      </c>
      <c r="AL5309">
        <v>92.153463347892597</v>
      </c>
      <c r="AM5309">
        <v>93.4269693172903</v>
      </c>
      <c r="AN5309">
        <v>1.00000006959551</v>
      </c>
    </row>
    <row r="5310" spans="1:40" x14ac:dyDescent="0.25">
      <c r="A5310" t="str">
        <f>"20190305135035198"</f>
        <v>20190305135035198</v>
      </c>
      <c r="B5310" t="str">
        <f>"1551765035195522"</f>
        <v>1551765035195522</v>
      </c>
      <c r="C5310" t="s">
        <v>40</v>
      </c>
      <c r="D5310">
        <v>3.896579</v>
      </c>
      <c r="E5310">
        <v>0.59473169999999898</v>
      </c>
      <c r="F5310" t="s">
        <v>81</v>
      </c>
      <c r="G5310">
        <v>-510.17610000000002</v>
      </c>
      <c r="H5310">
        <v>7.1248310000000004</v>
      </c>
      <c r="I5310">
        <v>163.95160000000001</v>
      </c>
      <c r="J5310">
        <v>-358.98739999999998</v>
      </c>
      <c r="K5310">
        <v>1.110894</v>
      </c>
      <c r="L5310">
        <v>142.0318</v>
      </c>
      <c r="M5310">
        <v>-0.99902500000000005</v>
      </c>
      <c r="N5310">
        <v>-2.3309880000000002E-2</v>
      </c>
      <c r="O5310">
        <v>-3.7495529999999999E-2</v>
      </c>
      <c r="P5310">
        <v>-0.9934385</v>
      </c>
      <c r="Q5310">
        <v>-6.0791129999999999E-2</v>
      </c>
      <c r="R5310">
        <v>-9.6874940000000007E-2</v>
      </c>
      <c r="S5310">
        <v>-3.0704959999999999</v>
      </c>
      <c r="T5310">
        <v>0.12180290000000001</v>
      </c>
      <c r="U5310">
        <v>0.44363399999999997</v>
      </c>
      <c r="V5310">
        <v>-5.9481760000000002E-2</v>
      </c>
      <c r="W5310">
        <v>-3.765334E-2</v>
      </c>
      <c r="X5310">
        <v>0.99751900000000004</v>
      </c>
      <c r="Y5310">
        <v>0.17988870000000001</v>
      </c>
      <c r="Z5310">
        <v>-3.7886840000000001E-3</v>
      </c>
      <c r="AA5310">
        <v>0.98367969999999905</v>
      </c>
      <c r="AB5310">
        <v>55</v>
      </c>
      <c r="AC5310">
        <v>-151.18870000000001</v>
      </c>
      <c r="AD5310">
        <v>6.0139369999999897</v>
      </c>
      <c r="AE5310">
        <v>21.919799999999999</v>
      </c>
      <c r="AF5310">
        <v>27.532151770597</v>
      </c>
      <c r="AG5310">
        <v>6.0139369999999897</v>
      </c>
      <c r="AH5310">
        <v>150.02771137463699</v>
      </c>
      <c r="AI5310">
        <v>87.742162683372598</v>
      </c>
      <c r="AJ5310">
        <v>79.601140111541795</v>
      </c>
      <c r="AK5310">
        <v>152.65156730171699</v>
      </c>
      <c r="AL5310">
        <v>92.1578875611618</v>
      </c>
      <c r="AM5310">
        <v>93.412489447693901</v>
      </c>
      <c r="AN5310">
        <v>1.0000000045734201</v>
      </c>
    </row>
    <row r="5311" spans="1:40" x14ac:dyDescent="0.25">
      <c r="A5311" t="str">
        <f>"20190305135035213"</f>
        <v>20190305135035213</v>
      </c>
      <c r="B5311" t="str">
        <f>"1551765035205282"</f>
        <v>1551765035205282</v>
      </c>
      <c r="C5311" t="s">
        <v>40</v>
      </c>
      <c r="D5311">
        <v>3.9353769999999999</v>
      </c>
      <c r="E5311">
        <v>0.59518549999999903</v>
      </c>
      <c r="F5311" t="s">
        <v>81</v>
      </c>
      <c r="G5311">
        <v>-510.17610000000002</v>
      </c>
      <c r="H5311">
        <v>6.9466710000000003</v>
      </c>
      <c r="I5311">
        <v>164.2527</v>
      </c>
      <c r="J5311">
        <v>-359.36410000000001</v>
      </c>
      <c r="K5311">
        <v>1.1108610000000001</v>
      </c>
      <c r="L5311">
        <v>142.01750000000001</v>
      </c>
      <c r="M5311">
        <v>-0.9990137</v>
      </c>
      <c r="N5311">
        <v>-2.3628440000000001E-2</v>
      </c>
      <c r="O5311">
        <v>-3.7592929999999997E-2</v>
      </c>
      <c r="P5311">
        <v>-0.99343870000000001</v>
      </c>
      <c r="Q5311">
        <v>-6.0763600000000001E-2</v>
      </c>
      <c r="R5311">
        <v>-9.688898E-2</v>
      </c>
      <c r="S5311">
        <v>-3.071075</v>
      </c>
      <c r="T5311">
        <v>0.1185422</v>
      </c>
      <c r="U5311">
        <v>0.4513702</v>
      </c>
      <c r="V5311">
        <v>-5.940645E-2</v>
      </c>
      <c r="W5311">
        <v>-3.7295090000000003E-2</v>
      </c>
      <c r="X5311">
        <v>0.99753700000000001</v>
      </c>
      <c r="Y5311">
        <v>0.18239150000000001</v>
      </c>
      <c r="Z5311">
        <v>-3.6592899999999999E-3</v>
      </c>
      <c r="AA5311">
        <v>0.98321910000000001</v>
      </c>
      <c r="AB5311">
        <v>55</v>
      </c>
      <c r="AC5311">
        <v>-150.81200000000001</v>
      </c>
      <c r="AD5311">
        <v>5.8358099999999897</v>
      </c>
      <c r="AE5311">
        <v>22.235199999999899</v>
      </c>
      <c r="AF5311">
        <v>27.849708239052799</v>
      </c>
      <c r="AG5311">
        <v>5.8358099999999897</v>
      </c>
      <c r="AH5311">
        <v>149.64990242997899</v>
      </c>
      <c r="AI5311">
        <v>87.804458952366801</v>
      </c>
      <c r="AJ5311">
        <v>79.457905460996798</v>
      </c>
      <c r="AK5311">
        <v>152.33107438949801</v>
      </c>
      <c r="AL5311">
        <v>92.137346805603201</v>
      </c>
      <c r="AM5311">
        <v>93.408117723793495</v>
      </c>
      <c r="AN5311">
        <v>1.00000005820435</v>
      </c>
    </row>
    <row r="5312" spans="1:40" x14ac:dyDescent="0.25">
      <c r="A5312" t="str">
        <f>"20190305135035224"</f>
        <v>20190305135035224</v>
      </c>
      <c r="B5312" t="str">
        <f>"1551765035215043"</f>
        <v>1551765035215043</v>
      </c>
      <c r="C5312" t="s">
        <v>40</v>
      </c>
      <c r="D5312">
        <v>3.9259629999999999</v>
      </c>
      <c r="E5312">
        <v>0.59523859999999995</v>
      </c>
      <c r="F5312" t="s">
        <v>54</v>
      </c>
      <c r="G5312">
        <v>-502.09460000000001</v>
      </c>
      <c r="H5312">
        <v>6.5868779999999996</v>
      </c>
      <c r="I5312">
        <v>163.16390000000001</v>
      </c>
      <c r="J5312">
        <v>-359.65989999999999</v>
      </c>
      <c r="K5312">
        <v>1.1108420000000001</v>
      </c>
      <c r="L5312">
        <v>142.00630000000001</v>
      </c>
      <c r="M5312">
        <v>-0.99900500000000003</v>
      </c>
      <c r="N5312">
        <v>-2.3901499999999999E-2</v>
      </c>
      <c r="O5312">
        <v>-3.7652339999999999E-2</v>
      </c>
      <c r="P5312">
        <v>-0.99346679999999998</v>
      </c>
      <c r="Q5312">
        <v>-6.0836179999999997E-2</v>
      </c>
      <c r="R5312">
        <v>-9.6554639999999997E-2</v>
      </c>
      <c r="S5312">
        <v>-3.0714109999999999</v>
      </c>
      <c r="T5312">
        <v>0.1178381</v>
      </c>
      <c r="U5312">
        <v>0.4550476</v>
      </c>
      <c r="V5312">
        <v>-5.9017819999999999E-2</v>
      </c>
      <c r="W5312">
        <v>-3.7085010000000002E-2</v>
      </c>
      <c r="X5312">
        <v>0.9975678</v>
      </c>
      <c r="Y5312">
        <v>0.18358830000000001</v>
      </c>
      <c r="Z5312">
        <v>-3.6260229999999999E-3</v>
      </c>
      <c r="AA5312">
        <v>0.98299650000000005</v>
      </c>
      <c r="AB5312">
        <v>54</v>
      </c>
      <c r="AC5312">
        <v>-142.43469999999999</v>
      </c>
      <c r="AD5312">
        <v>5.4760359999999997</v>
      </c>
      <c r="AE5312">
        <v>21.157599999999999</v>
      </c>
      <c r="AF5312">
        <v>26.4688422051826</v>
      </c>
      <c r="AG5312">
        <v>5.4760359999999997</v>
      </c>
      <c r="AH5312">
        <v>141.33238872576399</v>
      </c>
      <c r="AI5312">
        <v>87.8190200279913</v>
      </c>
      <c r="AJ5312">
        <v>79.392478143552495</v>
      </c>
      <c r="AK5312">
        <v>143.893817382425</v>
      </c>
      <c r="AL5312">
        <v>92.125301988681898</v>
      </c>
      <c r="AM5312">
        <v>93.385769963490603</v>
      </c>
      <c r="AN5312">
        <v>0.999999958320545</v>
      </c>
    </row>
    <row r="5313" spans="1:40" x14ac:dyDescent="0.25">
      <c r="A5313" t="str">
        <f>"20190305135035237"</f>
        <v>20190305135035237</v>
      </c>
      <c r="B5313" t="str">
        <f>"1551765035235538"</f>
        <v>1551765035235538</v>
      </c>
      <c r="C5313" t="s">
        <v>40</v>
      </c>
      <c r="D5313">
        <v>3.9285990000000002</v>
      </c>
      <c r="E5313">
        <v>0.59572849999999999</v>
      </c>
      <c r="F5313" t="s">
        <v>54</v>
      </c>
      <c r="G5313">
        <v>-502.08019999999999</v>
      </c>
      <c r="H5313">
        <v>6.4890889999999999</v>
      </c>
      <c r="I5313">
        <v>163.18199999999999</v>
      </c>
      <c r="J5313">
        <v>-359.94299999999998</v>
      </c>
      <c r="K5313">
        <v>1.11083</v>
      </c>
      <c r="L5313">
        <v>141.9956</v>
      </c>
      <c r="M5313">
        <v>-0.99899689999999997</v>
      </c>
      <c r="N5313">
        <v>-2.4178580000000002E-2</v>
      </c>
      <c r="O5313">
        <v>-3.769629E-2</v>
      </c>
      <c r="P5313">
        <v>-0.99345859999999997</v>
      </c>
      <c r="Q5313">
        <v>-6.0831349999999999E-2</v>
      </c>
      <c r="R5313">
        <v>-9.6643880000000001E-2</v>
      </c>
      <c r="S5313">
        <v>-3.071167</v>
      </c>
      <c r="T5313">
        <v>0.1159772</v>
      </c>
      <c r="U5313">
        <v>0.4566345</v>
      </c>
      <c r="V5313">
        <v>-5.9068870000000002E-2</v>
      </c>
      <c r="W5313">
        <v>-3.6795620000000001E-2</v>
      </c>
      <c r="X5313">
        <v>0.99757549999999995</v>
      </c>
      <c r="Y5313">
        <v>0.18414440000000001</v>
      </c>
      <c r="Z5313">
        <v>-3.5393680000000002E-3</v>
      </c>
      <c r="AA5313">
        <v>0.98289280000000001</v>
      </c>
      <c r="AB5313">
        <v>54</v>
      </c>
      <c r="AC5313">
        <v>-142.13719999999901</v>
      </c>
      <c r="AD5313">
        <v>5.3782589999999999</v>
      </c>
      <c r="AE5313">
        <v>21.186399999999999</v>
      </c>
      <c r="AF5313">
        <v>26.493835480494599</v>
      </c>
      <c r="AG5313">
        <v>5.3782589999999999</v>
      </c>
      <c r="AH5313">
        <v>141.03968883543001</v>
      </c>
      <c r="AI5313">
        <v>87.853704334815106</v>
      </c>
      <c r="AJ5313">
        <v>79.361157943645196</v>
      </c>
      <c r="AK5313">
        <v>143.60725195871299</v>
      </c>
      <c r="AL5313">
        <v>92.108709826522698</v>
      </c>
      <c r="AM5313">
        <v>93.388665713428395</v>
      </c>
      <c r="AN5313">
        <v>0.99999996362725496</v>
      </c>
    </row>
    <row r="5314" spans="1:40" x14ac:dyDescent="0.25">
      <c r="A5314" t="str">
        <f>"20190305135035254"</f>
        <v>20190305135035254</v>
      </c>
      <c r="B5314" t="str">
        <f>"1551765035245302"</f>
        <v>1551765035245302</v>
      </c>
      <c r="C5314" t="s">
        <v>40</v>
      </c>
      <c r="D5314">
        <v>3.9472</v>
      </c>
      <c r="E5314">
        <v>0.59590569999999998</v>
      </c>
      <c r="F5314" t="s">
        <v>54</v>
      </c>
      <c r="G5314">
        <v>-502.08479999999997</v>
      </c>
      <c r="H5314">
        <v>6.4718070000000001</v>
      </c>
      <c r="I5314">
        <v>163.29689999999999</v>
      </c>
      <c r="J5314">
        <v>-360.32729999999998</v>
      </c>
      <c r="K5314">
        <v>1.1108209999999901</v>
      </c>
      <c r="L5314">
        <v>141.98099999999999</v>
      </c>
      <c r="M5314">
        <v>-0.99898560000000003</v>
      </c>
      <c r="N5314">
        <v>-2.457026E-2</v>
      </c>
      <c r="O5314">
        <v>-3.773994E-2</v>
      </c>
      <c r="P5314">
        <v>-0.99347229999999997</v>
      </c>
      <c r="Q5314">
        <v>-6.1141139999999997E-2</v>
      </c>
      <c r="R5314">
        <v>-9.6305059999999998E-2</v>
      </c>
      <c r="S5314">
        <v>-3.071625</v>
      </c>
      <c r="T5314">
        <v>0.1158484</v>
      </c>
      <c r="U5314">
        <v>0.4603119</v>
      </c>
      <c r="V5314">
        <v>-5.8692319999999999E-2</v>
      </c>
      <c r="W5314">
        <v>-3.6703430000000002E-2</v>
      </c>
      <c r="X5314">
        <v>0.99760119999999997</v>
      </c>
      <c r="Y5314">
        <v>0.1853178</v>
      </c>
      <c r="Z5314">
        <v>-3.5211499999999998E-3</v>
      </c>
      <c r="AA5314">
        <v>0.98267230000000005</v>
      </c>
      <c r="AB5314">
        <v>54</v>
      </c>
      <c r="AC5314">
        <v>-141.75749999999999</v>
      </c>
      <c r="AD5314">
        <v>5.3609859999999996</v>
      </c>
      <c r="AE5314">
        <v>21.315899999999999</v>
      </c>
      <c r="AF5314">
        <v>26.615016601040001</v>
      </c>
      <c r="AG5314">
        <v>5.3609859999999996</v>
      </c>
      <c r="AH5314">
        <v>140.65502945254801</v>
      </c>
      <c r="AI5314">
        <v>87.855282269792198</v>
      </c>
      <c r="AJ5314">
        <v>79.285065718771804</v>
      </c>
      <c r="AK5314">
        <v>143.25130571782901</v>
      </c>
      <c r="AL5314">
        <v>92.103423992598195</v>
      </c>
      <c r="AM5314">
        <v>93.367027092586099</v>
      </c>
      <c r="AN5314">
        <v>1.00000004222109</v>
      </c>
    </row>
    <row r="5315" spans="1:40" x14ac:dyDescent="0.25">
      <c r="A5315" t="str">
        <f>"20190305135035269"</f>
        <v>20190305135035269</v>
      </c>
      <c r="B5315" t="str">
        <f>"1551765035265795"</f>
        <v>1551765035265795</v>
      </c>
      <c r="C5315" t="s">
        <v>40</v>
      </c>
      <c r="D5315">
        <v>3.9173580000000001</v>
      </c>
      <c r="E5315">
        <v>0.59633230000000004</v>
      </c>
      <c r="F5315" t="s">
        <v>81</v>
      </c>
      <c r="G5315">
        <v>-510.17599999999999</v>
      </c>
      <c r="H5315">
        <v>6.7116610000000003</v>
      </c>
      <c r="I5315">
        <v>164.55410000000001</v>
      </c>
      <c r="J5315">
        <v>-360.70650000000001</v>
      </c>
      <c r="K5315">
        <v>1.110814</v>
      </c>
      <c r="L5315">
        <v>141.9666</v>
      </c>
      <c r="M5315">
        <v>-0.99897499999999995</v>
      </c>
      <c r="N5315">
        <v>-2.4970119999999998E-2</v>
      </c>
      <c r="O5315">
        <v>-3.7760879999999997E-2</v>
      </c>
      <c r="P5315">
        <v>-0.99346179999999995</v>
      </c>
      <c r="Q5315">
        <v>-6.1462580000000003E-2</v>
      </c>
      <c r="R5315">
        <v>-9.621014E-2</v>
      </c>
      <c r="S5315">
        <v>-3.071625</v>
      </c>
      <c r="T5315">
        <v>0.1148078</v>
      </c>
      <c r="U5315">
        <v>0.46270749999999999</v>
      </c>
      <c r="V5315">
        <v>-5.8583099999999999E-2</v>
      </c>
      <c r="W5315">
        <v>-3.6616210000000003E-2</v>
      </c>
      <c r="X5315">
        <v>0.99761080000000002</v>
      </c>
      <c r="Y5315">
        <v>0.1860908</v>
      </c>
      <c r="Z5315">
        <v>-3.4604890000000002E-3</v>
      </c>
      <c r="AA5315">
        <v>0.98252649999999997</v>
      </c>
      <c r="AB5315">
        <v>54</v>
      </c>
      <c r="AC5315">
        <v>-149.46949999999899</v>
      </c>
      <c r="AD5315">
        <v>5.6008469999999999</v>
      </c>
      <c r="AE5315">
        <v>22.587499999999999</v>
      </c>
      <c r="AF5315">
        <v>28.1785571076284</v>
      </c>
      <c r="AG5315">
        <v>5.6008469999999999</v>
      </c>
      <c r="AH5315">
        <v>148.30605343101999</v>
      </c>
      <c r="AI5315">
        <v>87.875203937816593</v>
      </c>
      <c r="AJ5315">
        <v>79.2418811684811</v>
      </c>
      <c r="AK5315">
        <v>151.06318562796801</v>
      </c>
      <c r="AL5315">
        <v>92.098423345658702</v>
      </c>
      <c r="AM5315">
        <v>93.360743531378503</v>
      </c>
      <c r="AN5315">
        <v>1.0000000173585</v>
      </c>
    </row>
    <row r="5316" spans="1:40" x14ac:dyDescent="0.25">
      <c r="A5316" t="str">
        <f>"20190305135035281"</f>
        <v>20190305135035281</v>
      </c>
      <c r="B5316" t="str">
        <f>"1551765035275554"</f>
        <v>1551765035275554</v>
      </c>
      <c r="C5316" t="s">
        <v>40</v>
      </c>
      <c r="D5316">
        <v>3.9296950000000002</v>
      </c>
      <c r="E5316">
        <v>0.59648179999999995</v>
      </c>
      <c r="F5316" t="s">
        <v>81</v>
      </c>
      <c r="G5316">
        <v>-510.17599999999999</v>
      </c>
      <c r="H5316">
        <v>6.6643480000000004</v>
      </c>
      <c r="I5316">
        <v>164.6618</v>
      </c>
      <c r="J5316">
        <v>-360.99979999999999</v>
      </c>
      <c r="K5316">
        <v>1.1108070000000001</v>
      </c>
      <c r="L5316">
        <v>141.9554</v>
      </c>
      <c r="M5316">
        <v>-0.99896719999999894</v>
      </c>
      <c r="N5316">
        <v>-2.5281370000000001E-2</v>
      </c>
      <c r="O5316">
        <v>-3.7756150000000002E-2</v>
      </c>
      <c r="P5316">
        <v>-0.99347730000000001</v>
      </c>
      <c r="Q5316">
        <v>-6.1929890000000001E-2</v>
      </c>
      <c r="R5316">
        <v>-9.5746919999999999E-2</v>
      </c>
      <c r="S5316">
        <v>-3.0719910000000001</v>
      </c>
      <c r="T5316">
        <v>0.11414050000000001</v>
      </c>
      <c r="U5316">
        <v>0.46644590000000002</v>
      </c>
      <c r="V5316">
        <v>-5.8128480000000003E-2</v>
      </c>
      <c r="W5316">
        <v>-3.6765260000000001E-2</v>
      </c>
      <c r="X5316">
        <v>0.99763190000000002</v>
      </c>
      <c r="Y5316">
        <v>0.18723970000000001</v>
      </c>
      <c r="Z5316">
        <v>-3.4198240000000001E-3</v>
      </c>
      <c r="AA5316">
        <v>0.98230830000000002</v>
      </c>
      <c r="AB5316">
        <v>54</v>
      </c>
      <c r="AC5316">
        <v>-149.17619999999999</v>
      </c>
      <c r="AD5316">
        <v>5.5535409999999903</v>
      </c>
      <c r="AE5316">
        <v>22.706399999999999</v>
      </c>
      <c r="AF5316">
        <v>28.286004279531301</v>
      </c>
      <c r="AG5316">
        <v>5.5535409999999903</v>
      </c>
      <c r="AH5316">
        <v>148.01169777428001</v>
      </c>
      <c r="AI5316">
        <v>87.889376028889401</v>
      </c>
      <c r="AJ5316">
        <v>79.180853961882306</v>
      </c>
      <c r="AK5316">
        <v>150.792581162885</v>
      </c>
      <c r="AL5316">
        <v>92.106969059030703</v>
      </c>
      <c r="AM5316">
        <v>93.334652008908805</v>
      </c>
      <c r="AN5316">
        <v>1.0000000062137899</v>
      </c>
    </row>
    <row r="5317" spans="1:40" x14ac:dyDescent="0.25">
      <c r="A5317" t="str">
        <f>"20190305135035294"</f>
        <v>20190305135035294</v>
      </c>
      <c r="B5317" t="str">
        <f>"1551765035285314"</f>
        <v>1551765035285314</v>
      </c>
      <c r="C5317" t="s">
        <v>40</v>
      </c>
      <c r="D5317">
        <v>3.9493999999999998</v>
      </c>
      <c r="E5317">
        <v>0.59675679999999998</v>
      </c>
      <c r="F5317" t="s">
        <v>81</v>
      </c>
      <c r="G5317">
        <v>-510.17590000000001</v>
      </c>
      <c r="H5317">
        <v>6.6185409999999996</v>
      </c>
      <c r="I5317">
        <v>164.733</v>
      </c>
      <c r="J5317">
        <v>-361.29759999999999</v>
      </c>
      <c r="K5317">
        <v>1.110798</v>
      </c>
      <c r="L5317">
        <v>141.94409999999999</v>
      </c>
      <c r="M5317">
        <v>-0.99895959999999995</v>
      </c>
      <c r="N5317">
        <v>-2.5596480000000001E-2</v>
      </c>
      <c r="O5317">
        <v>-3.7743230000000003E-2</v>
      </c>
      <c r="P5317">
        <v>-0.99349739999999997</v>
      </c>
      <c r="Q5317">
        <v>-6.2154569999999999E-2</v>
      </c>
      <c r="R5317">
        <v>-9.5392000000000005E-2</v>
      </c>
      <c r="S5317">
        <v>-3.0719599999999998</v>
      </c>
      <c r="T5317">
        <v>0.1134207</v>
      </c>
      <c r="U5317">
        <v>0.46905520000000001</v>
      </c>
      <c r="V5317">
        <v>-5.7790469999999997E-2</v>
      </c>
      <c r="W5317">
        <v>-3.6667749999999999E-2</v>
      </c>
      <c r="X5317">
        <v>0.99765510000000002</v>
      </c>
      <c r="Y5317">
        <v>0.18804589999999999</v>
      </c>
      <c r="Z5317">
        <v>-3.3745350000000001E-3</v>
      </c>
      <c r="AA5317">
        <v>0.98215439999999998</v>
      </c>
      <c r="AB5317">
        <v>53</v>
      </c>
      <c r="AC5317">
        <v>-148.8783</v>
      </c>
      <c r="AD5317">
        <v>5.5077429999999996</v>
      </c>
      <c r="AE5317">
        <v>22.788900000000002</v>
      </c>
      <c r="AF5317">
        <v>28.355721279305801</v>
      </c>
      <c r="AG5317">
        <v>5.5077429999999996</v>
      </c>
      <c r="AH5317">
        <v>147.71420467728399</v>
      </c>
      <c r="AI5317">
        <v>87.902885776491402</v>
      </c>
      <c r="AJ5317">
        <v>79.133497022617803</v>
      </c>
      <c r="AK5317">
        <v>150.51202086765801</v>
      </c>
      <c r="AL5317">
        <v>92.101378432125102</v>
      </c>
      <c r="AM5317">
        <v>93.315227870016997</v>
      </c>
      <c r="AN5317">
        <v>0.99999998043444605</v>
      </c>
    </row>
    <row r="5318" spans="1:40" x14ac:dyDescent="0.25">
      <c r="A5318" t="str">
        <f>"20190305135035310"</f>
        <v>20190305135035310</v>
      </c>
      <c r="B5318" t="str">
        <f>"1551765035305811"</f>
        <v>1551765035305811</v>
      </c>
      <c r="C5318" t="s">
        <v>40</v>
      </c>
      <c r="D5318">
        <v>3.9314269999999998</v>
      </c>
      <c r="E5318">
        <v>0.59705730000000001</v>
      </c>
      <c r="F5318" t="s">
        <v>81</v>
      </c>
      <c r="G5318">
        <v>-510.17590000000001</v>
      </c>
      <c r="H5318">
        <v>6.6000929999999904</v>
      </c>
      <c r="I5318">
        <v>164.8314</v>
      </c>
      <c r="J5318">
        <v>-361.66860000000003</v>
      </c>
      <c r="K5318">
        <v>1.1107860000000001</v>
      </c>
      <c r="L5318">
        <v>141.93010000000001</v>
      </c>
      <c r="M5318">
        <v>-0.99895080000000003</v>
      </c>
      <c r="N5318">
        <v>-2.598719E-2</v>
      </c>
      <c r="O5318">
        <v>-3.7709769999999997E-2</v>
      </c>
      <c r="P5318">
        <v>-0.99346829999999997</v>
      </c>
      <c r="Q5318">
        <v>-6.306747E-2</v>
      </c>
      <c r="R5318">
        <v>-9.509803E-2</v>
      </c>
      <c r="S5318">
        <v>-3.0720830000000001</v>
      </c>
      <c r="T5318">
        <v>0.1132716</v>
      </c>
      <c r="U5318">
        <v>0.47227479999999999</v>
      </c>
      <c r="V5318">
        <v>-5.7535799999999998E-2</v>
      </c>
      <c r="W5318">
        <v>-3.7182310000000003E-2</v>
      </c>
      <c r="X5318">
        <v>0.99765079999999995</v>
      </c>
      <c r="Y5318">
        <v>0.18901380000000001</v>
      </c>
      <c r="Z5318">
        <v>-3.3480269999999999E-3</v>
      </c>
      <c r="AA5318">
        <v>0.98196870000000003</v>
      </c>
      <c r="AB5318">
        <v>53</v>
      </c>
      <c r="AC5318">
        <v>-148.50729999999999</v>
      </c>
      <c r="AD5318">
        <v>5.4893069999999904</v>
      </c>
      <c r="AE5318">
        <v>22.9012999999999</v>
      </c>
      <c r="AF5318">
        <v>28.4491014297536</v>
      </c>
      <c r="AG5318">
        <v>5.4893069999999904</v>
      </c>
      <c r="AH5318">
        <v>147.341072906123</v>
      </c>
      <c r="AI5318">
        <v>87.905046052740204</v>
      </c>
      <c r="AJ5318">
        <v>79.071624596141802</v>
      </c>
      <c r="AK5318">
        <v>150.16283038298201</v>
      </c>
      <c r="AL5318">
        <v>92.130880615075498</v>
      </c>
      <c r="AM5318">
        <v>93.300664950186004</v>
      </c>
      <c r="AN5318">
        <v>1.0000000055995999</v>
      </c>
    </row>
    <row r="5319" spans="1:40" x14ac:dyDescent="0.25">
      <c r="A5319" t="str">
        <f>"20190305135035333"</f>
        <v>20190305135035333</v>
      </c>
      <c r="B5319" t="str">
        <f>"1551765035325330"</f>
        <v>1551765035325330</v>
      </c>
      <c r="C5319" t="s">
        <v>40</v>
      </c>
      <c r="D5319">
        <v>3.9478360000000001</v>
      </c>
      <c r="E5319">
        <v>0.59743610000000003</v>
      </c>
      <c r="F5319" t="s">
        <v>81</v>
      </c>
      <c r="G5319">
        <v>-510.17590000000001</v>
      </c>
      <c r="H5319">
        <v>6.5050549999999996</v>
      </c>
      <c r="I5319">
        <v>164.922</v>
      </c>
      <c r="J5319">
        <v>-362.19299999999998</v>
      </c>
      <c r="K5319">
        <v>1.1107750000000001</v>
      </c>
      <c r="L5319">
        <v>141.91030000000001</v>
      </c>
      <c r="M5319">
        <v>-0.99893920000000003</v>
      </c>
      <c r="N5319">
        <v>-2.6550219999999999E-2</v>
      </c>
      <c r="O5319">
        <v>-3.7624049999999999E-2</v>
      </c>
      <c r="P5319">
        <v>-0.99351179999999994</v>
      </c>
      <c r="Q5319">
        <v>-6.3494750000000003E-2</v>
      </c>
      <c r="R5319">
        <v>-9.4353649999999997E-2</v>
      </c>
      <c r="S5319">
        <v>-3.0723569999999998</v>
      </c>
      <c r="T5319">
        <v>0.1115988</v>
      </c>
      <c r="U5319">
        <v>0.47566219999999998</v>
      </c>
      <c r="V5319">
        <v>-5.6883900000000001E-2</v>
      </c>
      <c r="W5319">
        <v>-3.7034299999999999E-2</v>
      </c>
      <c r="X5319">
        <v>0.99769370000000002</v>
      </c>
      <c r="Y5319">
        <v>0.1899786</v>
      </c>
      <c r="Z5319">
        <v>-3.2421559999999999E-3</v>
      </c>
      <c r="AA5319">
        <v>0.98178290000000001</v>
      </c>
      <c r="AB5319">
        <v>53</v>
      </c>
      <c r="AC5319">
        <v>-147.98289999999901</v>
      </c>
      <c r="AD5319">
        <v>5.3942800000000002</v>
      </c>
      <c r="AE5319">
        <v>23.011699999999902</v>
      </c>
      <c r="AF5319">
        <v>28.528063094868099</v>
      </c>
      <c r="AG5319">
        <v>5.3942800000000002</v>
      </c>
      <c r="AH5319">
        <v>146.82146706394499</v>
      </c>
      <c r="AI5319">
        <v>87.934471893847203</v>
      </c>
      <c r="AJ5319">
        <v>79.004188716639305</v>
      </c>
      <c r="AK5319">
        <v>149.66459778943101</v>
      </c>
      <c r="AL5319">
        <v>92.122394395085806</v>
      </c>
      <c r="AM5319">
        <v>93.263208574017</v>
      </c>
      <c r="AN5319">
        <v>1.00000001823769</v>
      </c>
    </row>
    <row r="5320" spans="1:40" x14ac:dyDescent="0.25">
      <c r="A5320" t="str">
        <f>"20190305135035354"</f>
        <v>20190305135035354</v>
      </c>
      <c r="B5320" t="str">
        <f>"1551765035345826"</f>
        <v>1551765035345826</v>
      </c>
      <c r="C5320" t="s">
        <v>40</v>
      </c>
      <c r="D5320">
        <v>3.9478240000000002</v>
      </c>
      <c r="E5320">
        <v>0.59798879999999999</v>
      </c>
      <c r="F5320" t="s">
        <v>81</v>
      </c>
      <c r="G5320">
        <v>-510.17590000000001</v>
      </c>
      <c r="H5320">
        <v>6.4873269999999996</v>
      </c>
      <c r="I5320">
        <v>165.06989999999999</v>
      </c>
      <c r="J5320">
        <v>-362.70080000000002</v>
      </c>
      <c r="K5320">
        <v>1.11077</v>
      </c>
      <c r="L5320">
        <v>141.8912</v>
      </c>
      <c r="M5320">
        <v>-0.99892890000000001</v>
      </c>
      <c r="N5320">
        <v>-2.7109520000000002E-2</v>
      </c>
      <c r="O5320">
        <v>-3.7501479999999997E-2</v>
      </c>
      <c r="P5320">
        <v>-0.99351630000000002</v>
      </c>
      <c r="Q5320">
        <v>-6.3944890000000004E-2</v>
      </c>
      <c r="R5320">
        <v>-9.4003639999999999E-2</v>
      </c>
      <c r="S5320">
        <v>-3.0723880000000001</v>
      </c>
      <c r="T5320">
        <v>0.11162759999999999</v>
      </c>
      <c r="U5320">
        <v>0.48083500000000001</v>
      </c>
      <c r="V5320">
        <v>-5.6663409999999997E-2</v>
      </c>
      <c r="W5320">
        <v>-3.691473E-2</v>
      </c>
      <c r="X5320">
        <v>0.9977106</v>
      </c>
      <c r="Y5320">
        <v>0.19147149999999999</v>
      </c>
      <c r="Z5320">
        <v>-3.2085640000000001E-3</v>
      </c>
      <c r="AA5320">
        <v>0.9814929</v>
      </c>
      <c r="AB5320">
        <v>53</v>
      </c>
      <c r="AC5320">
        <v>-147.4751</v>
      </c>
      <c r="AD5320">
        <v>5.376557</v>
      </c>
      <c r="AE5320">
        <v>23.1786999999999</v>
      </c>
      <c r="AF5320">
        <v>28.657778723358199</v>
      </c>
      <c r="AG5320">
        <v>5.376557</v>
      </c>
      <c r="AH5320">
        <v>146.31194939224901</v>
      </c>
      <c r="AI5320">
        <v>87.934695488129904</v>
      </c>
      <c r="AJ5320">
        <v>78.917906819783397</v>
      </c>
      <c r="AK5320">
        <v>149.18901494912799</v>
      </c>
      <c r="AL5320">
        <v>92.1155390159647</v>
      </c>
      <c r="AM5320">
        <v>93.250532152015396</v>
      </c>
      <c r="AN5320">
        <v>0.99999994033807804</v>
      </c>
    </row>
    <row r="5321" spans="1:40" x14ac:dyDescent="0.25">
      <c r="A5321" t="str">
        <f>"20190305135035372"</f>
        <v>20190305135035372</v>
      </c>
      <c r="B5321" t="str">
        <f>"1551765035365346"</f>
        <v>1551765035365346</v>
      </c>
      <c r="C5321" t="s">
        <v>40</v>
      </c>
      <c r="D5321">
        <v>3.9375680000000002</v>
      </c>
      <c r="E5321">
        <v>0.59845539999999997</v>
      </c>
      <c r="F5321" t="s">
        <v>81</v>
      </c>
      <c r="G5321">
        <v>-510.17590000000001</v>
      </c>
      <c r="H5321">
        <v>6.4944689999999996</v>
      </c>
      <c r="I5321">
        <v>165.2277</v>
      </c>
      <c r="J5321">
        <v>-363.11989999999997</v>
      </c>
      <c r="K5321">
        <v>1.1107659999999999</v>
      </c>
      <c r="L5321">
        <v>141.87559999999999</v>
      </c>
      <c r="M5321">
        <v>-0.99892110000000001</v>
      </c>
      <c r="N5321">
        <v>-2.7578040000000002E-2</v>
      </c>
      <c r="O5321">
        <v>-3.7366580000000003E-2</v>
      </c>
      <c r="P5321">
        <v>-0.99349180000000004</v>
      </c>
      <c r="Q5321">
        <v>-6.4273940000000002E-2</v>
      </c>
      <c r="R5321">
        <v>-9.4038670000000005E-2</v>
      </c>
      <c r="S5321">
        <v>-3.072784</v>
      </c>
      <c r="T5321">
        <v>0.11217530000000001</v>
      </c>
      <c r="U5321">
        <v>0.48623660000000002</v>
      </c>
      <c r="V5321">
        <v>-5.683879E-2</v>
      </c>
      <c r="W5321">
        <v>-3.6767660000000001E-2</v>
      </c>
      <c r="X5321">
        <v>0.99770610000000004</v>
      </c>
      <c r="Y5321">
        <v>0.19300300000000001</v>
      </c>
      <c r="Z5321">
        <v>-3.2006230000000001E-3</v>
      </c>
      <c r="AA5321">
        <v>0.98119290000000003</v>
      </c>
      <c r="AB5321">
        <v>52</v>
      </c>
      <c r="AC5321">
        <v>-147.05600000000001</v>
      </c>
      <c r="AD5321">
        <v>5.3837029999999997</v>
      </c>
      <c r="AE5321">
        <v>23.3521</v>
      </c>
      <c r="AF5321">
        <v>28.795204702489301</v>
      </c>
      <c r="AG5321">
        <v>5.3837029999999997</v>
      </c>
      <c r="AH5321">
        <v>145.889577618228</v>
      </c>
      <c r="AI5321">
        <v>87.926562671627195</v>
      </c>
      <c r="AJ5321">
        <v>78.834662765178095</v>
      </c>
      <c r="AK5321">
        <v>148.80160257697301</v>
      </c>
      <c r="AL5321">
        <v>92.107106705762405</v>
      </c>
      <c r="AM5321">
        <v>93.260585936886898</v>
      </c>
      <c r="AN5321">
        <v>0.99999998542387403</v>
      </c>
    </row>
    <row r="5322" spans="1:40" x14ac:dyDescent="0.25">
      <c r="A5322" t="str">
        <f>"20190305135035387"</f>
        <v>20190305135035387</v>
      </c>
      <c r="B5322" t="str">
        <f>"1551765035375107"</f>
        <v>1551765035375107</v>
      </c>
      <c r="C5322" t="s">
        <v>40</v>
      </c>
      <c r="D5322">
        <v>3.9460829999999998</v>
      </c>
      <c r="E5322">
        <v>0.59872760000000003</v>
      </c>
      <c r="F5322" t="s">
        <v>81</v>
      </c>
      <c r="G5322">
        <v>-510.17590000000001</v>
      </c>
      <c r="H5322">
        <v>6.5274720000000004</v>
      </c>
      <c r="I5322">
        <v>165.30609999999999</v>
      </c>
      <c r="J5322">
        <v>-363.47399999999999</v>
      </c>
      <c r="K5322">
        <v>1.1107590000000001</v>
      </c>
      <c r="L5322">
        <v>141.86250000000001</v>
      </c>
      <c r="M5322">
        <v>-0.99891549999999996</v>
      </c>
      <c r="N5322">
        <v>-2.79796E-2</v>
      </c>
      <c r="O5322">
        <v>-3.7220000000000003E-2</v>
      </c>
      <c r="P5322">
        <v>-0.99340949999999995</v>
      </c>
      <c r="Q5322">
        <v>-6.5061579999999994E-2</v>
      </c>
      <c r="R5322">
        <v>-9.4366220000000001E-2</v>
      </c>
      <c r="S5322">
        <v>-3.0733030000000001</v>
      </c>
      <c r="T5322">
        <v>0.1132039</v>
      </c>
      <c r="U5322">
        <v>0.48966979999999999</v>
      </c>
      <c r="V5322">
        <v>-5.73199E-2</v>
      </c>
      <c r="W5322">
        <v>-3.7148649999999998E-2</v>
      </c>
      <c r="X5322">
        <v>0.99766449999999995</v>
      </c>
      <c r="Y5322">
        <v>0.1939014</v>
      </c>
      <c r="Z5322">
        <v>-3.2137839999999999E-3</v>
      </c>
      <c r="AA5322">
        <v>0.98101570000000005</v>
      </c>
      <c r="AB5322">
        <v>52</v>
      </c>
      <c r="AC5322">
        <v>-146.70189999999999</v>
      </c>
      <c r="AD5322">
        <v>5.4167129999999997</v>
      </c>
      <c r="AE5322">
        <v>23.443599999999901</v>
      </c>
      <c r="AF5322">
        <v>28.851370992221501</v>
      </c>
      <c r="AG5322">
        <v>5.4167129999999997</v>
      </c>
      <c r="AH5322">
        <v>145.53378812128901</v>
      </c>
      <c r="AI5322">
        <v>87.909110544050705</v>
      </c>
      <c r="AJ5322">
        <v>78.786777171704202</v>
      </c>
      <c r="AK5322">
        <v>148.464897779871</v>
      </c>
      <c r="AL5322">
        <v>92.128950666956896</v>
      </c>
      <c r="AM5322">
        <v>93.288261556307702</v>
      </c>
      <c r="AN5322">
        <v>1.0000000238465401</v>
      </c>
    </row>
    <row r="5323" spans="1:40" x14ac:dyDescent="0.25">
      <c r="A5323" t="str">
        <f>"20190305135035403"</f>
        <v>20190305135035403</v>
      </c>
      <c r="B5323" t="str">
        <f>"1551765035395603"</f>
        <v>1551765035395603</v>
      </c>
      <c r="C5323" t="s">
        <v>40</v>
      </c>
      <c r="D5323">
        <v>3.9408859999999999</v>
      </c>
      <c r="E5323">
        <v>0.59920309999999999</v>
      </c>
      <c r="F5323" t="s">
        <v>81</v>
      </c>
      <c r="G5323">
        <v>-510.17590000000001</v>
      </c>
      <c r="H5323">
        <v>6.487768</v>
      </c>
      <c r="I5323">
        <v>165.27510000000001</v>
      </c>
      <c r="J5323">
        <v>-363.84300000000002</v>
      </c>
      <c r="K5323">
        <v>1.1107560000000001</v>
      </c>
      <c r="L5323">
        <v>141.84889999999999</v>
      </c>
      <c r="M5323">
        <v>-0.99891050000000003</v>
      </c>
      <c r="N5323">
        <v>-2.8406049999999999E-2</v>
      </c>
      <c r="O5323">
        <v>-3.702718E-2</v>
      </c>
      <c r="P5323">
        <v>-0.99335810000000002</v>
      </c>
      <c r="Q5323">
        <v>-6.5570370000000003E-2</v>
      </c>
      <c r="R5323">
        <v>-9.4553680000000001E-2</v>
      </c>
      <c r="S5323">
        <v>-3.0738829999999999</v>
      </c>
      <c r="T5323">
        <v>0.11266669999999999</v>
      </c>
      <c r="U5323">
        <v>0.49057010000000001</v>
      </c>
      <c r="V5323">
        <v>-5.7706979999999998E-2</v>
      </c>
      <c r="W5323">
        <v>-3.7224769999999997E-2</v>
      </c>
      <c r="X5323">
        <v>0.99763930000000001</v>
      </c>
      <c r="Y5323">
        <v>0.193966</v>
      </c>
      <c r="Z5323">
        <v>-3.1513420000000001E-3</v>
      </c>
      <c r="AA5323">
        <v>0.98100319999999996</v>
      </c>
      <c r="AB5323">
        <v>52</v>
      </c>
      <c r="AC5323">
        <v>-146.3329</v>
      </c>
      <c r="AD5323">
        <v>5.3770119999999997</v>
      </c>
      <c r="AE5323">
        <v>23.426200000000001</v>
      </c>
      <c r="AF5323">
        <v>28.7926999374932</v>
      </c>
      <c r="AG5323">
        <v>5.3770119999999997</v>
      </c>
      <c r="AH5323">
        <v>145.173600797669</v>
      </c>
      <c r="AI5323">
        <v>87.919311593867405</v>
      </c>
      <c r="AJ5323">
        <v>78.781941432510195</v>
      </c>
      <c r="AK5323">
        <v>148.09897432561601</v>
      </c>
      <c r="AL5323">
        <v>92.133315142449902</v>
      </c>
      <c r="AM5323">
        <v>93.310501326242502</v>
      </c>
      <c r="AN5323">
        <v>0.99999997597338097</v>
      </c>
    </row>
    <row r="5324" spans="1:40" x14ac:dyDescent="0.25">
      <c r="A5324" t="str">
        <f>"20190305135035417"</f>
        <v>20190305135035417</v>
      </c>
      <c r="B5324" t="str">
        <f>"1551765035405363"</f>
        <v>1551765035405363</v>
      </c>
      <c r="C5324" t="s">
        <v>40</v>
      </c>
      <c r="D5324">
        <v>4.000292</v>
      </c>
      <c r="E5324">
        <v>0.5994218</v>
      </c>
      <c r="F5324" t="s">
        <v>81</v>
      </c>
      <c r="G5324">
        <v>-510.17590000000001</v>
      </c>
      <c r="H5324">
        <v>6.502656</v>
      </c>
      <c r="I5324">
        <v>165.3398</v>
      </c>
      <c r="J5324">
        <v>-364.14359999999999</v>
      </c>
      <c r="K5324">
        <v>1.110749</v>
      </c>
      <c r="L5324">
        <v>141.83779999999999</v>
      </c>
      <c r="M5324">
        <v>-0.99890730000000005</v>
      </c>
      <c r="N5324">
        <v>-2.8759570000000002E-2</v>
      </c>
      <c r="O5324">
        <v>-3.6839370000000003E-2</v>
      </c>
      <c r="P5324">
        <v>-0.99332770000000004</v>
      </c>
      <c r="Q5324">
        <v>-6.5934649999999997E-2</v>
      </c>
      <c r="R5324">
        <v>-9.4618889999999997E-2</v>
      </c>
      <c r="S5324">
        <v>-3.074554</v>
      </c>
      <c r="T5324">
        <v>0.1132884</v>
      </c>
      <c r="U5324">
        <v>0.49356080000000002</v>
      </c>
      <c r="V5324">
        <v>-5.796432E-2</v>
      </c>
      <c r="W5324">
        <v>-3.7229739999999997E-2</v>
      </c>
      <c r="X5324">
        <v>0.99762419999999996</v>
      </c>
      <c r="Y5324">
        <v>0.1946784</v>
      </c>
      <c r="Z5324">
        <v>-3.1454930000000001E-3</v>
      </c>
      <c r="AA5324">
        <v>0.98086209999999996</v>
      </c>
      <c r="AB5324">
        <v>52</v>
      </c>
      <c r="AC5324">
        <v>-146.03229999999999</v>
      </c>
      <c r="AD5324">
        <v>5.3919069999999998</v>
      </c>
      <c r="AE5324">
        <v>23.501999999999999</v>
      </c>
      <c r="AF5324">
        <v>28.8296868202873</v>
      </c>
      <c r="AG5324">
        <v>5.3919069999999998</v>
      </c>
      <c r="AH5324">
        <v>144.87441519829301</v>
      </c>
      <c r="AI5324">
        <v>87.909513361118897</v>
      </c>
      <c r="AJ5324">
        <v>78.745292622399802</v>
      </c>
      <c r="AK5324">
        <v>147.81346245284999</v>
      </c>
      <c r="AL5324">
        <v>92.133600091027702</v>
      </c>
      <c r="AM5324">
        <v>93.325281425029004</v>
      </c>
      <c r="AN5324">
        <v>0.99999998017958402</v>
      </c>
    </row>
    <row r="5325" spans="1:40" x14ac:dyDescent="0.25">
      <c r="A5325" t="str">
        <f>"20190305135035429"</f>
        <v>20190305135035429</v>
      </c>
      <c r="B5325" t="str">
        <f>"1551765035424882"</f>
        <v>1551765035424882</v>
      </c>
      <c r="C5325" t="s">
        <v>40</v>
      </c>
      <c r="D5325">
        <v>3.9655860000000001</v>
      </c>
      <c r="E5325">
        <v>0.59972760000000003</v>
      </c>
      <c r="F5325" t="s">
        <v>81</v>
      </c>
      <c r="G5325">
        <v>-510.17590000000001</v>
      </c>
      <c r="H5325">
        <v>6.4944059999999997</v>
      </c>
      <c r="I5325">
        <v>165.35239999999999</v>
      </c>
      <c r="J5325">
        <v>-364.43799999999999</v>
      </c>
      <c r="K5325">
        <v>1.1107419999999999</v>
      </c>
      <c r="L5325">
        <v>141.8271</v>
      </c>
      <c r="M5325">
        <v>-0.99890480000000004</v>
      </c>
      <c r="N5325">
        <v>-2.9110279999999999E-2</v>
      </c>
      <c r="O5325">
        <v>-3.663313E-2</v>
      </c>
      <c r="P5325">
        <v>-0.99327030000000005</v>
      </c>
      <c r="Q5325">
        <v>-6.6470920000000003E-2</v>
      </c>
      <c r="R5325">
        <v>-9.4848799999999997E-2</v>
      </c>
      <c r="S5325">
        <v>-3.0748289999999998</v>
      </c>
      <c r="T5325">
        <v>0.1133581</v>
      </c>
      <c r="U5325">
        <v>0.49511719999999998</v>
      </c>
      <c r="V5325">
        <v>-5.8406800000000002E-2</v>
      </c>
      <c r="W5325">
        <v>-3.7409629999999999E-2</v>
      </c>
      <c r="X5325">
        <v>0.99759169999999997</v>
      </c>
      <c r="Y5325">
        <v>0.19494719999999999</v>
      </c>
      <c r="Z5325">
        <v>-3.1136570000000001E-3</v>
      </c>
      <c r="AA5325">
        <v>0.98080880000000004</v>
      </c>
      <c r="AB5325">
        <v>51</v>
      </c>
      <c r="AC5325">
        <v>-145.737899999999</v>
      </c>
      <c r="AD5325">
        <v>5.3836639999999996</v>
      </c>
      <c r="AE5325">
        <v>23.525299999999898</v>
      </c>
      <c r="AF5325">
        <v>28.8122751928897</v>
      </c>
      <c r="AG5325">
        <v>5.3836639999999996</v>
      </c>
      <c r="AH5325">
        <v>144.58553107451399</v>
      </c>
      <c r="AI5325">
        <v>87.908650601263204</v>
      </c>
      <c r="AJ5325">
        <v>78.730017340442302</v>
      </c>
      <c r="AK5325">
        <v>147.52663093812899</v>
      </c>
      <c r="AL5325">
        <v>92.143914134435903</v>
      </c>
      <c r="AM5325">
        <v>93.350716792246999</v>
      </c>
      <c r="AN5325">
        <v>1.00000001730593</v>
      </c>
    </row>
    <row r="5326" spans="1:40" x14ac:dyDescent="0.25">
      <c r="A5326" t="str">
        <f>"20190305135035443"</f>
        <v>20190305135035443</v>
      </c>
      <c r="B5326" t="str">
        <f>"1551765035435618"</f>
        <v>1551765035435618</v>
      </c>
      <c r="C5326" t="s">
        <v>40</v>
      </c>
      <c r="D5326">
        <v>3.9864929999999998</v>
      </c>
      <c r="E5326">
        <v>0.59994749999999997</v>
      </c>
      <c r="F5326" t="s">
        <v>81</v>
      </c>
      <c r="G5326">
        <v>-510.17590000000001</v>
      </c>
      <c r="H5326">
        <v>6.4450789999999998</v>
      </c>
      <c r="I5326">
        <v>165.37629999999999</v>
      </c>
      <c r="J5326">
        <v>-364.74209999999999</v>
      </c>
      <c r="K5326">
        <v>1.110725</v>
      </c>
      <c r="L5326">
        <v>141.81620000000001</v>
      </c>
      <c r="M5326">
        <v>-0.99890380000000001</v>
      </c>
      <c r="N5326">
        <v>-2.9472109999999999E-2</v>
      </c>
      <c r="O5326">
        <v>-3.6366179999999998E-2</v>
      </c>
      <c r="P5326">
        <v>-0.99315739999999997</v>
      </c>
      <c r="Q5326">
        <v>-6.7396860000000003E-2</v>
      </c>
      <c r="R5326">
        <v>-9.5373390000000002E-2</v>
      </c>
      <c r="S5326">
        <v>-3.075256</v>
      </c>
      <c r="T5326">
        <v>0.1125622</v>
      </c>
      <c r="U5326">
        <v>0.49691770000000002</v>
      </c>
      <c r="V5326">
        <v>-5.9207080000000002E-2</v>
      </c>
      <c r="W5326">
        <v>-3.7967569999999999E-2</v>
      </c>
      <c r="X5326">
        <v>0.99752339999999995</v>
      </c>
      <c r="Y5326">
        <v>0.1952266</v>
      </c>
      <c r="Z5326">
        <v>-3.039206E-3</v>
      </c>
      <c r="AA5326">
        <v>0.98075349999999994</v>
      </c>
      <c r="AB5326">
        <v>51</v>
      </c>
      <c r="AC5326">
        <v>-145.43379999999999</v>
      </c>
      <c r="AD5326">
        <v>5.3343539999999896</v>
      </c>
      <c r="AE5326">
        <v>23.560099999999899</v>
      </c>
      <c r="AF5326">
        <v>28.797920334759901</v>
      </c>
      <c r="AG5326">
        <v>5.3343539999999896</v>
      </c>
      <c r="AH5326">
        <v>144.29119629408601</v>
      </c>
      <c r="AI5326">
        <v>87.923687711999094</v>
      </c>
      <c r="AJ5326">
        <v>78.713099859292399</v>
      </c>
      <c r="AK5326">
        <v>147.23357251721799</v>
      </c>
      <c r="AL5326">
        <v>92.175904563631406</v>
      </c>
      <c r="AM5326">
        <v>93.396752995295401</v>
      </c>
      <c r="AN5326">
        <v>0.99999997412069497</v>
      </c>
    </row>
    <row r="5327" spans="1:40" x14ac:dyDescent="0.25">
      <c r="A5327" t="str">
        <f>"20190305135035466"</f>
        <v>20190305135035466</v>
      </c>
      <c r="B5327" t="str">
        <f>"1551765035455139"</f>
        <v>1551765035455139</v>
      </c>
      <c r="C5327" t="s">
        <v>40</v>
      </c>
      <c r="D5327">
        <v>3.97844</v>
      </c>
      <c r="E5327">
        <v>0.60042379999999995</v>
      </c>
      <c r="F5327" t="s">
        <v>81</v>
      </c>
      <c r="G5327">
        <v>-510.17579999999998</v>
      </c>
      <c r="H5327">
        <v>6.3402349999999998</v>
      </c>
      <c r="I5327">
        <v>165.3092</v>
      </c>
      <c r="J5327">
        <v>-365.26119999999997</v>
      </c>
      <c r="K5327">
        <v>1.1106830000000001</v>
      </c>
      <c r="L5327">
        <v>141.7978</v>
      </c>
      <c r="M5327">
        <v>-0.99890520000000005</v>
      </c>
      <c r="N5327">
        <v>-3.007309E-2</v>
      </c>
      <c r="O5327">
        <v>-3.5831670000000003E-2</v>
      </c>
      <c r="P5327">
        <v>-0.9930831</v>
      </c>
      <c r="Q5327">
        <v>-6.7662959999999994E-2</v>
      </c>
      <c r="R5327">
        <v>-9.5956970000000003E-2</v>
      </c>
      <c r="S5327">
        <v>-3.0758969999999999</v>
      </c>
      <c r="T5327">
        <v>0.11060399999999999</v>
      </c>
      <c r="U5327">
        <v>0.49687189999999998</v>
      </c>
      <c r="V5327">
        <v>-6.0336090000000002E-2</v>
      </c>
      <c r="W5327">
        <v>-3.7617600000000001E-2</v>
      </c>
      <c r="X5327">
        <v>0.99746900000000005</v>
      </c>
      <c r="Y5327">
        <v>0.1946619</v>
      </c>
      <c r="Z5327">
        <v>-2.8796239999999999E-3</v>
      </c>
      <c r="AA5327">
        <v>0.98086620000000002</v>
      </c>
      <c r="AB5327">
        <v>51</v>
      </c>
      <c r="AC5327">
        <v>-144.91460000000001</v>
      </c>
      <c r="AD5327">
        <v>5.229552</v>
      </c>
      <c r="AE5327">
        <v>23.511399999999998</v>
      </c>
      <c r="AF5327">
        <v>28.654810730929601</v>
      </c>
      <c r="AG5327">
        <v>5.229552</v>
      </c>
      <c r="AH5327">
        <v>143.796163181926</v>
      </c>
      <c r="AI5327">
        <v>87.957323260032794</v>
      </c>
      <c r="AJ5327">
        <v>78.730079888188897</v>
      </c>
      <c r="AK5327">
        <v>146.716675732478</v>
      </c>
      <c r="AL5327">
        <v>92.155838439750895</v>
      </c>
      <c r="AM5327">
        <v>93.461557418666501</v>
      </c>
      <c r="AN5327">
        <v>0.99999996677362302</v>
      </c>
    </row>
    <row r="5328" spans="1:40" x14ac:dyDescent="0.25">
      <c r="A5328" t="str">
        <f>"20190305135035483"</f>
        <v>20190305135035483</v>
      </c>
      <c r="B5328" t="str">
        <f>"1551765035475636"</f>
        <v>1551765035475636</v>
      </c>
      <c r="C5328" t="s">
        <v>40</v>
      </c>
      <c r="D5328">
        <v>3.982027</v>
      </c>
      <c r="E5328">
        <v>0.60091919999999899</v>
      </c>
      <c r="F5328" t="s">
        <v>81</v>
      </c>
      <c r="G5328">
        <v>-510.17590000000001</v>
      </c>
      <c r="H5328">
        <v>6.3969899999999997</v>
      </c>
      <c r="I5328">
        <v>165.28620000000001</v>
      </c>
      <c r="J5328">
        <v>-365.64600000000002</v>
      </c>
      <c r="K5328">
        <v>1.1106339999999999</v>
      </c>
      <c r="L5328">
        <v>141.78440000000001</v>
      </c>
      <c r="M5328">
        <v>-0.99891010000000002</v>
      </c>
      <c r="N5328">
        <v>-3.0491219999999999E-2</v>
      </c>
      <c r="O5328">
        <v>-3.5341930000000001E-2</v>
      </c>
      <c r="P5328">
        <v>-0.99305619999999994</v>
      </c>
      <c r="Q5328">
        <v>-6.7741739999999995E-2</v>
      </c>
      <c r="R5328">
        <v>-9.6180070000000006E-2</v>
      </c>
      <c r="S5328">
        <v>-3.076721</v>
      </c>
      <c r="T5328">
        <v>0.1122358</v>
      </c>
      <c r="U5328">
        <v>0.49868770000000001</v>
      </c>
      <c r="V5328">
        <v>-6.1056510000000001E-2</v>
      </c>
      <c r="W5328">
        <v>-3.726455E-2</v>
      </c>
      <c r="X5328">
        <v>0.99743839999999995</v>
      </c>
      <c r="Y5328">
        <v>0.1947025</v>
      </c>
      <c r="Z5328">
        <v>-2.8894770000000001E-3</v>
      </c>
      <c r="AA5328">
        <v>0.98085809999999996</v>
      </c>
      <c r="AB5328">
        <v>50</v>
      </c>
      <c r="AC5328">
        <v>-144.5299</v>
      </c>
      <c r="AD5328">
        <v>5.2863559999999996</v>
      </c>
      <c r="AE5328">
        <v>23.501799999999999</v>
      </c>
      <c r="AF5328">
        <v>28.560221462139999</v>
      </c>
      <c r="AG5328">
        <v>5.2863559999999996</v>
      </c>
      <c r="AH5328">
        <v>143.42161032166001</v>
      </c>
      <c r="AI5328">
        <v>87.929711678340695</v>
      </c>
      <c r="AJ5328">
        <v>78.737745825809498</v>
      </c>
      <c r="AK5328">
        <v>146.33314770407699</v>
      </c>
      <c r="AL5328">
        <v>92.1355960002887</v>
      </c>
      <c r="AM5328">
        <v>93.5028937111083</v>
      </c>
      <c r="AN5328">
        <v>0.99999995294732003</v>
      </c>
    </row>
    <row r="5329" spans="1:40" x14ac:dyDescent="0.25">
      <c r="A5329" t="str">
        <f>"20190305135035500"</f>
        <v>20190305135035500</v>
      </c>
      <c r="B5329" t="str">
        <f>"1551765035495254"</f>
        <v>1551765035495254</v>
      </c>
      <c r="C5329" t="s">
        <v>40</v>
      </c>
      <c r="D5329">
        <v>3.9942440000000001</v>
      </c>
      <c r="E5329">
        <v>0.60136899999999904</v>
      </c>
      <c r="F5329" t="s">
        <v>81</v>
      </c>
      <c r="G5329">
        <v>-510.17590000000001</v>
      </c>
      <c r="H5329">
        <v>6.4460300000000004</v>
      </c>
      <c r="I5329">
        <v>165.35769999999999</v>
      </c>
      <c r="J5329">
        <v>-366.0145</v>
      </c>
      <c r="K5329">
        <v>1.110573</v>
      </c>
      <c r="L5329">
        <v>141.77180000000001</v>
      </c>
      <c r="M5329">
        <v>-0.99891750000000001</v>
      </c>
      <c r="N5329">
        <v>-3.087208E-2</v>
      </c>
      <c r="O5329">
        <v>-3.4797809999999998E-2</v>
      </c>
      <c r="P5329">
        <v>-0.993008</v>
      </c>
      <c r="Q5329">
        <v>-6.7672109999999994E-2</v>
      </c>
      <c r="R5329">
        <v>-9.6727300000000002E-2</v>
      </c>
      <c r="S5329">
        <v>-3.0773320000000002</v>
      </c>
      <c r="T5329">
        <v>0.1136022</v>
      </c>
      <c r="U5329">
        <v>0.5019226</v>
      </c>
      <c r="V5329">
        <v>-6.2156219999999998E-2</v>
      </c>
      <c r="W5329">
        <v>-3.6799390000000001E-2</v>
      </c>
      <c r="X5329">
        <v>0.99738780000000005</v>
      </c>
      <c r="Y5329">
        <v>0.19514129999999999</v>
      </c>
      <c r="Z5329">
        <v>-2.8868800000000001E-3</v>
      </c>
      <c r="AA5329">
        <v>0.9807709</v>
      </c>
      <c r="AB5329">
        <v>50</v>
      </c>
      <c r="AC5329">
        <v>-144.16139999999999</v>
      </c>
      <c r="AD5329">
        <v>5.3354569999999999</v>
      </c>
      <c r="AE5329">
        <v>23.585899999999899</v>
      </c>
      <c r="AF5329">
        <v>28.5524046095716</v>
      </c>
      <c r="AG5329">
        <v>5.3354569999999999</v>
      </c>
      <c r="AH5329">
        <v>143.06202726286099</v>
      </c>
      <c r="AI5329">
        <v>87.905430966780301</v>
      </c>
      <c r="AJ5329">
        <v>78.713175255537607</v>
      </c>
      <c r="AK5329">
        <v>145.98099381408201</v>
      </c>
      <c r="AL5329">
        <v>92.108925886099698</v>
      </c>
      <c r="AM5329">
        <v>93.566004629490806</v>
      </c>
      <c r="AN5329">
        <v>1.0000000071889501</v>
      </c>
    </row>
    <row r="5330" spans="1:40" x14ac:dyDescent="0.25">
      <c r="A5330" t="str">
        <f>"20190305135035515"</f>
        <v>20190305135035515</v>
      </c>
      <c r="B5330" t="str">
        <f>"1551765035504989"</f>
        <v>1551765035504989</v>
      </c>
      <c r="C5330" t="s">
        <v>40</v>
      </c>
      <c r="D5330">
        <v>4.0196949999999996</v>
      </c>
      <c r="E5330">
        <v>0.60136899999999904</v>
      </c>
      <c r="F5330" t="s">
        <v>81</v>
      </c>
      <c r="G5330">
        <v>-510.17590000000001</v>
      </c>
      <c r="H5330">
        <v>6.5292589999999997</v>
      </c>
      <c r="I5330">
        <v>165.3554</v>
      </c>
      <c r="J5330">
        <v>-366.35640000000001</v>
      </c>
      <c r="K5330">
        <v>1.110509</v>
      </c>
      <c r="L5330">
        <v>141.7604</v>
      </c>
      <c r="M5330">
        <v>-0.9989268</v>
      </c>
      <c r="N5330">
        <v>-3.1210149999999999E-2</v>
      </c>
      <c r="O5330">
        <v>-3.4224930000000001E-2</v>
      </c>
      <c r="P5330">
        <v>-0.99297670000000005</v>
      </c>
      <c r="Q5330">
        <v>-6.819124E-2</v>
      </c>
      <c r="R5330">
        <v>-9.6682820000000003E-2</v>
      </c>
      <c r="S5330">
        <v>-3.078033</v>
      </c>
      <c r="T5330">
        <v>0.11569690000000001</v>
      </c>
      <c r="U5330">
        <v>0.50353999999999999</v>
      </c>
      <c r="V5330">
        <v>-6.2693250000000006E-2</v>
      </c>
      <c r="W5330">
        <v>-3.6966430000000002E-2</v>
      </c>
      <c r="X5330">
        <v>0.99734800000000001</v>
      </c>
      <c r="Y5330">
        <v>0.1950431</v>
      </c>
      <c r="Z5330">
        <v>-2.9138229999999998E-3</v>
      </c>
      <c r="AA5330">
        <v>0.9807903</v>
      </c>
      <c r="AB5330">
        <v>50</v>
      </c>
      <c r="AC5330">
        <v>-143.81950000000001</v>
      </c>
      <c r="AD5330">
        <v>5.4187499999999904</v>
      </c>
      <c r="AE5330">
        <v>23.594999999999999</v>
      </c>
      <c r="AF5330">
        <v>28.466423011480899</v>
      </c>
      <c r="AG5330">
        <v>5.4187499999999904</v>
      </c>
      <c r="AH5330">
        <v>142.72992402081201</v>
      </c>
      <c r="AI5330">
        <v>87.867760496941003</v>
      </c>
      <c r="AJ5330">
        <v>78.720780744867795</v>
      </c>
      <c r="AK5330">
        <v>145.64179105468901</v>
      </c>
      <c r="AL5330">
        <v>92.118503111408202</v>
      </c>
      <c r="AM5330">
        <v>93.596877544567704</v>
      </c>
      <c r="AN5330">
        <v>0.99999999682325302</v>
      </c>
    </row>
    <row r="5331" spans="1:40" x14ac:dyDescent="0.25">
      <c r="A5331" t="str">
        <f>"20190305135035534"</f>
        <v>20190305135035534</v>
      </c>
      <c r="B5331" t="str">
        <f>"1551765035525484"</f>
        <v>1551765035525484</v>
      </c>
      <c r="C5331" t="s">
        <v>40</v>
      </c>
      <c r="D5331">
        <v>4.0098140000000004</v>
      </c>
      <c r="E5331">
        <v>0.61183609999999999</v>
      </c>
      <c r="F5331" t="s">
        <v>81</v>
      </c>
      <c r="G5331">
        <v>-510.17590000000001</v>
      </c>
      <c r="H5331">
        <v>6.4489989999999997</v>
      </c>
      <c r="I5331">
        <v>165.29329999999999</v>
      </c>
      <c r="J5331">
        <v>-366.75940000000003</v>
      </c>
      <c r="K5331">
        <v>1.1104179999999999</v>
      </c>
      <c r="L5331">
        <v>141.7473</v>
      </c>
      <c r="M5331">
        <v>-0.99894079999999996</v>
      </c>
      <c r="N5331">
        <v>-3.1589239999999998E-2</v>
      </c>
      <c r="O5331">
        <v>-3.3456449999999999E-2</v>
      </c>
      <c r="P5331">
        <v>-0.99286790000000003</v>
      </c>
      <c r="Q5331">
        <v>-6.9106580000000001E-2</v>
      </c>
      <c r="R5331">
        <v>-9.7147159999999996E-2</v>
      </c>
      <c r="S5331">
        <v>-3.0780940000000001</v>
      </c>
      <c r="T5331">
        <v>0.11425780000000001</v>
      </c>
      <c r="U5331">
        <v>0.5036621</v>
      </c>
      <c r="V5331">
        <v>-6.3938910000000002E-2</v>
      </c>
      <c r="W5331">
        <v>-3.748539E-2</v>
      </c>
      <c r="X5331">
        <v>0.99724950000000001</v>
      </c>
      <c r="Y5331">
        <v>0.1943291</v>
      </c>
      <c r="Z5331">
        <v>-2.7739969999999998E-3</v>
      </c>
      <c r="AA5331">
        <v>0.98093249999999999</v>
      </c>
      <c r="AB5331">
        <v>49</v>
      </c>
      <c r="AC5331">
        <v>-143.41649999999899</v>
      </c>
      <c r="AD5331">
        <v>5.3385809999999996</v>
      </c>
      <c r="AE5331">
        <v>23.5459999999999</v>
      </c>
      <c r="AF5331">
        <v>28.295229955185899</v>
      </c>
      <c r="AG5331">
        <v>5.3385809999999996</v>
      </c>
      <c r="AH5331">
        <v>142.355894903951</v>
      </c>
      <c r="AI5331">
        <v>87.893489954218794</v>
      </c>
      <c r="AJ5331">
        <v>78.758176405848005</v>
      </c>
      <c r="AK5331">
        <v>145.23884225376901</v>
      </c>
      <c r="AL5331">
        <v>92.148258049798301</v>
      </c>
      <c r="AM5331">
        <v>93.668512443517699</v>
      </c>
      <c r="AN5331">
        <v>0.99999995196284397</v>
      </c>
    </row>
    <row r="5332" spans="1:40" x14ac:dyDescent="0.25">
      <c r="A5332" t="str">
        <f>"20190305135035555"</f>
        <v>20190305135035555</v>
      </c>
      <c r="B5332" t="str">
        <f>"1551765035545004"</f>
        <v>1551765035545004</v>
      </c>
      <c r="C5332" t="s">
        <v>40</v>
      </c>
      <c r="D5332">
        <v>4.4356350000000004</v>
      </c>
      <c r="E5332">
        <v>0.61214709999999894</v>
      </c>
      <c r="F5332" t="s">
        <v>82</v>
      </c>
      <c r="G5332">
        <v>-469.17880000000002</v>
      </c>
      <c r="H5332">
        <v>6.3138500000000004</v>
      </c>
      <c r="I5332">
        <v>161.09209999999999</v>
      </c>
      <c r="J5332">
        <v>-367.22930000000002</v>
      </c>
      <c r="K5332">
        <v>1.1103069999999999</v>
      </c>
      <c r="L5332">
        <v>141.73259999999999</v>
      </c>
      <c r="M5332">
        <v>-0.99896169999999995</v>
      </c>
      <c r="N5332">
        <v>-3.2005119999999998E-2</v>
      </c>
      <c r="O5332">
        <v>-3.242395E-2</v>
      </c>
      <c r="P5332">
        <v>-0.99273659999999997</v>
      </c>
      <c r="Q5332">
        <v>-7.0081080000000004E-2</v>
      </c>
      <c r="R5332">
        <v>-9.7792550000000006E-2</v>
      </c>
      <c r="S5332">
        <v>-3.0895999999999999</v>
      </c>
      <c r="T5332">
        <v>0.15696749999999901</v>
      </c>
      <c r="U5332">
        <v>0.58355709999999905</v>
      </c>
      <c r="V5332">
        <v>-6.5632259999999998E-2</v>
      </c>
      <c r="W5332">
        <v>-3.8022E-2</v>
      </c>
      <c r="X5332">
        <v>0.99711919999999998</v>
      </c>
      <c r="Y5332">
        <v>0.2171717</v>
      </c>
      <c r="Z5332">
        <v>-4.6175809999999999E-3</v>
      </c>
      <c r="AA5332">
        <v>0.9761225</v>
      </c>
      <c r="AB5332">
        <v>49</v>
      </c>
      <c r="AC5332">
        <v>-101.9495</v>
      </c>
      <c r="AD5332">
        <v>5.2035429999999998</v>
      </c>
      <c r="AE5332">
        <v>19.359500000000001</v>
      </c>
      <c r="AF5332">
        <v>22.599783964815</v>
      </c>
      <c r="AG5332">
        <v>5.2035429999999998</v>
      </c>
      <c r="AH5332">
        <v>101.013812934444</v>
      </c>
      <c r="AI5332">
        <v>87.1221406498112</v>
      </c>
      <c r="AJ5332">
        <v>77.388914364243206</v>
      </c>
      <c r="AK5332">
        <v>103.64177487173799</v>
      </c>
      <c r="AL5332">
        <v>92.179025408132603</v>
      </c>
      <c r="AM5332">
        <v>93.7658835855012</v>
      </c>
      <c r="AN5332">
        <v>0.99999998252267297</v>
      </c>
    </row>
    <row r="5333" spans="1:40" x14ac:dyDescent="0.25">
      <c r="A5333" t="str">
        <f>"20190305135035611"</f>
        <v>20190305135035611</v>
      </c>
      <c r="B5333" t="str">
        <f>"1551765035605519"</f>
        <v>1551765035605519</v>
      </c>
      <c r="C5333" t="s">
        <v>40</v>
      </c>
      <c r="D5333">
        <v>4.2301900000000003</v>
      </c>
      <c r="E5333">
        <v>0.43425140000000001</v>
      </c>
      <c r="F5333" t="s">
        <v>82</v>
      </c>
      <c r="G5333">
        <v>-469.7056</v>
      </c>
      <c r="H5333">
        <v>6.3174089999999996</v>
      </c>
      <c r="I5333">
        <v>161.09209999999999</v>
      </c>
      <c r="J5333">
        <v>-368.42250000000001</v>
      </c>
      <c r="K5333">
        <v>1.1100479999999999</v>
      </c>
      <c r="L5333">
        <v>141.69810000000001</v>
      </c>
      <c r="M5333">
        <v>-0.99902789999999997</v>
      </c>
      <c r="N5333">
        <v>-3.3026310000000003E-2</v>
      </c>
      <c r="O5333">
        <v>-2.9198890000000002E-2</v>
      </c>
      <c r="P5333">
        <v>-0.99236670000000005</v>
      </c>
      <c r="Q5333">
        <v>-7.2444250000000002E-2</v>
      </c>
      <c r="R5333">
        <v>-9.9802000000000002E-2</v>
      </c>
      <c r="S5333">
        <v>-3.090576</v>
      </c>
      <c r="T5333">
        <v>0.15704070000000001</v>
      </c>
      <c r="U5333">
        <v>0.58386229999999995</v>
      </c>
      <c r="V5333">
        <v>-7.0904019999999998E-2</v>
      </c>
      <c r="W5333">
        <v>-3.9302620000000003E-2</v>
      </c>
      <c r="X5333">
        <v>0.99670859999999994</v>
      </c>
      <c r="Y5333">
        <v>0.2140724</v>
      </c>
      <c r="Z5333">
        <v>-4.2452159999999996E-3</v>
      </c>
      <c r="AA5333">
        <v>0.97680849999999997</v>
      </c>
      <c r="AB5333">
        <v>48</v>
      </c>
      <c r="AC5333">
        <v>-101.2831</v>
      </c>
      <c r="AD5333">
        <v>5.2073609999999997</v>
      </c>
      <c r="AE5333">
        <v>19.393999999999899</v>
      </c>
      <c r="AF5333">
        <v>22.287858220835499</v>
      </c>
      <c r="AG5333">
        <v>5.2073609999999997</v>
      </c>
      <c r="AH5333">
        <v>100.417221984294</v>
      </c>
      <c r="AI5333">
        <v>87.101860129950097</v>
      </c>
      <c r="AJ5333">
        <v>77.485917244685993</v>
      </c>
      <c r="AK5333">
        <v>102.992639075322</v>
      </c>
      <c r="AL5333">
        <v>92.252454273500405</v>
      </c>
      <c r="AM5333">
        <v>94.069061790063998</v>
      </c>
      <c r="AN5333">
        <v>1.0000000546524901</v>
      </c>
    </row>
    <row r="5334" spans="1:40" x14ac:dyDescent="0.25">
      <c r="A5334" t="str">
        <f>"20190305135035625"</f>
        <v>20190305135035625</v>
      </c>
      <c r="B5334" t="str">
        <f>"1551765035615276"</f>
        <v>1551765035615276</v>
      </c>
      <c r="C5334" t="s">
        <v>40</v>
      </c>
      <c r="D5334">
        <v>4.1663389999999998</v>
      </c>
      <c r="E5334">
        <v>0.4362587</v>
      </c>
      <c r="F5334" t="s">
        <v>83</v>
      </c>
      <c r="G5334">
        <v>-447.44779999999997</v>
      </c>
      <c r="H5334">
        <v>2.020899</v>
      </c>
      <c r="I5334">
        <v>119.395</v>
      </c>
      <c r="J5334">
        <v>-368.71140000000003</v>
      </c>
      <c r="K5334">
        <v>1.110007</v>
      </c>
      <c r="L5334">
        <v>141.69049999999999</v>
      </c>
      <c r="M5334">
        <v>-0.99904470000000001</v>
      </c>
      <c r="N5334">
        <v>-3.3312399999999999E-2</v>
      </c>
      <c r="O5334">
        <v>-2.828775E-2</v>
      </c>
      <c r="P5334">
        <v>-0.99235490000000004</v>
      </c>
      <c r="Q5334">
        <v>-7.2743559999999999E-2</v>
      </c>
      <c r="R5334">
        <v>-9.9699410000000002E-2</v>
      </c>
      <c r="S5334">
        <v>-2.9420470000000001</v>
      </c>
      <c r="T5334">
        <v>3.3911469999999999E-2</v>
      </c>
      <c r="U5334">
        <v>-0.83032229999999996</v>
      </c>
      <c r="V5334">
        <v>-7.1717180000000005E-2</v>
      </c>
      <c r="W5334">
        <v>-3.93014E-2</v>
      </c>
      <c r="X5334">
        <v>0.99665040000000005</v>
      </c>
      <c r="Y5334">
        <v>-0.24432229999999999</v>
      </c>
      <c r="Z5334">
        <v>-4.0121949999999997E-3</v>
      </c>
      <c r="AA5334">
        <v>0.96968580000000004</v>
      </c>
      <c r="AB5334">
        <v>47</v>
      </c>
      <c r="AC5334">
        <v>-78.736399999999904</v>
      </c>
      <c r="AD5334">
        <v>0.91089200000000003</v>
      </c>
      <c r="AE5334">
        <v>-22.295499999999901</v>
      </c>
      <c r="AF5334">
        <v>-20.055570744952401</v>
      </c>
      <c r="AG5334">
        <v>0.91089200000000003</v>
      </c>
      <c r="AH5334">
        <v>79.326067261653193</v>
      </c>
      <c r="AI5334">
        <v>89.362175604223097</v>
      </c>
      <c r="AJ5334">
        <v>104.18845262660901</v>
      </c>
      <c r="AK5334">
        <v>81.827138464825794</v>
      </c>
      <c r="AL5334">
        <v>92.252384471322401</v>
      </c>
      <c r="AM5334">
        <v>94.115807724527102</v>
      </c>
      <c r="AN5334">
        <v>0.99999998688463598</v>
      </c>
    </row>
    <row r="5335" spans="1:40" x14ac:dyDescent="0.25">
      <c r="A5335" t="str">
        <f>"20190305135035637"</f>
        <v>20190305135035637</v>
      </c>
      <c r="B5335" t="str">
        <f>"1551765035626012"</f>
        <v>1551765035626012</v>
      </c>
      <c r="C5335" t="s">
        <v>40</v>
      </c>
      <c r="D5335">
        <v>4.1490640000000001</v>
      </c>
      <c r="E5335">
        <v>0.43806010000000001</v>
      </c>
      <c r="F5335" t="s">
        <v>83</v>
      </c>
      <c r="G5335">
        <v>-449.33710000000002</v>
      </c>
      <c r="H5335">
        <v>1.9578469999999999</v>
      </c>
      <c r="I5335">
        <v>119.395</v>
      </c>
      <c r="J5335">
        <v>-368.96940000000001</v>
      </c>
      <c r="K5335">
        <v>1.1099829999999999</v>
      </c>
      <c r="L5335">
        <v>141.68389999999999</v>
      </c>
      <c r="M5335">
        <v>-0.99905920000000004</v>
      </c>
      <c r="N5335">
        <v>-3.3583340000000003E-2</v>
      </c>
      <c r="O5335">
        <v>-2.7438850000000001E-2</v>
      </c>
      <c r="P5335">
        <v>-0.99235399999999996</v>
      </c>
      <c r="Q5335">
        <v>-7.2958110000000007E-2</v>
      </c>
      <c r="R5335">
        <v>-9.9551329999999993E-2</v>
      </c>
      <c r="S5335">
        <v>-2.9436650000000002</v>
      </c>
      <c r="T5335">
        <v>3.095579E-2</v>
      </c>
      <c r="U5335">
        <v>-0.81401060000000003</v>
      </c>
      <c r="V5335">
        <v>-7.2420709999999999E-2</v>
      </c>
      <c r="W5335">
        <v>-3.9232620000000003E-2</v>
      </c>
      <c r="X5335">
        <v>0.99660219999999999</v>
      </c>
      <c r="Y5335">
        <v>-0.2400166</v>
      </c>
      <c r="Z5335">
        <v>-4.0552740000000002E-3</v>
      </c>
      <c r="AA5335">
        <v>0.97076030000000002</v>
      </c>
      <c r="AB5335">
        <v>47</v>
      </c>
      <c r="AC5335">
        <v>-80.367699999999999</v>
      </c>
      <c r="AD5335">
        <v>0.84786399999999995</v>
      </c>
      <c r="AE5335">
        <v>-22.288900000000002</v>
      </c>
      <c r="AF5335">
        <v>-20.0719821108442</v>
      </c>
      <c r="AG5335">
        <v>0.84786399999999995</v>
      </c>
      <c r="AH5335">
        <v>80.940967851709601</v>
      </c>
      <c r="AI5335">
        <v>89.417485982120695</v>
      </c>
      <c r="AJ5335">
        <v>103.927423062548</v>
      </c>
      <c r="AK5335">
        <v>83.396904115153006</v>
      </c>
      <c r="AL5335">
        <v>92.248440705756195</v>
      </c>
      <c r="AM5335">
        <v>94.156242414545204</v>
      </c>
      <c r="AN5335">
        <v>0.99999995137690301</v>
      </c>
    </row>
    <row r="5336" spans="1:40" x14ac:dyDescent="0.25">
      <c r="A5336" t="str">
        <f>"20190305135035650"</f>
        <v>20190305135035650</v>
      </c>
      <c r="B5336" t="str">
        <f>"1551765035645532"</f>
        <v>1551765035645532</v>
      </c>
      <c r="C5336" t="s">
        <v>40</v>
      </c>
      <c r="D5336">
        <v>4.1408259999999997</v>
      </c>
      <c r="E5336">
        <v>0.43992789999999998</v>
      </c>
      <c r="F5336" t="s">
        <v>83</v>
      </c>
      <c r="G5336">
        <v>-450.29239999999999</v>
      </c>
      <c r="H5336">
        <v>1.8122510000000001</v>
      </c>
      <c r="I5336">
        <v>119.62</v>
      </c>
      <c r="J5336">
        <v>-369.23320000000001</v>
      </c>
      <c r="K5336">
        <v>1.1099619999999999</v>
      </c>
      <c r="L5336">
        <v>141.67740000000001</v>
      </c>
      <c r="M5336">
        <v>-0.99907360000000001</v>
      </c>
      <c r="N5336">
        <v>-3.3870360000000002E-2</v>
      </c>
      <c r="O5336">
        <v>-2.6548169999999999E-2</v>
      </c>
      <c r="P5336">
        <v>-0.99238769999999998</v>
      </c>
      <c r="Q5336">
        <v>-7.2921849999999996E-2</v>
      </c>
      <c r="R5336">
        <v>-9.9243289999999998E-2</v>
      </c>
      <c r="S5336">
        <v>-2.9448850000000002</v>
      </c>
      <c r="T5336">
        <v>2.543163E-2</v>
      </c>
      <c r="U5336">
        <v>-0.79898069999999999</v>
      </c>
      <c r="V5336">
        <v>-7.3004280000000005E-2</v>
      </c>
      <c r="W5336">
        <v>-3.8896710000000001E-2</v>
      </c>
      <c r="X5336">
        <v>0.99657289999999998</v>
      </c>
      <c r="Y5336">
        <v>-0.2361617</v>
      </c>
      <c r="Z5336">
        <v>-4.1790809999999899E-3</v>
      </c>
      <c r="AA5336">
        <v>0.97170480000000004</v>
      </c>
      <c r="AB5336">
        <v>47</v>
      </c>
      <c r="AC5336">
        <v>-81.059199999999905</v>
      </c>
      <c r="AD5336">
        <v>0.70228899999999905</v>
      </c>
      <c r="AE5336">
        <v>-22.057400000000001</v>
      </c>
      <c r="AF5336">
        <v>-19.8950173973635</v>
      </c>
      <c r="AG5336">
        <v>0.70228899999999905</v>
      </c>
      <c r="AH5336">
        <v>81.610812800011999</v>
      </c>
      <c r="AI5336">
        <v>89.520989653943701</v>
      </c>
      <c r="AJ5336">
        <v>103.70029537208499</v>
      </c>
      <c r="AK5336">
        <v>84.003748088758101</v>
      </c>
      <c r="AL5336">
        <v>92.229179530588993</v>
      </c>
      <c r="AM5336">
        <v>94.189737598537505</v>
      </c>
      <c r="AN5336">
        <v>1.0000000619807701</v>
      </c>
    </row>
    <row r="5337" spans="1:40" x14ac:dyDescent="0.25">
      <c r="A5337" t="str">
        <f>"20190305135035675"</f>
        <v>20190305135035675</v>
      </c>
      <c r="B5337" t="str">
        <f>"1551765035666028"</f>
        <v>1551765035666028</v>
      </c>
      <c r="C5337" t="s">
        <v>40</v>
      </c>
      <c r="D5337">
        <v>4.1313959999999996</v>
      </c>
      <c r="E5337">
        <v>0.44108989999999998</v>
      </c>
      <c r="F5337" t="s">
        <v>83</v>
      </c>
      <c r="G5337">
        <v>-451.46719999999999</v>
      </c>
      <c r="H5337">
        <v>1.648352</v>
      </c>
      <c r="I5337">
        <v>119.8177</v>
      </c>
      <c r="J5337">
        <v>-369.76799999999997</v>
      </c>
      <c r="K5337">
        <v>1.1099380000000001</v>
      </c>
      <c r="L5337">
        <v>141.6653</v>
      </c>
      <c r="M5337">
        <v>-0.99910270000000001</v>
      </c>
      <c r="N5337">
        <v>-3.4469369999999999E-2</v>
      </c>
      <c r="O5337">
        <v>-2.4610969999999999E-2</v>
      </c>
      <c r="P5337">
        <v>-0.9925311</v>
      </c>
      <c r="Q5337">
        <v>-7.2767799999999994E-2</v>
      </c>
      <c r="R5337">
        <v>-9.791221E-2</v>
      </c>
      <c r="S5337">
        <v>-2.9461059999999999</v>
      </c>
      <c r="T5337">
        <v>1.9289259999999999E-2</v>
      </c>
      <c r="U5337">
        <v>-0.78314209999999995</v>
      </c>
      <c r="V5337">
        <v>-7.3606660000000004E-2</v>
      </c>
      <c r="W5337">
        <v>-3.8121719999999998E-2</v>
      </c>
      <c r="X5337">
        <v>0.99655850000000001</v>
      </c>
      <c r="Y5337">
        <v>-0.23306209999999999</v>
      </c>
      <c r="Z5337">
        <v>-4.3294630000000004E-3</v>
      </c>
      <c r="AA5337">
        <v>0.97245219999999999</v>
      </c>
      <c r="AB5337">
        <v>47</v>
      </c>
      <c r="AC5337">
        <v>-81.699199999999905</v>
      </c>
      <c r="AD5337">
        <v>0.53841399999999995</v>
      </c>
      <c r="AE5337">
        <v>-21.8476</v>
      </c>
      <c r="AF5337">
        <v>-19.828278821732201</v>
      </c>
      <c r="AG5337">
        <v>0.53841399999999995</v>
      </c>
      <c r="AH5337">
        <v>82.209102423907694</v>
      </c>
      <c r="AI5337">
        <v>89.6352169727827</v>
      </c>
      <c r="AJ5337">
        <v>103.560359243381</v>
      </c>
      <c r="AK5337">
        <v>84.568239026317102</v>
      </c>
      <c r="AL5337">
        <v>92.184742995976094</v>
      </c>
      <c r="AM5337">
        <v>94.224244557410799</v>
      </c>
      <c r="AN5337">
        <v>1.0000000249271801</v>
      </c>
    </row>
    <row r="5338" spans="1:40" x14ac:dyDescent="0.25">
      <c r="A5338" t="str">
        <f>"20190305135035689"</f>
        <v>20190305135035689</v>
      </c>
      <c r="B5338" t="str">
        <f>"1551765035685549"</f>
        <v>1551765035685549</v>
      </c>
      <c r="C5338" t="s">
        <v>40</v>
      </c>
      <c r="D5338">
        <v>4.0853739999999998</v>
      </c>
      <c r="E5338">
        <v>0.44098809999999999</v>
      </c>
      <c r="F5338" t="s">
        <v>83</v>
      </c>
      <c r="G5338">
        <v>-455.0573</v>
      </c>
      <c r="H5338">
        <v>1.5624129999999901</v>
      </c>
      <c r="I5338">
        <v>119.395</v>
      </c>
      <c r="J5338">
        <v>-370.03800000000001</v>
      </c>
      <c r="K5338">
        <v>1.1099250000000001</v>
      </c>
      <c r="L5338">
        <v>141.65950000000001</v>
      </c>
      <c r="M5338">
        <v>-0.99911700000000003</v>
      </c>
      <c r="N5338">
        <v>-3.4767079999999999E-2</v>
      </c>
      <c r="O5338">
        <v>-2.359561E-2</v>
      </c>
      <c r="P5338">
        <v>-0.99260870000000001</v>
      </c>
      <c r="Q5338">
        <v>-7.2906219999999994E-2</v>
      </c>
      <c r="R5338">
        <v>-9.7021079999999996E-2</v>
      </c>
      <c r="S5338">
        <v>-2.9477540000000002</v>
      </c>
      <c r="T5338">
        <v>1.5639420000000001E-2</v>
      </c>
      <c r="U5338">
        <v>-0.76969909999999997</v>
      </c>
      <c r="V5338">
        <v>-7.3728769999999999E-2</v>
      </c>
      <c r="W5338">
        <v>-3.7952970000000003E-2</v>
      </c>
      <c r="X5338">
        <v>0.99655590000000005</v>
      </c>
      <c r="Y5338">
        <v>-0.22976179999999999</v>
      </c>
      <c r="Z5338">
        <v>-4.3923060000000003E-3</v>
      </c>
      <c r="AA5338">
        <v>0.97323700000000002</v>
      </c>
      <c r="AB5338">
        <v>46</v>
      </c>
      <c r="AC5338">
        <v>-85.019299999999902</v>
      </c>
      <c r="AD5338">
        <v>0.452487999999999</v>
      </c>
      <c r="AE5338">
        <v>-22.264500000000002</v>
      </c>
      <c r="AF5338">
        <v>-20.2504614431931</v>
      </c>
      <c r="AG5338">
        <v>0.452487999999999</v>
      </c>
      <c r="AH5338">
        <v>85.518995957499797</v>
      </c>
      <c r="AI5338">
        <v>89.705003719335195</v>
      </c>
      <c r="AJ5338">
        <v>103.321969815853</v>
      </c>
      <c r="AK5338">
        <v>87.885064735888193</v>
      </c>
      <c r="AL5338">
        <v>92.175067362399901</v>
      </c>
      <c r="AM5338">
        <v>94.231237950227893</v>
      </c>
      <c r="AN5338">
        <v>1.0000000106411699</v>
      </c>
    </row>
    <row r="5339" spans="1:40" x14ac:dyDescent="0.25">
      <c r="A5339" t="str">
        <f>"20190305135035703"</f>
        <v>20190305135035703</v>
      </c>
      <c r="B5339" t="str">
        <f>"1551765035695308"</f>
        <v>1551765035695308</v>
      </c>
      <c r="C5339" t="s">
        <v>40</v>
      </c>
      <c r="D5339">
        <v>4.1225110000000003</v>
      </c>
      <c r="E5339">
        <v>0.44089850000000003</v>
      </c>
      <c r="F5339" t="s">
        <v>83</v>
      </c>
      <c r="G5339">
        <v>-455.52589999999998</v>
      </c>
      <c r="H5339">
        <v>1.7490330000000001</v>
      </c>
      <c r="I5339">
        <v>119.395</v>
      </c>
      <c r="J5339">
        <v>-370.32150000000001</v>
      </c>
      <c r="K5339">
        <v>1.1099049999999999</v>
      </c>
      <c r="L5339">
        <v>141.65389999999999</v>
      </c>
      <c r="M5339">
        <v>-0.99913220000000003</v>
      </c>
      <c r="N5339">
        <v>-3.5063009999999999E-2</v>
      </c>
      <c r="O5339">
        <v>-2.248876E-2</v>
      </c>
      <c r="P5339">
        <v>-0.99266929999999998</v>
      </c>
      <c r="Q5339">
        <v>-7.3399450000000005E-2</v>
      </c>
      <c r="R5339">
        <v>-9.6024999999999999E-2</v>
      </c>
      <c r="S5339">
        <v>-2.9488829999999999</v>
      </c>
      <c r="T5339">
        <v>2.2046690000000001E-2</v>
      </c>
      <c r="U5339">
        <v>-0.76800539999999995</v>
      </c>
      <c r="V5339">
        <v>-7.3838959999999995E-2</v>
      </c>
      <c r="W5339">
        <v>-3.8142349999999998E-2</v>
      </c>
      <c r="X5339">
        <v>0.99654050000000005</v>
      </c>
      <c r="Y5339">
        <v>-0.2302324</v>
      </c>
      <c r="Z5339">
        <v>-4.1987359999999998E-3</v>
      </c>
      <c r="AA5339">
        <v>0.97312659999999995</v>
      </c>
      <c r="AB5339">
        <v>46</v>
      </c>
      <c r="AC5339">
        <v>-85.204399999999893</v>
      </c>
      <c r="AD5339">
        <v>0.63912800000000003</v>
      </c>
      <c r="AE5339">
        <v>-22.258900000000001</v>
      </c>
      <c r="AF5339">
        <v>-20.334872668380701</v>
      </c>
      <c r="AG5339">
        <v>0.63912800000000003</v>
      </c>
      <c r="AH5339">
        <v>85.679195009480296</v>
      </c>
      <c r="AI5339">
        <v>89.584158461504202</v>
      </c>
      <c r="AJ5339">
        <v>103.35139628597901</v>
      </c>
      <c r="AK5339">
        <v>88.061569305300196</v>
      </c>
      <c r="AL5339">
        <v>92.185925923759299</v>
      </c>
      <c r="AM5339">
        <v>94.237603898573198</v>
      </c>
      <c r="AN5339">
        <v>0.99999999950882701</v>
      </c>
    </row>
    <row r="5340" spans="1:40" x14ac:dyDescent="0.25">
      <c r="A5340" t="str">
        <f>"20190305135035715"</f>
        <v>20190305135035715</v>
      </c>
      <c r="B5340" t="str">
        <f>"1551765035706045"</f>
        <v>1551765035706045</v>
      </c>
      <c r="C5340" t="s">
        <v>40</v>
      </c>
      <c r="D5340">
        <v>4.1361439999999998</v>
      </c>
      <c r="E5340">
        <v>0.44077949999999999</v>
      </c>
      <c r="F5340" t="s">
        <v>83</v>
      </c>
      <c r="G5340">
        <v>-456.05790000000002</v>
      </c>
      <c r="H5340">
        <v>1.760535</v>
      </c>
      <c r="I5340">
        <v>119.395</v>
      </c>
      <c r="J5340">
        <v>-370.58229999999998</v>
      </c>
      <c r="K5340">
        <v>1.1098980000000001</v>
      </c>
      <c r="L5340">
        <v>141.6489</v>
      </c>
      <c r="M5340">
        <v>-0.99914570000000003</v>
      </c>
      <c r="N5340">
        <v>-3.5324719999999997E-2</v>
      </c>
      <c r="O5340">
        <v>-2.145408E-2</v>
      </c>
      <c r="P5340">
        <v>-0.99271339999999997</v>
      </c>
      <c r="Q5340">
        <v>-7.4116280000000007E-2</v>
      </c>
      <c r="R5340">
        <v>-9.5010399999999995E-2</v>
      </c>
      <c r="S5340">
        <v>-2.949738</v>
      </c>
      <c r="T5340">
        <v>2.2385720000000001E-2</v>
      </c>
      <c r="U5340">
        <v>-0.76580809999999999</v>
      </c>
      <c r="V5340">
        <v>-7.3860010000000004E-2</v>
      </c>
      <c r="W5340">
        <v>-3.8591569999999999E-2</v>
      </c>
      <c r="X5340">
        <v>0.99652169999999896</v>
      </c>
      <c r="Y5340">
        <v>-0.23049220000000001</v>
      </c>
      <c r="Z5340">
        <v>-4.1844639999999997E-3</v>
      </c>
      <c r="AA5340">
        <v>0.97306519999999996</v>
      </c>
      <c r="AB5340">
        <v>46</v>
      </c>
      <c r="AC5340">
        <v>-85.4756</v>
      </c>
      <c r="AD5340">
        <v>0.65063699999999902</v>
      </c>
      <c r="AE5340">
        <v>-22.253900000000002</v>
      </c>
      <c r="AF5340">
        <v>-20.412718505970901</v>
      </c>
      <c r="AG5340">
        <v>0.65063699999999902</v>
      </c>
      <c r="AH5340">
        <v>85.928974133662393</v>
      </c>
      <c r="AI5340">
        <v>89.5779215175357</v>
      </c>
      <c r="AJ5340">
        <v>103.363113718958</v>
      </c>
      <c r="AK5340">
        <v>88.322652818930905</v>
      </c>
      <c r="AL5340">
        <v>92.211683177178003</v>
      </c>
      <c r="AM5340">
        <v>94.238887227820697</v>
      </c>
      <c r="AN5340">
        <v>1.0000000544615699</v>
      </c>
    </row>
    <row r="5341" spans="1:40" x14ac:dyDescent="0.25">
      <c r="A5341" t="str">
        <f>"20190305135035734"</f>
        <v>20190305135035734</v>
      </c>
      <c r="B5341" t="str">
        <f>"1551765035725565"</f>
        <v>1551765035725565</v>
      </c>
      <c r="C5341" t="s">
        <v>40</v>
      </c>
      <c r="D5341">
        <v>4.1445210000000001</v>
      </c>
      <c r="E5341">
        <v>0.44037730000000003</v>
      </c>
      <c r="F5341" t="s">
        <v>83</v>
      </c>
      <c r="G5341">
        <v>-456.51519999999999</v>
      </c>
      <c r="H5341">
        <v>1.7514369999999999</v>
      </c>
      <c r="I5341">
        <v>119.395</v>
      </c>
      <c r="J5341">
        <v>-370.94099999999997</v>
      </c>
      <c r="K5341">
        <v>1.109888</v>
      </c>
      <c r="L5341">
        <v>141.64250000000001</v>
      </c>
      <c r="M5341">
        <v>-0.99916369999999999</v>
      </c>
      <c r="N5341">
        <v>-3.566341E-2</v>
      </c>
      <c r="O5341">
        <v>-2.0001580000000001E-2</v>
      </c>
      <c r="P5341">
        <v>-0.9927608</v>
      </c>
      <c r="Q5341">
        <v>-7.4663519999999997E-2</v>
      </c>
      <c r="R5341">
        <v>-9.4082959999999993E-2</v>
      </c>
      <c r="S5341">
        <v>-2.9505620000000001</v>
      </c>
      <c r="T5341">
        <v>2.2028679999999998E-2</v>
      </c>
      <c r="U5341">
        <v>-0.76409910000000003</v>
      </c>
      <c r="V5341">
        <v>-7.4383550000000007E-2</v>
      </c>
      <c r="W5341">
        <v>-3.8791399999999997E-2</v>
      </c>
      <c r="X5341">
        <v>0.99647490000000005</v>
      </c>
      <c r="Y5341">
        <v>-0.23131119999999999</v>
      </c>
      <c r="Z5341">
        <v>-4.192505E-3</v>
      </c>
      <c r="AA5341">
        <v>0.97287080000000004</v>
      </c>
      <c r="AB5341">
        <v>45</v>
      </c>
      <c r="AC5341">
        <v>-85.574200000000005</v>
      </c>
      <c r="AD5341">
        <v>0.64154899999999904</v>
      </c>
      <c r="AE5341">
        <v>-22.247499999999999</v>
      </c>
      <c r="AF5341">
        <v>-20.529254192045801</v>
      </c>
      <c r="AG5341">
        <v>0.64154899999999904</v>
      </c>
      <c r="AH5341">
        <v>85.997799849592695</v>
      </c>
      <c r="AI5341">
        <v>89.584259062826604</v>
      </c>
      <c r="AJ5341">
        <v>103.426280187545</v>
      </c>
      <c r="AK5341">
        <v>88.416533757955193</v>
      </c>
      <c r="AL5341">
        <v>92.223141391390996</v>
      </c>
      <c r="AM5341">
        <v>94.269022689409994</v>
      </c>
      <c r="AN5341">
        <v>0.99999995577728495</v>
      </c>
    </row>
    <row r="5342" spans="1:40" x14ac:dyDescent="0.25">
      <c r="A5342" t="str">
        <f>"20190305135035802"</f>
        <v>20190305135035802</v>
      </c>
      <c r="B5342" t="str">
        <f>"1551765035795836"</f>
        <v>1551765035795836</v>
      </c>
      <c r="C5342" t="s">
        <v>40</v>
      </c>
      <c r="D5342">
        <v>4.1706519999999996</v>
      </c>
      <c r="E5342">
        <v>0.4401545</v>
      </c>
      <c r="F5342" t="s">
        <v>83</v>
      </c>
      <c r="G5342">
        <v>-456.75580000000002</v>
      </c>
      <c r="H5342">
        <v>1.78994599999999</v>
      </c>
      <c r="I5342">
        <v>119.395</v>
      </c>
      <c r="J5342">
        <v>-372.28879999999998</v>
      </c>
      <c r="K5342">
        <v>1.1099139999999901</v>
      </c>
      <c r="L5342">
        <v>141.62379999999999</v>
      </c>
      <c r="M5342">
        <v>-0.99922359999999999</v>
      </c>
      <c r="N5342">
        <v>-3.6702789999999999E-2</v>
      </c>
      <c r="O5342">
        <v>-1.432455E-2</v>
      </c>
      <c r="P5342">
        <v>-0.99286839999999998</v>
      </c>
      <c r="Q5342">
        <v>-7.4840480000000001E-2</v>
      </c>
      <c r="R5342">
        <v>-9.2796690000000001E-2</v>
      </c>
      <c r="S5342">
        <v>-2.951111</v>
      </c>
      <c r="T5342">
        <v>2.338755E-2</v>
      </c>
      <c r="U5342">
        <v>-0.76507569999999903</v>
      </c>
      <c r="V5342">
        <v>-7.8750299999999995E-2</v>
      </c>
      <c r="W5342">
        <v>-3.7901169999999998E-2</v>
      </c>
      <c r="X5342">
        <v>0.99617359999999999</v>
      </c>
      <c r="Y5342">
        <v>-0.2370902</v>
      </c>
      <c r="Z5342">
        <v>-4.1279799999999998E-3</v>
      </c>
      <c r="AA5342">
        <v>0.97147890000000003</v>
      </c>
      <c r="AB5342">
        <v>44</v>
      </c>
      <c r="AC5342">
        <v>-84.466999999999999</v>
      </c>
      <c r="AD5342">
        <v>0.68003199999999997</v>
      </c>
      <c r="AE5342">
        <v>-22.2288</v>
      </c>
      <c r="AF5342">
        <v>-21.014474859164601</v>
      </c>
      <c r="AG5342">
        <v>0.68003199999999997</v>
      </c>
      <c r="AH5342">
        <v>84.7718153744635</v>
      </c>
      <c r="AI5342">
        <v>89.553890370783094</v>
      </c>
      <c r="AJ5342">
        <v>103.922652467265</v>
      </c>
      <c r="AK5342">
        <v>87.340318748042193</v>
      </c>
      <c r="AL5342">
        <v>92.172097381823093</v>
      </c>
      <c r="AM5342">
        <v>94.519991068882703</v>
      </c>
      <c r="AN5342">
        <v>0.99999997488720904</v>
      </c>
    </row>
    <row r="5343" spans="1:40" x14ac:dyDescent="0.25">
      <c r="A5343" t="str">
        <f>"20190305135035814"</f>
        <v>20190305135035814</v>
      </c>
      <c r="B5343" t="str">
        <f>"1551765035805231"</f>
        <v>1551765035805231</v>
      </c>
      <c r="C5343" t="s">
        <v>40</v>
      </c>
      <c r="D5343">
        <v>4.1283890000000003</v>
      </c>
      <c r="E5343">
        <v>0.43978479999999998</v>
      </c>
      <c r="F5343" t="s">
        <v>83</v>
      </c>
      <c r="G5343">
        <v>-458.21730000000002</v>
      </c>
      <c r="H5343">
        <v>1.814508</v>
      </c>
      <c r="I5343">
        <v>119.395</v>
      </c>
      <c r="J5343">
        <v>-372.52569999999997</v>
      </c>
      <c r="K5343">
        <v>1.1099250000000001</v>
      </c>
      <c r="L5343">
        <v>141.62129999999999</v>
      </c>
      <c r="M5343">
        <v>-0.99923240000000002</v>
      </c>
      <c r="N5343">
        <v>-3.6850819999999999E-2</v>
      </c>
      <c r="O5343">
        <v>-1.330249E-2</v>
      </c>
      <c r="P5343">
        <v>-0.99277070000000001</v>
      </c>
      <c r="Q5343">
        <v>-7.5385690000000005E-2</v>
      </c>
      <c r="R5343">
        <v>-9.3401020000000001E-2</v>
      </c>
      <c r="S5343">
        <v>-2.952026</v>
      </c>
      <c r="T5343">
        <v>2.4206760000000001E-2</v>
      </c>
      <c r="U5343">
        <v>-0.76365660000000002</v>
      </c>
      <c r="V5343">
        <v>-8.0375429999999998E-2</v>
      </c>
      <c r="W5343">
        <v>-3.8294689999999999E-2</v>
      </c>
      <c r="X5343">
        <v>0.99602880000000005</v>
      </c>
      <c r="Y5343">
        <v>-0.23757300000000001</v>
      </c>
      <c r="Z5343">
        <v>-4.0811470000000002E-3</v>
      </c>
      <c r="AA5343">
        <v>0.97136109999999998</v>
      </c>
      <c r="AB5343">
        <v>44</v>
      </c>
      <c r="AC5343">
        <v>-85.691599999999994</v>
      </c>
      <c r="AD5343">
        <v>0.70458299999999996</v>
      </c>
      <c r="AE5343">
        <v>-22.226299999999899</v>
      </c>
      <c r="AF5343">
        <v>-21.0823089985705</v>
      </c>
      <c r="AG5343">
        <v>0.70458299999999996</v>
      </c>
      <c r="AH5343">
        <v>85.974427532047201</v>
      </c>
      <c r="AI5343">
        <v>89.543966674402498</v>
      </c>
      <c r="AJ5343">
        <v>103.77797756775701</v>
      </c>
      <c r="AK5343">
        <v>88.524360372602203</v>
      </c>
      <c r="AL5343">
        <v>92.194660673686897</v>
      </c>
      <c r="AM5343">
        <v>94.613537039401606</v>
      </c>
      <c r="AN5343">
        <v>1.00000003172966</v>
      </c>
    </row>
    <row r="5344" spans="1:40" x14ac:dyDescent="0.25">
      <c r="A5344" t="str">
        <f>"20190305135035827"</f>
        <v>20190305135035827</v>
      </c>
      <c r="B5344" t="str">
        <f>"1551765035815967"</f>
        <v>1551765035815967</v>
      </c>
      <c r="C5344" t="s">
        <v>40</v>
      </c>
      <c r="D5344">
        <v>4.1241580000000004</v>
      </c>
      <c r="E5344">
        <v>0.43940430000000003</v>
      </c>
      <c r="F5344" t="s">
        <v>83</v>
      </c>
      <c r="G5344">
        <v>-457.89699999999999</v>
      </c>
      <c r="H5344">
        <v>1.834052</v>
      </c>
      <c r="I5344">
        <v>119.395</v>
      </c>
      <c r="J5344">
        <v>-372.77640000000002</v>
      </c>
      <c r="K5344">
        <v>1.109937</v>
      </c>
      <c r="L5344">
        <v>141.6189</v>
      </c>
      <c r="M5344">
        <v>-0.99924080000000004</v>
      </c>
      <c r="N5344">
        <v>-3.6997349999999998E-2</v>
      </c>
      <c r="O5344">
        <v>-1.22139E-2</v>
      </c>
      <c r="P5344">
        <v>-0.99266860000000001</v>
      </c>
      <c r="Q5344">
        <v>-7.6121930000000004E-2</v>
      </c>
      <c r="R5344">
        <v>-9.3886079999999997E-2</v>
      </c>
      <c r="S5344">
        <v>-2.9514469999999999</v>
      </c>
      <c r="T5344">
        <v>2.5035379999999999E-2</v>
      </c>
      <c r="U5344">
        <v>-0.76840209999999998</v>
      </c>
      <c r="V5344">
        <v>-8.1947909999999999E-2</v>
      </c>
      <c r="W5344">
        <v>-3.8881840000000001E-2</v>
      </c>
      <c r="X5344">
        <v>0.99587789999999998</v>
      </c>
      <c r="Y5344">
        <v>-0.2401402</v>
      </c>
      <c r="Z5344">
        <v>-4.061266E-3</v>
      </c>
      <c r="AA5344">
        <v>0.97072970000000003</v>
      </c>
      <c r="AB5344">
        <v>43</v>
      </c>
      <c r="AC5344">
        <v>-85.120599999999897</v>
      </c>
      <c r="AD5344">
        <v>0.72411499999999895</v>
      </c>
      <c r="AE5344">
        <v>-22.2239</v>
      </c>
      <c r="AF5344">
        <v>-21.180438340222601</v>
      </c>
      <c r="AG5344">
        <v>0.72411499999999895</v>
      </c>
      <c r="AH5344">
        <v>85.380083911776197</v>
      </c>
      <c r="AI5344">
        <v>89.528376289780795</v>
      </c>
      <c r="AJ5344">
        <v>103.93224721709601</v>
      </c>
      <c r="AK5344">
        <v>87.970984077701004</v>
      </c>
      <c r="AL5344">
        <v>92.228326980807196</v>
      </c>
      <c r="AM5344">
        <v>94.704105538065605</v>
      </c>
      <c r="AN5344">
        <v>1.0000000245717799</v>
      </c>
    </row>
    <row r="5345" spans="1:40" x14ac:dyDescent="0.25">
      <c r="A5345" t="str">
        <f>"20190305135035840"</f>
        <v>20190305135035840</v>
      </c>
      <c r="B5345" t="str">
        <f>"1551765035835487"</f>
        <v>1551765035835487</v>
      </c>
      <c r="C5345" t="s">
        <v>40</v>
      </c>
      <c r="D5345">
        <v>4.0960130000000001</v>
      </c>
      <c r="E5345">
        <v>0.4387991</v>
      </c>
      <c r="F5345" t="s">
        <v>83</v>
      </c>
      <c r="G5345">
        <v>-457.6241</v>
      </c>
      <c r="H5345">
        <v>1.8340350000000001</v>
      </c>
      <c r="I5345">
        <v>119.395</v>
      </c>
      <c r="J5345">
        <v>-373.00549999999998</v>
      </c>
      <c r="K5345">
        <v>1.109953</v>
      </c>
      <c r="L5345">
        <v>141.61709999999999</v>
      </c>
      <c r="M5345">
        <v>-0.99924800000000003</v>
      </c>
      <c r="N5345">
        <v>-3.7118709999999999E-2</v>
      </c>
      <c r="O5345">
        <v>-1.121219E-2</v>
      </c>
      <c r="P5345">
        <v>-0.99257019999999996</v>
      </c>
      <c r="Q5345">
        <v>-7.6681239999999998E-2</v>
      </c>
      <c r="R5345">
        <v>-9.4468940000000001E-2</v>
      </c>
      <c r="S5345">
        <v>-2.950958</v>
      </c>
      <c r="T5345">
        <v>2.518463E-2</v>
      </c>
      <c r="U5345">
        <v>-0.77293400000000001</v>
      </c>
      <c r="V5345">
        <v>-8.3530549999999995E-2</v>
      </c>
      <c r="W5345">
        <v>-3.9317650000000003E-2</v>
      </c>
      <c r="X5345">
        <v>0.99572930000000004</v>
      </c>
      <c r="Y5345">
        <v>-0.24254690000000001</v>
      </c>
      <c r="Z5345">
        <v>-4.0633020000000004E-3</v>
      </c>
      <c r="AA5345">
        <v>0.97013119999999997</v>
      </c>
      <c r="AB5345">
        <v>43</v>
      </c>
      <c r="AC5345">
        <v>-84.618600000000001</v>
      </c>
      <c r="AD5345">
        <v>0.724081999999999</v>
      </c>
      <c r="AE5345">
        <v>-22.222100000000001</v>
      </c>
      <c r="AF5345">
        <v>-21.2698302161299</v>
      </c>
      <c r="AG5345">
        <v>0.724081999999999</v>
      </c>
      <c r="AH5345">
        <v>84.8567913321709</v>
      </c>
      <c r="AI5345">
        <v>89.525777320750606</v>
      </c>
      <c r="AJ5345">
        <v>104.071591700821</v>
      </c>
      <c r="AK5345">
        <v>87.484884450728401</v>
      </c>
      <c r="AL5345">
        <v>92.253316140294103</v>
      </c>
      <c r="AM5345">
        <v>94.795247435509097</v>
      </c>
      <c r="AN5345">
        <v>1.00000003463165</v>
      </c>
    </row>
    <row r="5346" spans="1:40" x14ac:dyDescent="0.25">
      <c r="A5346" t="str">
        <f>"20190305135035852"</f>
        <v>20190305135035852</v>
      </c>
      <c r="B5346" t="str">
        <f>"1551765035845247"</f>
        <v>1551765035845247</v>
      </c>
      <c r="C5346" t="s">
        <v>40</v>
      </c>
      <c r="D5346">
        <v>4.1521540000000003</v>
      </c>
      <c r="E5346">
        <v>0.43863479999999999</v>
      </c>
      <c r="F5346" t="s">
        <v>83</v>
      </c>
      <c r="G5346">
        <v>-457.09649999999999</v>
      </c>
      <c r="H5346">
        <v>1.877105</v>
      </c>
      <c r="I5346">
        <v>119.395</v>
      </c>
      <c r="J5346">
        <v>-373.22809999999998</v>
      </c>
      <c r="K5346">
        <v>1.1099650000000001</v>
      </c>
      <c r="L5346">
        <v>141.6155</v>
      </c>
      <c r="M5346">
        <v>-0.99925430000000004</v>
      </c>
      <c r="N5346">
        <v>-3.7232130000000002E-2</v>
      </c>
      <c r="O5346">
        <v>-1.023724E-2</v>
      </c>
      <c r="P5346">
        <v>-0.99244770000000004</v>
      </c>
      <c r="Q5346">
        <v>-7.732936E-2</v>
      </c>
      <c r="R5346">
        <v>-9.5226350000000001E-2</v>
      </c>
      <c r="S5346">
        <v>-2.9502869999999999</v>
      </c>
      <c r="T5346">
        <v>2.6916030000000001E-2</v>
      </c>
      <c r="U5346">
        <v>-0.7796478</v>
      </c>
      <c r="V5346">
        <v>-8.526164E-2</v>
      </c>
      <c r="W5346">
        <v>-3.9850509999999999E-2</v>
      </c>
      <c r="X5346">
        <v>0.99556140000000004</v>
      </c>
      <c r="Y5346">
        <v>-0.2456122</v>
      </c>
      <c r="Z5346">
        <v>-4.0161090000000003E-3</v>
      </c>
      <c r="AA5346">
        <v>0.96935979999999999</v>
      </c>
      <c r="AB5346">
        <v>43</v>
      </c>
      <c r="AC5346">
        <v>-83.868399999999994</v>
      </c>
      <c r="AD5346">
        <v>0.76714000000000004</v>
      </c>
      <c r="AE5346">
        <v>-22.220500000000001</v>
      </c>
      <c r="AF5346">
        <v>-21.358487631492899</v>
      </c>
      <c r="AG5346">
        <v>0.76714000000000004</v>
      </c>
      <c r="AH5346">
        <v>84.0850597630604</v>
      </c>
      <c r="AI5346">
        <v>89.493371146308704</v>
      </c>
      <c r="AJ5346">
        <v>104.25230624821</v>
      </c>
      <c r="AK5346">
        <v>86.758692780848605</v>
      </c>
      <c r="AL5346">
        <v>92.283870667687296</v>
      </c>
      <c r="AM5346">
        <v>94.894967861603106</v>
      </c>
      <c r="AN5346">
        <v>1.00000005578635</v>
      </c>
    </row>
    <row r="5347" spans="1:40" x14ac:dyDescent="0.25">
      <c r="A5347" t="str">
        <f>"20190305135035863"</f>
        <v>20190305135035863</v>
      </c>
      <c r="B5347" t="str">
        <f>"1551765035855983"</f>
        <v>1551765035855983</v>
      </c>
      <c r="C5347" t="s">
        <v>40</v>
      </c>
      <c r="D5347">
        <v>4.1109239999999998</v>
      </c>
      <c r="E5347">
        <v>0.4384961</v>
      </c>
      <c r="F5347" t="s">
        <v>83</v>
      </c>
      <c r="G5347">
        <v>-456.9282</v>
      </c>
      <c r="H5347">
        <v>1.8964989999999999</v>
      </c>
      <c r="I5347">
        <v>119.395</v>
      </c>
      <c r="J5347">
        <v>-373.46460000000002</v>
      </c>
      <c r="K5347">
        <v>1.1099810000000001</v>
      </c>
      <c r="L5347">
        <v>141.614</v>
      </c>
      <c r="M5347">
        <v>-0.99926020000000004</v>
      </c>
      <c r="N5347">
        <v>-3.7340850000000002E-2</v>
      </c>
      <c r="O5347">
        <v>-9.1994799999999995E-3</v>
      </c>
      <c r="P5347">
        <v>-0.99232520000000002</v>
      </c>
      <c r="Q5347">
        <v>-7.7899800000000005E-2</v>
      </c>
      <c r="R5347">
        <v>-9.6034040000000001E-2</v>
      </c>
      <c r="S5347">
        <v>-2.9498899999999999</v>
      </c>
      <c r="T5347">
        <v>2.7721289999999999E-2</v>
      </c>
      <c r="U5347">
        <v>-0.78312680000000001</v>
      </c>
      <c r="V5347">
        <v>-8.7104180000000003E-2</v>
      </c>
      <c r="W5347">
        <v>-4.0311109999999997E-2</v>
      </c>
      <c r="X5347">
        <v>0.99538329999999997</v>
      </c>
      <c r="Y5347">
        <v>-0.24771889999999999</v>
      </c>
      <c r="Z5347">
        <v>-3.98381E-3</v>
      </c>
      <c r="AA5347">
        <v>0.96882369999999995</v>
      </c>
      <c r="AB5347">
        <v>42</v>
      </c>
      <c r="AC5347">
        <v>-83.4635999999999</v>
      </c>
      <c r="AD5347">
        <v>0.78651800000000005</v>
      </c>
      <c r="AE5347">
        <v>-22.219000000000001</v>
      </c>
      <c r="AF5347">
        <v>-21.447922277499501</v>
      </c>
      <c r="AG5347">
        <v>0.78651800000000005</v>
      </c>
      <c r="AH5347">
        <v>83.657671786202599</v>
      </c>
      <c r="AI5347">
        <v>89.478216827957993</v>
      </c>
      <c r="AJ5347">
        <v>104.37961911303501</v>
      </c>
      <c r="AK5347">
        <v>86.366880395635405</v>
      </c>
      <c r="AL5347">
        <v>92.310282411204795</v>
      </c>
      <c r="AM5347">
        <v>95.001109659351798</v>
      </c>
      <c r="AN5347">
        <v>1.00000001884089</v>
      </c>
    </row>
    <row r="5348" spans="1:40" x14ac:dyDescent="0.25">
      <c r="A5348" t="str">
        <f>"20190305135035876"</f>
        <v>20190305135035876</v>
      </c>
      <c r="B5348" t="str">
        <f>"1551765035865744"</f>
        <v>1551765035865744</v>
      </c>
      <c r="C5348" t="s">
        <v>40</v>
      </c>
      <c r="D5348">
        <v>4.0733680000000003</v>
      </c>
      <c r="E5348">
        <v>0.43809599999999999</v>
      </c>
      <c r="F5348" t="s">
        <v>83</v>
      </c>
      <c r="G5348">
        <v>-456.75959999999998</v>
      </c>
      <c r="H5348">
        <v>1.908595</v>
      </c>
      <c r="I5348">
        <v>119.395</v>
      </c>
      <c r="J5348">
        <v>-373.68900000000002</v>
      </c>
      <c r="K5348">
        <v>1.110001</v>
      </c>
      <c r="L5348">
        <v>141.6129</v>
      </c>
      <c r="M5348">
        <v>-0.99926530000000002</v>
      </c>
      <c r="N5348">
        <v>-3.7437079999999998E-2</v>
      </c>
      <c r="O5348">
        <v>-8.2169549999999997E-3</v>
      </c>
      <c r="P5348">
        <v>-0.99220989999999998</v>
      </c>
      <c r="Q5348">
        <v>-7.8395870000000006E-2</v>
      </c>
      <c r="R5348">
        <v>-9.6820199999999995E-2</v>
      </c>
      <c r="S5348">
        <v>-2.949249</v>
      </c>
      <c r="T5348">
        <v>2.827764E-2</v>
      </c>
      <c r="U5348">
        <v>-0.78671259999999998</v>
      </c>
      <c r="V5348">
        <v>-8.8868249999999996E-2</v>
      </c>
      <c r="W5348">
        <v>-4.0710679999999999E-2</v>
      </c>
      <c r="X5348">
        <v>0.99521110000000002</v>
      </c>
      <c r="Y5348">
        <v>-0.24982309999999999</v>
      </c>
      <c r="Z5348">
        <v>-3.9608990000000004E-3</v>
      </c>
      <c r="AA5348">
        <v>0.96828340000000002</v>
      </c>
      <c r="AB5348">
        <v>42</v>
      </c>
      <c r="AC5348">
        <v>-83.070599999999899</v>
      </c>
      <c r="AD5348">
        <v>0.79859399999999903</v>
      </c>
      <c r="AE5348">
        <v>-22.2179</v>
      </c>
      <c r="AF5348">
        <v>-21.532225600353499</v>
      </c>
      <c r="AG5348">
        <v>0.79859399999999903</v>
      </c>
      <c r="AH5348">
        <v>83.243303548744194</v>
      </c>
      <c r="AI5348">
        <v>89.467863121141804</v>
      </c>
      <c r="AJ5348">
        <v>104.50260862280901</v>
      </c>
      <c r="AK5348">
        <v>85.986755243989293</v>
      </c>
      <c r="AL5348">
        <v>92.333194869726</v>
      </c>
      <c r="AM5348">
        <v>95.1027430429627</v>
      </c>
      <c r="AN5348">
        <v>1.00000002944366</v>
      </c>
    </row>
    <row r="5349" spans="1:40" x14ac:dyDescent="0.25">
      <c r="A5349" t="str">
        <f>"20190305135035891"</f>
        <v>20190305135035891</v>
      </c>
      <c r="B5349" t="str">
        <f>"1551765035885267"</f>
        <v>1551765035885267</v>
      </c>
      <c r="C5349" t="s">
        <v>40</v>
      </c>
      <c r="D5349">
        <v>4.0869530000000003</v>
      </c>
      <c r="E5349">
        <v>0.4373843</v>
      </c>
      <c r="F5349" t="s">
        <v>83</v>
      </c>
      <c r="G5349">
        <v>-456.36470000000003</v>
      </c>
      <c r="H5349">
        <v>2.0082309999999999</v>
      </c>
      <c r="I5349">
        <v>119.395</v>
      </c>
      <c r="J5349">
        <v>-373.95179999999999</v>
      </c>
      <c r="K5349">
        <v>1.110026</v>
      </c>
      <c r="L5349">
        <v>141.61179999999999</v>
      </c>
      <c r="M5349">
        <v>-0.99926999999999999</v>
      </c>
      <c r="N5349">
        <v>-3.754238E-2</v>
      </c>
      <c r="O5349">
        <v>-7.0692669999999997E-3</v>
      </c>
      <c r="P5349">
        <v>-0.99212880000000003</v>
      </c>
      <c r="Q5349">
        <v>-7.7568689999999996E-2</v>
      </c>
      <c r="R5349">
        <v>-9.83044E-2</v>
      </c>
      <c r="S5349">
        <v>-2.9487610000000002</v>
      </c>
      <c r="T5349">
        <v>3.203773E-2</v>
      </c>
      <c r="U5349">
        <v>-0.79243469999999905</v>
      </c>
      <c r="V5349">
        <v>-9.1487589999999994E-2</v>
      </c>
      <c r="W5349">
        <v>-3.9774900000000002E-2</v>
      </c>
      <c r="X5349">
        <v>0.9950116</v>
      </c>
      <c r="Y5349">
        <v>-0.2527298</v>
      </c>
      <c r="Z5349">
        <v>-3.8154909999999998E-3</v>
      </c>
      <c r="AA5349">
        <v>0.96752939999999998</v>
      </c>
      <c r="AB5349">
        <v>42</v>
      </c>
      <c r="AC5349">
        <v>-82.412899999999993</v>
      </c>
      <c r="AD5349">
        <v>0.89820500000000003</v>
      </c>
      <c r="AE5349">
        <v>-22.2167999999999</v>
      </c>
      <c r="AF5349">
        <v>-21.630838922303798</v>
      </c>
      <c r="AG5349">
        <v>0.89820500000000003</v>
      </c>
      <c r="AH5349">
        <v>82.558862756839304</v>
      </c>
      <c r="AI5349">
        <v>89.397022229519905</v>
      </c>
      <c r="AJ5349">
        <v>104.68177021561399</v>
      </c>
      <c r="AK5349">
        <v>85.350253569672006</v>
      </c>
      <c r="AL5349">
        <v>92.279535103061306</v>
      </c>
      <c r="AM5349">
        <v>95.253361392552904</v>
      </c>
      <c r="AN5349">
        <v>1.0000000529642801</v>
      </c>
    </row>
    <row r="5350" spans="1:40" x14ac:dyDescent="0.25">
      <c r="A5350" t="str">
        <f>"20190305135035905"</f>
        <v>20190305135035905</v>
      </c>
      <c r="B5350" t="str">
        <f>"1551765035896000"</f>
        <v>1551765035896000</v>
      </c>
      <c r="C5350" t="s">
        <v>40</v>
      </c>
      <c r="D5350">
        <v>4.0741849999999999</v>
      </c>
      <c r="E5350">
        <v>0.43716169999999999</v>
      </c>
      <c r="F5350" t="s">
        <v>83</v>
      </c>
      <c r="G5350">
        <v>-455.54160000000002</v>
      </c>
      <c r="H5350">
        <v>2.3187220000000002</v>
      </c>
      <c r="I5350">
        <v>119.395</v>
      </c>
      <c r="J5350">
        <v>-374.23039999999997</v>
      </c>
      <c r="K5350">
        <v>1.110066</v>
      </c>
      <c r="L5350">
        <v>141.61109999999999</v>
      </c>
      <c r="M5350">
        <v>-0.99927429999999995</v>
      </c>
      <c r="N5350">
        <v>-3.7640659999999999E-2</v>
      </c>
      <c r="O5350">
        <v>-5.869048E-3</v>
      </c>
      <c r="P5350">
        <v>-0.99224319999999999</v>
      </c>
      <c r="Q5350">
        <v>-7.6860880000000006E-2</v>
      </c>
      <c r="R5350">
        <v>-9.7706680000000004E-2</v>
      </c>
      <c r="S5350">
        <v>-2.9476619999999998</v>
      </c>
      <c r="T5350">
        <v>4.3668390000000001E-2</v>
      </c>
      <c r="U5350">
        <v>-0.80264279999999999</v>
      </c>
      <c r="V5350">
        <v>-9.2075500000000005E-2</v>
      </c>
      <c r="W5350">
        <v>-3.8972130000000001E-2</v>
      </c>
      <c r="X5350">
        <v>0.99498909999999996</v>
      </c>
      <c r="Y5350">
        <v>-0.25710889999999997</v>
      </c>
      <c r="Z5350">
        <v>-3.358827E-3</v>
      </c>
      <c r="AA5350">
        <v>0.96637660000000003</v>
      </c>
      <c r="AB5350">
        <v>41</v>
      </c>
      <c r="AC5350">
        <v>-81.311199999999999</v>
      </c>
      <c r="AD5350">
        <v>1.208656</v>
      </c>
      <c r="AE5350">
        <v>-22.216100000000001</v>
      </c>
      <c r="AF5350">
        <v>-21.733690567964601</v>
      </c>
      <c r="AG5350">
        <v>1.208656</v>
      </c>
      <c r="AH5350">
        <v>81.423536162018905</v>
      </c>
      <c r="AI5350">
        <v>89.178323651162401</v>
      </c>
      <c r="AJ5350">
        <v>104.945046626456</v>
      </c>
      <c r="AK5350">
        <v>84.282895039017106</v>
      </c>
      <c r="AL5350">
        <v>92.233504157817706</v>
      </c>
      <c r="AM5350">
        <v>95.287048291851605</v>
      </c>
      <c r="AN5350">
        <v>1.00000001686789</v>
      </c>
    </row>
    <row r="5351" spans="1:40" x14ac:dyDescent="0.25">
      <c r="A5351" t="str">
        <f>"20190305135035923"</f>
        <v>20190305135035923</v>
      </c>
      <c r="B5351" t="str">
        <f>"1551765035915182"</f>
        <v>1551765035915182</v>
      </c>
      <c r="C5351" t="s">
        <v>40</v>
      </c>
      <c r="D5351">
        <v>4.0704320000000003</v>
      </c>
      <c r="E5351">
        <v>0.43692559999999903</v>
      </c>
      <c r="F5351" t="s">
        <v>83</v>
      </c>
      <c r="G5351">
        <v>-455.85050000000001</v>
      </c>
      <c r="H5351">
        <v>2.4544700000000002</v>
      </c>
      <c r="I5351">
        <v>119.395</v>
      </c>
      <c r="J5351">
        <v>-374.55419999999998</v>
      </c>
      <c r="K5351">
        <v>1.1101219999999901</v>
      </c>
      <c r="L5351">
        <v>141.61060000000001</v>
      </c>
      <c r="M5351">
        <v>-0.99927750000000004</v>
      </c>
      <c r="N5351">
        <v>-3.774276E-2</v>
      </c>
      <c r="O5351">
        <v>-4.5016680000000003E-3</v>
      </c>
      <c r="P5351">
        <v>-0.99237220000000004</v>
      </c>
      <c r="Q5351">
        <v>-7.6496120000000001E-2</v>
      </c>
      <c r="R5351">
        <v>-9.6677009999999994E-2</v>
      </c>
      <c r="S5351">
        <v>-2.9481809999999999</v>
      </c>
      <c r="T5351">
        <v>4.8561809999999997E-2</v>
      </c>
      <c r="U5351">
        <v>-0.8024597</v>
      </c>
      <c r="V5351">
        <v>-9.2397400000000005E-2</v>
      </c>
      <c r="W5351">
        <v>-3.8513619999999998E-2</v>
      </c>
      <c r="X5351">
        <v>0.99497709999999995</v>
      </c>
      <c r="Y5351">
        <v>-0.25833279999999997</v>
      </c>
      <c r="Z5351">
        <v>-3.1138160000000002E-3</v>
      </c>
      <c r="AA5351">
        <v>0.96605099999999999</v>
      </c>
      <c r="AB5351">
        <v>41</v>
      </c>
      <c r="AC5351">
        <v>-81.296300000000002</v>
      </c>
      <c r="AD5351">
        <v>1.3443480000000001</v>
      </c>
      <c r="AE5351">
        <v>-22.215599999999998</v>
      </c>
      <c r="AF5351">
        <v>-21.843586608263799</v>
      </c>
      <c r="AG5351">
        <v>1.3443480000000001</v>
      </c>
      <c r="AH5351">
        <v>81.374847693665103</v>
      </c>
      <c r="AI5351">
        <v>89.085889597344305</v>
      </c>
      <c r="AJ5351">
        <v>105.025789251085</v>
      </c>
      <c r="AK5351">
        <v>84.266336010443794</v>
      </c>
      <c r="AL5351">
        <v>92.207213760096707</v>
      </c>
      <c r="AM5351">
        <v>95.305490373797696</v>
      </c>
      <c r="AN5351">
        <v>1.0000000039883301</v>
      </c>
    </row>
    <row r="5352" spans="1:40" x14ac:dyDescent="0.25">
      <c r="A5352" t="str">
        <f>"20190305135035958"</f>
        <v>20190305135035958</v>
      </c>
      <c r="B5352" t="str">
        <f>"1551765035955195"</f>
        <v>1551765035955195</v>
      </c>
      <c r="C5352" t="s">
        <v>40</v>
      </c>
      <c r="D5352">
        <v>4.2514120000000002</v>
      </c>
      <c r="E5352">
        <v>0.43664910000000001</v>
      </c>
      <c r="F5352" t="s">
        <v>83</v>
      </c>
      <c r="G5352">
        <v>-456.36829999999998</v>
      </c>
      <c r="H5352">
        <v>2.5981200000000002</v>
      </c>
      <c r="I5352">
        <v>119.395</v>
      </c>
      <c r="J5352">
        <v>-375.17189999999999</v>
      </c>
      <c r="K5352">
        <v>1.1102730000000001</v>
      </c>
      <c r="L5352">
        <v>141.61070000000001</v>
      </c>
      <c r="M5352">
        <v>-0.99927929999999998</v>
      </c>
      <c r="N5352">
        <v>-3.790321E-2</v>
      </c>
      <c r="O5352">
        <v>-2.0552690000000002E-3</v>
      </c>
      <c r="P5352">
        <v>-0.99257249999999997</v>
      </c>
      <c r="Q5352">
        <v>-7.8709349999999997E-2</v>
      </c>
      <c r="R5352">
        <v>-9.2761380000000004E-2</v>
      </c>
      <c r="S5352">
        <v>-2.9491879999999999</v>
      </c>
      <c r="T5352">
        <v>5.3639409999999998E-2</v>
      </c>
      <c r="U5352">
        <v>-0.80081179999999996</v>
      </c>
      <c r="V5352">
        <v>-9.0908539999999996E-2</v>
      </c>
      <c r="W5352">
        <v>-4.0604220000000003E-2</v>
      </c>
      <c r="X5352">
        <v>0.99503109999999995</v>
      </c>
      <c r="Y5352">
        <v>-0.2601098</v>
      </c>
      <c r="Z5352">
        <v>-2.8085929999999999E-3</v>
      </c>
      <c r="AA5352">
        <v>0.96557499999999996</v>
      </c>
      <c r="AB5352">
        <v>40</v>
      </c>
      <c r="AC5352">
        <v>-81.196399999999898</v>
      </c>
      <c r="AD5352">
        <v>1.4878469999999999</v>
      </c>
      <c r="AE5352">
        <v>-22.215699999999998</v>
      </c>
      <c r="AF5352">
        <v>-22.041767027567701</v>
      </c>
      <c r="AG5352">
        <v>1.4878469999999999</v>
      </c>
      <c r="AH5352">
        <v>81.216549434661502</v>
      </c>
      <c r="AI5352">
        <v>88.987118357750802</v>
      </c>
      <c r="AJ5352">
        <v>105.184046780095</v>
      </c>
      <c r="AK5352">
        <v>84.167577394539506</v>
      </c>
      <c r="AL5352">
        <v>92.327090234063803</v>
      </c>
      <c r="AM5352">
        <v>95.220193977458806</v>
      </c>
      <c r="AN5352">
        <v>0.99999997764697401</v>
      </c>
    </row>
    <row r="5353" spans="1:40" x14ac:dyDescent="0.25">
      <c r="A5353" t="str">
        <f>"20190305135035979"</f>
        <v>20190305135035979</v>
      </c>
      <c r="B5353" t="str">
        <f>"1551765035975691"</f>
        <v>1551765035975691</v>
      </c>
      <c r="C5353" t="s">
        <v>40</v>
      </c>
      <c r="D5353">
        <v>4.1415879999999996</v>
      </c>
      <c r="E5353">
        <v>0.50000649999999902</v>
      </c>
      <c r="F5353" t="s">
        <v>83</v>
      </c>
      <c r="G5353">
        <v>-458.07889999999998</v>
      </c>
      <c r="H5353">
        <v>2.5181330000000002</v>
      </c>
      <c r="I5353">
        <v>119.395</v>
      </c>
      <c r="J5353">
        <v>-375.54669999999999</v>
      </c>
      <c r="K5353">
        <v>1.1104039999999999</v>
      </c>
      <c r="L5353">
        <v>141.61150000000001</v>
      </c>
      <c r="M5353">
        <v>-0.99927820000000001</v>
      </c>
      <c r="N5353">
        <v>-3.7983019999999999E-2</v>
      </c>
      <c r="O5353">
        <v>-7.2510169999999896E-4</v>
      </c>
      <c r="P5353">
        <v>-0.99257289999999998</v>
      </c>
      <c r="Q5353">
        <v>-8.0949240000000006E-2</v>
      </c>
      <c r="R5353">
        <v>-9.0810219999999997E-2</v>
      </c>
      <c r="S5353">
        <v>-2.952515</v>
      </c>
      <c r="T5353">
        <v>5.0138000000000002E-2</v>
      </c>
      <c r="U5353">
        <v>-0.791153</v>
      </c>
      <c r="V5353">
        <v>-9.0275859999999999E-2</v>
      </c>
      <c r="W5353">
        <v>-4.2797969999999998E-2</v>
      </c>
      <c r="X5353">
        <v>0.99499680000000001</v>
      </c>
      <c r="Y5353">
        <v>-0.25817190000000001</v>
      </c>
      <c r="Z5353">
        <v>-2.8746750000000001E-3</v>
      </c>
      <c r="AA5353">
        <v>0.96609469999999997</v>
      </c>
      <c r="AB5353">
        <v>40</v>
      </c>
      <c r="AC5353">
        <v>-82.532199999999904</v>
      </c>
      <c r="AD5353">
        <v>1.407729</v>
      </c>
      <c r="AE5353">
        <v>-22.2165</v>
      </c>
      <c r="AF5353">
        <v>-22.150597798436401</v>
      </c>
      <c r="AG5353">
        <v>1.407729</v>
      </c>
      <c r="AH5353">
        <v>82.525911909906</v>
      </c>
      <c r="AI5353">
        <v>89.056143394646298</v>
      </c>
      <c r="AJ5353">
        <v>105.02451286166</v>
      </c>
      <c r="AK5353">
        <v>85.458509350018005</v>
      </c>
      <c r="AL5353">
        <v>92.452892219261003</v>
      </c>
      <c r="AM5353">
        <v>95.184240294522894</v>
      </c>
      <c r="AN5353">
        <v>1.0000000145725501</v>
      </c>
    </row>
    <row r="5354" spans="1:40" x14ac:dyDescent="0.25">
      <c r="A5354" t="str">
        <f>"20190305135035994"</f>
        <v>20190305135035994</v>
      </c>
      <c r="B5354" t="str">
        <f>"1551765035985451"</f>
        <v>1551765035985451</v>
      </c>
      <c r="C5354" t="s">
        <v>40</v>
      </c>
      <c r="D5354">
        <v>4.0993199999999996</v>
      </c>
      <c r="E5354">
        <v>0.50096779999999996</v>
      </c>
      <c r="F5354" t="s">
        <v>85</v>
      </c>
      <c r="G5354">
        <v>-489.49489999999997</v>
      </c>
      <c r="H5354" s="1">
        <v>-1.464465E-5</v>
      </c>
      <c r="I5354">
        <v>130.96369999999999</v>
      </c>
      <c r="J5354">
        <v>-375.80680000000001</v>
      </c>
      <c r="K5354">
        <v>1.11052</v>
      </c>
      <c r="L5354">
        <v>141.6122</v>
      </c>
      <c r="M5354">
        <v>-0.99927650000000001</v>
      </c>
      <c r="N5354">
        <v>-3.8034699999999998E-2</v>
      </c>
      <c r="O5354">
        <v>1.192344E-4</v>
      </c>
      <c r="P5354">
        <v>-0.99256840000000002</v>
      </c>
      <c r="Q5354">
        <v>-8.1980360000000002E-2</v>
      </c>
      <c r="R5354">
        <v>-8.9931880000000006E-2</v>
      </c>
      <c r="S5354">
        <v>-2.9944760000000001</v>
      </c>
      <c r="T5354">
        <v>-2.9180999999999999E-2</v>
      </c>
      <c r="U5354">
        <v>-0.2798157</v>
      </c>
      <c r="V5354">
        <v>-9.0229699999999996E-2</v>
      </c>
      <c r="W5354">
        <v>-4.3802590000000002E-2</v>
      </c>
      <c r="X5354">
        <v>0.99495730000000004</v>
      </c>
      <c r="Y5354">
        <v>-9.3135620000000002E-2</v>
      </c>
      <c r="Z5354">
        <v>-2.2253279999999999E-3</v>
      </c>
      <c r="AA5354">
        <v>0.99565090000000001</v>
      </c>
      <c r="AB5354">
        <v>40</v>
      </c>
      <c r="AC5354">
        <v>-113.688099999999</v>
      </c>
      <c r="AD5354">
        <v>-1.11053464465</v>
      </c>
      <c r="AE5354">
        <v>-10.6485</v>
      </c>
      <c r="AF5354">
        <v>-10.6610568520026</v>
      </c>
      <c r="AG5354">
        <v>-1.11053464465</v>
      </c>
      <c r="AH5354">
        <v>113.67607609425301</v>
      </c>
      <c r="AI5354">
        <v>90.557276075250698</v>
      </c>
      <c r="AJ5354">
        <v>95.357785964658305</v>
      </c>
      <c r="AK5354">
        <v>114.18030345285101</v>
      </c>
      <c r="AL5354">
        <v>92.510506661300795</v>
      </c>
      <c r="AM5354">
        <v>95.181808504623802</v>
      </c>
      <c r="AN5354">
        <v>1.0000000472380399</v>
      </c>
    </row>
    <row r="5355" spans="1:40" x14ac:dyDescent="0.25">
      <c r="A5355" t="str">
        <f>"20190305135036013"</f>
        <v>20190305135036013</v>
      </c>
      <c r="B5355" t="str">
        <f>"1551765036005948"</f>
        <v>1551765036005948</v>
      </c>
      <c r="C5355" t="s">
        <v>40</v>
      </c>
      <c r="D5355">
        <v>4.0872539999999997</v>
      </c>
      <c r="E5355">
        <v>0.50297510000000001</v>
      </c>
      <c r="F5355" t="s">
        <v>85</v>
      </c>
      <c r="G5355">
        <v>-480.26159999999999</v>
      </c>
      <c r="H5355" s="1">
        <v>-1.12908199999999E-5</v>
      </c>
      <c r="I5355">
        <v>132.209</v>
      </c>
      <c r="J5355">
        <v>-376.13529999999997</v>
      </c>
      <c r="K5355">
        <v>1.110697</v>
      </c>
      <c r="L5355">
        <v>141.61330000000001</v>
      </c>
      <c r="M5355">
        <v>-0.99927339999999998</v>
      </c>
      <c r="N5355">
        <v>-3.8098170000000001E-2</v>
      </c>
      <c r="O5355">
        <v>1.0714120000000001E-3</v>
      </c>
      <c r="P5355">
        <v>-0.99255649999999995</v>
      </c>
      <c r="Q5355">
        <v>-8.2503599999999996E-2</v>
      </c>
      <c r="R5355">
        <v>-8.9581759999999996E-2</v>
      </c>
      <c r="S5355">
        <v>-2.995422</v>
      </c>
      <c r="T5355">
        <v>-3.1846399999999997E-2</v>
      </c>
      <c r="U5355">
        <v>-0.26965329999999998</v>
      </c>
      <c r="V5355">
        <v>-9.0810779999999994E-2</v>
      </c>
      <c r="W5355">
        <v>-4.4295920000000003E-2</v>
      </c>
      <c r="X5355">
        <v>0.9948825</v>
      </c>
      <c r="Y5355">
        <v>-9.0703099999999995E-2</v>
      </c>
      <c r="Z5355">
        <v>-2.1839419999999999E-3</v>
      </c>
      <c r="AA5355">
        <v>0.99587559999999997</v>
      </c>
      <c r="AB5355">
        <v>39</v>
      </c>
      <c r="AC5355">
        <v>-104.1263</v>
      </c>
      <c r="AD5355">
        <v>-1.1107082908200001</v>
      </c>
      <c r="AE5355">
        <v>-9.4042999999999992</v>
      </c>
      <c r="AF5355">
        <v>-9.5148639430598205</v>
      </c>
      <c r="AG5355">
        <v>-1.1107082908200001</v>
      </c>
      <c r="AH5355">
        <v>104.10440742905701</v>
      </c>
      <c r="AI5355">
        <v>90.608738527591797</v>
      </c>
      <c r="AJ5355">
        <v>95.222171916625896</v>
      </c>
      <c r="AK5355">
        <v>104.54422009330401</v>
      </c>
      <c r="AL5355">
        <v>92.538800077495594</v>
      </c>
      <c r="AM5355">
        <v>95.215385902285604</v>
      </c>
      <c r="AN5355">
        <v>0.99999995754955096</v>
      </c>
    </row>
    <row r="5356" spans="1:40" x14ac:dyDescent="0.25">
      <c r="A5356" t="str">
        <f>"20190305135036027"</f>
        <v>20190305135036027</v>
      </c>
      <c r="B5356" t="str">
        <f>"1551765036015709"</f>
        <v>1551765036015709</v>
      </c>
      <c r="C5356" t="s">
        <v>40</v>
      </c>
      <c r="D5356">
        <v>4.0807799999999999</v>
      </c>
      <c r="E5356">
        <v>0.5026948</v>
      </c>
      <c r="F5356" t="s">
        <v>42</v>
      </c>
      <c r="G5356">
        <v>-444.33859999999999</v>
      </c>
      <c r="H5356" s="1">
        <v>-2.0624689999999999E-6</v>
      </c>
      <c r="I5356">
        <v>135.8689</v>
      </c>
      <c r="J5356">
        <v>-376.37939999999998</v>
      </c>
      <c r="K5356">
        <v>1.1108370000000001</v>
      </c>
      <c r="L5356">
        <v>141.61420000000001</v>
      </c>
      <c r="M5356">
        <v>-0.99927069999999996</v>
      </c>
      <c r="N5356">
        <v>-3.8149250000000003E-2</v>
      </c>
      <c r="O5356">
        <v>1.6920570000000001E-3</v>
      </c>
      <c r="P5356">
        <v>-0.99257329999999999</v>
      </c>
      <c r="Q5356">
        <v>-8.2243440000000001E-2</v>
      </c>
      <c r="R5356">
        <v>-8.9636190000000004E-2</v>
      </c>
      <c r="S5356">
        <v>-2.9956969999999998</v>
      </c>
      <c r="T5356">
        <v>-4.8785330000000002E-2</v>
      </c>
      <c r="U5356">
        <v>-0.25230409999999998</v>
      </c>
      <c r="V5356">
        <v>-9.1468019999999997E-2</v>
      </c>
      <c r="W5356">
        <v>-4.4010529999999999E-2</v>
      </c>
      <c r="X5356">
        <v>0.99483500000000002</v>
      </c>
      <c r="Y5356">
        <v>-8.5573899999999994E-2</v>
      </c>
      <c r="Z5356">
        <v>-2.2946870000000001E-3</v>
      </c>
      <c r="AA5356">
        <v>0.99632920000000003</v>
      </c>
      <c r="AB5356">
        <v>39</v>
      </c>
      <c r="AC5356">
        <v>-67.959199999999996</v>
      </c>
      <c r="AD5356">
        <v>-1.1108390624690001</v>
      </c>
      <c r="AE5356">
        <v>-5.7453000000000101</v>
      </c>
      <c r="AF5356">
        <v>-5.8588121069726498</v>
      </c>
      <c r="AG5356">
        <v>-1.1108390624690001</v>
      </c>
      <c r="AH5356">
        <v>67.931352940221103</v>
      </c>
      <c r="AI5356">
        <v>90.933374312839007</v>
      </c>
      <c r="AJ5356">
        <v>94.929337761026403</v>
      </c>
      <c r="AK5356">
        <v>68.192582844590902</v>
      </c>
      <c r="AL5356">
        <v>92.522432361559694</v>
      </c>
      <c r="AM5356">
        <v>95.253171083897001</v>
      </c>
      <c r="AN5356">
        <v>1.0000000013293</v>
      </c>
    </row>
    <row r="5357" spans="1:40" x14ac:dyDescent="0.25">
      <c r="A5357" t="str">
        <f>"20190305135036041"</f>
        <v>20190305135036041</v>
      </c>
      <c r="B5357" t="str">
        <f>"1551765036035229"</f>
        <v>1551765036035229</v>
      </c>
      <c r="C5357" t="s">
        <v>40</v>
      </c>
      <c r="D5357">
        <v>4.0660559999999997</v>
      </c>
      <c r="E5357">
        <v>0.50222179999999905</v>
      </c>
      <c r="F5357" t="s">
        <v>42</v>
      </c>
      <c r="G5357">
        <v>-455.56060000000002</v>
      </c>
      <c r="H5357" s="1">
        <v>-1.7460920000000001E-6</v>
      </c>
      <c r="I5357">
        <v>134.87119999999999</v>
      </c>
      <c r="J5357">
        <v>-376.59649999999999</v>
      </c>
      <c r="K5357">
        <v>1.110973</v>
      </c>
      <c r="L5357">
        <v>141.61510000000001</v>
      </c>
      <c r="M5357">
        <v>-0.99926780000000004</v>
      </c>
      <c r="N5357">
        <v>-3.820113E-2</v>
      </c>
      <c r="O5357">
        <v>2.1650879999999999E-3</v>
      </c>
      <c r="P5357">
        <v>-0.99260029999999999</v>
      </c>
      <c r="Q5357">
        <v>-8.1460859999999996E-2</v>
      </c>
      <c r="R5357">
        <v>-9.0050279999999996E-2</v>
      </c>
      <c r="S5357">
        <v>-2.995911</v>
      </c>
      <c r="T5357">
        <v>-4.2029860000000002E-2</v>
      </c>
      <c r="U5357">
        <v>-0.25512699999999999</v>
      </c>
      <c r="V5357">
        <v>-9.2337929999999999E-2</v>
      </c>
      <c r="W5357">
        <v>-4.3199349999999997E-2</v>
      </c>
      <c r="X5357">
        <v>0.99479019999999996</v>
      </c>
      <c r="Y5357">
        <v>-8.6977429999999994E-2</v>
      </c>
      <c r="Z5357">
        <v>-2.22193E-3</v>
      </c>
      <c r="AA5357">
        <v>0.99620779999999998</v>
      </c>
      <c r="AB5357">
        <v>39</v>
      </c>
      <c r="AC5357">
        <v>-78.964100000000002</v>
      </c>
      <c r="AD5357">
        <v>-1.1109747460920001</v>
      </c>
      <c r="AE5357">
        <v>-6.7439000000000204</v>
      </c>
      <c r="AF5357">
        <v>-6.9136146462016104</v>
      </c>
      <c r="AG5357">
        <v>-1.1109747460920001</v>
      </c>
      <c r="AH5357">
        <v>78.933791282505098</v>
      </c>
      <c r="AI5357">
        <v>90.803296539157898</v>
      </c>
      <c r="AJ5357">
        <v>95.005620714428801</v>
      </c>
      <c r="AK5357">
        <v>79.2437741314276</v>
      </c>
      <c r="AL5357">
        <v>92.475910900692398</v>
      </c>
      <c r="AM5357">
        <v>95.303085526268902</v>
      </c>
      <c r="AN5357">
        <v>1.00000000958657</v>
      </c>
    </row>
    <row r="5358" spans="1:40" x14ac:dyDescent="0.25">
      <c r="A5358" t="str">
        <f>"20190305135036053"</f>
        <v>20190305135036053</v>
      </c>
      <c r="B5358" t="str">
        <f>"1551765036045965"</f>
        <v>1551765036045965</v>
      </c>
      <c r="C5358" t="s">
        <v>40</v>
      </c>
      <c r="D5358">
        <v>4.0814709999999996</v>
      </c>
      <c r="E5358">
        <v>0.50200449999999996</v>
      </c>
      <c r="F5358" t="s">
        <v>85</v>
      </c>
      <c r="G5358">
        <v>-471.72879999999998</v>
      </c>
      <c r="H5358" s="1">
        <v>-6.425901E-6</v>
      </c>
      <c r="I5358">
        <v>133.3485</v>
      </c>
      <c r="J5358">
        <v>-376.81920000000002</v>
      </c>
      <c r="K5358">
        <v>1.111116</v>
      </c>
      <c r="L5358">
        <v>141.61609999999999</v>
      </c>
      <c r="M5358">
        <v>-0.9992645</v>
      </c>
      <c r="N5358">
        <v>-3.8257039999999999E-2</v>
      </c>
      <c r="O5358">
        <v>2.6022300000000001E-3</v>
      </c>
      <c r="P5358">
        <v>-0.99256650000000002</v>
      </c>
      <c r="Q5358">
        <v>-8.0886920000000001E-2</v>
      </c>
      <c r="R5358">
        <v>-9.0933840000000002E-2</v>
      </c>
      <c r="S5358">
        <v>-2.9958800000000001</v>
      </c>
      <c r="T5358">
        <v>-3.4986620000000003E-2</v>
      </c>
      <c r="U5358">
        <v>-0.26033020000000001</v>
      </c>
      <c r="V5358">
        <v>-9.3640959999999995E-2</v>
      </c>
      <c r="W5358">
        <v>-4.2595470000000003E-2</v>
      </c>
      <c r="X5358">
        <v>0.99469439999999998</v>
      </c>
      <c r="Y5358">
        <v>-8.9136960000000001E-2</v>
      </c>
      <c r="Z5358">
        <v>-2.1595490000000002E-3</v>
      </c>
      <c r="AA5358">
        <v>0.99601700000000004</v>
      </c>
      <c r="AB5358">
        <v>38</v>
      </c>
      <c r="AC5358">
        <v>-94.909599999999898</v>
      </c>
      <c r="AD5358">
        <v>-1.111122425901</v>
      </c>
      <c r="AE5358">
        <v>-8.2675999999999803</v>
      </c>
      <c r="AF5358">
        <v>-8.5135714586444706</v>
      </c>
      <c r="AG5358">
        <v>-1.111122425901</v>
      </c>
      <c r="AH5358">
        <v>94.874842822347105</v>
      </c>
      <c r="AI5358">
        <v>90.668301201340597</v>
      </c>
      <c r="AJ5358">
        <v>95.127689300969294</v>
      </c>
      <c r="AK5358">
        <v>95.262538768352499</v>
      </c>
      <c r="AL5358">
        <v>92.441279327127305</v>
      </c>
      <c r="AM5358">
        <v>95.377999413763902</v>
      </c>
      <c r="AN5358">
        <v>0.99999997642280003</v>
      </c>
    </row>
    <row r="5359" spans="1:40" x14ac:dyDescent="0.25">
      <c r="A5359" t="str">
        <f>"20190305135036076"</f>
        <v>20190305135036076</v>
      </c>
      <c r="B5359" t="str">
        <f>"1551765036065486"</f>
        <v>1551765036065486</v>
      </c>
      <c r="C5359" t="s">
        <v>40</v>
      </c>
      <c r="D5359">
        <v>4.0697590000000003</v>
      </c>
      <c r="E5359">
        <v>0.50168950000000001</v>
      </c>
      <c r="F5359" t="s">
        <v>85</v>
      </c>
      <c r="G5359">
        <v>-480.2097</v>
      </c>
      <c r="H5359" s="1">
        <v>-1.1223949999999999E-5</v>
      </c>
      <c r="I5359">
        <v>132.47130000000001</v>
      </c>
      <c r="J5359">
        <v>-377.2</v>
      </c>
      <c r="K5359">
        <v>1.111372</v>
      </c>
      <c r="L5359">
        <v>141.61789999999999</v>
      </c>
      <c r="M5359">
        <v>-0.99925909999999996</v>
      </c>
      <c r="N5359">
        <v>-3.8357420000000003E-2</v>
      </c>
      <c r="O5359">
        <v>3.1663099999999999E-3</v>
      </c>
      <c r="P5359">
        <v>-0.9924366</v>
      </c>
      <c r="Q5359">
        <v>-7.9991820000000005E-2</v>
      </c>
      <c r="R5359">
        <v>-9.3119380000000002E-2</v>
      </c>
      <c r="S5359">
        <v>-2.9955440000000002</v>
      </c>
      <c r="T5359">
        <v>-3.2192829999999999E-2</v>
      </c>
      <c r="U5359">
        <v>-0.26495360000000001</v>
      </c>
      <c r="V5359">
        <v>-9.6362240000000002E-2</v>
      </c>
      <c r="W5359">
        <v>-4.1649329999999998E-2</v>
      </c>
      <c r="X5359">
        <v>0.99447459999999999</v>
      </c>
      <c r="Y5359">
        <v>-9.1235819999999995E-2</v>
      </c>
      <c r="Z5359">
        <v>-2.156051E-3</v>
      </c>
      <c r="AA5359">
        <v>0.99582700000000002</v>
      </c>
      <c r="AB5359">
        <v>38</v>
      </c>
      <c r="AC5359">
        <v>-103.0097</v>
      </c>
      <c r="AD5359">
        <v>-1.1113832239499899</v>
      </c>
      <c r="AE5359">
        <v>-9.1465999999999692</v>
      </c>
      <c r="AF5359">
        <v>-9.4718609723809095</v>
      </c>
      <c r="AG5359">
        <v>-1.1113832239499899</v>
      </c>
      <c r="AH5359">
        <v>102.968308318285</v>
      </c>
      <c r="AI5359">
        <v>90.615795399534903</v>
      </c>
      <c r="AJ5359">
        <v>95.2557399083245</v>
      </c>
      <c r="AK5359">
        <v>103.409012377452</v>
      </c>
      <c r="AL5359">
        <v>92.387021189231703</v>
      </c>
      <c r="AM5359">
        <v>95.534547302355193</v>
      </c>
      <c r="AN5359">
        <v>1.00000003901621</v>
      </c>
    </row>
    <row r="5360" spans="1:40" x14ac:dyDescent="0.25">
      <c r="A5360" t="str">
        <f>"20190305135036089"</f>
        <v>20190305135036089</v>
      </c>
      <c r="B5360" t="str">
        <f>"1551765036085981"</f>
        <v>1551765036085981</v>
      </c>
      <c r="C5360" t="s">
        <v>40</v>
      </c>
      <c r="D5360">
        <v>4.0920230000000002</v>
      </c>
      <c r="E5360">
        <v>0.50138439999999995</v>
      </c>
      <c r="F5360" t="s">
        <v>85</v>
      </c>
      <c r="G5360">
        <v>-498.8997</v>
      </c>
      <c r="H5360">
        <v>5.6027590000000002E-2</v>
      </c>
      <c r="I5360">
        <v>130.47739999999999</v>
      </c>
      <c r="J5360">
        <v>-377.42450000000002</v>
      </c>
      <c r="K5360">
        <v>1.1115219999999999</v>
      </c>
      <c r="L5360">
        <v>141.6189</v>
      </c>
      <c r="M5360">
        <v>-0.99925600000000003</v>
      </c>
      <c r="N5360">
        <v>-3.8415860000000003E-2</v>
      </c>
      <c r="O5360">
        <v>3.4244140000000002E-3</v>
      </c>
      <c r="P5360">
        <v>-0.99236120000000005</v>
      </c>
      <c r="Q5360">
        <v>-7.9640859999999994E-2</v>
      </c>
      <c r="R5360">
        <v>-9.4215969999999996E-2</v>
      </c>
      <c r="S5360">
        <v>-2.9950559999999999</v>
      </c>
      <c r="T5360">
        <v>-2.5972249999999999E-2</v>
      </c>
      <c r="U5360">
        <v>-0.27416990000000002</v>
      </c>
      <c r="V5360">
        <v>-9.7701880000000005E-2</v>
      </c>
      <c r="W5360">
        <v>-4.1270679999999997E-2</v>
      </c>
      <c r="X5360">
        <v>0.99435960000000001</v>
      </c>
      <c r="Y5360">
        <v>-9.4550930000000005E-2</v>
      </c>
      <c r="Z5360">
        <v>-2.1281749999999999E-3</v>
      </c>
      <c r="AA5360">
        <v>0.99551769999999995</v>
      </c>
      <c r="AB5360">
        <v>37</v>
      </c>
      <c r="AC5360">
        <v>-121.47519999999901</v>
      </c>
      <c r="AD5360">
        <v>-1.0554944100000001</v>
      </c>
      <c r="AE5360">
        <v>-11.141500000000001</v>
      </c>
      <c r="AF5360">
        <v>-11.556857985496899</v>
      </c>
      <c r="AG5360">
        <v>-1.0554944100000001</v>
      </c>
      <c r="AH5360">
        <v>121.427214347091</v>
      </c>
      <c r="AI5360">
        <v>90.495785208121006</v>
      </c>
      <c r="AJ5360">
        <v>95.436760103755603</v>
      </c>
      <c r="AK5360">
        <v>121.98050425802001</v>
      </c>
      <c r="AL5360">
        <v>92.365307635559901</v>
      </c>
      <c r="AM5360">
        <v>95.611646399981495</v>
      </c>
      <c r="AN5360">
        <v>0.99999997024767795</v>
      </c>
    </row>
    <row r="5361" spans="1:40" x14ac:dyDescent="0.25">
      <c r="A5361" t="str">
        <f>"20190305135036102"</f>
        <v>20190305135036102</v>
      </c>
      <c r="B5361" t="str">
        <f>"1551765036095741"</f>
        <v>1551765036095741</v>
      </c>
      <c r="C5361" t="s">
        <v>40</v>
      </c>
      <c r="D5361">
        <v>4.085934</v>
      </c>
      <c r="E5361">
        <v>0.5013339</v>
      </c>
      <c r="F5361" t="s">
        <v>43</v>
      </c>
      <c r="G5361">
        <v>-537.21050000000002</v>
      </c>
      <c r="H5361">
        <v>-0.05</v>
      </c>
      <c r="I5361">
        <v>126.6674</v>
      </c>
      <c r="J5361">
        <v>-377.63319999999999</v>
      </c>
      <c r="K5361">
        <v>1.111664</v>
      </c>
      <c r="L5361">
        <v>141.6199</v>
      </c>
      <c r="M5361">
        <v>-0.99925359999999996</v>
      </c>
      <c r="N5361">
        <v>-3.8466529999999999E-2</v>
      </c>
      <c r="O5361">
        <v>3.5851609999999999E-3</v>
      </c>
      <c r="P5361">
        <v>-0.99206660000000002</v>
      </c>
      <c r="Q5361">
        <v>-7.9857230000000001E-2</v>
      </c>
      <c r="R5361">
        <v>-9.7094799999999995E-2</v>
      </c>
      <c r="S5361">
        <v>-2.9947810000000001</v>
      </c>
      <c r="T5361">
        <v>-2.1769759999999999E-2</v>
      </c>
      <c r="U5361">
        <v>-0.28022770000000002</v>
      </c>
      <c r="V5361">
        <v>-0.1007285</v>
      </c>
      <c r="W5361">
        <v>-4.146934E-2</v>
      </c>
      <c r="X5361">
        <v>0.99404930000000002</v>
      </c>
      <c r="Y5361">
        <v>-9.6718719999999994E-2</v>
      </c>
      <c r="Z5361">
        <v>-2.1042249999999999E-3</v>
      </c>
      <c r="AA5361">
        <v>0.99530949999999996</v>
      </c>
      <c r="AB5361">
        <v>37</v>
      </c>
      <c r="AC5361">
        <v>-159.57730000000001</v>
      </c>
      <c r="AD5361">
        <v>-1.161664</v>
      </c>
      <c r="AE5361">
        <v>-14.952500000000001</v>
      </c>
      <c r="AF5361">
        <v>-15.5241222214022</v>
      </c>
      <c r="AG5361">
        <v>-1.161664</v>
      </c>
      <c r="AH5361">
        <v>159.514246532877</v>
      </c>
      <c r="AI5361">
        <v>90.415287698519407</v>
      </c>
      <c r="AJ5361">
        <v>95.558590428344203</v>
      </c>
      <c r="AK5361">
        <v>160.272089525735</v>
      </c>
      <c r="AL5361">
        <v>92.376699759771697</v>
      </c>
      <c r="AM5361">
        <v>95.786116748814706</v>
      </c>
      <c r="AN5361">
        <v>0.99999997385138695</v>
      </c>
    </row>
    <row r="5362" spans="1:40" x14ac:dyDescent="0.25">
      <c r="A5362" t="str">
        <f>"20190305135036118"</f>
        <v>20190305135036118</v>
      </c>
      <c r="B5362" t="str">
        <f>"1551765036115261"</f>
        <v>1551765036115261</v>
      </c>
      <c r="C5362" t="s">
        <v>40</v>
      </c>
      <c r="D5362">
        <v>4.1102939999999997</v>
      </c>
      <c r="E5362">
        <v>0.50127239999999995</v>
      </c>
      <c r="F5362" t="s">
        <v>43</v>
      </c>
      <c r="G5362">
        <v>-541.62810000000002</v>
      </c>
      <c r="H5362">
        <v>-0.05</v>
      </c>
      <c r="I5362">
        <v>125.7713</v>
      </c>
      <c r="J5362">
        <v>-377.87549999999999</v>
      </c>
      <c r="K5362">
        <v>1.111815</v>
      </c>
      <c r="L5362">
        <v>141.62100000000001</v>
      </c>
      <c r="M5362">
        <v>-0.99925079999999999</v>
      </c>
      <c r="N5362">
        <v>-3.8522559999999997E-2</v>
      </c>
      <c r="O5362">
        <v>3.724607E-3</v>
      </c>
      <c r="P5362">
        <v>-0.99195929999999999</v>
      </c>
      <c r="Q5362">
        <v>-7.9683680000000007E-2</v>
      </c>
      <c r="R5362">
        <v>-9.8321820000000004E-2</v>
      </c>
      <c r="S5362">
        <v>-2.9939580000000001</v>
      </c>
      <c r="T5362">
        <v>-2.1207810000000001E-2</v>
      </c>
      <c r="U5362">
        <v>-0.28933720000000002</v>
      </c>
      <c r="V5362">
        <v>-0.10208059999999999</v>
      </c>
      <c r="W5362">
        <v>-4.1273030000000002E-2</v>
      </c>
      <c r="X5362">
        <v>0.99391960000000001</v>
      </c>
      <c r="Y5362">
        <v>-9.9883570000000005E-2</v>
      </c>
      <c r="Z5362">
        <v>-2.1652870000000001E-3</v>
      </c>
      <c r="AA5362">
        <v>0.99499680000000001</v>
      </c>
      <c r="AB5362">
        <v>37</v>
      </c>
      <c r="AC5362">
        <v>-163.7526</v>
      </c>
      <c r="AD5362">
        <v>-1.161815</v>
      </c>
      <c r="AE5362">
        <v>-15.8497</v>
      </c>
      <c r="AF5362">
        <v>-16.4591361944474</v>
      </c>
      <c r="AG5362">
        <v>-1.161815</v>
      </c>
      <c r="AH5362">
        <v>163.68422161689901</v>
      </c>
      <c r="AI5362">
        <v>90.404632714116204</v>
      </c>
      <c r="AJ5362">
        <v>95.742030423210494</v>
      </c>
      <c r="AK5362">
        <v>164.51376047216201</v>
      </c>
      <c r="AL5362">
        <v>92.365442226631998</v>
      </c>
      <c r="AM5362">
        <v>95.864007252677396</v>
      </c>
      <c r="AN5362">
        <v>1.00000004158294</v>
      </c>
    </row>
    <row r="5363" spans="1:40" x14ac:dyDescent="0.25">
      <c r="A5363" t="str">
        <f>"20190305135036131"</f>
        <v>20190305135036131</v>
      </c>
      <c r="B5363" t="str">
        <f>"1551765036125997"</f>
        <v>1551765036125997</v>
      </c>
      <c r="C5363" t="s">
        <v>40</v>
      </c>
      <c r="D5363">
        <v>4.1236730000000001</v>
      </c>
      <c r="E5363">
        <v>0.50131570000000003</v>
      </c>
      <c r="F5363" t="s">
        <v>47</v>
      </c>
      <c r="G5363">
        <v>0</v>
      </c>
      <c r="H5363">
        <v>0</v>
      </c>
      <c r="I5363">
        <v>0</v>
      </c>
      <c r="J5363">
        <v>-378.10199999999998</v>
      </c>
      <c r="K5363">
        <v>1.111953</v>
      </c>
      <c r="L5363">
        <v>141.62200000000001</v>
      </c>
      <c r="M5363">
        <v>-0.99924869999999999</v>
      </c>
      <c r="N5363">
        <v>-3.8571830000000001E-2</v>
      </c>
      <c r="O5363">
        <v>3.8024629999999999E-3</v>
      </c>
      <c r="P5363">
        <v>-0.99191030000000002</v>
      </c>
      <c r="Q5363">
        <v>-7.9199199999999997E-2</v>
      </c>
      <c r="R5363">
        <v>-9.9206160000000002E-2</v>
      </c>
      <c r="S5363">
        <v>-2.9937740000000002</v>
      </c>
      <c r="T5363">
        <v>-1.842475E-2</v>
      </c>
      <c r="U5363">
        <v>-0.29357909999999998</v>
      </c>
      <c r="V5363">
        <v>-0.1030306</v>
      </c>
      <c r="W5363">
        <v>-4.0768489999999998E-2</v>
      </c>
      <c r="X5363">
        <v>0.99384240000000001</v>
      </c>
      <c r="Y5363">
        <v>-0.10136539999999999</v>
      </c>
      <c r="Z5363">
        <v>-2.1486119999999998E-3</v>
      </c>
      <c r="AA5363">
        <v>0.99484689999999998</v>
      </c>
      <c r="AB5363">
        <v>36</v>
      </c>
      <c r="AC5363">
        <v>-2.9937740000000002</v>
      </c>
      <c r="AD5363">
        <v>-1.842475E-2</v>
      </c>
      <c r="AE5363">
        <v>-0.29357909999999998</v>
      </c>
      <c r="AF5363">
        <v>-0.304957725249353</v>
      </c>
      <c r="AG5363">
        <v>-1.842475E-2</v>
      </c>
      <c r="AH5363">
        <v>2.9925229042102002</v>
      </c>
      <c r="AI5363">
        <v>90.350944053522994</v>
      </c>
      <c r="AJ5363">
        <v>95.818729071402103</v>
      </c>
      <c r="AK5363">
        <v>3.0080777945100499</v>
      </c>
      <c r="AL5363">
        <v>92.3365098539999</v>
      </c>
      <c r="AM5363">
        <v>95.918650763222502</v>
      </c>
      <c r="AN5363">
        <v>1.00000004517549</v>
      </c>
    </row>
    <row r="5364" spans="1:40" x14ac:dyDescent="0.25">
      <c r="A5364" t="str">
        <f>"20190305135036146"</f>
        <v>20190305135036146</v>
      </c>
      <c r="B5364" t="str">
        <f>"1551765036135757"</f>
        <v>1551765036135757</v>
      </c>
      <c r="C5364" t="s">
        <v>40</v>
      </c>
      <c r="D5364">
        <v>4.0688700000000004</v>
      </c>
      <c r="E5364">
        <v>0.50158150000000001</v>
      </c>
      <c r="F5364" t="s">
        <v>47</v>
      </c>
      <c r="G5364">
        <v>0</v>
      </c>
      <c r="H5364">
        <v>0</v>
      </c>
      <c r="I5364">
        <v>0</v>
      </c>
      <c r="J5364">
        <v>-378.34249999999997</v>
      </c>
      <c r="K5364">
        <v>1.1121000000000001</v>
      </c>
      <c r="L5364">
        <v>141.62299999999999</v>
      </c>
      <c r="M5364">
        <v>-0.99924690000000005</v>
      </c>
      <c r="N5364">
        <v>-3.8619290000000001E-2</v>
      </c>
      <c r="O5364">
        <v>3.8035629999999998E-3</v>
      </c>
      <c r="P5364">
        <v>-0.99183089999999996</v>
      </c>
      <c r="Q5364">
        <v>-7.7886479999999994E-2</v>
      </c>
      <c r="R5364">
        <v>-0.1010223</v>
      </c>
      <c r="S5364">
        <v>-2.9935909999999999</v>
      </c>
      <c r="T5364">
        <v>-1.5987520000000002E-2</v>
      </c>
      <c r="U5364">
        <v>-0.2960815</v>
      </c>
      <c r="V5364">
        <v>-0.1048345</v>
      </c>
      <c r="W5364">
        <v>-3.9439809999999999E-2</v>
      </c>
      <c r="X5364">
        <v>0.99370729999999996</v>
      </c>
      <c r="Y5364">
        <v>-0.10219789999999999</v>
      </c>
      <c r="Z5364">
        <v>-2.1249709999999998E-3</v>
      </c>
      <c r="AA5364">
        <v>0.99476180000000003</v>
      </c>
      <c r="AB5364">
        <v>36</v>
      </c>
      <c r="AC5364">
        <v>-2.9935909999999999</v>
      </c>
      <c r="AD5364">
        <v>-1.5987520000000002E-2</v>
      </c>
      <c r="AE5364">
        <v>-0.2960815</v>
      </c>
      <c r="AF5364">
        <v>-0.30746548146290698</v>
      </c>
      <c r="AG5364">
        <v>-1.5987520000000002E-2</v>
      </c>
      <c r="AH5364">
        <v>2.9923577873807798</v>
      </c>
      <c r="AI5364">
        <v>90.304512823113697</v>
      </c>
      <c r="AJ5364">
        <v>95.866567267288701</v>
      </c>
      <c r="AK5364">
        <v>3.0081548748003999</v>
      </c>
      <c r="AL5364">
        <v>92.260320938902296</v>
      </c>
      <c r="AM5364">
        <v>96.022334579137095</v>
      </c>
      <c r="AN5364">
        <v>0.99999998453818695</v>
      </c>
    </row>
    <row r="5365" spans="1:40" x14ac:dyDescent="0.25">
      <c r="A5365" t="str">
        <f>"20190305135036169"</f>
        <v>20190305135036169</v>
      </c>
      <c r="B5365" t="str">
        <f>"1551765036166015"</f>
        <v>1551765036166015</v>
      </c>
      <c r="C5365" t="s">
        <v>40</v>
      </c>
      <c r="D5365">
        <v>4.1554789999999997</v>
      </c>
      <c r="E5365">
        <v>0.50192890000000001</v>
      </c>
      <c r="F5365" t="s">
        <v>47</v>
      </c>
      <c r="G5365">
        <v>0</v>
      </c>
      <c r="H5365">
        <v>0</v>
      </c>
      <c r="I5365">
        <v>0</v>
      </c>
      <c r="J5365">
        <v>-378.70010000000002</v>
      </c>
      <c r="K5365">
        <v>1.1123069999999999</v>
      </c>
      <c r="L5365">
        <v>141.62430000000001</v>
      </c>
      <c r="M5365">
        <v>-0.99924480000000004</v>
      </c>
      <c r="N5365">
        <v>-3.868253E-2</v>
      </c>
      <c r="O5365">
        <v>3.6820749999999999E-3</v>
      </c>
      <c r="P5365">
        <v>-0.99180420000000002</v>
      </c>
      <c r="Q5365">
        <v>-7.7117930000000001E-2</v>
      </c>
      <c r="R5365">
        <v>-0.1018693</v>
      </c>
      <c r="S5365">
        <v>-2.9928279999999998</v>
      </c>
      <c r="T5365">
        <v>-1.812828E-2</v>
      </c>
      <c r="U5365">
        <v>-0.29917909999999998</v>
      </c>
      <c r="V5365">
        <v>-0.1055446</v>
      </c>
      <c r="W5365">
        <v>-3.865234E-2</v>
      </c>
      <c r="X5365">
        <v>0.99366310000000002</v>
      </c>
      <c r="Y5365">
        <v>-0.1031194</v>
      </c>
      <c r="Z5365">
        <v>-2.1919499999999998E-3</v>
      </c>
      <c r="AA5365">
        <v>0.99466659999999996</v>
      </c>
      <c r="AB5365">
        <v>36</v>
      </c>
      <c r="AC5365">
        <v>-2.9928279999999998</v>
      </c>
      <c r="AD5365">
        <v>-1.812828E-2</v>
      </c>
      <c r="AE5365">
        <v>-0.29917909999999998</v>
      </c>
      <c r="AF5365">
        <v>-0.31019387115234798</v>
      </c>
      <c r="AG5365">
        <v>-1.812828E-2</v>
      </c>
      <c r="AH5365">
        <v>2.99159658050716</v>
      </c>
      <c r="AI5365">
        <v>90.345341518646507</v>
      </c>
      <c r="AJ5365">
        <v>95.919753361412404</v>
      </c>
      <c r="AK5365">
        <v>3.00768997284267</v>
      </c>
      <c r="AL5365">
        <v>92.215167737303702</v>
      </c>
      <c r="AM5365">
        <v>96.063091928081604</v>
      </c>
      <c r="AN5365">
        <v>1.0000000111391201</v>
      </c>
    </row>
    <row r="5366" spans="1:40" x14ac:dyDescent="0.25">
      <c r="A5366" t="str">
        <f>"20190305135036183"</f>
        <v>20190305135036183</v>
      </c>
      <c r="B5366" t="str">
        <f>"1551765036175773"</f>
        <v>1551765036175773</v>
      </c>
      <c r="C5366" t="s">
        <v>40</v>
      </c>
      <c r="D5366">
        <v>4.1572110000000002</v>
      </c>
      <c r="E5366">
        <v>0.50181969999999998</v>
      </c>
      <c r="F5366" t="s">
        <v>47</v>
      </c>
      <c r="G5366">
        <v>0</v>
      </c>
      <c r="H5366">
        <v>0</v>
      </c>
      <c r="I5366">
        <v>0</v>
      </c>
      <c r="J5366">
        <v>-378.92090000000002</v>
      </c>
      <c r="K5366">
        <v>1.1124289999999999</v>
      </c>
      <c r="L5366">
        <v>141.625</v>
      </c>
      <c r="M5366">
        <v>-0.99924489999999999</v>
      </c>
      <c r="N5366">
        <v>-3.8701020000000003E-2</v>
      </c>
      <c r="O5366">
        <v>3.499687E-3</v>
      </c>
      <c r="P5366">
        <v>-0.99175329999999995</v>
      </c>
      <c r="Q5366">
        <v>-7.7030109999999999E-2</v>
      </c>
      <c r="R5366">
        <v>-0.10243239999999899</v>
      </c>
      <c r="S5366">
        <v>-2.992737</v>
      </c>
      <c r="T5366">
        <v>-1.7081619999999999E-2</v>
      </c>
      <c r="U5366">
        <v>-0.29901119999999998</v>
      </c>
      <c r="V5366">
        <v>-0.10591589999999999</v>
      </c>
      <c r="W5366">
        <v>-3.8575369999999998E-2</v>
      </c>
      <c r="X5366">
        <v>0.99362660000000003</v>
      </c>
      <c r="Y5366">
        <v>-0.10288659999999999</v>
      </c>
      <c r="Z5366">
        <v>-2.1743880000000002E-3</v>
      </c>
      <c r="AA5366">
        <v>0.99469070000000004</v>
      </c>
      <c r="AB5366">
        <v>36</v>
      </c>
      <c r="AC5366">
        <v>-2.992737</v>
      </c>
      <c r="AD5366">
        <v>-1.7081619999999999E-2</v>
      </c>
      <c r="AE5366">
        <v>-0.29901119999999998</v>
      </c>
      <c r="AF5366">
        <v>-0.309480876706694</v>
      </c>
      <c r="AG5366">
        <v>-1.7081619999999999E-2</v>
      </c>
      <c r="AH5366">
        <v>2.9915749197700801</v>
      </c>
      <c r="AI5366">
        <v>90.325413493507199</v>
      </c>
      <c r="AJ5366">
        <v>95.906285303897405</v>
      </c>
      <c r="AK5366">
        <v>3.0075888507883399</v>
      </c>
      <c r="AL5366">
        <v>92.210754351059506</v>
      </c>
      <c r="AM5366">
        <v>96.084483660675204</v>
      </c>
      <c r="AN5366">
        <v>1.0000000286355</v>
      </c>
    </row>
    <row r="5367" spans="1:40" x14ac:dyDescent="0.25">
      <c r="A5367" t="str">
        <f>"20190305135036204"</f>
        <v>20190305135036204</v>
      </c>
      <c r="B5367" t="str">
        <f>"1551765036195293"</f>
        <v>1551765036195293</v>
      </c>
      <c r="C5367" t="s">
        <v>40</v>
      </c>
      <c r="D5367">
        <v>4.1307400000000003</v>
      </c>
      <c r="E5367">
        <v>0.50165839999999995</v>
      </c>
      <c r="F5367" t="s">
        <v>47</v>
      </c>
      <c r="G5367">
        <v>0</v>
      </c>
      <c r="H5367">
        <v>0</v>
      </c>
      <c r="I5367">
        <v>0</v>
      </c>
      <c r="J5367">
        <v>-379.21800000000002</v>
      </c>
      <c r="K5367">
        <v>1.112587</v>
      </c>
      <c r="L5367">
        <v>141.6258</v>
      </c>
      <c r="M5367">
        <v>-0.99924669999999904</v>
      </c>
      <c r="N5367">
        <v>-3.8682269999999998E-2</v>
      </c>
      <c r="O5367">
        <v>3.154029E-3</v>
      </c>
      <c r="P5367">
        <v>-0.99162859999999997</v>
      </c>
      <c r="Q5367">
        <v>-7.7455709999999997E-2</v>
      </c>
      <c r="R5367">
        <v>-0.10331360000000001</v>
      </c>
      <c r="S5367">
        <v>-2.9925540000000002</v>
      </c>
      <c r="T5367">
        <v>-1.6201730000000001E-2</v>
      </c>
      <c r="U5367">
        <v>-0.30177310000000002</v>
      </c>
      <c r="V5367">
        <v>-0.1064394</v>
      </c>
      <c r="W5367">
        <v>-3.9062600000000003E-2</v>
      </c>
      <c r="X5367">
        <v>0.99355159999999998</v>
      </c>
      <c r="Y5367">
        <v>-0.1034582</v>
      </c>
      <c r="Z5367">
        <v>-2.1815749999999998E-3</v>
      </c>
      <c r="AA5367">
        <v>0.99463140000000005</v>
      </c>
      <c r="AB5367">
        <v>35</v>
      </c>
      <c r="AC5367">
        <v>-2.9925540000000002</v>
      </c>
      <c r="AD5367">
        <v>-1.6201730000000001E-2</v>
      </c>
      <c r="AE5367">
        <v>-0.30177310000000002</v>
      </c>
      <c r="AF5367">
        <v>-0.31120823708081602</v>
      </c>
      <c r="AG5367">
        <v>-1.6201730000000001E-2</v>
      </c>
      <c r="AH5367">
        <v>2.9914997761510702</v>
      </c>
      <c r="AI5367">
        <v>90.308640856356703</v>
      </c>
      <c r="AJ5367">
        <v>95.939164235906006</v>
      </c>
      <c r="AK5367">
        <v>3.0076874793757802</v>
      </c>
      <c r="AL5367">
        <v>92.238691678609896</v>
      </c>
      <c r="AM5367">
        <v>96.114787642984993</v>
      </c>
      <c r="AN5367">
        <v>1.00000000722684</v>
      </c>
    </row>
    <row r="5368" spans="1:40" x14ac:dyDescent="0.25">
      <c r="A5368" t="str">
        <f>"20190305135036224"</f>
        <v>20190305135036224</v>
      </c>
      <c r="B5368" t="str">
        <f>"1551765036215789"</f>
        <v>1551765036215789</v>
      </c>
      <c r="C5368" t="s">
        <v>40</v>
      </c>
      <c r="D5368">
        <v>4.2581069999999999</v>
      </c>
      <c r="E5368">
        <v>0.50177939999999999</v>
      </c>
      <c r="F5368" t="s">
        <v>47</v>
      </c>
      <c r="G5368">
        <v>0</v>
      </c>
      <c r="H5368">
        <v>0</v>
      </c>
      <c r="I5368">
        <v>0</v>
      </c>
      <c r="J5368">
        <v>-379.54750000000001</v>
      </c>
      <c r="K5368">
        <v>1.112744</v>
      </c>
      <c r="L5368">
        <v>141.62629999999999</v>
      </c>
      <c r="M5368">
        <v>-0.99925269999999999</v>
      </c>
      <c r="N5368">
        <v>-3.8566370000000003E-2</v>
      </c>
      <c r="O5368">
        <v>2.607172E-3</v>
      </c>
      <c r="P5368">
        <v>-0.99151089999999997</v>
      </c>
      <c r="Q5368">
        <v>-7.8042840000000002E-2</v>
      </c>
      <c r="R5368">
        <v>-0.10399700000000001</v>
      </c>
      <c r="S5368">
        <v>-2.9921259999999998</v>
      </c>
      <c r="T5368">
        <v>-1.6762610000000001E-2</v>
      </c>
      <c r="U5368">
        <v>-0.30607600000000001</v>
      </c>
      <c r="V5368">
        <v>-0.1065627</v>
      </c>
      <c r="W5368">
        <v>-3.9813599999999998E-2</v>
      </c>
      <c r="X5368">
        <v>0.99350859999999996</v>
      </c>
      <c r="Y5368">
        <v>-0.10434350000000001</v>
      </c>
      <c r="Z5368">
        <v>-2.223947E-3</v>
      </c>
      <c r="AA5368">
        <v>0.99453879999999995</v>
      </c>
      <c r="AB5368">
        <v>35</v>
      </c>
      <c r="AC5368">
        <v>-2.9921259999999998</v>
      </c>
      <c r="AD5368">
        <v>-1.6762610000000001E-2</v>
      </c>
      <c r="AE5368">
        <v>-0.30607600000000001</v>
      </c>
      <c r="AF5368">
        <v>-0.31387200389755399</v>
      </c>
      <c r="AG5368">
        <v>-1.6762610000000001E-2</v>
      </c>
      <c r="AH5368">
        <v>2.9912243210455598</v>
      </c>
      <c r="AI5368">
        <v>90.319325028357497</v>
      </c>
      <c r="AJ5368">
        <v>95.990179680376997</v>
      </c>
      <c r="AK5368">
        <v>3.0076933950685798</v>
      </c>
      <c r="AL5368">
        <v>92.281754248328795</v>
      </c>
      <c r="AM5368">
        <v>96.122080237529204</v>
      </c>
      <c r="AN5368">
        <v>1.0000000350250999</v>
      </c>
    </row>
    <row r="5369" spans="1:40" x14ac:dyDescent="0.25">
      <c r="A5369" t="str">
        <f>"20190305135036240"</f>
        <v>20190305135036240</v>
      </c>
      <c r="B5369" t="str">
        <f>"1551765036235309"</f>
        <v>1551765036235309</v>
      </c>
      <c r="C5369" t="s">
        <v>40</v>
      </c>
      <c r="D5369">
        <v>4.4658369999999996</v>
      </c>
      <c r="E5369">
        <v>0.50203949999999997</v>
      </c>
      <c r="F5369" t="s">
        <v>47</v>
      </c>
      <c r="G5369">
        <v>0</v>
      </c>
      <c r="H5369">
        <v>0</v>
      </c>
      <c r="I5369">
        <v>0</v>
      </c>
      <c r="J5369">
        <v>-379.76929999999999</v>
      </c>
      <c r="K5369">
        <v>1.112835</v>
      </c>
      <c r="L5369">
        <v>141.62639999999999</v>
      </c>
      <c r="M5369">
        <v>-0.99925969999999997</v>
      </c>
      <c r="N5369">
        <v>-3.8415360000000003E-2</v>
      </c>
      <c r="O5369">
        <v>2.1281849999999999E-3</v>
      </c>
      <c r="P5369">
        <v>-0.99139239999999995</v>
      </c>
      <c r="Q5369">
        <v>-7.8653440000000005E-2</v>
      </c>
      <c r="R5369">
        <v>-0.1046652</v>
      </c>
      <c r="S5369">
        <v>-2.991943</v>
      </c>
      <c r="T5369">
        <v>-1.8874289999999998E-2</v>
      </c>
      <c r="U5369">
        <v>-0.30752560000000001</v>
      </c>
      <c r="V5369">
        <v>-0.10674210000000001</v>
      </c>
      <c r="W5369">
        <v>-4.0608739999999997E-2</v>
      </c>
      <c r="X5369">
        <v>0.99345709999999998</v>
      </c>
      <c r="Y5369">
        <v>-0.1043483</v>
      </c>
      <c r="Z5369">
        <v>-2.2705239999999999E-3</v>
      </c>
      <c r="AA5369">
        <v>0.99453820000000004</v>
      </c>
      <c r="AB5369">
        <v>34</v>
      </c>
      <c r="AC5369">
        <v>-2.991943</v>
      </c>
      <c r="AD5369">
        <v>-1.8874289999999998E-2</v>
      </c>
      <c r="AE5369">
        <v>-0.30752560000000001</v>
      </c>
      <c r="AF5369">
        <v>-0.313884652968975</v>
      </c>
      <c r="AG5369">
        <v>-1.8874289999999998E-2</v>
      </c>
      <c r="AH5369">
        <v>2.9911634691156901</v>
      </c>
      <c r="AI5369">
        <v>90.359558273206801</v>
      </c>
      <c r="AJ5369">
        <v>95.990540312114405</v>
      </c>
      <c r="AK5369">
        <v>3.0076467068398598</v>
      </c>
      <c r="AL5369">
        <v>92.327349424858497</v>
      </c>
      <c r="AM5369">
        <v>96.132623864191999</v>
      </c>
      <c r="AN5369">
        <v>0.99999997760860304</v>
      </c>
    </row>
    <row r="5370" spans="1:40" x14ac:dyDescent="0.25">
      <c r="A5370" t="str">
        <f>"20190305135036251"</f>
        <v>20190305135036251</v>
      </c>
      <c r="B5370" t="str">
        <f>"1551765036246045"</f>
        <v>1551765036246045</v>
      </c>
      <c r="C5370" t="s">
        <v>40</v>
      </c>
      <c r="D5370">
        <v>4.1251069999999999</v>
      </c>
      <c r="E5370">
        <v>0.50196419999999997</v>
      </c>
      <c r="F5370" t="s">
        <v>43</v>
      </c>
      <c r="G5370">
        <v>-540.39229999999998</v>
      </c>
      <c r="H5370">
        <v>-0.05</v>
      </c>
      <c r="I5370">
        <v>125.1105</v>
      </c>
      <c r="J5370">
        <v>-379.95839999999998</v>
      </c>
      <c r="K5370">
        <v>1.112906</v>
      </c>
      <c r="L5370">
        <v>141.62639999999999</v>
      </c>
      <c r="M5370">
        <v>-0.99926689999999996</v>
      </c>
      <c r="N5370">
        <v>-3.8245220000000003E-2</v>
      </c>
      <c r="O5370">
        <v>1.664528E-3</v>
      </c>
      <c r="P5370">
        <v>-0.9913284</v>
      </c>
      <c r="Q5370">
        <v>-7.9482739999999996E-2</v>
      </c>
      <c r="R5370">
        <v>-0.1046443</v>
      </c>
      <c r="S5370">
        <v>-2.9918209999999998</v>
      </c>
      <c r="T5370">
        <v>-2.1659370000000001E-2</v>
      </c>
      <c r="U5370">
        <v>-0.30763239999999997</v>
      </c>
      <c r="V5370">
        <v>-0.1062497</v>
      </c>
      <c r="W5370">
        <v>-4.1634129999999998E-2</v>
      </c>
      <c r="X5370">
        <v>0.99346749999999995</v>
      </c>
      <c r="Y5370">
        <v>-0.103924</v>
      </c>
      <c r="Z5370">
        <v>-2.3171049999999999E-3</v>
      </c>
      <c r="AA5370">
        <v>0.99458250000000004</v>
      </c>
      <c r="AB5370">
        <v>34</v>
      </c>
      <c r="AC5370">
        <v>-160.43389999999999</v>
      </c>
      <c r="AD5370">
        <v>-1.162906</v>
      </c>
      <c r="AE5370">
        <v>-16.515899999999899</v>
      </c>
      <c r="AF5370">
        <v>-16.782246843433899</v>
      </c>
      <c r="AG5370">
        <v>-1.162906</v>
      </c>
      <c r="AH5370">
        <v>160.39782705226099</v>
      </c>
      <c r="AI5370">
        <v>90.413139765172602</v>
      </c>
      <c r="AJ5370">
        <v>95.973061056334004</v>
      </c>
      <c r="AK5370">
        <v>161.27758394323101</v>
      </c>
      <c r="AL5370">
        <v>92.386149543255797</v>
      </c>
      <c r="AM5370">
        <v>96.104484817974907</v>
      </c>
      <c r="AN5370">
        <v>1.0000000365435899</v>
      </c>
    </row>
    <row r="5371" spans="1:40" x14ac:dyDescent="0.25">
      <c r="A5371" t="str">
        <f>"20190305135036271"</f>
        <v>20190305135036271</v>
      </c>
      <c r="B5371" t="str">
        <f>"1551765036265565"</f>
        <v>1551765036265565</v>
      </c>
      <c r="C5371" t="s">
        <v>40</v>
      </c>
      <c r="D5371">
        <v>4.1635109999999997</v>
      </c>
      <c r="E5371">
        <v>0.5017353</v>
      </c>
      <c r="F5371" t="s">
        <v>54</v>
      </c>
      <c r="G5371">
        <v>-500.75130000000001</v>
      </c>
      <c r="H5371">
        <v>0.1533754</v>
      </c>
      <c r="I5371">
        <v>129.18639999999999</v>
      </c>
      <c r="J5371">
        <v>-380.22550000000001</v>
      </c>
      <c r="K5371">
        <v>1.112984</v>
      </c>
      <c r="L5371">
        <v>141.62610000000001</v>
      </c>
      <c r="M5371">
        <v>-0.99928159999999999</v>
      </c>
      <c r="N5371">
        <v>-3.7889720000000002E-2</v>
      </c>
      <c r="O5371">
        <v>8.8068539999999903E-4</v>
      </c>
      <c r="P5371">
        <v>-0.99118580000000001</v>
      </c>
      <c r="Q5371">
        <v>-8.0795439999999996E-2</v>
      </c>
      <c r="R5371">
        <v>-0.10498929999999999</v>
      </c>
      <c r="S5371">
        <v>-2.9918819999999999</v>
      </c>
      <c r="T5371">
        <v>-2.3765439999999999E-2</v>
      </c>
      <c r="U5371">
        <v>-0.30812070000000003</v>
      </c>
      <c r="V5371">
        <v>-0.10580000000000001</v>
      </c>
      <c r="W5371">
        <v>-4.3339910000000002E-2</v>
      </c>
      <c r="X5371">
        <v>0.99344250000000001</v>
      </c>
      <c r="Y5371">
        <v>-0.10330110000000001</v>
      </c>
      <c r="Z5371">
        <v>-2.3459409999999998E-3</v>
      </c>
      <c r="AA5371">
        <v>0.99464739999999996</v>
      </c>
      <c r="AB5371">
        <v>33</v>
      </c>
      <c r="AC5371">
        <v>-120.5258</v>
      </c>
      <c r="AD5371">
        <v>-0.95960860000000003</v>
      </c>
      <c r="AE5371">
        <v>-12.4397</v>
      </c>
      <c r="AF5371">
        <v>-12.5451298824585</v>
      </c>
      <c r="AG5371">
        <v>-0.95960860000000003</v>
      </c>
      <c r="AH5371">
        <v>120.507231292949</v>
      </c>
      <c r="AI5371">
        <v>90.453788962949204</v>
      </c>
      <c r="AJ5371">
        <v>95.943238167412801</v>
      </c>
      <c r="AK5371">
        <v>121.162262797973</v>
      </c>
      <c r="AL5371">
        <v>92.483971983103501</v>
      </c>
      <c r="AM5371">
        <v>96.078993378777994</v>
      </c>
      <c r="AN5371">
        <v>0.99999999430252895</v>
      </c>
    </row>
    <row r="5372" spans="1:40" x14ac:dyDescent="0.25">
      <c r="A5372" t="str">
        <f>"20190305135036292"</f>
        <v>20190305135036292</v>
      </c>
      <c r="B5372" t="str">
        <f>"1551765036285085"</f>
        <v>1551765036285085</v>
      </c>
      <c r="C5372" t="s">
        <v>40</v>
      </c>
      <c r="D5372">
        <v>4.1158760000000001</v>
      </c>
      <c r="E5372">
        <v>0.50190349999999995</v>
      </c>
      <c r="F5372" t="s">
        <v>85</v>
      </c>
      <c r="G5372">
        <v>-495.69319999999999</v>
      </c>
      <c r="H5372">
        <v>5.1476609999999999E-2</v>
      </c>
      <c r="I5372">
        <v>129.6148</v>
      </c>
      <c r="J5372">
        <v>-380.55549999999999</v>
      </c>
      <c r="K5372">
        <v>1.113035</v>
      </c>
      <c r="L5372">
        <v>141.6251</v>
      </c>
      <c r="M5372">
        <v>-0.99930850000000004</v>
      </c>
      <c r="N5372">
        <v>-3.7179400000000001E-2</v>
      </c>
      <c r="O5372">
        <v>-3.0153089999999998E-4</v>
      </c>
      <c r="P5372">
        <v>-0.99098189999999997</v>
      </c>
      <c r="Q5372">
        <v>-8.1419850000000002E-2</v>
      </c>
      <c r="R5372">
        <v>-0.10642219999999999</v>
      </c>
      <c r="S5372">
        <v>-2.9915159999999998</v>
      </c>
      <c r="T5372">
        <v>-2.7501339999999999E-2</v>
      </c>
      <c r="U5372">
        <v>-0.31118770000000001</v>
      </c>
      <c r="V5372">
        <v>-0.10603799999999999</v>
      </c>
      <c r="W5372">
        <v>-4.4721780000000003E-2</v>
      </c>
      <c r="X5372">
        <v>0.99335589999999996</v>
      </c>
      <c r="Y5372">
        <v>-0.103143</v>
      </c>
      <c r="Z5372">
        <v>-2.4046660000000002E-3</v>
      </c>
      <c r="AA5372">
        <v>0.99466370000000004</v>
      </c>
      <c r="AB5372">
        <v>33</v>
      </c>
      <c r="AC5372">
        <v>-115.1377</v>
      </c>
      <c r="AD5372">
        <v>-1.0615583900000001</v>
      </c>
      <c r="AE5372">
        <v>-12.010300000000001</v>
      </c>
      <c r="AF5372">
        <v>-11.9745508976044</v>
      </c>
      <c r="AG5372">
        <v>-1.0615583900000001</v>
      </c>
      <c r="AH5372">
        <v>115.131637137704</v>
      </c>
      <c r="AI5372">
        <v>90.5254401756752</v>
      </c>
      <c r="AJ5372">
        <v>95.93783981528</v>
      </c>
      <c r="AK5372">
        <v>115.75755113781</v>
      </c>
      <c r="AL5372">
        <v>92.563224104946997</v>
      </c>
      <c r="AM5372">
        <v>96.093092654799094</v>
      </c>
      <c r="AN5372">
        <v>1.00000001955758</v>
      </c>
    </row>
    <row r="5373" spans="1:40" x14ac:dyDescent="0.25">
      <c r="A5373" t="str">
        <f>"20190305135036305"</f>
        <v>20190305135036305</v>
      </c>
      <c r="B5373" t="str">
        <f>"1551765036295821"</f>
        <v>1551765036295821</v>
      </c>
      <c r="C5373" t="s">
        <v>40</v>
      </c>
      <c r="D5373">
        <v>4.181959</v>
      </c>
      <c r="E5373">
        <v>0.50185519999999995</v>
      </c>
      <c r="F5373" t="s">
        <v>85</v>
      </c>
      <c r="G5373">
        <v>-482.57960000000003</v>
      </c>
      <c r="H5373" s="1">
        <v>-1.232624E-5</v>
      </c>
      <c r="I5373">
        <v>130.90379999999999</v>
      </c>
      <c r="J5373">
        <v>-380.74880000000002</v>
      </c>
      <c r="K5373">
        <v>1.113056</v>
      </c>
      <c r="L5373">
        <v>141.62430000000001</v>
      </c>
      <c r="M5373">
        <v>-0.99932650000000001</v>
      </c>
      <c r="N5373">
        <v>-3.6680240000000003E-2</v>
      </c>
      <c r="O5373">
        <v>-1.073734E-3</v>
      </c>
      <c r="P5373">
        <v>-0.99087270000000005</v>
      </c>
      <c r="Q5373">
        <v>-8.1502699999999997E-2</v>
      </c>
      <c r="R5373">
        <v>-0.10737240000000001</v>
      </c>
      <c r="S5373">
        <v>-2.990875</v>
      </c>
      <c r="T5373">
        <v>-3.2629369999999998E-2</v>
      </c>
      <c r="U5373">
        <v>-0.31430049999999998</v>
      </c>
      <c r="V5373">
        <v>-0.1062094</v>
      </c>
      <c r="W5373">
        <v>-4.5329349999999997E-2</v>
      </c>
      <c r="X5373">
        <v>0.99331000000000003</v>
      </c>
      <c r="Y5373">
        <v>-0.1034158</v>
      </c>
      <c r="Z5373">
        <v>-2.4929140000000002E-3</v>
      </c>
      <c r="AA5373">
        <v>0.99463509999999999</v>
      </c>
      <c r="AB5373">
        <v>33</v>
      </c>
      <c r="AC5373">
        <v>-101.8308</v>
      </c>
      <c r="AD5373">
        <v>-1.1130683262400001</v>
      </c>
      <c r="AE5373">
        <v>-10.720499999999999</v>
      </c>
      <c r="AF5373">
        <v>-10.6098272554921</v>
      </c>
      <c r="AG5373">
        <v>-1.1130683262400001</v>
      </c>
      <c r="AH5373">
        <v>101.83022690455201</v>
      </c>
      <c r="AI5373">
        <v>90.622882349851906</v>
      </c>
      <c r="AJ5373">
        <v>95.948261253983901</v>
      </c>
      <c r="AK5373">
        <v>102.387511283959</v>
      </c>
      <c r="AL5373">
        <v>92.598070767008807</v>
      </c>
      <c r="AM5373">
        <v>96.103147154443803</v>
      </c>
      <c r="AN5373">
        <v>0.99999997135989005</v>
      </c>
    </row>
    <row r="5374" spans="1:40" x14ac:dyDescent="0.25">
      <c r="A5374" t="str">
        <f>"20190305135036325"</f>
        <v>20190305135036325</v>
      </c>
      <c r="B5374" t="str">
        <f>"1551765036315341"</f>
        <v>1551765036315341</v>
      </c>
      <c r="C5374" t="s">
        <v>40</v>
      </c>
      <c r="D5374">
        <v>4.1766120000000004</v>
      </c>
      <c r="E5374">
        <v>0.50182700000000002</v>
      </c>
      <c r="F5374" t="s">
        <v>85</v>
      </c>
      <c r="G5374">
        <v>-483.15550000000002</v>
      </c>
      <c r="H5374" s="1">
        <v>-1.255176E-5</v>
      </c>
      <c r="I5374">
        <v>130.74879999999999</v>
      </c>
      <c r="J5374">
        <v>-381.02519999999998</v>
      </c>
      <c r="K5374">
        <v>1.113076</v>
      </c>
      <c r="L5374">
        <v>141.62260000000001</v>
      </c>
      <c r="M5374">
        <v>-0.99935240000000003</v>
      </c>
      <c r="N5374">
        <v>-3.5914139999999997E-2</v>
      </c>
      <c r="O5374">
        <v>-2.2719120000000001E-3</v>
      </c>
      <c r="P5374">
        <v>-0.99053159999999896</v>
      </c>
      <c r="Q5374">
        <v>-8.2277279999999994E-2</v>
      </c>
      <c r="R5374">
        <v>-0.10989980000000001</v>
      </c>
      <c r="S5374">
        <v>-2.99057</v>
      </c>
      <c r="T5374">
        <v>-3.25048E-2</v>
      </c>
      <c r="U5374">
        <v>-0.3175964</v>
      </c>
      <c r="V5374">
        <v>-0.1075305</v>
      </c>
      <c r="W5374">
        <v>-4.6911399999999999E-2</v>
      </c>
      <c r="X5374">
        <v>0.99309440000000004</v>
      </c>
      <c r="Y5374">
        <v>-0.10331890000000001</v>
      </c>
      <c r="Z5374">
        <v>-2.47802E-3</v>
      </c>
      <c r="AA5374">
        <v>0.99464520000000001</v>
      </c>
      <c r="AB5374">
        <v>33</v>
      </c>
      <c r="AC5374">
        <v>-102.13030000000001</v>
      </c>
      <c r="AD5374">
        <v>-1.11308855176</v>
      </c>
      <c r="AE5374">
        <v>-10.873799999999999</v>
      </c>
      <c r="AF5374">
        <v>-10.6403413726038</v>
      </c>
      <c r="AG5374">
        <v>-1.11308855176</v>
      </c>
      <c r="AH5374">
        <v>102.142759627099</v>
      </c>
      <c r="AI5374">
        <v>90.620989193109097</v>
      </c>
      <c r="AJ5374">
        <v>95.947124185645905</v>
      </c>
      <c r="AK5374">
        <v>102.701505222119</v>
      </c>
      <c r="AL5374">
        <v>92.688812082282993</v>
      </c>
      <c r="AM5374">
        <v>96.1798093625723</v>
      </c>
      <c r="AN5374">
        <v>0.99999998759578401</v>
      </c>
    </row>
    <row r="5375" spans="1:40" x14ac:dyDescent="0.25">
      <c r="A5375" t="str">
        <f>"20190305135036339"</f>
        <v>20190305135036339</v>
      </c>
      <c r="B5375" t="str">
        <f>"1551765036335836"</f>
        <v>1551765036335836</v>
      </c>
      <c r="C5375" t="s">
        <v>40</v>
      </c>
      <c r="D5375">
        <v>4.1851830000000003</v>
      </c>
      <c r="E5375">
        <v>0.50196070000000004</v>
      </c>
      <c r="F5375" t="s">
        <v>85</v>
      </c>
      <c r="G5375">
        <v>-478.88619999999997</v>
      </c>
      <c r="H5375" s="1">
        <v>-2.2433729999999999E-6</v>
      </c>
      <c r="I5375">
        <v>130.96010000000001</v>
      </c>
      <c r="J5375">
        <v>-381.22059999999999</v>
      </c>
      <c r="K5375">
        <v>1.113081</v>
      </c>
      <c r="L5375">
        <v>141.62119999999999</v>
      </c>
      <c r="M5375">
        <v>-0.99937069999999995</v>
      </c>
      <c r="N5375">
        <v>-3.5328110000000003E-2</v>
      </c>
      <c r="O5375">
        <v>-3.2048810000000001E-3</v>
      </c>
      <c r="P5375">
        <v>-0.99032949999999997</v>
      </c>
      <c r="Q5375">
        <v>-8.2039470000000003E-2</v>
      </c>
      <c r="R5375">
        <v>-0.1118816</v>
      </c>
      <c r="S5375">
        <v>-2.9896850000000001</v>
      </c>
      <c r="T5375">
        <v>-3.4004930000000003E-2</v>
      </c>
      <c r="U5375">
        <v>-0.3257446</v>
      </c>
      <c r="V5375">
        <v>-0.10857650000000001</v>
      </c>
      <c r="W5375">
        <v>-4.7285529999999999E-2</v>
      </c>
      <c r="X5375">
        <v>0.99296280000000003</v>
      </c>
      <c r="Y5375">
        <v>-0.105099499999999</v>
      </c>
      <c r="Z5375">
        <v>-2.5353070000000001E-3</v>
      </c>
      <c r="AA5375">
        <v>0.99445850000000002</v>
      </c>
      <c r="AB5375">
        <v>33</v>
      </c>
      <c r="AC5375">
        <v>-97.665599999999898</v>
      </c>
      <c r="AD5375">
        <v>-1.113083243373</v>
      </c>
      <c r="AE5375">
        <v>-10.6610999999999</v>
      </c>
      <c r="AF5375">
        <v>-10.346514993074599</v>
      </c>
      <c r="AG5375">
        <v>-1.113083243373</v>
      </c>
      <c r="AH5375">
        <v>97.686747680877303</v>
      </c>
      <c r="AI5375">
        <v>90.649192714017701</v>
      </c>
      <c r="AJ5375">
        <v>96.045955362015704</v>
      </c>
      <c r="AK5375">
        <v>98.239452356352103</v>
      </c>
      <c r="AL5375">
        <v>92.710272069868907</v>
      </c>
      <c r="AM5375">
        <v>96.240271818006704</v>
      </c>
      <c r="AN5375">
        <v>0.99999994994173402</v>
      </c>
    </row>
    <row r="5376" spans="1:40" x14ac:dyDescent="0.25">
      <c r="A5376" t="str">
        <f>"20190305135036360"</f>
        <v>20190305135036360</v>
      </c>
      <c r="B5376" t="str">
        <f>"1551765036355357"</f>
        <v>1551765036355357</v>
      </c>
      <c r="C5376" t="s">
        <v>40</v>
      </c>
      <c r="D5376">
        <v>4.1702659999999998</v>
      </c>
      <c r="E5376">
        <v>0.50207570000000001</v>
      </c>
      <c r="F5376" t="s">
        <v>85</v>
      </c>
      <c r="G5376">
        <v>-479.2516</v>
      </c>
      <c r="H5376" s="1">
        <v>-1.9866869999999998E-6</v>
      </c>
      <c r="I5376">
        <v>130.77850000000001</v>
      </c>
      <c r="J5376">
        <v>-381.51670000000001</v>
      </c>
      <c r="K5376">
        <v>1.113075</v>
      </c>
      <c r="L5376">
        <v>141.61850000000001</v>
      </c>
      <c r="M5376">
        <v>-0.99939840000000002</v>
      </c>
      <c r="N5376">
        <v>-3.4355400000000001E-2</v>
      </c>
      <c r="O5376">
        <v>-4.7529499999999997E-3</v>
      </c>
      <c r="P5376">
        <v>-0.98993019999999998</v>
      </c>
      <c r="Q5376">
        <v>-8.1863130000000006E-2</v>
      </c>
      <c r="R5376">
        <v>-0.115485199999999</v>
      </c>
      <c r="S5376">
        <v>-2.9891359999999998</v>
      </c>
      <c r="T5376">
        <v>-3.3939839999999999E-2</v>
      </c>
      <c r="U5376">
        <v>-0.33061220000000002</v>
      </c>
      <c r="V5376">
        <v>-0.11063050000000001</v>
      </c>
      <c r="W5376">
        <v>-4.8122640000000001E-2</v>
      </c>
      <c r="X5376">
        <v>0.99269589999999996</v>
      </c>
      <c r="Y5376">
        <v>-0.10518</v>
      </c>
      <c r="Z5376">
        <v>-2.5173719999999999E-3</v>
      </c>
      <c r="AA5376">
        <v>0.99444999999999995</v>
      </c>
      <c r="AB5376">
        <v>32</v>
      </c>
      <c r="AC5376">
        <v>-97.734899999999897</v>
      </c>
      <c r="AD5376">
        <v>-1.1130769866869901</v>
      </c>
      <c r="AE5376">
        <v>-10.84</v>
      </c>
      <c r="AF5376">
        <v>-10.373744790065</v>
      </c>
      <c r="AG5376">
        <v>-1.1130769866869901</v>
      </c>
      <c r="AH5376">
        <v>97.772819804014901</v>
      </c>
      <c r="AI5376">
        <v>90.648605019415996</v>
      </c>
      <c r="AJ5376">
        <v>96.056452052076494</v>
      </c>
      <c r="AK5376">
        <v>98.327909637986593</v>
      </c>
      <c r="AL5376">
        <v>92.758289409551693</v>
      </c>
      <c r="AM5376">
        <v>96.359059983639995</v>
      </c>
      <c r="AN5376">
        <v>1.00000002294381</v>
      </c>
    </row>
    <row r="5377" spans="1:40" x14ac:dyDescent="0.25">
      <c r="A5377" t="str">
        <f>"20190305135036381"</f>
        <v>20190305135036381</v>
      </c>
      <c r="B5377" t="str">
        <f>"1551765036375853"</f>
        <v>1551765036375853</v>
      </c>
      <c r="C5377" t="s">
        <v>40</v>
      </c>
      <c r="D5377">
        <v>4.0982279999999998</v>
      </c>
      <c r="E5377">
        <v>0.5022027</v>
      </c>
      <c r="F5377" t="s">
        <v>85</v>
      </c>
      <c r="G5377">
        <v>-474.06509999999997</v>
      </c>
      <c r="H5377" s="1">
        <v>-4.9449589999999996E-6</v>
      </c>
      <c r="I5377">
        <v>131.0729</v>
      </c>
      <c r="J5377">
        <v>-381.83179999999999</v>
      </c>
      <c r="K5377">
        <v>1.113054</v>
      </c>
      <c r="L5377">
        <v>141.61500000000001</v>
      </c>
      <c r="M5377">
        <v>-0.9994267</v>
      </c>
      <c r="N5377">
        <v>-3.3213689999999997E-2</v>
      </c>
      <c r="O5377">
        <v>-6.5789139999999999E-3</v>
      </c>
      <c r="P5377">
        <v>-0.98950629999999995</v>
      </c>
      <c r="Q5377">
        <v>-8.0923099999999998E-2</v>
      </c>
      <c r="R5377">
        <v>-0.119703</v>
      </c>
      <c r="S5377">
        <v>-2.9878230000000001</v>
      </c>
      <c r="T5377">
        <v>-3.5934569999999999E-2</v>
      </c>
      <c r="U5377">
        <v>-0.34045409999999998</v>
      </c>
      <c r="V5377">
        <v>-0.1130259</v>
      </c>
      <c r="W5377">
        <v>-4.8365789999999999E-2</v>
      </c>
      <c r="X5377">
        <v>0.99241420000000002</v>
      </c>
      <c r="Y5377">
        <v>-0.1066443</v>
      </c>
      <c r="Z5377">
        <v>-2.5557259999999999E-3</v>
      </c>
      <c r="AA5377">
        <v>0.99429389999999995</v>
      </c>
      <c r="AB5377">
        <v>32</v>
      </c>
      <c r="AC5377">
        <v>-92.2333</v>
      </c>
      <c r="AD5377">
        <v>-1.113058944959</v>
      </c>
      <c r="AE5377">
        <v>-10.5421</v>
      </c>
      <c r="AF5377">
        <v>-9.9333137669101195</v>
      </c>
      <c r="AG5377">
        <v>-1.113058944959</v>
      </c>
      <c r="AH5377">
        <v>92.287428790010594</v>
      </c>
      <c r="AI5377">
        <v>90.687030793839</v>
      </c>
      <c r="AJ5377">
        <v>96.143353017452597</v>
      </c>
      <c r="AK5377">
        <v>92.827146542798104</v>
      </c>
      <c r="AL5377">
        <v>92.772237116153306</v>
      </c>
      <c r="AM5377">
        <v>96.4974115774571</v>
      </c>
      <c r="AN5377">
        <v>1.0000000240373801</v>
      </c>
    </row>
    <row r="5378" spans="1:40" x14ac:dyDescent="0.25">
      <c r="A5378" t="str">
        <f>"20190305135036397"</f>
        <v>20190305135036397</v>
      </c>
      <c r="B5378" t="str">
        <f>"1551765036385613"</f>
        <v>1551765036385613</v>
      </c>
      <c r="C5378" t="s">
        <v>40</v>
      </c>
      <c r="D5378">
        <v>4.1746999999999996</v>
      </c>
      <c r="E5378">
        <v>0.50220750000000003</v>
      </c>
      <c r="F5378" t="s">
        <v>85</v>
      </c>
      <c r="G5378">
        <v>-477.37119999999999</v>
      </c>
      <c r="H5378" s="1">
        <v>-3.0038369999999999E-6</v>
      </c>
      <c r="I5378">
        <v>130.34719999999999</v>
      </c>
      <c r="J5378">
        <v>-382.04320000000001</v>
      </c>
      <c r="K5378">
        <v>1.1130389999999999</v>
      </c>
      <c r="L5378">
        <v>141.6122</v>
      </c>
      <c r="M5378">
        <v>-0.99944310000000003</v>
      </c>
      <c r="N5378">
        <v>-3.2424630000000003E-2</v>
      </c>
      <c r="O5378">
        <v>-7.8930189999999994E-3</v>
      </c>
      <c r="P5378">
        <v>-0.98923349999999999</v>
      </c>
      <c r="Q5378">
        <v>-7.9922359999999998E-2</v>
      </c>
      <c r="R5378">
        <v>-0.1225966</v>
      </c>
      <c r="S5378">
        <v>-2.9863279999999999</v>
      </c>
      <c r="T5378">
        <v>-3.4791469999999998E-2</v>
      </c>
      <c r="U5378">
        <v>-0.3522034</v>
      </c>
      <c r="V5378">
        <v>-0.11461109999999999</v>
      </c>
      <c r="W5378">
        <v>-4.818008E-2</v>
      </c>
      <c r="X5378">
        <v>0.99224140000000005</v>
      </c>
      <c r="Y5378">
        <v>-0.109254</v>
      </c>
      <c r="Z5378">
        <v>-2.5758059999999999E-3</v>
      </c>
      <c r="AA5378">
        <v>0.99401050000000002</v>
      </c>
      <c r="AB5378">
        <v>32</v>
      </c>
      <c r="AC5378">
        <v>-95.327999999999903</v>
      </c>
      <c r="AD5378">
        <v>-1.1130420038369999</v>
      </c>
      <c r="AE5378">
        <v>-11.265000000000001</v>
      </c>
      <c r="AF5378">
        <v>-10.5104141026445</v>
      </c>
      <c r="AG5378">
        <v>-1.1130420038369999</v>
      </c>
      <c r="AH5378">
        <v>95.401162356600096</v>
      </c>
      <c r="AI5378">
        <v>90.664417826535797</v>
      </c>
      <c r="AJ5378">
        <v>96.286962522526494</v>
      </c>
      <c r="AK5378">
        <v>95.984839668052501</v>
      </c>
      <c r="AL5378">
        <v>92.761584336420199</v>
      </c>
      <c r="AM5378">
        <v>96.588880084869203</v>
      </c>
      <c r="AN5378">
        <v>1.00000001011298</v>
      </c>
    </row>
    <row r="5379" spans="1:40" x14ac:dyDescent="0.25">
      <c r="A5379" t="str">
        <f>"20190305135036410"</f>
        <v>20190305135036410</v>
      </c>
      <c r="B5379" t="str">
        <f>"1551765036405134"</f>
        <v>1551765036405134</v>
      </c>
      <c r="C5379" t="s">
        <v>40</v>
      </c>
      <c r="D5379">
        <v>4.1827560000000004</v>
      </c>
      <c r="E5379">
        <v>0.50215940000000003</v>
      </c>
      <c r="F5379" t="s">
        <v>85</v>
      </c>
      <c r="G5379">
        <v>-481.5181</v>
      </c>
      <c r="H5379">
        <v>7.9389039999999994E-2</v>
      </c>
      <c r="I5379">
        <v>129.58690000000001</v>
      </c>
      <c r="J5379">
        <v>-382.24329999999998</v>
      </c>
      <c r="K5379">
        <v>1.1130329999999999</v>
      </c>
      <c r="L5379">
        <v>141.60929999999999</v>
      </c>
      <c r="M5379">
        <v>-0.99945600000000001</v>
      </c>
      <c r="N5379">
        <v>-3.1675389999999998E-2</v>
      </c>
      <c r="O5379">
        <v>-9.1919730000000009E-3</v>
      </c>
      <c r="P5379">
        <v>-0.98898339999999996</v>
      </c>
      <c r="Q5379">
        <v>-7.8888799999999995E-2</v>
      </c>
      <c r="R5379">
        <v>-0.1252538</v>
      </c>
      <c r="S5379">
        <v>-2.9854129999999999</v>
      </c>
      <c r="T5379">
        <v>-3.10216E-2</v>
      </c>
      <c r="U5379">
        <v>-0.36090090000000002</v>
      </c>
      <c r="V5379">
        <v>-0.1159765</v>
      </c>
      <c r="W5379">
        <v>-4.791865E-2</v>
      </c>
      <c r="X5379">
        <v>0.99209539999999996</v>
      </c>
      <c r="Y5379">
        <v>-0.11085689999999999</v>
      </c>
      <c r="Z5379">
        <v>-2.5316620000000001E-3</v>
      </c>
      <c r="AA5379">
        <v>0.99383310000000002</v>
      </c>
      <c r="AB5379">
        <v>32</v>
      </c>
      <c r="AC5379">
        <v>-99.274799999999999</v>
      </c>
      <c r="AD5379">
        <v>-1.03364396</v>
      </c>
      <c r="AE5379">
        <v>-12.0223999999999</v>
      </c>
      <c r="AF5379">
        <v>-11.107715454286801</v>
      </c>
      <c r="AG5379">
        <v>-1.03364396</v>
      </c>
      <c r="AH5379">
        <v>99.370549847131201</v>
      </c>
      <c r="AI5379">
        <v>90.592275831196801</v>
      </c>
      <c r="AJ5379">
        <v>96.378089033378401</v>
      </c>
      <c r="AK5379">
        <v>99.994779560588199</v>
      </c>
      <c r="AL5379">
        <v>92.746588168706197</v>
      </c>
      <c r="AM5379">
        <v>96.667645389918206</v>
      </c>
      <c r="AN5379">
        <v>1.00000001413561</v>
      </c>
    </row>
    <row r="5380" spans="1:40" x14ac:dyDescent="0.25">
      <c r="A5380" t="str">
        <f>"20190305135036423"</f>
        <v>20190305135036423</v>
      </c>
      <c r="B5380" t="str">
        <f>"1551765036415870"</f>
        <v>1551765036415870</v>
      </c>
      <c r="C5380" t="s">
        <v>40</v>
      </c>
      <c r="D5380">
        <v>4.1720509999999997</v>
      </c>
      <c r="E5380">
        <v>0.50218580000000002</v>
      </c>
      <c r="F5380" t="s">
        <v>85</v>
      </c>
      <c r="G5380">
        <v>-497.06670000000003</v>
      </c>
      <c r="H5380">
        <v>7.9987909999999995E-2</v>
      </c>
      <c r="I5380">
        <v>127.3995</v>
      </c>
      <c r="J5380">
        <v>-382.43189999999998</v>
      </c>
      <c r="K5380">
        <v>1.1130260000000001</v>
      </c>
      <c r="L5380">
        <v>141.6062</v>
      </c>
      <c r="M5380">
        <v>-0.99946520000000005</v>
      </c>
      <c r="N5380">
        <v>-3.097074E-2</v>
      </c>
      <c r="O5380">
        <v>-1.049544E-2</v>
      </c>
      <c r="P5380">
        <v>-0.98873509999999998</v>
      </c>
      <c r="Q5380">
        <v>-7.7846609999999997E-2</v>
      </c>
      <c r="R5380">
        <v>-0.1278388</v>
      </c>
      <c r="S5380">
        <v>-2.984467</v>
      </c>
      <c r="T5380">
        <v>-2.6850700000000002E-2</v>
      </c>
      <c r="U5380">
        <v>-0.36933899999999997</v>
      </c>
      <c r="V5380">
        <v>-0.11726590000000001</v>
      </c>
      <c r="W5380">
        <v>-4.7602369999999998E-2</v>
      </c>
      <c r="X5380">
        <v>0.99195900000000004</v>
      </c>
      <c r="Y5380">
        <v>-0.11237129999999999</v>
      </c>
      <c r="Z5380">
        <v>-2.480781E-3</v>
      </c>
      <c r="AA5380">
        <v>0.99366319999999997</v>
      </c>
      <c r="AB5380">
        <v>32</v>
      </c>
      <c r="AC5380">
        <v>-114.6348</v>
      </c>
      <c r="AD5380">
        <v>-1.03303809</v>
      </c>
      <c r="AE5380">
        <v>-14.2066999999999</v>
      </c>
      <c r="AF5380">
        <v>-13.001156849456599</v>
      </c>
      <c r="AG5380">
        <v>-1.03303809</v>
      </c>
      <c r="AH5380">
        <v>114.768477976939</v>
      </c>
      <c r="AI5380">
        <v>90.512431600485897</v>
      </c>
      <c r="AJ5380">
        <v>96.463005586850898</v>
      </c>
      <c r="AK5380">
        <v>115.507146031156</v>
      </c>
      <c r="AL5380">
        <v>92.728446084000794</v>
      </c>
      <c r="AM5380">
        <v>96.742014636833602</v>
      </c>
      <c r="AN5380">
        <v>0.99999996730671203</v>
      </c>
    </row>
    <row r="5381" spans="1:40" x14ac:dyDescent="0.25">
      <c r="A5381" t="str">
        <f>"20190305135036437"</f>
        <v>20190305135036437</v>
      </c>
      <c r="B5381" t="str">
        <f>"1551765036425629"</f>
        <v>1551765036425629</v>
      </c>
      <c r="C5381" t="s">
        <v>40</v>
      </c>
      <c r="D5381">
        <v>4.1777280000000001</v>
      </c>
      <c r="E5381">
        <v>0.50220640000000005</v>
      </c>
      <c r="F5381" t="s">
        <v>43</v>
      </c>
      <c r="G5381">
        <v>-532.99789999999996</v>
      </c>
      <c r="H5381">
        <v>-0.05</v>
      </c>
      <c r="I5381">
        <v>122.5728</v>
      </c>
      <c r="J5381">
        <v>-382.60680000000002</v>
      </c>
      <c r="K5381">
        <v>1.113011</v>
      </c>
      <c r="L5381">
        <v>141.60310000000001</v>
      </c>
      <c r="M5381">
        <v>-0.99947169999999996</v>
      </c>
      <c r="N5381">
        <v>-3.0306880000000001E-2</v>
      </c>
      <c r="O5381">
        <v>-1.1751579999999999E-2</v>
      </c>
      <c r="P5381">
        <v>-0.98831190000000002</v>
      </c>
      <c r="Q5381">
        <v>-7.7327859999999998E-2</v>
      </c>
      <c r="R5381">
        <v>-0.13137769999999999</v>
      </c>
      <c r="S5381">
        <v>-2.9836119999999999</v>
      </c>
      <c r="T5381">
        <v>-2.3046489999999999E-2</v>
      </c>
      <c r="U5381">
        <v>-0.37716670000000002</v>
      </c>
      <c r="V5381">
        <v>-0.1195577</v>
      </c>
      <c r="W5381">
        <v>-4.777692E-2</v>
      </c>
      <c r="X5381">
        <v>0.99167700000000003</v>
      </c>
      <c r="Y5381">
        <v>-0.113728</v>
      </c>
      <c r="Z5381">
        <v>-2.4327340000000002E-3</v>
      </c>
      <c r="AA5381">
        <v>0.99350890000000003</v>
      </c>
      <c r="AB5381">
        <v>32</v>
      </c>
      <c r="AC5381">
        <v>-150.391099999999</v>
      </c>
      <c r="AD5381">
        <v>-1.163011</v>
      </c>
      <c r="AE5381">
        <v>-19.0303</v>
      </c>
      <c r="AF5381">
        <v>-17.259823781415399</v>
      </c>
      <c r="AG5381">
        <v>-1.163011</v>
      </c>
      <c r="AH5381">
        <v>150.59558031359001</v>
      </c>
      <c r="AI5381">
        <v>90.439594175401098</v>
      </c>
      <c r="AJ5381">
        <v>96.538165886131694</v>
      </c>
      <c r="AK5381">
        <v>151.585892884326</v>
      </c>
      <c r="AL5381">
        <v>92.738458433572106</v>
      </c>
      <c r="AM5381">
        <v>96.874465309270505</v>
      </c>
      <c r="AN5381">
        <v>0.99999997502148796</v>
      </c>
    </row>
    <row r="5382" spans="1:40" x14ac:dyDescent="0.25">
      <c r="A5382" t="str">
        <f>"20190305135036460"</f>
        <v>20190305135036460</v>
      </c>
      <c r="B5382" t="str">
        <f>"1551765036455886"</f>
        <v>1551765036455886</v>
      </c>
      <c r="C5382" t="s">
        <v>40</v>
      </c>
      <c r="D5382">
        <v>4.2234629999999997</v>
      </c>
      <c r="E5382">
        <v>0.50138260000000001</v>
      </c>
      <c r="F5382" t="s">
        <v>43</v>
      </c>
      <c r="G5382">
        <v>-549.15750000000003</v>
      </c>
      <c r="H5382">
        <v>-0.05</v>
      </c>
      <c r="I5382">
        <v>119.9443</v>
      </c>
      <c r="J5382">
        <v>-382.92899999999997</v>
      </c>
      <c r="K5382">
        <v>1.1129910000000001</v>
      </c>
      <c r="L5382">
        <v>141.5967</v>
      </c>
      <c r="M5382">
        <v>-0.99947710000000001</v>
      </c>
      <c r="N5382">
        <v>-2.9053740000000002E-2</v>
      </c>
      <c r="O5382">
        <v>-1.4190370000000001E-2</v>
      </c>
      <c r="P5382">
        <v>-0.98770420000000003</v>
      </c>
      <c r="Q5382">
        <v>-7.6831209999999997E-2</v>
      </c>
      <c r="R5382">
        <v>-0.13615179999999999</v>
      </c>
      <c r="S5382">
        <v>-2.9823300000000001</v>
      </c>
      <c r="T5382">
        <v>-2.0825389999999999E-2</v>
      </c>
      <c r="U5382">
        <v>-0.38783260000000003</v>
      </c>
      <c r="V5382">
        <v>-0.1219076</v>
      </c>
      <c r="W5382">
        <v>-4.8576000000000001E-2</v>
      </c>
      <c r="X5382">
        <v>0.99135209999999996</v>
      </c>
      <c r="Y5382">
        <v>-0.1148556</v>
      </c>
      <c r="Z5382">
        <v>-2.387391E-3</v>
      </c>
      <c r="AA5382">
        <v>0.99337929999999997</v>
      </c>
      <c r="AB5382">
        <v>32</v>
      </c>
      <c r="AC5382">
        <v>-166.2285</v>
      </c>
      <c r="AD5382">
        <v>-1.1629909999999899</v>
      </c>
      <c r="AE5382">
        <v>-21.6524</v>
      </c>
      <c r="AF5382">
        <v>-19.2894493999753</v>
      </c>
      <c r="AG5382">
        <v>-1.1629909999999899</v>
      </c>
      <c r="AH5382">
        <v>166.511119385505</v>
      </c>
      <c r="AI5382">
        <v>90.397515472764695</v>
      </c>
      <c r="AJ5382">
        <v>96.607964208504697</v>
      </c>
      <c r="AK5382">
        <v>167.628721540296</v>
      </c>
      <c r="AL5382">
        <v>92.7842953949567</v>
      </c>
      <c r="AM5382">
        <v>97.0105256121076</v>
      </c>
      <c r="AN5382">
        <v>1.0000000384440799</v>
      </c>
    </row>
    <row r="5383" spans="1:40" x14ac:dyDescent="0.25">
      <c r="A5383" t="str">
        <f>"20190305135036483"</f>
        <v>20190305135036483</v>
      </c>
      <c r="B5383" t="str">
        <f>"1551765036475405"</f>
        <v>1551765036475405</v>
      </c>
      <c r="C5383" t="s">
        <v>40</v>
      </c>
      <c r="D5383">
        <v>4.2667390000000003</v>
      </c>
      <c r="E5383">
        <v>0.50084700000000004</v>
      </c>
      <c r="F5383" t="s">
        <v>85</v>
      </c>
      <c r="G5383">
        <v>-502.83030000000002</v>
      </c>
      <c r="H5383">
        <v>7.9987320000000001E-2</v>
      </c>
      <c r="I5383">
        <v>125.1545</v>
      </c>
      <c r="J5383">
        <v>-383.24860000000001</v>
      </c>
      <c r="K5383">
        <v>1.112957</v>
      </c>
      <c r="L5383">
        <v>141.58940000000001</v>
      </c>
      <c r="M5383">
        <v>-0.99947540000000001</v>
      </c>
      <c r="N5383">
        <v>-2.7711599999999999E-2</v>
      </c>
      <c r="O5383">
        <v>-1.6770549999999999E-2</v>
      </c>
      <c r="P5383">
        <v>-0.98701550000000005</v>
      </c>
      <c r="Q5383">
        <v>-7.6730270000000003E-2</v>
      </c>
      <c r="R5383">
        <v>-0.14111279999999901</v>
      </c>
      <c r="S5383">
        <v>-2.9790649999999999</v>
      </c>
      <c r="T5383">
        <v>-2.5666000000000001E-2</v>
      </c>
      <c r="U5383">
        <v>-0.40852359999999999</v>
      </c>
      <c r="V5383">
        <v>-0.1243045</v>
      </c>
      <c r="W5383">
        <v>-4.9862499999999997E-2</v>
      </c>
      <c r="X5383">
        <v>0.9909905</v>
      </c>
      <c r="Y5383">
        <v>-0.1192037</v>
      </c>
      <c r="Z5383">
        <v>-2.4899689999999999E-3</v>
      </c>
      <c r="AA5383">
        <v>0.99286669999999999</v>
      </c>
      <c r="AB5383">
        <v>31</v>
      </c>
      <c r="AC5383">
        <v>-119.5817</v>
      </c>
      <c r="AD5383">
        <v>-1.0329696799999999</v>
      </c>
      <c r="AE5383">
        <v>-16.434899999999999</v>
      </c>
      <c r="AF5383">
        <v>-14.4253093665709</v>
      </c>
      <c r="AG5383">
        <v>-1.0329696799999999</v>
      </c>
      <c r="AH5383">
        <v>119.831821918334</v>
      </c>
      <c r="AI5383">
        <v>90.490346734755207</v>
      </c>
      <c r="AJ5383">
        <v>96.8642143946863</v>
      </c>
      <c r="AK5383">
        <v>120.701375803875</v>
      </c>
      <c r="AL5383">
        <v>92.858095904182306</v>
      </c>
      <c r="AM5383">
        <v>97.149532865821797</v>
      </c>
      <c r="AN5383">
        <v>1.00000002435837</v>
      </c>
    </row>
    <row r="5384" spans="1:40" x14ac:dyDescent="0.25">
      <c r="A5384" t="str">
        <f>"20190305135036504"</f>
        <v>20190305135036504</v>
      </c>
      <c r="B5384" t="str">
        <f>"1551765036495901"</f>
        <v>1551765036495901</v>
      </c>
      <c r="C5384" t="s">
        <v>40</v>
      </c>
      <c r="D5384">
        <v>4.2874239999999997</v>
      </c>
      <c r="E5384">
        <v>0.50053230000000004</v>
      </c>
      <c r="F5384" t="s">
        <v>85</v>
      </c>
      <c r="G5384">
        <v>-489.0258</v>
      </c>
      <c r="H5384">
        <v>7.9986570000000007E-2</v>
      </c>
      <c r="I5384">
        <v>126.3792</v>
      </c>
      <c r="J5384">
        <v>-383.54570000000001</v>
      </c>
      <c r="K5384">
        <v>1.112911</v>
      </c>
      <c r="L5384">
        <v>141.58179999999999</v>
      </c>
      <c r="M5384">
        <v>-0.99946579999999996</v>
      </c>
      <c r="N5384">
        <v>-2.6378450000000001E-2</v>
      </c>
      <c r="O5384">
        <v>-1.9294769999999999E-2</v>
      </c>
      <c r="P5384">
        <v>-0.98625700000000005</v>
      </c>
      <c r="Q5384">
        <v>-7.7385770000000006E-2</v>
      </c>
      <c r="R5384">
        <v>-0.14597460000000001</v>
      </c>
      <c r="S5384">
        <v>-2.9759829999999998</v>
      </c>
      <c r="T5384">
        <v>-2.9062029999999999E-2</v>
      </c>
      <c r="U5384">
        <v>-0.4279327</v>
      </c>
      <c r="V5384">
        <v>-0.12665889999999999</v>
      </c>
      <c r="W5384">
        <v>-5.1894290000000003E-2</v>
      </c>
      <c r="X5384">
        <v>0.99058789999999997</v>
      </c>
      <c r="Y5384">
        <v>-0.12318079999999999</v>
      </c>
      <c r="Z5384">
        <v>-2.5510620000000002E-3</v>
      </c>
      <c r="AA5384">
        <v>0.99238099999999996</v>
      </c>
      <c r="AB5384">
        <v>31</v>
      </c>
      <c r="AC5384">
        <v>-105.48009999999999</v>
      </c>
      <c r="AD5384">
        <v>-1.03292443</v>
      </c>
      <c r="AE5384">
        <v>-15.202599999999901</v>
      </c>
      <c r="AF5384">
        <v>-13.1626086328772</v>
      </c>
      <c r="AG5384">
        <v>-1.03292443</v>
      </c>
      <c r="AH5384">
        <v>105.743948818115</v>
      </c>
      <c r="AI5384">
        <v>90.555371134450894</v>
      </c>
      <c r="AJ5384">
        <v>97.095466612989796</v>
      </c>
      <c r="AK5384">
        <v>106.56502198446</v>
      </c>
      <c r="AL5384">
        <v>92.974660128910202</v>
      </c>
      <c r="AM5384">
        <v>97.2864367273055</v>
      </c>
      <c r="AN5384">
        <v>0.99999994095511002</v>
      </c>
    </row>
    <row r="5385" spans="1:40" x14ac:dyDescent="0.25">
      <c r="A5385" t="str">
        <f>"20190305135036527"</f>
        <v>20190305135036527</v>
      </c>
      <c r="B5385" t="str">
        <f>"1551765036515422"</f>
        <v>1551765036515422</v>
      </c>
      <c r="C5385" t="s">
        <v>40</v>
      </c>
      <c r="D5385">
        <v>4.25075</v>
      </c>
      <c r="E5385">
        <v>0.49985889999999999</v>
      </c>
      <c r="F5385" t="s">
        <v>85</v>
      </c>
      <c r="G5385">
        <v>-475.50099999999998</v>
      </c>
      <c r="H5385">
        <v>7.9986570000000007E-2</v>
      </c>
      <c r="I5385">
        <v>127.81570000000001</v>
      </c>
      <c r="J5385">
        <v>-383.86</v>
      </c>
      <c r="K5385">
        <v>1.1128579999999999</v>
      </c>
      <c r="L5385">
        <v>141.5728</v>
      </c>
      <c r="M5385">
        <v>-0.99944390000000005</v>
      </c>
      <c r="N5385">
        <v>-2.4992839999999999E-2</v>
      </c>
      <c r="O5385">
        <v>-2.2071940000000002E-2</v>
      </c>
      <c r="P5385">
        <v>-0.98548150000000001</v>
      </c>
      <c r="Q5385">
        <v>-7.7624509999999994E-2</v>
      </c>
      <c r="R5385">
        <v>-0.1509983</v>
      </c>
      <c r="S5385">
        <v>-2.9732970000000001</v>
      </c>
      <c r="T5385">
        <v>-3.3398749999999998E-2</v>
      </c>
      <c r="U5385">
        <v>-0.44511410000000001</v>
      </c>
      <c r="V5385">
        <v>-0.12892960000000001</v>
      </c>
      <c r="W5385">
        <v>-5.3556670000000001E-2</v>
      </c>
      <c r="X5385">
        <v>0.99020649999999999</v>
      </c>
      <c r="Y5385">
        <v>-0.12615889999999999</v>
      </c>
      <c r="Z5385">
        <v>-2.5928129999999998E-3</v>
      </c>
      <c r="AA5385">
        <v>0.99200670000000002</v>
      </c>
      <c r="AB5385">
        <v>31</v>
      </c>
      <c r="AC5385">
        <v>-91.640999999999906</v>
      </c>
      <c r="AD5385">
        <v>-1.0328714299999999</v>
      </c>
      <c r="AE5385">
        <v>-13.7570999999999</v>
      </c>
      <c r="AF5385">
        <v>-11.7289625953821</v>
      </c>
      <c r="AG5385">
        <v>-1.0328714299999999</v>
      </c>
      <c r="AH5385">
        <v>91.910983394804603</v>
      </c>
      <c r="AI5385">
        <v>90.638668895495499</v>
      </c>
      <c r="AJ5385">
        <v>97.272333988806594</v>
      </c>
      <c r="AK5385">
        <v>92.662097189491803</v>
      </c>
      <c r="AL5385">
        <v>93.070039881987995</v>
      </c>
      <c r="AM5385">
        <v>97.418448754425796</v>
      </c>
      <c r="AN5385">
        <v>1.0000000356499399</v>
      </c>
    </row>
    <row r="5386" spans="1:40" x14ac:dyDescent="0.25">
      <c r="A5386" t="str">
        <f>"20190305135036549"</f>
        <v>20190305135036549</v>
      </c>
      <c r="B5386" t="str">
        <f>"1551765036545677"</f>
        <v>1551765036545677</v>
      </c>
      <c r="C5386" t="s">
        <v>40</v>
      </c>
      <c r="D5386">
        <v>4.2367569999999999</v>
      </c>
      <c r="E5386">
        <v>0.49931150000000002</v>
      </c>
      <c r="F5386" t="s">
        <v>42</v>
      </c>
      <c r="G5386">
        <v>-460.30509999999998</v>
      </c>
      <c r="H5386">
        <v>7.1465979999999998E-2</v>
      </c>
      <c r="I5386">
        <v>129.5949</v>
      </c>
      <c r="J5386">
        <v>-384.1696</v>
      </c>
      <c r="K5386">
        <v>1.1128209999999901</v>
      </c>
      <c r="L5386">
        <v>141.56299999999999</v>
      </c>
      <c r="M5386">
        <v>-0.99940839999999997</v>
      </c>
      <c r="N5386">
        <v>-2.3706620000000001E-2</v>
      </c>
      <c r="O5386">
        <v>-2.491523E-2</v>
      </c>
      <c r="P5386">
        <v>-0.98475780000000002</v>
      </c>
      <c r="Q5386">
        <v>-7.6811530000000003E-2</v>
      </c>
      <c r="R5386">
        <v>-0.15605079999999999</v>
      </c>
      <c r="S5386">
        <v>-2.9697269999999998</v>
      </c>
      <c r="T5386">
        <v>-4.0455820000000003E-2</v>
      </c>
      <c r="U5386">
        <v>-0.46531679999999997</v>
      </c>
      <c r="V5386">
        <v>-0.1311737</v>
      </c>
      <c r="W5386">
        <v>-5.4059490000000002E-2</v>
      </c>
      <c r="X5386">
        <v>0.9898844</v>
      </c>
      <c r="Y5386">
        <v>-0.1300965</v>
      </c>
      <c r="Z5386">
        <v>-2.6829219999999999E-3</v>
      </c>
      <c r="AA5386">
        <v>0.99149770000000004</v>
      </c>
      <c r="AB5386">
        <v>31</v>
      </c>
      <c r="AC5386">
        <v>-76.135499999999894</v>
      </c>
      <c r="AD5386">
        <v>-1.0413550199999999</v>
      </c>
      <c r="AE5386">
        <v>-11.9680999999999</v>
      </c>
      <c r="AF5386">
        <v>-10.0650782380538</v>
      </c>
      <c r="AG5386">
        <v>-1.0413550199999999</v>
      </c>
      <c r="AH5386">
        <v>76.396176155353899</v>
      </c>
      <c r="AI5386">
        <v>90.774259531310804</v>
      </c>
      <c r="AJ5386">
        <v>97.505404263966199</v>
      </c>
      <c r="AK5386">
        <v>77.0633891765454</v>
      </c>
      <c r="AL5386">
        <v>93.098891107791502</v>
      </c>
      <c r="AM5386">
        <v>97.548523096304393</v>
      </c>
      <c r="AN5386">
        <v>1.00000004669705</v>
      </c>
    </row>
    <row r="5387" spans="1:40" x14ac:dyDescent="0.25">
      <c r="A5387" t="str">
        <f>"20190305135036573"</f>
        <v>20190305135036573</v>
      </c>
      <c r="B5387" t="str">
        <f>"1551765036565197"</f>
        <v>1551765036565197</v>
      </c>
      <c r="C5387" t="s">
        <v>40</v>
      </c>
      <c r="D5387">
        <v>4.2418849999999999</v>
      </c>
      <c r="E5387">
        <v>0.49901580000000001</v>
      </c>
      <c r="F5387" t="s">
        <v>42</v>
      </c>
      <c r="G5387">
        <v>-457.2987</v>
      </c>
      <c r="H5387">
        <v>2.5980670000000001E-2</v>
      </c>
      <c r="I5387">
        <v>129.6163</v>
      </c>
      <c r="J5387">
        <v>-384.48739999999998</v>
      </c>
      <c r="K5387">
        <v>1.112797</v>
      </c>
      <c r="L5387">
        <v>141.55189999999999</v>
      </c>
      <c r="M5387">
        <v>-0.99935669999999999</v>
      </c>
      <c r="N5387">
        <v>-2.249021E-2</v>
      </c>
      <c r="O5387">
        <v>-2.7935129999999999E-2</v>
      </c>
      <c r="P5387">
        <v>-0.98406649999999996</v>
      </c>
      <c r="Q5387">
        <v>-7.5349449999999998E-2</v>
      </c>
      <c r="R5387">
        <v>-0.16104579999999999</v>
      </c>
      <c r="S5387">
        <v>-2.9662480000000002</v>
      </c>
      <c r="T5387">
        <v>-4.4084190000000002E-2</v>
      </c>
      <c r="U5387">
        <v>-0.48457339999999999</v>
      </c>
      <c r="V5387">
        <v>-0.133192899999999</v>
      </c>
      <c r="W5387">
        <v>-5.3836870000000002E-2</v>
      </c>
      <c r="X5387">
        <v>0.98962680000000003</v>
      </c>
      <c r="Y5387">
        <v>-0.13354969999999999</v>
      </c>
      <c r="Z5387">
        <v>-2.7103890000000001E-3</v>
      </c>
      <c r="AA5387">
        <v>0.99103839999999999</v>
      </c>
      <c r="AB5387">
        <v>31</v>
      </c>
      <c r="AC5387">
        <v>-72.811300000000003</v>
      </c>
      <c r="AD5387">
        <v>-1.08681633</v>
      </c>
      <c r="AE5387">
        <v>-11.9355999999999</v>
      </c>
      <c r="AF5387">
        <v>-9.8942851363957107</v>
      </c>
      <c r="AG5387">
        <v>-1.08681633</v>
      </c>
      <c r="AH5387">
        <v>73.100516453923902</v>
      </c>
      <c r="AI5387">
        <v>90.844082241174604</v>
      </c>
      <c r="AJ5387">
        <v>97.708241684775899</v>
      </c>
      <c r="AK5387">
        <v>73.775087623979601</v>
      </c>
      <c r="AL5387">
        <v>93.086117525250799</v>
      </c>
      <c r="AM5387">
        <v>97.665320494958493</v>
      </c>
      <c r="AN5387">
        <v>0.99999998023002301</v>
      </c>
    </row>
    <row r="5388" spans="1:40" x14ac:dyDescent="0.25">
      <c r="A5388" t="str">
        <f>"20190305135036593"</f>
        <v>20190305135036593</v>
      </c>
      <c r="B5388" t="str">
        <f>"1551765036585693"</f>
        <v>1551765036585693</v>
      </c>
      <c r="C5388" t="s">
        <v>40</v>
      </c>
      <c r="D5388">
        <v>4.275474</v>
      </c>
      <c r="E5388">
        <v>0.49890109999999899</v>
      </c>
      <c r="F5388" t="s">
        <v>42</v>
      </c>
      <c r="G5388">
        <v>-455.4255</v>
      </c>
      <c r="H5388">
        <v>7.9987710000000004E-2</v>
      </c>
      <c r="I5388">
        <v>129.53530000000001</v>
      </c>
      <c r="J5388">
        <v>-384.786</v>
      </c>
      <c r="K5388">
        <v>1.1127849999999999</v>
      </c>
      <c r="L5388">
        <v>141.54060000000001</v>
      </c>
      <c r="M5388">
        <v>-0.99929469999999998</v>
      </c>
      <c r="N5388">
        <v>-2.144735E-2</v>
      </c>
      <c r="O5388">
        <v>-3.0824299999999999E-2</v>
      </c>
      <c r="P5388">
        <v>-0.98338820000000005</v>
      </c>
      <c r="Q5388">
        <v>-7.3642029999999997E-2</v>
      </c>
      <c r="R5388">
        <v>-0.16590460000000001</v>
      </c>
      <c r="S5388">
        <v>-2.9631349999999999</v>
      </c>
      <c r="T5388">
        <v>-4.314113E-2</v>
      </c>
      <c r="U5388">
        <v>-0.50193789999999905</v>
      </c>
      <c r="V5388">
        <v>-0.13521040000000001</v>
      </c>
      <c r="W5388">
        <v>-5.3193079999999997E-2</v>
      </c>
      <c r="X5388">
        <v>0.98938800000000005</v>
      </c>
      <c r="Y5388">
        <v>-0.1365025</v>
      </c>
      <c r="Z5388">
        <v>-2.6729169999999999E-3</v>
      </c>
      <c r="AA5388">
        <v>0.99063610000000002</v>
      </c>
      <c r="AB5388">
        <v>31</v>
      </c>
      <c r="AC5388">
        <v>-70.639499999999998</v>
      </c>
      <c r="AD5388">
        <v>-1.03279729</v>
      </c>
      <c r="AE5388">
        <v>-12.0053</v>
      </c>
      <c r="AF5388">
        <v>-9.8196384365324807</v>
      </c>
      <c r="AG5388">
        <v>-1.03279729</v>
      </c>
      <c r="AH5388">
        <v>70.961314908136998</v>
      </c>
      <c r="AI5388">
        <v>90.825975422792794</v>
      </c>
      <c r="AJ5388">
        <v>97.878564590619405</v>
      </c>
      <c r="AK5388">
        <v>71.644959227835699</v>
      </c>
      <c r="AL5388">
        <v>93.049178126152299</v>
      </c>
      <c r="AM5388">
        <v>97.781871906557896</v>
      </c>
      <c r="AN5388">
        <v>0.99999998528602296</v>
      </c>
    </row>
    <row r="5389" spans="1:40" x14ac:dyDescent="0.25">
      <c r="A5389" t="str">
        <f>"20190305135036608"</f>
        <v>20190305135036608</v>
      </c>
      <c r="B5389" t="str">
        <f>"1551765036605214"</f>
        <v>1551765036605214</v>
      </c>
      <c r="C5389" t="s">
        <v>40</v>
      </c>
      <c r="D5389">
        <v>4.2370099999999997</v>
      </c>
      <c r="E5389">
        <v>0.49878679999999997</v>
      </c>
      <c r="F5389" t="s">
        <v>42</v>
      </c>
      <c r="G5389">
        <v>-462.16829999999999</v>
      </c>
      <c r="H5389">
        <v>7.9986790000000002E-2</v>
      </c>
      <c r="I5389">
        <v>128.00649999999999</v>
      </c>
      <c r="J5389">
        <v>-384.99119999999999</v>
      </c>
      <c r="K5389">
        <v>1.1127720000000001</v>
      </c>
      <c r="L5389">
        <v>141.5324</v>
      </c>
      <c r="M5389">
        <v>-0.9992451</v>
      </c>
      <c r="N5389">
        <v>-2.0784009999999999E-2</v>
      </c>
      <c r="O5389">
        <v>-3.2823249999999998E-2</v>
      </c>
      <c r="P5389">
        <v>-0.98295880000000002</v>
      </c>
      <c r="Q5389">
        <v>-7.2653679999999998E-2</v>
      </c>
      <c r="R5389">
        <v>-0.1688596</v>
      </c>
      <c r="S5389">
        <v>-2.9603269999999999</v>
      </c>
      <c r="T5389">
        <v>-3.9510610000000002E-2</v>
      </c>
      <c r="U5389">
        <v>-0.51776120000000003</v>
      </c>
      <c r="V5389">
        <v>-0.1361996</v>
      </c>
      <c r="W5389">
        <v>-5.2878880000000003E-2</v>
      </c>
      <c r="X5389">
        <v>0.98926919999999996</v>
      </c>
      <c r="Y5389">
        <v>-0.1398218</v>
      </c>
      <c r="Z5389">
        <v>-2.633645E-3</v>
      </c>
      <c r="AA5389">
        <v>0.99017319999999998</v>
      </c>
      <c r="AB5389">
        <v>31</v>
      </c>
      <c r="AC5389">
        <v>-77.177099999999996</v>
      </c>
      <c r="AD5389">
        <v>-1.0327852099999999</v>
      </c>
      <c r="AE5389">
        <v>-13.5259</v>
      </c>
      <c r="AF5389">
        <v>-10.982950093465501</v>
      </c>
      <c r="AG5389">
        <v>-1.0327852099999999</v>
      </c>
      <c r="AH5389">
        <v>77.566080265270401</v>
      </c>
      <c r="AI5389">
        <v>90.755309775389705</v>
      </c>
      <c r="AJ5389">
        <v>98.059206926763906</v>
      </c>
      <c r="AK5389">
        <v>78.346593070560004</v>
      </c>
      <c r="AL5389">
        <v>93.031150288531606</v>
      </c>
      <c r="AM5389">
        <v>97.839028558516205</v>
      </c>
      <c r="AN5389">
        <v>1.0000000285294199</v>
      </c>
    </row>
    <row r="5390" spans="1:40" x14ac:dyDescent="0.25">
      <c r="A5390" t="str">
        <f>"20190305135036621"</f>
        <v>20190305135036621</v>
      </c>
      <c r="B5390" t="str">
        <f>"1551765036615949"</f>
        <v>1551765036615949</v>
      </c>
      <c r="C5390" t="s">
        <v>40</v>
      </c>
      <c r="D5390">
        <v>4.2391779999999999</v>
      </c>
      <c r="E5390">
        <v>0.498755</v>
      </c>
      <c r="F5390" t="s">
        <v>42</v>
      </c>
      <c r="G5390">
        <v>-463.52280000000002</v>
      </c>
      <c r="H5390">
        <v>7.9986459999999995E-2</v>
      </c>
      <c r="I5390">
        <v>127.5333</v>
      </c>
      <c r="J5390">
        <v>-385.17020000000002</v>
      </c>
      <c r="K5390">
        <v>1.11277</v>
      </c>
      <c r="L5390">
        <v>141.5248</v>
      </c>
      <c r="M5390">
        <v>-0.99919690000000005</v>
      </c>
      <c r="N5390">
        <v>-2.025623E-2</v>
      </c>
      <c r="O5390">
        <v>-3.4574149999999998E-2</v>
      </c>
      <c r="P5390">
        <v>-0.98253330000000005</v>
      </c>
      <c r="Q5390">
        <v>-7.2063970000000005E-2</v>
      </c>
      <c r="R5390">
        <v>-0.1715662</v>
      </c>
      <c r="S5390">
        <v>-2.9585270000000001</v>
      </c>
      <c r="T5390">
        <v>-3.8908239999999997E-2</v>
      </c>
      <c r="U5390">
        <v>-0.52738949999999996</v>
      </c>
      <c r="V5390">
        <v>-0.13718569999999999</v>
      </c>
      <c r="W5390">
        <v>-5.2827220000000001E-2</v>
      </c>
      <c r="X5390">
        <v>0.98913569999999995</v>
      </c>
      <c r="Y5390">
        <v>-0.14131489999999999</v>
      </c>
      <c r="Z5390">
        <v>-2.6095699999999999E-3</v>
      </c>
      <c r="AA5390">
        <v>0.98996130000000004</v>
      </c>
      <c r="AB5390">
        <v>31</v>
      </c>
      <c r="AC5390">
        <v>-78.352599999999995</v>
      </c>
      <c r="AD5390">
        <v>-1.0327835400000001</v>
      </c>
      <c r="AE5390">
        <v>-13.9915</v>
      </c>
      <c r="AF5390">
        <v>-11.271703358140099</v>
      </c>
      <c r="AG5390">
        <v>-1.0327835400000001</v>
      </c>
      <c r="AH5390">
        <v>78.776315967452106</v>
      </c>
      <c r="AI5390">
        <v>90.7435515267955</v>
      </c>
      <c r="AJ5390">
        <v>98.142891950954194</v>
      </c>
      <c r="AK5390">
        <v>79.585337191207799</v>
      </c>
      <c r="AL5390">
        <v>93.028186234571606</v>
      </c>
      <c r="AM5390">
        <v>97.896122928151399</v>
      </c>
      <c r="AN5390">
        <v>1.0000000322359499</v>
      </c>
    </row>
    <row r="5391" spans="1:40" x14ac:dyDescent="0.25">
      <c r="A5391" t="str">
        <f>"20190305135036638"</f>
        <v>20190305135036638</v>
      </c>
      <c r="B5391" t="str">
        <f>"1551765036635470"</f>
        <v>1551765036635470</v>
      </c>
      <c r="C5391" t="s">
        <v>40</v>
      </c>
      <c r="D5391">
        <v>4.2549609999999998</v>
      </c>
      <c r="E5391">
        <v>0.49867620000000001</v>
      </c>
      <c r="F5391" t="s">
        <v>42</v>
      </c>
      <c r="G5391">
        <v>-464.83170000000001</v>
      </c>
      <c r="H5391">
        <v>7.9986160000000001E-2</v>
      </c>
      <c r="I5391">
        <v>127.0938</v>
      </c>
      <c r="J5391">
        <v>-385.39879999999999</v>
      </c>
      <c r="K5391">
        <v>1.1127670000000001</v>
      </c>
      <c r="L5391">
        <v>141.5147</v>
      </c>
      <c r="M5391">
        <v>-0.9991295</v>
      </c>
      <c r="N5391">
        <v>-1.962233E-2</v>
      </c>
      <c r="O5391">
        <v>-3.6812699999999997E-2</v>
      </c>
      <c r="P5391">
        <v>-0.98170380000000002</v>
      </c>
      <c r="Q5391">
        <v>-7.1801459999999998E-2</v>
      </c>
      <c r="R5391">
        <v>-0.17635870000000001</v>
      </c>
      <c r="S5391">
        <v>-2.957001</v>
      </c>
      <c r="T5391">
        <v>-3.8336519999999999E-2</v>
      </c>
      <c r="U5391">
        <v>-0.53567500000000001</v>
      </c>
      <c r="V5391">
        <v>-0.13978589999999999</v>
      </c>
      <c r="W5391">
        <v>-5.3223340000000001E-2</v>
      </c>
      <c r="X5391">
        <v>0.98875029999999997</v>
      </c>
      <c r="Y5391">
        <v>-0.14187369999999999</v>
      </c>
      <c r="Z5391">
        <v>-2.5600850000000001E-3</v>
      </c>
      <c r="AA5391">
        <v>0.98988149999999997</v>
      </c>
      <c r="AB5391">
        <v>31</v>
      </c>
      <c r="AC5391">
        <v>-79.432900000000004</v>
      </c>
      <c r="AD5391">
        <v>-1.03278084</v>
      </c>
      <c r="AE5391">
        <v>-14.4209</v>
      </c>
      <c r="AF5391">
        <v>-11.484539309545999</v>
      </c>
      <c r="AG5391">
        <v>-1.03278084</v>
      </c>
      <c r="AH5391">
        <v>79.896937157257696</v>
      </c>
      <c r="AI5391">
        <v>90.733054152754093</v>
      </c>
      <c r="AJ5391">
        <v>98.179776417557093</v>
      </c>
      <c r="AK5391">
        <v>80.724728841456994</v>
      </c>
      <c r="AL5391">
        <v>93.050914345346897</v>
      </c>
      <c r="AM5391">
        <v>98.046938372905601</v>
      </c>
      <c r="AN5391">
        <v>0.99999998875482699</v>
      </c>
    </row>
    <row r="5392" spans="1:40" x14ac:dyDescent="0.25">
      <c r="A5392" t="str">
        <f>"20190305135036653"</f>
        <v>20190305135036653</v>
      </c>
      <c r="B5392" t="str">
        <f>"1551765036645231"</f>
        <v>1551765036645231</v>
      </c>
      <c r="C5392" t="s">
        <v>40</v>
      </c>
      <c r="D5392">
        <v>4.2212389999999997</v>
      </c>
      <c r="E5392">
        <v>0.49865660000000001</v>
      </c>
      <c r="F5392" t="s">
        <v>42</v>
      </c>
      <c r="G5392">
        <v>-461.6474</v>
      </c>
      <c r="H5392">
        <v>7.9986940000000006E-2</v>
      </c>
      <c r="I5392">
        <v>127.2968</v>
      </c>
      <c r="J5392">
        <v>-385.60640000000001</v>
      </c>
      <c r="K5392">
        <v>1.112762</v>
      </c>
      <c r="L5392">
        <v>141.5051</v>
      </c>
      <c r="M5392">
        <v>-0.99906280000000003</v>
      </c>
      <c r="N5392">
        <v>-1.9089700000000001E-2</v>
      </c>
      <c r="O5392">
        <v>-3.884816E-2</v>
      </c>
      <c r="P5392">
        <v>-0.98106930000000003</v>
      </c>
      <c r="Q5392">
        <v>-7.2327150000000007E-2</v>
      </c>
      <c r="R5392">
        <v>-0.17964440000000001</v>
      </c>
      <c r="S5392">
        <v>-2.9540099999999998</v>
      </c>
      <c r="T5392">
        <v>-4.001176E-2</v>
      </c>
      <c r="U5392">
        <v>-0.55082699999999996</v>
      </c>
      <c r="V5392">
        <v>-0.1410727</v>
      </c>
      <c r="W5392">
        <v>-5.4295160000000002E-2</v>
      </c>
      <c r="X5392">
        <v>0.98850919999999998</v>
      </c>
      <c r="Y5392">
        <v>-0.1449416</v>
      </c>
      <c r="Z5392">
        <v>-2.5837719999999998E-3</v>
      </c>
      <c r="AA5392">
        <v>0.98943689999999995</v>
      </c>
      <c r="AB5392">
        <v>31</v>
      </c>
      <c r="AC5392">
        <v>-76.040999999999997</v>
      </c>
      <c r="AD5392">
        <v>-1.0327750600000001</v>
      </c>
      <c r="AE5392">
        <v>-14.2082999999999</v>
      </c>
      <c r="AF5392">
        <v>-11.240975755945399</v>
      </c>
      <c r="AG5392">
        <v>-1.0327750600000001</v>
      </c>
      <c r="AH5392">
        <v>76.522005041124402</v>
      </c>
      <c r="AI5392">
        <v>90.765033057840597</v>
      </c>
      <c r="AJ5392">
        <v>98.356900368229304</v>
      </c>
      <c r="AK5392">
        <v>77.350135202106699</v>
      </c>
      <c r="AL5392">
        <v>93.112414150362895</v>
      </c>
      <c r="AM5392">
        <v>98.121985102546503</v>
      </c>
      <c r="AN5392">
        <v>0.99999995478467596</v>
      </c>
    </row>
    <row r="5393" spans="1:40" x14ac:dyDescent="0.25">
      <c r="A5393" t="str">
        <f>"20190305135036664"</f>
        <v>20190305135036664</v>
      </c>
      <c r="B5393" t="str">
        <f>"1551765036655965"</f>
        <v>1551765036655965</v>
      </c>
      <c r="C5393" t="s">
        <v>40</v>
      </c>
      <c r="D5393">
        <v>4.2426760000000003</v>
      </c>
      <c r="E5393">
        <v>0.498643</v>
      </c>
      <c r="F5393" t="s">
        <v>42</v>
      </c>
      <c r="G5393">
        <v>-456.57470000000001</v>
      </c>
      <c r="H5393">
        <v>7.9987459999999996E-2</v>
      </c>
      <c r="I5393">
        <v>128.0171</v>
      </c>
      <c r="J5393">
        <v>-385.77730000000003</v>
      </c>
      <c r="K5393">
        <v>1.112752</v>
      </c>
      <c r="L5393">
        <v>141.49690000000001</v>
      </c>
      <c r="M5393">
        <v>-0.99900389999999994</v>
      </c>
      <c r="N5393">
        <v>-1.8688059999999999E-2</v>
      </c>
      <c r="O5393">
        <v>-4.0523570000000002E-2</v>
      </c>
      <c r="P5393">
        <v>-0.98049160000000002</v>
      </c>
      <c r="Q5393">
        <v>-7.264284E-2</v>
      </c>
      <c r="R5393">
        <v>-0.1826459</v>
      </c>
      <c r="S5393">
        <v>-2.951965</v>
      </c>
      <c r="T5393">
        <v>-4.2958860000000001E-2</v>
      </c>
      <c r="U5393">
        <v>-0.56103519999999996</v>
      </c>
      <c r="V5393">
        <v>-0.1424338</v>
      </c>
      <c r="W5393">
        <v>-5.5025440000000002E-2</v>
      </c>
      <c r="X5393">
        <v>0.98827359999999997</v>
      </c>
      <c r="Y5393">
        <v>-0.14670659999999999</v>
      </c>
      <c r="Z5393">
        <v>-2.609002E-3</v>
      </c>
      <c r="AA5393">
        <v>0.98917659999999996</v>
      </c>
      <c r="AB5393">
        <v>31</v>
      </c>
      <c r="AC5393">
        <v>-70.797399999999897</v>
      </c>
      <c r="AD5393">
        <v>-1.0327645400000001</v>
      </c>
      <c r="AE5393">
        <v>-13.479799999999999</v>
      </c>
      <c r="AF5393">
        <v>-10.5970832126881</v>
      </c>
      <c r="AG5393">
        <v>-1.0327645400000001</v>
      </c>
      <c r="AH5393">
        <v>71.270934706272996</v>
      </c>
      <c r="AI5393">
        <v>90.821170582142997</v>
      </c>
      <c r="AJ5393">
        <v>98.4571946336564</v>
      </c>
      <c r="AK5393">
        <v>72.061854743807103</v>
      </c>
      <c r="AL5393">
        <v>93.154318785291395</v>
      </c>
      <c r="AM5393">
        <v>98.201215362600493</v>
      </c>
      <c r="AN5393">
        <v>0.99999994744329501</v>
      </c>
    </row>
    <row r="5394" spans="1:40" x14ac:dyDescent="0.25">
      <c r="A5394" t="str">
        <f>"20190305135036683"</f>
        <v>20190305135036683</v>
      </c>
      <c r="B5394" t="str">
        <f>"1551765036675489"</f>
        <v>1551765036675489</v>
      </c>
      <c r="C5394" t="s">
        <v>40</v>
      </c>
      <c r="D5394">
        <v>4.2629789999999996</v>
      </c>
      <c r="E5394">
        <v>0.49865340000000002</v>
      </c>
      <c r="F5394" t="s">
        <v>42</v>
      </c>
      <c r="G5394">
        <v>-453.56319999999999</v>
      </c>
      <c r="H5394">
        <v>7.9986860000000007E-2</v>
      </c>
      <c r="I5394">
        <v>128.39009999999999</v>
      </c>
      <c r="J5394">
        <v>-386.0179</v>
      </c>
      <c r="K5394">
        <v>1.112735</v>
      </c>
      <c r="L5394">
        <v>141.4847</v>
      </c>
      <c r="M5394">
        <v>-0.998915</v>
      </c>
      <c r="N5394">
        <v>-1.816914E-2</v>
      </c>
      <c r="O5394">
        <v>-4.2882219999999999E-2</v>
      </c>
      <c r="P5394">
        <v>-0.97951469999999896</v>
      </c>
      <c r="Q5394">
        <v>-7.4050619999999998E-2</v>
      </c>
      <c r="R5394">
        <v>-0.18726300000000001</v>
      </c>
      <c r="S5394">
        <v>-2.9501339999999998</v>
      </c>
      <c r="T5394">
        <v>-4.4947389999999997E-2</v>
      </c>
      <c r="U5394">
        <v>-0.57041929999999996</v>
      </c>
      <c r="V5394">
        <v>-0.1447437</v>
      </c>
      <c r="W5394">
        <v>-5.6974190000000001E-2</v>
      </c>
      <c r="X5394">
        <v>0.98782749999999997</v>
      </c>
      <c r="Y5394">
        <v>-0.147516799999999</v>
      </c>
      <c r="Z5394">
        <v>-2.5926389999999999E-3</v>
      </c>
      <c r="AA5394">
        <v>0.98905620000000005</v>
      </c>
      <c r="AB5394">
        <v>31</v>
      </c>
      <c r="AC5394">
        <v>-67.545299999999997</v>
      </c>
      <c r="AD5394">
        <v>-1.03274814</v>
      </c>
      <c r="AE5394">
        <v>-13.0946</v>
      </c>
      <c r="AF5394">
        <v>-10.183286017387401</v>
      </c>
      <c r="AG5394">
        <v>-1.03274814</v>
      </c>
      <c r="AH5394">
        <v>68.029437528161097</v>
      </c>
      <c r="AI5394">
        <v>90.860152895988094</v>
      </c>
      <c r="AJ5394">
        <v>98.513360621886406</v>
      </c>
      <c r="AK5394">
        <v>68.795132482106396</v>
      </c>
      <c r="AL5394">
        <v>93.266149328880104</v>
      </c>
      <c r="AM5394">
        <v>98.336074659671894</v>
      </c>
      <c r="AN5394">
        <v>0.99999998338604701</v>
      </c>
    </row>
    <row r="5395" spans="1:40" x14ac:dyDescent="0.25">
      <c r="A5395" t="str">
        <f>"20190305135036697"</f>
        <v>20190305135036697</v>
      </c>
      <c r="B5395" t="str">
        <f>"1551765036695981"</f>
        <v>1551765036695981</v>
      </c>
      <c r="C5395" t="s">
        <v>40</v>
      </c>
      <c r="D5395">
        <v>4.2610999999999999</v>
      </c>
      <c r="E5395">
        <v>0.4987336</v>
      </c>
      <c r="F5395" t="s">
        <v>42</v>
      </c>
      <c r="G5395">
        <v>-445.94709999999998</v>
      </c>
      <c r="H5395">
        <v>6.3435149999999996E-2</v>
      </c>
      <c r="I5395">
        <v>129.60290000000001</v>
      </c>
      <c r="J5395">
        <v>-386.22340000000003</v>
      </c>
      <c r="K5395">
        <v>1.112722</v>
      </c>
      <c r="L5395">
        <v>141.47389999999999</v>
      </c>
      <c r="M5395">
        <v>-0.99883379999999999</v>
      </c>
      <c r="N5395">
        <v>-1.7764849999999999E-2</v>
      </c>
      <c r="O5395">
        <v>-4.4895980000000002E-2</v>
      </c>
      <c r="P5395">
        <v>-0.97886479999999998</v>
      </c>
      <c r="Q5395">
        <v>-7.4698899999999999E-2</v>
      </c>
      <c r="R5395">
        <v>-0.19037899999999999</v>
      </c>
      <c r="S5395">
        <v>-2.9471440000000002</v>
      </c>
      <c r="T5395">
        <v>-5.160153E-2</v>
      </c>
      <c r="U5395">
        <v>-0.58430479999999996</v>
      </c>
      <c r="V5395">
        <v>-0.1458882</v>
      </c>
      <c r="W5395">
        <v>-5.8037079999999998E-2</v>
      </c>
      <c r="X5395">
        <v>0.98759719999999995</v>
      </c>
      <c r="Y5395">
        <v>-0.15018870000000001</v>
      </c>
      <c r="Z5395">
        <v>-2.6629029999999999E-3</v>
      </c>
      <c r="AA5395">
        <v>0.98865380000000003</v>
      </c>
      <c r="AB5395">
        <v>31</v>
      </c>
      <c r="AC5395">
        <v>-59.723699999999901</v>
      </c>
      <c r="AD5395">
        <v>-1.0492868500000001</v>
      </c>
      <c r="AE5395">
        <v>-11.870999999999899</v>
      </c>
      <c r="AF5395">
        <v>-9.1745250488906898</v>
      </c>
      <c r="AG5395">
        <v>-1.0492868500000001</v>
      </c>
      <c r="AH5395">
        <v>60.178634476318003</v>
      </c>
      <c r="AI5395">
        <v>90.987511691116197</v>
      </c>
      <c r="AJ5395">
        <v>98.668273658300194</v>
      </c>
      <c r="AK5395">
        <v>60.883010439699802</v>
      </c>
      <c r="AL5395">
        <v>93.327149500764506</v>
      </c>
      <c r="AM5395">
        <v>98.402982688777698</v>
      </c>
      <c r="AN5395">
        <v>0.99999994950100102</v>
      </c>
    </row>
    <row r="5396" spans="1:40" x14ac:dyDescent="0.25">
      <c r="A5396" t="str">
        <f>"20190305135036711"</f>
        <v>20190305135036711</v>
      </c>
      <c r="B5396" t="str">
        <f>"1551765036705741"</f>
        <v>1551765036705741</v>
      </c>
      <c r="C5396" t="s">
        <v>40</v>
      </c>
      <c r="D5396">
        <v>4.266826</v>
      </c>
      <c r="E5396">
        <v>0.49876569999999998</v>
      </c>
      <c r="F5396" t="s">
        <v>42</v>
      </c>
      <c r="G5396">
        <v>-444.92680000000001</v>
      </c>
      <c r="H5396" s="1">
        <v>-3.3494480000000001E-6</v>
      </c>
      <c r="I5396">
        <v>129.6559</v>
      </c>
      <c r="J5396">
        <v>-386.40120000000002</v>
      </c>
      <c r="K5396">
        <v>1.1126959999999999</v>
      </c>
      <c r="L5396">
        <v>141.46430000000001</v>
      </c>
      <c r="M5396">
        <v>-0.99875970000000003</v>
      </c>
      <c r="N5396">
        <v>-1.7437060000000001E-2</v>
      </c>
      <c r="O5396">
        <v>-4.663751E-2</v>
      </c>
      <c r="P5396">
        <v>-0.97793600000000003</v>
      </c>
      <c r="Q5396">
        <v>-7.6270069999999995E-2</v>
      </c>
      <c r="R5396">
        <v>-0.19448509999999999</v>
      </c>
      <c r="S5396">
        <v>-2.9451900000000002</v>
      </c>
      <c r="T5396">
        <v>-5.5826309999999997E-2</v>
      </c>
      <c r="U5396">
        <v>-0.59291079999999996</v>
      </c>
      <c r="V5396">
        <v>-0.14830079999999901</v>
      </c>
      <c r="W5396">
        <v>-5.9958089999999999E-2</v>
      </c>
      <c r="X5396">
        <v>0.98712299999999997</v>
      </c>
      <c r="Y5396">
        <v>-0.15136240000000001</v>
      </c>
      <c r="Z5396">
        <v>-2.6857299999999999E-3</v>
      </c>
      <c r="AA5396">
        <v>0.98847470000000004</v>
      </c>
      <c r="AB5396">
        <v>31</v>
      </c>
      <c r="AC5396">
        <v>-58.525599999999997</v>
      </c>
      <c r="AD5396">
        <v>-1.112699349448</v>
      </c>
      <c r="AE5396">
        <v>-11.808400000000001</v>
      </c>
      <c r="AF5396">
        <v>-9.0624962672790002</v>
      </c>
      <c r="AG5396">
        <v>-1.112699349448</v>
      </c>
      <c r="AH5396">
        <v>58.992206409903702</v>
      </c>
      <c r="AI5396">
        <v>91.068047198107607</v>
      </c>
      <c r="AJ5396">
        <v>98.733611482924502</v>
      </c>
      <c r="AK5396">
        <v>59.694617475492599</v>
      </c>
      <c r="AL5396">
        <v>93.437407313328407</v>
      </c>
      <c r="AM5396">
        <v>98.543954726853002</v>
      </c>
      <c r="AN5396">
        <v>0.99999995848304302</v>
      </c>
    </row>
    <row r="5397" spans="1:40" x14ac:dyDescent="0.25">
      <c r="A5397" t="str">
        <f>"20190305135036724"</f>
        <v>20190305135036724</v>
      </c>
      <c r="B5397" t="str">
        <f>"1551765036715503"</f>
        <v>1551765036715503</v>
      </c>
      <c r="C5397" t="s">
        <v>40</v>
      </c>
      <c r="D5397">
        <v>4.2248710000000003</v>
      </c>
      <c r="E5397">
        <v>0.49883040000000001</v>
      </c>
      <c r="F5397" t="s">
        <v>94</v>
      </c>
      <c r="G5397">
        <v>-439.4554</v>
      </c>
      <c r="H5397" s="1">
        <v>-3.1567900000000001E-6</v>
      </c>
      <c r="I5397">
        <v>130.55359999999999</v>
      </c>
      <c r="J5397">
        <v>-386.5883</v>
      </c>
      <c r="K5397">
        <v>1.112684</v>
      </c>
      <c r="L5397">
        <v>141.4537</v>
      </c>
      <c r="M5397">
        <v>-0.99867779999999995</v>
      </c>
      <c r="N5397">
        <v>-1.7128520000000001E-2</v>
      </c>
      <c r="O5397">
        <v>-4.8468770000000001E-2</v>
      </c>
      <c r="P5397">
        <v>-0.97726310000000005</v>
      </c>
      <c r="Q5397">
        <v>-7.7150960000000005E-2</v>
      </c>
      <c r="R5397">
        <v>-0.1974959</v>
      </c>
      <c r="S5397">
        <v>-2.9425349999999999</v>
      </c>
      <c r="T5397">
        <v>-6.1713459999999998E-2</v>
      </c>
      <c r="U5397">
        <v>-0.60513309999999998</v>
      </c>
      <c r="V5397">
        <v>-0.14952399999999999</v>
      </c>
      <c r="W5397">
        <v>-6.1158049999999999E-2</v>
      </c>
      <c r="X5397">
        <v>0.98686490000000004</v>
      </c>
      <c r="Y5397">
        <v>-0.15365619999999999</v>
      </c>
      <c r="Z5397">
        <v>-2.7429479999999998E-3</v>
      </c>
      <c r="AA5397">
        <v>0.98812060000000002</v>
      </c>
      <c r="AB5397">
        <v>31</v>
      </c>
      <c r="AC5397">
        <v>-52.867099999999901</v>
      </c>
      <c r="AD5397">
        <v>-1.1126871567899901</v>
      </c>
      <c r="AE5397">
        <v>-10.9001</v>
      </c>
      <c r="AF5397">
        <v>-8.3209703497835399</v>
      </c>
      <c r="AG5397">
        <v>-1.1126871567899901</v>
      </c>
      <c r="AH5397">
        <v>53.310686796813002</v>
      </c>
      <c r="AI5397">
        <v>91.181389403034004</v>
      </c>
      <c r="AJ5397">
        <v>98.871400833821994</v>
      </c>
      <c r="AK5397">
        <v>53.967637960344</v>
      </c>
      <c r="AL5397">
        <v>93.5062861203903</v>
      </c>
      <c r="AM5397">
        <v>98.615592288630793</v>
      </c>
      <c r="AN5397">
        <v>1.0000000322539</v>
      </c>
    </row>
    <row r="5398" spans="1:40" x14ac:dyDescent="0.25">
      <c r="A5398" t="str">
        <f>"20190305135036739"</f>
        <v>20190305135036739</v>
      </c>
      <c r="B5398" t="str">
        <f>"1551765036735998"</f>
        <v>1551765036735998</v>
      </c>
      <c r="C5398" t="s">
        <v>40</v>
      </c>
      <c r="D5398">
        <v>4.2435839999999896</v>
      </c>
      <c r="E5398">
        <v>0.49896119999999999</v>
      </c>
      <c r="F5398" t="s">
        <v>94</v>
      </c>
      <c r="G5398">
        <v>-436.75389999999999</v>
      </c>
      <c r="H5398" s="1">
        <v>-4.9002670000000001E-6</v>
      </c>
      <c r="I5398">
        <v>130.98589999999999</v>
      </c>
      <c r="J5398">
        <v>-386.78750000000002</v>
      </c>
      <c r="K5398">
        <v>1.1126670000000001</v>
      </c>
      <c r="L5398">
        <v>141.44210000000001</v>
      </c>
      <c r="M5398">
        <v>-0.99858650000000004</v>
      </c>
      <c r="N5398">
        <v>-1.6823930000000001E-2</v>
      </c>
      <c r="O5398">
        <v>-5.0418339999999999E-2</v>
      </c>
      <c r="P5398">
        <v>-0.9762054</v>
      </c>
      <c r="Q5398">
        <v>-7.9154160000000001E-2</v>
      </c>
      <c r="R5398">
        <v>-0.2018855</v>
      </c>
      <c r="S5398">
        <v>-2.940674</v>
      </c>
      <c r="T5398">
        <v>-6.522501E-2</v>
      </c>
      <c r="U5398">
        <v>-0.61361690000000002</v>
      </c>
      <c r="V5398">
        <v>-0.15202270000000001</v>
      </c>
      <c r="W5398">
        <v>-6.3488299999999998E-2</v>
      </c>
      <c r="X5398">
        <v>0.98633579999999998</v>
      </c>
      <c r="Y5398">
        <v>-0.1545792</v>
      </c>
      <c r="Z5398">
        <v>-2.7465380000000002E-3</v>
      </c>
      <c r="AA5398">
        <v>0.98797659999999998</v>
      </c>
      <c r="AB5398">
        <v>31</v>
      </c>
      <c r="AC5398">
        <v>-49.966399999999901</v>
      </c>
      <c r="AD5398">
        <v>-1.112671900267</v>
      </c>
      <c r="AE5398">
        <v>-10.456200000000001</v>
      </c>
      <c r="AF5398">
        <v>-7.9195560173534796</v>
      </c>
      <c r="AG5398">
        <v>-1.112671900267</v>
      </c>
      <c r="AH5398">
        <v>50.406146110846798</v>
      </c>
      <c r="AI5398">
        <v>91.249229482022201</v>
      </c>
      <c r="AJ5398">
        <v>98.929026216960295</v>
      </c>
      <c r="AK5398">
        <v>51.036623830516902</v>
      </c>
      <c r="AL5398">
        <v>93.640059851375</v>
      </c>
      <c r="AM5398">
        <v>98.761978562605194</v>
      </c>
      <c r="AN5398">
        <v>0.99999998795690903</v>
      </c>
    </row>
    <row r="5399" spans="1:40" x14ac:dyDescent="0.25">
      <c r="A5399" t="str">
        <f>"20190305135036763"</f>
        <v>20190305135036763</v>
      </c>
      <c r="B5399" t="str">
        <f>"1551765036755517"</f>
        <v>1551765036755517</v>
      </c>
      <c r="C5399" t="s">
        <v>40</v>
      </c>
      <c r="D5399">
        <v>4.3092879999999996</v>
      </c>
      <c r="E5399">
        <v>0.49902200000000002</v>
      </c>
      <c r="F5399" t="s">
        <v>94</v>
      </c>
      <c r="G5399">
        <v>-431.74079999999998</v>
      </c>
      <c r="H5399" s="1">
        <v>-7.4865430000000004E-6</v>
      </c>
      <c r="I5399">
        <v>131.86250000000001</v>
      </c>
      <c r="J5399">
        <v>-387.1114</v>
      </c>
      <c r="K5399">
        <v>1.1126469999999999</v>
      </c>
      <c r="L5399">
        <v>141.42240000000001</v>
      </c>
      <c r="M5399">
        <v>-0.99842889999999995</v>
      </c>
      <c r="N5399">
        <v>-1.638125E-2</v>
      </c>
      <c r="O5399">
        <v>-5.3586769999999999E-2</v>
      </c>
      <c r="P5399">
        <v>-0.97503779999999995</v>
      </c>
      <c r="Q5399">
        <v>-8.0232819999999996E-2</v>
      </c>
      <c r="R5399">
        <v>-0.20703730000000001</v>
      </c>
      <c r="S5399">
        <v>-2.9377749999999998</v>
      </c>
      <c r="T5399">
        <v>-7.2715160000000001E-2</v>
      </c>
      <c r="U5399">
        <v>-0.62603759999999997</v>
      </c>
      <c r="V5399">
        <v>-0.15409239999999999</v>
      </c>
      <c r="W5399">
        <v>-6.5025630000000001E-2</v>
      </c>
      <c r="X5399">
        <v>0.98591439999999997</v>
      </c>
      <c r="Y5399">
        <v>-0.15562779999999901</v>
      </c>
      <c r="Z5399">
        <v>-2.75414E-3</v>
      </c>
      <c r="AA5399">
        <v>0.98781189999999996</v>
      </c>
      <c r="AB5399">
        <v>31</v>
      </c>
      <c r="AC5399">
        <v>-44.629399999999897</v>
      </c>
      <c r="AD5399">
        <v>-1.1126544865429999</v>
      </c>
      <c r="AE5399">
        <v>-9.5599000000000007</v>
      </c>
      <c r="AF5399">
        <v>-7.1500453007262097</v>
      </c>
      <c r="AG5399">
        <v>-1.1126544865429999</v>
      </c>
      <c r="AH5399">
        <v>45.050838948705298</v>
      </c>
      <c r="AI5399">
        <v>91.397307472070196</v>
      </c>
      <c r="AJ5399">
        <v>99.018228865545694</v>
      </c>
      <c r="AK5399">
        <v>45.628272351591797</v>
      </c>
      <c r="AL5399">
        <v>93.728324738338898</v>
      </c>
      <c r="AM5399">
        <v>98.883114097176502</v>
      </c>
      <c r="AN5399">
        <v>1.000000002211</v>
      </c>
    </row>
    <row r="5400" spans="1:40" x14ac:dyDescent="0.25">
      <c r="A5400" t="str">
        <f>"20190305135036783"</f>
        <v>20190305135036783</v>
      </c>
      <c r="B5400" t="str">
        <f>"1551765036775037"</f>
        <v>1551765036775037</v>
      </c>
      <c r="C5400" t="s">
        <v>40</v>
      </c>
      <c r="D5400">
        <v>4.2704709999999997</v>
      </c>
      <c r="E5400">
        <v>0.49913410000000002</v>
      </c>
      <c r="F5400" t="s">
        <v>94</v>
      </c>
      <c r="G5400">
        <v>-429.68720000000002</v>
      </c>
      <c r="H5400" s="1">
        <v>-8.2331230000000004E-6</v>
      </c>
      <c r="I5400">
        <v>132.11850000000001</v>
      </c>
      <c r="J5400">
        <v>-387.4092</v>
      </c>
      <c r="K5400">
        <v>1.11263</v>
      </c>
      <c r="L5400">
        <v>141.4034</v>
      </c>
      <c r="M5400">
        <v>-0.99827399999999999</v>
      </c>
      <c r="N5400">
        <v>-1.602787E-2</v>
      </c>
      <c r="O5400">
        <v>-5.6498199999999998E-2</v>
      </c>
      <c r="P5400">
        <v>-0.97408419999999896</v>
      </c>
      <c r="Q5400">
        <v>-8.089499E-2</v>
      </c>
      <c r="R5400">
        <v>-0.21122469999999999</v>
      </c>
      <c r="S5400">
        <v>-2.934326</v>
      </c>
      <c r="T5400">
        <v>-7.6684240000000001E-2</v>
      </c>
      <c r="U5400">
        <v>-0.64122009999999996</v>
      </c>
      <c r="V5400">
        <v>-0.15544839999999999</v>
      </c>
      <c r="W5400">
        <v>-6.6050300000000006E-2</v>
      </c>
      <c r="X5400">
        <v>0.98563339999999999</v>
      </c>
      <c r="Y5400">
        <v>-0.15786059999999999</v>
      </c>
      <c r="Z5400">
        <v>-2.7591059999999999E-3</v>
      </c>
      <c r="AA5400">
        <v>0.98745760000000005</v>
      </c>
      <c r="AB5400">
        <v>31</v>
      </c>
      <c r="AC5400">
        <v>-42.277999999999999</v>
      </c>
      <c r="AD5400">
        <v>-1.112638233123</v>
      </c>
      <c r="AE5400">
        <v>-9.2848999999999897</v>
      </c>
      <c r="AF5400">
        <v>-6.8765840109181902</v>
      </c>
      <c r="AG5400">
        <v>-1.112638233123</v>
      </c>
      <c r="AH5400">
        <v>42.706881979183997</v>
      </c>
      <c r="AI5400">
        <v>91.473414025362601</v>
      </c>
      <c r="AJ5400">
        <v>99.1471486034675</v>
      </c>
      <c r="AK5400">
        <v>43.271273841671999</v>
      </c>
      <c r="AL5400">
        <v>93.787160420019305</v>
      </c>
      <c r="AM5400">
        <v>98.962534900344906</v>
      </c>
      <c r="AN5400">
        <v>1.0000000231941</v>
      </c>
    </row>
    <row r="5401" spans="1:40" x14ac:dyDescent="0.25">
      <c r="A5401" t="str">
        <f>"20190305135036807"</f>
        <v>20190305135036807</v>
      </c>
      <c r="B5401" t="str">
        <f>"1551765036795534"</f>
        <v>1551765036795534</v>
      </c>
      <c r="C5401" t="s">
        <v>40</v>
      </c>
      <c r="D5401">
        <v>4.2763239999999998</v>
      </c>
      <c r="E5401">
        <v>0.49912580000000001</v>
      </c>
      <c r="F5401" t="s">
        <v>94</v>
      </c>
      <c r="G5401">
        <v>-428.0394</v>
      </c>
      <c r="H5401" s="1">
        <v>-8.0692610000000008E-6</v>
      </c>
      <c r="I5401">
        <v>132.3554</v>
      </c>
      <c r="J5401">
        <v>-387.71530000000001</v>
      </c>
      <c r="K5401">
        <v>1.112617</v>
      </c>
      <c r="L5401">
        <v>141.38290000000001</v>
      </c>
      <c r="M5401">
        <v>-0.99810529999999997</v>
      </c>
      <c r="N5401">
        <v>-1.5711449999999998E-2</v>
      </c>
      <c r="O5401">
        <v>-5.9489889999999997E-2</v>
      </c>
      <c r="P5401">
        <v>-0.97299100000000005</v>
      </c>
      <c r="Q5401">
        <v>-8.0354729999999999E-2</v>
      </c>
      <c r="R5401">
        <v>-0.2164075</v>
      </c>
      <c r="S5401">
        <v>-2.9315799999999999</v>
      </c>
      <c r="T5401">
        <v>-8.0279829999999996E-2</v>
      </c>
      <c r="U5401">
        <v>-0.65283199999999997</v>
      </c>
      <c r="V5401">
        <v>-0.15773670000000001</v>
      </c>
      <c r="W5401">
        <v>-6.5841670000000005E-2</v>
      </c>
      <c r="X5401">
        <v>0.98528369999999998</v>
      </c>
      <c r="Y5401">
        <v>-0.1588186</v>
      </c>
      <c r="Z5401">
        <v>-2.7306029999999998E-3</v>
      </c>
      <c r="AA5401">
        <v>0.98730399999999996</v>
      </c>
      <c r="AB5401">
        <v>31</v>
      </c>
      <c r="AC5401">
        <v>-40.324099999999902</v>
      </c>
      <c r="AD5401">
        <v>-1.112625069261</v>
      </c>
      <c r="AE5401">
        <v>-9.0274999999999999</v>
      </c>
      <c r="AF5401">
        <v>-6.6075448351241697</v>
      </c>
      <c r="AG5401">
        <v>-1.112625069261</v>
      </c>
      <c r="AH5401">
        <v>40.760225331538798</v>
      </c>
      <c r="AI5401">
        <v>91.543466212205502</v>
      </c>
      <c r="AJ5401">
        <v>99.207983901300196</v>
      </c>
      <c r="AK5401">
        <v>41.307306283159498</v>
      </c>
      <c r="AL5401">
        <v>93.7751808847527</v>
      </c>
      <c r="AM5401">
        <v>99.095454012698895</v>
      </c>
      <c r="AN5401">
        <v>0.99999998076048402</v>
      </c>
    </row>
    <row r="5402" spans="1:40" x14ac:dyDescent="0.25">
      <c r="A5402" t="str">
        <f>"20190305135036827"</f>
        <v>20190305135036827</v>
      </c>
      <c r="B5402" t="str">
        <f>"1551765036815054"</f>
        <v>1551765036815054</v>
      </c>
      <c r="C5402" t="s">
        <v>40</v>
      </c>
      <c r="D5402">
        <v>4.2598279999999997</v>
      </c>
      <c r="E5402">
        <v>0.4984825</v>
      </c>
      <c r="F5402" t="s">
        <v>94</v>
      </c>
      <c r="G5402">
        <v>-428.26440000000002</v>
      </c>
      <c r="H5402" s="1">
        <v>-8.0130419999999992E-6</v>
      </c>
      <c r="I5402">
        <v>132.124</v>
      </c>
      <c r="J5402">
        <v>-388.01139999999998</v>
      </c>
      <c r="K5402">
        <v>1.1126069999999999</v>
      </c>
      <c r="L5402">
        <v>141.3622</v>
      </c>
      <c r="M5402">
        <v>-0.99793270000000001</v>
      </c>
      <c r="N5402">
        <v>-1.5445499999999999E-2</v>
      </c>
      <c r="O5402">
        <v>-6.2386299999999999E-2</v>
      </c>
      <c r="P5402">
        <v>-0.97203919999999999</v>
      </c>
      <c r="Q5402">
        <v>-8.0316419999999999E-2</v>
      </c>
      <c r="R5402">
        <v>-0.2206574</v>
      </c>
      <c r="S5402">
        <v>-2.9279480000000002</v>
      </c>
      <c r="T5402">
        <v>-8.0339789999999994E-2</v>
      </c>
      <c r="U5402">
        <v>-0.66856380000000004</v>
      </c>
      <c r="V5402">
        <v>-0.15918009999999999</v>
      </c>
      <c r="W5402">
        <v>-6.6078170000000006E-2</v>
      </c>
      <c r="X5402">
        <v>0.98503569999999996</v>
      </c>
      <c r="Y5402">
        <v>-0.16125999999999999</v>
      </c>
      <c r="Z5402">
        <v>-2.713062E-3</v>
      </c>
      <c r="AA5402">
        <v>0.98690820000000001</v>
      </c>
      <c r="AB5402">
        <v>31</v>
      </c>
      <c r="AC5402">
        <v>-40.253</v>
      </c>
      <c r="AD5402">
        <v>-1.1126150130419901</v>
      </c>
      <c r="AE5402">
        <v>-9.2382000000000009</v>
      </c>
      <c r="AF5402">
        <v>-6.7038000075816804</v>
      </c>
      <c r="AG5402">
        <v>-1.1126150130419901</v>
      </c>
      <c r="AH5402">
        <v>40.721422888753501</v>
      </c>
      <c r="AI5402">
        <v>91.544303650307</v>
      </c>
      <c r="AJ5402">
        <v>99.348516364447406</v>
      </c>
      <c r="AK5402">
        <v>41.284538616697603</v>
      </c>
      <c r="AL5402">
        <v>93.788760915154</v>
      </c>
      <c r="AM5402">
        <v>99.179544918439703</v>
      </c>
      <c r="AN5402">
        <v>0.999999979530524</v>
      </c>
    </row>
    <row r="5403" spans="1:40" x14ac:dyDescent="0.25">
      <c r="A5403" t="str">
        <f>"20190305135036853"</f>
        <v>20190305135036853</v>
      </c>
      <c r="B5403" t="str">
        <f>"1551765036845309"</f>
        <v>1551765036845309</v>
      </c>
      <c r="C5403" t="s">
        <v>40</v>
      </c>
      <c r="D5403">
        <v>4.2417949999999998</v>
      </c>
      <c r="E5403">
        <v>0.49792019999999998</v>
      </c>
      <c r="F5403" t="s">
        <v>94</v>
      </c>
      <c r="G5403">
        <v>-401.06990000000002</v>
      </c>
      <c r="H5403" s="1">
        <v>-5.2466730000000004E-6</v>
      </c>
      <c r="I5403">
        <v>138.34460000000001</v>
      </c>
      <c r="J5403">
        <v>-388.33620000000002</v>
      </c>
      <c r="K5403">
        <v>1.1125910000000001</v>
      </c>
      <c r="L5403">
        <v>141.33850000000001</v>
      </c>
      <c r="M5403">
        <v>-0.99773210000000001</v>
      </c>
      <c r="N5403">
        <v>-1.5194539999999999E-2</v>
      </c>
      <c r="O5403">
        <v>-6.5573350000000002E-2</v>
      </c>
      <c r="P5403">
        <v>-0.97087380000000001</v>
      </c>
      <c r="Q5403">
        <v>-8.0123E-2</v>
      </c>
      <c r="R5403">
        <v>-0.22579779999999999</v>
      </c>
      <c r="S5403">
        <v>-2.9129640000000001</v>
      </c>
      <c r="T5403">
        <v>-0.24819089999999999</v>
      </c>
      <c r="U5403">
        <v>-0.67315669999999905</v>
      </c>
      <c r="V5403">
        <v>-0.16124140000000001</v>
      </c>
      <c r="W5403">
        <v>-6.6150840000000002E-2</v>
      </c>
      <c r="X5403">
        <v>0.98469549999999995</v>
      </c>
      <c r="Y5403">
        <v>-0.16027369999999999</v>
      </c>
      <c r="Z5403">
        <v>-3.4562949999999999E-3</v>
      </c>
      <c r="AA5403">
        <v>0.98706660000000002</v>
      </c>
      <c r="AB5403">
        <v>31</v>
      </c>
      <c r="AC5403">
        <v>-12.733700000000001</v>
      </c>
      <c r="AD5403">
        <v>-1.1125962466729999</v>
      </c>
      <c r="AE5403">
        <v>-2.9938999999999898</v>
      </c>
      <c r="AF5403">
        <v>-2.1369080560385201</v>
      </c>
      <c r="AG5403">
        <v>-1.1125962466729999</v>
      </c>
      <c r="AH5403">
        <v>12.809958810315401</v>
      </c>
      <c r="AI5403">
        <v>94.896584184658195</v>
      </c>
      <c r="AJ5403">
        <v>99.470655488588093</v>
      </c>
      <c r="AK5403">
        <v>13.0345422309359</v>
      </c>
      <c r="AL5403">
        <v>93.792933745876297</v>
      </c>
      <c r="AM5403">
        <v>99.299508579908505</v>
      </c>
      <c r="AN5403">
        <v>0.99999997521345696</v>
      </c>
    </row>
    <row r="5404" spans="1:40" x14ac:dyDescent="0.25">
      <c r="A5404" t="str">
        <f>"20190305135036872"</f>
        <v>20190305135036872</v>
      </c>
      <c r="B5404" t="str">
        <f>"1551765036865809"</f>
        <v>1551765036865809</v>
      </c>
      <c r="C5404" t="s">
        <v>40</v>
      </c>
      <c r="D5404">
        <v>4.2808349999999997</v>
      </c>
      <c r="E5404">
        <v>0.4981218</v>
      </c>
      <c r="F5404" t="s">
        <v>94</v>
      </c>
      <c r="G5404">
        <v>-400.99900000000002</v>
      </c>
      <c r="H5404" s="1">
        <v>-5.2053659999999997E-6</v>
      </c>
      <c r="I5404">
        <v>138.3235</v>
      </c>
      <c r="J5404">
        <v>-388.62869999999998</v>
      </c>
      <c r="K5404">
        <v>1.1125719999999999</v>
      </c>
      <c r="L5404">
        <v>141.31630000000001</v>
      </c>
      <c r="M5404">
        <v>-0.99754120000000002</v>
      </c>
      <c r="N5404">
        <v>-1.49996E-2</v>
      </c>
      <c r="O5404">
        <v>-6.8460960000000001E-2</v>
      </c>
      <c r="P5404">
        <v>-0.96990730000000003</v>
      </c>
      <c r="Q5404">
        <v>-7.9182970000000005E-2</v>
      </c>
      <c r="R5404">
        <v>-0.23023959999999999</v>
      </c>
      <c r="S5404">
        <v>-2.9078979999999999</v>
      </c>
      <c r="T5404">
        <v>-0.2554978</v>
      </c>
      <c r="U5404">
        <v>-0.69238279999999996</v>
      </c>
      <c r="V5404">
        <v>-0.16289479999999901</v>
      </c>
      <c r="W5404">
        <v>-6.5419000000000005E-2</v>
      </c>
      <c r="X5404">
        <v>0.98447229999999997</v>
      </c>
      <c r="Y5404">
        <v>-0.1639467</v>
      </c>
      <c r="Z5404">
        <v>-3.4472019999999999E-3</v>
      </c>
      <c r="AA5404">
        <v>0.98646319999999998</v>
      </c>
      <c r="AB5404">
        <v>31</v>
      </c>
      <c r="AC5404">
        <v>-12.3703</v>
      </c>
      <c r="AD5404">
        <v>-1.1125772053659999</v>
      </c>
      <c r="AE5404">
        <v>-2.9928000000000101</v>
      </c>
      <c r="AF5404">
        <v>-2.1225786200349401</v>
      </c>
      <c r="AG5404">
        <v>-1.1125772053659999</v>
      </c>
      <c r="AH5404">
        <v>12.4510348630235</v>
      </c>
      <c r="AI5404">
        <v>95.033930523907998</v>
      </c>
      <c r="AJ5404">
        <v>99.674442657461995</v>
      </c>
      <c r="AK5404">
        <v>12.679567705421</v>
      </c>
      <c r="AL5404">
        <v>93.750911146572903</v>
      </c>
      <c r="AM5404">
        <v>99.395268075826493</v>
      </c>
      <c r="AN5404">
        <v>1.0000000354476599</v>
      </c>
    </row>
    <row r="5405" spans="1:40" x14ac:dyDescent="0.25">
      <c r="A5405" t="str">
        <f>"20190305135036895"</f>
        <v>20190305135036895</v>
      </c>
      <c r="B5405" t="str">
        <f>"1551765036885326"</f>
        <v>1551765036885326</v>
      </c>
      <c r="C5405" t="s">
        <v>40</v>
      </c>
      <c r="D5405">
        <v>4.2261480000000002</v>
      </c>
      <c r="E5405">
        <v>0.49880760000000002</v>
      </c>
      <c r="F5405" t="s">
        <v>94</v>
      </c>
      <c r="G5405">
        <v>-401.46859999999998</v>
      </c>
      <c r="H5405" s="1">
        <v>-5.3580369999999997E-6</v>
      </c>
      <c r="I5405">
        <v>138.20439999999999</v>
      </c>
      <c r="J5405">
        <v>-388.9307</v>
      </c>
      <c r="K5405">
        <v>1.112554</v>
      </c>
      <c r="L5405">
        <v>141.29239999999999</v>
      </c>
      <c r="M5405">
        <v>-0.99733320000000003</v>
      </c>
      <c r="N5405">
        <v>-1.4825110000000001E-2</v>
      </c>
      <c r="O5405">
        <v>-7.1460700000000002E-2</v>
      </c>
      <c r="P5405">
        <v>-0.96905680000000005</v>
      </c>
      <c r="Q5405">
        <v>-7.9832550000000002E-2</v>
      </c>
      <c r="R5405">
        <v>-0.2335718</v>
      </c>
      <c r="S5405">
        <v>-2.9053960000000001</v>
      </c>
      <c r="T5405">
        <v>-0.25175249999999999</v>
      </c>
      <c r="U5405">
        <v>-0.70414730000000003</v>
      </c>
      <c r="V5405">
        <v>-0.16331399999999999</v>
      </c>
      <c r="W5405">
        <v>-6.624932E-2</v>
      </c>
      <c r="X5405">
        <v>0.98434730000000004</v>
      </c>
      <c r="Y5405">
        <v>-0.1649658</v>
      </c>
      <c r="Z5405">
        <v>-3.2452549999999998E-3</v>
      </c>
      <c r="AA5405">
        <v>0.986294</v>
      </c>
      <c r="AB5405">
        <v>31</v>
      </c>
      <c r="AC5405">
        <v>-12.537899999999899</v>
      </c>
      <c r="AD5405">
        <v>-1.1125593580369999</v>
      </c>
      <c r="AE5405">
        <v>-3.0879999999999899</v>
      </c>
      <c r="AF5405">
        <v>-2.16794374675999</v>
      </c>
      <c r="AG5405">
        <v>-1.1125593580369999</v>
      </c>
      <c r="AH5405">
        <v>12.632751886464099</v>
      </c>
      <c r="AI5405">
        <v>94.960870096140695</v>
      </c>
      <c r="AJ5405">
        <v>99.737840444470905</v>
      </c>
      <c r="AK5405">
        <v>12.865620414081601</v>
      </c>
      <c r="AL5405">
        <v>93.798588464930802</v>
      </c>
      <c r="AM5405">
        <v>99.420188175123101</v>
      </c>
      <c r="AN5405">
        <v>1.00000002100687</v>
      </c>
    </row>
    <row r="5406" spans="1:40" x14ac:dyDescent="0.25">
      <c r="A5406" t="str">
        <f>"20190305135036918"</f>
        <v>20190305135036918</v>
      </c>
      <c r="B5406" t="str">
        <f>"1551765036905821"</f>
        <v>1551765036905821</v>
      </c>
      <c r="C5406" t="s">
        <v>40</v>
      </c>
      <c r="D5406">
        <v>4.2345470000000001</v>
      </c>
      <c r="E5406">
        <v>0.49952429999999898</v>
      </c>
      <c r="F5406" t="s">
        <v>94</v>
      </c>
      <c r="G5406">
        <v>-401.71800000000002</v>
      </c>
      <c r="H5406" s="1">
        <v>-5.4530600000000001E-6</v>
      </c>
      <c r="I5406">
        <v>138.17099999999999</v>
      </c>
      <c r="J5406">
        <v>-389.23820000000001</v>
      </c>
      <c r="K5406">
        <v>1.112541</v>
      </c>
      <c r="L5406">
        <v>141.2671</v>
      </c>
      <c r="M5406">
        <v>-0.99710940000000003</v>
      </c>
      <c r="N5406">
        <v>-1.467159E-2</v>
      </c>
      <c r="O5406">
        <v>-7.4548929999999999E-2</v>
      </c>
      <c r="P5406">
        <v>-0.96808629999999996</v>
      </c>
      <c r="Q5406">
        <v>-8.0184580000000005E-2</v>
      </c>
      <c r="R5406">
        <v>-0.23744309999999999</v>
      </c>
      <c r="S5406">
        <v>-2.9041139999999999</v>
      </c>
      <c r="T5406">
        <v>-0.2526716</v>
      </c>
      <c r="U5406">
        <v>-0.7088776</v>
      </c>
      <c r="V5406">
        <v>-0.16419539999999999</v>
      </c>
      <c r="W5406">
        <v>-6.676783E-2</v>
      </c>
      <c r="X5406">
        <v>0.98416559999999997</v>
      </c>
      <c r="Y5406">
        <v>-0.16354009999999999</v>
      </c>
      <c r="Z5406">
        <v>-2.9359910000000002E-3</v>
      </c>
      <c r="AA5406">
        <v>0.98653230000000003</v>
      </c>
      <c r="AB5406">
        <v>31</v>
      </c>
      <c r="AC5406">
        <v>-12.479799999999999</v>
      </c>
      <c r="AD5406">
        <v>-1.11254645306</v>
      </c>
      <c r="AE5406">
        <v>-3.0960999999999999</v>
      </c>
      <c r="AF5406">
        <v>-2.1409982176132401</v>
      </c>
      <c r="AG5406">
        <v>-1.11254645306</v>
      </c>
      <c r="AH5406">
        <v>12.5817079668451</v>
      </c>
      <c r="AI5406">
        <v>94.982027306090203</v>
      </c>
      <c r="AJ5406">
        <v>99.657374427332002</v>
      </c>
      <c r="AK5406">
        <v>12.810972185631</v>
      </c>
      <c r="AL5406">
        <v>93.828362903218306</v>
      </c>
      <c r="AM5406">
        <v>99.471826837109404</v>
      </c>
      <c r="AN5406">
        <v>1.00000000036371</v>
      </c>
    </row>
    <row r="5407" spans="1:40" x14ac:dyDescent="0.25">
      <c r="A5407" t="str">
        <f>"20190305135036939"</f>
        <v>20190305135036939</v>
      </c>
      <c r="B5407" t="str">
        <f>"1551765036935101"</f>
        <v>1551765036935101</v>
      </c>
      <c r="C5407" t="s">
        <v>40</v>
      </c>
      <c r="D5407">
        <v>4.2150670000000003</v>
      </c>
      <c r="E5407">
        <v>0.50049339999999998</v>
      </c>
      <c r="F5407" t="s">
        <v>94</v>
      </c>
      <c r="G5407">
        <v>-402.13060000000002</v>
      </c>
      <c r="H5407" s="1">
        <v>-5.5982019999999997E-6</v>
      </c>
      <c r="I5407">
        <v>138.09</v>
      </c>
      <c r="J5407">
        <v>-389.53859999999997</v>
      </c>
      <c r="K5407">
        <v>1.1125579999999999</v>
      </c>
      <c r="L5407">
        <v>141.2414</v>
      </c>
      <c r="M5407">
        <v>-0.99687729999999997</v>
      </c>
      <c r="N5407">
        <v>-1.454212E-2</v>
      </c>
      <c r="O5407">
        <v>-7.7615729999999994E-2</v>
      </c>
      <c r="P5407">
        <v>-0.96724330000000003</v>
      </c>
      <c r="Q5407">
        <v>-8.0022769999999993E-2</v>
      </c>
      <c r="R5407">
        <v>-0.24090919999999999</v>
      </c>
      <c r="S5407">
        <v>-2.902679</v>
      </c>
      <c r="T5407">
        <v>-0.2504846</v>
      </c>
      <c r="U5407">
        <v>-0.71530150000000003</v>
      </c>
      <c r="V5407">
        <v>-0.16468740000000001</v>
      </c>
      <c r="W5407">
        <v>-6.6748799999999997E-2</v>
      </c>
      <c r="X5407">
        <v>0.98408470000000003</v>
      </c>
      <c r="Y5407">
        <v>-0.16269690000000001</v>
      </c>
      <c r="Z5407">
        <v>-2.6541580000000002E-3</v>
      </c>
      <c r="AA5407">
        <v>0.98667249999999995</v>
      </c>
      <c r="AB5407">
        <v>31</v>
      </c>
      <c r="AC5407">
        <v>-12.592000000000001</v>
      </c>
      <c r="AD5407">
        <v>-1.1125635982019999</v>
      </c>
      <c r="AE5407">
        <v>-3.15139999999999</v>
      </c>
      <c r="AF5407">
        <v>-2.14866568303905</v>
      </c>
      <c r="AG5407">
        <v>-1.1125635982019999</v>
      </c>
      <c r="AH5407">
        <v>12.7052918741943</v>
      </c>
      <c r="AI5407">
        <v>94.934734848302796</v>
      </c>
      <c r="AJ5407">
        <v>99.598800548543394</v>
      </c>
      <c r="AK5407">
        <v>12.9336384511854</v>
      </c>
      <c r="AL5407">
        <v>93.827270053787203</v>
      </c>
      <c r="AM5407">
        <v>99.5004586830335</v>
      </c>
      <c r="AN5407">
        <v>1.0000000193971399</v>
      </c>
    </row>
    <row r="5408" spans="1:40" x14ac:dyDescent="0.25">
      <c r="A5408" t="str">
        <f>"20190305135036963"</f>
        <v>20190305135036963</v>
      </c>
      <c r="B5408" t="str">
        <f>"1551765036955597"</f>
        <v>1551765036955597</v>
      </c>
      <c r="C5408" t="s">
        <v>40</v>
      </c>
      <c r="D5408">
        <v>4.2076719999999996</v>
      </c>
      <c r="E5408">
        <v>0.50102530000000001</v>
      </c>
      <c r="F5408" t="s">
        <v>94</v>
      </c>
      <c r="G5408">
        <v>-402.57889999999998</v>
      </c>
      <c r="H5408" s="1">
        <v>-5.7614789999999999E-6</v>
      </c>
      <c r="I5408">
        <v>138.01400000000001</v>
      </c>
      <c r="J5408">
        <v>-389.85629999999998</v>
      </c>
      <c r="K5408">
        <v>1.112581</v>
      </c>
      <c r="L5408">
        <v>141.2132</v>
      </c>
      <c r="M5408">
        <v>-0.99661560000000005</v>
      </c>
      <c r="N5408">
        <v>-1.4424630000000001E-2</v>
      </c>
      <c r="O5408">
        <v>-8.0926460000000006E-2</v>
      </c>
      <c r="P5408">
        <v>-0.96633420000000003</v>
      </c>
      <c r="Q5408">
        <v>-7.9969869999999998E-2</v>
      </c>
      <c r="R5408">
        <v>-0.24454670000000001</v>
      </c>
      <c r="S5408">
        <v>-2.9021910000000002</v>
      </c>
      <c r="T5408">
        <v>-0.24760869999999999</v>
      </c>
      <c r="U5408">
        <v>-0.71827700000000005</v>
      </c>
      <c r="V5408">
        <v>-0.16511300000000001</v>
      </c>
      <c r="W5408">
        <v>-6.6832420000000003E-2</v>
      </c>
      <c r="X5408">
        <v>0.98400770000000004</v>
      </c>
      <c r="Y5408">
        <v>-0.1604389</v>
      </c>
      <c r="Z5408">
        <v>-2.291899E-3</v>
      </c>
      <c r="AA5408">
        <v>0.98704309999999995</v>
      </c>
      <c r="AB5408">
        <v>31</v>
      </c>
      <c r="AC5408">
        <v>-12.7226</v>
      </c>
      <c r="AD5408">
        <v>-1.1125867614789999</v>
      </c>
      <c r="AE5408">
        <v>-3.1991999999999901</v>
      </c>
      <c r="AF5408">
        <v>-2.1435844378178701</v>
      </c>
      <c r="AG5408">
        <v>-1.1125867614789999</v>
      </c>
      <c r="AH5408">
        <v>12.847382414169999</v>
      </c>
      <c r="AI5408">
        <v>94.882321761326807</v>
      </c>
      <c r="AJ5408">
        <v>99.472536513661694</v>
      </c>
      <c r="AK5408">
        <v>13.072415172407799</v>
      </c>
      <c r="AL5408">
        <v>93.832071868314102</v>
      </c>
      <c r="AM5408">
        <v>99.525293020227494</v>
      </c>
      <c r="AN5408">
        <v>1.00000001439567</v>
      </c>
    </row>
    <row r="5409" spans="1:40" x14ac:dyDescent="0.25">
      <c r="A5409" t="str">
        <f>"20190305135036984"</f>
        <v>20190305135036984</v>
      </c>
      <c r="B5409" t="str">
        <f>"1551765036975118"</f>
        <v>1551765036975118</v>
      </c>
      <c r="C5409" t="s">
        <v>40</v>
      </c>
      <c r="D5409">
        <v>4.210852</v>
      </c>
      <c r="E5409">
        <v>0.50159049999999905</v>
      </c>
      <c r="F5409" t="s">
        <v>94</v>
      </c>
      <c r="G5409">
        <v>-402.9504</v>
      </c>
      <c r="H5409" s="1">
        <v>-5.8914290000000002E-6</v>
      </c>
      <c r="I5409">
        <v>137.93940000000001</v>
      </c>
      <c r="J5409">
        <v>-390.1497</v>
      </c>
      <c r="K5409">
        <v>1.112609</v>
      </c>
      <c r="L5409">
        <v>141.18610000000001</v>
      </c>
      <c r="M5409">
        <v>-0.99635739999999995</v>
      </c>
      <c r="N5409">
        <v>-1.433164E-2</v>
      </c>
      <c r="O5409">
        <v>-8.4062410000000004E-2</v>
      </c>
      <c r="P5409">
        <v>-0.96559479999999998</v>
      </c>
      <c r="Q5409">
        <v>-7.9793859999999994E-2</v>
      </c>
      <c r="R5409">
        <v>-0.2475069</v>
      </c>
      <c r="S5409">
        <v>-2.9005740000000002</v>
      </c>
      <c r="T5409">
        <v>-0.24645819999999999</v>
      </c>
      <c r="U5409">
        <v>-0.72518919999999998</v>
      </c>
      <c r="V5409">
        <v>-0.16502310000000001</v>
      </c>
      <c r="W5409">
        <v>-6.6767690000000005E-2</v>
      </c>
      <c r="X5409">
        <v>0.98402710000000004</v>
      </c>
      <c r="Y5409">
        <v>-0.159691</v>
      </c>
      <c r="Z5409">
        <v>-2.0251100000000001E-3</v>
      </c>
      <c r="AA5409">
        <v>0.98716499999999996</v>
      </c>
      <c r="AB5409">
        <v>31</v>
      </c>
      <c r="AC5409">
        <v>-12.800700000000001</v>
      </c>
      <c r="AD5409">
        <v>-1.1126148914289999</v>
      </c>
      <c r="AE5409">
        <v>-3.2467000000000001</v>
      </c>
      <c r="AF5409">
        <v>-2.1438204884181999</v>
      </c>
      <c r="AG5409">
        <v>-1.1126148914289999</v>
      </c>
      <c r="AH5409">
        <v>12.936510530373999</v>
      </c>
      <c r="AI5409">
        <v>94.849850652451806</v>
      </c>
      <c r="AJ5409">
        <v>99.409462312464001</v>
      </c>
      <c r="AK5409">
        <v>13.160060139895601</v>
      </c>
      <c r="AL5409">
        <v>93.828355092440205</v>
      </c>
      <c r="AM5409">
        <v>99.520017433620694</v>
      </c>
      <c r="AN5409">
        <v>0.99999994074797605</v>
      </c>
    </row>
    <row r="5410" spans="1:40" x14ac:dyDescent="0.25">
      <c r="A5410" t="str">
        <f>"20190305135037007"</f>
        <v>20190305135037007</v>
      </c>
      <c r="B5410" t="str">
        <f>"1551765036995628"</f>
        <v>1551765036995628</v>
      </c>
      <c r="C5410" t="s">
        <v>40</v>
      </c>
      <c r="D5410">
        <v>4.2032999999999996</v>
      </c>
      <c r="E5410">
        <v>0.50203220000000004</v>
      </c>
      <c r="F5410" t="s">
        <v>94</v>
      </c>
      <c r="G5410">
        <v>-403.31760000000003</v>
      </c>
      <c r="H5410" s="1">
        <v>-6.0225399999999998E-6</v>
      </c>
      <c r="I5410">
        <v>137.8715</v>
      </c>
      <c r="J5410">
        <v>-390.44900000000001</v>
      </c>
      <c r="K5410">
        <v>1.1126560000000001</v>
      </c>
      <c r="L5410">
        <v>141.15729999999999</v>
      </c>
      <c r="M5410">
        <v>-0.99607559999999995</v>
      </c>
      <c r="N5410">
        <v>-1.425001E-2</v>
      </c>
      <c r="O5410">
        <v>-8.7353299999999995E-2</v>
      </c>
      <c r="P5410">
        <v>-0.96475149999999998</v>
      </c>
      <c r="Q5410">
        <v>-7.96708E-2</v>
      </c>
      <c r="R5410">
        <v>-0.25081350000000002</v>
      </c>
      <c r="S5410">
        <v>-2.899597</v>
      </c>
      <c r="T5410">
        <v>-0.245001</v>
      </c>
      <c r="U5410">
        <v>-0.72987369999999996</v>
      </c>
      <c r="V5410">
        <v>-0.1651331</v>
      </c>
      <c r="W5410">
        <v>-6.6751439999999995E-2</v>
      </c>
      <c r="X5410">
        <v>0.98400980000000005</v>
      </c>
      <c r="Y5410">
        <v>-0.1580279</v>
      </c>
      <c r="Z5410">
        <v>-1.7079599999999999E-3</v>
      </c>
      <c r="AA5410">
        <v>0.98743320000000001</v>
      </c>
      <c r="AB5410">
        <v>31</v>
      </c>
      <c r="AC5410">
        <v>-12.868600000000001</v>
      </c>
      <c r="AD5410">
        <v>-1.1126620225399999</v>
      </c>
      <c r="AE5410">
        <v>-3.2857999999999898</v>
      </c>
      <c r="AF5410">
        <v>-2.1340310922869801</v>
      </c>
      <c r="AG5410">
        <v>-1.1126620225399999</v>
      </c>
      <c r="AH5410">
        <v>13.0151085287216</v>
      </c>
      <c r="AI5410">
        <v>94.822254156514205</v>
      </c>
      <c r="AJ5410">
        <v>99.3116838908918</v>
      </c>
      <c r="AK5410">
        <v>13.235752925075801</v>
      </c>
      <c r="AL5410">
        <v>93.827421761688299</v>
      </c>
      <c r="AM5410">
        <v>99.526411370494301</v>
      </c>
      <c r="AN5410">
        <v>0.99999999097686099</v>
      </c>
    </row>
    <row r="5411" spans="1:40" x14ac:dyDescent="0.25">
      <c r="A5411" t="str">
        <f>"20190305135037029"</f>
        <v>20190305135037029</v>
      </c>
      <c r="B5411" t="str">
        <f>"1551765037025870"</f>
        <v>1551765037025870</v>
      </c>
      <c r="C5411" t="s">
        <v>40</v>
      </c>
      <c r="D5411">
        <v>4.2121729999999999</v>
      </c>
      <c r="E5411">
        <v>0.50248749999999998</v>
      </c>
      <c r="F5411" t="s">
        <v>94</v>
      </c>
      <c r="G5411">
        <v>-403.64210000000003</v>
      </c>
      <c r="H5411" s="1">
        <v>-6.1357609999999997E-6</v>
      </c>
      <c r="I5411">
        <v>137.8057</v>
      </c>
      <c r="J5411">
        <v>-390.75040000000001</v>
      </c>
      <c r="K5411">
        <v>1.1127199999999999</v>
      </c>
      <c r="L5411">
        <v>141.12739999999999</v>
      </c>
      <c r="M5411">
        <v>-0.99577099999999996</v>
      </c>
      <c r="N5411">
        <v>-1.4179570000000001E-2</v>
      </c>
      <c r="O5411">
        <v>-9.0769920000000004E-2</v>
      </c>
      <c r="P5411">
        <v>-0.9637464</v>
      </c>
      <c r="Q5411">
        <v>-7.9887319999999998E-2</v>
      </c>
      <c r="R5411">
        <v>-0.25458009999999998</v>
      </c>
      <c r="S5411">
        <v>-2.8980410000000001</v>
      </c>
      <c r="T5411">
        <v>-0.24441099999999999</v>
      </c>
      <c r="U5411">
        <v>-0.73622129999999997</v>
      </c>
      <c r="V5411">
        <v>-0.1655884</v>
      </c>
      <c r="W5411">
        <v>-6.7070859999999996E-2</v>
      </c>
      <c r="X5411">
        <v>0.9839116</v>
      </c>
      <c r="Y5411">
        <v>-0.1568138</v>
      </c>
      <c r="Z5411">
        <v>-1.4060399999999999E-3</v>
      </c>
      <c r="AA5411">
        <v>0.98762720000000004</v>
      </c>
      <c r="AB5411">
        <v>31</v>
      </c>
      <c r="AC5411">
        <v>-12.8917</v>
      </c>
      <c r="AD5411">
        <v>-1.1127261357610001</v>
      </c>
      <c r="AE5411">
        <v>-3.3216999999999901</v>
      </c>
      <c r="AF5411">
        <v>-2.12285804885185</v>
      </c>
      <c r="AG5411">
        <v>-1.1127261357610001</v>
      </c>
      <c r="AH5411">
        <v>13.0488499490643</v>
      </c>
      <c r="AI5411">
        <v>94.811094440481895</v>
      </c>
      <c r="AJ5411">
        <v>99.240238178750204</v>
      </c>
      <c r="AK5411">
        <v>13.267146292325901</v>
      </c>
      <c r="AL5411">
        <v>93.845764145719698</v>
      </c>
      <c r="AM5411">
        <v>99.553129740683005</v>
      </c>
      <c r="AN5411">
        <v>1.00000002754512</v>
      </c>
    </row>
    <row r="5412" spans="1:40" x14ac:dyDescent="0.25">
      <c r="A5412" t="str">
        <f>"20190305135037052"</f>
        <v>20190305135037052</v>
      </c>
      <c r="B5412" t="str">
        <f>"1551765037045393"</f>
        <v>1551765037045393</v>
      </c>
      <c r="C5412" t="s">
        <v>40</v>
      </c>
      <c r="D5412">
        <v>4.206296</v>
      </c>
      <c r="E5412">
        <v>0.5027452</v>
      </c>
      <c r="F5412" t="s">
        <v>94</v>
      </c>
      <c r="G5412">
        <v>-403.7638</v>
      </c>
      <c r="H5412" s="1">
        <v>-6.1797040000000004E-6</v>
      </c>
      <c r="I5412">
        <v>137.7843</v>
      </c>
      <c r="J5412">
        <v>-391.05849999999998</v>
      </c>
      <c r="K5412">
        <v>1.112795</v>
      </c>
      <c r="L5412">
        <v>141.09540000000001</v>
      </c>
      <c r="M5412">
        <v>-0.99543590000000004</v>
      </c>
      <c r="N5412">
        <v>-1.411915E-2</v>
      </c>
      <c r="O5412">
        <v>-9.4383449999999994E-2</v>
      </c>
      <c r="P5412">
        <v>-0.96266220000000002</v>
      </c>
      <c r="Q5412">
        <v>-7.9283119999999999E-2</v>
      </c>
      <c r="R5412">
        <v>-0.25883539999999999</v>
      </c>
      <c r="S5412">
        <v>-2.895813</v>
      </c>
      <c r="T5412">
        <v>-0.24760989999999999</v>
      </c>
      <c r="U5412">
        <v>-0.743927</v>
      </c>
      <c r="V5412">
        <v>-0.16634979999999999</v>
      </c>
      <c r="W5412">
        <v>-6.6565040000000006E-2</v>
      </c>
      <c r="X5412">
        <v>0.98381750000000001</v>
      </c>
      <c r="Y5412">
        <v>-0.1558822</v>
      </c>
      <c r="Z5412">
        <v>-1.086619E-3</v>
      </c>
      <c r="AA5412">
        <v>0.98777499999999996</v>
      </c>
      <c r="AB5412">
        <v>31</v>
      </c>
      <c r="AC5412">
        <v>-12.705299999999999</v>
      </c>
      <c r="AD5412">
        <v>-1.1128011797040001</v>
      </c>
      <c r="AE5412">
        <v>-3.3111000000000099</v>
      </c>
      <c r="AF5412">
        <v>-2.0820702909097899</v>
      </c>
      <c r="AG5412">
        <v>-1.1128011797040001</v>
      </c>
      <c r="AH5412">
        <v>12.8686749284239</v>
      </c>
      <c r="AI5412">
        <v>94.879143862203193</v>
      </c>
      <c r="AJ5412">
        <v>99.190453907336504</v>
      </c>
      <c r="AK5412">
        <v>13.0834298857481</v>
      </c>
      <c r="AL5412">
        <v>93.816717922604596</v>
      </c>
      <c r="AM5412">
        <v>99.597142170728006</v>
      </c>
      <c r="AN5412">
        <v>1.0000000169082399</v>
      </c>
    </row>
    <row r="5413" spans="1:40" x14ac:dyDescent="0.25">
      <c r="A5413" t="str">
        <f>"20190305135037073"</f>
        <v>20190305135037073</v>
      </c>
      <c r="B5413" t="str">
        <f>"1551765037065885"</f>
        <v>1551765037065885</v>
      </c>
      <c r="C5413" t="s">
        <v>40</v>
      </c>
      <c r="D5413">
        <v>4.1974850000000004</v>
      </c>
      <c r="E5413">
        <v>0.50300299999999998</v>
      </c>
      <c r="F5413" t="s">
        <v>94</v>
      </c>
      <c r="G5413">
        <v>-404.11649999999997</v>
      </c>
      <c r="H5413" s="1">
        <v>-6.2915709999999999E-6</v>
      </c>
      <c r="I5413">
        <v>137.68889999999999</v>
      </c>
      <c r="J5413">
        <v>-391.358</v>
      </c>
      <c r="K5413">
        <v>1.1128819999999999</v>
      </c>
      <c r="L5413">
        <v>141.06319999999999</v>
      </c>
      <c r="M5413">
        <v>-0.99508609999999997</v>
      </c>
      <c r="N5413">
        <v>-1.406905E-2</v>
      </c>
      <c r="O5413">
        <v>-9.8007780000000003E-2</v>
      </c>
      <c r="P5413">
        <v>-0.96157959999999998</v>
      </c>
      <c r="Q5413">
        <v>-7.7795989999999995E-2</v>
      </c>
      <c r="R5413">
        <v>-0.26327319999999999</v>
      </c>
      <c r="S5413">
        <v>-2.8931269999999998</v>
      </c>
      <c r="T5413">
        <v>-0.24655260000000001</v>
      </c>
      <c r="U5413">
        <v>-0.75474549999999996</v>
      </c>
      <c r="V5413">
        <v>-0.1672894</v>
      </c>
      <c r="W5413">
        <v>-6.5166669999999996E-2</v>
      </c>
      <c r="X5413">
        <v>0.98375179999999995</v>
      </c>
      <c r="Y5413">
        <v>-0.15597910000000001</v>
      </c>
      <c r="Z5413">
        <v>-8.3840450000000001E-4</v>
      </c>
      <c r="AA5413">
        <v>0.98775999999999997</v>
      </c>
      <c r="AB5413">
        <v>31</v>
      </c>
      <c r="AC5413">
        <v>-12.7584999999999</v>
      </c>
      <c r="AD5413">
        <v>-1.1128882915710001</v>
      </c>
      <c r="AE5413">
        <v>-3.3742999999999999</v>
      </c>
      <c r="AF5413">
        <v>-2.09261459380365</v>
      </c>
      <c r="AG5413">
        <v>-1.1128882915710001</v>
      </c>
      <c r="AH5413">
        <v>12.9358153942449</v>
      </c>
      <c r="AI5413">
        <v>94.854337978442601</v>
      </c>
      <c r="AJ5413">
        <v>99.189078744115406</v>
      </c>
      <c r="AK5413">
        <v>13.151154934137899</v>
      </c>
      <c r="AL5413">
        <v>93.736422840583103</v>
      </c>
      <c r="AM5413">
        <v>99.650965830557794</v>
      </c>
      <c r="AN5413">
        <v>1.00000002111724</v>
      </c>
    </row>
    <row r="5414" spans="1:40" x14ac:dyDescent="0.25">
      <c r="A5414" t="str">
        <f>"20190305135037096"</f>
        <v>20190305135037096</v>
      </c>
      <c r="B5414" t="str">
        <f>"1551765037085405"</f>
        <v>1551765037085405</v>
      </c>
      <c r="C5414" t="s">
        <v>40</v>
      </c>
      <c r="D5414">
        <v>4.2020280000000003</v>
      </c>
      <c r="E5414">
        <v>0.50329919999999995</v>
      </c>
      <c r="F5414" t="s">
        <v>94</v>
      </c>
      <c r="G5414">
        <v>-404.57740000000001</v>
      </c>
      <c r="H5414" s="1">
        <v>-6.4356050000000002E-6</v>
      </c>
      <c r="I5414">
        <v>137.55959999999999</v>
      </c>
      <c r="J5414">
        <v>-391.65440000000001</v>
      </c>
      <c r="K5414">
        <v>1.112949</v>
      </c>
      <c r="L5414">
        <v>141.0301</v>
      </c>
      <c r="M5414">
        <v>-0.99471810000000005</v>
      </c>
      <c r="N5414">
        <v>-1.402638E-2</v>
      </c>
      <c r="O5414">
        <v>-0.1016832</v>
      </c>
      <c r="P5414">
        <v>-0.96033769999999996</v>
      </c>
      <c r="Q5414">
        <v>-7.4944460000000004E-2</v>
      </c>
      <c r="R5414">
        <v>-0.26858029999999999</v>
      </c>
      <c r="S5414">
        <v>-2.8904420000000002</v>
      </c>
      <c r="T5414">
        <v>-0.24333360000000001</v>
      </c>
      <c r="U5414">
        <v>-0.76606750000000001</v>
      </c>
      <c r="V5414">
        <v>-0.169073</v>
      </c>
      <c r="W5414">
        <v>-6.2400289999999997E-2</v>
      </c>
      <c r="X5414">
        <v>0.98362620000000001</v>
      </c>
      <c r="Y5414">
        <v>-0.15618879999999999</v>
      </c>
      <c r="Z5414">
        <v>-6.1262679999999996E-4</v>
      </c>
      <c r="AA5414">
        <v>0.98772700000000002</v>
      </c>
      <c r="AB5414">
        <v>31</v>
      </c>
      <c r="AC5414">
        <v>-12.923</v>
      </c>
      <c r="AD5414">
        <v>-1.112955435605</v>
      </c>
      <c r="AE5414">
        <v>-3.4705000000000101</v>
      </c>
      <c r="AF5414">
        <v>-2.1236357227918701</v>
      </c>
      <c r="AG5414">
        <v>-1.112955435605</v>
      </c>
      <c r="AH5414">
        <v>13.118178360739501</v>
      </c>
      <c r="AI5414">
        <v>94.787371376888501</v>
      </c>
      <c r="AJ5414">
        <v>99.195550063380793</v>
      </c>
      <c r="AK5414">
        <v>13.3354828179911</v>
      </c>
      <c r="AL5414">
        <v>93.577597604736297</v>
      </c>
      <c r="AM5414">
        <v>99.753117845981194</v>
      </c>
      <c r="AN5414">
        <v>0.99999998842376203</v>
      </c>
    </row>
    <row r="5415" spans="1:40" x14ac:dyDescent="0.25">
      <c r="A5415" t="str">
        <f>"20190305135037118"</f>
        <v>20190305135037118</v>
      </c>
      <c r="B5415" t="str">
        <f>"1551765037105902"</f>
        <v>1551765037105902</v>
      </c>
      <c r="C5415" t="s">
        <v>40</v>
      </c>
      <c r="D5415">
        <v>4.2218799999999996</v>
      </c>
      <c r="E5415">
        <v>0.50356489999999998</v>
      </c>
      <c r="F5415" t="s">
        <v>94</v>
      </c>
      <c r="G5415">
        <v>-405.26949999999999</v>
      </c>
      <c r="H5415" s="1">
        <v>-6.7209149999999997E-6</v>
      </c>
      <c r="I5415">
        <v>137.35399999999899</v>
      </c>
      <c r="J5415">
        <v>-391.9572</v>
      </c>
      <c r="K5415">
        <v>1.1130119999999999</v>
      </c>
      <c r="L5415">
        <v>140.99510000000001</v>
      </c>
      <c r="M5415">
        <v>-0.99431800000000004</v>
      </c>
      <c r="N5415">
        <v>-1.398867E-2</v>
      </c>
      <c r="O5415">
        <v>-0.1055278</v>
      </c>
      <c r="P5415">
        <v>-0.95909480000000003</v>
      </c>
      <c r="Q5415">
        <v>-7.2831679999999996E-2</v>
      </c>
      <c r="R5415">
        <v>-0.27355649999999998</v>
      </c>
      <c r="S5415">
        <v>-2.887451</v>
      </c>
      <c r="T5415">
        <v>-0.2360322</v>
      </c>
      <c r="U5415">
        <v>-0.77961729999999996</v>
      </c>
      <c r="V5415">
        <v>-0.17035829999999999</v>
      </c>
      <c r="W5415">
        <v>-6.036209E-2</v>
      </c>
      <c r="X5415">
        <v>0.98353170000000001</v>
      </c>
      <c r="Y5415">
        <v>-0.15697159999999999</v>
      </c>
      <c r="Z5415">
        <v>-4.4802900000000002E-4</v>
      </c>
      <c r="AA5415">
        <v>0.98760300000000001</v>
      </c>
      <c r="AB5415">
        <v>31</v>
      </c>
      <c r="AC5415">
        <v>-13.312299999999899</v>
      </c>
      <c r="AD5415">
        <v>-1.113018720915</v>
      </c>
      <c r="AE5415">
        <v>-3.6411000000000202</v>
      </c>
      <c r="AF5415">
        <v>-2.2014921907411802</v>
      </c>
      <c r="AG5415">
        <v>-1.113018720915</v>
      </c>
      <c r="AH5415">
        <v>13.5342053442647</v>
      </c>
      <c r="AI5415">
        <v>94.640561160615704</v>
      </c>
      <c r="AJ5415">
        <v>99.238893173600601</v>
      </c>
      <c r="AK5415">
        <v>13.7571833178062</v>
      </c>
      <c r="AL5415">
        <v>93.460596430030506</v>
      </c>
      <c r="AM5415">
        <v>99.826747248056904</v>
      </c>
      <c r="AN5415">
        <v>1.0000000685964701</v>
      </c>
    </row>
    <row r="5416" spans="1:40" x14ac:dyDescent="0.25">
      <c r="A5416" t="str">
        <f>"20190305135037142"</f>
        <v>20190305135037142</v>
      </c>
      <c r="B5416" t="str">
        <f>"1551765037135185"</f>
        <v>1551765037135185</v>
      </c>
      <c r="C5416" t="s">
        <v>40</v>
      </c>
      <c r="D5416">
        <v>4.1794149999999997</v>
      </c>
      <c r="E5416">
        <v>0.50939749999999995</v>
      </c>
      <c r="F5416" t="s">
        <v>94</v>
      </c>
      <c r="G5416">
        <v>-405.86959999999999</v>
      </c>
      <c r="H5416" s="1">
        <v>-7.0456370000000003E-6</v>
      </c>
      <c r="I5416">
        <v>137.17269999999999</v>
      </c>
      <c r="J5416">
        <v>-392.26949999999999</v>
      </c>
      <c r="K5416">
        <v>1.113054</v>
      </c>
      <c r="L5416">
        <v>140.95760000000001</v>
      </c>
      <c r="M5416">
        <v>-0.99387970000000003</v>
      </c>
      <c r="N5416">
        <v>-1.3955469999999999E-2</v>
      </c>
      <c r="O5416">
        <v>-0.109583399999999</v>
      </c>
      <c r="P5416">
        <v>-0.95773010000000003</v>
      </c>
      <c r="Q5416">
        <v>-7.2455039999999998E-2</v>
      </c>
      <c r="R5416">
        <v>-0.2783949</v>
      </c>
      <c r="S5416">
        <v>-2.8843990000000002</v>
      </c>
      <c r="T5416">
        <v>-0.23075799999999999</v>
      </c>
      <c r="U5416">
        <v>-0.79248050000000003</v>
      </c>
      <c r="V5416">
        <v>-0.17130029999999999</v>
      </c>
      <c r="W5416">
        <v>-6.005394E-2</v>
      </c>
      <c r="X5416">
        <v>0.98338689999999995</v>
      </c>
      <c r="Y5416">
        <v>-0.15732409999999999</v>
      </c>
      <c r="Z5416">
        <v>-2.4683080000000002E-4</v>
      </c>
      <c r="AA5416">
        <v>0.98754699999999995</v>
      </c>
      <c r="AB5416">
        <v>31</v>
      </c>
      <c r="AC5416">
        <v>-13.6000999999999</v>
      </c>
      <c r="AD5416">
        <v>-1.113061045637</v>
      </c>
      <c r="AE5416">
        <v>-3.7849000000000199</v>
      </c>
      <c r="AF5416">
        <v>-2.25757657668143</v>
      </c>
      <c r="AG5416">
        <v>-1.113061045637</v>
      </c>
      <c r="AH5416">
        <v>13.8469000758421</v>
      </c>
      <c r="AI5416">
        <v>94.536110605541893</v>
      </c>
      <c r="AJ5416">
        <v>99.259938680277997</v>
      </c>
      <c r="AK5416">
        <v>14.0738125112299</v>
      </c>
      <c r="AL5416">
        <v>93.4429087753348</v>
      </c>
      <c r="AM5416">
        <v>99.881442675805602</v>
      </c>
      <c r="AN5416">
        <v>1.0000000317906099</v>
      </c>
    </row>
    <row r="5417" spans="1:40" x14ac:dyDescent="0.25">
      <c r="A5417" t="str">
        <f>"20190305135037164"</f>
        <v>20190305135037164</v>
      </c>
      <c r="B5417" t="str">
        <f>"1551765037155678"</f>
        <v>1551765037155678</v>
      </c>
      <c r="C5417" t="s">
        <v>40</v>
      </c>
      <c r="D5417">
        <v>4.2415039999999999</v>
      </c>
      <c r="E5417">
        <v>0.50978809999999997</v>
      </c>
      <c r="F5417" t="s">
        <v>94</v>
      </c>
      <c r="G5417">
        <v>-405.39299999999997</v>
      </c>
      <c r="H5417" s="1">
        <v>-6.8753519999999998E-6</v>
      </c>
      <c r="I5417">
        <v>137.5043</v>
      </c>
      <c r="J5417">
        <v>-392.56729999999999</v>
      </c>
      <c r="K5417">
        <v>1.1130880000000001</v>
      </c>
      <c r="L5417">
        <v>140.92070000000001</v>
      </c>
      <c r="M5417">
        <v>-0.99343649999999994</v>
      </c>
      <c r="N5417">
        <v>-1.3928950000000001E-2</v>
      </c>
      <c r="O5417">
        <v>-0.1135337</v>
      </c>
      <c r="P5417">
        <v>-0.95623829999999999</v>
      </c>
      <c r="Q5417">
        <v>-7.4128399999999997E-2</v>
      </c>
      <c r="R5417">
        <v>-0.28304400000000002</v>
      </c>
      <c r="S5417">
        <v>-2.8926090000000002</v>
      </c>
      <c r="T5417">
        <v>-0.24533579999999999</v>
      </c>
      <c r="U5417">
        <v>-0.761154199999999</v>
      </c>
      <c r="V5417">
        <v>-0.17215929999999999</v>
      </c>
      <c r="W5417">
        <v>-6.178956E-2</v>
      </c>
      <c r="X5417">
        <v>0.98312929999999998</v>
      </c>
      <c r="Y5417">
        <v>-0.14272609999999999</v>
      </c>
      <c r="Z5417">
        <v>8.8716860000000002E-4</v>
      </c>
      <c r="AA5417">
        <v>0.98976180000000002</v>
      </c>
      <c r="AB5417">
        <v>30</v>
      </c>
      <c r="AC5417">
        <v>-12.825699999999999</v>
      </c>
      <c r="AD5417">
        <v>-1.11309487535199</v>
      </c>
      <c r="AE5417">
        <v>-3.4163999999999999</v>
      </c>
      <c r="AF5417">
        <v>-1.92448070921363</v>
      </c>
      <c r="AG5417">
        <v>-1.11309487535199</v>
      </c>
      <c r="AH5417">
        <v>13.0389677794437</v>
      </c>
      <c r="AI5417">
        <v>94.827282537630495</v>
      </c>
      <c r="AJ5417">
        <v>98.395929453582795</v>
      </c>
      <c r="AK5417">
        <v>13.2271420554495</v>
      </c>
      <c r="AL5417">
        <v>93.542537663556701</v>
      </c>
      <c r="AM5417">
        <v>99.932560155147499</v>
      </c>
      <c r="AN5417">
        <v>0.99999999740998602</v>
      </c>
    </row>
    <row r="5418" spans="1:40" x14ac:dyDescent="0.25">
      <c r="A5418" t="str">
        <f>"20190305135037185"</f>
        <v>20190305135037185</v>
      </c>
      <c r="B5418" t="str">
        <f>"1551765037175198"</f>
        <v>1551765037175198</v>
      </c>
      <c r="C5418" t="s">
        <v>40</v>
      </c>
      <c r="D5418">
        <v>4.3506199999999904</v>
      </c>
      <c r="E5418">
        <v>0.50993940000000004</v>
      </c>
      <c r="F5418" t="s">
        <v>94</v>
      </c>
      <c r="G5418">
        <v>-405.52339999999998</v>
      </c>
      <c r="H5418" s="1">
        <v>-6.9423609999999998E-6</v>
      </c>
      <c r="I5418">
        <v>137.4573</v>
      </c>
      <c r="J5418">
        <v>-392.8603</v>
      </c>
      <c r="K5418">
        <v>1.1131279999999999</v>
      </c>
      <c r="L5418">
        <v>140.88299999999899</v>
      </c>
      <c r="M5418">
        <v>-0.99297559999999996</v>
      </c>
      <c r="N5418">
        <v>-1.3906709999999999E-2</v>
      </c>
      <c r="O5418">
        <v>-0.11749950000000001</v>
      </c>
      <c r="P5418">
        <v>-0.95455179999999995</v>
      </c>
      <c r="Q5418">
        <v>-7.6859350000000007E-2</v>
      </c>
      <c r="R5418">
        <v>-0.28796430000000001</v>
      </c>
      <c r="S5418">
        <v>-2.8894350000000002</v>
      </c>
      <c r="T5418">
        <v>-0.24823999999999999</v>
      </c>
      <c r="U5418">
        <v>-0.77238459999999998</v>
      </c>
      <c r="V5418">
        <v>-0.17328869999999999</v>
      </c>
      <c r="W5418">
        <v>-6.4583550000000003E-2</v>
      </c>
      <c r="X5418">
        <v>0.98275129999999999</v>
      </c>
      <c r="Y5418">
        <v>-0.14264070000000001</v>
      </c>
      <c r="Z5418">
        <v>1.2132309999999999E-3</v>
      </c>
      <c r="AA5418">
        <v>0.98977380000000004</v>
      </c>
      <c r="AB5418">
        <v>30</v>
      </c>
      <c r="AC5418">
        <v>-12.663099999999901</v>
      </c>
      <c r="AD5418">
        <v>-1.113134942361</v>
      </c>
      <c r="AE5418">
        <v>-3.4256999999999702</v>
      </c>
      <c r="AF5418">
        <v>-1.9002316650942901</v>
      </c>
      <c r="AG5418">
        <v>-1.113134942361</v>
      </c>
      <c r="AH5418">
        <v>12.885146980293401</v>
      </c>
      <c r="AI5418">
        <v>94.884891858325105</v>
      </c>
      <c r="AJ5418">
        <v>98.389201674552893</v>
      </c>
      <c r="AK5418">
        <v>13.071991527104601</v>
      </c>
      <c r="AL5418">
        <v>93.702941839267993</v>
      </c>
      <c r="AM5418">
        <v>100.000177008096</v>
      </c>
      <c r="AN5418">
        <v>1.0000000630649799</v>
      </c>
    </row>
    <row r="5419" spans="1:40" x14ac:dyDescent="0.25">
      <c r="A5419" t="str">
        <f>"20190305135037207"</f>
        <v>20190305135037207</v>
      </c>
      <c r="B5419" t="str">
        <f>"1551765037195694"</f>
        <v>1551765037195694</v>
      </c>
      <c r="C5419" t="s">
        <v>40</v>
      </c>
      <c r="D5419">
        <v>4.3445999999999998</v>
      </c>
      <c r="E5419">
        <v>0.51574920000000002</v>
      </c>
      <c r="F5419" t="s">
        <v>94</v>
      </c>
      <c r="G5419">
        <v>-405.3449</v>
      </c>
      <c r="H5419" s="1">
        <v>-6.8319959999999999E-6</v>
      </c>
      <c r="I5419">
        <v>137.48179999999999</v>
      </c>
      <c r="J5419">
        <v>-393.15519999999998</v>
      </c>
      <c r="K5419">
        <v>1.1131850000000001</v>
      </c>
      <c r="L5419">
        <v>140.84389999999999</v>
      </c>
      <c r="M5419">
        <v>-0.9924849</v>
      </c>
      <c r="N5419">
        <v>-1.3887979999999999E-2</v>
      </c>
      <c r="O5419">
        <v>-0.1215768</v>
      </c>
      <c r="P5419">
        <v>-0.95293550000000005</v>
      </c>
      <c r="Q5419">
        <v>-7.787094E-2</v>
      </c>
      <c r="R5419">
        <v>-0.29300219999999999</v>
      </c>
      <c r="S5419">
        <v>-2.884979</v>
      </c>
      <c r="T5419">
        <v>-0.25722610000000001</v>
      </c>
      <c r="U5419">
        <v>-0.78598020000000002</v>
      </c>
      <c r="V5419">
        <v>-0.17443339999999999</v>
      </c>
      <c r="W5419">
        <v>-6.5655480000000002E-2</v>
      </c>
      <c r="X5419">
        <v>0.98247770000000001</v>
      </c>
      <c r="Y5419">
        <v>-0.14329790000000001</v>
      </c>
      <c r="Z5419">
        <v>1.620245E-3</v>
      </c>
      <c r="AA5419">
        <v>0.98967830000000001</v>
      </c>
      <c r="AB5419">
        <v>30</v>
      </c>
      <c r="AC5419">
        <v>-12.1897</v>
      </c>
      <c r="AD5419">
        <v>-1.1131918319959999</v>
      </c>
      <c r="AE5419">
        <v>-3.3620999999999901</v>
      </c>
      <c r="AF5419">
        <v>-1.8407613649368799</v>
      </c>
      <c r="AG5419">
        <v>-1.1131918319959999</v>
      </c>
      <c r="AH5419">
        <v>12.411858245277701</v>
      </c>
      <c r="AI5419">
        <v>95.069859624093596</v>
      </c>
      <c r="AJ5419">
        <v>98.435856387291494</v>
      </c>
      <c r="AK5419">
        <v>12.5968973782569</v>
      </c>
      <c r="AL5419">
        <v>93.764489619281093</v>
      </c>
      <c r="AM5419">
        <v>100.067634786916</v>
      </c>
      <c r="AN5419">
        <v>1.0000000420434301</v>
      </c>
    </row>
    <row r="5420" spans="1:40" x14ac:dyDescent="0.25">
      <c r="A5420" t="str">
        <f>"20190305135037231"</f>
        <v>20190305135037231</v>
      </c>
      <c r="B5420" t="str">
        <f>"1551765037225949"</f>
        <v>1551765037225949</v>
      </c>
      <c r="C5420" t="s">
        <v>40</v>
      </c>
      <c r="D5420">
        <v>4.3870170000000002</v>
      </c>
      <c r="E5420">
        <v>0.60559799999999997</v>
      </c>
      <c r="F5420" t="s">
        <v>94</v>
      </c>
      <c r="G5420">
        <v>-405.48989999999998</v>
      </c>
      <c r="H5420" s="1">
        <v>-6.9946750000000001E-6</v>
      </c>
      <c r="I5420">
        <v>137.6183</v>
      </c>
      <c r="J5420">
        <v>-393.46600000000001</v>
      </c>
      <c r="K5420">
        <v>1.113253</v>
      </c>
      <c r="L5420">
        <v>140.80109999999999</v>
      </c>
      <c r="M5420">
        <v>-0.99193609999999999</v>
      </c>
      <c r="N5420">
        <v>-1.3872010000000001E-2</v>
      </c>
      <c r="O5420">
        <v>-0.1259777</v>
      </c>
      <c r="P5420">
        <v>-0.95153370000000004</v>
      </c>
      <c r="Q5420">
        <v>-7.7279899999999999E-2</v>
      </c>
      <c r="R5420">
        <v>-0.29767729999999998</v>
      </c>
      <c r="S5420">
        <v>-2.8940730000000001</v>
      </c>
      <c r="T5420">
        <v>-0.26118710000000001</v>
      </c>
      <c r="U5420">
        <v>-0.75680539999999996</v>
      </c>
      <c r="V5420">
        <v>-0.1748846</v>
      </c>
      <c r="W5420">
        <v>-6.5117519999999998E-2</v>
      </c>
      <c r="X5420">
        <v>0.98243329999999995</v>
      </c>
      <c r="Y5420">
        <v>-0.12885940000000001</v>
      </c>
      <c r="Z5420">
        <v>2.7479520000000001E-3</v>
      </c>
      <c r="AA5420">
        <v>0.99165899999999996</v>
      </c>
      <c r="AB5420">
        <v>30</v>
      </c>
      <c r="AC5420">
        <v>-12.0238999999999</v>
      </c>
      <c r="AD5420">
        <v>-1.1132599946749999</v>
      </c>
      <c r="AE5420">
        <v>-3.1827999999999799</v>
      </c>
      <c r="AF5420">
        <v>-1.62949496706063</v>
      </c>
      <c r="AG5420">
        <v>-1.1132599946749999</v>
      </c>
      <c r="AH5420">
        <v>12.231104123682501</v>
      </c>
      <c r="AI5420">
        <v>95.155359808541306</v>
      </c>
      <c r="AJ5420">
        <v>97.588572828843198</v>
      </c>
      <c r="AK5420">
        <v>12.3892901228353</v>
      </c>
      <c r="AL5420">
        <v>93.733600644109103</v>
      </c>
      <c r="AM5420">
        <v>100.093588367609</v>
      </c>
      <c r="AN5420">
        <v>1.0000000518384899</v>
      </c>
    </row>
    <row r="5421" spans="1:40" x14ac:dyDescent="0.25">
      <c r="A5421" t="str">
        <f>"20190305135037252"</f>
        <v>20190305135037252</v>
      </c>
      <c r="B5421" t="str">
        <f>"1551765037245473"</f>
        <v>1551765037245473</v>
      </c>
      <c r="C5421" t="s">
        <v>40</v>
      </c>
      <c r="D5421">
        <v>4.3292260000000002</v>
      </c>
      <c r="E5421">
        <v>0.60807699999999998</v>
      </c>
      <c r="F5421" t="s">
        <v>41</v>
      </c>
      <c r="G5421">
        <v>-394.40230000000003</v>
      </c>
      <c r="H5421">
        <v>0.93616630000000001</v>
      </c>
      <c r="I5421">
        <v>140.7825</v>
      </c>
      <c r="J5421">
        <v>-393.75439999999998</v>
      </c>
      <c r="K5421">
        <v>1.113321</v>
      </c>
      <c r="L5421">
        <v>140.76</v>
      </c>
      <c r="M5421">
        <v>-0.99139440000000001</v>
      </c>
      <c r="N5421">
        <v>-1.386041E-2</v>
      </c>
      <c r="O5421">
        <v>-0.13017390000000001</v>
      </c>
      <c r="P5421">
        <v>-0.94989979999999996</v>
      </c>
      <c r="Q5421">
        <v>-7.7524880000000004E-2</v>
      </c>
      <c r="R5421">
        <v>-0.3027879</v>
      </c>
      <c r="S5421">
        <v>-3.0859380000000001</v>
      </c>
      <c r="T5421">
        <v>-0.58404330000000004</v>
      </c>
      <c r="U5421">
        <v>-6.216431E-2</v>
      </c>
      <c r="V5421">
        <v>-0.17599589999999901</v>
      </c>
      <c r="W5421">
        <v>-6.5419900000000003E-2</v>
      </c>
      <c r="X5421">
        <v>0.9822147</v>
      </c>
      <c r="Y5421">
        <v>0.1061956</v>
      </c>
      <c r="Z5421">
        <v>3.3265940000000001E-2</v>
      </c>
      <c r="AA5421">
        <v>0.99378869999999997</v>
      </c>
      <c r="AB5421">
        <v>30</v>
      </c>
      <c r="AC5421">
        <v>-0.64790000000004899</v>
      </c>
      <c r="AD5421">
        <v>-0.1771547</v>
      </c>
      <c r="AE5421">
        <v>2.2500000000007899E-2</v>
      </c>
      <c r="AF5421">
        <v>9.9245293957818795E-2</v>
      </c>
      <c r="AG5421">
        <v>-0.1771547</v>
      </c>
      <c r="AH5421">
        <v>0.59502438133111102</v>
      </c>
      <c r="AI5421">
        <v>106.36592747277901</v>
      </c>
      <c r="AJ5421">
        <v>80.530692131394304</v>
      </c>
      <c r="AK5421">
        <v>0.62871888032994105</v>
      </c>
      <c r="AL5421">
        <v>93.750962887078899</v>
      </c>
      <c r="AM5421">
        <v>100.158610054588</v>
      </c>
      <c r="AN5421">
        <v>1.00000001851445</v>
      </c>
    </row>
    <row r="5422" spans="1:40" x14ac:dyDescent="0.25">
      <c r="A5422" t="str">
        <f>"20190305135037267"</f>
        <v>20190305135037267</v>
      </c>
      <c r="B5422" t="str">
        <f>"1551765037255230"</f>
        <v>1551765037255230</v>
      </c>
      <c r="C5422" t="s">
        <v>40</v>
      </c>
      <c r="D5422">
        <v>4.3584519999999998</v>
      </c>
      <c r="E5422">
        <v>0.60821219999999998</v>
      </c>
      <c r="F5422" t="s">
        <v>41</v>
      </c>
      <c r="G5422">
        <v>-394.6628</v>
      </c>
      <c r="H5422">
        <v>0.92204620000000004</v>
      </c>
      <c r="I5422">
        <v>140.7441</v>
      </c>
      <c r="J5422">
        <v>-393.96359999999999</v>
      </c>
      <c r="K5422">
        <v>1.1133710000000001</v>
      </c>
      <c r="L5422">
        <v>140.7295</v>
      </c>
      <c r="M5422">
        <v>-0.99098319999999995</v>
      </c>
      <c r="N5422">
        <v>-1.385344E-2</v>
      </c>
      <c r="O5422">
        <v>-0.133268</v>
      </c>
      <c r="P5422">
        <v>-0.94878280000000004</v>
      </c>
      <c r="Q5422">
        <v>-7.7574569999999995E-2</v>
      </c>
      <c r="R5422">
        <v>-0.306257</v>
      </c>
      <c r="S5422">
        <v>-3.0874329999999999</v>
      </c>
      <c r="T5422">
        <v>-0.65060929999999995</v>
      </c>
      <c r="U5422">
        <v>-5.5374149999999997E-2</v>
      </c>
      <c r="V5422">
        <v>-0.17650959999999999</v>
      </c>
      <c r="W5422">
        <v>-6.5505720000000003E-2</v>
      </c>
      <c r="X5422">
        <v>0.98211680000000001</v>
      </c>
      <c r="Y5422">
        <v>0.1103644</v>
      </c>
      <c r="Z5422">
        <v>3.814758E-2</v>
      </c>
      <c r="AA5422">
        <v>0.99315880000000001</v>
      </c>
      <c r="AB5422">
        <v>30</v>
      </c>
      <c r="AC5422">
        <v>-0.69920000000001803</v>
      </c>
      <c r="AD5422">
        <v>-0.19132479999999999</v>
      </c>
      <c r="AE5422">
        <v>1.4600000000001501E-2</v>
      </c>
      <c r="AF5422">
        <v>0.10016317428888501</v>
      </c>
      <c r="AG5422">
        <v>-0.19132479999999999</v>
      </c>
      <c r="AH5422">
        <v>0.64289961360520698</v>
      </c>
      <c r="AI5422">
        <v>106.385936605293</v>
      </c>
      <c r="AJ5422">
        <v>81.144562152328206</v>
      </c>
      <c r="AK5422">
        <v>0.67820185325048299</v>
      </c>
      <c r="AL5422">
        <v>93.755890561725494</v>
      </c>
      <c r="AM5422">
        <v>100.18863530053601</v>
      </c>
      <c r="AN5422">
        <v>1.00000002354355</v>
      </c>
    </row>
    <row r="5423" spans="1:40" x14ac:dyDescent="0.25">
      <c r="A5423" t="str">
        <f>"20190305135037286"</f>
        <v>20190305135037286</v>
      </c>
      <c r="B5423" t="str">
        <f>"1551765037275726"</f>
        <v>1551765037275726</v>
      </c>
      <c r="C5423" t="s">
        <v>40</v>
      </c>
      <c r="D5423">
        <v>4.3490719999999996</v>
      </c>
      <c r="E5423">
        <v>0.60836789999999996</v>
      </c>
      <c r="F5423" t="s">
        <v>41</v>
      </c>
      <c r="G5423">
        <v>-394.67630000000003</v>
      </c>
      <c r="H5423">
        <v>0.95975999999999995</v>
      </c>
      <c r="I5423">
        <v>140.7148</v>
      </c>
      <c r="J5423">
        <v>-394.19929999999999</v>
      </c>
      <c r="K5423">
        <v>1.1134299999999999</v>
      </c>
      <c r="L5423">
        <v>140.69409999999999</v>
      </c>
      <c r="M5423">
        <v>-0.99049880000000001</v>
      </c>
      <c r="N5423">
        <v>-1.3846610000000001E-2</v>
      </c>
      <c r="O5423">
        <v>-0.1368231</v>
      </c>
      <c r="P5423">
        <v>-0.94750089999999998</v>
      </c>
      <c r="Q5423">
        <v>-7.8018809999999994E-2</v>
      </c>
      <c r="R5423">
        <v>-0.3100888</v>
      </c>
      <c r="S5423">
        <v>-3.0865480000000001</v>
      </c>
      <c r="T5423">
        <v>-0.66585620000000001</v>
      </c>
      <c r="U5423">
        <v>-6.4865110000000004E-2</v>
      </c>
      <c r="V5423">
        <v>-0.17694560000000001</v>
      </c>
      <c r="W5423">
        <v>-6.5988169999999999E-2</v>
      </c>
      <c r="X5423">
        <v>0.98200600000000005</v>
      </c>
      <c r="Y5423">
        <v>0.1105486</v>
      </c>
      <c r="Z5423">
        <v>3.9780540000000003E-2</v>
      </c>
      <c r="AA5423">
        <v>0.99307429999999997</v>
      </c>
      <c r="AB5423">
        <v>30</v>
      </c>
      <c r="AC5423">
        <v>-0.47700000000003201</v>
      </c>
      <c r="AD5423">
        <v>-0.153669999999999</v>
      </c>
      <c r="AE5423">
        <v>2.0700000000004999E-2</v>
      </c>
      <c r="AF5423">
        <v>7.7724553485218506E-2</v>
      </c>
      <c r="AG5423">
        <v>-0.153669999999999</v>
      </c>
      <c r="AH5423">
        <v>0.425592856944909</v>
      </c>
      <c r="AI5423">
        <v>109.554937050528</v>
      </c>
      <c r="AJ5423">
        <v>79.6503261670385</v>
      </c>
      <c r="AK5423">
        <v>0.45911311786639902</v>
      </c>
      <c r="AL5423">
        <v>93.783592998690693</v>
      </c>
      <c r="AM5423">
        <v>100.21440145007701</v>
      </c>
      <c r="AN5423">
        <v>0.999999983987654</v>
      </c>
    </row>
    <row r="5424" spans="1:40" x14ac:dyDescent="0.25">
      <c r="A5424" t="str">
        <f>"20190305135037308"</f>
        <v>20190305135037308</v>
      </c>
      <c r="B5424" t="str">
        <f>"1551765037295248"</f>
        <v>1551765037295248</v>
      </c>
      <c r="C5424" t="s">
        <v>40</v>
      </c>
      <c r="D5424">
        <v>4.3347300000000004</v>
      </c>
      <c r="E5424">
        <v>0.60817519999999903</v>
      </c>
      <c r="F5424" t="s">
        <v>41</v>
      </c>
      <c r="G5424">
        <v>-394.93799999999999</v>
      </c>
      <c r="H5424">
        <v>0.94981629999999995</v>
      </c>
      <c r="I5424">
        <v>140.6763</v>
      </c>
      <c r="J5424">
        <v>-394.5009</v>
      </c>
      <c r="K5424">
        <v>1.1135120000000001</v>
      </c>
      <c r="L5424">
        <v>140.64750000000001</v>
      </c>
      <c r="M5424">
        <v>-0.98984349999999999</v>
      </c>
      <c r="N5424">
        <v>-1.3839840000000001E-2</v>
      </c>
      <c r="O5424">
        <v>-0.141486</v>
      </c>
      <c r="P5424">
        <v>-0.94588380000000005</v>
      </c>
      <c r="Q5424">
        <v>-7.7658580000000005E-2</v>
      </c>
      <c r="R5424">
        <v>-0.31507629999999998</v>
      </c>
      <c r="S5424">
        <v>-3.0853579999999998</v>
      </c>
      <c r="T5424">
        <v>-0.68369440000000004</v>
      </c>
      <c r="U5424">
        <v>-7.5012209999999996E-2</v>
      </c>
      <c r="V5424">
        <v>-0.17747879999999999</v>
      </c>
      <c r="W5424">
        <v>-6.5678410000000007E-2</v>
      </c>
      <c r="X5424">
        <v>0.98193059999999999</v>
      </c>
      <c r="Y5424">
        <v>0.11152910000000001</v>
      </c>
      <c r="Z5424">
        <v>4.1927100000000002E-2</v>
      </c>
      <c r="AA5424">
        <v>0.99287630000000004</v>
      </c>
      <c r="AB5424">
        <v>30</v>
      </c>
      <c r="AC5424">
        <v>-0.43710000000004301</v>
      </c>
      <c r="AD5424">
        <v>-0.1636957</v>
      </c>
      <c r="AE5424">
        <v>2.8799999999989698E-2</v>
      </c>
      <c r="AF5424">
        <v>7.9287427419273498E-2</v>
      </c>
      <c r="AG5424">
        <v>-0.1636957</v>
      </c>
      <c r="AH5424">
        <v>0.37610492939406298</v>
      </c>
      <c r="AI5424">
        <v>113.068132610994</v>
      </c>
      <c r="AJ5424">
        <v>78.095669771075805</v>
      </c>
      <c r="AK5424">
        <v>0.41777708919921602</v>
      </c>
      <c r="AL5424">
        <v>93.765806258709205</v>
      </c>
      <c r="AM5424">
        <v>100.245300181304</v>
      </c>
      <c r="AN5424">
        <v>1.0000000406029601</v>
      </c>
    </row>
    <row r="5425" spans="1:40" x14ac:dyDescent="0.25">
      <c r="A5425" t="str">
        <f>"20190305135037324"</f>
        <v>20190305135037324</v>
      </c>
      <c r="B5425" t="str">
        <f>"1551765037315742"</f>
        <v>1551765037315742</v>
      </c>
      <c r="C5425" t="s">
        <v>40</v>
      </c>
      <c r="D5425">
        <v>4.3450309999999996</v>
      </c>
      <c r="E5425">
        <v>0.60816309999999996</v>
      </c>
      <c r="F5425" t="s">
        <v>41</v>
      </c>
      <c r="G5425">
        <v>-395.20519999999999</v>
      </c>
      <c r="H5425">
        <v>0.95505759999999995</v>
      </c>
      <c r="I5425">
        <v>140.62649999999999</v>
      </c>
      <c r="J5425">
        <v>-394.7088</v>
      </c>
      <c r="K5425">
        <v>1.1135809999999999</v>
      </c>
      <c r="L5425">
        <v>140.61429999999999</v>
      </c>
      <c r="M5425">
        <v>-0.98936329999999995</v>
      </c>
      <c r="N5425">
        <v>-1.383759E-2</v>
      </c>
      <c r="O5425">
        <v>-0.14480689999999999</v>
      </c>
      <c r="P5425">
        <v>-0.94482949999999999</v>
      </c>
      <c r="Q5425">
        <v>-7.7122209999999997E-2</v>
      </c>
      <c r="R5425">
        <v>-0.31835439999999998</v>
      </c>
      <c r="S5425">
        <v>-3.0838009999999998</v>
      </c>
      <c r="T5425">
        <v>-0.69413069999999999</v>
      </c>
      <c r="U5425">
        <v>-9.2605590000000002E-2</v>
      </c>
      <c r="V5425">
        <v>-0.1775755</v>
      </c>
      <c r="W5425">
        <v>-6.517626E-2</v>
      </c>
      <c r="X5425">
        <v>0.98194650000000006</v>
      </c>
      <c r="Y5425">
        <v>0.10899830000000001</v>
      </c>
      <c r="Z5425">
        <v>4.2971860000000001E-2</v>
      </c>
      <c r="AA5425">
        <v>0.99311269999999996</v>
      </c>
      <c r="AB5425">
        <v>30</v>
      </c>
      <c r="AC5425">
        <v>-0.49639999999999401</v>
      </c>
      <c r="AD5425">
        <v>-0.15852339999999901</v>
      </c>
      <c r="AE5425">
        <v>1.2200000000007E-2</v>
      </c>
      <c r="AF5425">
        <v>7.6194621786098607E-2</v>
      </c>
      <c r="AG5425">
        <v>-0.15852339999999901</v>
      </c>
      <c r="AH5425">
        <v>0.44413381255159501</v>
      </c>
      <c r="AI5425">
        <v>109.38124658803</v>
      </c>
      <c r="AJ5425">
        <v>80.265228483455004</v>
      </c>
      <c r="AK5425">
        <v>0.47769250798845703</v>
      </c>
      <c r="AL5425">
        <v>93.736973684102395</v>
      </c>
      <c r="AM5425">
        <v>100.250601580137</v>
      </c>
      <c r="AN5425">
        <v>0.99999996596504304</v>
      </c>
    </row>
    <row r="5426" spans="1:40" x14ac:dyDescent="0.25">
      <c r="A5426" t="str">
        <f>"20190305135037342"</f>
        <v>20190305135037342</v>
      </c>
      <c r="B5426" t="str">
        <f>"1551765037335265"</f>
        <v>1551765037335265</v>
      </c>
      <c r="C5426" t="s">
        <v>40</v>
      </c>
      <c r="D5426">
        <v>4.3304450000000001</v>
      </c>
      <c r="E5426">
        <v>0.60816099999999995</v>
      </c>
      <c r="F5426" t="s">
        <v>41</v>
      </c>
      <c r="G5426">
        <v>-395.46499999999997</v>
      </c>
      <c r="H5426">
        <v>0.94189639999999997</v>
      </c>
      <c r="I5426">
        <v>140.58940000000001</v>
      </c>
      <c r="J5426">
        <v>-394.94540000000001</v>
      </c>
      <c r="K5426">
        <v>1.1136779999999999</v>
      </c>
      <c r="L5426">
        <v>140.57570000000001</v>
      </c>
      <c r="M5426">
        <v>-0.98878929999999998</v>
      </c>
      <c r="N5426">
        <v>-1.3836670000000001E-2</v>
      </c>
      <c r="O5426">
        <v>-0.1486749</v>
      </c>
      <c r="P5426">
        <v>-0.94367429999999997</v>
      </c>
      <c r="Q5426">
        <v>-7.6620679999999997E-2</v>
      </c>
      <c r="R5426">
        <v>-0.32188220000000001</v>
      </c>
      <c r="S5426">
        <v>-3.0833439999999999</v>
      </c>
      <c r="T5426">
        <v>-0.70047510000000002</v>
      </c>
      <c r="U5426">
        <v>-0.1028442</v>
      </c>
      <c r="V5426">
        <v>-0.17738799999999999</v>
      </c>
      <c r="W5426">
        <v>-6.4713010000000001E-2</v>
      </c>
      <c r="X5426">
        <v>0.98201110000000003</v>
      </c>
      <c r="Y5426">
        <v>0.10937620000000001</v>
      </c>
      <c r="Z5426">
        <v>4.4219609999999999E-2</v>
      </c>
      <c r="AA5426">
        <v>0.99301640000000002</v>
      </c>
      <c r="AB5426">
        <v>30</v>
      </c>
      <c r="AC5426">
        <v>-0.51959999999996798</v>
      </c>
      <c r="AD5426">
        <v>-0.17178160000000001</v>
      </c>
      <c r="AE5426">
        <v>1.37E-2</v>
      </c>
      <c r="AF5426">
        <v>8.1865057871428601E-2</v>
      </c>
      <c r="AG5426">
        <v>-0.17178160000000001</v>
      </c>
      <c r="AH5426">
        <v>0.46139251018149902</v>
      </c>
      <c r="AI5426">
        <v>110.132207742505</v>
      </c>
      <c r="AJ5426">
        <v>79.938696649103093</v>
      </c>
      <c r="AK5426">
        <v>0.49909303165886498</v>
      </c>
      <c r="AL5426">
        <v>93.710374991322894</v>
      </c>
      <c r="AM5426">
        <v>100.239347841263</v>
      </c>
      <c r="AN5426">
        <v>1.0000000383652301</v>
      </c>
    </row>
    <row r="5427" spans="1:40" x14ac:dyDescent="0.25">
      <c r="A5427" t="str">
        <f>"20190305135037357"</f>
        <v>20190305135037357</v>
      </c>
      <c r="B5427" t="str">
        <f>"1551765037345998"</f>
        <v>1551765037345998</v>
      </c>
      <c r="C5427" t="s">
        <v>40</v>
      </c>
      <c r="D5427">
        <v>4.3301499999999997</v>
      </c>
      <c r="E5427">
        <v>0.60818749999999999</v>
      </c>
      <c r="F5427" t="s">
        <v>41</v>
      </c>
      <c r="G5427">
        <v>-395.7269</v>
      </c>
      <c r="H5427">
        <v>0.9349208</v>
      </c>
      <c r="I5427">
        <v>140.547</v>
      </c>
      <c r="J5427">
        <v>-395.14479999999998</v>
      </c>
      <c r="K5427">
        <v>1.1137649999999999</v>
      </c>
      <c r="L5427">
        <v>140.54239999999999</v>
      </c>
      <c r="M5427">
        <v>-0.98828090000000002</v>
      </c>
      <c r="N5427">
        <v>-1.383709E-2</v>
      </c>
      <c r="O5427">
        <v>-0.15201779999999901</v>
      </c>
      <c r="P5427">
        <v>-0.94259289999999996</v>
      </c>
      <c r="Q5427">
        <v>-7.6385949999999994E-2</v>
      </c>
      <c r="R5427">
        <v>-0.32509060000000001</v>
      </c>
      <c r="S5427">
        <v>-3.082703</v>
      </c>
      <c r="T5427">
        <v>-0.70561169999999995</v>
      </c>
      <c r="U5427">
        <v>-0.1146088</v>
      </c>
      <c r="V5427">
        <v>-0.177394</v>
      </c>
      <c r="W5427">
        <v>-6.4514459999999996E-2</v>
      </c>
      <c r="X5427">
        <v>0.98202310000000004</v>
      </c>
      <c r="Y5427">
        <v>0.108790899999999</v>
      </c>
      <c r="Z5427">
        <v>4.5180440000000002E-2</v>
      </c>
      <c r="AA5427">
        <v>0.99303739999999996</v>
      </c>
      <c r="AB5427">
        <v>30</v>
      </c>
      <c r="AC5427">
        <v>-0.58210000000002504</v>
      </c>
      <c r="AD5427">
        <v>-0.17884419999999901</v>
      </c>
      <c r="AE5427">
        <v>4.6000000000105904E-3</v>
      </c>
      <c r="AF5427">
        <v>8.5019540134518595E-2</v>
      </c>
      <c r="AG5427">
        <v>-0.17884419999999901</v>
      </c>
      <c r="AH5427">
        <v>0.525072303510836</v>
      </c>
      <c r="AI5427">
        <v>108.584168111659</v>
      </c>
      <c r="AJ5427">
        <v>80.802511117436296</v>
      </c>
      <c r="AK5427">
        <v>0.56117242804017098</v>
      </c>
      <c r="AL5427">
        <v>93.698975020705603</v>
      </c>
      <c r="AM5427">
        <v>100.239564372793</v>
      </c>
      <c r="AN5427">
        <v>1.00000005785934</v>
      </c>
    </row>
    <row r="5428" spans="1:40" x14ac:dyDescent="0.25">
      <c r="A5428" t="str">
        <f>"20190305135037376"</f>
        <v>20190305135037376</v>
      </c>
      <c r="B5428" t="str">
        <f>"1551765037365518"</f>
        <v>1551765037365518</v>
      </c>
      <c r="C5428" t="s">
        <v>40</v>
      </c>
      <c r="D5428">
        <v>4.33026</v>
      </c>
      <c r="E5428">
        <v>0.60825369999999901</v>
      </c>
      <c r="F5428" t="s">
        <v>41</v>
      </c>
      <c r="G5428">
        <v>-395.9855</v>
      </c>
      <c r="H5428">
        <v>0.92030250000000002</v>
      </c>
      <c r="I5428">
        <v>140.50810000000001</v>
      </c>
      <c r="J5428">
        <v>-395.3852</v>
      </c>
      <c r="K5428">
        <v>1.1138790000000001</v>
      </c>
      <c r="L5428">
        <v>140.50110000000001</v>
      </c>
      <c r="M5428">
        <v>-0.98763610000000002</v>
      </c>
      <c r="N5428">
        <v>-1.383876E-2</v>
      </c>
      <c r="O5428">
        <v>-0.15615209999999999</v>
      </c>
      <c r="P5428">
        <v>-0.94140740000000001</v>
      </c>
      <c r="Q5428">
        <v>-7.5612550000000001E-2</v>
      </c>
      <c r="R5428">
        <v>-0.3286869</v>
      </c>
      <c r="S5428">
        <v>-3.0820310000000002</v>
      </c>
      <c r="T5428">
        <v>-0.70909350000000004</v>
      </c>
      <c r="U5428">
        <v>-0.1252289</v>
      </c>
      <c r="V5428">
        <v>-0.17701510000000001</v>
      </c>
      <c r="W5428">
        <v>-6.3780729999999994E-2</v>
      </c>
      <c r="X5428">
        <v>0.98213930000000005</v>
      </c>
      <c r="Y5428">
        <v>0.1093495</v>
      </c>
      <c r="Z5428">
        <v>4.6347699999999999E-2</v>
      </c>
      <c r="AA5428">
        <v>0.99292219999999998</v>
      </c>
      <c r="AB5428">
        <v>30</v>
      </c>
      <c r="AC5428">
        <v>-0.60030000000000405</v>
      </c>
      <c r="AD5428">
        <v>-0.19357650000000001</v>
      </c>
      <c r="AE5428">
        <v>7.0000000000049996E-3</v>
      </c>
      <c r="AF5428">
        <v>9.1181066893091994E-2</v>
      </c>
      <c r="AG5428">
        <v>-0.19357650000000001</v>
      </c>
      <c r="AH5428">
        <v>0.53610275075546998</v>
      </c>
      <c r="AI5428">
        <v>109.594153034798</v>
      </c>
      <c r="AJ5428">
        <v>80.347425971331404</v>
      </c>
      <c r="AK5428">
        <v>0.57722786460772502</v>
      </c>
      <c r="AL5428">
        <v>93.656848964125203</v>
      </c>
      <c r="AM5428">
        <v>100.216971248874</v>
      </c>
      <c r="AN5428">
        <v>0.999999965875915</v>
      </c>
    </row>
    <row r="5429" spans="1:40" x14ac:dyDescent="0.25">
      <c r="A5429" t="str">
        <f>"20190305135037398"</f>
        <v>20190305135037398</v>
      </c>
      <c r="B5429" t="str">
        <f>"1551765037395774"</f>
        <v>1551765037395774</v>
      </c>
      <c r="C5429" t="s">
        <v>40</v>
      </c>
      <c r="D5429">
        <v>4.3925640000000001</v>
      </c>
      <c r="E5429">
        <v>0.6087494</v>
      </c>
      <c r="F5429" t="s">
        <v>41</v>
      </c>
      <c r="G5429">
        <v>-396.24740000000003</v>
      </c>
      <c r="H5429">
        <v>0.91485079999999996</v>
      </c>
      <c r="I5429">
        <v>140.4632</v>
      </c>
      <c r="J5429">
        <v>-395.68560000000002</v>
      </c>
      <c r="K5429">
        <v>1.114028</v>
      </c>
      <c r="L5429">
        <v>140.4479</v>
      </c>
      <c r="M5429">
        <v>-0.98677599999999999</v>
      </c>
      <c r="N5429">
        <v>-1.384262E-2</v>
      </c>
      <c r="O5429">
        <v>-0.16149769999999999</v>
      </c>
      <c r="P5429">
        <v>-0.93973580000000001</v>
      </c>
      <c r="Q5429">
        <v>-7.4310730000000005E-2</v>
      </c>
      <c r="R5429">
        <v>-0.33372829999999998</v>
      </c>
      <c r="S5429">
        <v>-3.0819700000000001</v>
      </c>
      <c r="T5429">
        <v>-0.71171759999999995</v>
      </c>
      <c r="U5429">
        <v>-0.13636779999999901</v>
      </c>
      <c r="V5429">
        <v>-0.17693639999999999</v>
      </c>
      <c r="W5429">
        <v>-6.2533500000000006E-2</v>
      </c>
      <c r="X5429">
        <v>0.98223369999999999</v>
      </c>
      <c r="Y5429">
        <v>0.1109324</v>
      </c>
      <c r="Z5429">
        <v>4.7835999999999997E-2</v>
      </c>
      <c r="AA5429">
        <v>0.992676</v>
      </c>
      <c r="AB5429">
        <v>30</v>
      </c>
      <c r="AC5429">
        <v>-0.56180000000000496</v>
      </c>
      <c r="AD5429">
        <v>-0.1991772</v>
      </c>
      <c r="AE5429">
        <v>1.5299999999996299E-2</v>
      </c>
      <c r="AF5429">
        <v>9.4027281974466997E-2</v>
      </c>
      <c r="AG5429">
        <v>-0.1991772</v>
      </c>
      <c r="AH5429">
        <v>0.49036259661345699</v>
      </c>
      <c r="AI5429">
        <v>111.74784685025099</v>
      </c>
      <c r="AJ5429">
        <v>79.145261345515195</v>
      </c>
      <c r="AK5429">
        <v>0.53755759032203998</v>
      </c>
      <c r="AL5429">
        <v>93.585244923389098</v>
      </c>
      <c r="AM5429">
        <v>100.211563610209</v>
      </c>
      <c r="AN5429">
        <v>0.99999998484144903</v>
      </c>
    </row>
    <row r="5430" spans="1:40" x14ac:dyDescent="0.25">
      <c r="A5430" t="str">
        <f>"20190305135037420"</f>
        <v>20190305135037420</v>
      </c>
      <c r="B5430" t="str">
        <f>"1551765037415297"</f>
        <v>1551765037415297</v>
      </c>
      <c r="C5430" t="s">
        <v>40</v>
      </c>
      <c r="D5430">
        <v>4.3520399999999997</v>
      </c>
      <c r="E5430">
        <v>0.64606350000000001</v>
      </c>
      <c r="F5430" t="s">
        <v>41</v>
      </c>
      <c r="G5430">
        <v>-396.51389999999998</v>
      </c>
      <c r="H5430">
        <v>0.92462</v>
      </c>
      <c r="I5430">
        <v>140.40770000000001</v>
      </c>
      <c r="J5430">
        <v>-395.97320000000002</v>
      </c>
      <c r="K5430">
        <v>1.114171</v>
      </c>
      <c r="L5430">
        <v>140.39529999999999</v>
      </c>
      <c r="M5430">
        <v>-0.9858922</v>
      </c>
      <c r="N5430">
        <v>-1.384811E-2</v>
      </c>
      <c r="O5430">
        <v>-0.1668075</v>
      </c>
      <c r="P5430">
        <v>-0.9380906</v>
      </c>
      <c r="Q5430">
        <v>-7.3423399999999903E-2</v>
      </c>
      <c r="R5430">
        <v>-0.33851890000000001</v>
      </c>
      <c r="S5430">
        <v>-3.08371</v>
      </c>
      <c r="T5430">
        <v>-0.70494199999999996</v>
      </c>
      <c r="U5430">
        <v>-0.1491547</v>
      </c>
      <c r="V5430">
        <v>-0.1766374</v>
      </c>
      <c r="W5430">
        <v>-6.1696189999999998E-2</v>
      </c>
      <c r="X5430">
        <v>0.98234049999999995</v>
      </c>
      <c r="Y5430">
        <v>0.1121844</v>
      </c>
      <c r="Z5430">
        <v>4.8602560000000003E-2</v>
      </c>
      <c r="AA5430">
        <v>0.99249810000000005</v>
      </c>
      <c r="AB5430">
        <v>30</v>
      </c>
      <c r="AC5430">
        <v>-0.54069999999995799</v>
      </c>
      <c r="AD5430">
        <v>-0.189550999999999</v>
      </c>
      <c r="AE5430">
        <v>1.24000000000137E-2</v>
      </c>
      <c r="AF5430">
        <v>9.1222653896583697E-2</v>
      </c>
      <c r="AG5430">
        <v>-0.189550999999999</v>
      </c>
      <c r="AH5430">
        <v>0.47295988895353103</v>
      </c>
      <c r="AI5430">
        <v>111.480785414141</v>
      </c>
      <c r="AJ5430">
        <v>79.083070934804994</v>
      </c>
      <c r="AK5430">
        <v>0.51763134636908603</v>
      </c>
      <c r="AL5430">
        <v>93.537177634599303</v>
      </c>
      <c r="AM5430">
        <v>100.193584455639</v>
      </c>
      <c r="AN5430">
        <v>1.00000002443976</v>
      </c>
    </row>
    <row r="5431" spans="1:40" x14ac:dyDescent="0.25">
      <c r="A5431" t="str">
        <f>"20190305135037442"</f>
        <v>20190305135037442</v>
      </c>
      <c r="B5431" t="str">
        <f>"1551765037435793"</f>
        <v>1551765037435793</v>
      </c>
      <c r="C5431" t="s">
        <v>40</v>
      </c>
      <c r="D5431">
        <v>4.3181430000000001</v>
      </c>
      <c r="E5431">
        <v>0.64675309999999997</v>
      </c>
      <c r="F5431" t="s">
        <v>41</v>
      </c>
      <c r="G5431">
        <v>-396.78750000000002</v>
      </c>
      <c r="H5431">
        <v>0.91416249999999999</v>
      </c>
      <c r="I5431">
        <v>140.42660000000001</v>
      </c>
      <c r="J5431">
        <v>-396.26729999999998</v>
      </c>
      <c r="K5431">
        <v>1.1143299999999901</v>
      </c>
      <c r="L5431">
        <v>140.33949999999999</v>
      </c>
      <c r="M5431">
        <v>-0.98491989999999996</v>
      </c>
      <c r="N5431">
        <v>-1.385576E-2</v>
      </c>
      <c r="O5431">
        <v>-0.17245639999999901</v>
      </c>
      <c r="P5431">
        <v>-0.93648240000000005</v>
      </c>
      <c r="Q5431">
        <v>-7.2503399999999996E-2</v>
      </c>
      <c r="R5431">
        <v>-0.3431399</v>
      </c>
      <c r="S5431">
        <v>-3.1803889999999999</v>
      </c>
      <c r="T5431">
        <v>-0.78193330000000005</v>
      </c>
      <c r="U5431">
        <v>0.12075809999999999</v>
      </c>
      <c r="V5431">
        <v>-0.1758247</v>
      </c>
      <c r="W5431">
        <v>-6.0823099999999998E-2</v>
      </c>
      <c r="X5431">
        <v>0.98254070000000004</v>
      </c>
      <c r="Y5431">
        <v>0.19892009999999999</v>
      </c>
      <c r="Z5431">
        <v>6.4761029999999997E-2</v>
      </c>
      <c r="AA5431">
        <v>0.97787360000000001</v>
      </c>
      <c r="AB5431">
        <v>30</v>
      </c>
      <c r="AC5431">
        <v>-0.52020000000004496</v>
      </c>
      <c r="AD5431">
        <v>-0.200167499999999</v>
      </c>
      <c r="AE5431">
        <v>8.71000000000208E-2</v>
      </c>
      <c r="AF5431">
        <v>0.15341895160300201</v>
      </c>
      <c r="AG5431">
        <v>-0.200167499999999</v>
      </c>
      <c r="AH5431">
        <v>0.434764898561461</v>
      </c>
      <c r="AI5431">
        <v>113.468805052121</v>
      </c>
      <c r="AJ5431">
        <v>70.563185931294498</v>
      </c>
      <c r="AK5431">
        <v>0.50261806552129895</v>
      </c>
      <c r="AL5431">
        <v>93.487059214949099</v>
      </c>
      <c r="AM5431">
        <v>100.14563638751299</v>
      </c>
      <c r="AN5431">
        <v>1.00000000089009</v>
      </c>
    </row>
    <row r="5432" spans="1:40" x14ac:dyDescent="0.25">
      <c r="A5432" t="str">
        <f>"20190305135037465"</f>
        <v>20190305135037465</v>
      </c>
      <c r="B5432" t="str">
        <f>"1551765037455310"</f>
        <v>1551765037455310</v>
      </c>
      <c r="C5432" t="s">
        <v>40</v>
      </c>
      <c r="D5432">
        <v>4.3095439999999998</v>
      </c>
      <c r="E5432">
        <v>0.64676499999999904</v>
      </c>
      <c r="F5432" t="s">
        <v>41</v>
      </c>
      <c r="G5432">
        <v>-397.05079999999998</v>
      </c>
      <c r="H5432">
        <v>0.91975629999999997</v>
      </c>
      <c r="I5432">
        <v>140.3665</v>
      </c>
      <c r="J5432">
        <v>-396.55790000000002</v>
      </c>
      <c r="K5432">
        <v>1.114501</v>
      </c>
      <c r="L5432">
        <v>140.2825</v>
      </c>
      <c r="M5432">
        <v>-0.98388240000000005</v>
      </c>
      <c r="N5432">
        <v>-1.3866389999999999E-2</v>
      </c>
      <c r="O5432">
        <v>-0.17827860000000001</v>
      </c>
      <c r="P5432">
        <v>-0.93488939999999998</v>
      </c>
      <c r="Q5432">
        <v>-7.1879680000000001E-2</v>
      </c>
      <c r="R5432">
        <v>-0.34758450000000002</v>
      </c>
      <c r="S5432">
        <v>-3.1825559999999999</v>
      </c>
      <c r="T5432">
        <v>-0.79026629999999998</v>
      </c>
      <c r="U5432">
        <v>0.1098022</v>
      </c>
      <c r="V5432">
        <v>-0.17465520000000001</v>
      </c>
      <c r="W5432">
        <v>-6.0245960000000001E-2</v>
      </c>
      <c r="X5432">
        <v>0.98278480000000001</v>
      </c>
      <c r="Y5432">
        <v>0.20088259999999999</v>
      </c>
      <c r="Z5432">
        <v>6.6979830000000004E-2</v>
      </c>
      <c r="AA5432">
        <v>0.97732280000000005</v>
      </c>
      <c r="AB5432">
        <v>30</v>
      </c>
      <c r="AC5432">
        <v>-0.49289999999996298</v>
      </c>
      <c r="AD5432">
        <v>-0.19474469999999999</v>
      </c>
      <c r="AE5432">
        <v>8.40000000000031E-2</v>
      </c>
      <c r="AF5432">
        <v>0.148073552677642</v>
      </c>
      <c r="AG5432">
        <v>-0.19474469999999999</v>
      </c>
      <c r="AH5432">
        <v>0.40811510790600097</v>
      </c>
      <c r="AI5432">
        <v>114.15949953791301</v>
      </c>
      <c r="AJ5432">
        <v>70.058063318951099</v>
      </c>
      <c r="AK5432">
        <v>0.47582477497687697</v>
      </c>
      <c r="AL5432">
        <v>93.453930815847301</v>
      </c>
      <c r="AM5432">
        <v>100.07708859800999</v>
      </c>
      <c r="AN5432">
        <v>0.99999998884719998</v>
      </c>
    </row>
    <row r="5433" spans="1:40" x14ac:dyDescent="0.25">
      <c r="A5433" t="str">
        <f>"20190305135037488"</f>
        <v>20190305135037488</v>
      </c>
      <c r="B5433" t="str">
        <f>"1551765037475808"</f>
        <v>1551765037475808</v>
      </c>
      <c r="C5433" t="s">
        <v>40</v>
      </c>
      <c r="D5433">
        <v>4.3061579999999999</v>
      </c>
      <c r="E5433">
        <v>0.64624709999999996</v>
      </c>
      <c r="F5433" t="s">
        <v>41</v>
      </c>
      <c r="G5433">
        <v>-397.31349999999998</v>
      </c>
      <c r="H5433">
        <v>0.92546859999999997</v>
      </c>
      <c r="I5433">
        <v>140.30500000000001</v>
      </c>
      <c r="J5433">
        <v>-396.85059999999999</v>
      </c>
      <c r="K5433">
        <v>1.1146929999999999</v>
      </c>
      <c r="L5433">
        <v>140.22309999999999</v>
      </c>
      <c r="M5433">
        <v>-0.98274950000000005</v>
      </c>
      <c r="N5433">
        <v>-1.388082E-2</v>
      </c>
      <c r="O5433">
        <v>-0.18442</v>
      </c>
      <c r="P5433">
        <v>-0.93317059999999996</v>
      </c>
      <c r="Q5433">
        <v>-7.1682930000000006E-2</v>
      </c>
      <c r="R5433">
        <v>-0.35221350000000001</v>
      </c>
      <c r="S5433">
        <v>-3.182312</v>
      </c>
      <c r="T5433">
        <v>-0.79715819999999904</v>
      </c>
      <c r="U5433">
        <v>9.3246460000000003E-2</v>
      </c>
      <c r="V5433">
        <v>-0.1733594</v>
      </c>
      <c r="W5433">
        <v>-6.010157E-2</v>
      </c>
      <c r="X5433">
        <v>0.98302299999999998</v>
      </c>
      <c r="Y5433">
        <v>0.20152539999999999</v>
      </c>
      <c r="Z5433">
        <v>6.9056030000000004E-2</v>
      </c>
      <c r="AA5433">
        <v>0.97704599999999997</v>
      </c>
      <c r="AB5433">
        <v>30</v>
      </c>
      <c r="AC5433">
        <v>-0.46289999999998999</v>
      </c>
      <c r="AD5433">
        <v>-0.18922439999999999</v>
      </c>
      <c r="AE5433">
        <v>8.1900000000018694E-2</v>
      </c>
      <c r="AF5433">
        <v>0.14274269267893899</v>
      </c>
      <c r="AG5433">
        <v>-0.18922439999999999</v>
      </c>
      <c r="AH5433">
        <v>0.378521561657164</v>
      </c>
      <c r="AI5433">
        <v>115.06784069949801</v>
      </c>
      <c r="AJ5433">
        <v>69.338247545494497</v>
      </c>
      <c r="AK5433">
        <v>0.44660936231562798</v>
      </c>
      <c r="AL5433">
        <v>93.445642995741807</v>
      </c>
      <c r="AM5433">
        <v>100.001465331349</v>
      </c>
      <c r="AN5433">
        <v>0.99999994940691095</v>
      </c>
    </row>
    <row r="5434" spans="1:40" x14ac:dyDescent="0.25">
      <c r="A5434" t="str">
        <f>"20190305135037510"</f>
        <v>20190305135037510</v>
      </c>
      <c r="B5434" t="str">
        <f>"1551765037506062"</f>
        <v>1551765037506062</v>
      </c>
      <c r="C5434" t="s">
        <v>40</v>
      </c>
      <c r="D5434">
        <v>4.2611359999999996</v>
      </c>
      <c r="E5434">
        <v>0.64565740000000005</v>
      </c>
      <c r="F5434" t="s">
        <v>41</v>
      </c>
      <c r="G5434">
        <v>-397.57580000000002</v>
      </c>
      <c r="H5434">
        <v>0.93287050000000005</v>
      </c>
      <c r="I5434">
        <v>140.2398</v>
      </c>
      <c r="J5434">
        <v>-397.14400000000001</v>
      </c>
      <c r="K5434">
        <v>1.1149169999999999</v>
      </c>
      <c r="L5434">
        <v>140.16120000000001</v>
      </c>
      <c r="M5434">
        <v>-0.98151299999999997</v>
      </c>
      <c r="N5434">
        <v>-1.3899430000000001E-2</v>
      </c>
      <c r="O5434">
        <v>-0.19089059999999999</v>
      </c>
      <c r="P5434">
        <v>-0.93127459999999995</v>
      </c>
      <c r="Q5434">
        <v>-7.2472510000000004E-2</v>
      </c>
      <c r="R5434">
        <v>-0.3570374</v>
      </c>
      <c r="S5434">
        <v>-3.1810610000000001</v>
      </c>
      <c r="T5434">
        <v>-0.79789019999999899</v>
      </c>
      <c r="U5434">
        <v>7.2891239999999996E-2</v>
      </c>
      <c r="V5434">
        <v>-0.17193889999999901</v>
      </c>
      <c r="W5434">
        <v>-6.0950360000000002E-2</v>
      </c>
      <c r="X5434">
        <v>0.98322019999999999</v>
      </c>
      <c r="Y5434">
        <v>0.20152229999999999</v>
      </c>
      <c r="Z5434">
        <v>7.062976E-2</v>
      </c>
      <c r="AA5434">
        <v>0.97693410000000003</v>
      </c>
      <c r="AB5434">
        <v>30</v>
      </c>
      <c r="AC5434">
        <v>-0.43180000000000901</v>
      </c>
      <c r="AD5434">
        <v>-0.182046499999999</v>
      </c>
      <c r="AE5434">
        <v>7.8599999999994397E-2</v>
      </c>
      <c r="AF5434">
        <v>0.13616273969921899</v>
      </c>
      <c r="AG5434">
        <v>-0.182046499999999</v>
      </c>
      <c r="AH5434">
        <v>0.34883703492248802</v>
      </c>
      <c r="AI5434">
        <v>115.92646210281001</v>
      </c>
      <c r="AJ5434">
        <v>68.677638619333194</v>
      </c>
      <c r="AK5434">
        <v>0.41637542768295099</v>
      </c>
      <c r="AL5434">
        <v>93.494364418558405</v>
      </c>
      <c r="AM5434">
        <v>99.919198242818894</v>
      </c>
      <c r="AN5434">
        <v>0.99999994670268799</v>
      </c>
    </row>
    <row r="5435" spans="1:40" x14ac:dyDescent="0.25">
      <c r="A5435" t="str">
        <f>"20190305135037532"</f>
        <v>20190305135037532</v>
      </c>
      <c r="B5435" t="str">
        <f>"1551765037525583"</f>
        <v>1551765037525583</v>
      </c>
      <c r="C5435" t="s">
        <v>40</v>
      </c>
      <c r="D5435">
        <v>4.228739</v>
      </c>
      <c r="E5435">
        <v>0.64522080000000004</v>
      </c>
      <c r="F5435" t="s">
        <v>41</v>
      </c>
      <c r="G5435">
        <v>-398.08319999999998</v>
      </c>
      <c r="H5435">
        <v>0.87842089999999995</v>
      </c>
      <c r="I5435">
        <v>140.17670000000001</v>
      </c>
      <c r="J5435">
        <v>-397.43430000000001</v>
      </c>
      <c r="K5435">
        <v>1.115162</v>
      </c>
      <c r="L5435">
        <v>140.0975</v>
      </c>
      <c r="M5435">
        <v>-0.98017080000000001</v>
      </c>
      <c r="N5435">
        <v>-1.392321E-2</v>
      </c>
      <c r="O5435">
        <v>-0.19766529999999999</v>
      </c>
      <c r="P5435">
        <v>-0.92946439999999997</v>
      </c>
      <c r="Q5435">
        <v>-7.2647210000000004E-2</v>
      </c>
      <c r="R5435">
        <v>-0.36168879999999998</v>
      </c>
      <c r="S5435">
        <v>-3.178741</v>
      </c>
      <c r="T5435">
        <v>-0.80108630000000003</v>
      </c>
      <c r="U5435">
        <v>5.1467899999999997E-2</v>
      </c>
      <c r="V5435">
        <v>-0.1700276</v>
      </c>
      <c r="W5435">
        <v>-6.1179409999999997E-2</v>
      </c>
      <c r="X5435">
        <v>0.98353829999999998</v>
      </c>
      <c r="Y5435">
        <v>0.2014148</v>
      </c>
      <c r="Z5435">
        <v>7.2503600000000001E-2</v>
      </c>
      <c r="AA5435">
        <v>0.97681899999999999</v>
      </c>
      <c r="AB5435">
        <v>30</v>
      </c>
      <c r="AC5435">
        <v>-0.64889999999996895</v>
      </c>
      <c r="AD5435">
        <v>-0.23674109999999901</v>
      </c>
      <c r="AE5435">
        <v>7.9200000000014301E-2</v>
      </c>
      <c r="AF5435">
        <v>0.182039863015408</v>
      </c>
      <c r="AG5435">
        <v>-0.23674109999999901</v>
      </c>
      <c r="AH5435">
        <v>0.54850157066926897</v>
      </c>
      <c r="AI5435">
        <v>112.276105595564</v>
      </c>
      <c r="AJ5435">
        <v>71.639729200509507</v>
      </c>
      <c r="AK5435">
        <v>0.62453089049504495</v>
      </c>
      <c r="AL5435">
        <v>93.507512556183201</v>
      </c>
      <c r="AM5435">
        <v>99.807977828802194</v>
      </c>
      <c r="AN5435">
        <v>0.99999994626829702</v>
      </c>
    </row>
    <row r="5436" spans="1:40" x14ac:dyDescent="0.25">
      <c r="A5436" t="str">
        <f>"20190305135037549"</f>
        <v>20190305135037549</v>
      </c>
      <c r="B5436" t="str">
        <f>"1551765037535342"</f>
        <v>1551765037535342</v>
      </c>
      <c r="C5436" t="s">
        <v>40</v>
      </c>
      <c r="D5436">
        <v>4.2282590000000004</v>
      </c>
      <c r="E5436">
        <v>0.64501509999999995</v>
      </c>
      <c r="F5436" t="s">
        <v>41</v>
      </c>
      <c r="G5436">
        <v>-398.34339999999997</v>
      </c>
      <c r="H5436">
        <v>0.88567469999999904</v>
      </c>
      <c r="I5436">
        <v>140.10669999999999</v>
      </c>
      <c r="J5436">
        <v>-397.65570000000002</v>
      </c>
      <c r="K5436">
        <v>1.115345</v>
      </c>
      <c r="L5436">
        <v>140.04740000000001</v>
      </c>
      <c r="M5436">
        <v>-0.97907659999999996</v>
      </c>
      <c r="N5436">
        <v>-1.3943189999999999E-2</v>
      </c>
      <c r="O5436">
        <v>-0.20301449999999999</v>
      </c>
      <c r="P5436">
        <v>-0.92780459999999998</v>
      </c>
      <c r="Q5436">
        <v>-7.2810840000000002E-2</v>
      </c>
      <c r="R5436">
        <v>-0.36589329999999998</v>
      </c>
      <c r="S5436">
        <v>-3.1773380000000002</v>
      </c>
      <c r="T5436">
        <v>-0.8023962</v>
      </c>
      <c r="U5436">
        <v>3.17688E-2</v>
      </c>
      <c r="V5436">
        <v>-0.1690837</v>
      </c>
      <c r="W5436">
        <v>-6.1386969999999999E-2</v>
      </c>
      <c r="X5436">
        <v>0.98368809999999995</v>
      </c>
      <c r="Y5436">
        <v>0.2005371</v>
      </c>
      <c r="Z5436">
        <v>7.3765170000000005E-2</v>
      </c>
      <c r="AA5436">
        <v>0.97690509999999997</v>
      </c>
      <c r="AB5436">
        <v>30</v>
      </c>
      <c r="AC5436">
        <v>-0.68769999999994902</v>
      </c>
      <c r="AD5436">
        <v>-0.22967029999999999</v>
      </c>
      <c r="AE5436">
        <v>5.9299999999979001E-2</v>
      </c>
      <c r="AF5436">
        <v>0.17798629907476299</v>
      </c>
      <c r="AG5436">
        <v>-0.22967029999999999</v>
      </c>
      <c r="AH5436">
        <v>0.59541668915550905</v>
      </c>
      <c r="AI5436">
        <v>110.28288190772901</v>
      </c>
      <c r="AJ5436">
        <v>73.357159176346798</v>
      </c>
      <c r="AK5436">
        <v>0.66253196382161705</v>
      </c>
      <c r="AL5436">
        <v>93.519427187321</v>
      </c>
      <c r="AM5436">
        <v>99.753121249880095</v>
      </c>
      <c r="AN5436">
        <v>0.999999967886539</v>
      </c>
    </row>
    <row r="5437" spans="1:40" x14ac:dyDescent="0.25">
      <c r="A5437" t="str">
        <f>"20190305135037566"</f>
        <v>20190305135037566</v>
      </c>
      <c r="B5437" t="str">
        <f>"1551765037555838"</f>
        <v>1551765037555838</v>
      </c>
      <c r="C5437" t="s">
        <v>40</v>
      </c>
      <c r="D5437">
        <v>4.1943409999999997</v>
      </c>
      <c r="E5437">
        <v>0.64446320000000001</v>
      </c>
      <c r="F5437" t="s">
        <v>41</v>
      </c>
      <c r="G5437">
        <v>-398.3546</v>
      </c>
      <c r="H5437">
        <v>0.93898930000000003</v>
      </c>
      <c r="I5437">
        <v>140.05090000000001</v>
      </c>
      <c r="J5437">
        <v>-397.8639</v>
      </c>
      <c r="K5437">
        <v>1.1155060000000001</v>
      </c>
      <c r="L5437">
        <v>139.99870000000001</v>
      </c>
      <c r="M5437">
        <v>-0.97797670000000003</v>
      </c>
      <c r="N5437">
        <v>-1.396128E-2</v>
      </c>
      <c r="O5437">
        <v>-0.2082465</v>
      </c>
      <c r="P5437">
        <v>-0.92612510000000003</v>
      </c>
      <c r="Q5437">
        <v>-7.2295150000000002E-2</v>
      </c>
      <c r="R5437">
        <v>-0.3702241</v>
      </c>
      <c r="S5437">
        <v>-3.176758</v>
      </c>
      <c r="T5437">
        <v>-0.80195939999999999</v>
      </c>
      <c r="U5437">
        <v>1.5731809999999999E-2</v>
      </c>
      <c r="V5437">
        <v>-0.1683943</v>
      </c>
      <c r="W5437">
        <v>-6.0912279999999999E-2</v>
      </c>
      <c r="X5437">
        <v>0.98383589999999999</v>
      </c>
      <c r="Y5437">
        <v>0.2006965</v>
      </c>
      <c r="Z5437">
        <v>7.4958339999999998E-2</v>
      </c>
      <c r="AA5437">
        <v>0.97678149999999997</v>
      </c>
      <c r="AB5437">
        <v>30</v>
      </c>
      <c r="AC5437">
        <v>-0.49070000000000302</v>
      </c>
      <c r="AD5437">
        <v>-0.176516699999999</v>
      </c>
      <c r="AE5437">
        <v>5.2199999999999101E-2</v>
      </c>
      <c r="AF5437">
        <v>0.135867189085534</v>
      </c>
      <c r="AG5437">
        <v>-0.176516699999999</v>
      </c>
      <c r="AH5437">
        <v>0.41585792072703098</v>
      </c>
      <c r="AI5437">
        <v>111.972880926648</v>
      </c>
      <c r="AJ5437">
        <v>71.906987413300897</v>
      </c>
      <c r="AK5437">
        <v>0.47175825237117402</v>
      </c>
      <c r="AL5437">
        <v>93.492178304937894</v>
      </c>
      <c r="AM5437">
        <v>99.712682783511298</v>
      </c>
      <c r="AN5437">
        <v>1.0000000121280399</v>
      </c>
    </row>
    <row r="5438" spans="1:40" x14ac:dyDescent="0.25">
      <c r="A5438" t="str">
        <f>"20190305135037588"</f>
        <v>20190305135037588</v>
      </c>
      <c r="B5438" t="str">
        <f>"1551765037575358"</f>
        <v>1551765037575358</v>
      </c>
      <c r="C5438" t="s">
        <v>40</v>
      </c>
      <c r="D5438">
        <v>4.186134</v>
      </c>
      <c r="E5438">
        <v>0.64415929999999999</v>
      </c>
      <c r="F5438" t="s">
        <v>41</v>
      </c>
      <c r="G5438">
        <v>-398.61009999999999</v>
      </c>
      <c r="H5438">
        <v>0.9283226</v>
      </c>
      <c r="I5438">
        <v>139.99799999999999</v>
      </c>
      <c r="J5438">
        <v>-398.14960000000002</v>
      </c>
      <c r="K5438">
        <v>1.115748</v>
      </c>
      <c r="L5438">
        <v>139.9299</v>
      </c>
      <c r="M5438">
        <v>-0.97635530000000004</v>
      </c>
      <c r="N5438">
        <v>-1.398687E-2</v>
      </c>
      <c r="O5438">
        <v>-0.2157192</v>
      </c>
      <c r="P5438">
        <v>-0.92320040000000003</v>
      </c>
      <c r="Q5438">
        <v>-7.1688349999999998E-2</v>
      </c>
      <c r="R5438">
        <v>-0.3775732</v>
      </c>
      <c r="S5438">
        <v>-3.175964</v>
      </c>
      <c r="T5438">
        <v>-0.79672290000000001</v>
      </c>
      <c r="U5438">
        <v>-2.9144290000000001E-3</v>
      </c>
      <c r="V5438">
        <v>-0.1686511</v>
      </c>
      <c r="W5438">
        <v>-6.0388419999999998E-2</v>
      </c>
      <c r="X5438">
        <v>0.98382420000000004</v>
      </c>
      <c r="Y5438">
        <v>0.20234060000000001</v>
      </c>
      <c r="Z5438">
        <v>7.6404620000000006E-2</v>
      </c>
      <c r="AA5438">
        <v>0.97633020000000004</v>
      </c>
      <c r="AB5438">
        <v>30</v>
      </c>
      <c r="AC5438">
        <v>-0.46049999999996699</v>
      </c>
      <c r="AD5438">
        <v>-0.18742539999999899</v>
      </c>
      <c r="AE5438">
        <v>6.8099999999986893E-2</v>
      </c>
      <c r="AF5438">
        <v>0.142710333450671</v>
      </c>
      <c r="AG5438">
        <v>-0.18742539999999899</v>
      </c>
      <c r="AH5438">
        <v>0.37428877011286998</v>
      </c>
      <c r="AI5438">
        <v>115.074603887566</v>
      </c>
      <c r="AJ5438">
        <v>69.128949512556503</v>
      </c>
      <c r="AK5438">
        <v>0.44225174196532802</v>
      </c>
      <c r="AL5438">
        <v>93.462108003070895</v>
      </c>
      <c r="AM5438">
        <v>99.727325255936293</v>
      </c>
      <c r="AN5438">
        <v>1.0000000056534699</v>
      </c>
    </row>
    <row r="5439" spans="1:40" x14ac:dyDescent="0.25">
      <c r="A5439" t="str">
        <f>"20190305135037611"</f>
        <v>20190305135037611</v>
      </c>
      <c r="B5439" t="str">
        <f>"1551765037605618"</f>
        <v>1551765037605618</v>
      </c>
      <c r="C5439" t="s">
        <v>40</v>
      </c>
      <c r="D5439">
        <v>4.2251110000000001</v>
      </c>
      <c r="E5439">
        <v>0.64332659999999997</v>
      </c>
      <c r="F5439" t="s">
        <v>41</v>
      </c>
      <c r="G5439">
        <v>-398.86860000000001</v>
      </c>
      <c r="H5439">
        <v>0.93645599999999996</v>
      </c>
      <c r="I5439">
        <v>139.92320000000001</v>
      </c>
      <c r="J5439">
        <v>-398.44099999999997</v>
      </c>
      <c r="K5439">
        <v>1.116023</v>
      </c>
      <c r="L5439">
        <v>139.857</v>
      </c>
      <c r="M5439">
        <v>-0.97454430000000003</v>
      </c>
      <c r="N5439">
        <v>-1.402161E-2</v>
      </c>
      <c r="O5439">
        <v>-0.2237566</v>
      </c>
      <c r="P5439">
        <v>-0.91976420000000003</v>
      </c>
      <c r="Q5439">
        <v>-7.2240399999999996E-2</v>
      </c>
      <c r="R5439">
        <v>-0.38576640000000001</v>
      </c>
      <c r="S5439">
        <v>-3.1754760000000002</v>
      </c>
      <c r="T5439">
        <v>-0.79267140000000003</v>
      </c>
      <c r="U5439">
        <v>-3.067017E-2</v>
      </c>
      <c r="V5439">
        <v>-0.1692505</v>
      </c>
      <c r="W5439">
        <v>-6.1034779999999997E-2</v>
      </c>
      <c r="X5439">
        <v>0.98368140000000004</v>
      </c>
      <c r="Y5439">
        <v>0.2017909</v>
      </c>
      <c r="Z5439">
        <v>7.7764840000000002E-2</v>
      </c>
      <c r="AA5439">
        <v>0.97633650000000005</v>
      </c>
      <c r="AB5439">
        <v>30</v>
      </c>
      <c r="AC5439">
        <v>-0.42760000000004</v>
      </c>
      <c r="AD5439">
        <v>-0.179567</v>
      </c>
      <c r="AE5439">
        <v>6.6200000000009099E-2</v>
      </c>
      <c r="AF5439">
        <v>0.13667100178064201</v>
      </c>
      <c r="AG5439">
        <v>-0.179567</v>
      </c>
      <c r="AH5439">
        <v>0.34288862909615903</v>
      </c>
      <c r="AI5439">
        <v>115.94151602641099</v>
      </c>
      <c r="AJ5439">
        <v>68.268409222459397</v>
      </c>
      <c r="AK5439">
        <v>0.410482499237382</v>
      </c>
      <c r="AL5439">
        <v>93.4992100362782</v>
      </c>
      <c r="AM5439">
        <v>99.7626228027043</v>
      </c>
      <c r="AN5439">
        <v>1.00000003641292</v>
      </c>
    </row>
    <row r="5440" spans="1:40" x14ac:dyDescent="0.25">
      <c r="A5440" t="str">
        <f>"20190305135037632"</f>
        <v>20190305135037632</v>
      </c>
      <c r="B5440" t="str">
        <f>"1551765037625134"</f>
        <v>1551765037625134</v>
      </c>
      <c r="C5440" t="s">
        <v>40</v>
      </c>
      <c r="D5440">
        <v>4.2000089999999997</v>
      </c>
      <c r="E5440">
        <v>0.64285170000000003</v>
      </c>
      <c r="F5440" t="s">
        <v>41</v>
      </c>
      <c r="G5440">
        <v>-399.36970000000002</v>
      </c>
      <c r="H5440">
        <v>0.88382549999999904</v>
      </c>
      <c r="I5440">
        <v>139.83799999999999</v>
      </c>
      <c r="J5440">
        <v>-398.72460000000001</v>
      </c>
      <c r="K5440">
        <v>1.1163050000000001</v>
      </c>
      <c r="L5440">
        <v>139.78299999999999</v>
      </c>
      <c r="M5440">
        <v>-0.97261690000000001</v>
      </c>
      <c r="N5440">
        <v>-1.4061769999999999E-2</v>
      </c>
      <c r="O5440">
        <v>-0.23198849999999999</v>
      </c>
      <c r="P5440">
        <v>-0.91556389999999999</v>
      </c>
      <c r="Q5440">
        <v>-7.3647439999999995E-2</v>
      </c>
      <c r="R5440">
        <v>-0.3953721</v>
      </c>
      <c r="S5440">
        <v>-3.1719360000000001</v>
      </c>
      <c r="T5440">
        <v>-0.79375150000000005</v>
      </c>
      <c r="U5440">
        <v>-6.5414429999999996E-2</v>
      </c>
      <c r="V5440">
        <v>-0.1711876</v>
      </c>
      <c r="W5440">
        <v>-6.2561149999999996E-2</v>
      </c>
      <c r="X5440">
        <v>0.98325019999999996</v>
      </c>
      <c r="Y5440">
        <v>0.19916400000000001</v>
      </c>
      <c r="Z5440">
        <v>7.9453199999999904E-2</v>
      </c>
      <c r="AA5440">
        <v>0.97673989999999999</v>
      </c>
      <c r="AB5440">
        <v>30</v>
      </c>
      <c r="AC5440">
        <v>-0.645100000000013</v>
      </c>
      <c r="AD5440">
        <v>-0.23247949999999901</v>
      </c>
      <c r="AE5440">
        <v>5.50000000000068E-2</v>
      </c>
      <c r="AF5440">
        <v>0.17996594152006301</v>
      </c>
      <c r="AG5440">
        <v>-0.23247949999999901</v>
      </c>
      <c r="AH5440">
        <v>0.54452801167241005</v>
      </c>
      <c r="AI5440">
        <v>112.066254424986</v>
      </c>
      <c r="AJ5440">
        <v>71.711333114108598</v>
      </c>
      <c r="AK5440">
        <v>0.618825672967242</v>
      </c>
      <c r="AL5440">
        <v>93.586832119652797</v>
      </c>
      <c r="AM5440">
        <v>99.876415494209994</v>
      </c>
      <c r="AN5440">
        <v>1.0000000238415601</v>
      </c>
    </row>
    <row r="5441" spans="1:40" x14ac:dyDescent="0.25">
      <c r="A5441" t="str">
        <f>"20190305135037654"</f>
        <v>20190305135037654</v>
      </c>
      <c r="B5441" t="str">
        <f>"1551765037645634"</f>
        <v>1551765037645634</v>
      </c>
      <c r="C5441" t="s">
        <v>40</v>
      </c>
      <c r="D5441">
        <v>4.2142589999999904</v>
      </c>
      <c r="E5441">
        <v>0.64242840000000001</v>
      </c>
      <c r="F5441" t="s">
        <v>41</v>
      </c>
      <c r="G5441">
        <v>-399.62369999999999</v>
      </c>
      <c r="H5441">
        <v>0.89009319999999903</v>
      </c>
      <c r="I5441">
        <v>139.7542</v>
      </c>
      <c r="J5441">
        <v>-398.99880000000002</v>
      </c>
      <c r="K5441">
        <v>1.1165670000000001</v>
      </c>
      <c r="L5441">
        <v>139.70869999999999</v>
      </c>
      <c r="M5441">
        <v>-0.97060630000000003</v>
      </c>
      <c r="N5441">
        <v>-1.4101020000000001E-2</v>
      </c>
      <c r="O5441">
        <v>-0.24026030000000001</v>
      </c>
      <c r="P5441">
        <v>-0.91107289999999996</v>
      </c>
      <c r="Q5441">
        <v>-7.4459789999999998E-2</v>
      </c>
      <c r="R5441">
        <v>-0.40546579999999999</v>
      </c>
      <c r="S5441">
        <v>-3.1684269999999999</v>
      </c>
      <c r="T5441">
        <v>-0.79766400000000004</v>
      </c>
      <c r="U5441">
        <v>-0.1020966</v>
      </c>
      <c r="V5441">
        <v>-0.17364160000000001</v>
      </c>
      <c r="W5441">
        <v>-6.3495140000000005E-2</v>
      </c>
      <c r="X5441">
        <v>0.98275990000000002</v>
      </c>
      <c r="Y5441">
        <v>0.1959082</v>
      </c>
      <c r="Z5441">
        <v>8.1349850000000001E-2</v>
      </c>
      <c r="AA5441">
        <v>0.9772421</v>
      </c>
      <c r="AB5441">
        <v>30</v>
      </c>
      <c r="AC5441">
        <v>-0.62489999999996804</v>
      </c>
      <c r="AD5441">
        <v>-0.2264738</v>
      </c>
      <c r="AE5441">
        <v>4.5500000000004003E-2</v>
      </c>
      <c r="AF5441">
        <v>0.171865788496638</v>
      </c>
      <c r="AG5441">
        <v>-0.2264738</v>
      </c>
      <c r="AH5441">
        <v>0.52682764690608896</v>
      </c>
      <c r="AI5441">
        <v>112.22908946800101</v>
      </c>
      <c r="AJ5441">
        <v>71.932237746889598</v>
      </c>
      <c r="AK5441">
        <v>0.59864480360779704</v>
      </c>
      <c r="AL5441">
        <v>93.640452395201805</v>
      </c>
      <c r="AM5441">
        <v>100.020044018413</v>
      </c>
      <c r="AN5441">
        <v>1.00000002955109</v>
      </c>
    </row>
    <row r="5442" spans="1:40" x14ac:dyDescent="0.25">
      <c r="A5442" t="str">
        <f>"20190305135037671"</f>
        <v>20190305135037671</v>
      </c>
      <c r="B5442" t="str">
        <f>"1551765037665151"</f>
        <v>1551765037665151</v>
      </c>
      <c r="C5442" t="s">
        <v>40</v>
      </c>
      <c r="D5442">
        <v>4.2017850000000001</v>
      </c>
      <c r="E5442">
        <v>0.64210990000000001</v>
      </c>
      <c r="F5442" t="s">
        <v>41</v>
      </c>
      <c r="G5442">
        <v>-399.87670000000003</v>
      </c>
      <c r="H5442">
        <v>0.89530499999999902</v>
      </c>
      <c r="I5442">
        <v>139.66999999999999</v>
      </c>
      <c r="J5442">
        <v>-399.20240000000001</v>
      </c>
      <c r="K5442">
        <v>1.116751</v>
      </c>
      <c r="L5442">
        <v>139.65180000000001</v>
      </c>
      <c r="M5442">
        <v>-0.9690185</v>
      </c>
      <c r="N5442">
        <v>-1.4127880000000001E-2</v>
      </c>
      <c r="O5442">
        <v>-0.24658379999999999</v>
      </c>
      <c r="P5442">
        <v>-0.90784659999999995</v>
      </c>
      <c r="Q5442">
        <v>-7.4880089999999996E-2</v>
      </c>
      <c r="R5442">
        <v>-0.41256280000000001</v>
      </c>
      <c r="S5442">
        <v>-3.1651609999999999</v>
      </c>
      <c r="T5442">
        <v>-0.79834659999999902</v>
      </c>
      <c r="U5442">
        <v>-0.1402283</v>
      </c>
      <c r="V5442">
        <v>-0.174873</v>
      </c>
      <c r="W5442">
        <v>-6.3994399999999896E-2</v>
      </c>
      <c r="X5442">
        <v>0.98250910000000002</v>
      </c>
      <c r="Y5442">
        <v>0.19047220000000001</v>
      </c>
      <c r="Z5442">
        <v>8.2183419999999993E-2</v>
      </c>
      <c r="AA5442">
        <v>0.97824650000000002</v>
      </c>
      <c r="AB5442">
        <v>30</v>
      </c>
      <c r="AC5442">
        <v>-0.674300000000016</v>
      </c>
      <c r="AD5442">
        <v>-0.221446</v>
      </c>
      <c r="AE5442">
        <v>1.81999999999789E-2</v>
      </c>
      <c r="AF5442">
        <v>0.16603204738858399</v>
      </c>
      <c r="AG5442">
        <v>-0.221446</v>
      </c>
      <c r="AH5442">
        <v>0.585847155369836</v>
      </c>
      <c r="AI5442">
        <v>109.984814831541</v>
      </c>
      <c r="AJ5442">
        <v>74.177001959800705</v>
      </c>
      <c r="AK5442">
        <v>0.64793661814329795</v>
      </c>
      <c r="AL5442">
        <v>93.669116324549805</v>
      </c>
      <c r="AM5442">
        <v>100.0921699731</v>
      </c>
      <c r="AN5442">
        <v>0.99999999047158405</v>
      </c>
    </row>
    <row r="5443" spans="1:40" x14ac:dyDescent="0.25">
      <c r="A5443" t="str">
        <f>"20190305135037688"</f>
        <v>20190305135037688</v>
      </c>
      <c r="B5443" t="str">
        <f>"1551765037675886"</f>
        <v>1551765037675886</v>
      </c>
      <c r="C5443" t="s">
        <v>40</v>
      </c>
      <c r="D5443">
        <v>4.2082470000000001</v>
      </c>
      <c r="E5443">
        <v>0.64194319999999905</v>
      </c>
      <c r="F5443" t="s">
        <v>41</v>
      </c>
      <c r="G5443">
        <v>-400.12670000000003</v>
      </c>
      <c r="H5443">
        <v>0.88345969999999996</v>
      </c>
      <c r="I5443">
        <v>139.60310000000001</v>
      </c>
      <c r="J5443">
        <v>-399.42500000000001</v>
      </c>
      <c r="K5443">
        <v>1.116946</v>
      </c>
      <c r="L5443">
        <v>139.58760000000001</v>
      </c>
      <c r="M5443">
        <v>-0.96717010000000003</v>
      </c>
      <c r="N5443">
        <v>-1.415786E-2</v>
      </c>
      <c r="O5443">
        <v>-0.25373519999999999</v>
      </c>
      <c r="P5443">
        <v>-0.90379359999999997</v>
      </c>
      <c r="Q5443">
        <v>-7.5620309999999996E-2</v>
      </c>
      <c r="R5443">
        <v>-0.42123430000000001</v>
      </c>
      <c r="S5443">
        <v>-3.162598</v>
      </c>
      <c r="T5443">
        <v>-0.79879160000000005</v>
      </c>
      <c r="U5443">
        <v>-0.16731260000000001</v>
      </c>
      <c r="V5443">
        <v>-0.17698949999999999</v>
      </c>
      <c r="W5443">
        <v>-6.4835500000000004E-2</v>
      </c>
      <c r="X5443">
        <v>0.98207489999999997</v>
      </c>
      <c r="Y5443">
        <v>0.18914549999999999</v>
      </c>
      <c r="Z5443">
        <v>8.3708169999999998E-2</v>
      </c>
      <c r="AA5443">
        <v>0.97837470000000004</v>
      </c>
      <c r="AB5443">
        <v>30</v>
      </c>
      <c r="AC5443">
        <v>-0.70170000000001598</v>
      </c>
      <c r="AD5443">
        <v>-0.23348630000000001</v>
      </c>
      <c r="AE5443">
        <v>1.55000000000029E-2</v>
      </c>
      <c r="AF5443">
        <v>0.17382070876231601</v>
      </c>
      <c r="AG5443">
        <v>-0.23348630000000001</v>
      </c>
      <c r="AH5443">
        <v>0.60756245294618405</v>
      </c>
      <c r="AI5443">
        <v>110.27808819996</v>
      </c>
      <c r="AJ5443">
        <v>74.034427868219595</v>
      </c>
      <c r="AK5443">
        <v>0.67369253024826403</v>
      </c>
      <c r="AL5443">
        <v>93.717407999469899</v>
      </c>
      <c r="AM5443">
        <v>100.216180563199</v>
      </c>
      <c r="AN5443">
        <v>1.0000000171902499</v>
      </c>
    </row>
    <row r="5444" spans="1:40" x14ac:dyDescent="0.25">
      <c r="A5444" t="str">
        <f>"20190305135037711"</f>
        <v>20190305135037711</v>
      </c>
      <c r="B5444" t="str">
        <f>"1551765037705166"</f>
        <v>1551765037705166</v>
      </c>
      <c r="C5444" t="s">
        <v>40</v>
      </c>
      <c r="D5444">
        <v>4.1939299999999999</v>
      </c>
      <c r="E5444">
        <v>0.64173789999999997</v>
      </c>
      <c r="F5444" t="s">
        <v>41</v>
      </c>
      <c r="G5444">
        <v>-400.13420000000002</v>
      </c>
      <c r="H5444">
        <v>0.93761799999999995</v>
      </c>
      <c r="I5444">
        <v>139.54329999999999</v>
      </c>
      <c r="J5444">
        <v>-399.71570000000003</v>
      </c>
      <c r="K5444">
        <v>1.117205</v>
      </c>
      <c r="L5444">
        <v>139.50069999999999</v>
      </c>
      <c r="M5444">
        <v>-0.96457760000000003</v>
      </c>
      <c r="N5444">
        <v>-1.420136E-2</v>
      </c>
      <c r="O5444">
        <v>-0.26341710000000002</v>
      </c>
      <c r="P5444">
        <v>-0.89819530000000003</v>
      </c>
      <c r="Q5444">
        <v>-7.5831759999999998E-2</v>
      </c>
      <c r="R5444">
        <v>-0.43300699999999998</v>
      </c>
      <c r="S5444">
        <v>-3.1599430000000002</v>
      </c>
      <c r="T5444">
        <v>-0.79986059999999903</v>
      </c>
      <c r="U5444">
        <v>-0.19845579999999999</v>
      </c>
      <c r="V5444">
        <v>-0.17993199999999901</v>
      </c>
      <c r="W5444">
        <v>-6.5181210000000003E-2</v>
      </c>
      <c r="X5444">
        <v>0.98151710000000003</v>
      </c>
      <c r="Y5444">
        <v>0.18901979999999999</v>
      </c>
      <c r="Z5444">
        <v>8.6020440000000004E-2</v>
      </c>
      <c r="AA5444">
        <v>0.97819829999999997</v>
      </c>
      <c r="AB5444">
        <v>30</v>
      </c>
      <c r="AC5444">
        <v>-0.41849999999999399</v>
      </c>
      <c r="AD5444">
        <v>-0.179586999999999</v>
      </c>
      <c r="AE5444">
        <v>4.2599999999992998E-2</v>
      </c>
      <c r="AF5444">
        <v>0.12801482921961099</v>
      </c>
      <c r="AG5444">
        <v>-0.179586999999999</v>
      </c>
      <c r="AH5444">
        <v>0.33198704352109398</v>
      </c>
      <c r="AI5444">
        <v>116.781100152319</v>
      </c>
      <c r="AJ5444">
        <v>68.913266833948398</v>
      </c>
      <c r="AK5444">
        <v>0.39856578394915299</v>
      </c>
      <c r="AL5444">
        <v>93.737257901788993</v>
      </c>
      <c r="AM5444">
        <v>100.388134820771</v>
      </c>
      <c r="AN5444">
        <v>0.99999996617673603</v>
      </c>
    </row>
    <row r="5445" spans="1:40" x14ac:dyDescent="0.25">
      <c r="A5445" t="str">
        <f>"20190305135037733"</f>
        <v>20190305135037733</v>
      </c>
      <c r="B5445" t="str">
        <f>"1551765037725665"</f>
        <v>1551765037725665</v>
      </c>
      <c r="C5445" t="s">
        <v>40</v>
      </c>
      <c r="D5445">
        <v>4.1905780000000004</v>
      </c>
      <c r="E5445">
        <v>0.64155519999999999</v>
      </c>
      <c r="F5445" t="s">
        <v>41</v>
      </c>
      <c r="G5445">
        <v>-400.62630000000001</v>
      </c>
      <c r="H5445">
        <v>0.8866484</v>
      </c>
      <c r="I5445">
        <v>139.43109999999999</v>
      </c>
      <c r="J5445">
        <v>-399.98270000000002</v>
      </c>
      <c r="K5445">
        <v>1.117464</v>
      </c>
      <c r="L5445">
        <v>139.4178</v>
      </c>
      <c r="M5445">
        <v>-0.96200180000000002</v>
      </c>
      <c r="N5445">
        <v>-1.424653E-2</v>
      </c>
      <c r="O5445">
        <v>-0.27267140000000001</v>
      </c>
      <c r="P5445">
        <v>-0.8932599</v>
      </c>
      <c r="Q5445">
        <v>-7.6285240000000004E-2</v>
      </c>
      <c r="R5445">
        <v>-0.44302140000000001</v>
      </c>
      <c r="S5445">
        <v>-3.1561279999999998</v>
      </c>
      <c r="T5445">
        <v>-0.79906080000000002</v>
      </c>
      <c r="U5445">
        <v>-0.2414703</v>
      </c>
      <c r="V5445">
        <v>-0.18143500000000001</v>
      </c>
      <c r="W5445">
        <v>-6.5737690000000001E-2</v>
      </c>
      <c r="X5445">
        <v>0.9812033</v>
      </c>
      <c r="Y5445">
        <v>0.1849992</v>
      </c>
      <c r="Z5445">
        <v>8.7523729999999994E-2</v>
      </c>
      <c r="AA5445">
        <v>0.97883339999999996</v>
      </c>
      <c r="AB5445">
        <v>30</v>
      </c>
      <c r="AC5445">
        <v>-0.64359999999999196</v>
      </c>
      <c r="AD5445">
        <v>-0.23081559999999901</v>
      </c>
      <c r="AE5445">
        <v>1.3299999999986699E-2</v>
      </c>
      <c r="AF5445">
        <v>0.166853948893533</v>
      </c>
      <c r="AG5445">
        <v>-0.23081559999999901</v>
      </c>
      <c r="AH5445">
        <v>0.54545539622845796</v>
      </c>
      <c r="AI5445">
        <v>112.03082370227899</v>
      </c>
      <c r="AJ5445">
        <v>72.991210756049696</v>
      </c>
      <c r="AK5445">
        <v>0.61533541320118201</v>
      </c>
      <c r="AL5445">
        <v>93.769210225794495</v>
      </c>
      <c r="AM5445">
        <v>100.47627148829901</v>
      </c>
      <c r="AN5445">
        <v>1.00000000952121</v>
      </c>
    </row>
    <row r="5446" spans="1:40" x14ac:dyDescent="0.25">
      <c r="A5446" t="str">
        <f>"20190305135037754"</f>
        <v>20190305135037754</v>
      </c>
      <c r="B5446" t="str">
        <f>"1551765037745182"</f>
        <v>1551765037745182</v>
      </c>
      <c r="C5446" t="s">
        <v>40</v>
      </c>
      <c r="D5446">
        <v>4.1919870000000001</v>
      </c>
      <c r="E5446">
        <v>0.64155050000000002</v>
      </c>
      <c r="F5446" t="s">
        <v>41</v>
      </c>
      <c r="G5446">
        <v>-400.87459999999999</v>
      </c>
      <c r="H5446">
        <v>0.89105650000000003</v>
      </c>
      <c r="I5446">
        <v>139.339</v>
      </c>
      <c r="J5446">
        <v>-400.25720000000001</v>
      </c>
      <c r="K5446">
        <v>1.1177250000000001</v>
      </c>
      <c r="L5446">
        <v>139.32910000000001</v>
      </c>
      <c r="M5446">
        <v>-0.95915760000000005</v>
      </c>
      <c r="N5446">
        <v>-1.429679E-2</v>
      </c>
      <c r="O5446">
        <v>-0.28251140000000002</v>
      </c>
      <c r="P5446">
        <v>-0.88790740000000001</v>
      </c>
      <c r="Q5446">
        <v>-7.6566079999999995E-2</v>
      </c>
      <c r="R5446">
        <v>-0.45360610000000001</v>
      </c>
      <c r="S5446">
        <v>-3.1520389999999998</v>
      </c>
      <c r="T5446">
        <v>-0.80031419999999998</v>
      </c>
      <c r="U5446">
        <v>-0.27851870000000001</v>
      </c>
      <c r="V5446">
        <v>-0.1830031</v>
      </c>
      <c r="W5446">
        <v>-6.6120890000000002E-2</v>
      </c>
      <c r="X5446">
        <v>0.98088629999999999</v>
      </c>
      <c r="Y5446">
        <v>0.1832675</v>
      </c>
      <c r="Z5446">
        <v>8.9689019999999994E-2</v>
      </c>
      <c r="AA5446">
        <v>0.97896320000000003</v>
      </c>
      <c r="AB5446">
        <v>30</v>
      </c>
      <c r="AC5446">
        <v>-0.61739999999997497</v>
      </c>
      <c r="AD5446">
        <v>-0.22666849999999999</v>
      </c>
      <c r="AE5446">
        <v>9.8999999999875802E-3</v>
      </c>
      <c r="AF5446">
        <v>0.162094316788328</v>
      </c>
      <c r="AG5446">
        <v>-0.22666849999999999</v>
      </c>
      <c r="AH5446">
        <v>0.51944989783193296</v>
      </c>
      <c r="AI5446">
        <v>112.614300217047</v>
      </c>
      <c r="AJ5446">
        <v>72.669469997955105</v>
      </c>
      <c r="AK5446">
        <v>0.58947550651823599</v>
      </c>
      <c r="AL5446">
        <v>93.791213801527206</v>
      </c>
      <c r="AM5446">
        <v>100.56812284928699</v>
      </c>
      <c r="AN5446">
        <v>1.0000000201158401</v>
      </c>
    </row>
    <row r="5447" spans="1:40" x14ac:dyDescent="0.25">
      <c r="A5447" t="str">
        <f>"20190305135037778"</f>
        <v>20190305135037778</v>
      </c>
      <c r="B5447" t="str">
        <f>"1551765037765679"</f>
        <v>1551765037765679</v>
      </c>
      <c r="C5447" t="s">
        <v>40</v>
      </c>
      <c r="D5447">
        <v>4.4206909999999997</v>
      </c>
      <c r="E5447">
        <v>0.64163879999999995</v>
      </c>
      <c r="F5447" t="s">
        <v>41</v>
      </c>
      <c r="G5447">
        <v>-401.12189999999998</v>
      </c>
      <c r="H5447">
        <v>0.89763709999999997</v>
      </c>
      <c r="I5447">
        <v>139.2422</v>
      </c>
      <c r="J5447">
        <v>-400.53739999999999</v>
      </c>
      <c r="K5447">
        <v>1.1179790000000001</v>
      </c>
      <c r="L5447">
        <v>139.23509999999999</v>
      </c>
      <c r="M5447">
        <v>-0.95603850000000001</v>
      </c>
      <c r="N5447">
        <v>-1.434709E-2</v>
      </c>
      <c r="O5447">
        <v>-0.29288999999999998</v>
      </c>
      <c r="P5447">
        <v>-0.88213969999999897</v>
      </c>
      <c r="Q5447">
        <v>-7.6221410000000003E-2</v>
      </c>
      <c r="R5447">
        <v>-0.46477990000000002</v>
      </c>
      <c r="S5447">
        <v>-3.14798</v>
      </c>
      <c r="T5447">
        <v>-0.80126640000000005</v>
      </c>
      <c r="U5447">
        <v>-0.31643680000000002</v>
      </c>
      <c r="V5447">
        <v>-0.1847106</v>
      </c>
      <c r="W5447">
        <v>-6.5883200000000003E-2</v>
      </c>
      <c r="X5447">
        <v>0.98058219999999996</v>
      </c>
      <c r="Y5447">
        <v>0.18183849999999999</v>
      </c>
      <c r="Z5447">
        <v>9.1970289999999996E-2</v>
      </c>
      <c r="AA5447">
        <v>0.97901800000000005</v>
      </c>
      <c r="AB5447">
        <v>30</v>
      </c>
      <c r="AC5447">
        <v>-0.58449999999999103</v>
      </c>
      <c r="AD5447">
        <v>-0.22034190000000001</v>
      </c>
      <c r="AE5447">
        <v>7.1000000000083201E-3</v>
      </c>
      <c r="AF5447">
        <v>0.15585507544314101</v>
      </c>
      <c r="AG5447">
        <v>-0.22034190000000001</v>
      </c>
      <c r="AH5447">
        <v>0.48751208675478103</v>
      </c>
      <c r="AI5447">
        <v>113.292232734981</v>
      </c>
      <c r="AJ5447">
        <v>72.271192532617604</v>
      </c>
      <c r="AK5447">
        <v>0.55723369618948804</v>
      </c>
      <c r="AL5447">
        <v>93.777565383764795</v>
      </c>
      <c r="AM5447">
        <v>100.667707898317</v>
      </c>
      <c r="AN5447">
        <v>1.0000000263757101</v>
      </c>
    </row>
    <row r="5448" spans="1:40" x14ac:dyDescent="0.25">
      <c r="A5448" t="str">
        <f>"20190305135037822"</f>
        <v>20190305135037822</v>
      </c>
      <c r="B5448" t="str">
        <f>"1551765037815457"</f>
        <v>1551765037815457</v>
      </c>
      <c r="C5448" t="s">
        <v>40</v>
      </c>
      <c r="D5448">
        <v>3.9692660000000002</v>
      </c>
      <c r="E5448">
        <v>0.42829909999999999</v>
      </c>
      <c r="F5448" t="s">
        <v>41</v>
      </c>
      <c r="G5448">
        <v>-401.36840000000001</v>
      </c>
      <c r="H5448">
        <v>0.90663479999999996</v>
      </c>
      <c r="I5448">
        <v>139.1412</v>
      </c>
      <c r="J5448">
        <v>-401.08769999999998</v>
      </c>
      <c r="K5448">
        <v>1.1184700000000001</v>
      </c>
      <c r="L5448">
        <v>139.0393</v>
      </c>
      <c r="M5448">
        <v>-0.94921120000000003</v>
      </c>
      <c r="N5448">
        <v>-1.445157E-2</v>
      </c>
      <c r="O5448">
        <v>-0.31430760000000002</v>
      </c>
      <c r="P5448">
        <v>-0.86951679999999998</v>
      </c>
      <c r="Q5448">
        <v>-7.6622319999999994E-2</v>
      </c>
      <c r="R5448">
        <v>-0.48792400000000002</v>
      </c>
      <c r="S5448">
        <v>-3.144196</v>
      </c>
      <c r="T5448">
        <v>-0.80017629999999995</v>
      </c>
      <c r="U5448">
        <v>-0.35575869999999998</v>
      </c>
      <c r="V5448">
        <v>-0.18849109999999999</v>
      </c>
      <c r="W5448">
        <v>-6.6505300000000003E-2</v>
      </c>
      <c r="X5448">
        <v>0.97982049999999998</v>
      </c>
      <c r="Y5448">
        <v>0.190861</v>
      </c>
      <c r="Z5448">
        <v>9.7819459999999997E-2</v>
      </c>
      <c r="AA5448">
        <v>0.97673100000000002</v>
      </c>
      <c r="AB5448">
        <v>30</v>
      </c>
      <c r="AC5448">
        <v>-0.28070000000002399</v>
      </c>
      <c r="AD5448">
        <v>-0.2118352</v>
      </c>
      <c r="AE5448">
        <v>0.1019</v>
      </c>
      <c r="AF5448">
        <v>0.123050199809998</v>
      </c>
      <c r="AG5448">
        <v>-0.2118352</v>
      </c>
      <c r="AH5448">
        <v>0.15595983790142201</v>
      </c>
      <c r="AI5448">
        <v>136.83867911956099</v>
      </c>
      <c r="AJ5448">
        <v>51.727038350834199</v>
      </c>
      <c r="AK5448">
        <v>0.290411733011183</v>
      </c>
      <c r="AL5448">
        <v>93.813287417512598</v>
      </c>
      <c r="AM5448">
        <v>100.889140547821</v>
      </c>
      <c r="AN5448">
        <v>1.00000003096377</v>
      </c>
    </row>
    <row r="5449" spans="1:40" x14ac:dyDescent="0.25">
      <c r="A5449" t="str">
        <f>"20190305135037867"</f>
        <v>20190305135037867</v>
      </c>
      <c r="B5449" t="str">
        <f>"1551765037855470"</f>
        <v>1551765037855470</v>
      </c>
      <c r="C5449" t="s">
        <v>40</v>
      </c>
      <c r="D5449">
        <v>3.9530599999999998</v>
      </c>
      <c r="E5449">
        <v>0.41204669999999999</v>
      </c>
      <c r="F5449" t="s">
        <v>42</v>
      </c>
      <c r="G5449">
        <v>-426.56310000000002</v>
      </c>
      <c r="H5449" s="1">
        <v>-4.751248E-6</v>
      </c>
      <c r="I5449">
        <v>117.5275</v>
      </c>
      <c r="J5449">
        <v>-401.6207</v>
      </c>
      <c r="K5449">
        <v>1.118943</v>
      </c>
      <c r="L5449">
        <v>138.8348</v>
      </c>
      <c r="M5449">
        <v>-0.94160690000000002</v>
      </c>
      <c r="N5449">
        <v>-1.456549E-2</v>
      </c>
      <c r="O5449">
        <v>-0.33639920000000001</v>
      </c>
      <c r="P5449">
        <v>-0.85682080000000005</v>
      </c>
      <c r="Q5449">
        <v>-8.0185469999999995E-2</v>
      </c>
      <c r="R5449">
        <v>-0.50934170000000001</v>
      </c>
      <c r="S5449">
        <v>-2.3348390000000001</v>
      </c>
      <c r="T5449">
        <v>-0.102509</v>
      </c>
      <c r="U5449">
        <v>-1.971573</v>
      </c>
      <c r="V5449">
        <v>-0.18984960000000001</v>
      </c>
      <c r="W5449">
        <v>-7.0229659999999999E-2</v>
      </c>
      <c r="X5449">
        <v>0.97929820000000001</v>
      </c>
      <c r="Y5449">
        <v>-0.35029450000000001</v>
      </c>
      <c r="Z5449">
        <v>-1.8122469999999999E-3</v>
      </c>
      <c r="AA5449">
        <v>0.93663790000000002</v>
      </c>
      <c r="AB5449">
        <v>29</v>
      </c>
      <c r="AC5449">
        <v>-24.942399999999999</v>
      </c>
      <c r="AD5449">
        <v>-1.1189477512479999</v>
      </c>
      <c r="AE5449">
        <v>-21.307300000000001</v>
      </c>
      <c r="AF5449">
        <v>-11.660168598723001</v>
      </c>
      <c r="AG5449">
        <v>-1.1189477512479999</v>
      </c>
      <c r="AH5449">
        <v>30.621317648929601</v>
      </c>
      <c r="AI5449">
        <v>91.955858675370294</v>
      </c>
      <c r="AJ5449">
        <v>110.846132028208</v>
      </c>
      <c r="AK5449">
        <v>32.785311808450402</v>
      </c>
      <c r="AL5449">
        <v>94.027178149600402</v>
      </c>
      <c r="AM5449">
        <v>100.97143182356</v>
      </c>
      <c r="AN5449">
        <v>1.0000000201435499</v>
      </c>
    </row>
    <row r="5450" spans="1:40" x14ac:dyDescent="0.25">
      <c r="A5450" t="str">
        <f>"20190305135037889"</f>
        <v>20190305135037889</v>
      </c>
      <c r="B5450" t="str">
        <f>"1551765037885728"</f>
        <v>1551765037885728</v>
      </c>
      <c r="C5450" t="s">
        <v>40</v>
      </c>
      <c r="D5450">
        <v>4.1302909999999997</v>
      </c>
      <c r="E5450">
        <v>0.40649940000000001</v>
      </c>
      <c r="F5450" t="s">
        <v>83</v>
      </c>
      <c r="G5450">
        <v>-440.75</v>
      </c>
      <c r="H5450">
        <v>0.26959460000000002</v>
      </c>
      <c r="I5450">
        <v>101.06189999999999</v>
      </c>
      <c r="J5450">
        <v>-401.88819999999998</v>
      </c>
      <c r="K5450">
        <v>1.119189</v>
      </c>
      <c r="L5450">
        <v>138.72620000000001</v>
      </c>
      <c r="M5450">
        <v>-0.9373821</v>
      </c>
      <c r="N5450">
        <v>-1.462661E-2</v>
      </c>
      <c r="O5450">
        <v>-0.34799580000000002</v>
      </c>
      <c r="P5450">
        <v>-0.84995259999999995</v>
      </c>
      <c r="Q5450">
        <v>-8.1596500000000002E-2</v>
      </c>
      <c r="R5450">
        <v>-0.52050249999999998</v>
      </c>
      <c r="S5450">
        <v>-2.2218019999999998</v>
      </c>
      <c r="T5450">
        <v>-4.8225280000000002E-2</v>
      </c>
      <c r="U5450">
        <v>-2.1447750000000001</v>
      </c>
      <c r="V5450">
        <v>-0.1905386</v>
      </c>
      <c r="W5450">
        <v>-7.172009E-2</v>
      </c>
      <c r="X5450">
        <v>0.97905629999999999</v>
      </c>
      <c r="Y5450">
        <v>-0.40060479999999998</v>
      </c>
      <c r="Z5450">
        <v>-5.5837589999999998E-3</v>
      </c>
      <c r="AA5450">
        <v>0.91623399999999999</v>
      </c>
      <c r="AB5450">
        <v>29</v>
      </c>
      <c r="AC5450">
        <v>-38.861800000000002</v>
      </c>
      <c r="AD5450">
        <v>-0.84959439999999997</v>
      </c>
      <c r="AE5450">
        <v>-37.664299999999997</v>
      </c>
      <c r="AF5450">
        <v>-21.779058040076801</v>
      </c>
      <c r="AG5450">
        <v>-0.84959439999999997</v>
      </c>
      <c r="AH5450">
        <v>49.528461886293698</v>
      </c>
      <c r="AI5450">
        <v>90.899617410852997</v>
      </c>
      <c r="AJ5450">
        <v>113.73644285597</v>
      </c>
      <c r="AK5450">
        <v>54.112084755437003</v>
      </c>
      <c r="AL5450">
        <v>94.112789556290394</v>
      </c>
      <c r="AM5450">
        <v>101.012931741562</v>
      </c>
      <c r="AN5450">
        <v>0.99999998398462797</v>
      </c>
    </row>
    <row r="5451" spans="1:40" x14ac:dyDescent="0.25">
      <c r="A5451" t="str">
        <f>"20190305135037912"</f>
        <v>20190305135037912</v>
      </c>
      <c r="B5451" t="str">
        <f>"1551765037905250"</f>
        <v>1551765037905250</v>
      </c>
      <c r="C5451" t="s">
        <v>40</v>
      </c>
      <c r="D5451">
        <v>3.9859490000000002</v>
      </c>
      <c r="E5451">
        <v>0.40619660000000002</v>
      </c>
      <c r="F5451" t="s">
        <v>83</v>
      </c>
      <c r="G5451">
        <v>-440.75</v>
      </c>
      <c r="H5451">
        <v>0.43968220000000002</v>
      </c>
      <c r="I5451">
        <v>99.135869999999997</v>
      </c>
      <c r="J5451">
        <v>-402.15890000000002</v>
      </c>
      <c r="K5451">
        <v>1.1194280000000001</v>
      </c>
      <c r="L5451">
        <v>138.61160000000001</v>
      </c>
      <c r="M5451">
        <v>-0.93279270000000003</v>
      </c>
      <c r="N5451">
        <v>-1.4691539999999999E-2</v>
      </c>
      <c r="O5451">
        <v>-0.36011369999999998</v>
      </c>
      <c r="P5451">
        <v>-0.84292880000000003</v>
      </c>
      <c r="Q5451">
        <v>-8.2276929999999998E-2</v>
      </c>
      <c r="R5451">
        <v>-0.53169699999999998</v>
      </c>
      <c r="S5451">
        <v>-2.1713260000000001</v>
      </c>
      <c r="T5451">
        <v>-3.7964579999999998E-2</v>
      </c>
      <c r="U5451">
        <v>-2.212021</v>
      </c>
      <c r="V5451">
        <v>-0.19076219999999999</v>
      </c>
      <c r="W5451">
        <v>-7.2464559999999997E-2</v>
      </c>
      <c r="X5451">
        <v>0.97895799999999999</v>
      </c>
      <c r="Y5451">
        <v>-0.41338039999999998</v>
      </c>
      <c r="Z5451">
        <v>-6.3185180000000004E-3</v>
      </c>
      <c r="AA5451">
        <v>0.91053649999999997</v>
      </c>
      <c r="AB5451">
        <v>29</v>
      </c>
      <c r="AC5451">
        <v>-38.591099999999898</v>
      </c>
      <c r="AD5451">
        <v>-0.67974579999999996</v>
      </c>
      <c r="AE5451">
        <v>-39.475729999999999</v>
      </c>
      <c r="AF5451">
        <v>-22.9244885595959</v>
      </c>
      <c r="AG5451">
        <v>-0.67974579999999996</v>
      </c>
      <c r="AH5451">
        <v>50.211056391350702</v>
      </c>
      <c r="AI5451">
        <v>90.705559466116696</v>
      </c>
      <c r="AJ5451">
        <v>114.539664038716</v>
      </c>
      <c r="AK5451">
        <v>55.2009457709473</v>
      </c>
      <c r="AL5451">
        <v>94.155555561615401</v>
      </c>
      <c r="AM5451">
        <v>101.02661904652901</v>
      </c>
      <c r="AN5451">
        <v>1.00000004758441</v>
      </c>
    </row>
    <row r="5452" spans="1:40" x14ac:dyDescent="0.25">
      <c r="A5452" t="str">
        <f>"20190305135037933"</f>
        <v>20190305135037933</v>
      </c>
      <c r="B5452" t="str">
        <f>"1551765037925746"</f>
        <v>1551765037925746</v>
      </c>
      <c r="C5452" t="s">
        <v>40</v>
      </c>
      <c r="D5452">
        <v>4.0140469999999997</v>
      </c>
      <c r="E5452">
        <v>0.40574959999999999</v>
      </c>
      <c r="F5452" t="s">
        <v>83</v>
      </c>
      <c r="G5452">
        <v>-440.20710000000003</v>
      </c>
      <c r="H5452">
        <v>0.42872070000000001</v>
      </c>
      <c r="I5452">
        <v>98.744950000000003</v>
      </c>
      <c r="J5452">
        <v>-402.41419999999999</v>
      </c>
      <c r="K5452">
        <v>1.1196630000000001</v>
      </c>
      <c r="L5452">
        <v>138.49940000000001</v>
      </c>
      <c r="M5452">
        <v>-0.92817260000000001</v>
      </c>
      <c r="N5452">
        <v>-1.475462E-2</v>
      </c>
      <c r="O5452">
        <v>-0.37185780000000002</v>
      </c>
      <c r="P5452">
        <v>-0.83627079999999998</v>
      </c>
      <c r="Q5452">
        <v>-8.2560679999999997E-2</v>
      </c>
      <c r="R5452">
        <v>-0.54206540000000003</v>
      </c>
      <c r="S5452">
        <v>-2.1405029999999998</v>
      </c>
      <c r="T5452">
        <v>-3.8856149999999999E-2</v>
      </c>
      <c r="U5452">
        <v>-2.2427980000000001</v>
      </c>
      <c r="V5452">
        <v>-0.19045889999999999</v>
      </c>
      <c r="W5452">
        <v>-7.2789770000000004E-2</v>
      </c>
      <c r="X5452">
        <v>0.97899290000000005</v>
      </c>
      <c r="Y5452">
        <v>-0.41467700000000002</v>
      </c>
      <c r="Z5452">
        <v>-6.3266149999999998E-3</v>
      </c>
      <c r="AA5452">
        <v>0.9099467</v>
      </c>
      <c r="AB5452">
        <v>29</v>
      </c>
      <c r="AC5452">
        <v>-37.792900000000003</v>
      </c>
      <c r="AD5452">
        <v>-0.69094229999999901</v>
      </c>
      <c r="AE5452">
        <v>-39.754449999999999</v>
      </c>
      <c r="AF5452">
        <v>-22.844265524430998</v>
      </c>
      <c r="AG5452">
        <v>-0.69094229999999901</v>
      </c>
      <c r="AH5452">
        <v>49.858846181408097</v>
      </c>
      <c r="AI5452">
        <v>90.721804335711099</v>
      </c>
      <c r="AJ5452">
        <v>114.616246584623</v>
      </c>
      <c r="AK5452">
        <v>54.8474467149926</v>
      </c>
      <c r="AL5452">
        <v>94.174238171044195</v>
      </c>
      <c r="AM5452">
        <v>101.00913321591101</v>
      </c>
      <c r="AN5452">
        <v>1.0000000207281301</v>
      </c>
    </row>
    <row r="5453" spans="1:40" x14ac:dyDescent="0.25">
      <c r="A5453" t="str">
        <f>"20190305135037955"</f>
        <v>20190305135037955</v>
      </c>
      <c r="B5453" t="str">
        <f>"1551765037945263"</f>
        <v>1551765037945263</v>
      </c>
      <c r="C5453" t="s">
        <v>40</v>
      </c>
      <c r="D5453">
        <v>4.0144380000000002</v>
      </c>
      <c r="E5453">
        <v>0.40602139999999998</v>
      </c>
      <c r="F5453" t="s">
        <v>83</v>
      </c>
      <c r="G5453">
        <v>-440.20710000000003</v>
      </c>
      <c r="H5453">
        <v>0.35860589999999998</v>
      </c>
      <c r="I5453">
        <v>97.814089999999993</v>
      </c>
      <c r="J5453">
        <v>-402.67619999999999</v>
      </c>
      <c r="K5453">
        <v>1.1198779999999999</v>
      </c>
      <c r="L5453">
        <v>138.37989999999999</v>
      </c>
      <c r="M5453">
        <v>-0.92313299999999998</v>
      </c>
      <c r="N5453">
        <v>-1.481884E-2</v>
      </c>
      <c r="O5453">
        <v>-0.38419560000000003</v>
      </c>
      <c r="P5453">
        <v>-0.82911550000000001</v>
      </c>
      <c r="Q5453">
        <v>-8.4109809999999993E-2</v>
      </c>
      <c r="R5453">
        <v>-0.55271459999999994</v>
      </c>
      <c r="S5453">
        <v>-2.110474</v>
      </c>
      <c r="T5453">
        <v>-4.2498349999999997E-2</v>
      </c>
      <c r="U5453">
        <v>-2.2719879999999999</v>
      </c>
      <c r="V5453">
        <v>-0.189913</v>
      </c>
      <c r="W5453">
        <v>-7.4366870000000002E-2</v>
      </c>
      <c r="X5453">
        <v>0.97898039999999997</v>
      </c>
      <c r="Y5453">
        <v>-0.41482740000000001</v>
      </c>
      <c r="Z5453">
        <v>-6.1487240000000004E-3</v>
      </c>
      <c r="AA5453">
        <v>0.9098794</v>
      </c>
      <c r="AB5453">
        <v>29</v>
      </c>
      <c r="AC5453">
        <v>-37.530900000000003</v>
      </c>
      <c r="AD5453">
        <v>-0.76127210000000001</v>
      </c>
      <c r="AE5453">
        <v>-40.5658099999999</v>
      </c>
      <c r="AF5453">
        <v>-23.0265862631021</v>
      </c>
      <c r="AG5453">
        <v>-0.76127210000000001</v>
      </c>
      <c r="AH5453">
        <v>50.227193632891499</v>
      </c>
      <c r="AI5453">
        <v>90.789354421941894</v>
      </c>
      <c r="AJ5453">
        <v>114.62902200813301</v>
      </c>
      <c r="AK5453">
        <v>55.2591548105678</v>
      </c>
      <c r="AL5453">
        <v>94.264845030747395</v>
      </c>
      <c r="AM5453">
        <v>100.97848295770299</v>
      </c>
      <c r="AN5453">
        <v>1.0000000012533701</v>
      </c>
    </row>
    <row r="5454" spans="1:40" x14ac:dyDescent="0.25">
      <c r="A5454" t="str">
        <f>"20190305135038134"</f>
        <v>20190305135038134</v>
      </c>
      <c r="B5454" t="str">
        <f>"1551765038125822"</f>
        <v>1551765038125822</v>
      </c>
      <c r="C5454" t="s">
        <v>40</v>
      </c>
      <c r="D5454">
        <v>4.1050890000000004</v>
      </c>
      <c r="E5454">
        <v>0.4079525</v>
      </c>
      <c r="F5454" t="s">
        <v>83</v>
      </c>
      <c r="G5454">
        <v>-440.20710000000003</v>
      </c>
      <c r="H5454">
        <v>0.2185463</v>
      </c>
      <c r="I5454">
        <v>96.986369999999994</v>
      </c>
      <c r="J5454">
        <v>-404.67910000000001</v>
      </c>
      <c r="K5454">
        <v>1.1208750000000001</v>
      </c>
      <c r="L5454">
        <v>137.30350000000001</v>
      </c>
      <c r="M5454">
        <v>-0.87372179999999999</v>
      </c>
      <c r="N5454">
        <v>-1.5213900000000001E-2</v>
      </c>
      <c r="O5454">
        <v>-0.4861877</v>
      </c>
      <c r="P5454">
        <v>-0.74906280000000003</v>
      </c>
      <c r="Q5454">
        <v>-8.6700979999999997E-2</v>
      </c>
      <c r="R5454">
        <v>-0.65680109999999903</v>
      </c>
      <c r="S5454">
        <v>-2.0822449999999999</v>
      </c>
      <c r="T5454">
        <v>-5.00052E-2</v>
      </c>
      <c r="U5454">
        <v>-2.2965390000000001</v>
      </c>
      <c r="V5454">
        <v>-0.20764160000000001</v>
      </c>
      <c r="W5454">
        <v>-7.7622289999999997E-2</v>
      </c>
      <c r="X5454">
        <v>0.9751204</v>
      </c>
      <c r="Y5454">
        <v>-0.32065579999999999</v>
      </c>
      <c r="Z5454">
        <v>-4.0657899999999997E-3</v>
      </c>
      <c r="AA5454">
        <v>0.94718709999999995</v>
      </c>
      <c r="AB5454">
        <v>29</v>
      </c>
      <c r="AC5454">
        <v>-35.527999999999999</v>
      </c>
      <c r="AD5454">
        <v>-0.90232869999999998</v>
      </c>
      <c r="AE5454">
        <v>-40.317129999999999</v>
      </c>
      <c r="AF5454">
        <v>-17.949698333643099</v>
      </c>
      <c r="AG5454">
        <v>-0.90232869999999998</v>
      </c>
      <c r="AH5454">
        <v>50.634873155152697</v>
      </c>
      <c r="AI5454">
        <v>90.962259553932995</v>
      </c>
      <c r="AJ5454">
        <v>109.519050604127</v>
      </c>
      <c r="AK5454">
        <v>53.729845028531699</v>
      </c>
      <c r="AL5454">
        <v>94.451907781471107</v>
      </c>
      <c r="AM5454">
        <v>102.020987841905</v>
      </c>
      <c r="AN5454">
        <v>1.00000002422578</v>
      </c>
    </row>
    <row r="5455" spans="1:40" x14ac:dyDescent="0.25">
      <c r="A5455" t="str">
        <f>"20190305135038157"</f>
        <v>20190305135038157</v>
      </c>
      <c r="B5455" t="str">
        <f>"1551765038145343"</f>
        <v>1551765038145343</v>
      </c>
      <c r="C5455" t="s">
        <v>40</v>
      </c>
      <c r="D5455">
        <v>4.0994169999999999</v>
      </c>
      <c r="E5455">
        <v>0.409779</v>
      </c>
      <c r="F5455" t="s">
        <v>43</v>
      </c>
      <c r="G5455">
        <v>-442.56319999999999</v>
      </c>
      <c r="H5455">
        <v>-0.05</v>
      </c>
      <c r="I5455">
        <v>83.002459999999999</v>
      </c>
      <c r="J5455">
        <v>-404.9196</v>
      </c>
      <c r="K5455">
        <v>1.120903</v>
      </c>
      <c r="L5455">
        <v>137.15260000000001</v>
      </c>
      <c r="M5455">
        <v>-0.86647459999999898</v>
      </c>
      <c r="N5455">
        <v>-1.5241279999999999E-2</v>
      </c>
      <c r="O5455">
        <v>-0.4989884</v>
      </c>
      <c r="P5455">
        <v>-0.73907480000000003</v>
      </c>
      <c r="Q5455">
        <v>-8.5665439999999995E-2</v>
      </c>
      <c r="R5455">
        <v>-0.66815440000000004</v>
      </c>
      <c r="S5455">
        <v>-1.77182</v>
      </c>
      <c r="T5455">
        <v>-5.4761169999999998E-2</v>
      </c>
      <c r="U5455">
        <v>-2.5396269999999999</v>
      </c>
      <c r="V5455">
        <v>-0.20813709999999999</v>
      </c>
      <c r="W5455">
        <v>-7.6590350000000001E-2</v>
      </c>
      <c r="X5455">
        <v>0.97509630000000003</v>
      </c>
      <c r="Y5455">
        <v>-0.4250311</v>
      </c>
      <c r="Z5455">
        <v>-5.1477729999999996E-3</v>
      </c>
      <c r="AA5455">
        <v>0.90516410000000003</v>
      </c>
      <c r="AB5455">
        <v>29</v>
      </c>
      <c r="AC5455">
        <v>-37.6435999999999</v>
      </c>
      <c r="AD5455">
        <v>-1.170903</v>
      </c>
      <c r="AE5455">
        <v>-54.15014</v>
      </c>
      <c r="AF5455">
        <v>-28.130402862859899</v>
      </c>
      <c r="AG5455">
        <v>-1.170903</v>
      </c>
      <c r="AH5455">
        <v>59.625648726723803</v>
      </c>
      <c r="AI5455">
        <v>91.017480691997093</v>
      </c>
      <c r="AJ5455">
        <v>115.257169564043</v>
      </c>
      <c r="AK5455">
        <v>65.938672758441797</v>
      </c>
      <c r="AL5455">
        <v>94.392605687268997</v>
      </c>
      <c r="AM5455">
        <v>102.04912558346901</v>
      </c>
      <c r="AN5455">
        <v>0.99999996419160997</v>
      </c>
    </row>
    <row r="5456" spans="1:40" x14ac:dyDescent="0.25">
      <c r="A5456" t="str">
        <f>"20190305135038180"</f>
        <v>20190305135038180</v>
      </c>
      <c r="B5456" t="str">
        <f>"1551765038175598"</f>
        <v>1551765038175598</v>
      </c>
      <c r="C5456" t="s">
        <v>40</v>
      </c>
      <c r="D5456">
        <v>4.0872869999999999</v>
      </c>
      <c r="E5456">
        <v>0.41265030000000003</v>
      </c>
      <c r="F5456" t="s">
        <v>43</v>
      </c>
      <c r="G5456">
        <v>-449.89080000000001</v>
      </c>
      <c r="H5456">
        <v>-0.05</v>
      </c>
      <c r="I5456">
        <v>71.203559999999996</v>
      </c>
      <c r="J5456">
        <v>-405.16329999999999</v>
      </c>
      <c r="K5456">
        <v>1.1209199999999999</v>
      </c>
      <c r="L5456">
        <v>136.99459999999999</v>
      </c>
      <c r="M5456">
        <v>-0.85884570000000005</v>
      </c>
      <c r="N5456">
        <v>-1.526485E-2</v>
      </c>
      <c r="O5456">
        <v>-0.51200709999999905</v>
      </c>
      <c r="P5456">
        <v>-0.72858509999999999</v>
      </c>
      <c r="Q5456">
        <v>-8.4734610000000002E-2</v>
      </c>
      <c r="R5456">
        <v>-0.67969419999999903</v>
      </c>
      <c r="S5456">
        <v>-1.7430110000000001</v>
      </c>
      <c r="T5456">
        <v>-4.5382260000000001E-2</v>
      </c>
      <c r="U5456">
        <v>-2.556076</v>
      </c>
      <c r="V5456">
        <v>-0.20872289999999999</v>
      </c>
      <c r="W5456">
        <v>-7.5662770000000004E-2</v>
      </c>
      <c r="X5456">
        <v>0.97504349999999995</v>
      </c>
      <c r="Y5456">
        <v>-0.42105700000000001</v>
      </c>
      <c r="Z5456">
        <v>-5.9833469999999904E-3</v>
      </c>
      <c r="AA5456">
        <v>0.9070144</v>
      </c>
      <c r="AB5456">
        <v>29</v>
      </c>
      <c r="AC5456">
        <v>-44.727499999999999</v>
      </c>
      <c r="AD5456">
        <v>-1.17092</v>
      </c>
      <c r="AE5456">
        <v>-65.791039999999995</v>
      </c>
      <c r="AF5456">
        <v>-33.600187449289599</v>
      </c>
      <c r="AG5456">
        <v>-1.17092</v>
      </c>
      <c r="AH5456">
        <v>72.092276891413704</v>
      </c>
      <c r="AI5456">
        <v>90.843421482618496</v>
      </c>
      <c r="AJ5456">
        <v>114.988905601726</v>
      </c>
      <c r="AK5456">
        <v>79.546464645903995</v>
      </c>
      <c r="AL5456">
        <v>94.339304588255203</v>
      </c>
      <c r="AM5456">
        <v>102.082677701131</v>
      </c>
      <c r="AN5456">
        <v>0.99999996532036495</v>
      </c>
    </row>
    <row r="5457" spans="1:40" x14ac:dyDescent="0.25">
      <c r="A5457" t="str">
        <f>"20190305135038202"</f>
        <v>20190305135038202</v>
      </c>
      <c r="B5457" t="str">
        <f>"1551765038196095"</f>
        <v>1551765038196095</v>
      </c>
      <c r="C5457" t="s">
        <v>40</v>
      </c>
      <c r="D5457">
        <v>4.0928579999999997</v>
      </c>
      <c r="E5457">
        <v>0.41464079999999898</v>
      </c>
      <c r="F5457" t="s">
        <v>82</v>
      </c>
      <c r="G5457">
        <v>-453.74400000000003</v>
      </c>
      <c r="H5457">
        <v>0.14582000000000001</v>
      </c>
      <c r="I5457">
        <v>64.450009999999907</v>
      </c>
      <c r="J5457">
        <v>-405.39879999999999</v>
      </c>
      <c r="K5457">
        <v>1.120933</v>
      </c>
      <c r="L5457">
        <v>136.83709999999999</v>
      </c>
      <c r="M5457">
        <v>-0.85120509999999905</v>
      </c>
      <c r="N5457">
        <v>-1.528414E-2</v>
      </c>
      <c r="O5457">
        <v>-0.52461069999999999</v>
      </c>
      <c r="P5457">
        <v>-0.7187521</v>
      </c>
      <c r="Q5457">
        <v>-8.3343280000000006E-2</v>
      </c>
      <c r="R5457">
        <v>-0.69025340000000002</v>
      </c>
      <c r="S5457">
        <v>-1.718933</v>
      </c>
      <c r="T5457">
        <v>-3.450131E-2</v>
      </c>
      <c r="U5457">
        <v>-2.5668489999999999</v>
      </c>
      <c r="V5457">
        <v>-0.20853079999999999</v>
      </c>
      <c r="W5457">
        <v>-7.4248759999999997E-2</v>
      </c>
      <c r="X5457">
        <v>0.97519330000000004</v>
      </c>
      <c r="Y5457">
        <v>-0.4153287</v>
      </c>
      <c r="Z5457">
        <v>-7.0580829999999997E-3</v>
      </c>
      <c r="AA5457">
        <v>0.90964400000000001</v>
      </c>
      <c r="AB5457">
        <v>29</v>
      </c>
      <c r="AC5457">
        <v>-48.345199999999998</v>
      </c>
      <c r="AD5457">
        <v>-0.97511300000000001</v>
      </c>
      <c r="AE5457">
        <v>-72.387090000000001</v>
      </c>
      <c r="AF5457">
        <v>-36.253534784019401</v>
      </c>
      <c r="AG5457">
        <v>-0.97511300000000001</v>
      </c>
      <c r="AH5457">
        <v>79.126032660226002</v>
      </c>
      <c r="AI5457">
        <v>90.641890556078593</v>
      </c>
      <c r="AJ5457">
        <v>114.616046300948</v>
      </c>
      <c r="AK5457">
        <v>87.041361858865798</v>
      </c>
      <c r="AL5457">
        <v>94.258059187505594</v>
      </c>
      <c r="AM5457">
        <v>102.070083651446</v>
      </c>
      <c r="AN5457">
        <v>0.99999997263753304</v>
      </c>
    </row>
    <row r="5458" spans="1:40" x14ac:dyDescent="0.25">
      <c r="A5458" t="str">
        <f>"20190305135038224"</f>
        <v>20190305135038224</v>
      </c>
      <c r="B5458" t="str">
        <f>"1551765038215615"</f>
        <v>1551765038215615</v>
      </c>
      <c r="C5458" t="s">
        <v>40</v>
      </c>
      <c r="D5458">
        <v>4.1383890000000001</v>
      </c>
      <c r="E5458">
        <v>0.44249040000000001</v>
      </c>
      <c r="F5458" t="s">
        <v>82</v>
      </c>
      <c r="G5458">
        <v>-452.89179999999999</v>
      </c>
      <c r="H5458">
        <v>0.31415690000000002</v>
      </c>
      <c r="I5458">
        <v>64.450009999999907</v>
      </c>
      <c r="J5458">
        <v>-405.62670000000003</v>
      </c>
      <c r="K5458">
        <v>1.1209389999999999</v>
      </c>
      <c r="L5458">
        <v>136.6797</v>
      </c>
      <c r="M5458">
        <v>-0.84355170000000002</v>
      </c>
      <c r="N5458">
        <v>-1.5300009999999999E-2</v>
      </c>
      <c r="O5458">
        <v>-0.53682989999999997</v>
      </c>
      <c r="P5458">
        <v>-0.70923480000000005</v>
      </c>
      <c r="Q5458">
        <v>-8.3371650000000005E-2</v>
      </c>
      <c r="R5458">
        <v>-0.70002500000000001</v>
      </c>
      <c r="S5458">
        <v>-1.69278</v>
      </c>
      <c r="T5458">
        <v>-2.8754950000000001E-2</v>
      </c>
      <c r="U5458">
        <v>-2.580063</v>
      </c>
      <c r="V5458">
        <v>-0.2078171</v>
      </c>
      <c r="W5458">
        <v>-7.4240619999999993E-2</v>
      </c>
      <c r="X5458">
        <v>0.9753463</v>
      </c>
      <c r="Y5458">
        <v>-0.4107943</v>
      </c>
      <c r="Z5458">
        <v>-7.6752410000000002E-3</v>
      </c>
      <c r="AA5458">
        <v>0.91169579999999995</v>
      </c>
      <c r="AB5458">
        <v>29</v>
      </c>
      <c r="AC5458">
        <v>-47.265099999999897</v>
      </c>
      <c r="AD5458">
        <v>-0.80678209999999995</v>
      </c>
      <c r="AE5458">
        <v>-72.229690000000005</v>
      </c>
      <c r="AF5458">
        <v>-35.557216901498201</v>
      </c>
      <c r="AG5458">
        <v>-0.80678209999999995</v>
      </c>
      <c r="AH5458">
        <v>78.647952914052297</v>
      </c>
      <c r="AI5458">
        <v>90.535541906651204</v>
      </c>
      <c r="AJ5458">
        <v>114.328014563629</v>
      </c>
      <c r="AK5458">
        <v>86.316088122134303</v>
      </c>
      <c r="AL5458">
        <v>94.257591346227898</v>
      </c>
      <c r="AM5458">
        <v>102.028146843521</v>
      </c>
      <c r="AN5458">
        <v>1.0000000108170399</v>
      </c>
    </row>
    <row r="5459" spans="1:40" x14ac:dyDescent="0.25">
      <c r="A5459" t="str">
        <f>"20190305135038246"</f>
        <v>20190305135038246</v>
      </c>
      <c r="B5459" t="str">
        <f>"1551765038236111"</f>
        <v>1551765038236111</v>
      </c>
      <c r="C5459" t="s">
        <v>40</v>
      </c>
      <c r="D5459">
        <v>4.1075299999999997</v>
      </c>
      <c r="E5459">
        <v>0.44250240000000002</v>
      </c>
      <c r="F5459" t="s">
        <v>83</v>
      </c>
      <c r="G5459">
        <v>-440.75</v>
      </c>
      <c r="H5459">
        <v>0.77919340000000004</v>
      </c>
      <c r="I5459">
        <v>89.329740000000001</v>
      </c>
      <c r="J5459">
        <v>-405.8528</v>
      </c>
      <c r="K5459">
        <v>1.120943</v>
      </c>
      <c r="L5459">
        <v>136.5187</v>
      </c>
      <c r="M5459">
        <v>-0.83570519999999904</v>
      </c>
      <c r="N5459">
        <v>-1.531338E-2</v>
      </c>
      <c r="O5459">
        <v>-0.54896509999999998</v>
      </c>
      <c r="P5459">
        <v>-0.69931880000000002</v>
      </c>
      <c r="Q5459">
        <v>-8.3366250000000003E-2</v>
      </c>
      <c r="R5459">
        <v>-0.70993219999999901</v>
      </c>
      <c r="S5459">
        <v>-1.8140559999999999</v>
      </c>
      <c r="T5459">
        <v>-1.7649290000000002E-2</v>
      </c>
      <c r="U5459">
        <v>-2.4455260000000001</v>
      </c>
      <c r="V5459">
        <v>-0.20744179999999901</v>
      </c>
      <c r="W5459">
        <v>-7.420918E-2</v>
      </c>
      <c r="X5459">
        <v>0.97542859999999998</v>
      </c>
      <c r="Y5459">
        <v>-0.34415899999999999</v>
      </c>
      <c r="Z5459">
        <v>-8.3573509999999903E-3</v>
      </c>
      <c r="AA5459">
        <v>0.93887419999999999</v>
      </c>
      <c r="AB5459">
        <v>29</v>
      </c>
      <c r="AC5459">
        <v>-34.897199999999998</v>
      </c>
      <c r="AD5459">
        <v>-0.34174959999999999</v>
      </c>
      <c r="AE5459">
        <v>-47.188960000000002</v>
      </c>
      <c r="AF5459">
        <v>-20.2804011635004</v>
      </c>
      <c r="AG5459">
        <v>-0.34174959999999999</v>
      </c>
      <c r="AH5459">
        <v>55.073444314571901</v>
      </c>
      <c r="AI5459">
        <v>90.333633979847093</v>
      </c>
      <c r="AJ5459">
        <v>110.21586805107501</v>
      </c>
      <c r="AK5459">
        <v>58.689826484765298</v>
      </c>
      <c r="AL5459">
        <v>94.255784909851201</v>
      </c>
      <c r="AM5459">
        <v>102.006072303237</v>
      </c>
      <c r="AN5459">
        <v>1.00000002824073</v>
      </c>
    </row>
    <row r="5460" spans="1:40" x14ac:dyDescent="0.25">
      <c r="A5460" t="str">
        <f>"20190305135038269"</f>
        <v>20190305135038269</v>
      </c>
      <c r="B5460" t="str">
        <f>"1551765038266367"</f>
        <v>1551765038266367</v>
      </c>
      <c r="C5460" t="s">
        <v>40</v>
      </c>
      <c r="D5460">
        <v>4.2967389999999996</v>
      </c>
      <c r="E5460">
        <v>0.4425885</v>
      </c>
      <c r="F5460" t="s">
        <v>83</v>
      </c>
      <c r="G5460">
        <v>-440.20710000000003</v>
      </c>
      <c r="H5460">
        <v>0.68600989999999995</v>
      </c>
      <c r="I5460">
        <v>88.826449999999994</v>
      </c>
      <c r="J5460">
        <v>-406.08330000000001</v>
      </c>
      <c r="K5460">
        <v>1.1209519999999999</v>
      </c>
      <c r="L5460">
        <v>136.34950000000001</v>
      </c>
      <c r="M5460">
        <v>-0.82743319999999998</v>
      </c>
      <c r="N5460">
        <v>-1.53247E-2</v>
      </c>
      <c r="O5460">
        <v>-0.56135519999999905</v>
      </c>
      <c r="P5460">
        <v>-0.68899290000000002</v>
      </c>
      <c r="Q5460">
        <v>-8.1719609999999998E-2</v>
      </c>
      <c r="R5460">
        <v>-0.72014679999999998</v>
      </c>
      <c r="S5460">
        <v>-1.7794190000000001</v>
      </c>
      <c r="T5460">
        <v>-2.2526620000000001E-2</v>
      </c>
      <c r="U5460">
        <v>-2.4702609999999998</v>
      </c>
      <c r="V5460">
        <v>-0.20719979999999999</v>
      </c>
      <c r="W5460">
        <v>-7.2538439999999996E-2</v>
      </c>
      <c r="X5460">
        <v>0.97560570000000002</v>
      </c>
      <c r="Y5460">
        <v>-0.34328249999999999</v>
      </c>
      <c r="Z5460">
        <v>-7.77891E-3</v>
      </c>
      <c r="AA5460">
        <v>0.93920000000000003</v>
      </c>
      <c r="AB5460">
        <v>29</v>
      </c>
      <c r="AC5460">
        <v>-34.123800000000003</v>
      </c>
      <c r="AD5460">
        <v>-0.434942099999999</v>
      </c>
      <c r="AE5460">
        <v>-47.523049999999998</v>
      </c>
      <c r="AF5460">
        <v>-20.1678284793378</v>
      </c>
      <c r="AG5460">
        <v>-0.434942099999999</v>
      </c>
      <c r="AH5460">
        <v>54.915884626156</v>
      </c>
      <c r="AI5460">
        <v>90.425965693243299</v>
      </c>
      <c r="AJ5460">
        <v>110.165731744985</v>
      </c>
      <c r="AK5460">
        <v>58.503716672324501</v>
      </c>
      <c r="AL5460">
        <v>94.159799807381603</v>
      </c>
      <c r="AM5460">
        <v>101.99035787987999</v>
      </c>
      <c r="AN5460">
        <v>1.0000000321350799</v>
      </c>
    </row>
    <row r="5461" spans="1:40" x14ac:dyDescent="0.25">
      <c r="A5461" t="str">
        <f>"20190305135038403"</f>
        <v>20190305135038403</v>
      </c>
      <c r="B5461" t="str">
        <f>"1551765038395199"</f>
        <v>1551765038395199</v>
      </c>
      <c r="C5461" t="s">
        <v>40</v>
      </c>
      <c r="D5461">
        <v>4.0847480000000003</v>
      </c>
      <c r="E5461">
        <v>0.41553519999999999</v>
      </c>
      <c r="F5461" t="s">
        <v>83</v>
      </c>
      <c r="G5461">
        <v>-440.20710000000003</v>
      </c>
      <c r="H5461">
        <v>0.78569730000000004</v>
      </c>
      <c r="I5461">
        <v>87.496409999999997</v>
      </c>
      <c r="J5461">
        <v>-407.38389999999998</v>
      </c>
      <c r="K5461">
        <v>1.120995</v>
      </c>
      <c r="L5461">
        <v>135.28460000000001</v>
      </c>
      <c r="M5461">
        <v>-0.77470939999999999</v>
      </c>
      <c r="N5461">
        <v>-1.5385599999999999E-2</v>
      </c>
      <c r="O5461">
        <v>-0.63213039999999998</v>
      </c>
      <c r="P5461">
        <v>-0.62679430000000003</v>
      </c>
      <c r="Q5461">
        <v>-7.9155240000000002E-2</v>
      </c>
      <c r="R5461">
        <v>-0.77515409999999996</v>
      </c>
      <c r="S5461">
        <v>-1.7433780000000001</v>
      </c>
      <c r="T5461">
        <v>-1.712692E-2</v>
      </c>
      <c r="U5461">
        <v>-2.4958800000000001</v>
      </c>
      <c r="V5461">
        <v>-0.20246749999999999</v>
      </c>
      <c r="W5461">
        <v>-6.9783979999999995E-2</v>
      </c>
      <c r="X5461">
        <v>0.97679939999999998</v>
      </c>
      <c r="Y5461">
        <v>-0.27314759999999999</v>
      </c>
      <c r="Z5461">
        <v>-8.4371959999999992E-3</v>
      </c>
      <c r="AA5461">
        <v>0.96193519999999999</v>
      </c>
      <c r="AB5461">
        <v>29</v>
      </c>
      <c r="AC5461">
        <v>-32.8232</v>
      </c>
      <c r="AD5461">
        <v>-0.33529769999999898</v>
      </c>
      <c r="AE5461">
        <v>-47.78819</v>
      </c>
      <c r="AF5461">
        <v>-16.274797778005599</v>
      </c>
      <c r="AG5461">
        <v>-0.33529769999999898</v>
      </c>
      <c r="AH5461">
        <v>55.641528386510302</v>
      </c>
      <c r="AI5461">
        <v>90.331378159798604</v>
      </c>
      <c r="AJ5461">
        <v>106.30386669001599</v>
      </c>
      <c r="AK5461">
        <v>57.973797084971402</v>
      </c>
      <c r="AL5461">
        <v>94.001579921946202</v>
      </c>
      <c r="AM5461">
        <v>101.710239998147</v>
      </c>
      <c r="AN5461">
        <v>0.99999998013062497</v>
      </c>
    </row>
    <row r="5462" spans="1:40" x14ac:dyDescent="0.25">
      <c r="A5462" t="str">
        <f>"20190305135038425"</f>
        <v>20190305135038425</v>
      </c>
      <c r="B5462" t="str">
        <f>"1551765038415695"</f>
        <v>1551765038415695</v>
      </c>
      <c r="C5462" t="s">
        <v>40</v>
      </c>
      <c r="D5462">
        <v>4.0774970000000001</v>
      </c>
      <c r="E5462">
        <v>0.37224819999999997</v>
      </c>
      <c r="F5462" t="s">
        <v>42</v>
      </c>
      <c r="G5462">
        <v>-424.59039999999999</v>
      </c>
      <c r="H5462" s="1">
        <v>-1.610959E-6</v>
      </c>
      <c r="I5462">
        <v>100.4157</v>
      </c>
      <c r="J5462">
        <v>-407.584</v>
      </c>
      <c r="K5462">
        <v>1.121024</v>
      </c>
      <c r="L5462">
        <v>135.1026</v>
      </c>
      <c r="M5462">
        <v>-0.76551880000000005</v>
      </c>
      <c r="N5462">
        <v>-1.53983E-2</v>
      </c>
      <c r="O5462">
        <v>-0.64322939999999995</v>
      </c>
      <c r="P5462">
        <v>-0.61595719999999898</v>
      </c>
      <c r="Q5462">
        <v>-7.8015130000000002E-2</v>
      </c>
      <c r="R5462">
        <v>-0.78390740000000003</v>
      </c>
      <c r="S5462">
        <v>-1.3619079999999999</v>
      </c>
      <c r="T5462">
        <v>-8.8727360000000005E-2</v>
      </c>
      <c r="U5462">
        <v>-2.7598880000000001</v>
      </c>
      <c r="V5462">
        <v>-0.20208690000000001</v>
      </c>
      <c r="W5462">
        <v>-6.8629930000000006E-2</v>
      </c>
      <c r="X5462">
        <v>0.97696000000000005</v>
      </c>
      <c r="Y5462">
        <v>-0.40171519999999999</v>
      </c>
      <c r="Z5462">
        <v>1.5361140000000001E-3</v>
      </c>
      <c r="AA5462">
        <v>0.91576329999999995</v>
      </c>
      <c r="AB5462">
        <v>29</v>
      </c>
      <c r="AC5462">
        <v>-17.0063999999999</v>
      </c>
      <c r="AD5462">
        <v>-1.121025610959</v>
      </c>
      <c r="AE5462">
        <v>-34.686899999999902</v>
      </c>
      <c r="AF5462">
        <v>-15.6031686019349</v>
      </c>
      <c r="AG5462">
        <v>-1.121025610959</v>
      </c>
      <c r="AH5462">
        <v>35.304809536630401</v>
      </c>
      <c r="AI5462">
        <v>91.663562907904307</v>
      </c>
      <c r="AJ5462">
        <v>113.84331447791099</v>
      </c>
      <c r="AK5462">
        <v>38.615348570983798</v>
      </c>
      <c r="AL5462">
        <v>93.935298676206997</v>
      </c>
      <c r="AM5462">
        <v>101.68696462060601</v>
      </c>
      <c r="AN5462">
        <v>1.0000000120217001</v>
      </c>
    </row>
    <row r="5463" spans="1:40" x14ac:dyDescent="0.25">
      <c r="A5463" t="str">
        <f>"20190305135038447"</f>
        <v>20190305135038447</v>
      </c>
      <c r="B5463" t="str">
        <f>"1551765038435215"</f>
        <v>1551765038435215</v>
      </c>
      <c r="C5463" t="s">
        <v>40</v>
      </c>
      <c r="D5463">
        <v>4.0607579999999999</v>
      </c>
      <c r="E5463">
        <v>0.37203540000000002</v>
      </c>
      <c r="F5463" t="s">
        <v>42</v>
      </c>
      <c r="G5463">
        <v>-419.22250000000003</v>
      </c>
      <c r="H5463" s="1">
        <v>-1.254483E-6</v>
      </c>
      <c r="I5463">
        <v>101.9933</v>
      </c>
      <c r="J5463">
        <v>-407.7878</v>
      </c>
      <c r="K5463">
        <v>1.121048</v>
      </c>
      <c r="L5463">
        <v>134.91159999999999</v>
      </c>
      <c r="M5463">
        <v>-0.75582079999999996</v>
      </c>
      <c r="N5463">
        <v>-1.541113E-2</v>
      </c>
      <c r="O5463">
        <v>-0.65459719999999999</v>
      </c>
      <c r="P5463">
        <v>-0.60455289999999995</v>
      </c>
      <c r="Q5463">
        <v>-7.7956780000000003E-2</v>
      </c>
      <c r="R5463">
        <v>-0.79274129999999998</v>
      </c>
      <c r="S5463">
        <v>-1.051331</v>
      </c>
      <c r="T5463">
        <v>-0.1012647</v>
      </c>
      <c r="U5463">
        <v>-2.9908290000000002</v>
      </c>
      <c r="V5463">
        <v>-0.20162250000000001</v>
      </c>
      <c r="W5463">
        <v>-6.8555989999999997E-2</v>
      </c>
      <c r="X5463">
        <v>0.97706119999999996</v>
      </c>
      <c r="Y5463">
        <v>-0.4957802</v>
      </c>
      <c r="Z5463">
        <v>1.3198190000000001E-3</v>
      </c>
      <c r="AA5463">
        <v>0.86844709999999903</v>
      </c>
      <c r="AB5463">
        <v>28</v>
      </c>
      <c r="AC5463">
        <v>-11.434699999999999</v>
      </c>
      <c r="AD5463">
        <v>-1.121049254483</v>
      </c>
      <c r="AE5463">
        <v>-32.918299999999903</v>
      </c>
      <c r="AF5463">
        <v>-17.3792927507732</v>
      </c>
      <c r="AG5463">
        <v>-1.121049254483</v>
      </c>
      <c r="AH5463">
        <v>30.163179807008898</v>
      </c>
      <c r="AI5463">
        <v>91.844469748638005</v>
      </c>
      <c r="AJ5463">
        <v>119.949503091268</v>
      </c>
      <c r="AK5463">
        <v>34.829785873846603</v>
      </c>
      <c r="AL5463">
        <v>93.931051987021206</v>
      </c>
      <c r="AM5463">
        <v>101.65966932251</v>
      </c>
      <c r="AN5463">
        <v>1.00000007240828</v>
      </c>
    </row>
    <row r="5464" spans="1:40" x14ac:dyDescent="0.25">
      <c r="A5464" t="str">
        <f>"20190305135038471"</f>
        <v>20190305135038471</v>
      </c>
      <c r="B5464" t="str">
        <f>"1551765038465471"</f>
        <v>1551765038465471</v>
      </c>
      <c r="C5464" t="s">
        <v>40</v>
      </c>
      <c r="D5464">
        <v>4.0534420000000004</v>
      </c>
      <c r="E5464">
        <v>0.37342750000000002</v>
      </c>
      <c r="F5464" t="s">
        <v>42</v>
      </c>
      <c r="G5464">
        <v>-419.31200000000001</v>
      </c>
      <c r="H5464" s="1">
        <v>-5.2413589999999998E-7</v>
      </c>
      <c r="I5464">
        <v>100.4819</v>
      </c>
      <c r="J5464">
        <v>-407.98989999999998</v>
      </c>
      <c r="K5464">
        <v>1.121057</v>
      </c>
      <c r="L5464">
        <v>134.71629999999999</v>
      </c>
      <c r="M5464">
        <v>-0.74585119999999905</v>
      </c>
      <c r="N5464">
        <v>-1.542222E-2</v>
      </c>
      <c r="O5464">
        <v>-0.66593429999999998</v>
      </c>
      <c r="P5464">
        <v>-0.5925009</v>
      </c>
      <c r="Q5464">
        <v>-7.8425309999999998E-2</v>
      </c>
      <c r="R5464">
        <v>-0.80174339999999999</v>
      </c>
      <c r="S5464">
        <v>-1.0065309999999901</v>
      </c>
      <c r="T5464">
        <v>-9.7913029999999998E-2</v>
      </c>
      <c r="U5464">
        <v>-3.0071110000000001</v>
      </c>
      <c r="V5464">
        <v>-0.20158989999999999</v>
      </c>
      <c r="W5464">
        <v>-6.9021280000000004E-2</v>
      </c>
      <c r="X5464">
        <v>0.97703510000000005</v>
      </c>
      <c r="Y5464">
        <v>-0.49573060000000002</v>
      </c>
      <c r="Z5464">
        <v>1.1254749999999999E-3</v>
      </c>
      <c r="AA5464">
        <v>0.86847559999999902</v>
      </c>
      <c r="AB5464">
        <v>28</v>
      </c>
      <c r="AC5464">
        <v>-11.322099999999899</v>
      </c>
      <c r="AD5464">
        <v>-1.12105752413589</v>
      </c>
      <c r="AE5464">
        <v>-34.234399999999901</v>
      </c>
      <c r="AF5464">
        <v>-17.978752282260501</v>
      </c>
      <c r="AG5464">
        <v>-1.12105752413589</v>
      </c>
      <c r="AH5464">
        <v>31.2160000308081</v>
      </c>
      <c r="AI5464">
        <v>91.7824918536393</v>
      </c>
      <c r="AJ5464">
        <v>119.939649506875</v>
      </c>
      <c r="AK5464">
        <v>36.040684809291903</v>
      </c>
      <c r="AL5464">
        <v>93.957774701435298</v>
      </c>
      <c r="AM5464">
        <v>101.658138593263</v>
      </c>
      <c r="AN5464">
        <v>1.00000000575342</v>
      </c>
    </row>
    <row r="5465" spans="1:40" x14ac:dyDescent="0.25">
      <c r="A5465" t="str">
        <f>"20190305135038493"</f>
        <v>20190305135038493</v>
      </c>
      <c r="B5465" t="str">
        <f>"1551765038485967"</f>
        <v>1551765038485967</v>
      </c>
      <c r="C5465" t="s">
        <v>40</v>
      </c>
      <c r="D5465">
        <v>4.125839</v>
      </c>
      <c r="E5465">
        <v>0.39974300000000001</v>
      </c>
      <c r="F5465" t="s">
        <v>41</v>
      </c>
      <c r="G5465">
        <v>-408.32549999999998</v>
      </c>
      <c r="H5465">
        <v>1.084754</v>
      </c>
      <c r="I5465">
        <v>133.6738</v>
      </c>
      <c r="J5465">
        <v>-408.1927</v>
      </c>
      <c r="K5465">
        <v>1.1210659999999999</v>
      </c>
      <c r="L5465">
        <v>134.5138</v>
      </c>
      <c r="M5465">
        <v>-0.73546730000000005</v>
      </c>
      <c r="N5465">
        <v>-1.542315E-2</v>
      </c>
      <c r="O5465">
        <v>-0.6773846</v>
      </c>
      <c r="P5465">
        <v>-0.57971549999999905</v>
      </c>
      <c r="Q5465">
        <v>-7.9087669999999999E-2</v>
      </c>
      <c r="R5465">
        <v>-0.81097180000000002</v>
      </c>
      <c r="S5465">
        <v>-0.97009279999999998</v>
      </c>
      <c r="T5465">
        <v>-0.1049625</v>
      </c>
      <c r="U5465">
        <v>-3.0146480000000002</v>
      </c>
      <c r="V5465">
        <v>-0.20190839999999999</v>
      </c>
      <c r="W5465">
        <v>-6.9697519999999999E-2</v>
      </c>
      <c r="X5465">
        <v>0.97692129999999999</v>
      </c>
      <c r="Y5465">
        <v>-0.49242380000000002</v>
      </c>
      <c r="Z5465">
        <v>2.5943210000000001E-3</v>
      </c>
      <c r="AA5465">
        <v>0.87035169999999995</v>
      </c>
      <c r="AB5465">
        <v>28</v>
      </c>
      <c r="AC5465">
        <v>-0.13279999999997399</v>
      </c>
      <c r="AD5465">
        <v>-3.63119999999999E-2</v>
      </c>
      <c r="AE5465">
        <v>-0.84000000000000297</v>
      </c>
      <c r="AF5465">
        <v>-0.52693798617809795</v>
      </c>
      <c r="AG5465">
        <v>-3.63119999999999E-2</v>
      </c>
      <c r="AH5465">
        <v>0.66553908248558802</v>
      </c>
      <c r="AI5465">
        <v>92.449397169478999</v>
      </c>
      <c r="AJ5465">
        <v>128.37028372260099</v>
      </c>
      <c r="AK5465">
        <v>0.84966138722269102</v>
      </c>
      <c r="AL5465">
        <v>93.996614012710097</v>
      </c>
      <c r="AM5465">
        <v>101.67737518253701</v>
      </c>
      <c r="AN5465">
        <v>0.99999998633919995</v>
      </c>
    </row>
    <row r="5466" spans="1:40" x14ac:dyDescent="0.25">
      <c r="A5466" t="str">
        <f>"20190305135038515"</f>
        <v>20190305135038515</v>
      </c>
      <c r="B5466" t="str">
        <f>"1551765038505487"</f>
        <v>1551765038505487</v>
      </c>
      <c r="C5466" t="s">
        <v>40</v>
      </c>
      <c r="D5466">
        <v>4.1124580000000002</v>
      </c>
      <c r="E5466">
        <v>0.4148733</v>
      </c>
      <c r="F5466" t="s">
        <v>42</v>
      </c>
      <c r="G5466">
        <v>-425.13929999999999</v>
      </c>
      <c r="H5466" s="1">
        <v>-5.1471960000000003E-6</v>
      </c>
      <c r="I5466">
        <v>89.433210000000003</v>
      </c>
      <c r="J5466">
        <v>-408.37720000000002</v>
      </c>
      <c r="K5466">
        <v>1.12107</v>
      </c>
      <c r="L5466">
        <v>134.32409999999999</v>
      </c>
      <c r="M5466">
        <v>-0.72570080000000003</v>
      </c>
      <c r="N5466">
        <v>-1.541585E-2</v>
      </c>
      <c r="O5466">
        <v>-0.68783780000000005</v>
      </c>
      <c r="P5466">
        <v>-0.56790450000000003</v>
      </c>
      <c r="Q5466">
        <v>-7.8114950000000002E-2</v>
      </c>
      <c r="R5466">
        <v>-0.81937929999999903</v>
      </c>
      <c r="S5466">
        <v>-1.0939939999999999</v>
      </c>
      <c r="T5466">
        <v>-7.2371359999999996E-2</v>
      </c>
      <c r="U5466">
        <v>-2.910202</v>
      </c>
      <c r="V5466">
        <v>-0.20218040000000001</v>
      </c>
      <c r="W5466">
        <v>-6.8739030000000007E-2</v>
      </c>
      <c r="X5466">
        <v>0.97693300000000005</v>
      </c>
      <c r="Y5466">
        <v>-0.43714760000000003</v>
      </c>
      <c r="Z5466">
        <v>-1.0578129999999999E-3</v>
      </c>
      <c r="AA5466">
        <v>0.8993892</v>
      </c>
      <c r="AB5466">
        <v>28</v>
      </c>
      <c r="AC5466">
        <v>-16.762099999999901</v>
      </c>
      <c r="AD5466">
        <v>-1.1210751471960001</v>
      </c>
      <c r="AE5466">
        <v>-44.890889999999899</v>
      </c>
      <c r="AF5466">
        <v>-21.0387331582596</v>
      </c>
      <c r="AG5466">
        <v>-1.1210751471960001</v>
      </c>
      <c r="AH5466">
        <v>43.023483724305599</v>
      </c>
      <c r="AI5466">
        <v>91.340956301658196</v>
      </c>
      <c r="AJ5466">
        <v>116.05890148093</v>
      </c>
      <c r="AK5466">
        <v>47.905169388759099</v>
      </c>
      <c r="AL5466">
        <v>93.941564381844103</v>
      </c>
      <c r="AM5466">
        <v>101.692537261808</v>
      </c>
      <c r="AN5466">
        <v>1.00000002743925</v>
      </c>
    </row>
    <row r="5467" spans="1:40" x14ac:dyDescent="0.25">
      <c r="A5467" t="str">
        <f>"20190305135038537"</f>
        <v>20190305135038537</v>
      </c>
      <c r="B5467" t="str">
        <f>"1551765038525983"</f>
        <v>1551765038525983</v>
      </c>
      <c r="C5467" t="s">
        <v>40</v>
      </c>
      <c r="D5467">
        <v>4.0779059999999996</v>
      </c>
      <c r="E5467">
        <v>0.42077229999999999</v>
      </c>
      <c r="F5467" t="s">
        <v>42</v>
      </c>
      <c r="G5467">
        <v>-434.25709999999998</v>
      </c>
      <c r="H5467">
        <v>7.9986860000000007E-2</v>
      </c>
      <c r="I5467">
        <v>70.131069999999994</v>
      </c>
      <c r="J5467">
        <v>-408.5684</v>
      </c>
      <c r="K5467">
        <v>1.1210659999999999</v>
      </c>
      <c r="L5467">
        <v>134.12139999999999</v>
      </c>
      <c r="M5467">
        <v>-0.71522519999999901</v>
      </c>
      <c r="N5467">
        <v>-1.538425E-2</v>
      </c>
      <c r="O5467">
        <v>-0.69872480000000003</v>
      </c>
      <c r="P5467">
        <v>-0.55601669999999903</v>
      </c>
      <c r="Q5467">
        <v>-7.7056570000000005E-2</v>
      </c>
      <c r="R5467">
        <v>-0.82759179999999999</v>
      </c>
      <c r="S5467">
        <v>-1.1523129999999999</v>
      </c>
      <c r="T5467">
        <v>-4.6354529999999998E-2</v>
      </c>
      <c r="U5467">
        <v>-2.858215</v>
      </c>
      <c r="V5467">
        <v>-0.20162369999999999</v>
      </c>
      <c r="W5467">
        <v>-6.7690639999999996E-2</v>
      </c>
      <c r="X5467">
        <v>0.97712120000000002</v>
      </c>
      <c r="Y5467">
        <v>-0.40202640000000001</v>
      </c>
      <c r="Z5467">
        <v>-4.8084219999999997E-3</v>
      </c>
      <c r="AA5467">
        <v>0.91561539999999997</v>
      </c>
      <c r="AB5467">
        <v>28</v>
      </c>
      <c r="AC5467">
        <v>-25.688699999999901</v>
      </c>
      <c r="AD5467">
        <v>-1.0410791399999999</v>
      </c>
      <c r="AE5467">
        <v>-63.99033</v>
      </c>
      <c r="AF5467">
        <v>-27.815115255440698</v>
      </c>
      <c r="AG5467">
        <v>-1.0410791399999999</v>
      </c>
      <c r="AH5467">
        <v>63.077920494807302</v>
      </c>
      <c r="AI5467">
        <v>90.865191189985794</v>
      </c>
      <c r="AJ5467">
        <v>113.795770034553</v>
      </c>
      <c r="AK5467">
        <v>68.946272824558307</v>
      </c>
      <c r="AL5467">
        <v>93.881355960086907</v>
      </c>
      <c r="AM5467">
        <v>101.65904045467001</v>
      </c>
      <c r="AN5467">
        <v>0.999999989317369</v>
      </c>
    </row>
    <row r="5468" spans="1:40" x14ac:dyDescent="0.25">
      <c r="A5468" t="str">
        <f>"20190305135038560"</f>
        <v>20190305135038560</v>
      </c>
      <c r="B5468" t="str">
        <f>"1551765038555266"</f>
        <v>1551765038555266</v>
      </c>
      <c r="C5468" t="s">
        <v>40</v>
      </c>
      <c r="D5468">
        <v>4.078811</v>
      </c>
      <c r="E5468">
        <v>0.42546820000000002</v>
      </c>
      <c r="F5468" t="s">
        <v>82</v>
      </c>
      <c r="G5468">
        <v>-442.3252</v>
      </c>
      <c r="H5468">
        <v>2.983046E-2</v>
      </c>
      <c r="I5468">
        <v>50.501069999999999</v>
      </c>
      <c r="J5468">
        <v>-408.7561</v>
      </c>
      <c r="K5468">
        <v>1.1210560000000001</v>
      </c>
      <c r="L5468">
        <v>133.91640000000001</v>
      </c>
      <c r="M5468">
        <v>-0.7045979</v>
      </c>
      <c r="N5468">
        <v>-1.5319950000000001E-2</v>
      </c>
      <c r="O5468">
        <v>-0.70944149999999995</v>
      </c>
      <c r="P5468">
        <v>-0.54388890000000001</v>
      </c>
      <c r="Q5468">
        <v>-7.6200030000000002E-2</v>
      </c>
      <c r="R5468">
        <v>-0.83569059999999995</v>
      </c>
      <c r="S5468">
        <v>-1.1500549999999901</v>
      </c>
      <c r="T5468">
        <v>-3.7176609999999999E-2</v>
      </c>
      <c r="U5468">
        <v>-2.848846</v>
      </c>
      <c r="V5468">
        <v>-0.2012033</v>
      </c>
      <c r="W5468">
        <v>-6.68797E-2</v>
      </c>
      <c r="X5468">
        <v>0.97726369999999896</v>
      </c>
      <c r="Y5468">
        <v>-0.38775910000000002</v>
      </c>
      <c r="Z5468">
        <v>-6.1839850000000003E-3</v>
      </c>
      <c r="AA5468">
        <v>0.92174</v>
      </c>
      <c r="AB5468">
        <v>28</v>
      </c>
      <c r="AC5468">
        <v>-33.569099999999899</v>
      </c>
      <c r="AD5468">
        <v>-1.0912255399999999</v>
      </c>
      <c r="AE5468">
        <v>-83.415329999999997</v>
      </c>
      <c r="AF5468">
        <v>-34.957905688671502</v>
      </c>
      <c r="AG5468">
        <v>-1.0912255399999999</v>
      </c>
      <c r="AH5468">
        <v>82.828531095008003</v>
      </c>
      <c r="AI5468">
        <v>90.695408072875395</v>
      </c>
      <c r="AJ5468">
        <v>112.882249383461</v>
      </c>
      <c r="AK5468">
        <v>89.910018944909098</v>
      </c>
      <c r="AL5468">
        <v>93.834786939558995</v>
      </c>
      <c r="AM5468">
        <v>101.633743676074</v>
      </c>
      <c r="AN5468">
        <v>1.00000000077033</v>
      </c>
    </row>
    <row r="5469" spans="1:40" x14ac:dyDescent="0.25">
      <c r="A5469" t="str">
        <f>"20190305135038582"</f>
        <v>20190305135038582</v>
      </c>
      <c r="B5469" t="str">
        <f>"1551765038575762"</f>
        <v>1551765038575762</v>
      </c>
      <c r="C5469" t="s">
        <v>40</v>
      </c>
      <c r="D5469">
        <v>4.1228639999999999</v>
      </c>
      <c r="E5469">
        <v>0.4272532</v>
      </c>
      <c r="F5469" t="s">
        <v>82</v>
      </c>
      <c r="G5469">
        <v>-442.32530000000003</v>
      </c>
      <c r="H5469">
        <v>0.27040710000000001</v>
      </c>
      <c r="I5469">
        <v>50.136650000000003</v>
      </c>
      <c r="J5469">
        <v>-408.94240000000002</v>
      </c>
      <c r="K5469">
        <v>1.121032</v>
      </c>
      <c r="L5469">
        <v>133.70689999999999</v>
      </c>
      <c r="M5469">
        <v>-0.6937219</v>
      </c>
      <c r="N5469">
        <v>-1.52263E-2</v>
      </c>
      <c r="O5469">
        <v>-0.72008209999999995</v>
      </c>
      <c r="P5469">
        <v>-0.53187879999999998</v>
      </c>
      <c r="Q5469">
        <v>-7.5294130000000001E-2</v>
      </c>
      <c r="R5469">
        <v>-0.84346659999999996</v>
      </c>
      <c r="S5469">
        <v>-1.140045</v>
      </c>
      <c r="T5469">
        <v>-2.8888339999999998E-2</v>
      </c>
      <c r="U5469">
        <v>-2.8452449999999998</v>
      </c>
      <c r="V5469">
        <v>-0.2003944</v>
      </c>
      <c r="W5469">
        <v>-6.6031870000000006E-2</v>
      </c>
      <c r="X5469">
        <v>0.97748760000000001</v>
      </c>
      <c r="Y5469">
        <v>-0.37610650000000001</v>
      </c>
      <c r="Z5469">
        <v>-7.5177880000000001E-3</v>
      </c>
      <c r="AA5469">
        <v>0.92654599999999998</v>
      </c>
      <c r="AB5469">
        <v>28</v>
      </c>
      <c r="AC5469">
        <v>-33.382899999999999</v>
      </c>
      <c r="AD5469">
        <v>-0.85062490000000002</v>
      </c>
      <c r="AE5469">
        <v>-83.570249999999902</v>
      </c>
      <c r="AF5469">
        <v>-33.936983821527001</v>
      </c>
      <c r="AG5469">
        <v>-0.85062490000000002</v>
      </c>
      <c r="AH5469">
        <v>83.338099900638596</v>
      </c>
      <c r="AI5469">
        <v>90.541610220185703</v>
      </c>
      <c r="AJ5469">
        <v>112.15716133028199</v>
      </c>
      <c r="AK5469">
        <v>89.987117570638503</v>
      </c>
      <c r="AL5469">
        <v>93.786101987048696</v>
      </c>
      <c r="AM5469">
        <v>101.585657349443</v>
      </c>
      <c r="AN5469">
        <v>1.0000000657804</v>
      </c>
    </row>
    <row r="5470" spans="1:40" x14ac:dyDescent="0.25">
      <c r="A5470" t="str">
        <f>"20190305135038605"</f>
        <v>20190305135038605</v>
      </c>
      <c r="B5470" t="str">
        <f>"1551765038595279"</f>
        <v>1551765038595279</v>
      </c>
      <c r="C5470" t="s">
        <v>40</v>
      </c>
      <c r="D5470">
        <v>4.0898629999999896</v>
      </c>
      <c r="E5470">
        <v>0.4289463</v>
      </c>
      <c r="F5470" t="s">
        <v>82</v>
      </c>
      <c r="G5470">
        <v>-442.3252</v>
      </c>
      <c r="H5470">
        <v>0.2227401</v>
      </c>
      <c r="I5470">
        <v>47.95776</v>
      </c>
      <c r="J5470">
        <v>-409.12099999999998</v>
      </c>
      <c r="K5470">
        <v>1.120986</v>
      </c>
      <c r="L5470">
        <v>133.49979999999999</v>
      </c>
      <c r="M5470">
        <v>-0.68298440000000005</v>
      </c>
      <c r="N5470">
        <v>-1.5112220000000001E-2</v>
      </c>
      <c r="O5470">
        <v>-0.73027679999999995</v>
      </c>
      <c r="P5470">
        <v>-0.51989859999999999</v>
      </c>
      <c r="Q5470">
        <v>-7.2926539999999998E-2</v>
      </c>
      <c r="R5470">
        <v>-0.85110969999999997</v>
      </c>
      <c r="S5470">
        <v>-1.1109009999999999</v>
      </c>
      <c r="T5470">
        <v>-2.9892439999999999E-2</v>
      </c>
      <c r="U5470">
        <v>-2.8535159999999999</v>
      </c>
      <c r="V5470">
        <v>-0.19995199999999999</v>
      </c>
      <c r="W5470">
        <v>-6.3743240000000007E-2</v>
      </c>
      <c r="X5470">
        <v>0.97772999999999999</v>
      </c>
      <c r="Y5470">
        <v>-0.37149749999999998</v>
      </c>
      <c r="Z5470">
        <v>-7.1816120000000004E-3</v>
      </c>
      <c r="AA5470">
        <v>0.92840619999999996</v>
      </c>
      <c r="AB5470">
        <v>28</v>
      </c>
      <c r="AC5470">
        <v>-33.2042</v>
      </c>
      <c r="AD5470">
        <v>-0.89824590000000004</v>
      </c>
      <c r="AE5470">
        <v>-85.542039999999901</v>
      </c>
      <c r="AF5470">
        <v>-34.176245468013299</v>
      </c>
      <c r="AG5470">
        <v>-0.89824590000000004</v>
      </c>
      <c r="AH5470">
        <v>85.148871344470393</v>
      </c>
      <c r="AI5470">
        <v>90.560906683358695</v>
      </c>
      <c r="AJ5470">
        <v>111.86907070001401</v>
      </c>
      <c r="AK5470">
        <v>91.755941994096204</v>
      </c>
      <c r="AL5470">
        <v>93.654696521340298</v>
      </c>
      <c r="AM5470">
        <v>101.557980589577</v>
      </c>
      <c r="AN5470">
        <v>0.99999997792484796</v>
      </c>
    </row>
    <row r="5471" spans="1:40" x14ac:dyDescent="0.25">
      <c r="A5471" t="str">
        <f>"20190305135038626"</f>
        <v>20190305135038626</v>
      </c>
      <c r="B5471" t="str">
        <f>"1551765038615775"</f>
        <v>1551765038615775</v>
      </c>
      <c r="C5471" t="s">
        <v>40</v>
      </c>
      <c r="D5471">
        <v>4.155341</v>
      </c>
      <c r="E5471">
        <v>0.43066969999999999</v>
      </c>
      <c r="F5471" t="s">
        <v>82</v>
      </c>
      <c r="G5471">
        <v>-442.32530000000003</v>
      </c>
      <c r="H5471">
        <v>0.2971066</v>
      </c>
      <c r="I5471">
        <v>45.583919999999999</v>
      </c>
      <c r="J5471">
        <v>-409.29599999999999</v>
      </c>
      <c r="K5471">
        <v>1.120908</v>
      </c>
      <c r="L5471">
        <v>133.29079999999999</v>
      </c>
      <c r="M5471">
        <v>-0.67218659999999997</v>
      </c>
      <c r="N5471">
        <v>-1.498384E-2</v>
      </c>
      <c r="O5471">
        <v>-0.74023030000000001</v>
      </c>
      <c r="P5471">
        <v>-0.50748359999999904</v>
      </c>
      <c r="Q5471">
        <v>-7.088912E-2</v>
      </c>
      <c r="R5471">
        <v>-0.85874069999999902</v>
      </c>
      <c r="S5471">
        <v>-1.080994</v>
      </c>
      <c r="T5471">
        <v>-2.6821609999999999E-2</v>
      </c>
      <c r="U5471">
        <v>-2.8621669999999999</v>
      </c>
      <c r="V5471">
        <v>-0.19996810000000001</v>
      </c>
      <c r="W5471">
        <v>-6.1800699999999903E-2</v>
      </c>
      <c r="X5471">
        <v>0.97785149999999998</v>
      </c>
      <c r="Y5471">
        <v>-0.3672742</v>
      </c>
      <c r="Z5471">
        <v>-7.6416840000000002E-3</v>
      </c>
      <c r="AA5471">
        <v>0.9300813</v>
      </c>
      <c r="AB5471">
        <v>28</v>
      </c>
      <c r="AC5471">
        <v>-33.029299999999999</v>
      </c>
      <c r="AD5471">
        <v>-0.82380140000000002</v>
      </c>
      <c r="AE5471">
        <v>-87.706879999999899</v>
      </c>
      <c r="AF5471">
        <v>-34.507304747430098</v>
      </c>
      <c r="AG5471">
        <v>-0.82380140000000002</v>
      </c>
      <c r="AH5471">
        <v>87.128182792306404</v>
      </c>
      <c r="AI5471">
        <v>90.503657630004696</v>
      </c>
      <c r="AJ5471">
        <v>111.606148970559</v>
      </c>
      <c r="AK5471">
        <v>93.716343112438096</v>
      </c>
      <c r="AL5471">
        <v>93.543176932294699</v>
      </c>
      <c r="AM5471">
        <v>101.557488616123</v>
      </c>
      <c r="AN5471">
        <v>1.0000000617951701</v>
      </c>
    </row>
    <row r="5472" spans="1:40" x14ac:dyDescent="0.25">
      <c r="A5472" t="str">
        <f>"20190305135038648"</f>
        <v>20190305135038648</v>
      </c>
      <c r="B5472" t="str">
        <f>"1551765038646031"</f>
        <v>1551765038646031</v>
      </c>
      <c r="C5472" t="s">
        <v>40</v>
      </c>
      <c r="D5472">
        <v>4.1204219999999996</v>
      </c>
      <c r="E5472">
        <v>0.43307960000000001</v>
      </c>
      <c r="F5472" t="s">
        <v>82</v>
      </c>
      <c r="G5472">
        <v>-442.3252</v>
      </c>
      <c r="H5472">
        <v>0.2232721</v>
      </c>
      <c r="I5472">
        <v>43.032870000000003</v>
      </c>
      <c r="J5472">
        <v>-409.4735</v>
      </c>
      <c r="K5472">
        <v>1.1207879999999999</v>
      </c>
      <c r="L5472">
        <v>133.07259999999999</v>
      </c>
      <c r="M5472">
        <v>-0.66099019999999897</v>
      </c>
      <c r="N5472">
        <v>-1.484624E-2</v>
      </c>
      <c r="O5472">
        <v>-0.75024780000000002</v>
      </c>
      <c r="P5472">
        <v>-0.49415949999999997</v>
      </c>
      <c r="Q5472">
        <v>-7.0515960000000003E-2</v>
      </c>
      <c r="R5472">
        <v>-0.86650689999999997</v>
      </c>
      <c r="S5472">
        <v>-1.0503849999999999</v>
      </c>
      <c r="T5472">
        <v>-2.8545859999999999E-2</v>
      </c>
      <c r="U5472">
        <v>-2.8703460000000001</v>
      </c>
      <c r="V5472">
        <v>-0.2004196</v>
      </c>
      <c r="W5472">
        <v>-6.1529540000000001E-2</v>
      </c>
      <c r="X5472">
        <v>0.97777610000000004</v>
      </c>
      <c r="Y5472">
        <v>-0.36288619999999999</v>
      </c>
      <c r="Z5472">
        <v>-7.1361039999999999E-3</v>
      </c>
      <c r="AA5472">
        <v>0.93180609999999997</v>
      </c>
      <c r="AB5472">
        <v>28</v>
      </c>
      <c r="AC5472">
        <v>-32.851699999999902</v>
      </c>
      <c r="AD5472">
        <v>-0.89751589999999903</v>
      </c>
      <c r="AE5472">
        <v>-90.039729999999906</v>
      </c>
      <c r="AF5472">
        <v>-34.869245428321697</v>
      </c>
      <c r="AG5472">
        <v>-0.89751589999999903</v>
      </c>
      <c r="AH5472">
        <v>89.268762940476407</v>
      </c>
      <c r="AI5472">
        <v>90.536559385138801</v>
      </c>
      <c r="AJ5472">
        <v>111.336099115574</v>
      </c>
      <c r="AK5472">
        <v>95.841441185190206</v>
      </c>
      <c r="AL5472">
        <v>93.527611200593995</v>
      </c>
      <c r="AM5472">
        <v>101.58374843759501</v>
      </c>
      <c r="AN5472">
        <v>1.00000000104399</v>
      </c>
    </row>
    <row r="5473" spans="1:40" x14ac:dyDescent="0.25">
      <c r="A5473" t="str">
        <f>"20190305135038672"</f>
        <v>20190305135038672</v>
      </c>
      <c r="B5473" t="str">
        <f>"1551765038665554"</f>
        <v>1551765038665554</v>
      </c>
      <c r="C5473" t="s">
        <v>40</v>
      </c>
      <c r="D5473">
        <v>4.1322869999999998</v>
      </c>
      <c r="E5473">
        <v>0.43474370000000001</v>
      </c>
      <c r="F5473" t="s">
        <v>82</v>
      </c>
      <c r="G5473">
        <v>-442.32510000000002</v>
      </c>
      <c r="H5473">
        <v>-1.813099E-2</v>
      </c>
      <c r="I5473">
        <v>40.563220000000001</v>
      </c>
      <c r="J5473">
        <v>-409.64429999999999</v>
      </c>
      <c r="K5473">
        <v>1.120638</v>
      </c>
      <c r="L5473">
        <v>132.8561</v>
      </c>
      <c r="M5473">
        <v>-0.65000269999999905</v>
      </c>
      <c r="N5473">
        <v>-1.4710849999999999E-2</v>
      </c>
      <c r="O5473">
        <v>-0.75978959999999995</v>
      </c>
      <c r="P5473">
        <v>-0.48137459999999999</v>
      </c>
      <c r="Q5473">
        <v>-7.1831729999999996E-2</v>
      </c>
      <c r="R5473">
        <v>-0.87356669999999903</v>
      </c>
      <c r="S5473">
        <v>-1.021576</v>
      </c>
      <c r="T5473">
        <v>-3.5416009999999998E-2</v>
      </c>
      <c r="U5473">
        <v>-2.8767239999999998</v>
      </c>
      <c r="V5473">
        <v>-0.20046600000000001</v>
      </c>
      <c r="W5473">
        <v>-6.2916699999999895E-2</v>
      </c>
      <c r="X5473">
        <v>0.9776783</v>
      </c>
      <c r="Y5473">
        <v>-0.35823709999999997</v>
      </c>
      <c r="Z5473">
        <v>-5.5327329999999997E-3</v>
      </c>
      <c r="AA5473">
        <v>0.93361430000000001</v>
      </c>
      <c r="AB5473">
        <v>28</v>
      </c>
      <c r="AC5473">
        <v>-32.680799999999998</v>
      </c>
      <c r="AD5473">
        <v>-1.13876899</v>
      </c>
      <c r="AE5473">
        <v>-92.292879999999997</v>
      </c>
      <c r="AF5473">
        <v>-35.1591352725872</v>
      </c>
      <c r="AG5473">
        <v>-1.13876899</v>
      </c>
      <c r="AH5473">
        <v>91.363299692979297</v>
      </c>
      <c r="AI5473">
        <v>90.666466733345402</v>
      </c>
      <c r="AJ5473">
        <v>111.048111128698</v>
      </c>
      <c r="AK5473">
        <v>97.901553198699702</v>
      </c>
      <c r="AL5473">
        <v>93.607243955670199</v>
      </c>
      <c r="AM5473">
        <v>101.587485405994</v>
      </c>
      <c r="AN5473">
        <v>0.99999999329289002</v>
      </c>
    </row>
    <row r="5474" spans="1:40" x14ac:dyDescent="0.25">
      <c r="A5474" t="str">
        <f>"20190305135038692"</f>
        <v>20190305135038692</v>
      </c>
      <c r="B5474" t="str">
        <f>"1551765038686047"</f>
        <v>1551765038686047</v>
      </c>
      <c r="C5474" t="s">
        <v>40</v>
      </c>
      <c r="D5474">
        <v>4.1469959999999997</v>
      </c>
      <c r="E5474">
        <v>0.4541732</v>
      </c>
      <c r="F5474" t="s">
        <v>42</v>
      </c>
      <c r="G5474">
        <v>-432.86869999999999</v>
      </c>
      <c r="H5474">
        <v>7.9986769999999999E-2</v>
      </c>
      <c r="I5474">
        <v>65.24315</v>
      </c>
      <c r="J5474">
        <v>-409.80939999999998</v>
      </c>
      <c r="K5474">
        <v>1.120457</v>
      </c>
      <c r="L5474">
        <v>132.64089999999999</v>
      </c>
      <c r="M5474">
        <v>-0.63923569999999996</v>
      </c>
      <c r="N5474">
        <v>-1.457873E-2</v>
      </c>
      <c r="O5474">
        <v>-0.76887260000000002</v>
      </c>
      <c r="P5474">
        <v>-0.46928409999999898</v>
      </c>
      <c r="Q5474">
        <v>-7.3776229999999998E-2</v>
      </c>
      <c r="R5474">
        <v>-0.87995979999999996</v>
      </c>
      <c r="S5474">
        <v>-0.99081419999999998</v>
      </c>
      <c r="T5474">
        <v>-4.4396999999999999E-2</v>
      </c>
      <c r="U5474">
        <v>-2.8845519999999998</v>
      </c>
      <c r="V5474">
        <v>-0.20003960000000001</v>
      </c>
      <c r="W5474">
        <v>-6.4902559999999998E-2</v>
      </c>
      <c r="X5474">
        <v>0.97763580000000005</v>
      </c>
      <c r="Y5474">
        <v>-0.3547457</v>
      </c>
      <c r="Z5474">
        <v>-3.4332249999999998E-3</v>
      </c>
      <c r="AA5474">
        <v>0.93495660000000003</v>
      </c>
      <c r="AB5474">
        <v>28</v>
      </c>
      <c r="AC5474">
        <v>-23.0593</v>
      </c>
      <c r="AD5474">
        <v>-1.0404702299999999</v>
      </c>
      <c r="AE5474">
        <v>-67.397749999999903</v>
      </c>
      <c r="AF5474">
        <v>-25.350671450119201</v>
      </c>
      <c r="AG5474">
        <v>-1.0404702299999999</v>
      </c>
      <c r="AH5474">
        <v>66.5534898761059</v>
      </c>
      <c r="AI5474">
        <v>90.837010226443795</v>
      </c>
      <c r="AJ5474">
        <v>110.852173317975</v>
      </c>
      <c r="AK5474">
        <v>71.225740683831006</v>
      </c>
      <c r="AL5474">
        <v>93.721258537492801</v>
      </c>
      <c r="AM5474">
        <v>101.56399199184</v>
      </c>
      <c r="AN5474">
        <v>0.99999997065217605</v>
      </c>
    </row>
    <row r="5475" spans="1:40" x14ac:dyDescent="0.25">
      <c r="A5475" t="str">
        <f>"20190305135038715"</f>
        <v>20190305135038715</v>
      </c>
      <c r="B5475" t="str">
        <f>"1551765038705567"</f>
        <v>1551765038705567</v>
      </c>
      <c r="C5475" t="s">
        <v>40</v>
      </c>
      <c r="D5475">
        <v>4.1439690000000002</v>
      </c>
      <c r="E5475">
        <v>0.45275290000000001</v>
      </c>
      <c r="F5475" t="s">
        <v>42</v>
      </c>
      <c r="G5475">
        <v>-421.69029999999998</v>
      </c>
      <c r="H5475" s="1">
        <v>-1.4945480000000001E-6</v>
      </c>
      <c r="I5475">
        <v>101.8019</v>
      </c>
      <c r="J5475">
        <v>-409.97309999999999</v>
      </c>
      <c r="K5475">
        <v>1.120271</v>
      </c>
      <c r="L5475">
        <v>132.42150000000001</v>
      </c>
      <c r="M5475">
        <v>-0.62839650000000002</v>
      </c>
      <c r="N5475">
        <v>-1.4450599999999999E-2</v>
      </c>
      <c r="O5475">
        <v>-0.77775909999999904</v>
      </c>
      <c r="P5475">
        <v>-0.45717989999999997</v>
      </c>
      <c r="Q5475">
        <v>-7.6277750000000005E-2</v>
      </c>
      <c r="R5475">
        <v>-0.88609760000000004</v>
      </c>
      <c r="S5475">
        <v>-1.0868230000000001</v>
      </c>
      <c r="T5475">
        <v>-0.1024954</v>
      </c>
      <c r="U5475">
        <v>-2.8210449999999998</v>
      </c>
      <c r="V5475">
        <v>-0.1995585</v>
      </c>
      <c r="W5475">
        <v>-6.7438349999999994E-2</v>
      </c>
      <c r="X5475">
        <v>0.9775625</v>
      </c>
      <c r="Y5475">
        <v>-0.30671159999999997</v>
      </c>
      <c r="Z5475">
        <v>1.034735E-2</v>
      </c>
      <c r="AA5475">
        <v>0.95174630000000005</v>
      </c>
      <c r="AB5475">
        <v>28</v>
      </c>
      <c r="AC5475">
        <v>-11.717199999999901</v>
      </c>
      <c r="AD5475">
        <v>-1.120272494548</v>
      </c>
      <c r="AE5475">
        <v>-30.619599999999998</v>
      </c>
      <c r="AF5475">
        <v>-10.117334060529901</v>
      </c>
      <c r="AG5475">
        <v>-1.120272494548</v>
      </c>
      <c r="AH5475">
        <v>31.144607877511699</v>
      </c>
      <c r="AI5475">
        <v>91.959337664204995</v>
      </c>
      <c r="AJ5475">
        <v>107.99640158346099</v>
      </c>
      <c r="AK5475">
        <v>32.765867282865599</v>
      </c>
      <c r="AL5475">
        <v>93.866867722478602</v>
      </c>
      <c r="AM5475">
        <v>101.53776871992299</v>
      </c>
      <c r="AN5475">
        <v>0.99999998368961096</v>
      </c>
    </row>
    <row r="5476" spans="1:40" x14ac:dyDescent="0.25">
      <c r="A5476" t="str">
        <f>"20190305135038738"</f>
        <v>20190305135038738</v>
      </c>
      <c r="B5476" t="str">
        <f>"1551765038726063"</f>
        <v>1551765038726063</v>
      </c>
      <c r="C5476" t="s">
        <v>40</v>
      </c>
      <c r="D5476">
        <v>4.1583540000000001</v>
      </c>
      <c r="E5476">
        <v>0.45743669999999997</v>
      </c>
      <c r="F5476" t="s">
        <v>42</v>
      </c>
      <c r="G5476">
        <v>-418.89839999999998</v>
      </c>
      <c r="H5476" s="1">
        <v>-4.153726E-6</v>
      </c>
      <c r="I5476">
        <v>108.005</v>
      </c>
      <c r="J5476">
        <v>-410.13679999999999</v>
      </c>
      <c r="K5476">
        <v>1.1200889999999999</v>
      </c>
      <c r="L5476">
        <v>132.1961</v>
      </c>
      <c r="M5476">
        <v>-0.61742929999999996</v>
      </c>
      <c r="N5476">
        <v>-1.432894E-2</v>
      </c>
      <c r="O5476">
        <v>-0.78649599999999997</v>
      </c>
      <c r="P5476">
        <v>-0.445546</v>
      </c>
      <c r="Q5476">
        <v>-7.7797820000000004E-2</v>
      </c>
      <c r="R5476">
        <v>-0.89187289999999997</v>
      </c>
      <c r="S5476">
        <v>-1.0377809999999901</v>
      </c>
      <c r="T5476">
        <v>-0.1302586</v>
      </c>
      <c r="U5476">
        <v>-2.8390049999999998</v>
      </c>
      <c r="V5476">
        <v>-0.19854649999999999</v>
      </c>
      <c r="W5476">
        <v>-6.8968689999999999E-2</v>
      </c>
      <c r="X5476">
        <v>0.97766180000000003</v>
      </c>
      <c r="Y5476">
        <v>-0.30981570000000003</v>
      </c>
      <c r="Z5476">
        <v>1.6976229999999998E-2</v>
      </c>
      <c r="AA5476">
        <v>0.95064510000000002</v>
      </c>
      <c r="AB5476">
        <v>28</v>
      </c>
      <c r="AC5476">
        <v>-8.7615999999999801</v>
      </c>
      <c r="AD5476">
        <v>-1.1200931537259999</v>
      </c>
      <c r="AE5476">
        <v>-24.191099999999999</v>
      </c>
      <c r="AF5476">
        <v>-8.0309351296022609</v>
      </c>
      <c r="AG5476">
        <v>-1.1200931537259999</v>
      </c>
      <c r="AH5476">
        <v>24.3921489987966</v>
      </c>
      <c r="AI5476">
        <v>92.497486413588803</v>
      </c>
      <c r="AJ5476">
        <v>108.223748223342</v>
      </c>
      <c r="AK5476">
        <v>25.7046194390891</v>
      </c>
      <c r="AL5476">
        <v>93.954754365329293</v>
      </c>
      <c r="AM5476">
        <v>101.47968075523499</v>
      </c>
      <c r="AN5476">
        <v>0.999999994020903</v>
      </c>
    </row>
    <row r="5477" spans="1:40" x14ac:dyDescent="0.25">
      <c r="A5477" t="str">
        <f>"20190305135038772"</f>
        <v>20190305135038772</v>
      </c>
      <c r="B5477" t="str">
        <f>"1551765038766079"</f>
        <v>1551765038766079</v>
      </c>
      <c r="C5477" t="s">
        <v>40</v>
      </c>
      <c r="D5477">
        <v>4.2003659999999998</v>
      </c>
      <c r="E5477">
        <v>0.46138679999999899</v>
      </c>
      <c r="F5477" t="s">
        <v>42</v>
      </c>
      <c r="G5477">
        <v>-417.74919999999997</v>
      </c>
      <c r="H5477" s="1">
        <v>-1.1711079999999999E-6</v>
      </c>
      <c r="I5477">
        <v>111.3296</v>
      </c>
      <c r="J5477">
        <v>-410.38249999999999</v>
      </c>
      <c r="K5477">
        <v>1.1198360000000001</v>
      </c>
      <c r="L5477">
        <v>131.8459</v>
      </c>
      <c r="M5477">
        <v>-0.60075369999999995</v>
      </c>
      <c r="N5477">
        <v>-1.4153880000000001E-2</v>
      </c>
      <c r="O5477">
        <v>-0.79930880000000004</v>
      </c>
      <c r="P5477">
        <v>-0.42890070000000002</v>
      </c>
      <c r="Q5477">
        <v>-7.7932559999999998E-2</v>
      </c>
      <c r="R5477">
        <v>-0.8999838</v>
      </c>
      <c r="S5477">
        <v>-1.0338750000000001</v>
      </c>
      <c r="T5477">
        <v>-0.1521236</v>
      </c>
      <c r="U5477">
        <v>-2.8339539999999999</v>
      </c>
      <c r="V5477">
        <v>-0.19617850000000001</v>
      </c>
      <c r="W5477">
        <v>-6.908243E-2</v>
      </c>
      <c r="X5477">
        <v>0.97813170000000005</v>
      </c>
      <c r="Y5477">
        <v>-0.29041080000000002</v>
      </c>
      <c r="Z5477">
        <v>2.3208739999999999E-2</v>
      </c>
      <c r="AA5477">
        <v>0.95662060000000004</v>
      </c>
      <c r="AB5477">
        <v>28</v>
      </c>
      <c r="AC5477">
        <v>-7.3666999999999803</v>
      </c>
      <c r="AD5477">
        <v>-1.119837171108</v>
      </c>
      <c r="AE5477">
        <v>-20.516300000000001</v>
      </c>
      <c r="AF5477">
        <v>-6.4206757939642403</v>
      </c>
      <c r="AG5477">
        <v>-1.119837171108</v>
      </c>
      <c r="AH5477">
        <v>20.771701419550102</v>
      </c>
      <c r="AI5477">
        <v>92.948535105886506</v>
      </c>
      <c r="AJ5477">
        <v>107.17673881789899</v>
      </c>
      <c r="AK5477">
        <v>21.7702249139492</v>
      </c>
      <c r="AL5477">
        <v>93.961286727153393</v>
      </c>
      <c r="AM5477">
        <v>101.341028845409</v>
      </c>
      <c r="AN5477">
        <v>1.0000000042709201</v>
      </c>
    </row>
    <row r="5478" spans="1:40" x14ac:dyDescent="0.25">
      <c r="A5478" t="str">
        <f>"20190305135038794"</f>
        <v>20190305135038794</v>
      </c>
      <c r="B5478" t="str">
        <f>"1551765038785599"</f>
        <v>1551765038785599</v>
      </c>
      <c r="C5478" t="s">
        <v>40</v>
      </c>
      <c r="D5478">
        <v>4.1893859999999998</v>
      </c>
      <c r="E5478">
        <v>0.46336690000000003</v>
      </c>
      <c r="F5478" t="s">
        <v>42</v>
      </c>
      <c r="G5478">
        <v>-417.8947</v>
      </c>
      <c r="H5478" s="1">
        <v>-9.2303650000000005E-7</v>
      </c>
      <c r="I5478">
        <v>110.7144</v>
      </c>
      <c r="J5478">
        <v>-410.53489999999999</v>
      </c>
      <c r="K5478">
        <v>1.119683</v>
      </c>
      <c r="L5478">
        <v>131.62090000000001</v>
      </c>
      <c r="M5478">
        <v>-0.59030139999999998</v>
      </c>
      <c r="N5478">
        <v>-1.404912E-2</v>
      </c>
      <c r="O5478">
        <v>-0.80706069999999996</v>
      </c>
      <c r="P5478">
        <v>-0.41933219999999999</v>
      </c>
      <c r="Q5478">
        <v>-7.7272779999999999E-2</v>
      </c>
      <c r="R5478">
        <v>-0.90453850000000002</v>
      </c>
      <c r="S5478">
        <v>-1.009369</v>
      </c>
      <c r="T5478">
        <v>-0.15046679999999901</v>
      </c>
      <c r="U5478">
        <v>-2.83934</v>
      </c>
      <c r="V5478">
        <v>-0.19390009999999999</v>
      </c>
      <c r="W5478">
        <v>-6.8381289999999997E-2</v>
      </c>
      <c r="X5478">
        <v>0.97863509999999998</v>
      </c>
      <c r="Y5478">
        <v>-0.28585549999999998</v>
      </c>
      <c r="Z5478">
        <v>2.3419249999999999E-2</v>
      </c>
      <c r="AA5478">
        <v>0.95798649999999996</v>
      </c>
      <c r="AB5478">
        <v>28</v>
      </c>
      <c r="AC5478">
        <v>-7.3597999999999999</v>
      </c>
      <c r="AD5478">
        <v>-1.1196839230365001</v>
      </c>
      <c r="AE5478">
        <v>-20.906500000000001</v>
      </c>
      <c r="AF5478">
        <v>-6.3856658522197796</v>
      </c>
      <c r="AG5478">
        <v>-1.1196839230365001</v>
      </c>
      <c r="AH5478">
        <v>21.1653927827624</v>
      </c>
      <c r="AI5478">
        <v>92.899369115303699</v>
      </c>
      <c r="AJ5478">
        <v>106.788728627922</v>
      </c>
      <c r="AK5478">
        <v>22.136040118149399</v>
      </c>
      <c r="AL5478">
        <v>93.921019333949104</v>
      </c>
      <c r="AM5478">
        <v>101.207049500347</v>
      </c>
      <c r="AN5478">
        <v>0.99999995427704103</v>
      </c>
    </row>
    <row r="5479" spans="1:40" x14ac:dyDescent="0.25">
      <c r="A5479" t="str">
        <f>"20190305135038816"</f>
        <v>20190305135038816</v>
      </c>
      <c r="B5479" t="str">
        <f>"1551765038806096"</f>
        <v>1551765038806096</v>
      </c>
      <c r="C5479" t="s">
        <v>40</v>
      </c>
      <c r="D5479">
        <v>4.2157150000000003</v>
      </c>
      <c r="E5479">
        <v>0.46511079999999999</v>
      </c>
      <c r="F5479" t="s">
        <v>42</v>
      </c>
      <c r="G5479">
        <v>-418.1739</v>
      </c>
      <c r="H5479" s="1">
        <v>-5.212113E-7</v>
      </c>
      <c r="I5479">
        <v>109.75190000000001</v>
      </c>
      <c r="J5479">
        <v>-410.68680000000001</v>
      </c>
      <c r="K5479">
        <v>1.1195329999999999</v>
      </c>
      <c r="L5479">
        <v>131.39060000000001</v>
      </c>
      <c r="M5479">
        <v>-0.57977650000000003</v>
      </c>
      <c r="N5479">
        <v>-1.3950850000000001E-2</v>
      </c>
      <c r="O5479">
        <v>-0.8146563</v>
      </c>
      <c r="P5479">
        <v>-0.40909899999999999</v>
      </c>
      <c r="Q5479">
        <v>-7.6070719999999994E-2</v>
      </c>
      <c r="R5479">
        <v>-0.9093137</v>
      </c>
      <c r="S5479">
        <v>-0.99331670000000005</v>
      </c>
      <c r="T5479">
        <v>-0.145595</v>
      </c>
      <c r="U5479">
        <v>-2.843674</v>
      </c>
      <c r="V5479">
        <v>-0.19235350000000001</v>
      </c>
      <c r="W5479">
        <v>-6.7156149999999998E-2</v>
      </c>
      <c r="X5479">
        <v>0.97902509999999998</v>
      </c>
      <c r="Y5479">
        <v>-0.27868490000000001</v>
      </c>
      <c r="Z5479">
        <v>2.2852730000000002E-2</v>
      </c>
      <c r="AA5479">
        <v>0.96011069999999998</v>
      </c>
      <c r="AB5479">
        <v>28</v>
      </c>
      <c r="AC5479">
        <v>-7.4870999999999901</v>
      </c>
      <c r="AD5479">
        <v>-1.11953352121129</v>
      </c>
      <c r="AE5479">
        <v>-21.6387</v>
      </c>
      <c r="AF5479">
        <v>-6.4314481119723803</v>
      </c>
      <c r="AG5479">
        <v>-1.11953352121129</v>
      </c>
      <c r="AH5479">
        <v>21.918684468552598</v>
      </c>
      <c r="AI5479">
        <v>92.805844210534005</v>
      </c>
      <c r="AJ5479">
        <v>106.35290663731401</v>
      </c>
      <c r="AK5479">
        <v>22.8701904004771</v>
      </c>
      <c r="AL5479">
        <v>93.850662121343802</v>
      </c>
      <c r="AM5479">
        <v>101.115576123468</v>
      </c>
      <c r="AN5479">
        <v>0.99999998193754103</v>
      </c>
    </row>
    <row r="5480" spans="1:40" x14ac:dyDescent="0.25">
      <c r="A5480" t="str">
        <f>"20190305135038839"</f>
        <v>20190305135038839</v>
      </c>
      <c r="B5480" t="str">
        <f>"1551765038835376"</f>
        <v>1551765038835376</v>
      </c>
      <c r="C5480" t="s">
        <v>40</v>
      </c>
      <c r="D5480">
        <v>4.2291210000000001</v>
      </c>
      <c r="E5480">
        <v>0.48436990000000002</v>
      </c>
      <c r="F5480" t="s">
        <v>42</v>
      </c>
      <c r="G5480">
        <v>-418.59410000000003</v>
      </c>
      <c r="H5480" s="1">
        <v>-4.3303830000000002E-6</v>
      </c>
      <c r="I5480">
        <v>108.2645</v>
      </c>
      <c r="J5480">
        <v>-410.83670000000001</v>
      </c>
      <c r="K5480">
        <v>1.119391</v>
      </c>
      <c r="L5480">
        <v>131.15700000000001</v>
      </c>
      <c r="M5480">
        <v>-0.56928250000000002</v>
      </c>
      <c r="N5480">
        <v>-1.38599E-2</v>
      </c>
      <c r="O5480">
        <v>-0.82202529999999996</v>
      </c>
      <c r="P5480">
        <v>-0.39811160000000001</v>
      </c>
      <c r="Q5480">
        <v>-7.3591809999999994E-2</v>
      </c>
      <c r="R5480">
        <v>-0.91438050000000004</v>
      </c>
      <c r="S5480">
        <v>-0.97424319999999998</v>
      </c>
      <c r="T5480">
        <v>-0.137935</v>
      </c>
      <c r="U5480">
        <v>-2.8493040000000001</v>
      </c>
      <c r="V5480">
        <v>-0.1917963</v>
      </c>
      <c r="W5480">
        <v>-6.4672770000000004E-2</v>
      </c>
      <c r="X5480">
        <v>0.97930159999999999</v>
      </c>
      <c r="Y5480">
        <v>-0.27269589999999999</v>
      </c>
      <c r="Z5480">
        <v>2.1518269999999999E-2</v>
      </c>
      <c r="AA5480">
        <v>0.96185960000000004</v>
      </c>
      <c r="AB5480">
        <v>28</v>
      </c>
      <c r="AC5480">
        <v>-7.7574000000000103</v>
      </c>
      <c r="AD5480">
        <v>-1.119395330383</v>
      </c>
      <c r="AE5480">
        <v>-22.892499999999998</v>
      </c>
      <c r="AF5480">
        <v>-6.6419139431497296</v>
      </c>
      <c r="AG5480">
        <v>-1.119395330383</v>
      </c>
      <c r="AH5480">
        <v>23.186865629413202</v>
      </c>
      <c r="AI5480">
        <v>92.657222898566602</v>
      </c>
      <c r="AJ5480">
        <v>105.98444312264</v>
      </c>
      <c r="AK5480">
        <v>24.145368177982999</v>
      </c>
      <c r="AL5480">
        <v>93.708064690277098</v>
      </c>
      <c r="AM5480">
        <v>101.08112348156899</v>
      </c>
      <c r="AN5480">
        <v>1.00000000581786</v>
      </c>
    </row>
    <row r="5481" spans="1:40" x14ac:dyDescent="0.25">
      <c r="A5481" t="str">
        <f>"20190305135038861"</f>
        <v>20190305135038861</v>
      </c>
      <c r="B5481" t="str">
        <f>"1551765038855871"</f>
        <v>1551765038855871</v>
      </c>
      <c r="C5481" t="s">
        <v>40</v>
      </c>
      <c r="D5481">
        <v>4.2605639999999996</v>
      </c>
      <c r="E5481">
        <v>0.48528009999999999</v>
      </c>
      <c r="F5481" t="s">
        <v>42</v>
      </c>
      <c r="G5481">
        <v>-420.26339999999999</v>
      </c>
      <c r="H5481" s="1">
        <v>-3.4448410000000001E-6</v>
      </c>
      <c r="I5481">
        <v>106.7308</v>
      </c>
      <c r="J5481">
        <v>-410.98340000000002</v>
      </c>
      <c r="K5481">
        <v>1.119238</v>
      </c>
      <c r="L5481">
        <v>130.92240000000001</v>
      </c>
      <c r="M5481">
        <v>-0.55892519999999901</v>
      </c>
      <c r="N5481">
        <v>-1.3773809999999999E-2</v>
      </c>
      <c r="O5481">
        <v>-0.8291037</v>
      </c>
      <c r="P5481">
        <v>-0.38667240000000003</v>
      </c>
      <c r="Q5481">
        <v>-7.1025270000000001E-2</v>
      </c>
      <c r="R5481">
        <v>-0.91947829999999997</v>
      </c>
      <c r="S5481">
        <v>-1.080627</v>
      </c>
      <c r="T5481">
        <v>-0.12832080000000001</v>
      </c>
      <c r="U5481">
        <v>-2.8000790000000002</v>
      </c>
      <c r="V5481">
        <v>-0.19192609999999999</v>
      </c>
      <c r="W5481">
        <v>-6.211332E-2</v>
      </c>
      <c r="X5481">
        <v>0.97944180000000003</v>
      </c>
      <c r="Y5481">
        <v>-0.2229389</v>
      </c>
      <c r="Z5481">
        <v>2.0442689999999999E-2</v>
      </c>
      <c r="AA5481">
        <v>0.97461810000000004</v>
      </c>
      <c r="AB5481">
        <v>28</v>
      </c>
      <c r="AC5481">
        <v>-9.2799999999999692</v>
      </c>
      <c r="AD5481">
        <v>-1.119241444841</v>
      </c>
      <c r="AE5481">
        <v>-24.191600000000001</v>
      </c>
      <c r="AF5481">
        <v>-5.8169112515747496</v>
      </c>
      <c r="AG5481">
        <v>-1.119241444841</v>
      </c>
      <c r="AH5481">
        <v>25.199544563613099</v>
      </c>
      <c r="AI5481">
        <v>92.478049637873795</v>
      </c>
      <c r="AJ5481">
        <v>102.998139207666</v>
      </c>
      <c r="AK5481">
        <v>25.886409641625999</v>
      </c>
      <c r="AL5481">
        <v>93.561123557540398</v>
      </c>
      <c r="AM5481">
        <v>101.086889045129</v>
      </c>
      <c r="AN5481">
        <v>0.99999996598493501</v>
      </c>
    </row>
    <row r="5482" spans="1:40" x14ac:dyDescent="0.25">
      <c r="A5482" t="str">
        <f>"20190305135038883"</f>
        <v>20190305135038883</v>
      </c>
      <c r="B5482" t="str">
        <f>"1551765038875395"</f>
        <v>1551765038875395</v>
      </c>
      <c r="C5482" t="s">
        <v>40</v>
      </c>
      <c r="D5482">
        <v>4.226216</v>
      </c>
      <c r="E5482">
        <v>0.48509059999999998</v>
      </c>
      <c r="F5482" t="s">
        <v>42</v>
      </c>
      <c r="G5482">
        <v>-419.74299999999999</v>
      </c>
      <c r="H5482" s="1">
        <v>-3.7755659999999998E-6</v>
      </c>
      <c r="I5482">
        <v>107.5219</v>
      </c>
      <c r="J5482">
        <v>-411.12369999999999</v>
      </c>
      <c r="K5482">
        <v>1.1190629999999999</v>
      </c>
      <c r="L5482">
        <v>130.69210000000001</v>
      </c>
      <c r="M5482">
        <v>-0.5489463</v>
      </c>
      <c r="N5482">
        <v>-1.36934E-2</v>
      </c>
      <c r="O5482">
        <v>-0.83574559999999998</v>
      </c>
      <c r="P5482">
        <v>-0.37592199999999998</v>
      </c>
      <c r="Q5482">
        <v>-7.2300439999999994E-2</v>
      </c>
      <c r="R5482">
        <v>-0.92382649999999999</v>
      </c>
      <c r="S5482">
        <v>-1.0518799999999999</v>
      </c>
      <c r="T5482">
        <v>-0.13440189999999999</v>
      </c>
      <c r="U5482">
        <v>-2.8099980000000002</v>
      </c>
      <c r="V5482">
        <v>-0.19154840000000001</v>
      </c>
      <c r="W5482">
        <v>-6.3378820000000002E-2</v>
      </c>
      <c r="X5482">
        <v>0.97943469999999999</v>
      </c>
      <c r="Y5482">
        <v>-0.2211381</v>
      </c>
      <c r="Z5482">
        <v>2.2376360000000001E-2</v>
      </c>
      <c r="AA5482">
        <v>0.97498580000000001</v>
      </c>
      <c r="AB5482">
        <v>28</v>
      </c>
      <c r="AC5482">
        <v>-8.6193000000000595</v>
      </c>
      <c r="AD5482">
        <v>-1.119066775566</v>
      </c>
      <c r="AE5482">
        <v>-23.170200000000001</v>
      </c>
      <c r="AF5482">
        <v>-5.50488990319755</v>
      </c>
      <c r="AG5482">
        <v>-1.119066775566</v>
      </c>
      <c r="AH5482">
        <v>24.048903179733401</v>
      </c>
      <c r="AI5482">
        <v>92.597143596006006</v>
      </c>
      <c r="AJ5482">
        <v>102.89310857412799</v>
      </c>
      <c r="AK5482">
        <v>24.6962723390129</v>
      </c>
      <c r="AL5482">
        <v>93.633774414540895</v>
      </c>
      <c r="AM5482">
        <v>101.065687916748</v>
      </c>
      <c r="AN5482">
        <v>0.999999997965621</v>
      </c>
    </row>
    <row r="5483" spans="1:40" x14ac:dyDescent="0.25">
      <c r="A5483" t="str">
        <f>"20190305135038905"</f>
        <v>20190305135038905</v>
      </c>
      <c r="B5483" t="str">
        <f>"1551765038895887"</f>
        <v>1551765038895887</v>
      </c>
      <c r="C5483" t="s">
        <v>40</v>
      </c>
      <c r="D5483">
        <v>4.4794619999999998</v>
      </c>
      <c r="E5483">
        <v>0.48408770000000001</v>
      </c>
      <c r="F5483" t="s">
        <v>42</v>
      </c>
      <c r="G5483">
        <v>-420.3639</v>
      </c>
      <c r="H5483" s="1">
        <v>-2.6807789999999999E-6</v>
      </c>
      <c r="I5483">
        <v>105.0579</v>
      </c>
      <c r="J5483">
        <v>-411.2688</v>
      </c>
      <c r="K5483">
        <v>1.1188579999999999</v>
      </c>
      <c r="L5483">
        <v>130.4478</v>
      </c>
      <c r="M5483">
        <v>-0.53856749999999998</v>
      </c>
      <c r="N5483">
        <v>-1.3612239999999999E-2</v>
      </c>
      <c r="O5483">
        <v>-0.84247240000000001</v>
      </c>
      <c r="P5483">
        <v>-0.36483880000000002</v>
      </c>
      <c r="Q5483">
        <v>-7.5352970000000005E-2</v>
      </c>
      <c r="R5483">
        <v>-0.92801650000000002</v>
      </c>
      <c r="S5483">
        <v>-1.017792</v>
      </c>
      <c r="T5483">
        <v>-0.1232632</v>
      </c>
      <c r="U5483">
        <v>-2.823563</v>
      </c>
      <c r="V5483">
        <v>-0.19098290000000001</v>
      </c>
      <c r="W5483">
        <v>-6.6409239999999994E-2</v>
      </c>
      <c r="X5483">
        <v>0.9793444</v>
      </c>
      <c r="Y5483">
        <v>-0.22097600000000001</v>
      </c>
      <c r="Z5483">
        <v>1.9820109999999998E-2</v>
      </c>
      <c r="AA5483">
        <v>0.97507779999999999</v>
      </c>
      <c r="AB5483">
        <v>28</v>
      </c>
      <c r="AC5483">
        <v>-9.0951000000000004</v>
      </c>
      <c r="AD5483">
        <v>-1.11886068077899</v>
      </c>
      <c r="AE5483">
        <v>-25.389900000000001</v>
      </c>
      <c r="AF5483">
        <v>-6.0020314222128803</v>
      </c>
      <c r="AG5483">
        <v>-1.11886068077899</v>
      </c>
      <c r="AH5483">
        <v>26.2458803459044</v>
      </c>
      <c r="AI5483">
        <v>92.379680080543906</v>
      </c>
      <c r="AJ5483">
        <v>102.881169458852</v>
      </c>
      <c r="AK5483">
        <v>26.946659636172999</v>
      </c>
      <c r="AL5483">
        <v>93.8077713007971</v>
      </c>
      <c r="AM5483">
        <v>101.034814432819</v>
      </c>
      <c r="AN5483">
        <v>1.0000000545305701</v>
      </c>
    </row>
    <row r="5484" spans="1:40" x14ac:dyDescent="0.25">
      <c r="A5484" t="str">
        <f>"20190305135038928"</f>
        <v>20190305135038928</v>
      </c>
      <c r="B5484" t="str">
        <f>"1551765038925167"</f>
        <v>1551765038925167</v>
      </c>
      <c r="C5484" t="s">
        <v>40</v>
      </c>
      <c r="D5484">
        <v>3.9263170000000001</v>
      </c>
      <c r="E5484">
        <v>0.4082713</v>
      </c>
      <c r="F5484" t="s">
        <v>42</v>
      </c>
      <c r="G5484">
        <v>-419.57799999999997</v>
      </c>
      <c r="H5484" s="1">
        <v>-3.2347269999999998E-6</v>
      </c>
      <c r="I5484">
        <v>106.3159</v>
      </c>
      <c r="J5484">
        <v>-411.40600000000001</v>
      </c>
      <c r="K5484">
        <v>1.1186469999999999</v>
      </c>
      <c r="L5484">
        <v>130.21080000000001</v>
      </c>
      <c r="M5484">
        <v>-0.52871480000000004</v>
      </c>
      <c r="N5484">
        <v>-1.3536889999999999E-2</v>
      </c>
      <c r="O5484">
        <v>-0.84869159999999899</v>
      </c>
      <c r="P5484">
        <v>-0.35365439999999998</v>
      </c>
      <c r="Q5484">
        <v>-7.8508049999999996E-2</v>
      </c>
      <c r="R5484">
        <v>-0.93207580000000001</v>
      </c>
      <c r="S5484">
        <v>-0.97714230000000002</v>
      </c>
      <c r="T5484">
        <v>-0.13157559999999999</v>
      </c>
      <c r="U5484">
        <v>-2.83786</v>
      </c>
      <c r="V5484">
        <v>-0.1911688</v>
      </c>
      <c r="W5484">
        <v>-6.9552580000000003E-2</v>
      </c>
      <c r="X5484">
        <v>0.97908989999999996</v>
      </c>
      <c r="Y5484">
        <v>-0.2236233</v>
      </c>
      <c r="Z5484">
        <v>2.2260539999999999E-2</v>
      </c>
      <c r="AA5484">
        <v>0.97442139999999999</v>
      </c>
      <c r="AB5484">
        <v>28</v>
      </c>
      <c r="AC5484">
        <v>-8.1720000000000201</v>
      </c>
      <c r="AD5484">
        <v>-1.118650234727</v>
      </c>
      <c r="AE5484">
        <v>-23.8949</v>
      </c>
      <c r="AF5484">
        <v>-5.6874418107457796</v>
      </c>
      <c r="AG5484">
        <v>-1.118650234727</v>
      </c>
      <c r="AH5484">
        <v>24.554132565445599</v>
      </c>
      <c r="AI5484">
        <v>92.541317098056993</v>
      </c>
      <c r="AJ5484">
        <v>103.04136208636599</v>
      </c>
      <c r="AK5484">
        <v>25.229026908300501</v>
      </c>
      <c r="AL5484">
        <v>93.988289098483804</v>
      </c>
      <c r="AM5484">
        <v>101.048091972067</v>
      </c>
      <c r="AN5484">
        <v>1.00000005188005</v>
      </c>
    </row>
    <row r="5485" spans="1:40" x14ac:dyDescent="0.25">
      <c r="A5485" t="str">
        <f>"20190305135038995"</f>
        <v>20190305135038995</v>
      </c>
      <c r="B5485" t="str">
        <f>"1551765038985679"</f>
        <v>1551765038985679</v>
      </c>
      <c r="C5485" t="s">
        <v>40</v>
      </c>
      <c r="D5485">
        <v>3.8983509999999999</v>
      </c>
      <c r="E5485">
        <v>0.39741080000000001</v>
      </c>
      <c r="F5485" t="s">
        <v>97</v>
      </c>
      <c r="G5485">
        <v>-427.21420000000001</v>
      </c>
      <c r="H5485">
        <v>3.7988149999999998</v>
      </c>
      <c r="I5485">
        <v>1.7010559999999999</v>
      </c>
      <c r="J5485">
        <v>-411.80930000000001</v>
      </c>
      <c r="K5485">
        <v>1.11796299999999</v>
      </c>
      <c r="L5485">
        <v>129.4777</v>
      </c>
      <c r="M5485">
        <v>-0.4997375</v>
      </c>
      <c r="N5485">
        <v>-1.331975E-2</v>
      </c>
      <c r="O5485">
        <v>-0.86607459999999903</v>
      </c>
      <c r="P5485">
        <v>-0.3200189</v>
      </c>
      <c r="Q5485">
        <v>-7.8725340000000005E-2</v>
      </c>
      <c r="R5485">
        <v>-0.94413499999999995</v>
      </c>
      <c r="S5485">
        <v>-0.37890629999999997</v>
      </c>
      <c r="T5485">
        <v>6.4240220000000001E-2</v>
      </c>
      <c r="U5485">
        <v>-3.0802459999999998</v>
      </c>
      <c r="V5485">
        <v>-0.19327359999999999</v>
      </c>
      <c r="W5485">
        <v>-6.9715159999999998E-2</v>
      </c>
      <c r="X5485">
        <v>0.97866489999999995</v>
      </c>
      <c r="Y5485">
        <v>-0.39036910000000002</v>
      </c>
      <c r="Z5485">
        <v>-2.8708850000000001E-2</v>
      </c>
      <c r="AA5485">
        <v>0.92021070000000005</v>
      </c>
      <c r="AB5485">
        <v>28</v>
      </c>
      <c r="AC5485">
        <v>-15.4048999999999</v>
      </c>
      <c r="AD5485">
        <v>2.6808519999999998</v>
      </c>
      <c r="AE5485">
        <v>-127.776643999999</v>
      </c>
      <c r="AF5485">
        <v>-50.495555216828699</v>
      </c>
      <c r="AG5485">
        <v>2.6808519999999998</v>
      </c>
      <c r="AH5485">
        <v>118.321663333182</v>
      </c>
      <c r="AI5485">
        <v>88.806187786480393</v>
      </c>
      <c r="AJ5485">
        <v>113.11109740676</v>
      </c>
      <c r="AK5485">
        <v>128.67402254547099</v>
      </c>
      <c r="AL5485">
        <v>93.9976273713296</v>
      </c>
      <c r="AM5485">
        <v>101.171419643896</v>
      </c>
      <c r="AN5485">
        <v>0.99999993724139502</v>
      </c>
    </row>
    <row r="5486" spans="1:40" x14ac:dyDescent="0.25">
      <c r="A5486" t="str">
        <f>"20190305135039017"</f>
        <v>20190305135039017</v>
      </c>
      <c r="B5486" t="str">
        <f>"1551765039015935"</f>
        <v>1551765039015935</v>
      </c>
      <c r="C5486" t="s">
        <v>40</v>
      </c>
      <c r="D5486">
        <v>4.1594569999999997</v>
      </c>
      <c r="E5486">
        <v>0.40129900000000002</v>
      </c>
      <c r="F5486" t="s">
        <v>97</v>
      </c>
      <c r="G5486">
        <v>-419.44099999999997</v>
      </c>
      <c r="H5486">
        <v>7.9772629999999998</v>
      </c>
      <c r="I5486">
        <v>1.780125</v>
      </c>
      <c r="J5486">
        <v>-411.94040000000001</v>
      </c>
      <c r="K5486">
        <v>1.117726</v>
      </c>
      <c r="L5486">
        <v>129.2277</v>
      </c>
      <c r="M5486">
        <v>-0.49035459999999897</v>
      </c>
      <c r="N5486">
        <v>-1.3253839999999999E-2</v>
      </c>
      <c r="O5486">
        <v>-0.87142219999999904</v>
      </c>
      <c r="P5486">
        <v>-0.30939660000000002</v>
      </c>
      <c r="Q5486">
        <v>-8.0437439999999999E-2</v>
      </c>
      <c r="R5486">
        <v>-0.94752510000000001</v>
      </c>
      <c r="S5486">
        <v>-0.1869507</v>
      </c>
      <c r="T5486">
        <v>0.16802819999999999</v>
      </c>
      <c r="U5486">
        <v>-3.1281430000000001</v>
      </c>
      <c r="V5486">
        <v>-0.1936243</v>
      </c>
      <c r="W5486">
        <v>-7.1396340000000003E-2</v>
      </c>
      <c r="X5486">
        <v>0.97847439999999997</v>
      </c>
      <c r="Y5486">
        <v>-0.4377201</v>
      </c>
      <c r="Z5486">
        <v>-5.3641590000000003E-2</v>
      </c>
      <c r="AA5486">
        <v>0.89750969999999997</v>
      </c>
      <c r="AB5486">
        <v>28</v>
      </c>
      <c r="AC5486">
        <v>-7.5005999999999604</v>
      </c>
      <c r="AD5486">
        <v>6.8595369999999898</v>
      </c>
      <c r="AE5486">
        <v>-127.447575</v>
      </c>
      <c r="AF5486">
        <v>-55.802139697145797</v>
      </c>
      <c r="AG5486">
        <v>6.8595369999999898</v>
      </c>
      <c r="AH5486">
        <v>114.418372772536</v>
      </c>
      <c r="AI5486">
        <v>86.915624955780899</v>
      </c>
      <c r="AJ5486">
        <v>115.998612685563</v>
      </c>
      <c r="AK5486">
        <v>127.48527785807001</v>
      </c>
      <c r="AL5486">
        <v>94.094192391696097</v>
      </c>
      <c r="AM5486">
        <v>101.19330308197</v>
      </c>
      <c r="AN5486">
        <v>0.999999979185622</v>
      </c>
    </row>
    <row r="5487" spans="1:40" x14ac:dyDescent="0.25">
      <c r="A5487" t="str">
        <f>"20190305135039040"</f>
        <v>20190305135039040</v>
      </c>
      <c r="B5487" t="str">
        <f>"1551765039035476"</f>
        <v>1551765039035476</v>
      </c>
      <c r="C5487" t="s">
        <v>40</v>
      </c>
      <c r="D5487">
        <v>4.1900360000000001</v>
      </c>
      <c r="E5487">
        <v>0.40534609999999999</v>
      </c>
      <c r="F5487" t="s">
        <v>97</v>
      </c>
      <c r="G5487">
        <v>-419.32859999999999</v>
      </c>
      <c r="H5487">
        <v>7.8986910000000004</v>
      </c>
      <c r="I5487">
        <v>1.78126899999999</v>
      </c>
      <c r="J5487">
        <v>-412.06720000000001</v>
      </c>
      <c r="K5487">
        <v>1.1174930000000001</v>
      </c>
      <c r="L5487">
        <v>128.97989999999999</v>
      </c>
      <c r="M5487">
        <v>-0.48135230000000001</v>
      </c>
      <c r="N5487">
        <v>-1.31886E-2</v>
      </c>
      <c r="O5487">
        <v>-0.87642819999999899</v>
      </c>
      <c r="P5487">
        <v>-0.29842150000000001</v>
      </c>
      <c r="Q5487">
        <v>-8.0552509999999994E-2</v>
      </c>
      <c r="R5487">
        <v>-0.95102920000000002</v>
      </c>
      <c r="S5487">
        <v>-0.18093870000000001</v>
      </c>
      <c r="T5487">
        <v>0.16606560000000001</v>
      </c>
      <c r="U5487">
        <v>-3.1211700000000002</v>
      </c>
      <c r="V5487">
        <v>-0.19488820000000001</v>
      </c>
      <c r="W5487">
        <v>-7.1490799999999993E-2</v>
      </c>
      <c r="X5487">
        <v>0.97821659999999999</v>
      </c>
      <c r="Y5487">
        <v>-0.4300426</v>
      </c>
      <c r="Z5487">
        <v>-5.3698330000000002E-2</v>
      </c>
      <c r="AA5487">
        <v>0.90121019999999996</v>
      </c>
      <c r="AB5487">
        <v>28</v>
      </c>
      <c r="AC5487">
        <v>-7.2613999999999796</v>
      </c>
      <c r="AD5487">
        <v>6.7811979999999998</v>
      </c>
      <c r="AE5487">
        <v>-127.19863100000001</v>
      </c>
      <c r="AF5487">
        <v>-54.7130220429095</v>
      </c>
      <c r="AG5487">
        <v>6.7811979999999998</v>
      </c>
      <c r="AH5487">
        <v>114.660912810742</v>
      </c>
      <c r="AI5487">
        <v>86.944679601048904</v>
      </c>
      <c r="AJ5487">
        <v>115.509188021494</v>
      </c>
      <c r="AK5487">
        <v>127.226665263127</v>
      </c>
      <c r="AL5487">
        <v>94.099618204818995</v>
      </c>
      <c r="AM5487">
        <v>101.267398630063</v>
      </c>
      <c r="AN5487">
        <v>1.0000000307497099</v>
      </c>
    </row>
    <row r="5488" spans="1:40" x14ac:dyDescent="0.25">
      <c r="A5488" t="str">
        <f>"20190305135039062"</f>
        <v>20190305135039062</v>
      </c>
      <c r="B5488" t="str">
        <f>"1551765039055968"</f>
        <v>1551765039055968</v>
      </c>
      <c r="C5488" t="s">
        <v>40</v>
      </c>
      <c r="D5488">
        <v>4.183586</v>
      </c>
      <c r="E5488">
        <v>0.40854689999999999</v>
      </c>
      <c r="F5488" t="s">
        <v>97</v>
      </c>
      <c r="G5488">
        <v>-419.20909999999998</v>
      </c>
      <c r="H5488">
        <v>7.6935139999999897</v>
      </c>
      <c r="I5488">
        <v>1.7824819999999999</v>
      </c>
      <c r="J5488">
        <v>-412.19389999999999</v>
      </c>
      <c r="K5488">
        <v>1.1172219999999999</v>
      </c>
      <c r="L5488">
        <v>128.72669999999999</v>
      </c>
      <c r="M5488">
        <v>-0.47249000000000002</v>
      </c>
      <c r="N5488">
        <v>-1.311939E-2</v>
      </c>
      <c r="O5488">
        <v>-0.88123859999999998</v>
      </c>
      <c r="P5488">
        <v>-0.28916779999999997</v>
      </c>
      <c r="Q5488">
        <v>-8.0905160000000004E-2</v>
      </c>
      <c r="R5488">
        <v>-0.95385359999999997</v>
      </c>
      <c r="S5488">
        <v>-0.17480470000000001</v>
      </c>
      <c r="T5488">
        <v>0.16095299999999901</v>
      </c>
      <c r="U5488">
        <v>-3.1132659999999999</v>
      </c>
      <c r="V5488">
        <v>-0.19455349999999999</v>
      </c>
      <c r="W5488">
        <v>-7.1772459999999996E-2</v>
      </c>
      <c r="X5488">
        <v>0.97826250000000003</v>
      </c>
      <c r="Y5488">
        <v>-0.42255389999999998</v>
      </c>
      <c r="Z5488">
        <v>-5.2951529999999997E-2</v>
      </c>
      <c r="AA5488">
        <v>0.90478970000000003</v>
      </c>
      <c r="AB5488">
        <v>28</v>
      </c>
      <c r="AC5488">
        <v>-7.0151999999999903</v>
      </c>
      <c r="AD5488">
        <v>6.5762919999999996</v>
      </c>
      <c r="AE5488">
        <v>-126.94421800000001</v>
      </c>
      <c r="AF5488">
        <v>-53.658861840804803</v>
      </c>
      <c r="AG5488">
        <v>6.5762919999999996</v>
      </c>
      <c r="AH5488">
        <v>114.885267663542</v>
      </c>
      <c r="AI5488">
        <v>87.031068777097602</v>
      </c>
      <c r="AJ5488">
        <v>115.0356214609</v>
      </c>
      <c r="AK5488">
        <v>126.96907417416</v>
      </c>
      <c r="AL5488">
        <v>94.115798092476794</v>
      </c>
      <c r="AM5488">
        <v>101.248027542605</v>
      </c>
      <c r="AN5488">
        <v>0.99999993464147297</v>
      </c>
    </row>
    <row r="5489" spans="1:40" x14ac:dyDescent="0.25">
      <c r="A5489" t="str">
        <f>"20190305135039084"</f>
        <v>20190305135039084</v>
      </c>
      <c r="B5489" t="str">
        <f>"1551765039075489"</f>
        <v>1551765039075489</v>
      </c>
      <c r="C5489" t="s">
        <v>40</v>
      </c>
      <c r="D5489">
        <v>4.1828940000000001</v>
      </c>
      <c r="E5489">
        <v>0.41160469999999999</v>
      </c>
      <c r="F5489" t="s">
        <v>97</v>
      </c>
      <c r="G5489">
        <v>-419.12729999999999</v>
      </c>
      <c r="H5489">
        <v>7.4891729999999903</v>
      </c>
      <c r="I5489">
        <v>0.4862862</v>
      </c>
      <c r="J5489">
        <v>-412.31169999999997</v>
      </c>
      <c r="K5489">
        <v>1.1169150000000001</v>
      </c>
      <c r="L5489">
        <v>128.48650000000001</v>
      </c>
      <c r="M5489">
        <v>-0.46443679999999898</v>
      </c>
      <c r="N5489">
        <v>-1.3052090000000001E-2</v>
      </c>
      <c r="O5489">
        <v>-0.88551009999999997</v>
      </c>
      <c r="P5489">
        <v>-0.28208060000000001</v>
      </c>
      <c r="Q5489">
        <v>-8.3316650000000006E-2</v>
      </c>
      <c r="R5489">
        <v>-0.95576620000000001</v>
      </c>
      <c r="S5489">
        <v>-0.16799929999999999</v>
      </c>
      <c r="T5489">
        <v>0.15439339999999999</v>
      </c>
      <c r="U5489">
        <v>-3.1073</v>
      </c>
      <c r="V5489">
        <v>-0.19280829999999999</v>
      </c>
      <c r="W5489">
        <v>-7.4072170000000007E-2</v>
      </c>
      <c r="X5489">
        <v>0.97843659999999999</v>
      </c>
      <c r="Y5489">
        <v>-0.41614970000000001</v>
      </c>
      <c r="Z5489">
        <v>-5.1731880000000001E-2</v>
      </c>
      <c r="AA5489">
        <v>0.9078233</v>
      </c>
      <c r="AB5489">
        <v>28</v>
      </c>
      <c r="AC5489">
        <v>-6.8156000000000097</v>
      </c>
      <c r="AD5489">
        <v>6.3722580000000004</v>
      </c>
      <c r="AE5489">
        <v>-128.00021380000001</v>
      </c>
      <c r="AF5489">
        <v>-53.285588523413097</v>
      </c>
      <c r="AG5489">
        <v>6.3722580000000004</v>
      </c>
      <c r="AH5489">
        <v>116.23356620369999</v>
      </c>
      <c r="AI5489">
        <v>87.146989810516203</v>
      </c>
      <c r="AJ5489">
        <v>114.628400265973</v>
      </c>
      <c r="AK5489">
        <v>128.02422242972199</v>
      </c>
      <c r="AL5489">
        <v>94.247913468388305</v>
      </c>
      <c r="AM5489">
        <v>101.147734306164</v>
      </c>
      <c r="AN5489">
        <v>0.99999995356847804</v>
      </c>
    </row>
    <row r="5490" spans="1:40" x14ac:dyDescent="0.25">
      <c r="A5490" t="str">
        <f>"20190305135039106"</f>
        <v>20190305135039106</v>
      </c>
      <c r="B5490" t="str">
        <f>"1551765039095984"</f>
        <v>1551765039095984</v>
      </c>
      <c r="C5490" t="s">
        <v>40</v>
      </c>
      <c r="D5490">
        <v>4.173864</v>
      </c>
      <c r="E5490">
        <v>0.41429959999999999</v>
      </c>
      <c r="F5490" t="s">
        <v>97</v>
      </c>
      <c r="G5490">
        <v>-419.29570000000001</v>
      </c>
      <c r="H5490">
        <v>7.0443579999999999</v>
      </c>
      <c r="I5490">
        <v>0.48457149999999999</v>
      </c>
      <c r="J5490">
        <v>-412.43180000000001</v>
      </c>
      <c r="K5490">
        <v>1.1165499999999999</v>
      </c>
      <c r="L5490">
        <v>128.23689999999999</v>
      </c>
      <c r="M5490">
        <v>-0.45647739999999998</v>
      </c>
      <c r="N5490">
        <v>-1.298122E-2</v>
      </c>
      <c r="O5490">
        <v>-0.8896404</v>
      </c>
      <c r="P5490">
        <v>-0.27582899999999999</v>
      </c>
      <c r="Q5490">
        <v>-8.4711159999999994E-2</v>
      </c>
      <c r="R5490">
        <v>-0.95746659999999995</v>
      </c>
      <c r="S5490">
        <v>-0.16922000000000001</v>
      </c>
      <c r="T5490">
        <v>0.14361849999999901</v>
      </c>
      <c r="U5490">
        <v>-3.1014249999999999</v>
      </c>
      <c r="V5490">
        <v>-0.19041369999999999</v>
      </c>
      <c r="W5490">
        <v>-7.5320479999999995E-2</v>
      </c>
      <c r="X5490">
        <v>0.97881019999999996</v>
      </c>
      <c r="Y5490">
        <v>-0.40751219999999999</v>
      </c>
      <c r="Z5490">
        <v>-4.9401540000000001E-2</v>
      </c>
      <c r="AA5490">
        <v>0.91186259999999997</v>
      </c>
      <c r="AB5490">
        <v>28</v>
      </c>
      <c r="AC5490">
        <v>-6.8639000000000001</v>
      </c>
      <c r="AD5490">
        <v>5.9278079999999997</v>
      </c>
      <c r="AE5490">
        <v>-127.7523285</v>
      </c>
      <c r="AF5490">
        <v>-52.102188291433897</v>
      </c>
      <c r="AG5490">
        <v>5.9278079999999997</v>
      </c>
      <c r="AH5490">
        <v>116.546473076304</v>
      </c>
      <c r="AI5490">
        <v>87.341470246748798</v>
      </c>
      <c r="AJ5490">
        <v>114.087066818401</v>
      </c>
      <c r="AK5490">
        <v>127.800067758067</v>
      </c>
      <c r="AL5490">
        <v>94.319636629094802</v>
      </c>
      <c r="AM5490">
        <v>101.008588574567</v>
      </c>
      <c r="AN5490">
        <v>0.99999997973957999</v>
      </c>
    </row>
    <row r="5491" spans="1:40" x14ac:dyDescent="0.25">
      <c r="A5491" t="str">
        <f>"20190305135039130"</f>
        <v>20190305135039130</v>
      </c>
      <c r="B5491" t="str">
        <f>"1551765039125247"</f>
        <v>1551765039125247</v>
      </c>
      <c r="C5491" t="s">
        <v>40</v>
      </c>
      <c r="D5491">
        <v>4.2147639999999997</v>
      </c>
      <c r="E5491">
        <v>0.41812969999999999</v>
      </c>
      <c r="F5491" t="s">
        <v>97</v>
      </c>
      <c r="G5491">
        <v>-419.43740000000003</v>
      </c>
      <c r="H5491">
        <v>6.7590289999999902</v>
      </c>
      <c r="I5491">
        <v>0.48312949999999999</v>
      </c>
      <c r="J5491">
        <v>-412.55369999999999</v>
      </c>
      <c r="K5491">
        <v>1.1161559999999999</v>
      </c>
      <c r="L5491">
        <v>127.979</v>
      </c>
      <c r="M5491">
        <v>-0.44872269999999997</v>
      </c>
      <c r="N5491">
        <v>-1.290761E-2</v>
      </c>
      <c r="O5491">
        <v>-0.89357790000000004</v>
      </c>
      <c r="P5491">
        <v>-0.26861239999999997</v>
      </c>
      <c r="Q5491">
        <v>-8.3240270000000005E-2</v>
      </c>
      <c r="R5491">
        <v>-0.95964499999999997</v>
      </c>
      <c r="S5491">
        <v>-0.169799799999999</v>
      </c>
      <c r="T5491">
        <v>0.1367604</v>
      </c>
      <c r="U5491">
        <v>-3.0964659999999999</v>
      </c>
      <c r="V5491">
        <v>-0.18942600000000001</v>
      </c>
      <c r="W5491">
        <v>-7.3711250000000006E-2</v>
      </c>
      <c r="X5491">
        <v>0.97912429999999995</v>
      </c>
      <c r="Y5491">
        <v>-0.39929320000000001</v>
      </c>
      <c r="Z5491">
        <v>-4.7981959999999997E-2</v>
      </c>
      <c r="AA5491">
        <v>0.91556689999999996</v>
      </c>
      <c r="AB5491">
        <v>28</v>
      </c>
      <c r="AC5491">
        <v>-6.8837000000000304</v>
      </c>
      <c r="AD5491">
        <v>5.64287299999999</v>
      </c>
      <c r="AE5491">
        <v>-127.4958705</v>
      </c>
      <c r="AF5491">
        <v>-50.9638775734905</v>
      </c>
      <c r="AG5491">
        <v>5.64287299999999</v>
      </c>
      <c r="AH5491">
        <v>116.79797758173299</v>
      </c>
      <c r="AI5491">
        <v>87.464529736350002</v>
      </c>
      <c r="AJ5491">
        <v>113.573670764265</v>
      </c>
      <c r="AK5491">
        <v>127.55754152617899</v>
      </c>
      <c r="AL5491">
        <v>94.227177491805605</v>
      </c>
      <c r="AM5491">
        <v>100.94944141284</v>
      </c>
      <c r="AN5491">
        <v>0.99999997635152504</v>
      </c>
    </row>
    <row r="5492" spans="1:40" x14ac:dyDescent="0.25">
      <c r="A5492" t="str">
        <f>"20190305135039152"</f>
        <v>20190305135039152</v>
      </c>
      <c r="B5492" t="str">
        <f>"1551765039145746"</f>
        <v>1551765039145746</v>
      </c>
      <c r="C5492" t="s">
        <v>40</v>
      </c>
      <c r="D5492">
        <v>4.1954000000000002</v>
      </c>
      <c r="E5492">
        <v>0.41916809999999899</v>
      </c>
      <c r="F5492" t="s">
        <v>97</v>
      </c>
      <c r="G5492">
        <v>-419.79790000000003</v>
      </c>
      <c r="H5492">
        <v>6.7872440000000003</v>
      </c>
      <c r="I5492">
        <v>0.47946549999999999</v>
      </c>
      <c r="J5492">
        <v>-412.67329999999998</v>
      </c>
      <c r="K5492">
        <v>1.115747</v>
      </c>
      <c r="L5492">
        <v>127.72110000000001</v>
      </c>
      <c r="M5492">
        <v>-0.44153959999999998</v>
      </c>
      <c r="N5492">
        <v>-1.282693E-2</v>
      </c>
      <c r="O5492">
        <v>-0.89715020000000001</v>
      </c>
      <c r="P5492">
        <v>-0.26115909999999998</v>
      </c>
      <c r="Q5492">
        <v>-8.0582130000000002E-2</v>
      </c>
      <c r="R5492">
        <v>-0.96192659999999997</v>
      </c>
      <c r="S5492">
        <v>-0.17550660000000001</v>
      </c>
      <c r="T5492">
        <v>0.13739319999999999</v>
      </c>
      <c r="U5492">
        <v>-3.088943</v>
      </c>
      <c r="V5492">
        <v>-0.189384</v>
      </c>
      <c r="W5492">
        <v>-7.0927190000000001E-2</v>
      </c>
      <c r="X5492">
        <v>0.97933800000000004</v>
      </c>
      <c r="Y5492">
        <v>-0.3901095</v>
      </c>
      <c r="Z5492">
        <v>-4.8471220000000002E-2</v>
      </c>
      <c r="AA5492">
        <v>0.91949179999999997</v>
      </c>
      <c r="AB5492">
        <v>28</v>
      </c>
      <c r="AC5492">
        <v>-7.12460000000004</v>
      </c>
      <c r="AD5492">
        <v>5.6714969999999996</v>
      </c>
      <c r="AE5492">
        <v>-127.2416345</v>
      </c>
      <c r="AF5492">
        <v>-49.696051251689099</v>
      </c>
      <c r="AG5492">
        <v>5.6714969999999996</v>
      </c>
      <c r="AH5492">
        <v>117.07841312655999</v>
      </c>
      <c r="AI5492">
        <v>87.4468105197071</v>
      </c>
      <c r="AJ5492">
        <v>112.99967380573</v>
      </c>
      <c r="AK5492">
        <v>127.31542800644699</v>
      </c>
      <c r="AL5492">
        <v>94.067243906951902</v>
      </c>
      <c r="AM5492">
        <v>100.94474128183801</v>
      </c>
      <c r="AN5492">
        <v>0.99999994199064601</v>
      </c>
    </row>
    <row r="5493" spans="1:40" x14ac:dyDescent="0.25">
      <c r="A5493" t="str">
        <f>"20190305135039174"</f>
        <v>20190305135039174</v>
      </c>
      <c r="B5493" t="str">
        <f>"1551765039165263"</f>
        <v>1551765039165263</v>
      </c>
      <c r="C5493" t="s">
        <v>40</v>
      </c>
      <c r="D5493">
        <v>4.1569890000000003</v>
      </c>
      <c r="E5493">
        <v>0.44785390000000003</v>
      </c>
      <c r="F5493" t="s">
        <v>97</v>
      </c>
      <c r="G5493">
        <v>-419.23779999999999</v>
      </c>
      <c r="H5493">
        <v>7.079402</v>
      </c>
      <c r="I5493">
        <v>0.4851589</v>
      </c>
      <c r="J5493">
        <v>-412.7869</v>
      </c>
      <c r="K5493">
        <v>1.115327</v>
      </c>
      <c r="L5493">
        <v>127.4726</v>
      </c>
      <c r="M5493">
        <v>-0.4351391</v>
      </c>
      <c r="N5493">
        <v>-1.274312E-2</v>
      </c>
      <c r="O5493">
        <v>-0.9002732</v>
      </c>
      <c r="P5493">
        <v>-0.25404490000000002</v>
      </c>
      <c r="Q5493">
        <v>-8.0019370000000006E-2</v>
      </c>
      <c r="R5493">
        <v>-0.96387670000000003</v>
      </c>
      <c r="S5493">
        <v>-0.15930179999999999</v>
      </c>
      <c r="T5493">
        <v>0.14471909999999999</v>
      </c>
      <c r="U5493">
        <v>-3.087631</v>
      </c>
      <c r="V5493">
        <v>-0.18974559999999999</v>
      </c>
      <c r="W5493">
        <v>-7.0252960000000003E-2</v>
      </c>
      <c r="X5493">
        <v>0.97931670000000004</v>
      </c>
      <c r="Y5493">
        <v>-0.38834950000000001</v>
      </c>
      <c r="Z5493">
        <v>-5.0564869999999998E-2</v>
      </c>
      <c r="AA5493">
        <v>0.92012380000000005</v>
      </c>
      <c r="AB5493">
        <v>28</v>
      </c>
      <c r="AC5493">
        <v>-6.4508999999999901</v>
      </c>
      <c r="AD5493">
        <v>5.9640750000000002</v>
      </c>
      <c r="AE5493">
        <v>-126.987441099999</v>
      </c>
      <c r="AF5493">
        <v>-49.345072714734002</v>
      </c>
      <c r="AG5493">
        <v>5.9640750000000002</v>
      </c>
      <c r="AH5493">
        <v>116.882769535104</v>
      </c>
      <c r="AI5493">
        <v>87.308588137372794</v>
      </c>
      <c r="AJ5493">
        <v>112.88829257414</v>
      </c>
      <c r="AK5493">
        <v>127.012157709505</v>
      </c>
      <c r="AL5493">
        <v>94.028516386829196</v>
      </c>
      <c r="AM5493">
        <v>100.96536525315</v>
      </c>
      <c r="AN5493">
        <v>1.0000000350035001</v>
      </c>
    </row>
    <row r="5494" spans="1:40" x14ac:dyDescent="0.25">
      <c r="A5494" t="str">
        <f>"20190305135039196"</f>
        <v>20190305135039196</v>
      </c>
      <c r="B5494" t="str">
        <f>"1551765039185763"</f>
        <v>1551765039185763</v>
      </c>
      <c r="C5494" t="s">
        <v>40</v>
      </c>
      <c r="D5494">
        <v>4.1623789999999996</v>
      </c>
      <c r="E5494">
        <v>0.44893499999999997</v>
      </c>
      <c r="F5494" t="s">
        <v>97</v>
      </c>
      <c r="G5494">
        <v>-427.75889999999998</v>
      </c>
      <c r="H5494">
        <v>6.1480009999999998</v>
      </c>
      <c r="I5494">
        <v>0.51309589999999905</v>
      </c>
      <c r="J5494">
        <v>-412.90230000000003</v>
      </c>
      <c r="K5494">
        <v>1.1149180000000001</v>
      </c>
      <c r="L5494">
        <v>127.2165</v>
      </c>
      <c r="M5494">
        <v>-0.42900339999999998</v>
      </c>
      <c r="N5494">
        <v>-1.2656479999999999E-2</v>
      </c>
      <c r="O5494">
        <v>-0.90321450000000003</v>
      </c>
      <c r="P5494">
        <v>-0.2472104</v>
      </c>
      <c r="Q5494">
        <v>-8.0761659999999999E-2</v>
      </c>
      <c r="R5494">
        <v>-0.96559050000000002</v>
      </c>
      <c r="S5494">
        <v>-0.35711670000000001</v>
      </c>
      <c r="T5494">
        <v>0.1200401</v>
      </c>
      <c r="U5494">
        <v>-3.0282749999999998</v>
      </c>
      <c r="V5494">
        <v>-0.19005079999999999</v>
      </c>
      <c r="W5494">
        <v>-7.0896959999999995E-2</v>
      </c>
      <c r="X5494">
        <v>0.9792111</v>
      </c>
      <c r="Y5494">
        <v>-0.32047599999999998</v>
      </c>
      <c r="Z5494">
        <v>-4.5070180000000001E-2</v>
      </c>
      <c r="AA5494">
        <v>0.94618380000000002</v>
      </c>
      <c r="AB5494">
        <v>28</v>
      </c>
      <c r="AC5494">
        <v>-14.856599999999901</v>
      </c>
      <c r="AD5494">
        <v>5.0330830000000004</v>
      </c>
      <c r="AE5494">
        <v>-126.7034041</v>
      </c>
      <c r="AF5494">
        <v>-40.877135786634398</v>
      </c>
      <c r="AG5494">
        <v>5.0330830000000004</v>
      </c>
      <c r="AH5494">
        <v>120.635753989908</v>
      </c>
      <c r="AI5494">
        <v>87.737165076579501</v>
      </c>
      <c r="AJ5494">
        <v>108.71882670021</v>
      </c>
      <c r="AK5494">
        <v>127.472574679095</v>
      </c>
      <c r="AL5494">
        <v>94.065507117806405</v>
      </c>
      <c r="AM5494">
        <v>100.983729757655</v>
      </c>
      <c r="AN5494">
        <v>1.00000003194054</v>
      </c>
    </row>
    <row r="5495" spans="1:40" x14ac:dyDescent="0.25">
      <c r="A5495" t="str">
        <f>"20190305135039218"</f>
        <v>20190305135039218</v>
      </c>
      <c r="B5495" t="str">
        <f>"1551765039216015"</f>
        <v>1551765039216015</v>
      </c>
      <c r="C5495" t="s">
        <v>40</v>
      </c>
      <c r="D5495">
        <v>4.187487</v>
      </c>
      <c r="E5495">
        <v>0.45333980000000001</v>
      </c>
      <c r="F5495" t="s">
        <v>97</v>
      </c>
      <c r="G5495">
        <v>-427.24250000000001</v>
      </c>
      <c r="H5495">
        <v>5.7494940000000003</v>
      </c>
      <c r="I5495">
        <v>0.93564219999999998</v>
      </c>
      <c r="J5495">
        <v>-413.01690000000002</v>
      </c>
      <c r="K5495">
        <v>1.1145240000000001</v>
      </c>
      <c r="L5495">
        <v>126.959</v>
      </c>
      <c r="M5495">
        <v>-0.4233248</v>
      </c>
      <c r="N5495">
        <v>-1.255905E-2</v>
      </c>
      <c r="O5495">
        <v>-0.90589090000000005</v>
      </c>
      <c r="P5495">
        <v>-0.23999770000000001</v>
      </c>
      <c r="Q5495">
        <v>-7.9693879999999995E-2</v>
      </c>
      <c r="R5495">
        <v>-0.96749680000000005</v>
      </c>
      <c r="S5495">
        <v>-0.34387210000000001</v>
      </c>
      <c r="T5495">
        <v>0.11113480000000001</v>
      </c>
      <c r="U5495">
        <v>-3.028168</v>
      </c>
      <c r="V5495">
        <v>-0.19132569999999999</v>
      </c>
      <c r="W5495">
        <v>-6.9761370000000003E-2</v>
      </c>
      <c r="X5495">
        <v>0.97904429999999998</v>
      </c>
      <c r="Y5495">
        <v>-0.31858940000000002</v>
      </c>
      <c r="Z5495">
        <v>-4.2729900000000001E-2</v>
      </c>
      <c r="AA5495">
        <v>0.94692920000000003</v>
      </c>
      <c r="AB5495">
        <v>28</v>
      </c>
      <c r="AC5495">
        <v>-14.225599999999901</v>
      </c>
      <c r="AD5495">
        <v>4.63497</v>
      </c>
      <c r="AE5495">
        <v>-126.0233578</v>
      </c>
      <c r="AF5495">
        <v>-40.411188558883097</v>
      </c>
      <c r="AG5495">
        <v>4.63497</v>
      </c>
      <c r="AH5495">
        <v>120.03462117282599</v>
      </c>
      <c r="AI5495">
        <v>87.904175021544702</v>
      </c>
      <c r="AJ5495">
        <v>108.606463612171</v>
      </c>
      <c r="AK5495">
        <v>126.73932849651</v>
      </c>
      <c r="AL5495">
        <v>94.0002813930017</v>
      </c>
      <c r="AM5495">
        <v>101.05743851891501</v>
      </c>
      <c r="AN5495">
        <v>0.99999995679362697</v>
      </c>
    </row>
    <row r="5496" spans="1:40" x14ac:dyDescent="0.25">
      <c r="A5496" t="str">
        <f>"20190305135039242"</f>
        <v>20190305135039242</v>
      </c>
      <c r="B5496" t="str">
        <f>"1551765039235536"</f>
        <v>1551765039235536</v>
      </c>
      <c r="C5496" t="s">
        <v>40</v>
      </c>
      <c r="D5496">
        <v>4.1471960000000001</v>
      </c>
      <c r="E5496">
        <v>0.4550746</v>
      </c>
      <c r="F5496" t="s">
        <v>97</v>
      </c>
      <c r="G5496">
        <v>-427.9649</v>
      </c>
      <c r="H5496">
        <v>5.8807400000000003</v>
      </c>
      <c r="I5496">
        <v>-0.4107132</v>
      </c>
      <c r="J5496">
        <v>-413.13470000000001</v>
      </c>
      <c r="K5496">
        <v>1.114096</v>
      </c>
      <c r="L5496">
        <v>126.6909</v>
      </c>
      <c r="M5496">
        <v>-0.41797800000000002</v>
      </c>
      <c r="N5496">
        <v>-1.244405E-2</v>
      </c>
      <c r="O5496">
        <v>-0.90837219999999996</v>
      </c>
      <c r="P5496">
        <v>-0.23174349999999999</v>
      </c>
      <c r="Q5496">
        <v>-7.8799099999999997E-2</v>
      </c>
      <c r="R5496">
        <v>-0.96958060000000001</v>
      </c>
      <c r="S5496">
        <v>-0.35467530000000003</v>
      </c>
      <c r="T5496">
        <v>0.1130883</v>
      </c>
      <c r="U5496">
        <v>-3.022125</v>
      </c>
      <c r="V5496">
        <v>-0.1940057</v>
      </c>
      <c r="W5496">
        <v>-6.8818080000000004E-2</v>
      </c>
      <c r="X5496">
        <v>0.9785836</v>
      </c>
      <c r="Y5496">
        <v>-0.30943720000000002</v>
      </c>
      <c r="Z5496">
        <v>-4.339693E-2</v>
      </c>
      <c r="AA5496">
        <v>0.94992909999999997</v>
      </c>
      <c r="AB5496">
        <v>28</v>
      </c>
      <c r="AC5496">
        <v>-14.8301999999999</v>
      </c>
      <c r="AD5496">
        <v>4.7666440000000003</v>
      </c>
      <c r="AE5496">
        <v>-127.1016132</v>
      </c>
      <c r="AF5496">
        <v>-39.602446491353497</v>
      </c>
      <c r="AG5496">
        <v>4.7666440000000003</v>
      </c>
      <c r="AH5496">
        <v>121.495077088851</v>
      </c>
      <c r="AI5496">
        <v>87.863765963768699</v>
      </c>
      <c r="AJ5496">
        <v>108.05385887800099</v>
      </c>
      <c r="AK5496">
        <v>127.87544103520899</v>
      </c>
      <c r="AL5496">
        <v>93.946104468573097</v>
      </c>
      <c r="AM5496">
        <v>101.213573517195</v>
      </c>
      <c r="AN5496">
        <v>1.00000000097816</v>
      </c>
    </row>
    <row r="5497" spans="1:40" x14ac:dyDescent="0.25">
      <c r="A5497" t="str">
        <f>"20190305135039263"</f>
        <v>20190305135039263</v>
      </c>
      <c r="B5497" t="str">
        <f>"1551765039256031"</f>
        <v>1551765039256031</v>
      </c>
      <c r="C5497" t="s">
        <v>40</v>
      </c>
      <c r="D5497">
        <v>4.1287580000000004</v>
      </c>
      <c r="E5497">
        <v>0.45581939999999999</v>
      </c>
      <c r="F5497" t="s">
        <v>97</v>
      </c>
      <c r="G5497">
        <v>-427.3329</v>
      </c>
      <c r="H5497">
        <v>5.8118569999999998</v>
      </c>
      <c r="I5497">
        <v>0.86164280000000004</v>
      </c>
      <c r="J5497">
        <v>-413.24099999999999</v>
      </c>
      <c r="K5497">
        <v>1.1136469999999901</v>
      </c>
      <c r="L5497">
        <v>126.4469</v>
      </c>
      <c r="M5497">
        <v>-0.41365560000000001</v>
      </c>
      <c r="N5497">
        <v>-1.233386E-2</v>
      </c>
      <c r="O5497">
        <v>-0.91035010000000005</v>
      </c>
      <c r="P5497">
        <v>-0.22597210000000001</v>
      </c>
      <c r="Q5497">
        <v>-8.0825620000000001E-2</v>
      </c>
      <c r="R5497">
        <v>-0.97077519999999995</v>
      </c>
      <c r="S5497">
        <v>-0.34097290000000002</v>
      </c>
      <c r="T5497">
        <v>0.11281720000000001</v>
      </c>
      <c r="U5497">
        <v>-3.02182</v>
      </c>
      <c r="V5497">
        <v>-0.19515389999999999</v>
      </c>
      <c r="W5497">
        <v>-7.076578E-2</v>
      </c>
      <c r="X5497">
        <v>0.97821630000000004</v>
      </c>
      <c r="Y5497">
        <v>-0.30915569999999998</v>
      </c>
      <c r="Z5497">
        <v>-4.3350090000000001E-2</v>
      </c>
      <c r="AA5497">
        <v>0.9500229</v>
      </c>
      <c r="AB5497">
        <v>28</v>
      </c>
      <c r="AC5497">
        <v>-14.091900000000001</v>
      </c>
      <c r="AD5497">
        <v>4.6982100000000004</v>
      </c>
      <c r="AE5497">
        <v>-125.58525719999901</v>
      </c>
      <c r="AF5497">
        <v>-39.0694511263763</v>
      </c>
      <c r="AG5497">
        <v>4.6982100000000004</v>
      </c>
      <c r="AH5497">
        <v>119.999006089467</v>
      </c>
      <c r="AI5497">
        <v>87.867943639316906</v>
      </c>
      <c r="AJ5497">
        <v>108.034288711375</v>
      </c>
      <c r="AK5497">
        <v>126.286407229679</v>
      </c>
      <c r="AL5497">
        <v>94.057972323120097</v>
      </c>
      <c r="AM5497">
        <v>101.282369592739</v>
      </c>
      <c r="AN5497">
        <v>0.99999998494495401</v>
      </c>
    </row>
    <row r="5498" spans="1:40" x14ac:dyDescent="0.25">
      <c r="A5498" t="str">
        <f>"20190305135039286"</f>
        <v>20190305135039286</v>
      </c>
      <c r="B5498" t="str">
        <f>"1551765039275551"</f>
        <v>1551765039275551</v>
      </c>
      <c r="C5498" t="s">
        <v>40</v>
      </c>
      <c r="D5498">
        <v>4.1143970000000003</v>
      </c>
      <c r="E5498">
        <v>0.46853</v>
      </c>
      <c r="F5498" t="s">
        <v>97</v>
      </c>
      <c r="G5498">
        <v>-426.8596</v>
      </c>
      <c r="H5498">
        <v>5.5410349999999999</v>
      </c>
      <c r="I5498">
        <v>1.2489600000000001</v>
      </c>
      <c r="J5498">
        <v>-413.3528</v>
      </c>
      <c r="K5498">
        <v>1.1131070000000001</v>
      </c>
      <c r="L5498">
        <v>126.1885</v>
      </c>
      <c r="M5498">
        <v>-0.40966059999999999</v>
      </c>
      <c r="N5498">
        <v>-1.2214310000000001E-2</v>
      </c>
      <c r="O5498">
        <v>-0.91215630000000003</v>
      </c>
      <c r="P5498">
        <v>-0.22239829999999999</v>
      </c>
      <c r="Q5498">
        <v>-8.5422960000000006E-2</v>
      </c>
      <c r="R5498">
        <v>-0.97120649999999997</v>
      </c>
      <c r="S5498">
        <v>-0.32879639999999999</v>
      </c>
      <c r="T5498">
        <v>0.1068904</v>
      </c>
      <c r="U5498">
        <v>-3.022675</v>
      </c>
      <c r="V5498">
        <v>-0.19434940000000001</v>
      </c>
      <c r="W5498">
        <v>-7.5232199999999999E-2</v>
      </c>
      <c r="X5498">
        <v>0.97804310000000005</v>
      </c>
      <c r="Y5498">
        <v>-0.30878430000000001</v>
      </c>
      <c r="Z5498">
        <v>-4.1697520000000002E-2</v>
      </c>
      <c r="AA5498">
        <v>0.95021770000000005</v>
      </c>
      <c r="AB5498">
        <v>28</v>
      </c>
      <c r="AC5498">
        <v>-13.506799999999901</v>
      </c>
      <c r="AD5498">
        <v>4.4279279999999996</v>
      </c>
      <c r="AE5498">
        <v>-124.93953999999999</v>
      </c>
      <c r="AF5498">
        <v>-38.817198804675101</v>
      </c>
      <c r="AG5498">
        <v>4.4279279999999996</v>
      </c>
      <c r="AH5498">
        <v>119.358314294216</v>
      </c>
      <c r="AI5498">
        <v>87.979499521802197</v>
      </c>
      <c r="AJ5498">
        <v>108.015339383019</v>
      </c>
      <c r="AK5498">
        <v>125.589763359008</v>
      </c>
      <c r="AL5498">
        <v>94.314564340221906</v>
      </c>
      <c r="AM5498">
        <v>101.23898446173</v>
      </c>
      <c r="AN5498">
        <v>0.99999993932740305</v>
      </c>
    </row>
    <row r="5499" spans="1:40" x14ac:dyDescent="0.25">
      <c r="A5499" t="str">
        <f>"20190305135039308"</f>
        <v>20190305135039308</v>
      </c>
      <c r="B5499" t="str">
        <f>"1551765039305807"</f>
        <v>1551765039305807</v>
      </c>
      <c r="C5499" t="s">
        <v>40</v>
      </c>
      <c r="D5499">
        <v>4.1341000000000001</v>
      </c>
      <c r="E5499">
        <v>0.47118680000000002</v>
      </c>
      <c r="F5499" t="s">
        <v>97</v>
      </c>
      <c r="G5499">
        <v>-431.31420000000003</v>
      </c>
      <c r="H5499">
        <v>5.7879310000000004</v>
      </c>
      <c r="I5499">
        <v>-3.1521400000000002</v>
      </c>
      <c r="J5499">
        <v>-413.46510000000001</v>
      </c>
      <c r="K5499">
        <v>1.1125240000000001</v>
      </c>
      <c r="L5499">
        <v>125.92789999999999</v>
      </c>
      <c r="M5499">
        <v>-0.40626210000000001</v>
      </c>
      <c r="N5499">
        <v>-1.209237E-2</v>
      </c>
      <c r="O5499">
        <v>-0.91367670000000001</v>
      </c>
      <c r="P5499">
        <v>-0.22063759999999999</v>
      </c>
      <c r="Q5499">
        <v>-8.8603370000000001E-2</v>
      </c>
      <c r="R5499">
        <v>-0.97132350000000001</v>
      </c>
      <c r="S5499">
        <v>-0.41702270000000002</v>
      </c>
      <c r="T5499">
        <v>0.10853790000000001</v>
      </c>
      <c r="U5499">
        <v>-3.0029910000000002</v>
      </c>
      <c r="V5499">
        <v>-0.1924429</v>
      </c>
      <c r="W5499">
        <v>-7.8251559999999998E-2</v>
      </c>
      <c r="X5499">
        <v>0.97818320000000003</v>
      </c>
      <c r="Y5499">
        <v>-0.27691700000000002</v>
      </c>
      <c r="Z5499">
        <v>-4.2372670000000001E-2</v>
      </c>
      <c r="AA5499">
        <v>0.95995909999999995</v>
      </c>
      <c r="AB5499">
        <v>28</v>
      </c>
      <c r="AC5499">
        <v>-17.8491</v>
      </c>
      <c r="AD5499">
        <v>4.6754069999999999</v>
      </c>
      <c r="AE5499">
        <v>-129.08004</v>
      </c>
      <c r="AF5499">
        <v>-36.088201196656698</v>
      </c>
      <c r="AG5499">
        <v>4.6754069999999999</v>
      </c>
      <c r="AH5499">
        <v>125.03701151083401</v>
      </c>
      <c r="AI5499">
        <v>87.942489589060003</v>
      </c>
      <c r="AJ5499">
        <v>106.09920573713499</v>
      </c>
      <c r="AK5499">
        <v>130.22469790245799</v>
      </c>
      <c r="AL5499">
        <v>94.488072521540204</v>
      </c>
      <c r="AM5499">
        <v>101.129945948825</v>
      </c>
      <c r="AN5499">
        <v>0.99999997458254097</v>
      </c>
    </row>
    <row r="5500" spans="1:40" x14ac:dyDescent="0.25">
      <c r="A5500" t="str">
        <f>"20190305135039323"</f>
        <v>20190305135039323</v>
      </c>
      <c r="B5500" t="str">
        <f>"1551765039315567"</f>
        <v>1551765039315567</v>
      </c>
      <c r="C5500" t="s">
        <v>40</v>
      </c>
      <c r="D5500">
        <v>4.1495290000000002</v>
      </c>
      <c r="E5500">
        <v>0.47118680000000002</v>
      </c>
      <c r="F5500" t="s">
        <v>97</v>
      </c>
      <c r="G5500">
        <v>-432.20589999999999</v>
      </c>
      <c r="H5500">
        <v>5.1154729999999997</v>
      </c>
      <c r="I5500">
        <v>-3.8821159999999999</v>
      </c>
      <c r="J5500">
        <v>-413.54039999999998</v>
      </c>
      <c r="K5500">
        <v>1.112136</v>
      </c>
      <c r="L5500">
        <v>125.7527</v>
      </c>
      <c r="M5500">
        <v>-0.40441110000000002</v>
      </c>
      <c r="N5500">
        <v>-1.201407E-2</v>
      </c>
      <c r="O5500">
        <v>-0.91449860000000005</v>
      </c>
      <c r="P5500">
        <v>-0.2196409</v>
      </c>
      <c r="Q5500">
        <v>-8.9370420000000006E-2</v>
      </c>
      <c r="R5500">
        <v>-0.97147879999999998</v>
      </c>
      <c r="S5500">
        <v>-0.43292239999999999</v>
      </c>
      <c r="T5500">
        <v>9.2469449999999995E-2</v>
      </c>
      <c r="U5500">
        <v>-2.998672</v>
      </c>
      <c r="V5500">
        <v>-0.1915057</v>
      </c>
      <c r="W5500">
        <v>-7.8906130000000005E-2</v>
      </c>
      <c r="X5500">
        <v>0.97831460000000003</v>
      </c>
      <c r="Y5500">
        <v>-0.26974809999999999</v>
      </c>
      <c r="Z5500">
        <v>-3.785314E-2</v>
      </c>
      <c r="AA5500">
        <v>0.9621866</v>
      </c>
      <c r="AB5500">
        <v>28</v>
      </c>
      <c r="AC5500">
        <v>-18.665500000000002</v>
      </c>
      <c r="AD5500">
        <v>4.0033370000000001</v>
      </c>
      <c r="AE5500">
        <v>-129.634816</v>
      </c>
      <c r="AF5500">
        <v>-35.325725303325903</v>
      </c>
      <c r="AG5500">
        <v>4.0033370000000001</v>
      </c>
      <c r="AH5500">
        <v>125.990757568961</v>
      </c>
      <c r="AI5500">
        <v>88.247583080384302</v>
      </c>
      <c r="AJ5500">
        <v>105.662618119562</v>
      </c>
      <c r="AK5500">
        <v>130.91067400385</v>
      </c>
      <c r="AL5500">
        <v>94.5256926802968</v>
      </c>
      <c r="AM5500">
        <v>101.07563565619699</v>
      </c>
      <c r="AN5500">
        <v>1.0000000335286101</v>
      </c>
    </row>
    <row r="5501" spans="1:40" x14ac:dyDescent="0.25">
      <c r="A5501" t="str">
        <f>"20190305135039385"</f>
        <v>20190305135039385</v>
      </c>
      <c r="B5501" t="str">
        <f>"1551765039376079"</f>
        <v>1551765039376079</v>
      </c>
      <c r="C5501" t="s">
        <v>40</v>
      </c>
      <c r="D5501">
        <v>4.2237519999999904</v>
      </c>
      <c r="E5501">
        <v>0.47716180000000002</v>
      </c>
      <c r="F5501" t="s">
        <v>97</v>
      </c>
      <c r="G5501">
        <v>-432.09140000000002</v>
      </c>
      <c r="H5501">
        <v>4.9944009999999999</v>
      </c>
      <c r="I5501">
        <v>-3.788443</v>
      </c>
      <c r="J5501">
        <v>-413.8544</v>
      </c>
      <c r="K5501">
        <v>1.1106240000000001</v>
      </c>
      <c r="L5501">
        <v>125.02200000000001</v>
      </c>
      <c r="M5501">
        <v>-0.3997559</v>
      </c>
      <c r="N5501">
        <v>-1.1733530000000001E-2</v>
      </c>
      <c r="O5501">
        <v>-0.91654659999999999</v>
      </c>
      <c r="P5501">
        <v>-0.2181438</v>
      </c>
      <c r="Q5501">
        <v>-8.8903839999999998E-2</v>
      </c>
      <c r="R5501">
        <v>-0.97185889999999997</v>
      </c>
      <c r="S5501">
        <v>-0.42950440000000001</v>
      </c>
      <c r="T5501">
        <v>8.9883690000000002E-2</v>
      </c>
      <c r="U5501">
        <v>-2.9992070000000002</v>
      </c>
      <c r="V5501">
        <v>-0.1883485</v>
      </c>
      <c r="W5501">
        <v>-7.7984390000000001E-2</v>
      </c>
      <c r="X5501">
        <v>0.97900120000000002</v>
      </c>
      <c r="Y5501">
        <v>-0.2659395</v>
      </c>
      <c r="Z5501">
        <v>-3.6959520000000003E-2</v>
      </c>
      <c r="AA5501">
        <v>0.9632809</v>
      </c>
      <c r="AB5501">
        <v>28</v>
      </c>
      <c r="AC5501">
        <v>-18.236999999999998</v>
      </c>
      <c r="AD5501">
        <v>3.8837769999999998</v>
      </c>
      <c r="AE5501">
        <v>-128.81044299999999</v>
      </c>
      <c r="AF5501">
        <v>-34.749097068841301</v>
      </c>
      <c r="AG5501">
        <v>3.8837769999999998</v>
      </c>
      <c r="AH5501">
        <v>125.24811967158701</v>
      </c>
      <c r="AI5501">
        <v>88.288511932077498</v>
      </c>
      <c r="AJ5501">
        <v>105.506252432567</v>
      </c>
      <c r="AK5501">
        <v>130.03720603024999</v>
      </c>
      <c r="AL5501">
        <v>94.472717610222702</v>
      </c>
      <c r="AM5501">
        <v>100.88998772430899</v>
      </c>
      <c r="AN5501">
        <v>1.00000003606868</v>
      </c>
    </row>
    <row r="5502" spans="1:40" x14ac:dyDescent="0.25">
      <c r="A5502" t="str">
        <f>"20190305135039409"</f>
        <v>20190305135039409</v>
      </c>
      <c r="B5502" t="str">
        <f>"1551765039405359"</f>
        <v>1551765039405359</v>
      </c>
      <c r="C5502" t="s">
        <v>40</v>
      </c>
      <c r="D5502">
        <v>4.1466969999999996</v>
      </c>
      <c r="E5502">
        <v>0.4769602</v>
      </c>
      <c r="F5502" t="s">
        <v>42</v>
      </c>
      <c r="G5502">
        <v>-424.41860000000003</v>
      </c>
      <c r="H5502" s="1">
        <v>-4.6930410000000003E-6</v>
      </c>
      <c r="I5502">
        <v>58.47428</v>
      </c>
      <c r="J5502">
        <v>-413.97109999999998</v>
      </c>
      <c r="K5502">
        <v>1.11016</v>
      </c>
      <c r="L5502">
        <v>124.7516</v>
      </c>
      <c r="M5502">
        <v>-0.3991827</v>
      </c>
      <c r="N5502">
        <v>-1.164716E-2</v>
      </c>
      <c r="O5502">
        <v>-0.91679750000000004</v>
      </c>
      <c r="P5502">
        <v>-0.2172579</v>
      </c>
      <c r="Q5502">
        <v>-8.7229210000000001E-2</v>
      </c>
      <c r="R5502">
        <v>-0.97220890000000004</v>
      </c>
      <c r="S5502">
        <v>-0.47247309999999998</v>
      </c>
      <c r="T5502">
        <v>-4.9671649999999998E-2</v>
      </c>
      <c r="U5502">
        <v>-2.9762729999999999</v>
      </c>
      <c r="V5502">
        <v>-0.18878110000000001</v>
      </c>
      <c r="W5502">
        <v>-7.617707E-2</v>
      </c>
      <c r="X5502">
        <v>0.97906009999999999</v>
      </c>
      <c r="Y5502">
        <v>-0.25048209999999999</v>
      </c>
      <c r="Z5502">
        <v>3.002907E-3</v>
      </c>
      <c r="AA5502">
        <v>0.96811659999999999</v>
      </c>
      <c r="AB5502">
        <v>28</v>
      </c>
      <c r="AC5502">
        <v>-10.4475</v>
      </c>
      <c r="AD5502">
        <v>-1.1101646930410001</v>
      </c>
      <c r="AE5502">
        <v>-66.277319999999904</v>
      </c>
      <c r="AF5502">
        <v>-16.875041560775198</v>
      </c>
      <c r="AG5502">
        <v>-1.1101646930410001</v>
      </c>
      <c r="AH5502">
        <v>64.919969620518799</v>
      </c>
      <c r="AI5502">
        <v>90.948188241183004</v>
      </c>
      <c r="AJ5502">
        <v>104.57078498895299</v>
      </c>
      <c r="AK5502">
        <v>67.086525836807596</v>
      </c>
      <c r="AL5502">
        <v>94.368857103308798</v>
      </c>
      <c r="AM5502">
        <v>100.913759031391</v>
      </c>
      <c r="AN5502">
        <v>0.99999996456150098</v>
      </c>
    </row>
    <row r="5503" spans="1:40" x14ac:dyDescent="0.25">
      <c r="A5503" t="str">
        <f>"20190305135039432"</f>
        <v>20190305135039432</v>
      </c>
      <c r="B5503" t="str">
        <f>"1551765039425856"</f>
        <v>1551765039425856</v>
      </c>
      <c r="C5503" t="s">
        <v>40</v>
      </c>
      <c r="D5503">
        <v>4.1661279999999996</v>
      </c>
      <c r="E5503">
        <v>0.47961549999999997</v>
      </c>
      <c r="F5503" t="s">
        <v>97</v>
      </c>
      <c r="G5503">
        <v>-434.43279999999999</v>
      </c>
      <c r="H5503">
        <v>0.40388269999999998</v>
      </c>
      <c r="I5503">
        <v>-5.7060890000000004</v>
      </c>
      <c r="J5503">
        <v>-414.08569999999997</v>
      </c>
      <c r="K5503">
        <v>1.1097509999999999</v>
      </c>
      <c r="L5503">
        <v>124.4872</v>
      </c>
      <c r="M5503">
        <v>-0.39916839999999998</v>
      </c>
      <c r="N5503">
        <v>-1.157248E-2</v>
      </c>
      <c r="O5503">
        <v>-0.91680479999999998</v>
      </c>
      <c r="P5503">
        <v>-0.21622959999999999</v>
      </c>
      <c r="Q5503">
        <v>-8.6387809999999995E-2</v>
      </c>
      <c r="R5503">
        <v>-0.97251339999999997</v>
      </c>
      <c r="S5503">
        <v>-0.46737669999999998</v>
      </c>
      <c r="T5503">
        <v>-1.6133069999999999E-2</v>
      </c>
      <c r="U5503">
        <v>-2.9798580000000001</v>
      </c>
      <c r="V5503">
        <v>-0.1899073</v>
      </c>
      <c r="W5503">
        <v>-7.5221319999999994E-2</v>
      </c>
      <c r="X5503">
        <v>0.97891620000000001</v>
      </c>
      <c r="Y5503">
        <v>-0.25228270000000003</v>
      </c>
      <c r="Z5503">
        <v>-6.572774E-3</v>
      </c>
      <c r="AA5503">
        <v>0.96763120000000002</v>
      </c>
      <c r="AB5503">
        <v>28</v>
      </c>
      <c r="AC5503">
        <v>-20.347100000000001</v>
      </c>
      <c r="AD5503">
        <v>-0.705868299999999</v>
      </c>
      <c r="AE5503">
        <v>-130.19328899999999</v>
      </c>
      <c r="AF5503">
        <v>-33.315996713776698</v>
      </c>
      <c r="AG5503">
        <v>-0.705868299999999</v>
      </c>
      <c r="AH5503">
        <v>127.488606882301</v>
      </c>
      <c r="AI5503">
        <v>90.306920583963006</v>
      </c>
      <c r="AJ5503">
        <v>104.645318466435</v>
      </c>
      <c r="AK5503">
        <v>131.77176773451501</v>
      </c>
      <c r="AL5503">
        <v>94.313939023136498</v>
      </c>
      <c r="AM5503">
        <v>100.978863941727</v>
      </c>
      <c r="AN5503">
        <v>0.99999997809913599</v>
      </c>
    </row>
    <row r="5504" spans="1:40" x14ac:dyDescent="0.25">
      <c r="A5504" t="str">
        <f>"20190305135039453"</f>
        <v>20190305135039453</v>
      </c>
      <c r="B5504" t="str">
        <f>"1551765039445378"</f>
        <v>1551765039445378</v>
      </c>
      <c r="C5504" t="s">
        <v>40</v>
      </c>
      <c r="D5504">
        <v>4.2251110000000001</v>
      </c>
      <c r="E5504">
        <v>0.48239959999999998</v>
      </c>
      <c r="F5504" t="s">
        <v>85</v>
      </c>
      <c r="G5504">
        <v>-429.5521</v>
      </c>
      <c r="H5504" s="1">
        <v>-6.236095E-6</v>
      </c>
      <c r="I5504">
        <v>29.704650000000001</v>
      </c>
      <c r="J5504">
        <v>-414.1968</v>
      </c>
      <c r="K5504">
        <v>1.1093679999999999</v>
      </c>
      <c r="L5504">
        <v>124.232</v>
      </c>
      <c r="M5504">
        <v>-0.39957280000000001</v>
      </c>
      <c r="N5504">
        <v>-1.150928E-2</v>
      </c>
      <c r="O5504">
        <v>-0.91662920000000003</v>
      </c>
      <c r="P5504">
        <v>-0.21581649999999999</v>
      </c>
      <c r="Q5504">
        <v>-8.8768420000000001E-2</v>
      </c>
      <c r="R5504">
        <v>-0.97239070000000005</v>
      </c>
      <c r="S5504">
        <v>-0.48526000000000002</v>
      </c>
      <c r="T5504">
        <v>-3.4818769999999999E-2</v>
      </c>
      <c r="U5504">
        <v>-2.9738159999999998</v>
      </c>
      <c r="V5504">
        <v>-0.19073509999999999</v>
      </c>
      <c r="W5504">
        <v>-7.7497860000000002E-2</v>
      </c>
      <c r="X5504">
        <v>0.97857769999999999</v>
      </c>
      <c r="Y5504">
        <v>-0.24671860000000001</v>
      </c>
      <c r="Z5504">
        <v>-1.1130510000000001E-3</v>
      </c>
      <c r="AA5504">
        <v>0.96908649999999996</v>
      </c>
      <c r="AB5504">
        <v>29</v>
      </c>
      <c r="AC5504">
        <v>-15.3553</v>
      </c>
      <c r="AD5504">
        <v>-1.1093742360950001</v>
      </c>
      <c r="AE5504">
        <v>-94.527349999999998</v>
      </c>
      <c r="AF5504">
        <v>-23.693831843239199</v>
      </c>
      <c r="AG5504">
        <v>-1.1093742360950001</v>
      </c>
      <c r="AH5504">
        <v>92.775786397502898</v>
      </c>
      <c r="AI5504">
        <v>90.663783341674701</v>
      </c>
      <c r="AJ5504">
        <v>104.326428767789</v>
      </c>
      <c r="AK5504">
        <v>95.759986008178203</v>
      </c>
      <c r="AL5504">
        <v>94.444756786483495</v>
      </c>
      <c r="AM5504">
        <v>101.02927055628901</v>
      </c>
      <c r="AN5504">
        <v>1.00000005580693</v>
      </c>
    </row>
    <row r="5505" spans="1:40" x14ac:dyDescent="0.25">
      <c r="A5505" t="str">
        <f>"20190305135039476"</f>
        <v>20190305135039476</v>
      </c>
      <c r="B5505" t="str">
        <f>"1551765039465872"</f>
        <v>1551765039465872</v>
      </c>
      <c r="C5505" t="s">
        <v>40</v>
      </c>
      <c r="D5505">
        <v>4.1811759999999998</v>
      </c>
      <c r="E5505">
        <v>0.48363590000000001</v>
      </c>
      <c r="F5505" t="s">
        <v>42</v>
      </c>
      <c r="G5505">
        <v>-422.9341</v>
      </c>
      <c r="H5505" s="1">
        <v>-2.2290729999999999E-6</v>
      </c>
      <c r="I5505">
        <v>72.965339999999998</v>
      </c>
      <c r="J5505">
        <v>-414.31029999999998</v>
      </c>
      <c r="K5505">
        <v>1.109022</v>
      </c>
      <c r="L5505">
        <v>123.97280000000001</v>
      </c>
      <c r="M5505">
        <v>-0.40028999999999998</v>
      </c>
      <c r="N5505">
        <v>-1.1452789999999999E-2</v>
      </c>
      <c r="O5505">
        <v>-0.91631700000000005</v>
      </c>
      <c r="P5505">
        <v>-0.21586159999999999</v>
      </c>
      <c r="Q5505">
        <v>-9.3681269999999997E-2</v>
      </c>
      <c r="R5505">
        <v>-0.97191970000000005</v>
      </c>
      <c r="S5505">
        <v>-0.50567629999999997</v>
      </c>
      <c r="T5505">
        <v>-6.4205769999999995E-2</v>
      </c>
      <c r="U5505">
        <v>-2.9671020000000001</v>
      </c>
      <c r="V5505">
        <v>-0.19133459999999999</v>
      </c>
      <c r="W5505">
        <v>-8.2322229999999996E-2</v>
      </c>
      <c r="X5505">
        <v>0.97806649999999995</v>
      </c>
      <c r="Y5505">
        <v>-0.24062720000000001</v>
      </c>
      <c r="Z5505">
        <v>7.4472139999999997E-3</v>
      </c>
      <c r="AA5505">
        <v>0.97058900000000004</v>
      </c>
      <c r="AB5505">
        <v>29</v>
      </c>
      <c r="AC5505">
        <v>-8.6238000000000099</v>
      </c>
      <c r="AD5505">
        <v>-1.1090242290729999</v>
      </c>
      <c r="AE5505">
        <v>-51.007460000000002</v>
      </c>
      <c r="AF5505">
        <v>-12.5107120678027</v>
      </c>
      <c r="AG5505">
        <v>-1.1090242290729999</v>
      </c>
      <c r="AH5505">
        <v>50.171254827256597</v>
      </c>
      <c r="AI5505">
        <v>91.2286918080097</v>
      </c>
      <c r="AJ5505">
        <v>104.00173455545399</v>
      </c>
      <c r="AK5505">
        <v>51.719461154633599</v>
      </c>
      <c r="AL5505">
        <v>94.722060244700998</v>
      </c>
      <c r="AM5505">
        <v>101.068722258283</v>
      </c>
      <c r="AN5505">
        <v>0.99999997856579104</v>
      </c>
    </row>
    <row r="5506" spans="1:40" x14ac:dyDescent="0.25">
      <c r="A5506" t="str">
        <f>"20190305135039499"</f>
        <v>20190305135039499</v>
      </c>
      <c r="B5506" t="str">
        <f>"1551765039495152"</f>
        <v>1551765039495152</v>
      </c>
      <c r="C5506" t="s">
        <v>40</v>
      </c>
      <c r="D5506">
        <v>4.2336229999999997</v>
      </c>
      <c r="E5506">
        <v>0.48435040000000001</v>
      </c>
      <c r="F5506" t="s">
        <v>42</v>
      </c>
      <c r="G5506">
        <v>-423.8544</v>
      </c>
      <c r="H5506" s="1">
        <v>-4.8149439999999998E-6</v>
      </c>
      <c r="I5506">
        <v>69.126630000000006</v>
      </c>
      <c r="J5506">
        <v>-414.42630000000003</v>
      </c>
      <c r="K5506">
        <v>1.1087199999999999</v>
      </c>
      <c r="L5506">
        <v>123.7093</v>
      </c>
      <c r="M5506">
        <v>-0.40128989999999998</v>
      </c>
      <c r="N5506">
        <v>-1.140185E-2</v>
      </c>
      <c r="O5506">
        <v>-0.91588029999999998</v>
      </c>
      <c r="P5506">
        <v>-0.21621969999999999</v>
      </c>
      <c r="Q5506">
        <v>-9.6958059999999999E-2</v>
      </c>
      <c r="R5506">
        <v>-0.97151880000000002</v>
      </c>
      <c r="S5506">
        <v>-0.51617429999999997</v>
      </c>
      <c r="T5506">
        <v>-5.9979560000000001E-2</v>
      </c>
      <c r="U5506">
        <v>-2.9662480000000002</v>
      </c>
      <c r="V5506">
        <v>-0.19197330000000001</v>
      </c>
      <c r="W5506">
        <v>-8.55215E-2</v>
      </c>
      <c r="X5506">
        <v>0.97766679999999995</v>
      </c>
      <c r="Y5506">
        <v>-0.23830470000000001</v>
      </c>
      <c r="Z5506">
        <v>6.2811569999999999E-3</v>
      </c>
      <c r="AA5506">
        <v>0.97117010000000004</v>
      </c>
      <c r="AB5506">
        <v>29</v>
      </c>
      <c r="AC5506">
        <v>-9.4280999999999704</v>
      </c>
      <c r="AD5506">
        <v>-1.1087248149439899</v>
      </c>
      <c r="AE5506">
        <v>-54.582669999999901</v>
      </c>
      <c r="AF5506">
        <v>-13.2640093372815</v>
      </c>
      <c r="AG5506">
        <v>-1.1087248149439899</v>
      </c>
      <c r="AH5506">
        <v>53.756543095313297</v>
      </c>
      <c r="AI5506">
        <v>91.147158811809504</v>
      </c>
      <c r="AJ5506">
        <v>103.860432591999</v>
      </c>
      <c r="AK5506">
        <v>55.379862224215003</v>
      </c>
      <c r="AL5506">
        <v>94.906013703728604</v>
      </c>
      <c r="AM5506">
        <v>101.109181253603</v>
      </c>
      <c r="AN5506">
        <v>1.0000000233486801</v>
      </c>
    </row>
    <row r="5507" spans="1:40" x14ac:dyDescent="0.25">
      <c r="A5507" t="str">
        <f>"20190305135039521"</f>
        <v>20190305135039521</v>
      </c>
      <c r="B5507" t="str">
        <f>"1551765039515648"</f>
        <v>1551765039515648</v>
      </c>
      <c r="C5507" t="s">
        <v>40</v>
      </c>
      <c r="D5507">
        <v>4.2933399999999997</v>
      </c>
      <c r="E5507">
        <v>0.48550409999999999</v>
      </c>
      <c r="F5507" t="s">
        <v>42</v>
      </c>
      <c r="G5507">
        <v>-423.58229999999998</v>
      </c>
      <c r="H5507" s="1">
        <v>-1.865715E-6</v>
      </c>
      <c r="I5507">
        <v>71.716269999999994</v>
      </c>
      <c r="J5507">
        <v>-414.54379999999998</v>
      </c>
      <c r="K5507">
        <v>1.108452</v>
      </c>
      <c r="L5507">
        <v>123.4439</v>
      </c>
      <c r="M5507">
        <v>-0.40253899999999998</v>
      </c>
      <c r="N5507">
        <v>-1.1357310000000001E-2</v>
      </c>
      <c r="O5507">
        <v>-0.91533260000000005</v>
      </c>
      <c r="P5507">
        <v>-0.2169749</v>
      </c>
      <c r="Q5507">
        <v>-9.8584809999999995E-2</v>
      </c>
      <c r="R5507">
        <v>-0.97118660000000001</v>
      </c>
      <c r="S5507">
        <v>-0.52221679999999904</v>
      </c>
      <c r="T5507">
        <v>-6.3236000000000001E-2</v>
      </c>
      <c r="U5507">
        <v>-2.9654240000000001</v>
      </c>
      <c r="V5507">
        <v>-0.1925356</v>
      </c>
      <c r="W5507">
        <v>-8.7077890000000005E-2</v>
      </c>
      <c r="X5507">
        <v>0.97741880000000003</v>
      </c>
      <c r="Y5507">
        <v>-0.23766380000000001</v>
      </c>
      <c r="Z5507">
        <v>7.2547100000000002E-3</v>
      </c>
      <c r="AA5507">
        <v>0.97132039999999997</v>
      </c>
      <c r="AB5507">
        <v>29</v>
      </c>
      <c r="AC5507">
        <v>-9.0385000000000009</v>
      </c>
      <c r="AD5507">
        <v>-1.108453865715</v>
      </c>
      <c r="AE5507">
        <v>-51.727629999999998</v>
      </c>
      <c r="AF5507">
        <v>-12.5443720791963</v>
      </c>
      <c r="AG5507">
        <v>-1.108453865715</v>
      </c>
      <c r="AH5507">
        <v>50.966903165776799</v>
      </c>
      <c r="AI5507">
        <v>91.209806652412794</v>
      </c>
      <c r="AJ5507">
        <v>103.827244236314</v>
      </c>
      <c r="AK5507">
        <v>52.499668181269598</v>
      </c>
      <c r="AL5507">
        <v>94.995522275462605</v>
      </c>
      <c r="AM5507">
        <v>101.143663804385</v>
      </c>
      <c r="AN5507">
        <v>1.0000000133938201</v>
      </c>
    </row>
    <row r="5508" spans="1:40" x14ac:dyDescent="0.25">
      <c r="A5508" t="str">
        <f>"20190305135039542"</f>
        <v>20190305135039542</v>
      </c>
      <c r="B5508" t="str">
        <f>"1551765039536143"</f>
        <v>1551765039536143</v>
      </c>
      <c r="C5508" t="s">
        <v>40</v>
      </c>
      <c r="D5508">
        <v>4.2904669999999996</v>
      </c>
      <c r="E5508">
        <v>0.4861916</v>
      </c>
      <c r="F5508" t="s">
        <v>42</v>
      </c>
      <c r="G5508">
        <v>-422.37900000000002</v>
      </c>
      <c r="H5508" s="1">
        <v>-8.0403280000000003E-7</v>
      </c>
      <c r="I5508">
        <v>79.987780000000001</v>
      </c>
      <c r="J5508">
        <v>-414.65899999999999</v>
      </c>
      <c r="K5508">
        <v>1.108231</v>
      </c>
      <c r="L5508">
        <v>123.18559999999999</v>
      </c>
      <c r="M5508">
        <v>-0.4039526</v>
      </c>
      <c r="N5508">
        <v>-1.132025E-2</v>
      </c>
      <c r="O5508">
        <v>-0.91471000000000002</v>
      </c>
      <c r="P5508">
        <v>-0.21843270000000001</v>
      </c>
      <c r="Q5508">
        <v>-0.1004656</v>
      </c>
      <c r="R5508">
        <v>-0.97066680000000005</v>
      </c>
      <c r="S5508">
        <v>-0.53405760000000002</v>
      </c>
      <c r="T5508">
        <v>-7.5553540000000002E-2</v>
      </c>
      <c r="U5508">
        <v>-2.962021</v>
      </c>
      <c r="V5508">
        <v>-0.1925492</v>
      </c>
      <c r="W5508">
        <v>-8.8899010000000001E-2</v>
      </c>
      <c r="X5508">
        <v>0.97725209999999996</v>
      </c>
      <c r="Y5508">
        <v>-0.23521030000000001</v>
      </c>
      <c r="Z5508">
        <v>1.0847849999999999E-2</v>
      </c>
      <c r="AA5508">
        <v>0.97188399999999997</v>
      </c>
      <c r="AB5508">
        <v>29</v>
      </c>
      <c r="AC5508">
        <v>-7.7200000000000202</v>
      </c>
      <c r="AD5508">
        <v>-1.1082318040328001</v>
      </c>
      <c r="AE5508">
        <v>-43.197819999999901</v>
      </c>
      <c r="AF5508">
        <v>-10.382353111575499</v>
      </c>
      <c r="AG5508">
        <v>-1.1082318040328001</v>
      </c>
      <c r="AH5508">
        <v>42.607543805655602</v>
      </c>
      <c r="AI5508">
        <v>91.447601551994595</v>
      </c>
      <c r="AJ5508">
        <v>103.69460981479899</v>
      </c>
      <c r="AK5508">
        <v>43.868259858533001</v>
      </c>
      <c r="AL5508">
        <v>95.100271383617397</v>
      </c>
      <c r="AM5508">
        <v>101.146284671446</v>
      </c>
      <c r="AN5508">
        <v>0.99999994767701295</v>
      </c>
    </row>
    <row r="5509" spans="1:40" x14ac:dyDescent="0.25">
      <c r="A5509" t="str">
        <f>"20190305135039564"</f>
        <v>20190305135039564</v>
      </c>
      <c r="B5509" t="str">
        <f>"1551765039555663"</f>
        <v>1551765039555663</v>
      </c>
      <c r="C5509" t="s">
        <v>40</v>
      </c>
      <c r="D5509">
        <v>4.3350019999999896</v>
      </c>
      <c r="E5509">
        <v>0.48682310000000001</v>
      </c>
      <c r="F5509" t="s">
        <v>42</v>
      </c>
      <c r="G5509">
        <v>-420.92320000000001</v>
      </c>
      <c r="H5509" s="1">
        <v>-4.3053269999999998E-6</v>
      </c>
      <c r="I5509">
        <v>89.156949999999995</v>
      </c>
      <c r="J5509">
        <v>-414.77339999999998</v>
      </c>
      <c r="K5509">
        <v>1.1080509999999999</v>
      </c>
      <c r="L5509">
        <v>122.9306</v>
      </c>
      <c r="M5509">
        <v>-0.40549950000000001</v>
      </c>
      <c r="N5509">
        <v>-1.128875E-2</v>
      </c>
      <c r="O5509">
        <v>-0.91402550000000005</v>
      </c>
      <c r="P5509">
        <v>-0.22032360000000001</v>
      </c>
      <c r="Q5509">
        <v>-0.10247779999999999</v>
      </c>
      <c r="R5509">
        <v>-0.97002880000000002</v>
      </c>
      <c r="S5509">
        <v>-0.54455569999999998</v>
      </c>
      <c r="T5509">
        <v>-9.6340060000000005E-2</v>
      </c>
      <c r="U5509">
        <v>-2.958145</v>
      </c>
      <c r="V5509">
        <v>-0.19225590000000001</v>
      </c>
      <c r="W5509">
        <v>-9.0865150000000006E-2</v>
      </c>
      <c r="X5509">
        <v>0.97712900000000003</v>
      </c>
      <c r="Y5509">
        <v>-0.23330020000000001</v>
      </c>
      <c r="Z5509">
        <v>1.6870889999999999E-2</v>
      </c>
      <c r="AA5509">
        <v>0.97225839999999997</v>
      </c>
      <c r="AB5509">
        <v>29</v>
      </c>
      <c r="AC5509">
        <v>-6.1498000000000204</v>
      </c>
      <c r="AD5509">
        <v>-1.1080553053269999</v>
      </c>
      <c r="AE5509">
        <v>-33.773650000000004</v>
      </c>
      <c r="AF5509">
        <v>-8.0662353845812795</v>
      </c>
      <c r="AG5509">
        <v>-1.1080553053269999</v>
      </c>
      <c r="AH5509">
        <v>33.331120294850997</v>
      </c>
      <c r="AI5509">
        <v>91.850649696359</v>
      </c>
      <c r="AJ5509">
        <v>103.60420389251099</v>
      </c>
      <c r="AK5509">
        <v>34.311157368252097</v>
      </c>
      <c r="AL5509">
        <v>95.213380768144404</v>
      </c>
      <c r="AM5509">
        <v>101.131097454144</v>
      </c>
      <c r="AN5509">
        <v>0.99999994460516395</v>
      </c>
    </row>
    <row r="5510" spans="1:40" x14ac:dyDescent="0.25">
      <c r="A5510" t="str">
        <f>"20190305135039581"</f>
        <v>20190305135039581</v>
      </c>
      <c r="B5510" t="str">
        <f>"1551765039575183"</f>
        <v>1551765039575183</v>
      </c>
      <c r="C5510" t="s">
        <v>40</v>
      </c>
      <c r="D5510">
        <v>4.3577959999999996</v>
      </c>
      <c r="E5510">
        <v>0.4868442</v>
      </c>
      <c r="F5510" t="s">
        <v>42</v>
      </c>
      <c r="G5510">
        <v>-420.41800000000001</v>
      </c>
      <c r="H5510" s="1">
        <v>-1.5274749999999999E-6</v>
      </c>
      <c r="I5510">
        <v>92.890410000000003</v>
      </c>
      <c r="J5510">
        <v>-414.85430000000002</v>
      </c>
      <c r="K5510">
        <v>1.1079570000000001</v>
      </c>
      <c r="L5510">
        <v>122.7512</v>
      </c>
      <c r="M5510">
        <v>-0.40665669999999998</v>
      </c>
      <c r="N5510">
        <v>-1.126915E-2</v>
      </c>
      <c r="O5510">
        <v>-0.91351159999999998</v>
      </c>
      <c r="P5510">
        <v>-0.22170960000000001</v>
      </c>
      <c r="Q5510">
        <v>-0.1029661</v>
      </c>
      <c r="R5510">
        <v>-0.96966149999999995</v>
      </c>
      <c r="S5510">
        <v>-0.55526730000000002</v>
      </c>
      <c r="T5510">
        <v>-0.1089995</v>
      </c>
      <c r="U5510">
        <v>-2.955063</v>
      </c>
      <c r="V5510">
        <v>-0.19209809999999999</v>
      </c>
      <c r="W5510">
        <v>-9.1330629999999996E-2</v>
      </c>
      <c r="X5510">
        <v>0.97711669999999995</v>
      </c>
      <c r="Y5510">
        <v>-0.23095209999999999</v>
      </c>
      <c r="Z5510">
        <v>2.054576E-2</v>
      </c>
      <c r="AA5510">
        <v>0.97274819999999995</v>
      </c>
      <c r="AB5510">
        <v>29</v>
      </c>
      <c r="AC5510">
        <v>-5.5636999999999803</v>
      </c>
      <c r="AD5510">
        <v>-1.1079585274749999</v>
      </c>
      <c r="AE5510">
        <v>-29.860789999999898</v>
      </c>
      <c r="AF5510">
        <v>-7.0516514090294402</v>
      </c>
      <c r="AG5510">
        <v>-1.1079585274749999</v>
      </c>
      <c r="AH5510">
        <v>29.503313315534101</v>
      </c>
      <c r="AI5510">
        <v>92.091793379078993</v>
      </c>
      <c r="AJ5510">
        <v>103.442206192949</v>
      </c>
      <c r="AK5510">
        <v>30.3545524804377</v>
      </c>
      <c r="AL5510">
        <v>95.240161852094303</v>
      </c>
      <c r="AM5510">
        <v>101.122325656591</v>
      </c>
      <c r="AN5510">
        <v>1.00000000470934</v>
      </c>
    </row>
    <row r="5511" spans="1:40" x14ac:dyDescent="0.25">
      <c r="A5511" t="str">
        <f>"20190305135039622"</f>
        <v>20190305135039622</v>
      </c>
      <c r="B5511" t="str">
        <f>"1551765039615199"</f>
        <v>1551765039615199</v>
      </c>
      <c r="C5511" t="s">
        <v>40</v>
      </c>
      <c r="D5511">
        <v>4.1819769999999998</v>
      </c>
      <c r="E5511">
        <v>0.48807709999999999</v>
      </c>
      <c r="F5511" t="s">
        <v>42</v>
      </c>
      <c r="G5511">
        <v>-420.31639999999999</v>
      </c>
      <c r="H5511" s="1">
        <v>-1.9524729999999998E-6</v>
      </c>
      <c r="I5511">
        <v>93.944109999999995</v>
      </c>
      <c r="J5511">
        <v>-415.07659999999998</v>
      </c>
      <c r="K5511">
        <v>1.1078170000000001</v>
      </c>
      <c r="L5511">
        <v>122.2621</v>
      </c>
      <c r="M5511">
        <v>-0.40994530000000001</v>
      </c>
      <c r="N5511">
        <v>-1.12236E-2</v>
      </c>
      <c r="O5511">
        <v>-0.9120414</v>
      </c>
      <c r="P5511">
        <v>-0.22682240000000001</v>
      </c>
      <c r="Q5511">
        <v>-0.1018898</v>
      </c>
      <c r="R5511">
        <v>-0.96859240000000002</v>
      </c>
      <c r="S5511">
        <v>-0.56005859999999996</v>
      </c>
      <c r="T5511">
        <v>-0.1136047</v>
      </c>
      <c r="U5511">
        <v>-2.953735</v>
      </c>
      <c r="V5511">
        <v>-0.1905365</v>
      </c>
      <c r="W5511">
        <v>-9.0237949999999997E-2</v>
      </c>
      <c r="X5511">
        <v>0.9775239</v>
      </c>
      <c r="Y5511">
        <v>-0.2328567</v>
      </c>
      <c r="Z5511">
        <v>2.1840479999999999E-2</v>
      </c>
      <c r="AA5511">
        <v>0.97226579999999996</v>
      </c>
      <c r="AB5511">
        <v>29</v>
      </c>
      <c r="AC5511">
        <v>-5.2397999999999998</v>
      </c>
      <c r="AD5511">
        <v>-1.107818952473</v>
      </c>
      <c r="AE5511">
        <v>-28.317990000000002</v>
      </c>
      <c r="AF5511">
        <v>-6.8202480788462001</v>
      </c>
      <c r="AG5511">
        <v>-1.107818952473</v>
      </c>
      <c r="AH5511">
        <v>27.935625813781801</v>
      </c>
      <c r="AI5511">
        <v>92.206207115755106</v>
      </c>
      <c r="AJ5511">
        <v>103.71989322286301</v>
      </c>
      <c r="AK5511">
        <v>28.777460560238701</v>
      </c>
      <c r="AL5511">
        <v>95.177296269733404</v>
      </c>
      <c r="AM5511">
        <v>101.02965435255599</v>
      </c>
      <c r="AN5511">
        <v>1.0000000102618301</v>
      </c>
    </row>
    <row r="5512" spans="1:40" x14ac:dyDescent="0.25">
      <c r="A5512" t="str">
        <f>"20190305135039643"</f>
        <v>20190305135039643</v>
      </c>
      <c r="B5512" t="str">
        <f>"1551765039635695"</f>
        <v>1551765039635695</v>
      </c>
      <c r="C5512" t="s">
        <v>40</v>
      </c>
      <c r="D5512">
        <v>4.1697189999999997</v>
      </c>
      <c r="E5512">
        <v>0.49092019999999997</v>
      </c>
      <c r="F5512" t="s">
        <v>42</v>
      </c>
      <c r="G5512">
        <v>-422.38659999999999</v>
      </c>
      <c r="H5512" s="1">
        <v>-3.117959E-6</v>
      </c>
      <c r="I5512">
        <v>85.376900000000006</v>
      </c>
      <c r="J5512">
        <v>-415.19170000000003</v>
      </c>
      <c r="K5512">
        <v>1.107815</v>
      </c>
      <c r="L5512">
        <v>122.0108</v>
      </c>
      <c r="M5512">
        <v>-0.41163840000000002</v>
      </c>
      <c r="N5512">
        <v>-1.120415E-2</v>
      </c>
      <c r="O5512">
        <v>-0.91127849999999999</v>
      </c>
      <c r="P5512">
        <v>-0.22950789999999999</v>
      </c>
      <c r="Q5512">
        <v>-0.10216169999999999</v>
      </c>
      <c r="R5512">
        <v>-0.96793059999999997</v>
      </c>
      <c r="S5512">
        <v>-0.58483890000000005</v>
      </c>
      <c r="T5512">
        <v>-8.8631150000000006E-2</v>
      </c>
      <c r="U5512">
        <v>-2.9510040000000002</v>
      </c>
      <c r="V5512">
        <v>-0.1896322</v>
      </c>
      <c r="W5512">
        <v>-9.0528120000000004E-2</v>
      </c>
      <c r="X5512">
        <v>0.97767289999999996</v>
      </c>
      <c r="Y5512">
        <v>-0.22661229999999999</v>
      </c>
      <c r="Z5512">
        <v>1.470876E-2</v>
      </c>
      <c r="AA5512">
        <v>0.97387400000000002</v>
      </c>
      <c r="AB5512">
        <v>29</v>
      </c>
      <c r="AC5512">
        <v>-7.1948999999999597</v>
      </c>
      <c r="AD5512">
        <v>-1.1078181179590001</v>
      </c>
      <c r="AE5512">
        <v>-36.633899999999997</v>
      </c>
      <c r="AF5512">
        <v>-8.5163976780519395</v>
      </c>
      <c r="AG5512">
        <v>-1.1078181179590001</v>
      </c>
      <c r="AH5512">
        <v>36.315683965527001</v>
      </c>
      <c r="AI5512">
        <v>91.701155523184696</v>
      </c>
      <c r="AJ5512">
        <v>103.19795257168801</v>
      </c>
      <c r="AK5512">
        <v>37.317357787995199</v>
      </c>
      <c r="AL5512">
        <v>95.193990136895096</v>
      </c>
      <c r="AM5512">
        <v>100.976949138607</v>
      </c>
      <c r="AN5512">
        <v>1.0000000055909899</v>
      </c>
    </row>
    <row r="5513" spans="1:40" x14ac:dyDescent="0.25">
      <c r="A5513" t="str">
        <f>"20190305135039665"</f>
        <v>20190305135039665</v>
      </c>
      <c r="B5513" t="str">
        <f>"1551765039655216"</f>
        <v>1551765039655216</v>
      </c>
      <c r="C5513" t="s">
        <v>40</v>
      </c>
      <c r="D5513">
        <v>4.165521</v>
      </c>
      <c r="E5513">
        <v>0.49234220000000001</v>
      </c>
      <c r="F5513" t="s">
        <v>42</v>
      </c>
      <c r="G5513">
        <v>-426.41719999999998</v>
      </c>
      <c r="H5513" s="1">
        <v>-4.9356050000000002E-6</v>
      </c>
      <c r="I5513">
        <v>68.145340000000004</v>
      </c>
      <c r="J5513">
        <v>-415.31020000000001</v>
      </c>
      <c r="K5513">
        <v>1.1078520000000001</v>
      </c>
      <c r="L5513">
        <v>121.7534</v>
      </c>
      <c r="M5513">
        <v>-0.41330689999999998</v>
      </c>
      <c r="N5513">
        <v>-1.118648E-2</v>
      </c>
      <c r="O5513">
        <v>-0.91052310000000003</v>
      </c>
      <c r="P5513">
        <v>-0.2321773</v>
      </c>
      <c r="Q5513">
        <v>-0.10349800000000001</v>
      </c>
      <c r="R5513">
        <v>-0.96715169999999995</v>
      </c>
      <c r="S5513">
        <v>-0.61422730000000003</v>
      </c>
      <c r="T5513">
        <v>-6.0616969999999999E-2</v>
      </c>
      <c r="U5513">
        <v>-2.9473720000000001</v>
      </c>
      <c r="V5513">
        <v>-0.18866469999999999</v>
      </c>
      <c r="W5513">
        <v>-9.1900830000000003E-2</v>
      </c>
      <c r="X5513">
        <v>0.97773200000000005</v>
      </c>
      <c r="Y5513">
        <v>-0.21883179999999999</v>
      </c>
      <c r="Z5513">
        <v>6.7109580000000004E-3</v>
      </c>
      <c r="AA5513">
        <v>0.97573949999999998</v>
      </c>
      <c r="AB5513">
        <v>29</v>
      </c>
      <c r="AC5513">
        <v>-11.1069999999999</v>
      </c>
      <c r="AD5513">
        <v>-1.1078569356049901</v>
      </c>
      <c r="AE5513">
        <v>-53.608060000000002</v>
      </c>
      <c r="AF5513">
        <v>-12.0392242980002</v>
      </c>
      <c r="AG5513">
        <v>-1.1078569356049901</v>
      </c>
      <c r="AH5513">
        <v>53.383456587756001</v>
      </c>
      <c r="AI5513">
        <v>91.159758853285098</v>
      </c>
      <c r="AJ5513">
        <v>102.70892966748799</v>
      </c>
      <c r="AK5513">
        <v>54.735397193627399</v>
      </c>
      <c r="AL5513">
        <v>95.2729699192098</v>
      </c>
      <c r="AM5513">
        <v>100.921650895426</v>
      </c>
      <c r="AN5513">
        <v>0.99999999770238901</v>
      </c>
    </row>
    <row r="5514" spans="1:40" x14ac:dyDescent="0.25">
      <c r="A5514" t="str">
        <f>"20190305135039788"</f>
        <v>20190305135039788</v>
      </c>
      <c r="B5514" t="str">
        <f>"1551765039785999"</f>
        <v>1551765039785999</v>
      </c>
      <c r="C5514" t="s">
        <v>40</v>
      </c>
      <c r="D5514">
        <v>4.4517910000000001</v>
      </c>
      <c r="E5514">
        <v>0.4907725</v>
      </c>
      <c r="F5514" t="s">
        <v>42</v>
      </c>
      <c r="G5514">
        <v>-428.47859999999997</v>
      </c>
      <c r="H5514" s="1">
        <v>-2.6534689999999999E-6</v>
      </c>
      <c r="I5514">
        <v>60.515720000000002</v>
      </c>
      <c r="J5514">
        <v>-415.97620000000001</v>
      </c>
      <c r="K5514">
        <v>1.108744</v>
      </c>
      <c r="L5514">
        <v>120.3169</v>
      </c>
      <c r="M5514">
        <v>-0.41924230000000001</v>
      </c>
      <c r="N5514">
        <v>-1.107825E-2</v>
      </c>
      <c r="O5514">
        <v>-0.90780689999999997</v>
      </c>
      <c r="P5514">
        <v>-0.2300576</v>
      </c>
      <c r="Q5514">
        <v>-9.8770650000000002E-2</v>
      </c>
      <c r="R5514">
        <v>-0.96815200000000001</v>
      </c>
      <c r="S5514">
        <v>-0.63311770000000001</v>
      </c>
      <c r="T5514">
        <v>-5.3263659999999997E-2</v>
      </c>
      <c r="U5514">
        <v>-2.9441989999999998</v>
      </c>
      <c r="V5514">
        <v>-0.19718140000000001</v>
      </c>
      <c r="W5514">
        <v>-8.7674849999999999E-2</v>
      </c>
      <c r="X5514">
        <v>0.97643880000000005</v>
      </c>
      <c r="Y5514">
        <v>-0.2190008</v>
      </c>
      <c r="Z5514">
        <v>4.6610189999999998E-3</v>
      </c>
      <c r="AA5514">
        <v>0.97571359999999996</v>
      </c>
      <c r="AB5514">
        <v>29</v>
      </c>
      <c r="AC5514">
        <v>-12.5023999999999</v>
      </c>
      <c r="AD5514">
        <v>-1.108746653469</v>
      </c>
      <c r="AE5514">
        <v>-59.801180000000002</v>
      </c>
      <c r="AF5514">
        <v>-13.7177419297924</v>
      </c>
      <c r="AG5514">
        <v>-1.108746653469</v>
      </c>
      <c r="AH5514">
        <v>59.513504915568099</v>
      </c>
      <c r="AI5514">
        <v>91.040041986675405</v>
      </c>
      <c r="AJ5514">
        <v>102.979859525583</v>
      </c>
      <c r="AK5514">
        <v>61.084065271798302</v>
      </c>
      <c r="AL5514">
        <v>95.029856661356106</v>
      </c>
      <c r="AM5514">
        <v>101.41673443854199</v>
      </c>
      <c r="AN5514">
        <v>1.00000005698695</v>
      </c>
    </row>
    <row r="5515" spans="1:40" x14ac:dyDescent="0.25">
      <c r="A5515" t="str">
        <f>"20190305135039812"</f>
        <v>20190305135039812</v>
      </c>
      <c r="B5515" t="str">
        <f>"1551765039805520"</f>
        <v>1551765039805520</v>
      </c>
      <c r="C5515" t="s">
        <v>40</v>
      </c>
      <c r="D5515">
        <v>4.4300410000000001</v>
      </c>
      <c r="E5515">
        <v>0.48965649999999999</v>
      </c>
      <c r="F5515" t="s">
        <v>85</v>
      </c>
      <c r="G5515">
        <v>-434.02809999999999</v>
      </c>
      <c r="H5515">
        <v>7.9987799999999998E-2</v>
      </c>
      <c r="I5515">
        <v>33.81812</v>
      </c>
      <c r="J5515">
        <v>-416.10059999999999</v>
      </c>
      <c r="K5515">
        <v>1.108976</v>
      </c>
      <c r="L5515">
        <v>120.0487</v>
      </c>
      <c r="M5515">
        <v>-0.41940329999999898</v>
      </c>
      <c r="N5515">
        <v>-1.101717E-2</v>
      </c>
      <c r="O5515">
        <v>-0.90773340000000002</v>
      </c>
      <c r="P5515">
        <v>-0.22536100000000001</v>
      </c>
      <c r="Q5515">
        <v>-0.1003522</v>
      </c>
      <c r="R5515">
        <v>-0.96909389999999995</v>
      </c>
      <c r="S5515">
        <v>-0.61541749999999995</v>
      </c>
      <c r="T5515">
        <v>-3.5071970000000001E-2</v>
      </c>
      <c r="U5515">
        <v>-2.9488829999999999</v>
      </c>
      <c r="V5515">
        <v>-0.20195659999999999</v>
      </c>
      <c r="W5515">
        <v>-8.9452909999999997E-2</v>
      </c>
      <c r="X5515">
        <v>0.97530079999999997</v>
      </c>
      <c r="Y5515">
        <v>-0.2250982</v>
      </c>
      <c r="Z5515">
        <v>-5.1661969999999998E-4</v>
      </c>
      <c r="AA5515">
        <v>0.97433599999999998</v>
      </c>
      <c r="AB5515">
        <v>29</v>
      </c>
      <c r="AC5515">
        <v>-17.927499999999998</v>
      </c>
      <c r="AD5515">
        <v>-1.0289881999999999</v>
      </c>
      <c r="AE5515">
        <v>-86.230580000000003</v>
      </c>
      <c r="AF5515">
        <v>-19.890487348812599</v>
      </c>
      <c r="AG5515">
        <v>-1.0289881999999999</v>
      </c>
      <c r="AH5515">
        <v>85.786709323044306</v>
      </c>
      <c r="AI5515">
        <v>90.669456887773507</v>
      </c>
      <c r="AJ5515">
        <v>103.053927042761</v>
      </c>
      <c r="AK5515">
        <v>88.068438161270393</v>
      </c>
      <c r="AL5515">
        <v>95.132134344391702</v>
      </c>
      <c r="AM5515">
        <v>101.698958661945</v>
      </c>
      <c r="AN5515">
        <v>0.99999997093583304</v>
      </c>
    </row>
    <row r="5516" spans="1:40" x14ac:dyDescent="0.25">
      <c r="A5516" t="str">
        <f>"20190305135039833"</f>
        <v>20190305135039833</v>
      </c>
      <c r="B5516" t="str">
        <f>"1551765039826015"</f>
        <v>1551765039826015</v>
      </c>
      <c r="C5516" t="s">
        <v>40</v>
      </c>
      <c r="D5516">
        <v>4.440366</v>
      </c>
      <c r="E5516">
        <v>0.48877880000000001</v>
      </c>
      <c r="F5516" t="s">
        <v>42</v>
      </c>
      <c r="G5516">
        <v>-431.88799999999998</v>
      </c>
      <c r="H5516">
        <v>7.9986409999999994E-2</v>
      </c>
      <c r="I5516">
        <v>41.289059999999999</v>
      </c>
      <c r="J5516">
        <v>-416.2217</v>
      </c>
      <c r="K5516">
        <v>1.1093010000000001</v>
      </c>
      <c r="L5516">
        <v>119.7863</v>
      </c>
      <c r="M5516">
        <v>-0.41905870000000001</v>
      </c>
      <c r="N5516">
        <v>-1.093645E-2</v>
      </c>
      <c r="O5516">
        <v>-0.90789339999999996</v>
      </c>
      <c r="P5516">
        <v>-0.22152720000000001</v>
      </c>
      <c r="Q5516">
        <v>-0.1017692</v>
      </c>
      <c r="R5516">
        <v>-0.96982939999999995</v>
      </c>
      <c r="S5516">
        <v>-0.59213260000000001</v>
      </c>
      <c r="T5516">
        <v>-3.8593769999999999E-2</v>
      </c>
      <c r="U5516">
        <v>-2.9539949999999999</v>
      </c>
      <c r="V5516">
        <v>-0.20529749999999999</v>
      </c>
      <c r="W5516">
        <v>-9.1134480000000004E-2</v>
      </c>
      <c r="X5516">
        <v>0.97444730000000002</v>
      </c>
      <c r="Y5516">
        <v>-0.23242860000000001</v>
      </c>
      <c r="Z5516">
        <v>5.2778280000000003E-4</v>
      </c>
      <c r="AA5516">
        <v>0.97261330000000001</v>
      </c>
      <c r="AB5516">
        <v>29</v>
      </c>
      <c r="AC5516">
        <v>-15.6663</v>
      </c>
      <c r="AD5516">
        <v>-1.02931459</v>
      </c>
      <c r="AE5516">
        <v>-78.497240000000005</v>
      </c>
      <c r="AF5516">
        <v>-18.669648414738099</v>
      </c>
      <c r="AG5516">
        <v>-1.02931459</v>
      </c>
      <c r="AH5516">
        <v>77.824002851276006</v>
      </c>
      <c r="AI5516">
        <v>90.736856301970803</v>
      </c>
      <c r="AJ5516">
        <v>103.490085988445</v>
      </c>
      <c r="AK5516">
        <v>80.038682399515693</v>
      </c>
      <c r="AL5516">
        <v>95.228875988801093</v>
      </c>
      <c r="AM5516">
        <v>101.89714260962801</v>
      </c>
      <c r="AN5516">
        <v>1.0000000487142</v>
      </c>
    </row>
    <row r="5517" spans="1:40" x14ac:dyDescent="0.25">
      <c r="A5517" t="str">
        <f>"20190305135039855"</f>
        <v>20190305135039855</v>
      </c>
      <c r="B5517" t="str">
        <f>"1551765039845536"</f>
        <v>1551765039845536</v>
      </c>
      <c r="C5517" t="s">
        <v>40</v>
      </c>
      <c r="D5517">
        <v>4.3527950000000004</v>
      </c>
      <c r="E5517">
        <v>0.48827510000000002</v>
      </c>
      <c r="F5517" t="s">
        <v>42</v>
      </c>
      <c r="G5517">
        <v>-430.13830000000002</v>
      </c>
      <c r="H5517">
        <v>7.9985819999999999E-2</v>
      </c>
      <c r="I5517">
        <v>48.008299999999998</v>
      </c>
      <c r="J5517">
        <v>-416.33839999999998</v>
      </c>
      <c r="K5517">
        <v>1.1096600000000001</v>
      </c>
      <c r="L5517">
        <v>119.5322</v>
      </c>
      <c r="M5517">
        <v>-0.4183094</v>
      </c>
      <c r="N5517">
        <v>-1.0857210000000001E-2</v>
      </c>
      <c r="O5517">
        <v>-0.90824000000000005</v>
      </c>
      <c r="P5517">
        <v>-0.21936320000000001</v>
      </c>
      <c r="Q5517">
        <v>-0.1024322</v>
      </c>
      <c r="R5517">
        <v>-0.97025139999999999</v>
      </c>
      <c r="S5517">
        <v>-0.5734863</v>
      </c>
      <c r="T5517">
        <v>-4.2416809999999999E-2</v>
      </c>
      <c r="U5517">
        <v>-2.9578859999999998</v>
      </c>
      <c r="V5517">
        <v>-0.20654929999999999</v>
      </c>
      <c r="W5517">
        <v>-9.2072379999999995E-2</v>
      </c>
      <c r="X5517">
        <v>0.97409449999999997</v>
      </c>
      <c r="Y5517">
        <v>-0.2377687</v>
      </c>
      <c r="Z5517">
        <v>1.6663559999999999E-3</v>
      </c>
      <c r="AA5517">
        <v>0.97132039999999997</v>
      </c>
      <c r="AB5517">
        <v>29</v>
      </c>
      <c r="AC5517">
        <v>-13.799899999999999</v>
      </c>
      <c r="AD5517">
        <v>-1.02967418</v>
      </c>
      <c r="AE5517">
        <v>-71.523899999999998</v>
      </c>
      <c r="AF5517">
        <v>-17.383045328927199</v>
      </c>
      <c r="AG5517">
        <v>-1.02967418</v>
      </c>
      <c r="AH5517">
        <v>70.723513938801503</v>
      </c>
      <c r="AI5517">
        <v>90.810013670032006</v>
      </c>
      <c r="AJ5517">
        <v>103.80892685632401</v>
      </c>
      <c r="AK5517">
        <v>72.835746153083093</v>
      </c>
      <c r="AL5517">
        <v>95.282840765197903</v>
      </c>
      <c r="AM5517">
        <v>101.971809201672</v>
      </c>
      <c r="AN5517">
        <v>1.0000000157097999</v>
      </c>
    </row>
    <row r="5518" spans="1:40" x14ac:dyDescent="0.25">
      <c r="A5518" t="str">
        <f>"20190305135039901"</f>
        <v>20190305135039901</v>
      </c>
      <c r="B5518" t="str">
        <f>"1551765039895315"</f>
        <v>1551765039895315</v>
      </c>
      <c r="C5518" t="s">
        <v>40</v>
      </c>
      <c r="D5518">
        <v>4.2977400000000001</v>
      </c>
      <c r="E5518">
        <v>0.42563069999999997</v>
      </c>
      <c r="F5518" t="s">
        <v>42</v>
      </c>
      <c r="G5518">
        <v>-430.36930000000001</v>
      </c>
      <c r="H5518">
        <v>7.9986500000000002E-2</v>
      </c>
      <c r="I5518">
        <v>45.758479999999999</v>
      </c>
      <c r="J5518">
        <v>-416.5779</v>
      </c>
      <c r="K5518">
        <v>1.1105</v>
      </c>
      <c r="L5518">
        <v>119.0042</v>
      </c>
      <c r="M5518">
        <v>-0.41522750000000003</v>
      </c>
      <c r="N5518">
        <v>-1.0689499999999999E-2</v>
      </c>
      <c r="O5518">
        <v>-0.90965490000000004</v>
      </c>
      <c r="P5518">
        <v>-0.2153921</v>
      </c>
      <c r="Q5518">
        <v>-0.1051624</v>
      </c>
      <c r="R5518">
        <v>-0.97084899999999996</v>
      </c>
      <c r="S5518">
        <v>-0.56301880000000004</v>
      </c>
      <c r="T5518">
        <v>-4.1317819999999998E-2</v>
      </c>
      <c r="U5518">
        <v>-2.9603269999999999</v>
      </c>
      <c r="V5518">
        <v>-0.20690339999999999</v>
      </c>
      <c r="W5518">
        <v>-9.5410900000000007E-2</v>
      </c>
      <c r="X5518">
        <v>0.97369799999999995</v>
      </c>
      <c r="Y5518">
        <v>-0.23793800000000001</v>
      </c>
      <c r="Z5518">
        <v>1.525106E-3</v>
      </c>
      <c r="AA5518">
        <v>0.97127909999999995</v>
      </c>
      <c r="AB5518">
        <v>29</v>
      </c>
      <c r="AC5518">
        <v>-13.791399999999999</v>
      </c>
      <c r="AD5518">
        <v>-1.0305135000000001</v>
      </c>
      <c r="AE5518">
        <v>-73.245719999999906</v>
      </c>
      <c r="AF5518">
        <v>-17.8658266058683</v>
      </c>
      <c r="AG5518">
        <v>-1.0305135000000001</v>
      </c>
      <c r="AH5518">
        <v>72.345194344187803</v>
      </c>
      <c r="AI5518">
        <v>90.792290075481802</v>
      </c>
      <c r="AJ5518">
        <v>103.87178821782599</v>
      </c>
      <c r="AK5518">
        <v>74.525679219198906</v>
      </c>
      <c r="AL5518">
        <v>95.474969933580397</v>
      </c>
      <c r="AM5518">
        <v>101.996481271365</v>
      </c>
      <c r="AN5518">
        <v>1.00000002598718</v>
      </c>
    </row>
    <row r="5519" spans="1:40" x14ac:dyDescent="0.25">
      <c r="A5519" t="str">
        <f>"20190305135039922"</f>
        <v>20190305135039922</v>
      </c>
      <c r="B5519" t="str">
        <f>"1551765039915812"</f>
        <v>1551765039915812</v>
      </c>
      <c r="C5519" t="s">
        <v>40</v>
      </c>
      <c r="D5519">
        <v>4.2990529999999998</v>
      </c>
      <c r="E5519">
        <v>0.42479729999999999</v>
      </c>
      <c r="F5519" t="s">
        <v>97</v>
      </c>
      <c r="G5519">
        <v>-418.92720000000003</v>
      </c>
      <c r="H5519">
        <v>5.2551420000000002</v>
      </c>
      <c r="I5519">
        <v>0.48831180000000002</v>
      </c>
      <c r="J5519">
        <v>-416.6952</v>
      </c>
      <c r="K5519">
        <v>1.1109370000000001</v>
      </c>
      <c r="L5519">
        <v>118.7415</v>
      </c>
      <c r="M5519">
        <v>-0.41289619999999999</v>
      </c>
      <c r="N5519">
        <v>-1.061224E-2</v>
      </c>
      <c r="O5519">
        <v>-0.91071639999999998</v>
      </c>
      <c r="P5519">
        <v>-0.211677</v>
      </c>
      <c r="Q5519">
        <v>-0.10638549999999999</v>
      </c>
      <c r="R5519">
        <v>-0.97153239999999996</v>
      </c>
      <c r="S5519">
        <v>-6.1218259999999997E-2</v>
      </c>
      <c r="T5519">
        <v>0.1079973</v>
      </c>
      <c r="U5519">
        <v>-3.0881959999999999</v>
      </c>
      <c r="V5519">
        <v>-0.20796899999999999</v>
      </c>
      <c r="W5519">
        <v>-9.6940129999999999E-2</v>
      </c>
      <c r="X5519">
        <v>0.97331979999999996</v>
      </c>
      <c r="Y5519">
        <v>-0.39484799999999998</v>
      </c>
      <c r="Z5519">
        <v>-3.941534E-2</v>
      </c>
      <c r="AA5519">
        <v>0.91790059999999996</v>
      </c>
      <c r="AB5519">
        <v>29</v>
      </c>
      <c r="AC5519">
        <v>-2.2320000000000202</v>
      </c>
      <c r="AD5519">
        <v>4.1442050000000004</v>
      </c>
      <c r="AE5519">
        <v>-118.2531882</v>
      </c>
      <c r="AF5519">
        <v>-46.738819741184699</v>
      </c>
      <c r="AG5519">
        <v>4.1442050000000004</v>
      </c>
      <c r="AH5519">
        <v>108.48960943657001</v>
      </c>
      <c r="AI5519">
        <v>87.990775557511</v>
      </c>
      <c r="AJ5519">
        <v>113.307043926552</v>
      </c>
      <c r="AK5519">
        <v>118.201891108309</v>
      </c>
      <c r="AL5519">
        <v>95.562996770615499</v>
      </c>
      <c r="AM5519">
        <v>102.061010173531</v>
      </c>
      <c r="AN5519">
        <v>0.99999996341872699</v>
      </c>
    </row>
    <row r="5520" spans="1:40" x14ac:dyDescent="0.25">
      <c r="A5520" t="str">
        <f>"20190305135039966"</f>
        <v>20190305135039966</v>
      </c>
      <c r="B5520" t="str">
        <f>"1551765039955823"</f>
        <v>1551765039955823</v>
      </c>
      <c r="C5520" t="s">
        <v>40</v>
      </c>
      <c r="D5520">
        <v>4.3268120000000003</v>
      </c>
      <c r="E5520">
        <v>0.42580319999999999</v>
      </c>
      <c r="F5520" t="s">
        <v>97</v>
      </c>
      <c r="G5520">
        <v>-418.3211</v>
      </c>
      <c r="H5520">
        <v>5.6047779999999996</v>
      </c>
      <c r="I5520">
        <v>0.49448009999999898</v>
      </c>
      <c r="J5520">
        <v>-416.92489999999998</v>
      </c>
      <c r="K5520">
        <v>1.111761</v>
      </c>
      <c r="L5520">
        <v>118.2174</v>
      </c>
      <c r="M5520">
        <v>-0.40684419999999999</v>
      </c>
      <c r="N5520">
        <v>-1.048062E-2</v>
      </c>
      <c r="O5520">
        <v>-0.91343770000000002</v>
      </c>
      <c r="P5520">
        <v>-0.2019445</v>
      </c>
      <c r="Q5520">
        <v>-0.1030944</v>
      </c>
      <c r="R5520">
        <v>-0.97395600000000004</v>
      </c>
      <c r="S5520">
        <v>-4.2510989999999999E-2</v>
      </c>
      <c r="T5520">
        <v>0.1174891</v>
      </c>
      <c r="U5520">
        <v>-3.0915219999999999</v>
      </c>
      <c r="V5520">
        <v>-0.2112195</v>
      </c>
      <c r="W5520">
        <v>-9.4207059999999995E-2</v>
      </c>
      <c r="X5520">
        <v>0.97288819999999998</v>
      </c>
      <c r="Y5520">
        <v>-0.39432909999999999</v>
      </c>
      <c r="Z5520">
        <v>-4.1954690000000003E-2</v>
      </c>
      <c r="AA5520">
        <v>0.91801109999999997</v>
      </c>
      <c r="AB5520">
        <v>29</v>
      </c>
      <c r="AC5520">
        <v>-1.3962000000000201</v>
      </c>
      <c r="AD5520">
        <v>4.493017</v>
      </c>
      <c r="AE5520">
        <v>-117.72291989999999</v>
      </c>
      <c r="AF5520">
        <v>-46.554291344331297</v>
      </c>
      <c r="AG5520">
        <v>4.493017</v>
      </c>
      <c r="AH5520">
        <v>107.949278976625</v>
      </c>
      <c r="AI5520">
        <v>87.811281701869206</v>
      </c>
      <c r="AJ5520">
        <v>113.328642348095</v>
      </c>
      <c r="AK5520">
        <v>117.645807727723</v>
      </c>
      <c r="AL5520">
        <v>95.405682753002694</v>
      </c>
      <c r="AM5520">
        <v>102.249143178292</v>
      </c>
      <c r="AN5520">
        <v>1.00000004851666</v>
      </c>
    </row>
    <row r="5521" spans="1:40" x14ac:dyDescent="0.25">
      <c r="A5521" t="str">
        <f>"20190305135039989"</f>
        <v>20190305135039989</v>
      </c>
      <c r="B5521" t="str">
        <f>"1551765039986080"</f>
        <v>1551765039986080</v>
      </c>
      <c r="C5521" t="s">
        <v>40</v>
      </c>
      <c r="D5521">
        <v>4.3203509999999996</v>
      </c>
      <c r="E5521">
        <v>0.42626890000000001</v>
      </c>
      <c r="F5521" t="s">
        <v>97</v>
      </c>
      <c r="G5521">
        <v>-417.64109999999999</v>
      </c>
      <c r="H5521">
        <v>5.9291809999999998</v>
      </c>
      <c r="I5521">
        <v>0.50139619999999996</v>
      </c>
      <c r="J5521">
        <v>-417.04160000000002</v>
      </c>
      <c r="K5521">
        <v>1.1121099999999999</v>
      </c>
      <c r="L5521">
        <v>117.94589999999999</v>
      </c>
      <c r="M5521">
        <v>-0.40310610000000002</v>
      </c>
      <c r="N5521">
        <v>-1.042249E-2</v>
      </c>
      <c r="O5521">
        <v>-0.91509379999999996</v>
      </c>
      <c r="P5521">
        <v>-0.19431399999999999</v>
      </c>
      <c r="Q5521">
        <v>-0.10112599999999999</v>
      </c>
      <c r="R5521">
        <v>-0.97571300000000005</v>
      </c>
      <c r="S5521">
        <v>-1.8798829999999999E-2</v>
      </c>
      <c r="T5521">
        <v>0.12644259999999999</v>
      </c>
      <c r="U5521">
        <v>-3.0897060000000001</v>
      </c>
      <c r="V5521">
        <v>-0.21487000000000001</v>
      </c>
      <c r="W5521">
        <v>-9.2503970000000005E-2</v>
      </c>
      <c r="X5521">
        <v>0.97225200000000001</v>
      </c>
      <c r="Y5521">
        <v>-0.39761160000000001</v>
      </c>
      <c r="Z5521">
        <v>-4.4401240000000002E-2</v>
      </c>
      <c r="AA5521">
        <v>0.91647889999999999</v>
      </c>
      <c r="AB5521">
        <v>29</v>
      </c>
      <c r="AC5521">
        <v>-0.59949999999997705</v>
      </c>
      <c r="AD5521">
        <v>4.8170710000000003</v>
      </c>
      <c r="AE5521">
        <v>-117.44450380000001</v>
      </c>
      <c r="AF5521">
        <v>-46.717952113635199</v>
      </c>
      <c r="AG5521">
        <v>4.8170710000000003</v>
      </c>
      <c r="AH5521">
        <v>107.539352427761</v>
      </c>
      <c r="AI5521">
        <v>87.647372716497799</v>
      </c>
      <c r="AJ5521">
        <v>113.481407138188</v>
      </c>
      <c r="AK5521">
        <v>117.347703613207</v>
      </c>
      <c r="AL5521">
        <v>95.307674977616799</v>
      </c>
      <c r="AM5521">
        <v>102.462187410464</v>
      </c>
      <c r="AN5521">
        <v>1.0000000264348801</v>
      </c>
    </row>
    <row r="5522" spans="1:40" x14ac:dyDescent="0.25">
      <c r="A5522" t="str">
        <f>"20190305135040012"</f>
        <v>20190305135040012</v>
      </c>
      <c r="B5522" t="str">
        <f>"1551765040005603"</f>
        <v>1551765040005603</v>
      </c>
      <c r="C5522" t="s">
        <v>40</v>
      </c>
      <c r="D5522">
        <v>4.3350929999999996</v>
      </c>
      <c r="E5522">
        <v>0.42652190000000001</v>
      </c>
      <c r="F5522" t="s">
        <v>97</v>
      </c>
      <c r="G5522">
        <v>-416.97660000000002</v>
      </c>
      <c r="H5522">
        <v>5.9677100000000003</v>
      </c>
      <c r="I5522">
        <v>0.50815200000000005</v>
      </c>
      <c r="J5522">
        <v>-417.15600000000001</v>
      </c>
      <c r="K5522">
        <v>1.112387</v>
      </c>
      <c r="L5522">
        <v>117.6751</v>
      </c>
      <c r="M5522">
        <v>-0.39903759999999999</v>
      </c>
      <c r="N5522">
        <v>-1.0371790000000001E-2</v>
      </c>
      <c r="O5522">
        <v>-0.91687600000000002</v>
      </c>
      <c r="P5522">
        <v>-0.18592429999999999</v>
      </c>
      <c r="Q5522">
        <v>-0.100371</v>
      </c>
      <c r="R5522">
        <v>-0.97742419999999997</v>
      </c>
      <c r="S5522">
        <v>1.708984E-3</v>
      </c>
      <c r="T5522">
        <v>0.1276863</v>
      </c>
      <c r="U5522">
        <v>-3.0882420000000002</v>
      </c>
      <c r="V5522">
        <v>-0.21887090000000001</v>
      </c>
      <c r="W5522">
        <v>-9.1985600000000001E-2</v>
      </c>
      <c r="X5522">
        <v>0.97140839999999995</v>
      </c>
      <c r="Y5522">
        <v>-0.3996188</v>
      </c>
      <c r="Z5522">
        <v>-4.4805270000000001E-2</v>
      </c>
      <c r="AA5522">
        <v>0.91558580000000001</v>
      </c>
      <c r="AB5522">
        <v>29</v>
      </c>
      <c r="AC5522">
        <v>0.17939999999998599</v>
      </c>
      <c r="AD5522">
        <v>4.8553230000000003</v>
      </c>
      <c r="AE5522">
        <v>-117.166948</v>
      </c>
      <c r="AF5522">
        <v>-46.840589455848203</v>
      </c>
      <c r="AG5522">
        <v>4.8553230000000003</v>
      </c>
      <c r="AH5522">
        <v>107.177693168343</v>
      </c>
      <c r="AI5522">
        <v>87.622989996139793</v>
      </c>
      <c r="AJ5522">
        <v>113.607095283354</v>
      </c>
      <c r="AK5522">
        <v>117.066959023002</v>
      </c>
      <c r="AL5522">
        <v>95.277847263217396</v>
      </c>
      <c r="AM5522">
        <v>102.69744949400901</v>
      </c>
      <c r="AN5522">
        <v>1.0000000505323601</v>
      </c>
    </row>
    <row r="5523" spans="1:40" x14ac:dyDescent="0.25">
      <c r="A5523" t="str">
        <f>"20190305135040034"</f>
        <v>20190305135040034</v>
      </c>
      <c r="B5523" t="str">
        <f>"1551765040026096"</f>
        <v>1551765040026096</v>
      </c>
      <c r="C5523" t="s">
        <v>40</v>
      </c>
      <c r="D5523">
        <v>3.9189880000000001</v>
      </c>
      <c r="E5523">
        <v>0.42418549999999999</v>
      </c>
      <c r="F5523" t="s">
        <v>97</v>
      </c>
      <c r="G5523">
        <v>-416.18270000000001</v>
      </c>
      <c r="H5523">
        <v>6.0241680000000004</v>
      </c>
      <c r="I5523">
        <v>1.2767109999999999</v>
      </c>
      <c r="J5523">
        <v>-417.26690000000002</v>
      </c>
      <c r="K5523">
        <v>1.1126020000000001</v>
      </c>
      <c r="L5523">
        <v>117.4088</v>
      </c>
      <c r="M5523">
        <v>-0.39480670000000001</v>
      </c>
      <c r="N5523">
        <v>-1.032812E-2</v>
      </c>
      <c r="O5523">
        <v>-0.91870629999999998</v>
      </c>
      <c r="P5523">
        <v>-0.1783835</v>
      </c>
      <c r="Q5523">
        <v>-9.8861690000000002E-2</v>
      </c>
      <c r="R5523">
        <v>-0.97898220000000002</v>
      </c>
      <c r="S5523">
        <v>2.581787E-2</v>
      </c>
      <c r="T5523">
        <v>0.13028919999999999</v>
      </c>
      <c r="U5523">
        <v>-3.0875849999999998</v>
      </c>
      <c r="V5523">
        <v>-0.22189919999999999</v>
      </c>
      <c r="W5523">
        <v>-9.067045E-2</v>
      </c>
      <c r="X5523">
        <v>0.97084479999999995</v>
      </c>
      <c r="Y5523">
        <v>-0.40254109999999999</v>
      </c>
      <c r="Z5523">
        <v>-4.5571559999999997E-2</v>
      </c>
      <c r="AA5523">
        <v>0.91426689999999999</v>
      </c>
      <c r="AB5523">
        <v>29</v>
      </c>
      <c r="AC5523">
        <v>1.0842000000000001</v>
      </c>
      <c r="AD5523">
        <v>4.9115659999999997</v>
      </c>
      <c r="AE5523">
        <v>-116.13208899999999</v>
      </c>
      <c r="AF5523">
        <v>-46.764640446353802</v>
      </c>
      <c r="AG5523">
        <v>4.9115659999999997</v>
      </c>
      <c r="AH5523">
        <v>106.079159862186</v>
      </c>
      <c r="AI5523">
        <v>87.574016358202499</v>
      </c>
      <c r="AJ5523">
        <v>113.79012229896701</v>
      </c>
      <c r="AK5523">
        <v>116.03380211695401</v>
      </c>
      <c r="AL5523">
        <v>95.202178721377194</v>
      </c>
      <c r="AM5523">
        <v>102.874542613432</v>
      </c>
      <c r="AN5523">
        <v>1.0000000055754401</v>
      </c>
    </row>
    <row r="5524" spans="1:40" x14ac:dyDescent="0.25">
      <c r="A5524" t="str">
        <f>"20190305135040056"</f>
        <v>20190305135040056</v>
      </c>
      <c r="B5524" t="str">
        <f>"1551765040045616"</f>
        <v>1551765040045616</v>
      </c>
      <c r="C5524" t="s">
        <v>40</v>
      </c>
      <c r="D5524">
        <v>4.3172639999999998</v>
      </c>
      <c r="E5524">
        <v>0.42502509999999999</v>
      </c>
      <c r="F5524" t="s">
        <v>97</v>
      </c>
      <c r="G5524">
        <v>-414.76249999999999</v>
      </c>
      <c r="H5524">
        <v>5.3654320000000002</v>
      </c>
      <c r="I5524">
        <v>0.53066639999999998</v>
      </c>
      <c r="J5524">
        <v>-417.37419999999997</v>
      </c>
      <c r="K5524">
        <v>1.1127549999999999</v>
      </c>
      <c r="L5524">
        <v>117.1472</v>
      </c>
      <c r="M5524">
        <v>-0.39050020000000002</v>
      </c>
      <c r="N5524">
        <v>-1.0289970000000001E-2</v>
      </c>
      <c r="O5524">
        <v>-0.92054530000000001</v>
      </c>
      <c r="P5524">
        <v>-0.17149120000000001</v>
      </c>
      <c r="Q5524">
        <v>-9.7365980000000005E-2</v>
      </c>
      <c r="R5524">
        <v>-0.98036239999999997</v>
      </c>
      <c r="S5524">
        <v>6.6162109999999996E-2</v>
      </c>
      <c r="T5524">
        <v>0.1123551</v>
      </c>
      <c r="U5524">
        <v>-3.0878139999999998</v>
      </c>
      <c r="V5524">
        <v>-0.2242132</v>
      </c>
      <c r="W5524">
        <v>-8.9329560000000002E-2</v>
      </c>
      <c r="X5524">
        <v>0.97043729999999995</v>
      </c>
      <c r="Y5524">
        <v>-0.41017930000000002</v>
      </c>
      <c r="Z5524">
        <v>-4.0749010000000002E-2</v>
      </c>
      <c r="AA5524">
        <v>0.91109410000000002</v>
      </c>
      <c r="AB5524">
        <v>29</v>
      </c>
      <c r="AC5524">
        <v>2.6116999999999799</v>
      </c>
      <c r="AD5524">
        <v>4.2526769999999896</v>
      </c>
      <c r="AE5524">
        <v>-116.616533599999</v>
      </c>
      <c r="AF5524">
        <v>-47.881863650639403</v>
      </c>
      <c r="AG5524">
        <v>4.2526769999999896</v>
      </c>
      <c r="AH5524">
        <v>106.19541178591599</v>
      </c>
      <c r="AI5524">
        <v>87.909259785956394</v>
      </c>
      <c r="AJ5524">
        <v>114.269874659424</v>
      </c>
      <c r="AK5524">
        <v>116.56853611805001</v>
      </c>
      <c r="AL5524">
        <v>95.1250386545655</v>
      </c>
      <c r="AM5524">
        <v>103.00953411304999</v>
      </c>
      <c r="AN5524">
        <v>0.99999994128766001</v>
      </c>
    </row>
    <row r="5525" spans="1:40" x14ac:dyDescent="0.25">
      <c r="A5525" t="str">
        <f>"20190305135040078"</f>
        <v>20190305135040078</v>
      </c>
      <c r="B5525" t="str">
        <f>"1551765040075872"</f>
        <v>1551765040075872</v>
      </c>
      <c r="C5525" t="s">
        <v>40</v>
      </c>
      <c r="D5525">
        <v>4.2920369999999997</v>
      </c>
      <c r="E5525">
        <v>0.42591859999999998</v>
      </c>
      <c r="F5525" t="s">
        <v>97</v>
      </c>
      <c r="G5525">
        <v>-414.33569999999997</v>
      </c>
      <c r="H5525">
        <v>5.6433309999999999</v>
      </c>
      <c r="I5525">
        <v>0.53501129999999997</v>
      </c>
      <c r="J5525">
        <v>-417.48309999999998</v>
      </c>
      <c r="K5525">
        <v>1.112865</v>
      </c>
      <c r="L5525">
        <v>116.8779</v>
      </c>
      <c r="M5525">
        <v>-0.38595659999999998</v>
      </c>
      <c r="N5525">
        <v>-1.025531E-2</v>
      </c>
      <c r="O5525">
        <v>-0.92246010000000001</v>
      </c>
      <c r="P5525">
        <v>-0.16558290000000001</v>
      </c>
      <c r="Q5525">
        <v>-9.9517079999999994E-2</v>
      </c>
      <c r="R5525">
        <v>-0.98116199999999998</v>
      </c>
      <c r="S5525">
        <v>8.0413819999999997E-2</v>
      </c>
      <c r="T5525">
        <v>0.11989900000000001</v>
      </c>
      <c r="U5525">
        <v>-3.08609</v>
      </c>
      <c r="V5525">
        <v>-0.22513949999999999</v>
      </c>
      <c r="W5525">
        <v>-9.1602420000000004E-2</v>
      </c>
      <c r="X5525">
        <v>0.97001090000000001</v>
      </c>
      <c r="Y5525">
        <v>-0.40989959999999998</v>
      </c>
      <c r="Z5525">
        <v>-4.2891029999999997E-2</v>
      </c>
      <c r="AA5525">
        <v>0.91112170000000003</v>
      </c>
      <c r="AB5525">
        <v>29</v>
      </c>
      <c r="AC5525">
        <v>3.1474000000000002</v>
      </c>
      <c r="AD5525">
        <v>4.5304659999999997</v>
      </c>
      <c r="AE5525">
        <v>-116.3428887</v>
      </c>
      <c r="AF5525">
        <v>-47.736829633391501</v>
      </c>
      <c r="AG5525">
        <v>4.5304659999999997</v>
      </c>
      <c r="AH5525">
        <v>105.951931765373</v>
      </c>
      <c r="AI5525">
        <v>87.767433012738906</v>
      </c>
      <c r="AJ5525">
        <v>114.25402985320601</v>
      </c>
      <c r="AK5525">
        <v>116.29764344318799</v>
      </c>
      <c r="AL5525">
        <v>95.255799996576101</v>
      </c>
      <c r="AM5525">
        <v>103.066986228438</v>
      </c>
      <c r="AN5525">
        <v>0.999999971964457</v>
      </c>
    </row>
    <row r="5526" spans="1:40" x14ac:dyDescent="0.25">
      <c r="A5526" t="str">
        <f>"20190305135040101"</f>
        <v>20190305135040101</v>
      </c>
      <c r="B5526" t="str">
        <f>"1551765040095392"</f>
        <v>1551765040095392</v>
      </c>
      <c r="C5526" t="s">
        <v>40</v>
      </c>
      <c r="D5526">
        <v>4.2782519999999904</v>
      </c>
      <c r="E5526">
        <v>0.42658400000000002</v>
      </c>
      <c r="F5526" t="s">
        <v>97</v>
      </c>
      <c r="G5526">
        <v>-414.0557</v>
      </c>
      <c r="H5526">
        <v>5.5469589999999904</v>
      </c>
      <c r="I5526">
        <v>0.53785899999999998</v>
      </c>
      <c r="J5526">
        <v>-417.59469999999999</v>
      </c>
      <c r="K5526">
        <v>1.1129290000000001</v>
      </c>
      <c r="L5526">
        <v>116.5975</v>
      </c>
      <c r="M5526">
        <v>-0.38114720000000002</v>
      </c>
      <c r="N5526">
        <v>-1.022434E-2</v>
      </c>
      <c r="O5526">
        <v>-0.924458</v>
      </c>
      <c r="P5526">
        <v>-0.16081309999999999</v>
      </c>
      <c r="Q5526">
        <v>-0.105147</v>
      </c>
      <c r="R5526">
        <v>-0.98136829999999997</v>
      </c>
      <c r="S5526">
        <v>9.088135E-2</v>
      </c>
      <c r="T5526">
        <v>0.1175736</v>
      </c>
      <c r="U5526">
        <v>-3.0848689999999999</v>
      </c>
      <c r="V5526">
        <v>-0.2245009</v>
      </c>
      <c r="W5526">
        <v>-9.732085E-2</v>
      </c>
      <c r="X5526">
        <v>0.96960199999999996</v>
      </c>
      <c r="Y5526">
        <v>-0.40824640000000001</v>
      </c>
      <c r="Z5526">
        <v>-4.2373840000000003E-2</v>
      </c>
      <c r="AA5526">
        <v>0.91188780000000003</v>
      </c>
      <c r="AB5526">
        <v>29</v>
      </c>
      <c r="AC5526">
        <v>3.5389999999999802</v>
      </c>
      <c r="AD5526">
        <v>4.4340299999999901</v>
      </c>
      <c r="AE5526">
        <v>-116.059640999999</v>
      </c>
      <c r="AF5526">
        <v>-47.440759466749903</v>
      </c>
      <c r="AG5526">
        <v>4.4340299999999901</v>
      </c>
      <c r="AH5526">
        <v>105.79462996959801</v>
      </c>
      <c r="AI5526">
        <v>87.809922490975396</v>
      </c>
      <c r="AJ5526">
        <v>114.15256769210799</v>
      </c>
      <c r="AK5526">
        <v>116.029263598573</v>
      </c>
      <c r="AL5526">
        <v>95.584913735214997</v>
      </c>
      <c r="AM5526">
        <v>103.036496727317</v>
      </c>
      <c r="AN5526">
        <v>1.0000000201747601</v>
      </c>
    </row>
    <row r="5527" spans="1:40" x14ac:dyDescent="0.25">
      <c r="A5527" t="str">
        <f>"20190305135040123"</f>
        <v>20190305135040123</v>
      </c>
      <c r="B5527" t="str">
        <f>"1551765040115891"</f>
        <v>1551765040115891</v>
      </c>
      <c r="C5527" t="s">
        <v>40</v>
      </c>
      <c r="D5527">
        <v>4.2687720000000002</v>
      </c>
      <c r="E5527">
        <v>0.42717959999999999</v>
      </c>
      <c r="F5527" t="s">
        <v>97</v>
      </c>
      <c r="G5527">
        <v>-413.80419999999998</v>
      </c>
      <c r="H5527">
        <v>4.9464579999999998</v>
      </c>
      <c r="I5527">
        <v>0.54041479999999997</v>
      </c>
      <c r="J5527">
        <v>-417.69740000000002</v>
      </c>
      <c r="K5527">
        <v>1.1129720000000001</v>
      </c>
      <c r="L5527">
        <v>116.3357</v>
      </c>
      <c r="M5527">
        <v>-0.37661840000000002</v>
      </c>
      <c r="N5527">
        <v>-1.019947E-2</v>
      </c>
      <c r="O5527">
        <v>-0.92631260000000004</v>
      </c>
      <c r="P5527">
        <v>-0.1573611</v>
      </c>
      <c r="Q5527">
        <v>-0.11203539999999999</v>
      </c>
      <c r="R5527">
        <v>-0.98116570000000003</v>
      </c>
      <c r="S5527">
        <v>0.10073849999999999</v>
      </c>
      <c r="T5527">
        <v>0.10188079999999999</v>
      </c>
      <c r="U5527">
        <v>-3.084381</v>
      </c>
      <c r="V5527">
        <v>-0.2227971</v>
      </c>
      <c r="W5527">
        <v>-0.10426199999999999</v>
      </c>
      <c r="X5527">
        <v>0.96927339999999995</v>
      </c>
      <c r="Y5527">
        <v>-0.4066919</v>
      </c>
      <c r="Z5527">
        <v>-3.8182830000000001E-2</v>
      </c>
      <c r="AA5527">
        <v>0.91276710000000005</v>
      </c>
      <c r="AB5527">
        <v>29</v>
      </c>
      <c r="AC5527">
        <v>3.89320000000003</v>
      </c>
      <c r="AD5527">
        <v>3.8334860000000002</v>
      </c>
      <c r="AE5527">
        <v>-115.7952852</v>
      </c>
      <c r="AF5527">
        <v>-47.167763094104401</v>
      </c>
      <c r="AG5527">
        <v>3.8334860000000002</v>
      </c>
      <c r="AH5527">
        <v>105.686158835623</v>
      </c>
      <c r="AI5527">
        <v>88.102871519103005</v>
      </c>
      <c r="AJ5527">
        <v>114.05122047755999</v>
      </c>
      <c r="AK5527">
        <v>115.79748554974</v>
      </c>
      <c r="AL5527">
        <v>95.984648790012599</v>
      </c>
      <c r="AM5527">
        <v>102.945141183706</v>
      </c>
      <c r="AN5527">
        <v>1.00000001817998</v>
      </c>
    </row>
    <row r="5528" spans="1:40" x14ac:dyDescent="0.25">
      <c r="A5528" t="str">
        <f>"20190305135040145"</f>
        <v>20190305135040145</v>
      </c>
      <c r="B5528" t="str">
        <f>"1551765040135411"</f>
        <v>1551765040135411</v>
      </c>
      <c r="C5528" t="s">
        <v>40</v>
      </c>
      <c r="D5528">
        <v>4.2543030000000002</v>
      </c>
      <c r="E5528">
        <v>0.42781530000000001</v>
      </c>
      <c r="F5528" t="s">
        <v>97</v>
      </c>
      <c r="G5528">
        <v>-413.63909999999998</v>
      </c>
      <c r="H5528">
        <v>4.1656599999999999</v>
      </c>
      <c r="I5528">
        <v>0.5420914</v>
      </c>
      <c r="J5528">
        <v>-417.80180000000001</v>
      </c>
      <c r="K5528">
        <v>1.1130100000000001</v>
      </c>
      <c r="L5528">
        <v>116.0651</v>
      </c>
      <c r="M5528">
        <v>-0.37192209999999998</v>
      </c>
      <c r="N5528">
        <v>-1.0177250000000001E-2</v>
      </c>
      <c r="O5528">
        <v>-0.92820809999999998</v>
      </c>
      <c r="P5528">
        <v>-0.1536671</v>
      </c>
      <c r="Q5528">
        <v>-0.114979399999999</v>
      </c>
      <c r="R5528">
        <v>-0.98141020000000001</v>
      </c>
      <c r="S5528">
        <v>0.1080933</v>
      </c>
      <c r="T5528">
        <v>8.1308839999999993E-2</v>
      </c>
      <c r="U5528">
        <v>-3.0842130000000001</v>
      </c>
      <c r="V5528">
        <v>-0.22136829999999999</v>
      </c>
      <c r="W5528">
        <v>-0.1072438</v>
      </c>
      <c r="X5528">
        <v>0.96927540000000001</v>
      </c>
      <c r="Y5528">
        <v>-0.40423569999999998</v>
      </c>
      <c r="Z5528">
        <v>-3.2621570000000003E-2</v>
      </c>
      <c r="AA5528">
        <v>0.91407289999999997</v>
      </c>
      <c r="AB5528">
        <v>29</v>
      </c>
      <c r="AC5528">
        <v>4.1627000000000196</v>
      </c>
      <c r="AD5528">
        <v>3.0526499999999999</v>
      </c>
      <c r="AE5528">
        <v>-115.523008599999</v>
      </c>
      <c r="AF5528">
        <v>-46.7992038857629</v>
      </c>
      <c r="AG5528">
        <v>3.0526499999999999</v>
      </c>
      <c r="AH5528">
        <v>105.613021148142</v>
      </c>
      <c r="AI5528">
        <v>88.486260723061406</v>
      </c>
      <c r="AJ5528">
        <v>113.89907263375299</v>
      </c>
      <c r="AK5528">
        <v>115.55775349322801</v>
      </c>
      <c r="AL5528">
        <v>96.156457074723207</v>
      </c>
      <c r="AM5528">
        <v>102.864868904285</v>
      </c>
      <c r="AN5528">
        <v>0.99999997896424397</v>
      </c>
    </row>
    <row r="5529" spans="1:40" x14ac:dyDescent="0.25">
      <c r="A5529" t="str">
        <f>"20190305135040168"</f>
        <v>20190305135040168</v>
      </c>
      <c r="B5529" t="str">
        <f>"1551765040165666"</f>
        <v>1551765040165666</v>
      </c>
      <c r="C5529" t="s">
        <v>40</v>
      </c>
      <c r="D5529">
        <v>4.3916969999999997</v>
      </c>
      <c r="E5529">
        <v>0.45786959999999999</v>
      </c>
      <c r="F5529" t="s">
        <v>97</v>
      </c>
      <c r="G5529">
        <v>-413.51499999999999</v>
      </c>
      <c r="H5529">
        <v>3.8292649999999999</v>
      </c>
      <c r="I5529">
        <v>1.8403780000000001</v>
      </c>
      <c r="J5529">
        <v>-417.90719999999999</v>
      </c>
      <c r="K5529">
        <v>1.1130580000000001</v>
      </c>
      <c r="L5529">
        <v>115.78789999999999</v>
      </c>
      <c r="M5529">
        <v>-0.3671085</v>
      </c>
      <c r="N5529">
        <v>-1.015771E-2</v>
      </c>
      <c r="O5529">
        <v>-0.93012269999999997</v>
      </c>
      <c r="P5529">
        <v>-0.15006359999999999</v>
      </c>
      <c r="Q5529">
        <v>-0.1133994</v>
      </c>
      <c r="R5529">
        <v>-0.98215160000000001</v>
      </c>
      <c r="S5529">
        <v>0.115722699999999</v>
      </c>
      <c r="T5529">
        <v>7.3325280000000007E-2</v>
      </c>
      <c r="U5529">
        <v>-3.0835270000000001</v>
      </c>
      <c r="V5529">
        <v>-0.21997920000000001</v>
      </c>
      <c r="W5529">
        <v>-0.1056846</v>
      </c>
      <c r="X5529">
        <v>0.96976280000000004</v>
      </c>
      <c r="Y5529">
        <v>-0.40175959999999999</v>
      </c>
      <c r="Z5529">
        <v>-3.049495E-2</v>
      </c>
      <c r="AA5529">
        <v>0.91523730000000003</v>
      </c>
      <c r="AB5529">
        <v>29</v>
      </c>
      <c r="AC5529">
        <v>4.3921999999999999</v>
      </c>
      <c r="AD5529">
        <v>2.7162069999999998</v>
      </c>
      <c r="AE5529">
        <v>-113.94752200000001</v>
      </c>
      <c r="AF5529">
        <v>-45.892717816222103</v>
      </c>
      <c r="AG5529">
        <v>2.7162069999999998</v>
      </c>
      <c r="AH5529">
        <v>104.318956233883</v>
      </c>
      <c r="AI5529">
        <v>88.634718054078604</v>
      </c>
      <c r="AJ5529">
        <v>113.745986699274</v>
      </c>
      <c r="AK5529">
        <v>113.999841924245</v>
      </c>
      <c r="AL5529">
        <v>96.066610805211795</v>
      </c>
      <c r="AM5529">
        <v>102.780587386744</v>
      </c>
      <c r="AN5529">
        <v>0.99999998568681903</v>
      </c>
    </row>
    <row r="5530" spans="1:40" x14ac:dyDescent="0.25">
      <c r="A5530" t="str">
        <f>"20190305135040192"</f>
        <v>20190305135040192</v>
      </c>
      <c r="B5530" t="str">
        <f>"1551765040186160"</f>
        <v>1551765040186160</v>
      </c>
      <c r="C5530" t="s">
        <v>40</v>
      </c>
      <c r="D5530">
        <v>4.3837250000000001</v>
      </c>
      <c r="E5530">
        <v>0.46356540000000002</v>
      </c>
      <c r="F5530" t="s">
        <v>97</v>
      </c>
      <c r="G5530">
        <v>-422.08179999999999</v>
      </c>
      <c r="H5530">
        <v>2.2148659999999998</v>
      </c>
      <c r="I5530">
        <v>0.45622059999999998</v>
      </c>
      <c r="J5530">
        <v>-418.0127</v>
      </c>
      <c r="K5530">
        <v>1.113097</v>
      </c>
      <c r="L5530">
        <v>115.5061</v>
      </c>
      <c r="M5530">
        <v>-0.36221959999999997</v>
      </c>
      <c r="N5530">
        <v>-1.014107E-2</v>
      </c>
      <c r="O5530">
        <v>-0.93203789999999997</v>
      </c>
      <c r="P5530">
        <v>-0.14649119999999999</v>
      </c>
      <c r="Q5530">
        <v>-0.1096384</v>
      </c>
      <c r="R5530">
        <v>-0.98311769999999998</v>
      </c>
      <c r="S5530">
        <v>-0.11007690000000001</v>
      </c>
      <c r="T5530">
        <v>2.9051779999999999E-2</v>
      </c>
      <c r="U5530">
        <v>-3.041061</v>
      </c>
      <c r="V5530">
        <v>-0.21859960000000001</v>
      </c>
      <c r="W5530">
        <v>-0.1019318</v>
      </c>
      <c r="X5530">
        <v>0.97047629999999996</v>
      </c>
      <c r="Y5530">
        <v>-0.32829009999999997</v>
      </c>
      <c r="Z5530">
        <v>-1.8385950000000002E-2</v>
      </c>
      <c r="AA5530">
        <v>0.94439799999999996</v>
      </c>
      <c r="AB5530">
        <v>29</v>
      </c>
      <c r="AC5530">
        <v>-4.0690999999999899</v>
      </c>
      <c r="AD5530">
        <v>1.10176899999999</v>
      </c>
      <c r="AE5530">
        <v>-115.04987939999999</v>
      </c>
      <c r="AF5530">
        <v>-37.879234397786703</v>
      </c>
      <c r="AG5530">
        <v>1.10176899999999</v>
      </c>
      <c r="AH5530">
        <v>108.70036094631</v>
      </c>
      <c r="AI5530">
        <v>89.451619418403098</v>
      </c>
      <c r="AJ5530">
        <v>109.212110417262</v>
      </c>
      <c r="AK5530">
        <v>115.11654426427999</v>
      </c>
      <c r="AL5530">
        <v>95.850422625631694</v>
      </c>
      <c r="AM5530">
        <v>102.69400601532899</v>
      </c>
      <c r="AN5530">
        <v>1.00000006291654</v>
      </c>
    </row>
    <row r="5531" spans="1:40" x14ac:dyDescent="0.25">
      <c r="A5531" t="str">
        <f>"20190305135040213"</f>
        <v>20190305135040213</v>
      </c>
      <c r="B5531" t="str">
        <f>"1551765040205683"</f>
        <v>1551765040205683</v>
      </c>
      <c r="C5531" t="s">
        <v>40</v>
      </c>
      <c r="D5531">
        <v>4.3752089999999999</v>
      </c>
      <c r="E5531">
        <v>0.46410679999999999</v>
      </c>
      <c r="F5531" t="s">
        <v>97</v>
      </c>
      <c r="G5531">
        <v>-423.4753</v>
      </c>
      <c r="H5531">
        <v>1.8268610000000001</v>
      </c>
      <c r="I5531">
        <v>0.44204900000000003</v>
      </c>
      <c r="J5531">
        <v>-418.1121</v>
      </c>
      <c r="K5531">
        <v>1.11312099999999</v>
      </c>
      <c r="L5531">
        <v>115.2359</v>
      </c>
      <c r="M5531">
        <v>-0.35754259999999999</v>
      </c>
      <c r="N5531">
        <v>-1.012791E-2</v>
      </c>
      <c r="O5531">
        <v>-0.93384210000000001</v>
      </c>
      <c r="P5531">
        <v>-0.1428603</v>
      </c>
      <c r="Q5531">
        <v>-0.1087655</v>
      </c>
      <c r="R5531">
        <v>-0.98374859999999997</v>
      </c>
      <c r="S5531">
        <v>-0.14395139999999901</v>
      </c>
      <c r="T5531">
        <v>1.880836E-2</v>
      </c>
      <c r="U5531">
        <v>-3.032181</v>
      </c>
      <c r="V5531">
        <v>-0.2173582</v>
      </c>
      <c r="W5531">
        <v>-0.101064399999999</v>
      </c>
      <c r="X5531">
        <v>0.97084570000000003</v>
      </c>
      <c r="Y5531">
        <v>-0.3128725</v>
      </c>
      <c r="Z5531">
        <v>-1.5469699999999999E-2</v>
      </c>
      <c r="AA5531">
        <v>0.94966910000000004</v>
      </c>
      <c r="AB5531">
        <v>30</v>
      </c>
      <c r="AC5531">
        <v>-5.3632</v>
      </c>
      <c r="AD5531">
        <v>0.71374000000000004</v>
      </c>
      <c r="AE5531">
        <v>-114.793851</v>
      </c>
      <c r="AF5531">
        <v>-36.035761884572402</v>
      </c>
      <c r="AG5531">
        <v>0.71374000000000004</v>
      </c>
      <c r="AH5531">
        <v>109.118271689127</v>
      </c>
      <c r="AI5531">
        <v>89.644137895929404</v>
      </c>
      <c r="AJ5531">
        <v>108.275547101461</v>
      </c>
      <c r="AK5531">
        <v>114.916851574568</v>
      </c>
      <c r="AL5531">
        <v>95.800466724119005</v>
      </c>
      <c r="AM5531">
        <v>102.619585592009</v>
      </c>
      <c r="AN5531">
        <v>0.99999998663154499</v>
      </c>
    </row>
    <row r="5532" spans="1:40" x14ac:dyDescent="0.25">
      <c r="A5532" t="str">
        <f>"20190305135040235"</f>
        <v>20190305135040235</v>
      </c>
      <c r="B5532" t="str">
        <f>"1551765040226177"</f>
        <v>1551765040226177</v>
      </c>
      <c r="C5532" t="s">
        <v>40</v>
      </c>
      <c r="D5532">
        <v>4.3977519999999997</v>
      </c>
      <c r="E5532">
        <v>0.46434360000000002</v>
      </c>
      <c r="F5532" t="s">
        <v>97</v>
      </c>
      <c r="G5532">
        <v>-423.28820000000002</v>
      </c>
      <c r="H5532">
        <v>1.217244</v>
      </c>
      <c r="I5532">
        <v>0.44395069999999998</v>
      </c>
      <c r="J5532">
        <v>-418.21230000000003</v>
      </c>
      <c r="K5532">
        <v>1.113119</v>
      </c>
      <c r="L5532">
        <v>114.9594</v>
      </c>
      <c r="M5532">
        <v>-0.35276459999999998</v>
      </c>
      <c r="N5532">
        <v>-1.0116790000000001E-2</v>
      </c>
      <c r="O5532">
        <v>-0.93565730000000003</v>
      </c>
      <c r="P5532">
        <v>-0.1384977</v>
      </c>
      <c r="Q5532">
        <v>-0.1101274</v>
      </c>
      <c r="R5532">
        <v>-0.9842206</v>
      </c>
      <c r="S5532">
        <v>-0.1366272</v>
      </c>
      <c r="T5532">
        <v>2.7477740000000001E-3</v>
      </c>
      <c r="U5532">
        <v>-3.030014</v>
      </c>
      <c r="V5532">
        <v>-0.2166304</v>
      </c>
      <c r="W5532">
        <v>-0.10243670000000001</v>
      </c>
      <c r="X5532">
        <v>0.97086459999999997</v>
      </c>
      <c r="Y5532">
        <v>-0.31026369999999998</v>
      </c>
      <c r="Z5532">
        <v>-1.083084E-2</v>
      </c>
      <c r="AA5532">
        <v>0.95058880000000001</v>
      </c>
      <c r="AB5532">
        <v>30</v>
      </c>
      <c r="AC5532">
        <v>-5.0758999999999901</v>
      </c>
      <c r="AD5532">
        <v>0.104125</v>
      </c>
      <c r="AE5532">
        <v>-114.5154493</v>
      </c>
      <c r="AF5532">
        <v>-35.649492407514501</v>
      </c>
      <c r="AG5532">
        <v>0.104125</v>
      </c>
      <c r="AH5532">
        <v>108.943310470505</v>
      </c>
      <c r="AI5532">
        <v>89.947953971878604</v>
      </c>
      <c r="AJ5532">
        <v>108.119636105599</v>
      </c>
      <c r="AK5532">
        <v>114.62784150110301</v>
      </c>
      <c r="AL5532">
        <v>95.879503624707596</v>
      </c>
      <c r="AM5532">
        <v>102.57844007011801</v>
      </c>
      <c r="AN5532">
        <v>1.0000000396221</v>
      </c>
    </row>
    <row r="5533" spans="1:40" x14ac:dyDescent="0.25">
      <c r="A5533" t="str">
        <f>"20190305135040257"</f>
        <v>20190305135040257</v>
      </c>
      <c r="B5533" t="str">
        <f>"1551765040245696"</f>
        <v>1551765040245696</v>
      </c>
      <c r="C5533" t="s">
        <v>40</v>
      </c>
      <c r="D5533">
        <v>4.3844279999999998</v>
      </c>
      <c r="E5533">
        <v>0.46445750000000002</v>
      </c>
      <c r="F5533" t="s">
        <v>97</v>
      </c>
      <c r="G5533">
        <v>-422.96800000000002</v>
      </c>
      <c r="H5533">
        <v>0.88284209999999996</v>
      </c>
      <c r="I5533">
        <v>0.44720270000000001</v>
      </c>
      <c r="J5533">
        <v>-418.31020000000001</v>
      </c>
      <c r="K5533">
        <v>1.11312099999999</v>
      </c>
      <c r="L5533">
        <v>114.68519999999999</v>
      </c>
      <c r="M5533">
        <v>-0.34802820000000001</v>
      </c>
      <c r="N5533">
        <v>-1.010782E-2</v>
      </c>
      <c r="O5533">
        <v>-0.93742970000000003</v>
      </c>
      <c r="P5533">
        <v>-0.1338753</v>
      </c>
      <c r="Q5533">
        <v>-0.1112273</v>
      </c>
      <c r="R5533">
        <v>-0.98473690000000003</v>
      </c>
      <c r="S5533">
        <v>-0.12582399999999999</v>
      </c>
      <c r="T5533">
        <v>-6.093383E-3</v>
      </c>
      <c r="U5533">
        <v>-3.029709</v>
      </c>
      <c r="V5533">
        <v>-0.216222</v>
      </c>
      <c r="W5533">
        <v>-0.1035484</v>
      </c>
      <c r="X5533">
        <v>0.97083770000000003</v>
      </c>
      <c r="Y5533">
        <v>-0.30882870000000001</v>
      </c>
      <c r="Z5533">
        <v>-8.2596619999999992E-3</v>
      </c>
      <c r="AA5533">
        <v>0.95108179999999998</v>
      </c>
      <c r="AB5533">
        <v>30</v>
      </c>
      <c r="AC5533">
        <v>-4.6577999999999999</v>
      </c>
      <c r="AD5533">
        <v>-0.23027889999999901</v>
      </c>
      <c r="AE5533">
        <v>-114.2379973</v>
      </c>
      <c r="AF5533">
        <v>-35.393344804807001</v>
      </c>
      <c r="AG5533">
        <v>-0.23027889999999901</v>
      </c>
      <c r="AH5533">
        <v>108.71623712852001</v>
      </c>
      <c r="AI5533">
        <v>90.115400232091005</v>
      </c>
      <c r="AJ5533">
        <v>108.03302786939101</v>
      </c>
      <c r="AK5533">
        <v>114.33268168038499</v>
      </c>
      <c r="AL5533">
        <v>95.943539925274806</v>
      </c>
      <c r="AM5533">
        <v>102.555816124551</v>
      </c>
      <c r="AN5533">
        <v>1.00000003208392</v>
      </c>
    </row>
    <row r="5534" spans="1:40" x14ac:dyDescent="0.25">
      <c r="A5534" t="str">
        <f>"20190305135040279"</f>
        <v>20190305135040279</v>
      </c>
      <c r="B5534" t="str">
        <f>"1551765040275952"</f>
        <v>1551765040275952</v>
      </c>
      <c r="C5534" t="s">
        <v>40</v>
      </c>
      <c r="D5534">
        <v>4.3671179999999996</v>
      </c>
      <c r="E5534">
        <v>0.4650031</v>
      </c>
      <c r="F5534" t="s">
        <v>97</v>
      </c>
      <c r="G5534">
        <v>-422.56049999999999</v>
      </c>
      <c r="H5534">
        <v>0.66885850000000002</v>
      </c>
      <c r="I5534">
        <v>0.45135120000000001</v>
      </c>
      <c r="J5534">
        <v>-418.40750000000003</v>
      </c>
      <c r="K5534">
        <v>1.1131310000000001</v>
      </c>
      <c r="L5534">
        <v>114.40779999999999</v>
      </c>
      <c r="M5534">
        <v>-0.34323029999999999</v>
      </c>
      <c r="N5534">
        <v>-1.0100710000000001E-2</v>
      </c>
      <c r="O5534">
        <v>-0.9391969</v>
      </c>
      <c r="P5534">
        <v>-0.12889539999999999</v>
      </c>
      <c r="Q5534">
        <v>-0.11111889999999899</v>
      </c>
      <c r="R5534">
        <v>-0.98541290000000004</v>
      </c>
      <c r="S5534">
        <v>-0.1127319</v>
      </c>
      <c r="T5534">
        <v>-1.178396E-2</v>
      </c>
      <c r="U5534">
        <v>-3.029846</v>
      </c>
      <c r="V5534">
        <v>-0.21616669999999999</v>
      </c>
      <c r="W5534">
        <v>-0.10345500000000001</v>
      </c>
      <c r="X5534">
        <v>0.9708599</v>
      </c>
      <c r="Y5534">
        <v>-0.30806679999999997</v>
      </c>
      <c r="Z5534">
        <v>-6.5947009999999997E-3</v>
      </c>
      <c r="AA5534">
        <v>0.95134189999999996</v>
      </c>
      <c r="AB5534">
        <v>30</v>
      </c>
      <c r="AC5534">
        <v>-4.1529999999999596</v>
      </c>
      <c r="AD5534">
        <v>-0.44427249999999902</v>
      </c>
      <c r="AE5534">
        <v>-113.9564488</v>
      </c>
      <c r="AF5534">
        <v>-35.214085396836602</v>
      </c>
      <c r="AG5534">
        <v>-0.44427249999999902</v>
      </c>
      <c r="AH5534">
        <v>108.45687195678499</v>
      </c>
      <c r="AI5534">
        <v>90.223228345185404</v>
      </c>
      <c r="AJ5534">
        <v>107.987724277166</v>
      </c>
      <c r="AK5534">
        <v>114.031233717085</v>
      </c>
      <c r="AL5534">
        <v>95.938160019173296</v>
      </c>
      <c r="AM5534">
        <v>102.552428752734</v>
      </c>
      <c r="AN5534">
        <v>0.99999996232094901</v>
      </c>
    </row>
    <row r="5535" spans="1:40" x14ac:dyDescent="0.25">
      <c r="A5535" t="str">
        <f>"20190305135040302"</f>
        <v>20190305135040302</v>
      </c>
      <c r="B5535" t="str">
        <f>"1551765040295472"</f>
        <v>1551765040295472</v>
      </c>
      <c r="C5535" t="s">
        <v>40</v>
      </c>
      <c r="D5535">
        <v>4.4044299999999996</v>
      </c>
      <c r="E5535">
        <v>0.465196</v>
      </c>
      <c r="F5535" t="s">
        <v>97</v>
      </c>
      <c r="G5535">
        <v>-422.25630000000001</v>
      </c>
      <c r="H5535">
        <v>0.65119659999999902</v>
      </c>
      <c r="I5535">
        <v>0.45444109999999999</v>
      </c>
      <c r="J5535">
        <v>-418.5043</v>
      </c>
      <c r="K5535">
        <v>1.113157</v>
      </c>
      <c r="L5535">
        <v>114.12739999999999</v>
      </c>
      <c r="M5535">
        <v>-0.33836080000000002</v>
      </c>
      <c r="N5535">
        <v>-1.009555E-2</v>
      </c>
      <c r="O5535">
        <v>-0.94096230000000003</v>
      </c>
      <c r="P5535">
        <v>-0.12482310000000001</v>
      </c>
      <c r="Q5535">
        <v>-0.11145190000000001</v>
      </c>
      <c r="R5535">
        <v>-0.98589919999999998</v>
      </c>
      <c r="S5535">
        <v>-0.1023254</v>
      </c>
      <c r="T5535">
        <v>-1.228213E-2</v>
      </c>
      <c r="U5535">
        <v>-3.0296479999999999</v>
      </c>
      <c r="V5535">
        <v>-0.2151276</v>
      </c>
      <c r="W5535">
        <v>-0.10379380000000001</v>
      </c>
      <c r="X5535">
        <v>0.97105459999999999</v>
      </c>
      <c r="Y5535">
        <v>-0.30639959999999899</v>
      </c>
      <c r="Z5535">
        <v>-6.4389900000000003E-3</v>
      </c>
      <c r="AA5535">
        <v>0.95188119999999998</v>
      </c>
      <c r="AB5535">
        <v>30</v>
      </c>
      <c r="AC5535">
        <v>-3.7519999999999998</v>
      </c>
      <c r="AD5535">
        <v>-0.46196039999999999</v>
      </c>
      <c r="AE5535">
        <v>-113.6729589</v>
      </c>
      <c r="AF5535">
        <v>-34.933186698921297</v>
      </c>
      <c r="AG5535">
        <v>-0.46196039999999999</v>
      </c>
      <c r="AH5535">
        <v>108.23522879302701</v>
      </c>
      <c r="AI5535">
        <v>90.232722593591902</v>
      </c>
      <c r="AJ5535">
        <v>107.88761275086</v>
      </c>
      <c r="AK5535">
        <v>113.73392498384899</v>
      </c>
      <c r="AL5535">
        <v>95.957676454541499</v>
      </c>
      <c r="AM5535">
        <v>102.491562554043</v>
      </c>
      <c r="AN5535">
        <v>1.0000000366906701</v>
      </c>
    </row>
    <row r="5536" spans="1:40" x14ac:dyDescent="0.25">
      <c r="A5536" t="str">
        <f>"20190305135040324"</f>
        <v>20190305135040324</v>
      </c>
      <c r="B5536" t="str">
        <f>"1551765040315968"</f>
        <v>1551765040315968</v>
      </c>
      <c r="C5536" t="s">
        <v>40</v>
      </c>
      <c r="D5536">
        <v>4.44611</v>
      </c>
      <c r="E5536">
        <v>0.4651904</v>
      </c>
      <c r="F5536" t="s">
        <v>97</v>
      </c>
      <c r="G5536">
        <v>-421.94819999999999</v>
      </c>
      <c r="H5536">
        <v>0.64695380000000002</v>
      </c>
      <c r="I5536">
        <v>0.4575729</v>
      </c>
      <c r="J5536">
        <v>-418.5976</v>
      </c>
      <c r="K5536">
        <v>1.113186</v>
      </c>
      <c r="L5536">
        <v>113.8526</v>
      </c>
      <c r="M5536">
        <v>-0.33355750000000001</v>
      </c>
      <c r="N5536">
        <v>-1.00924E-2</v>
      </c>
      <c r="O5536">
        <v>-0.94267579999999995</v>
      </c>
      <c r="P5536">
        <v>-0.1213849</v>
      </c>
      <c r="Q5536">
        <v>-0.1113074</v>
      </c>
      <c r="R5536">
        <v>-0.98634500000000003</v>
      </c>
      <c r="S5536">
        <v>-9.1796879999999997E-2</v>
      </c>
      <c r="T5536">
        <v>-1.2427570000000001E-2</v>
      </c>
      <c r="U5536">
        <v>-3.0298919999999998</v>
      </c>
      <c r="V5536">
        <v>-0.2135608</v>
      </c>
      <c r="W5536">
        <v>-0.1036506</v>
      </c>
      <c r="X5536">
        <v>0.97141560000000005</v>
      </c>
      <c r="Y5536">
        <v>-0.30485129999999999</v>
      </c>
      <c r="Z5536">
        <v>-6.3887639999999999E-3</v>
      </c>
      <c r="AA5536">
        <v>0.95237850000000002</v>
      </c>
      <c r="AB5536">
        <v>30</v>
      </c>
      <c r="AC5536">
        <v>-3.35059999999998</v>
      </c>
      <c r="AD5536">
        <v>-0.46623219999999999</v>
      </c>
      <c r="AE5536">
        <v>-113.39502709999999</v>
      </c>
      <c r="AF5536">
        <v>-34.666410076752499</v>
      </c>
      <c r="AG5536">
        <v>-0.46623219999999999</v>
      </c>
      <c r="AH5536">
        <v>108.016035706952</v>
      </c>
      <c r="AI5536">
        <v>90.235475795262502</v>
      </c>
      <c r="AJ5536">
        <v>107.793390226108</v>
      </c>
      <c r="AK5536">
        <v>113.443560107745</v>
      </c>
      <c r="AL5536">
        <v>95.949427633049893</v>
      </c>
      <c r="AM5536">
        <v>102.39894387453801</v>
      </c>
      <c r="AN5536">
        <v>0.99999996505017896</v>
      </c>
    </row>
    <row r="5537" spans="1:40" x14ac:dyDescent="0.25">
      <c r="A5537" t="str">
        <f>"20190305135040339"</f>
        <v>20190305135040339</v>
      </c>
      <c r="B5537" t="str">
        <f>"1551765040335488"</f>
        <v>1551765040335488</v>
      </c>
      <c r="C5537" t="s">
        <v>40</v>
      </c>
      <c r="D5537">
        <v>4.3691740000000001</v>
      </c>
      <c r="E5537">
        <v>0.4654682</v>
      </c>
      <c r="F5537" t="s">
        <v>97</v>
      </c>
      <c r="G5537">
        <v>-421.6499</v>
      </c>
      <c r="H5537">
        <v>0.76094419999999996</v>
      </c>
      <c r="I5537">
        <v>0.4606056</v>
      </c>
      <c r="J5537">
        <v>-418.65859999999998</v>
      </c>
      <c r="K5537">
        <v>1.113208</v>
      </c>
      <c r="L5537">
        <v>113.6704</v>
      </c>
      <c r="M5537">
        <v>-0.33034750000000002</v>
      </c>
      <c r="N5537">
        <v>-1.008876E-2</v>
      </c>
      <c r="O5537">
        <v>-0.94380560000000002</v>
      </c>
      <c r="P5537">
        <v>-0.11902550000000001</v>
      </c>
      <c r="Q5537">
        <v>-0.11163140000000001</v>
      </c>
      <c r="R5537">
        <v>-0.98659609999999998</v>
      </c>
      <c r="S5537">
        <v>-8.1573489999999999E-2</v>
      </c>
      <c r="T5537">
        <v>-9.4143149999999995E-3</v>
      </c>
      <c r="U5537">
        <v>-3.030411</v>
      </c>
      <c r="V5537">
        <v>-0.212557</v>
      </c>
      <c r="W5537">
        <v>-0.10398019999999999</v>
      </c>
      <c r="X5537">
        <v>0.97160060000000004</v>
      </c>
      <c r="Y5537">
        <v>-0.30482720000000002</v>
      </c>
      <c r="Z5537">
        <v>-7.2718840000000002E-3</v>
      </c>
      <c r="AA5537">
        <v>0.95237989999999995</v>
      </c>
      <c r="AB5537">
        <v>30</v>
      </c>
      <c r="AC5537">
        <v>-2.9913000000000198</v>
      </c>
      <c r="AD5537">
        <v>-0.35226380000000002</v>
      </c>
      <c r="AE5537">
        <v>-113.20979440000001</v>
      </c>
      <c r="AF5537">
        <v>-34.576787479067299</v>
      </c>
      <c r="AG5537">
        <v>-0.35226380000000002</v>
      </c>
      <c r="AH5537">
        <v>107.840637124601</v>
      </c>
      <c r="AI5537">
        <v>90.178220598630404</v>
      </c>
      <c r="AJ5537">
        <v>107.777333892439</v>
      </c>
      <c r="AK5537">
        <v>113.24875865808499</v>
      </c>
      <c r="AL5537">
        <v>95.968414451548796</v>
      </c>
      <c r="AM5537">
        <v>102.340177299361</v>
      </c>
      <c r="AN5537">
        <v>1.0000000430806899</v>
      </c>
    </row>
    <row r="5538" spans="1:40" x14ac:dyDescent="0.25">
      <c r="A5538" t="str">
        <f>"20190305135040358"</f>
        <v>20190305135040358</v>
      </c>
      <c r="B5538" t="str">
        <f>"1551765040355984"</f>
        <v>1551765040355984</v>
      </c>
      <c r="C5538" t="s">
        <v>40</v>
      </c>
      <c r="D5538">
        <v>4.3422070000000001</v>
      </c>
      <c r="E5538">
        <v>0.46567310000000001</v>
      </c>
      <c r="F5538" t="s">
        <v>97</v>
      </c>
      <c r="G5538">
        <v>-421.53250000000003</v>
      </c>
      <c r="H5538">
        <v>0.80429609999999996</v>
      </c>
      <c r="I5538">
        <v>0.46180339999999998</v>
      </c>
      <c r="J5538">
        <v>-418.73860000000002</v>
      </c>
      <c r="K5538">
        <v>1.1132340000000001</v>
      </c>
      <c r="L5538">
        <v>113.428</v>
      </c>
      <c r="M5538">
        <v>-0.3260459</v>
      </c>
      <c r="N5538">
        <v>-1.007978E-2</v>
      </c>
      <c r="O5538">
        <v>-0.94530040000000004</v>
      </c>
      <c r="P5538">
        <v>-0.1169873</v>
      </c>
      <c r="Q5538">
        <v>-0.112147</v>
      </c>
      <c r="R5538">
        <v>-0.98678140000000003</v>
      </c>
      <c r="S5538">
        <v>-7.6934810000000006E-2</v>
      </c>
      <c r="T5538">
        <v>-8.2700250000000003E-3</v>
      </c>
      <c r="U5538">
        <v>-3.030548</v>
      </c>
      <c r="V5538">
        <v>-0.21010699999999999</v>
      </c>
      <c r="W5538">
        <v>-0.1044958</v>
      </c>
      <c r="X5538">
        <v>0.972078</v>
      </c>
      <c r="Y5538">
        <v>-0.30194720000000003</v>
      </c>
      <c r="Z5538">
        <v>-7.5956740000000002E-3</v>
      </c>
      <c r="AA5538">
        <v>0.95329439999999999</v>
      </c>
      <c r="AB5538">
        <v>30</v>
      </c>
      <c r="AC5538">
        <v>-2.7938999999999998</v>
      </c>
      <c r="AD5538">
        <v>-0.30893789999999999</v>
      </c>
      <c r="AE5538">
        <v>-112.9661966</v>
      </c>
      <c r="AF5538">
        <v>-34.192565506955702</v>
      </c>
      <c r="AG5538">
        <v>-0.30893789999999999</v>
      </c>
      <c r="AH5538">
        <v>107.70257672135899</v>
      </c>
      <c r="AI5538">
        <v>90.156644335757804</v>
      </c>
      <c r="AJ5538">
        <v>107.61319223481399</v>
      </c>
      <c r="AK5538">
        <v>113.000318632267</v>
      </c>
      <c r="AL5538">
        <v>95.998118342433301</v>
      </c>
      <c r="AM5538">
        <v>102.19641288647099</v>
      </c>
      <c r="AN5538">
        <v>0.99999998087531905</v>
      </c>
    </row>
    <row r="5539" spans="1:40" x14ac:dyDescent="0.25">
      <c r="A5539" t="str">
        <f>"20190305135040381"</f>
        <v>20190305135040381</v>
      </c>
      <c r="B5539" t="str">
        <f>"1551765040375508"</f>
        <v>1551765040375508</v>
      </c>
      <c r="C5539" t="s">
        <v>40</v>
      </c>
      <c r="D5539">
        <v>4.3643479999999997</v>
      </c>
      <c r="E5539">
        <v>0.46602579999999999</v>
      </c>
      <c r="F5539" t="s">
        <v>97</v>
      </c>
      <c r="G5539">
        <v>-421.42880000000002</v>
      </c>
      <c r="H5539">
        <v>0.7927651</v>
      </c>
      <c r="I5539">
        <v>0.4628582</v>
      </c>
      <c r="J5539">
        <v>-418.8304</v>
      </c>
      <c r="K5539">
        <v>1.1132709999999999</v>
      </c>
      <c r="L5539">
        <v>113.1448</v>
      </c>
      <c r="M5539">
        <v>-0.32097310000000001</v>
      </c>
      <c r="N5539">
        <v>-1.00652E-2</v>
      </c>
      <c r="O5539">
        <v>-0.94703479999999995</v>
      </c>
      <c r="P5539">
        <v>-0.1142809</v>
      </c>
      <c r="Q5539">
        <v>-0.11310870000000001</v>
      </c>
      <c r="R5539">
        <v>-0.98698839999999999</v>
      </c>
      <c r="S5539">
        <v>-7.2174070000000007E-2</v>
      </c>
      <c r="T5539">
        <v>-8.5982079999999995E-3</v>
      </c>
      <c r="U5539">
        <v>-3.0306549999999999</v>
      </c>
      <c r="V5539">
        <v>-0.20750489999999999</v>
      </c>
      <c r="W5539">
        <v>-0.1054663</v>
      </c>
      <c r="X5539">
        <v>0.97253199999999995</v>
      </c>
      <c r="Y5539">
        <v>-0.29833150000000003</v>
      </c>
      <c r="Z5539">
        <v>-7.4786480000000001E-3</v>
      </c>
      <c r="AA5539">
        <v>0.95443299999999998</v>
      </c>
      <c r="AB5539">
        <v>30</v>
      </c>
      <c r="AC5539">
        <v>-2.5984000000000198</v>
      </c>
      <c r="AD5539">
        <v>-0.32050589999999901</v>
      </c>
      <c r="AE5539">
        <v>-112.6819418</v>
      </c>
      <c r="AF5539">
        <v>-33.708532732139403</v>
      </c>
      <c r="AG5539">
        <v>-0.32050589999999901</v>
      </c>
      <c r="AH5539">
        <v>107.55231780790599</v>
      </c>
      <c r="AI5539">
        <v>90.162926318197904</v>
      </c>
      <c r="AJ5539">
        <v>107.40178480148801</v>
      </c>
      <c r="AK5539">
        <v>112.71144116210399</v>
      </c>
      <c r="AL5539">
        <v>96.054033013146196</v>
      </c>
      <c r="AM5539">
        <v>102.044344881238</v>
      </c>
      <c r="AN5539">
        <v>0.999999957491849</v>
      </c>
    </row>
    <row r="5540" spans="1:40" x14ac:dyDescent="0.25">
      <c r="A5540" t="str">
        <f>"20190305135040396"</f>
        <v>20190305135040396</v>
      </c>
      <c r="B5540" t="str">
        <f>"1551765040386240"</f>
        <v>1551765040386240</v>
      </c>
      <c r="C5540" t="s">
        <v>40</v>
      </c>
      <c r="D5540">
        <v>4.409999</v>
      </c>
      <c r="E5540">
        <v>0.4659684</v>
      </c>
      <c r="F5540" t="s">
        <v>97</v>
      </c>
      <c r="G5540">
        <v>-421.30399999999997</v>
      </c>
      <c r="H5540">
        <v>0.70739849999999904</v>
      </c>
      <c r="I5540">
        <v>0.4641247</v>
      </c>
      <c r="J5540">
        <v>-418.89299999999997</v>
      </c>
      <c r="K5540">
        <v>1.1133</v>
      </c>
      <c r="L5540">
        <v>112.94889999999999</v>
      </c>
      <c r="M5540">
        <v>-0.31743539999999998</v>
      </c>
      <c r="N5540">
        <v>-1.005546E-2</v>
      </c>
      <c r="O5540">
        <v>-0.94822649999999997</v>
      </c>
      <c r="P5540">
        <v>-0.1117759</v>
      </c>
      <c r="Q5540">
        <v>-0.1132121</v>
      </c>
      <c r="R5540">
        <v>-0.98726360000000002</v>
      </c>
      <c r="S5540">
        <v>-6.6528320000000002E-2</v>
      </c>
      <c r="T5540">
        <v>-1.0916830000000001E-2</v>
      </c>
      <c r="U5540">
        <v>-3.0305939999999998</v>
      </c>
      <c r="V5540">
        <v>-0.20632990000000001</v>
      </c>
      <c r="W5540">
        <v>-0.105582</v>
      </c>
      <c r="X5540">
        <v>0.97276940000000001</v>
      </c>
      <c r="Y5540">
        <v>-0.29654330000000001</v>
      </c>
      <c r="Z5540">
        <v>-6.7780369999999998E-3</v>
      </c>
      <c r="AA5540">
        <v>0.95499529999999999</v>
      </c>
      <c r="AB5540">
        <v>30</v>
      </c>
      <c r="AC5540">
        <v>-2.411</v>
      </c>
      <c r="AD5540">
        <v>-0.40590149999999903</v>
      </c>
      <c r="AE5540">
        <v>-112.4847753</v>
      </c>
      <c r="AF5540">
        <v>-33.421732955522202</v>
      </c>
      <c r="AG5540">
        <v>-0.40590149999999903</v>
      </c>
      <c r="AH5540">
        <v>107.43042332560501</v>
      </c>
      <c r="AI5540">
        <v>90.206706233520705</v>
      </c>
      <c r="AJ5540">
        <v>107.28098029900499</v>
      </c>
      <c r="AK5540">
        <v>112.509878880464</v>
      </c>
      <c r="AL5540">
        <v>96.060699425150702</v>
      </c>
      <c r="AM5540">
        <v>101.97527998549801</v>
      </c>
      <c r="AN5540">
        <v>0.999999945967183</v>
      </c>
    </row>
    <row r="5541" spans="1:40" x14ac:dyDescent="0.25">
      <c r="A5541" t="str">
        <f>"20190305135040414"</f>
        <v>20190305135040414</v>
      </c>
      <c r="B5541" t="str">
        <f>"1551765040405765"</f>
        <v>1551765040405765</v>
      </c>
      <c r="C5541" t="s">
        <v>40</v>
      </c>
      <c r="D5541">
        <v>4.3820639999999997</v>
      </c>
      <c r="E5541">
        <v>0.46575810000000001</v>
      </c>
      <c r="F5541" t="s">
        <v>97</v>
      </c>
      <c r="G5541">
        <v>-421.0711</v>
      </c>
      <c r="H5541">
        <v>0.6469684</v>
      </c>
      <c r="I5541">
        <v>0.46649550000000001</v>
      </c>
      <c r="J5541">
        <v>-418.96589999999998</v>
      </c>
      <c r="K5541">
        <v>1.1133379999999999</v>
      </c>
      <c r="L5541">
        <v>112.71729999999999</v>
      </c>
      <c r="M5541">
        <v>-0.31322230000000001</v>
      </c>
      <c r="N5541">
        <v>-1.0044910000000001E-2</v>
      </c>
      <c r="O5541">
        <v>-0.94962679999999999</v>
      </c>
      <c r="P5541">
        <v>-0.1090183</v>
      </c>
      <c r="Q5541">
        <v>-0.11266080000000001</v>
      </c>
      <c r="R5541">
        <v>-0.98763509999999999</v>
      </c>
      <c r="S5541">
        <v>-5.8685300000000003E-2</v>
      </c>
      <c r="T5541">
        <v>-1.2565140000000001E-2</v>
      </c>
      <c r="U5541">
        <v>-3.030624</v>
      </c>
      <c r="V5541">
        <v>-0.2047448</v>
      </c>
      <c r="W5541">
        <v>-0.10503990000000001</v>
      </c>
      <c r="X5541">
        <v>0.97316290000000005</v>
      </c>
      <c r="Y5541">
        <v>-0.29477239999999999</v>
      </c>
      <c r="Z5541">
        <v>-6.2729119999999899E-3</v>
      </c>
      <c r="AA5541">
        <v>0.95554689999999998</v>
      </c>
      <c r="AB5541">
        <v>30</v>
      </c>
      <c r="AC5541">
        <v>-2.1052000000000199</v>
      </c>
      <c r="AD5541">
        <v>-0.4663696</v>
      </c>
      <c r="AE5541">
        <v>-112.25080449999901</v>
      </c>
      <c r="AF5541">
        <v>-33.161398874475097</v>
      </c>
      <c r="AG5541">
        <v>-0.4663696</v>
      </c>
      <c r="AH5541">
        <v>107.25931946771099</v>
      </c>
      <c r="AI5541">
        <v>90.238008263625801</v>
      </c>
      <c r="AJ5541">
        <v>107.18005702061301</v>
      </c>
      <c r="AK5541">
        <v>112.269575079771</v>
      </c>
      <c r="AL5541">
        <v>96.029465846993702</v>
      </c>
      <c r="AM5541">
        <v>101.881238607496</v>
      </c>
      <c r="AN5541">
        <v>0.99999992182772701</v>
      </c>
    </row>
    <row r="5542" spans="1:40" x14ac:dyDescent="0.25">
      <c r="A5542" t="str">
        <f>"20190305135040436"</f>
        <v>20190305135040436</v>
      </c>
      <c r="B5542" t="str">
        <f>"1551765040425280"</f>
        <v>1551765040425280</v>
      </c>
      <c r="C5542" t="s">
        <v>40</v>
      </c>
      <c r="D5542">
        <v>4.4231069999999999</v>
      </c>
      <c r="E5542">
        <v>0.46559240000000002</v>
      </c>
      <c r="F5542" t="s">
        <v>97</v>
      </c>
      <c r="G5542">
        <v>-420.76760000000002</v>
      </c>
      <c r="H5542">
        <v>0.62698549999999997</v>
      </c>
      <c r="I5542">
        <v>0.46958349999999999</v>
      </c>
      <c r="J5542">
        <v>-419.0532</v>
      </c>
      <c r="K5542">
        <v>1.1133869999999999</v>
      </c>
      <c r="L5542">
        <v>112.4349</v>
      </c>
      <c r="M5542">
        <v>-0.30804110000000001</v>
      </c>
      <c r="N5542">
        <v>-1.0032920000000001E-2</v>
      </c>
      <c r="O5542">
        <v>-0.95132019999999995</v>
      </c>
      <c r="P5542">
        <v>-0.1045642</v>
      </c>
      <c r="Q5542">
        <v>-0.1108662</v>
      </c>
      <c r="R5542">
        <v>-0.98831919999999995</v>
      </c>
      <c r="S5542">
        <v>-4.8645019999999997E-2</v>
      </c>
      <c r="T5542">
        <v>-1.313245E-2</v>
      </c>
      <c r="U5542">
        <v>-3.0307010000000001</v>
      </c>
      <c r="V5542">
        <v>-0.20389840000000001</v>
      </c>
      <c r="W5542">
        <v>-0.1032666</v>
      </c>
      <c r="X5542">
        <v>0.97353040000000002</v>
      </c>
      <c r="Y5542">
        <v>-0.29272779999999998</v>
      </c>
      <c r="Z5542">
        <v>-6.0855179999999998E-3</v>
      </c>
      <c r="AA5542">
        <v>0.95617649999999998</v>
      </c>
      <c r="AB5542">
        <v>30</v>
      </c>
      <c r="AC5542">
        <v>-1.7144000000000099</v>
      </c>
      <c r="AD5542">
        <v>-0.48640149999999999</v>
      </c>
      <c r="AE5542">
        <v>-111.9653165</v>
      </c>
      <c r="AF5542">
        <v>-32.860008147466601</v>
      </c>
      <c r="AG5542">
        <v>-0.48640149999999999</v>
      </c>
      <c r="AH5542">
        <v>107.046335628112</v>
      </c>
      <c r="AI5542">
        <v>90.248879189336407</v>
      </c>
      <c r="AJ5542">
        <v>107.064912683619</v>
      </c>
      <c r="AK5542">
        <v>111.9773847403</v>
      </c>
      <c r="AL5542">
        <v>95.927307178090302</v>
      </c>
      <c r="AM5542">
        <v>101.829168881134</v>
      </c>
      <c r="AN5542">
        <v>0.99999999396114003</v>
      </c>
    </row>
    <row r="5543" spans="1:40" x14ac:dyDescent="0.25">
      <c r="A5543" t="str">
        <f>"20190305135040458"</f>
        <v>20190305135040458</v>
      </c>
      <c r="B5543" t="str">
        <f>"1551765040455537"</f>
        <v>1551765040455537</v>
      </c>
      <c r="C5543" t="s">
        <v>40</v>
      </c>
      <c r="D5543">
        <v>4.4044220000000003</v>
      </c>
      <c r="E5543">
        <v>0.46552359999999998</v>
      </c>
      <c r="F5543" t="s">
        <v>97</v>
      </c>
      <c r="G5543">
        <v>-420.3272</v>
      </c>
      <c r="H5543">
        <v>0.68862380000000001</v>
      </c>
      <c r="I5543">
        <v>0.47406009999999998</v>
      </c>
      <c r="J5543">
        <v>-419.1379</v>
      </c>
      <c r="K5543">
        <v>1.113437</v>
      </c>
      <c r="L5543">
        <v>112.1553</v>
      </c>
      <c r="M5543">
        <v>-0.30287550000000002</v>
      </c>
      <c r="N5543">
        <v>-1.0022039999999999E-2</v>
      </c>
      <c r="O5543">
        <v>-0.95297750000000003</v>
      </c>
      <c r="P5543">
        <v>-9.9368559999999995E-2</v>
      </c>
      <c r="Q5543">
        <v>-0.1091183</v>
      </c>
      <c r="R5543">
        <v>-0.98904990000000004</v>
      </c>
      <c r="S5543">
        <v>-3.4484859999999999E-2</v>
      </c>
      <c r="T5543">
        <v>-1.149797E-2</v>
      </c>
      <c r="U5543">
        <v>-3.0305179999999998</v>
      </c>
      <c r="V5543">
        <v>-0.2038005</v>
      </c>
      <c r="W5543">
        <v>-0.1015467</v>
      </c>
      <c r="X5543">
        <v>0.97373180000000004</v>
      </c>
      <c r="Y5543">
        <v>-0.29200690000000001</v>
      </c>
      <c r="Z5543">
        <v>-6.5604039999999997E-3</v>
      </c>
      <c r="AA5543">
        <v>0.95639370000000001</v>
      </c>
      <c r="AB5543">
        <v>30</v>
      </c>
      <c r="AC5543">
        <v>-1.1893</v>
      </c>
      <c r="AD5543">
        <v>-0.4248132</v>
      </c>
      <c r="AE5543">
        <v>-111.68123989999999</v>
      </c>
      <c r="AF5543">
        <v>-32.693302147454801</v>
      </c>
      <c r="AG5543">
        <v>-0.4248132</v>
      </c>
      <c r="AH5543">
        <v>106.793730387645</v>
      </c>
      <c r="AI5543">
        <v>90.217931482591197</v>
      </c>
      <c r="AJ5543">
        <v>107.021184828819</v>
      </c>
      <c r="AK5543">
        <v>111.686764308349</v>
      </c>
      <c r="AL5543">
        <v>95.828243318305894</v>
      </c>
      <c r="AM5543">
        <v>101.82127242284599</v>
      </c>
      <c r="AN5543">
        <v>0.99999999720619004</v>
      </c>
    </row>
    <row r="5544" spans="1:40" x14ac:dyDescent="0.25">
      <c r="A5544" t="str">
        <f>"20190305135040481"</f>
        <v>20190305135040481</v>
      </c>
      <c r="B5544" t="str">
        <f>"1551765040476032"</f>
        <v>1551765040476032</v>
      </c>
      <c r="C5544" t="s">
        <v>40</v>
      </c>
      <c r="D5544">
        <v>4.3865669999999897</v>
      </c>
      <c r="E5544">
        <v>0.46559689999999998</v>
      </c>
      <c r="F5544" t="s">
        <v>97</v>
      </c>
      <c r="G5544">
        <v>-419.81720000000001</v>
      </c>
      <c r="H5544">
        <v>0.73800519999999903</v>
      </c>
      <c r="I5544">
        <v>0.47924420000000001</v>
      </c>
      <c r="J5544">
        <v>-419.22680000000003</v>
      </c>
      <c r="K5544">
        <v>1.1134770000000001</v>
      </c>
      <c r="L5544">
        <v>111.85639999999999</v>
      </c>
      <c r="M5544">
        <v>-0.297319</v>
      </c>
      <c r="N5544">
        <v>-1.001167E-2</v>
      </c>
      <c r="O5544">
        <v>-0.95472590000000002</v>
      </c>
      <c r="P5544">
        <v>-9.3245350000000005E-2</v>
      </c>
      <c r="Q5544">
        <v>-0.1082531</v>
      </c>
      <c r="R5544">
        <v>-0.98974079999999998</v>
      </c>
      <c r="S5544">
        <v>-1.843262E-2</v>
      </c>
      <c r="T5544">
        <v>-1.0187750000000001E-2</v>
      </c>
      <c r="U5544">
        <v>-3.0302579999999999</v>
      </c>
      <c r="V5544">
        <v>-0.2041819</v>
      </c>
      <c r="W5544">
        <v>-0.1007154</v>
      </c>
      <c r="X5544">
        <v>0.97373829999999995</v>
      </c>
      <c r="Y5544">
        <v>-0.29150130000000002</v>
      </c>
      <c r="Z5544">
        <v>-6.9415569999999897E-3</v>
      </c>
      <c r="AA5544">
        <v>0.95654530000000004</v>
      </c>
      <c r="AB5544">
        <v>30</v>
      </c>
      <c r="AC5544">
        <v>-0.59039999999998805</v>
      </c>
      <c r="AD5544">
        <v>-0.37547180000000002</v>
      </c>
      <c r="AE5544">
        <v>-111.3771558</v>
      </c>
      <c r="AF5544">
        <v>-32.552129994250599</v>
      </c>
      <c r="AG5544">
        <v>-0.37547180000000002</v>
      </c>
      <c r="AH5544">
        <v>106.5143008509</v>
      </c>
      <c r="AI5544">
        <v>90.193152806335206</v>
      </c>
      <c r="AJ5544">
        <v>106.99382120143299</v>
      </c>
      <c r="AK5544">
        <v>111.378087755138</v>
      </c>
      <c r="AL5544">
        <v>95.780367527856797</v>
      </c>
      <c r="AM5544">
        <v>101.84269419856901</v>
      </c>
      <c r="AN5544">
        <v>1.00000005848582</v>
      </c>
    </row>
    <row r="5545" spans="1:40" x14ac:dyDescent="0.25">
      <c r="A5545" t="str">
        <f>"20190305135040504"</f>
        <v>20190305135040504</v>
      </c>
      <c r="B5545" t="str">
        <f>"1551765040495552"</f>
        <v>1551765040495552</v>
      </c>
      <c r="C5545" t="s">
        <v>40</v>
      </c>
      <c r="D5545">
        <v>4.4057060000000003</v>
      </c>
      <c r="E5545">
        <v>0.46563290000000002</v>
      </c>
      <c r="F5545" t="s">
        <v>97</v>
      </c>
      <c r="G5545">
        <v>-419.24250000000001</v>
      </c>
      <c r="H5545">
        <v>0.70084489999999999</v>
      </c>
      <c r="I5545">
        <v>0.48509029999999997</v>
      </c>
      <c r="J5545">
        <v>-419.30849999999998</v>
      </c>
      <c r="K5545">
        <v>1.1135029999999999</v>
      </c>
      <c r="L5545">
        <v>111.5753</v>
      </c>
      <c r="M5545">
        <v>-0.29207260000000002</v>
      </c>
      <c r="N5545">
        <v>-1.000301E-2</v>
      </c>
      <c r="O5545">
        <v>-0.95634379999999997</v>
      </c>
      <c r="P5545">
        <v>-8.7065320000000002E-2</v>
      </c>
      <c r="Q5545">
        <v>-0.109520699999999</v>
      </c>
      <c r="R5545">
        <v>-0.99016389999999999</v>
      </c>
      <c r="S5545">
        <v>-4.2724609999999998E-4</v>
      </c>
      <c r="T5545">
        <v>-1.122606E-2</v>
      </c>
      <c r="U5545">
        <v>-3.0298310000000002</v>
      </c>
      <c r="V5545">
        <v>-0.20485049999999999</v>
      </c>
      <c r="W5545">
        <v>-0.10201789999999999</v>
      </c>
      <c r="X5545">
        <v>0.97346220000000006</v>
      </c>
      <c r="Y5545">
        <v>-0.29193219999999998</v>
      </c>
      <c r="Z5545">
        <v>-6.6208090000000001E-3</v>
      </c>
      <c r="AA5545">
        <v>0.95641609999999999</v>
      </c>
      <c r="AB5545">
        <v>30</v>
      </c>
      <c r="AC5545">
        <v>6.5999999999973996E-2</v>
      </c>
      <c r="AD5545">
        <v>-0.41265810000000003</v>
      </c>
      <c r="AE5545">
        <v>-111.0902097</v>
      </c>
      <c r="AF5545">
        <v>-32.510704229176397</v>
      </c>
      <c r="AG5545">
        <v>-0.41265810000000003</v>
      </c>
      <c r="AH5545">
        <v>106.22500925557399</v>
      </c>
      <c r="AI5545">
        <v>90.212834064271902</v>
      </c>
      <c r="AJ5545">
        <v>107.016996572506</v>
      </c>
      <c r="AK5545">
        <v>111.08946290054401</v>
      </c>
      <c r="AL5545">
        <v>95.855381912915007</v>
      </c>
      <c r="AM5545">
        <v>101.88364696848799</v>
      </c>
      <c r="AN5545">
        <v>1.0000000170497401</v>
      </c>
    </row>
    <row r="5546" spans="1:40" x14ac:dyDescent="0.25">
      <c r="A5546" t="str">
        <f>"20190305135040525"</f>
        <v>20190305135040525</v>
      </c>
      <c r="B5546" t="str">
        <f>"1551765040516048"</f>
        <v>1551765040516048</v>
      </c>
      <c r="C5546" t="s">
        <v>40</v>
      </c>
      <c r="D5546">
        <v>4.3638659999999998</v>
      </c>
      <c r="E5546">
        <v>0.46569450000000001</v>
      </c>
      <c r="F5546" t="s">
        <v>97</v>
      </c>
      <c r="G5546">
        <v>-418.6549</v>
      </c>
      <c r="H5546">
        <v>0.40284759999999997</v>
      </c>
      <c r="I5546">
        <v>0.4910679</v>
      </c>
      <c r="J5546">
        <v>-419.38900000000001</v>
      </c>
      <c r="K5546">
        <v>1.1135200000000001</v>
      </c>
      <c r="L5546">
        <v>111.29300000000001</v>
      </c>
      <c r="M5546">
        <v>-0.2867903</v>
      </c>
      <c r="N5546">
        <v>-9.9953349999999993E-3</v>
      </c>
      <c r="O5546">
        <v>-0.95794140000000005</v>
      </c>
      <c r="P5546">
        <v>-8.0980150000000001E-2</v>
      </c>
      <c r="Q5546">
        <v>-0.110488</v>
      </c>
      <c r="R5546">
        <v>-0.99057309999999998</v>
      </c>
      <c r="S5546">
        <v>1.7822270000000001E-2</v>
      </c>
      <c r="T5546">
        <v>-1.937997E-2</v>
      </c>
      <c r="U5546">
        <v>-3.029236</v>
      </c>
      <c r="V5546">
        <v>-0.20540990000000001</v>
      </c>
      <c r="W5546">
        <v>-0.1030148</v>
      </c>
      <c r="X5546">
        <v>0.97323930000000003</v>
      </c>
      <c r="Y5546">
        <v>-0.29241139999999999</v>
      </c>
      <c r="Z5546">
        <v>-4.1496529999999997E-3</v>
      </c>
      <c r="AA5546">
        <v>0.95628360000000001</v>
      </c>
      <c r="AB5546">
        <v>30</v>
      </c>
      <c r="AC5546">
        <v>0.73410000000001197</v>
      </c>
      <c r="AD5546">
        <v>-0.71067239999999998</v>
      </c>
      <c r="AE5546">
        <v>-110.8019321</v>
      </c>
      <c r="AF5546">
        <v>-32.480425604324502</v>
      </c>
      <c r="AG5546">
        <v>-0.71067239999999998</v>
      </c>
      <c r="AH5546">
        <v>105.93214320625</v>
      </c>
      <c r="AI5546">
        <v>90.367491354311298</v>
      </c>
      <c r="AJ5546">
        <v>107.046345642658</v>
      </c>
      <c r="AK5546">
        <v>110.80208512012599</v>
      </c>
      <c r="AL5546">
        <v>95.9128026765258</v>
      </c>
      <c r="AM5546">
        <v>101.917823037128</v>
      </c>
      <c r="AN5546">
        <v>1.0000000055507601</v>
      </c>
    </row>
    <row r="5547" spans="1:40" x14ac:dyDescent="0.25">
      <c r="A5547" t="str">
        <f>"20190305135040547"</f>
        <v>20190305135040547</v>
      </c>
      <c r="B5547" t="str">
        <f>"1551765040536269"</f>
        <v>1551765040536269</v>
      </c>
      <c r="C5547" t="s">
        <v>40</v>
      </c>
      <c r="D5547">
        <v>4.3815999999999997</v>
      </c>
      <c r="E5547">
        <v>0.46584049999999999</v>
      </c>
      <c r="F5547" t="s">
        <v>97</v>
      </c>
      <c r="G5547">
        <v>-418.0872</v>
      </c>
      <c r="H5547">
        <v>0.15106220000000001</v>
      </c>
      <c r="I5547">
        <v>0.49684139999999999</v>
      </c>
      <c r="J5547">
        <v>-419.46780000000001</v>
      </c>
      <c r="K5547">
        <v>1.113534</v>
      </c>
      <c r="L5547">
        <v>111.0103</v>
      </c>
      <c r="M5547">
        <v>-0.28149239999999998</v>
      </c>
      <c r="N5547">
        <v>-9.9886530000000001E-3</v>
      </c>
      <c r="O5547">
        <v>-0.95951149999999996</v>
      </c>
      <c r="P5547">
        <v>-7.5563190000000002E-2</v>
      </c>
      <c r="Q5547">
        <v>-0.1107059</v>
      </c>
      <c r="R5547">
        <v>-0.99097679999999999</v>
      </c>
      <c r="S5547">
        <v>3.5583499999999997E-2</v>
      </c>
      <c r="T5547">
        <v>-2.6308539999999998E-2</v>
      </c>
      <c r="U5547">
        <v>-3.0285190000000002</v>
      </c>
      <c r="V5547">
        <v>-0.2053381</v>
      </c>
      <c r="W5547">
        <v>-0.10324999999999999</v>
      </c>
      <c r="X5547">
        <v>0.97322949999999997</v>
      </c>
      <c r="Y5547">
        <v>-0.29273280000000002</v>
      </c>
      <c r="Z5547">
        <v>-2.0367150000000001E-3</v>
      </c>
      <c r="AA5547">
        <v>0.95619209999999999</v>
      </c>
      <c r="AB5547">
        <v>30</v>
      </c>
      <c r="AC5547">
        <v>1.38060000000001</v>
      </c>
      <c r="AD5547">
        <v>-0.96247179999999999</v>
      </c>
      <c r="AE5547">
        <v>-110.513458599999</v>
      </c>
      <c r="AF5547">
        <v>-32.432557790815402</v>
      </c>
      <c r="AG5547">
        <v>-0.96247179999999999</v>
      </c>
      <c r="AH5547">
        <v>105.64756168525599</v>
      </c>
      <c r="AI5547">
        <v>90.498980464956304</v>
      </c>
      <c r="AJ5547">
        <v>107.06586983648501</v>
      </c>
      <c r="AK5547">
        <v>110.517891976188</v>
      </c>
      <c r="AL5547">
        <v>95.926351047258393</v>
      </c>
      <c r="AM5547">
        <v>101.913892823677</v>
      </c>
      <c r="AN5547">
        <v>0.99999997874092905</v>
      </c>
    </row>
    <row r="5548" spans="1:40" x14ac:dyDescent="0.25">
      <c r="A5548" t="str">
        <f>"20190305135040571"</f>
        <v>20190305135040571</v>
      </c>
      <c r="B5548" t="str">
        <f>"1551765040565552"</f>
        <v>1551765040565552</v>
      </c>
      <c r="C5548" t="s">
        <v>40</v>
      </c>
      <c r="D5548">
        <v>4.3525169999999997</v>
      </c>
      <c r="E5548">
        <v>0.4660339</v>
      </c>
      <c r="F5548" t="s">
        <v>85</v>
      </c>
      <c r="G5548">
        <v>-417.7627</v>
      </c>
      <c r="H5548">
        <v>7.9986559999999998E-2</v>
      </c>
      <c r="I5548">
        <v>8.8535629999999994</v>
      </c>
      <c r="J5548">
        <v>-419.54910000000001</v>
      </c>
      <c r="K5548">
        <v>1.113556</v>
      </c>
      <c r="L5548">
        <v>110.7123</v>
      </c>
      <c r="M5548">
        <v>-0.27590779999999998</v>
      </c>
      <c r="N5548">
        <v>-9.9823059999999998E-3</v>
      </c>
      <c r="O5548">
        <v>-0.96113219999999999</v>
      </c>
      <c r="P5548">
        <v>-7.0504220000000006E-2</v>
      </c>
      <c r="Q5548">
        <v>-0.1098982</v>
      </c>
      <c r="R5548">
        <v>-0.99143919999999996</v>
      </c>
      <c r="S5548">
        <v>5.0537110000000003E-2</v>
      </c>
      <c r="T5548">
        <v>-3.06325E-2</v>
      </c>
      <c r="U5548">
        <v>-3.0277400000000001</v>
      </c>
      <c r="V5548">
        <v>-0.2046752</v>
      </c>
      <c r="W5548">
        <v>-0.10244880000000001</v>
      </c>
      <c r="X5548">
        <v>0.97345380000000004</v>
      </c>
      <c r="Y5548">
        <v>-0.2918945</v>
      </c>
      <c r="Z5548">
        <v>-6.9946129999999996E-4</v>
      </c>
      <c r="AA5548">
        <v>0.95645029999999998</v>
      </c>
      <c r="AB5548">
        <v>30</v>
      </c>
      <c r="AC5548">
        <v>1.78640000000001</v>
      </c>
      <c r="AD5548">
        <v>-1.03356944</v>
      </c>
      <c r="AE5548">
        <v>-101.858737</v>
      </c>
      <c r="AF5548">
        <v>-29.8190051380985</v>
      </c>
      <c r="AG5548">
        <v>-1.03356944</v>
      </c>
      <c r="AH5548">
        <v>97.401664559824695</v>
      </c>
      <c r="AI5548">
        <v>90.581335737873204</v>
      </c>
      <c r="AJ5548">
        <v>107.02169220681</v>
      </c>
      <c r="AK5548">
        <v>101.86915918097</v>
      </c>
      <c r="AL5548">
        <v>95.880200819310701</v>
      </c>
      <c r="AM5548">
        <v>101.87386592557699</v>
      </c>
      <c r="AN5548">
        <v>0.99999999742545997</v>
      </c>
    </row>
    <row r="5549" spans="1:40" x14ac:dyDescent="0.25">
      <c r="A5549" t="str">
        <f>"20190305135040592"</f>
        <v>20190305135040592</v>
      </c>
      <c r="B5549" t="str">
        <f>"1551765040586045"</f>
        <v>1551765040586045</v>
      </c>
      <c r="C5549" t="s">
        <v>40</v>
      </c>
      <c r="D5549">
        <v>4.320144</v>
      </c>
      <c r="E5549">
        <v>0.47824359999999999</v>
      </c>
      <c r="F5549" t="s">
        <v>85</v>
      </c>
      <c r="G5549">
        <v>-417.39530000000002</v>
      </c>
      <c r="H5549">
        <v>5.8921340000000003E-2</v>
      </c>
      <c r="I5549">
        <v>9.6073400000000007</v>
      </c>
      <c r="J5549">
        <v>-419.62569999999999</v>
      </c>
      <c r="K5549">
        <v>1.113572</v>
      </c>
      <c r="L5549">
        <v>110.42489999999999</v>
      </c>
      <c r="M5549">
        <v>-0.27052019999999999</v>
      </c>
      <c r="N5549">
        <v>-9.9713649999999994E-3</v>
      </c>
      <c r="O5549">
        <v>-0.96266280000000004</v>
      </c>
      <c r="P5549">
        <v>-6.5967129999999999E-2</v>
      </c>
      <c r="Q5549">
        <v>-0.10950269999999999</v>
      </c>
      <c r="R5549">
        <v>-0.99179539999999999</v>
      </c>
      <c r="S5549">
        <v>6.4483639999999995E-2</v>
      </c>
      <c r="T5549">
        <v>-3.1574959999999999E-2</v>
      </c>
      <c r="U5549">
        <v>-3.0270079999999999</v>
      </c>
      <c r="V5549">
        <v>-0.20368990000000001</v>
      </c>
      <c r="W5549">
        <v>-0.10205880000000001</v>
      </c>
      <c r="X5549">
        <v>0.97370140000000005</v>
      </c>
      <c r="Y5549">
        <v>-0.29094579999999998</v>
      </c>
      <c r="Z5549">
        <v>-3.8080340000000001E-4</v>
      </c>
      <c r="AA5549">
        <v>0.95673949999999996</v>
      </c>
      <c r="AB5549">
        <v>30</v>
      </c>
      <c r="AC5549">
        <v>2.2303999999999702</v>
      </c>
      <c r="AD5549">
        <v>-1.0546506600000001</v>
      </c>
      <c r="AE5549">
        <v>-100.81756</v>
      </c>
      <c r="AF5549">
        <v>-29.418550535995799</v>
      </c>
      <c r="AG5549">
        <v>-1.0546506600000001</v>
      </c>
      <c r="AH5549">
        <v>96.444179512159806</v>
      </c>
      <c r="AI5549">
        <v>90.599267173726602</v>
      </c>
      <c r="AJ5549">
        <v>106.963377625993</v>
      </c>
      <c r="AK5549">
        <v>100.836715364133</v>
      </c>
      <c r="AL5549">
        <v>95.857737734369394</v>
      </c>
      <c r="AM5549">
        <v>101.81539604490099</v>
      </c>
      <c r="AN5549">
        <v>0.99999999519070504</v>
      </c>
    </row>
    <row r="5550" spans="1:40" x14ac:dyDescent="0.25">
      <c r="A5550" t="str">
        <f>"20190305135040606"</f>
        <v>20190305135040606</v>
      </c>
      <c r="B5550" t="str">
        <f>"1551765040595807"</f>
        <v>1551765040595807</v>
      </c>
      <c r="C5550" t="s">
        <v>40</v>
      </c>
      <c r="D5550">
        <v>4.3771009999999997</v>
      </c>
      <c r="E5550">
        <v>0.47714640000000003</v>
      </c>
      <c r="F5550" t="s">
        <v>42</v>
      </c>
      <c r="G5550">
        <v>-419.74310000000003</v>
      </c>
      <c r="H5550" s="1">
        <v>-2.3035090000000001E-6</v>
      </c>
      <c r="I5550">
        <v>94.896060000000006</v>
      </c>
      <c r="J5550">
        <v>-419.67329999999998</v>
      </c>
      <c r="K5550">
        <v>1.113575</v>
      </c>
      <c r="L5550">
        <v>110.24299999999999</v>
      </c>
      <c r="M5550">
        <v>-0.26711089999999998</v>
      </c>
      <c r="N5550">
        <v>-9.9637879999999995E-3</v>
      </c>
      <c r="O5550">
        <v>-0.96361430000000003</v>
      </c>
      <c r="P5550">
        <v>-6.2913300000000005E-2</v>
      </c>
      <c r="Q5550">
        <v>-0.1097533</v>
      </c>
      <c r="R5550">
        <v>-0.99196580000000001</v>
      </c>
      <c r="S5550">
        <v>-2.267456E-2</v>
      </c>
      <c r="T5550">
        <v>-0.2150997</v>
      </c>
      <c r="U5550">
        <v>-2.9995729999999998</v>
      </c>
      <c r="V5550">
        <v>-0.20322860000000001</v>
      </c>
      <c r="W5550">
        <v>-0.1023157</v>
      </c>
      <c r="X5550">
        <v>0.97377089999999999</v>
      </c>
      <c r="Y5550">
        <v>-0.2597254</v>
      </c>
      <c r="Z5550">
        <v>5.6472729999999999E-2</v>
      </c>
      <c r="AA5550">
        <v>0.96402980000000005</v>
      </c>
      <c r="AB5550">
        <v>30</v>
      </c>
      <c r="AC5550">
        <v>-6.98000000000433E-2</v>
      </c>
      <c r="AD5550">
        <v>-1.113577303509</v>
      </c>
      <c r="AE5550">
        <v>-15.34694</v>
      </c>
      <c r="AF5550">
        <v>-4.01115653716474</v>
      </c>
      <c r="AG5550">
        <v>-1.113577303509</v>
      </c>
      <c r="AH5550">
        <v>14.7303565273385</v>
      </c>
      <c r="AI5550">
        <v>94.171850907560497</v>
      </c>
      <c r="AJ5550">
        <v>105.23262147953299</v>
      </c>
      <c r="AK5550">
        <v>15.307280444253699</v>
      </c>
      <c r="AL5550">
        <v>95.872534061187494</v>
      </c>
      <c r="AM5550">
        <v>101.78856935299</v>
      </c>
      <c r="AN5550">
        <v>1.0000000660056201</v>
      </c>
    </row>
    <row r="5551" spans="1:40" x14ac:dyDescent="0.25">
      <c r="A5551" t="str">
        <f>"20190305135040627"</f>
        <v>20190305135040627</v>
      </c>
      <c r="B5551" t="str">
        <f>"1551765040615325"</f>
        <v>1551765040615325</v>
      </c>
      <c r="C5551" t="s">
        <v>40</v>
      </c>
      <c r="D5551">
        <v>4.397354</v>
      </c>
      <c r="E5551">
        <v>0.48064230000000002</v>
      </c>
      <c r="F5551" t="s">
        <v>42</v>
      </c>
      <c r="G5551">
        <v>-419.697</v>
      </c>
      <c r="H5551" s="1">
        <v>-1.601423E-6</v>
      </c>
      <c r="I5551">
        <v>93.240449999999996</v>
      </c>
      <c r="J5551">
        <v>-419.73899999999998</v>
      </c>
      <c r="K5551">
        <v>1.1135839999999999</v>
      </c>
      <c r="L5551">
        <v>109.98779999999999</v>
      </c>
      <c r="M5551">
        <v>-0.26233000000000001</v>
      </c>
      <c r="N5551">
        <v>-9.9498520000000003E-3</v>
      </c>
      <c r="O5551">
        <v>-0.96492710000000004</v>
      </c>
      <c r="P5551">
        <v>-5.9182480000000003E-2</v>
      </c>
      <c r="Q5551">
        <v>-0.1100479</v>
      </c>
      <c r="R5551">
        <v>-0.99216309999999996</v>
      </c>
      <c r="S5551">
        <v>-4.1809079999999997E-3</v>
      </c>
      <c r="T5551">
        <v>-0.196633</v>
      </c>
      <c r="U5551">
        <v>-3.0022739999999999</v>
      </c>
      <c r="V5551">
        <v>-0.2020488</v>
      </c>
      <c r="W5551">
        <v>-0.1026149</v>
      </c>
      <c r="X5551">
        <v>0.97398479999999998</v>
      </c>
      <c r="Y5551">
        <v>-0.2608915</v>
      </c>
      <c r="Z5551">
        <v>5.086218E-2</v>
      </c>
      <c r="AA5551">
        <v>0.96402730000000003</v>
      </c>
      <c r="AB5551">
        <v>30</v>
      </c>
      <c r="AC5551">
        <v>4.2000000000086801E-2</v>
      </c>
      <c r="AD5551">
        <v>-1.1135856014229999</v>
      </c>
      <c r="AE5551">
        <v>-16.747349999999901</v>
      </c>
      <c r="AF5551">
        <v>-4.4145598114610998</v>
      </c>
      <c r="AG5551">
        <v>-1.1135856014229999</v>
      </c>
      <c r="AH5551">
        <v>16.0786617530513</v>
      </c>
      <c r="AI5551">
        <v>93.820940028646206</v>
      </c>
      <c r="AJ5551">
        <v>105.35281903118</v>
      </c>
      <c r="AK5551">
        <v>16.7108280761218</v>
      </c>
      <c r="AL5551">
        <v>95.889768274125302</v>
      </c>
      <c r="AM5551">
        <v>101.71952925613201</v>
      </c>
      <c r="AN5551">
        <v>0.99999996295724403</v>
      </c>
    </row>
    <row r="5552" spans="1:40" x14ac:dyDescent="0.25">
      <c r="A5552" t="str">
        <f>"20190305135040649"</f>
        <v>20190305135040649</v>
      </c>
      <c r="B5552" t="str">
        <f>"1551765040645582"</f>
        <v>1551765040645582</v>
      </c>
      <c r="C5552" t="s">
        <v>40</v>
      </c>
      <c r="D5552">
        <v>4.3883460000000003</v>
      </c>
      <c r="E5552">
        <v>0.48856300000000003</v>
      </c>
      <c r="F5552" t="s">
        <v>42</v>
      </c>
      <c r="G5552">
        <v>-419.87009999999998</v>
      </c>
      <c r="H5552" s="1">
        <v>-4.152489E-7</v>
      </c>
      <c r="I5552">
        <v>90.547020000000003</v>
      </c>
      <c r="J5552">
        <v>-419.8141</v>
      </c>
      <c r="K5552">
        <v>1.1135900000000001</v>
      </c>
      <c r="L5552">
        <v>109.68940000000001</v>
      </c>
      <c r="M5552">
        <v>-0.25673820000000003</v>
      </c>
      <c r="N5552">
        <v>-9.9161739999999998E-3</v>
      </c>
      <c r="O5552">
        <v>-0.96643020000000002</v>
      </c>
      <c r="P5552">
        <v>-5.5552799999999999E-2</v>
      </c>
      <c r="Q5552">
        <v>-0.1100757</v>
      </c>
      <c r="R5552">
        <v>-0.99236950000000002</v>
      </c>
      <c r="S5552">
        <v>-2.0263670000000001E-2</v>
      </c>
      <c r="T5552">
        <v>-0.1720381</v>
      </c>
      <c r="U5552">
        <v>-3.0034179999999999</v>
      </c>
      <c r="V5552">
        <v>-0.19996920000000001</v>
      </c>
      <c r="W5552">
        <v>-0.1026546</v>
      </c>
      <c r="X5552">
        <v>0.97440979999999999</v>
      </c>
      <c r="Y5552">
        <v>-0.25013970000000002</v>
      </c>
      <c r="Z5552">
        <v>4.3510359999999998E-2</v>
      </c>
      <c r="AA5552">
        <v>0.96723159999999997</v>
      </c>
      <c r="AB5552">
        <v>30</v>
      </c>
      <c r="AC5552">
        <v>-5.5999999999983098E-2</v>
      </c>
      <c r="AD5552">
        <v>-1.11359041524889</v>
      </c>
      <c r="AE5552">
        <v>-19.142379999999999</v>
      </c>
      <c r="AF5552">
        <v>-4.84430460363662</v>
      </c>
      <c r="AG5552">
        <v>-1.11359041524889</v>
      </c>
      <c r="AH5552">
        <v>18.452613019025701</v>
      </c>
      <c r="AI5552">
        <v>93.340604591491797</v>
      </c>
      <c r="AJ5552">
        <v>104.709737979175</v>
      </c>
      <c r="AK5552">
        <v>19.1103714756063</v>
      </c>
      <c r="AL5552">
        <v>95.892054459601098</v>
      </c>
      <c r="AM5552">
        <v>101.597268723944</v>
      </c>
      <c r="AN5552">
        <v>1.0000000530929101</v>
      </c>
    </row>
    <row r="5553" spans="1:40" x14ac:dyDescent="0.25">
      <c r="A5553" t="str">
        <f>"20190305135040672"</f>
        <v>20190305135040672</v>
      </c>
      <c r="B5553" t="str">
        <f>"1551765040666077"</f>
        <v>1551765040666077</v>
      </c>
      <c r="C5553" t="s">
        <v>40</v>
      </c>
      <c r="D5553">
        <v>4.3732009999999999</v>
      </c>
      <c r="E5553">
        <v>0.49235410000000002</v>
      </c>
      <c r="F5553" t="s">
        <v>42</v>
      </c>
      <c r="G5553">
        <v>-420.29669999999999</v>
      </c>
      <c r="H5553" s="1">
        <v>-4.3483109999999996E-6</v>
      </c>
      <c r="I5553">
        <v>89.609859999999998</v>
      </c>
      <c r="J5553">
        <v>-419.88670000000002</v>
      </c>
      <c r="K5553">
        <v>1.113591</v>
      </c>
      <c r="L5553">
        <v>109.3933</v>
      </c>
      <c r="M5553">
        <v>-0.25120310000000001</v>
      </c>
      <c r="N5553">
        <v>-9.8690640000000003E-3</v>
      </c>
      <c r="O5553">
        <v>-0.96788410000000002</v>
      </c>
      <c r="P5553">
        <v>-5.2049459999999999E-2</v>
      </c>
      <c r="Q5553">
        <v>-0.10944859999999999</v>
      </c>
      <c r="R5553">
        <v>-0.99262890000000004</v>
      </c>
      <c r="S5553">
        <v>-7.2113040000000003E-2</v>
      </c>
      <c r="T5553">
        <v>-0.1664089</v>
      </c>
      <c r="U5553">
        <v>-3.0005649999999999</v>
      </c>
      <c r="V5553">
        <v>-0.197855</v>
      </c>
      <c r="W5553">
        <v>-0.10205</v>
      </c>
      <c r="X5553">
        <v>0.97490469999999896</v>
      </c>
      <c r="Y5553">
        <v>-0.22782959999999999</v>
      </c>
      <c r="Z5553">
        <v>4.215261E-2</v>
      </c>
      <c r="AA5553">
        <v>0.97278819999999999</v>
      </c>
      <c r="AB5553">
        <v>30</v>
      </c>
      <c r="AC5553">
        <v>-0.409999999999968</v>
      </c>
      <c r="AD5553">
        <v>-1.1135953483109999</v>
      </c>
      <c r="AE5553">
        <v>-19.783439999999999</v>
      </c>
      <c r="AF5553">
        <v>-4.5586139399637098</v>
      </c>
      <c r="AG5553">
        <v>-1.1135953483109999</v>
      </c>
      <c r="AH5553">
        <v>19.191226667701301</v>
      </c>
      <c r="AI5553">
        <v>93.231227339201993</v>
      </c>
      <c r="AJ5553">
        <v>103.36218994045799</v>
      </c>
      <c r="AK5553">
        <v>19.7566251334711</v>
      </c>
      <c r="AL5553">
        <v>95.857230922697894</v>
      </c>
      <c r="AM5553">
        <v>101.47225382632899</v>
      </c>
      <c r="AN5553">
        <v>0.99999998880354402</v>
      </c>
    </row>
    <row r="5554" spans="1:40" x14ac:dyDescent="0.25">
      <c r="A5554" t="str">
        <f>"20190305135040693"</f>
        <v>20190305135040693</v>
      </c>
      <c r="B5554" t="str">
        <f>"1551765040685601"</f>
        <v>1551765040685601</v>
      </c>
      <c r="C5554" t="s">
        <v>40</v>
      </c>
      <c r="D5554">
        <v>4.359985</v>
      </c>
      <c r="E5554">
        <v>0.49448560000000003</v>
      </c>
      <c r="F5554" t="s">
        <v>42</v>
      </c>
      <c r="G5554">
        <v>-420.48329999999999</v>
      </c>
      <c r="H5554" s="1">
        <v>-2.9441590000000002E-7</v>
      </c>
      <c r="I5554">
        <v>89.975650000000002</v>
      </c>
      <c r="J5554">
        <v>-419.95499999999998</v>
      </c>
      <c r="K5554">
        <v>1.113583</v>
      </c>
      <c r="L5554">
        <v>109.1082</v>
      </c>
      <c r="M5554">
        <v>-0.2458882</v>
      </c>
      <c r="N5554">
        <v>-9.8192939999999992E-3</v>
      </c>
      <c r="O5554">
        <v>-0.96924860000000002</v>
      </c>
      <c r="P5554">
        <v>-4.8505399999999997E-2</v>
      </c>
      <c r="Q5554">
        <v>-0.1088586</v>
      </c>
      <c r="R5554">
        <v>-0.99287340000000002</v>
      </c>
      <c r="S5554">
        <v>-9.2132569999999997E-2</v>
      </c>
      <c r="T5554">
        <v>-0.17196120000000001</v>
      </c>
      <c r="U5554">
        <v>-2.9984890000000002</v>
      </c>
      <c r="V5554">
        <v>-0.19600880000000001</v>
      </c>
      <c r="W5554">
        <v>-0.1014853</v>
      </c>
      <c r="X5554">
        <v>0.97533650000000005</v>
      </c>
      <c r="Y5554">
        <v>-0.2159692</v>
      </c>
      <c r="Z5554">
        <v>4.4166459999999998E-2</v>
      </c>
      <c r="AA5554">
        <v>0.97540070000000001</v>
      </c>
      <c r="AB5554">
        <v>30</v>
      </c>
      <c r="AC5554">
        <v>-0.52830000000000099</v>
      </c>
      <c r="AD5554">
        <v>-1.1135832944158901</v>
      </c>
      <c r="AE5554">
        <v>-19.132549999999899</v>
      </c>
      <c r="AF5554">
        <v>-4.1784713469172603</v>
      </c>
      <c r="AG5554">
        <v>-1.1135832944158901</v>
      </c>
      <c r="AH5554">
        <v>18.611994752523199</v>
      </c>
      <c r="AI5554">
        <v>93.341042359654494</v>
      </c>
      <c r="AJ5554">
        <v>102.653343234708</v>
      </c>
      <c r="AK5554">
        <v>19.107748146198698</v>
      </c>
      <c r="AL5554">
        <v>95.8247070608477</v>
      </c>
      <c r="AM5554">
        <v>101.36310342188099</v>
      </c>
      <c r="AN5554">
        <v>1.0000000020128901</v>
      </c>
    </row>
    <row r="5555" spans="1:40" x14ac:dyDescent="0.25">
      <c r="A5555" t="str">
        <f>"20190305135040708"</f>
        <v>20190305135040708</v>
      </c>
      <c r="B5555" t="str">
        <f>"1551765040696333"</f>
        <v>1551765040696333</v>
      </c>
      <c r="C5555" t="s">
        <v>40</v>
      </c>
      <c r="D5555">
        <v>4.3433679999999999</v>
      </c>
      <c r="E5555">
        <v>0.49525639999999999</v>
      </c>
      <c r="F5555" t="s">
        <v>42</v>
      </c>
      <c r="G5555">
        <v>-420.59339999999997</v>
      </c>
      <c r="H5555" s="1">
        <v>-2.017945E-7</v>
      </c>
      <c r="I5555">
        <v>89.691450000000003</v>
      </c>
      <c r="J5555">
        <v>-420.00150000000002</v>
      </c>
      <c r="K5555">
        <v>1.1135759999999999</v>
      </c>
      <c r="L5555">
        <v>108.9105</v>
      </c>
      <c r="M5555">
        <v>-0.24220990000000001</v>
      </c>
      <c r="N5555">
        <v>-9.7850009999999998E-3</v>
      </c>
      <c r="O5555">
        <v>-0.97017469999999995</v>
      </c>
      <c r="P5555">
        <v>-4.5289999999999997E-2</v>
      </c>
      <c r="Q5555">
        <v>-0.10939409999999999</v>
      </c>
      <c r="R5555">
        <v>-0.99296620000000002</v>
      </c>
      <c r="S5555">
        <v>-9.8571779999999998E-2</v>
      </c>
      <c r="T5555">
        <v>-0.17193220000000001</v>
      </c>
      <c r="U5555">
        <v>-2.9978639999999999</v>
      </c>
      <c r="V5555">
        <v>-0.1954468</v>
      </c>
      <c r="W5555">
        <v>-0.102048</v>
      </c>
      <c r="X5555">
        <v>0.9753906</v>
      </c>
      <c r="Y5555">
        <v>-0.2101652</v>
      </c>
      <c r="Z5555">
        <v>4.4318650000000001E-2</v>
      </c>
      <c r="AA5555">
        <v>0.9766608</v>
      </c>
      <c r="AB5555">
        <v>30</v>
      </c>
      <c r="AC5555">
        <v>-0.59189999999995202</v>
      </c>
      <c r="AD5555">
        <v>-1.1135762017944999</v>
      </c>
      <c r="AE5555">
        <v>-19.219049999999999</v>
      </c>
      <c r="AF5555">
        <v>-4.0673505405874799</v>
      </c>
      <c r="AG5555">
        <v>-1.1135762017944999</v>
      </c>
      <c r="AH5555">
        <v>18.727285068873499</v>
      </c>
      <c r="AI5555">
        <v>93.325606739576898</v>
      </c>
      <c r="AJ5555">
        <v>102.253676582956</v>
      </c>
      <c r="AK5555">
        <v>19.196213127282999</v>
      </c>
      <c r="AL5555">
        <v>95.857115462634297</v>
      </c>
      <c r="AM5555">
        <v>101.330754774995</v>
      </c>
      <c r="AN5555">
        <v>1.00000003425129</v>
      </c>
    </row>
    <row r="5556" spans="1:40" x14ac:dyDescent="0.25">
      <c r="A5556" t="str">
        <f>"20190305135040722"</f>
        <v>20190305135040722</v>
      </c>
      <c r="B5556" t="str">
        <f>"1551765040715854"</f>
        <v>1551765040715854</v>
      </c>
      <c r="C5556" t="s">
        <v>40</v>
      </c>
      <c r="D5556">
        <v>4.3463760000000002</v>
      </c>
      <c r="E5556">
        <v>0.49647089999999999</v>
      </c>
      <c r="F5556" t="s">
        <v>42</v>
      </c>
      <c r="G5556">
        <v>-420.60090000000002</v>
      </c>
      <c r="H5556" s="1">
        <v>-2.9036649999999998E-7</v>
      </c>
      <c r="I5556">
        <v>89.893259999999998</v>
      </c>
      <c r="J5556">
        <v>-420.04320000000001</v>
      </c>
      <c r="K5556">
        <v>1.113567</v>
      </c>
      <c r="L5556">
        <v>108.7291</v>
      </c>
      <c r="M5556">
        <v>-0.23884759999999999</v>
      </c>
      <c r="N5556">
        <v>-9.7514669999999998E-3</v>
      </c>
      <c r="O5556">
        <v>-0.97100810000000004</v>
      </c>
      <c r="P5556">
        <v>-4.2287020000000002E-2</v>
      </c>
      <c r="Q5556">
        <v>-0.109845899999999</v>
      </c>
      <c r="R5556">
        <v>-0.99304879999999995</v>
      </c>
      <c r="S5556">
        <v>-9.4482419999999998E-2</v>
      </c>
      <c r="T5556">
        <v>-0.17552760000000001</v>
      </c>
      <c r="U5556">
        <v>-2.9975890000000001</v>
      </c>
      <c r="V5556">
        <v>-0.1950009</v>
      </c>
      <c r="W5556">
        <v>-0.1025266</v>
      </c>
      <c r="X5556">
        <v>0.97542969999999896</v>
      </c>
      <c r="Y5556">
        <v>-0.2081075</v>
      </c>
      <c r="Z5556">
        <v>4.5568810000000001E-2</v>
      </c>
      <c r="AA5556">
        <v>0.97704389999999997</v>
      </c>
      <c r="AB5556">
        <v>30</v>
      </c>
      <c r="AC5556">
        <v>-0.55770000000001096</v>
      </c>
      <c r="AD5556">
        <v>-1.1135672903664999</v>
      </c>
      <c r="AE5556">
        <v>-18.835840000000001</v>
      </c>
      <c r="AF5556">
        <v>-3.9437801953933098</v>
      </c>
      <c r="AG5556">
        <v>-1.1135672903664999</v>
      </c>
      <c r="AH5556">
        <v>18.359721183676601</v>
      </c>
      <c r="AI5556">
        <v>93.393668960233001</v>
      </c>
      <c r="AJ5556">
        <v>102.123261220877</v>
      </c>
      <c r="AK5556">
        <v>18.811507017836</v>
      </c>
      <c r="AL5556">
        <v>95.884681556836696</v>
      </c>
      <c r="AM5556">
        <v>101.305129349452</v>
      </c>
      <c r="AN5556">
        <v>1.00000007717522</v>
      </c>
    </row>
    <row r="5557" spans="1:40" x14ac:dyDescent="0.25">
      <c r="A5557" t="str">
        <f>"20190305135040735"</f>
        <v>20190305135040735</v>
      </c>
      <c r="B5557" t="str">
        <f>"1551765040725614"</f>
        <v>1551765040725614</v>
      </c>
      <c r="C5557" t="s">
        <v>40</v>
      </c>
      <c r="D5557">
        <v>4.3508380000000004</v>
      </c>
      <c r="E5557">
        <v>0.49702439999999998</v>
      </c>
      <c r="F5557" t="s">
        <v>42</v>
      </c>
      <c r="G5557">
        <v>-420.63929999999999</v>
      </c>
      <c r="H5557" s="1">
        <v>-3.5429199999999998E-7</v>
      </c>
      <c r="I5557">
        <v>90.018419999999907</v>
      </c>
      <c r="J5557">
        <v>-420.08370000000002</v>
      </c>
      <c r="K5557">
        <v>1.1135539999999999</v>
      </c>
      <c r="L5557">
        <v>108.5513</v>
      </c>
      <c r="M5557">
        <v>-0.2355613</v>
      </c>
      <c r="N5557">
        <v>-9.7168959999999992E-3</v>
      </c>
      <c r="O5557">
        <v>-0.97181099999999998</v>
      </c>
      <c r="P5557">
        <v>-3.948894E-2</v>
      </c>
      <c r="Q5557">
        <v>-0.1099667</v>
      </c>
      <c r="R5557">
        <v>-0.99315059999999999</v>
      </c>
      <c r="S5557">
        <v>-9.5489500000000005E-2</v>
      </c>
      <c r="T5557">
        <v>-0.1783785</v>
      </c>
      <c r="U5557">
        <v>-2.9971920000000001</v>
      </c>
      <c r="V5557">
        <v>-0.1944458</v>
      </c>
      <c r="W5557">
        <v>-0.1026721</v>
      </c>
      <c r="X5557">
        <v>0.97552510000000003</v>
      </c>
      <c r="Y5557">
        <v>-0.20446719999999999</v>
      </c>
      <c r="Z5557">
        <v>4.6599420000000003E-2</v>
      </c>
      <c r="AA5557">
        <v>0.97776359999999995</v>
      </c>
      <c r="AB5557">
        <v>31</v>
      </c>
      <c r="AC5557">
        <v>-0.55559999999996901</v>
      </c>
      <c r="AD5557">
        <v>-1.1135543542919999</v>
      </c>
      <c r="AE5557">
        <v>-18.532879999999999</v>
      </c>
      <c r="AF5557">
        <v>-3.8121210767937499</v>
      </c>
      <c r="AG5557">
        <v>-1.1135543542919999</v>
      </c>
      <c r="AH5557">
        <v>18.0769857168148</v>
      </c>
      <c r="AI5557">
        <v>93.449329122028701</v>
      </c>
      <c r="AJ5557">
        <v>101.908201820469</v>
      </c>
      <c r="AK5557">
        <v>18.508097768545099</v>
      </c>
      <c r="AL5557">
        <v>95.893062923689797</v>
      </c>
      <c r="AM5557">
        <v>101.272698653535</v>
      </c>
      <c r="AN5557">
        <v>0.99999997499302895</v>
      </c>
    </row>
    <row r="5558" spans="1:40" x14ac:dyDescent="0.25">
      <c r="A5558" t="str">
        <f>"20190305135040748"</f>
        <v>20190305135040748</v>
      </c>
      <c r="B5558" t="str">
        <f>"1551765040745641"</f>
        <v>1551765040745641</v>
      </c>
      <c r="C5558" t="s">
        <v>40</v>
      </c>
      <c r="D5558">
        <v>4.3387710000000004</v>
      </c>
      <c r="E5558">
        <v>0.49797069999999999</v>
      </c>
      <c r="F5558" t="s">
        <v>42</v>
      </c>
      <c r="G5558">
        <v>-420.65370000000001</v>
      </c>
      <c r="H5558" s="1">
        <v>-3.0387189999999999E-7</v>
      </c>
      <c r="I5558">
        <v>89.891999999999996</v>
      </c>
      <c r="J5558">
        <v>-420.12459999999999</v>
      </c>
      <c r="K5558">
        <v>1.11354</v>
      </c>
      <c r="L5558">
        <v>108.36920000000001</v>
      </c>
      <c r="M5558">
        <v>-0.23220769999999999</v>
      </c>
      <c r="N5558">
        <v>-9.6795790000000007E-3</v>
      </c>
      <c r="O5558">
        <v>-0.97261830000000005</v>
      </c>
      <c r="P5558">
        <v>-3.6432010000000001E-2</v>
      </c>
      <c r="Q5558">
        <v>-0.1108432</v>
      </c>
      <c r="R5558">
        <v>-0.99317029999999995</v>
      </c>
      <c r="S5558">
        <v>-9.1552729999999999E-2</v>
      </c>
      <c r="T5558">
        <v>-0.17887120000000001</v>
      </c>
      <c r="U5558">
        <v>-2.9972530000000002</v>
      </c>
      <c r="V5558">
        <v>-0.19405249999999999</v>
      </c>
      <c r="W5558">
        <v>-0.1035779</v>
      </c>
      <c r="X5558">
        <v>0.97550769999999998</v>
      </c>
      <c r="Y5558">
        <v>-0.2023751</v>
      </c>
      <c r="Z5558">
        <v>4.6874199999999998E-2</v>
      </c>
      <c r="AA5558">
        <v>0.97818570000000005</v>
      </c>
      <c r="AB5558">
        <v>31</v>
      </c>
      <c r="AC5558">
        <v>-0.52910000000002799</v>
      </c>
      <c r="AD5558">
        <v>-1.1135403038718901</v>
      </c>
      <c r="AE5558">
        <v>-18.4772</v>
      </c>
      <c r="AF5558">
        <v>-3.7624579391665698</v>
      </c>
      <c r="AG5558">
        <v>-1.1135403038718901</v>
      </c>
      <c r="AH5558">
        <v>18.0295387443994</v>
      </c>
      <c r="AI5558">
        <v>93.459866076459306</v>
      </c>
      <c r="AJ5558">
        <v>101.787487739131</v>
      </c>
      <c r="AK5558">
        <v>18.4515671174061</v>
      </c>
      <c r="AL5558">
        <v>95.945239399624995</v>
      </c>
      <c r="AM5558">
        <v>101.25067538575099</v>
      </c>
      <c r="AN5558">
        <v>1.00000001344197</v>
      </c>
    </row>
    <row r="5559" spans="1:40" x14ac:dyDescent="0.25">
      <c r="A5559" t="str">
        <f>"20190305135040764"</f>
        <v>20190305135040764</v>
      </c>
      <c r="B5559" t="str">
        <f>"1551765040755401"</f>
        <v>1551765040755401</v>
      </c>
      <c r="C5559" t="s">
        <v>40</v>
      </c>
      <c r="D5559">
        <v>4.3362350000000003</v>
      </c>
      <c r="E5559">
        <v>0.49841200000000002</v>
      </c>
      <c r="F5559" t="s">
        <v>42</v>
      </c>
      <c r="G5559">
        <v>-420.67149999999998</v>
      </c>
      <c r="H5559" s="1">
        <v>-3.7152409999999998E-7</v>
      </c>
      <c r="I5559">
        <v>90.038640000000001</v>
      </c>
      <c r="J5559">
        <v>-420.16849999999999</v>
      </c>
      <c r="K5559">
        <v>1.1135219999999999</v>
      </c>
      <c r="L5559">
        <v>108.1695</v>
      </c>
      <c r="M5559">
        <v>-0.22855429999999999</v>
      </c>
      <c r="N5559">
        <v>-9.6355599999999996E-3</v>
      </c>
      <c r="O5559">
        <v>-0.97348349999999995</v>
      </c>
      <c r="P5559">
        <v>-3.2489700000000003E-2</v>
      </c>
      <c r="Q5559">
        <v>-0.1107327</v>
      </c>
      <c r="R5559">
        <v>-0.99331910000000001</v>
      </c>
      <c r="S5559">
        <v>-8.9416499999999996E-2</v>
      </c>
      <c r="T5559">
        <v>-0.18206349999999999</v>
      </c>
      <c r="U5559">
        <v>-2.9970400000000001</v>
      </c>
      <c r="V5559">
        <v>-0.19426750000000001</v>
      </c>
      <c r="W5559">
        <v>-0.1035084</v>
      </c>
      <c r="X5559">
        <v>0.97547229999999996</v>
      </c>
      <c r="Y5559">
        <v>-0.19939370000000001</v>
      </c>
      <c r="Z5559">
        <v>4.8023669999999997E-2</v>
      </c>
      <c r="AA5559">
        <v>0.978742</v>
      </c>
      <c r="AB5559">
        <v>31</v>
      </c>
      <c r="AC5559">
        <v>-0.50299999999998501</v>
      </c>
      <c r="AD5559">
        <v>-1.1135223715240901</v>
      </c>
      <c r="AE5559">
        <v>-18.130859999999998</v>
      </c>
      <c r="AF5559">
        <v>-3.6406716787499702</v>
      </c>
      <c r="AG5559">
        <v>-1.1135223715240901</v>
      </c>
      <c r="AH5559">
        <v>17.699171978855802</v>
      </c>
      <c r="AI5559">
        <v>93.526314586996605</v>
      </c>
      <c r="AJ5559">
        <v>101.623461373243</v>
      </c>
      <c r="AK5559">
        <v>18.104008149618402</v>
      </c>
      <c r="AL5559">
        <v>95.941235729391494</v>
      </c>
      <c r="AM5559">
        <v>101.26322035516399</v>
      </c>
      <c r="AN5559">
        <v>1.0000000292470399</v>
      </c>
    </row>
    <row r="5560" spans="1:40" x14ac:dyDescent="0.25">
      <c r="A5560" t="str">
        <f>"20190305135040782"</f>
        <v>20190305135040782</v>
      </c>
      <c r="B5560" t="str">
        <f>"1551765040775896"</f>
        <v>1551765040775896</v>
      </c>
      <c r="C5560" t="s">
        <v>40</v>
      </c>
      <c r="D5560">
        <v>4.3228010000000001</v>
      </c>
      <c r="E5560">
        <v>0.49922240000000001</v>
      </c>
      <c r="F5560" t="s">
        <v>42</v>
      </c>
      <c r="G5560">
        <v>-420.66489999999999</v>
      </c>
      <c r="H5560" s="1">
        <v>-2.8928639999999998E-7</v>
      </c>
      <c r="I5560">
        <v>89.851079999999996</v>
      </c>
      <c r="J5560">
        <v>-420.22219999999999</v>
      </c>
      <c r="K5560">
        <v>1.113497</v>
      </c>
      <c r="L5560">
        <v>107.92100000000001</v>
      </c>
      <c r="M5560">
        <v>-0.22403310000000001</v>
      </c>
      <c r="N5560">
        <v>-9.5821529999999995E-3</v>
      </c>
      <c r="O5560">
        <v>-0.97453449999999997</v>
      </c>
      <c r="P5560">
        <v>-2.7587529999999999E-2</v>
      </c>
      <c r="Q5560">
        <v>-0.11014640000000001</v>
      </c>
      <c r="R5560">
        <v>-0.99353279999999999</v>
      </c>
      <c r="S5560">
        <v>-8.1207280000000007E-2</v>
      </c>
      <c r="T5560">
        <v>-0.18219050000000001</v>
      </c>
      <c r="U5560">
        <v>-2.9971920000000001</v>
      </c>
      <c r="V5560">
        <v>-0.19457650000000001</v>
      </c>
      <c r="W5560">
        <v>-0.102970899999999</v>
      </c>
      <c r="X5560">
        <v>0.97546759999999999</v>
      </c>
      <c r="Y5560">
        <v>-0.19752610000000001</v>
      </c>
      <c r="Z5560">
        <v>4.8219199999999997E-2</v>
      </c>
      <c r="AA5560">
        <v>0.97911099999999995</v>
      </c>
      <c r="AB5560">
        <v>31</v>
      </c>
      <c r="AC5560">
        <v>-0.44270000000000198</v>
      </c>
      <c r="AD5560">
        <v>-1.1134972892863999</v>
      </c>
      <c r="AE5560">
        <v>-18.06992</v>
      </c>
      <c r="AF5560">
        <v>-3.6033251611781498</v>
      </c>
      <c r="AG5560">
        <v>-1.1134972892863999</v>
      </c>
      <c r="AH5560">
        <v>17.6427983082202</v>
      </c>
      <c r="AI5560">
        <v>93.538487269941399</v>
      </c>
      <c r="AJ5560">
        <v>101.54320676588</v>
      </c>
      <c r="AK5560">
        <v>18.0414012918887</v>
      </c>
      <c r="AL5560">
        <v>95.910273801475995</v>
      </c>
      <c r="AM5560">
        <v>101.280729437022</v>
      </c>
      <c r="AN5560">
        <v>1.0000000296244</v>
      </c>
    </row>
    <row r="5561" spans="1:40" x14ac:dyDescent="0.25">
      <c r="A5561" t="str">
        <f>"20190305135040805"</f>
        <v>20190305135040805</v>
      </c>
      <c r="B5561" t="str">
        <f>"1551765040795417"</f>
        <v>1551765040795417</v>
      </c>
      <c r="C5561" t="s">
        <v>40</v>
      </c>
      <c r="D5561">
        <v>4.32782</v>
      </c>
      <c r="E5561">
        <v>0.50017789999999995</v>
      </c>
      <c r="F5561" t="s">
        <v>42</v>
      </c>
      <c r="G5561">
        <v>-420.67739999999998</v>
      </c>
      <c r="H5561" s="1">
        <v>-4.3634079999999998E-6</v>
      </c>
      <c r="I5561">
        <v>89.455770000000001</v>
      </c>
      <c r="J5561">
        <v>-420.28320000000002</v>
      </c>
      <c r="K5561">
        <v>1.1134679999999999</v>
      </c>
      <c r="L5561">
        <v>107.63200000000001</v>
      </c>
      <c r="M5561">
        <v>-0.21881129999999999</v>
      </c>
      <c r="N5561">
        <v>-9.5199910000000002E-3</v>
      </c>
      <c r="O5561">
        <v>-0.9757209</v>
      </c>
      <c r="P5561">
        <v>-2.2397110000000001E-2</v>
      </c>
      <c r="Q5561">
        <v>-0.10984480000000001</v>
      </c>
      <c r="R5561">
        <v>-0.99369629999999998</v>
      </c>
      <c r="S5561">
        <v>-7.388306E-2</v>
      </c>
      <c r="T5561">
        <v>-0.18075350000000001</v>
      </c>
      <c r="U5561">
        <v>-2.9974370000000001</v>
      </c>
      <c r="V5561">
        <v>-0.194463</v>
      </c>
      <c r="W5561">
        <v>-0.102719699999999</v>
      </c>
      <c r="X5561">
        <v>0.97551670000000001</v>
      </c>
      <c r="Y5561">
        <v>-0.1946706</v>
      </c>
      <c r="Z5561">
        <v>4.7944590000000002E-2</v>
      </c>
      <c r="AA5561">
        <v>0.97969620000000002</v>
      </c>
      <c r="AB5561">
        <v>31</v>
      </c>
      <c r="AC5561">
        <v>-0.39419999999995498</v>
      </c>
      <c r="AD5561">
        <v>-1.1134723634079999</v>
      </c>
      <c r="AE5561">
        <v>-18.17623</v>
      </c>
      <c r="AF5561">
        <v>-3.5792717752590901</v>
      </c>
      <c r="AG5561">
        <v>-1.1134723634079999</v>
      </c>
      <c r="AH5561">
        <v>17.7553874937669</v>
      </c>
      <c r="AI5561">
        <v>93.517838870984605</v>
      </c>
      <c r="AJ5561">
        <v>101.397387979657</v>
      </c>
      <c r="AK5561">
        <v>18.1467570711423</v>
      </c>
      <c r="AL5561">
        <v>95.895804471005107</v>
      </c>
      <c r="AM5561">
        <v>101.27376484958999</v>
      </c>
      <c r="AN5561">
        <v>1.0000000135579901</v>
      </c>
    </row>
    <row r="5562" spans="1:40" x14ac:dyDescent="0.25">
      <c r="A5562" t="str">
        <f>"20190305135040828"</f>
        <v>20190305135040828</v>
      </c>
      <c r="B5562" t="str">
        <f>"1551765040815913"</f>
        <v>1551765040815913</v>
      </c>
      <c r="C5562" t="s">
        <v>40</v>
      </c>
      <c r="D5562">
        <v>4.3213749999999997</v>
      </c>
      <c r="E5562">
        <v>0.50097749999999996</v>
      </c>
      <c r="F5562" t="s">
        <v>42</v>
      </c>
      <c r="G5562">
        <v>-420.68880000000001</v>
      </c>
      <c r="H5562" s="1">
        <v>-4.2265860000000004E-6</v>
      </c>
      <c r="I5562">
        <v>89.047740000000005</v>
      </c>
      <c r="J5562">
        <v>-420.34660000000002</v>
      </c>
      <c r="K5562">
        <v>1.11344</v>
      </c>
      <c r="L5562">
        <v>107.32389999999999</v>
      </c>
      <c r="M5562">
        <v>-0.21329010000000001</v>
      </c>
      <c r="N5562">
        <v>-9.4553680000000005E-3</v>
      </c>
      <c r="O5562">
        <v>-0.97694329999999996</v>
      </c>
      <c r="P5562">
        <v>-1.697017E-2</v>
      </c>
      <c r="Q5562">
        <v>-0.1105155</v>
      </c>
      <c r="R5562">
        <v>-0.99373</v>
      </c>
      <c r="S5562">
        <v>-6.5429689999999999E-2</v>
      </c>
      <c r="T5562">
        <v>-0.17960770000000001</v>
      </c>
      <c r="U5562">
        <v>-2.9977109999999998</v>
      </c>
      <c r="V5562">
        <v>-0.19425490000000001</v>
      </c>
      <c r="W5562">
        <v>-0.1034428</v>
      </c>
      <c r="X5562">
        <v>0.97548170000000001</v>
      </c>
      <c r="Y5562">
        <v>-0.191888</v>
      </c>
      <c r="Z5562">
        <v>4.7764729999999998E-2</v>
      </c>
      <c r="AA5562">
        <v>0.98025379999999995</v>
      </c>
      <c r="AB5562">
        <v>31</v>
      </c>
      <c r="AC5562">
        <v>-0.34219999999999101</v>
      </c>
      <c r="AD5562">
        <v>-1.1134442265860001</v>
      </c>
      <c r="AE5562">
        <v>-18.276159999999901</v>
      </c>
      <c r="AF5562">
        <v>-3.5507981126971799</v>
      </c>
      <c r="AG5562">
        <v>-1.1134442265860001</v>
      </c>
      <c r="AH5562">
        <v>17.862283552479301</v>
      </c>
      <c r="AI5562">
        <v>93.498631398281404</v>
      </c>
      <c r="AJ5562">
        <v>101.243115972292</v>
      </c>
      <c r="AK5562">
        <v>18.245796748621999</v>
      </c>
      <c r="AL5562">
        <v>95.937457235777998</v>
      </c>
      <c r="AM5562">
        <v>101.26240275265199</v>
      </c>
      <c r="AN5562">
        <v>0.99999996304036898</v>
      </c>
    </row>
    <row r="5563" spans="1:40" x14ac:dyDescent="0.25">
      <c r="A5563" t="str">
        <f>"20190305135040850"</f>
        <v>20190305135040850</v>
      </c>
      <c r="B5563" t="str">
        <f>"1551765040845701"</f>
        <v>1551765040845701</v>
      </c>
      <c r="C5563" t="s">
        <v>40</v>
      </c>
      <c r="D5563">
        <v>4.2837050000000003</v>
      </c>
      <c r="E5563">
        <v>0.50221789999999999</v>
      </c>
      <c r="F5563" t="s">
        <v>42</v>
      </c>
      <c r="G5563">
        <v>-420.685</v>
      </c>
      <c r="H5563" s="1">
        <v>-4.2290090000000001E-6</v>
      </c>
      <c r="I5563">
        <v>89.056849999999997</v>
      </c>
      <c r="J5563">
        <v>-420.40719999999999</v>
      </c>
      <c r="K5563">
        <v>1.113413</v>
      </c>
      <c r="L5563">
        <v>107.0205</v>
      </c>
      <c r="M5563">
        <v>-0.20790030000000001</v>
      </c>
      <c r="N5563">
        <v>-9.39714E-3</v>
      </c>
      <c r="O5563">
        <v>-0.97810520000000001</v>
      </c>
      <c r="P5563">
        <v>-1.260147E-2</v>
      </c>
      <c r="Q5563">
        <v>-0.1109137</v>
      </c>
      <c r="R5563">
        <v>-0.99375060000000004</v>
      </c>
      <c r="S5563">
        <v>-5.5541989999999999E-2</v>
      </c>
      <c r="T5563">
        <v>-0.18271799999999999</v>
      </c>
      <c r="U5563">
        <v>-2.9976500000000001</v>
      </c>
      <c r="V5563">
        <v>-0.1931552</v>
      </c>
      <c r="W5563">
        <v>-0.1038765</v>
      </c>
      <c r="X5563">
        <v>0.97565400000000002</v>
      </c>
      <c r="Y5563">
        <v>-0.18970919999999999</v>
      </c>
      <c r="Z5563">
        <v>4.8927680000000001E-2</v>
      </c>
      <c r="AA5563">
        <v>0.98062050000000001</v>
      </c>
      <c r="AB5563">
        <v>31</v>
      </c>
      <c r="AC5563">
        <v>-0.27780000000001298</v>
      </c>
      <c r="AD5563">
        <v>-1.1134172290090001</v>
      </c>
      <c r="AE5563">
        <v>-17.963650000000001</v>
      </c>
      <c r="AF5563">
        <v>-3.44983227831881</v>
      </c>
      <c r="AG5563">
        <v>-1.1134172290090001</v>
      </c>
      <c r="AH5563">
        <v>17.561417001319199</v>
      </c>
      <c r="AI5563">
        <v>93.559914367593194</v>
      </c>
      <c r="AJ5563">
        <v>101.113883130299</v>
      </c>
      <c r="AK5563">
        <v>17.9316593701923</v>
      </c>
      <c r="AL5563">
        <v>95.962440828328994</v>
      </c>
      <c r="AM5563">
        <v>101.198333274193</v>
      </c>
      <c r="AN5563">
        <v>0.99999999312764498</v>
      </c>
    </row>
    <row r="5564" spans="1:40" x14ac:dyDescent="0.25">
      <c r="A5564" t="str">
        <f>"20190305135040873"</f>
        <v>20190305135040873</v>
      </c>
      <c r="B5564" t="str">
        <f>"1551765040866197"</f>
        <v>1551765040866197</v>
      </c>
      <c r="C5564" t="s">
        <v>40</v>
      </c>
      <c r="D5564">
        <v>4.2887519999999997</v>
      </c>
      <c r="E5564">
        <v>0.50260499999999997</v>
      </c>
      <c r="F5564" t="s">
        <v>42</v>
      </c>
      <c r="G5564">
        <v>-420.7217</v>
      </c>
      <c r="H5564" s="1">
        <v>-4.2088360000000004E-6</v>
      </c>
      <c r="I5564">
        <v>88.978449999999995</v>
      </c>
      <c r="J5564">
        <v>-420.46789999999999</v>
      </c>
      <c r="K5564">
        <v>1.113386</v>
      </c>
      <c r="L5564">
        <v>106.70780000000001</v>
      </c>
      <c r="M5564">
        <v>-0.20239579999999999</v>
      </c>
      <c r="N5564">
        <v>-9.3433660000000005E-3</v>
      </c>
      <c r="O5564">
        <v>-0.97925930000000005</v>
      </c>
      <c r="P5564">
        <v>-9.4664789999999999E-3</v>
      </c>
      <c r="Q5564">
        <v>-0.11094370000000001</v>
      </c>
      <c r="R5564">
        <v>-0.99378169999999999</v>
      </c>
      <c r="S5564">
        <v>-5.2246090000000002E-2</v>
      </c>
      <c r="T5564">
        <v>-0.1849875</v>
      </c>
      <c r="U5564">
        <v>-2.9975740000000002</v>
      </c>
      <c r="V5564">
        <v>-0.1907499</v>
      </c>
      <c r="W5564">
        <v>-0.10392120000000001</v>
      </c>
      <c r="X5564">
        <v>0.97612239999999995</v>
      </c>
      <c r="Y5564">
        <v>-0.1852645</v>
      </c>
      <c r="Z5564">
        <v>4.9836030000000003E-2</v>
      </c>
      <c r="AA5564">
        <v>0.98142419999999997</v>
      </c>
      <c r="AB5564">
        <v>31</v>
      </c>
      <c r="AC5564">
        <v>-0.25380000000001202</v>
      </c>
      <c r="AD5564">
        <v>-1.1133902088359999</v>
      </c>
      <c r="AE5564">
        <v>-17.72935</v>
      </c>
      <c r="AF5564">
        <v>-3.3268380077020301</v>
      </c>
      <c r="AG5564">
        <v>-1.1133902088359999</v>
      </c>
      <c r="AH5564">
        <v>17.3453661235407</v>
      </c>
      <c r="AI5564">
        <v>93.607176817287694</v>
      </c>
      <c r="AJ5564">
        <v>100.857462944175</v>
      </c>
      <c r="AK5564">
        <v>17.696587661080201</v>
      </c>
      <c r="AL5564">
        <v>95.965015605809299</v>
      </c>
      <c r="AM5564">
        <v>101.057167150867</v>
      </c>
      <c r="AN5564">
        <v>1.0000000399705999</v>
      </c>
    </row>
    <row r="5565" spans="1:40" x14ac:dyDescent="0.25">
      <c r="A5565" t="str">
        <f>"20190305135040894"</f>
        <v>20190305135040894</v>
      </c>
      <c r="B5565" t="str">
        <f>"1551765040885722"</f>
        <v>1551765040885722</v>
      </c>
      <c r="C5565" t="s">
        <v>40</v>
      </c>
      <c r="D5565">
        <v>4.3400460000000001</v>
      </c>
      <c r="E5565">
        <v>0.51679529999999996</v>
      </c>
      <c r="F5565" t="s">
        <v>42</v>
      </c>
      <c r="G5565">
        <v>-420.74689999999998</v>
      </c>
      <c r="H5565" s="1">
        <v>-4.0734699999999996E-6</v>
      </c>
      <c r="I5565">
        <v>88.621250000000003</v>
      </c>
      <c r="J5565">
        <v>-420.52120000000002</v>
      </c>
      <c r="K5565">
        <v>1.113367</v>
      </c>
      <c r="L5565">
        <v>106.4252</v>
      </c>
      <c r="M5565">
        <v>-0.1974532</v>
      </c>
      <c r="N5565">
        <v>-9.2993829999999996E-3</v>
      </c>
      <c r="O5565">
        <v>-0.98026840000000004</v>
      </c>
      <c r="P5565">
        <v>-6.8163819999999898E-3</v>
      </c>
      <c r="Q5565">
        <v>-0.11103970000000001</v>
      </c>
      <c r="R5565">
        <v>-0.99379289999999998</v>
      </c>
      <c r="S5565">
        <v>-4.6234129999999998E-2</v>
      </c>
      <c r="T5565">
        <v>-0.1845369</v>
      </c>
      <c r="U5565">
        <v>-2.9977260000000001</v>
      </c>
      <c r="V5565">
        <v>-0.18842929999999999</v>
      </c>
      <c r="W5565">
        <v>-0.10402550000000001</v>
      </c>
      <c r="X5565">
        <v>0.97656180000000004</v>
      </c>
      <c r="Y5565">
        <v>-0.18227650000000001</v>
      </c>
      <c r="Z5565">
        <v>4.984181E-2</v>
      </c>
      <c r="AA5565">
        <v>0.98198319999999995</v>
      </c>
      <c r="AB5565">
        <v>31</v>
      </c>
      <c r="AC5565">
        <v>-0.22569999999995999</v>
      </c>
      <c r="AD5565">
        <v>-1.11337107347</v>
      </c>
      <c r="AE5565">
        <v>-17.80395</v>
      </c>
      <c r="AF5565">
        <v>-3.2815114159961301</v>
      </c>
      <c r="AG5565">
        <v>-1.11337107347</v>
      </c>
      <c r="AH5565">
        <v>17.4298173731076</v>
      </c>
      <c r="AI5565">
        <v>93.592002202843702</v>
      </c>
      <c r="AJ5565">
        <v>100.66226778139</v>
      </c>
      <c r="AK5565">
        <v>17.770943868586102</v>
      </c>
      <c r="AL5565">
        <v>95.971024795127093</v>
      </c>
      <c r="AM5565">
        <v>100.921108077733</v>
      </c>
      <c r="AN5565">
        <v>0.99999992748398703</v>
      </c>
    </row>
    <row r="5566" spans="1:40" x14ac:dyDescent="0.25">
      <c r="A5566" t="str">
        <f>"20190305135040916"</f>
        <v>20190305135040916</v>
      </c>
      <c r="B5566" t="str">
        <f>"1551765040906213"</f>
        <v>1551765040906213</v>
      </c>
      <c r="C5566" t="s">
        <v>40</v>
      </c>
      <c r="D5566">
        <v>4.3144799999999996</v>
      </c>
      <c r="E5566">
        <v>0.51822789999999996</v>
      </c>
      <c r="F5566" t="s">
        <v>42</v>
      </c>
      <c r="G5566">
        <v>-421.5034</v>
      </c>
      <c r="H5566" s="1">
        <v>-3.56533E-6</v>
      </c>
      <c r="I5566">
        <v>86.967510000000004</v>
      </c>
      <c r="J5566">
        <v>-420.57729999999998</v>
      </c>
      <c r="K5566">
        <v>1.113351</v>
      </c>
      <c r="L5566">
        <v>106.119</v>
      </c>
      <c r="M5566">
        <v>-0.1921368</v>
      </c>
      <c r="N5566">
        <v>-9.2569369999999998E-3</v>
      </c>
      <c r="O5566">
        <v>-0.98132459999999999</v>
      </c>
      <c r="P5566">
        <v>-4.0017270000000001E-3</v>
      </c>
      <c r="Q5566">
        <v>-0.1108321</v>
      </c>
      <c r="R5566">
        <v>-0.99383120000000003</v>
      </c>
      <c r="S5566">
        <v>-0.15136720000000001</v>
      </c>
      <c r="T5566">
        <v>-0.17157549999999999</v>
      </c>
      <c r="U5566">
        <v>-2.9985200000000001</v>
      </c>
      <c r="V5566">
        <v>-0.18591389999999999</v>
      </c>
      <c r="W5566">
        <v>-0.1038216</v>
      </c>
      <c r="X5566">
        <v>0.97706559999999998</v>
      </c>
      <c r="Y5566">
        <v>-0.14243229999999901</v>
      </c>
      <c r="Z5566">
        <v>4.6008149999999998E-2</v>
      </c>
      <c r="AA5566">
        <v>0.98873469999999997</v>
      </c>
      <c r="AB5566">
        <v>31</v>
      </c>
      <c r="AC5566">
        <v>-0.92610000000001902</v>
      </c>
      <c r="AD5566">
        <v>-1.1133545653300001</v>
      </c>
      <c r="AE5566">
        <v>-19.1514899999999</v>
      </c>
      <c r="AF5566">
        <v>-2.7617081063115299</v>
      </c>
      <c r="AG5566">
        <v>-1.1133545653300001</v>
      </c>
      <c r="AH5566">
        <v>18.908822387322399</v>
      </c>
      <c r="AI5566">
        <v>93.334398861790703</v>
      </c>
      <c r="AJ5566">
        <v>98.309521477271602</v>
      </c>
      <c r="AK5566">
        <v>19.141843018056299</v>
      </c>
      <c r="AL5566">
        <v>95.9592778809713</v>
      </c>
      <c r="AM5566">
        <v>100.773328903989</v>
      </c>
      <c r="AN5566">
        <v>1.00000004477156</v>
      </c>
    </row>
    <row r="5567" spans="1:40" x14ac:dyDescent="0.25">
      <c r="A5567" t="str">
        <f>"20190305135040939"</f>
        <v>20190305135040939</v>
      </c>
      <c r="B5567" t="str">
        <f>"1551765040935494"</f>
        <v>1551765040935494</v>
      </c>
      <c r="C5567" t="s">
        <v>40</v>
      </c>
      <c r="D5567">
        <v>4.2540829999999996</v>
      </c>
      <c r="E5567">
        <v>0.51937339999999999</v>
      </c>
      <c r="F5567" t="s">
        <v>42</v>
      </c>
      <c r="G5567">
        <v>-421.6798</v>
      </c>
      <c r="H5567" s="1">
        <v>-2.5917230000000001E-6</v>
      </c>
      <c r="I5567">
        <v>84.5886</v>
      </c>
      <c r="J5567">
        <v>-420.63130000000001</v>
      </c>
      <c r="K5567">
        <v>1.113327</v>
      </c>
      <c r="L5567">
        <v>105.8159</v>
      </c>
      <c r="M5567">
        <v>-0.18692439999999999</v>
      </c>
      <c r="N5567">
        <v>-9.2193450000000003E-3</v>
      </c>
      <c r="O5567">
        <v>-0.98233119999999996</v>
      </c>
      <c r="P5567">
        <v>-1.1981559999999999E-3</v>
      </c>
      <c r="Q5567">
        <v>-0.11029609999999999</v>
      </c>
      <c r="R5567">
        <v>-0.99389830000000001</v>
      </c>
      <c r="S5567">
        <v>-0.15365599999999999</v>
      </c>
      <c r="T5567">
        <v>-0.1551689</v>
      </c>
      <c r="U5567">
        <v>-3.000702</v>
      </c>
      <c r="V5567">
        <v>-0.18350569999999999</v>
      </c>
      <c r="W5567">
        <v>-0.103283399999999</v>
      </c>
      <c r="X5567">
        <v>0.97757769999999999</v>
      </c>
      <c r="Y5567">
        <v>-0.1364532</v>
      </c>
      <c r="Z5567">
        <v>4.0840229999999998E-2</v>
      </c>
      <c r="AA5567">
        <v>0.98980429999999997</v>
      </c>
      <c r="AB5567">
        <v>31</v>
      </c>
      <c r="AC5567">
        <v>-1.04849999999999</v>
      </c>
      <c r="AD5567">
        <v>-1.1133295917229999</v>
      </c>
      <c r="AE5567">
        <v>-21.2273</v>
      </c>
      <c r="AF5567">
        <v>-2.9300102190194099</v>
      </c>
      <c r="AG5567">
        <v>-1.1133295917229999</v>
      </c>
      <c r="AH5567">
        <v>20.991517783229199</v>
      </c>
      <c r="AI5567">
        <v>93.006863023011206</v>
      </c>
      <c r="AJ5567">
        <v>97.946045328173795</v>
      </c>
      <c r="AK5567">
        <v>21.224238066582998</v>
      </c>
      <c r="AL5567">
        <v>95.928274998432997</v>
      </c>
      <c r="AM5567">
        <v>100.631538169111</v>
      </c>
      <c r="AN5567">
        <v>0.99999998109266897</v>
      </c>
    </row>
    <row r="5568" spans="1:40" x14ac:dyDescent="0.25">
      <c r="A5568" t="str">
        <f>"20190305135040961"</f>
        <v>20190305135040961</v>
      </c>
      <c r="B5568" t="str">
        <f>"1551765040955989"</f>
        <v>1551765040955989</v>
      </c>
      <c r="C5568" t="s">
        <v>40</v>
      </c>
      <c r="D5568">
        <v>4.2489319999999999</v>
      </c>
      <c r="E5568">
        <v>0.51953629999999995</v>
      </c>
      <c r="F5568" t="s">
        <v>42</v>
      </c>
      <c r="G5568">
        <v>-421.79340000000002</v>
      </c>
      <c r="H5568" s="1">
        <v>-2.0140999999999999E-6</v>
      </c>
      <c r="I5568">
        <v>83.171719999999993</v>
      </c>
      <c r="J5568">
        <v>-420.68520000000001</v>
      </c>
      <c r="K5568">
        <v>1.113294</v>
      </c>
      <c r="L5568">
        <v>105.5035</v>
      </c>
      <c r="M5568">
        <v>-0.1816103</v>
      </c>
      <c r="N5568">
        <v>-9.1845390000000002E-3</v>
      </c>
      <c r="O5568">
        <v>-0.98332770000000003</v>
      </c>
      <c r="P5568">
        <v>1.6394840000000001E-3</v>
      </c>
      <c r="Q5568">
        <v>-0.1102394</v>
      </c>
      <c r="R5568">
        <v>-0.99390389999999995</v>
      </c>
      <c r="S5568">
        <v>-0.15405269999999999</v>
      </c>
      <c r="T5568">
        <v>-0.14758940000000001</v>
      </c>
      <c r="U5568">
        <v>-3.001846</v>
      </c>
      <c r="V5568">
        <v>-0.18102080000000001</v>
      </c>
      <c r="W5568">
        <v>-0.10321760000000001</v>
      </c>
      <c r="X5568">
        <v>0.97804780000000002</v>
      </c>
      <c r="Y5568">
        <v>-0.13098219999999999</v>
      </c>
      <c r="Z5568">
        <v>3.8509019999999998E-2</v>
      </c>
      <c r="AA5568">
        <v>0.99063650000000003</v>
      </c>
      <c r="AB5568">
        <v>31</v>
      </c>
      <c r="AC5568">
        <v>-1.1082000000000101</v>
      </c>
      <c r="AD5568">
        <v>-1.1132960140999999</v>
      </c>
      <c r="AE5568">
        <v>-22.331779999999998</v>
      </c>
      <c r="AF5568">
        <v>-2.9587473404808202</v>
      </c>
      <c r="AG5568">
        <v>-1.1132960140999999</v>
      </c>
      <c r="AH5568">
        <v>22.106846252635101</v>
      </c>
      <c r="AI5568">
        <v>92.857530862928002</v>
      </c>
      <c r="AJ5568">
        <v>97.623080336586796</v>
      </c>
      <c r="AK5568">
        <v>22.3317322453378</v>
      </c>
      <c r="AL5568">
        <v>95.924484856986794</v>
      </c>
      <c r="AM5568">
        <v>100.485860378498</v>
      </c>
      <c r="AN5568">
        <v>0.99999995103361805</v>
      </c>
    </row>
    <row r="5569" spans="1:40" x14ac:dyDescent="0.25">
      <c r="A5569" t="str">
        <f>"20190305135040983"</f>
        <v>20190305135040983</v>
      </c>
      <c r="B5569" t="str">
        <f>"1551765040976225"</f>
        <v>1551765040976225</v>
      </c>
      <c r="C5569" t="s">
        <v>40</v>
      </c>
      <c r="D5569">
        <v>4.2189430000000003</v>
      </c>
      <c r="E5569">
        <v>0.51989529999999995</v>
      </c>
      <c r="F5569" t="s">
        <v>42</v>
      </c>
      <c r="G5569">
        <v>-421.791</v>
      </c>
      <c r="H5569" s="1">
        <v>-1.909988E-6</v>
      </c>
      <c r="I5569">
        <v>82.930520000000001</v>
      </c>
      <c r="J5569">
        <v>-420.73509999999999</v>
      </c>
      <c r="K5569">
        <v>1.113256</v>
      </c>
      <c r="L5569">
        <v>105.20610000000001</v>
      </c>
      <c r="M5569">
        <v>-0.1766152</v>
      </c>
      <c r="N5569">
        <v>-9.1549560000000006E-3</v>
      </c>
      <c r="O5569">
        <v>-0.98423760000000005</v>
      </c>
      <c r="P5569">
        <v>4.594028E-3</v>
      </c>
      <c r="Q5569">
        <v>-0.11012139999999999</v>
      </c>
      <c r="R5569">
        <v>-0.99390789999999996</v>
      </c>
      <c r="S5569">
        <v>-0.14706420000000001</v>
      </c>
      <c r="T5569">
        <v>-0.14806910000000001</v>
      </c>
      <c r="U5569">
        <v>-3.0022280000000001</v>
      </c>
      <c r="V5569">
        <v>-0.17897639999999901</v>
      </c>
      <c r="W5569">
        <v>-0.1030877</v>
      </c>
      <c r="X5569">
        <v>0.97843769999999997</v>
      </c>
      <c r="Y5569">
        <v>-0.12825590000000001</v>
      </c>
      <c r="Z5569">
        <v>3.8762289999999998E-2</v>
      </c>
      <c r="AA5569">
        <v>0.99098330000000001</v>
      </c>
      <c r="AB5569">
        <v>31</v>
      </c>
      <c r="AC5569">
        <v>-1.0559000000000001</v>
      </c>
      <c r="AD5569">
        <v>-1.113257909988</v>
      </c>
      <c r="AE5569">
        <v>-22.275580000000001</v>
      </c>
      <c r="AF5569">
        <v>-2.88787352850682</v>
      </c>
      <c r="AG5569">
        <v>-1.113257909988</v>
      </c>
      <c r="AH5569">
        <v>22.0569064954555</v>
      </c>
      <c r="AI5569">
        <v>92.864974812151203</v>
      </c>
      <c r="AJ5569">
        <v>97.459210304957097</v>
      </c>
      <c r="AK5569">
        <v>22.2729944291303</v>
      </c>
      <c r="AL5569">
        <v>95.917002051656596</v>
      </c>
      <c r="AM5569">
        <v>100.36597661702</v>
      </c>
      <c r="AN5569">
        <v>0.99999997921476902</v>
      </c>
    </row>
    <row r="5570" spans="1:40" x14ac:dyDescent="0.25">
      <c r="A5570" t="str">
        <f>"20190305135041006"</f>
        <v>20190305135041006</v>
      </c>
      <c r="B5570" t="str">
        <f>"1551765040996252"</f>
        <v>1551765040996252</v>
      </c>
      <c r="C5570" t="s">
        <v>40</v>
      </c>
      <c r="D5570">
        <v>4.2268129999999999</v>
      </c>
      <c r="E5570">
        <v>0.52030089999999996</v>
      </c>
      <c r="F5570" t="s">
        <v>42</v>
      </c>
      <c r="G5570">
        <v>-421.78410000000002</v>
      </c>
      <c r="H5570" s="1">
        <v>-1.9033639999999999E-6</v>
      </c>
      <c r="I5570">
        <v>82.919309999999996</v>
      </c>
      <c r="J5570">
        <v>-420.78489999999999</v>
      </c>
      <c r="K5570">
        <v>1.1132040000000001</v>
      </c>
      <c r="L5570">
        <v>104.9002</v>
      </c>
      <c r="M5570">
        <v>-0.17155190000000001</v>
      </c>
      <c r="N5570">
        <v>-9.1277749999999994E-3</v>
      </c>
      <c r="O5570">
        <v>-0.98513289999999998</v>
      </c>
      <c r="P5570">
        <v>8.3479469999999997E-3</v>
      </c>
      <c r="Q5570">
        <v>-0.1102945</v>
      </c>
      <c r="R5570">
        <v>-0.99386410000000003</v>
      </c>
      <c r="S5570">
        <v>-0.14132690000000001</v>
      </c>
      <c r="T5570">
        <v>-0.14997629999999901</v>
      </c>
      <c r="U5570">
        <v>-3.0024410000000001</v>
      </c>
      <c r="V5570">
        <v>-0.17764769999999999</v>
      </c>
      <c r="W5570">
        <v>-0.10325189999999999</v>
      </c>
      <c r="X5570">
        <v>0.97866260000000005</v>
      </c>
      <c r="Y5570">
        <v>-0.1250503</v>
      </c>
      <c r="Z5570">
        <v>3.9477669999999999E-2</v>
      </c>
      <c r="AA5570">
        <v>0.99136469999999999</v>
      </c>
      <c r="AB5570">
        <v>31</v>
      </c>
      <c r="AC5570">
        <v>-0.99920000000002995</v>
      </c>
      <c r="AD5570">
        <v>-1.113205903364</v>
      </c>
      <c r="AE5570">
        <v>-21.980889999999999</v>
      </c>
      <c r="AF5570">
        <v>-2.7795201311136402</v>
      </c>
      <c r="AG5570">
        <v>-1.113205903364</v>
      </c>
      <c r="AH5570">
        <v>21.770696409080799</v>
      </c>
      <c r="AI5570">
        <v>92.903640007153896</v>
      </c>
      <c r="AJ5570">
        <v>97.275735974113999</v>
      </c>
      <c r="AK5570">
        <v>21.975626991713199</v>
      </c>
      <c r="AL5570">
        <v>95.926459937121095</v>
      </c>
      <c r="AM5570">
        <v>100.288356764873</v>
      </c>
      <c r="AN5570">
        <v>1.0000000724038201</v>
      </c>
    </row>
    <row r="5571" spans="1:40" x14ac:dyDescent="0.25">
      <c r="A5571" t="str">
        <f>"20190305135041028"</f>
        <v>20190305135041028</v>
      </c>
      <c r="B5571" t="str">
        <f>"1551765041025532"</f>
        <v>1551765041025532</v>
      </c>
      <c r="C5571" t="s">
        <v>40</v>
      </c>
      <c r="D5571">
        <v>4.2109500000000004</v>
      </c>
      <c r="E5571">
        <v>0.52068389999999998</v>
      </c>
      <c r="F5571" t="s">
        <v>42</v>
      </c>
      <c r="G5571">
        <v>-421.75920000000002</v>
      </c>
      <c r="H5571" s="1">
        <v>-1.9406749999999998E-6</v>
      </c>
      <c r="I5571">
        <v>83.021730000000005</v>
      </c>
      <c r="J5571">
        <v>-420.83409999999998</v>
      </c>
      <c r="K5571">
        <v>1.1131489999999999</v>
      </c>
      <c r="L5571">
        <v>104.5881</v>
      </c>
      <c r="M5571">
        <v>-0.1664726</v>
      </c>
      <c r="N5571">
        <v>-9.103135E-3</v>
      </c>
      <c r="O5571">
        <v>-0.9860042</v>
      </c>
      <c r="P5571">
        <v>1.268993E-2</v>
      </c>
      <c r="Q5571">
        <v>-0.11010399999999999</v>
      </c>
      <c r="R5571">
        <v>-0.99383920000000003</v>
      </c>
      <c r="S5571">
        <v>-0.13372800000000001</v>
      </c>
      <c r="T5571">
        <v>-0.15278239999999901</v>
      </c>
      <c r="U5571">
        <v>-3.0027159999999999</v>
      </c>
      <c r="V5571">
        <v>-0.1768981</v>
      </c>
      <c r="W5571">
        <v>-0.1030539</v>
      </c>
      <c r="X5571">
        <v>0.97881910000000005</v>
      </c>
      <c r="Y5571">
        <v>-0.1224465</v>
      </c>
      <c r="Z5571">
        <v>4.0478550000000002E-2</v>
      </c>
      <c r="AA5571">
        <v>0.99164929999999996</v>
      </c>
      <c r="AB5571">
        <v>31</v>
      </c>
      <c r="AC5571">
        <v>-0.925100000000043</v>
      </c>
      <c r="AD5571">
        <v>-1.113150940675</v>
      </c>
      <c r="AE5571">
        <v>-21.5663699999999</v>
      </c>
      <c r="AF5571">
        <v>-2.6710648282988001</v>
      </c>
      <c r="AG5571">
        <v>-1.113150940675</v>
      </c>
      <c r="AH5571">
        <v>21.362611682397699</v>
      </c>
      <c r="AI5571">
        <v>92.959833215391896</v>
      </c>
      <c r="AJ5571">
        <v>97.1269662200895</v>
      </c>
      <c r="AK5571">
        <v>21.557710226891299</v>
      </c>
      <c r="AL5571">
        <v>95.915055333537893</v>
      </c>
      <c r="AM5571">
        <v>100.244262143169</v>
      </c>
      <c r="AN5571">
        <v>0.99999993730681302</v>
      </c>
    </row>
    <row r="5572" spans="1:40" x14ac:dyDescent="0.25">
      <c r="A5572" t="str">
        <f>"20190305135041051"</f>
        <v>20190305135041051</v>
      </c>
      <c r="B5572" t="str">
        <f>"1551765041046028"</f>
        <v>1551765041046028</v>
      </c>
      <c r="C5572" t="s">
        <v>40</v>
      </c>
      <c r="D5572">
        <v>4.310689</v>
      </c>
      <c r="E5572">
        <v>0.52070190000000005</v>
      </c>
      <c r="F5572" t="s">
        <v>42</v>
      </c>
      <c r="G5572">
        <v>-421.72809999999998</v>
      </c>
      <c r="H5572" s="1">
        <v>-1.8392629999999999E-6</v>
      </c>
      <c r="I5572">
        <v>82.804630000000003</v>
      </c>
      <c r="J5572">
        <v>-420.88260000000002</v>
      </c>
      <c r="K5572">
        <v>1.1130930000000001</v>
      </c>
      <c r="L5572">
        <v>104.2697</v>
      </c>
      <c r="M5572">
        <v>-0.1613907</v>
      </c>
      <c r="N5572">
        <v>-9.0810270000000002E-3</v>
      </c>
      <c r="O5572">
        <v>-0.98684910000000003</v>
      </c>
      <c r="P5572">
        <v>1.783013E-2</v>
      </c>
      <c r="Q5572">
        <v>-0.110321699999999</v>
      </c>
      <c r="R5572">
        <v>-0.99373639999999996</v>
      </c>
      <c r="S5572">
        <v>-0.1232605</v>
      </c>
      <c r="T5572">
        <v>-0.153464299999999</v>
      </c>
      <c r="U5572">
        <v>-3.003174</v>
      </c>
      <c r="V5572">
        <v>-0.1769259</v>
      </c>
      <c r="W5572">
        <v>-0.1032695</v>
      </c>
      <c r="X5572">
        <v>0.97879139999999998</v>
      </c>
      <c r="Y5572">
        <v>-0.12079090000000001</v>
      </c>
      <c r="Z5572">
        <v>4.078325E-2</v>
      </c>
      <c r="AA5572">
        <v>0.99183980000000005</v>
      </c>
      <c r="AB5572">
        <v>31</v>
      </c>
      <c r="AC5572">
        <v>-0.84549999999995795</v>
      </c>
      <c r="AD5572">
        <v>-1.113094839263</v>
      </c>
      <c r="AE5572">
        <v>-21.465070000000001</v>
      </c>
      <c r="AF5572">
        <v>-2.6229471302971898</v>
      </c>
      <c r="AG5572">
        <v>-1.113094839263</v>
      </c>
      <c r="AH5572">
        <v>21.263025006627501</v>
      </c>
      <c r="AI5572">
        <v>92.974130359823704</v>
      </c>
      <c r="AJ5572">
        <v>97.032320005353</v>
      </c>
      <c r="AK5572">
        <v>21.453089852093399</v>
      </c>
      <c r="AL5572">
        <v>95.927474286941106</v>
      </c>
      <c r="AM5572">
        <v>100.246121773151</v>
      </c>
      <c r="AN5572">
        <v>0.99999998421750902</v>
      </c>
    </row>
    <row r="5573" spans="1:40" x14ac:dyDescent="0.25">
      <c r="A5573" t="str">
        <f>"20190305135041074"</f>
        <v>20190305135041074</v>
      </c>
      <c r="B5573" t="str">
        <f>"1551765041065548"</f>
        <v>1551765041065548</v>
      </c>
      <c r="C5573" t="s">
        <v>40</v>
      </c>
      <c r="D5573">
        <v>4.3304549999999997</v>
      </c>
      <c r="E5573">
        <v>0.50153340000000002</v>
      </c>
      <c r="F5573" t="s">
        <v>42</v>
      </c>
      <c r="G5573">
        <v>-421.6592</v>
      </c>
      <c r="H5573" s="1">
        <v>-1.722032E-6</v>
      </c>
      <c r="I5573">
        <v>82.574129999999997</v>
      </c>
      <c r="J5573">
        <v>-420.92840000000001</v>
      </c>
      <c r="K5573">
        <v>1.1130310000000001</v>
      </c>
      <c r="L5573">
        <v>103.9597</v>
      </c>
      <c r="M5573">
        <v>-0.15654179999999901</v>
      </c>
      <c r="N5573">
        <v>-9.0620719999999991E-3</v>
      </c>
      <c r="O5573">
        <v>-0.9876298</v>
      </c>
      <c r="P5573">
        <v>2.2380290000000001E-2</v>
      </c>
      <c r="Q5573">
        <v>-0.11035109999999999</v>
      </c>
      <c r="R5573">
        <v>-0.99364070000000004</v>
      </c>
      <c r="S5573">
        <v>-0.1075134</v>
      </c>
      <c r="T5573">
        <v>-0.154108299999999</v>
      </c>
      <c r="U5573">
        <v>-3.0037539999999998</v>
      </c>
      <c r="V5573">
        <v>-0.17661379999999999</v>
      </c>
      <c r="W5573">
        <v>-0.1032894</v>
      </c>
      <c r="X5573">
        <v>0.97884570000000004</v>
      </c>
      <c r="Y5573">
        <v>-0.1211154</v>
      </c>
      <c r="Z5573">
        <v>4.106021E-2</v>
      </c>
      <c r="AA5573">
        <v>0.99178889999999997</v>
      </c>
      <c r="AB5573">
        <v>31</v>
      </c>
      <c r="AC5573">
        <v>-0.73079999999998702</v>
      </c>
      <c r="AD5573">
        <v>-1.113032722032</v>
      </c>
      <c r="AE5573">
        <v>-21.385569999999898</v>
      </c>
      <c r="AF5573">
        <v>-2.6189974712436599</v>
      </c>
      <c r="AG5573">
        <v>-1.113032722032</v>
      </c>
      <c r="AH5573">
        <v>21.178995745675198</v>
      </c>
      <c r="AI5573">
        <v>92.985632971122499</v>
      </c>
      <c r="AJ5573">
        <v>97.049416366879498</v>
      </c>
      <c r="AK5573">
        <v>21.369320307160599</v>
      </c>
      <c r="AL5573">
        <v>95.928620393373194</v>
      </c>
      <c r="AM5573">
        <v>100.22787392433</v>
      </c>
      <c r="AN5573">
        <v>1.00000001945564</v>
      </c>
    </row>
    <row r="5574" spans="1:40" x14ac:dyDescent="0.25">
      <c r="A5574" t="str">
        <f>"20190305135041095"</f>
        <v>20190305135041095</v>
      </c>
      <c r="B5574" t="str">
        <f>"1551765041086044"</f>
        <v>1551765041086044</v>
      </c>
      <c r="C5574" t="s">
        <v>40</v>
      </c>
      <c r="D5574">
        <v>4.2902579999999997</v>
      </c>
      <c r="E5574">
        <v>0.49890899999999999</v>
      </c>
      <c r="F5574" t="s">
        <v>42</v>
      </c>
      <c r="G5574">
        <v>-420.58109999999999</v>
      </c>
      <c r="H5574" s="1">
        <v>-2.8932320000000001E-6</v>
      </c>
      <c r="I5574">
        <v>85.972849999999994</v>
      </c>
      <c r="J5574">
        <v>-420.97109999999998</v>
      </c>
      <c r="K5574">
        <v>1.1129720000000001</v>
      </c>
      <c r="L5574">
        <v>103.66079999999999</v>
      </c>
      <c r="M5574">
        <v>-0.15194179999999999</v>
      </c>
      <c r="N5574">
        <v>-9.0462159999999993E-3</v>
      </c>
      <c r="O5574">
        <v>-0.98834809999999995</v>
      </c>
      <c r="P5574">
        <v>2.6701039999999999E-2</v>
      </c>
      <c r="Q5574">
        <v>-0.1107262</v>
      </c>
      <c r="R5574">
        <v>-0.99349229999999999</v>
      </c>
      <c r="S5574">
        <v>5.7861330000000002E-2</v>
      </c>
      <c r="T5574">
        <v>-0.18547369999999999</v>
      </c>
      <c r="U5574">
        <v>-2.9972840000000001</v>
      </c>
      <c r="V5574">
        <v>-0.17631569999999999</v>
      </c>
      <c r="W5574">
        <v>-0.1036556</v>
      </c>
      <c r="X5574">
        <v>0.97886070000000003</v>
      </c>
      <c r="Y5574">
        <v>-0.1709138</v>
      </c>
      <c r="Z5574">
        <v>5.118209E-2</v>
      </c>
      <c r="AA5574">
        <v>0.98395569999999999</v>
      </c>
      <c r="AB5574">
        <v>32</v>
      </c>
      <c r="AC5574">
        <v>0.38999999999998602</v>
      </c>
      <c r="AD5574">
        <v>-1.1129748932319901</v>
      </c>
      <c r="AE5574">
        <v>-17.687950000000001</v>
      </c>
      <c r="AF5574">
        <v>-3.0610068141204101</v>
      </c>
      <c r="AG5574">
        <v>-1.1129748932319901</v>
      </c>
      <c r="AH5574">
        <v>17.354628060454001</v>
      </c>
      <c r="AI5574">
        <v>93.613797290779999</v>
      </c>
      <c r="AJ5574">
        <v>100.002938203795</v>
      </c>
      <c r="AK5574">
        <v>17.657621327510501</v>
      </c>
      <c r="AL5574">
        <v>95.949715515995507</v>
      </c>
      <c r="AM5574">
        <v>100.210820997985</v>
      </c>
      <c r="AN5574">
        <v>0.99999998974116999</v>
      </c>
    </row>
    <row r="5575" spans="1:40" x14ac:dyDescent="0.25">
      <c r="A5575" t="str">
        <f>"20190305135041117"</f>
        <v>20190305135041117</v>
      </c>
      <c r="B5575" t="str">
        <f>"1551765041105568"</f>
        <v>1551765041105568</v>
      </c>
      <c r="C5575" t="s">
        <v>40</v>
      </c>
      <c r="D5575">
        <v>4.2324909999999996</v>
      </c>
      <c r="E5575">
        <v>0.49876969999999998</v>
      </c>
      <c r="F5575" t="s">
        <v>42</v>
      </c>
      <c r="G5575">
        <v>-420.36989999999997</v>
      </c>
      <c r="H5575" s="1">
        <v>-1.975454E-6</v>
      </c>
      <c r="I5575">
        <v>83.964529999999996</v>
      </c>
      <c r="J5575">
        <v>-421.01400000000001</v>
      </c>
      <c r="K5575">
        <v>1.1129249999999999</v>
      </c>
      <c r="L5575">
        <v>103.3505</v>
      </c>
      <c r="M5575">
        <v>-0.14724870000000001</v>
      </c>
      <c r="N5575">
        <v>-9.0318910000000002E-3</v>
      </c>
      <c r="O5575">
        <v>-0.9890584</v>
      </c>
      <c r="P5575">
        <v>3.0797479999999999E-2</v>
      </c>
      <c r="Q5575">
        <v>-0.111362</v>
      </c>
      <c r="R5575">
        <v>-0.99330260000000004</v>
      </c>
      <c r="S5575">
        <v>9.1522220000000001E-2</v>
      </c>
      <c r="T5575">
        <v>-0.1694243</v>
      </c>
      <c r="U5575">
        <v>-2.998291</v>
      </c>
      <c r="V5575">
        <v>-0.17570160000000001</v>
      </c>
      <c r="W5575">
        <v>-0.1042777</v>
      </c>
      <c r="X5575">
        <v>0.97890509999999997</v>
      </c>
      <c r="Y5575">
        <v>-0.17727689999999999</v>
      </c>
      <c r="Z5575">
        <v>4.5994420000000001E-2</v>
      </c>
      <c r="AA5575">
        <v>0.9830856</v>
      </c>
      <c r="AB5575">
        <v>32</v>
      </c>
      <c r="AC5575">
        <v>0.64410000000003698</v>
      </c>
      <c r="AD5575">
        <v>-1.1129269754540001</v>
      </c>
      <c r="AE5575">
        <v>-19.385969999999901</v>
      </c>
      <c r="AF5575">
        <v>-3.4802956996911698</v>
      </c>
      <c r="AG5575">
        <v>-1.1129269754540001</v>
      </c>
      <c r="AH5575">
        <v>19.017181866186899</v>
      </c>
      <c r="AI5575">
        <v>93.294659653232799</v>
      </c>
      <c r="AJ5575">
        <v>100.370820597091</v>
      </c>
      <c r="AK5575">
        <v>19.365027000797401</v>
      </c>
      <c r="AL5575">
        <v>95.985553115582306</v>
      </c>
      <c r="AM5575">
        <v>100.175549663282</v>
      </c>
      <c r="AN5575">
        <v>1.0000000428829201</v>
      </c>
    </row>
    <row r="5576" spans="1:40" x14ac:dyDescent="0.25">
      <c r="A5576" t="str">
        <f>"20190305135041140"</f>
        <v>20190305135041140</v>
      </c>
      <c r="B5576" t="str">
        <f>"1551765041135820"</f>
        <v>1551765041135820</v>
      </c>
      <c r="C5576" t="s">
        <v>40</v>
      </c>
      <c r="D5576">
        <v>4.2297409999999998</v>
      </c>
      <c r="E5576">
        <v>0.49858780000000003</v>
      </c>
      <c r="F5576" t="s">
        <v>42</v>
      </c>
      <c r="G5576">
        <v>-420.29950000000002</v>
      </c>
      <c r="H5576" s="1">
        <v>-1.5889379999999999E-6</v>
      </c>
      <c r="I5576">
        <v>83.107190000000003</v>
      </c>
      <c r="J5576">
        <v>-421.05739999999997</v>
      </c>
      <c r="K5576">
        <v>1.112868</v>
      </c>
      <c r="L5576">
        <v>103.02630000000001</v>
      </c>
      <c r="M5576">
        <v>-0.1424376</v>
      </c>
      <c r="N5576">
        <v>-9.0184510000000002E-3</v>
      </c>
      <c r="O5576">
        <v>-0.98976280000000005</v>
      </c>
      <c r="P5576">
        <v>3.5106579999999998E-2</v>
      </c>
      <c r="Q5576">
        <v>-0.1111873</v>
      </c>
      <c r="R5576">
        <v>-0.99317929999999999</v>
      </c>
      <c r="S5576">
        <v>0.105834999999999</v>
      </c>
      <c r="T5576">
        <v>-0.16484879999999999</v>
      </c>
      <c r="U5576">
        <v>-2.9984739999999999</v>
      </c>
      <c r="V5576">
        <v>-0.1752071</v>
      </c>
      <c r="W5576">
        <v>-0.1040874</v>
      </c>
      <c r="X5576">
        <v>0.97901389999999999</v>
      </c>
      <c r="Y5576">
        <v>-0.17718100000000001</v>
      </c>
      <c r="Z5576">
        <v>4.4573950000000001E-2</v>
      </c>
      <c r="AA5576">
        <v>0.98316840000000005</v>
      </c>
      <c r="AB5576">
        <v>32</v>
      </c>
      <c r="AC5576">
        <v>0.75789999999994895</v>
      </c>
      <c r="AD5576">
        <v>-1.112869588938</v>
      </c>
      <c r="AE5576">
        <v>-19.91911</v>
      </c>
      <c r="AF5576">
        <v>-3.5763698549071701</v>
      </c>
      <c r="AG5576">
        <v>-1.112869588938</v>
      </c>
      <c r="AH5576">
        <v>19.547110002661899</v>
      </c>
      <c r="AI5576">
        <v>93.205390607319998</v>
      </c>
      <c r="AJ5576">
        <v>100.368248411774</v>
      </c>
      <c r="AK5576">
        <v>19.902723670825399</v>
      </c>
      <c r="AL5576">
        <v>95.974590534051501</v>
      </c>
      <c r="AM5576">
        <v>100.146402931853</v>
      </c>
      <c r="AN5576">
        <v>0.99999996556118897</v>
      </c>
    </row>
    <row r="5577" spans="1:40" x14ac:dyDescent="0.25">
      <c r="A5577" t="str">
        <f>"20190305135041163"</f>
        <v>20190305135041163</v>
      </c>
      <c r="B5577" t="str">
        <f>"1551765041156328"</f>
        <v>1551765041156328</v>
      </c>
      <c r="C5577" t="s">
        <v>40</v>
      </c>
      <c r="D5577">
        <v>4.2446679999999999</v>
      </c>
      <c r="E5577">
        <v>0.49898239999999999</v>
      </c>
      <c r="F5577" t="s">
        <v>42</v>
      </c>
      <c r="G5577">
        <v>-420.28660000000002</v>
      </c>
      <c r="H5577" s="1">
        <v>-1.8673600000000001E-6</v>
      </c>
      <c r="I5577">
        <v>83.764229999999998</v>
      </c>
      <c r="J5577">
        <v>-421.09699999999998</v>
      </c>
      <c r="K5577">
        <v>1.112816</v>
      </c>
      <c r="L5577">
        <v>102.72</v>
      </c>
      <c r="M5577">
        <v>-0.13797719999999999</v>
      </c>
      <c r="N5577">
        <v>-9.0069439999999994E-3</v>
      </c>
      <c r="O5577">
        <v>-0.99039449999999996</v>
      </c>
      <c r="P5577">
        <v>3.8769440000000002E-2</v>
      </c>
      <c r="Q5577">
        <v>-0.1104879</v>
      </c>
      <c r="R5577">
        <v>-0.99312140000000004</v>
      </c>
      <c r="S5577">
        <v>0.1199341</v>
      </c>
      <c r="T5577">
        <v>-0.17315079999999999</v>
      </c>
      <c r="U5577">
        <v>-2.9969790000000001</v>
      </c>
      <c r="V5577">
        <v>-0.1744397</v>
      </c>
      <c r="W5577">
        <v>-0.1033664</v>
      </c>
      <c r="X5577">
        <v>0.97922739999999997</v>
      </c>
      <c r="Y5577">
        <v>-0.1773757</v>
      </c>
      <c r="Z5577">
        <v>4.7351949999999997E-2</v>
      </c>
      <c r="AA5577">
        <v>0.98300339999999997</v>
      </c>
      <c r="AB5577">
        <v>32</v>
      </c>
      <c r="AC5577">
        <v>0.81039999999995804</v>
      </c>
      <c r="AD5577">
        <v>-1.11281786736</v>
      </c>
      <c r="AE5577">
        <v>-18.955770000000001</v>
      </c>
      <c r="AF5577">
        <v>-3.4064995261435298</v>
      </c>
      <c r="AG5577">
        <v>-1.11281786736</v>
      </c>
      <c r="AH5577">
        <v>18.598648342518899</v>
      </c>
      <c r="AI5577">
        <v>93.368212882619801</v>
      </c>
      <c r="AJ5577">
        <v>100.37916304457799</v>
      </c>
      <c r="AK5577">
        <v>18.940758242378099</v>
      </c>
      <c r="AL5577">
        <v>95.933055661245604</v>
      </c>
      <c r="AM5577">
        <v>100.100722135307</v>
      </c>
      <c r="AN5577">
        <v>1.0000000612479001</v>
      </c>
    </row>
    <row r="5578" spans="1:40" x14ac:dyDescent="0.25">
      <c r="A5578" t="str">
        <f>"20190305135041184"</f>
        <v>20190305135041184</v>
      </c>
      <c r="B5578" t="str">
        <f>"1551765041175836"</f>
        <v>1551765041175836</v>
      </c>
      <c r="C5578" t="s">
        <v>40</v>
      </c>
      <c r="D5578">
        <v>4.2043160000000004</v>
      </c>
      <c r="E5578">
        <v>0.49953639999999999</v>
      </c>
      <c r="F5578" t="s">
        <v>42</v>
      </c>
      <c r="G5578">
        <v>-420.26600000000002</v>
      </c>
      <c r="H5578" s="1">
        <v>-1.5854699999999999E-6</v>
      </c>
      <c r="I5578">
        <v>83.119919999999993</v>
      </c>
      <c r="J5578">
        <v>-421.13600000000002</v>
      </c>
      <c r="K5578">
        <v>1.1127640000000001</v>
      </c>
      <c r="L5578">
        <v>102.4089</v>
      </c>
      <c r="M5578">
        <v>-0.1335336</v>
      </c>
      <c r="N5578">
        <v>-8.9964480000000006E-3</v>
      </c>
      <c r="O5578">
        <v>-0.99100350000000004</v>
      </c>
      <c r="P5578">
        <v>4.1710110000000002E-2</v>
      </c>
      <c r="Q5578">
        <v>-0.10962089999999899</v>
      </c>
      <c r="R5578">
        <v>-0.99309780000000003</v>
      </c>
      <c r="S5578">
        <v>0.1270752</v>
      </c>
      <c r="T5578">
        <v>-0.17015150000000001</v>
      </c>
      <c r="U5578">
        <v>-2.9968870000000001</v>
      </c>
      <c r="V5578">
        <v>-0.17298429999999901</v>
      </c>
      <c r="W5578">
        <v>-0.102467</v>
      </c>
      <c r="X5578">
        <v>0.97958000000000001</v>
      </c>
      <c r="Y5578">
        <v>-0.17530419999999999</v>
      </c>
      <c r="Z5578">
        <v>4.6449299999999999E-2</v>
      </c>
      <c r="AA5578">
        <v>0.98341800000000001</v>
      </c>
      <c r="AB5578">
        <v>32</v>
      </c>
      <c r="AC5578">
        <v>0.87000000000000399</v>
      </c>
      <c r="AD5578">
        <v>-1.11276558546999</v>
      </c>
      <c r="AE5578">
        <v>-19.288979999999999</v>
      </c>
      <c r="AF5578">
        <v>-3.4266580435207499</v>
      </c>
      <c r="AG5578">
        <v>-1.11276558546999</v>
      </c>
      <c r="AH5578">
        <v>18.937144792855001</v>
      </c>
      <c r="AI5578">
        <v>93.309272099509897</v>
      </c>
      <c r="AJ5578">
        <v>100.25663411596</v>
      </c>
      <c r="AK5578">
        <v>19.276817307350999</v>
      </c>
      <c r="AL5578">
        <v>95.881249014040606</v>
      </c>
      <c r="AM5578">
        <v>100.014630014689</v>
      </c>
      <c r="AN5578">
        <v>1.00000001526774</v>
      </c>
    </row>
    <row r="5579" spans="1:40" x14ac:dyDescent="0.25">
      <c r="A5579" t="str">
        <f>"20190305135041207"</f>
        <v>20190305135041207</v>
      </c>
      <c r="B5579" t="str">
        <f>"1551765041195373"</f>
        <v>1551765041195373</v>
      </c>
      <c r="C5579" t="s">
        <v>40</v>
      </c>
      <c r="D5579">
        <v>4.2096989999999996</v>
      </c>
      <c r="E5579">
        <v>0.49998100000000001</v>
      </c>
      <c r="F5579" t="s">
        <v>42</v>
      </c>
      <c r="G5579">
        <v>-420.27510000000001</v>
      </c>
      <c r="H5579" s="1">
        <v>-1.4634809999999999E-6</v>
      </c>
      <c r="I5579">
        <v>82.829859999999996</v>
      </c>
      <c r="J5579">
        <v>-421.17329999999998</v>
      </c>
      <c r="K5579">
        <v>1.1127020000000001</v>
      </c>
      <c r="L5579">
        <v>102.0992</v>
      </c>
      <c r="M5579">
        <v>-0.12920380000000001</v>
      </c>
      <c r="N5579">
        <v>-8.9869110000000002E-3</v>
      </c>
      <c r="O5579">
        <v>-0.99157729999999999</v>
      </c>
      <c r="P5579">
        <v>4.4561820000000002E-2</v>
      </c>
      <c r="Q5579">
        <v>-0.10981200000000001</v>
      </c>
      <c r="R5579">
        <v>-0.99295290000000003</v>
      </c>
      <c r="S5579">
        <v>0.13174439999999901</v>
      </c>
      <c r="T5579">
        <v>-0.17030609999999999</v>
      </c>
      <c r="U5579">
        <v>-2.996521</v>
      </c>
      <c r="V5579">
        <v>-0.17153189999999999</v>
      </c>
      <c r="W5579">
        <v>-0.1026242</v>
      </c>
      <c r="X5579">
        <v>0.97981890000000005</v>
      </c>
      <c r="Y5579">
        <v>-0.17253879999999999</v>
      </c>
      <c r="Z5579">
        <v>4.6576619999999999E-2</v>
      </c>
      <c r="AA5579">
        <v>0.98390089999999997</v>
      </c>
      <c r="AB5579">
        <v>32</v>
      </c>
      <c r="AC5579">
        <v>0.89819999999997402</v>
      </c>
      <c r="AD5579">
        <v>-1.112703463481</v>
      </c>
      <c r="AE5579">
        <v>-19.26934</v>
      </c>
      <c r="AF5579">
        <v>-3.3692331083565001</v>
      </c>
      <c r="AG5579">
        <v>-1.112703463481</v>
      </c>
      <c r="AH5579">
        <v>18.928776541479898</v>
      </c>
      <c r="AI5579">
        <v>93.312244283317398</v>
      </c>
      <c r="AJ5579">
        <v>100.09267836939</v>
      </c>
      <c r="AK5579">
        <v>19.258463648312301</v>
      </c>
      <c r="AL5579">
        <v>95.8903037459486</v>
      </c>
      <c r="AM5579">
        <v>99.929853595795805</v>
      </c>
      <c r="AN5579">
        <v>0.99999999797022998</v>
      </c>
    </row>
    <row r="5580" spans="1:40" x14ac:dyDescent="0.25">
      <c r="A5580" t="str">
        <f>"20190305135041229"</f>
        <v>20190305135041229</v>
      </c>
      <c r="B5580" t="str">
        <f>"1551765041225613"</f>
        <v>1551765041225613</v>
      </c>
      <c r="C5580" t="s">
        <v>40</v>
      </c>
      <c r="D5580">
        <v>4.2316050000000001</v>
      </c>
      <c r="E5580">
        <v>0.50050660000000002</v>
      </c>
      <c r="F5580" t="s">
        <v>42</v>
      </c>
      <c r="G5580">
        <v>-420.28550000000001</v>
      </c>
      <c r="H5580" s="1">
        <v>-1.405839E-6</v>
      </c>
      <c r="I5580">
        <v>82.689099999999996</v>
      </c>
      <c r="J5580">
        <v>-421.21050000000002</v>
      </c>
      <c r="K5580">
        <v>1.11263</v>
      </c>
      <c r="L5580">
        <v>101.7808</v>
      </c>
      <c r="M5580">
        <v>-0.1248542</v>
      </c>
      <c r="N5580">
        <v>-8.9780119999999901E-3</v>
      </c>
      <c r="O5580">
        <v>-0.99213459999999998</v>
      </c>
      <c r="P5580">
        <v>4.6907369999999997E-2</v>
      </c>
      <c r="Q5580">
        <v>-0.11046259999999999</v>
      </c>
      <c r="R5580">
        <v>-0.99277300000000002</v>
      </c>
      <c r="S5580">
        <v>0.13705439999999999</v>
      </c>
      <c r="T5580">
        <v>-0.17175770000000001</v>
      </c>
      <c r="U5580">
        <v>-2.9961549999999999</v>
      </c>
      <c r="V5580">
        <v>-0.16955439999999999</v>
      </c>
      <c r="W5580">
        <v>-0.1032327</v>
      </c>
      <c r="X5580">
        <v>0.9800991</v>
      </c>
      <c r="Y5580">
        <v>-0.16996349999999999</v>
      </c>
      <c r="Z5580">
        <v>4.7123020000000002E-2</v>
      </c>
      <c r="AA5580">
        <v>0.98432299999999995</v>
      </c>
      <c r="AB5580">
        <v>32</v>
      </c>
      <c r="AC5580">
        <v>0.92500000000001104</v>
      </c>
      <c r="AD5580">
        <v>-1.1126314058390001</v>
      </c>
      <c r="AE5580">
        <v>-19.091699999999999</v>
      </c>
      <c r="AF5580">
        <v>-3.2903869413727498</v>
      </c>
      <c r="AG5580">
        <v>-1.1126314058390001</v>
      </c>
      <c r="AH5580">
        <v>18.763225143123499</v>
      </c>
      <c r="AI5580">
        <v>93.342690426362694</v>
      </c>
      <c r="AJ5580">
        <v>99.946458648025697</v>
      </c>
      <c r="AK5580">
        <v>19.082012803704899</v>
      </c>
      <c r="AL5580">
        <v>95.925354584605799</v>
      </c>
      <c r="AM5580">
        <v>99.814865633748298</v>
      </c>
      <c r="AN5580">
        <v>0.99999996536472902</v>
      </c>
    </row>
    <row r="5581" spans="1:40" x14ac:dyDescent="0.25">
      <c r="A5581" t="str">
        <f>"20190305135041253"</f>
        <v>20190305135041253</v>
      </c>
      <c r="B5581" t="str">
        <f>"1551765041246108"</f>
        <v>1551765041246108</v>
      </c>
      <c r="C5581" t="s">
        <v>40</v>
      </c>
      <c r="D5581">
        <v>4.1908899999999996</v>
      </c>
      <c r="E5581">
        <v>0.50105109999999997</v>
      </c>
      <c r="F5581" t="s">
        <v>42</v>
      </c>
      <c r="G5581">
        <v>-420.3263</v>
      </c>
      <c r="H5581" s="1">
        <v>-1.483637E-6</v>
      </c>
      <c r="I5581">
        <v>82.845140000000001</v>
      </c>
      <c r="J5581">
        <v>-421.24790000000002</v>
      </c>
      <c r="K5581">
        <v>1.1125400000000001</v>
      </c>
      <c r="L5581">
        <v>101.4481</v>
      </c>
      <c r="M5581">
        <v>-0.1204404</v>
      </c>
      <c r="N5581">
        <v>-8.9694549999999994E-3</v>
      </c>
      <c r="O5581">
        <v>-0.99268009999999995</v>
      </c>
      <c r="P5581">
        <v>4.9795319999999997E-2</v>
      </c>
      <c r="Q5581">
        <v>-0.1102224</v>
      </c>
      <c r="R5581">
        <v>-0.9926587</v>
      </c>
      <c r="S5581">
        <v>0.13989260000000001</v>
      </c>
      <c r="T5581">
        <v>-0.17601919999999999</v>
      </c>
      <c r="U5581">
        <v>-2.9956360000000002</v>
      </c>
      <c r="V5581">
        <v>-0.16807339999999901</v>
      </c>
      <c r="W5581">
        <v>-0.10295120000000001</v>
      </c>
      <c r="X5581">
        <v>0.98038380000000003</v>
      </c>
      <c r="Y5581">
        <v>-0.16651489999999999</v>
      </c>
      <c r="Z5581">
        <v>4.8594140000000001E-2</v>
      </c>
      <c r="AA5581">
        <v>0.98484079999999996</v>
      </c>
      <c r="AB5581">
        <v>32</v>
      </c>
      <c r="AC5581">
        <v>0.92160000000001197</v>
      </c>
      <c r="AD5581">
        <v>-1.11254148363699</v>
      </c>
      <c r="AE5581">
        <v>-18.602959999999999</v>
      </c>
      <c r="AF5581">
        <v>-3.1443103122797802</v>
      </c>
      <c r="AG5581">
        <v>-1.11254148363699</v>
      </c>
      <c r="AH5581">
        <v>18.2912675435566</v>
      </c>
      <c r="AI5581">
        <v>93.430456058584696</v>
      </c>
      <c r="AJ5581">
        <v>99.753942255364805</v>
      </c>
      <c r="AK5581">
        <v>18.592872404303002</v>
      </c>
      <c r="AL5581">
        <v>95.909139181963695</v>
      </c>
      <c r="AM5581">
        <v>99.728010355692703</v>
      </c>
      <c r="AN5581">
        <v>1.0000000063357199</v>
      </c>
    </row>
    <row r="5582" spans="1:40" x14ac:dyDescent="0.25">
      <c r="A5582" t="str">
        <f>"20190305135041274"</f>
        <v>20190305135041274</v>
      </c>
      <c r="B5582" t="str">
        <f>"1551765041265629"</f>
        <v>1551765041265629</v>
      </c>
      <c r="C5582" t="s">
        <v>40</v>
      </c>
      <c r="D5582">
        <v>4.2034070000000003</v>
      </c>
      <c r="E5582">
        <v>0.50156650000000003</v>
      </c>
      <c r="F5582" t="s">
        <v>42</v>
      </c>
      <c r="G5582">
        <v>-420.34550000000002</v>
      </c>
      <c r="H5582" s="1">
        <v>-1.4160920000000001E-6</v>
      </c>
      <c r="I5582">
        <v>82.67577</v>
      </c>
      <c r="J5582">
        <v>-421.28120000000001</v>
      </c>
      <c r="K5582">
        <v>1.1124639999999999</v>
      </c>
      <c r="L5582">
        <v>101.1405</v>
      </c>
      <c r="M5582">
        <v>-0.1164698</v>
      </c>
      <c r="N5582">
        <v>-8.9621990000000006E-3</v>
      </c>
      <c r="O5582">
        <v>-0.99315390000000003</v>
      </c>
      <c r="P5582">
        <v>5.2159209999999998E-2</v>
      </c>
      <c r="Q5582">
        <v>-0.1095802</v>
      </c>
      <c r="R5582">
        <v>-0.99260879999999996</v>
      </c>
      <c r="S5582">
        <v>0.1439819</v>
      </c>
      <c r="T5582">
        <v>-0.17751320000000001</v>
      </c>
      <c r="U5582">
        <v>-2.9952390000000002</v>
      </c>
      <c r="V5582">
        <v>-0.16652169999999999</v>
      </c>
      <c r="W5582">
        <v>-0.1022676</v>
      </c>
      <c r="X5582">
        <v>0.98072000000000004</v>
      </c>
      <c r="Y5582">
        <v>-0.16391819999999999</v>
      </c>
      <c r="Z5582">
        <v>4.9149459999999999E-2</v>
      </c>
      <c r="AA5582">
        <v>0.98524880000000004</v>
      </c>
      <c r="AB5582">
        <v>32</v>
      </c>
      <c r="AC5582">
        <v>0.93569999999999698</v>
      </c>
      <c r="AD5582">
        <v>-1.112465416092</v>
      </c>
      <c r="AE5582">
        <v>-18.464729999999999</v>
      </c>
      <c r="AF5582">
        <v>-3.0688898593685701</v>
      </c>
      <c r="AG5582">
        <v>-1.112465416092</v>
      </c>
      <c r="AH5582">
        <v>18.1643035210958</v>
      </c>
      <c r="AI5582">
        <v>93.455824858658204</v>
      </c>
      <c r="AJ5582">
        <v>99.589658820852506</v>
      </c>
      <c r="AK5582">
        <v>18.4552861445556</v>
      </c>
      <c r="AL5582">
        <v>95.869764411814899</v>
      </c>
      <c r="AM5582">
        <v>99.636648947568702</v>
      </c>
      <c r="AN5582">
        <v>0.99999992849032204</v>
      </c>
    </row>
    <row r="5583" spans="1:40" x14ac:dyDescent="0.25">
      <c r="A5583" t="str">
        <f>"20190305135041295"</f>
        <v>20190305135041295</v>
      </c>
      <c r="B5583" t="str">
        <f>"1551765041286124"</f>
        <v>1551765041286124</v>
      </c>
      <c r="C5583" t="s">
        <v>40</v>
      </c>
      <c r="D5583">
        <v>4.207846</v>
      </c>
      <c r="E5583">
        <v>0.50213569999999996</v>
      </c>
      <c r="F5583" t="s">
        <v>42</v>
      </c>
      <c r="G5583">
        <v>-420.34949999999998</v>
      </c>
      <c r="H5583" s="1">
        <v>-1.218415E-6</v>
      </c>
      <c r="I5583">
        <v>82.212479999999999</v>
      </c>
      <c r="J5583">
        <v>-421.31360000000001</v>
      </c>
      <c r="K5583">
        <v>1.1123959999999999</v>
      </c>
      <c r="L5583">
        <v>100.8305</v>
      </c>
      <c r="M5583">
        <v>-0.1125599</v>
      </c>
      <c r="N5583">
        <v>-8.9557419999999992E-3</v>
      </c>
      <c r="O5583">
        <v>-0.99360470000000001</v>
      </c>
      <c r="P5583">
        <v>5.5466019999999998E-2</v>
      </c>
      <c r="Q5583">
        <v>-0.1091944</v>
      </c>
      <c r="R5583">
        <v>-0.99247180000000002</v>
      </c>
      <c r="S5583">
        <v>0.14743039999999999</v>
      </c>
      <c r="T5583">
        <v>-0.17603479999999999</v>
      </c>
      <c r="U5583">
        <v>-2.9951479999999999</v>
      </c>
      <c r="V5583">
        <v>-0.16595589999999999</v>
      </c>
      <c r="W5583">
        <v>-0.1018526</v>
      </c>
      <c r="X5583">
        <v>0.98085919999999904</v>
      </c>
      <c r="Y5583">
        <v>-0.16117039999999999</v>
      </c>
      <c r="Z5583">
        <v>4.8726619999999998E-2</v>
      </c>
      <c r="AA5583">
        <v>0.98572300000000002</v>
      </c>
      <c r="AB5583">
        <v>32</v>
      </c>
      <c r="AC5583">
        <v>0.96410000000003004</v>
      </c>
      <c r="AD5583">
        <v>-1.1123972184149999</v>
      </c>
      <c r="AE5583">
        <v>-18.618020000000001</v>
      </c>
      <c r="AF5583">
        <v>-3.0428652705413399</v>
      </c>
      <c r="AG5583">
        <v>-1.1123972184149999</v>
      </c>
      <c r="AH5583">
        <v>18.325922290743001</v>
      </c>
      <c r="AI5583">
        <v>93.426831388041606</v>
      </c>
      <c r="AJ5583">
        <v>99.427472363078493</v>
      </c>
      <c r="AK5583">
        <v>18.610101677114901</v>
      </c>
      <c r="AL5583">
        <v>95.8458611846156</v>
      </c>
      <c r="AM5583">
        <v>99.603179274433302</v>
      </c>
      <c r="AN5583">
        <v>1.0000000415481001</v>
      </c>
    </row>
    <row r="5584" spans="1:40" x14ac:dyDescent="0.25">
      <c r="A5584" t="str">
        <f>"20190305135041310"</f>
        <v>20190305135041310</v>
      </c>
      <c r="B5584" t="str">
        <f>"1551765041305645"</f>
        <v>1551765041305645</v>
      </c>
      <c r="C5584" t="s">
        <v>40</v>
      </c>
      <c r="D5584">
        <v>4.2230220000000003</v>
      </c>
      <c r="E5584">
        <v>0.50257549999999995</v>
      </c>
      <c r="F5584" t="s">
        <v>42</v>
      </c>
      <c r="G5584">
        <v>-420.34359999999998</v>
      </c>
      <c r="H5584" s="1">
        <v>-1.0506970000000001E-6</v>
      </c>
      <c r="I5584">
        <v>81.825199999999995</v>
      </c>
      <c r="J5584">
        <v>-421.334</v>
      </c>
      <c r="K5584">
        <v>1.1123400000000001</v>
      </c>
      <c r="L5584">
        <v>100.6314</v>
      </c>
      <c r="M5584">
        <v>-0.1100894</v>
      </c>
      <c r="N5584">
        <v>-8.9520850000000003E-3</v>
      </c>
      <c r="O5584">
        <v>-0.99388160000000003</v>
      </c>
      <c r="P5584">
        <v>5.7552180000000001E-2</v>
      </c>
      <c r="Q5584">
        <v>-0.10891960000000001</v>
      </c>
      <c r="R5584">
        <v>-0.99238360000000003</v>
      </c>
      <c r="S5584">
        <v>0.15286250000000001</v>
      </c>
      <c r="T5584">
        <v>-0.175295799999999</v>
      </c>
      <c r="U5584">
        <v>-2.9949340000000002</v>
      </c>
      <c r="V5584">
        <v>-0.16559660000000001</v>
      </c>
      <c r="W5584">
        <v>-0.10155930000000001</v>
      </c>
      <c r="X5584">
        <v>0.98095030000000005</v>
      </c>
      <c r="Y5584">
        <v>-0.1605047</v>
      </c>
      <c r="Z5584">
        <v>4.8517350000000001E-2</v>
      </c>
      <c r="AA5584">
        <v>0.98584190000000005</v>
      </c>
      <c r="AB5584">
        <v>32</v>
      </c>
      <c r="AC5584">
        <v>0.99040000000002204</v>
      </c>
      <c r="AD5584">
        <v>-1.112341050697</v>
      </c>
      <c r="AE5584">
        <v>-18.8062</v>
      </c>
      <c r="AF5584">
        <v>-3.0442048337334202</v>
      </c>
      <c r="AG5584">
        <v>-1.112341050697</v>
      </c>
      <c r="AH5584">
        <v>18.5182383686913</v>
      </c>
      <c r="AI5584">
        <v>93.392054645884997</v>
      </c>
      <c r="AJ5584">
        <v>99.335332426905893</v>
      </c>
      <c r="AK5584">
        <v>18.799724411875399</v>
      </c>
      <c r="AL5584">
        <v>95.828968932435401</v>
      </c>
      <c r="AM5584">
        <v>99.581900600919894</v>
      </c>
      <c r="AN5584">
        <v>1.0000000082090701</v>
      </c>
    </row>
    <row r="5585" spans="1:40" x14ac:dyDescent="0.25">
      <c r="A5585" t="str">
        <f>"20190305135041330"</f>
        <v>20190305135041330</v>
      </c>
      <c r="B5585" t="str">
        <f>"1551765041326141"</f>
        <v>1551765041326141</v>
      </c>
      <c r="C5585" t="s">
        <v>40</v>
      </c>
      <c r="D5585">
        <v>4.1719359999999996</v>
      </c>
      <c r="E5585">
        <v>0.50302449999999999</v>
      </c>
      <c r="F5585" t="s">
        <v>42</v>
      </c>
      <c r="G5585">
        <v>-420.34500000000003</v>
      </c>
      <c r="H5585" s="1">
        <v>-9.6003880000000005E-7</v>
      </c>
      <c r="I5585">
        <v>81.612989999999996</v>
      </c>
      <c r="J5585">
        <v>-421.36189999999999</v>
      </c>
      <c r="K5585">
        <v>1.112266</v>
      </c>
      <c r="L5585">
        <v>100.3485</v>
      </c>
      <c r="M5585">
        <v>-0.1066631</v>
      </c>
      <c r="N5585">
        <v>-8.9472319999999994E-3</v>
      </c>
      <c r="O5585">
        <v>-0.994255</v>
      </c>
      <c r="P5585">
        <v>6.0723489999999998E-2</v>
      </c>
      <c r="Q5585">
        <v>-0.1093326</v>
      </c>
      <c r="R5585">
        <v>-0.9921489</v>
      </c>
      <c r="S5585">
        <v>0.15573119999999999</v>
      </c>
      <c r="T5585">
        <v>-0.17515749999999999</v>
      </c>
      <c r="U5585">
        <v>-2.9947810000000001</v>
      </c>
      <c r="V5585">
        <v>-0.16535839999999999</v>
      </c>
      <c r="W5585">
        <v>-0.10194979999999999</v>
      </c>
      <c r="X5585">
        <v>0.98094999999999999</v>
      </c>
      <c r="Y5585">
        <v>-0.15804749999999901</v>
      </c>
      <c r="Z5585">
        <v>4.85231E-2</v>
      </c>
      <c r="AA5585">
        <v>0.98623850000000002</v>
      </c>
      <c r="AB5585">
        <v>32</v>
      </c>
      <c r="AC5585">
        <v>1.0168999999999599</v>
      </c>
      <c r="AD5585">
        <v>-1.1122669600388</v>
      </c>
      <c r="AE5585">
        <v>-18.735510000000001</v>
      </c>
      <c r="AF5585">
        <v>-2.99902706909393</v>
      </c>
      <c r="AG5585">
        <v>-1.1122669600388</v>
      </c>
      <c r="AH5585">
        <v>18.455296338093401</v>
      </c>
      <c r="AI5585">
        <v>93.404390244850006</v>
      </c>
      <c r="AJ5585">
        <v>99.230011509078395</v>
      </c>
      <c r="AK5585">
        <v>18.730436836293901</v>
      </c>
      <c r="AL5585">
        <v>95.851459530019099</v>
      </c>
      <c r="AM5585">
        <v>99.568375541764496</v>
      </c>
      <c r="AN5585">
        <v>1.00000003233529</v>
      </c>
    </row>
    <row r="5586" spans="1:40" x14ac:dyDescent="0.25">
      <c r="A5586" t="str">
        <f>"20190305135041344"</f>
        <v>20190305135041344</v>
      </c>
      <c r="B5586" t="str">
        <f>"1551765041335901"</f>
        <v>1551765041335901</v>
      </c>
      <c r="C5586" t="s">
        <v>40</v>
      </c>
      <c r="D5586">
        <v>4.2102519999999997</v>
      </c>
      <c r="E5586">
        <v>0.50329159999999995</v>
      </c>
      <c r="F5586" t="s">
        <v>42</v>
      </c>
      <c r="G5586">
        <v>-420.33569999999997</v>
      </c>
      <c r="H5586" s="1">
        <v>-8.5819940000000004E-7</v>
      </c>
      <c r="I5586">
        <v>81.381369999999905</v>
      </c>
      <c r="J5586">
        <v>-421.38220000000001</v>
      </c>
      <c r="K5586">
        <v>1.1122160000000001</v>
      </c>
      <c r="L5586">
        <v>100.13679999999999</v>
      </c>
      <c r="M5586">
        <v>-0.1041642</v>
      </c>
      <c r="N5586">
        <v>-8.9438060000000003E-3</v>
      </c>
      <c r="O5586">
        <v>-0.99452010000000002</v>
      </c>
      <c r="P5586">
        <v>6.3015219999999997E-2</v>
      </c>
      <c r="Q5586">
        <v>-0.1098702</v>
      </c>
      <c r="R5586">
        <v>-0.99194669999999896</v>
      </c>
      <c r="S5586">
        <v>0.16201779999999999</v>
      </c>
      <c r="T5586">
        <v>-0.17560149999999999</v>
      </c>
      <c r="U5586">
        <v>-2.9944760000000001</v>
      </c>
      <c r="V5586">
        <v>-0.16516049999999999</v>
      </c>
      <c r="W5586">
        <v>-0.10246950000000001</v>
      </c>
      <c r="X5586">
        <v>0.9809291</v>
      </c>
      <c r="Y5586">
        <v>-0.15763569999999999</v>
      </c>
      <c r="Z5586">
        <v>4.8699230000000003E-2</v>
      </c>
      <c r="AA5586">
        <v>0.98629579999999994</v>
      </c>
      <c r="AB5586">
        <v>32</v>
      </c>
      <c r="AC5586">
        <v>1.04650000000003</v>
      </c>
      <c r="AD5586">
        <v>-1.1122168581993901</v>
      </c>
      <c r="AE5586">
        <v>-18.75543</v>
      </c>
      <c r="AF5586">
        <v>-2.9840675668682399</v>
      </c>
      <c r="AG5586">
        <v>-1.1122168581993901</v>
      </c>
      <c r="AH5586">
        <v>18.479598323544099</v>
      </c>
      <c r="AI5586">
        <v>93.400318812990307</v>
      </c>
      <c r="AJ5586">
        <v>99.172884593644397</v>
      </c>
      <c r="AK5586">
        <v>18.751992954959</v>
      </c>
      <c r="AL5586">
        <v>95.881393430850395</v>
      </c>
      <c r="AM5586">
        <v>99.5573353899903</v>
      </c>
      <c r="AN5586">
        <v>0.99999994420865301</v>
      </c>
    </row>
    <row r="5587" spans="1:40" x14ac:dyDescent="0.25">
      <c r="A5587" t="str">
        <f>"20190305135041358"</f>
        <v>20190305135041358</v>
      </c>
      <c r="B5587" t="str">
        <f>"1551765041345661"</f>
        <v>1551765041345661</v>
      </c>
      <c r="C5587" t="s">
        <v>40</v>
      </c>
      <c r="D5587">
        <v>4.2356379999999998</v>
      </c>
      <c r="E5587">
        <v>0.50329159999999995</v>
      </c>
      <c r="F5587" t="s">
        <v>42</v>
      </c>
      <c r="G5587">
        <v>-420.33819999999997</v>
      </c>
      <c r="H5587" s="1">
        <v>-8.5579259999999902E-7</v>
      </c>
      <c r="I5587">
        <v>81.374189999999999</v>
      </c>
      <c r="J5587">
        <v>-421.3999</v>
      </c>
      <c r="K5587">
        <v>1.1121700000000001</v>
      </c>
      <c r="L5587">
        <v>99.948329999999999</v>
      </c>
      <c r="M5587">
        <v>-0.1019742</v>
      </c>
      <c r="N5587">
        <v>-8.9408609999999996E-3</v>
      </c>
      <c r="O5587">
        <v>-0.9947471</v>
      </c>
      <c r="P5587">
        <v>6.4827770000000007E-2</v>
      </c>
      <c r="Q5587">
        <v>-0.1101345</v>
      </c>
      <c r="R5587">
        <v>-0.99180080000000004</v>
      </c>
      <c r="S5587">
        <v>0.16659549999999901</v>
      </c>
      <c r="T5587">
        <v>-0.17748749999999999</v>
      </c>
      <c r="U5587">
        <v>-2.9941409999999999</v>
      </c>
      <c r="V5587">
        <v>-0.16479949999999999</v>
      </c>
      <c r="W5587">
        <v>-0.1027153</v>
      </c>
      <c r="X5587">
        <v>0.98096419999999995</v>
      </c>
      <c r="Y5587">
        <v>-0.15696869999999999</v>
      </c>
      <c r="Z5587">
        <v>4.934674E-2</v>
      </c>
      <c r="AA5587">
        <v>0.98636999999999997</v>
      </c>
      <c r="AB5587">
        <v>32</v>
      </c>
      <c r="AC5587">
        <v>1.0617000000000301</v>
      </c>
      <c r="AD5587">
        <v>-1.1121708557926</v>
      </c>
      <c r="AE5587">
        <v>-18.57414</v>
      </c>
      <c r="AF5587">
        <v>-2.93981749161021</v>
      </c>
      <c r="AG5587">
        <v>-1.1121708557926</v>
      </c>
      <c r="AH5587">
        <v>18.303625507597701</v>
      </c>
      <c r="AI5587">
        <v>93.433255421002798</v>
      </c>
      <c r="AJ5587">
        <v>99.124572022454899</v>
      </c>
      <c r="AK5587">
        <v>18.5715416058774</v>
      </c>
      <c r="AL5587">
        <v>95.895550902935199</v>
      </c>
      <c r="AM5587">
        <v>99.536494565462107</v>
      </c>
      <c r="AN5587">
        <v>1.0000000348679801</v>
      </c>
    </row>
    <row r="5588" spans="1:40" x14ac:dyDescent="0.25">
      <c r="A5588" t="str">
        <f>"20190305135041372"</f>
        <v>20190305135041372</v>
      </c>
      <c r="B5588" t="str">
        <f>"1551765041366157"</f>
        <v>1551765041366157</v>
      </c>
      <c r="C5588" t="s">
        <v>40</v>
      </c>
      <c r="D5588">
        <v>4.2409889999999999</v>
      </c>
      <c r="E5588">
        <v>0.50354620000000005</v>
      </c>
      <c r="F5588" t="s">
        <v>42</v>
      </c>
      <c r="G5588">
        <v>-420.3272</v>
      </c>
      <c r="H5588" s="1">
        <v>-8.0884890000000003E-7</v>
      </c>
      <c r="I5588">
        <v>81.27158</v>
      </c>
      <c r="J5588">
        <v>-421.41969999999998</v>
      </c>
      <c r="K5588">
        <v>1.1121129999999999</v>
      </c>
      <c r="L5588">
        <v>99.732089999999999</v>
      </c>
      <c r="M5588">
        <v>-9.9504599999999999E-2</v>
      </c>
      <c r="N5588">
        <v>-8.937548E-3</v>
      </c>
      <c r="O5588">
        <v>-0.99499709999999997</v>
      </c>
      <c r="P5588">
        <v>6.719224E-2</v>
      </c>
      <c r="Q5588">
        <v>-0.1105429</v>
      </c>
      <c r="R5588">
        <v>-0.99159739999999996</v>
      </c>
      <c r="S5588">
        <v>0.17193599999999901</v>
      </c>
      <c r="T5588">
        <v>-0.1782745</v>
      </c>
      <c r="U5588">
        <v>-2.9937740000000002</v>
      </c>
      <c r="V5588">
        <v>-0.16470950000000001</v>
      </c>
      <c r="W5588">
        <v>-0.103104399999999</v>
      </c>
      <c r="X5588">
        <v>0.98093839999999999</v>
      </c>
      <c r="Y5588">
        <v>-0.1562771</v>
      </c>
      <c r="Z5588">
        <v>4.9637349999999997E-2</v>
      </c>
      <c r="AA5588">
        <v>0.98646520000000004</v>
      </c>
      <c r="AB5588">
        <v>32</v>
      </c>
      <c r="AC5588">
        <v>1.0924999999999701</v>
      </c>
      <c r="AD5588">
        <v>-1.1121138088489</v>
      </c>
      <c r="AE5588">
        <v>-18.460509999999999</v>
      </c>
      <c r="AF5588">
        <v>-2.9135195370246501</v>
      </c>
      <c r="AG5588">
        <v>-1.1121138088489</v>
      </c>
      <c r="AH5588">
        <v>18.194371374581301</v>
      </c>
      <c r="AI5588">
        <v>93.453904129947404</v>
      </c>
      <c r="AJ5588">
        <v>99.097707709822302</v>
      </c>
      <c r="AK5588">
        <v>18.459700510372301</v>
      </c>
      <c r="AL5588">
        <v>95.917964246205699</v>
      </c>
      <c r="AM5588">
        <v>99.531628179980899</v>
      </c>
      <c r="AN5588">
        <v>0.99999994064208297</v>
      </c>
    </row>
    <row r="5589" spans="1:40" x14ac:dyDescent="0.25">
      <c r="A5589" t="str">
        <f>"20190305135041385"</f>
        <v>20190305135041385</v>
      </c>
      <c r="B5589" t="str">
        <f>"1551765041375917"</f>
        <v>1551765041375917</v>
      </c>
      <c r="C5589" t="s">
        <v>40</v>
      </c>
      <c r="D5589">
        <v>4.1642859999999997</v>
      </c>
      <c r="E5589">
        <v>0.50383729999999904</v>
      </c>
      <c r="F5589" t="s">
        <v>42</v>
      </c>
      <c r="G5589">
        <v>-420.32209999999998</v>
      </c>
      <c r="H5589" s="1">
        <v>-7.6915589999999999E-7</v>
      </c>
      <c r="I5589">
        <v>81.182239999999993</v>
      </c>
      <c r="J5589">
        <v>-421.43599999999998</v>
      </c>
      <c r="K5589">
        <v>1.1120589999999999</v>
      </c>
      <c r="L5589">
        <v>99.550449999999998</v>
      </c>
      <c r="M5589">
        <v>-9.7486500000000004E-2</v>
      </c>
      <c r="N5589">
        <v>-8.9346830000000006E-3</v>
      </c>
      <c r="O5589">
        <v>-0.99519669999999905</v>
      </c>
      <c r="P5589">
        <v>6.8603199999999906E-2</v>
      </c>
      <c r="Q5589">
        <v>-0.11136799999999999</v>
      </c>
      <c r="R5589">
        <v>-0.99140859999999997</v>
      </c>
      <c r="S5589">
        <v>0.177124</v>
      </c>
      <c r="T5589">
        <v>-0.17946289999999901</v>
      </c>
      <c r="U5589">
        <v>-2.9934080000000001</v>
      </c>
      <c r="V5589">
        <v>-0.16411479999999901</v>
      </c>
      <c r="W5589">
        <v>-0.1039059</v>
      </c>
      <c r="X5589">
        <v>0.98095359999999998</v>
      </c>
      <c r="Y5589">
        <v>-0.15598339999999999</v>
      </c>
      <c r="Z5589">
        <v>5.0052859999999998E-2</v>
      </c>
      <c r="AA5589">
        <v>0.98649070000000005</v>
      </c>
      <c r="AB5589">
        <v>32</v>
      </c>
      <c r="AC5589">
        <v>1.1138999999999999</v>
      </c>
      <c r="AD5589">
        <v>-1.1120597691559</v>
      </c>
      <c r="AE5589">
        <v>-18.368209999999898</v>
      </c>
      <c r="AF5589">
        <v>-2.8887682302990698</v>
      </c>
      <c r="AG5589">
        <v>-1.1120597691559</v>
      </c>
      <c r="AH5589">
        <v>18.105995121754798</v>
      </c>
      <c r="AI5589">
        <v>93.470869353184995</v>
      </c>
      <c r="AJ5589">
        <v>99.065002035304005</v>
      </c>
      <c r="AK5589">
        <v>18.3686885260643</v>
      </c>
      <c r="AL5589">
        <v>95.964134241613806</v>
      </c>
      <c r="AM5589">
        <v>99.497696911454597</v>
      </c>
      <c r="AN5589">
        <v>1.0000000344933999</v>
      </c>
    </row>
    <row r="5590" spans="1:40" x14ac:dyDescent="0.25">
      <c r="A5590" t="str">
        <f>"20190305135041408"</f>
        <v>20190305135041408</v>
      </c>
      <c r="B5590" t="str">
        <f>"1551765041395436"</f>
        <v>1551765041395436</v>
      </c>
      <c r="C5590" t="s">
        <v>40</v>
      </c>
      <c r="D5590">
        <v>4.1917879999999998</v>
      </c>
      <c r="E5590">
        <v>0.50448579999999998</v>
      </c>
      <c r="F5590" t="s">
        <v>42</v>
      </c>
      <c r="G5590">
        <v>-420.34179999999998</v>
      </c>
      <c r="H5590" s="1">
        <v>-7.9763999999999898E-7</v>
      </c>
      <c r="I5590">
        <v>81.236400000000003</v>
      </c>
      <c r="J5590">
        <v>-421.46409999999997</v>
      </c>
      <c r="K5590">
        <v>1.111953</v>
      </c>
      <c r="L5590">
        <v>99.229640000000003</v>
      </c>
      <c r="M5590">
        <v>-9.4025269999999994E-2</v>
      </c>
      <c r="N5590">
        <v>-8.9294719999999904E-3</v>
      </c>
      <c r="O5590">
        <v>-0.99552980000000002</v>
      </c>
      <c r="P5590">
        <v>7.0844749999999998E-2</v>
      </c>
      <c r="Q5590">
        <v>-0.1122351</v>
      </c>
      <c r="R5590">
        <v>-0.99115299999999995</v>
      </c>
      <c r="S5590">
        <v>0.17883299999999999</v>
      </c>
      <c r="T5590">
        <v>-0.181752</v>
      </c>
      <c r="U5590">
        <v>-2.9931950000000001</v>
      </c>
      <c r="V5590">
        <v>-0.16293260000000001</v>
      </c>
      <c r="W5590">
        <v>-0.10472670000000001</v>
      </c>
      <c r="X5590">
        <v>0.98106340000000003</v>
      </c>
      <c r="Y5590">
        <v>-0.15311150000000001</v>
      </c>
      <c r="Z5590">
        <v>5.085605E-2</v>
      </c>
      <c r="AA5590">
        <v>0.98689939999999998</v>
      </c>
      <c r="AB5590">
        <v>32</v>
      </c>
      <c r="AC5590">
        <v>1.1222999999999901</v>
      </c>
      <c r="AD5590">
        <v>-1.11195379764</v>
      </c>
      <c r="AE5590">
        <v>-17.99324</v>
      </c>
      <c r="AF5590">
        <v>-2.7985678091149699</v>
      </c>
      <c r="AG5590">
        <v>-1.11195379764</v>
      </c>
      <c r="AH5590">
        <v>17.740502209518599</v>
      </c>
      <c r="AI5590">
        <v>93.542842699806201</v>
      </c>
      <c r="AJ5590">
        <v>98.964546640321203</v>
      </c>
      <c r="AK5590">
        <v>17.994272468656099</v>
      </c>
      <c r="AL5590">
        <v>96.0114204837746</v>
      </c>
      <c r="AM5590">
        <v>99.429477109345598</v>
      </c>
      <c r="AN5590">
        <v>1.0000000543276</v>
      </c>
    </row>
    <row r="5591" spans="1:40" x14ac:dyDescent="0.25">
      <c r="A5591" t="str">
        <f>"20190305135041421"</f>
        <v>20190305135041421</v>
      </c>
      <c r="B5591" t="str">
        <f>"1551765041415934"</f>
        <v>1551765041415934</v>
      </c>
      <c r="C5591" t="s">
        <v>40</v>
      </c>
      <c r="D5591">
        <v>4.148701</v>
      </c>
      <c r="E5591">
        <v>0.50502409999999998</v>
      </c>
      <c r="F5591" t="s">
        <v>42</v>
      </c>
      <c r="G5591">
        <v>-420.36750000000001</v>
      </c>
      <c r="H5591" s="1">
        <v>-7.3917959999999996E-7</v>
      </c>
      <c r="I5591">
        <v>81.084230000000005</v>
      </c>
      <c r="J5591">
        <v>-421.48039999999997</v>
      </c>
      <c r="K5591">
        <v>1.1118809999999999</v>
      </c>
      <c r="L5591">
        <v>99.035769999999999</v>
      </c>
      <c r="M5591">
        <v>-9.2022339999999994E-2</v>
      </c>
      <c r="N5591">
        <v>-8.9262939999999995E-3</v>
      </c>
      <c r="O5591">
        <v>-0.99571699999999996</v>
      </c>
      <c r="P5591">
        <v>7.2346640000000004E-2</v>
      </c>
      <c r="Q5591">
        <v>-0.1122701</v>
      </c>
      <c r="R5591">
        <v>-0.99104060000000005</v>
      </c>
      <c r="S5591">
        <v>0.1808777</v>
      </c>
      <c r="T5591">
        <v>-0.18341589999999999</v>
      </c>
      <c r="U5591">
        <v>-2.9930729999999999</v>
      </c>
      <c r="V5591">
        <v>-0.16246369999999999</v>
      </c>
      <c r="W5591">
        <v>-0.1047324</v>
      </c>
      <c r="X5591">
        <v>0.98114049999999997</v>
      </c>
      <c r="Y5591">
        <v>-0.15179579999999901</v>
      </c>
      <c r="Z5591">
        <v>5.1429759999999998E-2</v>
      </c>
      <c r="AA5591">
        <v>0.98707290000000003</v>
      </c>
      <c r="AB5591">
        <v>32</v>
      </c>
      <c r="AC5591">
        <v>1.11289999999996</v>
      </c>
      <c r="AD5591">
        <v>-1.1118817391796001</v>
      </c>
      <c r="AE5591">
        <v>-17.951539999999898</v>
      </c>
      <c r="AF5591">
        <v>-2.74967771684046</v>
      </c>
      <c r="AG5591">
        <v>-1.1118817391796001</v>
      </c>
      <c r="AH5591">
        <v>17.705285853425799</v>
      </c>
      <c r="AI5591">
        <v>93.550966287627205</v>
      </c>
      <c r="AJ5591">
        <v>98.8276656436514</v>
      </c>
      <c r="AK5591">
        <v>17.9519958695385</v>
      </c>
      <c r="AL5591">
        <v>96.011749172744402</v>
      </c>
      <c r="AM5591">
        <v>99.402099832340596</v>
      </c>
      <c r="AN5591">
        <v>1.00000000508385</v>
      </c>
    </row>
    <row r="5592" spans="1:40" x14ac:dyDescent="0.25">
      <c r="A5592" t="str">
        <f>"20190305135041434"</f>
        <v>20190305135041434</v>
      </c>
      <c r="B5592" t="str">
        <f>"1551765041425692"</f>
        <v>1551765041425692</v>
      </c>
      <c r="C5592" t="s">
        <v>40</v>
      </c>
      <c r="D5592">
        <v>4.1460790000000003</v>
      </c>
      <c r="E5592">
        <v>0.50530559999999902</v>
      </c>
      <c r="F5592" t="s">
        <v>42</v>
      </c>
      <c r="G5592">
        <v>-420.38189999999997</v>
      </c>
      <c r="H5592" s="1">
        <v>-6.3770939999999995E-7</v>
      </c>
      <c r="I5592">
        <v>80.838769999999997</v>
      </c>
      <c r="J5592">
        <v>-421.49610000000001</v>
      </c>
      <c r="K5592">
        <v>1.11181</v>
      </c>
      <c r="L5592">
        <v>98.84787</v>
      </c>
      <c r="M5592">
        <v>-9.0124170000000003E-2</v>
      </c>
      <c r="N5592">
        <v>-8.9220810000000001E-3</v>
      </c>
      <c r="O5592">
        <v>-0.99589059999999996</v>
      </c>
      <c r="P5592">
        <v>7.3787119999999998E-2</v>
      </c>
      <c r="Q5592">
        <v>-0.11206149999999999</v>
      </c>
      <c r="R5592">
        <v>-0.99095789999999995</v>
      </c>
      <c r="S5592">
        <v>0.18069460000000001</v>
      </c>
      <c r="T5592">
        <v>-0.18289150000000001</v>
      </c>
      <c r="U5592">
        <v>-2.9931950000000001</v>
      </c>
      <c r="V5592">
        <v>-0.16204199999999999</v>
      </c>
      <c r="W5592">
        <v>-0.10449550000000001</v>
      </c>
      <c r="X5592">
        <v>0.98123550000000004</v>
      </c>
      <c r="Y5592">
        <v>-0.14985019999999999</v>
      </c>
      <c r="Z5592">
        <v>5.1285070000000002E-2</v>
      </c>
      <c r="AA5592">
        <v>0.98737770000000002</v>
      </c>
      <c r="AB5592">
        <v>32</v>
      </c>
      <c r="AC5592">
        <v>1.1142000000000301</v>
      </c>
      <c r="AD5592">
        <v>-1.1118106377093999</v>
      </c>
      <c r="AE5592">
        <v>-18.0091</v>
      </c>
      <c r="AF5592">
        <v>-2.7224485809544698</v>
      </c>
      <c r="AG5592">
        <v>-1.1118106377093999</v>
      </c>
      <c r="AH5592">
        <v>17.767925073050801</v>
      </c>
      <c r="AI5592">
        <v>93.539360106531902</v>
      </c>
      <c r="AJ5592">
        <v>98.711260900394393</v>
      </c>
      <c r="AK5592">
        <v>18.0096366029859</v>
      </c>
      <c r="AL5592">
        <v>95.998100866453697</v>
      </c>
      <c r="AM5592">
        <v>99.377237476112398</v>
      </c>
      <c r="AN5592">
        <v>1.0000000128722499</v>
      </c>
    </row>
    <row r="5593" spans="1:40" x14ac:dyDescent="0.25">
      <c r="A5593" t="str">
        <f>"20190305135041448"</f>
        <v>20190305135041448</v>
      </c>
      <c r="B5593" t="str">
        <f>"1551765041446191"</f>
        <v>1551765041446191</v>
      </c>
      <c r="C5593" t="s">
        <v>40</v>
      </c>
      <c r="D5593">
        <v>4.169365</v>
      </c>
      <c r="E5593">
        <v>0.50555439999999996</v>
      </c>
      <c r="F5593" t="s">
        <v>42</v>
      </c>
      <c r="G5593">
        <v>-420.37670000000003</v>
      </c>
      <c r="H5593" s="1">
        <v>-5.1120399999999998E-7</v>
      </c>
      <c r="I5593">
        <v>80.547089999999997</v>
      </c>
      <c r="J5593">
        <v>-421.5127</v>
      </c>
      <c r="K5593">
        <v>1.111729</v>
      </c>
      <c r="L5593">
        <v>98.643979999999999</v>
      </c>
      <c r="M5593">
        <v>-8.8127140000000007E-2</v>
      </c>
      <c r="N5593">
        <v>-8.9152009999999993E-3</v>
      </c>
      <c r="O5593">
        <v>-0.99606930000000005</v>
      </c>
      <c r="P5593">
        <v>7.5341279999999997E-2</v>
      </c>
      <c r="Q5593">
        <v>-0.1114496</v>
      </c>
      <c r="R5593">
        <v>-0.99090999999999996</v>
      </c>
      <c r="S5593">
        <v>0.18307499999999999</v>
      </c>
      <c r="T5593">
        <v>-0.1818409</v>
      </c>
      <c r="U5593">
        <v>-2.9931640000000002</v>
      </c>
      <c r="V5593">
        <v>-0.16164489999999901</v>
      </c>
      <c r="W5593">
        <v>-0.1038538</v>
      </c>
      <c r="X5593">
        <v>0.98136909999999999</v>
      </c>
      <c r="Y5593">
        <v>-0.14865229999999999</v>
      </c>
      <c r="Z5593">
        <v>5.0968270000000003E-2</v>
      </c>
      <c r="AA5593">
        <v>0.98757519999999999</v>
      </c>
      <c r="AB5593">
        <v>33</v>
      </c>
      <c r="AC5593">
        <v>1.1359999999999599</v>
      </c>
      <c r="AD5593">
        <v>-1.111729511204</v>
      </c>
      <c r="AE5593">
        <v>-18.096889999999998</v>
      </c>
      <c r="AF5593">
        <v>-2.7162596829104002</v>
      </c>
      <c r="AG5593">
        <v>-1.111729511204</v>
      </c>
      <c r="AH5593">
        <v>17.8592228417115</v>
      </c>
      <c r="AI5593">
        <v>93.521647987836005</v>
      </c>
      <c r="AJ5593">
        <v>98.648000975434002</v>
      </c>
      <c r="AK5593">
        <v>18.0987803368347</v>
      </c>
      <c r="AL5593">
        <v>95.9611331124879</v>
      </c>
      <c r="AM5593">
        <v>99.3534133181372</v>
      </c>
      <c r="AN5593">
        <v>0.99999999795262995</v>
      </c>
    </row>
    <row r="5594" spans="1:40" x14ac:dyDescent="0.25">
      <c r="A5594" t="str">
        <f>"20190305135041463"</f>
        <v>20190305135041463</v>
      </c>
      <c r="B5594" t="str">
        <f>"1551765041455949"</f>
        <v>1551765041455949</v>
      </c>
      <c r="C5594" t="s">
        <v>40</v>
      </c>
      <c r="D5594">
        <v>4.1511430000000002</v>
      </c>
      <c r="E5594">
        <v>0.50580820000000004</v>
      </c>
      <c r="F5594" t="s">
        <v>42</v>
      </c>
      <c r="G5594">
        <v>-420.36070000000001</v>
      </c>
      <c r="H5594" s="1">
        <v>-3.1670189999999998E-7</v>
      </c>
      <c r="I5594">
        <v>80.1036</v>
      </c>
      <c r="J5594">
        <v>-421.53</v>
      </c>
      <c r="K5594">
        <v>1.11164</v>
      </c>
      <c r="L5594">
        <v>98.425659999999993</v>
      </c>
      <c r="M5594">
        <v>-8.6084330000000001E-2</v>
      </c>
      <c r="N5594">
        <v>-8.9065120000000001E-3</v>
      </c>
      <c r="O5594">
        <v>-0.99624820000000003</v>
      </c>
      <c r="P5594">
        <v>7.6895669999999999E-2</v>
      </c>
      <c r="Q5594">
        <v>-0.1109869</v>
      </c>
      <c r="R5594">
        <v>-0.99084289999999997</v>
      </c>
      <c r="S5594">
        <v>0.1859741</v>
      </c>
      <c r="T5594">
        <v>-0.17947969999999999</v>
      </c>
      <c r="U5594">
        <v>-2.9931950000000001</v>
      </c>
      <c r="V5594">
        <v>-0.16120309999999999</v>
      </c>
      <c r="W5594">
        <v>-0.1033598</v>
      </c>
      <c r="X5594">
        <v>0.98149390000000003</v>
      </c>
      <c r="Y5594">
        <v>-0.14757999999999999</v>
      </c>
      <c r="Z5594">
        <v>5.0220330000000001E-2</v>
      </c>
      <c r="AA5594">
        <v>0.98777429999999999</v>
      </c>
      <c r="AB5594">
        <v>33</v>
      </c>
      <c r="AC5594">
        <v>1.16929999999996</v>
      </c>
      <c r="AD5594">
        <v>-1.1116403167019</v>
      </c>
      <c r="AE5594">
        <v>-18.32206</v>
      </c>
      <c r="AF5594">
        <v>-2.73224668771081</v>
      </c>
      <c r="AG5594">
        <v>-1.1116403167019</v>
      </c>
      <c r="AH5594">
        <v>18.087067480943499</v>
      </c>
      <c r="AI5594">
        <v>93.477647125858198</v>
      </c>
      <c r="AJ5594">
        <v>98.590197653679795</v>
      </c>
      <c r="AK5594">
        <v>18.326017740262799</v>
      </c>
      <c r="AL5594">
        <v>95.932675946214701</v>
      </c>
      <c r="AM5594">
        <v>99.327133709748594</v>
      </c>
      <c r="AN5594">
        <v>0.99999998172142901</v>
      </c>
    </row>
    <row r="5595" spans="1:40" x14ac:dyDescent="0.25">
      <c r="A5595" t="str">
        <f>"20190305135041481"</f>
        <v>20190305135041481</v>
      </c>
      <c r="B5595" t="str">
        <f>"1551765041475469"</f>
        <v>1551765041475469</v>
      </c>
      <c r="C5595" t="s">
        <v>40</v>
      </c>
      <c r="D5595">
        <v>4.2408679999999999</v>
      </c>
      <c r="E5595">
        <v>0.52610269999999904</v>
      </c>
      <c r="F5595" t="s">
        <v>42</v>
      </c>
      <c r="G5595">
        <v>-420.34899999999999</v>
      </c>
      <c r="H5595" s="1">
        <v>-1.3154789999999999E-7</v>
      </c>
      <c r="I5595">
        <v>79.679299999999998</v>
      </c>
      <c r="J5595">
        <v>-421.54880000000003</v>
      </c>
      <c r="K5595">
        <v>1.1115360000000001</v>
      </c>
      <c r="L5595">
        <v>98.183840000000004</v>
      </c>
      <c r="M5595">
        <v>-8.3909520000000001E-2</v>
      </c>
      <c r="N5595">
        <v>-8.8944490000000005E-3</v>
      </c>
      <c r="O5595">
        <v>-0.99643360000000003</v>
      </c>
      <c r="P5595">
        <v>7.7996560000000006E-2</v>
      </c>
      <c r="Q5595">
        <v>-0.11041960000000001</v>
      </c>
      <c r="R5595">
        <v>-0.99081989999999998</v>
      </c>
      <c r="S5595">
        <v>0.18856809999999999</v>
      </c>
      <c r="T5595">
        <v>-0.17749519999999999</v>
      </c>
      <c r="U5595">
        <v>-2.9932249999999998</v>
      </c>
      <c r="V5595">
        <v>-0.16018669999999999</v>
      </c>
      <c r="W5595">
        <v>-0.102755399999999</v>
      </c>
      <c r="X5595">
        <v>0.98172380000000004</v>
      </c>
      <c r="Y5595">
        <v>-0.14627599999999999</v>
      </c>
      <c r="Z5595">
        <v>4.9600829999999999E-2</v>
      </c>
      <c r="AA5595">
        <v>0.98799959999999998</v>
      </c>
      <c r="AB5595">
        <v>33</v>
      </c>
      <c r="AC5595">
        <v>1.19980000000003</v>
      </c>
      <c r="AD5595">
        <v>-1.11153613154789</v>
      </c>
      <c r="AE5595">
        <v>-18.504539999999999</v>
      </c>
      <c r="AF5595">
        <v>-2.73849735961186</v>
      </c>
      <c r="AG5595">
        <v>-1.11153613154789</v>
      </c>
      <c r="AH5595">
        <v>18.2729412559036</v>
      </c>
      <c r="AI5595">
        <v>93.442639432532502</v>
      </c>
      <c r="AJ5595">
        <v>98.5232713258969</v>
      </c>
      <c r="AK5595">
        <v>18.510409571428799</v>
      </c>
      <c r="AL5595">
        <v>95.897860682830697</v>
      </c>
      <c r="AM5595">
        <v>99.267216183027898</v>
      </c>
      <c r="AN5595">
        <v>1.0000000352862399</v>
      </c>
    </row>
    <row r="5596" spans="1:40" x14ac:dyDescent="0.25">
      <c r="A5596" t="str">
        <f>"20190305135041498"</f>
        <v>20190305135041498</v>
      </c>
      <c r="B5596" t="str">
        <f>"1551765041495965"</f>
        <v>1551765041495965</v>
      </c>
      <c r="C5596" t="s">
        <v>40</v>
      </c>
      <c r="D5596">
        <v>4.1136200000000001</v>
      </c>
      <c r="E5596">
        <v>0.54104509999999995</v>
      </c>
      <c r="F5596" t="s">
        <v>42</v>
      </c>
      <c r="G5596">
        <v>-421.26780000000002</v>
      </c>
      <c r="H5596" s="1">
        <v>-1.257422E-6</v>
      </c>
      <c r="I5596">
        <v>71.733840000000001</v>
      </c>
      <c r="J5596">
        <v>-421.56869999999998</v>
      </c>
      <c r="K5596">
        <v>1.111418</v>
      </c>
      <c r="L5596">
        <v>97.922150000000002</v>
      </c>
      <c r="M5596">
        <v>-8.1668480000000002E-2</v>
      </c>
      <c r="N5596">
        <v>-8.8771560000000006E-3</v>
      </c>
      <c r="O5596">
        <v>-0.99662030000000001</v>
      </c>
      <c r="P5596">
        <v>7.8624860000000005E-2</v>
      </c>
      <c r="Q5596">
        <v>-0.1107139</v>
      </c>
      <c r="R5596">
        <v>-0.99073789999999995</v>
      </c>
      <c r="S5596">
        <v>3.1982419999999998E-2</v>
      </c>
      <c r="T5596">
        <v>-0.1265416</v>
      </c>
      <c r="U5596">
        <v>-3.0111690000000002</v>
      </c>
      <c r="V5596">
        <v>-0.1586263</v>
      </c>
      <c r="W5596">
        <v>-0.10301100000000001</v>
      </c>
      <c r="X5596">
        <v>0.98195030000000005</v>
      </c>
      <c r="Y5596">
        <v>-9.2225520000000005E-2</v>
      </c>
      <c r="Z5596">
        <v>3.2811180000000002E-2</v>
      </c>
      <c r="AA5596">
        <v>0.99519740000000001</v>
      </c>
      <c r="AB5596">
        <v>33</v>
      </c>
      <c r="AC5596">
        <v>0.30089999999995598</v>
      </c>
      <c r="AD5596">
        <v>-1.1114192574220001</v>
      </c>
      <c r="AE5596">
        <v>-26.188310000000001</v>
      </c>
      <c r="AF5596">
        <v>-2.43435395431043</v>
      </c>
      <c r="AG5596">
        <v>-1.1114192574220001</v>
      </c>
      <c r="AH5596">
        <v>26.0293717630401</v>
      </c>
      <c r="AI5596">
        <v>92.434357625255799</v>
      </c>
      <c r="AJ5596">
        <v>95.342951625263296</v>
      </c>
      <c r="AK5596">
        <v>26.1665726895821</v>
      </c>
      <c r="AL5596">
        <v>95.912583937191997</v>
      </c>
      <c r="AM5596">
        <v>99.176405736220403</v>
      </c>
      <c r="AN5596">
        <v>0.99999998042138905</v>
      </c>
    </row>
    <row r="5597" spans="1:40" x14ac:dyDescent="0.25">
      <c r="A5597" t="str">
        <f>"20190305135041521"</f>
        <v>20190305135041521</v>
      </c>
      <c r="B5597" t="str">
        <f>"1551765041515485"</f>
        <v>1551765041515485</v>
      </c>
      <c r="C5597" t="s">
        <v>40</v>
      </c>
      <c r="D5597">
        <v>4.0744540000000002</v>
      </c>
      <c r="E5597">
        <v>0.55014479999999999</v>
      </c>
      <c r="F5597" t="s">
        <v>42</v>
      </c>
      <c r="G5597">
        <v>-422.39519999999999</v>
      </c>
      <c r="H5597" s="1">
        <v>-4.325212E-6</v>
      </c>
      <c r="I5597">
        <v>68.44811</v>
      </c>
      <c r="J5597">
        <v>-421.5926</v>
      </c>
      <c r="K5597">
        <v>1.1112820000000001</v>
      </c>
      <c r="L5597">
        <v>97.5976</v>
      </c>
      <c r="M5597">
        <v>-7.9052600000000001E-2</v>
      </c>
      <c r="N5597">
        <v>-8.8513569999999903E-3</v>
      </c>
      <c r="O5597">
        <v>-0.99683129999999998</v>
      </c>
      <c r="P5597">
        <v>7.9885479999999995E-2</v>
      </c>
      <c r="Q5597">
        <v>-0.1111673</v>
      </c>
      <c r="R5597">
        <v>-0.99058599999999997</v>
      </c>
      <c r="S5597">
        <v>-8.4747310000000006E-2</v>
      </c>
      <c r="T5597">
        <v>-0.1139565</v>
      </c>
      <c r="U5597">
        <v>-3.0220340000000001</v>
      </c>
      <c r="V5597">
        <v>-0.15732750000000001</v>
      </c>
      <c r="W5597">
        <v>-0.1034269</v>
      </c>
      <c r="X5597">
        <v>0.98211559999999998</v>
      </c>
      <c r="Y5597">
        <v>-5.1081210000000002E-2</v>
      </c>
      <c r="Z5597">
        <v>2.863628E-2</v>
      </c>
      <c r="AA5597">
        <v>0.9982839</v>
      </c>
      <c r="AB5597">
        <v>33</v>
      </c>
      <c r="AC5597">
        <v>-0.80259999999998399</v>
      </c>
      <c r="AD5597">
        <v>-1.11128632521199</v>
      </c>
      <c r="AE5597">
        <v>-29.14949</v>
      </c>
      <c r="AF5597">
        <v>-1.5021632622061101</v>
      </c>
      <c r="AG5597">
        <v>-1.11128632521199</v>
      </c>
      <c r="AH5597">
        <v>29.079475497371199</v>
      </c>
      <c r="AI5597">
        <v>92.185609822511495</v>
      </c>
      <c r="AJ5597">
        <v>92.957109090143504</v>
      </c>
      <c r="AK5597">
        <v>29.1394465795961</v>
      </c>
      <c r="AL5597">
        <v>95.936540749377002</v>
      </c>
      <c r="AM5597">
        <v>99.101027700523801</v>
      </c>
      <c r="AN5597">
        <v>1.0000000588316</v>
      </c>
    </row>
    <row r="5598" spans="1:40" x14ac:dyDescent="0.25">
      <c r="A5598" t="str">
        <f>"20190305135041542"</f>
        <v>20190305135041542</v>
      </c>
      <c r="B5598" t="str">
        <f>"1551765041535981"</f>
        <v>1551765041535981</v>
      </c>
      <c r="C5598" t="s">
        <v>40</v>
      </c>
      <c r="D5598">
        <v>4.0788379999999904</v>
      </c>
      <c r="E5598">
        <v>0.55491969999999902</v>
      </c>
      <c r="F5598" t="s">
        <v>42</v>
      </c>
      <c r="G5598">
        <v>-423.24</v>
      </c>
      <c r="H5598" s="1">
        <v>-3.1570559999999999E-6</v>
      </c>
      <c r="I5598">
        <v>64.938769999999906</v>
      </c>
      <c r="J5598">
        <v>-421.61579999999998</v>
      </c>
      <c r="K5598">
        <v>1.111146</v>
      </c>
      <c r="L5598">
        <v>97.273129999999995</v>
      </c>
      <c r="M5598">
        <v>-7.6605880000000001E-2</v>
      </c>
      <c r="N5598">
        <v>-8.8260140000000001E-3</v>
      </c>
      <c r="O5598">
        <v>-0.99702250000000003</v>
      </c>
      <c r="P5598">
        <v>8.0794069999999996E-2</v>
      </c>
      <c r="Q5598">
        <v>-0.1106534</v>
      </c>
      <c r="R5598">
        <v>-0.9905697</v>
      </c>
      <c r="S5598">
        <v>-0.15280150000000001</v>
      </c>
      <c r="T5598">
        <v>-0.10307719999999999</v>
      </c>
      <c r="U5598">
        <v>-3.0292659999999998</v>
      </c>
      <c r="V5598">
        <v>-0.15586059999999999</v>
      </c>
      <c r="W5598">
        <v>-0.1028751</v>
      </c>
      <c r="X5598">
        <v>0.98240729999999998</v>
      </c>
      <c r="Y5598">
        <v>-2.629277E-2</v>
      </c>
      <c r="Z5598">
        <v>2.5025100000000002E-2</v>
      </c>
      <c r="AA5598">
        <v>0.99934100000000003</v>
      </c>
      <c r="AB5598">
        <v>33</v>
      </c>
      <c r="AC5598">
        <v>-1.6242000000000301</v>
      </c>
      <c r="AD5598">
        <v>-1.1111491570559999</v>
      </c>
      <c r="AE5598">
        <v>-32.334359999999997</v>
      </c>
      <c r="AF5598">
        <v>-0.85666237382761301</v>
      </c>
      <c r="AG5598">
        <v>-1.1111491570559999</v>
      </c>
      <c r="AH5598">
        <v>32.325687047784598</v>
      </c>
      <c r="AI5598">
        <v>91.967994778072296</v>
      </c>
      <c r="AJ5598">
        <v>91.518038978125901</v>
      </c>
      <c r="AK5598">
        <v>32.3561209971663</v>
      </c>
      <c r="AL5598">
        <v>95.904755985032097</v>
      </c>
      <c r="AM5598">
        <v>99.014938171296905</v>
      </c>
      <c r="AN5598">
        <v>0.99999995796282903</v>
      </c>
    </row>
    <row r="5599" spans="1:40" x14ac:dyDescent="0.25">
      <c r="A5599" t="str">
        <f>"20190305135041564"</f>
        <v>20190305135041564</v>
      </c>
      <c r="B5599" t="str">
        <f>"1551765041555505"</f>
        <v>1551765041555505</v>
      </c>
      <c r="C5599" t="s">
        <v>40</v>
      </c>
      <c r="D5599">
        <v>4.1046500000000004</v>
      </c>
      <c r="E5599">
        <v>0.55680790000000002</v>
      </c>
      <c r="F5599" t="s">
        <v>42</v>
      </c>
      <c r="G5599">
        <v>-423.9529</v>
      </c>
      <c r="H5599" s="1">
        <v>-4.9474509999999998E-6</v>
      </c>
      <c r="I5599">
        <v>59.464680000000001</v>
      </c>
      <c r="J5599">
        <v>-421.63780000000003</v>
      </c>
      <c r="K5599">
        <v>1.1110150000000001</v>
      </c>
      <c r="L5599">
        <v>96.958070000000006</v>
      </c>
      <c r="M5599">
        <v>-7.4389899999999995E-2</v>
      </c>
      <c r="N5599">
        <v>-8.8029240000000002E-3</v>
      </c>
      <c r="O5599">
        <v>-0.99719049999999998</v>
      </c>
      <c r="P5599">
        <v>8.2092810000000002E-2</v>
      </c>
      <c r="Q5599">
        <v>-0.1103364</v>
      </c>
      <c r="R5599">
        <v>-0.99049849999999995</v>
      </c>
      <c r="S5599">
        <v>-0.18753049999999999</v>
      </c>
      <c r="T5599">
        <v>-8.9163300000000001E-2</v>
      </c>
      <c r="U5599">
        <v>-3.0339049999999999</v>
      </c>
      <c r="V5599">
        <v>-0.15500239999999901</v>
      </c>
      <c r="W5599">
        <v>-0.10252550000000001</v>
      </c>
      <c r="X5599">
        <v>0.9825796</v>
      </c>
      <c r="Y5599">
        <v>-1.2738950000000001E-2</v>
      </c>
      <c r="Z5599">
        <v>2.0445189999999999E-2</v>
      </c>
      <c r="AA5599">
        <v>0.99970979999999998</v>
      </c>
      <c r="AB5599">
        <v>33</v>
      </c>
      <c r="AC5599">
        <v>-2.31509999999997</v>
      </c>
      <c r="AD5599">
        <v>-1.1110199474510001</v>
      </c>
      <c r="AE5599">
        <v>-37.493389999999899</v>
      </c>
      <c r="AF5599">
        <v>-0.480132374243747</v>
      </c>
      <c r="AG5599">
        <v>-1.1110199474510001</v>
      </c>
      <c r="AH5599">
        <v>37.528894993723299</v>
      </c>
      <c r="AI5599">
        <v>91.695572508658202</v>
      </c>
      <c r="AJ5599">
        <v>90.732983422511097</v>
      </c>
      <c r="AK5599">
        <v>37.548406782050598</v>
      </c>
      <c r="AL5599">
        <v>95.884618970789802</v>
      </c>
      <c r="AM5599">
        <v>98.964561974241093</v>
      </c>
      <c r="AN5599">
        <v>0.99999994624608302</v>
      </c>
    </row>
    <row r="5600" spans="1:40" x14ac:dyDescent="0.25">
      <c r="A5600" t="str">
        <f>"20190305135041578"</f>
        <v>20190305135041578</v>
      </c>
      <c r="B5600" t="str">
        <f>"1551765041575999"</f>
        <v>1551765041575999</v>
      </c>
      <c r="C5600" t="s">
        <v>40</v>
      </c>
      <c r="D5600">
        <v>4.0607499999999996</v>
      </c>
      <c r="E5600">
        <v>0.55787159999999902</v>
      </c>
      <c r="F5600" t="s">
        <v>42</v>
      </c>
      <c r="G5600">
        <v>-424.14940000000001</v>
      </c>
      <c r="H5600" s="1">
        <v>-4.6564309999999998E-6</v>
      </c>
      <c r="I5600">
        <v>58.507019999999997</v>
      </c>
      <c r="J5600">
        <v>-421.65179999999998</v>
      </c>
      <c r="K5600">
        <v>1.110924</v>
      </c>
      <c r="L5600">
        <v>96.753479999999996</v>
      </c>
      <c r="M5600">
        <v>-7.3040369999999993E-2</v>
      </c>
      <c r="N5600">
        <v>-8.7885689999999995E-3</v>
      </c>
      <c r="O5600">
        <v>-0.99729020000000002</v>
      </c>
      <c r="P5600">
        <v>8.2871199999999895E-2</v>
      </c>
      <c r="Q5600">
        <v>-0.1102916</v>
      </c>
      <c r="R5600">
        <v>-0.99043820000000005</v>
      </c>
      <c r="S5600">
        <v>-0.1982727</v>
      </c>
      <c r="T5600">
        <v>-8.7706919999999994E-2</v>
      </c>
      <c r="U5600">
        <v>-3.035431</v>
      </c>
      <c r="V5600">
        <v>-0.1544674</v>
      </c>
      <c r="W5600">
        <v>-0.1024593</v>
      </c>
      <c r="X5600">
        <v>0.98267079999999996</v>
      </c>
      <c r="Y5600">
        <v>-7.8931509999999993E-3</v>
      </c>
      <c r="Z5600">
        <v>1.9970600000000002E-2</v>
      </c>
      <c r="AA5600">
        <v>0.99976940000000003</v>
      </c>
      <c r="AB5600">
        <v>33</v>
      </c>
      <c r="AC5600">
        <v>-2.49760000000003</v>
      </c>
      <c r="AD5600">
        <v>-1.1109286564309999</v>
      </c>
      <c r="AE5600">
        <v>-38.246459999999999</v>
      </c>
      <c r="AF5600">
        <v>-0.30246119157440299</v>
      </c>
      <c r="AG5600">
        <v>-1.1109286564309999</v>
      </c>
      <c r="AH5600">
        <v>38.294555848267201</v>
      </c>
      <c r="AI5600">
        <v>91.661638091061803</v>
      </c>
      <c r="AJ5600">
        <v>90.452528799814502</v>
      </c>
      <c r="AK5600">
        <v>38.311860472550102</v>
      </c>
      <c r="AL5600">
        <v>95.880805630741506</v>
      </c>
      <c r="AM5600">
        <v>98.933304423865195</v>
      </c>
      <c r="AN5600">
        <v>0.99999999349594404</v>
      </c>
    </row>
    <row r="5601" spans="1:40" x14ac:dyDescent="0.25">
      <c r="A5601" t="str">
        <f>"20190305135041591"</f>
        <v>20190305135041591</v>
      </c>
      <c r="B5601" t="str">
        <f>"1551765041585757"</f>
        <v>1551765041585757</v>
      </c>
      <c r="C5601" t="s">
        <v>40</v>
      </c>
      <c r="D5601">
        <v>4.1059729999999997</v>
      </c>
      <c r="E5601">
        <v>0.55845540000000005</v>
      </c>
      <c r="F5601" t="s">
        <v>42</v>
      </c>
      <c r="G5601">
        <v>-424.24040000000002</v>
      </c>
      <c r="H5601" s="1">
        <v>-4.5577539999999998E-6</v>
      </c>
      <c r="I5601">
        <v>58.169640000000001</v>
      </c>
      <c r="J5601">
        <v>-421.66489999999999</v>
      </c>
      <c r="K5601">
        <v>1.110843</v>
      </c>
      <c r="L5601">
        <v>96.560090000000002</v>
      </c>
      <c r="M5601">
        <v>-7.1811009999999995E-2</v>
      </c>
      <c r="N5601">
        <v>-8.7754080000000002E-3</v>
      </c>
      <c r="O5601">
        <v>-0.99737980000000004</v>
      </c>
      <c r="P5601">
        <v>8.3634029999999998E-2</v>
      </c>
      <c r="Q5601">
        <v>-0.1105032</v>
      </c>
      <c r="R5601">
        <v>-0.99035079999999998</v>
      </c>
      <c r="S5601">
        <v>-0.20370479999999999</v>
      </c>
      <c r="T5601">
        <v>-8.7421659999999998E-2</v>
      </c>
      <c r="U5601">
        <v>-3.0362550000000001</v>
      </c>
      <c r="V5601">
        <v>-0.15403039999999901</v>
      </c>
      <c r="W5601">
        <v>-0.10265100000000001</v>
      </c>
      <c r="X5601">
        <v>0.98271940000000002</v>
      </c>
      <c r="Y5601">
        <v>-4.8976530000000001E-3</v>
      </c>
      <c r="Z5601">
        <v>1.9885199999999999E-2</v>
      </c>
      <c r="AA5601">
        <v>0.99979030000000002</v>
      </c>
      <c r="AB5601">
        <v>33</v>
      </c>
      <c r="AC5601">
        <v>-2.5755000000000301</v>
      </c>
      <c r="AD5601">
        <v>-1.110847557754</v>
      </c>
      <c r="AE5601">
        <v>-38.390450000000001</v>
      </c>
      <c r="AF5601">
        <v>-0.18795586584052101</v>
      </c>
      <c r="AG5601">
        <v>-1.110847557754</v>
      </c>
      <c r="AH5601">
        <v>38.444240682402501</v>
      </c>
      <c r="AI5601">
        <v>91.655083077410495</v>
      </c>
      <c r="AJ5601">
        <v>90.280119774865497</v>
      </c>
      <c r="AK5601">
        <v>38.460745590154197</v>
      </c>
      <c r="AL5601">
        <v>95.891847380594101</v>
      </c>
      <c r="AM5601">
        <v>98.908003833593995</v>
      </c>
      <c r="AN5601">
        <v>1.0000000055307601</v>
      </c>
    </row>
    <row r="5602" spans="1:40" x14ac:dyDescent="0.25">
      <c r="A5602" t="str">
        <f>"20190305135041609"</f>
        <v>20190305135041609</v>
      </c>
      <c r="B5602" t="str">
        <f>"1551765041605277"</f>
        <v>1551765041605277</v>
      </c>
      <c r="C5602" t="s">
        <v>40</v>
      </c>
      <c r="D5602">
        <v>4.1197800000000004</v>
      </c>
      <c r="E5602">
        <v>0.55921549999999998</v>
      </c>
      <c r="F5602" t="s">
        <v>42</v>
      </c>
      <c r="G5602">
        <v>-424.28160000000003</v>
      </c>
      <c r="H5602" s="1">
        <v>-4.5068099999999996E-6</v>
      </c>
      <c r="I5602">
        <v>57.998440000000002</v>
      </c>
      <c r="J5602">
        <v>-421.6823</v>
      </c>
      <c r="K5602">
        <v>1.1107309999999999</v>
      </c>
      <c r="L5602">
        <v>96.297880000000006</v>
      </c>
      <c r="M5602">
        <v>-7.0249130000000007E-2</v>
      </c>
      <c r="N5602">
        <v>-8.7585500000000004E-3</v>
      </c>
      <c r="O5602">
        <v>-0.99749120000000002</v>
      </c>
      <c r="P5602">
        <v>8.3943030000000002E-2</v>
      </c>
      <c r="Q5602">
        <v>-0.11089739999999999</v>
      </c>
      <c r="R5602">
        <v>-0.99028059999999996</v>
      </c>
      <c r="S5602">
        <v>-0.2060852</v>
      </c>
      <c r="T5602">
        <v>-8.7484000000000006E-2</v>
      </c>
      <c r="U5602">
        <v>-3.036896</v>
      </c>
      <c r="V5602">
        <v>-0.1528217</v>
      </c>
      <c r="W5602">
        <v>-0.1030134</v>
      </c>
      <c r="X5602">
        <v>0.98287020000000003</v>
      </c>
      <c r="Y5602">
        <v>-2.5661730000000002E-3</v>
      </c>
      <c r="Z5602">
        <v>1.9920340000000002E-2</v>
      </c>
      <c r="AA5602">
        <v>0.99979830000000003</v>
      </c>
      <c r="AB5602">
        <v>33</v>
      </c>
      <c r="AC5602">
        <v>-2.5993000000000199</v>
      </c>
      <c r="AD5602">
        <v>-1.11073550681</v>
      </c>
      <c r="AE5602">
        <v>-38.299439999999997</v>
      </c>
      <c r="AF5602">
        <v>-9.7645443976875607E-2</v>
      </c>
      <c r="AG5602">
        <v>-1.11073550681</v>
      </c>
      <c r="AH5602">
        <v>38.355306786801698</v>
      </c>
      <c r="AI5602">
        <v>91.658765752337601</v>
      </c>
      <c r="AJ5602">
        <v>90.145864033184196</v>
      </c>
      <c r="AK5602">
        <v>38.371510612803498</v>
      </c>
      <c r="AL5602">
        <v>95.912721880559502</v>
      </c>
      <c r="AM5602">
        <v>98.837874716610898</v>
      </c>
      <c r="AN5602">
        <v>1.0000000313092401</v>
      </c>
    </row>
    <row r="5603" spans="1:40" x14ac:dyDescent="0.25">
      <c r="A5603" t="str">
        <f>"20190305135041623"</f>
        <v>20190305135041623</v>
      </c>
      <c r="B5603" t="str">
        <f>"1551765041616013"</f>
        <v>1551765041616013</v>
      </c>
      <c r="C5603" t="s">
        <v>40</v>
      </c>
      <c r="D5603">
        <v>4.1122940000000003</v>
      </c>
      <c r="E5603">
        <v>0.5594093</v>
      </c>
      <c r="F5603" t="s">
        <v>42</v>
      </c>
      <c r="G5603">
        <v>-424.30309999999997</v>
      </c>
      <c r="H5603" s="1">
        <v>-4.7442259999999997E-6</v>
      </c>
      <c r="I5603">
        <v>58.684919999999998</v>
      </c>
      <c r="J5603">
        <v>-421.69580000000002</v>
      </c>
      <c r="K5603">
        <v>1.1106419999999999</v>
      </c>
      <c r="L5603">
        <v>96.088350000000005</v>
      </c>
      <c r="M5603">
        <v>-6.90833E-2</v>
      </c>
      <c r="N5603">
        <v>-8.7462530000000007E-3</v>
      </c>
      <c r="O5603">
        <v>-0.99757269999999998</v>
      </c>
      <c r="P5603">
        <v>8.4528179999999994E-2</v>
      </c>
      <c r="Q5603">
        <v>-0.110994</v>
      </c>
      <c r="R5603">
        <v>-0.99022010000000005</v>
      </c>
      <c r="S5603">
        <v>-0.21163940000000001</v>
      </c>
      <c r="T5603">
        <v>-8.9694140000000006E-2</v>
      </c>
      <c r="U5603">
        <v>-3.0373230000000002</v>
      </c>
      <c r="V5603">
        <v>-0.15227449999999901</v>
      </c>
      <c r="W5603">
        <v>-0.1030872</v>
      </c>
      <c r="X5603">
        <v>0.98294729999999997</v>
      </c>
      <c r="Y5603">
        <v>4.1120140000000001E-4</v>
      </c>
      <c r="Z5603">
        <v>2.0653970000000001E-2</v>
      </c>
      <c r="AA5603">
        <v>0.99978659999999997</v>
      </c>
      <c r="AB5603">
        <v>33</v>
      </c>
      <c r="AC5603">
        <v>-2.6072999999999502</v>
      </c>
      <c r="AD5603">
        <v>-1.110646744226</v>
      </c>
      <c r="AE5603">
        <v>-37.40343</v>
      </c>
      <c r="AF5603">
        <v>1.70046527159812E-2</v>
      </c>
      <c r="AG5603">
        <v>-1.110646744226</v>
      </c>
      <c r="AH5603">
        <v>37.461319662166197</v>
      </c>
      <c r="AI5603">
        <v>91.698197762255901</v>
      </c>
      <c r="AJ5603">
        <v>89.973991979605103</v>
      </c>
      <c r="AK5603">
        <v>37.4777840350744</v>
      </c>
      <c r="AL5603">
        <v>95.916973457258607</v>
      </c>
      <c r="AM5603">
        <v>98.8060464347205</v>
      </c>
      <c r="AN5603">
        <v>0.99999994436568795</v>
      </c>
    </row>
    <row r="5604" spans="1:40" x14ac:dyDescent="0.25">
      <c r="A5604" t="str">
        <f>"20190305135041636"</f>
        <v>20190305135041636</v>
      </c>
      <c r="B5604" t="str">
        <f>"1551765041625773"</f>
        <v>1551765041625773</v>
      </c>
      <c r="C5604" t="s">
        <v>40</v>
      </c>
      <c r="D5604">
        <v>4.1198969999999999</v>
      </c>
      <c r="E5604">
        <v>0.55933559999999904</v>
      </c>
      <c r="F5604" t="s">
        <v>42</v>
      </c>
      <c r="G5604">
        <v>-424.32709999999997</v>
      </c>
      <c r="H5604" s="1">
        <v>-4.5821609999999999E-6</v>
      </c>
      <c r="I5604">
        <v>58.196179999999998</v>
      </c>
      <c r="J5604">
        <v>-421.70800000000003</v>
      </c>
      <c r="K5604">
        <v>1.110563</v>
      </c>
      <c r="L5604">
        <v>95.898160000000004</v>
      </c>
      <c r="M5604">
        <v>-6.8070019999999995E-2</v>
      </c>
      <c r="N5604">
        <v>-8.7357479999999998E-3</v>
      </c>
      <c r="O5604">
        <v>-0.99764260000000005</v>
      </c>
      <c r="P5604">
        <v>8.4889740000000005E-2</v>
      </c>
      <c r="Q5604">
        <v>-0.11136409999999999</v>
      </c>
      <c r="R5604">
        <v>-0.99014769999999996</v>
      </c>
      <c r="S5604">
        <v>-0.2109375</v>
      </c>
      <c r="T5604">
        <v>-8.9035030000000001E-2</v>
      </c>
      <c r="U5604">
        <v>-3.0376280000000002</v>
      </c>
      <c r="V5604">
        <v>-0.151649799999999</v>
      </c>
      <c r="W5604">
        <v>-0.10343570000000001</v>
      </c>
      <c r="X5604">
        <v>0.98300730000000003</v>
      </c>
      <c r="Y5604">
        <v>1.190214E-3</v>
      </c>
      <c r="Z5604">
        <v>2.0448689999999999E-2</v>
      </c>
      <c r="AA5604">
        <v>0.99979019999999996</v>
      </c>
      <c r="AB5604">
        <v>33</v>
      </c>
      <c r="AC5604">
        <v>-2.61909999999994</v>
      </c>
      <c r="AD5604">
        <v>-1.1105675821609999</v>
      </c>
      <c r="AE5604">
        <v>-37.701979999999999</v>
      </c>
      <c r="AF5604">
        <v>4.6512798844128497E-2</v>
      </c>
      <c r="AG5604">
        <v>-1.1105675821609999</v>
      </c>
      <c r="AH5604">
        <v>37.760207732330997</v>
      </c>
      <c r="AI5604">
        <v>91.684642466732399</v>
      </c>
      <c r="AJ5604">
        <v>89.929423435958697</v>
      </c>
      <c r="AK5604">
        <v>37.776564319479697</v>
      </c>
      <c r="AL5604">
        <v>95.937048147508904</v>
      </c>
      <c r="AM5604">
        <v>98.769955803794502</v>
      </c>
      <c r="AN5604">
        <v>0.99999997886390901</v>
      </c>
    </row>
    <row r="5605" spans="1:40" x14ac:dyDescent="0.25">
      <c r="A5605" t="str">
        <f>"20190305135041651"</f>
        <v>20190305135041651</v>
      </c>
      <c r="B5605" t="str">
        <f>"1551765041645294"</f>
        <v>1551765041645294</v>
      </c>
      <c r="C5605" t="s">
        <v>40</v>
      </c>
      <c r="D5605">
        <v>4.1495340000000001</v>
      </c>
      <c r="E5605">
        <v>0.55838549999999998</v>
      </c>
      <c r="F5605" t="s">
        <v>42</v>
      </c>
      <c r="G5605">
        <v>-424.3304</v>
      </c>
      <c r="H5605" s="1">
        <v>-4.4765700000000001E-6</v>
      </c>
      <c r="I5605">
        <v>57.884160000000001</v>
      </c>
      <c r="J5605">
        <v>-421.72210000000001</v>
      </c>
      <c r="K5605">
        <v>1.110471</v>
      </c>
      <c r="L5605">
        <v>95.676699999999997</v>
      </c>
      <c r="M5605">
        <v>-6.6945989999999997E-2</v>
      </c>
      <c r="N5605">
        <v>-8.7246949999999993E-3</v>
      </c>
      <c r="O5605">
        <v>-0.99771860000000001</v>
      </c>
      <c r="P5605">
        <v>8.5444729999999997E-2</v>
      </c>
      <c r="Q5605">
        <v>-0.1114314</v>
      </c>
      <c r="R5605">
        <v>-0.99009210000000003</v>
      </c>
      <c r="S5605">
        <v>-0.20956420000000001</v>
      </c>
      <c r="T5605">
        <v>-8.8749649999999999E-2</v>
      </c>
      <c r="U5605">
        <v>-3.0378419999999999</v>
      </c>
      <c r="V5605">
        <v>-0.1511161</v>
      </c>
      <c r="W5605">
        <v>-0.10347770000000001</v>
      </c>
      <c r="X5605">
        <v>0.98308510000000005</v>
      </c>
      <c r="Y5605">
        <v>1.862194E-3</v>
      </c>
      <c r="Z5605">
        <v>2.0367550000000002E-2</v>
      </c>
      <c r="AA5605">
        <v>0.99979079999999998</v>
      </c>
      <c r="AB5605">
        <v>33</v>
      </c>
      <c r="AC5605">
        <v>-2.6082999999999799</v>
      </c>
      <c r="AD5605">
        <v>-1.11047547657</v>
      </c>
      <c r="AE5605">
        <v>-37.792540000000002</v>
      </c>
      <c r="AF5605">
        <v>7.2231092717339504E-2</v>
      </c>
      <c r="AG5605">
        <v>-1.11047547657</v>
      </c>
      <c r="AH5605">
        <v>37.849847488945798</v>
      </c>
      <c r="AI5605">
        <v>91.680513930208704</v>
      </c>
      <c r="AJ5605">
        <v>89.890659222878298</v>
      </c>
      <c r="AK5605">
        <v>37.866202979058698</v>
      </c>
      <c r="AL5605">
        <v>95.939467355654301</v>
      </c>
      <c r="AM5605">
        <v>98.738888138003105</v>
      </c>
      <c r="AN5605">
        <v>1.00000001195925</v>
      </c>
    </row>
    <row r="5606" spans="1:40" x14ac:dyDescent="0.25">
      <c r="A5606" t="str">
        <f>"20190305135041664"</f>
        <v>20190305135041664</v>
      </c>
      <c r="B5606" t="str">
        <f>"1551765041656029"</f>
        <v>1551765041656029</v>
      </c>
      <c r="C5606" t="s">
        <v>40</v>
      </c>
      <c r="D5606">
        <v>4.1272719999999996</v>
      </c>
      <c r="E5606">
        <v>0.55767819999999901</v>
      </c>
      <c r="F5606" t="s">
        <v>42</v>
      </c>
      <c r="G5606">
        <v>-424.37610000000001</v>
      </c>
      <c r="H5606" s="1">
        <v>-3.6615410000000001E-6</v>
      </c>
      <c r="I5606">
        <v>55.465369999999901</v>
      </c>
      <c r="J5606">
        <v>-421.73509999999999</v>
      </c>
      <c r="K5606">
        <v>1.1103860000000001</v>
      </c>
      <c r="L5606">
        <v>95.468379999999996</v>
      </c>
      <c r="M5606">
        <v>-6.5963949999999993E-2</v>
      </c>
      <c r="N5606">
        <v>-8.7185089999999993E-3</v>
      </c>
      <c r="O5606">
        <v>-0.99778420000000001</v>
      </c>
      <c r="P5606">
        <v>8.545382E-2</v>
      </c>
      <c r="Q5606">
        <v>-0.11154260000000001</v>
      </c>
      <c r="R5606">
        <v>-0.99007920000000005</v>
      </c>
      <c r="S5606">
        <v>-0.2005005</v>
      </c>
      <c r="T5606">
        <v>-8.3893780000000001E-2</v>
      </c>
      <c r="U5606">
        <v>-3.0378720000000001</v>
      </c>
      <c r="V5606">
        <v>-0.1501777</v>
      </c>
      <c r="W5606">
        <v>-0.10356</v>
      </c>
      <c r="X5606">
        <v>0.98322019999999999</v>
      </c>
      <c r="Y5606">
        <v>-1.212914E-4</v>
      </c>
      <c r="Z5606">
        <v>1.878817E-2</v>
      </c>
      <c r="AA5606">
        <v>0.99982349999999998</v>
      </c>
      <c r="AB5606">
        <v>33</v>
      </c>
      <c r="AC5606">
        <v>-2.64100000000002</v>
      </c>
      <c r="AD5606">
        <v>-1.1103896615410001</v>
      </c>
      <c r="AE5606">
        <v>-40.003010000000003</v>
      </c>
      <c r="AF5606">
        <v>-3.6058492185278E-3</v>
      </c>
      <c r="AG5606">
        <v>-1.1103896615410001</v>
      </c>
      <c r="AH5606">
        <v>40.0593632168734</v>
      </c>
      <c r="AI5606">
        <v>91.587752517026999</v>
      </c>
      <c r="AJ5606">
        <v>90.005157344616407</v>
      </c>
      <c r="AK5606">
        <v>40.074749650422</v>
      </c>
      <c r="AL5606">
        <v>95.944208409197898</v>
      </c>
      <c r="AM5606">
        <v>98.684276255273204</v>
      </c>
      <c r="AN5606">
        <v>0.99999998843266402</v>
      </c>
    </row>
    <row r="5607" spans="1:40" x14ac:dyDescent="0.25">
      <c r="A5607" t="str">
        <f>"20190305135041688"</f>
        <v>20190305135041688</v>
      </c>
      <c r="B5607" t="str">
        <f>"1551765041675549"</f>
        <v>1551765041675549</v>
      </c>
      <c r="C5607" t="s">
        <v>40</v>
      </c>
      <c r="D5607">
        <v>4.1390840000000004</v>
      </c>
      <c r="E5607">
        <v>0.55638189999999998</v>
      </c>
      <c r="F5607" t="s">
        <v>42</v>
      </c>
      <c r="G5607">
        <v>-424.36669999999998</v>
      </c>
      <c r="H5607" s="1">
        <v>-3.2228190000000002E-6</v>
      </c>
      <c r="I5607">
        <v>54.393250000000002</v>
      </c>
      <c r="J5607">
        <v>-421.75569999999999</v>
      </c>
      <c r="K5607">
        <v>1.110271</v>
      </c>
      <c r="L5607">
        <v>95.13458</v>
      </c>
      <c r="M5607">
        <v>-6.4482639999999994E-2</v>
      </c>
      <c r="N5607">
        <v>-8.7165939999999994E-3</v>
      </c>
      <c r="O5607">
        <v>-0.99788069999999895</v>
      </c>
      <c r="P5607">
        <v>8.5257299999999994E-2</v>
      </c>
      <c r="Q5607">
        <v>-0.1119155</v>
      </c>
      <c r="R5607">
        <v>-0.99005339999999997</v>
      </c>
      <c r="S5607">
        <v>-0.19461059999999999</v>
      </c>
      <c r="T5607">
        <v>-8.2115770000000005E-2</v>
      </c>
      <c r="U5607">
        <v>-3.037598</v>
      </c>
      <c r="V5607">
        <v>-0.1485503</v>
      </c>
      <c r="W5607">
        <v>-0.10388260000000001</v>
      </c>
      <c r="X5607">
        <v>0.98343340000000001</v>
      </c>
      <c r="Y5607">
        <v>-5.6058789999999996E-4</v>
      </c>
      <c r="Z5607">
        <v>1.8214939999999999E-2</v>
      </c>
      <c r="AA5607">
        <v>0.99983390000000005</v>
      </c>
      <c r="AB5607">
        <v>33</v>
      </c>
      <c r="AC5607">
        <v>-2.61099999999999</v>
      </c>
      <c r="AD5607">
        <v>-1.1102742228189999</v>
      </c>
      <c r="AE5607">
        <v>-40.741329999999998</v>
      </c>
      <c r="AF5607">
        <v>-2.1626835620366099E-2</v>
      </c>
      <c r="AG5607">
        <v>-1.1102742228189999</v>
      </c>
      <c r="AH5607">
        <v>40.7947317465308</v>
      </c>
      <c r="AI5607">
        <v>91.558983616901799</v>
      </c>
      <c r="AJ5607">
        <v>90.0303746644759</v>
      </c>
      <c r="AK5607">
        <v>40.809843357225503</v>
      </c>
      <c r="AL5607">
        <v>95.962792077557495</v>
      </c>
      <c r="AM5607">
        <v>98.589746206720406</v>
      </c>
      <c r="AN5607">
        <v>1.0000000192242</v>
      </c>
    </row>
    <row r="5608" spans="1:40" x14ac:dyDescent="0.25">
      <c r="A5608" t="str">
        <f>"20190305135041710"</f>
        <v>20190305135041710</v>
      </c>
      <c r="B5608" t="str">
        <f>"1551765041705805"</f>
        <v>1551765041705805</v>
      </c>
      <c r="C5608" t="s">
        <v>40</v>
      </c>
      <c r="D5608">
        <v>4.153111</v>
      </c>
      <c r="E5608">
        <v>0.5550292</v>
      </c>
      <c r="F5608" t="s">
        <v>42</v>
      </c>
      <c r="G5608">
        <v>-424.35820000000001</v>
      </c>
      <c r="H5608" s="1">
        <v>-2.3507280000000001E-6</v>
      </c>
      <c r="I5608">
        <v>52.36562</v>
      </c>
      <c r="J5608">
        <v>-421.77569999999997</v>
      </c>
      <c r="K5608">
        <v>1.1101589999999999</v>
      </c>
      <c r="L5608">
        <v>94.804019999999994</v>
      </c>
      <c r="M5608">
        <v>-6.3143030000000003E-2</v>
      </c>
      <c r="N5608">
        <v>-8.7253060000000004E-3</v>
      </c>
      <c r="O5608">
        <v>-0.99796660000000004</v>
      </c>
      <c r="P5608">
        <v>8.5415140000000001E-2</v>
      </c>
      <c r="Q5608">
        <v>-0.1114681</v>
      </c>
      <c r="R5608">
        <v>-0.99009080000000005</v>
      </c>
      <c r="S5608">
        <v>-0.18481449999999999</v>
      </c>
      <c r="T5608">
        <v>-7.8843469999999999E-2</v>
      </c>
      <c r="U5608">
        <v>-3.03714</v>
      </c>
      <c r="V5608">
        <v>-0.14742130000000001</v>
      </c>
      <c r="W5608">
        <v>-0.10338020000000001</v>
      </c>
      <c r="X5608">
        <v>0.98365619999999998</v>
      </c>
      <c r="Y5608">
        <v>-2.4195010000000001E-3</v>
      </c>
      <c r="Z5608">
        <v>1.7142879999999999E-2</v>
      </c>
      <c r="AA5608">
        <v>0.99985009999999996</v>
      </c>
      <c r="AB5608">
        <v>33</v>
      </c>
      <c r="AC5608">
        <v>-2.5825000000000302</v>
      </c>
      <c r="AD5608">
        <v>-1.1101613507279999</v>
      </c>
      <c r="AE5608">
        <v>-42.438400000000001</v>
      </c>
      <c r="AF5608">
        <v>-0.102374495862255</v>
      </c>
      <c r="AG5608">
        <v>-1.1101613507279999</v>
      </c>
      <c r="AH5608">
        <v>42.4878126332367</v>
      </c>
      <c r="AI5608">
        <v>91.496732875427199</v>
      </c>
      <c r="AJ5608">
        <v>90.138054063691101</v>
      </c>
      <c r="AK5608">
        <v>42.502437119759101</v>
      </c>
      <c r="AL5608">
        <v>95.933850891318997</v>
      </c>
      <c r="AM5608">
        <v>98.523523380817906</v>
      </c>
      <c r="AN5608">
        <v>1.00000001262208</v>
      </c>
    </row>
    <row r="5609" spans="1:40" x14ac:dyDescent="0.25">
      <c r="A5609" t="str">
        <f>"20190305135041724"</f>
        <v>20190305135041724</v>
      </c>
      <c r="B5609" t="str">
        <f>"1551765041715565"</f>
        <v>1551765041715565</v>
      </c>
      <c r="C5609" t="s">
        <v>40</v>
      </c>
      <c r="D5609">
        <v>4.1424880000000002</v>
      </c>
      <c r="E5609">
        <v>0.55472080000000001</v>
      </c>
      <c r="F5609" t="s">
        <v>42</v>
      </c>
      <c r="G5609">
        <v>-424.37380000000002</v>
      </c>
      <c r="H5609" s="1">
        <v>-4.9405569999999996E-6</v>
      </c>
      <c r="I5609">
        <v>49.224980000000002</v>
      </c>
      <c r="J5609">
        <v>-421.7885</v>
      </c>
      <c r="K5609">
        <v>1.1100950000000001</v>
      </c>
      <c r="L5609">
        <v>94.588530000000006</v>
      </c>
      <c r="M5609">
        <v>-6.2348010000000002E-2</v>
      </c>
      <c r="N5609">
        <v>-8.7441769999999901E-3</v>
      </c>
      <c r="O5609">
        <v>-0.99801620000000002</v>
      </c>
      <c r="P5609">
        <v>8.5662249999999995E-2</v>
      </c>
      <c r="Q5609">
        <v>-0.11133609999999999</v>
      </c>
      <c r="R5609">
        <v>-0.99008419999999997</v>
      </c>
      <c r="S5609">
        <v>-0.17309569999999999</v>
      </c>
      <c r="T5609">
        <v>-7.3962689999999998E-2</v>
      </c>
      <c r="U5609">
        <v>-3.0366209999999998</v>
      </c>
      <c r="V5609">
        <v>-0.146902799999999</v>
      </c>
      <c r="W5609">
        <v>-0.1032019</v>
      </c>
      <c r="X5609">
        <v>0.98375250000000003</v>
      </c>
      <c r="Y5609">
        <v>-5.4558069999999896E-3</v>
      </c>
      <c r="Z5609">
        <v>1.553182E-2</v>
      </c>
      <c r="AA5609">
        <v>0.99986450000000004</v>
      </c>
      <c r="AB5609">
        <v>33</v>
      </c>
      <c r="AC5609">
        <v>-2.5853000000000099</v>
      </c>
      <c r="AD5609">
        <v>-1.110099940557</v>
      </c>
      <c r="AE5609">
        <v>-45.363549999999996</v>
      </c>
      <c r="AF5609">
        <v>-0.24801722449008101</v>
      </c>
      <c r="AG5609">
        <v>-1.110099940557</v>
      </c>
      <c r="AH5609">
        <v>45.409376711840501</v>
      </c>
      <c r="AI5609">
        <v>91.400380976087405</v>
      </c>
      <c r="AJ5609">
        <v>90.312935343686604</v>
      </c>
      <c r="AK5609">
        <v>45.423620813179497</v>
      </c>
      <c r="AL5609">
        <v>95.923580055475099</v>
      </c>
      <c r="AM5609">
        <v>98.493163740328797</v>
      </c>
      <c r="AN5609">
        <v>1.0000000230338399</v>
      </c>
    </row>
    <row r="5610" spans="1:40" x14ac:dyDescent="0.25">
      <c r="A5610" t="str">
        <f>"20190305135041736"</f>
        <v>20190305135041736</v>
      </c>
      <c r="B5610" t="str">
        <f>"1551765041725325"</f>
        <v>1551765041725325</v>
      </c>
      <c r="C5610" t="s">
        <v>40</v>
      </c>
      <c r="D5610">
        <v>4.1071929999999996</v>
      </c>
      <c r="E5610">
        <v>0.55443500000000001</v>
      </c>
      <c r="F5610" t="s">
        <v>42</v>
      </c>
      <c r="G5610">
        <v>-424.40730000000002</v>
      </c>
      <c r="H5610" s="1">
        <v>-4.4516779999999999E-6</v>
      </c>
      <c r="I5610">
        <v>47.770919999999997</v>
      </c>
      <c r="J5610">
        <v>-421.7987</v>
      </c>
      <c r="K5610">
        <v>1.110047</v>
      </c>
      <c r="L5610">
        <v>94.415130000000005</v>
      </c>
      <c r="M5610">
        <v>-6.1733080000000003E-2</v>
      </c>
      <c r="N5610">
        <v>-8.7614759999999903E-3</v>
      </c>
      <c r="O5610">
        <v>-0.9980542</v>
      </c>
      <c r="P5610">
        <v>8.5730730000000005E-2</v>
      </c>
      <c r="Q5610">
        <v>-0.1107728</v>
      </c>
      <c r="R5610">
        <v>-0.99014139999999995</v>
      </c>
      <c r="S5610">
        <v>-0.16986080000000001</v>
      </c>
      <c r="T5610">
        <v>-7.2002529999999995E-2</v>
      </c>
      <c r="U5610">
        <v>-3.0366520000000001</v>
      </c>
      <c r="V5610">
        <v>-0.14638429999999999</v>
      </c>
      <c r="W5610">
        <v>-0.1025998</v>
      </c>
      <c r="X5610">
        <v>0.98389269999999995</v>
      </c>
      <c r="Y5610">
        <v>-5.9013950000000003E-3</v>
      </c>
      <c r="Z5610">
        <v>1.4873249999999999E-2</v>
      </c>
      <c r="AA5610">
        <v>0.99987199999999998</v>
      </c>
      <c r="AB5610">
        <v>33</v>
      </c>
      <c r="AC5610">
        <v>-2.60860000000002</v>
      </c>
      <c r="AD5610">
        <v>-1.110051451678</v>
      </c>
      <c r="AE5610">
        <v>-46.644210000000001</v>
      </c>
      <c r="AF5610">
        <v>-0.27582143818038202</v>
      </c>
      <c r="AG5610">
        <v>-1.110051451678</v>
      </c>
      <c r="AH5610">
        <v>46.6899207548216</v>
      </c>
      <c r="AI5610">
        <v>91.361925091996497</v>
      </c>
      <c r="AJ5610">
        <v>90.338471777541898</v>
      </c>
      <c r="AK5610">
        <v>46.7039290829225</v>
      </c>
      <c r="AL5610">
        <v>95.888898512919496</v>
      </c>
      <c r="AM5610">
        <v>98.462433107665703</v>
      </c>
      <c r="AN5610">
        <v>0.99999996367990895</v>
      </c>
    </row>
    <row r="5611" spans="1:40" x14ac:dyDescent="0.25">
      <c r="A5611" t="str">
        <f>"20190305135041754"</f>
        <v>20190305135041754</v>
      </c>
      <c r="B5611" t="str">
        <f>"1551765041745825"</f>
        <v>1551765041745825</v>
      </c>
      <c r="C5611" t="s">
        <v>40</v>
      </c>
      <c r="D5611">
        <v>4.1418169999999996</v>
      </c>
      <c r="E5611">
        <v>0.55391939999999995</v>
      </c>
      <c r="F5611" t="s">
        <v>42</v>
      </c>
      <c r="G5611">
        <v>-424.49290000000002</v>
      </c>
      <c r="H5611" s="1">
        <v>-3.719857E-6</v>
      </c>
      <c r="I5611">
        <v>45.575850000000003</v>
      </c>
      <c r="J5611">
        <v>-421.81459999999998</v>
      </c>
      <c r="K5611">
        <v>1.10998</v>
      </c>
      <c r="L5611">
        <v>94.144069999999999</v>
      </c>
      <c r="M5611">
        <v>-6.082303E-2</v>
      </c>
      <c r="N5611">
        <v>-8.7981269999999993E-3</v>
      </c>
      <c r="O5611">
        <v>-0.99810989999999999</v>
      </c>
      <c r="P5611">
        <v>8.5626350000000004E-2</v>
      </c>
      <c r="Q5611">
        <v>-0.11082309999999999</v>
      </c>
      <c r="R5611">
        <v>-0.99014469999999999</v>
      </c>
      <c r="S5611">
        <v>-0.16751099999999999</v>
      </c>
      <c r="T5611">
        <v>-6.9018960000000004E-2</v>
      </c>
      <c r="U5611">
        <v>-3.0366520000000001</v>
      </c>
      <c r="V5611">
        <v>-0.14540349999999999</v>
      </c>
      <c r="W5611">
        <v>-0.1025818</v>
      </c>
      <c r="X5611">
        <v>0.98404000000000003</v>
      </c>
      <c r="Y5611">
        <v>-5.7602119999999998E-3</v>
      </c>
      <c r="Z5611">
        <v>1.3860320000000001E-2</v>
      </c>
      <c r="AA5611">
        <v>0.99988730000000003</v>
      </c>
      <c r="AB5611">
        <v>33</v>
      </c>
      <c r="AC5611">
        <v>-2.6783000000000299</v>
      </c>
      <c r="AD5611">
        <v>-1.109983719857</v>
      </c>
      <c r="AE5611">
        <v>-48.568219999999997</v>
      </c>
      <c r="AF5611">
        <v>-0.28069323108953398</v>
      </c>
      <c r="AG5611">
        <v>-1.109983719857</v>
      </c>
      <c r="AH5611">
        <v>48.615885179880401</v>
      </c>
      <c r="AI5611">
        <v>91.307911507121105</v>
      </c>
      <c r="AJ5611">
        <v>90.330804606697995</v>
      </c>
      <c r="AK5611">
        <v>48.629365041830901</v>
      </c>
      <c r="AL5611">
        <v>95.887861725018993</v>
      </c>
      <c r="AM5611">
        <v>98.405305862646998</v>
      </c>
      <c r="AN5611">
        <v>0.99999996255174395</v>
      </c>
    </row>
    <row r="5612" spans="1:40" x14ac:dyDescent="0.25">
      <c r="A5612" t="str">
        <f>"20190305135041768"</f>
        <v>20190305135041768</v>
      </c>
      <c r="B5612" t="str">
        <f>"1551765041755582"</f>
        <v>1551765041755582</v>
      </c>
      <c r="C5612" t="s">
        <v>40</v>
      </c>
      <c r="D5612">
        <v>4.0542610000000003</v>
      </c>
      <c r="E5612">
        <v>0.55369259999999998</v>
      </c>
      <c r="F5612" t="s">
        <v>42</v>
      </c>
      <c r="G5612">
        <v>-424.5412</v>
      </c>
      <c r="H5612" s="1">
        <v>-2.8897059999999998E-6</v>
      </c>
      <c r="I5612">
        <v>43.508499999999998</v>
      </c>
      <c r="J5612">
        <v>-421.8263</v>
      </c>
      <c r="K5612">
        <v>1.1099289999999999</v>
      </c>
      <c r="L5612">
        <v>93.941069999999996</v>
      </c>
      <c r="M5612">
        <v>-6.0185799999999998E-2</v>
      </c>
      <c r="N5612">
        <v>-8.8407509999999905E-3</v>
      </c>
      <c r="O5612">
        <v>-0.99814800000000004</v>
      </c>
      <c r="P5612">
        <v>8.6049630000000002E-2</v>
      </c>
      <c r="Q5612">
        <v>-0.11125599999999999</v>
      </c>
      <c r="R5612">
        <v>-0.99005929999999998</v>
      </c>
      <c r="S5612">
        <v>-0.1635132</v>
      </c>
      <c r="T5612">
        <v>-6.6564440000000002E-2</v>
      </c>
      <c r="U5612">
        <v>-3.0365600000000001</v>
      </c>
      <c r="V5612">
        <v>-0.14520739999999999</v>
      </c>
      <c r="W5612">
        <v>-0.1029518</v>
      </c>
      <c r="X5612">
        <v>0.98403039999999997</v>
      </c>
      <c r="Y5612">
        <v>-6.4319939999999999E-3</v>
      </c>
      <c r="Z5612">
        <v>1.3014970000000001E-2</v>
      </c>
      <c r="AA5612">
        <v>0.99989459999999997</v>
      </c>
      <c r="AB5612">
        <v>33</v>
      </c>
      <c r="AC5612">
        <v>-2.7149000000000001</v>
      </c>
      <c r="AD5612">
        <v>-1.109931889706</v>
      </c>
      <c r="AE5612">
        <v>-50.432569999999998</v>
      </c>
      <c r="AF5612">
        <v>-0.32530818691730701</v>
      </c>
      <c r="AG5612">
        <v>-1.109931889706</v>
      </c>
      <c r="AH5612">
        <v>50.480163030705903</v>
      </c>
      <c r="AI5612">
        <v>91.259561061878799</v>
      </c>
      <c r="AJ5612">
        <v>90.369224800870001</v>
      </c>
      <c r="AK5612">
        <v>50.493411786320301</v>
      </c>
      <c r="AL5612">
        <v>95.909173513011098</v>
      </c>
      <c r="AM5612">
        <v>98.394212300106702</v>
      </c>
      <c r="AN5612">
        <v>1.00000004513107</v>
      </c>
    </row>
    <row r="5613" spans="1:40" x14ac:dyDescent="0.25">
      <c r="A5613" t="str">
        <f>"20190305135041780"</f>
        <v>20190305135041780</v>
      </c>
      <c r="B5613" t="str">
        <f>"1551765041776077"</f>
        <v>1551765041776077</v>
      </c>
      <c r="C5613" t="s">
        <v>40</v>
      </c>
      <c r="D5613">
        <v>4.1072059999999997</v>
      </c>
      <c r="E5613">
        <v>0.55331649999999999</v>
      </c>
      <c r="F5613" t="s">
        <v>42</v>
      </c>
      <c r="G5613">
        <v>-424.50310000000002</v>
      </c>
      <c r="H5613" s="1">
        <v>-2.725962E-6</v>
      </c>
      <c r="I5613">
        <v>43.150480000000002</v>
      </c>
      <c r="J5613">
        <v>-421.83679999999998</v>
      </c>
      <c r="K5613">
        <v>1.1098889999999999</v>
      </c>
      <c r="L5613">
        <v>93.758240000000001</v>
      </c>
      <c r="M5613">
        <v>-5.9655020000000003E-2</v>
      </c>
      <c r="N5613">
        <v>-8.8877720000000004E-3</v>
      </c>
      <c r="O5613">
        <v>-0.9981797</v>
      </c>
      <c r="P5613">
        <v>8.5958179999999995E-2</v>
      </c>
      <c r="Q5613">
        <v>-0.11181580000000001</v>
      </c>
      <c r="R5613">
        <v>-0.99000489999999997</v>
      </c>
      <c r="S5613">
        <v>-0.16003419999999999</v>
      </c>
      <c r="T5613">
        <v>-6.6358920000000002E-2</v>
      </c>
      <c r="U5613">
        <v>-3.036591</v>
      </c>
      <c r="V5613">
        <v>-0.14460120000000001</v>
      </c>
      <c r="W5613">
        <v>-0.1034452</v>
      </c>
      <c r="X5613">
        <v>0.9840679</v>
      </c>
      <c r="Y5613">
        <v>-7.0429580000000002E-3</v>
      </c>
      <c r="Z5613">
        <v>1.2901630000000001E-2</v>
      </c>
      <c r="AA5613">
        <v>0.99989189999999994</v>
      </c>
      <c r="AB5613">
        <v>33</v>
      </c>
      <c r="AC5613">
        <v>-2.6663000000000299</v>
      </c>
      <c r="AD5613">
        <v>-1.10989172596199</v>
      </c>
      <c r="AE5613">
        <v>-50.607759999999999</v>
      </c>
      <c r="AF5613">
        <v>-0.35740301970487198</v>
      </c>
      <c r="AG5613">
        <v>-1.10989172596199</v>
      </c>
      <c r="AH5613">
        <v>50.652392274685702</v>
      </c>
      <c r="AI5613">
        <v>91.255229060763099</v>
      </c>
      <c r="AJ5613">
        <v>90.404272016850896</v>
      </c>
      <c r="AK5613">
        <v>50.665811349572699</v>
      </c>
      <c r="AL5613">
        <v>95.937595123320605</v>
      </c>
      <c r="AM5613">
        <v>98.359351002220194</v>
      </c>
      <c r="AN5613">
        <v>1.00000002412744</v>
      </c>
    </row>
    <row r="5614" spans="1:40" x14ac:dyDescent="0.25">
      <c r="A5614" t="str">
        <f>"20190305135041793"</f>
        <v>20190305135041793</v>
      </c>
      <c r="B5614" t="str">
        <f>"1551765041785837"</f>
        <v>1551765041785837</v>
      </c>
      <c r="C5614" t="s">
        <v>40</v>
      </c>
      <c r="D5614">
        <v>4.0744009999999999</v>
      </c>
      <c r="E5614">
        <v>0.55311639999999995</v>
      </c>
      <c r="F5614" t="s">
        <v>42</v>
      </c>
      <c r="G5614">
        <v>-424.47550000000001</v>
      </c>
      <c r="H5614" s="1">
        <v>-2.584307E-6</v>
      </c>
      <c r="I5614">
        <v>42.83737</v>
      </c>
      <c r="J5614">
        <v>-421.84809999999999</v>
      </c>
      <c r="K5614">
        <v>1.109839</v>
      </c>
      <c r="L5614">
        <v>93.561250000000001</v>
      </c>
      <c r="M5614">
        <v>-5.9107300000000002E-2</v>
      </c>
      <c r="N5614">
        <v>-8.9435609999999992E-3</v>
      </c>
      <c r="O5614">
        <v>-0.99821179999999998</v>
      </c>
      <c r="P5614">
        <v>8.6036210000000002E-2</v>
      </c>
      <c r="Q5614">
        <v>-0.11203009999999999</v>
      </c>
      <c r="R5614">
        <v>-0.98997369999999996</v>
      </c>
      <c r="S5614">
        <v>-0.15734860000000001</v>
      </c>
      <c r="T5614">
        <v>-6.618404E-2</v>
      </c>
      <c r="U5614">
        <v>-3.0364689999999999</v>
      </c>
      <c r="V5614">
        <v>-0.14415140000000001</v>
      </c>
      <c r="W5614">
        <v>-0.10358339999999901</v>
      </c>
      <c r="X5614">
        <v>0.98411939999999998</v>
      </c>
      <c r="Y5614">
        <v>-7.3739799999999996E-3</v>
      </c>
      <c r="Z5614">
        <v>1.2790610000000001E-2</v>
      </c>
      <c r="AA5614">
        <v>0.99989099999999997</v>
      </c>
      <c r="AB5614">
        <v>33</v>
      </c>
      <c r="AC5614">
        <v>-2.6274000000000202</v>
      </c>
      <c r="AD5614">
        <v>-1.109841584307</v>
      </c>
      <c r="AE5614">
        <v>-50.723880000000001</v>
      </c>
      <c r="AF5614">
        <v>-0.37528565715228801</v>
      </c>
      <c r="AG5614">
        <v>-1.109841584307</v>
      </c>
      <c r="AH5614">
        <v>50.766255132715202</v>
      </c>
      <c r="AI5614">
        <v>91.252355019350105</v>
      </c>
      <c r="AJ5614">
        <v>90.423546951378896</v>
      </c>
      <c r="AK5614">
        <v>50.779772034410101</v>
      </c>
      <c r="AL5614">
        <v>95.945555892146402</v>
      </c>
      <c r="AM5614">
        <v>98.3332839651423</v>
      </c>
      <c r="AN5614">
        <v>1.00000007016693</v>
      </c>
    </row>
    <row r="5615" spans="1:40" x14ac:dyDescent="0.25">
      <c r="A5615" t="str">
        <f>"20190305135041806"</f>
        <v>20190305135041806</v>
      </c>
      <c r="B5615" t="str">
        <f>"1551765041795598"</f>
        <v>1551765041795598</v>
      </c>
      <c r="C5615" t="s">
        <v>40</v>
      </c>
      <c r="D5615">
        <v>4.0987049999999998</v>
      </c>
      <c r="E5615">
        <v>0.55297989999999997</v>
      </c>
      <c r="F5615" t="s">
        <v>42</v>
      </c>
      <c r="G5615">
        <v>-424.45890000000003</v>
      </c>
      <c r="H5615" s="1">
        <v>-2.459196E-6</v>
      </c>
      <c r="I5615">
        <v>42.556019999999997</v>
      </c>
      <c r="J5615">
        <v>-421.8596</v>
      </c>
      <c r="K5615">
        <v>1.1097919999999999</v>
      </c>
      <c r="L5615">
        <v>93.35745</v>
      </c>
      <c r="M5615">
        <v>-5.8585230000000002E-2</v>
      </c>
      <c r="N5615">
        <v>-9.0107480000000007E-3</v>
      </c>
      <c r="O5615">
        <v>-0.99824190000000002</v>
      </c>
      <c r="P5615">
        <v>8.6253490000000002E-2</v>
      </c>
      <c r="Q5615">
        <v>-0.112468</v>
      </c>
      <c r="R5615">
        <v>-0.98990489999999998</v>
      </c>
      <c r="S5615">
        <v>-0.15542600000000001</v>
      </c>
      <c r="T5615">
        <v>-6.6070320000000002E-2</v>
      </c>
      <c r="U5615">
        <v>-3.0364070000000001</v>
      </c>
      <c r="V5615">
        <v>-0.14386409999999999</v>
      </c>
      <c r="W5615">
        <v>-0.1039336</v>
      </c>
      <c r="X5615">
        <v>0.98412440000000001</v>
      </c>
      <c r="Y5615">
        <v>-7.4813459999999998E-3</v>
      </c>
      <c r="Z5615">
        <v>1.268772E-2</v>
      </c>
      <c r="AA5615">
        <v>0.99989150000000004</v>
      </c>
      <c r="AB5615">
        <v>34</v>
      </c>
      <c r="AC5615">
        <v>-2.5993000000000199</v>
      </c>
      <c r="AD5615">
        <v>-1.1097944591960001</v>
      </c>
      <c r="AE5615">
        <v>-50.801430000000003</v>
      </c>
      <c r="AF5615">
        <v>-0.38131721516137301</v>
      </c>
      <c r="AG5615">
        <v>-1.1097944591960001</v>
      </c>
      <c r="AH5615">
        <v>50.842253272917397</v>
      </c>
      <c r="AI5615">
        <v>91.250429533706296</v>
      </c>
      <c r="AJ5615">
        <v>90.429710645057199</v>
      </c>
      <c r="AK5615">
        <v>50.855793813760499</v>
      </c>
      <c r="AL5615">
        <v>95.965730458930807</v>
      </c>
      <c r="AM5615">
        <v>98.316866252551407</v>
      </c>
      <c r="AN5615">
        <v>0.99999995357656302</v>
      </c>
    </row>
    <row r="5616" spans="1:40" x14ac:dyDescent="0.25">
      <c r="A5616" t="str">
        <f>"20190305135041821"</f>
        <v>20190305135041821</v>
      </c>
      <c r="B5616" t="str">
        <f>"1551765041816093"</f>
        <v>1551765041816093</v>
      </c>
      <c r="C5616" t="s">
        <v>40</v>
      </c>
      <c r="D5616">
        <v>4.1059570000000001</v>
      </c>
      <c r="E5616">
        <v>0.55275180000000002</v>
      </c>
      <c r="F5616" t="s">
        <v>42</v>
      </c>
      <c r="G5616">
        <v>-424.42439999999999</v>
      </c>
      <c r="H5616" s="1">
        <v>-2.500459E-6</v>
      </c>
      <c r="I5616">
        <v>42.673589999999997</v>
      </c>
      <c r="J5616">
        <v>-421.8723</v>
      </c>
      <c r="K5616">
        <v>1.1097459999999999</v>
      </c>
      <c r="L5616">
        <v>93.131709999999998</v>
      </c>
      <c r="M5616">
        <v>-5.8058440000000003E-2</v>
      </c>
      <c r="N5616">
        <v>-9.0941270000000005E-3</v>
      </c>
      <c r="O5616">
        <v>-0.9982721</v>
      </c>
      <c r="P5616">
        <v>8.6378739999999996E-2</v>
      </c>
      <c r="Q5616">
        <v>-0.112917</v>
      </c>
      <c r="R5616">
        <v>-0.98984300000000003</v>
      </c>
      <c r="S5616">
        <v>-0.15365599999999999</v>
      </c>
      <c r="T5616">
        <v>-6.6487069999999995E-2</v>
      </c>
      <c r="U5616">
        <v>-3.036438</v>
      </c>
      <c r="V5616">
        <v>-0.143483</v>
      </c>
      <c r="W5616">
        <v>-0.10427640000000001</v>
      </c>
      <c r="X5616">
        <v>0.98414380000000001</v>
      </c>
      <c r="Y5616">
        <v>-7.5355750000000001E-3</v>
      </c>
      <c r="Z5616">
        <v>1.274203E-2</v>
      </c>
      <c r="AA5616">
        <v>0.99989039999999996</v>
      </c>
      <c r="AB5616">
        <v>34</v>
      </c>
      <c r="AC5616">
        <v>-2.55209999999999</v>
      </c>
      <c r="AD5616">
        <v>-1.109748500459</v>
      </c>
      <c r="AE5616">
        <v>-50.458120000000001</v>
      </c>
      <c r="AF5616">
        <v>-0.38166102518281297</v>
      </c>
      <c r="AG5616">
        <v>-1.109748500459</v>
      </c>
      <c r="AH5616">
        <v>50.496812980292397</v>
      </c>
      <c r="AI5616">
        <v>91.258928099540398</v>
      </c>
      <c r="AJ5616">
        <v>90.4330401915484</v>
      </c>
      <c r="AK5616">
        <v>50.5104477117263</v>
      </c>
      <c r="AL5616">
        <v>95.985478606652094</v>
      </c>
      <c r="AM5616">
        <v>98.294980372397902</v>
      </c>
      <c r="AN5616">
        <v>0.99999997898219894</v>
      </c>
    </row>
    <row r="5617" spans="1:40" x14ac:dyDescent="0.25">
      <c r="A5617" t="str">
        <f>"20190305135041836"</f>
        <v>20190305135041836</v>
      </c>
      <c r="B5617" t="str">
        <f>"1551765041825853"</f>
        <v>1551765041825853</v>
      </c>
      <c r="C5617" t="s">
        <v>40</v>
      </c>
      <c r="D5617">
        <v>4.1058199999999996</v>
      </c>
      <c r="E5617">
        <v>0.55261990000000005</v>
      </c>
      <c r="F5617" t="s">
        <v>42</v>
      </c>
      <c r="G5617">
        <v>-424.4144</v>
      </c>
      <c r="H5617" s="1">
        <v>-2.2102180000000001E-6</v>
      </c>
      <c r="I5617">
        <v>42.003250000000001</v>
      </c>
      <c r="J5617">
        <v>-421.88409999999999</v>
      </c>
      <c r="K5617">
        <v>1.109701</v>
      </c>
      <c r="L5617">
        <v>92.921509999999998</v>
      </c>
      <c r="M5617">
        <v>-5.7605339999999998E-2</v>
      </c>
      <c r="N5617">
        <v>-9.1851329999999998E-3</v>
      </c>
      <c r="O5617">
        <v>-0.9982972</v>
      </c>
      <c r="P5617">
        <v>8.6806759999999997E-2</v>
      </c>
      <c r="Q5617">
        <v>-0.1129595</v>
      </c>
      <c r="R5617">
        <v>-0.98980029999999997</v>
      </c>
      <c r="S5617">
        <v>-0.15097049999999901</v>
      </c>
      <c r="T5617">
        <v>-6.590617E-2</v>
      </c>
      <c r="U5617">
        <v>-3.036438</v>
      </c>
      <c r="V5617">
        <v>-0.14347750000000001</v>
      </c>
      <c r="W5617">
        <v>-0.1042078</v>
      </c>
      <c r="X5617">
        <v>0.98415189999999997</v>
      </c>
      <c r="Y5617">
        <v>-7.9636499999999992E-3</v>
      </c>
      <c r="Z5617">
        <v>1.246152E-2</v>
      </c>
      <c r="AA5617">
        <v>0.99989059999999996</v>
      </c>
      <c r="AB5617">
        <v>34</v>
      </c>
      <c r="AC5617">
        <v>-2.5303000000000102</v>
      </c>
      <c r="AD5617">
        <v>-1.109703210218</v>
      </c>
      <c r="AE5617">
        <v>-50.918259999999997</v>
      </c>
      <c r="AF5617">
        <v>-0.406996607729249</v>
      </c>
      <c r="AG5617">
        <v>-1.109703210218</v>
      </c>
      <c r="AH5617">
        <v>50.955321999927797</v>
      </c>
      <c r="AI5617">
        <v>91.247548478659496</v>
      </c>
      <c r="AJ5617">
        <v>90.457630157207603</v>
      </c>
      <c r="AK5617">
        <v>50.969029101698503</v>
      </c>
      <c r="AL5617">
        <v>95.981526396495497</v>
      </c>
      <c r="AM5617">
        <v>98.294599513893104</v>
      </c>
      <c r="AN5617">
        <v>1.0000000104303499</v>
      </c>
    </row>
    <row r="5618" spans="1:40" x14ac:dyDescent="0.25">
      <c r="A5618" t="str">
        <f>"20190305135041848"</f>
        <v>20190305135041848</v>
      </c>
      <c r="B5618" t="str">
        <f>"1551765041845373"</f>
        <v>1551765041845373</v>
      </c>
      <c r="C5618" t="s">
        <v>40</v>
      </c>
      <c r="D5618">
        <v>4.0898219999999998</v>
      </c>
      <c r="E5618">
        <v>0.55241269999999998</v>
      </c>
      <c r="F5618" t="s">
        <v>42</v>
      </c>
      <c r="G5618">
        <v>-424.40640000000002</v>
      </c>
      <c r="H5618" s="1">
        <v>-1.9525599999999999E-6</v>
      </c>
      <c r="I5618">
        <v>41.407580000000003</v>
      </c>
      <c r="J5618">
        <v>-421.89479999999998</v>
      </c>
      <c r="K5618">
        <v>1.109666</v>
      </c>
      <c r="L5618">
        <v>92.728700000000003</v>
      </c>
      <c r="M5618">
        <v>-5.7219060000000002E-2</v>
      </c>
      <c r="N5618">
        <v>-9.2812109999999993E-3</v>
      </c>
      <c r="O5618">
        <v>-0.99831859999999994</v>
      </c>
      <c r="P5618">
        <v>8.6951990000000007E-2</v>
      </c>
      <c r="Q5618">
        <v>-0.113104</v>
      </c>
      <c r="R5618">
        <v>-0.98977130000000002</v>
      </c>
      <c r="S5618">
        <v>-0.1486816</v>
      </c>
      <c r="T5618">
        <v>-6.5411689999999995E-2</v>
      </c>
      <c r="U5618">
        <v>-3.0364990000000001</v>
      </c>
      <c r="V5618">
        <v>-0.14325460000000001</v>
      </c>
      <c r="W5618">
        <v>-0.1042373</v>
      </c>
      <c r="X5618">
        <v>0.98418119999999998</v>
      </c>
      <c r="Y5618">
        <v>-8.3293999999999903E-3</v>
      </c>
      <c r="Z5618">
        <v>1.220369E-2</v>
      </c>
      <c r="AA5618">
        <v>0.99989090000000003</v>
      </c>
      <c r="AB5618">
        <v>34</v>
      </c>
      <c r="AC5618">
        <v>-2.51160000000004</v>
      </c>
      <c r="AD5618">
        <v>-1.1096679525599999</v>
      </c>
      <c r="AE5618">
        <v>-51.321120000000001</v>
      </c>
      <c r="AF5618">
        <v>-0.42898761580489603</v>
      </c>
      <c r="AG5618">
        <v>-1.1096679525599999</v>
      </c>
      <c r="AH5618">
        <v>51.356795637461502</v>
      </c>
      <c r="AI5618">
        <v>91.237755998859996</v>
      </c>
      <c r="AJ5618">
        <v>90.478585314858805</v>
      </c>
      <c r="AK5618">
        <v>51.370573789742998</v>
      </c>
      <c r="AL5618">
        <v>95.983226151460997</v>
      </c>
      <c r="AM5618">
        <v>98.281649147444895</v>
      </c>
      <c r="AN5618">
        <v>0.99999996478294395</v>
      </c>
    </row>
    <row r="5619" spans="1:40" x14ac:dyDescent="0.25">
      <c r="A5619" t="str">
        <f>"20190305135041862"</f>
        <v>20190305135041862</v>
      </c>
      <c r="B5619" t="str">
        <f>"1551765041856109"</f>
        <v>1551765041856109</v>
      </c>
      <c r="C5619" t="s">
        <v>40</v>
      </c>
      <c r="D5619">
        <v>4.0837760000000003</v>
      </c>
      <c r="E5619">
        <v>0.55240219999999995</v>
      </c>
      <c r="F5619" t="s">
        <v>42</v>
      </c>
      <c r="G5619">
        <v>-424.42669999999998</v>
      </c>
      <c r="H5619" s="1">
        <v>-1.4588290000000001E-6</v>
      </c>
      <c r="I5619">
        <v>40.24409</v>
      </c>
      <c r="J5619">
        <v>-421.9058</v>
      </c>
      <c r="K5619">
        <v>1.109632</v>
      </c>
      <c r="L5619">
        <v>92.529449999999997</v>
      </c>
      <c r="M5619">
        <v>-5.6868950000000001E-2</v>
      </c>
      <c r="N5619">
        <v>-9.4054150000000003E-3</v>
      </c>
      <c r="O5619">
        <v>-0.99833760000000005</v>
      </c>
      <c r="P5619">
        <v>8.7360820000000006E-2</v>
      </c>
      <c r="Q5619">
        <v>-0.1130268</v>
      </c>
      <c r="R5619">
        <v>-0.98974439999999997</v>
      </c>
      <c r="S5619">
        <v>-0.14648439999999999</v>
      </c>
      <c r="T5619">
        <v>-6.4200519999999997E-2</v>
      </c>
      <c r="U5619">
        <v>-3.03653</v>
      </c>
      <c r="V5619">
        <v>-0.1433306</v>
      </c>
      <c r="W5619">
        <v>-0.1040186</v>
      </c>
      <c r="X5619">
        <v>0.98419330000000005</v>
      </c>
      <c r="Y5619">
        <v>-8.7007349999999994E-3</v>
      </c>
      <c r="Z5619">
        <v>1.1682710000000001E-2</v>
      </c>
      <c r="AA5619">
        <v>0.9998939</v>
      </c>
      <c r="AB5619">
        <v>34</v>
      </c>
      <c r="AC5619">
        <v>-2.5208999999999802</v>
      </c>
      <c r="AD5619">
        <v>-1.109633458829</v>
      </c>
      <c r="AE5619">
        <v>-52.285359999999997</v>
      </c>
      <c r="AF5619">
        <v>-0.45651921505097798</v>
      </c>
      <c r="AG5619">
        <v>-1.109633458829</v>
      </c>
      <c r="AH5619">
        <v>52.320593301143198</v>
      </c>
      <c r="AI5619">
        <v>91.214920576884694</v>
      </c>
      <c r="AJ5619">
        <v>90.499917123931297</v>
      </c>
      <c r="AK5619">
        <v>52.3343499012866</v>
      </c>
      <c r="AL5619">
        <v>95.970626917761507</v>
      </c>
      <c r="AM5619">
        <v>98.285881316744295</v>
      </c>
      <c r="AN5619">
        <v>0.99999999090360503</v>
      </c>
    </row>
    <row r="5620" spans="1:40" x14ac:dyDescent="0.25">
      <c r="A5620" t="str">
        <f>"20190305135041878"</f>
        <v>20190305135041878</v>
      </c>
      <c r="B5620" t="str">
        <f>"1551765041875630"</f>
        <v>1551765041875630</v>
      </c>
      <c r="C5620" t="s">
        <v>40</v>
      </c>
      <c r="D5620">
        <v>4.099901</v>
      </c>
      <c r="E5620">
        <v>0.55229030000000001</v>
      </c>
      <c r="F5620" t="s">
        <v>85</v>
      </c>
      <c r="G5620">
        <v>-424.47449999999998</v>
      </c>
      <c r="H5620" s="1">
        <v>-1.5006530000000001E-6</v>
      </c>
      <c r="I5620">
        <v>38.829770000000003</v>
      </c>
      <c r="J5620">
        <v>-421.91890000000001</v>
      </c>
      <c r="K5620">
        <v>1.10961</v>
      </c>
      <c r="L5620">
        <v>92.293400000000005</v>
      </c>
      <c r="M5620">
        <v>-5.6488249999999997E-2</v>
      </c>
      <c r="N5620">
        <v>-9.5997519999999996E-3</v>
      </c>
      <c r="O5620">
        <v>-0.99835719999999994</v>
      </c>
      <c r="P5620">
        <v>8.8307040000000003E-2</v>
      </c>
      <c r="Q5620">
        <v>-0.1134232</v>
      </c>
      <c r="R5620">
        <v>-0.98961469999999896</v>
      </c>
      <c r="S5620">
        <v>-0.1452637</v>
      </c>
      <c r="T5620">
        <v>-6.2750340000000002E-2</v>
      </c>
      <c r="U5620">
        <v>-3.036743</v>
      </c>
      <c r="V5620">
        <v>-0.14390929999999999</v>
      </c>
      <c r="W5620">
        <v>-0.1042039</v>
      </c>
      <c r="X5620">
        <v>0.98408929999999994</v>
      </c>
      <c r="Y5620">
        <v>-8.7235479999999994E-3</v>
      </c>
      <c r="Z5620">
        <v>1.1011969999999999E-2</v>
      </c>
      <c r="AA5620">
        <v>0.99990129999999999</v>
      </c>
      <c r="AB5620">
        <v>34</v>
      </c>
      <c r="AC5620">
        <v>-2.5555999999999699</v>
      </c>
      <c r="AD5620">
        <v>-1.1096115006530001</v>
      </c>
      <c r="AE5620">
        <v>-53.463630000000002</v>
      </c>
      <c r="AF5620">
        <v>-0.468485452213738</v>
      </c>
      <c r="AG5620">
        <v>-1.1096115006530001</v>
      </c>
      <c r="AH5620">
        <v>53.499630435011298</v>
      </c>
      <c r="AI5620">
        <v>91.188129809140193</v>
      </c>
      <c r="AJ5620">
        <v>90.501714738724203</v>
      </c>
      <c r="AK5620">
        <v>53.5131869073792</v>
      </c>
      <c r="AL5620">
        <v>95.981301512907393</v>
      </c>
      <c r="AM5620">
        <v>98.319735302875401</v>
      </c>
      <c r="AN5620">
        <v>1.0000000448880899</v>
      </c>
    </row>
    <row r="5621" spans="1:40" x14ac:dyDescent="0.25">
      <c r="A5621" t="str">
        <f>"20190305135041900"</f>
        <v>20190305135041900</v>
      </c>
      <c r="B5621" t="str">
        <f>"1551765041896125"</f>
        <v>1551765041896125</v>
      </c>
      <c r="C5621" t="s">
        <v>40</v>
      </c>
      <c r="D5621">
        <v>4.0854460000000001</v>
      </c>
      <c r="E5621">
        <v>0.55216189999999998</v>
      </c>
      <c r="F5621" t="s">
        <v>85</v>
      </c>
      <c r="G5621">
        <v>-424.43540000000002</v>
      </c>
      <c r="H5621" s="1">
        <v>-1.7515629999999999E-6</v>
      </c>
      <c r="I5621">
        <v>38.145580000000002</v>
      </c>
      <c r="J5621">
        <v>-421.93689999999998</v>
      </c>
      <c r="K5621">
        <v>1.1096029999999999</v>
      </c>
      <c r="L5621">
        <v>91.965879999999999</v>
      </c>
      <c r="M5621">
        <v>-5.6027430000000003E-2</v>
      </c>
      <c r="N5621">
        <v>-9.9555649999999996E-3</v>
      </c>
      <c r="O5621">
        <v>-0.99837989999999999</v>
      </c>
      <c r="P5621">
        <v>8.9119879999999999E-2</v>
      </c>
      <c r="Q5621">
        <v>-0.1137642</v>
      </c>
      <c r="R5621">
        <v>-0.98950309999999997</v>
      </c>
      <c r="S5621">
        <v>-0.14114380000000001</v>
      </c>
      <c r="T5621">
        <v>-6.2234159999999997E-2</v>
      </c>
      <c r="U5621">
        <v>-3.0369570000000001</v>
      </c>
      <c r="V5621">
        <v>-0.14428050000000001</v>
      </c>
      <c r="W5621">
        <v>-0.1041687</v>
      </c>
      <c r="X5621">
        <v>0.98403859999999999</v>
      </c>
      <c r="Y5621">
        <v>-9.618517E-3</v>
      </c>
      <c r="Z5621">
        <v>1.04867E-2</v>
      </c>
      <c r="AA5621">
        <v>0.99989870000000003</v>
      </c>
      <c r="AB5621">
        <v>34</v>
      </c>
      <c r="AC5621">
        <v>-2.4985000000000301</v>
      </c>
      <c r="AD5621">
        <v>-1.1096047515629901</v>
      </c>
      <c r="AE5621">
        <v>-53.820300000000003</v>
      </c>
      <c r="AF5621">
        <v>-0.520765692844252</v>
      </c>
      <c r="AG5621">
        <v>-1.1096047515629901</v>
      </c>
      <c r="AH5621">
        <v>53.852902593745597</v>
      </c>
      <c r="AI5621">
        <v>91.180320847220003</v>
      </c>
      <c r="AJ5621">
        <v>90.554041562698899</v>
      </c>
      <c r="AK5621">
        <v>53.8668500785314</v>
      </c>
      <c r="AL5621">
        <v>95.979274093922299</v>
      </c>
      <c r="AM5621">
        <v>98.341317415245996</v>
      </c>
      <c r="AN5621">
        <v>0.99999997351494896</v>
      </c>
    </row>
    <row r="5622" spans="1:40" x14ac:dyDescent="0.25">
      <c r="A5622" t="str">
        <f>"20190305135041915"</f>
        <v>20190305135041915</v>
      </c>
      <c r="B5622" t="str">
        <f>"1551765041905886"</f>
        <v>1551765041905886</v>
      </c>
      <c r="C5622" t="s">
        <v>40</v>
      </c>
      <c r="D5622">
        <v>4.1007559999999996</v>
      </c>
      <c r="E5622">
        <v>0.55213269999999903</v>
      </c>
      <c r="F5622" t="s">
        <v>85</v>
      </c>
      <c r="G5622">
        <v>-424.416</v>
      </c>
      <c r="H5622" s="1">
        <v>-1.9694460000000002E-6</v>
      </c>
      <c r="I5622">
        <v>37.561590000000002</v>
      </c>
      <c r="J5622">
        <v>-421.9495</v>
      </c>
      <c r="K5622">
        <v>1.1095950000000001</v>
      </c>
      <c r="L5622">
        <v>91.735110000000006</v>
      </c>
      <c r="M5622">
        <v>-5.5736569999999999E-2</v>
      </c>
      <c r="N5622">
        <v>-1.0227429999999999E-2</v>
      </c>
      <c r="O5622">
        <v>-0.99839319999999998</v>
      </c>
      <c r="P5622">
        <v>8.9146130000000004E-2</v>
      </c>
      <c r="Q5622">
        <v>-0.1142619</v>
      </c>
      <c r="R5622">
        <v>-0.98944279999999996</v>
      </c>
      <c r="S5622">
        <v>-0.1383972</v>
      </c>
      <c r="T5622">
        <v>-6.1944720000000002E-2</v>
      </c>
      <c r="U5622">
        <v>-3.0371700000000001</v>
      </c>
      <c r="V5622">
        <v>-0.14402909999999999</v>
      </c>
      <c r="W5622">
        <v>-0.104382</v>
      </c>
      <c r="X5622">
        <v>0.98405279999999995</v>
      </c>
      <c r="Y5622">
        <v>-1.023262E-2</v>
      </c>
      <c r="Z5622">
        <v>1.0119299999999999E-2</v>
      </c>
      <c r="AA5622">
        <v>0.99989649999999997</v>
      </c>
      <c r="AB5622">
        <v>34</v>
      </c>
      <c r="AC5622">
        <v>-2.4664999999999901</v>
      </c>
      <c r="AD5622">
        <v>-1.1095969694459999</v>
      </c>
      <c r="AE5622">
        <v>-54.173519999999897</v>
      </c>
      <c r="AF5622">
        <v>-0.55670538160313299</v>
      </c>
      <c r="AG5622">
        <v>-1.1095969694459999</v>
      </c>
      <c r="AH5622">
        <v>54.2040875320331</v>
      </c>
      <c r="AI5622">
        <v>91.172660524480193</v>
      </c>
      <c r="AJ5622">
        <v>90.588438045623803</v>
      </c>
      <c r="AK5622">
        <v>54.2183016286642</v>
      </c>
      <c r="AL5622">
        <v>95.991562424624505</v>
      </c>
      <c r="AM5622">
        <v>98.326868672529997</v>
      </c>
      <c r="AN5622">
        <v>0.99999994837932304</v>
      </c>
    </row>
    <row r="5623" spans="1:40" x14ac:dyDescent="0.25">
      <c r="A5623" t="str">
        <f>"20190305135041933"</f>
        <v>20190305135041933</v>
      </c>
      <c r="B5623" t="str">
        <f>"1551765041926304"</f>
        <v>1551765041926304</v>
      </c>
      <c r="C5623" t="s">
        <v>40</v>
      </c>
      <c r="D5623">
        <v>4.1299449999999904</v>
      </c>
      <c r="E5623">
        <v>0.55200830000000001</v>
      </c>
      <c r="F5623" t="s">
        <v>85</v>
      </c>
      <c r="G5623">
        <v>-424.37799999999999</v>
      </c>
      <c r="H5623" s="1">
        <v>-1.6816619999999999E-6</v>
      </c>
      <c r="I5623">
        <v>38.28857</v>
      </c>
      <c r="J5623">
        <v>-421.96409999999997</v>
      </c>
      <c r="K5623">
        <v>1.1095980000000001</v>
      </c>
      <c r="L5623">
        <v>91.466769999999997</v>
      </c>
      <c r="M5623">
        <v>-5.5423790000000001E-2</v>
      </c>
      <c r="N5623">
        <v>-1.0533539999999999E-2</v>
      </c>
      <c r="O5623">
        <v>-0.9984073</v>
      </c>
      <c r="P5623">
        <v>8.9295680000000002E-2</v>
      </c>
      <c r="Q5623">
        <v>-0.1149828</v>
      </c>
      <c r="R5623">
        <v>-0.98934599999999995</v>
      </c>
      <c r="S5623">
        <v>-0.1380005</v>
      </c>
      <c r="T5623">
        <v>-6.3054319999999997E-2</v>
      </c>
      <c r="U5623">
        <v>-3.0371700000000001</v>
      </c>
      <c r="V5623">
        <v>-0.143877</v>
      </c>
      <c r="W5623">
        <v>-0.1047855</v>
      </c>
      <c r="X5623">
        <v>0.98403220000000002</v>
      </c>
      <c r="Y5623">
        <v>-1.0049860000000001E-2</v>
      </c>
      <c r="Z5623">
        <v>1.01782E-2</v>
      </c>
      <c r="AA5623">
        <v>0.9998977</v>
      </c>
      <c r="AB5623">
        <v>34</v>
      </c>
      <c r="AC5623">
        <v>-2.4139000000000599</v>
      </c>
      <c r="AD5623">
        <v>-1.109599681662</v>
      </c>
      <c r="AE5623">
        <v>-53.178199999999997</v>
      </c>
      <c r="AF5623">
        <v>-0.53707849674040498</v>
      </c>
      <c r="AG5623">
        <v>-1.109599681662</v>
      </c>
      <c r="AH5623">
        <v>53.207129185085897</v>
      </c>
      <c r="AI5623">
        <v>91.194631781016099</v>
      </c>
      <c r="AJ5623">
        <v>90.578330132151706</v>
      </c>
      <c r="AK5623">
        <v>53.221407919028501</v>
      </c>
      <c r="AL5623">
        <v>96.0148085546967</v>
      </c>
      <c r="AM5623">
        <v>98.318369998441199</v>
      </c>
      <c r="AN5623">
        <v>0.99999998138804402</v>
      </c>
    </row>
    <row r="5624" spans="1:40" x14ac:dyDescent="0.25">
      <c r="A5624" t="str">
        <f>"20190305135041948"</f>
        <v>20190305135041948</v>
      </c>
      <c r="B5624" t="str">
        <f>"1551765041935595"</f>
        <v>1551765041935595</v>
      </c>
      <c r="C5624" t="s">
        <v>40</v>
      </c>
      <c r="D5624">
        <v>4.6629620000000003</v>
      </c>
      <c r="E5624">
        <v>0.55203400000000002</v>
      </c>
      <c r="F5624" t="s">
        <v>85</v>
      </c>
      <c r="G5624">
        <v>-424.34269999999998</v>
      </c>
      <c r="H5624" s="1">
        <v>-1.592801E-6</v>
      </c>
      <c r="I5624">
        <v>38.496670000000002</v>
      </c>
      <c r="J5624">
        <v>-421.97609999999997</v>
      </c>
      <c r="K5624">
        <v>1.109599</v>
      </c>
      <c r="L5624">
        <v>91.24588</v>
      </c>
      <c r="M5624">
        <v>-5.5181069999999999E-2</v>
      </c>
      <c r="N5624">
        <v>-1.077263E-2</v>
      </c>
      <c r="O5624">
        <v>-0.99841840000000004</v>
      </c>
      <c r="P5624">
        <v>8.9248069999999999E-2</v>
      </c>
      <c r="Q5624">
        <v>-0.1152561</v>
      </c>
      <c r="R5624">
        <v>-0.98931829999999998</v>
      </c>
      <c r="S5624">
        <v>-0.13638310000000001</v>
      </c>
      <c r="T5624">
        <v>-6.3622239999999997E-2</v>
      </c>
      <c r="U5624">
        <v>-3.037201</v>
      </c>
      <c r="V5624">
        <v>-0.1435969</v>
      </c>
      <c r="W5624">
        <v>-0.10481210000000001</v>
      </c>
      <c r="X5624">
        <v>0.98407029999999995</v>
      </c>
      <c r="Y5624">
        <v>-1.033862E-2</v>
      </c>
      <c r="Z5624">
        <v>1.012599E-2</v>
      </c>
      <c r="AA5624">
        <v>0.99989530000000004</v>
      </c>
      <c r="AB5624">
        <v>33</v>
      </c>
      <c r="AC5624">
        <v>-2.3666</v>
      </c>
      <c r="AD5624">
        <v>-1.109600592801</v>
      </c>
      <c r="AE5624">
        <v>-52.749209999999998</v>
      </c>
      <c r="AF5624">
        <v>-0.54769071629386601</v>
      </c>
      <c r="AG5624">
        <v>-1.109600592801</v>
      </c>
      <c r="AH5624">
        <v>52.776123287529899</v>
      </c>
      <c r="AI5624">
        <v>91.204382593617495</v>
      </c>
      <c r="AJ5624">
        <v>90.594572661589098</v>
      </c>
      <c r="AK5624">
        <v>52.790627651665702</v>
      </c>
      <c r="AL5624">
        <v>96.016340944863501</v>
      </c>
      <c r="AM5624">
        <v>98.302084773853295</v>
      </c>
      <c r="AN5624">
        <v>1.0000000006690499</v>
      </c>
    </row>
    <row r="5625" spans="1:40" x14ac:dyDescent="0.25">
      <c r="A5625" t="str">
        <f>"20190305135041961"</f>
        <v>20190305135041961</v>
      </c>
      <c r="B5625" t="str">
        <f>"1551765041956092"</f>
        <v>1551765041956092</v>
      </c>
      <c r="C5625" t="s">
        <v>40</v>
      </c>
      <c r="D5625">
        <v>4.0844310000000004</v>
      </c>
      <c r="E5625">
        <v>0.55202850000000003</v>
      </c>
      <c r="F5625" t="s">
        <v>85</v>
      </c>
      <c r="G5625">
        <v>-424.37049999999999</v>
      </c>
      <c r="H5625" s="1">
        <v>-1.7297219999999999E-6</v>
      </c>
      <c r="I5625">
        <v>38.157550000000001</v>
      </c>
      <c r="J5625">
        <v>-421.9873</v>
      </c>
      <c r="K5625">
        <v>1.109602</v>
      </c>
      <c r="L5625">
        <v>91.037540000000007</v>
      </c>
      <c r="M5625">
        <v>-5.4961999999999997E-2</v>
      </c>
      <c r="N5625">
        <v>-1.098796E-2</v>
      </c>
      <c r="O5625">
        <v>-0.99842790000000003</v>
      </c>
      <c r="P5625">
        <v>8.9289809999999997E-2</v>
      </c>
      <c r="Q5625">
        <v>-0.11527320000000001</v>
      </c>
      <c r="R5625">
        <v>-0.98931250000000004</v>
      </c>
      <c r="S5625">
        <v>-0.13699339999999999</v>
      </c>
      <c r="T5625">
        <v>-6.3483830000000005E-2</v>
      </c>
      <c r="U5625">
        <v>-3.0373540000000001</v>
      </c>
      <c r="V5625">
        <v>-0.14342869999999999</v>
      </c>
      <c r="W5625">
        <v>-0.10460899999999999</v>
      </c>
      <c r="X5625">
        <v>0.9841164</v>
      </c>
      <c r="Y5625">
        <v>-9.9209970000000008E-3</v>
      </c>
      <c r="Z5625">
        <v>9.8647939999999996E-3</v>
      </c>
      <c r="AA5625">
        <v>0.99990210000000002</v>
      </c>
      <c r="AB5625">
        <v>33</v>
      </c>
      <c r="AC5625">
        <v>-2.38319999999998</v>
      </c>
      <c r="AD5625">
        <v>-1.1096037297220001</v>
      </c>
      <c r="AE5625">
        <v>-52.879989999999999</v>
      </c>
      <c r="AF5625">
        <v>-0.52673704261268395</v>
      </c>
      <c r="AG5625">
        <v>-1.1096037297220001</v>
      </c>
      <c r="AH5625">
        <v>52.907794453582802</v>
      </c>
      <c r="AI5625">
        <v>91.201394682876497</v>
      </c>
      <c r="AJ5625">
        <v>90.570403902006504</v>
      </c>
      <c r="AK5625">
        <v>52.922050095320799</v>
      </c>
      <c r="AL5625">
        <v>96.004640082276794</v>
      </c>
      <c r="AM5625">
        <v>98.292112513694903</v>
      </c>
      <c r="AN5625">
        <v>0.99999996180682404</v>
      </c>
    </row>
    <row r="5626" spans="1:40" x14ac:dyDescent="0.25">
      <c r="A5626" t="str">
        <f>"20190305135041977"</f>
        <v>20190305135041977</v>
      </c>
      <c r="B5626" t="str">
        <f>"1551765041965852"</f>
        <v>1551765041965852</v>
      </c>
      <c r="C5626" t="s">
        <v>40</v>
      </c>
      <c r="D5626">
        <v>4.1138849999999998</v>
      </c>
      <c r="E5626">
        <v>0.55203080000000004</v>
      </c>
      <c r="F5626" t="s">
        <v>85</v>
      </c>
      <c r="G5626">
        <v>-424.44490000000002</v>
      </c>
      <c r="H5626" s="1">
        <v>-2.628718E-6</v>
      </c>
      <c r="I5626">
        <v>36.46114</v>
      </c>
      <c r="J5626">
        <v>-421.99990000000003</v>
      </c>
      <c r="K5626">
        <v>1.1096090000000001</v>
      </c>
      <c r="L5626">
        <v>90.804990000000004</v>
      </c>
      <c r="M5626">
        <v>-5.4721840000000001E-2</v>
      </c>
      <c r="N5626">
        <v>-1.121923E-2</v>
      </c>
      <c r="O5626">
        <v>-0.99843879999999996</v>
      </c>
      <c r="P5626">
        <v>8.9016970000000001E-2</v>
      </c>
      <c r="Q5626">
        <v>-0.115220699999999</v>
      </c>
      <c r="R5626">
        <v>-0.98934370000000005</v>
      </c>
      <c r="S5626">
        <v>-0.13677979999999901</v>
      </c>
      <c r="T5626">
        <v>-6.1756850000000002E-2</v>
      </c>
      <c r="U5626">
        <v>-3.0375369999999999</v>
      </c>
      <c r="V5626">
        <v>-0.1429272</v>
      </c>
      <c r="W5626">
        <v>-0.1043203</v>
      </c>
      <c r="X5626">
        <v>0.98421999999999998</v>
      </c>
      <c r="Y5626">
        <v>-9.7531549999999995E-3</v>
      </c>
      <c r="Z5626">
        <v>9.0662329999999999E-3</v>
      </c>
      <c r="AA5626">
        <v>0.99991129999999995</v>
      </c>
      <c r="AB5626">
        <v>33</v>
      </c>
      <c r="AC5626">
        <v>-2.4449999999999901</v>
      </c>
      <c r="AD5626">
        <v>-1.109611628718</v>
      </c>
      <c r="AE5626">
        <v>-54.343850000000003</v>
      </c>
      <c r="AF5626">
        <v>-0.532424494599674</v>
      </c>
      <c r="AG5626">
        <v>-1.109611628718</v>
      </c>
      <c r="AH5626">
        <v>54.373593241813303</v>
      </c>
      <c r="AI5626">
        <v>91.169026906756102</v>
      </c>
      <c r="AJ5626">
        <v>90.561020519319001</v>
      </c>
      <c r="AK5626">
        <v>54.387520221418498</v>
      </c>
      <c r="AL5626">
        <v>95.988007805297499</v>
      </c>
      <c r="AM5626">
        <v>98.262662316562398</v>
      </c>
      <c r="AN5626">
        <v>0.99999995894596405</v>
      </c>
    </row>
    <row r="5627" spans="1:40" x14ac:dyDescent="0.25">
      <c r="A5627" t="str">
        <f>"20190305135041992"</f>
        <v>20190305135041992</v>
      </c>
      <c r="B5627" t="str">
        <f>"1551765041985372"</f>
        <v>1551765041985372</v>
      </c>
      <c r="C5627" t="s">
        <v>40</v>
      </c>
      <c r="D5627">
        <v>4.1052280000000003</v>
      </c>
      <c r="E5627">
        <v>0.55201889999999998</v>
      </c>
      <c r="F5627" t="s">
        <v>85</v>
      </c>
      <c r="G5627">
        <v>-424.51229999999998</v>
      </c>
      <c r="H5627" s="1">
        <v>-3.2628349999999998E-6</v>
      </c>
      <c r="I5627">
        <v>35.478279999999998</v>
      </c>
      <c r="J5627">
        <v>-422.01130000000001</v>
      </c>
      <c r="K5627">
        <v>1.109615</v>
      </c>
      <c r="L5627">
        <v>90.593140000000005</v>
      </c>
      <c r="M5627">
        <v>-5.4505659999999997E-2</v>
      </c>
      <c r="N5627">
        <v>-1.142078E-2</v>
      </c>
      <c r="O5627">
        <v>-0.99844829999999996</v>
      </c>
      <c r="P5627">
        <v>8.9048799999999997E-2</v>
      </c>
      <c r="Q5627">
        <v>-0.1155905</v>
      </c>
      <c r="R5627">
        <v>-0.98929739999999999</v>
      </c>
      <c r="S5627">
        <v>-0.13793949999999999</v>
      </c>
      <c r="T5627">
        <v>-6.0921549999999998E-2</v>
      </c>
      <c r="U5627">
        <v>-3.0376280000000002</v>
      </c>
      <c r="V5627">
        <v>-0.14274779999999901</v>
      </c>
      <c r="W5627">
        <v>-0.10448639999999999</v>
      </c>
      <c r="X5627">
        <v>0.98422849999999995</v>
      </c>
      <c r="Y5627">
        <v>-9.1570690000000003E-3</v>
      </c>
      <c r="Z5627">
        <v>8.5905189999999996E-3</v>
      </c>
      <c r="AA5627">
        <v>0.99992110000000001</v>
      </c>
      <c r="AB5627">
        <v>33</v>
      </c>
      <c r="AC5627">
        <v>-2.5009999999999701</v>
      </c>
      <c r="AD5627">
        <v>-1.109618262835</v>
      </c>
      <c r="AE5627">
        <v>-55.11486</v>
      </c>
      <c r="AF5627">
        <v>-0.50678061693446497</v>
      </c>
      <c r="AG5627">
        <v>-1.109618262835</v>
      </c>
      <c r="AH5627">
        <v>55.146939671752499</v>
      </c>
      <c r="AI5627">
        <v>91.152651129991895</v>
      </c>
      <c r="AJ5627">
        <v>90.526512864248204</v>
      </c>
      <c r="AK5627">
        <v>55.160429969705902</v>
      </c>
      <c r="AL5627">
        <v>95.997576434447097</v>
      </c>
      <c r="AM5627">
        <v>98.252363791951197</v>
      </c>
      <c r="AN5627">
        <v>1.0000000412010199</v>
      </c>
    </row>
    <row r="5628" spans="1:40" x14ac:dyDescent="0.25">
      <c r="A5628" t="str">
        <f>"20190305135042003"</f>
        <v>20190305135042003</v>
      </c>
      <c r="B5628" t="str">
        <f>"1551765041996109"</f>
        <v>1551765041996109</v>
      </c>
      <c r="C5628" t="s">
        <v>40</v>
      </c>
      <c r="D5628">
        <v>4.0885870000000004</v>
      </c>
      <c r="E5628">
        <v>0.55199119999999902</v>
      </c>
      <c r="F5628" t="s">
        <v>85</v>
      </c>
      <c r="G5628">
        <v>-424.53250000000003</v>
      </c>
      <c r="H5628" s="1">
        <v>-3.6986040000000002E-6</v>
      </c>
      <c r="I5628">
        <v>34.797139999999999</v>
      </c>
      <c r="J5628">
        <v>-422.02140000000003</v>
      </c>
      <c r="K5628">
        <v>1.109618</v>
      </c>
      <c r="L5628">
        <v>90.404420000000002</v>
      </c>
      <c r="M5628">
        <v>-5.4313300000000002E-2</v>
      </c>
      <c r="N5628">
        <v>-1.1588040000000001E-2</v>
      </c>
      <c r="O5628">
        <v>-0.99845700000000004</v>
      </c>
      <c r="P5628">
        <v>8.8859779999999999E-2</v>
      </c>
      <c r="Q5628">
        <v>-0.1157107</v>
      </c>
      <c r="R5628">
        <v>-0.98930059999999997</v>
      </c>
      <c r="S5628">
        <v>-0.1372681</v>
      </c>
      <c r="T5628">
        <v>-6.0411930000000003E-2</v>
      </c>
      <c r="U5628">
        <v>-3.03775</v>
      </c>
      <c r="V5628">
        <v>-0.14237250000000001</v>
      </c>
      <c r="W5628">
        <v>-0.1044373</v>
      </c>
      <c r="X5628">
        <v>0.98428800000000005</v>
      </c>
      <c r="Y5628">
        <v>-9.1867240000000003E-3</v>
      </c>
      <c r="Z5628">
        <v>8.2557280000000004E-3</v>
      </c>
      <c r="AA5628">
        <v>0.99992369999999997</v>
      </c>
      <c r="AB5628">
        <v>33</v>
      </c>
      <c r="AC5628">
        <v>-2.5110999999999901</v>
      </c>
      <c r="AD5628">
        <v>-1.109621698604</v>
      </c>
      <c r="AE5628">
        <v>-55.607280000000003</v>
      </c>
      <c r="AF5628">
        <v>-0.51282001848782599</v>
      </c>
      <c r="AG5628">
        <v>-1.109621698604</v>
      </c>
      <c r="AH5628">
        <v>55.639474963844997</v>
      </c>
      <c r="AI5628">
        <v>91.142453525512494</v>
      </c>
      <c r="AJ5628">
        <v>90.528070956050897</v>
      </c>
      <c r="AK5628">
        <v>55.6529012625371</v>
      </c>
      <c r="AL5628">
        <v>95.994748148037701</v>
      </c>
      <c r="AM5628">
        <v>98.230474316491396</v>
      </c>
      <c r="AN5628">
        <v>0.99999997266576901</v>
      </c>
    </row>
    <row r="5629" spans="1:40" x14ac:dyDescent="0.25">
      <c r="A5629" t="str">
        <f>"20190305135042017"</f>
        <v>20190305135042017</v>
      </c>
      <c r="B5629" t="str">
        <f>"1551765042005868"</f>
        <v>1551765042005868</v>
      </c>
      <c r="C5629" t="s">
        <v>40</v>
      </c>
      <c r="D5629">
        <v>4.1013129999999904</v>
      </c>
      <c r="E5629">
        <v>0.55195490000000003</v>
      </c>
      <c r="F5629" t="s">
        <v>85</v>
      </c>
      <c r="G5629">
        <v>-424.55720000000002</v>
      </c>
      <c r="H5629" s="1">
        <v>-3.8579989999999999E-6</v>
      </c>
      <c r="I5629">
        <v>34.49812</v>
      </c>
      <c r="J5629">
        <v>-422.03160000000003</v>
      </c>
      <c r="K5629">
        <v>1.1096220000000001</v>
      </c>
      <c r="L5629">
        <v>90.213260000000005</v>
      </c>
      <c r="M5629">
        <v>-5.4116999999999998E-2</v>
      </c>
      <c r="N5629">
        <v>-1.174861E-2</v>
      </c>
      <c r="O5629">
        <v>-0.99846579999999996</v>
      </c>
      <c r="P5629">
        <v>8.8873419999999995E-2</v>
      </c>
      <c r="Q5629">
        <v>-0.11612409999999999</v>
      </c>
      <c r="R5629">
        <v>-0.98925090000000004</v>
      </c>
      <c r="S5629">
        <v>-0.13778689999999999</v>
      </c>
      <c r="T5629">
        <v>-6.0293560000000003E-2</v>
      </c>
      <c r="U5629">
        <v>-3.0377809999999998</v>
      </c>
      <c r="V5629">
        <v>-0.14219229999999899</v>
      </c>
      <c r="W5629">
        <v>-0.1046894</v>
      </c>
      <c r="X5629">
        <v>0.98428729999999998</v>
      </c>
      <c r="Y5629">
        <v>-8.8202279999999994E-3</v>
      </c>
      <c r="Z5629">
        <v>8.0565769999999901E-3</v>
      </c>
      <c r="AA5629">
        <v>0.9999287</v>
      </c>
      <c r="AB5629">
        <v>33</v>
      </c>
      <c r="AC5629">
        <v>-2.5255999999999901</v>
      </c>
      <c r="AD5629">
        <v>-1.1096258579989999</v>
      </c>
      <c r="AE5629">
        <v>-55.715139999999899</v>
      </c>
      <c r="AF5629">
        <v>-0.49324966095015799</v>
      </c>
      <c r="AG5629">
        <v>-1.1096258579989999</v>
      </c>
      <c r="AH5629">
        <v>55.748104072092602</v>
      </c>
      <c r="AI5629">
        <v>91.140236034719507</v>
      </c>
      <c r="AJ5629">
        <v>90.506929999835407</v>
      </c>
      <c r="AK5629">
        <v>55.761327749665597</v>
      </c>
      <c r="AL5629">
        <v>96.009271837314401</v>
      </c>
      <c r="AM5629">
        <v>98.220205271849295</v>
      </c>
      <c r="AN5629">
        <v>1.0000000047964599</v>
      </c>
    </row>
    <row r="5630" spans="1:40" x14ac:dyDescent="0.25">
      <c r="A5630" t="str">
        <f>"20190305135042031"</f>
        <v>20190305135042031</v>
      </c>
      <c r="B5630" t="str">
        <f>"1551765042025388"</f>
        <v>1551765042025388</v>
      </c>
      <c r="C5630" t="s">
        <v>40</v>
      </c>
      <c r="D5630">
        <v>4.1197290000000004</v>
      </c>
      <c r="E5630">
        <v>0.55189250000000001</v>
      </c>
      <c r="F5630" t="s">
        <v>85</v>
      </c>
      <c r="G5630">
        <v>-424.51679999999999</v>
      </c>
      <c r="H5630" s="1">
        <v>-3.492829E-6</v>
      </c>
      <c r="I5630">
        <v>35.117429999999999</v>
      </c>
      <c r="J5630">
        <v>-422.0428</v>
      </c>
      <c r="K5630">
        <v>1.1096269999999999</v>
      </c>
      <c r="L5630">
        <v>90.002080000000007</v>
      </c>
      <c r="M5630">
        <v>-5.3898649999999999E-2</v>
      </c>
      <c r="N5630">
        <v>-1.191714E-2</v>
      </c>
      <c r="O5630">
        <v>-0.99847529999999995</v>
      </c>
      <c r="P5630">
        <v>8.8929709999999995E-2</v>
      </c>
      <c r="Q5630">
        <v>-0.1162778</v>
      </c>
      <c r="R5630">
        <v>-0.98922770000000004</v>
      </c>
      <c r="S5630">
        <v>-0.1370239</v>
      </c>
      <c r="T5630">
        <v>-6.1179400000000002E-2</v>
      </c>
      <c r="U5630">
        <v>-3.0377200000000002</v>
      </c>
      <c r="V5630">
        <v>-0.14203479999999999</v>
      </c>
      <c r="W5630">
        <v>-0.1046738</v>
      </c>
      <c r="X5630">
        <v>0.98431170000000001</v>
      </c>
      <c r="Y5630">
        <v>-8.8513869999999901E-3</v>
      </c>
      <c r="Z5630">
        <v>8.1796630000000002E-3</v>
      </c>
      <c r="AA5630">
        <v>0.99992729999999996</v>
      </c>
      <c r="AB5630">
        <v>33</v>
      </c>
      <c r="AC5630">
        <v>-2.4739999999999802</v>
      </c>
      <c r="AD5630">
        <v>-1.1096304928289999</v>
      </c>
      <c r="AE5630">
        <v>-54.884650000000001</v>
      </c>
      <c r="AF5630">
        <v>-0.48781631216808202</v>
      </c>
      <c r="AG5630">
        <v>-1.1096304928289999</v>
      </c>
      <c r="AH5630">
        <v>54.915812505810202</v>
      </c>
      <c r="AI5630">
        <v>91.157516999072001</v>
      </c>
      <c r="AJ5630">
        <v>90.508944136035197</v>
      </c>
      <c r="AK5630">
        <v>54.929188122147998</v>
      </c>
      <c r="AL5630">
        <v>96.008373079249395</v>
      </c>
      <c r="AM5630">
        <v>98.211023576930401</v>
      </c>
      <c r="AN5630">
        <v>1.0000000057871801</v>
      </c>
    </row>
    <row r="5631" spans="1:40" x14ac:dyDescent="0.25">
      <c r="A5631" t="str">
        <f>"20190305135042043"</f>
        <v>20190305135042043</v>
      </c>
      <c r="B5631" t="str">
        <f>"1551765042036125"</f>
        <v>1551765042036125</v>
      </c>
      <c r="C5631" t="s">
        <v>40</v>
      </c>
      <c r="D5631">
        <v>4.605747</v>
      </c>
      <c r="E5631">
        <v>0.55189250000000001</v>
      </c>
      <c r="F5631" t="s">
        <v>85</v>
      </c>
      <c r="G5631">
        <v>-424.51280000000003</v>
      </c>
      <c r="H5631" s="1">
        <v>-3.489915E-6</v>
      </c>
      <c r="I5631">
        <v>35.121139999999997</v>
      </c>
      <c r="J5631">
        <v>-422.05290000000002</v>
      </c>
      <c r="K5631">
        <v>1.1096330000000001</v>
      </c>
      <c r="L5631">
        <v>89.809510000000003</v>
      </c>
      <c r="M5631">
        <v>-5.369691E-2</v>
      </c>
      <c r="N5631">
        <v>-1.2057729999999999E-2</v>
      </c>
      <c r="O5631">
        <v>-0.99848460000000006</v>
      </c>
      <c r="P5631">
        <v>8.9475890000000002E-2</v>
      </c>
      <c r="Q5631">
        <v>-0.1161792</v>
      </c>
      <c r="R5631">
        <v>-0.98919009999999996</v>
      </c>
      <c r="S5631">
        <v>-0.136718799999999</v>
      </c>
      <c r="T5631">
        <v>-6.1419250000000002E-2</v>
      </c>
      <c r="U5631">
        <v>-3.0377200000000002</v>
      </c>
      <c r="V5631">
        <v>-0.14238199999999901</v>
      </c>
      <c r="W5631">
        <v>-0.1044351</v>
      </c>
      <c r="X5631">
        <v>0.98428689999999996</v>
      </c>
      <c r="Y5631">
        <v>-8.7496480000000005E-3</v>
      </c>
      <c r="Z5631">
        <v>8.1182489999999993E-3</v>
      </c>
      <c r="AA5631">
        <v>0.99992879999999995</v>
      </c>
      <c r="AB5631">
        <v>33</v>
      </c>
      <c r="AC5631">
        <v>-2.4599000000000002</v>
      </c>
      <c r="AD5631">
        <v>-1.109636489915</v>
      </c>
      <c r="AE5631">
        <v>-54.6883699999999</v>
      </c>
      <c r="AF5631">
        <v>-0.48026176359957201</v>
      </c>
      <c r="AG5631">
        <v>-1.109636489915</v>
      </c>
      <c r="AH5631">
        <v>54.719075288802301</v>
      </c>
      <c r="AI5631">
        <v>91.161684967492405</v>
      </c>
      <c r="AJ5631">
        <v>90.502864228402402</v>
      </c>
      <c r="AK5631">
        <v>54.732432295330597</v>
      </c>
      <c r="AL5631">
        <v>95.994621162918307</v>
      </c>
      <c r="AM5631">
        <v>98.231025054136595</v>
      </c>
      <c r="AN5631">
        <v>1.00000001277381</v>
      </c>
    </row>
    <row r="5632" spans="1:40" x14ac:dyDescent="0.25">
      <c r="A5632" t="str">
        <f>"20190305135042067"</f>
        <v>20190305135042067</v>
      </c>
      <c r="B5632" t="str">
        <f>"1551765042055644"</f>
        <v>1551765042055644</v>
      </c>
      <c r="C5632" t="s">
        <v>40</v>
      </c>
      <c r="D5632">
        <v>4.2990440000000003</v>
      </c>
      <c r="E5632">
        <v>0.48811769999999999</v>
      </c>
      <c r="F5632" t="s">
        <v>85</v>
      </c>
      <c r="G5632">
        <v>-424.51350000000002</v>
      </c>
      <c r="H5632" s="1">
        <v>-3.9227879999999996E-6</v>
      </c>
      <c r="I5632">
        <v>34.293979999999998</v>
      </c>
      <c r="J5632">
        <v>-422.07049999999998</v>
      </c>
      <c r="K5632">
        <v>1.109639</v>
      </c>
      <c r="L5632">
        <v>89.475560000000002</v>
      </c>
      <c r="M5632">
        <v>-5.3343889999999998E-2</v>
      </c>
      <c r="N5632">
        <v>-1.2282650000000001E-2</v>
      </c>
      <c r="O5632">
        <v>-0.99850079999999997</v>
      </c>
      <c r="P5632">
        <v>9.0479000000000004E-2</v>
      </c>
      <c r="Q5632">
        <v>-0.115993</v>
      </c>
      <c r="R5632">
        <v>-0.98912089999999997</v>
      </c>
      <c r="S5632">
        <v>-0.1346436</v>
      </c>
      <c r="T5632">
        <v>-6.0719969999999998E-2</v>
      </c>
      <c r="U5632">
        <v>-3.0378419999999999</v>
      </c>
      <c r="V5632">
        <v>-0.14303489999999999</v>
      </c>
      <c r="W5632">
        <v>-0.10402550000000001</v>
      </c>
      <c r="X5632">
        <v>0.98423559999999999</v>
      </c>
      <c r="Y5632">
        <v>-9.079508E-3</v>
      </c>
      <c r="Z5632">
        <v>7.6638280000000001E-3</v>
      </c>
      <c r="AA5632">
        <v>0.99992939999999997</v>
      </c>
      <c r="AB5632">
        <v>33</v>
      </c>
      <c r="AC5632">
        <v>-2.44300000000004</v>
      </c>
      <c r="AD5632">
        <v>-1.109642922788</v>
      </c>
      <c r="AE5632">
        <v>-55.181579999999997</v>
      </c>
      <c r="AF5632">
        <v>-0.50409720711411099</v>
      </c>
      <c r="AG5632">
        <v>-1.109642922788</v>
      </c>
      <c r="AH5632">
        <v>55.211047639536602</v>
      </c>
      <c r="AI5632">
        <v>91.151339301264997</v>
      </c>
      <c r="AJ5632">
        <v>90.523117041237597</v>
      </c>
      <c r="AK5632">
        <v>55.224498212889998</v>
      </c>
      <c r="AL5632">
        <v>95.971024349844001</v>
      </c>
      <c r="AM5632">
        <v>98.268673177339593</v>
      </c>
      <c r="AN5632">
        <v>1.0000000017878099</v>
      </c>
    </row>
    <row r="5633" spans="1:40" x14ac:dyDescent="0.25">
      <c r="A5633" t="str">
        <f>"20190305135042090"</f>
        <v>20190305135042090</v>
      </c>
      <c r="B5633" t="str">
        <f>"1551765042085900"</f>
        <v>1551765042085900</v>
      </c>
      <c r="C5633" t="s">
        <v>40</v>
      </c>
      <c r="D5633">
        <v>4.2294640000000001</v>
      </c>
      <c r="E5633">
        <v>0.4639105</v>
      </c>
      <c r="F5633" t="s">
        <v>97</v>
      </c>
      <c r="G5633">
        <v>-410.9042</v>
      </c>
      <c r="H5633">
        <v>0.13405899999999901</v>
      </c>
      <c r="I5633">
        <v>0.56989100000000004</v>
      </c>
      <c r="J5633">
        <v>-422.08870000000002</v>
      </c>
      <c r="K5633">
        <v>1.109648</v>
      </c>
      <c r="L5633">
        <v>89.127009999999999</v>
      </c>
      <c r="M5633">
        <v>-5.2972720000000001E-2</v>
      </c>
      <c r="N5633">
        <v>-1.2489429999999999E-2</v>
      </c>
      <c r="O5633">
        <v>-0.99851789999999996</v>
      </c>
      <c r="P5633">
        <v>9.1700589999999998E-2</v>
      </c>
      <c r="Q5633">
        <v>-0.11561589999999999</v>
      </c>
      <c r="R5633">
        <v>-0.98905200000000004</v>
      </c>
      <c r="S5633">
        <v>0.3761292</v>
      </c>
      <c r="T5633">
        <v>-3.28629E-2</v>
      </c>
      <c r="U5633">
        <v>-2.9947509999999999</v>
      </c>
      <c r="V5633">
        <v>-0.1438884</v>
      </c>
      <c r="W5633">
        <v>-0.10344399999999999</v>
      </c>
      <c r="X5633">
        <v>0.98417250000000001</v>
      </c>
      <c r="Y5633">
        <v>-0.1769801</v>
      </c>
      <c r="Z5633">
        <v>-1.7104189999999999E-3</v>
      </c>
      <c r="AA5633">
        <v>0.98421289999999995</v>
      </c>
      <c r="AB5633">
        <v>33</v>
      </c>
      <c r="AC5633">
        <v>11.1845</v>
      </c>
      <c r="AD5633">
        <v>-0.97558899999999904</v>
      </c>
      <c r="AE5633">
        <v>-88.557119</v>
      </c>
      <c r="AF5633">
        <v>-15.858376827600001</v>
      </c>
      <c r="AG5633">
        <v>-0.97558899999999904</v>
      </c>
      <c r="AH5633">
        <v>87.829750332480998</v>
      </c>
      <c r="AI5633">
        <v>90.626273824756197</v>
      </c>
      <c r="AJ5633">
        <v>100.234946463637</v>
      </c>
      <c r="AK5633">
        <v>89.255279580364501</v>
      </c>
      <c r="AL5633">
        <v>95.937526014548894</v>
      </c>
      <c r="AM5633">
        <v>98.317850540161004</v>
      </c>
      <c r="AN5633">
        <v>1.0000000212733999</v>
      </c>
    </row>
    <row r="5634" spans="1:40" x14ac:dyDescent="0.25">
      <c r="A5634" t="str">
        <f>"20190305135042113"</f>
        <v>20190305135042113</v>
      </c>
      <c r="B5634" t="str">
        <f>"1551765042105420"</f>
        <v>1551765042105420</v>
      </c>
      <c r="C5634" t="s">
        <v>40</v>
      </c>
      <c r="D5634">
        <v>4.1673939999999998</v>
      </c>
      <c r="E5634">
        <v>0.46184429999999999</v>
      </c>
      <c r="F5634" t="s">
        <v>97</v>
      </c>
      <c r="G5634">
        <v>-405.07749999999999</v>
      </c>
      <c r="H5634">
        <v>0.66398570000000001</v>
      </c>
      <c r="I5634">
        <v>0.6291523</v>
      </c>
      <c r="J5634">
        <v>-422.1062</v>
      </c>
      <c r="K5634">
        <v>1.109653</v>
      </c>
      <c r="L5634">
        <v>88.789550000000006</v>
      </c>
      <c r="M5634">
        <v>-5.2611789999999999E-2</v>
      </c>
      <c r="N5634">
        <v>-1.266285E-2</v>
      </c>
      <c r="O5634">
        <v>-0.99853479999999994</v>
      </c>
      <c r="P5634">
        <v>9.318187E-2</v>
      </c>
      <c r="Q5634">
        <v>-0.11524379999999999</v>
      </c>
      <c r="R5634">
        <v>-0.98895719999999998</v>
      </c>
      <c r="S5634">
        <v>0.57250979999999996</v>
      </c>
      <c r="T5634">
        <v>-1.499963E-2</v>
      </c>
      <c r="U5634">
        <v>-2.9783940000000002</v>
      </c>
      <c r="V5634">
        <v>-0.1450092</v>
      </c>
      <c r="W5634">
        <v>-0.1029021</v>
      </c>
      <c r="X5634">
        <v>0.98406479999999996</v>
      </c>
      <c r="Y5634">
        <v>-0.24014160000000001</v>
      </c>
      <c r="Z5634">
        <v>-7.8197370000000002E-3</v>
      </c>
      <c r="AA5634">
        <v>0.97070630000000002</v>
      </c>
      <c r="AB5634">
        <v>33</v>
      </c>
      <c r="AC5634">
        <v>17.028700000000001</v>
      </c>
      <c r="AD5634">
        <v>-0.44566729999999999</v>
      </c>
      <c r="AE5634">
        <v>-88.160397700000004</v>
      </c>
      <c r="AF5634">
        <v>-21.6432269866404</v>
      </c>
      <c r="AG5634">
        <v>-0.44566729999999999</v>
      </c>
      <c r="AH5634">
        <v>87.140150607577496</v>
      </c>
      <c r="AI5634">
        <v>90.284389056005907</v>
      </c>
      <c r="AJ5634">
        <v>103.948452412246</v>
      </c>
      <c r="AK5634">
        <v>89.788828601607307</v>
      </c>
      <c r="AL5634">
        <v>95.906310854694695</v>
      </c>
      <c r="AM5634">
        <v>98.382628712273998</v>
      </c>
      <c r="AN5634">
        <v>1.00000002043404</v>
      </c>
    </row>
    <row r="5635" spans="1:40" x14ac:dyDescent="0.25">
      <c r="A5635" t="str">
        <f>"20190305135042127"</f>
        <v>20190305135042127</v>
      </c>
      <c r="B5635" t="str">
        <f>"1551765042125916"</f>
        <v>1551765042125916</v>
      </c>
      <c r="C5635" t="s">
        <v>40</v>
      </c>
      <c r="D5635">
        <v>4.1531750000000001</v>
      </c>
      <c r="E5635">
        <v>0.4611114</v>
      </c>
      <c r="F5635" t="s">
        <v>97</v>
      </c>
      <c r="G5635">
        <v>-404.52420000000001</v>
      </c>
      <c r="H5635">
        <v>1.08938</v>
      </c>
      <c r="I5635">
        <v>0.63478089999999998</v>
      </c>
      <c r="J5635">
        <v>-422.11790000000002</v>
      </c>
      <c r="K5635">
        <v>1.109656</v>
      </c>
      <c r="L5635">
        <v>88.562960000000004</v>
      </c>
      <c r="M5635">
        <v>-5.2369329999999999E-2</v>
      </c>
      <c r="N5635">
        <v>-1.276791E-2</v>
      </c>
      <c r="O5635">
        <v>-0.9985465</v>
      </c>
      <c r="P5635">
        <v>9.3937259999999995E-2</v>
      </c>
      <c r="Q5635">
        <v>-0.1152902</v>
      </c>
      <c r="R5635">
        <v>-0.98888050000000005</v>
      </c>
      <c r="S5635">
        <v>0.59384159999999997</v>
      </c>
      <c r="T5635">
        <v>-6.8557259999999995E-4</v>
      </c>
      <c r="U5635">
        <v>-2.9774780000000001</v>
      </c>
      <c r="V5635">
        <v>-0.1455215</v>
      </c>
      <c r="W5635">
        <v>-0.1028456</v>
      </c>
      <c r="X5635">
        <v>0.98399510000000001</v>
      </c>
      <c r="Y5635">
        <v>-0.24665010000000001</v>
      </c>
      <c r="Z5635">
        <v>-1.2610150000000001E-2</v>
      </c>
      <c r="AA5635">
        <v>0.96902259999999996</v>
      </c>
      <c r="AB5635">
        <v>33</v>
      </c>
      <c r="AC5635">
        <v>17.593699999999998</v>
      </c>
      <c r="AD5635">
        <v>-2.0275999999999898E-2</v>
      </c>
      <c r="AE5635">
        <v>-87.928179099999994</v>
      </c>
      <c r="AF5635">
        <v>-22.174666248493399</v>
      </c>
      <c r="AG5635">
        <v>-2.0275999999999898E-2</v>
      </c>
      <c r="AH5635">
        <v>86.886053622358205</v>
      </c>
      <c r="AI5635">
        <v>90.012955450499604</v>
      </c>
      <c r="AJ5635">
        <v>104.31714378116401</v>
      </c>
      <c r="AK5635">
        <v>89.671079777236699</v>
      </c>
      <c r="AL5635">
        <v>95.9030562567537</v>
      </c>
      <c r="AM5635">
        <v>98.412407849667204</v>
      </c>
      <c r="AN5635">
        <v>1.0000000406128</v>
      </c>
    </row>
    <row r="5636" spans="1:40" x14ac:dyDescent="0.25">
      <c r="A5636" t="str">
        <f>"20190305135042145"</f>
        <v>20190305135042145</v>
      </c>
      <c r="B5636" t="str">
        <f>"1551765042135717"</f>
        <v>1551765042135717</v>
      </c>
      <c r="C5636" t="s">
        <v>40</v>
      </c>
      <c r="D5636">
        <v>4.1451180000000001</v>
      </c>
      <c r="E5636">
        <v>0.46082210000000001</v>
      </c>
      <c r="F5636" t="s">
        <v>97</v>
      </c>
      <c r="G5636">
        <v>-404.33539999999999</v>
      </c>
      <c r="H5636">
        <v>1.314079</v>
      </c>
      <c r="I5636">
        <v>0.63669779999999998</v>
      </c>
      <c r="J5636">
        <v>-422.1309</v>
      </c>
      <c r="K5636">
        <v>1.1096600000000001</v>
      </c>
      <c r="L5636">
        <v>88.310299999999998</v>
      </c>
      <c r="M5636">
        <v>-5.2098819999999997E-2</v>
      </c>
      <c r="N5636">
        <v>-1.2872659999999999E-2</v>
      </c>
      <c r="O5636">
        <v>-0.99855939999999999</v>
      </c>
      <c r="P5636">
        <v>9.4988320000000001E-2</v>
      </c>
      <c r="Q5636">
        <v>-0.1152929</v>
      </c>
      <c r="R5636">
        <v>-0.98877979999999999</v>
      </c>
      <c r="S5636">
        <v>0.60214230000000002</v>
      </c>
      <c r="T5636">
        <v>6.9212910000000004E-3</v>
      </c>
      <c r="U5636">
        <v>-2.977325</v>
      </c>
      <c r="V5636">
        <v>-0.1463004</v>
      </c>
      <c r="W5636">
        <v>-0.10274659999999999</v>
      </c>
      <c r="X5636">
        <v>0.98388989999999998</v>
      </c>
      <c r="Y5636">
        <v>-0.24898960000000001</v>
      </c>
      <c r="Z5636">
        <v>-1.520021E-2</v>
      </c>
      <c r="AA5636">
        <v>0.96838690000000005</v>
      </c>
      <c r="AB5636">
        <v>33</v>
      </c>
      <c r="AC5636">
        <v>17.795500000000001</v>
      </c>
      <c r="AD5636">
        <v>0.20441899999999899</v>
      </c>
      <c r="AE5636">
        <v>-87.673602200000005</v>
      </c>
      <c r="AF5636">
        <v>-22.339279646787901</v>
      </c>
      <c r="AG5636">
        <v>0.20441899999999899</v>
      </c>
      <c r="AH5636">
        <v>86.626862774983707</v>
      </c>
      <c r="AI5636">
        <v>89.869078865312204</v>
      </c>
      <c r="AJ5636">
        <v>104.460347208101</v>
      </c>
      <c r="AK5636">
        <v>89.461156691051201</v>
      </c>
      <c r="AL5636">
        <v>95.897353987662399</v>
      </c>
      <c r="AM5636">
        <v>98.457676765054202</v>
      </c>
      <c r="AN5636">
        <v>1.0000000030868601</v>
      </c>
    </row>
    <row r="5637" spans="1:40" x14ac:dyDescent="0.25">
      <c r="A5637" t="str">
        <f>"20190305135042160"</f>
        <v>20190305135042160</v>
      </c>
      <c r="B5637" t="str">
        <f>"1551765042156187"</f>
        <v>1551765042156187</v>
      </c>
      <c r="C5637" t="s">
        <v>40</v>
      </c>
      <c r="D5637">
        <v>4.1467739999999997</v>
      </c>
      <c r="E5637">
        <v>0.46052559999999898</v>
      </c>
      <c r="F5637" t="s">
        <v>97</v>
      </c>
      <c r="G5637">
        <v>-404.24040000000002</v>
      </c>
      <c r="H5637">
        <v>1.4027799999999999</v>
      </c>
      <c r="I5637">
        <v>0.63766859999999903</v>
      </c>
      <c r="J5637">
        <v>-422.14190000000002</v>
      </c>
      <c r="K5637">
        <v>1.1096649999999999</v>
      </c>
      <c r="L5637">
        <v>88.093289999999996</v>
      </c>
      <c r="M5637">
        <v>-5.186665E-2</v>
      </c>
      <c r="N5637">
        <v>-1.295431E-2</v>
      </c>
      <c r="O5637">
        <v>-0.99857030000000002</v>
      </c>
      <c r="P5637">
        <v>9.5407640000000002E-2</v>
      </c>
      <c r="Q5637">
        <v>-0.1155273</v>
      </c>
      <c r="R5637">
        <v>-0.98871209999999998</v>
      </c>
      <c r="S5637">
        <v>0.6074524</v>
      </c>
      <c r="T5637">
        <v>9.9517110000000002E-3</v>
      </c>
      <c r="U5637">
        <v>-2.9768370000000002</v>
      </c>
      <c r="V5637">
        <v>-0.14648710000000001</v>
      </c>
      <c r="W5637">
        <v>-0.10290100000000001</v>
      </c>
      <c r="X5637">
        <v>0.98384590000000005</v>
      </c>
      <c r="Y5637">
        <v>-0.2504518</v>
      </c>
      <c r="Z5637">
        <v>-1.6271540000000001E-2</v>
      </c>
      <c r="AA5637">
        <v>0.96799230000000003</v>
      </c>
      <c r="AB5637">
        <v>33</v>
      </c>
      <c r="AC5637">
        <v>17.901499999999999</v>
      </c>
      <c r="AD5637">
        <v>0.29311500000000001</v>
      </c>
      <c r="AE5637">
        <v>-87.455621399999998</v>
      </c>
      <c r="AF5637">
        <v>-22.413568628135899</v>
      </c>
      <c r="AG5637">
        <v>0.29311500000000001</v>
      </c>
      <c r="AH5637">
        <v>86.408388065247394</v>
      </c>
      <c r="AI5637">
        <v>89.811867744337505</v>
      </c>
      <c r="AJ5637">
        <v>104.541534128393</v>
      </c>
      <c r="AK5637">
        <v>89.268491098963693</v>
      </c>
      <c r="AL5637">
        <v>95.9062480846857</v>
      </c>
      <c r="AM5637">
        <v>98.468686787798205</v>
      </c>
      <c r="AN5637">
        <v>0.99999992060710696</v>
      </c>
    </row>
    <row r="5638" spans="1:40" x14ac:dyDescent="0.25">
      <c r="A5638" t="str">
        <f>"20190305135042173"</f>
        <v>20190305135042173</v>
      </c>
      <c r="B5638" t="str">
        <f>"1551765042165947"</f>
        <v>1551765042165947</v>
      </c>
      <c r="C5638" t="s">
        <v>40</v>
      </c>
      <c r="D5638">
        <v>4.1502800000000004</v>
      </c>
      <c r="E5638">
        <v>0.46038990000000002</v>
      </c>
      <c r="F5638" t="s">
        <v>97</v>
      </c>
      <c r="G5638">
        <v>-404.1789</v>
      </c>
      <c r="H5638">
        <v>1.40686</v>
      </c>
      <c r="I5638">
        <v>0.63829040000000004</v>
      </c>
      <c r="J5638">
        <v>-422.15190000000001</v>
      </c>
      <c r="K5638">
        <v>1.1096629999999901</v>
      </c>
      <c r="L5638">
        <v>87.898099999999999</v>
      </c>
      <c r="M5638">
        <v>-5.1657839999999997E-2</v>
      </c>
      <c r="N5638">
        <v>-1.302272E-2</v>
      </c>
      <c r="O5638">
        <v>-0.99858009999999997</v>
      </c>
      <c r="P5638">
        <v>9.5837740000000005E-2</v>
      </c>
      <c r="Q5638">
        <v>-0.11572730000000001</v>
      </c>
      <c r="R5638">
        <v>-0.9886469</v>
      </c>
      <c r="S5638">
        <v>0.61135859999999997</v>
      </c>
      <c r="T5638">
        <v>1.011395E-2</v>
      </c>
      <c r="U5638">
        <v>-2.9764710000000001</v>
      </c>
      <c r="V5638">
        <v>-0.14670839999999999</v>
      </c>
      <c r="W5638">
        <v>-0.1030343</v>
      </c>
      <c r="X5638">
        <v>0.98379899999999998</v>
      </c>
      <c r="Y5638">
        <v>-0.25149129999999997</v>
      </c>
      <c r="Z5638">
        <v>-1.6393000000000001E-2</v>
      </c>
      <c r="AA5638">
        <v>0.96772069999999999</v>
      </c>
      <c r="AB5638">
        <v>33</v>
      </c>
      <c r="AC5638">
        <v>17.972999999999999</v>
      </c>
      <c r="AD5638">
        <v>0.29719699999999999</v>
      </c>
      <c r="AE5638">
        <v>-87.259809599999997</v>
      </c>
      <c r="AF5638">
        <v>-22.4567840448723</v>
      </c>
      <c r="AG5638">
        <v>0.29719699999999999</v>
      </c>
      <c r="AH5638">
        <v>86.213799948878403</v>
      </c>
      <c r="AI5638">
        <v>89.808867828938304</v>
      </c>
      <c r="AJ5638">
        <v>104.599857636042</v>
      </c>
      <c r="AK5638">
        <v>89.091047683367506</v>
      </c>
      <c r="AL5638">
        <v>95.913926268690503</v>
      </c>
      <c r="AM5638">
        <v>98.4816930517147</v>
      </c>
      <c r="AN5638">
        <v>0.99999994700402295</v>
      </c>
    </row>
    <row r="5639" spans="1:40" x14ac:dyDescent="0.25">
      <c r="A5639" t="str">
        <f>"20190305135042185"</f>
        <v>20190305135042185</v>
      </c>
      <c r="B5639" t="str">
        <f>"1551765042175708"</f>
        <v>1551765042175708</v>
      </c>
      <c r="C5639" t="s">
        <v>40</v>
      </c>
      <c r="D5639">
        <v>4.1548420000000004</v>
      </c>
      <c r="E5639">
        <v>0.46033639999999998</v>
      </c>
      <c r="F5639" t="s">
        <v>97</v>
      </c>
      <c r="G5639">
        <v>-404.15519999999998</v>
      </c>
      <c r="H5639">
        <v>1.36196299999999</v>
      </c>
      <c r="I5639">
        <v>0.63853260000000001</v>
      </c>
      <c r="J5639">
        <v>-422.1617</v>
      </c>
      <c r="K5639">
        <v>1.109664</v>
      </c>
      <c r="L5639">
        <v>87.704930000000004</v>
      </c>
      <c r="M5639">
        <v>-5.1450950000000002E-2</v>
      </c>
      <c r="N5639">
        <v>-1.308428E-2</v>
      </c>
      <c r="O5639">
        <v>-0.99858990000000003</v>
      </c>
      <c r="P5639">
        <v>9.6186809999999998E-2</v>
      </c>
      <c r="Q5639">
        <v>-0.1156981</v>
      </c>
      <c r="R5639">
        <v>-0.98861639999999995</v>
      </c>
      <c r="S5639">
        <v>0.61376949999999997</v>
      </c>
      <c r="T5639">
        <v>8.6036919999999996E-3</v>
      </c>
      <c r="U5639">
        <v>-2.9759519999999999</v>
      </c>
      <c r="V5639">
        <v>-0.14685239999999999</v>
      </c>
      <c r="W5639">
        <v>-0.10294449999999999</v>
      </c>
      <c r="X5639">
        <v>0.98378699999999997</v>
      </c>
      <c r="Y5639">
        <v>-0.25207649999999998</v>
      </c>
      <c r="Z5639">
        <v>-1.5961960000000001E-2</v>
      </c>
      <c r="AA5639">
        <v>0.96757570000000004</v>
      </c>
      <c r="AB5639">
        <v>33</v>
      </c>
      <c r="AC5639">
        <v>18.006499999999999</v>
      </c>
      <c r="AD5639">
        <v>0.252298999999999</v>
      </c>
      <c r="AE5639">
        <v>-87.0663974</v>
      </c>
      <c r="AF5639">
        <v>-22.4624977790297</v>
      </c>
      <c r="AG5639">
        <v>0.252298999999999</v>
      </c>
      <c r="AH5639">
        <v>86.023836719590406</v>
      </c>
      <c r="AI5639">
        <v>89.837409457288899</v>
      </c>
      <c r="AJ5639">
        <v>104.634278786877</v>
      </c>
      <c r="AK5639">
        <v>88.9085369647768</v>
      </c>
      <c r="AL5639">
        <v>95.908753112820406</v>
      </c>
      <c r="AM5639">
        <v>98.489998944709995</v>
      </c>
      <c r="AN5639">
        <v>1.0000000294175</v>
      </c>
    </row>
    <row r="5640" spans="1:40" x14ac:dyDescent="0.25">
      <c r="A5640" t="str">
        <f>"20190305135042199"</f>
        <v>20190305135042199</v>
      </c>
      <c r="B5640" t="str">
        <f>"1551765042196204"</f>
        <v>1551765042196204</v>
      </c>
      <c r="C5640" t="s">
        <v>40</v>
      </c>
      <c r="D5640">
        <v>4.1556439999999997</v>
      </c>
      <c r="E5640">
        <v>0.46029569999999997</v>
      </c>
      <c r="F5640" t="s">
        <v>97</v>
      </c>
      <c r="G5640">
        <v>-404.17180000000002</v>
      </c>
      <c r="H5640">
        <v>1.345828</v>
      </c>
      <c r="I5640">
        <v>0.63836099999999996</v>
      </c>
      <c r="J5640">
        <v>-422.17110000000002</v>
      </c>
      <c r="K5640">
        <v>1.1096649999999999</v>
      </c>
      <c r="L5640">
        <v>87.518799999999999</v>
      </c>
      <c r="M5640">
        <v>-5.1251329999999998E-2</v>
      </c>
      <c r="N5640">
        <v>-1.3138459999999999E-2</v>
      </c>
      <c r="O5640">
        <v>-0.99859960000000003</v>
      </c>
      <c r="P5640">
        <v>9.6447669999999999E-2</v>
      </c>
      <c r="Q5640">
        <v>-0.11561200000000001</v>
      </c>
      <c r="R5640">
        <v>-0.98860139999999996</v>
      </c>
      <c r="S5640">
        <v>0.61483759999999998</v>
      </c>
      <c r="T5640">
        <v>8.0704690000000003E-3</v>
      </c>
      <c r="U5640">
        <v>-2.9756770000000001</v>
      </c>
      <c r="V5640">
        <v>-0.14691599999999999</v>
      </c>
      <c r="W5640">
        <v>-0.1028048</v>
      </c>
      <c r="X5640">
        <v>0.98379209999999995</v>
      </c>
      <c r="Y5640">
        <v>-0.25223379999999901</v>
      </c>
      <c r="Z5640">
        <v>-1.5842330000000002E-2</v>
      </c>
      <c r="AA5640">
        <v>0.96753659999999997</v>
      </c>
      <c r="AB5640">
        <v>33</v>
      </c>
      <c r="AC5640">
        <v>17.999300000000002</v>
      </c>
      <c r="AD5640">
        <v>0.23616300000000001</v>
      </c>
      <c r="AE5640">
        <v>-86.880438999999996</v>
      </c>
      <c r="AF5640">
        <v>-22.428603454806101</v>
      </c>
      <c r="AG5640">
        <v>0.23616300000000001</v>
      </c>
      <c r="AH5640">
        <v>85.843064272252306</v>
      </c>
      <c r="AI5640">
        <v>89.847493314798299</v>
      </c>
      <c r="AJ5640">
        <v>104.64259444527799</v>
      </c>
      <c r="AK5640">
        <v>88.725023018005203</v>
      </c>
      <c r="AL5640">
        <v>95.900706271952998</v>
      </c>
      <c r="AM5640">
        <v>98.493578851107898</v>
      </c>
      <c r="AN5640">
        <v>1.0000000169907199</v>
      </c>
    </row>
    <row r="5641" spans="1:40" x14ac:dyDescent="0.25">
      <c r="A5641" t="str">
        <f>"20190305135042212"</f>
        <v>20190305135042212</v>
      </c>
      <c r="B5641" t="str">
        <f>"1551765042205964"</f>
        <v>1551765042205964</v>
      </c>
      <c r="C5641" t="s">
        <v>40</v>
      </c>
      <c r="D5641">
        <v>4.1545730000000001</v>
      </c>
      <c r="E5641">
        <v>0.46006269999999999</v>
      </c>
      <c r="F5641" t="s">
        <v>97</v>
      </c>
      <c r="G5641">
        <v>-404.17759999999998</v>
      </c>
      <c r="H5641">
        <v>1.3243370000000001</v>
      </c>
      <c r="I5641">
        <v>0.63830569999999998</v>
      </c>
      <c r="J5641">
        <v>-422.18130000000002</v>
      </c>
      <c r="K5641">
        <v>1.1096729999999999</v>
      </c>
      <c r="L5641">
        <v>87.313839999999999</v>
      </c>
      <c r="M5641">
        <v>-5.1031529999999999E-2</v>
      </c>
      <c r="N5641">
        <v>-1.319443E-2</v>
      </c>
      <c r="O5641">
        <v>-0.99861009999999995</v>
      </c>
      <c r="P5641">
        <v>9.6791639999999998E-2</v>
      </c>
      <c r="Q5641">
        <v>-0.1152465</v>
      </c>
      <c r="R5641">
        <v>-0.98861010000000005</v>
      </c>
      <c r="S5641">
        <v>0.61621090000000001</v>
      </c>
      <c r="T5641">
        <v>7.3508019999999896E-3</v>
      </c>
      <c r="U5641">
        <v>-2.9753419999999999</v>
      </c>
      <c r="V5641">
        <v>-0.14704439999999999</v>
      </c>
      <c r="W5641">
        <v>-0.10238369999999999</v>
      </c>
      <c r="X5641">
        <v>0.98381680000000005</v>
      </c>
      <c r="Y5641">
        <v>-0.25247069999999999</v>
      </c>
      <c r="Z5641">
        <v>-1.566362E-2</v>
      </c>
      <c r="AA5641">
        <v>0.9674777</v>
      </c>
      <c r="AB5641">
        <v>33</v>
      </c>
      <c r="AC5641">
        <v>18.003699999999998</v>
      </c>
      <c r="AD5641">
        <v>0.21466399999999999</v>
      </c>
      <c r="AE5641">
        <v>-86.675534299999995</v>
      </c>
      <c r="AF5641">
        <v>-22.403675359227201</v>
      </c>
      <c r="AG5641">
        <v>0.21466399999999999</v>
      </c>
      <c r="AH5641">
        <v>85.643240421097403</v>
      </c>
      <c r="AI5641">
        <v>89.861064034164201</v>
      </c>
      <c r="AJ5641">
        <v>104.659677823178</v>
      </c>
      <c r="AK5641">
        <v>88.525337503228002</v>
      </c>
      <c r="AL5641">
        <v>95.876451209671401</v>
      </c>
      <c r="AM5641">
        <v>98.500683253171303</v>
      </c>
      <c r="AN5641">
        <v>0.99999998677964497</v>
      </c>
    </row>
    <row r="5642" spans="1:40" x14ac:dyDescent="0.25">
      <c r="A5642" t="str">
        <f>"20190305135042227"</f>
        <v>20190305135042227</v>
      </c>
      <c r="B5642" t="str">
        <f>"1551765042215724"</f>
        <v>1551765042215724</v>
      </c>
      <c r="C5642" t="s">
        <v>40</v>
      </c>
      <c r="D5642">
        <v>4.1589729999999996</v>
      </c>
      <c r="E5642">
        <v>0.45987830000000002</v>
      </c>
      <c r="F5642" t="s">
        <v>97</v>
      </c>
      <c r="G5642">
        <v>-404.1506</v>
      </c>
      <c r="H5642">
        <v>1.31772</v>
      </c>
      <c r="I5642">
        <v>0.63858029999999999</v>
      </c>
      <c r="J5642">
        <v>-422.19260000000003</v>
      </c>
      <c r="K5642">
        <v>1.1096820000000001</v>
      </c>
      <c r="L5642">
        <v>87.089019999999906</v>
      </c>
      <c r="M5642">
        <v>-5.0790519999999999E-2</v>
      </c>
      <c r="N5642">
        <v>-1.3249820000000001E-2</v>
      </c>
      <c r="O5642">
        <v>-0.9986216</v>
      </c>
      <c r="P5642">
        <v>9.6922359999999999E-2</v>
      </c>
      <c r="Q5642">
        <v>-0.114943</v>
      </c>
      <c r="R5642">
        <v>-0.98863270000000003</v>
      </c>
      <c r="S5642">
        <v>0.61883540000000004</v>
      </c>
      <c r="T5642">
        <v>7.1395640000000002E-3</v>
      </c>
      <c r="U5642">
        <v>-2.9747919999999999</v>
      </c>
      <c r="V5642">
        <v>-0.1469396</v>
      </c>
      <c r="W5642">
        <v>-0.1020247</v>
      </c>
      <c r="X5642">
        <v>0.98386980000000002</v>
      </c>
      <c r="Y5642">
        <v>-0.2530907</v>
      </c>
      <c r="Z5642">
        <v>-1.565037E-2</v>
      </c>
      <c r="AA5642">
        <v>0.96731599999999995</v>
      </c>
      <c r="AB5642">
        <v>33</v>
      </c>
      <c r="AC5642">
        <v>18.042000000000002</v>
      </c>
      <c r="AD5642">
        <v>0.208037999999999</v>
      </c>
      <c r="AE5642">
        <v>-86.450439699999905</v>
      </c>
      <c r="AF5642">
        <v>-22.409832792621501</v>
      </c>
      <c r="AG5642">
        <v>0.208037999999999</v>
      </c>
      <c r="AH5642">
        <v>85.4219241391324</v>
      </c>
      <c r="AI5642">
        <v>89.865028493584006</v>
      </c>
      <c r="AJ5642">
        <v>104.699881086544</v>
      </c>
      <c r="AK5642">
        <v>88.312790745363699</v>
      </c>
      <c r="AL5642">
        <v>95.855773465795394</v>
      </c>
      <c r="AM5642">
        <v>98.494262230683603</v>
      </c>
      <c r="AN5642">
        <v>1.0000000344051401</v>
      </c>
    </row>
    <row r="5643" spans="1:40" x14ac:dyDescent="0.25">
      <c r="A5643" t="str">
        <f>"20190305135042242"</f>
        <v>20190305135042242</v>
      </c>
      <c r="B5643" t="str">
        <f>"1551765042236220"</f>
        <v>1551765042236220</v>
      </c>
      <c r="C5643" t="s">
        <v>40</v>
      </c>
      <c r="D5643">
        <v>4.1993369999999999</v>
      </c>
      <c r="E5643">
        <v>0.45950190000000002</v>
      </c>
      <c r="F5643" t="s">
        <v>97</v>
      </c>
      <c r="G5643">
        <v>-404.1463</v>
      </c>
      <c r="H5643">
        <v>1.321536</v>
      </c>
      <c r="I5643">
        <v>0.63862609999999997</v>
      </c>
      <c r="J5643">
        <v>-422.2029</v>
      </c>
      <c r="K5643">
        <v>1.109685</v>
      </c>
      <c r="L5643">
        <v>86.882599999999996</v>
      </c>
      <c r="M5643">
        <v>-5.0569000000000003E-2</v>
      </c>
      <c r="N5643">
        <v>-1.32952E-2</v>
      </c>
      <c r="O5643">
        <v>-0.99863230000000003</v>
      </c>
      <c r="P5643">
        <v>9.7194840000000005E-2</v>
      </c>
      <c r="Q5643">
        <v>-0.11469169999999999</v>
      </c>
      <c r="R5643">
        <v>-0.98863520000000005</v>
      </c>
      <c r="S5643">
        <v>0.62091059999999998</v>
      </c>
      <c r="T5643">
        <v>7.288218E-3</v>
      </c>
      <c r="U5643">
        <v>-2.9744570000000001</v>
      </c>
      <c r="V5643">
        <v>-0.14699419999999999</v>
      </c>
      <c r="W5643">
        <v>-0.1017281</v>
      </c>
      <c r="X5643">
        <v>0.98389230000000005</v>
      </c>
      <c r="Y5643">
        <v>-0.2535442</v>
      </c>
      <c r="Z5643">
        <v>-1.574445E-2</v>
      </c>
      <c r="AA5643">
        <v>0.96719560000000004</v>
      </c>
      <c r="AB5643">
        <v>33</v>
      </c>
      <c r="AC5643">
        <v>18.0566</v>
      </c>
      <c r="AD5643">
        <v>0.21185100000000001</v>
      </c>
      <c r="AE5643">
        <v>-86.2439739</v>
      </c>
      <c r="AF5643">
        <v>-22.395020330549599</v>
      </c>
      <c r="AG5643">
        <v>0.21185100000000001</v>
      </c>
      <c r="AH5643">
        <v>85.219933942147904</v>
      </c>
      <c r="AI5643">
        <v>89.862244078713303</v>
      </c>
      <c r="AJ5643">
        <v>104.723893913849</v>
      </c>
      <c r="AK5643">
        <v>88.113670662139498</v>
      </c>
      <c r="AL5643">
        <v>95.838690978576096</v>
      </c>
      <c r="AM5643">
        <v>98.497180984606899</v>
      </c>
      <c r="AN5643">
        <v>0.99999997958126896</v>
      </c>
    </row>
    <row r="5644" spans="1:40" x14ac:dyDescent="0.25">
      <c r="A5644" t="str">
        <f>"20190305135042255"</f>
        <v>20190305135042255</v>
      </c>
      <c r="B5644" t="str">
        <f>"1551765042245980"</f>
        <v>1551765042245980</v>
      </c>
      <c r="C5644" t="s">
        <v>40</v>
      </c>
      <c r="D5644">
        <v>4.1212999999999997</v>
      </c>
      <c r="E5644">
        <v>0.45938420000000002</v>
      </c>
      <c r="F5644" t="s">
        <v>97</v>
      </c>
      <c r="G5644">
        <v>-404.08539999999999</v>
      </c>
      <c r="H5644">
        <v>1.2661579999999999</v>
      </c>
      <c r="I5644">
        <v>0.63924409999999998</v>
      </c>
      <c r="J5644">
        <v>-422.21289999999999</v>
      </c>
      <c r="K5644">
        <v>1.109688</v>
      </c>
      <c r="L5644">
        <v>86.680359999999993</v>
      </c>
      <c r="M5644">
        <v>-5.0352609999999999E-2</v>
      </c>
      <c r="N5644">
        <v>-1.3336499999999999E-2</v>
      </c>
      <c r="O5644">
        <v>-0.99864260000000005</v>
      </c>
      <c r="P5644">
        <v>9.7150299999999995E-2</v>
      </c>
      <c r="Q5644">
        <v>-0.1143686</v>
      </c>
      <c r="R5644">
        <v>-0.98867700000000003</v>
      </c>
      <c r="S5644">
        <v>0.62469479999999999</v>
      </c>
      <c r="T5644">
        <v>5.3944589999999999E-3</v>
      </c>
      <c r="U5644">
        <v>-2.9736940000000001</v>
      </c>
      <c r="V5644">
        <v>-0.14673929999999999</v>
      </c>
      <c r="W5644">
        <v>-0.10136290000000001</v>
      </c>
      <c r="X5644">
        <v>0.98396799999999995</v>
      </c>
      <c r="Y5644">
        <v>-0.25456380000000001</v>
      </c>
      <c r="Z5644">
        <v>-1.51678E-2</v>
      </c>
      <c r="AA5644">
        <v>0.96693700000000005</v>
      </c>
      <c r="AB5644">
        <v>33</v>
      </c>
      <c r="AC5644">
        <v>18.127500000000001</v>
      </c>
      <c r="AD5644">
        <v>0.156469999999999</v>
      </c>
      <c r="AE5644">
        <v>-86.041115899999994</v>
      </c>
      <c r="AF5644">
        <v>-22.437209641833999</v>
      </c>
      <c r="AG5644">
        <v>0.156469999999999</v>
      </c>
      <c r="AH5644">
        <v>85.018836380924398</v>
      </c>
      <c r="AI5644">
        <v>89.898042847088703</v>
      </c>
      <c r="AJ5644">
        <v>104.783786637622</v>
      </c>
      <c r="AK5644">
        <v>87.929832246734705</v>
      </c>
      <c r="AL5644">
        <v>95.817658054236105</v>
      </c>
      <c r="AM5644">
        <v>98.482017623190103</v>
      </c>
      <c r="AN5644">
        <v>0.99999994234244804</v>
      </c>
    </row>
    <row r="5645" spans="1:40" x14ac:dyDescent="0.25">
      <c r="A5645" t="str">
        <f>"20190305135042268"</f>
        <v>20190305135042268</v>
      </c>
      <c r="B5645" t="str">
        <f>"1551765042265499"</f>
        <v>1551765042265499</v>
      </c>
      <c r="C5645" t="s">
        <v>40</v>
      </c>
      <c r="D5645">
        <v>4.0264360000000003</v>
      </c>
      <c r="E5645">
        <v>0.45892450000000001</v>
      </c>
      <c r="F5645" t="s">
        <v>97</v>
      </c>
      <c r="G5645">
        <v>-404.12090000000001</v>
      </c>
      <c r="H5645">
        <v>1.2263379999999999</v>
      </c>
      <c r="I5645">
        <v>0.638881699999999</v>
      </c>
      <c r="J5645">
        <v>-422.22219999999999</v>
      </c>
      <c r="K5645">
        <v>1.1096950000000001</v>
      </c>
      <c r="L5645">
        <v>86.492549999999994</v>
      </c>
      <c r="M5645">
        <v>-5.0152589999999997E-2</v>
      </c>
      <c r="N5645">
        <v>-1.3371950000000001E-2</v>
      </c>
      <c r="O5645">
        <v>-0.99865210000000004</v>
      </c>
      <c r="P5645">
        <v>9.7126119999999996E-2</v>
      </c>
      <c r="Q5645">
        <v>-0.1143</v>
      </c>
      <c r="R5645">
        <v>-0.98868699999999998</v>
      </c>
      <c r="S5645">
        <v>0.62521359999999904</v>
      </c>
      <c r="T5645">
        <v>4.0302280000000003E-3</v>
      </c>
      <c r="U5645">
        <v>-2.9733890000000001</v>
      </c>
      <c r="V5645">
        <v>-0.1465195</v>
      </c>
      <c r="W5645">
        <v>-0.1012585</v>
      </c>
      <c r="X5645">
        <v>0.98401159999999999</v>
      </c>
      <c r="Y5645">
        <v>-0.25455220000000001</v>
      </c>
      <c r="Z5645">
        <v>-1.4757930000000001E-2</v>
      </c>
      <c r="AA5645">
        <v>0.96694639999999998</v>
      </c>
      <c r="AB5645">
        <v>33</v>
      </c>
      <c r="AC5645">
        <v>18.101299999999899</v>
      </c>
      <c r="AD5645">
        <v>0.116642999999999</v>
      </c>
      <c r="AE5645">
        <v>-85.853668299999995</v>
      </c>
      <c r="AF5645">
        <v>-22.3846456944114</v>
      </c>
      <c r="AG5645">
        <v>0.116642999999999</v>
      </c>
      <c r="AH5645">
        <v>84.837549754134898</v>
      </c>
      <c r="AI5645">
        <v>89.923830956448498</v>
      </c>
      <c r="AJ5645">
        <v>104.780805938292</v>
      </c>
      <c r="AK5645">
        <v>87.7410725757276</v>
      </c>
      <c r="AL5645">
        <v>95.811644878902399</v>
      </c>
      <c r="AM5645">
        <v>98.469127035233399</v>
      </c>
      <c r="AN5645">
        <v>1.0000000383185199</v>
      </c>
    </row>
    <row r="5646" spans="1:40" x14ac:dyDescent="0.25">
      <c r="A5646" t="str">
        <f>"20190305135042285"</f>
        <v>20190305135042285</v>
      </c>
      <c r="B5646" t="str">
        <f>"1551765042276236"</f>
        <v>1551765042276236</v>
      </c>
      <c r="C5646" t="s">
        <v>40</v>
      </c>
      <c r="D5646">
        <v>4.1701389999999998</v>
      </c>
      <c r="E5646">
        <v>0.43684879999999998</v>
      </c>
      <c r="F5646" t="s">
        <v>97</v>
      </c>
      <c r="G5646">
        <v>-404.06349999999998</v>
      </c>
      <c r="H5646">
        <v>1.261698</v>
      </c>
      <c r="I5646">
        <v>0.63946150000000002</v>
      </c>
      <c r="J5646">
        <v>-422.23469999999998</v>
      </c>
      <c r="K5646">
        <v>1.1096969999999999</v>
      </c>
      <c r="L5646">
        <v>86.236450000000005</v>
      </c>
      <c r="M5646">
        <v>-4.9881219999999997E-2</v>
      </c>
      <c r="N5646">
        <v>-1.341472E-2</v>
      </c>
      <c r="O5646">
        <v>-0.99866520000000003</v>
      </c>
      <c r="P5646">
        <v>9.7353549999999997E-2</v>
      </c>
      <c r="Q5646">
        <v>-0.114210199999999</v>
      </c>
      <c r="R5646">
        <v>-0.98867519999999998</v>
      </c>
      <c r="S5646">
        <v>0.62884519999999899</v>
      </c>
      <c r="T5646">
        <v>5.2630899999999998E-3</v>
      </c>
      <c r="U5646">
        <v>-2.9731450000000001</v>
      </c>
      <c r="V5646">
        <v>-0.1464792</v>
      </c>
      <c r="W5646">
        <v>-0.1011257</v>
      </c>
      <c r="X5646">
        <v>0.98403119999999999</v>
      </c>
      <c r="Y5646">
        <v>-0.25543510000000003</v>
      </c>
      <c r="Z5646">
        <v>-1.520327E-2</v>
      </c>
      <c r="AA5646">
        <v>0.96670659999999997</v>
      </c>
      <c r="AB5646">
        <v>33</v>
      </c>
      <c r="AC5646">
        <v>18.171199999999999</v>
      </c>
      <c r="AD5646">
        <v>0.152001</v>
      </c>
      <c r="AE5646">
        <v>-85.596988499999995</v>
      </c>
      <c r="AF5646">
        <v>-22.4185738571557</v>
      </c>
      <c r="AG5646">
        <v>0.152001</v>
      </c>
      <c r="AH5646">
        <v>84.5836762473796</v>
      </c>
      <c r="AI5646">
        <v>89.900473305656305</v>
      </c>
      <c r="AJ5646">
        <v>104.844695266356</v>
      </c>
      <c r="AK5646">
        <v>87.504364723219794</v>
      </c>
      <c r="AL5646">
        <v>95.803997063789097</v>
      </c>
      <c r="AM5646">
        <v>98.466665182917097</v>
      </c>
      <c r="AN5646">
        <v>0.99999998290328396</v>
      </c>
    </row>
    <row r="5647" spans="1:40" x14ac:dyDescent="0.25">
      <c r="A5647" t="str">
        <f>"20190305135042302"</f>
        <v>20190305135042302</v>
      </c>
      <c r="B5647" t="str">
        <f>"1551765042295755"</f>
        <v>1551765042295755</v>
      </c>
      <c r="C5647" t="s">
        <v>40</v>
      </c>
      <c r="D5647">
        <v>4.0965949999999998</v>
      </c>
      <c r="E5647">
        <v>0.43932080000000001</v>
      </c>
      <c r="F5647" t="s">
        <v>97</v>
      </c>
      <c r="G5647">
        <v>-398.92</v>
      </c>
      <c r="H5647">
        <v>5.3545089999999904</v>
      </c>
      <c r="I5647">
        <v>0.69178769999999901</v>
      </c>
      <c r="J5647">
        <v>-422.24689999999998</v>
      </c>
      <c r="K5647">
        <v>1.109699</v>
      </c>
      <c r="L5647">
        <v>85.986599999999996</v>
      </c>
      <c r="M5647">
        <v>-4.9618099999999998E-2</v>
      </c>
      <c r="N5647">
        <v>-1.345203E-2</v>
      </c>
      <c r="O5647">
        <v>-0.99867760000000005</v>
      </c>
      <c r="P5647">
        <v>9.7608440000000005E-2</v>
      </c>
      <c r="Q5647">
        <v>-0.1136819</v>
      </c>
      <c r="R5647">
        <v>-0.98871089999999995</v>
      </c>
      <c r="S5647">
        <v>0.80990600000000001</v>
      </c>
      <c r="T5647">
        <v>0.14745529999999901</v>
      </c>
      <c r="U5647">
        <v>-2.9716490000000002</v>
      </c>
      <c r="V5647">
        <v>-0.14647779999999999</v>
      </c>
      <c r="W5647">
        <v>-0.1005591</v>
      </c>
      <c r="X5647">
        <v>0.98408949999999995</v>
      </c>
      <c r="Y5647">
        <v>-0.31008599999999997</v>
      </c>
      <c r="Z5647">
        <v>-6.0904949999999999E-2</v>
      </c>
      <c r="AA5647">
        <v>0.94875560000000003</v>
      </c>
      <c r="AB5647">
        <v>33</v>
      </c>
      <c r="AC5647">
        <v>23.326899999999899</v>
      </c>
      <c r="AD5647">
        <v>4.2448099999999904</v>
      </c>
      <c r="AE5647">
        <v>-85.294812299999904</v>
      </c>
      <c r="AF5647">
        <v>-27.4674178158225</v>
      </c>
      <c r="AG5647">
        <v>4.2448099999999904</v>
      </c>
      <c r="AH5647">
        <v>83.838997986644998</v>
      </c>
      <c r="AI5647">
        <v>87.245388215989394</v>
      </c>
      <c r="AJ5647">
        <v>108.13988333853</v>
      </c>
      <c r="AK5647">
        <v>88.325845802968203</v>
      </c>
      <c r="AL5647">
        <v>95.771366775045195</v>
      </c>
      <c r="AM5647">
        <v>98.466091121045295</v>
      </c>
      <c r="AN5647">
        <v>1.0000000112479499</v>
      </c>
    </row>
    <row r="5648" spans="1:40" x14ac:dyDescent="0.25">
      <c r="A5648" t="str">
        <f>"20190305135042324"</f>
        <v>20190305135042324</v>
      </c>
      <c r="B5648" t="str">
        <f>"1551765042315275"</f>
        <v>1551765042315275</v>
      </c>
      <c r="C5648" t="s">
        <v>40</v>
      </c>
      <c r="D5648">
        <v>4.0495000000000001</v>
      </c>
      <c r="E5648">
        <v>0.4396986</v>
      </c>
      <c r="F5648" t="s">
        <v>97</v>
      </c>
      <c r="G5648">
        <v>-399.55489999999998</v>
      </c>
      <c r="H5648">
        <v>5.2924699999999998</v>
      </c>
      <c r="I5648">
        <v>0.68532939999999998</v>
      </c>
      <c r="J5648">
        <v>-422.26249999999999</v>
      </c>
      <c r="K5648">
        <v>1.1097049999999999</v>
      </c>
      <c r="L5648">
        <v>85.666439999999994</v>
      </c>
      <c r="M5648">
        <v>-4.9284260000000003E-2</v>
      </c>
      <c r="N5648">
        <v>-1.3494249999999999E-2</v>
      </c>
      <c r="O5648">
        <v>-0.99869379999999996</v>
      </c>
      <c r="P5648">
        <v>9.8253969999999996E-2</v>
      </c>
      <c r="Q5648">
        <v>-0.11303000000000001</v>
      </c>
      <c r="R5648">
        <v>-0.98872179999999998</v>
      </c>
      <c r="S5648">
        <v>0.79086299999999998</v>
      </c>
      <c r="T5648">
        <v>0.1457775</v>
      </c>
      <c r="U5648">
        <v>-2.972931</v>
      </c>
      <c r="V5648">
        <v>-0.14679600000000001</v>
      </c>
      <c r="W5648">
        <v>-9.9864300000000003E-2</v>
      </c>
      <c r="X5648">
        <v>0.98411289999999996</v>
      </c>
      <c r="Y5648">
        <v>-0.30399619999999999</v>
      </c>
      <c r="Z5648">
        <v>-6.04745E-2</v>
      </c>
      <c r="AA5648">
        <v>0.95075189999999998</v>
      </c>
      <c r="AB5648">
        <v>33</v>
      </c>
      <c r="AC5648">
        <v>22.707599999999999</v>
      </c>
      <c r="AD5648">
        <v>4.1827649999999998</v>
      </c>
      <c r="AE5648">
        <v>-84.981110599999994</v>
      </c>
      <c r="AF5648">
        <v>-26.807995294965199</v>
      </c>
      <c r="AG5648">
        <v>4.1827649999999998</v>
      </c>
      <c r="AH5648">
        <v>83.569629185880203</v>
      </c>
      <c r="AI5648">
        <v>87.271397348825701</v>
      </c>
      <c r="AJ5648">
        <v>107.78553115535</v>
      </c>
      <c r="AK5648">
        <v>87.863798330402403</v>
      </c>
      <c r="AL5648">
        <v>95.731355910342302</v>
      </c>
      <c r="AM5648">
        <v>98.484016191092806</v>
      </c>
      <c r="AN5648">
        <v>1.0000000719884401</v>
      </c>
    </row>
    <row r="5649" spans="1:40" x14ac:dyDescent="0.25">
      <c r="A5649" t="str">
        <f>"20190305135042338"</f>
        <v>20190305135042338</v>
      </c>
      <c r="B5649" t="str">
        <f>"1551765042335772"</f>
        <v>1551765042335772</v>
      </c>
      <c r="C5649" t="s">
        <v>40</v>
      </c>
      <c r="D5649">
        <v>4.075386</v>
      </c>
      <c r="E5649">
        <v>0.43960569999999999</v>
      </c>
      <c r="F5649" t="s">
        <v>97</v>
      </c>
      <c r="G5649">
        <v>-399.67599999999999</v>
      </c>
      <c r="H5649">
        <v>5.1178089999999896</v>
      </c>
      <c r="I5649">
        <v>0.68409730000000002</v>
      </c>
      <c r="J5649">
        <v>-422.27269999999999</v>
      </c>
      <c r="K5649">
        <v>1.1097090000000001</v>
      </c>
      <c r="L5649">
        <v>85.453980000000001</v>
      </c>
      <c r="M5649">
        <v>-4.906605E-2</v>
      </c>
      <c r="N5649">
        <v>-1.3518830000000001E-2</v>
      </c>
      <c r="O5649">
        <v>-0.99870400000000004</v>
      </c>
      <c r="P5649">
        <v>9.854127E-2</v>
      </c>
      <c r="Q5649">
        <v>-0.1128941</v>
      </c>
      <c r="R5649">
        <v>-0.98870849999999999</v>
      </c>
      <c r="S5649">
        <v>0.78982540000000001</v>
      </c>
      <c r="T5649">
        <v>0.14015810000000001</v>
      </c>
      <c r="U5649">
        <v>-2.9717410000000002</v>
      </c>
      <c r="V5649">
        <v>-0.14686869999999999</v>
      </c>
      <c r="W5649">
        <v>-9.9703079999999999E-2</v>
      </c>
      <c r="X5649">
        <v>0.9841183</v>
      </c>
      <c r="Y5649">
        <v>-0.30359599999999998</v>
      </c>
      <c r="Z5649">
        <v>-5.8718770000000003E-2</v>
      </c>
      <c r="AA5649">
        <v>0.9509898</v>
      </c>
      <c r="AB5649">
        <v>33</v>
      </c>
      <c r="AC5649">
        <v>22.596699999999998</v>
      </c>
      <c r="AD5649">
        <v>4.00809999999999</v>
      </c>
      <c r="AE5649">
        <v>-84.769882699999997</v>
      </c>
      <c r="AF5649">
        <v>-26.673506556745298</v>
      </c>
      <c r="AG5649">
        <v>4.00809999999999</v>
      </c>
      <c r="AH5649">
        <v>83.384881706101993</v>
      </c>
      <c r="AI5649">
        <v>87.378706174466998</v>
      </c>
      <c r="AJ5649">
        <v>107.738653108107</v>
      </c>
      <c r="AK5649">
        <v>87.638914386152507</v>
      </c>
      <c r="AL5649">
        <v>95.722072916345297</v>
      </c>
      <c r="AM5649">
        <v>98.488110768482898</v>
      </c>
      <c r="AN5649">
        <v>0.99999997379803196</v>
      </c>
    </row>
    <row r="5650" spans="1:40" x14ac:dyDescent="0.25">
      <c r="A5650" t="str">
        <f>"20190305135042358"</f>
        <v>20190305135042358</v>
      </c>
      <c r="B5650" t="str">
        <f>"1551765042345531"</f>
        <v>1551765042345531</v>
      </c>
      <c r="C5650" t="s">
        <v>40</v>
      </c>
      <c r="D5650">
        <v>4.0457749999999999</v>
      </c>
      <c r="E5650">
        <v>0.43973069999999997</v>
      </c>
      <c r="F5650" t="s">
        <v>97</v>
      </c>
      <c r="G5650">
        <v>-399.69569999999999</v>
      </c>
      <c r="H5650">
        <v>4.9993790000000002</v>
      </c>
      <c r="I5650">
        <v>0.68389699999999998</v>
      </c>
      <c r="J5650">
        <v>-422.286</v>
      </c>
      <c r="K5650">
        <v>1.10971</v>
      </c>
      <c r="L5650">
        <v>85.178100000000001</v>
      </c>
      <c r="M5650">
        <v>-4.878822E-2</v>
      </c>
      <c r="N5650">
        <v>-1.3547419999999999E-2</v>
      </c>
      <c r="O5650">
        <v>-0.99871739999999998</v>
      </c>
      <c r="P5650">
        <v>9.9016419999999994E-2</v>
      </c>
      <c r="Q5650">
        <v>-0.11287469999999999</v>
      </c>
      <c r="R5650">
        <v>-0.98866359999999998</v>
      </c>
      <c r="S5650">
        <v>0.79125979999999996</v>
      </c>
      <c r="T5650">
        <v>0.13632079999999999</v>
      </c>
      <c r="U5650">
        <v>-2.9709469999999998</v>
      </c>
      <c r="V5650">
        <v>-0.147068899999999</v>
      </c>
      <c r="W5650">
        <v>-9.9654090000000001E-2</v>
      </c>
      <c r="X5650">
        <v>0.98409340000000001</v>
      </c>
      <c r="Y5650">
        <v>-0.30383850000000001</v>
      </c>
      <c r="Z5650">
        <v>-5.7522829999999997E-2</v>
      </c>
      <c r="AA5650">
        <v>0.95098539999999998</v>
      </c>
      <c r="AB5650">
        <v>33</v>
      </c>
      <c r="AC5650">
        <v>22.590299999999999</v>
      </c>
      <c r="AD5650">
        <v>3.889669</v>
      </c>
      <c r="AE5650">
        <v>-84.494202999999999</v>
      </c>
      <c r="AF5650">
        <v>-26.633416729808701</v>
      </c>
      <c r="AG5650">
        <v>3.889669</v>
      </c>
      <c r="AH5650">
        <v>83.126912564263804</v>
      </c>
      <c r="AI5650">
        <v>87.4485500997597</v>
      </c>
      <c r="AJ5650">
        <v>107.76517985625701</v>
      </c>
      <c r="AK5650">
        <v>87.375923480670494</v>
      </c>
      <c r="AL5650">
        <v>95.719251742070995</v>
      </c>
      <c r="AM5650">
        <v>98.499724131664905</v>
      </c>
      <c r="AN5650">
        <v>1.0000000094622401</v>
      </c>
    </row>
    <row r="5651" spans="1:40" x14ac:dyDescent="0.25">
      <c r="A5651" t="str">
        <f>"20190305135042380"</f>
        <v>20190305135042380</v>
      </c>
      <c r="B5651" t="str">
        <f>"1551765042375789"</f>
        <v>1551765042375789</v>
      </c>
      <c r="C5651" t="s">
        <v>40</v>
      </c>
      <c r="D5651">
        <v>4.0443689999999997</v>
      </c>
      <c r="E5651">
        <v>0.43978800000000001</v>
      </c>
      <c r="F5651" t="s">
        <v>97</v>
      </c>
      <c r="G5651">
        <v>-399.75869999999998</v>
      </c>
      <c r="H5651">
        <v>4.9172900000000004</v>
      </c>
      <c r="I5651">
        <v>0.68325609999999903</v>
      </c>
      <c r="J5651">
        <v>-422.3021</v>
      </c>
      <c r="K5651">
        <v>1.109712</v>
      </c>
      <c r="L5651">
        <v>84.840239999999994</v>
      </c>
      <c r="M5651">
        <v>-4.8460830000000003E-2</v>
      </c>
      <c r="N5651">
        <v>-1.357762E-2</v>
      </c>
      <c r="O5651">
        <v>-0.99873299999999998</v>
      </c>
      <c r="P5651">
        <v>9.9889140000000001E-2</v>
      </c>
      <c r="Q5651">
        <v>-0.11238570000000001</v>
      </c>
      <c r="R5651">
        <v>-0.98863129999999999</v>
      </c>
      <c r="S5651">
        <v>0.79193119999999995</v>
      </c>
      <c r="T5651">
        <v>0.1338522</v>
      </c>
      <c r="U5651">
        <v>-2.970367</v>
      </c>
      <c r="V5651">
        <v>-0.14761949999999999</v>
      </c>
      <c r="W5651">
        <v>-9.9132719999999994E-2</v>
      </c>
      <c r="X5651">
        <v>0.98406360000000004</v>
      </c>
      <c r="Y5651">
        <v>-0.30378270000000002</v>
      </c>
      <c r="Z5651">
        <v>-5.6768079999999999E-2</v>
      </c>
      <c r="AA5651">
        <v>0.95104860000000002</v>
      </c>
      <c r="AB5651">
        <v>33</v>
      </c>
      <c r="AC5651">
        <v>22.543399999999998</v>
      </c>
      <c r="AD5651">
        <v>3.8075779999999999</v>
      </c>
      <c r="AE5651">
        <v>-84.1569839</v>
      </c>
      <c r="AF5651">
        <v>-26.5449015885346</v>
      </c>
      <c r="AG5651">
        <v>3.8075779999999999</v>
      </c>
      <c r="AH5651">
        <v>82.807358248557605</v>
      </c>
      <c r="AI5651">
        <v>87.492824843292695</v>
      </c>
      <c r="AJ5651">
        <v>107.773881844735</v>
      </c>
      <c r="AK5651">
        <v>87.041300717969804</v>
      </c>
      <c r="AL5651">
        <v>95.689230890077596</v>
      </c>
      <c r="AM5651">
        <v>98.531332755906405</v>
      </c>
      <c r="AN5651">
        <v>0.99999999089990399</v>
      </c>
    </row>
    <row r="5652" spans="1:40" x14ac:dyDescent="0.25">
      <c r="A5652" t="str">
        <f>"20190305135042395"</f>
        <v>20190305135042395</v>
      </c>
      <c r="B5652" t="str">
        <f>"1551765042385548"</f>
        <v>1551765042385548</v>
      </c>
      <c r="C5652" t="s">
        <v>40</v>
      </c>
      <c r="D5652">
        <v>4.061261</v>
      </c>
      <c r="E5652">
        <v>0.43979309999999999</v>
      </c>
      <c r="F5652" t="s">
        <v>97</v>
      </c>
      <c r="G5652">
        <v>-399.80160000000001</v>
      </c>
      <c r="H5652">
        <v>4.7449629999999896</v>
      </c>
      <c r="I5652">
        <v>0.68281749999999997</v>
      </c>
      <c r="J5652">
        <v>-422.31220000000002</v>
      </c>
      <c r="K5652">
        <v>1.1097090000000001</v>
      </c>
      <c r="L5652">
        <v>84.627899999999997</v>
      </c>
      <c r="M5652">
        <v>-4.8263920000000002E-2</v>
      </c>
      <c r="N5652">
        <v>-1.359436E-2</v>
      </c>
      <c r="O5652">
        <v>-0.99874229999999997</v>
      </c>
      <c r="P5652">
        <v>0.1002434</v>
      </c>
      <c r="Q5652">
        <v>-0.1124439</v>
      </c>
      <c r="R5652">
        <v>-0.98858919999999995</v>
      </c>
      <c r="S5652">
        <v>0.79376219999999997</v>
      </c>
      <c r="T5652">
        <v>0.12824199999999999</v>
      </c>
      <c r="U5652">
        <v>-2.9688720000000002</v>
      </c>
      <c r="V5652">
        <v>-0.14777939999999901</v>
      </c>
      <c r="W5652">
        <v>-9.9172170000000004E-2</v>
      </c>
      <c r="X5652">
        <v>0.98403560000000001</v>
      </c>
      <c r="Y5652">
        <v>-0.30428379999999999</v>
      </c>
      <c r="Z5652">
        <v>-5.4996070000000001E-2</v>
      </c>
      <c r="AA5652">
        <v>0.95099250000000002</v>
      </c>
      <c r="AB5652">
        <v>33</v>
      </c>
      <c r="AC5652">
        <v>22.5106</v>
      </c>
      <c r="AD5652">
        <v>3.63525399999999</v>
      </c>
      <c r="AE5652">
        <v>-83.945082499999998</v>
      </c>
      <c r="AF5652">
        <v>-26.489909226930902</v>
      </c>
      <c r="AG5652">
        <v>3.63525399999999</v>
      </c>
      <c r="AH5652">
        <v>82.616147048544903</v>
      </c>
      <c r="AI5652">
        <v>87.600679058012702</v>
      </c>
      <c r="AJ5652">
        <v>107.777845482608</v>
      </c>
      <c r="AK5652">
        <v>86.835235449915999</v>
      </c>
      <c r="AL5652">
        <v>95.6915025429781</v>
      </c>
      <c r="AM5652">
        <v>98.540677037502107</v>
      </c>
      <c r="AN5652">
        <v>0.99999996621711296</v>
      </c>
    </row>
    <row r="5653" spans="1:40" x14ac:dyDescent="0.25">
      <c r="A5653" t="str">
        <f>"20190305135042413"</f>
        <v>20190305135042413</v>
      </c>
      <c r="B5653" t="str">
        <f>"1551765042406043"</f>
        <v>1551765042406043</v>
      </c>
      <c r="C5653" t="s">
        <v>40</v>
      </c>
      <c r="D5653">
        <v>4.0401069999999999</v>
      </c>
      <c r="E5653">
        <v>0.43994529999999898</v>
      </c>
      <c r="F5653" t="s">
        <v>54</v>
      </c>
      <c r="G5653">
        <v>-408.39580000000001</v>
      </c>
      <c r="H5653">
        <v>3.3366889999999998</v>
      </c>
      <c r="I5653">
        <v>32.651389999999999</v>
      </c>
      <c r="J5653">
        <v>-422.3252</v>
      </c>
      <c r="K5653">
        <v>1.109702</v>
      </c>
      <c r="L5653">
        <v>84.354640000000003</v>
      </c>
      <c r="M5653">
        <v>-4.8023169999999997E-2</v>
      </c>
      <c r="N5653">
        <v>-1.3613409999999999E-2</v>
      </c>
      <c r="O5653">
        <v>-0.99875349999999996</v>
      </c>
      <c r="P5653">
        <v>0.10076549999999999</v>
      </c>
      <c r="Q5653">
        <v>-0.1121629</v>
      </c>
      <c r="R5653">
        <v>-0.98856770000000005</v>
      </c>
      <c r="S5653">
        <v>0.79479979999999995</v>
      </c>
      <c r="T5653">
        <v>0.1271882</v>
      </c>
      <c r="U5653">
        <v>-2.9685060000000001</v>
      </c>
      <c r="V5653">
        <v>-0.14806639999999999</v>
      </c>
      <c r="W5653">
        <v>-9.8868330000000004E-2</v>
      </c>
      <c r="X5653">
        <v>0.98402310000000004</v>
      </c>
      <c r="Y5653">
        <v>-0.30439759999999999</v>
      </c>
      <c r="Z5653">
        <v>-5.4679119999999998E-2</v>
      </c>
      <c r="AA5653">
        <v>0.9509744</v>
      </c>
      <c r="AB5653">
        <v>33</v>
      </c>
      <c r="AC5653">
        <v>13.9293999999999</v>
      </c>
      <c r="AD5653">
        <v>2.2269869999999998</v>
      </c>
      <c r="AE5653">
        <v>-51.703249999999997</v>
      </c>
      <c r="AF5653">
        <v>-16.368197564270599</v>
      </c>
      <c r="AG5653">
        <v>2.2269869999999998</v>
      </c>
      <c r="AH5653">
        <v>50.886570793231598</v>
      </c>
      <c r="AI5653">
        <v>87.614350252133903</v>
      </c>
      <c r="AJ5653">
        <v>107.830929983581</v>
      </c>
      <c r="AK5653">
        <v>53.500658404319999</v>
      </c>
      <c r="AL5653">
        <v>95.674007430889802</v>
      </c>
      <c r="AM5653">
        <v>98.557125526822105</v>
      </c>
      <c r="AN5653">
        <v>1.0000000334097701</v>
      </c>
    </row>
    <row r="5654" spans="1:40" x14ac:dyDescent="0.25">
      <c r="A5654" t="str">
        <f>"20190305135042428"</f>
        <v>20190305135042428</v>
      </c>
      <c r="B5654" t="str">
        <f>"1551765042425564"</f>
        <v>1551765042425564</v>
      </c>
      <c r="C5654" t="s">
        <v>40</v>
      </c>
      <c r="D5654">
        <v>4.0583850000000004</v>
      </c>
      <c r="E5654">
        <v>0.44000610000000001</v>
      </c>
      <c r="F5654" t="s">
        <v>54</v>
      </c>
      <c r="G5654">
        <v>-408.49290000000002</v>
      </c>
      <c r="H5654">
        <v>3.305812</v>
      </c>
      <c r="I5654">
        <v>32.707169999999998</v>
      </c>
      <c r="J5654">
        <v>-422.33539999999999</v>
      </c>
      <c r="K5654">
        <v>1.109693</v>
      </c>
      <c r="L5654">
        <v>84.136659999999907</v>
      </c>
      <c r="M5654">
        <v>-4.784236E-2</v>
      </c>
      <c r="N5654">
        <v>-1.362696E-2</v>
      </c>
      <c r="O5654">
        <v>-0.99876209999999999</v>
      </c>
      <c r="P5654">
        <v>0.1009328</v>
      </c>
      <c r="Q5654">
        <v>-0.1120698</v>
      </c>
      <c r="R5654">
        <v>-0.98856149999999998</v>
      </c>
      <c r="S5654">
        <v>0.79489140000000003</v>
      </c>
      <c r="T5654">
        <v>0.12620219999999999</v>
      </c>
      <c r="U5654">
        <v>-2.9679869999999999</v>
      </c>
      <c r="V5654">
        <v>-0.1480582</v>
      </c>
      <c r="W5654">
        <v>-9.8757449999999997E-2</v>
      </c>
      <c r="X5654">
        <v>0.9840354</v>
      </c>
      <c r="Y5654">
        <v>-0.304297599999999</v>
      </c>
      <c r="Z5654">
        <v>-5.4383330000000001E-2</v>
      </c>
      <c r="AA5654">
        <v>0.95102330000000002</v>
      </c>
      <c r="AB5654">
        <v>33</v>
      </c>
      <c r="AC5654">
        <v>13.8424999999999</v>
      </c>
      <c r="AD5654">
        <v>2.1961189999999999</v>
      </c>
      <c r="AE5654">
        <v>-51.429490000000001</v>
      </c>
      <c r="AF5654">
        <v>-16.259736659734301</v>
      </c>
      <c r="AG5654">
        <v>2.1961189999999999</v>
      </c>
      <c r="AH5654">
        <v>50.622197495571903</v>
      </c>
      <c r="AI5654">
        <v>87.634789012793505</v>
      </c>
      <c r="AJ5654">
        <v>107.806902177011</v>
      </c>
      <c r="AK5654">
        <v>53.214742827404102</v>
      </c>
      <c r="AL5654">
        <v>95.667623611535305</v>
      </c>
      <c r="AM5654">
        <v>98.556553272263699</v>
      </c>
      <c r="AN5654">
        <v>0.99999996648544998</v>
      </c>
    </row>
    <row r="5655" spans="1:40" x14ac:dyDescent="0.25">
      <c r="A5655" t="str">
        <f>"20190305135042447"</f>
        <v>20190305135042447</v>
      </c>
      <c r="B5655" t="str">
        <f>"1551765042435323"</f>
        <v>1551765042435323</v>
      </c>
      <c r="C5655" t="s">
        <v>40</v>
      </c>
      <c r="D5655">
        <v>4.0401819999999997</v>
      </c>
      <c r="E5655">
        <v>0.44001479999999998</v>
      </c>
      <c r="F5655" t="s">
        <v>54</v>
      </c>
      <c r="G5655">
        <v>-408.55180000000001</v>
      </c>
      <c r="H5655">
        <v>3.2763969999999998</v>
      </c>
      <c r="I5655">
        <v>32.695970000000003</v>
      </c>
      <c r="J5655">
        <v>-422.34789999999998</v>
      </c>
      <c r="K5655">
        <v>1.109683</v>
      </c>
      <c r="L5655">
        <v>83.872959999999907</v>
      </c>
      <c r="M5655">
        <v>-4.7641589999999998E-2</v>
      </c>
      <c r="N5655">
        <v>-1.3641250000000001E-2</v>
      </c>
      <c r="O5655">
        <v>-0.99877130000000003</v>
      </c>
      <c r="P5655">
        <v>0.1010784</v>
      </c>
      <c r="Q5655">
        <v>-0.1116374</v>
      </c>
      <c r="R5655">
        <v>-0.98859490000000005</v>
      </c>
      <c r="S5655">
        <v>0.79519649999999997</v>
      </c>
      <c r="T5655">
        <v>0.125</v>
      </c>
      <c r="U5655">
        <v>-2.9676819999999999</v>
      </c>
      <c r="V5655">
        <v>-0.1480118</v>
      </c>
      <c r="W5655">
        <v>-9.8304379999999997E-2</v>
      </c>
      <c r="X5655">
        <v>0.98408779999999996</v>
      </c>
      <c r="Y5655">
        <v>-0.30422640000000001</v>
      </c>
      <c r="Z5655">
        <v>-5.4015260000000002E-2</v>
      </c>
      <c r="AA5655">
        <v>0.95106710000000005</v>
      </c>
      <c r="AB5655">
        <v>33</v>
      </c>
      <c r="AC5655">
        <v>13.7960999999999</v>
      </c>
      <c r="AD5655">
        <v>2.1667139999999998</v>
      </c>
      <c r="AE5655">
        <v>-51.176989999999897</v>
      </c>
      <c r="AF5655">
        <v>-16.1917546181723</v>
      </c>
      <c r="AG5655">
        <v>2.1667139999999998</v>
      </c>
      <c r="AH5655">
        <v>50.377355492948801</v>
      </c>
      <c r="AI5655">
        <v>87.655238250798803</v>
      </c>
      <c r="AJ5655">
        <v>107.817892312135</v>
      </c>
      <c r="AK5655">
        <v>52.959848127008797</v>
      </c>
      <c r="AL5655">
        <v>95.641537368154601</v>
      </c>
      <c r="AM5655">
        <v>98.553462670588999</v>
      </c>
      <c r="AN5655">
        <v>1.0000000210876301</v>
      </c>
    </row>
    <row r="5656" spans="1:40" x14ac:dyDescent="0.25">
      <c r="A5656" t="str">
        <f>"20190305135042461"</f>
        <v>20190305135042461</v>
      </c>
      <c r="B5656" t="str">
        <f>"1551765042455820"</f>
        <v>1551765042455820</v>
      </c>
      <c r="C5656" t="s">
        <v>40</v>
      </c>
      <c r="D5656">
        <v>4.0365060000000001</v>
      </c>
      <c r="E5656">
        <v>0.44002079999999999</v>
      </c>
      <c r="F5656" t="s">
        <v>54</v>
      </c>
      <c r="G5656">
        <v>-408.60660000000001</v>
      </c>
      <c r="H5656">
        <v>3.2675770000000002</v>
      </c>
      <c r="I5656">
        <v>32.627220000000001</v>
      </c>
      <c r="J5656">
        <v>-422.3578</v>
      </c>
      <c r="K5656">
        <v>1.1096729999999999</v>
      </c>
      <c r="L5656">
        <v>83.660640000000001</v>
      </c>
      <c r="M5656">
        <v>-4.7494830000000002E-2</v>
      </c>
      <c r="N5656">
        <v>-1.3651389999999999E-2</v>
      </c>
      <c r="O5656">
        <v>-0.99877819999999995</v>
      </c>
      <c r="P5656">
        <v>0.1013027</v>
      </c>
      <c r="Q5656">
        <v>-0.1117471</v>
      </c>
      <c r="R5656">
        <v>-0.98855979999999999</v>
      </c>
      <c r="S5656">
        <v>0.79568479999999997</v>
      </c>
      <c r="T5656">
        <v>0.12495240000000001</v>
      </c>
      <c r="U5656">
        <v>-2.9673769999999999</v>
      </c>
      <c r="V5656">
        <v>-0.14809349999999999</v>
      </c>
      <c r="W5656">
        <v>-9.8399139999999996E-2</v>
      </c>
      <c r="X5656">
        <v>0.984066</v>
      </c>
      <c r="Y5656">
        <v>-0.30425679999999999</v>
      </c>
      <c r="Z5656">
        <v>-5.4013319999999997E-2</v>
      </c>
      <c r="AA5656">
        <v>0.9510575</v>
      </c>
      <c r="AB5656">
        <v>33</v>
      </c>
      <c r="AC5656">
        <v>13.7511999999999</v>
      </c>
      <c r="AD5656">
        <v>2.1579039999999998</v>
      </c>
      <c r="AE5656">
        <v>-51.03342</v>
      </c>
      <c r="AF5656">
        <v>-16.132835985979501</v>
      </c>
      <c r="AG5656">
        <v>2.1579039999999998</v>
      </c>
      <c r="AH5656">
        <v>50.238901228799001</v>
      </c>
      <c r="AI5656">
        <v>87.658137563987395</v>
      </c>
      <c r="AJ5656">
        <v>107.802987289584</v>
      </c>
      <c r="AK5656">
        <v>52.809773179788998</v>
      </c>
      <c r="AL5656">
        <v>95.646993377926407</v>
      </c>
      <c r="AM5656">
        <v>98.558300924324797</v>
      </c>
      <c r="AN5656">
        <v>0.99999998392549405</v>
      </c>
    </row>
    <row r="5657" spans="1:40" x14ac:dyDescent="0.25">
      <c r="A5657" t="str">
        <f>"20190305135042475"</f>
        <v>20190305135042475</v>
      </c>
      <c r="B5657" t="str">
        <f>"1551765042465579"</f>
        <v>1551765042465579</v>
      </c>
      <c r="C5657" t="s">
        <v>40</v>
      </c>
      <c r="D5657">
        <v>4.0621619999999998</v>
      </c>
      <c r="E5657">
        <v>0.4400039</v>
      </c>
      <c r="F5657" t="s">
        <v>97</v>
      </c>
      <c r="G5657">
        <v>-400.0883</v>
      </c>
      <c r="H5657">
        <v>4.5469030000000004</v>
      </c>
      <c r="I5657">
        <v>0.67990490000000003</v>
      </c>
      <c r="J5657">
        <v>-422.3673</v>
      </c>
      <c r="K5657">
        <v>1.109664</v>
      </c>
      <c r="L5657">
        <v>83.458680000000001</v>
      </c>
      <c r="M5657">
        <v>-4.7365419999999998E-2</v>
      </c>
      <c r="N5657">
        <v>-1.3660240000000001E-2</v>
      </c>
      <c r="O5657">
        <v>-0.99878440000000002</v>
      </c>
      <c r="P5657">
        <v>0.10136870000000001</v>
      </c>
      <c r="Q5657">
        <v>-0.11159520000000001</v>
      </c>
      <c r="R5657">
        <v>-0.98857019999999995</v>
      </c>
      <c r="S5657">
        <v>0.79626459999999999</v>
      </c>
      <c r="T5657">
        <v>0.12289990000000001</v>
      </c>
      <c r="U5657">
        <v>-2.967041</v>
      </c>
      <c r="V5657">
        <v>-0.1480359</v>
      </c>
      <c r="W5657">
        <v>-9.823279E-2</v>
      </c>
      <c r="X5657">
        <v>0.9840913</v>
      </c>
      <c r="Y5657">
        <v>-0.30434149999999999</v>
      </c>
      <c r="Z5657">
        <v>-5.3364910000000002E-2</v>
      </c>
      <c r="AA5657">
        <v>0.951067</v>
      </c>
      <c r="AB5657">
        <v>33</v>
      </c>
      <c r="AC5657">
        <v>22.279</v>
      </c>
      <c r="AD5657">
        <v>3.4372389999999902</v>
      </c>
      <c r="AE5657">
        <v>-82.778775099999905</v>
      </c>
      <c r="AF5657">
        <v>-26.1331918066256</v>
      </c>
      <c r="AG5657">
        <v>3.4372389999999902</v>
      </c>
      <c r="AH5657">
        <v>81.4994685380927</v>
      </c>
      <c r="AI5657">
        <v>87.700189528495898</v>
      </c>
      <c r="AJ5657">
        <v>107.77869498057299</v>
      </c>
      <c r="AK5657">
        <v>85.655832830791894</v>
      </c>
      <c r="AL5657">
        <v>95.637415745919398</v>
      </c>
      <c r="AM5657">
        <v>98.554804805873601</v>
      </c>
      <c r="AN5657">
        <v>0.99999999772784198</v>
      </c>
    </row>
    <row r="5658" spans="1:40" x14ac:dyDescent="0.25">
      <c r="A5658" t="str">
        <f>"20190305135042493"</f>
        <v>20190305135042493</v>
      </c>
      <c r="B5658" t="str">
        <f>"1551765042486076"</f>
        <v>1551765042486076</v>
      </c>
      <c r="C5658" t="s">
        <v>40</v>
      </c>
      <c r="D5658">
        <v>4.0558379999999996</v>
      </c>
      <c r="E5658">
        <v>0.43995459999999897</v>
      </c>
      <c r="F5658" t="s">
        <v>97</v>
      </c>
      <c r="G5658">
        <v>-400.13639999999998</v>
      </c>
      <c r="H5658">
        <v>4.5210119999999998</v>
      </c>
      <c r="I5658">
        <v>0.67941470000000004</v>
      </c>
      <c r="J5658">
        <v>-422.37950000000001</v>
      </c>
      <c r="K5658">
        <v>1.109648</v>
      </c>
      <c r="L5658">
        <v>83.197779999999995</v>
      </c>
      <c r="M5658">
        <v>-4.7215859999999998E-2</v>
      </c>
      <c r="N5658">
        <v>-1.3670379999999999E-2</v>
      </c>
      <c r="O5658">
        <v>-0.99879130000000005</v>
      </c>
      <c r="P5658">
        <v>0.1010726</v>
      </c>
      <c r="Q5658">
        <v>-0.1114827</v>
      </c>
      <c r="R5658">
        <v>-0.98861339999999998</v>
      </c>
      <c r="S5658">
        <v>0.79675289999999999</v>
      </c>
      <c r="T5658">
        <v>0.1222613</v>
      </c>
      <c r="U5658">
        <v>-2.9667970000000001</v>
      </c>
      <c r="V5658">
        <v>-0.14760039999999999</v>
      </c>
      <c r="W5658">
        <v>-9.8101759999999996E-2</v>
      </c>
      <c r="X5658">
        <v>0.98416979999999998</v>
      </c>
      <c r="Y5658">
        <v>-0.30436669999999999</v>
      </c>
      <c r="Z5658">
        <v>-5.3171980000000001E-2</v>
      </c>
      <c r="AA5658">
        <v>0.95106970000000002</v>
      </c>
      <c r="AB5658">
        <v>33</v>
      </c>
      <c r="AC5658">
        <v>22.243099999999998</v>
      </c>
      <c r="AD5658">
        <v>3.4113639999999998</v>
      </c>
      <c r="AE5658">
        <v>-82.518365299999999</v>
      </c>
      <c r="AF5658">
        <v>-26.073284847245301</v>
      </c>
      <c r="AG5658">
        <v>3.4113639999999998</v>
      </c>
      <c r="AH5658">
        <v>81.246542234894505</v>
      </c>
      <c r="AI5658">
        <v>87.710559213467306</v>
      </c>
      <c r="AJ5658">
        <v>107.79224734439499</v>
      </c>
      <c r="AK5658">
        <v>85.395867652905693</v>
      </c>
      <c r="AL5658">
        <v>95.629871748633704</v>
      </c>
      <c r="AM5658">
        <v>98.529338211440702</v>
      </c>
      <c r="AN5658">
        <v>1.0000000143136401</v>
      </c>
    </row>
    <row r="5659" spans="1:40" x14ac:dyDescent="0.25">
      <c r="A5659" t="str">
        <f>"20190305135042515"</f>
        <v>20190305135042515</v>
      </c>
      <c r="B5659" t="str">
        <f>"1551765042505595"</f>
        <v>1551765042505595</v>
      </c>
      <c r="C5659" t="s">
        <v>40</v>
      </c>
      <c r="D5659">
        <v>4.0582969999999996</v>
      </c>
      <c r="E5659">
        <v>0.43989630000000002</v>
      </c>
      <c r="F5659" t="s">
        <v>97</v>
      </c>
      <c r="G5659">
        <v>-400.23289999999997</v>
      </c>
      <c r="H5659">
        <v>4.4500970000000004</v>
      </c>
      <c r="I5659">
        <v>0.67843249999999999</v>
      </c>
      <c r="J5659">
        <v>-422.39460000000003</v>
      </c>
      <c r="K5659">
        <v>1.1096349999999999</v>
      </c>
      <c r="L5659">
        <v>82.876069999999999</v>
      </c>
      <c r="M5659">
        <v>-4.7058410000000002E-2</v>
      </c>
      <c r="N5659">
        <v>-1.3680980000000001E-2</v>
      </c>
      <c r="O5659">
        <v>-0.99879839999999998</v>
      </c>
      <c r="P5659">
        <v>0.1008845</v>
      </c>
      <c r="Q5659">
        <v>-0.11138439999999999</v>
      </c>
      <c r="R5659">
        <v>-0.98864359999999996</v>
      </c>
      <c r="S5659">
        <v>0.79620360000000001</v>
      </c>
      <c r="T5659">
        <v>0.12009359999999999</v>
      </c>
      <c r="U5659">
        <v>-2.9667050000000001</v>
      </c>
      <c r="V5659">
        <v>-0.1472647</v>
      </c>
      <c r="W5659">
        <v>-9.7983219999999996E-2</v>
      </c>
      <c r="X5659">
        <v>0.98423190000000005</v>
      </c>
      <c r="Y5659">
        <v>-0.30406759999999999</v>
      </c>
      <c r="Z5659">
        <v>-5.2489180000000003E-2</v>
      </c>
      <c r="AA5659">
        <v>0.95120329999999997</v>
      </c>
      <c r="AB5659">
        <v>33</v>
      </c>
      <c r="AC5659">
        <v>22.1617</v>
      </c>
      <c r="AD5659">
        <v>3.340462</v>
      </c>
      <c r="AE5659">
        <v>-82.197637499999999</v>
      </c>
      <c r="AF5659">
        <v>-25.965617959723399</v>
      </c>
      <c r="AG5659">
        <v>3.340462</v>
      </c>
      <c r="AH5659">
        <v>80.938948005175405</v>
      </c>
      <c r="AI5659">
        <v>87.749510438269397</v>
      </c>
      <c r="AJ5659">
        <v>107.786499846317</v>
      </c>
      <c r="AK5659">
        <v>85.067533798672301</v>
      </c>
      <c r="AL5659">
        <v>95.623047005595794</v>
      </c>
      <c r="AM5659">
        <v>98.509694505541901</v>
      </c>
      <c r="AN5659">
        <v>1.0000000181226301</v>
      </c>
    </row>
    <row r="5660" spans="1:40" x14ac:dyDescent="0.25">
      <c r="A5660" t="str">
        <f>"20190305135042536"</f>
        <v>20190305135042536</v>
      </c>
      <c r="B5660" t="str">
        <f>"1551765042526091"</f>
        <v>1551765042526091</v>
      </c>
      <c r="C5660" t="s">
        <v>40</v>
      </c>
      <c r="D5660">
        <v>4.0801740000000004</v>
      </c>
      <c r="E5660">
        <v>0.43978919999999999</v>
      </c>
      <c r="F5660" t="s">
        <v>97</v>
      </c>
      <c r="G5660">
        <v>-400.334</v>
      </c>
      <c r="H5660">
        <v>4.3937039999999996</v>
      </c>
      <c r="I5660">
        <v>0.67740440000000002</v>
      </c>
      <c r="J5660">
        <v>-422.40910000000002</v>
      </c>
      <c r="K5660">
        <v>1.109615</v>
      </c>
      <c r="L5660">
        <v>82.561769999999996</v>
      </c>
      <c r="M5660">
        <v>-4.6928669999999999E-2</v>
      </c>
      <c r="N5660">
        <v>-1.368977E-2</v>
      </c>
      <c r="O5660">
        <v>-0.99880460000000004</v>
      </c>
      <c r="P5660">
        <v>0.10060230000000001</v>
      </c>
      <c r="Q5660">
        <v>-0.1110119</v>
      </c>
      <c r="R5660">
        <v>-0.98871430000000005</v>
      </c>
      <c r="S5660">
        <v>0.79617309999999997</v>
      </c>
      <c r="T5660">
        <v>0.1185224</v>
      </c>
      <c r="U5660">
        <v>-2.966583</v>
      </c>
      <c r="V5660">
        <v>-0.14686399999999999</v>
      </c>
      <c r="W5660">
        <v>-9.7592520000000002E-2</v>
      </c>
      <c r="X5660">
        <v>0.98433060000000006</v>
      </c>
      <c r="Y5660">
        <v>-0.30395029999999901</v>
      </c>
      <c r="Z5660">
        <v>-5.1994749999999999E-2</v>
      </c>
      <c r="AA5660">
        <v>0.951268</v>
      </c>
      <c r="AB5660">
        <v>33</v>
      </c>
      <c r="AC5660">
        <v>22.075099999999999</v>
      </c>
      <c r="AD5660">
        <v>3.2840889999999998</v>
      </c>
      <c r="AE5660">
        <v>-81.884365599999995</v>
      </c>
      <c r="AF5660">
        <v>-25.855087131182401</v>
      </c>
      <c r="AG5660">
        <v>3.2840889999999998</v>
      </c>
      <c r="AH5660">
        <v>80.6371612841195</v>
      </c>
      <c r="AI5660">
        <v>87.779069209010004</v>
      </c>
      <c r="AJ5660">
        <v>107.777662974525</v>
      </c>
      <c r="AK5660">
        <v>84.744454397217396</v>
      </c>
      <c r="AL5660">
        <v>95.600553661387394</v>
      </c>
      <c r="AM5660">
        <v>98.486039097229494</v>
      </c>
      <c r="AN5660">
        <v>1.00000003227615</v>
      </c>
    </row>
    <row r="5661" spans="1:40" x14ac:dyDescent="0.25">
      <c r="A5661" t="str">
        <f>"20190305135042552"</f>
        <v>20190305135042552</v>
      </c>
      <c r="B5661" t="str">
        <f>"1551765042545323"</f>
        <v>1551765042545323</v>
      </c>
      <c r="C5661" t="s">
        <v>40</v>
      </c>
      <c r="D5661">
        <v>4.0331349999999997</v>
      </c>
      <c r="E5661">
        <v>0.4396716</v>
      </c>
      <c r="F5661" t="s">
        <v>97</v>
      </c>
      <c r="G5661">
        <v>-400.43639999999999</v>
      </c>
      <c r="H5661">
        <v>4.3418140000000003</v>
      </c>
      <c r="I5661">
        <v>0.67636109999999905</v>
      </c>
      <c r="J5661">
        <v>-422.42009999999999</v>
      </c>
      <c r="K5661">
        <v>1.109605</v>
      </c>
      <c r="L5661">
        <v>82.327609999999893</v>
      </c>
      <c r="M5661">
        <v>-4.6844799999999999E-2</v>
      </c>
      <c r="N5661">
        <v>-1.369547E-2</v>
      </c>
      <c r="O5661">
        <v>-0.99880820000000003</v>
      </c>
      <c r="P5661">
        <v>0.1006861</v>
      </c>
      <c r="Q5661">
        <v>-0.1108956</v>
      </c>
      <c r="R5661">
        <v>-0.98871849999999994</v>
      </c>
      <c r="S5661">
        <v>0.79598999999999998</v>
      </c>
      <c r="T5661">
        <v>0.1170894</v>
      </c>
      <c r="U5661">
        <v>-2.9664000000000001</v>
      </c>
      <c r="V5661">
        <v>-0.14686859999999999</v>
      </c>
      <c r="W5661">
        <v>-9.7465019999999999E-2</v>
      </c>
      <c r="X5661">
        <v>0.98434250000000001</v>
      </c>
      <c r="Y5661">
        <v>-0.30383529999999997</v>
      </c>
      <c r="Z5661">
        <v>-5.1542530000000003E-2</v>
      </c>
      <c r="AA5661">
        <v>0.95132930000000004</v>
      </c>
      <c r="AB5661">
        <v>33</v>
      </c>
      <c r="AC5661">
        <v>21.983699999999999</v>
      </c>
      <c r="AD5661">
        <v>3.2322090000000001</v>
      </c>
      <c r="AE5661">
        <v>-81.651248899999999</v>
      </c>
      <c r="AF5661">
        <v>-25.747237541891401</v>
      </c>
      <c r="AG5661">
        <v>3.2322090000000001</v>
      </c>
      <c r="AH5661">
        <v>80.414181744345797</v>
      </c>
      <c r="AI5661">
        <v>87.807776804008597</v>
      </c>
      <c r="AJ5661">
        <v>107.754171696245</v>
      </c>
      <c r="AK5661">
        <v>84.497384821489803</v>
      </c>
      <c r="AL5661">
        <v>95.593213713402307</v>
      </c>
      <c r="AM5661">
        <v>98.486199922948899</v>
      </c>
      <c r="AN5661">
        <v>0.99999998654790501</v>
      </c>
    </row>
    <row r="5662" spans="1:40" x14ac:dyDescent="0.25">
      <c r="A5662" t="str">
        <f>"20190305135042569"</f>
        <v>20190305135042569</v>
      </c>
      <c r="B5662" t="str">
        <f>"1551765042565819"</f>
        <v>1551765042565819</v>
      </c>
      <c r="C5662" t="s">
        <v>40</v>
      </c>
      <c r="D5662">
        <v>4.5782389999999999</v>
      </c>
      <c r="E5662">
        <v>0.45047290000000001</v>
      </c>
      <c r="F5662" t="s">
        <v>97</v>
      </c>
      <c r="G5662">
        <v>-400.48149999999998</v>
      </c>
      <c r="H5662">
        <v>4.2974690000000004</v>
      </c>
      <c r="I5662">
        <v>0.67590139999999999</v>
      </c>
      <c r="J5662">
        <v>-422.43189999999998</v>
      </c>
      <c r="K5662">
        <v>1.1095980000000001</v>
      </c>
      <c r="L5662">
        <v>82.073939999999993</v>
      </c>
      <c r="M5662">
        <v>-4.6765260000000003E-2</v>
      </c>
      <c r="N5662">
        <v>-1.3700850000000001E-2</v>
      </c>
      <c r="O5662">
        <v>-0.99881200000000003</v>
      </c>
      <c r="P5662">
        <v>0.10052220000000001</v>
      </c>
      <c r="Q5662">
        <v>-0.1098737</v>
      </c>
      <c r="R5662">
        <v>-0.9888496</v>
      </c>
      <c r="S5662">
        <v>0.79693599999999998</v>
      </c>
      <c r="T5662">
        <v>0.1158009</v>
      </c>
      <c r="U5662">
        <v>-2.9660639999999998</v>
      </c>
      <c r="V5662">
        <v>-0.1466365</v>
      </c>
      <c r="W5662">
        <v>-9.643053E-2</v>
      </c>
      <c r="X5662">
        <v>0.98447899999999999</v>
      </c>
      <c r="Y5662">
        <v>-0.30407410000000001</v>
      </c>
      <c r="Z5662">
        <v>-5.1134369999999998E-2</v>
      </c>
      <c r="AA5662">
        <v>0.95127510000000004</v>
      </c>
      <c r="AB5662">
        <v>33</v>
      </c>
      <c r="AC5662">
        <v>21.950399999999998</v>
      </c>
      <c r="AD5662">
        <v>3.1878709999999999</v>
      </c>
      <c r="AE5662">
        <v>-81.398038599999893</v>
      </c>
      <c r="AF5662">
        <v>-25.696595269223799</v>
      </c>
      <c r="AG5662">
        <v>3.1878709999999999</v>
      </c>
      <c r="AH5662">
        <v>80.167725463361293</v>
      </c>
      <c r="AI5662">
        <v>87.831401215121602</v>
      </c>
      <c r="AJ5662">
        <v>107.77249486056201</v>
      </c>
      <c r="AK5662">
        <v>84.245722359724695</v>
      </c>
      <c r="AL5662">
        <v>95.533661168238893</v>
      </c>
      <c r="AM5662">
        <v>98.471826048272405</v>
      </c>
      <c r="AN5662">
        <v>1.0000000058446601</v>
      </c>
    </row>
    <row r="5663" spans="1:40" x14ac:dyDescent="0.25">
      <c r="A5663" t="str">
        <f>"20190305135042585"</f>
        <v>20190305135042585</v>
      </c>
      <c r="B5663" t="str">
        <f>"1551765042575579"</f>
        <v>1551765042575579</v>
      </c>
      <c r="C5663" t="s">
        <v>40</v>
      </c>
      <c r="D5663">
        <v>5.2382249999999999</v>
      </c>
      <c r="E5663">
        <v>0.45949190000000001</v>
      </c>
      <c r="F5663" t="s">
        <v>42</v>
      </c>
      <c r="G5663">
        <v>-412.84199999999998</v>
      </c>
      <c r="H5663" s="1">
        <v>-2.639697E-6</v>
      </c>
      <c r="I5663">
        <v>41.808280000000003</v>
      </c>
      <c r="J5663">
        <v>-422.44240000000002</v>
      </c>
      <c r="K5663">
        <v>1.1095919999999999</v>
      </c>
      <c r="L5663">
        <v>81.846980000000002</v>
      </c>
      <c r="M5663">
        <v>-4.6702420000000001E-2</v>
      </c>
      <c r="N5663">
        <v>-1.3704900000000001E-2</v>
      </c>
      <c r="O5663">
        <v>-0.99881509999999996</v>
      </c>
      <c r="P5663">
        <v>0.10038950000000001</v>
      </c>
      <c r="Q5663">
        <v>-0.1098416</v>
      </c>
      <c r="R5663">
        <v>-0.98886689999999999</v>
      </c>
      <c r="S5663">
        <v>0.70336909999999997</v>
      </c>
      <c r="T5663">
        <v>-8.1383469999999999E-2</v>
      </c>
      <c r="U5663">
        <v>-2.9532780000000001</v>
      </c>
      <c r="V5663">
        <v>-0.14644599999999999</v>
      </c>
      <c r="W5663">
        <v>-9.6389989999999995E-2</v>
      </c>
      <c r="X5663">
        <v>0.98451129999999998</v>
      </c>
      <c r="Y5663">
        <v>-0.276773299999999</v>
      </c>
      <c r="Z5663">
        <v>1.2813990000000001E-2</v>
      </c>
      <c r="AA5663">
        <v>0.96084979999999998</v>
      </c>
      <c r="AB5663">
        <v>33</v>
      </c>
      <c r="AC5663">
        <v>9.6004000000000307</v>
      </c>
      <c r="AD5663">
        <v>-1.109594639697</v>
      </c>
      <c r="AE5663">
        <v>-40.038699999999999</v>
      </c>
      <c r="AF5663">
        <v>-11.4516849540985</v>
      </c>
      <c r="AG5663">
        <v>-1.109594639697</v>
      </c>
      <c r="AH5663">
        <v>39.517899348850399</v>
      </c>
      <c r="AI5663">
        <v>91.544821129747206</v>
      </c>
      <c r="AJ5663">
        <v>106.160782676954</v>
      </c>
      <c r="AK5663">
        <v>41.158676576127199</v>
      </c>
      <c r="AL5663">
        <v>95.5313276673633</v>
      </c>
      <c r="AM5663">
        <v>98.460705876687598</v>
      </c>
      <c r="AN5663">
        <v>0.99999998045794403</v>
      </c>
    </row>
    <row r="5664" spans="1:40" x14ac:dyDescent="0.25">
      <c r="A5664" t="str">
        <f>"20190305135042603"</f>
        <v>20190305135042603</v>
      </c>
      <c r="B5664" t="str">
        <f>"1551765042596074"</f>
        <v>1551765042596074</v>
      </c>
      <c r="C5664" t="s">
        <v>40</v>
      </c>
      <c r="D5664">
        <v>4.3055919999999999</v>
      </c>
      <c r="E5664">
        <v>0.55441509999999905</v>
      </c>
      <c r="F5664" t="s">
        <v>42</v>
      </c>
      <c r="G5664">
        <v>-416.61149999999998</v>
      </c>
      <c r="H5664" s="1">
        <v>-2.6766290000000001E-6</v>
      </c>
      <c r="I5664">
        <v>54.470939999999999</v>
      </c>
      <c r="J5664">
        <v>-422.45499999999998</v>
      </c>
      <c r="K5664">
        <v>1.109586</v>
      </c>
      <c r="L5664">
        <v>81.576750000000004</v>
      </c>
      <c r="M5664">
        <v>-4.663279E-2</v>
      </c>
      <c r="N5664">
        <v>-1.370909E-2</v>
      </c>
      <c r="O5664">
        <v>-0.99881819999999999</v>
      </c>
      <c r="P5664">
        <v>9.9845379999999997E-2</v>
      </c>
      <c r="Q5664">
        <v>-0.10933229999999999</v>
      </c>
      <c r="R5664">
        <v>-0.98897829999999998</v>
      </c>
      <c r="S5664">
        <v>0.62973020000000002</v>
      </c>
      <c r="T5664">
        <v>-0.11983339999999899</v>
      </c>
      <c r="U5664">
        <v>-2.9565429999999999</v>
      </c>
      <c r="V5664">
        <v>-0.1458412</v>
      </c>
      <c r="W5664">
        <v>-9.5870739999999996E-2</v>
      </c>
      <c r="X5664">
        <v>0.98465179999999997</v>
      </c>
      <c r="Y5664">
        <v>-0.25354919999999997</v>
      </c>
      <c r="Z5664">
        <v>2.556079E-2</v>
      </c>
      <c r="AA5664">
        <v>0.96698470000000003</v>
      </c>
      <c r="AB5664">
        <v>33</v>
      </c>
      <c r="AC5664">
        <v>5.8434999999999997</v>
      </c>
      <c r="AD5664">
        <v>-1.109588676629</v>
      </c>
      <c r="AE5664">
        <v>-27.105810000000002</v>
      </c>
      <c r="AF5664">
        <v>-7.0899267425403298</v>
      </c>
      <c r="AG5664">
        <v>-1.109588676629</v>
      </c>
      <c r="AH5664">
        <v>26.760939718051699</v>
      </c>
      <c r="AI5664">
        <v>92.295198604210697</v>
      </c>
      <c r="AJ5664">
        <v>104.83878151588399</v>
      </c>
      <c r="AK5664">
        <v>27.7064278253096</v>
      </c>
      <c r="AL5664">
        <v>95.501438240778995</v>
      </c>
      <c r="AM5664">
        <v>98.425082005670205</v>
      </c>
      <c r="AN5664">
        <v>1.00000001082441</v>
      </c>
    </row>
    <row r="5665" spans="1:40" x14ac:dyDescent="0.25">
      <c r="A5665" t="str">
        <f>"20190305135042625"</f>
        <v>20190305135042625</v>
      </c>
      <c r="B5665" t="str">
        <f>"1551765042615595"</f>
        <v>1551765042615595</v>
      </c>
      <c r="C5665" t="s">
        <v>40</v>
      </c>
      <c r="D5665">
        <v>4.290565</v>
      </c>
      <c r="E5665">
        <v>0.57278600000000002</v>
      </c>
      <c r="F5665" t="s">
        <v>42</v>
      </c>
      <c r="G5665">
        <v>-423.7704</v>
      </c>
      <c r="H5665" s="1">
        <v>-4.9550360000000001E-6</v>
      </c>
      <c r="I5665">
        <v>49.582039999999999</v>
      </c>
      <c r="J5665">
        <v>-422.46949999999998</v>
      </c>
      <c r="K5665">
        <v>1.1095790000000001</v>
      </c>
      <c r="L5665">
        <v>81.263180000000006</v>
      </c>
      <c r="M5665">
        <v>-4.6556899999999998E-2</v>
      </c>
      <c r="N5665">
        <v>-1.371314E-2</v>
      </c>
      <c r="O5665">
        <v>-0.99882150000000003</v>
      </c>
      <c r="P5665">
        <v>9.9631750000000005E-2</v>
      </c>
      <c r="Q5665">
        <v>-0.109582399999999</v>
      </c>
      <c r="R5665">
        <v>-0.98897210000000002</v>
      </c>
      <c r="S5665">
        <v>-0.1247559</v>
      </c>
      <c r="T5665">
        <v>-0.1052341</v>
      </c>
      <c r="U5665">
        <v>-3.0343930000000001</v>
      </c>
      <c r="V5665">
        <v>-0.1455552</v>
      </c>
      <c r="W5665">
        <v>-9.6113489999999996E-2</v>
      </c>
      <c r="X5665">
        <v>0.9846705</v>
      </c>
      <c r="Y5665">
        <v>-5.4944579999999998E-3</v>
      </c>
      <c r="Z5665">
        <v>2.089336E-2</v>
      </c>
      <c r="AA5665">
        <v>0.99976659999999995</v>
      </c>
      <c r="AB5665">
        <v>33</v>
      </c>
      <c r="AC5665">
        <v>-1.3009000000000099</v>
      </c>
      <c r="AD5665">
        <v>-1.109583955036</v>
      </c>
      <c r="AE5665">
        <v>-31.681139999999999</v>
      </c>
      <c r="AF5665">
        <v>-0.175410488746298</v>
      </c>
      <c r="AG5665">
        <v>-1.109583955036</v>
      </c>
      <c r="AH5665">
        <v>31.668570637327999</v>
      </c>
      <c r="AI5665">
        <v>92.006642751029304</v>
      </c>
      <c r="AJ5665">
        <v>90.317354958134402</v>
      </c>
      <c r="AK5665">
        <v>31.688488629220998</v>
      </c>
      <c r="AL5665">
        <v>95.515411065403896</v>
      </c>
      <c r="AM5665">
        <v>98.4086391467807</v>
      </c>
      <c r="AN5665">
        <v>1.00000005638863</v>
      </c>
    </row>
    <row r="5666" spans="1:40" x14ac:dyDescent="0.25">
      <c r="A5666" t="str">
        <f>"20190305135042640"</f>
        <v>20190305135042640</v>
      </c>
      <c r="B5666" t="str">
        <f>"1551765042636091"</f>
        <v>1551765042636091</v>
      </c>
      <c r="C5666" t="s">
        <v>40</v>
      </c>
      <c r="D5666">
        <v>4.2112429999999996</v>
      </c>
      <c r="E5666">
        <v>0.57888700000000004</v>
      </c>
      <c r="F5666" t="s">
        <v>42</v>
      </c>
      <c r="G5666">
        <v>-425.66750000000002</v>
      </c>
      <c r="H5666" s="1">
        <v>-3.8077489999999999E-6</v>
      </c>
      <c r="I5666">
        <v>45.221820000000001</v>
      </c>
      <c r="J5666">
        <v>-422.47969999999998</v>
      </c>
      <c r="K5666">
        <v>1.1095729999999999</v>
      </c>
      <c r="L5666">
        <v>81.044069999999905</v>
      </c>
      <c r="M5666">
        <v>-4.6505579999999998E-2</v>
      </c>
      <c r="N5666">
        <v>-1.37155E-2</v>
      </c>
      <c r="O5666">
        <v>-0.99882409999999999</v>
      </c>
      <c r="P5666">
        <v>9.9425929999999996E-2</v>
      </c>
      <c r="Q5666">
        <v>-0.1095921</v>
      </c>
      <c r="R5666">
        <v>-0.98899170000000003</v>
      </c>
      <c r="S5666">
        <v>-0.27066040000000002</v>
      </c>
      <c r="T5666">
        <v>-9.3908430000000001E-2</v>
      </c>
      <c r="U5666">
        <v>-3.0503230000000001</v>
      </c>
      <c r="V5666">
        <v>-0.1453006</v>
      </c>
      <c r="W5666">
        <v>-9.6118869999999995E-2</v>
      </c>
      <c r="X5666">
        <v>0.98470749999999996</v>
      </c>
      <c r="Y5666">
        <v>4.1935409999999999E-2</v>
      </c>
      <c r="Z5666">
        <v>1.6964529999999998E-2</v>
      </c>
      <c r="AA5666">
        <v>0.99897630000000004</v>
      </c>
      <c r="AB5666">
        <v>33</v>
      </c>
      <c r="AC5666">
        <v>-3.1878000000000299</v>
      </c>
      <c r="AD5666">
        <v>-1.109576807749</v>
      </c>
      <c r="AE5666">
        <v>-35.822249999999897</v>
      </c>
      <c r="AF5666">
        <v>1.51681557869936</v>
      </c>
      <c r="AG5666">
        <v>-1.109576807749</v>
      </c>
      <c r="AH5666">
        <v>35.897578251495503</v>
      </c>
      <c r="AI5666">
        <v>91.768843861656805</v>
      </c>
      <c r="AJ5666">
        <v>87.580464498531001</v>
      </c>
      <c r="AK5666">
        <v>35.9467385796587</v>
      </c>
      <c r="AL5666">
        <v>95.515721167356403</v>
      </c>
      <c r="AM5666">
        <v>98.393829879269504</v>
      </c>
      <c r="AN5666">
        <v>0.99999998104334298</v>
      </c>
    </row>
    <row r="5667" spans="1:40" x14ac:dyDescent="0.25">
      <c r="A5667" t="str">
        <f>"20190305135042653"</f>
        <v>20190305135042653</v>
      </c>
      <c r="B5667" t="str">
        <f>"1551765042645851"</f>
        <v>1551765042645851</v>
      </c>
      <c r="C5667" t="s">
        <v>40</v>
      </c>
      <c r="D5667">
        <v>4.2089359999999996</v>
      </c>
      <c r="E5667">
        <v>0.57936219999999905</v>
      </c>
      <c r="F5667" t="s">
        <v>85</v>
      </c>
      <c r="G5667">
        <v>-426.88479999999998</v>
      </c>
      <c r="H5667" s="1">
        <v>-2.1302500000000001E-6</v>
      </c>
      <c r="I5667">
        <v>38.860410000000002</v>
      </c>
      <c r="J5667">
        <v>-422.48849999999999</v>
      </c>
      <c r="K5667">
        <v>1.1095729999999999</v>
      </c>
      <c r="L5667">
        <v>80.855559999999997</v>
      </c>
      <c r="M5667">
        <v>-4.6461839999999997E-2</v>
      </c>
      <c r="N5667">
        <v>-1.371725E-2</v>
      </c>
      <c r="O5667">
        <v>-0.99882629999999994</v>
      </c>
      <c r="P5667">
        <v>9.9245100000000003E-2</v>
      </c>
      <c r="Q5667">
        <v>-0.1096934</v>
      </c>
      <c r="R5667">
        <v>-0.98899879999999996</v>
      </c>
      <c r="S5667">
        <v>-0.3191833</v>
      </c>
      <c r="T5667">
        <v>-8.0398559999999994E-2</v>
      </c>
      <c r="U5667">
        <v>-3.0565799999999999</v>
      </c>
      <c r="V5667">
        <v>-0.14507799999999901</v>
      </c>
      <c r="W5667">
        <v>-9.62171E-2</v>
      </c>
      <c r="X5667">
        <v>0.98473069999999896</v>
      </c>
      <c r="Y5667">
        <v>5.7509409999999997E-2</v>
      </c>
      <c r="Z5667">
        <v>1.247712E-2</v>
      </c>
      <c r="AA5667">
        <v>0.99826700000000002</v>
      </c>
      <c r="AB5667">
        <v>33</v>
      </c>
      <c r="AC5667">
        <v>-4.3962999999999903</v>
      </c>
      <c r="AD5667">
        <v>-1.1095751302500001</v>
      </c>
      <c r="AE5667">
        <v>-41.995150000000002</v>
      </c>
      <c r="AF5667">
        <v>2.43851281957375</v>
      </c>
      <c r="AG5667">
        <v>-1.1095751302500001</v>
      </c>
      <c r="AH5667">
        <v>42.1249803157503</v>
      </c>
      <c r="AI5667">
        <v>91.506305720716398</v>
      </c>
      <c r="AJ5667">
        <v>86.686983759746695</v>
      </c>
      <c r="AK5667">
        <v>42.2100872818719</v>
      </c>
      <c r="AL5667">
        <v>95.521375689182506</v>
      </c>
      <c r="AM5667">
        <v>98.380958700074402</v>
      </c>
      <c r="AN5667">
        <v>0.99999995396944796</v>
      </c>
    </row>
    <row r="5668" spans="1:40" x14ac:dyDescent="0.25">
      <c r="A5668" t="str">
        <f>"20190305135042665"</f>
        <v>20190305135042665</v>
      </c>
      <c r="B5668" t="str">
        <f>"1551765042655611"</f>
        <v>1551765042655611</v>
      </c>
      <c r="C5668" t="s">
        <v>40</v>
      </c>
      <c r="D5668">
        <v>4.2450929999999998</v>
      </c>
      <c r="E5668">
        <v>0.58002279999999995</v>
      </c>
      <c r="F5668" t="s">
        <v>85</v>
      </c>
      <c r="G5668">
        <v>-426.89870000000002</v>
      </c>
      <c r="H5668" s="1">
        <v>-2.0011159999999998E-6</v>
      </c>
      <c r="I5668">
        <v>39.208199999999998</v>
      </c>
      <c r="J5668">
        <v>-422.49700000000001</v>
      </c>
      <c r="K5668">
        <v>1.1095729999999999</v>
      </c>
      <c r="L5668">
        <v>80.671260000000004</v>
      </c>
      <c r="M5668">
        <v>-4.641936E-2</v>
      </c>
      <c r="N5668">
        <v>-1.3718599999999999E-2</v>
      </c>
      <c r="O5668">
        <v>-0.99882789999999999</v>
      </c>
      <c r="P5668">
        <v>9.9104990000000004E-2</v>
      </c>
      <c r="Q5668">
        <v>-0.1097079</v>
      </c>
      <c r="R5668">
        <v>-0.98901090000000003</v>
      </c>
      <c r="S5668">
        <v>-0.32369999999999999</v>
      </c>
      <c r="T5668">
        <v>-8.1440330000000005E-2</v>
      </c>
      <c r="U5668">
        <v>-3.0568240000000002</v>
      </c>
      <c r="V5668">
        <v>-0.14489759999999999</v>
      </c>
      <c r="W5668">
        <v>-9.6229339999999997E-2</v>
      </c>
      <c r="X5668">
        <v>0.98475610000000002</v>
      </c>
      <c r="Y5668">
        <v>5.9001419999999999E-2</v>
      </c>
      <c r="Z5668">
        <v>1.280979E-2</v>
      </c>
      <c r="AA5668">
        <v>0.9981757</v>
      </c>
      <c r="AB5668">
        <v>33</v>
      </c>
      <c r="AC5668">
        <v>-4.4017000000000603</v>
      </c>
      <c r="AD5668">
        <v>-1.1095750011159999</v>
      </c>
      <c r="AE5668">
        <v>-41.463059999999999</v>
      </c>
      <c r="AF5668">
        <v>2.4703351699655198</v>
      </c>
      <c r="AG5668">
        <v>-1.1095750011159999</v>
      </c>
      <c r="AH5668">
        <v>41.593245260362501</v>
      </c>
      <c r="AI5668">
        <v>91.525419250723502</v>
      </c>
      <c r="AJ5668">
        <v>86.601041759599099</v>
      </c>
      <c r="AK5668">
        <v>41.681311925414903</v>
      </c>
      <c r="AL5668">
        <v>95.522080068057704</v>
      </c>
      <c r="AM5668">
        <v>98.370472138716707</v>
      </c>
      <c r="AN5668">
        <v>0.99999998842490201</v>
      </c>
    </row>
    <row r="5669" spans="1:40" x14ac:dyDescent="0.25">
      <c r="A5669" t="str">
        <f>"20190305135042680"</f>
        <v>20190305135042680</v>
      </c>
      <c r="B5669" t="str">
        <f>"1551765042676107"</f>
        <v>1551765042676107</v>
      </c>
      <c r="C5669" t="s">
        <v>40</v>
      </c>
      <c r="D5669">
        <v>4.1489529999999997</v>
      </c>
      <c r="E5669">
        <v>0.58045769999999997</v>
      </c>
      <c r="F5669" t="s">
        <v>85</v>
      </c>
      <c r="G5669">
        <v>-427.05799999999999</v>
      </c>
      <c r="H5669" s="1">
        <v>-2.3862230000000001E-6</v>
      </c>
      <c r="I5669">
        <v>38.310879999999997</v>
      </c>
      <c r="J5669">
        <v>-422.5061</v>
      </c>
      <c r="K5669">
        <v>1.109572</v>
      </c>
      <c r="L5669">
        <v>80.475250000000003</v>
      </c>
      <c r="M5669">
        <v>-4.6373610000000003E-2</v>
      </c>
      <c r="N5669">
        <v>-1.37198999999999E-2</v>
      </c>
      <c r="O5669">
        <v>-0.99883010000000005</v>
      </c>
      <c r="P5669">
        <v>9.912079E-2</v>
      </c>
      <c r="Q5669">
        <v>-0.10983420000000001</v>
      </c>
      <c r="R5669">
        <v>-0.98899530000000002</v>
      </c>
      <c r="S5669">
        <v>-0.32919310000000002</v>
      </c>
      <c r="T5669">
        <v>-8.0085519999999993E-2</v>
      </c>
      <c r="U5669">
        <v>-3.0574340000000002</v>
      </c>
      <c r="V5669">
        <v>-0.14486760000000001</v>
      </c>
      <c r="W5669">
        <v>-9.6353930000000004E-2</v>
      </c>
      <c r="X5669">
        <v>0.98474839999999997</v>
      </c>
      <c r="Y5669">
        <v>6.0799640000000002E-2</v>
      </c>
      <c r="Z5669">
        <v>1.2359520000000001E-2</v>
      </c>
      <c r="AA5669">
        <v>0.99807349999999995</v>
      </c>
      <c r="AB5669">
        <v>33</v>
      </c>
      <c r="AC5669">
        <v>-4.5519000000000398</v>
      </c>
      <c r="AD5669">
        <v>-1.1095743862230001</v>
      </c>
      <c r="AE5669">
        <v>-42.164369999999998</v>
      </c>
      <c r="AF5669">
        <v>2.5897314543734602</v>
      </c>
      <c r="AG5669">
        <v>-1.1095743862230001</v>
      </c>
      <c r="AH5669">
        <v>42.3011512541757</v>
      </c>
      <c r="AI5669">
        <v>91.499737703776702</v>
      </c>
      <c r="AJ5669">
        <v>86.496650457391695</v>
      </c>
      <c r="AK5669">
        <v>42.394873059757899</v>
      </c>
      <c r="AL5669">
        <v>95.529251498897906</v>
      </c>
      <c r="AM5669">
        <v>98.368828150101194</v>
      </c>
      <c r="AN5669">
        <v>1.00000005632938</v>
      </c>
    </row>
    <row r="5670" spans="1:40" x14ac:dyDescent="0.25">
      <c r="A5670" t="str">
        <f>"20190305135042693"</f>
        <v>20190305135042693</v>
      </c>
      <c r="B5670" t="str">
        <f>"1551765042685868"</f>
        <v>1551765042685868</v>
      </c>
      <c r="C5670" t="s">
        <v>40</v>
      </c>
      <c r="D5670">
        <v>4.2095580000000004</v>
      </c>
      <c r="E5670">
        <v>0.58091230000000005</v>
      </c>
      <c r="F5670" t="s">
        <v>85</v>
      </c>
      <c r="G5670">
        <v>-427.08350000000002</v>
      </c>
      <c r="H5670" s="1">
        <v>-2.3656150000000001E-6</v>
      </c>
      <c r="I5670">
        <v>38.382640000000002</v>
      </c>
      <c r="J5670">
        <v>-422.51549999999997</v>
      </c>
      <c r="K5670">
        <v>1.109572</v>
      </c>
      <c r="L5670">
        <v>80.270690000000002</v>
      </c>
      <c r="M5670">
        <v>-4.6325419999999999E-2</v>
      </c>
      <c r="N5670">
        <v>-1.372116E-2</v>
      </c>
      <c r="O5670">
        <v>-0.99883250000000001</v>
      </c>
      <c r="P5670">
        <v>9.8801440000000004E-2</v>
      </c>
      <c r="Q5670">
        <v>-0.1092636</v>
      </c>
      <c r="R5670">
        <v>-0.98909069999999999</v>
      </c>
      <c r="S5670">
        <v>-0.33251950000000002</v>
      </c>
      <c r="T5670">
        <v>-8.0602999999999994E-2</v>
      </c>
      <c r="U5670">
        <v>-3.0577390000000002</v>
      </c>
      <c r="V5670">
        <v>-0.1445061</v>
      </c>
      <c r="W5670">
        <v>-9.5780039999999997E-2</v>
      </c>
      <c r="X5670">
        <v>0.98485739999999999</v>
      </c>
      <c r="Y5670">
        <v>6.1909779999999998E-2</v>
      </c>
      <c r="Z5670">
        <v>1.2521839999999999E-2</v>
      </c>
      <c r="AA5670">
        <v>0.99800319999999998</v>
      </c>
      <c r="AB5670">
        <v>33</v>
      </c>
      <c r="AC5670">
        <v>-4.5680000000000396</v>
      </c>
      <c r="AD5670">
        <v>-1.1095743656149999</v>
      </c>
      <c r="AE5670">
        <v>-41.88805</v>
      </c>
      <c r="AF5670">
        <v>2.6206141425457501</v>
      </c>
      <c r="AG5670">
        <v>-1.1095743656149999</v>
      </c>
      <c r="AH5670">
        <v>42.025563488674699</v>
      </c>
      <c r="AI5670">
        <v>91.509462318046204</v>
      </c>
      <c r="AJ5670">
        <v>86.431791694847902</v>
      </c>
      <c r="AK5670">
        <v>42.121808606677497</v>
      </c>
      <c r="AL5670">
        <v>95.496217748543998</v>
      </c>
      <c r="AM5670">
        <v>98.3473284709697</v>
      </c>
      <c r="AN5670">
        <v>0.99999996366718502</v>
      </c>
    </row>
    <row r="5671" spans="1:40" x14ac:dyDescent="0.25">
      <c r="A5671" t="str">
        <f>"20190305135042716"</f>
        <v>20190305135042716</v>
      </c>
      <c r="B5671" t="str">
        <f>"1551765042706363"</f>
        <v>1551765042706363</v>
      </c>
      <c r="C5671" t="s">
        <v>40</v>
      </c>
      <c r="D5671">
        <v>4.2109170000000002</v>
      </c>
      <c r="E5671">
        <v>0.58108850000000001</v>
      </c>
      <c r="F5671" t="s">
        <v>85</v>
      </c>
      <c r="G5671">
        <v>-427.37200000000001</v>
      </c>
      <c r="H5671" s="1">
        <v>-3.23876E-6</v>
      </c>
      <c r="I5671">
        <v>36.297580000000004</v>
      </c>
      <c r="J5671">
        <v>-422.53</v>
      </c>
      <c r="K5671">
        <v>1.10958</v>
      </c>
      <c r="L5671">
        <v>79.957819999999998</v>
      </c>
      <c r="M5671">
        <v>-4.6250439999999997E-2</v>
      </c>
      <c r="N5671">
        <v>-1.372277E-2</v>
      </c>
      <c r="O5671">
        <v>-0.99883580000000005</v>
      </c>
      <c r="P5671">
        <v>9.8270910000000003E-2</v>
      </c>
      <c r="Q5671">
        <v>-0.10863730000000001</v>
      </c>
      <c r="R5671">
        <v>-0.98921250000000005</v>
      </c>
      <c r="S5671">
        <v>-0.33776859999999997</v>
      </c>
      <c r="T5671">
        <v>-7.7170730000000007E-2</v>
      </c>
      <c r="U5671">
        <v>-3.058319</v>
      </c>
      <c r="V5671">
        <v>-0.1439086</v>
      </c>
      <c r="W5671">
        <v>-9.5149590000000006E-2</v>
      </c>
      <c r="X5671">
        <v>0.98500600000000005</v>
      </c>
      <c r="Y5671">
        <v>6.3658300000000001E-2</v>
      </c>
      <c r="Z5671">
        <v>1.13969E-2</v>
      </c>
      <c r="AA5671">
        <v>0.99790670000000004</v>
      </c>
      <c r="AB5671">
        <v>32</v>
      </c>
      <c r="AC5671">
        <v>-4.8419999999999801</v>
      </c>
      <c r="AD5671">
        <v>-1.10958323876</v>
      </c>
      <c r="AE5671">
        <v>-43.660240000000002</v>
      </c>
      <c r="AF5671">
        <v>2.8155260114637701</v>
      </c>
      <c r="AG5671">
        <v>-1.10958323876</v>
      </c>
      <c r="AH5671">
        <v>43.809523379878101</v>
      </c>
      <c r="AI5671">
        <v>91.447859762034497</v>
      </c>
      <c r="AJ5671">
        <v>86.322803884108197</v>
      </c>
      <c r="AK5671">
        <v>43.9139237652143</v>
      </c>
      <c r="AL5671">
        <v>95.459929827516902</v>
      </c>
      <c r="AM5671">
        <v>98.312060870604</v>
      </c>
      <c r="AN5671">
        <v>0.99999997483356295</v>
      </c>
    </row>
    <row r="5672" spans="1:40" x14ac:dyDescent="0.25">
      <c r="A5672" t="str">
        <f>"20190305135042738"</f>
        <v>20190305135042738</v>
      </c>
      <c r="B5672" t="str">
        <f>"1551765042725883"</f>
        <v>1551765042725883</v>
      </c>
      <c r="C5672" t="s">
        <v>40</v>
      </c>
      <c r="D5672">
        <v>4.1848900000000002</v>
      </c>
      <c r="E5672">
        <v>0.58136030000000005</v>
      </c>
      <c r="F5672" t="s">
        <v>85</v>
      </c>
      <c r="G5672">
        <v>-427.29680000000002</v>
      </c>
      <c r="H5672" s="1">
        <v>-2.8735250000000002E-6</v>
      </c>
      <c r="I5672">
        <v>37.201410000000003</v>
      </c>
      <c r="J5672">
        <v>-422.54469999999998</v>
      </c>
      <c r="K5672">
        <v>1.1095820000000001</v>
      </c>
      <c r="L5672">
        <v>79.638149999999996</v>
      </c>
      <c r="M5672">
        <v>-4.6172489999999997E-2</v>
      </c>
      <c r="N5672">
        <v>-1.3723890000000001E-2</v>
      </c>
      <c r="O5672">
        <v>-0.99883940000000004</v>
      </c>
      <c r="P5672">
        <v>9.7566440000000004E-2</v>
      </c>
      <c r="Q5672">
        <v>-0.1081907</v>
      </c>
      <c r="R5672">
        <v>-0.98933119999999997</v>
      </c>
      <c r="S5672">
        <v>-0.34091189999999999</v>
      </c>
      <c r="T5672">
        <v>-7.935536E-2</v>
      </c>
      <c r="U5672">
        <v>-3.0578609999999999</v>
      </c>
      <c r="V5672">
        <v>-0.14313310000000001</v>
      </c>
      <c r="W5672">
        <v>-9.4699309999999995E-2</v>
      </c>
      <c r="X5672">
        <v>0.98516239999999999</v>
      </c>
      <c r="Y5672">
        <v>6.4764210000000003E-2</v>
      </c>
      <c r="Z5672">
        <v>1.2107430000000001E-2</v>
      </c>
      <c r="AA5672">
        <v>0.99782720000000003</v>
      </c>
      <c r="AB5672">
        <v>32</v>
      </c>
      <c r="AC5672">
        <v>-4.7521000000000404</v>
      </c>
      <c r="AD5672">
        <v>-1.109584873525</v>
      </c>
      <c r="AE5672">
        <v>-42.43674</v>
      </c>
      <c r="AF5672">
        <v>2.7855559519070199</v>
      </c>
      <c r="AG5672">
        <v>-1.109584873525</v>
      </c>
      <c r="AH5672">
        <v>42.582157867851002</v>
      </c>
      <c r="AI5672">
        <v>91.4894653376534</v>
      </c>
      <c r="AJ5672">
        <v>86.257269875490906</v>
      </c>
      <c r="AK5672">
        <v>42.687593856240497</v>
      </c>
      <c r="AL5672">
        <v>95.434013526313905</v>
      </c>
      <c r="AM5672">
        <v>98.266594960843193</v>
      </c>
      <c r="AN5672">
        <v>0.99999999900192305</v>
      </c>
    </row>
    <row r="5673" spans="1:40" x14ac:dyDescent="0.25">
      <c r="A5673" t="str">
        <f>"20190305135042752"</f>
        <v>20190305135042752</v>
      </c>
      <c r="B5673" t="str">
        <f>"1551765042746379"</f>
        <v>1551765042746379</v>
      </c>
      <c r="C5673" t="s">
        <v>40</v>
      </c>
      <c r="D5673">
        <v>4.2054729999999996</v>
      </c>
      <c r="E5673">
        <v>0.58211480000000004</v>
      </c>
      <c r="F5673" t="s">
        <v>85</v>
      </c>
      <c r="G5673">
        <v>-427.39499999999998</v>
      </c>
      <c r="H5673" s="1">
        <v>-3.0958550000000001E-6</v>
      </c>
      <c r="I5673">
        <v>36.687739999999998</v>
      </c>
      <c r="J5673">
        <v>-422.55419999999998</v>
      </c>
      <c r="K5673">
        <v>1.109583</v>
      </c>
      <c r="L5673">
        <v>79.431209999999993</v>
      </c>
      <c r="M5673">
        <v>-4.6121580000000002E-2</v>
      </c>
      <c r="N5673">
        <v>-1.3724419999999999E-2</v>
      </c>
      <c r="O5673">
        <v>-0.9988418</v>
      </c>
      <c r="P5673">
        <v>9.7417190000000001E-2</v>
      </c>
      <c r="Q5673">
        <v>-0.1082313</v>
      </c>
      <c r="R5673">
        <v>-0.98934160000000004</v>
      </c>
      <c r="S5673">
        <v>-0.34530640000000001</v>
      </c>
      <c r="T5673">
        <v>-7.8994750000000002E-2</v>
      </c>
      <c r="U5673">
        <v>-3.0577700000000001</v>
      </c>
      <c r="V5673">
        <v>-0.1429348</v>
      </c>
      <c r="W5673">
        <v>-9.4738950000000002E-2</v>
      </c>
      <c r="X5673">
        <v>0.98518740000000005</v>
      </c>
      <c r="Y5673">
        <v>6.6234340000000003E-2</v>
      </c>
      <c r="Z5673">
        <v>1.198771E-2</v>
      </c>
      <c r="AA5673">
        <v>0.99773210000000001</v>
      </c>
      <c r="AB5673">
        <v>32</v>
      </c>
      <c r="AC5673">
        <v>-4.8407999999999998</v>
      </c>
      <c r="AD5673">
        <v>-1.1095860958549999</v>
      </c>
      <c r="AE5673">
        <v>-42.743469999999903</v>
      </c>
      <c r="AF5673">
        <v>2.8621617185153299</v>
      </c>
      <c r="AG5673">
        <v>-1.1095860958549999</v>
      </c>
      <c r="AH5673">
        <v>42.892723103998001</v>
      </c>
      <c r="AI5673">
        <v>91.478559684867804</v>
      </c>
      <c r="AJ5673">
        <v>86.182405188845706</v>
      </c>
      <c r="AK5673">
        <v>43.002428376584596</v>
      </c>
      <c r="AL5673">
        <v>95.436294877116794</v>
      </c>
      <c r="AM5673">
        <v>98.255093578875403</v>
      </c>
      <c r="AN5673">
        <v>1.00000001940845</v>
      </c>
    </row>
    <row r="5674" spans="1:40" x14ac:dyDescent="0.25">
      <c r="A5674" t="str">
        <f>"20190305135042764"</f>
        <v>20190305135042764</v>
      </c>
      <c r="B5674" t="str">
        <f>"1551765042756139"</f>
        <v>1551765042756139</v>
      </c>
      <c r="C5674" t="s">
        <v>40</v>
      </c>
      <c r="D5674">
        <v>4.1899989999999896</v>
      </c>
      <c r="E5674">
        <v>0.58209929999999999</v>
      </c>
      <c r="F5674" t="s">
        <v>85</v>
      </c>
      <c r="G5674">
        <v>-427.80340000000001</v>
      </c>
      <c r="H5674" s="1">
        <v>-4.561973E-6</v>
      </c>
      <c r="I5674">
        <v>33.77225</v>
      </c>
      <c r="J5674">
        <v>-422.56299999999999</v>
      </c>
      <c r="K5674">
        <v>1.109586</v>
      </c>
      <c r="L5674">
        <v>79.239649999999997</v>
      </c>
      <c r="M5674">
        <v>-4.6074160000000003E-2</v>
      </c>
      <c r="N5674">
        <v>-1.3724800000000001E-2</v>
      </c>
      <c r="O5674">
        <v>-0.99884390000000001</v>
      </c>
      <c r="P5674">
        <v>9.7354430000000006E-2</v>
      </c>
      <c r="Q5674">
        <v>-0.1084019</v>
      </c>
      <c r="R5674">
        <v>-0.98932920000000002</v>
      </c>
      <c r="S5674">
        <v>-0.35165410000000002</v>
      </c>
      <c r="T5674">
        <v>-7.4334029999999995E-2</v>
      </c>
      <c r="U5674">
        <v>-3.0588069999999998</v>
      </c>
      <c r="V5674">
        <v>-0.14282439999999999</v>
      </c>
      <c r="W5674">
        <v>-9.4909060000000003E-2</v>
      </c>
      <c r="X5674">
        <v>0.98518700000000003</v>
      </c>
      <c r="Y5674">
        <v>6.8289929999999999E-2</v>
      </c>
      <c r="Z5674">
        <v>1.0461109999999999E-2</v>
      </c>
      <c r="AA5674">
        <v>0.99761069999999996</v>
      </c>
      <c r="AB5674">
        <v>32</v>
      </c>
      <c r="AC5674">
        <v>-5.2403999999999602</v>
      </c>
      <c r="AD5674">
        <v>-1.109590561973</v>
      </c>
      <c r="AE5674">
        <v>-45.467399999999998</v>
      </c>
      <c r="AF5674">
        <v>3.1379201994542099</v>
      </c>
      <c r="AG5674">
        <v>-1.109590561973</v>
      </c>
      <c r="AH5674">
        <v>45.633753938466803</v>
      </c>
      <c r="AI5674">
        <v>91.389599641581199</v>
      </c>
      <c r="AJ5674">
        <v>86.066354417804604</v>
      </c>
      <c r="AK5674">
        <v>45.754969488678498</v>
      </c>
      <c r="AL5674">
        <v>95.446085783067701</v>
      </c>
      <c r="AM5674">
        <v>98.248808584911004</v>
      </c>
      <c r="AN5674">
        <v>0.99999998193722095</v>
      </c>
    </row>
    <row r="5675" spans="1:40" x14ac:dyDescent="0.25">
      <c r="A5675" t="str">
        <f>"20190305135042777"</f>
        <v>20190305135042777</v>
      </c>
      <c r="B5675" t="str">
        <f>"1551765042775659"</f>
        <v>1551765042775659</v>
      </c>
      <c r="C5675" t="s">
        <v>40</v>
      </c>
      <c r="D5675">
        <v>4.2330680000000003</v>
      </c>
      <c r="E5675">
        <v>0.58174650000000006</v>
      </c>
      <c r="F5675" t="s">
        <v>85</v>
      </c>
      <c r="G5675">
        <v>-427.82749999999999</v>
      </c>
      <c r="H5675" s="1">
        <v>-4.6880400000000001E-6</v>
      </c>
      <c r="I5675">
        <v>33.418799999999997</v>
      </c>
      <c r="J5675">
        <v>-422.57150000000001</v>
      </c>
      <c r="K5675">
        <v>1.1095870000000001</v>
      </c>
      <c r="L5675">
        <v>79.054169999999999</v>
      </c>
      <c r="M5675">
        <v>-4.6027600000000002E-2</v>
      </c>
      <c r="N5675">
        <v>-1.3725050000000001E-2</v>
      </c>
      <c r="O5675">
        <v>-0.99884609999999996</v>
      </c>
      <c r="P5675">
        <v>9.7341369999999997E-2</v>
      </c>
      <c r="Q5675">
        <v>-0.10863339999999901</v>
      </c>
      <c r="R5675">
        <v>-0.98930510000000005</v>
      </c>
      <c r="S5675">
        <v>-0.35144039999999999</v>
      </c>
      <c r="T5675">
        <v>-7.4071650000000003E-2</v>
      </c>
      <c r="U5675">
        <v>-3.0588069999999998</v>
      </c>
      <c r="V5675">
        <v>-0.14276440000000001</v>
      </c>
      <c r="W5675">
        <v>-9.5140649999999993E-2</v>
      </c>
      <c r="X5675">
        <v>0.98517330000000003</v>
      </c>
      <c r="Y5675">
        <v>6.8267809999999998E-2</v>
      </c>
      <c r="Z5675">
        <v>1.0375779999999999E-2</v>
      </c>
      <c r="AA5675">
        <v>0.99761310000000003</v>
      </c>
      <c r="AB5675">
        <v>32</v>
      </c>
      <c r="AC5675">
        <v>-5.25599999999997</v>
      </c>
      <c r="AD5675">
        <v>-1.1095916880399901</v>
      </c>
      <c r="AE5675">
        <v>-45.635370000000002</v>
      </c>
      <c r="AF5675">
        <v>3.1479078905006901</v>
      </c>
      <c r="AG5675">
        <v>-1.1095916880399901</v>
      </c>
      <c r="AH5675">
        <v>45.802215807197101</v>
      </c>
      <c r="AI5675">
        <v>91.384495351750701</v>
      </c>
      <c r="AJ5675">
        <v>86.068341869087206</v>
      </c>
      <c r="AK5675">
        <v>45.923670265455698</v>
      </c>
      <c r="AL5675">
        <v>95.459415546649794</v>
      </c>
      <c r="AM5675">
        <v>98.245504032254402</v>
      </c>
      <c r="AN5675">
        <v>0.99999992411133298</v>
      </c>
    </row>
    <row r="5676" spans="1:40" x14ac:dyDescent="0.25">
      <c r="A5676" t="str">
        <f>"20190305135042792"</f>
        <v>20190305135042792</v>
      </c>
      <c r="B5676" t="str">
        <f>"1551765042786395"</f>
        <v>1551765042786395</v>
      </c>
      <c r="C5676" t="s">
        <v>40</v>
      </c>
      <c r="D5676">
        <v>4.2416179999999999</v>
      </c>
      <c r="E5676">
        <v>0.58163299999999996</v>
      </c>
      <c r="F5676" t="s">
        <v>85</v>
      </c>
      <c r="G5676">
        <v>-427.64980000000003</v>
      </c>
      <c r="H5676" s="1">
        <v>-4.2915499999999996E-6</v>
      </c>
      <c r="I5676">
        <v>34.489649999999997</v>
      </c>
      <c r="J5676">
        <v>-422.58100000000002</v>
      </c>
      <c r="K5676">
        <v>1.1095900000000001</v>
      </c>
      <c r="L5676">
        <v>78.84845</v>
      </c>
      <c r="M5676">
        <v>-4.5974910000000001E-2</v>
      </c>
      <c r="N5676">
        <v>-1.372524E-2</v>
      </c>
      <c r="O5676">
        <v>-0.99884839999999997</v>
      </c>
      <c r="P5676">
        <v>9.725789E-2</v>
      </c>
      <c r="Q5676">
        <v>-0.10860889999999999</v>
      </c>
      <c r="R5676">
        <v>-0.98931550000000001</v>
      </c>
      <c r="S5676">
        <v>-0.34851070000000001</v>
      </c>
      <c r="T5676">
        <v>-7.6149229999999998E-2</v>
      </c>
      <c r="U5676">
        <v>-3.0583800000000001</v>
      </c>
      <c r="V5676">
        <v>-0.14262939999999999</v>
      </c>
      <c r="W5676">
        <v>-9.5115959999999999E-2</v>
      </c>
      <c r="X5676">
        <v>0.9851953</v>
      </c>
      <c r="Y5676">
        <v>6.7392019999999997E-2</v>
      </c>
      <c r="Z5676">
        <v>1.1055540000000001E-2</v>
      </c>
      <c r="AA5676">
        <v>0.99766529999999998</v>
      </c>
      <c r="AB5676">
        <v>32</v>
      </c>
      <c r="AC5676">
        <v>-5.0688000000000599</v>
      </c>
      <c r="AD5676">
        <v>-1.1095942915499999</v>
      </c>
      <c r="AE5676">
        <v>-44.358800000000002</v>
      </c>
      <c r="AF5676">
        <v>3.0219889634403199</v>
      </c>
      <c r="AG5676">
        <v>-1.1095942915499999</v>
      </c>
      <c r="AH5676">
        <v>44.517449770120798</v>
      </c>
      <c r="AI5676">
        <v>91.424520569312506</v>
      </c>
      <c r="AJ5676">
        <v>86.116534409243201</v>
      </c>
      <c r="AK5676">
        <v>44.633697480964102</v>
      </c>
      <c r="AL5676">
        <v>95.457994133841197</v>
      </c>
      <c r="AM5676">
        <v>98.2376325975074</v>
      </c>
      <c r="AN5676">
        <v>0.99999998536658496</v>
      </c>
    </row>
    <row r="5677" spans="1:40" x14ac:dyDescent="0.25">
      <c r="A5677" t="str">
        <f>"20190305135042803"</f>
        <v>20190305135042803</v>
      </c>
      <c r="B5677" t="str">
        <f>"1551765042796155"</f>
        <v>1551765042796155</v>
      </c>
      <c r="C5677" t="s">
        <v>40</v>
      </c>
      <c r="D5677">
        <v>4.2213129999999897</v>
      </c>
      <c r="E5677">
        <v>0.581488</v>
      </c>
      <c r="F5677" t="s">
        <v>85</v>
      </c>
      <c r="G5677">
        <v>-427.66090000000003</v>
      </c>
      <c r="H5677" s="1">
        <v>-4.3827259999999999E-6</v>
      </c>
      <c r="I5677">
        <v>34.231459999999998</v>
      </c>
      <c r="J5677">
        <v>-422.58879999999999</v>
      </c>
      <c r="K5677">
        <v>1.1095900000000001</v>
      </c>
      <c r="L5677">
        <v>78.677279999999996</v>
      </c>
      <c r="M5677">
        <v>-4.5928379999999998E-2</v>
      </c>
      <c r="N5677">
        <v>-1.3725289999999999E-2</v>
      </c>
      <c r="O5677">
        <v>-0.99885060000000003</v>
      </c>
      <c r="P5677">
        <v>9.6611600000000006E-2</v>
      </c>
      <c r="Q5677">
        <v>-0.10846</v>
      </c>
      <c r="R5677">
        <v>-0.98939520000000003</v>
      </c>
      <c r="S5677">
        <v>-0.348205599999999</v>
      </c>
      <c r="T5677">
        <v>-7.6057550000000002E-2</v>
      </c>
      <c r="U5677">
        <v>-3.0582889999999998</v>
      </c>
      <c r="V5677">
        <v>-0.1419414</v>
      </c>
      <c r="W5677">
        <v>-9.4965839999999996E-2</v>
      </c>
      <c r="X5677">
        <v>0.9853092</v>
      </c>
      <c r="Y5677">
        <v>6.7343639999999996E-2</v>
      </c>
      <c r="Z5677">
        <v>1.1026640000000001E-2</v>
      </c>
      <c r="AA5677">
        <v>0.99766889999999997</v>
      </c>
      <c r="AB5677">
        <v>32</v>
      </c>
      <c r="AC5677">
        <v>-5.07210000000003</v>
      </c>
      <c r="AD5677">
        <v>-1.10959438272599</v>
      </c>
      <c r="AE5677">
        <v>-44.445819999999998</v>
      </c>
      <c r="AF5677">
        <v>3.0233699879479401</v>
      </c>
      <c r="AG5677">
        <v>-1.10959438272599</v>
      </c>
      <c r="AH5677">
        <v>44.604441695996698</v>
      </c>
      <c r="AI5677">
        <v>91.421753322052396</v>
      </c>
      <c r="AJ5677">
        <v>86.122319355102704</v>
      </c>
      <c r="AK5677">
        <v>44.720556624328502</v>
      </c>
      <c r="AL5677">
        <v>95.449353449797201</v>
      </c>
      <c r="AM5677">
        <v>98.197503417084107</v>
      </c>
      <c r="AN5677">
        <v>1.00000004570275</v>
      </c>
    </row>
    <row r="5678" spans="1:40" x14ac:dyDescent="0.25">
      <c r="A5678" t="str">
        <f>"20190305135042826"</f>
        <v>20190305135042826</v>
      </c>
      <c r="B5678" t="str">
        <f>"1551765042815675"</f>
        <v>1551765042815675</v>
      </c>
      <c r="C5678" t="s">
        <v>40</v>
      </c>
      <c r="D5678">
        <v>4.2206760000000001</v>
      </c>
      <c r="E5678">
        <v>0.58134430000000004</v>
      </c>
      <c r="F5678" t="s">
        <v>85</v>
      </c>
      <c r="G5678">
        <v>-427.60140000000001</v>
      </c>
      <c r="H5678" s="1">
        <v>-4.1428140000000003E-6</v>
      </c>
      <c r="I5678">
        <v>34.77055</v>
      </c>
      <c r="J5678">
        <v>-422.6037</v>
      </c>
      <c r="K5678">
        <v>1.109599</v>
      </c>
      <c r="L5678">
        <v>78.350740000000002</v>
      </c>
      <c r="M5678">
        <v>-4.5833970000000002E-2</v>
      </c>
      <c r="N5678">
        <v>-1.372518E-2</v>
      </c>
      <c r="O5678">
        <v>-0.99885489999999999</v>
      </c>
      <c r="P5678">
        <v>9.634877E-2</v>
      </c>
      <c r="Q5678">
        <v>-0.1085836</v>
      </c>
      <c r="R5678">
        <v>-0.98940740000000005</v>
      </c>
      <c r="S5678">
        <v>-0.34909059999999997</v>
      </c>
      <c r="T5678">
        <v>-7.7274800000000005E-2</v>
      </c>
      <c r="U5678">
        <v>-3.0577700000000001</v>
      </c>
      <c r="V5678">
        <v>-0.1415854</v>
      </c>
      <c r="W5678">
        <v>-9.5090400000000005E-2</v>
      </c>
      <c r="X5678">
        <v>0.98534829999999995</v>
      </c>
      <c r="Y5678">
        <v>6.7741209999999996E-2</v>
      </c>
      <c r="Z5678">
        <v>1.14258E-2</v>
      </c>
      <c r="AA5678">
        <v>0.99763749999999995</v>
      </c>
      <c r="AB5678">
        <v>32</v>
      </c>
      <c r="AC5678">
        <v>-4.9977</v>
      </c>
      <c r="AD5678">
        <v>-1.1096031428139901</v>
      </c>
      <c r="AE5678">
        <v>-43.580190000000002</v>
      </c>
      <c r="AF5678">
        <v>2.9928907192736101</v>
      </c>
      <c r="AG5678">
        <v>-1.1096031428139901</v>
      </c>
      <c r="AH5678">
        <v>43.735483237265903</v>
      </c>
      <c r="AI5678">
        <v>91.449937080634001</v>
      </c>
      <c r="AJ5678">
        <v>86.085259159670699</v>
      </c>
      <c r="AK5678">
        <v>43.851808491660002</v>
      </c>
      <c r="AL5678">
        <v>95.456523228480194</v>
      </c>
      <c r="AM5678">
        <v>98.176901744874101</v>
      </c>
      <c r="AN5678">
        <v>0.99999994098910305</v>
      </c>
    </row>
    <row r="5679" spans="1:40" x14ac:dyDescent="0.25">
      <c r="A5679" t="str">
        <f>"20190305135042842"</f>
        <v>20190305135042842</v>
      </c>
      <c r="B5679" t="str">
        <f>"1551765042836171"</f>
        <v>1551765042836171</v>
      </c>
      <c r="C5679" t="s">
        <v>40</v>
      </c>
      <c r="D5679">
        <v>4.1829999999999998</v>
      </c>
      <c r="E5679">
        <v>0.58110859999999998</v>
      </c>
      <c r="F5679" t="s">
        <v>85</v>
      </c>
      <c r="G5679">
        <v>-427.4006</v>
      </c>
      <c r="H5679" s="1">
        <v>-3.2270850000000002E-6</v>
      </c>
      <c r="I5679">
        <v>36.348100000000002</v>
      </c>
      <c r="J5679">
        <v>-422.61340000000001</v>
      </c>
      <c r="K5679">
        <v>1.109612</v>
      </c>
      <c r="L5679">
        <v>78.138090000000005</v>
      </c>
      <c r="M5679">
        <v>-4.5764319999999997E-2</v>
      </c>
      <c r="N5679">
        <v>-1.372492E-2</v>
      </c>
      <c r="O5679">
        <v>-0.99885820000000003</v>
      </c>
      <c r="P5679">
        <v>9.6151630000000002E-2</v>
      </c>
      <c r="Q5679">
        <v>-0.1083533</v>
      </c>
      <c r="R5679">
        <v>-0.98945190000000005</v>
      </c>
      <c r="S5679">
        <v>-0.34915159999999901</v>
      </c>
      <c r="T5679">
        <v>-8.076477E-2</v>
      </c>
      <c r="U5679">
        <v>-3.0572509999999999</v>
      </c>
      <c r="V5679">
        <v>-0.14132120000000001</v>
      </c>
      <c r="W5679">
        <v>-9.4861340000000002E-2</v>
      </c>
      <c r="X5679">
        <v>0.98540839999999996</v>
      </c>
      <c r="Y5679">
        <v>6.7847420000000006E-2</v>
      </c>
      <c r="Z5679">
        <v>1.256417E-2</v>
      </c>
      <c r="AA5679">
        <v>0.99761659999999996</v>
      </c>
      <c r="AB5679">
        <v>32</v>
      </c>
      <c r="AC5679">
        <v>-4.7871999999999799</v>
      </c>
      <c r="AD5679">
        <v>-1.1096152270849999</v>
      </c>
      <c r="AE5679">
        <v>-41.789990000000003</v>
      </c>
      <c r="AF5679">
        <v>2.8675176704532799</v>
      </c>
      <c r="AG5679">
        <v>-1.1096152270849999</v>
      </c>
      <c r="AH5679">
        <v>41.936117686119999</v>
      </c>
      <c r="AI5679">
        <v>91.512143630565404</v>
      </c>
      <c r="AJ5679">
        <v>86.088304680719702</v>
      </c>
      <c r="AK5679">
        <v>42.048684523141098</v>
      </c>
      <c r="AL5679">
        <v>95.443338946389304</v>
      </c>
      <c r="AM5679">
        <v>98.161358235026398</v>
      </c>
      <c r="AN5679">
        <v>1.0000000350932901</v>
      </c>
    </row>
    <row r="5680" spans="1:40" x14ac:dyDescent="0.25">
      <c r="A5680" t="str">
        <f>"20190305135042856"</f>
        <v>20190305135042856</v>
      </c>
      <c r="B5680" t="str">
        <f>"1551765042845931"</f>
        <v>1551765042845931</v>
      </c>
      <c r="C5680" t="s">
        <v>40</v>
      </c>
      <c r="D5680">
        <v>4.1809209999999997</v>
      </c>
      <c r="E5680">
        <v>0.58106899999999995</v>
      </c>
      <c r="F5680" t="s">
        <v>85</v>
      </c>
      <c r="G5680">
        <v>-427.24599999999998</v>
      </c>
      <c r="H5680" s="1">
        <v>-2.7525189999999998E-6</v>
      </c>
      <c r="I5680">
        <v>37.482840000000003</v>
      </c>
      <c r="J5680">
        <v>-422.62299999999999</v>
      </c>
      <c r="K5680">
        <v>1.1096220000000001</v>
      </c>
      <c r="L5680">
        <v>77.927700000000002</v>
      </c>
      <c r="M5680">
        <v>-4.5687720000000001E-2</v>
      </c>
      <c r="N5680">
        <v>-1.372457E-2</v>
      </c>
      <c r="O5680">
        <v>-0.99886180000000002</v>
      </c>
      <c r="P5680">
        <v>9.5980060000000006E-2</v>
      </c>
      <c r="Q5680">
        <v>-0.108165</v>
      </c>
      <c r="R5680">
        <v>-0.98948919999999996</v>
      </c>
      <c r="S5680">
        <v>-0.34829710000000003</v>
      </c>
      <c r="T5680">
        <v>-8.3426589999999995E-2</v>
      </c>
      <c r="U5680">
        <v>-3.0566710000000001</v>
      </c>
      <c r="V5680">
        <v>-0.1410737</v>
      </c>
      <c r="W5680">
        <v>-9.4675209999999996E-2</v>
      </c>
      <c r="X5680">
        <v>0.9854617</v>
      </c>
      <c r="Y5680">
        <v>6.7668320000000004E-2</v>
      </c>
      <c r="Z5680">
        <v>1.3435000000000001E-2</v>
      </c>
      <c r="AA5680">
        <v>0.99761739999999999</v>
      </c>
      <c r="AB5680">
        <v>32</v>
      </c>
      <c r="AC5680">
        <v>-4.6229999999999301</v>
      </c>
      <c r="AD5680">
        <v>-1.1096247525189999</v>
      </c>
      <c r="AE5680">
        <v>-40.444859999999998</v>
      </c>
      <c r="AF5680">
        <v>2.7681080042924999</v>
      </c>
      <c r="AG5680">
        <v>-1.1096247525189999</v>
      </c>
      <c r="AH5680">
        <v>40.583698883752398</v>
      </c>
      <c r="AI5680">
        <v>91.562541555266293</v>
      </c>
      <c r="AJ5680">
        <v>86.098048125810607</v>
      </c>
      <c r="AK5680">
        <v>40.693123548112098</v>
      </c>
      <c r="AL5680">
        <v>95.432626606687904</v>
      </c>
      <c r="AM5680">
        <v>98.146822325360901</v>
      </c>
      <c r="AN5680">
        <v>0.99999997319356104</v>
      </c>
    </row>
    <row r="5681" spans="1:40" x14ac:dyDescent="0.25">
      <c r="A5681" t="str">
        <f>"20190305135042872"</f>
        <v>20190305135042872</v>
      </c>
      <c r="B5681" t="str">
        <f>"1551765042865451"</f>
        <v>1551765042865451</v>
      </c>
      <c r="C5681" t="s">
        <v>40</v>
      </c>
      <c r="D5681">
        <v>4.177435</v>
      </c>
      <c r="E5681">
        <v>0.58089139999999995</v>
      </c>
      <c r="F5681" t="s">
        <v>85</v>
      </c>
      <c r="G5681">
        <v>-427.22140000000002</v>
      </c>
      <c r="H5681" s="1">
        <v>-2.6933940000000002E-6</v>
      </c>
      <c r="I5681">
        <v>37.6205</v>
      </c>
      <c r="J5681">
        <v>-422.63339999999999</v>
      </c>
      <c r="K5681">
        <v>1.10964</v>
      </c>
      <c r="L5681">
        <v>77.699039999999997</v>
      </c>
      <c r="M5681">
        <v>-4.559357E-2</v>
      </c>
      <c r="N5681">
        <v>-1.3724149999999999E-2</v>
      </c>
      <c r="O5681">
        <v>-0.99886580000000003</v>
      </c>
      <c r="P5681">
        <v>9.5821400000000001E-2</v>
      </c>
      <c r="Q5681">
        <v>-0.1077192</v>
      </c>
      <c r="R5681">
        <v>-0.98955300000000002</v>
      </c>
      <c r="S5681">
        <v>-0.3486938</v>
      </c>
      <c r="T5681">
        <v>-8.4142679999999997E-2</v>
      </c>
      <c r="U5681">
        <v>-3.0564879999999999</v>
      </c>
      <c r="V5681">
        <v>-0.14082310000000001</v>
      </c>
      <c r="W5681">
        <v>-9.4232510000000005E-2</v>
      </c>
      <c r="X5681">
        <v>0.98553999999999997</v>
      </c>
      <c r="Y5681">
        <v>6.7896369999999998E-2</v>
      </c>
      <c r="Z5681">
        <v>1.366947E-2</v>
      </c>
      <c r="AA5681">
        <v>0.99759869999999995</v>
      </c>
      <c r="AB5681">
        <v>32</v>
      </c>
      <c r="AC5681">
        <v>-4.5880000000000196</v>
      </c>
      <c r="AD5681">
        <v>-1.109642693394</v>
      </c>
      <c r="AE5681">
        <v>-40.078539999999997</v>
      </c>
      <c r="AF5681">
        <v>2.7536485752242501</v>
      </c>
      <c r="AG5681">
        <v>-1.109642693394</v>
      </c>
      <c r="AH5681">
        <v>40.215627688576198</v>
      </c>
      <c r="AI5681">
        <v>91.576832541519906</v>
      </c>
      <c r="AJ5681">
        <v>86.082951487109597</v>
      </c>
      <c r="AK5681">
        <v>40.325061658589199</v>
      </c>
      <c r="AL5681">
        <v>95.407147701213603</v>
      </c>
      <c r="AM5681">
        <v>98.131906784623595</v>
      </c>
      <c r="AN5681">
        <v>1.0000000015172501</v>
      </c>
    </row>
    <row r="5682" spans="1:40" x14ac:dyDescent="0.25">
      <c r="A5682" t="str">
        <f>"20190305135042894"</f>
        <v>20190305135042894</v>
      </c>
      <c r="B5682" t="str">
        <f>"1551765042885947"</f>
        <v>1551765042885947</v>
      </c>
      <c r="C5682" t="s">
        <v>40</v>
      </c>
      <c r="D5682">
        <v>4.1889529999999997</v>
      </c>
      <c r="E5682">
        <v>0.58067930000000001</v>
      </c>
      <c r="F5682" t="s">
        <v>85</v>
      </c>
      <c r="G5682">
        <v>-427.16039999999998</v>
      </c>
      <c r="H5682" s="1">
        <v>-2.564579E-6</v>
      </c>
      <c r="I5682">
        <v>37.91527</v>
      </c>
      <c r="J5682">
        <v>-422.64830000000001</v>
      </c>
      <c r="K5682">
        <v>1.1096600000000001</v>
      </c>
      <c r="L5682">
        <v>77.367429999999999</v>
      </c>
      <c r="M5682">
        <v>-4.5428950000000003E-2</v>
      </c>
      <c r="N5682">
        <v>-1.3723590000000001E-2</v>
      </c>
      <c r="O5682">
        <v>-0.99887349999999997</v>
      </c>
      <c r="P5682">
        <v>9.5706879999999994E-2</v>
      </c>
      <c r="Q5682">
        <v>-0.1078634</v>
      </c>
      <c r="R5682">
        <v>-0.98954869999999995</v>
      </c>
      <c r="S5682">
        <v>-0.3477478</v>
      </c>
      <c r="T5682">
        <v>-8.5239170000000003E-2</v>
      </c>
      <c r="U5682">
        <v>-3.0560610000000001</v>
      </c>
      <c r="V5682">
        <v>-0.1405409</v>
      </c>
      <c r="W5682">
        <v>-9.4384220000000005E-2</v>
      </c>
      <c r="X5682">
        <v>0.98556580000000005</v>
      </c>
      <c r="Y5682">
        <v>6.7770960000000005E-2</v>
      </c>
      <c r="Z5682">
        <v>1.4030880000000001E-2</v>
      </c>
      <c r="AA5682">
        <v>0.99760219999999999</v>
      </c>
      <c r="AB5682">
        <v>32</v>
      </c>
      <c r="AC5682">
        <v>-4.51209999999997</v>
      </c>
      <c r="AD5682">
        <v>-1.1096625645789999</v>
      </c>
      <c r="AE5682">
        <v>-39.452159999999999</v>
      </c>
      <c r="AF5682">
        <v>2.71288356229176</v>
      </c>
      <c r="AG5682">
        <v>-1.1096625645789999</v>
      </c>
      <c r="AH5682">
        <v>39.585507670494898</v>
      </c>
      <c r="AI5682">
        <v>91.601941609268394</v>
      </c>
      <c r="AJ5682">
        <v>86.079521874775907</v>
      </c>
      <c r="AK5682">
        <v>39.6938723956304</v>
      </c>
      <c r="AL5682">
        <v>95.415878772374597</v>
      </c>
      <c r="AM5682">
        <v>98.115618681203799</v>
      </c>
      <c r="AN5682">
        <v>1.00000003584372</v>
      </c>
    </row>
    <row r="5683" spans="1:40" x14ac:dyDescent="0.25">
      <c r="A5683" t="str">
        <f>"20190305135042916"</f>
        <v>20190305135042916</v>
      </c>
      <c r="B5683" t="str">
        <f>"1551765042905467"</f>
        <v>1551765042905467</v>
      </c>
      <c r="C5683" t="s">
        <v>40</v>
      </c>
      <c r="D5683">
        <v>4.1916060000000002</v>
      </c>
      <c r="E5683">
        <v>0.5805285</v>
      </c>
      <c r="F5683" t="s">
        <v>85</v>
      </c>
      <c r="G5683">
        <v>-426.99430000000001</v>
      </c>
      <c r="H5683" s="1">
        <v>-2.0937329999999998E-6</v>
      </c>
      <c r="I5683">
        <v>39.032339999999998</v>
      </c>
      <c r="J5683">
        <v>-422.66210000000001</v>
      </c>
      <c r="K5683">
        <v>1.10968</v>
      </c>
      <c r="L5683">
        <v>77.059200000000004</v>
      </c>
      <c r="M5683">
        <v>-4.5245689999999998E-2</v>
      </c>
      <c r="N5683">
        <v>-1.372291E-2</v>
      </c>
      <c r="O5683">
        <v>-0.99888160000000004</v>
      </c>
      <c r="P5683">
        <v>9.5564750000000004E-2</v>
      </c>
      <c r="Q5683">
        <v>-0.1083932</v>
      </c>
      <c r="R5683">
        <v>-0.9895043</v>
      </c>
      <c r="S5683">
        <v>-0.34640500000000002</v>
      </c>
      <c r="T5683">
        <v>-8.8446860000000002E-2</v>
      </c>
      <c r="U5683">
        <v>-3.055542</v>
      </c>
      <c r="V5683">
        <v>-0.14021129999999901</v>
      </c>
      <c r="W5683">
        <v>-9.4922800000000002E-2</v>
      </c>
      <c r="X5683">
        <v>0.98556100000000002</v>
      </c>
      <c r="Y5683">
        <v>6.7538070000000006E-2</v>
      </c>
      <c r="Z5683">
        <v>1.50799E-2</v>
      </c>
      <c r="AA5683">
        <v>0.99760269999999995</v>
      </c>
      <c r="AB5683">
        <v>32</v>
      </c>
      <c r="AC5683">
        <v>-4.3322000000000003</v>
      </c>
      <c r="AD5683">
        <v>-1.1096820937330001</v>
      </c>
      <c r="AE5683">
        <v>-38.026859999999999</v>
      </c>
      <c r="AF5683">
        <v>2.6048591354944501</v>
      </c>
      <c r="AG5683">
        <v>-1.1096820937330001</v>
      </c>
      <c r="AH5683">
        <v>38.151868375320703</v>
      </c>
      <c r="AI5683">
        <v>91.662163099616293</v>
      </c>
      <c r="AJ5683">
        <v>86.094131796740101</v>
      </c>
      <c r="AK5683">
        <v>38.2567869271939</v>
      </c>
      <c r="AL5683">
        <v>95.446876413126006</v>
      </c>
      <c r="AM5683">
        <v>98.096877319185495</v>
      </c>
      <c r="AN5683">
        <v>1.0000000156642599</v>
      </c>
    </row>
    <row r="5684" spans="1:40" x14ac:dyDescent="0.25">
      <c r="A5684" t="str">
        <f>"20190305135042938"</f>
        <v>20190305135042938</v>
      </c>
      <c r="B5684" t="str">
        <f>"1551765042935723"</f>
        <v>1551765042935723</v>
      </c>
      <c r="C5684" t="s">
        <v>40</v>
      </c>
      <c r="D5684">
        <v>4.1898799999999996</v>
      </c>
      <c r="E5684">
        <v>0.58039200000000002</v>
      </c>
      <c r="F5684" t="s">
        <v>42</v>
      </c>
      <c r="G5684">
        <v>-426.78210000000001</v>
      </c>
      <c r="H5684" s="1">
        <v>-2.2683229999999999E-6</v>
      </c>
      <c r="I5684">
        <v>40.670200000000001</v>
      </c>
      <c r="J5684">
        <v>-422.67619999999999</v>
      </c>
      <c r="K5684">
        <v>1.1097090000000001</v>
      </c>
      <c r="L5684">
        <v>76.742679999999993</v>
      </c>
      <c r="M5684">
        <v>-4.5020049999999999E-2</v>
      </c>
      <c r="N5684">
        <v>-1.3722069999999999E-2</v>
      </c>
      <c r="O5684">
        <v>-0.99889220000000001</v>
      </c>
      <c r="P5684">
        <v>9.6080799999999994E-2</v>
      </c>
      <c r="Q5684">
        <v>-0.1083365</v>
      </c>
      <c r="R5684">
        <v>-0.98946069999999997</v>
      </c>
      <c r="S5684">
        <v>-0.34588619999999998</v>
      </c>
      <c r="T5684">
        <v>-9.3162889999999998E-2</v>
      </c>
      <c r="U5684">
        <v>-3.0550229999999998</v>
      </c>
      <c r="V5684">
        <v>-0.14049619999999999</v>
      </c>
      <c r="W5684">
        <v>-9.4876920000000003E-2</v>
      </c>
      <c r="X5684">
        <v>0.98552479999999998</v>
      </c>
      <c r="Y5684">
        <v>6.7611660000000004E-2</v>
      </c>
      <c r="Z5684">
        <v>1.6619160000000001E-2</v>
      </c>
      <c r="AA5684">
        <v>0.9975733</v>
      </c>
      <c r="AB5684">
        <v>32</v>
      </c>
      <c r="AC5684">
        <v>-4.1059000000000196</v>
      </c>
      <c r="AD5684">
        <v>-1.1097112683229999</v>
      </c>
      <c r="AE5684">
        <v>-36.072479999999999</v>
      </c>
      <c r="AF5684">
        <v>2.4752863877598399</v>
      </c>
      <c r="AG5684">
        <v>-1.1097112683229999</v>
      </c>
      <c r="AH5684">
        <v>36.186955032891497</v>
      </c>
      <c r="AI5684">
        <v>91.752392924118993</v>
      </c>
      <c r="AJ5684">
        <v>86.086907900382698</v>
      </c>
      <c r="AK5684">
        <v>36.288486002490998</v>
      </c>
      <c r="AL5684">
        <v>95.444236004681997</v>
      </c>
      <c r="AM5684">
        <v>98.113404851168298</v>
      </c>
      <c r="AN5684">
        <v>0.99999997178908195</v>
      </c>
    </row>
    <row r="5685" spans="1:40" x14ac:dyDescent="0.25">
      <c r="A5685" t="str">
        <f>"20190305135042953"</f>
        <v>20190305135042953</v>
      </c>
      <c r="B5685" t="str">
        <f>"1551765042945483"</f>
        <v>1551765042945483</v>
      </c>
      <c r="C5685" t="s">
        <v>40</v>
      </c>
      <c r="D5685">
        <v>4.1801760000000003</v>
      </c>
      <c r="E5685">
        <v>0.58036929999999998</v>
      </c>
      <c r="F5685" t="s">
        <v>42</v>
      </c>
      <c r="G5685">
        <v>-426.63159999999999</v>
      </c>
      <c r="H5685" s="1">
        <v>-2.5935659999999999E-6</v>
      </c>
      <c r="I5685">
        <v>41.521680000000003</v>
      </c>
      <c r="J5685">
        <v>-422.6857</v>
      </c>
      <c r="K5685">
        <v>1.1097300000000001</v>
      </c>
      <c r="L5685">
        <v>76.528719999999893</v>
      </c>
      <c r="M5685">
        <v>-4.4843319999999999E-2</v>
      </c>
      <c r="N5685">
        <v>-1.372146E-2</v>
      </c>
      <c r="O5685">
        <v>-0.99889989999999995</v>
      </c>
      <c r="P5685">
        <v>9.6462439999999997E-2</v>
      </c>
      <c r="Q5685">
        <v>-0.1082726</v>
      </c>
      <c r="R5685">
        <v>-0.98943049999999999</v>
      </c>
      <c r="S5685">
        <v>-0.34304810000000002</v>
      </c>
      <c r="T5685">
        <v>-9.6245289999999997E-2</v>
      </c>
      <c r="U5685">
        <v>-3.0547179999999998</v>
      </c>
      <c r="V5685">
        <v>-0.14069719999999999</v>
      </c>
      <c r="W5685">
        <v>-9.4821550000000004E-2</v>
      </c>
      <c r="X5685">
        <v>0.98550150000000003</v>
      </c>
      <c r="Y5685">
        <v>6.6881940000000001E-2</v>
      </c>
      <c r="Z5685">
        <v>1.7627190000000001E-2</v>
      </c>
      <c r="AA5685">
        <v>0.99760519999999997</v>
      </c>
      <c r="AB5685">
        <v>32</v>
      </c>
      <c r="AC5685">
        <v>-3.9458999999999902</v>
      </c>
      <c r="AD5685">
        <v>-1.1097325935659901</v>
      </c>
      <c r="AE5685">
        <v>-35.007040000000003</v>
      </c>
      <c r="AF5685">
        <v>2.3695989187208601</v>
      </c>
      <c r="AG5685">
        <v>-1.1097325935659901</v>
      </c>
      <c r="AH5685">
        <v>35.113937769830301</v>
      </c>
      <c r="AI5685">
        <v>91.806054815699895</v>
      </c>
      <c r="AJ5685">
        <v>86.139353989043997</v>
      </c>
      <c r="AK5685">
        <v>35.211292665398403</v>
      </c>
      <c r="AL5685">
        <v>95.441048920621995</v>
      </c>
      <c r="AM5685">
        <v>98.125046897621601</v>
      </c>
      <c r="AN5685">
        <v>1.0000000174672401</v>
      </c>
    </row>
    <row r="5686" spans="1:40" x14ac:dyDescent="0.25">
      <c r="A5686" t="str">
        <f>"20190305135042965"</f>
        <v>20190305135042965</v>
      </c>
      <c r="B5686" t="str">
        <f>"1551765042956219"</f>
        <v>1551765042956219</v>
      </c>
      <c r="C5686" t="s">
        <v>40</v>
      </c>
      <c r="D5686">
        <v>4.3205049999999998</v>
      </c>
      <c r="E5686">
        <v>0.58037939999999999</v>
      </c>
      <c r="F5686" t="s">
        <v>42</v>
      </c>
      <c r="G5686">
        <v>-426.60820000000001</v>
      </c>
      <c r="H5686" s="1">
        <v>-2.5752419999999998E-6</v>
      </c>
      <c r="I5686">
        <v>41.49344</v>
      </c>
      <c r="J5686">
        <v>-422.69409999999999</v>
      </c>
      <c r="K5686">
        <v>1.1097539999999999</v>
      </c>
      <c r="L5686">
        <v>76.338650000000001</v>
      </c>
      <c r="M5686">
        <v>-4.4664160000000001E-2</v>
      </c>
      <c r="N5686">
        <v>-1.372086E-2</v>
      </c>
      <c r="O5686">
        <v>-0.99890800000000002</v>
      </c>
      <c r="P5686">
        <v>9.6375619999999995E-2</v>
      </c>
      <c r="Q5686">
        <v>-0.1080145</v>
      </c>
      <c r="R5686">
        <v>-0.98946710000000004</v>
      </c>
      <c r="S5686">
        <v>-0.3420105</v>
      </c>
      <c r="T5686">
        <v>-9.6759319999999996E-2</v>
      </c>
      <c r="U5686">
        <v>-3.0547789999999999</v>
      </c>
      <c r="V5686">
        <v>-0.1404299</v>
      </c>
      <c r="W5686">
        <v>-9.4570849999999998E-2</v>
      </c>
      <c r="X5686">
        <v>0.98556370000000004</v>
      </c>
      <c r="Y5686">
        <v>6.6723669999999999E-2</v>
      </c>
      <c r="Z5686">
        <v>1.7795169999999999E-2</v>
      </c>
      <c r="AA5686">
        <v>0.99761279999999997</v>
      </c>
      <c r="AB5686">
        <v>32</v>
      </c>
      <c r="AC5686">
        <v>-3.9141000000000101</v>
      </c>
      <c r="AD5686">
        <v>-1.109756575242</v>
      </c>
      <c r="AE5686">
        <v>-34.845209999999902</v>
      </c>
      <c r="AF5686">
        <v>2.3513596522674001</v>
      </c>
      <c r="AG5686">
        <v>-1.109756575242</v>
      </c>
      <c r="AH5686">
        <v>34.950257840713803</v>
      </c>
      <c r="AI5686">
        <v>91.814571556791606</v>
      </c>
      <c r="AJ5686">
        <v>86.151093583135193</v>
      </c>
      <c r="AK5686">
        <v>35.046839729182203</v>
      </c>
      <c r="AL5686">
        <v>95.426620098536802</v>
      </c>
      <c r="AM5686">
        <v>98.109311258905095</v>
      </c>
      <c r="AN5686">
        <v>1.00000000462071</v>
      </c>
    </row>
    <row r="5687" spans="1:40" x14ac:dyDescent="0.25">
      <c r="A5687" t="str">
        <f>"20190305135042981"</f>
        <v>20190305135042981</v>
      </c>
      <c r="B5687" t="str">
        <f>"1551765042975739"</f>
        <v>1551765042975739</v>
      </c>
      <c r="C5687" t="s">
        <v>40</v>
      </c>
      <c r="D5687">
        <v>4.2252000000000001</v>
      </c>
      <c r="E5687">
        <v>0.58037589999999994</v>
      </c>
      <c r="F5687" t="s">
        <v>42</v>
      </c>
      <c r="G5687">
        <v>-426.66789999999997</v>
      </c>
      <c r="H5687" s="1">
        <v>-2.3194260000000001E-6</v>
      </c>
      <c r="I5687">
        <v>40.860109999999999</v>
      </c>
      <c r="J5687">
        <v>-422.70339999999999</v>
      </c>
      <c r="K5687">
        <v>1.109783</v>
      </c>
      <c r="L5687">
        <v>76.127290000000002</v>
      </c>
      <c r="M5687">
        <v>-4.44366E-2</v>
      </c>
      <c r="N5687">
        <v>-1.37202E-2</v>
      </c>
      <c r="O5687">
        <v>-0.99891810000000003</v>
      </c>
      <c r="P5687">
        <v>9.6700530000000007E-2</v>
      </c>
      <c r="Q5687">
        <v>-0.107641</v>
      </c>
      <c r="R5687">
        <v>-0.98947589999999996</v>
      </c>
      <c r="S5687">
        <v>-0.3421631</v>
      </c>
      <c r="T5687">
        <v>-9.5554349999999996E-2</v>
      </c>
      <c r="U5687">
        <v>-3.05484</v>
      </c>
      <c r="V5687">
        <v>-0.14052400000000001</v>
      </c>
      <c r="W5687">
        <v>-9.4207669999999993E-2</v>
      </c>
      <c r="X5687">
        <v>0.98558500000000004</v>
      </c>
      <c r="Y5687">
        <v>6.6998849999999999E-2</v>
      </c>
      <c r="Z5687">
        <v>1.7403399999999999E-2</v>
      </c>
      <c r="AA5687">
        <v>0.99760130000000002</v>
      </c>
      <c r="AB5687">
        <v>32</v>
      </c>
      <c r="AC5687">
        <v>-3.9644999999999802</v>
      </c>
      <c r="AD5687">
        <v>-1.1097853194259999</v>
      </c>
      <c r="AE5687">
        <v>-35.267179999999897</v>
      </c>
      <c r="AF5687">
        <v>2.3909441957756599</v>
      </c>
      <c r="AG5687">
        <v>-1.1097853194259999</v>
      </c>
      <c r="AH5687">
        <v>35.373930976869602</v>
      </c>
      <c r="AI5687">
        <v>91.792861455714998</v>
      </c>
      <c r="AJ5687">
        <v>86.133226818317496</v>
      </c>
      <c r="AK5687">
        <v>35.4720062917064</v>
      </c>
      <c r="AL5687">
        <v>95.405718469908095</v>
      </c>
      <c r="AM5687">
        <v>98.114499804272</v>
      </c>
      <c r="AN5687">
        <v>0.99999993594391201</v>
      </c>
    </row>
    <row r="5688" spans="1:40" x14ac:dyDescent="0.25">
      <c r="A5688" t="str">
        <f>"20190305135042993"</f>
        <v>20190305135042993</v>
      </c>
      <c r="B5688" t="str">
        <f>"1551765042985499"</f>
        <v>1551765042985499</v>
      </c>
      <c r="C5688" t="s">
        <v>40</v>
      </c>
      <c r="D5688">
        <v>4.185848</v>
      </c>
      <c r="E5688">
        <v>0.58042090000000002</v>
      </c>
      <c r="F5688" t="s">
        <v>42</v>
      </c>
      <c r="G5688">
        <v>-426.73360000000002</v>
      </c>
      <c r="H5688" s="1">
        <v>-1.990674E-6</v>
      </c>
      <c r="I5688">
        <v>40.053049999999999</v>
      </c>
      <c r="J5688">
        <v>-422.71109999999999</v>
      </c>
      <c r="K5688">
        <v>1.109812</v>
      </c>
      <c r="L5688">
        <v>75.948059999999998</v>
      </c>
      <c r="M5688">
        <v>-4.4225880000000002E-2</v>
      </c>
      <c r="N5688">
        <v>-1.371965E-2</v>
      </c>
      <c r="O5688">
        <v>-0.99892740000000002</v>
      </c>
      <c r="P5688">
        <v>9.608332E-2</v>
      </c>
      <c r="Q5688">
        <v>-0.1075503</v>
      </c>
      <c r="R5688">
        <v>-0.98954589999999998</v>
      </c>
      <c r="S5688">
        <v>-0.34130860000000002</v>
      </c>
      <c r="T5688">
        <v>-9.3984479999999995E-2</v>
      </c>
      <c r="U5688">
        <v>-3.0550229999999998</v>
      </c>
      <c r="V5688">
        <v>-0.1396975</v>
      </c>
      <c r="W5688">
        <v>-9.4124440000000004E-2</v>
      </c>
      <c r="X5688">
        <v>0.98571050000000004</v>
      </c>
      <c r="Y5688">
        <v>6.6928360000000006E-2</v>
      </c>
      <c r="Z5688">
        <v>1.6892460000000002E-2</v>
      </c>
      <c r="AA5688">
        <v>0.99761480000000002</v>
      </c>
      <c r="AB5688">
        <v>32</v>
      </c>
      <c r="AC5688">
        <v>-4.0225000000000302</v>
      </c>
      <c r="AD5688">
        <v>-1.1098139906739899</v>
      </c>
      <c r="AE5688">
        <v>-35.895009999999999</v>
      </c>
      <c r="AF5688">
        <v>2.42863288444138</v>
      </c>
      <c r="AG5688">
        <v>-1.1098139906739899</v>
      </c>
      <c r="AH5688">
        <v>36.0038067619288</v>
      </c>
      <c r="AI5688">
        <v>91.761577354906507</v>
      </c>
      <c r="AJ5688">
        <v>86.140965393376902</v>
      </c>
      <c r="AK5688">
        <v>36.102687519512997</v>
      </c>
      <c r="AL5688">
        <v>95.400928133444395</v>
      </c>
      <c r="AM5688">
        <v>98.066390402679005</v>
      </c>
      <c r="AN5688">
        <v>0.99999999576090604</v>
      </c>
    </row>
    <row r="5689" spans="1:40" x14ac:dyDescent="0.25">
      <c r="A5689" t="str">
        <f>"20190305135043009"</f>
        <v>20190305135043009</v>
      </c>
      <c r="B5689" t="str">
        <f>"1551765043005995"</f>
        <v>1551765043005995</v>
      </c>
      <c r="C5689" t="s">
        <v>40</v>
      </c>
      <c r="D5689">
        <v>4.2022629999999896</v>
      </c>
      <c r="E5689">
        <v>0.58034969999999997</v>
      </c>
      <c r="F5689" t="s">
        <v>42</v>
      </c>
      <c r="G5689">
        <v>-426.78469999999999</v>
      </c>
      <c r="H5689" s="1">
        <v>-1.85355E-6</v>
      </c>
      <c r="I5689">
        <v>39.701729999999998</v>
      </c>
      <c r="J5689">
        <v>-422.721</v>
      </c>
      <c r="K5689">
        <v>1.109845</v>
      </c>
      <c r="L5689">
        <v>75.718689999999995</v>
      </c>
      <c r="M5689">
        <v>-4.3926149999999997E-2</v>
      </c>
      <c r="N5689">
        <v>-1.3718950000000001E-2</v>
      </c>
      <c r="O5689">
        <v>-0.99894059999999996</v>
      </c>
      <c r="P5689">
        <v>9.6169950000000004E-2</v>
      </c>
      <c r="Q5689">
        <v>-0.10769189999999999</v>
      </c>
      <c r="R5689">
        <v>-0.98952220000000002</v>
      </c>
      <c r="S5689">
        <v>-0.34332279999999998</v>
      </c>
      <c r="T5689">
        <v>-9.3536019999999997E-2</v>
      </c>
      <c r="U5689">
        <v>-3.0548709999999999</v>
      </c>
      <c r="V5689">
        <v>-0.1394783</v>
      </c>
      <c r="W5689">
        <v>-9.4279310000000005E-2</v>
      </c>
      <c r="X5689">
        <v>0.98572680000000001</v>
      </c>
      <c r="Y5689">
        <v>6.7882860000000003E-2</v>
      </c>
      <c r="Z5689">
        <v>1.6747339999999999E-2</v>
      </c>
      <c r="AA5689">
        <v>0.99755280000000002</v>
      </c>
      <c r="AB5689">
        <v>32</v>
      </c>
      <c r="AC5689">
        <v>-4.0636999999999803</v>
      </c>
      <c r="AD5689">
        <v>-1.1098468535499999</v>
      </c>
      <c r="AE5689">
        <v>-36.016959999999997</v>
      </c>
      <c r="AF5689">
        <v>2.4752208695159199</v>
      </c>
      <c r="AG5689">
        <v>-1.1098468535499999</v>
      </c>
      <c r="AH5689">
        <v>36.126836109409602</v>
      </c>
      <c r="AI5689">
        <v>91.755508210211403</v>
      </c>
      <c r="AJ5689">
        <v>86.080519800578102</v>
      </c>
      <c r="AK5689">
        <v>36.228535240433999</v>
      </c>
      <c r="AL5689">
        <v>95.409840848175406</v>
      </c>
      <c r="AM5689">
        <v>98.053768157272401</v>
      </c>
      <c r="AN5689">
        <v>1.0000000543516001</v>
      </c>
    </row>
    <row r="5690" spans="1:40" x14ac:dyDescent="0.25">
      <c r="A5690" t="str">
        <f>"20190305135043027"</f>
        <v>20190305135043027</v>
      </c>
      <c r="B5690" t="str">
        <f>"1551765043015756"</f>
        <v>1551765043015756</v>
      </c>
      <c r="C5690" t="s">
        <v>40</v>
      </c>
      <c r="D5690">
        <v>4.2038789999999997</v>
      </c>
      <c r="E5690">
        <v>0.58020269999999996</v>
      </c>
      <c r="F5690" t="s">
        <v>42</v>
      </c>
      <c r="G5690">
        <v>-426.7473</v>
      </c>
      <c r="H5690" s="1">
        <v>-1.8986849999999999E-6</v>
      </c>
      <c r="I5690">
        <v>39.830150000000003</v>
      </c>
      <c r="J5690">
        <v>-422.73169999999999</v>
      </c>
      <c r="K5690">
        <v>1.109891</v>
      </c>
      <c r="L5690">
        <v>75.466830000000002</v>
      </c>
      <c r="M5690">
        <v>-4.3551529999999998E-2</v>
      </c>
      <c r="N5690">
        <v>-1.371818E-2</v>
      </c>
      <c r="O5690">
        <v>-0.99895719999999999</v>
      </c>
      <c r="P5690">
        <v>9.5531450000000004E-2</v>
      </c>
      <c r="Q5690">
        <v>-0.1081346</v>
      </c>
      <c r="R5690">
        <v>-0.98953599999999997</v>
      </c>
      <c r="S5690">
        <v>-0.34271239999999997</v>
      </c>
      <c r="T5690">
        <v>-9.4469429999999993E-2</v>
      </c>
      <c r="U5690">
        <v>-3.0548099999999998</v>
      </c>
      <c r="V5690">
        <v>-0.13846159999999999</v>
      </c>
      <c r="W5690">
        <v>-9.47355E-2</v>
      </c>
      <c r="X5690">
        <v>0.98582630000000004</v>
      </c>
      <c r="Y5690">
        <v>6.8061620000000003E-2</v>
      </c>
      <c r="Z5690">
        <v>1.705276E-2</v>
      </c>
      <c r="AA5690">
        <v>0.99753530000000001</v>
      </c>
      <c r="AB5690">
        <v>32</v>
      </c>
      <c r="AC5690">
        <v>-4.0156000000000001</v>
      </c>
      <c r="AD5690">
        <v>-1.1098928986850001</v>
      </c>
      <c r="AE5690">
        <v>-35.636679999999998</v>
      </c>
      <c r="AF5690">
        <v>2.4572579006223498</v>
      </c>
      <c r="AG5690">
        <v>-1.1098928986850001</v>
      </c>
      <c r="AH5690">
        <v>35.743526674418398</v>
      </c>
      <c r="AI5690">
        <v>91.774367547217096</v>
      </c>
      <c r="AJ5690">
        <v>86.067278520151703</v>
      </c>
      <c r="AK5690">
        <v>35.845078849984198</v>
      </c>
      <c r="AL5690">
        <v>95.436096628240804</v>
      </c>
      <c r="AM5690">
        <v>97.995027167182599</v>
      </c>
      <c r="AN5690">
        <v>0.99999996170324901</v>
      </c>
    </row>
    <row r="5691" spans="1:40" x14ac:dyDescent="0.25">
      <c r="A5691" t="str">
        <f>"20190305135043043"</f>
        <v>20190305135043043</v>
      </c>
      <c r="B5691" t="str">
        <f>"1551765043036251"</f>
        <v>1551765043036251</v>
      </c>
      <c r="C5691" t="s">
        <v>40</v>
      </c>
      <c r="D5691">
        <v>4.2204689999999996</v>
      </c>
      <c r="E5691">
        <v>0.579986</v>
      </c>
      <c r="F5691" t="s">
        <v>42</v>
      </c>
      <c r="G5691">
        <v>-426.63670000000002</v>
      </c>
      <c r="H5691" s="1">
        <v>-2.265135E-6</v>
      </c>
      <c r="I5691">
        <v>40.752960000000002</v>
      </c>
      <c r="J5691">
        <v>-422.74090000000001</v>
      </c>
      <c r="K5691">
        <v>1.109926</v>
      </c>
      <c r="L5691">
        <v>75.247129999999999</v>
      </c>
      <c r="M5691">
        <v>-4.3195770000000001E-2</v>
      </c>
      <c r="N5691">
        <v>-1.3717409999999999E-2</v>
      </c>
      <c r="O5691">
        <v>-0.99897250000000004</v>
      </c>
      <c r="P5691">
        <v>9.5651570000000005E-2</v>
      </c>
      <c r="Q5691">
        <v>-0.10800269999999999</v>
      </c>
      <c r="R5691">
        <v>-0.98953869999999999</v>
      </c>
      <c r="S5691">
        <v>-0.34356690000000001</v>
      </c>
      <c r="T5691">
        <v>-9.7651719999999997E-2</v>
      </c>
      <c r="U5691">
        <v>-3.05423</v>
      </c>
      <c r="V5691">
        <v>-0.1382234</v>
      </c>
      <c r="W5691">
        <v>-9.4615309999999994E-2</v>
      </c>
      <c r="X5691">
        <v>0.98587130000000001</v>
      </c>
      <c r="Y5691">
        <v>6.8710750000000001E-2</v>
      </c>
      <c r="Z5691">
        <v>1.8093479999999999E-2</v>
      </c>
      <c r="AA5691">
        <v>0.99747249999999998</v>
      </c>
      <c r="AB5691">
        <v>32</v>
      </c>
      <c r="AC5691">
        <v>-3.8957999999999999</v>
      </c>
      <c r="AD5691">
        <v>-1.109928265135</v>
      </c>
      <c r="AE5691">
        <v>-34.494169999999997</v>
      </c>
      <c r="AF5691">
        <v>2.3995675512392798</v>
      </c>
      <c r="AG5691">
        <v>-1.109928265135</v>
      </c>
      <c r="AH5691">
        <v>34.594898307665403</v>
      </c>
      <c r="AI5691">
        <v>91.833221930642594</v>
      </c>
      <c r="AJ5691">
        <v>86.032211372749899</v>
      </c>
      <c r="AK5691">
        <v>34.695775738617201</v>
      </c>
      <c r="AL5691">
        <v>95.4291790077136</v>
      </c>
      <c r="AM5691">
        <v>97.981090837995197</v>
      </c>
      <c r="AN5691">
        <v>0.999999992678823</v>
      </c>
    </row>
    <row r="5692" spans="1:40" x14ac:dyDescent="0.25">
      <c r="A5692" t="str">
        <f>"20190305135043055"</f>
        <v>20190305135043055</v>
      </c>
      <c r="B5692" t="str">
        <f>"1551765043046011"</f>
        <v>1551765043046011</v>
      </c>
      <c r="C5692" t="s">
        <v>40</v>
      </c>
      <c r="D5692">
        <v>4.2155620000000003</v>
      </c>
      <c r="E5692">
        <v>0.58003470000000001</v>
      </c>
      <c r="F5692" t="s">
        <v>42</v>
      </c>
      <c r="G5692">
        <v>-426.49810000000002</v>
      </c>
      <c r="H5692" s="1">
        <v>-2.6154239999999998E-6</v>
      </c>
      <c r="I5692">
        <v>41.655410000000003</v>
      </c>
      <c r="J5692">
        <v>-422.74869999999999</v>
      </c>
      <c r="K5692">
        <v>1.109958</v>
      </c>
      <c r="L5692">
        <v>75.061859999999996</v>
      </c>
      <c r="M5692">
        <v>-4.2879489999999999E-2</v>
      </c>
      <c r="N5692">
        <v>-1.371674E-2</v>
      </c>
      <c r="O5692">
        <v>-0.9989865</v>
      </c>
      <c r="P5692">
        <v>9.5818710000000001E-2</v>
      </c>
      <c r="Q5692">
        <v>-0.1080508</v>
      </c>
      <c r="R5692">
        <v>-0.9895176</v>
      </c>
      <c r="S5692">
        <v>-0.34155269999999999</v>
      </c>
      <c r="T5692">
        <v>-0.1008999</v>
      </c>
      <c r="U5692">
        <v>-3.0537109999999998</v>
      </c>
      <c r="V5692">
        <v>-0.13807130000000001</v>
      </c>
      <c r="W5692">
        <v>-9.4672900000000004E-2</v>
      </c>
      <c r="X5692">
        <v>0.98588710000000002</v>
      </c>
      <c r="Y5692">
        <v>6.8393099999999998E-2</v>
      </c>
      <c r="Z5692">
        <v>1.915764E-2</v>
      </c>
      <c r="AA5692">
        <v>0.99747450000000004</v>
      </c>
      <c r="AB5692">
        <v>32</v>
      </c>
      <c r="AC5692">
        <v>-3.7494000000000298</v>
      </c>
      <c r="AD5692">
        <v>-1.109960615424</v>
      </c>
      <c r="AE5692">
        <v>-33.40645</v>
      </c>
      <c r="AF5692">
        <v>2.3108457747411202</v>
      </c>
      <c r="AG5692">
        <v>-1.109960615424</v>
      </c>
      <c r="AH5692">
        <v>33.499983467336698</v>
      </c>
      <c r="AI5692">
        <v>91.893200929378295</v>
      </c>
      <c r="AJ5692">
        <v>86.053959105509406</v>
      </c>
      <c r="AK5692">
        <v>33.597930190329699</v>
      </c>
      <c r="AL5692">
        <v>95.432493467087198</v>
      </c>
      <c r="AM5692">
        <v>97.972295361614499</v>
      </c>
      <c r="AN5692">
        <v>1.00000000791225</v>
      </c>
    </row>
    <row r="5693" spans="1:40" x14ac:dyDescent="0.25">
      <c r="A5693" t="str">
        <f>"20190305135043069"</f>
        <v>20190305135043069</v>
      </c>
      <c r="B5693" t="str">
        <f>"1551765043065531"</f>
        <v>1551765043065531</v>
      </c>
      <c r="C5693" t="s">
        <v>40</v>
      </c>
      <c r="D5693">
        <v>4.2078949999999997</v>
      </c>
      <c r="E5693">
        <v>0.58009599999999995</v>
      </c>
      <c r="F5693" t="s">
        <v>42</v>
      </c>
      <c r="G5693">
        <v>-426.51569999999998</v>
      </c>
      <c r="H5693" s="1">
        <v>-2.4597809999999998E-6</v>
      </c>
      <c r="I5693">
        <v>41.281730000000003</v>
      </c>
      <c r="J5693">
        <v>-422.75670000000002</v>
      </c>
      <c r="K5693">
        <v>1.1099859999999999</v>
      </c>
      <c r="L5693">
        <v>74.867459999999994</v>
      </c>
      <c r="M5693">
        <v>-4.2533029999999999E-2</v>
      </c>
      <c r="N5693">
        <v>-1.3716020000000001E-2</v>
      </c>
      <c r="O5693">
        <v>-0.99900109999999998</v>
      </c>
      <c r="P5693">
        <v>9.6335509999999999E-2</v>
      </c>
      <c r="Q5693">
        <v>-0.1075511</v>
      </c>
      <c r="R5693">
        <v>-0.9895214</v>
      </c>
      <c r="S5693">
        <v>-0.34054570000000001</v>
      </c>
      <c r="T5693">
        <v>-0.100343</v>
      </c>
      <c r="U5693">
        <v>-3.0538020000000001</v>
      </c>
      <c r="V5693">
        <v>-0.1382409</v>
      </c>
      <c r="W5693">
        <v>-9.4182370000000001E-2</v>
      </c>
      <c r="X5693">
        <v>0.98591030000000002</v>
      </c>
      <c r="Y5693">
        <v>6.8411349999999996E-2</v>
      </c>
      <c r="Z5693">
        <v>1.89772E-2</v>
      </c>
      <c r="AA5693">
        <v>0.99747669999999999</v>
      </c>
      <c r="AB5693">
        <v>32</v>
      </c>
      <c r="AC5693">
        <v>-3.7589999999999502</v>
      </c>
      <c r="AD5693">
        <v>-1.1099884597809999</v>
      </c>
      <c r="AE5693">
        <v>-33.585729999999998</v>
      </c>
      <c r="AF5693">
        <v>2.3244532151266402</v>
      </c>
      <c r="AG5693">
        <v>-1.1099884597809999</v>
      </c>
      <c r="AH5693">
        <v>33.6788968153041</v>
      </c>
      <c r="AI5693">
        <v>91.883193234749299</v>
      </c>
      <c r="AJ5693">
        <v>86.051815701923204</v>
      </c>
      <c r="AK5693">
        <v>33.777259329703703</v>
      </c>
      <c r="AL5693">
        <v>95.404262106342898</v>
      </c>
      <c r="AM5693">
        <v>97.981776593452295</v>
      </c>
      <c r="AN5693">
        <v>0.99999999244885796</v>
      </c>
    </row>
    <row r="5694" spans="1:40" x14ac:dyDescent="0.25">
      <c r="A5694" t="str">
        <f>"20190305135043083"</f>
        <v>20190305135043083</v>
      </c>
      <c r="B5694" t="str">
        <f>"1551765043076267"</f>
        <v>1551765043076267</v>
      </c>
      <c r="C5694" t="s">
        <v>40</v>
      </c>
      <c r="D5694">
        <v>4.2358690000000001</v>
      </c>
      <c r="E5694">
        <v>0.58013369999999997</v>
      </c>
      <c r="F5694" t="s">
        <v>42</v>
      </c>
      <c r="G5694">
        <v>-426.584</v>
      </c>
      <c r="H5694" s="1">
        <v>-2.1252079999999998E-6</v>
      </c>
      <c r="I5694">
        <v>40.45946</v>
      </c>
      <c r="J5694">
        <v>-422.76499999999999</v>
      </c>
      <c r="K5694">
        <v>1.1100139999999901</v>
      </c>
      <c r="L5694">
        <v>74.66422</v>
      </c>
      <c r="M5694">
        <v>-4.215058E-2</v>
      </c>
      <c r="N5694">
        <v>-1.371521E-2</v>
      </c>
      <c r="O5694">
        <v>-0.99901740000000006</v>
      </c>
      <c r="P5694">
        <v>9.7277589999999997E-2</v>
      </c>
      <c r="Q5694">
        <v>-0.106794899999999</v>
      </c>
      <c r="R5694">
        <v>-0.98951149999999999</v>
      </c>
      <c r="S5694">
        <v>-0.33972170000000002</v>
      </c>
      <c r="T5694">
        <v>-9.8525290000000001E-2</v>
      </c>
      <c r="U5694">
        <v>-3.054138</v>
      </c>
      <c r="V5694">
        <v>-0.138800799999999</v>
      </c>
      <c r="W5694">
        <v>-9.3434519999999993E-2</v>
      </c>
      <c r="X5694">
        <v>0.98590279999999997</v>
      </c>
      <c r="Y5694">
        <v>6.8516880000000002E-2</v>
      </c>
      <c r="Z5694">
        <v>1.8384109999999999E-2</v>
      </c>
      <c r="AA5694">
        <v>0.99748060000000005</v>
      </c>
      <c r="AB5694">
        <v>32</v>
      </c>
      <c r="AC5694">
        <v>-3.8190000000000102</v>
      </c>
      <c r="AD5694">
        <v>-1.1100161252080001</v>
      </c>
      <c r="AE5694">
        <v>-34.20476</v>
      </c>
      <c r="AF5694">
        <v>2.3712530889714798</v>
      </c>
      <c r="AG5694">
        <v>-1.1100161252080001</v>
      </c>
      <c r="AH5694">
        <v>34.299666097822303</v>
      </c>
      <c r="AI5694">
        <v>91.849165723941397</v>
      </c>
      <c r="AJ5694">
        <v>86.045239522477104</v>
      </c>
      <c r="AK5694">
        <v>34.399448708260998</v>
      </c>
      <c r="AL5694">
        <v>95.361223620420901</v>
      </c>
      <c r="AM5694">
        <v>98.013745240048493</v>
      </c>
      <c r="AN5694">
        <v>1.0000000013280499</v>
      </c>
    </row>
    <row r="5695" spans="1:40" x14ac:dyDescent="0.25">
      <c r="A5695" t="str">
        <f>"20190305135043099"</f>
        <v>20190305135043099</v>
      </c>
      <c r="B5695" t="str">
        <f>"1551765043095787"</f>
        <v>1551765043095787</v>
      </c>
      <c r="C5695" t="s">
        <v>40</v>
      </c>
      <c r="D5695">
        <v>4.1245430000000001</v>
      </c>
      <c r="E5695">
        <v>0.58005640000000003</v>
      </c>
      <c r="F5695" t="s">
        <v>85</v>
      </c>
      <c r="G5695">
        <v>-426.65660000000003</v>
      </c>
      <c r="H5695" s="1">
        <v>-1.864643E-6</v>
      </c>
      <c r="I5695">
        <v>39.396900000000002</v>
      </c>
      <c r="J5695">
        <v>-422.774</v>
      </c>
      <c r="K5695">
        <v>1.1100350000000001</v>
      </c>
      <c r="L5695">
        <v>74.439850000000007</v>
      </c>
      <c r="M5695">
        <v>-4.1718579999999998E-2</v>
      </c>
      <c r="N5695">
        <v>-1.3714280000000001E-2</v>
      </c>
      <c r="O5695">
        <v>-0.99903529999999996</v>
      </c>
      <c r="P5695">
        <v>9.8284510000000005E-2</v>
      </c>
      <c r="Q5695">
        <v>-0.1063201</v>
      </c>
      <c r="R5695">
        <v>-0.98946259999999997</v>
      </c>
      <c r="S5695">
        <v>-0.3370667</v>
      </c>
      <c r="T5695">
        <v>-9.6140500000000004E-2</v>
      </c>
      <c r="U5695">
        <v>-3.0545650000000002</v>
      </c>
      <c r="V5695">
        <v>-0.13937569999999999</v>
      </c>
      <c r="W5695">
        <v>-9.2968099999999998E-2</v>
      </c>
      <c r="X5695">
        <v>0.98586580000000001</v>
      </c>
      <c r="Y5695">
        <v>6.8078470000000002E-2</v>
      </c>
      <c r="Z5695">
        <v>1.7607359999999999E-2</v>
      </c>
      <c r="AA5695">
        <v>0.99752459999999998</v>
      </c>
      <c r="AB5695">
        <v>32</v>
      </c>
      <c r="AC5695">
        <v>-3.88260000000002</v>
      </c>
      <c r="AD5695">
        <v>-1.1100368646430001</v>
      </c>
      <c r="AE5695">
        <v>-35.042949999999998</v>
      </c>
      <c r="AF5695">
        <v>2.4147460299854799</v>
      </c>
      <c r="AG5695">
        <v>-1.1100368646430001</v>
      </c>
      <c r="AH5695">
        <v>35.139596251007397</v>
      </c>
      <c r="AI5695">
        <v>91.805080348645703</v>
      </c>
      <c r="AJ5695">
        <v>86.068890832294699</v>
      </c>
      <c r="AK5695">
        <v>35.239954666741703</v>
      </c>
      <c r="AL5695">
        <v>95.334382822274605</v>
      </c>
      <c r="AM5695">
        <v>98.046801627992195</v>
      </c>
      <c r="AN5695">
        <v>1.0000000144888599</v>
      </c>
    </row>
    <row r="5696" spans="1:40" x14ac:dyDescent="0.25">
      <c r="A5696" t="str">
        <f>"20190305135043117"</f>
        <v>20190305135043117</v>
      </c>
      <c r="B5696" t="str">
        <f>"1551765043105547"</f>
        <v>1551765043105547</v>
      </c>
      <c r="C5696" t="s">
        <v>40</v>
      </c>
      <c r="D5696">
        <v>5.0381929999999997</v>
      </c>
      <c r="E5696">
        <v>0.57996569999999903</v>
      </c>
      <c r="F5696" t="s">
        <v>85</v>
      </c>
      <c r="G5696">
        <v>-426.5958</v>
      </c>
      <c r="H5696" s="1">
        <v>-1.8415700000000001E-6</v>
      </c>
      <c r="I5696">
        <v>39.414879999999997</v>
      </c>
      <c r="J5696">
        <v>-422.78399999999999</v>
      </c>
      <c r="K5696">
        <v>1.11006</v>
      </c>
      <c r="L5696">
        <v>74.186219999999906</v>
      </c>
      <c r="M5696">
        <v>-4.1219840000000001E-2</v>
      </c>
      <c r="N5696">
        <v>-1.371317E-2</v>
      </c>
      <c r="O5696">
        <v>-0.9990561</v>
      </c>
      <c r="P5696">
        <v>0.10036680000000001</v>
      </c>
      <c r="Q5696">
        <v>-0.1059348</v>
      </c>
      <c r="R5696">
        <v>-0.98929509999999998</v>
      </c>
      <c r="S5696">
        <v>-0.33331300000000003</v>
      </c>
      <c r="T5696">
        <v>-9.6810460000000001E-2</v>
      </c>
      <c r="U5696">
        <v>-3.0546570000000002</v>
      </c>
      <c r="V5696">
        <v>-0.14095429999999901</v>
      </c>
      <c r="W5696">
        <v>-9.259357E-2</v>
      </c>
      <c r="X5696">
        <v>0.98567660000000001</v>
      </c>
      <c r="Y5696">
        <v>6.7361749999999998E-2</v>
      </c>
      <c r="Z5696">
        <v>1.7828529999999999E-2</v>
      </c>
      <c r="AA5696">
        <v>0.99756929999999999</v>
      </c>
      <c r="AB5696">
        <v>32</v>
      </c>
      <c r="AC5696">
        <v>-3.8117999999999999</v>
      </c>
      <c r="AD5696">
        <v>-1.1100618415700001</v>
      </c>
      <c r="AE5696">
        <v>-34.771339999999903</v>
      </c>
      <c r="AF5696">
        <v>2.3727664857090498</v>
      </c>
      <c r="AG5696">
        <v>-1.1100618415700001</v>
      </c>
      <c r="AH5696">
        <v>34.863808270797897</v>
      </c>
      <c r="AI5696">
        <v>91.819472422976204</v>
      </c>
      <c r="AJ5696">
        <v>86.106558879055399</v>
      </c>
      <c r="AK5696">
        <v>34.962084966871899</v>
      </c>
      <c r="AL5696">
        <v>95.312830831838795</v>
      </c>
      <c r="AM5696">
        <v>98.1382686432936</v>
      </c>
      <c r="AN5696">
        <v>1.0000000218406899</v>
      </c>
    </row>
    <row r="5697" spans="1:40" x14ac:dyDescent="0.25">
      <c r="A5697" t="str">
        <f>"20190305135043139"</f>
        <v>20190305135043139</v>
      </c>
      <c r="B5697" t="str">
        <f>"1551765043135804"</f>
        <v>1551765043135804</v>
      </c>
      <c r="C5697" t="s">
        <v>40</v>
      </c>
      <c r="D5697">
        <v>4.3083140000000002</v>
      </c>
      <c r="E5697">
        <v>0.50049409999999905</v>
      </c>
      <c r="F5697" t="s">
        <v>85</v>
      </c>
      <c r="G5697">
        <v>-426.62299999999999</v>
      </c>
      <c r="H5697" s="1">
        <v>-2.309742E-6</v>
      </c>
      <c r="I5697">
        <v>38.208100000000002</v>
      </c>
      <c r="J5697">
        <v>-422.79649999999998</v>
      </c>
      <c r="K5697">
        <v>1.1100779999999999</v>
      </c>
      <c r="L5697">
        <v>73.868189999999998</v>
      </c>
      <c r="M5697">
        <v>-4.058676E-2</v>
      </c>
      <c r="N5697">
        <v>-1.371174E-2</v>
      </c>
      <c r="O5697">
        <v>-0.99908189999999997</v>
      </c>
      <c r="P5697">
        <v>0.10265580000000001</v>
      </c>
      <c r="Q5697">
        <v>-0.105723</v>
      </c>
      <c r="R5697">
        <v>-0.98908289999999999</v>
      </c>
      <c r="S5697">
        <v>-0.32601930000000001</v>
      </c>
      <c r="T5697">
        <v>-9.4271419999999995E-2</v>
      </c>
      <c r="U5697">
        <v>-3.0554199999999998</v>
      </c>
      <c r="V5697">
        <v>-0.1426065</v>
      </c>
      <c r="W5697">
        <v>-9.2392539999999995E-2</v>
      </c>
      <c r="X5697">
        <v>0.98545780000000005</v>
      </c>
      <c r="Y5697">
        <v>6.5615499999999993E-2</v>
      </c>
      <c r="Z5697">
        <v>1.700229E-2</v>
      </c>
      <c r="AA5697">
        <v>0.99770009999999998</v>
      </c>
      <c r="AB5697">
        <v>32</v>
      </c>
      <c r="AC5697">
        <v>-3.8265000000000602</v>
      </c>
      <c r="AD5697">
        <v>-1.110080309742</v>
      </c>
      <c r="AE5697">
        <v>-35.660089999999997</v>
      </c>
      <c r="AF5697">
        <v>2.3736088542748499</v>
      </c>
      <c r="AG5697">
        <v>-1.110080309742</v>
      </c>
      <c r="AH5697">
        <v>35.751770341875698</v>
      </c>
      <c r="AI5697">
        <v>91.774538980665795</v>
      </c>
      <c r="AJ5697">
        <v>86.201629248975095</v>
      </c>
      <c r="AK5697">
        <v>35.847669099474103</v>
      </c>
      <c r="AL5697">
        <v>95.301263002078201</v>
      </c>
      <c r="AM5697">
        <v>98.234164290153004</v>
      </c>
      <c r="AN5697">
        <v>1.00000003543537</v>
      </c>
    </row>
    <row r="5698" spans="1:40" x14ac:dyDescent="0.25">
      <c r="A5698" t="str">
        <f>"20190305135043154"</f>
        <v>20190305135043154</v>
      </c>
      <c r="B5698" t="str">
        <f>"1551765043145563"</f>
        <v>1551765043145563</v>
      </c>
      <c r="C5698" t="s">
        <v>40</v>
      </c>
      <c r="D5698">
        <v>4.2659849999999997</v>
      </c>
      <c r="E5698">
        <v>0.50017400000000001</v>
      </c>
      <c r="F5698" t="s">
        <v>42</v>
      </c>
      <c r="G5698">
        <v>-420.4939</v>
      </c>
      <c r="H5698" s="1">
        <v>-1.017538E-6</v>
      </c>
      <c r="I5698">
        <v>51.65466</v>
      </c>
      <c r="J5698">
        <v>-422.80439999999999</v>
      </c>
      <c r="K5698">
        <v>1.110085</v>
      </c>
      <c r="L5698">
        <v>73.663209999999907</v>
      </c>
      <c r="M5698">
        <v>-4.0177740000000003E-2</v>
      </c>
      <c r="N5698">
        <v>-1.371079E-2</v>
      </c>
      <c r="O5698">
        <v>-0.99909879999999995</v>
      </c>
      <c r="P5698">
        <v>0.1039201</v>
      </c>
      <c r="Q5698">
        <v>-0.10578170000000001</v>
      </c>
      <c r="R5698">
        <v>-0.9889445</v>
      </c>
      <c r="S5698">
        <v>0.30941770000000002</v>
      </c>
      <c r="T5698">
        <v>-0.14917349999999999</v>
      </c>
      <c r="U5698">
        <v>-2.985077</v>
      </c>
      <c r="V5698">
        <v>-0.1434599</v>
      </c>
      <c r="W5698">
        <v>-9.2457090000000006E-2</v>
      </c>
      <c r="X5698">
        <v>0.98532779999999998</v>
      </c>
      <c r="Y5698">
        <v>-0.1428584</v>
      </c>
      <c r="Z5698">
        <v>3.573527E-2</v>
      </c>
      <c r="AA5698">
        <v>0.98909780000000003</v>
      </c>
      <c r="AB5698">
        <v>32</v>
      </c>
      <c r="AC5698">
        <v>2.31049999999999</v>
      </c>
      <c r="AD5698">
        <v>-1.1100860175380001</v>
      </c>
      <c r="AE5698">
        <v>-22.00855</v>
      </c>
      <c r="AF5698">
        <v>-3.18495622410033</v>
      </c>
      <c r="AG5698">
        <v>-1.1100860175380001</v>
      </c>
      <c r="AH5698">
        <v>21.8429720222207</v>
      </c>
      <c r="AI5698">
        <v>92.878945546955904</v>
      </c>
      <c r="AJ5698">
        <v>98.295919311498594</v>
      </c>
      <c r="AK5698">
        <v>22.101847521854101</v>
      </c>
      <c r="AL5698">
        <v>95.304977718256893</v>
      </c>
      <c r="AM5698">
        <v>98.283835966248503</v>
      </c>
      <c r="AN5698">
        <v>0.99999996492605803</v>
      </c>
    </row>
    <row r="5699" spans="1:40" x14ac:dyDescent="0.25">
      <c r="A5699" t="str">
        <f>"20190305135043172"</f>
        <v>20190305135043172</v>
      </c>
      <c r="B5699" t="str">
        <f>"1551765043166059"</f>
        <v>1551765043166059</v>
      </c>
      <c r="C5699" t="s">
        <v>40</v>
      </c>
      <c r="D5699">
        <v>4.2156969999999996</v>
      </c>
      <c r="E5699">
        <v>0.50176999999999905</v>
      </c>
      <c r="F5699" t="s">
        <v>42</v>
      </c>
      <c r="G5699">
        <v>-420.4391</v>
      </c>
      <c r="H5699" s="1">
        <v>-8.6161990000000002E-7</v>
      </c>
      <c r="I5699">
        <v>51.325200000000002</v>
      </c>
      <c r="J5699">
        <v>-422.81479999999999</v>
      </c>
      <c r="K5699">
        <v>1.110085</v>
      </c>
      <c r="L5699">
        <v>73.392030000000005</v>
      </c>
      <c r="M5699">
        <v>-3.9638060000000003E-2</v>
      </c>
      <c r="N5699">
        <v>-1.370945E-2</v>
      </c>
      <c r="O5699">
        <v>-0.99912029999999996</v>
      </c>
      <c r="P5699">
        <v>0.1058965</v>
      </c>
      <c r="Q5699">
        <v>-0.1059534</v>
      </c>
      <c r="R5699">
        <v>-0.98871640000000005</v>
      </c>
      <c r="S5699">
        <v>0.3160095</v>
      </c>
      <c r="T5699">
        <v>-0.1483129</v>
      </c>
      <c r="U5699">
        <v>-2.984467</v>
      </c>
      <c r="V5699">
        <v>-0.14489270000000001</v>
      </c>
      <c r="W5699">
        <v>-9.2636800000000005E-2</v>
      </c>
      <c r="X5699">
        <v>0.98510129999999996</v>
      </c>
      <c r="Y5699">
        <v>-0.14450589999999999</v>
      </c>
      <c r="Z5699">
        <v>3.5451610000000001E-2</v>
      </c>
      <c r="AA5699">
        <v>0.98886870000000004</v>
      </c>
      <c r="AB5699">
        <v>32</v>
      </c>
      <c r="AC5699">
        <v>2.3756999999999899</v>
      </c>
      <c r="AD5699">
        <v>-1.1100858616198901</v>
      </c>
      <c r="AE5699">
        <v>-22.06683</v>
      </c>
      <c r="AF5699">
        <v>-3.2404942993933501</v>
      </c>
      <c r="AG5699">
        <v>-1.1100858616198901</v>
      </c>
      <c r="AH5699">
        <v>21.900519851431199</v>
      </c>
      <c r="AI5699">
        <v>92.870505656903006</v>
      </c>
      <c r="AJ5699">
        <v>98.416659228859601</v>
      </c>
      <c r="AK5699">
        <v>22.166773867378701</v>
      </c>
      <c r="AL5699">
        <v>95.315318423221001</v>
      </c>
      <c r="AM5699">
        <v>98.367301526833799</v>
      </c>
      <c r="AN5699">
        <v>1.0000000212446001</v>
      </c>
    </row>
    <row r="5700" spans="1:40" x14ac:dyDescent="0.25">
      <c r="A5700" t="str">
        <f>"20190305135043187"</f>
        <v>20190305135043187</v>
      </c>
      <c r="B5700" t="str">
        <f>"1551765043175819"</f>
        <v>1551765043175819</v>
      </c>
      <c r="C5700" t="s">
        <v>40</v>
      </c>
      <c r="D5700">
        <v>4.2031790000000004</v>
      </c>
      <c r="E5700">
        <v>0.50249309999999903</v>
      </c>
      <c r="F5700" t="s">
        <v>42</v>
      </c>
      <c r="G5700">
        <v>-420.62299999999999</v>
      </c>
      <c r="H5700" s="1">
        <v>-1.292995E-6</v>
      </c>
      <c r="I5700">
        <v>52.216709999999999</v>
      </c>
      <c r="J5700">
        <v>-422.82279999999997</v>
      </c>
      <c r="K5700">
        <v>1.110087</v>
      </c>
      <c r="L5700">
        <v>73.178129999999996</v>
      </c>
      <c r="M5700">
        <v>-3.9214079999999998E-2</v>
      </c>
      <c r="N5700">
        <v>-1.3708379999999999E-2</v>
      </c>
      <c r="O5700">
        <v>-0.99913669999999999</v>
      </c>
      <c r="P5700">
        <v>0.10712049999999999</v>
      </c>
      <c r="Q5700">
        <v>-0.1059484</v>
      </c>
      <c r="R5700">
        <v>-0.98858489999999999</v>
      </c>
      <c r="S5700">
        <v>0.30889889999999998</v>
      </c>
      <c r="T5700">
        <v>-0.1564517</v>
      </c>
      <c r="U5700">
        <v>-2.984375</v>
      </c>
      <c r="V5700">
        <v>-0.14569309999999999</v>
      </c>
      <c r="W5700">
        <v>-9.2636389999999999E-2</v>
      </c>
      <c r="X5700">
        <v>0.98498330000000001</v>
      </c>
      <c r="Y5700">
        <v>-0.14174639999999999</v>
      </c>
      <c r="Z5700">
        <v>3.8166459999999999E-2</v>
      </c>
      <c r="AA5700">
        <v>0.98916700000000002</v>
      </c>
      <c r="AB5700">
        <v>32</v>
      </c>
      <c r="AC5700">
        <v>2.1997999999999198</v>
      </c>
      <c r="AD5700">
        <v>-1.110088292995</v>
      </c>
      <c r="AE5700">
        <v>-20.96142</v>
      </c>
      <c r="AF5700">
        <v>-3.0118128239398398</v>
      </c>
      <c r="AG5700">
        <v>-1.110088292995</v>
      </c>
      <c r="AH5700">
        <v>20.801318649103401</v>
      </c>
      <c r="AI5700">
        <v>93.023296505290901</v>
      </c>
      <c r="AJ5700">
        <v>98.238575272520904</v>
      </c>
      <c r="AK5700">
        <v>21.0475217079406</v>
      </c>
      <c r="AL5700">
        <v>95.315294726744099</v>
      </c>
      <c r="AM5700">
        <v>98.413856945867906</v>
      </c>
      <c r="AN5700">
        <v>1.0000000407093601</v>
      </c>
    </row>
    <row r="5701" spans="1:40" x14ac:dyDescent="0.25">
      <c r="A5701" t="str">
        <f>"20190305135043202"</f>
        <v>20190305135043202</v>
      </c>
      <c r="B5701" t="str">
        <f>"1551765043195339"</f>
        <v>1551765043195339</v>
      </c>
      <c r="C5701" t="s">
        <v>40</v>
      </c>
      <c r="D5701">
        <v>4.2045500000000002</v>
      </c>
      <c r="E5701">
        <v>0.50284329999999999</v>
      </c>
      <c r="F5701" t="s">
        <v>42</v>
      </c>
      <c r="G5701">
        <v>-420.66640000000001</v>
      </c>
      <c r="H5701" s="1">
        <v>-1.2988820000000001E-6</v>
      </c>
      <c r="I5701">
        <v>52.203479999999999</v>
      </c>
      <c r="J5701">
        <v>-422.83</v>
      </c>
      <c r="K5701">
        <v>1.11009</v>
      </c>
      <c r="L5701">
        <v>72.985140000000001</v>
      </c>
      <c r="M5701">
        <v>-3.8833890000000003E-2</v>
      </c>
      <c r="N5701">
        <v>-1.370741E-2</v>
      </c>
      <c r="O5701">
        <v>-0.99915180000000003</v>
      </c>
      <c r="P5701">
        <v>0.1084183</v>
      </c>
      <c r="Q5701">
        <v>-0.1057985</v>
      </c>
      <c r="R5701">
        <v>-0.98845959999999999</v>
      </c>
      <c r="S5701">
        <v>0.30682369999999998</v>
      </c>
      <c r="T5701">
        <v>-0.1579536</v>
      </c>
      <c r="U5701">
        <v>-2.984467</v>
      </c>
      <c r="V5701">
        <v>-0.1466104</v>
      </c>
      <c r="W5701">
        <v>-9.2490900000000001E-2</v>
      </c>
      <c r="X5701">
        <v>0.98486079999999998</v>
      </c>
      <c r="Y5701">
        <v>-0.1406839</v>
      </c>
      <c r="Z5701">
        <v>3.8670379999999997E-2</v>
      </c>
      <c r="AA5701">
        <v>0.98929909999999999</v>
      </c>
      <c r="AB5701">
        <v>32</v>
      </c>
      <c r="AC5701">
        <v>2.16359999999997</v>
      </c>
      <c r="AD5701">
        <v>-1.110091298882</v>
      </c>
      <c r="AE5701">
        <v>-20.781659999999999</v>
      </c>
      <c r="AF5701">
        <v>-2.9607186433165502</v>
      </c>
      <c r="AG5701">
        <v>-1.110091298882</v>
      </c>
      <c r="AH5701">
        <v>20.623736165299601</v>
      </c>
      <c r="AI5701">
        <v>93.049817275405999</v>
      </c>
      <c r="AJ5701">
        <v>98.169495962842106</v>
      </c>
      <c r="AK5701">
        <v>20.864722643558402</v>
      </c>
      <c r="AL5701">
        <v>95.3069231145099</v>
      </c>
      <c r="AM5701">
        <v>98.467103934586504</v>
      </c>
      <c r="AN5701">
        <v>0.99999998567380399</v>
      </c>
    </row>
    <row r="5702" spans="1:40" x14ac:dyDescent="0.25">
      <c r="A5702" t="str">
        <f>"20190305135043214"</f>
        <v>20190305135043214</v>
      </c>
      <c r="B5702" t="str">
        <f>"1551765043206075"</f>
        <v>1551765043206075</v>
      </c>
      <c r="C5702" t="s">
        <v>40</v>
      </c>
      <c r="D5702">
        <v>4.1960930000000003</v>
      </c>
      <c r="E5702">
        <v>0.50238909999999903</v>
      </c>
      <c r="F5702" t="s">
        <v>42</v>
      </c>
      <c r="G5702">
        <v>-420.7842</v>
      </c>
      <c r="H5702" s="1">
        <v>-1.7245420000000001E-6</v>
      </c>
      <c r="I5702">
        <v>53.12265</v>
      </c>
      <c r="J5702">
        <v>-422.83710000000002</v>
      </c>
      <c r="K5702">
        <v>1.1100909999999999</v>
      </c>
      <c r="L5702">
        <v>72.791229999999999</v>
      </c>
      <c r="M5702">
        <v>-3.8452920000000002E-2</v>
      </c>
      <c r="N5702">
        <v>-1.370644E-2</v>
      </c>
      <c r="O5702">
        <v>-0.99916649999999996</v>
      </c>
      <c r="P5702">
        <v>0.1097089</v>
      </c>
      <c r="Q5702">
        <v>-0.1057406</v>
      </c>
      <c r="R5702">
        <v>-0.98832359999999997</v>
      </c>
      <c r="S5702">
        <v>0.30728149999999999</v>
      </c>
      <c r="T5702">
        <v>-0.1667438</v>
      </c>
      <c r="U5702">
        <v>-2.9834900000000002</v>
      </c>
      <c r="V5702">
        <v>-0.14751979999999901</v>
      </c>
      <c r="W5702">
        <v>-9.2437320000000003E-2</v>
      </c>
      <c r="X5702">
        <v>0.98473010000000005</v>
      </c>
      <c r="Y5702">
        <v>-0.14047479999999901</v>
      </c>
      <c r="Z5702">
        <v>4.1599839999999999E-2</v>
      </c>
      <c r="AA5702">
        <v>0.98920989999999998</v>
      </c>
      <c r="AB5702">
        <v>32</v>
      </c>
      <c r="AC5702">
        <v>2.0529000000000202</v>
      </c>
      <c r="AD5702">
        <v>-1.110092724542</v>
      </c>
      <c r="AE5702">
        <v>-19.668579999999999</v>
      </c>
      <c r="AF5702">
        <v>-2.7989468754366</v>
      </c>
      <c r="AG5702">
        <v>-1.110092724542</v>
      </c>
      <c r="AH5702">
        <v>19.5135932885157</v>
      </c>
      <c r="AI5702">
        <v>93.223027462279603</v>
      </c>
      <c r="AJ5702">
        <v>98.162588393796895</v>
      </c>
      <c r="AK5702">
        <v>19.7445367759845</v>
      </c>
      <c r="AL5702">
        <v>95.303839604925301</v>
      </c>
      <c r="AM5702">
        <v>98.519969779825104</v>
      </c>
      <c r="AN5702">
        <v>1.00000005968341</v>
      </c>
    </row>
    <row r="5703" spans="1:40" x14ac:dyDescent="0.25">
      <c r="A5703" t="str">
        <f>"20190305135043228"</f>
        <v>20190305135043228</v>
      </c>
      <c r="B5703" t="str">
        <f>"1551765043225595"</f>
        <v>1551765043225595</v>
      </c>
      <c r="C5703" t="s">
        <v>40</v>
      </c>
      <c r="D5703">
        <v>4.1487540000000003</v>
      </c>
      <c r="E5703">
        <v>0.50259169999999997</v>
      </c>
      <c r="F5703" t="s">
        <v>42</v>
      </c>
      <c r="G5703">
        <v>-420.7482</v>
      </c>
      <c r="H5703" s="1">
        <v>-1.669246E-6</v>
      </c>
      <c r="I5703">
        <v>53.016120000000001</v>
      </c>
      <c r="J5703">
        <v>-422.84399999999999</v>
      </c>
      <c r="K5703">
        <v>1.110093</v>
      </c>
      <c r="L5703">
        <v>72.602540000000005</v>
      </c>
      <c r="M5703">
        <v>-3.8083029999999997E-2</v>
      </c>
      <c r="N5703">
        <v>-1.3705510000000001E-2</v>
      </c>
      <c r="O5703">
        <v>-0.99918090000000004</v>
      </c>
      <c r="P5703">
        <v>0.1117365</v>
      </c>
      <c r="Q5703">
        <v>-0.1051584</v>
      </c>
      <c r="R5703">
        <v>-0.9881586</v>
      </c>
      <c r="S5703">
        <v>0.3150635</v>
      </c>
      <c r="T5703">
        <v>-0.16742770000000001</v>
      </c>
      <c r="U5703">
        <v>-2.9825439999999999</v>
      </c>
      <c r="V5703">
        <v>-0.14917620000000001</v>
      </c>
      <c r="W5703">
        <v>-9.186097E-2</v>
      </c>
      <c r="X5703">
        <v>0.98453440000000003</v>
      </c>
      <c r="Y5703">
        <v>-0.14269079999999901</v>
      </c>
      <c r="Z5703">
        <v>4.1829020000000001E-2</v>
      </c>
      <c r="AA5703">
        <v>0.98888299999999996</v>
      </c>
      <c r="AB5703">
        <v>32</v>
      </c>
      <c r="AC5703">
        <v>2.0957999999999899</v>
      </c>
      <c r="AD5703">
        <v>-1.1100946692460001</v>
      </c>
      <c r="AE5703">
        <v>-19.58642</v>
      </c>
      <c r="AF5703">
        <v>-2.8312676292334298</v>
      </c>
      <c r="AG5703">
        <v>-1.1100946692460001</v>
      </c>
      <c r="AH5703">
        <v>19.430677313159698</v>
      </c>
      <c r="AI5703">
        <v>93.2357168553538</v>
      </c>
      <c r="AJ5703">
        <v>98.290293777009296</v>
      </c>
      <c r="AK5703">
        <v>19.6672216495156</v>
      </c>
      <c r="AL5703">
        <v>95.270676498181402</v>
      </c>
      <c r="AM5703">
        <v>98.615894016908499</v>
      </c>
      <c r="AN5703">
        <v>0.99999998061956996</v>
      </c>
    </row>
    <row r="5704" spans="1:40" x14ac:dyDescent="0.25">
      <c r="A5704" t="str">
        <f>"20190305135043243"</f>
        <v>20190305135043243</v>
      </c>
      <c r="B5704" t="str">
        <f>"1551765043236332"</f>
        <v>1551765043236332</v>
      </c>
      <c r="C5704" t="s">
        <v>40</v>
      </c>
      <c r="D5704">
        <v>4.1445869999999996</v>
      </c>
      <c r="E5704">
        <v>0.50280499999999995</v>
      </c>
      <c r="F5704" t="s">
        <v>42</v>
      </c>
      <c r="G5704">
        <v>-420.58080000000001</v>
      </c>
      <c r="H5704" s="1">
        <v>-9.719287000000001E-7</v>
      </c>
      <c r="I5704">
        <v>51.494489999999999</v>
      </c>
      <c r="J5704">
        <v>-422.85160000000002</v>
      </c>
      <c r="K5704">
        <v>1.1100939999999999</v>
      </c>
      <c r="L5704">
        <v>72.392669999999995</v>
      </c>
      <c r="M5704">
        <v>-3.7672659999999997E-2</v>
      </c>
      <c r="N5704">
        <v>-1.370445E-2</v>
      </c>
      <c r="O5704">
        <v>-0.99919639999999998</v>
      </c>
      <c r="P5704">
        <v>0.11286839999999999</v>
      </c>
      <c r="Q5704">
        <v>-0.1050871</v>
      </c>
      <c r="R5704">
        <v>-0.98803750000000001</v>
      </c>
      <c r="S5704">
        <v>0.31985469999999999</v>
      </c>
      <c r="T5704">
        <v>-0.156884</v>
      </c>
      <c r="U5704">
        <v>-2.9830930000000002</v>
      </c>
      <c r="V5704">
        <v>-0.14989859999999999</v>
      </c>
      <c r="W5704">
        <v>-9.1793130000000001E-2</v>
      </c>
      <c r="X5704">
        <v>0.98443099999999994</v>
      </c>
      <c r="Y5704">
        <v>-0.1438537</v>
      </c>
      <c r="Z5704">
        <v>3.8322519999999999E-2</v>
      </c>
      <c r="AA5704">
        <v>0.98885670000000003</v>
      </c>
      <c r="AB5704">
        <v>32</v>
      </c>
      <c r="AC5704">
        <v>2.2707999999999999</v>
      </c>
      <c r="AD5704">
        <v>-1.1100949719286901</v>
      </c>
      <c r="AE5704">
        <v>-20.89818</v>
      </c>
      <c r="AF5704">
        <v>-3.0480513363219002</v>
      </c>
      <c r="AG5704">
        <v>-1.1100949719286901</v>
      </c>
      <c r="AH5704">
        <v>20.739949200415499</v>
      </c>
      <c r="AI5704">
        <v>93.031303533313107</v>
      </c>
      <c r="AJ5704">
        <v>98.3606368713248</v>
      </c>
      <c r="AK5704">
        <v>20.992103768592798</v>
      </c>
      <c r="AL5704">
        <v>95.266773056272697</v>
      </c>
      <c r="AM5704">
        <v>98.657882194976594</v>
      </c>
      <c r="AN5704">
        <v>0.99999998137907797</v>
      </c>
    </row>
    <row r="5705" spans="1:40" x14ac:dyDescent="0.25">
      <c r="A5705" t="str">
        <f>"20190305135043256"</f>
        <v>20190305135043256</v>
      </c>
      <c r="B5705" t="str">
        <f>"1551765043246091"</f>
        <v>1551765043246091</v>
      </c>
      <c r="C5705" t="s">
        <v>40</v>
      </c>
      <c r="D5705">
        <v>4.1665369999999999</v>
      </c>
      <c r="E5705">
        <v>0.50266719999999998</v>
      </c>
      <c r="F5705" t="s">
        <v>42</v>
      </c>
      <c r="G5705">
        <v>-420.5222</v>
      </c>
      <c r="H5705" s="1">
        <v>-6.6399449999999997E-7</v>
      </c>
      <c r="I5705">
        <v>50.813009999999998</v>
      </c>
      <c r="J5705">
        <v>-422.85849999999999</v>
      </c>
      <c r="K5705">
        <v>1.110098</v>
      </c>
      <c r="L5705">
        <v>72.198390000000003</v>
      </c>
      <c r="M5705">
        <v>-3.7292980000000003E-2</v>
      </c>
      <c r="N5705">
        <v>-1.3703440000000001E-2</v>
      </c>
      <c r="O5705">
        <v>-0.99921070000000001</v>
      </c>
      <c r="P5705">
        <v>0.1142118</v>
      </c>
      <c r="Q5705">
        <v>-0.105004399999999</v>
      </c>
      <c r="R5705">
        <v>-0.98789170000000004</v>
      </c>
      <c r="S5705">
        <v>0.32202150000000002</v>
      </c>
      <c r="T5705">
        <v>-0.15346179999999901</v>
      </c>
      <c r="U5705">
        <v>-2.983215</v>
      </c>
      <c r="V5705">
        <v>-0.15086189999999999</v>
      </c>
      <c r="W5705">
        <v>-9.1714489999999996E-2</v>
      </c>
      <c r="X5705">
        <v>0.98429120000000003</v>
      </c>
      <c r="Y5705">
        <v>-0.14418900000000001</v>
      </c>
      <c r="Z5705">
        <v>3.7186570000000002E-2</v>
      </c>
      <c r="AA5705">
        <v>0.98885120000000004</v>
      </c>
      <c r="AB5705">
        <v>32</v>
      </c>
      <c r="AC5705">
        <v>2.3362999999999898</v>
      </c>
      <c r="AD5705">
        <v>-1.1100986639945001</v>
      </c>
      <c r="AE5705">
        <v>-21.385380000000001</v>
      </c>
      <c r="AF5705">
        <v>-3.1239552876447401</v>
      </c>
      <c r="AG5705">
        <v>-1.1100986639945001</v>
      </c>
      <c r="AH5705">
        <v>21.226842678219001</v>
      </c>
      <c r="AI5705">
        <v>92.961820531821203</v>
      </c>
      <c r="AJ5705">
        <v>98.372123372153993</v>
      </c>
      <c r="AK5705">
        <v>21.4841864116114</v>
      </c>
      <c r="AL5705">
        <v>95.262248059748202</v>
      </c>
      <c r="AM5705">
        <v>98.713888109134402</v>
      </c>
      <c r="AN5705">
        <v>1.0000000134725</v>
      </c>
    </row>
    <row r="5706" spans="1:40" x14ac:dyDescent="0.25">
      <c r="A5706" t="str">
        <f>"20190305135043271"</f>
        <v>20190305135043271</v>
      </c>
      <c r="B5706" t="str">
        <f>"1551765043265611"</f>
        <v>1551765043265611</v>
      </c>
      <c r="C5706" t="s">
        <v>40</v>
      </c>
      <c r="D5706">
        <v>4.1476389999999999</v>
      </c>
      <c r="E5706">
        <v>0.50363740000000001</v>
      </c>
      <c r="F5706" t="s">
        <v>42</v>
      </c>
      <c r="G5706">
        <v>-420.47789999999998</v>
      </c>
      <c r="H5706" s="1">
        <v>-5.1779049999999999E-7</v>
      </c>
      <c r="I5706">
        <v>50.499670000000002</v>
      </c>
      <c r="J5706">
        <v>-422.8655</v>
      </c>
      <c r="K5706">
        <v>1.1100989999999999</v>
      </c>
      <c r="L5706">
        <v>72.000919999999994</v>
      </c>
      <c r="M5706">
        <v>-3.6907130000000003E-2</v>
      </c>
      <c r="N5706">
        <v>-1.370241E-2</v>
      </c>
      <c r="O5706">
        <v>-0.99922469999999997</v>
      </c>
      <c r="P5706">
        <v>0.1152499</v>
      </c>
      <c r="Q5706">
        <v>-0.10501290000000001</v>
      </c>
      <c r="R5706">
        <v>-0.98777000000000004</v>
      </c>
      <c r="S5706">
        <v>0.32723999999999998</v>
      </c>
      <c r="T5706">
        <v>-0.15259519999999999</v>
      </c>
      <c r="U5706">
        <v>-2.9827270000000001</v>
      </c>
      <c r="V5706">
        <v>-0.1515155</v>
      </c>
      <c r="W5706">
        <v>-9.1726089999999996E-2</v>
      </c>
      <c r="X5706">
        <v>0.98418969999999995</v>
      </c>
      <c r="Y5706">
        <v>-0.14553469999999999</v>
      </c>
      <c r="Z5706">
        <v>3.6900080000000002E-2</v>
      </c>
      <c r="AA5706">
        <v>0.98866480000000001</v>
      </c>
      <c r="AB5706">
        <v>32</v>
      </c>
      <c r="AC5706">
        <v>2.3876000000000199</v>
      </c>
      <c r="AD5706">
        <v>-1.1100995177905</v>
      </c>
      <c r="AE5706">
        <v>-21.501249999999899</v>
      </c>
      <c r="AF5706">
        <v>-3.1712466648666102</v>
      </c>
      <c r="AG5706">
        <v>-1.1100995177905</v>
      </c>
      <c r="AH5706">
        <v>21.342273510318801</v>
      </c>
      <c r="AI5706">
        <v>92.945227744837098</v>
      </c>
      <c r="AJ5706">
        <v>98.451735362498695</v>
      </c>
      <c r="AK5706">
        <v>21.605132837779099</v>
      </c>
      <c r="AL5706">
        <v>95.262915607187296</v>
      </c>
      <c r="AM5706">
        <v>98.751945867564501</v>
      </c>
      <c r="AN5706">
        <v>0.99999999395651396</v>
      </c>
    </row>
    <row r="5707" spans="1:40" x14ac:dyDescent="0.25">
      <c r="A5707" t="str">
        <f>"20190305135043300"</f>
        <v>20190305135043300</v>
      </c>
      <c r="B5707" t="str">
        <f>"1551765043295868"</f>
        <v>1551765043295868</v>
      </c>
      <c r="C5707" t="s">
        <v>40</v>
      </c>
      <c r="D5707">
        <v>4.2426820000000003</v>
      </c>
      <c r="E5707">
        <v>0.50271719999999998</v>
      </c>
      <c r="F5707" t="s">
        <v>42</v>
      </c>
      <c r="G5707">
        <v>-420.577</v>
      </c>
      <c r="H5707" s="1">
        <v>-6.9335499999999897E-7</v>
      </c>
      <c r="I5707">
        <v>50.847439999999999</v>
      </c>
      <c r="J5707">
        <v>-422.87979999999999</v>
      </c>
      <c r="K5707">
        <v>1.110104</v>
      </c>
      <c r="L5707">
        <v>71.588070000000002</v>
      </c>
      <c r="M5707">
        <v>-3.6099029999999997E-2</v>
      </c>
      <c r="N5707">
        <v>-1.3700240000000001E-2</v>
      </c>
      <c r="O5707">
        <v>-0.99925450000000005</v>
      </c>
      <c r="P5707">
        <v>0.1177658</v>
      </c>
      <c r="Q5707">
        <v>-0.10472380000000001</v>
      </c>
      <c r="R5707">
        <v>-0.9875041</v>
      </c>
      <c r="S5707">
        <v>0.3226929</v>
      </c>
      <c r="T5707">
        <v>-0.15653499999999901</v>
      </c>
      <c r="U5707">
        <v>-2.9828489999999999</v>
      </c>
      <c r="V5707">
        <v>-0.15322569999999999</v>
      </c>
      <c r="W5707">
        <v>-9.1444510000000007E-2</v>
      </c>
      <c r="X5707">
        <v>0.98395109999999997</v>
      </c>
      <c r="Y5707">
        <v>-0.14323469999999999</v>
      </c>
      <c r="Z5707">
        <v>3.822064E-2</v>
      </c>
      <c r="AA5707">
        <v>0.98895040000000001</v>
      </c>
      <c r="AB5707">
        <v>32</v>
      </c>
      <c r="AC5707">
        <v>2.3027999999999902</v>
      </c>
      <c r="AD5707">
        <v>-1.1101046933550001</v>
      </c>
      <c r="AE5707">
        <v>-20.740629999999999</v>
      </c>
      <c r="AF5707">
        <v>-3.0414786268619598</v>
      </c>
      <c r="AG5707">
        <v>-1.1101046933550001</v>
      </c>
      <c r="AH5707">
        <v>20.5857180137663</v>
      </c>
      <c r="AI5707">
        <v>93.053654679680506</v>
      </c>
      <c r="AJ5707">
        <v>98.404478728230401</v>
      </c>
      <c r="AK5707">
        <v>20.838779014380101</v>
      </c>
      <c r="AL5707">
        <v>95.246714189472598</v>
      </c>
      <c r="AM5707">
        <v>98.851288562243695</v>
      </c>
      <c r="AN5707">
        <v>0.99999999037041998</v>
      </c>
    </row>
    <row r="5708" spans="1:40" x14ac:dyDescent="0.25">
      <c r="A5708" t="str">
        <f>"20190305135043315"</f>
        <v>20190305135043315</v>
      </c>
      <c r="B5708" t="str">
        <f>"1551765043305628"</f>
        <v>1551765043305628</v>
      </c>
      <c r="C5708" t="s">
        <v>40</v>
      </c>
      <c r="D5708">
        <v>4.2229939999999999</v>
      </c>
      <c r="E5708">
        <v>0.50207939999999995</v>
      </c>
      <c r="F5708" t="s">
        <v>42</v>
      </c>
      <c r="G5708">
        <v>-420.69639999999998</v>
      </c>
      <c r="H5708" s="1">
        <v>-1.337978E-6</v>
      </c>
      <c r="I5708">
        <v>52.276069999999997</v>
      </c>
      <c r="J5708">
        <v>-422.88720000000001</v>
      </c>
      <c r="K5708">
        <v>1.110112</v>
      </c>
      <c r="L5708">
        <v>71.372280000000003</v>
      </c>
      <c r="M5708">
        <v>-3.5674980000000002E-2</v>
      </c>
      <c r="N5708">
        <v>-1.3699090000000001E-2</v>
      </c>
      <c r="O5708">
        <v>-0.99926950000000003</v>
      </c>
      <c r="P5708">
        <v>0.118739</v>
      </c>
      <c r="Q5708">
        <v>-0.104685</v>
      </c>
      <c r="R5708">
        <v>-0.98739169999999998</v>
      </c>
      <c r="S5708">
        <v>0.3368835</v>
      </c>
      <c r="T5708">
        <v>-0.17127609999999999</v>
      </c>
      <c r="U5708">
        <v>-2.9796140000000002</v>
      </c>
      <c r="V5708">
        <v>-0.153777</v>
      </c>
      <c r="W5708">
        <v>-9.1408809999999993E-2</v>
      </c>
      <c r="X5708">
        <v>0.98386839999999998</v>
      </c>
      <c r="Y5708">
        <v>-0.1475516</v>
      </c>
      <c r="Z5708">
        <v>4.3129019999999997E-2</v>
      </c>
      <c r="AA5708">
        <v>0.98811360000000004</v>
      </c>
      <c r="AB5708">
        <v>32</v>
      </c>
      <c r="AC5708">
        <v>2.1908000000000198</v>
      </c>
      <c r="AD5708">
        <v>-1.1101133379779999</v>
      </c>
      <c r="AE5708">
        <v>-19.096209999999999</v>
      </c>
      <c r="AF5708">
        <v>-2.8611825627717602</v>
      </c>
      <c r="AG5708">
        <v>-1.1101133379779999</v>
      </c>
      <c r="AH5708">
        <v>18.9427043747311</v>
      </c>
      <c r="AI5708">
        <v>93.316379264880496</v>
      </c>
      <c r="AJ5708">
        <v>98.589259301900697</v>
      </c>
      <c r="AK5708">
        <v>19.189704695724799</v>
      </c>
      <c r="AL5708">
        <v>95.244660169263696</v>
      </c>
      <c r="AM5708">
        <v>98.883362931822006</v>
      </c>
      <c r="AN5708">
        <v>0.99999998239658705</v>
      </c>
    </row>
    <row r="5709" spans="1:40" x14ac:dyDescent="0.25">
      <c r="A5709" t="str">
        <f>"20190305135043329"</f>
        <v>20190305135043329</v>
      </c>
      <c r="B5709" t="str">
        <f>"1551765043326124"</f>
        <v>1551765043326124</v>
      </c>
      <c r="C5709" t="s">
        <v>40</v>
      </c>
      <c r="D5709">
        <v>4.2328210000000004</v>
      </c>
      <c r="E5709">
        <v>0.50287929999999903</v>
      </c>
      <c r="F5709" t="s">
        <v>42</v>
      </c>
      <c r="G5709">
        <v>-420.68869999999998</v>
      </c>
      <c r="H5709" s="1">
        <v>-1.3852319999999999E-6</v>
      </c>
      <c r="I5709">
        <v>52.390990000000002</v>
      </c>
      <c r="J5709">
        <v>-422.89389999999997</v>
      </c>
      <c r="K5709">
        <v>1.110117</v>
      </c>
      <c r="L5709">
        <v>71.171629999999993</v>
      </c>
      <c r="M5709">
        <v>-3.5279320000000003E-2</v>
      </c>
      <c r="N5709">
        <v>-1.369805E-2</v>
      </c>
      <c r="O5709">
        <v>-0.9992839</v>
      </c>
      <c r="P5709">
        <v>0.1202281</v>
      </c>
      <c r="Q5709">
        <v>-0.1044303</v>
      </c>
      <c r="R5709">
        <v>-0.98723870000000002</v>
      </c>
      <c r="S5709">
        <v>0.34497070000000002</v>
      </c>
      <c r="T5709">
        <v>-0.17418839999999999</v>
      </c>
      <c r="U5709">
        <v>-2.9783629999999999</v>
      </c>
      <c r="V5709">
        <v>-0.15487119999999999</v>
      </c>
      <c r="W5709">
        <v>-9.1158870000000003E-2</v>
      </c>
      <c r="X5709">
        <v>0.98371989999999998</v>
      </c>
      <c r="Y5709">
        <v>-0.14984729999999999</v>
      </c>
      <c r="Z5709">
        <v>4.4099970000000002E-2</v>
      </c>
      <c r="AA5709">
        <v>0.98772510000000002</v>
      </c>
      <c r="AB5709">
        <v>32</v>
      </c>
      <c r="AC5709">
        <v>2.2051999999999898</v>
      </c>
      <c r="AD5709">
        <v>-1.110118385232</v>
      </c>
      <c r="AE5709">
        <v>-18.780639999999998</v>
      </c>
      <c r="AF5709">
        <v>-2.85661202354204</v>
      </c>
      <c r="AG5709">
        <v>-1.110118385232</v>
      </c>
      <c r="AH5709">
        <v>18.626944769336902</v>
      </c>
      <c r="AI5709">
        <v>93.371325820878894</v>
      </c>
      <c r="AJ5709">
        <v>98.718900984395603</v>
      </c>
      <c r="AK5709">
        <v>18.877385055197699</v>
      </c>
      <c r="AL5709">
        <v>95.230279870872906</v>
      </c>
      <c r="AM5709">
        <v>98.946882344371602</v>
      </c>
      <c r="AN5709">
        <v>0.99999993491256101</v>
      </c>
    </row>
    <row r="5710" spans="1:40" x14ac:dyDescent="0.25">
      <c r="A5710" t="str">
        <f>"20190305135043353"</f>
        <v>20190305135043353</v>
      </c>
      <c r="B5710" t="str">
        <f>"1551765043345643"</f>
        <v>1551765043345643</v>
      </c>
      <c r="C5710" t="s">
        <v>40</v>
      </c>
      <c r="D5710">
        <v>4.1861739999999896</v>
      </c>
      <c r="E5710">
        <v>0.50305869999999997</v>
      </c>
      <c r="F5710" t="s">
        <v>42</v>
      </c>
      <c r="G5710">
        <v>-420.77539999999999</v>
      </c>
      <c r="H5710" s="1">
        <v>-1.5627469999999999E-6</v>
      </c>
      <c r="I5710">
        <v>52.750970000000002</v>
      </c>
      <c r="J5710">
        <v>-422.90469999999999</v>
      </c>
      <c r="K5710">
        <v>1.11012</v>
      </c>
      <c r="L5710">
        <v>70.847200000000001</v>
      </c>
      <c r="M5710">
        <v>-3.4635230000000003E-2</v>
      </c>
      <c r="N5710">
        <v>-1.369628E-2</v>
      </c>
      <c r="O5710">
        <v>-0.99930649999999999</v>
      </c>
      <c r="P5710">
        <v>0.1215898</v>
      </c>
      <c r="Q5710">
        <v>-0.1042655</v>
      </c>
      <c r="R5710">
        <v>-0.98708910000000005</v>
      </c>
      <c r="S5710">
        <v>0.34249879999999999</v>
      </c>
      <c r="T5710">
        <v>-0.17947399999999999</v>
      </c>
      <c r="U5710">
        <v>-2.9780880000000001</v>
      </c>
      <c r="V5710">
        <v>-0.15559300000000001</v>
      </c>
      <c r="W5710">
        <v>-9.099902E-2</v>
      </c>
      <c r="X5710">
        <v>0.98362090000000002</v>
      </c>
      <c r="Y5710">
        <v>-0.14840100000000001</v>
      </c>
      <c r="Z5710">
        <v>4.5868470000000001E-2</v>
      </c>
      <c r="AA5710">
        <v>0.98786289999999999</v>
      </c>
      <c r="AB5710">
        <v>32</v>
      </c>
      <c r="AC5710">
        <v>2.1293000000000002</v>
      </c>
      <c r="AD5710">
        <v>-1.110121562747</v>
      </c>
      <c r="AE5710">
        <v>-18.096229999999998</v>
      </c>
      <c r="AF5710">
        <v>-2.7446600660246898</v>
      </c>
      <c r="AG5710">
        <v>-1.110121562747</v>
      </c>
      <c r="AH5710">
        <v>17.945005312274599</v>
      </c>
      <c r="AI5710">
        <v>93.4993537081412</v>
      </c>
      <c r="AJ5710">
        <v>98.695907967390497</v>
      </c>
      <c r="AK5710">
        <v>18.187598643572301</v>
      </c>
      <c r="AL5710">
        <v>95.2210823688701</v>
      </c>
      <c r="AM5710">
        <v>98.988791285245597</v>
      </c>
      <c r="AN5710">
        <v>1.0000000391033801</v>
      </c>
    </row>
    <row r="5711" spans="1:40" x14ac:dyDescent="0.25">
      <c r="A5711" t="str">
        <f>"20190305135043373"</f>
        <v>20190305135043373</v>
      </c>
      <c r="B5711" t="str">
        <f>"1551765043366140"</f>
        <v>1551765043366140</v>
      </c>
      <c r="C5711" t="s">
        <v>40</v>
      </c>
      <c r="D5711">
        <v>4.1377179999999996</v>
      </c>
      <c r="E5711">
        <v>0.50331550000000003</v>
      </c>
      <c r="F5711" t="s">
        <v>42</v>
      </c>
      <c r="G5711">
        <v>-420.69029999999998</v>
      </c>
      <c r="H5711" s="1">
        <v>-1.1176769999999999E-6</v>
      </c>
      <c r="I5711">
        <v>51.766289999999998</v>
      </c>
      <c r="J5711">
        <v>-422.91460000000001</v>
      </c>
      <c r="K5711">
        <v>1.1101289999999999</v>
      </c>
      <c r="L5711">
        <v>70.541499999999999</v>
      </c>
      <c r="M5711">
        <v>-3.4024730000000003E-2</v>
      </c>
      <c r="N5711">
        <v>-1.3694410000000001E-2</v>
      </c>
      <c r="O5711">
        <v>-0.99932710000000002</v>
      </c>
      <c r="P5711">
        <v>0.1230839</v>
      </c>
      <c r="Q5711">
        <v>-0.1036366</v>
      </c>
      <c r="R5711">
        <v>-0.98697020000000002</v>
      </c>
      <c r="S5711">
        <v>0.34564210000000001</v>
      </c>
      <c r="T5711">
        <v>-0.1732802</v>
      </c>
      <c r="U5711">
        <v>-2.9783629999999999</v>
      </c>
      <c r="V5711">
        <v>-0.1564827</v>
      </c>
      <c r="W5711">
        <v>-9.0375029999999995E-2</v>
      </c>
      <c r="X5711">
        <v>0.98353729999999995</v>
      </c>
      <c r="Y5711">
        <v>-0.14882799999999999</v>
      </c>
      <c r="Z5711">
        <v>4.3811460000000003E-2</v>
      </c>
      <c r="AA5711">
        <v>0.98789210000000005</v>
      </c>
      <c r="AB5711">
        <v>32</v>
      </c>
      <c r="AC5711">
        <v>2.2243000000000199</v>
      </c>
      <c r="AD5711">
        <v>-1.110130117677</v>
      </c>
      <c r="AE5711">
        <v>-18.775209999999898</v>
      </c>
      <c r="AF5711">
        <v>-2.8520603199471801</v>
      </c>
      <c r="AG5711">
        <v>-1.110130117677</v>
      </c>
      <c r="AH5711">
        <v>18.624437802540498</v>
      </c>
      <c r="AI5711">
        <v>93.371926833805404</v>
      </c>
      <c r="AJ5711">
        <v>98.706375159614495</v>
      </c>
      <c r="AK5711">
        <v>18.874223703439799</v>
      </c>
      <c r="AL5711">
        <v>95.185182386832807</v>
      </c>
      <c r="AM5711">
        <v>99.040099651780295</v>
      </c>
      <c r="AN5711">
        <v>1.0000000509690301</v>
      </c>
    </row>
    <row r="5712" spans="1:40" x14ac:dyDescent="0.25">
      <c r="A5712" t="str">
        <f>"20190305135043388"</f>
        <v>20190305135043388</v>
      </c>
      <c r="B5712" t="str">
        <f>"1551765043385660"</f>
        <v>1551765043385660</v>
      </c>
      <c r="C5712" t="s">
        <v>40</v>
      </c>
      <c r="D5712">
        <v>4.1340789999999998</v>
      </c>
      <c r="E5712">
        <v>0.50344990000000001</v>
      </c>
      <c r="F5712" t="s">
        <v>42</v>
      </c>
      <c r="G5712">
        <v>-420.60680000000002</v>
      </c>
      <c r="H5712" s="1">
        <v>-6.792324E-7</v>
      </c>
      <c r="I5712">
        <v>50.796100000000003</v>
      </c>
      <c r="J5712">
        <v>-422.92099999999999</v>
      </c>
      <c r="K5712">
        <v>1.1101319999999999</v>
      </c>
      <c r="L5712">
        <v>70.340090000000004</v>
      </c>
      <c r="M5712">
        <v>-3.3620810000000001E-2</v>
      </c>
      <c r="N5712">
        <v>-1.369338E-2</v>
      </c>
      <c r="O5712">
        <v>-0.99934069999999997</v>
      </c>
      <c r="P5712">
        <v>0.1239281</v>
      </c>
      <c r="Q5712">
        <v>-0.10319059999999999</v>
      </c>
      <c r="R5712">
        <v>-0.98691110000000004</v>
      </c>
      <c r="S5712">
        <v>0.34814450000000002</v>
      </c>
      <c r="T5712">
        <v>-0.1674638</v>
      </c>
      <c r="U5712">
        <v>-2.9786069999999998</v>
      </c>
      <c r="V5712">
        <v>-0.1569275</v>
      </c>
      <c r="W5712">
        <v>-8.9931319999999995E-2</v>
      </c>
      <c r="X5712">
        <v>0.98350700000000002</v>
      </c>
      <c r="Y5712">
        <v>-0.1492493</v>
      </c>
      <c r="Z5712">
        <v>4.1879010000000001E-2</v>
      </c>
      <c r="AA5712">
        <v>0.98791240000000002</v>
      </c>
      <c r="AB5712">
        <v>32</v>
      </c>
      <c r="AC5712">
        <v>2.3141999999999698</v>
      </c>
      <c r="AD5712">
        <v>-1.1101326792324</v>
      </c>
      <c r="AE5712">
        <v>-19.543990000000001</v>
      </c>
      <c r="AF5712">
        <v>-2.96061776134726</v>
      </c>
      <c r="AG5712">
        <v>-1.1101326792324</v>
      </c>
      <c r="AH5712">
        <v>19.393419868237402</v>
      </c>
      <c r="AI5712">
        <v>93.238751178614805</v>
      </c>
      <c r="AJ5712">
        <v>98.679813001148503</v>
      </c>
      <c r="AK5712">
        <v>19.649488193844899</v>
      </c>
      <c r="AL5712">
        <v>95.159656248977299</v>
      </c>
      <c r="AM5712">
        <v>99.065644544217903</v>
      </c>
      <c r="AN5712">
        <v>0.99999995081109505</v>
      </c>
    </row>
    <row r="5713" spans="1:40" x14ac:dyDescent="0.25">
      <c r="A5713" t="str">
        <f>"20190305135043408"</f>
        <v>20190305135043408</v>
      </c>
      <c r="B5713" t="str">
        <f>"1551765043395419"</f>
        <v>1551765043395419</v>
      </c>
      <c r="C5713" t="s">
        <v>40</v>
      </c>
      <c r="D5713">
        <v>4.083634</v>
      </c>
      <c r="E5713">
        <v>0.50355240000000001</v>
      </c>
      <c r="F5713" t="s">
        <v>42</v>
      </c>
      <c r="G5713">
        <v>-420.51409999999998</v>
      </c>
      <c r="H5713" s="1">
        <v>-2.4051059999999998E-7</v>
      </c>
      <c r="I5713">
        <v>49.830860000000001</v>
      </c>
      <c r="J5713">
        <v>-422.92959999999999</v>
      </c>
      <c r="K5713">
        <v>1.1101369999999999</v>
      </c>
      <c r="L5713">
        <v>70.067959999999999</v>
      </c>
      <c r="M5713">
        <v>-3.3073499999999999E-2</v>
      </c>
      <c r="N5713">
        <v>-1.3692060000000001E-2</v>
      </c>
      <c r="O5713">
        <v>-0.99935929999999995</v>
      </c>
      <c r="P5713">
        <v>0.12584400000000001</v>
      </c>
      <c r="Q5713">
        <v>-0.10224469999999999</v>
      </c>
      <c r="R5713">
        <v>-0.98676739999999996</v>
      </c>
      <c r="S5713">
        <v>0.34960940000000001</v>
      </c>
      <c r="T5713">
        <v>-0.16125049999999999</v>
      </c>
      <c r="U5713">
        <v>-2.979034</v>
      </c>
      <c r="V5713">
        <v>-0.15830079999999999</v>
      </c>
      <c r="W5713">
        <v>-8.8990609999999998E-2</v>
      </c>
      <c r="X5713">
        <v>0.98337249999999998</v>
      </c>
      <c r="Y5713">
        <v>-0.1491827</v>
      </c>
      <c r="Z5713">
        <v>3.9815749999999997E-2</v>
      </c>
      <c r="AA5713">
        <v>0.98800770000000004</v>
      </c>
      <c r="AB5713">
        <v>32</v>
      </c>
      <c r="AC5713">
        <v>2.4155000000000002</v>
      </c>
      <c r="AD5713">
        <v>-1.1101372405106</v>
      </c>
      <c r="AE5713">
        <v>-20.237100000000002</v>
      </c>
      <c r="AF5713">
        <v>-3.0744309029659602</v>
      </c>
      <c r="AG5713">
        <v>-1.1101372405106</v>
      </c>
      <c r="AH5713">
        <v>20.086534001304798</v>
      </c>
      <c r="AI5713">
        <v>93.127046397948604</v>
      </c>
      <c r="AJ5713">
        <v>98.702116242050806</v>
      </c>
      <c r="AK5713">
        <v>20.3507586653533</v>
      </c>
      <c r="AL5713">
        <v>95.1055404325149</v>
      </c>
      <c r="AM5713">
        <v>99.144874573554802</v>
      </c>
      <c r="AN5713">
        <v>0.99999997285252995</v>
      </c>
    </row>
    <row r="5714" spans="1:40" x14ac:dyDescent="0.25">
      <c r="A5714" t="str">
        <f>"20190305135043430"</f>
        <v>20190305135043430</v>
      </c>
      <c r="B5714" t="str">
        <f>"1551765043425675"</f>
        <v>1551765043425675</v>
      </c>
      <c r="C5714" t="s">
        <v>40</v>
      </c>
      <c r="D5714">
        <v>4.1295840000000004</v>
      </c>
      <c r="E5714">
        <v>0.50375150000000002</v>
      </c>
      <c r="F5714" t="s">
        <v>42</v>
      </c>
      <c r="G5714">
        <v>-420.4117</v>
      </c>
      <c r="H5714" s="1">
        <v>-4.1225330000000002E-6</v>
      </c>
      <c r="I5714">
        <v>48.943460000000002</v>
      </c>
      <c r="J5714">
        <v>-422.93939999999998</v>
      </c>
      <c r="K5714">
        <v>1.110141</v>
      </c>
      <c r="L5714">
        <v>69.752619999999993</v>
      </c>
      <c r="M5714">
        <v>-3.2437899999999999E-2</v>
      </c>
      <c r="N5714">
        <v>-1.3690519999999999E-2</v>
      </c>
      <c r="O5714">
        <v>-0.9993803</v>
      </c>
      <c r="P5714">
        <v>0.12717490000000001</v>
      </c>
      <c r="Q5714">
        <v>-0.1019376</v>
      </c>
      <c r="R5714">
        <v>-0.98662850000000002</v>
      </c>
      <c r="S5714">
        <v>0.35504150000000001</v>
      </c>
      <c r="T5714">
        <v>-0.15653900000000001</v>
      </c>
      <c r="U5714">
        <v>-2.978729</v>
      </c>
      <c r="V5714">
        <v>-0.15900239999999999</v>
      </c>
      <c r="W5714">
        <v>-8.8687329999999995E-2</v>
      </c>
      <c r="X5714">
        <v>0.98328669999999996</v>
      </c>
      <c r="Y5714">
        <v>-0.1503507</v>
      </c>
      <c r="Z5714">
        <v>3.8253740000000001E-2</v>
      </c>
      <c r="AA5714">
        <v>0.9878924</v>
      </c>
      <c r="AB5714">
        <v>32</v>
      </c>
      <c r="AC5714">
        <v>2.5276999999999799</v>
      </c>
      <c r="AD5714">
        <v>-1.1101451225329999</v>
      </c>
      <c r="AE5714">
        <v>-20.809159999999999</v>
      </c>
      <c r="AF5714">
        <v>-3.1924840446931402</v>
      </c>
      <c r="AG5714">
        <v>-1.1101451225329999</v>
      </c>
      <c r="AH5714">
        <v>20.658265647909701</v>
      </c>
      <c r="AI5714">
        <v>93.040015371802795</v>
      </c>
      <c r="AJ5714">
        <v>98.784873407820896</v>
      </c>
      <c r="AK5714">
        <v>20.932948099785399</v>
      </c>
      <c r="AL5714">
        <v>95.088094802193993</v>
      </c>
      <c r="AM5714">
        <v>99.185503758399705</v>
      </c>
      <c r="AN5714">
        <v>0.99999997005258801</v>
      </c>
    </row>
    <row r="5715" spans="1:40" x14ac:dyDescent="0.25">
      <c r="A5715" t="str">
        <f>"20190305135043444"</f>
        <v>20190305135043444</v>
      </c>
      <c r="B5715" t="str">
        <f>"1551765043435435"</f>
        <v>1551765043435435</v>
      </c>
      <c r="C5715" t="s">
        <v>40</v>
      </c>
      <c r="D5715">
        <v>4.082281</v>
      </c>
      <c r="E5715">
        <v>0.5038222</v>
      </c>
      <c r="F5715" t="s">
        <v>42</v>
      </c>
      <c r="G5715">
        <v>-420.30689999999998</v>
      </c>
      <c r="H5715" s="1">
        <v>-3.615725E-6</v>
      </c>
      <c r="I5715">
        <v>47.827100000000002</v>
      </c>
      <c r="J5715">
        <v>-422.94560000000001</v>
      </c>
      <c r="K5715">
        <v>1.110141</v>
      </c>
      <c r="L5715">
        <v>69.546019999999999</v>
      </c>
      <c r="M5715">
        <v>-3.2020720000000003E-2</v>
      </c>
      <c r="N5715">
        <v>-1.3689420000000001E-2</v>
      </c>
      <c r="O5715">
        <v>-0.99939339999999999</v>
      </c>
      <c r="P5715">
        <v>0.1278849</v>
      </c>
      <c r="Q5715">
        <v>-0.101414</v>
      </c>
      <c r="R5715">
        <v>-0.98659050000000004</v>
      </c>
      <c r="S5715">
        <v>0.35766599999999998</v>
      </c>
      <c r="T5715">
        <v>-0.15083289999999999</v>
      </c>
      <c r="U5715">
        <v>-2.9789729999999999</v>
      </c>
      <c r="V5715">
        <v>-0.15930139999999901</v>
      </c>
      <c r="W5715">
        <v>-8.8165149999999998E-2</v>
      </c>
      <c r="X5715">
        <v>0.98328530000000003</v>
      </c>
      <c r="Y5715">
        <v>-0.15079679999999901</v>
      </c>
      <c r="Z5715">
        <v>3.6357449999999999E-2</v>
      </c>
      <c r="AA5715">
        <v>0.987896</v>
      </c>
      <c r="AB5715">
        <v>32</v>
      </c>
      <c r="AC5715">
        <v>2.63870000000002</v>
      </c>
      <c r="AD5715">
        <v>-1.1101446157249999</v>
      </c>
      <c r="AE5715">
        <v>-21.718920000000001</v>
      </c>
      <c r="AF5715">
        <v>-3.32430835306138</v>
      </c>
      <c r="AG5715">
        <v>-1.1101446157249999</v>
      </c>
      <c r="AH5715">
        <v>21.567750047213401</v>
      </c>
      <c r="AI5715">
        <v>92.912223273828999</v>
      </c>
      <c r="AJ5715">
        <v>98.762233081098302</v>
      </c>
      <c r="AK5715">
        <v>21.850658781673602</v>
      </c>
      <c r="AL5715">
        <v>95.058058250600098</v>
      </c>
      <c r="AM5715">
        <v>99.202494483559704</v>
      </c>
      <c r="AN5715">
        <v>1.0000000054562801</v>
      </c>
    </row>
    <row r="5716" spans="1:40" x14ac:dyDescent="0.25">
      <c r="A5716" t="str">
        <f>"20190305135043463"</f>
        <v>20190305135043463</v>
      </c>
      <c r="B5716" t="str">
        <f>"1551765043455931"</f>
        <v>1551765043455931</v>
      </c>
      <c r="C5716" t="s">
        <v>40</v>
      </c>
      <c r="D5716">
        <v>4.178833</v>
      </c>
      <c r="E5716">
        <v>0.50393370000000004</v>
      </c>
      <c r="F5716" t="s">
        <v>42</v>
      </c>
      <c r="G5716">
        <v>-420.2516</v>
      </c>
      <c r="H5716" s="1">
        <v>-3.338113E-6</v>
      </c>
      <c r="I5716">
        <v>47.214309999999998</v>
      </c>
      <c r="J5716">
        <v>-422.95350000000002</v>
      </c>
      <c r="K5716">
        <v>1.110142</v>
      </c>
      <c r="L5716">
        <v>69.283999999999907</v>
      </c>
      <c r="M5716">
        <v>-3.1490949999999997E-2</v>
      </c>
      <c r="N5716">
        <v>-1.368807E-2</v>
      </c>
      <c r="O5716">
        <v>-0.99941029999999997</v>
      </c>
      <c r="P5716">
        <v>0.12963350000000001</v>
      </c>
      <c r="Q5716">
        <v>-0.1010923</v>
      </c>
      <c r="R5716">
        <v>-0.98639540000000003</v>
      </c>
      <c r="S5716">
        <v>0.359375</v>
      </c>
      <c r="T5716">
        <v>-0.14808789999999999</v>
      </c>
      <c r="U5716">
        <v>-2.9789430000000001</v>
      </c>
      <c r="V5716">
        <v>-0.160523</v>
      </c>
      <c r="W5716">
        <v>-8.7848410000000002E-2</v>
      </c>
      <c r="X5716">
        <v>0.98311499999999996</v>
      </c>
      <c r="Y5716">
        <v>-0.15083740000000001</v>
      </c>
      <c r="Z5716">
        <v>3.5449689999999999E-2</v>
      </c>
      <c r="AA5716">
        <v>0.98792279999999999</v>
      </c>
      <c r="AB5716">
        <v>32</v>
      </c>
      <c r="AC5716">
        <v>2.7019000000000202</v>
      </c>
      <c r="AD5716">
        <v>-1.110145338113</v>
      </c>
      <c r="AE5716">
        <v>-22.069689999999898</v>
      </c>
      <c r="AF5716">
        <v>-3.3871764118706702</v>
      </c>
      <c r="AG5716">
        <v>-1.110145338113</v>
      </c>
      <c r="AH5716">
        <v>21.919006759570099</v>
      </c>
      <c r="AI5716">
        <v>92.865462852314195</v>
      </c>
      <c r="AJ5716">
        <v>98.784516346786106</v>
      </c>
      <c r="AK5716">
        <v>22.206941348212499</v>
      </c>
      <c r="AL5716">
        <v>95.039839520881998</v>
      </c>
      <c r="AM5716">
        <v>99.273420837482206</v>
      </c>
      <c r="AN5716">
        <v>1.0000000399467599</v>
      </c>
    </row>
    <row r="5717" spans="1:40" x14ac:dyDescent="0.25">
      <c r="A5717" t="str">
        <f>"20190305135043485"</f>
        <v>20190305135043485</v>
      </c>
      <c r="B5717" t="str">
        <f>"1551765043475452"</f>
        <v>1551765043475452</v>
      </c>
      <c r="C5717" t="s">
        <v>40</v>
      </c>
      <c r="D5717">
        <v>4.1950789999999998</v>
      </c>
      <c r="E5717">
        <v>0.45753080000000002</v>
      </c>
      <c r="F5717" t="s">
        <v>42</v>
      </c>
      <c r="G5717">
        <v>-420.15269999999998</v>
      </c>
      <c r="H5717" s="1">
        <v>-2.950111E-6</v>
      </c>
      <c r="I5717">
        <v>46.37115</v>
      </c>
      <c r="J5717">
        <v>-422.96249999999998</v>
      </c>
      <c r="K5717">
        <v>1.1101479999999999</v>
      </c>
      <c r="L5717">
        <v>68.974429999999998</v>
      </c>
      <c r="M5717">
        <v>-3.086583E-2</v>
      </c>
      <c r="N5717">
        <v>-1.368655E-2</v>
      </c>
      <c r="O5717">
        <v>-0.99942989999999998</v>
      </c>
      <c r="P5717">
        <v>0.1317255</v>
      </c>
      <c r="Q5717">
        <v>-0.1011982</v>
      </c>
      <c r="R5717">
        <v>-0.98610730000000002</v>
      </c>
      <c r="S5717">
        <v>0.36410520000000002</v>
      </c>
      <c r="T5717">
        <v>-0.14432320000000001</v>
      </c>
      <c r="U5717">
        <v>-2.9787599999999999</v>
      </c>
      <c r="V5717">
        <v>-0.16199040000000001</v>
      </c>
      <c r="W5717">
        <v>-8.7961020000000001E-2</v>
      </c>
      <c r="X5717">
        <v>0.98286419999999997</v>
      </c>
      <c r="Y5717">
        <v>-0.15177850000000001</v>
      </c>
      <c r="Z5717">
        <v>3.4200399999999999E-2</v>
      </c>
      <c r="AA5717">
        <v>0.98782270000000005</v>
      </c>
      <c r="AB5717">
        <v>32</v>
      </c>
      <c r="AC5717">
        <v>2.8097999999999899</v>
      </c>
      <c r="AD5717">
        <v>-1.1101509501109901</v>
      </c>
      <c r="AE5717">
        <v>-22.603280000000002</v>
      </c>
      <c r="AF5717">
        <v>-3.4978859336796599</v>
      </c>
      <c r="AG5717">
        <v>-1.1101509501109901</v>
      </c>
      <c r="AH5717">
        <v>22.452436880432</v>
      </c>
      <c r="AI5717">
        <v>92.796975174831204</v>
      </c>
      <c r="AJ5717">
        <v>98.854981213333801</v>
      </c>
      <c r="AK5717">
        <v>22.750375008048799</v>
      </c>
      <c r="AL5717">
        <v>95.046316706338303</v>
      </c>
      <c r="AM5717">
        <v>99.359045391463795</v>
      </c>
      <c r="AN5717">
        <v>1.0000000331866099</v>
      </c>
    </row>
    <row r="5718" spans="1:40" x14ac:dyDescent="0.25">
      <c r="A5718" t="str">
        <f>"20190305135043508"</f>
        <v>20190305135043508</v>
      </c>
      <c r="B5718" t="str">
        <f>"1551765043505707"</f>
        <v>1551765043505707</v>
      </c>
      <c r="C5718" t="s">
        <v>40</v>
      </c>
      <c r="D5718">
        <v>4.0889720000000001</v>
      </c>
      <c r="E5718">
        <v>0.38655600000000001</v>
      </c>
      <c r="F5718" t="s">
        <v>97</v>
      </c>
      <c r="G5718">
        <v>-405.71839999999997</v>
      </c>
      <c r="H5718">
        <v>0.31083490000000003</v>
      </c>
      <c r="I5718">
        <v>0.62263299999999999</v>
      </c>
      <c r="J5718">
        <v>-422.9717</v>
      </c>
      <c r="K5718">
        <v>1.1101430000000001</v>
      </c>
      <c r="L5718">
        <v>68.653660000000002</v>
      </c>
      <c r="M5718">
        <v>-3.021772E-2</v>
      </c>
      <c r="N5718">
        <v>-1.3684999999999999E-2</v>
      </c>
      <c r="O5718">
        <v>-0.99944980000000005</v>
      </c>
      <c r="P5718">
        <v>0.13403999999999999</v>
      </c>
      <c r="Q5718">
        <v>-0.101714399999999</v>
      </c>
      <c r="R5718">
        <v>-0.98574260000000002</v>
      </c>
      <c r="S5718">
        <v>0.74163819999999903</v>
      </c>
      <c r="T5718">
        <v>-3.4378289999999999E-2</v>
      </c>
      <c r="U5718">
        <v>-2.9396969999999998</v>
      </c>
      <c r="V5718">
        <v>-0.1636561</v>
      </c>
      <c r="W5718">
        <v>-8.8484989999999999E-2</v>
      </c>
      <c r="X5718">
        <v>0.98254109999999995</v>
      </c>
      <c r="Y5718">
        <v>-0.27376309999999998</v>
      </c>
      <c r="Z5718">
        <v>-2.45108E-3</v>
      </c>
      <c r="AA5718">
        <v>0.96179400000000004</v>
      </c>
      <c r="AB5718">
        <v>31</v>
      </c>
      <c r="AC5718">
        <v>17.253299999999999</v>
      </c>
      <c r="AD5718">
        <v>-0.79930809999999997</v>
      </c>
      <c r="AE5718">
        <v>-68.031026999999995</v>
      </c>
      <c r="AF5718">
        <v>-19.298851312940801</v>
      </c>
      <c r="AG5718">
        <v>-0.79930809999999997</v>
      </c>
      <c r="AH5718">
        <v>67.469799134431398</v>
      </c>
      <c r="AI5718">
        <v>90.652576947555204</v>
      </c>
      <c r="AJ5718">
        <v>105.962483142403</v>
      </c>
      <c r="AK5718">
        <v>70.1801848863213</v>
      </c>
      <c r="AL5718">
        <v>95.076455851957704</v>
      </c>
      <c r="AM5718">
        <v>99.456605777127805</v>
      </c>
      <c r="AN5718">
        <v>0.99999996285585901</v>
      </c>
    </row>
    <row r="5719" spans="1:40" x14ac:dyDescent="0.25">
      <c r="A5719" t="str">
        <f>"20190305135043532"</f>
        <v>20190305135043532</v>
      </c>
      <c r="B5719" t="str">
        <f>"1551765043526204"</f>
        <v>1551765043526204</v>
      </c>
      <c r="C5719" t="s">
        <v>40</v>
      </c>
      <c r="D5719">
        <v>3.9969869999999998</v>
      </c>
      <c r="E5719">
        <v>0.39124370000000003</v>
      </c>
      <c r="F5719" t="s">
        <v>97</v>
      </c>
      <c r="G5719">
        <v>-391.91199999999998</v>
      </c>
      <c r="H5719">
        <v>4.2498389999999997</v>
      </c>
      <c r="I5719">
        <v>0.76305389999999995</v>
      </c>
      <c r="J5719">
        <v>-422.98079999999999</v>
      </c>
      <c r="K5719">
        <v>1.1101379999999901</v>
      </c>
      <c r="L5719">
        <v>68.329930000000004</v>
      </c>
      <c r="M5719">
        <v>-2.9564179999999999E-2</v>
      </c>
      <c r="N5719">
        <v>-1.368342E-2</v>
      </c>
      <c r="O5719">
        <v>-0.99946939999999995</v>
      </c>
      <c r="P5719">
        <v>0.1365499</v>
      </c>
      <c r="Q5719">
        <v>-0.1020467</v>
      </c>
      <c r="R5719">
        <v>-0.9853634</v>
      </c>
      <c r="S5719">
        <v>1.316711</v>
      </c>
      <c r="T5719">
        <v>0.13309979999999999</v>
      </c>
      <c r="U5719">
        <v>-2.878082</v>
      </c>
      <c r="V5719">
        <v>-0.16551170000000001</v>
      </c>
      <c r="W5719">
        <v>-8.8825699999999994E-2</v>
      </c>
      <c r="X5719">
        <v>0.9821995</v>
      </c>
      <c r="Y5719">
        <v>-0.44217040000000002</v>
      </c>
      <c r="Z5719">
        <v>-5.5464039999999999E-2</v>
      </c>
      <c r="AA5719">
        <v>0.89521459999999997</v>
      </c>
      <c r="AB5719">
        <v>31</v>
      </c>
      <c r="AC5719">
        <v>31.0688</v>
      </c>
      <c r="AD5719">
        <v>3.1397010000000001</v>
      </c>
      <c r="AE5719">
        <v>-67.566876099999902</v>
      </c>
      <c r="AF5719">
        <v>-32.994153592796302</v>
      </c>
      <c r="AG5719">
        <v>3.1397010000000001</v>
      </c>
      <c r="AH5719">
        <v>66.500195863426597</v>
      </c>
      <c r="AI5719">
        <v>87.578183168779603</v>
      </c>
      <c r="AJ5719">
        <v>116.38836484202299</v>
      </c>
      <c r="AK5719">
        <v>74.301735804411294</v>
      </c>
      <c r="AL5719">
        <v>95.096054116242996</v>
      </c>
      <c r="AM5719">
        <v>99.565123744265307</v>
      </c>
      <c r="AN5719">
        <v>0.99999999280881502</v>
      </c>
    </row>
    <row r="5720" spans="1:40" x14ac:dyDescent="0.25">
      <c r="A5720" t="str">
        <f>"20190305135043554"</f>
        <v>20190305135043554</v>
      </c>
      <c r="B5720" t="str">
        <f>"1551765043545723"</f>
        <v>1551765043545723</v>
      </c>
      <c r="C5720" t="s">
        <v>40</v>
      </c>
      <c r="D5720">
        <v>4.0086789999999999</v>
      </c>
      <c r="E5720">
        <v>0.39388879999999998</v>
      </c>
      <c r="F5720" t="s">
        <v>97</v>
      </c>
      <c r="G5720">
        <v>-392.77640000000002</v>
      </c>
      <c r="H5720">
        <v>3.0680290000000001</v>
      </c>
      <c r="I5720">
        <v>0.75425909999999996</v>
      </c>
      <c r="J5720">
        <v>-422.98930000000001</v>
      </c>
      <c r="K5720">
        <v>1.110131</v>
      </c>
      <c r="L5720">
        <v>68.014309999999995</v>
      </c>
      <c r="M5720">
        <v>-2.8927169999999999E-2</v>
      </c>
      <c r="N5720">
        <v>-1.368168E-2</v>
      </c>
      <c r="O5720">
        <v>-0.99948800000000004</v>
      </c>
      <c r="P5720">
        <v>0.13935259999999999</v>
      </c>
      <c r="Q5720">
        <v>-0.10242279999999999</v>
      </c>
      <c r="R5720">
        <v>-0.98493180000000002</v>
      </c>
      <c r="S5720">
        <v>1.2850950000000001</v>
      </c>
      <c r="T5720">
        <v>8.3300589999999994E-2</v>
      </c>
      <c r="U5720">
        <v>-2.8751220000000002</v>
      </c>
      <c r="V5720">
        <v>-0.16767489999999999</v>
      </c>
      <c r="W5720">
        <v>-8.9211520000000002E-2</v>
      </c>
      <c r="X5720">
        <v>0.98179760000000005</v>
      </c>
      <c r="Y5720">
        <v>-0.43401309999999899</v>
      </c>
      <c r="Z5720">
        <v>-4.0014870000000001E-2</v>
      </c>
      <c r="AA5720">
        <v>0.90001739999999997</v>
      </c>
      <c r="AB5720">
        <v>31</v>
      </c>
      <c r="AC5720">
        <v>30.212899999999902</v>
      </c>
      <c r="AD5720">
        <v>1.9578979999999999</v>
      </c>
      <c r="AE5720">
        <v>-67.260050899999996</v>
      </c>
      <c r="AF5720">
        <v>-32.123429246035798</v>
      </c>
      <c r="AG5720">
        <v>1.9578979999999999</v>
      </c>
      <c r="AH5720">
        <v>66.311088354338807</v>
      </c>
      <c r="AI5720">
        <v>88.477884584598698</v>
      </c>
      <c r="AJ5720">
        <v>115.847183956522</v>
      </c>
      <c r="AK5720">
        <v>73.708266224626399</v>
      </c>
      <c r="AL5720">
        <v>95.118247805030194</v>
      </c>
      <c r="AM5720">
        <v>99.691673932589197</v>
      </c>
      <c r="AN5720">
        <v>1.00000004737823</v>
      </c>
    </row>
    <row r="5721" spans="1:40" x14ac:dyDescent="0.25">
      <c r="A5721" t="str">
        <f>"20190305135043575"</f>
        <v>20190305135043575</v>
      </c>
      <c r="B5721" t="str">
        <f>"1551765043566223"</f>
        <v>1551765043566223</v>
      </c>
      <c r="C5721" t="s">
        <v>40</v>
      </c>
      <c r="D5721">
        <v>4.0258279999999997</v>
      </c>
      <c r="E5721">
        <v>0.39553700000000003</v>
      </c>
      <c r="F5721" t="s">
        <v>97</v>
      </c>
      <c r="G5721">
        <v>-393.20479999999998</v>
      </c>
      <c r="H5721">
        <v>2.8077420000000002</v>
      </c>
      <c r="I5721">
        <v>0.74990269999999903</v>
      </c>
      <c r="J5721">
        <v>-422.99709999999999</v>
      </c>
      <c r="K5721">
        <v>1.110139</v>
      </c>
      <c r="L5721">
        <v>67.724980000000002</v>
      </c>
      <c r="M5721">
        <v>-2.8343219999999999E-2</v>
      </c>
      <c r="N5721">
        <v>-1.3680110000000001E-2</v>
      </c>
      <c r="O5721">
        <v>-0.99950490000000003</v>
      </c>
      <c r="P5721">
        <v>0.14207159999999999</v>
      </c>
      <c r="Q5721">
        <v>-0.10212549999999999</v>
      </c>
      <c r="R5721">
        <v>-0.98457439999999996</v>
      </c>
      <c r="S5721">
        <v>1.2723390000000001</v>
      </c>
      <c r="T5721">
        <v>7.2517750000000006E-2</v>
      </c>
      <c r="U5721">
        <v>-2.8734130000000002</v>
      </c>
      <c r="V5721">
        <v>-0.1698104</v>
      </c>
      <c r="W5721">
        <v>-8.8922870000000001E-2</v>
      </c>
      <c r="X5721">
        <v>0.98145660000000001</v>
      </c>
      <c r="Y5721">
        <v>-0.43038989999999999</v>
      </c>
      <c r="Z5721">
        <v>-3.6669529999999999E-2</v>
      </c>
      <c r="AA5721">
        <v>0.90189790000000003</v>
      </c>
      <c r="AB5721">
        <v>31</v>
      </c>
      <c r="AC5721">
        <v>29.792300000000001</v>
      </c>
      <c r="AD5721">
        <v>1.69760299999999</v>
      </c>
      <c r="AE5721">
        <v>-66.975077299999995</v>
      </c>
      <c r="AF5721">
        <v>-31.6618138896612</v>
      </c>
      <c r="AG5721">
        <v>1.69760299999999</v>
      </c>
      <c r="AH5721">
        <v>66.068241853103103</v>
      </c>
      <c r="AI5721">
        <v>88.672618628670406</v>
      </c>
      <c r="AJ5721">
        <v>115.605089502486</v>
      </c>
      <c r="AK5721">
        <v>73.282773530273005</v>
      </c>
      <c r="AL5721">
        <v>95.101643868361904</v>
      </c>
      <c r="AM5721">
        <v>99.816064809448804</v>
      </c>
      <c r="AN5721">
        <v>0.99999995322037705</v>
      </c>
    </row>
    <row r="5722" spans="1:40" x14ac:dyDescent="0.25">
      <c r="A5722" t="str">
        <f>"20190305135043589"</f>
        <v>20190305135043589</v>
      </c>
      <c r="B5722" t="str">
        <f>"1551765043585739"</f>
        <v>1551765043585739</v>
      </c>
      <c r="C5722" t="s">
        <v>40</v>
      </c>
      <c r="D5722">
        <v>4.0403000000000002</v>
      </c>
      <c r="E5722">
        <v>0.39598949999999999</v>
      </c>
      <c r="F5722" t="s">
        <v>97</v>
      </c>
      <c r="G5722">
        <v>-393.43770000000001</v>
      </c>
      <c r="H5722">
        <v>2.500257</v>
      </c>
      <c r="I5722">
        <v>0.74753190000000003</v>
      </c>
      <c r="J5722">
        <v>-423.00259999999997</v>
      </c>
      <c r="K5722">
        <v>1.110139</v>
      </c>
      <c r="L5722">
        <v>67.517489999999995</v>
      </c>
      <c r="M5722">
        <v>-2.7924620000000001E-2</v>
      </c>
      <c r="N5722">
        <v>-1.367899E-2</v>
      </c>
      <c r="O5722">
        <v>-0.99951659999999998</v>
      </c>
      <c r="P5722">
        <v>0.14367769999999999</v>
      </c>
      <c r="Q5722">
        <v>-0.101687</v>
      </c>
      <c r="R5722">
        <v>-0.98438680000000001</v>
      </c>
      <c r="S5722">
        <v>1.266785</v>
      </c>
      <c r="T5722">
        <v>5.9573290000000001E-2</v>
      </c>
      <c r="U5722">
        <v>-2.8703609999999999</v>
      </c>
      <c r="V5722">
        <v>-0.17100099999999999</v>
      </c>
      <c r="W5722">
        <v>-8.8489090000000006E-2</v>
      </c>
      <c r="X5722">
        <v>0.98128910000000003</v>
      </c>
      <c r="Y5722">
        <v>-0.428952</v>
      </c>
      <c r="Z5722">
        <v>-3.2612849999999999E-2</v>
      </c>
      <c r="AA5722">
        <v>0.90273840000000005</v>
      </c>
      <c r="AB5722">
        <v>31</v>
      </c>
      <c r="AC5722">
        <v>29.564899999999898</v>
      </c>
      <c r="AD5722">
        <v>1.390118</v>
      </c>
      <c r="AE5722">
        <v>-66.769958099999997</v>
      </c>
      <c r="AF5722">
        <v>-31.406686559850002</v>
      </c>
      <c r="AG5722">
        <v>1.390118</v>
      </c>
      <c r="AH5722">
        <v>65.894369257387098</v>
      </c>
      <c r="AI5722">
        <v>88.909008300268496</v>
      </c>
      <c r="AJ5722">
        <v>115.483482212323</v>
      </c>
      <c r="AK5722">
        <v>73.009453419070795</v>
      </c>
      <c r="AL5722">
        <v>95.076691605493494</v>
      </c>
      <c r="AM5722">
        <v>99.885189831274303</v>
      </c>
      <c r="AN5722">
        <v>0.99999997941441798</v>
      </c>
    </row>
    <row r="5723" spans="1:40" x14ac:dyDescent="0.25">
      <c r="A5723" t="str">
        <f>"20190305135043608"</f>
        <v>20190305135043608</v>
      </c>
      <c r="B5723" t="str">
        <f>"1551765043606235"</f>
        <v>1551765043606235</v>
      </c>
      <c r="C5723" t="s">
        <v>40</v>
      </c>
      <c r="D5723">
        <v>4.0738450000000004</v>
      </c>
      <c r="E5723">
        <v>0.39674900000000002</v>
      </c>
      <c r="F5723" t="s">
        <v>97</v>
      </c>
      <c r="G5723">
        <v>-393.48140000000001</v>
      </c>
      <c r="H5723">
        <v>2.2543739999999999</v>
      </c>
      <c r="I5723">
        <v>0.74708940000000001</v>
      </c>
      <c r="J5723">
        <v>-423.00940000000003</v>
      </c>
      <c r="K5723">
        <v>1.1101449999999999</v>
      </c>
      <c r="L5723">
        <v>67.253600000000006</v>
      </c>
      <c r="M5723">
        <v>-2.7392039999999999E-2</v>
      </c>
      <c r="N5723">
        <v>-1.36776E-2</v>
      </c>
      <c r="O5723">
        <v>-0.99953110000000001</v>
      </c>
      <c r="P5723">
        <v>0.14604200000000001</v>
      </c>
      <c r="Q5723">
        <v>-0.101712</v>
      </c>
      <c r="R5723">
        <v>-0.98403589999999996</v>
      </c>
      <c r="S5723">
        <v>1.2678529999999999</v>
      </c>
      <c r="T5723">
        <v>4.914081E-2</v>
      </c>
      <c r="U5723">
        <v>-2.8676149999999998</v>
      </c>
      <c r="V5723">
        <v>-0.17283299999999999</v>
      </c>
      <c r="W5723">
        <v>-8.8521950000000002E-2</v>
      </c>
      <c r="X5723">
        <v>0.98096510000000003</v>
      </c>
      <c r="Y5723">
        <v>-0.42910340000000002</v>
      </c>
      <c r="Z5723">
        <v>-2.9322150000000002E-2</v>
      </c>
      <c r="AA5723">
        <v>0.90277929999999995</v>
      </c>
      <c r="AB5723">
        <v>31</v>
      </c>
      <c r="AC5723">
        <v>29.527999999999999</v>
      </c>
      <c r="AD5723">
        <v>1.1442289999999999</v>
      </c>
      <c r="AE5723">
        <v>-66.506510599999999</v>
      </c>
      <c r="AF5723">
        <v>-31.331090647458801</v>
      </c>
      <c r="AG5723">
        <v>1.1442289999999999</v>
      </c>
      <c r="AH5723">
        <v>65.656408262200003</v>
      </c>
      <c r="AI5723">
        <v>89.098899158809104</v>
      </c>
      <c r="AJ5723">
        <v>115.510371700391</v>
      </c>
      <c r="AK5723">
        <v>72.757889242723394</v>
      </c>
      <c r="AL5723">
        <v>95.078581889434105</v>
      </c>
      <c r="AM5723">
        <v>99.992204466186394</v>
      </c>
      <c r="AN5723">
        <v>0.99999995446940504</v>
      </c>
    </row>
    <row r="5724" spans="1:40" x14ac:dyDescent="0.25">
      <c r="A5724" t="str">
        <f>"20190305135043623"</f>
        <v>20190305135043623</v>
      </c>
      <c r="B5724" t="str">
        <f>"1551765043615996"</f>
        <v>1551765043615996</v>
      </c>
      <c r="C5724" t="s">
        <v>40</v>
      </c>
      <c r="D5724">
        <v>4.0996750000000004</v>
      </c>
      <c r="E5724">
        <v>0.3970996</v>
      </c>
      <c r="F5724" t="s">
        <v>97</v>
      </c>
      <c r="G5724">
        <v>-393.55939999999998</v>
      </c>
      <c r="H5724">
        <v>1.9978800000000001</v>
      </c>
      <c r="I5724">
        <v>0.74629400000000001</v>
      </c>
      <c r="J5724">
        <v>-423.01479999999998</v>
      </c>
      <c r="K5724">
        <v>1.110144</v>
      </c>
      <c r="L5724">
        <v>67.038480000000007</v>
      </c>
      <c r="M5724">
        <v>-2.695813E-2</v>
      </c>
      <c r="N5724">
        <v>-1.367641E-2</v>
      </c>
      <c r="O5724">
        <v>-0.99954310000000002</v>
      </c>
      <c r="P5724">
        <v>0.1474898</v>
      </c>
      <c r="Q5724">
        <v>-0.10136820000000001</v>
      </c>
      <c r="R5724">
        <v>-0.98385540000000005</v>
      </c>
      <c r="S5724">
        <v>1.2683719999999901</v>
      </c>
      <c r="T5724">
        <v>3.8232450000000001E-2</v>
      </c>
      <c r="U5724">
        <v>-2.8643800000000001</v>
      </c>
      <c r="V5724">
        <v>-0.1738499</v>
      </c>
      <c r="W5724">
        <v>-8.8182479999999994E-2</v>
      </c>
      <c r="X5724">
        <v>0.98081600000000002</v>
      </c>
      <c r="Y5724">
        <v>-0.42925390000000002</v>
      </c>
      <c r="Z5724">
        <v>-2.587743E-2</v>
      </c>
      <c r="AA5724">
        <v>0.90281310000000004</v>
      </c>
      <c r="AB5724">
        <v>31</v>
      </c>
      <c r="AC5724">
        <v>29.455400000000001</v>
      </c>
      <c r="AD5724">
        <v>0.88773599999999897</v>
      </c>
      <c r="AE5724">
        <v>-66.292186000000001</v>
      </c>
      <c r="AF5724">
        <v>-31.227296604663199</v>
      </c>
      <c r="AG5724">
        <v>0.88773599999999897</v>
      </c>
      <c r="AH5724">
        <v>65.464147929733002</v>
      </c>
      <c r="AI5724">
        <v>89.298765839853701</v>
      </c>
      <c r="AJ5724">
        <v>115.501782336831</v>
      </c>
      <c r="AK5724">
        <v>72.536106820033297</v>
      </c>
      <c r="AL5724">
        <v>95.059055189543898</v>
      </c>
      <c r="AM5724">
        <v>100.051297272421</v>
      </c>
      <c r="AN5724">
        <v>0.99999998168248005</v>
      </c>
    </row>
    <row r="5725" spans="1:40" x14ac:dyDescent="0.25">
      <c r="A5725" t="str">
        <f>"20190305135043637"</f>
        <v>20190305135043637</v>
      </c>
      <c r="B5725" t="str">
        <f>"1551765043625756"</f>
        <v>1551765043625756</v>
      </c>
      <c r="C5725" t="s">
        <v>40</v>
      </c>
      <c r="D5725">
        <v>4.1097710000000003</v>
      </c>
      <c r="E5725">
        <v>0.39752880000000002</v>
      </c>
      <c r="F5725" t="s">
        <v>97</v>
      </c>
      <c r="G5725">
        <v>-393.62020000000001</v>
      </c>
      <c r="H5725">
        <v>1.9016200000000001</v>
      </c>
      <c r="I5725">
        <v>0.74567600000000001</v>
      </c>
      <c r="J5725">
        <v>-423.01929999999999</v>
      </c>
      <c r="K5725">
        <v>1.1101430000000001</v>
      </c>
      <c r="L5725">
        <v>66.855800000000002</v>
      </c>
      <c r="M5725">
        <v>-2.6589350000000001E-2</v>
      </c>
      <c r="N5725">
        <v>-1.3675390000000001E-2</v>
      </c>
      <c r="O5725">
        <v>-0.99955309999999997</v>
      </c>
      <c r="P5725">
        <v>0.14839630000000001</v>
      </c>
      <c r="Q5725">
        <v>-0.1013835</v>
      </c>
      <c r="R5725">
        <v>-0.98371759999999997</v>
      </c>
      <c r="S5725">
        <v>1.269226</v>
      </c>
      <c r="T5725">
        <v>3.4174080000000003E-2</v>
      </c>
      <c r="U5725">
        <v>-2.862457</v>
      </c>
      <c r="V5725">
        <v>-0.17439160000000001</v>
      </c>
      <c r="W5725">
        <v>-8.8200570000000006E-2</v>
      </c>
      <c r="X5725">
        <v>0.98071819999999998</v>
      </c>
      <c r="Y5725">
        <v>-0.42937999999999998</v>
      </c>
      <c r="Z5725">
        <v>-2.459474E-2</v>
      </c>
      <c r="AA5725">
        <v>0.90278899999999995</v>
      </c>
      <c r="AB5725">
        <v>31</v>
      </c>
      <c r="AC5725">
        <v>29.399099999999901</v>
      </c>
      <c r="AD5725">
        <v>0.79147699999999999</v>
      </c>
      <c r="AE5725">
        <v>-66.110123999999999</v>
      </c>
      <c r="AF5725">
        <v>-31.142966231105401</v>
      </c>
      <c r="AG5725">
        <v>0.79147699999999999</v>
      </c>
      <c r="AH5725">
        <v>65.297156014672296</v>
      </c>
      <c r="AI5725">
        <v>89.373179459291805</v>
      </c>
      <c r="AJ5725">
        <v>115.4984419698</v>
      </c>
      <c r="AK5725">
        <v>72.347974160426602</v>
      </c>
      <c r="AL5725">
        <v>95.060095736936603</v>
      </c>
      <c r="AM5725">
        <v>100.082959415567</v>
      </c>
      <c r="AN5725">
        <v>0.99999997925506201</v>
      </c>
    </row>
    <row r="5726" spans="1:40" x14ac:dyDescent="0.25">
      <c r="A5726" t="str">
        <f>"20190305135043649"</f>
        <v>20190305135043649</v>
      </c>
      <c r="B5726" t="str">
        <f>"1551765043646252"</f>
        <v>1551765043646252</v>
      </c>
      <c r="C5726" t="s">
        <v>40</v>
      </c>
      <c r="D5726">
        <v>3.9515039999999999</v>
      </c>
      <c r="E5726">
        <v>0.3967099</v>
      </c>
      <c r="F5726" t="s">
        <v>97</v>
      </c>
      <c r="G5726">
        <v>-393.70749999999998</v>
      </c>
      <c r="H5726">
        <v>1.7955950000000001</v>
      </c>
      <c r="I5726">
        <v>0.74478719999999998</v>
      </c>
      <c r="J5726">
        <v>-423.02370000000002</v>
      </c>
      <c r="K5726">
        <v>1.1101460000000001</v>
      </c>
      <c r="L5726">
        <v>66.6785</v>
      </c>
      <c r="M5726">
        <v>-2.62311E-2</v>
      </c>
      <c r="N5726">
        <v>-1.36744E-2</v>
      </c>
      <c r="O5726">
        <v>-0.99956259999999997</v>
      </c>
      <c r="P5726">
        <v>0.14963599999999999</v>
      </c>
      <c r="Q5726">
        <v>-0.1011987</v>
      </c>
      <c r="R5726">
        <v>-0.9835486</v>
      </c>
      <c r="S5726">
        <v>1.2686459999999999</v>
      </c>
      <c r="T5726">
        <v>2.966595E-2</v>
      </c>
      <c r="U5726">
        <v>-2.8613590000000002</v>
      </c>
      <c r="V5726">
        <v>-0.1752754</v>
      </c>
      <c r="W5726">
        <v>-8.8019570000000005E-2</v>
      </c>
      <c r="X5726">
        <v>0.98057689999999997</v>
      </c>
      <c r="Y5726">
        <v>-0.42904170000000003</v>
      </c>
      <c r="Z5726">
        <v>-2.3167299999999998E-2</v>
      </c>
      <c r="AA5726">
        <v>0.90298750000000005</v>
      </c>
      <c r="AB5726">
        <v>31</v>
      </c>
      <c r="AC5726">
        <v>29.316199999999998</v>
      </c>
      <c r="AD5726">
        <v>0.68544899999999997</v>
      </c>
      <c r="AE5726">
        <v>-65.933712799999995</v>
      </c>
      <c r="AF5726">
        <v>-31.032985374177901</v>
      </c>
      <c r="AG5726">
        <v>0.68544899999999997</v>
      </c>
      <c r="AH5726">
        <v>65.136075498240103</v>
      </c>
      <c r="AI5726">
        <v>89.455694312458604</v>
      </c>
      <c r="AJ5726">
        <v>115.474677907431</v>
      </c>
      <c r="AK5726">
        <v>72.154170724068194</v>
      </c>
      <c r="AL5726">
        <v>95.049684687061898</v>
      </c>
      <c r="AM5726">
        <v>100.134432503947</v>
      </c>
      <c r="AN5726">
        <v>0.99999998368087695</v>
      </c>
    </row>
    <row r="5727" spans="1:40" x14ac:dyDescent="0.25">
      <c r="A5727" t="str">
        <f>"20190305135043663"</f>
        <v>20190305135043663</v>
      </c>
      <c r="B5727" t="str">
        <f>"1551765043656011"</f>
        <v>1551765043656011</v>
      </c>
      <c r="C5727" t="s">
        <v>40</v>
      </c>
      <c r="D5727">
        <v>3.992451</v>
      </c>
      <c r="E5727">
        <v>0.3964107</v>
      </c>
      <c r="F5727" t="s">
        <v>97</v>
      </c>
      <c r="G5727">
        <v>-393.53809999999999</v>
      </c>
      <c r="H5727">
        <v>2.279468</v>
      </c>
      <c r="I5727">
        <v>0.74651149999999999</v>
      </c>
      <c r="J5727">
        <v>-423.02850000000001</v>
      </c>
      <c r="K5727">
        <v>1.110147</v>
      </c>
      <c r="L5727">
        <v>66.478579999999994</v>
      </c>
      <c r="M5727">
        <v>-2.5827280000000001E-2</v>
      </c>
      <c r="N5727">
        <v>-1.3673299999999999E-2</v>
      </c>
      <c r="O5727">
        <v>-0.99957309999999999</v>
      </c>
      <c r="P5727">
        <v>0.15149779999999999</v>
      </c>
      <c r="Q5727">
        <v>-0.1014144</v>
      </c>
      <c r="R5727">
        <v>-0.98324160000000005</v>
      </c>
      <c r="S5727">
        <v>1.279358</v>
      </c>
      <c r="T5727">
        <v>5.0735000000000002E-2</v>
      </c>
      <c r="U5727">
        <v>-2.8607480000000001</v>
      </c>
      <c r="V5727">
        <v>-0.1767329</v>
      </c>
      <c r="W5727">
        <v>-8.8241790000000001E-2</v>
      </c>
      <c r="X5727">
        <v>0.98029529999999998</v>
      </c>
      <c r="Y5727">
        <v>-0.43151450000000002</v>
      </c>
      <c r="Z5727">
        <v>-2.9832830000000001E-2</v>
      </c>
      <c r="AA5727">
        <v>0.90161259999999999</v>
      </c>
      <c r="AB5727">
        <v>31</v>
      </c>
      <c r="AC5727">
        <v>29.490400000000001</v>
      </c>
      <c r="AD5727">
        <v>1.1693209999999901</v>
      </c>
      <c r="AE5727">
        <v>-65.732068499999997</v>
      </c>
      <c r="AF5727">
        <v>-31.1701884810332</v>
      </c>
      <c r="AG5727">
        <v>1.1693209999999901</v>
      </c>
      <c r="AH5727">
        <v>64.931304688129501</v>
      </c>
      <c r="AI5727">
        <v>89.069893481101502</v>
      </c>
      <c r="AJ5727">
        <v>115.643273638577</v>
      </c>
      <c r="AK5727">
        <v>72.034868571039198</v>
      </c>
      <c r="AL5727">
        <v>95.062466591505299</v>
      </c>
      <c r="AM5727">
        <v>100.219810250094</v>
      </c>
      <c r="AN5727">
        <v>1.00000000332345</v>
      </c>
    </row>
    <row r="5728" spans="1:40" x14ac:dyDescent="0.25">
      <c r="A5728" t="str">
        <f>"20190305135043679"</f>
        <v>20190305135043679</v>
      </c>
      <c r="B5728" t="str">
        <f>"1551765043675531"</f>
        <v>1551765043675531</v>
      </c>
      <c r="C5728" t="s">
        <v>40</v>
      </c>
      <c r="D5728">
        <v>3.9624540000000001</v>
      </c>
      <c r="E5728">
        <v>0.39583259999999998</v>
      </c>
      <c r="F5728" t="s">
        <v>97</v>
      </c>
      <c r="G5728">
        <v>-393.40910000000002</v>
      </c>
      <c r="H5728">
        <v>2.4551750000000001</v>
      </c>
      <c r="I5728">
        <v>0.74782369999999898</v>
      </c>
      <c r="J5728">
        <v>-423.03359999999998</v>
      </c>
      <c r="K5728">
        <v>1.1101490000000001</v>
      </c>
      <c r="L5728">
        <v>66.264830000000003</v>
      </c>
      <c r="M5728">
        <v>-2.5395839999999999E-2</v>
      </c>
      <c r="N5728">
        <v>-1.36721E-2</v>
      </c>
      <c r="O5728">
        <v>-0.99958429999999998</v>
      </c>
      <c r="P5728">
        <v>0.15239440000000001</v>
      </c>
      <c r="Q5728">
        <v>-0.10143629999999999</v>
      </c>
      <c r="R5728">
        <v>-0.983101</v>
      </c>
      <c r="S5728">
        <v>1.2881769999999999</v>
      </c>
      <c r="T5728">
        <v>5.8495640000000002E-2</v>
      </c>
      <c r="U5728">
        <v>-2.8587039999999999</v>
      </c>
      <c r="V5728">
        <v>-0.17720320000000001</v>
      </c>
      <c r="W5728">
        <v>-8.8266440000000002E-2</v>
      </c>
      <c r="X5728">
        <v>0.98020819999999997</v>
      </c>
      <c r="Y5728">
        <v>-0.43365480000000001</v>
      </c>
      <c r="Z5728">
        <v>-3.2281129999999998E-2</v>
      </c>
      <c r="AA5728">
        <v>0.90050069999999904</v>
      </c>
      <c r="AB5728">
        <v>31</v>
      </c>
      <c r="AC5728">
        <v>29.624499999999902</v>
      </c>
      <c r="AD5728">
        <v>1.3450260000000001</v>
      </c>
      <c r="AE5728">
        <v>-65.517006299999906</v>
      </c>
      <c r="AF5728">
        <v>-31.2680167715659</v>
      </c>
      <c r="AG5728">
        <v>1.3450260000000001</v>
      </c>
      <c r="AH5728">
        <v>64.720815432610607</v>
      </c>
      <c r="AI5728">
        <v>88.927973418436096</v>
      </c>
      <c r="AJ5728">
        <v>115.786186481844</v>
      </c>
      <c r="AK5728">
        <v>71.890763788053107</v>
      </c>
      <c r="AL5728">
        <v>95.063884345145595</v>
      </c>
      <c r="AM5728">
        <v>100.247321748676</v>
      </c>
      <c r="AN5728">
        <v>1.00000002693387</v>
      </c>
    </row>
    <row r="5729" spans="1:40" x14ac:dyDescent="0.25">
      <c r="A5729" t="str">
        <f>"20190305135043697"</f>
        <v>20190305135043697</v>
      </c>
      <c r="B5729" t="str">
        <f>"1551765043696027"</f>
        <v>1551765043696027</v>
      </c>
      <c r="C5729" t="s">
        <v>40</v>
      </c>
      <c r="D5729">
        <v>4.0749649999999997</v>
      </c>
      <c r="E5729">
        <v>0.3959838</v>
      </c>
      <c r="F5729" t="s">
        <v>97</v>
      </c>
      <c r="G5729">
        <v>-393.32350000000002</v>
      </c>
      <c r="H5729">
        <v>2.7462650000000002</v>
      </c>
      <c r="I5729">
        <v>0.74869540000000001</v>
      </c>
      <c r="J5729">
        <v>-423.03960000000001</v>
      </c>
      <c r="K5729">
        <v>1.1101479999999999</v>
      </c>
      <c r="L5729">
        <v>66.006590000000003</v>
      </c>
      <c r="M5729">
        <v>-2.4874150000000001E-2</v>
      </c>
      <c r="N5729">
        <v>-1.367062E-2</v>
      </c>
      <c r="O5729">
        <v>-0.99959710000000002</v>
      </c>
      <c r="P5729">
        <v>0.1537868</v>
      </c>
      <c r="Q5729">
        <v>-0.1016546</v>
      </c>
      <c r="R5729">
        <v>-0.9828614</v>
      </c>
      <c r="S5729">
        <v>1.2960510000000001</v>
      </c>
      <c r="T5729">
        <v>7.1371669999999998E-2</v>
      </c>
      <c r="U5729">
        <v>-2.8580320000000001</v>
      </c>
      <c r="V5729">
        <v>-0.17807829999999999</v>
      </c>
      <c r="W5729">
        <v>-8.8489460000000006E-2</v>
      </c>
      <c r="X5729">
        <v>0.9800295</v>
      </c>
      <c r="Y5729">
        <v>-0.43527680000000002</v>
      </c>
      <c r="Z5729">
        <v>-3.633919E-2</v>
      </c>
      <c r="AA5729">
        <v>0.899562999999999</v>
      </c>
      <c r="AB5729">
        <v>31</v>
      </c>
      <c r="AC5729">
        <v>29.716099999999901</v>
      </c>
      <c r="AD5729">
        <v>1.636117</v>
      </c>
      <c r="AE5729">
        <v>-65.2578946</v>
      </c>
      <c r="AF5729">
        <v>-31.313987296543001</v>
      </c>
      <c r="AG5729">
        <v>1.636117</v>
      </c>
      <c r="AH5729">
        <v>64.464905389064299</v>
      </c>
      <c r="AI5729">
        <v>88.692213654368501</v>
      </c>
      <c r="AJ5729">
        <v>115.908278351413</v>
      </c>
      <c r="AK5729">
        <v>71.686586653757999</v>
      </c>
      <c r="AL5729">
        <v>95.076712563923806</v>
      </c>
      <c r="AM5729">
        <v>100.298684454549</v>
      </c>
      <c r="AN5729">
        <v>1.00000004316611</v>
      </c>
    </row>
    <row r="5730" spans="1:40" x14ac:dyDescent="0.25">
      <c r="A5730" t="str">
        <f>"20190305135043712"</f>
        <v>20190305135043712</v>
      </c>
      <c r="B5730" t="str">
        <f>"1551765043705788"</f>
        <v>1551765043705788</v>
      </c>
      <c r="C5730" t="s">
        <v>40</v>
      </c>
      <c r="D5730">
        <v>4.1331439999999997</v>
      </c>
      <c r="E5730">
        <v>0.39641500000000002</v>
      </c>
      <c r="F5730" t="s">
        <v>97</v>
      </c>
      <c r="G5730">
        <v>-393.35759999999999</v>
      </c>
      <c r="H5730">
        <v>2.8018839999999998</v>
      </c>
      <c r="I5730">
        <v>0.74835010000000002</v>
      </c>
      <c r="J5730">
        <v>-423.04430000000002</v>
      </c>
      <c r="K5730">
        <v>1.11015</v>
      </c>
      <c r="L5730">
        <v>65.800110000000004</v>
      </c>
      <c r="M5730">
        <v>-2.4456720000000001E-2</v>
      </c>
      <c r="N5730">
        <v>-1.3669399999999899E-2</v>
      </c>
      <c r="O5730">
        <v>-0.99960740000000003</v>
      </c>
      <c r="P5730">
        <v>0.154418</v>
      </c>
      <c r="Q5730">
        <v>-0.1017266</v>
      </c>
      <c r="R5730">
        <v>-0.98275489999999999</v>
      </c>
      <c r="S5730">
        <v>1.2993159999999999</v>
      </c>
      <c r="T5730">
        <v>7.4054120000000001E-2</v>
      </c>
      <c r="U5730">
        <v>-2.8566590000000001</v>
      </c>
      <c r="V5730">
        <v>-0.1782977</v>
      </c>
      <c r="W5730">
        <v>-8.8563249999999996E-2</v>
      </c>
      <c r="X5730">
        <v>0.97998289999999999</v>
      </c>
      <c r="Y5730">
        <v>-0.4359053</v>
      </c>
      <c r="Z5730">
        <v>-3.7187070000000003E-2</v>
      </c>
      <c r="AA5730">
        <v>0.89922400000000002</v>
      </c>
      <c r="AB5730">
        <v>31</v>
      </c>
      <c r="AC5730">
        <v>29.686699999999998</v>
      </c>
      <c r="AD5730">
        <v>1.6917339999999901</v>
      </c>
      <c r="AE5730">
        <v>-65.051759899999993</v>
      </c>
      <c r="AF5730">
        <v>-31.251427478970101</v>
      </c>
      <c r="AG5730">
        <v>1.6917339999999901</v>
      </c>
      <c r="AH5730">
        <v>64.270216880961996</v>
      </c>
      <c r="AI5730">
        <v>88.643944723908007</v>
      </c>
      <c r="AJ5730">
        <v>115.931362769214</v>
      </c>
      <c r="AK5730">
        <v>71.485484270066905</v>
      </c>
      <c r="AL5730">
        <v>95.080957295320303</v>
      </c>
      <c r="AM5730">
        <v>100.311580637465</v>
      </c>
      <c r="AN5730">
        <v>1.0000000016841299</v>
      </c>
    </row>
    <row r="5731" spans="1:40" x14ac:dyDescent="0.25">
      <c r="A5731" t="str">
        <f>"20190305135043727"</f>
        <v>20190305135043727</v>
      </c>
      <c r="B5731" t="str">
        <f>"1551765043715547"</f>
        <v>1551765043715547</v>
      </c>
      <c r="C5731" t="s">
        <v>40</v>
      </c>
      <c r="D5731">
        <v>4.1274739999999897</v>
      </c>
      <c r="E5731">
        <v>0.39680409999999999</v>
      </c>
      <c r="F5731" t="s">
        <v>97</v>
      </c>
      <c r="G5731">
        <v>-393.48880000000003</v>
      </c>
      <c r="H5731">
        <v>2.7444099999999998</v>
      </c>
      <c r="I5731">
        <v>0.74701499999999998</v>
      </c>
      <c r="J5731">
        <v>-423.04880000000003</v>
      </c>
      <c r="K5731">
        <v>1.1101490000000001</v>
      </c>
      <c r="L5731">
        <v>65.594210000000004</v>
      </c>
      <c r="M5731">
        <v>-2.4040700000000002E-2</v>
      </c>
      <c r="N5731">
        <v>-1.366817E-2</v>
      </c>
      <c r="O5731">
        <v>-0.99961789999999995</v>
      </c>
      <c r="P5731">
        <v>0.1552181</v>
      </c>
      <c r="Q5731">
        <v>-0.1019523</v>
      </c>
      <c r="R5731">
        <v>-0.98260550000000002</v>
      </c>
      <c r="S5731">
        <v>1.2976379999999901</v>
      </c>
      <c r="T5731">
        <v>7.1751480000000006E-2</v>
      </c>
      <c r="U5731">
        <v>-2.8561709999999998</v>
      </c>
      <c r="V5731">
        <v>-0.1786866</v>
      </c>
      <c r="W5731">
        <v>-8.879165E-2</v>
      </c>
      <c r="X5731">
        <v>0.97989139999999997</v>
      </c>
      <c r="Y5731">
        <v>-0.43515959999999998</v>
      </c>
      <c r="Z5731">
        <v>-3.646692E-2</v>
      </c>
      <c r="AA5731">
        <v>0.89961449999999998</v>
      </c>
      <c r="AB5731">
        <v>31</v>
      </c>
      <c r="AC5731">
        <v>29.56</v>
      </c>
      <c r="AD5731">
        <v>1.63426099999999</v>
      </c>
      <c r="AE5731">
        <v>-64.847194999999999</v>
      </c>
      <c r="AF5731">
        <v>-31.094220885831401</v>
      </c>
      <c r="AG5731">
        <v>1.63426099999999</v>
      </c>
      <c r="AH5731">
        <v>64.084041065522499</v>
      </c>
      <c r="AI5731">
        <v>88.685655805917506</v>
      </c>
      <c r="AJ5731">
        <v>115.883127653597</v>
      </c>
      <c r="AK5731">
        <v>71.248057522999005</v>
      </c>
      <c r="AL5731">
        <v>95.094095383400997</v>
      </c>
      <c r="AM5731">
        <v>100.334532159964</v>
      </c>
      <c r="AN5731">
        <v>1.0000000069616199</v>
      </c>
    </row>
    <row r="5732" spans="1:40" x14ac:dyDescent="0.25">
      <c r="A5732" t="str">
        <f>"20190305135043743"</f>
        <v>20190305135043743</v>
      </c>
      <c r="B5732" t="str">
        <f>"1551765043736045"</f>
        <v>1551765043736045</v>
      </c>
      <c r="C5732" t="s">
        <v>40</v>
      </c>
      <c r="D5732">
        <v>4.1406489999999998</v>
      </c>
      <c r="E5732">
        <v>0.39746219999999999</v>
      </c>
      <c r="F5732" t="s">
        <v>97</v>
      </c>
      <c r="G5732">
        <v>-393.59589999999997</v>
      </c>
      <c r="H5732">
        <v>2.6656960000000001</v>
      </c>
      <c r="I5732">
        <v>0.74592590000000003</v>
      </c>
      <c r="J5732">
        <v>-423.05369999999999</v>
      </c>
      <c r="K5732">
        <v>1.1101479999999999</v>
      </c>
      <c r="L5732">
        <v>65.372529999999998</v>
      </c>
      <c r="M5732">
        <v>-2.3591399999999998E-2</v>
      </c>
      <c r="N5732">
        <v>-1.3666859999999999E-2</v>
      </c>
      <c r="O5732">
        <v>-0.99962839999999997</v>
      </c>
      <c r="P5732">
        <v>0.15619330000000001</v>
      </c>
      <c r="Q5732">
        <v>-0.1021114</v>
      </c>
      <c r="R5732">
        <v>-0.98243429999999998</v>
      </c>
      <c r="S5732">
        <v>1.2968440000000001</v>
      </c>
      <c r="T5732">
        <v>6.8491460000000004E-2</v>
      </c>
      <c r="U5732">
        <v>-2.8553470000000001</v>
      </c>
      <c r="V5732">
        <v>-0.1792175</v>
      </c>
      <c r="W5732">
        <v>-8.8954199999999997E-2</v>
      </c>
      <c r="X5732">
        <v>0.97977970000000003</v>
      </c>
      <c r="Y5732">
        <v>-0.43465779999999898</v>
      </c>
      <c r="Z5732">
        <v>-3.5442389999999997E-2</v>
      </c>
      <c r="AA5732">
        <v>0.89989809999999903</v>
      </c>
      <c r="AB5732">
        <v>31</v>
      </c>
      <c r="AC5732">
        <v>29.457799999999999</v>
      </c>
      <c r="AD5732">
        <v>1.5555479999999999</v>
      </c>
      <c r="AE5732">
        <v>-64.626604099999994</v>
      </c>
      <c r="AF5732">
        <v>-30.959523187617702</v>
      </c>
      <c r="AG5732">
        <v>1.5555479999999999</v>
      </c>
      <c r="AH5732">
        <v>63.882954558380597</v>
      </c>
      <c r="AI5732">
        <v>88.744716565522197</v>
      </c>
      <c r="AJ5732">
        <v>115.85616724446299</v>
      </c>
      <c r="AK5732">
        <v>71.006645384027706</v>
      </c>
      <c r="AL5732">
        <v>95.103445790173694</v>
      </c>
      <c r="AM5732">
        <v>100.36572880722299</v>
      </c>
      <c r="AN5732">
        <v>1.0000000112679801</v>
      </c>
    </row>
    <row r="5733" spans="1:40" x14ac:dyDescent="0.25">
      <c r="A5733" t="str">
        <f>"20190305135043764"</f>
        <v>20190305135043764</v>
      </c>
      <c r="B5733" t="str">
        <f>"1551765043755563"</f>
        <v>1551765043755563</v>
      </c>
      <c r="C5733" t="s">
        <v>40</v>
      </c>
      <c r="D5733">
        <v>4.1318239999999999</v>
      </c>
      <c r="E5733">
        <v>0.39795350000000002</v>
      </c>
      <c r="F5733" t="s">
        <v>97</v>
      </c>
      <c r="G5733">
        <v>-393.73559999999998</v>
      </c>
      <c r="H5733">
        <v>2.5718869999999998</v>
      </c>
      <c r="I5733">
        <v>0.74450490000000002</v>
      </c>
      <c r="J5733">
        <v>-423.06</v>
      </c>
      <c r="K5733">
        <v>1.110161</v>
      </c>
      <c r="L5733">
        <v>65.078249999999997</v>
      </c>
      <c r="M5733">
        <v>-2.2986889999999999E-2</v>
      </c>
      <c r="N5733">
        <v>-1.3665149999999999E-2</v>
      </c>
      <c r="O5733">
        <v>-0.99964240000000004</v>
      </c>
      <c r="P5733">
        <v>0.157729799999999</v>
      </c>
      <c r="Q5733">
        <v>-0.1017726</v>
      </c>
      <c r="R5733">
        <v>-0.98222399999999999</v>
      </c>
      <c r="S5733">
        <v>1.2949219999999999</v>
      </c>
      <c r="T5733">
        <v>6.4560889999999996E-2</v>
      </c>
      <c r="U5733">
        <v>-2.854492</v>
      </c>
      <c r="V5733">
        <v>-0.18015680000000001</v>
      </c>
      <c r="W5733">
        <v>-8.8621619999999998E-2</v>
      </c>
      <c r="X5733">
        <v>0.9796376</v>
      </c>
      <c r="Y5733">
        <v>-0.4337261</v>
      </c>
      <c r="Z5733">
        <v>-3.4207550000000003E-2</v>
      </c>
      <c r="AA5733">
        <v>0.90039519999999995</v>
      </c>
      <c r="AB5733">
        <v>31</v>
      </c>
      <c r="AC5733">
        <v>29.324400000000001</v>
      </c>
      <c r="AD5733">
        <v>1.4617260000000001</v>
      </c>
      <c r="AE5733">
        <v>-64.333745100000002</v>
      </c>
      <c r="AF5733">
        <v>-30.782463324465901</v>
      </c>
      <c r="AG5733">
        <v>1.4617260000000001</v>
      </c>
      <c r="AH5733">
        <v>63.615411639797799</v>
      </c>
      <c r="AI5733">
        <v>88.815100495139205</v>
      </c>
      <c r="AJ5733">
        <v>115.821584949705</v>
      </c>
      <c r="AK5733">
        <v>70.686754695077695</v>
      </c>
      <c r="AL5733">
        <v>95.084314627502494</v>
      </c>
      <c r="AM5733">
        <v>100.42034824653101</v>
      </c>
      <c r="AN5733">
        <v>1.0000000457257101</v>
      </c>
    </row>
    <row r="5734" spans="1:40" x14ac:dyDescent="0.25">
      <c r="A5734" t="str">
        <f>"20190305135043780"</f>
        <v>20190305135043780</v>
      </c>
      <c r="B5734" t="str">
        <f>"1551765043776059"</f>
        <v>1551765043776059</v>
      </c>
      <c r="C5734" t="s">
        <v>40</v>
      </c>
      <c r="D5734">
        <v>4.1718339999999996</v>
      </c>
      <c r="E5734">
        <v>0.39870719999999998</v>
      </c>
      <c r="F5734" t="s">
        <v>97</v>
      </c>
      <c r="G5734">
        <v>-393.85120000000001</v>
      </c>
      <c r="H5734">
        <v>2.5104690000000001</v>
      </c>
      <c r="I5734">
        <v>0.74332810000000005</v>
      </c>
      <c r="J5734">
        <v>-423.06450000000001</v>
      </c>
      <c r="K5734">
        <v>1.1101650000000001</v>
      </c>
      <c r="L5734">
        <v>64.862519999999904</v>
      </c>
      <c r="M5734">
        <v>-2.2531369999999998E-2</v>
      </c>
      <c r="N5734">
        <v>-1.3663949999999999E-2</v>
      </c>
      <c r="O5734">
        <v>-0.99965289999999996</v>
      </c>
      <c r="P5734">
        <v>0.15861329999999901</v>
      </c>
      <c r="Q5734">
        <v>-0.1017034</v>
      </c>
      <c r="R5734">
        <v>-0.98208879999999998</v>
      </c>
      <c r="S5734">
        <v>1.295166</v>
      </c>
      <c r="T5734">
        <v>6.2090869999999999E-2</v>
      </c>
      <c r="U5734">
        <v>-2.852722</v>
      </c>
      <c r="V5734">
        <v>-0.18058979999999999</v>
      </c>
      <c r="W5734">
        <v>-8.8558349999999994E-2</v>
      </c>
      <c r="X5734">
        <v>0.97956350000000003</v>
      </c>
      <c r="Y5734">
        <v>-0.43359829999999999</v>
      </c>
      <c r="Z5734">
        <v>-3.3433940000000002E-2</v>
      </c>
      <c r="AA5734">
        <v>0.9004858</v>
      </c>
      <c r="AB5734">
        <v>31</v>
      </c>
      <c r="AC5734">
        <v>29.2133</v>
      </c>
      <c r="AD5734">
        <v>1.400304</v>
      </c>
      <c r="AE5734">
        <v>-64.119191899999905</v>
      </c>
      <c r="AF5734">
        <v>-30.638609324188401</v>
      </c>
      <c r="AG5734">
        <v>1.400304</v>
      </c>
      <c r="AH5734">
        <v>63.419586131119097</v>
      </c>
      <c r="AI5734">
        <v>88.8610273929296</v>
      </c>
      <c r="AJ5734">
        <v>115.78563301448401</v>
      </c>
      <c r="AK5734">
        <v>70.446640357472702</v>
      </c>
      <c r="AL5734">
        <v>95.080675682060601</v>
      </c>
      <c r="AM5734">
        <v>100.445615325189</v>
      </c>
      <c r="AN5734">
        <v>0.999999953875505</v>
      </c>
    </row>
    <row r="5735" spans="1:40" x14ac:dyDescent="0.25">
      <c r="A5735" t="str">
        <f>"20190305135043794"</f>
        <v>20190305135043794</v>
      </c>
      <c r="B5735" t="str">
        <f>"1551765043785820"</f>
        <v>1551765043785820</v>
      </c>
      <c r="C5735" t="s">
        <v>40</v>
      </c>
      <c r="D5735">
        <v>4.1447190000000003</v>
      </c>
      <c r="E5735">
        <v>0.39902169999999998</v>
      </c>
      <c r="F5735" t="s">
        <v>54</v>
      </c>
      <c r="G5735">
        <v>-408.49990000000003</v>
      </c>
      <c r="H5735">
        <v>1.736157</v>
      </c>
      <c r="I5735">
        <v>32.707169999999998</v>
      </c>
      <c r="J5735">
        <v>-423.0684</v>
      </c>
      <c r="K5735">
        <v>1.1101760000000001</v>
      </c>
      <c r="L5735">
        <v>64.667509999999993</v>
      </c>
      <c r="M5735">
        <v>-2.2109119999999999E-2</v>
      </c>
      <c r="N5735">
        <v>-1.366289E-2</v>
      </c>
      <c r="O5735">
        <v>-0.9996623</v>
      </c>
      <c r="P5735">
        <v>0.15940489999999999</v>
      </c>
      <c r="Q5735">
        <v>-0.1013681</v>
      </c>
      <c r="R5735">
        <v>-0.98199550000000002</v>
      </c>
      <c r="S5735">
        <v>1.2917179999999999</v>
      </c>
      <c r="T5735">
        <v>5.5518749999999999E-2</v>
      </c>
      <c r="U5735">
        <v>-2.8518370000000002</v>
      </c>
      <c r="V5735">
        <v>-0.18096419999999999</v>
      </c>
      <c r="W5735">
        <v>-8.8229479999999999E-2</v>
      </c>
      <c r="X5735">
        <v>0.97952410000000001</v>
      </c>
      <c r="Y5735">
        <v>-0.43244129999999997</v>
      </c>
      <c r="Z5735">
        <v>-3.1361609999999998E-2</v>
      </c>
      <c r="AA5735">
        <v>0.90111649999999999</v>
      </c>
      <c r="AB5735">
        <v>31</v>
      </c>
      <c r="AC5735">
        <v>14.568499999999901</v>
      </c>
      <c r="AD5735">
        <v>0.62598099999999901</v>
      </c>
      <c r="AE5735">
        <v>-31.960339999999899</v>
      </c>
      <c r="AF5735">
        <v>-15.2667700784069</v>
      </c>
      <c r="AG5735">
        <v>0.62598099999999901</v>
      </c>
      <c r="AH5735">
        <v>31.6203561861502</v>
      </c>
      <c r="AI5735">
        <v>88.978660516484197</v>
      </c>
      <c r="AJ5735">
        <v>115.77192939733</v>
      </c>
      <c r="AK5735">
        <v>35.118557005923698</v>
      </c>
      <c r="AL5735">
        <v>95.061758674373806</v>
      </c>
      <c r="AM5735">
        <v>100.46720483574499</v>
      </c>
      <c r="AN5735">
        <v>0.99999997265175899</v>
      </c>
    </row>
    <row r="5736" spans="1:40" x14ac:dyDescent="0.25">
      <c r="A5736" t="str">
        <f>"20190305135043809"</f>
        <v>20190305135043809</v>
      </c>
      <c r="B5736" t="str">
        <f>"1551765043806316"</f>
        <v>1551765043806316</v>
      </c>
      <c r="C5736" t="s">
        <v>40</v>
      </c>
      <c r="D5736">
        <v>4.1597580000000001</v>
      </c>
      <c r="E5736">
        <v>0.39943070000000003</v>
      </c>
      <c r="F5736" t="s">
        <v>54</v>
      </c>
      <c r="G5736">
        <v>-408.57810000000001</v>
      </c>
      <c r="H5736">
        <v>1.709095</v>
      </c>
      <c r="I5736">
        <v>32.662950000000002</v>
      </c>
      <c r="J5736">
        <v>-423.07260000000002</v>
      </c>
      <c r="K5736">
        <v>1.1101970000000001</v>
      </c>
      <c r="L5736">
        <v>64.455629999999999</v>
      </c>
      <c r="M5736">
        <v>-2.163576E-2</v>
      </c>
      <c r="N5736">
        <v>-1.366174E-2</v>
      </c>
      <c r="O5736">
        <v>-0.99967280000000003</v>
      </c>
      <c r="P5736">
        <v>0.16059909999999999</v>
      </c>
      <c r="Q5736">
        <v>-0.1013389</v>
      </c>
      <c r="R5736">
        <v>-0.9818038</v>
      </c>
      <c r="S5736">
        <v>1.290802</v>
      </c>
      <c r="T5736">
        <v>5.3351879999999997E-2</v>
      </c>
      <c r="U5736">
        <v>-2.8509829999999998</v>
      </c>
      <c r="V5736">
        <v>-0.1816874</v>
      </c>
      <c r="W5736">
        <v>-8.8210880000000005E-2</v>
      </c>
      <c r="X5736">
        <v>0.97939189999999998</v>
      </c>
      <c r="Y5736">
        <v>-0.4318824</v>
      </c>
      <c r="Z5736">
        <v>-3.0679479999999999E-2</v>
      </c>
      <c r="AA5736">
        <v>0.90140799999999999</v>
      </c>
      <c r="AB5736">
        <v>31</v>
      </c>
      <c r="AC5736">
        <v>14.4945</v>
      </c>
      <c r="AD5736">
        <v>0.59889800000000004</v>
      </c>
      <c r="AE5736">
        <v>-31.792680000000001</v>
      </c>
      <c r="AF5736">
        <v>-15.174571179124801</v>
      </c>
      <c r="AG5736">
        <v>0.59889800000000004</v>
      </c>
      <c r="AH5736">
        <v>31.462364496950901</v>
      </c>
      <c r="AI5736">
        <v>89.017739475929503</v>
      </c>
      <c r="AJ5736">
        <v>115.748416317313</v>
      </c>
      <c r="AK5736">
        <v>34.935750586236502</v>
      </c>
      <c r="AL5736">
        <v>95.060688752823907</v>
      </c>
      <c r="AM5736">
        <v>100.509492533925</v>
      </c>
      <c r="AN5736">
        <v>0.99999998222737196</v>
      </c>
    </row>
    <row r="5737" spans="1:40" x14ac:dyDescent="0.25">
      <c r="A5737" t="str">
        <f>"20190305135043825"</f>
        <v>20190305135043825</v>
      </c>
      <c r="B5737" t="str">
        <f>"1551765043816076"</f>
        <v>1551765043816076</v>
      </c>
      <c r="C5737" t="s">
        <v>40</v>
      </c>
      <c r="D5737">
        <v>4.1459029999999997</v>
      </c>
      <c r="E5737">
        <v>0.3995899</v>
      </c>
      <c r="F5737" t="s">
        <v>97</v>
      </c>
      <c r="G5737">
        <v>-394.49689999999998</v>
      </c>
      <c r="H5737">
        <v>2.205025</v>
      </c>
      <c r="I5737">
        <v>1.378414</v>
      </c>
      <c r="J5737">
        <v>-423.07690000000002</v>
      </c>
      <c r="K5737">
        <v>1.110222</v>
      </c>
      <c r="L5737">
        <v>64.235990000000001</v>
      </c>
      <c r="M5737">
        <v>-2.1116269999999999E-2</v>
      </c>
      <c r="N5737">
        <v>-1.366067E-2</v>
      </c>
      <c r="O5737">
        <v>-0.99968389999999996</v>
      </c>
      <c r="P5737">
        <v>0.16137839999999901</v>
      </c>
      <c r="Q5737">
        <v>-0.10189570000000001</v>
      </c>
      <c r="R5737">
        <v>-0.98161860000000001</v>
      </c>
      <c r="S5737">
        <v>1.290924</v>
      </c>
      <c r="T5737">
        <v>4.9458269999999999E-2</v>
      </c>
      <c r="U5737">
        <v>-2.849548</v>
      </c>
      <c r="V5737">
        <v>-0.18194859999999999</v>
      </c>
      <c r="W5737">
        <v>-8.8780559999999994E-2</v>
      </c>
      <c r="X5737">
        <v>0.97929200000000005</v>
      </c>
      <c r="Y5737">
        <v>-0.43162810000000001</v>
      </c>
      <c r="Z5737">
        <v>-2.9448470000000001E-2</v>
      </c>
      <c r="AA5737">
        <v>0.90157089999999995</v>
      </c>
      <c r="AB5737">
        <v>31</v>
      </c>
      <c r="AC5737">
        <v>28.58</v>
      </c>
      <c r="AD5737">
        <v>1.094803</v>
      </c>
      <c r="AE5737">
        <v>-62.857576000000002</v>
      </c>
      <c r="AF5737">
        <v>-29.893552476575699</v>
      </c>
      <c r="AG5737">
        <v>1.094803</v>
      </c>
      <c r="AH5737">
        <v>62.224356142461303</v>
      </c>
      <c r="AI5737">
        <v>89.091409489618698</v>
      </c>
      <c r="AJ5737">
        <v>115.660356656896</v>
      </c>
      <c r="AK5737">
        <v>69.041245430702205</v>
      </c>
      <c r="AL5737">
        <v>95.093457228587695</v>
      </c>
      <c r="AM5737">
        <v>100.52531363268599</v>
      </c>
      <c r="AN5737">
        <v>1.0000000510699301</v>
      </c>
    </row>
    <row r="5738" spans="1:40" x14ac:dyDescent="0.25">
      <c r="A5738" t="str">
        <f>"20190305135043855"</f>
        <v>20190305135043855</v>
      </c>
      <c r="B5738" t="str">
        <f>"1551765043846335"</f>
        <v>1551765043846335</v>
      </c>
      <c r="C5738" t="s">
        <v>40</v>
      </c>
      <c r="D5738">
        <v>4.1371520000000004</v>
      </c>
      <c r="E5738">
        <v>0.4001285</v>
      </c>
      <c r="F5738" t="s">
        <v>97</v>
      </c>
      <c r="G5738">
        <v>-394.56670000000003</v>
      </c>
      <c r="H5738">
        <v>2.1334390000000001</v>
      </c>
      <c r="I5738">
        <v>1.3755250000000001</v>
      </c>
      <c r="J5738">
        <v>-423.08420000000001</v>
      </c>
      <c r="K5738">
        <v>1.1102829999999999</v>
      </c>
      <c r="L5738">
        <v>63.834690000000002</v>
      </c>
      <c r="M5738">
        <v>-2.0082949999999999E-2</v>
      </c>
      <c r="N5738">
        <v>-1.3659050000000001E-2</v>
      </c>
      <c r="O5738">
        <v>-0.99970510000000001</v>
      </c>
      <c r="P5738">
        <v>0.16278570000000001</v>
      </c>
      <c r="Q5738">
        <v>-0.10293910000000001</v>
      </c>
      <c r="R5738">
        <v>-0.98127699999999995</v>
      </c>
      <c r="S5738">
        <v>1.2919620000000001</v>
      </c>
      <c r="T5738">
        <v>4.6366810000000001E-2</v>
      </c>
      <c r="U5738">
        <v>-2.8485719999999999</v>
      </c>
      <c r="V5738">
        <v>-0.1823236</v>
      </c>
      <c r="W5738">
        <v>-8.9854519999999993E-2</v>
      </c>
      <c r="X5738">
        <v>0.9791242</v>
      </c>
      <c r="Y5738">
        <v>-0.43109320000000001</v>
      </c>
      <c r="Z5738">
        <v>-2.8467300000000001E-2</v>
      </c>
      <c r="AA5738">
        <v>0.90185820000000005</v>
      </c>
      <c r="AB5738">
        <v>31</v>
      </c>
      <c r="AC5738">
        <v>28.517499999999899</v>
      </c>
      <c r="AD5738">
        <v>1.023156</v>
      </c>
      <c r="AE5738">
        <v>-62.459164999999999</v>
      </c>
      <c r="AF5738">
        <v>-29.759620412889301</v>
      </c>
      <c r="AG5738">
        <v>1.023156</v>
      </c>
      <c r="AH5738">
        <v>61.860060559216798</v>
      </c>
      <c r="AI5738">
        <v>89.146082785643202</v>
      </c>
      <c r="AJ5738">
        <v>115.691263586855</v>
      </c>
      <c r="AK5738">
        <v>68.653834180689202</v>
      </c>
      <c r="AL5738">
        <v>95.155237974991707</v>
      </c>
      <c r="AM5738">
        <v>100.548287197064</v>
      </c>
      <c r="AN5738">
        <v>0.99999996445351402</v>
      </c>
    </row>
    <row r="5739" spans="1:40" x14ac:dyDescent="0.25">
      <c r="A5739" t="str">
        <f>"20190305135043876"</f>
        <v>20190305135043876</v>
      </c>
      <c r="B5739" t="str">
        <f>"1551765043865860"</f>
        <v>1551765043865860</v>
      </c>
      <c r="C5739" t="s">
        <v>40</v>
      </c>
      <c r="D5739">
        <v>4.1164040000000002</v>
      </c>
      <c r="E5739">
        <v>0.40031889999999998</v>
      </c>
      <c r="F5739" t="s">
        <v>97</v>
      </c>
      <c r="G5739">
        <v>-394.74380000000002</v>
      </c>
      <c r="H5739">
        <v>1.895257</v>
      </c>
      <c r="I5739">
        <v>1.368185</v>
      </c>
      <c r="J5739">
        <v>-423.08929999999998</v>
      </c>
      <c r="K5739">
        <v>1.1103369999999999</v>
      </c>
      <c r="L5739">
        <v>63.532350000000001</v>
      </c>
      <c r="M5739">
        <v>-1.9219159999999999E-2</v>
      </c>
      <c r="N5739">
        <v>-1.365799E-2</v>
      </c>
      <c r="O5739">
        <v>-0.99972190000000005</v>
      </c>
      <c r="P5739">
        <v>0.16347349999999999</v>
      </c>
      <c r="Q5739">
        <v>-0.103947</v>
      </c>
      <c r="R5739">
        <v>-0.98105609999999999</v>
      </c>
      <c r="S5739">
        <v>1.291534</v>
      </c>
      <c r="T5739">
        <v>3.5771850000000001E-2</v>
      </c>
      <c r="U5739">
        <v>-2.8467410000000002</v>
      </c>
      <c r="V5739">
        <v>-0.18214820000000001</v>
      </c>
      <c r="W5739">
        <v>-9.0888620000000003E-2</v>
      </c>
      <c r="X5739">
        <v>0.97906139999999997</v>
      </c>
      <c r="Y5739">
        <v>-0.43044739999999998</v>
      </c>
      <c r="Z5739">
        <v>-2.5103540000000001E-2</v>
      </c>
      <c r="AA5739">
        <v>0.90226649999999997</v>
      </c>
      <c r="AB5739">
        <v>31</v>
      </c>
      <c r="AC5739">
        <v>28.345499999999902</v>
      </c>
      <c r="AD5739">
        <v>0.78491999999999895</v>
      </c>
      <c r="AE5739">
        <v>-62.164164999999997</v>
      </c>
      <c r="AF5739">
        <v>-29.531220308182899</v>
      </c>
      <c r="AG5739">
        <v>0.78491999999999895</v>
      </c>
      <c r="AH5739">
        <v>61.599722828953503</v>
      </c>
      <c r="AI5739">
        <v>89.3416940929189</v>
      </c>
      <c r="AJ5739">
        <v>115.61329607473699</v>
      </c>
      <c r="AK5739">
        <v>68.317164204178795</v>
      </c>
      <c r="AL5739">
        <v>95.214730973168102</v>
      </c>
      <c r="AM5739">
        <v>100.539027719109</v>
      </c>
      <c r="AN5739">
        <v>0.99999996648935097</v>
      </c>
    </row>
    <row r="5740" spans="1:40" x14ac:dyDescent="0.25">
      <c r="A5740" t="str">
        <f>"20190305135043899"</f>
        <v>20190305135043899</v>
      </c>
      <c r="B5740" t="str">
        <f>"1551765043896108"</f>
        <v>1551765043896108</v>
      </c>
      <c r="C5740" t="s">
        <v>40</v>
      </c>
      <c r="D5740">
        <v>4.1237240000000002</v>
      </c>
      <c r="E5740">
        <v>0.4004103</v>
      </c>
      <c r="F5740" t="s">
        <v>97</v>
      </c>
      <c r="G5740">
        <v>-394.86040000000003</v>
      </c>
      <c r="H5740">
        <v>1.70468499999999</v>
      </c>
      <c r="I5740">
        <v>1.3633519999999999</v>
      </c>
      <c r="J5740">
        <v>-423.09440000000001</v>
      </c>
      <c r="K5740">
        <v>1.1104019999999999</v>
      </c>
      <c r="L5740">
        <v>63.218960000000003</v>
      </c>
      <c r="M5740">
        <v>-1.8248919999999998E-2</v>
      </c>
      <c r="N5740">
        <v>-1.3657000000000001E-2</v>
      </c>
      <c r="O5740">
        <v>-0.99974039999999997</v>
      </c>
      <c r="P5740">
        <v>0.16401260000000001</v>
      </c>
      <c r="Q5740">
        <v>-0.10436040000000001</v>
      </c>
      <c r="R5740">
        <v>-0.98092270000000004</v>
      </c>
      <c r="S5740">
        <v>1.2920529999999999</v>
      </c>
      <c r="T5740">
        <v>2.7202609999999999E-2</v>
      </c>
      <c r="U5740">
        <v>-2.84552</v>
      </c>
      <c r="V5740">
        <v>-0.1817221</v>
      </c>
      <c r="W5740">
        <v>-9.1327790000000006E-2</v>
      </c>
      <c r="X5740">
        <v>0.97909979999999996</v>
      </c>
      <c r="Y5740">
        <v>-0.42987249999999999</v>
      </c>
      <c r="Z5740">
        <v>-2.2376529999999999E-2</v>
      </c>
      <c r="AA5740">
        <v>0.90261230000000003</v>
      </c>
      <c r="AB5740">
        <v>31</v>
      </c>
      <c r="AC5740">
        <v>28.233999999999899</v>
      </c>
      <c r="AD5740">
        <v>0.59428299999999901</v>
      </c>
      <c r="AE5740">
        <v>-61.855607999999997</v>
      </c>
      <c r="AF5740">
        <v>-29.355958039483401</v>
      </c>
      <c r="AG5740">
        <v>0.59428299999999901</v>
      </c>
      <c r="AH5740">
        <v>61.325332946457699</v>
      </c>
      <c r="AI5740">
        <v>89.499201302328203</v>
      </c>
      <c r="AJ5740">
        <v>115.580074327988</v>
      </c>
      <c r="AK5740">
        <v>67.992072373872304</v>
      </c>
      <c r="AL5740">
        <v>95.239998197492696</v>
      </c>
      <c r="AM5740">
        <v>100.514520997471</v>
      </c>
      <c r="AN5740">
        <v>1.00000005260736</v>
      </c>
    </row>
    <row r="5741" spans="1:40" x14ac:dyDescent="0.25">
      <c r="A5741" t="str">
        <f>"20190305135043922"</f>
        <v>20190305135043922</v>
      </c>
      <c r="B5741" t="str">
        <f>"1551765043915627"</f>
        <v>1551765043915627</v>
      </c>
      <c r="C5741" t="s">
        <v>40</v>
      </c>
      <c r="D5741">
        <v>4.1279589999999997</v>
      </c>
      <c r="E5741">
        <v>0.40044089999999999</v>
      </c>
      <c r="F5741" t="s">
        <v>97</v>
      </c>
      <c r="G5741">
        <v>-394.98259999999999</v>
      </c>
      <c r="H5741">
        <v>1.5183990000000001</v>
      </c>
      <c r="I5741">
        <v>1.3582920000000001</v>
      </c>
      <c r="J5741">
        <v>-423.09899999999999</v>
      </c>
      <c r="K5741">
        <v>1.1104780000000001</v>
      </c>
      <c r="L5741">
        <v>62.902070000000002</v>
      </c>
      <c r="M5741">
        <v>-1.7168840000000001E-2</v>
      </c>
      <c r="N5741">
        <v>-1.3656110000000001E-2</v>
      </c>
      <c r="O5741">
        <v>-0.99975950000000002</v>
      </c>
      <c r="P5741">
        <v>0.16442399999999999</v>
      </c>
      <c r="Q5741">
        <v>-0.10401820000000001</v>
      </c>
      <c r="R5741">
        <v>-0.98089029999999999</v>
      </c>
      <c r="S5741">
        <v>1.292511</v>
      </c>
      <c r="T5741">
        <v>1.8757579999999999E-2</v>
      </c>
      <c r="U5741">
        <v>-2.8442080000000001</v>
      </c>
      <c r="V5741">
        <v>-0.18106249999999999</v>
      </c>
      <c r="W5741">
        <v>-9.1012469999999998E-2</v>
      </c>
      <c r="X5741">
        <v>0.97925130000000005</v>
      </c>
      <c r="Y5741">
        <v>-0.42919010000000002</v>
      </c>
      <c r="Z5741">
        <v>-1.9686039999999998E-2</v>
      </c>
      <c r="AA5741">
        <v>0.90299960000000001</v>
      </c>
      <c r="AB5741">
        <v>31</v>
      </c>
      <c r="AC5741">
        <v>28.116399999999999</v>
      </c>
      <c r="AD5741">
        <v>0.40792099999999998</v>
      </c>
      <c r="AE5741">
        <v>-61.543778000000003</v>
      </c>
      <c r="AF5741">
        <v>-29.167928503454998</v>
      </c>
      <c r="AG5741">
        <v>0.40792099999999998</v>
      </c>
      <c r="AH5741">
        <v>61.049715194661502</v>
      </c>
      <c r="AI5741">
        <v>89.654567393595002</v>
      </c>
      <c r="AJ5741">
        <v>115.537229036317</v>
      </c>
      <c r="AK5741">
        <v>67.660935391658498</v>
      </c>
      <c r="AL5741">
        <v>95.221856394253606</v>
      </c>
      <c r="AM5741">
        <v>100.47561779871999</v>
      </c>
      <c r="AN5741">
        <v>1.00000000357672</v>
      </c>
    </row>
    <row r="5742" spans="1:40" x14ac:dyDescent="0.25">
      <c r="A5742" t="str">
        <f>"20190305135043943"</f>
        <v>20190305135043943</v>
      </c>
      <c r="B5742" t="str">
        <f>"1551765043936123"</f>
        <v>1551765043936123</v>
      </c>
      <c r="C5742" t="s">
        <v>40</v>
      </c>
      <c r="D5742">
        <v>4.1157510000000004</v>
      </c>
      <c r="E5742">
        <v>0.4004103</v>
      </c>
      <c r="F5742" t="s">
        <v>97</v>
      </c>
      <c r="G5742">
        <v>-395.11079999999998</v>
      </c>
      <c r="H5742">
        <v>1.4667460000000001</v>
      </c>
      <c r="I5742">
        <v>1.3529799999999901</v>
      </c>
      <c r="J5742">
        <v>-423.10309999999998</v>
      </c>
      <c r="K5742">
        <v>1.110579</v>
      </c>
      <c r="L5742">
        <v>62.597439999999999</v>
      </c>
      <c r="M5742">
        <v>-1.6016389999999998E-2</v>
      </c>
      <c r="N5742">
        <v>-1.365566E-2</v>
      </c>
      <c r="O5742">
        <v>-0.99977839999999996</v>
      </c>
      <c r="P5742">
        <v>0.1650779</v>
      </c>
      <c r="Q5742">
        <v>-0.1030287</v>
      </c>
      <c r="R5742">
        <v>-0.9808846</v>
      </c>
      <c r="S5742">
        <v>1.292999</v>
      </c>
      <c r="T5742">
        <v>1.6457679999999999E-2</v>
      </c>
      <c r="U5742">
        <v>-2.843445</v>
      </c>
      <c r="V5742">
        <v>-0.18057390000000001</v>
      </c>
      <c r="W5742">
        <v>-9.0053659999999994E-2</v>
      </c>
      <c r="X5742">
        <v>0.97943009999999997</v>
      </c>
      <c r="Y5742">
        <v>-0.42837249999999999</v>
      </c>
      <c r="Z5742">
        <v>-1.8951470000000002E-2</v>
      </c>
      <c r="AA5742">
        <v>0.90340350000000003</v>
      </c>
      <c r="AB5742">
        <v>31</v>
      </c>
      <c r="AC5742">
        <v>27.9923</v>
      </c>
      <c r="AD5742">
        <v>0.35616699999999901</v>
      </c>
      <c r="AE5742">
        <v>-61.244459999999997</v>
      </c>
      <c r="AF5742">
        <v>-28.968905014088001</v>
      </c>
      <c r="AG5742">
        <v>0.35616699999999901</v>
      </c>
      <c r="AH5742">
        <v>60.786524683097099</v>
      </c>
      <c r="AI5742">
        <v>89.696944639573402</v>
      </c>
      <c r="AJ5742">
        <v>115.48096900451</v>
      </c>
      <c r="AK5742">
        <v>67.337403392883402</v>
      </c>
      <c r="AL5742">
        <v>95.166694335781003</v>
      </c>
      <c r="AM5742">
        <v>100.44610715721601</v>
      </c>
      <c r="AN5742">
        <v>0.99999995791330698</v>
      </c>
    </row>
    <row r="5743" spans="1:40" x14ac:dyDescent="0.25">
      <c r="A5743" t="str">
        <f>"20190305135043966"</f>
        <v>20190305135043966</v>
      </c>
      <c r="B5743" t="str">
        <f>"1551765043956266"</f>
        <v>1551765043956266</v>
      </c>
      <c r="C5743" t="s">
        <v>40</v>
      </c>
      <c r="D5743">
        <v>4.1827009999999998</v>
      </c>
      <c r="E5743">
        <v>0.40038669999999998</v>
      </c>
      <c r="F5743" t="s">
        <v>97</v>
      </c>
      <c r="G5743">
        <v>-395.19990000000001</v>
      </c>
      <c r="H5743">
        <v>1.4614879999999999</v>
      </c>
      <c r="I5743">
        <v>1.3492869999999999</v>
      </c>
      <c r="J5743">
        <v>-423.10660000000001</v>
      </c>
      <c r="K5743">
        <v>1.110684</v>
      </c>
      <c r="L5743">
        <v>62.299709999999997</v>
      </c>
      <c r="M5743">
        <v>-1.476543E-2</v>
      </c>
      <c r="N5743">
        <v>-1.365571E-2</v>
      </c>
      <c r="O5743">
        <v>-0.99979779999999996</v>
      </c>
      <c r="P5743">
        <v>0.16529389999999999</v>
      </c>
      <c r="Q5743">
        <v>-0.101406</v>
      </c>
      <c r="R5743">
        <v>-0.98101760000000005</v>
      </c>
      <c r="S5743">
        <v>1.294861</v>
      </c>
      <c r="T5743">
        <v>1.6282919999999999E-2</v>
      </c>
      <c r="U5743">
        <v>-2.8422550000000002</v>
      </c>
      <c r="V5743">
        <v>-0.1795515</v>
      </c>
      <c r="W5743">
        <v>-8.8464390000000004E-2</v>
      </c>
      <c r="X5743">
        <v>0.97976289999999999</v>
      </c>
      <c r="Y5743">
        <v>-0.4278749</v>
      </c>
      <c r="Z5743">
        <v>-1.889426E-2</v>
      </c>
      <c r="AA5743">
        <v>0.90364049999999996</v>
      </c>
      <c r="AB5743">
        <v>31</v>
      </c>
      <c r="AC5743">
        <v>27.906700000000001</v>
      </c>
      <c r="AD5743">
        <v>0.35080399999999901</v>
      </c>
      <c r="AE5743">
        <v>-60.950423000000001</v>
      </c>
      <c r="AF5743">
        <v>-28.802911469168599</v>
      </c>
      <c r="AG5743">
        <v>0.35080399999999901</v>
      </c>
      <c r="AH5743">
        <v>60.5300267874171</v>
      </c>
      <c r="AI5743">
        <v>89.700158856670996</v>
      </c>
      <c r="AJ5743">
        <v>115.447208084555</v>
      </c>
      <c r="AK5743">
        <v>67.034430820531398</v>
      </c>
      <c r="AL5743">
        <v>95.075270647532903</v>
      </c>
      <c r="AM5743">
        <v>100.384801243647</v>
      </c>
      <c r="AN5743">
        <v>1.0000000148333601</v>
      </c>
    </row>
    <row r="5744" spans="1:40" x14ac:dyDescent="0.25">
      <c r="A5744" t="str">
        <f>"20190305135043988"</f>
        <v>20190305135043988</v>
      </c>
      <c r="B5744" t="str">
        <f>"1551765043985547"</f>
        <v>1551765043985547</v>
      </c>
      <c r="C5744" t="s">
        <v>40</v>
      </c>
      <c r="D5744">
        <v>4.9977989999999997</v>
      </c>
      <c r="E5744">
        <v>0.4006113</v>
      </c>
      <c r="F5744" t="s">
        <v>97</v>
      </c>
      <c r="G5744">
        <v>-395.33210000000003</v>
      </c>
      <c r="H5744">
        <v>1.520807</v>
      </c>
      <c r="I5744">
        <v>1.3438129999999999</v>
      </c>
      <c r="J5744">
        <v>-423.10969999999998</v>
      </c>
      <c r="K5744">
        <v>1.1108049999999901</v>
      </c>
      <c r="L5744">
        <v>61.992919999999998</v>
      </c>
      <c r="M5744">
        <v>-1.332975E-2</v>
      </c>
      <c r="N5744">
        <v>-1.3656299999999901E-2</v>
      </c>
      <c r="O5744">
        <v>-0.99981810000000004</v>
      </c>
      <c r="P5744">
        <v>0.16569679999999901</v>
      </c>
      <c r="Q5744">
        <v>-0.1006972</v>
      </c>
      <c r="R5744">
        <v>-0.98102259999999997</v>
      </c>
      <c r="S5744">
        <v>1.294891</v>
      </c>
      <c r="T5744">
        <v>1.9119379999999998E-2</v>
      </c>
      <c r="U5744">
        <v>-2.8418580000000002</v>
      </c>
      <c r="V5744">
        <v>-0.17852670000000001</v>
      </c>
      <c r="W5744">
        <v>-8.7798509999999996E-2</v>
      </c>
      <c r="X5744">
        <v>0.98001000000000005</v>
      </c>
      <c r="Y5744">
        <v>-0.42662749999999999</v>
      </c>
      <c r="Z5744">
        <v>-1.9798280000000001E-2</v>
      </c>
      <c r="AA5744">
        <v>0.90421070000000003</v>
      </c>
      <c r="AB5744">
        <v>31</v>
      </c>
      <c r="AC5744">
        <v>27.7775999999999</v>
      </c>
      <c r="AD5744">
        <v>0.41000199999999998</v>
      </c>
      <c r="AE5744">
        <v>-60.649106999999901</v>
      </c>
      <c r="AF5744">
        <v>-28.5825645544803</v>
      </c>
      <c r="AG5744">
        <v>0.41000199999999998</v>
      </c>
      <c r="AH5744">
        <v>60.271137876402101</v>
      </c>
      <c r="AI5744">
        <v>89.647836803108802</v>
      </c>
      <c r="AJ5744">
        <v>115.37185314442</v>
      </c>
      <c r="AK5744">
        <v>66.706380197604105</v>
      </c>
      <c r="AL5744">
        <v>95.036969671525199</v>
      </c>
      <c r="AM5744">
        <v>100.324260485343</v>
      </c>
      <c r="AN5744">
        <v>0.99999998053555395</v>
      </c>
    </row>
    <row r="5745" spans="1:40" x14ac:dyDescent="0.25">
      <c r="A5745" t="str">
        <f>"20190305135044011"</f>
        <v>20190305135044011</v>
      </c>
      <c r="B5745" t="str">
        <f>"1551765044006042"</f>
        <v>1551765044006042</v>
      </c>
      <c r="C5745" t="s">
        <v>40</v>
      </c>
      <c r="D5745">
        <v>4.3240920000000003</v>
      </c>
      <c r="E5745">
        <v>0.52680930000000004</v>
      </c>
      <c r="F5745" t="s">
        <v>97</v>
      </c>
      <c r="G5745">
        <v>-395.49180000000001</v>
      </c>
      <c r="H5745">
        <v>1.5878810000000001</v>
      </c>
      <c r="I5745">
        <v>1.3371980000000001</v>
      </c>
      <c r="J5745">
        <v>-423.11219999999997</v>
      </c>
      <c r="K5745">
        <v>1.1109439999999999</v>
      </c>
      <c r="L5745">
        <v>61.675899999999999</v>
      </c>
      <c r="M5745">
        <v>-1.1657570000000001E-2</v>
      </c>
      <c r="N5745">
        <v>-1.3657620000000001E-2</v>
      </c>
      <c r="O5745">
        <v>-0.99983880000000003</v>
      </c>
      <c r="P5745">
        <v>0.16555909999999999</v>
      </c>
      <c r="Q5745">
        <v>-0.10066840000000001</v>
      </c>
      <c r="R5745">
        <v>-0.98104849999999999</v>
      </c>
      <c r="S5745">
        <v>1.2939149999999999</v>
      </c>
      <c r="T5745">
        <v>2.2350189999999999E-2</v>
      </c>
      <c r="U5745">
        <v>-2.8417659999999998</v>
      </c>
      <c r="V5745">
        <v>-0.1767232</v>
      </c>
      <c r="W5745">
        <v>-8.7818309999999997E-2</v>
      </c>
      <c r="X5745">
        <v>0.98033510000000001</v>
      </c>
      <c r="Y5745">
        <v>-0.42486210000000002</v>
      </c>
      <c r="Z5745">
        <v>-2.0829739999999999E-2</v>
      </c>
      <c r="AA5745">
        <v>0.9050184</v>
      </c>
      <c r="AB5745">
        <v>31</v>
      </c>
      <c r="AC5745">
        <v>27.620399999999901</v>
      </c>
      <c r="AD5745">
        <v>0.476936999999999</v>
      </c>
      <c r="AE5745">
        <v>-60.338701999999998</v>
      </c>
      <c r="AF5745">
        <v>-28.320528141777199</v>
      </c>
      <c r="AG5745">
        <v>0.476936999999999</v>
      </c>
      <c r="AH5745">
        <v>60.009484570513798</v>
      </c>
      <c r="AI5745">
        <v>89.588194228107</v>
      </c>
      <c r="AJ5745">
        <v>115.264227280684</v>
      </c>
      <c r="AK5745">
        <v>66.358255112306097</v>
      </c>
      <c r="AL5745">
        <v>95.038108294062098</v>
      </c>
      <c r="AM5745">
        <v>100.218855013111</v>
      </c>
      <c r="AN5745">
        <v>1.0000000266407501</v>
      </c>
    </row>
    <row r="5746" spans="1:40" x14ac:dyDescent="0.25">
      <c r="A5746" t="str">
        <f>"20190305135044032"</f>
        <v>20190305135044032</v>
      </c>
      <c r="B5746" t="str">
        <f>"1551765044025565"</f>
        <v>1551765044025565</v>
      </c>
      <c r="C5746" t="s">
        <v>40</v>
      </c>
      <c r="D5746">
        <v>4.2993930000000002</v>
      </c>
      <c r="E5746">
        <v>0.53518140000000003</v>
      </c>
      <c r="F5746" t="s">
        <v>42</v>
      </c>
      <c r="G5746">
        <v>-421.14929999999998</v>
      </c>
      <c r="H5746" s="1">
        <v>-1.151142E-6</v>
      </c>
      <c r="I5746">
        <v>41.559649999999998</v>
      </c>
      <c r="J5746">
        <v>-423.1139</v>
      </c>
      <c r="K5746">
        <v>1.111084</v>
      </c>
      <c r="L5746">
        <v>61.375210000000003</v>
      </c>
      <c r="M5746">
        <v>-9.8775489999999994E-3</v>
      </c>
      <c r="N5746">
        <v>-1.3659650000000001E-2</v>
      </c>
      <c r="O5746">
        <v>-0.99985800000000002</v>
      </c>
      <c r="P5746">
        <v>0.16576299999999999</v>
      </c>
      <c r="Q5746">
        <v>-0.1006556</v>
      </c>
      <c r="R5746">
        <v>-0.98101530000000003</v>
      </c>
      <c r="S5746">
        <v>0.2919312</v>
      </c>
      <c r="T5746">
        <v>-0.16522200000000001</v>
      </c>
      <c r="U5746">
        <v>-2.99173</v>
      </c>
      <c r="V5746">
        <v>-0.17515269999999999</v>
      </c>
      <c r="W5746">
        <v>-8.7855699999999995E-2</v>
      </c>
      <c r="X5746">
        <v>0.98061350000000003</v>
      </c>
      <c r="Y5746">
        <v>-0.1068127</v>
      </c>
      <c r="Z5746">
        <v>4.1199989999999999E-2</v>
      </c>
      <c r="AA5746">
        <v>0.99342520000000001</v>
      </c>
      <c r="AB5746">
        <v>31</v>
      </c>
      <c r="AC5746">
        <v>1.9646000000000099</v>
      </c>
      <c r="AD5746">
        <v>-1.1110851511419999</v>
      </c>
      <c r="AE5746">
        <v>-19.815560000000001</v>
      </c>
      <c r="AF5746">
        <v>-2.1535467149979901</v>
      </c>
      <c r="AG5746">
        <v>-1.1110851511419999</v>
      </c>
      <c r="AH5746">
        <v>19.7337469898353</v>
      </c>
      <c r="AI5746">
        <v>93.203588318675401</v>
      </c>
      <c r="AJ5746">
        <v>96.228050795974099</v>
      </c>
      <c r="AK5746">
        <v>19.881977867546301</v>
      </c>
      <c r="AL5746">
        <v>95.040259210293598</v>
      </c>
      <c r="AM5746">
        <v>100.127114713814</v>
      </c>
      <c r="AN5746">
        <v>0.99999996436101402</v>
      </c>
    </row>
    <row r="5747" spans="1:40" x14ac:dyDescent="0.25">
      <c r="A5747" t="str">
        <f>"20190305135044054"</f>
        <v>20190305135044054</v>
      </c>
      <c r="B5747" t="str">
        <f>"1551765044046058"</f>
        <v>1551765044046058</v>
      </c>
      <c r="C5747" t="s">
        <v>40</v>
      </c>
      <c r="D5747">
        <v>4.2789729999999997</v>
      </c>
      <c r="E5747">
        <v>0.53688959999999997</v>
      </c>
      <c r="F5747" t="s">
        <v>42</v>
      </c>
      <c r="G5747">
        <v>-421.80340000000001</v>
      </c>
      <c r="H5747" s="1">
        <v>-2.334223E-6</v>
      </c>
      <c r="I5747">
        <v>43.911720000000003</v>
      </c>
      <c r="J5747">
        <v>-423.11489999999998</v>
      </c>
      <c r="K5747">
        <v>1.111219</v>
      </c>
      <c r="L5747">
        <v>61.074370000000002</v>
      </c>
      <c r="M5747">
        <v>-7.9420649999999999E-3</v>
      </c>
      <c r="N5747">
        <v>-1.3661960000000001E-2</v>
      </c>
      <c r="O5747">
        <v>-0.99987530000000002</v>
      </c>
      <c r="P5747">
        <v>0.16625580000000001</v>
      </c>
      <c r="Q5747">
        <v>-0.1016473</v>
      </c>
      <c r="R5747">
        <v>-0.98083010000000004</v>
      </c>
      <c r="S5747">
        <v>0.22515869999999999</v>
      </c>
      <c r="T5747">
        <v>-0.19089729999999999</v>
      </c>
      <c r="U5747">
        <v>-3.0004270000000002</v>
      </c>
      <c r="V5747">
        <v>-0.17371629999999999</v>
      </c>
      <c r="W5747">
        <v>-8.8894440000000005E-2</v>
      </c>
      <c r="X5747">
        <v>0.98077539999999996</v>
      </c>
      <c r="Y5747">
        <v>-8.2614170000000001E-2</v>
      </c>
      <c r="Z5747">
        <v>4.9650430000000002E-2</v>
      </c>
      <c r="AA5747">
        <v>0.99534400000000001</v>
      </c>
      <c r="AB5747">
        <v>31</v>
      </c>
      <c r="AC5747">
        <v>1.3114999999999599</v>
      </c>
      <c r="AD5747">
        <v>-1.111221334223</v>
      </c>
      <c r="AE5747">
        <v>-17.1626499999999</v>
      </c>
      <c r="AF5747">
        <v>-1.4417692469768899</v>
      </c>
      <c r="AG5747">
        <v>-1.111221334223</v>
      </c>
      <c r="AH5747">
        <v>17.080504000242101</v>
      </c>
      <c r="AI5747">
        <v>93.709142627564503</v>
      </c>
      <c r="AJ5747">
        <v>94.824912231638393</v>
      </c>
      <c r="AK5747">
        <v>17.177227026428</v>
      </c>
      <c r="AL5747">
        <v>95.100008336854003</v>
      </c>
      <c r="AM5747">
        <v>100.044137689889</v>
      </c>
      <c r="AN5747">
        <v>0.99999997979688104</v>
      </c>
    </row>
    <row r="5748" spans="1:40" x14ac:dyDescent="0.25">
      <c r="A5748" t="str">
        <f>"20190305135044077"</f>
        <v>20190305135044077</v>
      </c>
      <c r="B5748" t="str">
        <f>"1551765044065559"</f>
        <v>1551765044065559</v>
      </c>
      <c r="C5748" t="s">
        <v>40</v>
      </c>
      <c r="D5748">
        <v>4.2465590000000004</v>
      </c>
      <c r="E5748">
        <v>0.53694919999999902</v>
      </c>
      <c r="F5748" t="s">
        <v>42</v>
      </c>
      <c r="G5748">
        <v>-421.96899999999999</v>
      </c>
      <c r="H5748" s="1">
        <v>-2.8200169999999999E-6</v>
      </c>
      <c r="I5748">
        <v>44.941409999999998</v>
      </c>
      <c r="J5748">
        <v>-423.11520000000002</v>
      </c>
      <c r="K5748">
        <v>1.111334</v>
      </c>
      <c r="L5748">
        <v>60.768979999999999</v>
      </c>
      <c r="M5748">
        <v>-5.8217690000000001E-3</v>
      </c>
      <c r="N5748">
        <v>-1.366381E-2</v>
      </c>
      <c r="O5748">
        <v>-0.99988980000000005</v>
      </c>
      <c r="P5748">
        <v>0.1672997</v>
      </c>
      <c r="Q5748">
        <v>-0.1024972</v>
      </c>
      <c r="R5748">
        <v>-0.98056359999999998</v>
      </c>
      <c r="S5748">
        <v>0.2131653</v>
      </c>
      <c r="T5748">
        <v>-0.2067127</v>
      </c>
      <c r="U5748">
        <v>-3.001099</v>
      </c>
      <c r="V5748">
        <v>-0.172651</v>
      </c>
      <c r="W5748">
        <v>-8.9788969999999996E-2</v>
      </c>
      <c r="X5748">
        <v>0.98088200000000003</v>
      </c>
      <c r="Y5748">
        <v>-7.6507210000000006E-2</v>
      </c>
      <c r="Z5748">
        <v>5.4887060000000001E-2</v>
      </c>
      <c r="AA5748">
        <v>0.99555720000000003</v>
      </c>
      <c r="AB5748">
        <v>31</v>
      </c>
      <c r="AC5748">
        <v>1.1462000000000201</v>
      </c>
      <c r="AD5748">
        <v>-1.111336820017</v>
      </c>
      <c r="AE5748">
        <v>-15.82757</v>
      </c>
      <c r="AF5748">
        <v>-1.23228990429134</v>
      </c>
      <c r="AG5748">
        <v>-1.111336820017</v>
      </c>
      <c r="AH5748">
        <v>15.743415227464</v>
      </c>
      <c r="AI5748">
        <v>94.025572050179605</v>
      </c>
      <c r="AJ5748">
        <v>94.475607424100005</v>
      </c>
      <c r="AK5748">
        <v>15.830626360321</v>
      </c>
      <c r="AL5748">
        <v>95.1514670041215</v>
      </c>
      <c r="AM5748">
        <v>99.982722660544994</v>
      </c>
      <c r="AN5748">
        <v>0.99999996242932898</v>
      </c>
    </row>
    <row r="5749" spans="1:40" x14ac:dyDescent="0.25">
      <c r="A5749" t="str">
        <f>"20190305135044100"</f>
        <v>20190305135044100</v>
      </c>
      <c r="B5749" t="str">
        <f>"1551765044095815"</f>
        <v>1551765044095815</v>
      </c>
      <c r="C5749" t="s">
        <v>40</v>
      </c>
      <c r="D5749">
        <v>4.2605579999999996</v>
      </c>
      <c r="E5749">
        <v>0.53709200000000001</v>
      </c>
      <c r="F5749" t="s">
        <v>42</v>
      </c>
      <c r="G5749">
        <v>-422.00729999999999</v>
      </c>
      <c r="H5749" s="1">
        <v>-2.9991569999999999E-6</v>
      </c>
      <c r="I5749">
        <v>45.335250000000002</v>
      </c>
      <c r="J5749">
        <v>-423.1146</v>
      </c>
      <c r="K5749">
        <v>1.1114520000000001</v>
      </c>
      <c r="L5749">
        <v>60.455840000000002</v>
      </c>
      <c r="M5749">
        <v>-3.4962000000000001E-3</v>
      </c>
      <c r="N5749">
        <v>-1.366562E-2</v>
      </c>
      <c r="O5749">
        <v>-0.99990060000000003</v>
      </c>
      <c r="P5749">
        <v>0.16891429999999999</v>
      </c>
      <c r="Q5749">
        <v>-0.1037708</v>
      </c>
      <c r="R5749">
        <v>-0.98015280000000005</v>
      </c>
      <c r="S5749">
        <v>0.21536250000000001</v>
      </c>
      <c r="T5749">
        <v>-0.2160299</v>
      </c>
      <c r="U5749">
        <v>-3.0001220000000002</v>
      </c>
      <c r="V5749">
        <v>-0.17195489999999999</v>
      </c>
      <c r="W5749">
        <v>-9.1106270000000003E-2</v>
      </c>
      <c r="X5749">
        <v>0.98088280000000005</v>
      </c>
      <c r="Y5749">
        <v>-7.4923219999999999E-2</v>
      </c>
      <c r="Z5749">
        <v>5.7989010000000001E-2</v>
      </c>
      <c r="AA5749">
        <v>0.99550179999999999</v>
      </c>
      <c r="AB5749">
        <v>31</v>
      </c>
      <c r="AC5749">
        <v>1.1073</v>
      </c>
      <c r="AD5749">
        <v>-1.111454999157</v>
      </c>
      <c r="AE5749">
        <v>-15.12059</v>
      </c>
      <c r="AF5749">
        <v>-1.1539610150025399</v>
      </c>
      <c r="AG5749">
        <v>-1.111454999157</v>
      </c>
      <c r="AH5749">
        <v>15.0358185751224</v>
      </c>
      <c r="AI5749">
        <v>94.215291413634404</v>
      </c>
      <c r="AJ5749">
        <v>94.388702794902798</v>
      </c>
      <c r="AK5749">
        <v>15.1209390734601</v>
      </c>
      <c r="AL5749">
        <v>95.2272534208374</v>
      </c>
      <c r="AM5749">
        <v>99.943270879377806</v>
      </c>
      <c r="AN5749">
        <v>0.99999995370158001</v>
      </c>
    </row>
    <row r="5750" spans="1:40" x14ac:dyDescent="0.25">
      <c r="A5750" t="str">
        <f>"20190305135044122"</f>
        <v>20190305135044122</v>
      </c>
      <c r="B5750" t="str">
        <f>"1551765044116314"</f>
        <v>1551765044116314</v>
      </c>
      <c r="C5750" t="s">
        <v>40</v>
      </c>
      <c r="D5750">
        <v>4.249511</v>
      </c>
      <c r="E5750">
        <v>0.53701999999999905</v>
      </c>
      <c r="F5750" t="s">
        <v>42</v>
      </c>
      <c r="G5750">
        <v>-422.03739999999999</v>
      </c>
      <c r="H5750" s="1">
        <v>-3.1765189999999999E-6</v>
      </c>
      <c r="I5750">
        <v>45.729970000000002</v>
      </c>
      <c r="J5750">
        <v>-423.11320000000001</v>
      </c>
      <c r="K5750">
        <v>1.111572</v>
      </c>
      <c r="L5750">
        <v>60.14658</v>
      </c>
      <c r="M5750">
        <v>-1.0729540000000001E-3</v>
      </c>
      <c r="N5750">
        <v>-1.366768E-2</v>
      </c>
      <c r="O5750">
        <v>-0.99990619999999997</v>
      </c>
      <c r="P5750">
        <v>0.17168459999999999</v>
      </c>
      <c r="Q5750">
        <v>-0.1033323</v>
      </c>
      <c r="R5750">
        <v>-0.97971790000000003</v>
      </c>
      <c r="S5750">
        <v>0.21936040000000001</v>
      </c>
      <c r="T5750">
        <v>-0.226353</v>
      </c>
      <c r="U5750">
        <v>-2.998993</v>
      </c>
      <c r="V5750">
        <v>-0.1723297</v>
      </c>
      <c r="W5750">
        <v>-9.0710819999999998E-2</v>
      </c>
      <c r="X5750">
        <v>0.98085370000000005</v>
      </c>
      <c r="Y5750">
        <v>-7.3837330000000007E-2</v>
      </c>
      <c r="Z5750">
        <v>6.1423279999999997E-2</v>
      </c>
      <c r="AA5750">
        <v>0.99537690000000001</v>
      </c>
      <c r="AB5750">
        <v>31</v>
      </c>
      <c r="AC5750">
        <v>1.0758000000000101</v>
      </c>
      <c r="AD5750">
        <v>-1.1115751765189901</v>
      </c>
      <c r="AE5750">
        <v>-14.41661</v>
      </c>
      <c r="AF5750">
        <v>-1.0848554385204401</v>
      </c>
      <c r="AG5750">
        <v>-1.1115751765189901</v>
      </c>
      <c r="AH5750">
        <v>14.3307230396624</v>
      </c>
      <c r="AI5750">
        <v>94.422712847891106</v>
      </c>
      <c r="AJ5750">
        <v>94.329112277304802</v>
      </c>
      <c r="AK5750">
        <v>14.4146499622797</v>
      </c>
      <c r="AL5750">
        <v>95.204501458799896</v>
      </c>
      <c r="AM5750">
        <v>99.964799430233199</v>
      </c>
      <c r="AN5750">
        <v>0.99999997958542597</v>
      </c>
    </row>
    <row r="5751" spans="1:40" x14ac:dyDescent="0.25">
      <c r="A5751" t="str">
        <f>"20190305135044144"</f>
        <v>20190305135044144</v>
      </c>
      <c r="B5751" t="str">
        <f>"1551765044135831"</f>
        <v>1551765044135831</v>
      </c>
      <c r="C5751" t="s">
        <v>40</v>
      </c>
      <c r="D5751">
        <v>4.2625590000000004</v>
      </c>
      <c r="E5751">
        <v>0.53706089999999995</v>
      </c>
      <c r="F5751" t="s">
        <v>42</v>
      </c>
      <c r="G5751">
        <v>-421.99470000000002</v>
      </c>
      <c r="H5751" s="1">
        <v>-3.051304E-6</v>
      </c>
      <c r="I5751">
        <v>45.464599999999997</v>
      </c>
      <c r="J5751">
        <v>-423.11099999999999</v>
      </c>
      <c r="K5751">
        <v>1.1116779999999999</v>
      </c>
      <c r="L5751">
        <v>59.848689999999998</v>
      </c>
      <c r="M5751">
        <v>1.3560639999999999E-3</v>
      </c>
      <c r="N5751">
        <v>-1.366946E-2</v>
      </c>
      <c r="O5751">
        <v>-0.99990559999999995</v>
      </c>
      <c r="P5751">
        <v>0.17447969999999999</v>
      </c>
      <c r="Q5751">
        <v>-0.1015649</v>
      </c>
      <c r="R5751">
        <v>-0.97940850000000002</v>
      </c>
      <c r="S5751">
        <v>0.2283936</v>
      </c>
      <c r="T5751">
        <v>-0.22698960000000001</v>
      </c>
      <c r="U5751">
        <v>-2.998138</v>
      </c>
      <c r="V5751">
        <v>-0.1727342</v>
      </c>
      <c r="W5751">
        <v>-8.8978600000000005E-2</v>
      </c>
      <c r="X5751">
        <v>0.98094119999999996</v>
      </c>
      <c r="Y5751">
        <v>-7.4416239999999995E-2</v>
      </c>
      <c r="Z5751">
        <v>6.1644079999999997E-2</v>
      </c>
      <c r="AA5751">
        <v>0.99532010000000004</v>
      </c>
      <c r="AB5751">
        <v>31</v>
      </c>
      <c r="AC5751">
        <v>1.1162999999999601</v>
      </c>
      <c r="AD5751">
        <v>-1.1116810513040001</v>
      </c>
      <c r="AE5751">
        <v>-14.38409</v>
      </c>
      <c r="AF5751">
        <v>-1.0903178765709101</v>
      </c>
      <c r="AG5751">
        <v>-1.1116810513040001</v>
      </c>
      <c r="AH5751">
        <v>14.3006834716503</v>
      </c>
      <c r="AI5751">
        <v>94.432206137498397</v>
      </c>
      <c r="AJ5751">
        <v>94.359930636509205</v>
      </c>
      <c r="AK5751">
        <v>14.3852068316077</v>
      </c>
      <c r="AL5751">
        <v>95.104849602135999</v>
      </c>
      <c r="AM5751">
        <v>99.986845860173503</v>
      </c>
      <c r="AN5751">
        <v>0.99999996648251899</v>
      </c>
    </row>
    <row r="5752" spans="1:40" x14ac:dyDescent="0.25">
      <c r="A5752" t="str">
        <f>"20190305135044167"</f>
        <v>20190305135044167</v>
      </c>
      <c r="B5752" t="str">
        <f>"1551765044156327"</f>
        <v>1551765044156327</v>
      </c>
      <c r="C5752" t="s">
        <v>40</v>
      </c>
      <c r="D5752">
        <v>4.2503820000000001</v>
      </c>
      <c r="E5752">
        <v>0.53722099999999995</v>
      </c>
      <c r="F5752" t="s">
        <v>42</v>
      </c>
      <c r="G5752">
        <v>-421.9357</v>
      </c>
      <c r="H5752" s="1">
        <v>-2.8105780000000001E-6</v>
      </c>
      <c r="I5752">
        <v>44.940040000000003</v>
      </c>
      <c r="J5752">
        <v>-423.108</v>
      </c>
      <c r="K5752">
        <v>1.111769</v>
      </c>
      <c r="L5752">
        <v>59.542050000000003</v>
      </c>
      <c r="M5752">
        <v>3.9290599999999998E-3</v>
      </c>
      <c r="N5752">
        <v>-1.367084E-2</v>
      </c>
      <c r="O5752">
        <v>-0.99989879999999998</v>
      </c>
      <c r="P5752">
        <v>0.17734029999999901</v>
      </c>
      <c r="Q5752">
        <v>-9.917513E-2</v>
      </c>
      <c r="R5752">
        <v>-0.97913969999999995</v>
      </c>
      <c r="S5752">
        <v>0.23632810000000001</v>
      </c>
      <c r="T5752">
        <v>-0.2235347</v>
      </c>
      <c r="U5752">
        <v>-2.9978030000000002</v>
      </c>
      <c r="V5752">
        <v>-0.17307020000000001</v>
      </c>
      <c r="W5752">
        <v>-8.661787E-2</v>
      </c>
      <c r="X5752">
        <v>0.98109329999999995</v>
      </c>
      <c r="Y5752">
        <v>-7.448333E-2</v>
      </c>
      <c r="Z5752">
        <v>6.0503359999999999E-2</v>
      </c>
      <c r="AA5752">
        <v>0.99538519999999997</v>
      </c>
      <c r="AB5752">
        <v>31</v>
      </c>
      <c r="AC5752">
        <v>1.1722999999999999</v>
      </c>
      <c r="AD5752">
        <v>-1.1117718105779999</v>
      </c>
      <c r="AE5752">
        <v>-14.60201</v>
      </c>
      <c r="AF5752">
        <v>-1.1085283872524201</v>
      </c>
      <c r="AG5752">
        <v>-1.1117718105779999</v>
      </c>
      <c r="AH5752">
        <v>14.5228533888207</v>
      </c>
      <c r="AI5752">
        <v>94.364992572257606</v>
      </c>
      <c r="AJ5752">
        <v>94.364918940141706</v>
      </c>
      <c r="AK5752">
        <v>14.607468716287601</v>
      </c>
      <c r="AL5752">
        <v>94.9690651396579</v>
      </c>
      <c r="AM5752">
        <v>100.004360043315</v>
      </c>
      <c r="AN5752">
        <v>1.00000000641813</v>
      </c>
    </row>
    <row r="5753" spans="1:40" x14ac:dyDescent="0.25">
      <c r="A5753" t="str">
        <f>"20190305135044189"</f>
        <v>20190305135044189</v>
      </c>
      <c r="B5753" t="str">
        <f>"1551765044185607"</f>
        <v>1551765044185607</v>
      </c>
      <c r="C5753" t="s">
        <v>40</v>
      </c>
      <c r="D5753">
        <v>4.2530859999999997</v>
      </c>
      <c r="E5753">
        <v>0.53746919999999898</v>
      </c>
      <c r="F5753" t="s">
        <v>42</v>
      </c>
      <c r="G5753">
        <v>-421.85629999999998</v>
      </c>
      <c r="H5753" s="1">
        <v>-2.456075E-6</v>
      </c>
      <c r="I5753">
        <v>44.162970000000001</v>
      </c>
      <c r="J5753">
        <v>-423.10410000000002</v>
      </c>
      <c r="K5753">
        <v>1.111831</v>
      </c>
      <c r="L5753">
        <v>59.244109999999999</v>
      </c>
      <c r="M5753">
        <v>6.4806000000000004E-3</v>
      </c>
      <c r="N5753">
        <v>-1.367177E-2</v>
      </c>
      <c r="O5753">
        <v>-0.99988560000000004</v>
      </c>
      <c r="P5753">
        <v>0.18033250000000001</v>
      </c>
      <c r="Q5753">
        <v>-9.8644809999999999E-2</v>
      </c>
      <c r="R5753">
        <v>-0.97864669999999998</v>
      </c>
      <c r="S5753">
        <v>0.24398800000000001</v>
      </c>
      <c r="T5753">
        <v>-0.21671219999999999</v>
      </c>
      <c r="U5753">
        <v>-2.9977719999999999</v>
      </c>
      <c r="V5753">
        <v>-0.1735554</v>
      </c>
      <c r="W5753">
        <v>-8.6112610000000006E-2</v>
      </c>
      <c r="X5753">
        <v>0.98105200000000004</v>
      </c>
      <c r="Y5753">
        <v>-7.4478699999999995E-2</v>
      </c>
      <c r="Z5753">
        <v>5.824294E-2</v>
      </c>
      <c r="AA5753">
        <v>0.99552030000000002</v>
      </c>
      <c r="AB5753">
        <v>31</v>
      </c>
      <c r="AC5753">
        <v>1.24780000000004</v>
      </c>
      <c r="AD5753">
        <v>-1.1118334560750001</v>
      </c>
      <c r="AE5753">
        <v>-15.0811399999999</v>
      </c>
      <c r="AF5753">
        <v>-1.1438550797587701</v>
      </c>
      <c r="AG5753">
        <v>-1.1118334560750001</v>
      </c>
      <c r="AH5753">
        <v>15.007895022448301</v>
      </c>
      <c r="AI5753">
        <v>94.224708605311903</v>
      </c>
      <c r="AJ5753">
        <v>94.358479651760703</v>
      </c>
      <c r="AK5753">
        <v>15.0924315828287</v>
      </c>
      <c r="AL5753">
        <v>94.940007616688206</v>
      </c>
      <c r="AM5753">
        <v>100.03225193836801</v>
      </c>
      <c r="AN5753">
        <v>0.99999994258708402</v>
      </c>
    </row>
    <row r="5754" spans="1:40" x14ac:dyDescent="0.25">
      <c r="A5754" t="str">
        <f>"20190305135044211"</f>
        <v>20190305135044211</v>
      </c>
      <c r="B5754" t="str">
        <f>"1551765044206103"</f>
        <v>1551765044206103</v>
      </c>
      <c r="C5754" t="s">
        <v>40</v>
      </c>
      <c r="D5754">
        <v>4.2255269999999996</v>
      </c>
      <c r="E5754">
        <v>0.5375955</v>
      </c>
      <c r="F5754" t="s">
        <v>42</v>
      </c>
      <c r="G5754">
        <v>-421.80459999999999</v>
      </c>
      <c r="H5754" s="1">
        <v>-2.2502160000000001E-6</v>
      </c>
      <c r="I5754">
        <v>43.715159999999997</v>
      </c>
      <c r="J5754">
        <v>-423.0992</v>
      </c>
      <c r="K5754">
        <v>1.1118680000000001</v>
      </c>
      <c r="L5754">
        <v>58.93121</v>
      </c>
      <c r="M5754">
        <v>9.1957689999999995E-3</v>
      </c>
      <c r="N5754">
        <v>-1.367239E-2</v>
      </c>
      <c r="O5754">
        <v>-0.99986419999999998</v>
      </c>
      <c r="P5754">
        <v>0.18352360000000001</v>
      </c>
      <c r="Q5754">
        <v>-9.9129490000000001E-2</v>
      </c>
      <c r="R5754">
        <v>-0.97800450000000005</v>
      </c>
      <c r="S5754">
        <v>0.25085449999999998</v>
      </c>
      <c r="T5754">
        <v>-0.2146199</v>
      </c>
      <c r="U5754">
        <v>-2.9975890000000001</v>
      </c>
      <c r="V5754">
        <v>-0.17408109999999999</v>
      </c>
      <c r="W5754">
        <v>-8.6617700000000006E-2</v>
      </c>
      <c r="X5754">
        <v>0.98091450000000002</v>
      </c>
      <c r="Y5754">
        <v>-7.4044620000000005E-2</v>
      </c>
      <c r="Z5754">
        <v>5.7549410000000002E-2</v>
      </c>
      <c r="AA5754">
        <v>0.99559299999999995</v>
      </c>
      <c r="AB5754">
        <v>31</v>
      </c>
      <c r="AC5754">
        <v>1.2946</v>
      </c>
      <c r="AD5754">
        <v>-1.1118702502159901</v>
      </c>
      <c r="AE5754">
        <v>-15.216049999999999</v>
      </c>
      <c r="AF5754">
        <v>-1.1485203802530299</v>
      </c>
      <c r="AG5754">
        <v>-1.1118702502159901</v>
      </c>
      <c r="AH5754">
        <v>15.147015532743699</v>
      </c>
      <c r="AI5754">
        <v>94.186306210547301</v>
      </c>
      <c r="AJ5754">
        <v>94.336147248657099</v>
      </c>
      <c r="AK5754">
        <v>15.2311337091613</v>
      </c>
      <c r="AL5754">
        <v>94.969055116529802</v>
      </c>
      <c r="AM5754">
        <v>100.063401251824</v>
      </c>
      <c r="AN5754">
        <v>1.0000000558203701</v>
      </c>
    </row>
    <row r="5755" spans="1:40" x14ac:dyDescent="0.25">
      <c r="A5755" t="str">
        <f>"20190305135044233"</f>
        <v>20190305135044233</v>
      </c>
      <c r="B5755" t="str">
        <f>"1551765044225627"</f>
        <v>1551765044225627</v>
      </c>
      <c r="C5755" t="s">
        <v>40</v>
      </c>
      <c r="D5755">
        <v>4.2156599999999997</v>
      </c>
      <c r="E5755">
        <v>0.53783400000000003</v>
      </c>
      <c r="F5755" t="s">
        <v>42</v>
      </c>
      <c r="G5755">
        <v>-421.7645</v>
      </c>
      <c r="H5755" s="1">
        <v>-2.1488169999999999E-6</v>
      </c>
      <c r="I5755">
        <v>43.503660000000004</v>
      </c>
      <c r="J5755">
        <v>-423.09390000000002</v>
      </c>
      <c r="K5755">
        <v>1.111885</v>
      </c>
      <c r="L5755">
        <v>58.638579999999997</v>
      </c>
      <c r="M5755">
        <v>1.175183E-2</v>
      </c>
      <c r="N5755">
        <v>-1.367268E-2</v>
      </c>
      <c r="O5755">
        <v>-0.99983750000000005</v>
      </c>
      <c r="P5755">
        <v>0.18583189999999999</v>
      </c>
      <c r="Q5755">
        <v>-0.101289</v>
      </c>
      <c r="R5755">
        <v>-0.97734690000000002</v>
      </c>
      <c r="S5755">
        <v>0.25927729999999999</v>
      </c>
      <c r="T5755">
        <v>-0.21598899999999999</v>
      </c>
      <c r="U5755">
        <v>-2.996918</v>
      </c>
      <c r="V5755">
        <v>-0.17387559999999999</v>
      </c>
      <c r="W5755">
        <v>-8.8787820000000003E-2</v>
      </c>
      <c r="X5755">
        <v>0.98075690000000004</v>
      </c>
      <c r="Y5755">
        <v>-7.4289069999999999E-2</v>
      </c>
      <c r="Z5755">
        <v>5.8006910000000002E-2</v>
      </c>
      <c r="AA5755">
        <v>0.99554819999999999</v>
      </c>
      <c r="AB5755">
        <v>31</v>
      </c>
      <c r="AC5755">
        <v>1.3294000000000199</v>
      </c>
      <c r="AD5755">
        <v>-1.1118871488169999</v>
      </c>
      <c r="AE5755">
        <v>-15.134919999999999</v>
      </c>
      <c r="AF5755">
        <v>-1.14529459895622</v>
      </c>
      <c r="AG5755">
        <v>-1.1118871488169999</v>
      </c>
      <c r="AH5755">
        <v>15.0687937488779</v>
      </c>
      <c r="AI5755">
        <v>94.207966283854105</v>
      </c>
      <c r="AJ5755">
        <v>94.346374899859995</v>
      </c>
      <c r="AK5755">
        <v>15.153103239809401</v>
      </c>
      <c r="AL5755">
        <v>95.093874855321204</v>
      </c>
      <c r="AM5755">
        <v>100.05334625553</v>
      </c>
      <c r="AN5755">
        <v>1.0000000490766601</v>
      </c>
    </row>
    <row r="5756" spans="1:40" x14ac:dyDescent="0.25">
      <c r="A5756" t="str">
        <f>"20190305135044255"</f>
        <v>20190305135044255</v>
      </c>
      <c r="B5756" t="str">
        <f>"1551765044246120"</f>
        <v>1551765044246120</v>
      </c>
      <c r="C5756" t="s">
        <v>40</v>
      </c>
      <c r="D5756">
        <v>4.1683269999999997</v>
      </c>
      <c r="E5756">
        <v>0.53808459999999902</v>
      </c>
      <c r="F5756" t="s">
        <v>42</v>
      </c>
      <c r="G5756">
        <v>-421.7724</v>
      </c>
      <c r="H5756" s="1">
        <v>-2.2323280000000001E-6</v>
      </c>
      <c r="I5756">
        <v>43.693449999999999</v>
      </c>
      <c r="J5756">
        <v>-423.08749999999998</v>
      </c>
      <c r="K5756">
        <v>1.1118980000000001</v>
      </c>
      <c r="L5756">
        <v>58.334530000000001</v>
      </c>
      <c r="M5756">
        <v>1.441286E-2</v>
      </c>
      <c r="N5756">
        <v>-1.367265E-2</v>
      </c>
      <c r="O5756">
        <v>-0.999803</v>
      </c>
      <c r="P5756">
        <v>0.18773300000000001</v>
      </c>
      <c r="Q5756">
        <v>-0.1018946</v>
      </c>
      <c r="R5756">
        <v>-0.97692080000000003</v>
      </c>
      <c r="S5756">
        <v>0.26492310000000002</v>
      </c>
      <c r="T5756">
        <v>-0.22290099999999999</v>
      </c>
      <c r="U5756">
        <v>-2.9960629999999999</v>
      </c>
      <c r="V5756">
        <v>-0.1731693</v>
      </c>
      <c r="W5756">
        <v>-8.939453E-2</v>
      </c>
      <c r="X5756">
        <v>0.98082670000000005</v>
      </c>
      <c r="Y5756">
        <v>-7.3508400000000002E-2</v>
      </c>
      <c r="Z5756">
        <v>6.0304290000000003E-2</v>
      </c>
      <c r="AA5756">
        <v>0.99546970000000001</v>
      </c>
      <c r="AB5756">
        <v>31</v>
      </c>
      <c r="AC5756">
        <v>1.31509999999997</v>
      </c>
      <c r="AD5756">
        <v>-1.1119002323280001</v>
      </c>
      <c r="AE5756">
        <v>-14.641080000000001</v>
      </c>
      <c r="AF5756">
        <v>-1.09764392397221</v>
      </c>
      <c r="AG5756">
        <v>-1.1119002323280001</v>
      </c>
      <c r="AH5756">
        <v>14.5751262280105</v>
      </c>
      <c r="AI5756">
        <v>94.350231820030203</v>
      </c>
      <c r="AJ5756">
        <v>94.306780736512493</v>
      </c>
      <c r="AK5756">
        <v>14.6586305251522</v>
      </c>
      <c r="AL5756">
        <v>95.128775802446199</v>
      </c>
      <c r="AM5756">
        <v>100.012638492904</v>
      </c>
      <c r="AN5756">
        <v>1.00000000194465</v>
      </c>
    </row>
    <row r="5757" spans="1:40" x14ac:dyDescent="0.25">
      <c r="A5757" t="str">
        <f>"20190305135044278"</f>
        <v>20190305135044278</v>
      </c>
      <c r="B5757" t="str">
        <f>"1551765044275400"</f>
        <v>1551765044275400</v>
      </c>
      <c r="C5757" t="s">
        <v>40</v>
      </c>
      <c r="D5757">
        <v>4.3245079999999998</v>
      </c>
      <c r="E5757">
        <v>0.53825140000000005</v>
      </c>
      <c r="F5757" t="s">
        <v>42</v>
      </c>
      <c r="G5757">
        <v>-421.76119999999997</v>
      </c>
      <c r="H5757" s="1">
        <v>-2.1679940000000001E-6</v>
      </c>
      <c r="I5757">
        <v>43.55039</v>
      </c>
      <c r="J5757">
        <v>-423.08019999999999</v>
      </c>
      <c r="K5757">
        <v>1.111909</v>
      </c>
      <c r="L5757">
        <v>58.028689999999997</v>
      </c>
      <c r="M5757">
        <v>1.7087850000000002E-2</v>
      </c>
      <c r="N5757">
        <v>-1.367231E-2</v>
      </c>
      <c r="O5757">
        <v>-0.99976050000000005</v>
      </c>
      <c r="P5757">
        <v>0.18966949999999999</v>
      </c>
      <c r="Q5757">
        <v>-0.10159899999999999</v>
      </c>
      <c r="R5757">
        <v>-0.97657720000000003</v>
      </c>
      <c r="S5757">
        <v>0.26873780000000003</v>
      </c>
      <c r="T5757">
        <v>-0.2253057</v>
      </c>
      <c r="U5757">
        <v>-2.9957280000000002</v>
      </c>
      <c r="V5757">
        <v>-0.17249010000000001</v>
      </c>
      <c r="W5757">
        <v>-8.9096720000000004E-2</v>
      </c>
      <c r="X5757">
        <v>0.98097350000000005</v>
      </c>
      <c r="Y5757">
        <v>-7.2103550000000002E-2</v>
      </c>
      <c r="Z5757">
        <v>6.1103560000000001E-2</v>
      </c>
      <c r="AA5757">
        <v>0.99552370000000001</v>
      </c>
      <c r="AB5757">
        <v>30</v>
      </c>
      <c r="AC5757">
        <v>1.3190000000000099</v>
      </c>
      <c r="AD5757">
        <v>-1.1119111679939999</v>
      </c>
      <c r="AE5757">
        <v>-14.478300000000001</v>
      </c>
      <c r="AF5757">
        <v>-1.0651506799210499</v>
      </c>
      <c r="AG5757">
        <v>-1.1119111679939999</v>
      </c>
      <c r="AH5757">
        <v>14.414410182405399</v>
      </c>
      <c r="AI5757">
        <v>94.399049112360203</v>
      </c>
      <c r="AJ5757">
        <v>94.226181924843402</v>
      </c>
      <c r="AK5757">
        <v>14.4964172581738</v>
      </c>
      <c r="AL5757">
        <v>95.1116440213125</v>
      </c>
      <c r="AM5757">
        <v>99.972694656927899</v>
      </c>
      <c r="AN5757">
        <v>1.0000000339074999</v>
      </c>
    </row>
    <row r="5758" spans="1:40" x14ac:dyDescent="0.25">
      <c r="A5758" t="str">
        <f>"20190305135044301"</f>
        <v>20190305135044301</v>
      </c>
      <c r="B5758" t="str">
        <f>"1551765044295899"</f>
        <v>1551765044295899</v>
      </c>
      <c r="C5758" t="s">
        <v>40</v>
      </c>
      <c r="D5758">
        <v>4.3823850000000002</v>
      </c>
      <c r="E5758">
        <v>0.54000680000000001</v>
      </c>
      <c r="F5758" t="s">
        <v>42</v>
      </c>
      <c r="G5758">
        <v>-421.72680000000003</v>
      </c>
      <c r="H5758" s="1">
        <v>-2.0059230000000001E-6</v>
      </c>
      <c r="I5758">
        <v>43.193950000000001</v>
      </c>
      <c r="J5758">
        <v>-423.07209999999998</v>
      </c>
      <c r="K5758">
        <v>1.1119049999999999</v>
      </c>
      <c r="L5758">
        <v>57.719149999999999</v>
      </c>
      <c r="M5758">
        <v>1.9790430000000001E-2</v>
      </c>
      <c r="N5758">
        <v>-1.367181E-2</v>
      </c>
      <c r="O5758">
        <v>-0.9997106</v>
      </c>
      <c r="P5758">
        <v>0.1916591</v>
      </c>
      <c r="Q5758">
        <v>-0.10094649999999999</v>
      </c>
      <c r="R5758">
        <v>-0.97625649999999997</v>
      </c>
      <c r="S5758">
        <v>0.2732849</v>
      </c>
      <c r="T5758">
        <v>-0.22452330000000001</v>
      </c>
      <c r="U5758">
        <v>-2.995514</v>
      </c>
      <c r="V5758">
        <v>-0.1718392</v>
      </c>
      <c r="W5758">
        <v>-8.8439989999999996E-2</v>
      </c>
      <c r="X5758">
        <v>0.98114710000000005</v>
      </c>
      <c r="Y5758">
        <v>-7.0914779999999997E-2</v>
      </c>
      <c r="Z5758">
        <v>6.0845419999999997E-2</v>
      </c>
      <c r="AA5758">
        <v>0.99562490000000003</v>
      </c>
      <c r="AB5758">
        <v>30</v>
      </c>
      <c r="AC5758">
        <v>1.34529999999995</v>
      </c>
      <c r="AD5758">
        <v>-1.1119070059229901</v>
      </c>
      <c r="AE5758">
        <v>-14.5251999999999</v>
      </c>
      <c r="AF5758">
        <v>-1.0514406622957799</v>
      </c>
      <c r="AG5758">
        <v>-1.1119070059229901</v>
      </c>
      <c r="AH5758">
        <v>14.4649386190041</v>
      </c>
      <c r="AI5758">
        <v>94.384110062362495</v>
      </c>
      <c r="AJ5758">
        <v>94.157455991026694</v>
      </c>
      <c r="AK5758">
        <v>14.545663061810099</v>
      </c>
      <c r="AL5758">
        <v>95.073867270099996</v>
      </c>
      <c r="AM5758">
        <v>99.934090524057495</v>
      </c>
      <c r="AN5758">
        <v>0.99999998716312499</v>
      </c>
    </row>
    <row r="5759" spans="1:40" x14ac:dyDescent="0.25">
      <c r="A5759" t="str">
        <f>"20190305135044323"</f>
        <v>20190305135044323</v>
      </c>
      <c r="B5759" t="str">
        <f>"1551765044316394"</f>
        <v>1551765044316394</v>
      </c>
      <c r="C5759" t="s">
        <v>40</v>
      </c>
      <c r="D5759">
        <v>4.2967089999999999</v>
      </c>
      <c r="E5759">
        <v>0.60134540000000003</v>
      </c>
      <c r="F5759" t="s">
        <v>42</v>
      </c>
      <c r="G5759">
        <v>-421.75729999999999</v>
      </c>
      <c r="H5759" s="1">
        <v>-1.8716650000000001E-6</v>
      </c>
      <c r="I5759">
        <v>42.862099999999998</v>
      </c>
      <c r="J5759">
        <v>-423.06330000000003</v>
      </c>
      <c r="K5759">
        <v>1.111896</v>
      </c>
      <c r="L5759">
        <v>57.416930000000001</v>
      </c>
      <c r="M5759">
        <v>2.2424050000000001E-2</v>
      </c>
      <c r="N5759">
        <v>-1.367115E-2</v>
      </c>
      <c r="O5759">
        <v>-0.99965499999999996</v>
      </c>
      <c r="P5759">
        <v>0.19339249999999999</v>
      </c>
      <c r="Q5759">
        <v>-0.10067420000000001</v>
      </c>
      <c r="R5759">
        <v>-0.97594259999999999</v>
      </c>
      <c r="S5759">
        <v>0.26528930000000001</v>
      </c>
      <c r="T5759">
        <v>-0.22434750000000001</v>
      </c>
      <c r="U5759">
        <v>-2.997681</v>
      </c>
      <c r="V5759">
        <v>-0.17099890000000001</v>
      </c>
      <c r="W5759">
        <v>-8.8161649999999994E-2</v>
      </c>
      <c r="X5759">
        <v>0.98131900000000005</v>
      </c>
      <c r="Y5759">
        <v>-6.5590289999999996E-2</v>
      </c>
      <c r="Z5759">
        <v>6.0752100000000003E-2</v>
      </c>
      <c r="AA5759">
        <v>0.99599550000000003</v>
      </c>
      <c r="AB5759">
        <v>30</v>
      </c>
      <c r="AC5759">
        <v>1.30600000000004</v>
      </c>
      <c r="AD5759">
        <v>-1.1118978716650001</v>
      </c>
      <c r="AE5759">
        <v>-14.554830000000001</v>
      </c>
      <c r="AF5759">
        <v>-0.97362607919384403</v>
      </c>
      <c r="AG5759">
        <v>-1.1118978716650001</v>
      </c>
      <c r="AH5759">
        <v>14.4965319589428</v>
      </c>
      <c r="AI5759">
        <v>94.376232777263795</v>
      </c>
      <c r="AJ5759">
        <v>93.842368180481003</v>
      </c>
      <c r="AK5759">
        <v>14.5716746963329</v>
      </c>
      <c r="AL5759">
        <v>95.057856756033303</v>
      </c>
      <c r="AM5759">
        <v>99.884775580422101</v>
      </c>
      <c r="AN5759">
        <v>1.0000000400464599</v>
      </c>
    </row>
    <row r="5760" spans="1:40" x14ac:dyDescent="0.25">
      <c r="A5760" t="str">
        <f>"20190305135044345"</f>
        <v>20190305135044345</v>
      </c>
      <c r="B5760" t="str">
        <f>"1551765044335912"</f>
        <v>1551765044335912</v>
      </c>
      <c r="C5760" t="s">
        <v>40</v>
      </c>
      <c r="D5760">
        <v>4.2917069999999997</v>
      </c>
      <c r="E5760">
        <v>0.60205330000000001</v>
      </c>
      <c r="F5760" t="s">
        <v>41</v>
      </c>
      <c r="G5760">
        <v>-423.12209999999999</v>
      </c>
      <c r="H5760">
        <v>0.91729019999999994</v>
      </c>
      <c r="I5760">
        <v>56.664279999999998</v>
      </c>
      <c r="J5760">
        <v>-423.0539</v>
      </c>
      <c r="K5760">
        <v>1.111888</v>
      </c>
      <c r="L5760">
        <v>57.118319999999997</v>
      </c>
      <c r="M5760">
        <v>2.502269E-2</v>
      </c>
      <c r="N5760">
        <v>-1.3670369999999999E-2</v>
      </c>
      <c r="O5760">
        <v>-0.99959359999999997</v>
      </c>
      <c r="P5760">
        <v>0.19454830000000001</v>
      </c>
      <c r="Q5760">
        <v>-0.1003313</v>
      </c>
      <c r="R5760">
        <v>-0.97574850000000002</v>
      </c>
      <c r="S5760">
        <v>-0.23623659999999999</v>
      </c>
      <c r="T5760">
        <v>-0.78619989999999995</v>
      </c>
      <c r="U5760">
        <v>-3.0396730000000001</v>
      </c>
      <c r="V5760">
        <v>-0.16961289999999901</v>
      </c>
      <c r="W5760">
        <v>-8.7808010000000006E-2</v>
      </c>
      <c r="X5760">
        <v>0.9815912</v>
      </c>
      <c r="Y5760">
        <v>0.1000308</v>
      </c>
      <c r="Z5760">
        <v>0.23603440000000001</v>
      </c>
      <c r="AA5760">
        <v>0.96658250000000001</v>
      </c>
      <c r="AB5760">
        <v>30</v>
      </c>
      <c r="AC5760">
        <v>-6.8199999999990199E-2</v>
      </c>
      <c r="AD5760">
        <v>-0.19459779999999999</v>
      </c>
      <c r="AE5760">
        <v>-0.45403999999999201</v>
      </c>
      <c r="AF5760">
        <v>6.7428322655110395E-2</v>
      </c>
      <c r="AG5760">
        <v>-0.19459779999999999</v>
      </c>
      <c r="AH5760">
        <v>0.38333043484565699</v>
      </c>
      <c r="AI5760">
        <v>116.563872160092</v>
      </c>
      <c r="AJ5760">
        <v>80.023655867806497</v>
      </c>
      <c r="AK5760">
        <v>0.43515181803582298</v>
      </c>
      <c r="AL5760">
        <v>95.037515825862897</v>
      </c>
      <c r="AM5760">
        <v>99.803551434436997</v>
      </c>
      <c r="AN5760">
        <v>1.000000033192</v>
      </c>
    </row>
    <row r="5761" spans="1:40" x14ac:dyDescent="0.25">
      <c r="A5761" t="str">
        <f>"20190305135044369"</f>
        <v>20190305135044369</v>
      </c>
      <c r="B5761" t="str">
        <f>"1551765044366167"</f>
        <v>1551765044366167</v>
      </c>
      <c r="C5761" t="s">
        <v>40</v>
      </c>
      <c r="D5761">
        <v>4.2934080000000003</v>
      </c>
      <c r="E5761">
        <v>0.60242410000000002</v>
      </c>
      <c r="F5761" t="s">
        <v>41</v>
      </c>
      <c r="G5761">
        <v>-423.1112</v>
      </c>
      <c r="H5761">
        <v>0.92289779999999999</v>
      </c>
      <c r="I5761">
        <v>56.391109999999998</v>
      </c>
      <c r="J5761">
        <v>-423.04329999999999</v>
      </c>
      <c r="K5761">
        <v>1.1118840000000001</v>
      </c>
      <c r="L5761">
        <v>56.81033</v>
      </c>
      <c r="M5761">
        <v>2.7699979999999999E-2</v>
      </c>
      <c r="N5761">
        <v>-1.366944E-2</v>
      </c>
      <c r="O5761">
        <v>-0.99952289999999999</v>
      </c>
      <c r="P5761">
        <v>0.1964196</v>
      </c>
      <c r="Q5761">
        <v>-9.992624E-2</v>
      </c>
      <c r="R5761">
        <v>-0.97541509999999998</v>
      </c>
      <c r="S5761">
        <v>-0.2383728</v>
      </c>
      <c r="T5761">
        <v>-0.79059429999999997</v>
      </c>
      <c r="U5761">
        <v>-3.0408019999999998</v>
      </c>
      <c r="V5761">
        <v>-0.16886870000000001</v>
      </c>
      <c r="W5761">
        <v>-8.7396689999999999E-2</v>
      </c>
      <c r="X5761">
        <v>0.98175619999999997</v>
      </c>
      <c r="Y5761">
        <v>0.1033124</v>
      </c>
      <c r="Z5761">
        <v>0.23718139999999999</v>
      </c>
      <c r="AA5761">
        <v>0.96595629999999999</v>
      </c>
      <c r="AB5761">
        <v>30</v>
      </c>
      <c r="AC5761">
        <v>-6.7900000000008703E-2</v>
      </c>
      <c r="AD5761">
        <v>-0.18898619999999999</v>
      </c>
      <c r="AE5761">
        <v>-0.41922000000000897</v>
      </c>
      <c r="AF5761">
        <v>6.6348454880646404E-2</v>
      </c>
      <c r="AG5761">
        <v>-0.18898619999999999</v>
      </c>
      <c r="AH5761">
        <v>0.34822020803526699</v>
      </c>
      <c r="AI5761">
        <v>118.063384610333</v>
      </c>
      <c r="AJ5761">
        <v>79.212400182986102</v>
      </c>
      <c r="AK5761">
        <v>0.40171534018458099</v>
      </c>
      <c r="AL5761">
        <v>95.013858001764305</v>
      </c>
      <c r="AM5761">
        <v>99.759757283375393</v>
      </c>
      <c r="AN5761">
        <v>1.0000000277505401</v>
      </c>
    </row>
    <row r="5762" spans="1:40" x14ac:dyDescent="0.25">
      <c r="A5762" t="str">
        <f>"20190305135044391"</f>
        <v>20190305135044391</v>
      </c>
      <c r="B5762" t="str">
        <f>"1551765044385691"</f>
        <v>1551765044385691</v>
      </c>
      <c r="C5762" t="s">
        <v>40</v>
      </c>
      <c r="D5762">
        <v>4.3010489999999999</v>
      </c>
      <c r="E5762">
        <v>0.60217480000000001</v>
      </c>
      <c r="F5762" t="s">
        <v>41</v>
      </c>
      <c r="G5762">
        <v>-423.09699999999998</v>
      </c>
      <c r="H5762">
        <v>0.93607390000000001</v>
      </c>
      <c r="I5762">
        <v>56.114600000000003</v>
      </c>
      <c r="J5762">
        <v>-423.03219999999999</v>
      </c>
      <c r="K5762">
        <v>1.111874</v>
      </c>
      <c r="L5762">
        <v>56.508580000000002</v>
      </c>
      <c r="M5762">
        <v>3.0321959999999998E-2</v>
      </c>
      <c r="N5762">
        <v>-1.3668400000000001E-2</v>
      </c>
      <c r="O5762">
        <v>-0.99944670000000002</v>
      </c>
      <c r="P5762">
        <v>0.19811239999999999</v>
      </c>
      <c r="Q5762">
        <v>-9.9627950000000007E-2</v>
      </c>
      <c r="R5762">
        <v>-0.97510289999999999</v>
      </c>
      <c r="S5762">
        <v>-0.23403930000000001</v>
      </c>
      <c r="T5762">
        <v>-0.76928069999999904</v>
      </c>
      <c r="U5762">
        <v>-3.0439150000000001</v>
      </c>
      <c r="V5762">
        <v>-0.16800010000000001</v>
      </c>
      <c r="W5762">
        <v>-8.7091340000000003E-2</v>
      </c>
      <c r="X5762">
        <v>0.98193229999999998</v>
      </c>
      <c r="Y5762">
        <v>0.104602</v>
      </c>
      <c r="Z5762">
        <v>0.2305516</v>
      </c>
      <c r="AA5762">
        <v>0.96742150000000005</v>
      </c>
      <c r="AB5762">
        <v>30</v>
      </c>
      <c r="AC5762">
        <v>-6.4799999999991004E-2</v>
      </c>
      <c r="AD5762">
        <v>-0.17580009999999999</v>
      </c>
      <c r="AE5762">
        <v>-0.393979999999999</v>
      </c>
      <c r="AF5762">
        <v>6.4259877287689796E-2</v>
      </c>
      <c r="AG5762">
        <v>-0.17580009999999999</v>
      </c>
      <c r="AH5762">
        <v>0.32820633553652701</v>
      </c>
      <c r="AI5762">
        <v>117.729036267371</v>
      </c>
      <c r="AJ5762">
        <v>78.922131578294696</v>
      </c>
      <c r="AK5762">
        <v>0.37782854004872901</v>
      </c>
      <c r="AL5762">
        <v>94.9962959675089</v>
      </c>
      <c r="AM5762">
        <v>99.708806441085002</v>
      </c>
      <c r="AN5762">
        <v>0.99999998844314697</v>
      </c>
    </row>
    <row r="5763" spans="1:40" x14ac:dyDescent="0.25">
      <c r="A5763" t="str">
        <f>"20190305135044404"</f>
        <v>20190305135044404</v>
      </c>
      <c r="B5763" t="str">
        <f>"1551765044396424"</f>
        <v>1551765044396424</v>
      </c>
      <c r="C5763" t="s">
        <v>40</v>
      </c>
      <c r="D5763">
        <v>4.2976570000000001</v>
      </c>
      <c r="E5763">
        <v>0.60221380000000002</v>
      </c>
      <c r="F5763" t="s">
        <v>41</v>
      </c>
      <c r="G5763">
        <v>-423.10039999999998</v>
      </c>
      <c r="H5763">
        <v>0.88297819999999905</v>
      </c>
      <c r="I5763">
        <v>55.597279999999998</v>
      </c>
      <c r="J5763">
        <v>-423.02519999999998</v>
      </c>
      <c r="K5763">
        <v>1.111877</v>
      </c>
      <c r="L5763">
        <v>56.331150000000001</v>
      </c>
      <c r="M5763">
        <v>3.1863669999999997E-2</v>
      </c>
      <c r="N5763">
        <v>-1.3667749999999999E-2</v>
      </c>
      <c r="O5763">
        <v>-0.99939880000000003</v>
      </c>
      <c r="P5763">
        <v>0.1989851</v>
      </c>
      <c r="Q5763">
        <v>-0.1002348</v>
      </c>
      <c r="R5763">
        <v>-0.97486320000000004</v>
      </c>
      <c r="S5763">
        <v>-0.2276001</v>
      </c>
      <c r="T5763">
        <v>-0.76485669999999994</v>
      </c>
      <c r="U5763">
        <v>-3.0446780000000002</v>
      </c>
      <c r="V5763">
        <v>-0.16736419999999999</v>
      </c>
      <c r="W5763">
        <v>-8.7693939999999998E-2</v>
      </c>
      <c r="X5763">
        <v>0.98198730000000001</v>
      </c>
      <c r="Y5763">
        <v>0.10410899999999999</v>
      </c>
      <c r="Z5763">
        <v>0.2291784</v>
      </c>
      <c r="AA5763">
        <v>0.96780089999999996</v>
      </c>
      <c r="AB5763">
        <v>30</v>
      </c>
      <c r="AC5763">
        <v>-7.5199999999995201E-2</v>
      </c>
      <c r="AD5763">
        <v>-0.22889880000000001</v>
      </c>
      <c r="AE5763">
        <v>-0.73386999999999603</v>
      </c>
      <c r="AF5763">
        <v>8.9893326580718594E-2</v>
      </c>
      <c r="AG5763">
        <v>-0.22889880000000001</v>
      </c>
      <c r="AH5763">
        <v>0.66689570571186896</v>
      </c>
      <c r="AI5763">
        <v>108.785942330203</v>
      </c>
      <c r="AJ5763">
        <v>82.323162206813905</v>
      </c>
      <c r="AK5763">
        <v>0.71079206038202103</v>
      </c>
      <c r="AL5763">
        <v>95.030954803238799</v>
      </c>
      <c r="AM5763">
        <v>99.672221505490995</v>
      </c>
      <c r="AN5763">
        <v>1.00000002995782</v>
      </c>
    </row>
    <row r="5764" spans="1:40" x14ac:dyDescent="0.25">
      <c r="A5764" t="str">
        <f>"20190305135044416"</f>
        <v>20190305135044416</v>
      </c>
      <c r="B5764" t="str">
        <f>"1551765044406184"</f>
        <v>1551765044406184</v>
      </c>
      <c r="C5764" t="s">
        <v>40</v>
      </c>
      <c r="D5764">
        <v>4.2823460000000004</v>
      </c>
      <c r="E5764">
        <v>0.60204169999999901</v>
      </c>
      <c r="F5764" t="s">
        <v>41</v>
      </c>
      <c r="G5764">
        <v>-423.08089999999999</v>
      </c>
      <c r="H5764">
        <v>0.92312850000000002</v>
      </c>
      <c r="I5764">
        <v>55.580730000000003</v>
      </c>
      <c r="J5764">
        <v>-423.0179</v>
      </c>
      <c r="K5764">
        <v>1.111874</v>
      </c>
      <c r="L5764">
        <v>56.1537199999999</v>
      </c>
      <c r="M5764">
        <v>3.340568E-2</v>
      </c>
      <c r="N5764">
        <v>-1.366707E-2</v>
      </c>
      <c r="O5764">
        <v>-0.99934860000000003</v>
      </c>
      <c r="P5764">
        <v>0.19993759999999999</v>
      </c>
      <c r="Q5764">
        <v>-0.1003122</v>
      </c>
      <c r="R5764">
        <v>-0.97466039999999998</v>
      </c>
      <c r="S5764">
        <v>-0.22540279999999999</v>
      </c>
      <c r="T5764">
        <v>-0.7659378</v>
      </c>
      <c r="U5764">
        <v>-3.0445859999999998</v>
      </c>
      <c r="V5764">
        <v>-0.1668096</v>
      </c>
      <c r="W5764">
        <v>-8.7767090000000006E-2</v>
      </c>
      <c r="X5764">
        <v>0.98207509999999998</v>
      </c>
      <c r="Y5764">
        <v>0.10494340000000001</v>
      </c>
      <c r="Z5764">
        <v>0.22948589999999999</v>
      </c>
      <c r="AA5764">
        <v>0.96763790000000005</v>
      </c>
      <c r="AB5764">
        <v>30</v>
      </c>
      <c r="AC5764">
        <v>-6.2999999999988093E-2</v>
      </c>
      <c r="AD5764">
        <v>-0.18874549999999901</v>
      </c>
      <c r="AE5764">
        <v>-0.57298999999999001</v>
      </c>
      <c r="AF5764">
        <v>7.4157243961089594E-2</v>
      </c>
      <c r="AG5764">
        <v>-0.18874549999999901</v>
      </c>
      <c r="AH5764">
        <v>0.51531753572713102</v>
      </c>
      <c r="AI5764">
        <v>109.927386490675</v>
      </c>
      <c r="AJ5764">
        <v>81.811017629967694</v>
      </c>
      <c r="AK5764">
        <v>0.55378364297804705</v>
      </c>
      <c r="AL5764">
        <v>95.035162346243396</v>
      </c>
      <c r="AM5764">
        <v>99.639927145980593</v>
      </c>
      <c r="AN5764">
        <v>1.0000000033896099</v>
      </c>
    </row>
    <row r="5765" spans="1:40" x14ac:dyDescent="0.25">
      <c r="A5765" t="str">
        <f>"20190305135044431"</f>
        <v>20190305135044431</v>
      </c>
      <c r="B5765" t="str">
        <f>"1551765044425705"</f>
        <v>1551765044425705</v>
      </c>
      <c r="C5765" t="s">
        <v>40</v>
      </c>
      <c r="D5765">
        <v>4.2652999999999999</v>
      </c>
      <c r="E5765">
        <v>0.60159669999999998</v>
      </c>
      <c r="F5765" t="s">
        <v>41</v>
      </c>
      <c r="G5765">
        <v>-423.07889999999998</v>
      </c>
      <c r="H5765">
        <v>0.90208580000000005</v>
      </c>
      <c r="I5765">
        <v>55.320320000000002</v>
      </c>
      <c r="J5765">
        <v>-423.00990000000002</v>
      </c>
      <c r="K5765">
        <v>1.1118709999999901</v>
      </c>
      <c r="L5765">
        <v>55.963529999999999</v>
      </c>
      <c r="M5765">
        <v>3.5059050000000001E-2</v>
      </c>
      <c r="N5765">
        <v>-1.3666330000000001E-2</v>
      </c>
      <c r="O5765">
        <v>-0.99929190000000001</v>
      </c>
      <c r="P5765">
        <v>0.20086109999999999</v>
      </c>
      <c r="Q5765">
        <v>-0.1005545</v>
      </c>
      <c r="R5765">
        <v>-0.97444529999999996</v>
      </c>
      <c r="S5765">
        <v>-0.2213135</v>
      </c>
      <c r="T5765">
        <v>-0.76675590000000005</v>
      </c>
      <c r="U5765">
        <v>-3.044495</v>
      </c>
      <c r="V5765">
        <v>-0.166116299999999</v>
      </c>
      <c r="W5765">
        <v>-8.8004219999999994E-2</v>
      </c>
      <c r="X5765">
        <v>0.98217140000000003</v>
      </c>
      <c r="Y5765">
        <v>0.1052926</v>
      </c>
      <c r="Z5765">
        <v>0.22972380000000001</v>
      </c>
      <c r="AA5765">
        <v>0.9675435</v>
      </c>
      <c r="AB5765">
        <v>30</v>
      </c>
      <c r="AC5765">
        <v>-6.8999999999959899E-2</v>
      </c>
      <c r="AD5765">
        <v>-0.20978519999999901</v>
      </c>
      <c r="AE5765">
        <v>-0.64321000000001005</v>
      </c>
      <c r="AF5765">
        <v>8.2802057582298305E-2</v>
      </c>
      <c r="AG5765">
        <v>-0.20978519999999901</v>
      </c>
      <c r="AH5765">
        <v>0.57945618581819103</v>
      </c>
      <c r="AI5765">
        <v>109.71754993950201</v>
      </c>
      <c r="AJ5765">
        <v>81.867707457082105</v>
      </c>
      <c r="AK5765">
        <v>0.62180019472646297</v>
      </c>
      <c r="AL5765">
        <v>95.048801620066797</v>
      </c>
      <c r="AM5765">
        <v>99.599684799303603</v>
      </c>
      <c r="AN5765">
        <v>1.0000000134207201</v>
      </c>
    </row>
    <row r="5766" spans="1:40" x14ac:dyDescent="0.25">
      <c r="A5766" t="str">
        <f>"20190305135044443"</f>
        <v>20190305135044443</v>
      </c>
      <c r="B5766" t="str">
        <f>"1551765044436440"</f>
        <v>1551765044436440</v>
      </c>
      <c r="C5766" t="s">
        <v>40</v>
      </c>
      <c r="D5766">
        <v>4.2908920000000004</v>
      </c>
      <c r="E5766">
        <v>0.60135969999999905</v>
      </c>
      <c r="F5766" t="s">
        <v>41</v>
      </c>
      <c r="G5766">
        <v>-423.07389999999998</v>
      </c>
      <c r="H5766">
        <v>0.88357280000000005</v>
      </c>
      <c r="I5766">
        <v>55.058210000000003</v>
      </c>
      <c r="J5766">
        <v>-423.00259999999997</v>
      </c>
      <c r="K5766">
        <v>1.1118709999999901</v>
      </c>
      <c r="L5766">
        <v>55.796199999999999</v>
      </c>
      <c r="M5766">
        <v>3.6513700000000003E-2</v>
      </c>
      <c r="N5766">
        <v>-1.366566E-2</v>
      </c>
      <c r="O5766">
        <v>-0.99923989999999996</v>
      </c>
      <c r="P5766">
        <v>0.20168910000000001</v>
      </c>
      <c r="Q5766">
        <v>-0.1006475</v>
      </c>
      <c r="R5766">
        <v>-0.97426460000000004</v>
      </c>
      <c r="S5766">
        <v>-0.2149353</v>
      </c>
      <c r="T5766">
        <v>-0.76757010000000003</v>
      </c>
      <c r="U5766">
        <v>-3.0437620000000001</v>
      </c>
      <c r="V5766">
        <v>-0.16552249999999999</v>
      </c>
      <c r="W5766">
        <v>-8.8092690000000001E-2</v>
      </c>
      <c r="X5766">
        <v>0.98226369999999996</v>
      </c>
      <c r="Y5766">
        <v>0.1047352</v>
      </c>
      <c r="Z5766">
        <v>0.23002819999999999</v>
      </c>
      <c r="AA5766">
        <v>0.96753169999999999</v>
      </c>
      <c r="AB5766">
        <v>30</v>
      </c>
      <c r="AC5766">
        <v>-7.1300000000007899E-2</v>
      </c>
      <c r="AD5766">
        <v>-0.22829819999999901</v>
      </c>
      <c r="AE5766">
        <v>-0.73799000000000303</v>
      </c>
      <c r="AF5766">
        <v>8.9697217311696206E-2</v>
      </c>
      <c r="AG5766">
        <v>-0.22829819999999901</v>
      </c>
      <c r="AH5766">
        <v>0.67125065727373001</v>
      </c>
      <c r="AI5766">
        <v>108.629592620427</v>
      </c>
      <c r="AJ5766">
        <v>82.388824828068294</v>
      </c>
      <c r="AK5766">
        <v>0.71466293020354399</v>
      </c>
      <c r="AL5766">
        <v>95.053890418411697</v>
      </c>
      <c r="AM5766">
        <v>99.565122699232404</v>
      </c>
      <c r="AN5766">
        <v>0.99999999818768803</v>
      </c>
    </row>
    <row r="5767" spans="1:40" x14ac:dyDescent="0.25">
      <c r="A5767" t="str">
        <f>"20190305135044456"</f>
        <v>20190305135044456</v>
      </c>
      <c r="B5767" t="str">
        <f>"1551765044446200"</f>
        <v>1551765044446200</v>
      </c>
      <c r="C5767" t="s">
        <v>40</v>
      </c>
      <c r="D5767">
        <v>4.3050090000000001</v>
      </c>
      <c r="E5767">
        <v>0.60121979999999997</v>
      </c>
      <c r="F5767" t="s">
        <v>41</v>
      </c>
      <c r="G5767">
        <v>-423.0548</v>
      </c>
      <c r="H5767">
        <v>0.92156090000000002</v>
      </c>
      <c r="I5767">
        <v>55.042720000000003</v>
      </c>
      <c r="J5767">
        <v>-422.99439999999998</v>
      </c>
      <c r="K5767">
        <v>1.111872</v>
      </c>
      <c r="L5767">
        <v>55.617579999999997</v>
      </c>
      <c r="M5767">
        <v>3.8066740000000002E-2</v>
      </c>
      <c r="N5767">
        <v>-1.366495E-2</v>
      </c>
      <c r="O5767">
        <v>-0.99918180000000001</v>
      </c>
      <c r="P5767">
        <v>0.20198379999999999</v>
      </c>
      <c r="Q5767">
        <v>-0.1012043</v>
      </c>
      <c r="R5767">
        <v>-0.97414579999999995</v>
      </c>
      <c r="S5767">
        <v>-0.21090700000000001</v>
      </c>
      <c r="T5767">
        <v>-0.7687621</v>
      </c>
      <c r="U5767">
        <v>-3.043488</v>
      </c>
      <c r="V5767">
        <v>-0.16429379999999999</v>
      </c>
      <c r="W5767">
        <v>-8.8640919999999998E-2</v>
      </c>
      <c r="X5767">
        <v>0.98242070000000004</v>
      </c>
      <c r="Y5767">
        <v>0.105005399999999</v>
      </c>
      <c r="Z5767">
        <v>0.2303916</v>
      </c>
      <c r="AA5767">
        <v>0.9674159</v>
      </c>
      <c r="AB5767">
        <v>30</v>
      </c>
      <c r="AC5767">
        <v>-6.0400000000015497E-2</v>
      </c>
      <c r="AD5767">
        <v>-0.19031110000000001</v>
      </c>
      <c r="AE5767">
        <v>-0.57486000000000803</v>
      </c>
      <c r="AF5767">
        <v>7.4198104852589097E-2</v>
      </c>
      <c r="AG5767">
        <v>-0.19031110000000001</v>
      </c>
      <c r="AH5767">
        <v>0.51618816372110499</v>
      </c>
      <c r="AI5767">
        <v>110.04877935265201</v>
      </c>
      <c r="AJ5767">
        <v>81.820198995886301</v>
      </c>
      <c r="AK5767">
        <v>0.55513412245392701</v>
      </c>
      <c r="AL5767">
        <v>95.085424790425407</v>
      </c>
      <c r="AM5767">
        <v>99.493927086285495</v>
      </c>
      <c r="AN5767">
        <v>1.0000000486026801</v>
      </c>
    </row>
    <row r="5768" spans="1:40" x14ac:dyDescent="0.25">
      <c r="A5768" t="str">
        <f>"20190305135044472"</f>
        <v>20190305135044472</v>
      </c>
      <c r="B5768" t="str">
        <f>"1551765044465719"</f>
        <v>1551765044465719</v>
      </c>
      <c r="C5768" t="s">
        <v>40</v>
      </c>
      <c r="D5768">
        <v>4.3048010000000003</v>
      </c>
      <c r="E5768">
        <v>0.60102500000000003</v>
      </c>
      <c r="F5768" t="s">
        <v>41</v>
      </c>
      <c r="G5768">
        <v>-423.0521</v>
      </c>
      <c r="H5768">
        <v>0.9004065</v>
      </c>
      <c r="I5768">
        <v>54.782719999999998</v>
      </c>
      <c r="J5768">
        <v>-422.98500000000001</v>
      </c>
      <c r="K5768">
        <v>1.1118729999999999</v>
      </c>
      <c r="L5768">
        <v>55.415990000000001</v>
      </c>
      <c r="M5768">
        <v>3.9819930000000003E-2</v>
      </c>
      <c r="N5768">
        <v>-1.366414E-2</v>
      </c>
      <c r="O5768">
        <v>-0.99911360000000005</v>
      </c>
      <c r="P5768">
        <v>0.20339389999999999</v>
      </c>
      <c r="Q5768">
        <v>-0.1011095</v>
      </c>
      <c r="R5768">
        <v>-0.97386260000000002</v>
      </c>
      <c r="S5768">
        <v>-0.2085571</v>
      </c>
      <c r="T5768">
        <v>-0.77102280000000001</v>
      </c>
      <c r="U5768">
        <v>-3.0427550000000001</v>
      </c>
      <c r="V5768">
        <v>-0.16399349999999999</v>
      </c>
      <c r="W5768">
        <v>-8.8543479999999994E-2</v>
      </c>
      <c r="X5768">
        <v>0.98247960000000001</v>
      </c>
      <c r="Y5768">
        <v>0.1060084</v>
      </c>
      <c r="Z5768">
        <v>0.23109099999999999</v>
      </c>
      <c r="AA5768">
        <v>0.96713970000000005</v>
      </c>
      <c r="AB5768">
        <v>30</v>
      </c>
      <c r="AC5768">
        <v>-6.7099999999982105E-2</v>
      </c>
      <c r="AD5768">
        <v>-0.211466499999999</v>
      </c>
      <c r="AE5768">
        <v>-0.633270000000003</v>
      </c>
      <c r="AF5768">
        <v>8.3102222296948497E-2</v>
      </c>
      <c r="AG5768">
        <v>-0.211466499999999</v>
      </c>
      <c r="AH5768">
        <v>0.56751563419392204</v>
      </c>
      <c r="AI5768">
        <v>110.238232950822</v>
      </c>
      <c r="AJ5768">
        <v>81.669293575136507</v>
      </c>
      <c r="AK5768">
        <v>0.61130847779780595</v>
      </c>
      <c r="AL5768">
        <v>95.079820148898307</v>
      </c>
      <c r="AM5768">
        <v>99.476331082728194</v>
      </c>
      <c r="AN5768">
        <v>0.99999999015445995</v>
      </c>
    </row>
    <row r="5769" spans="1:40" x14ac:dyDescent="0.25">
      <c r="A5769" t="str">
        <f>"20190305135044486"</f>
        <v>20190305135044486</v>
      </c>
      <c r="B5769" t="str">
        <f>"1551765044476456"</f>
        <v>1551765044476456</v>
      </c>
      <c r="C5769" t="s">
        <v>40</v>
      </c>
      <c r="D5769">
        <v>4.3002459999999996</v>
      </c>
      <c r="E5769">
        <v>0.60089040000000005</v>
      </c>
      <c r="F5769" t="s">
        <v>41</v>
      </c>
      <c r="G5769">
        <v>-423.04480000000001</v>
      </c>
      <c r="H5769">
        <v>0.88472819999999996</v>
      </c>
      <c r="I5769">
        <v>54.519950000000001</v>
      </c>
      <c r="J5769">
        <v>-422.97550000000001</v>
      </c>
      <c r="K5769">
        <v>1.1118709999999901</v>
      </c>
      <c r="L5769">
        <v>55.221339999999998</v>
      </c>
      <c r="M5769">
        <v>4.151287E-2</v>
      </c>
      <c r="N5769">
        <v>-1.366331E-2</v>
      </c>
      <c r="O5769">
        <v>-0.9990445</v>
      </c>
      <c r="P5769">
        <v>0.2049533</v>
      </c>
      <c r="Q5769">
        <v>-0.1013665</v>
      </c>
      <c r="R5769">
        <v>-0.97350879999999995</v>
      </c>
      <c r="S5769">
        <v>-0.20291139999999999</v>
      </c>
      <c r="T5769">
        <v>-0.77140189999999997</v>
      </c>
      <c r="U5769">
        <v>-3.0428160000000002</v>
      </c>
      <c r="V5769">
        <v>-0.16390260000000001</v>
      </c>
      <c r="W5769">
        <v>-8.8800050000000005E-2</v>
      </c>
      <c r="X5769">
        <v>0.9824716</v>
      </c>
      <c r="Y5769">
        <v>0.1059037</v>
      </c>
      <c r="Z5769">
        <v>0.2311907</v>
      </c>
      <c r="AA5769">
        <v>0.96712730000000002</v>
      </c>
      <c r="AB5769">
        <v>30</v>
      </c>
      <c r="AC5769">
        <v>-6.9299999999998294E-2</v>
      </c>
      <c r="AD5769">
        <v>-0.22714279999999901</v>
      </c>
      <c r="AE5769">
        <v>-0.70139000000000296</v>
      </c>
      <c r="AF5769">
        <v>8.9104994083801403E-2</v>
      </c>
      <c r="AG5769">
        <v>-0.22714279999999901</v>
      </c>
      <c r="AH5769">
        <v>0.63224180146423703</v>
      </c>
      <c r="AI5769">
        <v>109.58301619933199</v>
      </c>
      <c r="AJ5769">
        <v>81.977855002912605</v>
      </c>
      <c r="AK5769">
        <v>0.67768963920164704</v>
      </c>
      <c r="AL5769">
        <v>95.094578724638296</v>
      </c>
      <c r="AM5769">
        <v>99.471249358729295</v>
      </c>
      <c r="AN5769">
        <v>0.99999997798666096</v>
      </c>
    </row>
    <row r="5770" spans="1:40" x14ac:dyDescent="0.25">
      <c r="A5770" t="str">
        <f>"20190305135044500"</f>
        <v>20190305135044500</v>
      </c>
      <c r="B5770" t="str">
        <f>"1551765044495976"</f>
        <v>1551765044495976</v>
      </c>
      <c r="C5770" t="s">
        <v>40</v>
      </c>
      <c r="D5770">
        <v>4.3677669999999997</v>
      </c>
      <c r="E5770">
        <v>0.62601180000000001</v>
      </c>
      <c r="F5770" t="s">
        <v>41</v>
      </c>
      <c r="G5770">
        <v>-423.02229999999997</v>
      </c>
      <c r="H5770">
        <v>0.92946269999999998</v>
      </c>
      <c r="I5770">
        <v>54.501460000000002</v>
      </c>
      <c r="J5770">
        <v>-422.96559999999999</v>
      </c>
      <c r="K5770">
        <v>1.1118699999999999</v>
      </c>
      <c r="L5770">
        <v>55.025669999999998</v>
      </c>
      <c r="M5770">
        <v>4.3212319999999999E-2</v>
      </c>
      <c r="N5770">
        <v>-1.366245E-2</v>
      </c>
      <c r="O5770">
        <v>-0.99897270000000005</v>
      </c>
      <c r="P5770">
        <v>0.20669870000000001</v>
      </c>
      <c r="Q5770">
        <v>-0.1014958</v>
      </c>
      <c r="R5770">
        <v>-0.9731263</v>
      </c>
      <c r="S5770">
        <v>-0.1973877</v>
      </c>
      <c r="T5770">
        <v>-0.77107309999999996</v>
      </c>
      <c r="U5770">
        <v>-3.0429080000000002</v>
      </c>
      <c r="V5770">
        <v>-0.16399349999999999</v>
      </c>
      <c r="W5770">
        <v>-8.8929670000000002E-2</v>
      </c>
      <c r="X5770">
        <v>0.98244480000000001</v>
      </c>
      <c r="Y5770">
        <v>0.1058467</v>
      </c>
      <c r="Z5770">
        <v>0.23107430000000001</v>
      </c>
      <c r="AA5770">
        <v>0.96716139999999995</v>
      </c>
      <c r="AB5770">
        <v>30</v>
      </c>
      <c r="AC5770">
        <v>-5.66999999999779E-2</v>
      </c>
      <c r="AD5770">
        <v>-0.18240729999999999</v>
      </c>
      <c r="AE5770">
        <v>-0.52421000000000295</v>
      </c>
      <c r="AF5770">
        <v>7.0825102453894201E-2</v>
      </c>
      <c r="AG5770">
        <v>-0.18240729999999999</v>
      </c>
      <c r="AH5770">
        <v>0.46555245670682799</v>
      </c>
      <c r="AI5770">
        <v>111.173950763576</v>
      </c>
      <c r="AJ5770">
        <v>81.349844272308403</v>
      </c>
      <c r="AK5770">
        <v>0.50500268135590898</v>
      </c>
      <c r="AL5770">
        <v>95.1020344337865</v>
      </c>
      <c r="AM5770">
        <v>99.476660663411096</v>
      </c>
      <c r="AN5770">
        <v>1.00000006964779</v>
      </c>
    </row>
    <row r="5771" spans="1:40" x14ac:dyDescent="0.25">
      <c r="A5771" t="str">
        <f>"20190305135044514"</f>
        <v>20190305135044514</v>
      </c>
      <c r="B5771" t="str">
        <f>"1551765044505735"</f>
        <v>1551765044505735</v>
      </c>
      <c r="C5771" t="s">
        <v>40</v>
      </c>
      <c r="D5771">
        <v>4.3043430000000003</v>
      </c>
      <c r="E5771">
        <v>0.63010239999999995</v>
      </c>
      <c r="F5771" t="s">
        <v>41</v>
      </c>
      <c r="G5771">
        <v>-423.06509999999997</v>
      </c>
      <c r="H5771">
        <v>0.91855430000000005</v>
      </c>
      <c r="I5771">
        <v>54.232979999999998</v>
      </c>
      <c r="J5771">
        <v>-422.95659999999998</v>
      </c>
      <c r="K5771">
        <v>1.111864</v>
      </c>
      <c r="L5771">
        <v>54.8534199999999</v>
      </c>
      <c r="M5771">
        <v>4.4704309999999997E-2</v>
      </c>
      <c r="N5771">
        <v>-1.3661619999999999E-2</v>
      </c>
      <c r="O5771">
        <v>-0.99890679999999998</v>
      </c>
      <c r="P5771">
        <v>0.20861830000000001</v>
      </c>
      <c r="Q5771">
        <v>-0.1012064</v>
      </c>
      <c r="R5771">
        <v>-0.97274669999999996</v>
      </c>
      <c r="S5771">
        <v>-0.38687129999999997</v>
      </c>
      <c r="T5771">
        <v>-0.75284410000000002</v>
      </c>
      <c r="U5771">
        <v>-3.0865170000000002</v>
      </c>
      <c r="V5771">
        <v>-0.16446469999999999</v>
      </c>
      <c r="W5771">
        <v>-8.8642310000000002E-2</v>
      </c>
      <c r="X5771">
        <v>0.98239189999999998</v>
      </c>
      <c r="Y5771">
        <v>0.16523589999999999</v>
      </c>
      <c r="Z5771">
        <v>0.22078</v>
      </c>
      <c r="AA5771">
        <v>0.96122490000000005</v>
      </c>
      <c r="AB5771">
        <v>30</v>
      </c>
      <c r="AC5771">
        <v>-0.10849999999999201</v>
      </c>
      <c r="AD5771">
        <v>-0.1933097</v>
      </c>
      <c r="AE5771">
        <v>-0.620439999999987</v>
      </c>
      <c r="AF5771">
        <v>0.124411561027721</v>
      </c>
      <c r="AG5771">
        <v>-0.1933097</v>
      </c>
      <c r="AH5771">
        <v>0.56202874485363896</v>
      </c>
      <c r="AI5771">
        <v>108.563105763899</v>
      </c>
      <c r="AJ5771">
        <v>77.518192453430203</v>
      </c>
      <c r="AK5771">
        <v>0.60722581192930303</v>
      </c>
      <c r="AL5771">
        <v>95.0855051423557</v>
      </c>
      <c r="AM5771">
        <v>99.503896236203602</v>
      </c>
      <c r="AN5771">
        <v>0.99999997092691695</v>
      </c>
    </row>
    <row r="5772" spans="1:40" x14ac:dyDescent="0.25">
      <c r="A5772" t="str">
        <f>"20190305135044535"</f>
        <v>20190305135044535</v>
      </c>
      <c r="B5772" t="str">
        <f>"1551765044526231"</f>
        <v>1551765044526231</v>
      </c>
      <c r="C5772" t="s">
        <v>40</v>
      </c>
      <c r="D5772">
        <v>4.3062569999999996</v>
      </c>
      <c r="E5772">
        <v>0.63335969999999997</v>
      </c>
      <c r="F5772" t="s">
        <v>41</v>
      </c>
      <c r="G5772">
        <v>-423.07459999999998</v>
      </c>
      <c r="H5772">
        <v>0.89649959999999995</v>
      </c>
      <c r="I5772">
        <v>53.971870000000003</v>
      </c>
      <c r="J5772">
        <v>-422.94069999999999</v>
      </c>
      <c r="K5772">
        <v>1.1118429999999999</v>
      </c>
      <c r="L5772">
        <v>54.559480000000001</v>
      </c>
      <c r="M5772">
        <v>4.7229800000000002E-2</v>
      </c>
      <c r="N5772">
        <v>-1.3659869999999999E-2</v>
      </c>
      <c r="O5772">
        <v>-0.99879099999999998</v>
      </c>
      <c r="P5772">
        <v>0.211783</v>
      </c>
      <c r="Q5772">
        <v>-0.101067</v>
      </c>
      <c r="R5772">
        <v>-0.97207750000000004</v>
      </c>
      <c r="S5772">
        <v>-0.41360469999999999</v>
      </c>
      <c r="T5772">
        <v>-0.75594069999999902</v>
      </c>
      <c r="U5772">
        <v>-3.0941160000000001</v>
      </c>
      <c r="V5772">
        <v>-0.1651811</v>
      </c>
      <c r="W5772">
        <v>-8.8503059999999995E-2</v>
      </c>
      <c r="X5772">
        <v>0.9822843</v>
      </c>
      <c r="Y5772">
        <v>0.17557490000000001</v>
      </c>
      <c r="Z5772">
        <v>0.220771</v>
      </c>
      <c r="AA5772">
        <v>0.95939229999999998</v>
      </c>
      <c r="AB5772">
        <v>30</v>
      </c>
      <c r="AC5772">
        <v>-0.13389999999998201</v>
      </c>
      <c r="AD5772">
        <v>-0.21534339999999999</v>
      </c>
      <c r="AE5772">
        <v>-0.58761000000001196</v>
      </c>
      <c r="AF5772">
        <v>0.143220421852153</v>
      </c>
      <c r="AG5772">
        <v>-0.21534339999999999</v>
      </c>
      <c r="AH5772">
        <v>0.51489162389002097</v>
      </c>
      <c r="AI5772">
        <v>111.94614409801601</v>
      </c>
      <c r="AJ5772">
        <v>74.455749281098406</v>
      </c>
      <c r="AK5772">
        <v>0.576192896095718</v>
      </c>
      <c r="AL5772">
        <v>95.077494990405697</v>
      </c>
      <c r="AM5772">
        <v>99.545560976716203</v>
      </c>
      <c r="AN5772">
        <v>1.0000000167265299</v>
      </c>
    </row>
    <row r="5773" spans="1:40" x14ac:dyDescent="0.25">
      <c r="A5773" t="str">
        <f>"20190305135044559"</f>
        <v>20190305135044559</v>
      </c>
      <c r="B5773" t="str">
        <f>"1551765044555512"</f>
        <v>1551765044555512</v>
      </c>
      <c r="C5773" t="s">
        <v>40</v>
      </c>
      <c r="D5773">
        <v>4.291652</v>
      </c>
      <c r="E5773">
        <v>0.63373299999999999</v>
      </c>
      <c r="F5773" t="s">
        <v>41</v>
      </c>
      <c r="G5773">
        <v>-423.05970000000002</v>
      </c>
      <c r="H5773">
        <v>0.89996330000000002</v>
      </c>
      <c r="I5773">
        <v>53.701979999999999</v>
      </c>
      <c r="J5773">
        <v>-422.92349999999999</v>
      </c>
      <c r="K5773">
        <v>1.111812</v>
      </c>
      <c r="L5773">
        <v>54.2545199999999</v>
      </c>
      <c r="M5773">
        <v>4.9816329999999999E-2</v>
      </c>
      <c r="N5773">
        <v>-1.3657570000000001E-2</v>
      </c>
      <c r="O5773">
        <v>-0.99866520000000003</v>
      </c>
      <c r="P5773">
        <v>0.2149819</v>
      </c>
      <c r="Q5773">
        <v>-0.1012743</v>
      </c>
      <c r="R5773">
        <v>-0.97135320000000003</v>
      </c>
      <c r="S5773">
        <v>-0.42935180000000001</v>
      </c>
      <c r="T5773">
        <v>-0.76608229999999999</v>
      </c>
      <c r="U5773">
        <v>-3.1000670000000001</v>
      </c>
      <c r="V5773">
        <v>-0.16587550000000001</v>
      </c>
      <c r="W5773">
        <v>-8.870691E-2</v>
      </c>
      <c r="X5773">
        <v>0.98214889999999999</v>
      </c>
      <c r="Y5773">
        <v>0.18257219999999999</v>
      </c>
      <c r="Z5773">
        <v>0.22304060000000001</v>
      </c>
      <c r="AA5773">
        <v>0.95755950000000001</v>
      </c>
      <c r="AB5773">
        <v>30</v>
      </c>
      <c r="AC5773">
        <v>-0.13620000000002999</v>
      </c>
      <c r="AD5773">
        <v>-0.2118487</v>
      </c>
      <c r="AE5773">
        <v>-0.55253999999998604</v>
      </c>
      <c r="AF5773">
        <v>0.14365144868798899</v>
      </c>
      <c r="AG5773">
        <v>-0.2118487</v>
      </c>
      <c r="AH5773">
        <v>0.47872552755956999</v>
      </c>
      <c r="AI5773">
        <v>112.969912619607</v>
      </c>
      <c r="AJ5773">
        <v>73.297045588381394</v>
      </c>
      <c r="AK5773">
        <v>0.54285701721451196</v>
      </c>
      <c r="AL5773">
        <v>95.089220788973293</v>
      </c>
      <c r="AM5773">
        <v>99.5862431672154</v>
      </c>
      <c r="AN5773">
        <v>1.0000000295766001</v>
      </c>
    </row>
    <row r="5774" spans="1:40" x14ac:dyDescent="0.25">
      <c r="A5774" t="str">
        <f>"20190305135044580"</f>
        <v>20190305135044580</v>
      </c>
      <c r="B5774" t="str">
        <f>"1551765044576007"</f>
        <v>1551765044576007</v>
      </c>
      <c r="C5774" t="s">
        <v>40</v>
      </c>
      <c r="D5774">
        <v>4.2696730000000001</v>
      </c>
      <c r="E5774">
        <v>0.6328781</v>
      </c>
      <c r="F5774" t="s">
        <v>41</v>
      </c>
      <c r="G5774">
        <v>-423.03539999999998</v>
      </c>
      <c r="H5774">
        <v>0.91086029999999996</v>
      </c>
      <c r="I5774">
        <v>53.429989999999997</v>
      </c>
      <c r="J5774">
        <v>-422.90620000000001</v>
      </c>
      <c r="K5774">
        <v>1.1117619999999999</v>
      </c>
      <c r="L5774">
        <v>53.961579999999998</v>
      </c>
      <c r="M5774">
        <v>5.2260019999999997E-2</v>
      </c>
      <c r="N5774">
        <v>-1.365507E-2</v>
      </c>
      <c r="O5774">
        <v>-0.99854030000000005</v>
      </c>
      <c r="P5774">
        <v>0.21826860000000001</v>
      </c>
      <c r="Q5774">
        <v>-0.10235710000000001</v>
      </c>
      <c r="R5774">
        <v>-0.97050630000000004</v>
      </c>
      <c r="S5774">
        <v>-0.42089840000000001</v>
      </c>
      <c r="T5774">
        <v>-0.75625419999999999</v>
      </c>
      <c r="U5774">
        <v>-3.1027830000000001</v>
      </c>
      <c r="V5774">
        <v>-0.16680339999999999</v>
      </c>
      <c r="W5774">
        <v>-8.9786249999999998E-2</v>
      </c>
      <c r="X5774">
        <v>0.98189360000000003</v>
      </c>
      <c r="Y5774">
        <v>0.18239939999999999</v>
      </c>
      <c r="Z5774">
        <v>0.21997839999999999</v>
      </c>
      <c r="AA5774">
        <v>0.95830059999999995</v>
      </c>
      <c r="AB5774">
        <v>30</v>
      </c>
      <c r="AC5774">
        <v>-0.12919999999996801</v>
      </c>
      <c r="AD5774">
        <v>-0.20090169999999999</v>
      </c>
      <c r="AE5774">
        <v>-0.53159000000000101</v>
      </c>
      <c r="AF5774">
        <v>0.13817269879920199</v>
      </c>
      <c r="AG5774">
        <v>-0.20090169999999999</v>
      </c>
      <c r="AH5774">
        <v>0.46182792078254398</v>
      </c>
      <c r="AI5774">
        <v>112.624480867317</v>
      </c>
      <c r="AJ5774">
        <v>73.343524680025695</v>
      </c>
      <c r="AK5774">
        <v>0.52224344531135403</v>
      </c>
      <c r="AL5774">
        <v>95.151310367963205</v>
      </c>
      <c r="AM5774">
        <v>99.641323973664001</v>
      </c>
      <c r="AN5774">
        <v>0.99999999333079104</v>
      </c>
    </row>
    <row r="5775" spans="1:40" x14ac:dyDescent="0.25">
      <c r="A5775" t="str">
        <f>"20190305135044595"</f>
        <v>20190305135044595</v>
      </c>
      <c r="B5775" t="str">
        <f>"1551765044585768"</f>
        <v>1551765044585768</v>
      </c>
      <c r="C5775" t="s">
        <v>40</v>
      </c>
      <c r="D5775">
        <v>4.2393749999999999</v>
      </c>
      <c r="E5775">
        <v>0.63253740000000003</v>
      </c>
      <c r="F5775" t="s">
        <v>41</v>
      </c>
      <c r="G5775">
        <v>-423.01089999999999</v>
      </c>
      <c r="H5775">
        <v>0.91734059999999995</v>
      </c>
      <c r="I5775">
        <v>53.16019</v>
      </c>
      <c r="J5775">
        <v>-422.89440000000002</v>
      </c>
      <c r="K5775">
        <v>1.111729</v>
      </c>
      <c r="L5775">
        <v>53.767760000000003</v>
      </c>
      <c r="M5775">
        <v>5.3847689999999997E-2</v>
      </c>
      <c r="N5775">
        <v>-1.365329E-2</v>
      </c>
      <c r="O5775">
        <v>-0.99845589999999995</v>
      </c>
      <c r="P5775">
        <v>0.22031590000000001</v>
      </c>
      <c r="Q5775">
        <v>-0.10283779999999999</v>
      </c>
      <c r="R5775">
        <v>-0.96999259999999998</v>
      </c>
      <c r="S5775">
        <v>-0.4038696</v>
      </c>
      <c r="T5775">
        <v>-0.75301169999999995</v>
      </c>
      <c r="U5775">
        <v>-3.1025999999999998</v>
      </c>
      <c r="V5775">
        <v>-0.16731960000000001</v>
      </c>
      <c r="W5775">
        <v>-9.0261670000000002E-2</v>
      </c>
      <c r="X5775">
        <v>0.98176220000000003</v>
      </c>
      <c r="Y5775">
        <v>0.17883060000000001</v>
      </c>
      <c r="Z5775">
        <v>0.21917220000000001</v>
      </c>
      <c r="AA5775">
        <v>0.9591575</v>
      </c>
      <c r="AB5775">
        <v>30</v>
      </c>
      <c r="AC5775">
        <v>-0.116499999999973</v>
      </c>
      <c r="AD5775">
        <v>-0.19438839999999999</v>
      </c>
      <c r="AE5775">
        <v>-0.60756999999999495</v>
      </c>
      <c r="AF5775">
        <v>0.13565633738567301</v>
      </c>
      <c r="AG5775">
        <v>-0.19438839999999999</v>
      </c>
      <c r="AH5775">
        <v>0.54646028512859701</v>
      </c>
      <c r="AI5775">
        <v>109.04692078074901</v>
      </c>
      <c r="AJ5775">
        <v>76.058404674491399</v>
      </c>
      <c r="AK5775">
        <v>0.59565790110623296</v>
      </c>
      <c r="AL5775">
        <v>95.178660856931998</v>
      </c>
      <c r="AM5775">
        <v>99.671867885975303</v>
      </c>
      <c r="AN5775">
        <v>1.00000001748209</v>
      </c>
    </row>
    <row r="5776" spans="1:40" x14ac:dyDescent="0.25">
      <c r="A5776" t="str">
        <f>"20190305135044614"</f>
        <v>20190305135044614</v>
      </c>
      <c r="B5776" t="str">
        <f>"1551765044606280"</f>
        <v>1551765044606280</v>
      </c>
      <c r="C5776" t="s">
        <v>40</v>
      </c>
      <c r="D5776">
        <v>4.2383550000000003</v>
      </c>
      <c r="E5776">
        <v>0.63201459999999998</v>
      </c>
      <c r="F5776" t="s">
        <v>41</v>
      </c>
      <c r="G5776">
        <v>-423.00479999999999</v>
      </c>
      <c r="H5776">
        <v>0.90095619999999998</v>
      </c>
      <c r="I5776">
        <v>52.89875</v>
      </c>
      <c r="J5776">
        <v>-422.87880000000001</v>
      </c>
      <c r="K5776">
        <v>1.1116809999999999</v>
      </c>
      <c r="L5776">
        <v>53.518430000000002</v>
      </c>
      <c r="M5776">
        <v>5.5845880000000001E-2</v>
      </c>
      <c r="N5776">
        <v>-1.3650809999999999E-2</v>
      </c>
      <c r="O5776">
        <v>-0.99834639999999997</v>
      </c>
      <c r="P5776">
        <v>0.2233357</v>
      </c>
      <c r="Q5776">
        <v>-0.1038294</v>
      </c>
      <c r="R5776">
        <v>-0.96919630000000001</v>
      </c>
      <c r="S5776">
        <v>-0.39410400000000001</v>
      </c>
      <c r="T5776">
        <v>-0.75247249999999999</v>
      </c>
      <c r="U5776">
        <v>-3.1025390000000002</v>
      </c>
      <c r="V5776">
        <v>-0.1684213</v>
      </c>
      <c r="W5776">
        <v>-9.1247389999999998E-2</v>
      </c>
      <c r="X5776">
        <v>0.98148259999999998</v>
      </c>
      <c r="Y5776">
        <v>0.17783579999999999</v>
      </c>
      <c r="Z5776">
        <v>0.2190472</v>
      </c>
      <c r="AA5776">
        <v>0.95937099999999997</v>
      </c>
      <c r="AB5776">
        <v>30</v>
      </c>
      <c r="AC5776">
        <v>-0.12599999999997599</v>
      </c>
      <c r="AD5776">
        <v>-0.21072479999999999</v>
      </c>
      <c r="AE5776">
        <v>-0.61968000000000201</v>
      </c>
      <c r="AF5776">
        <v>0.14438028374663001</v>
      </c>
      <c r="AG5776">
        <v>-0.21072479999999999</v>
      </c>
      <c r="AH5776">
        <v>0.550540293241922</v>
      </c>
      <c r="AI5776">
        <v>110.31656087469899</v>
      </c>
      <c r="AJ5776">
        <v>75.304991167033705</v>
      </c>
      <c r="AK5776">
        <v>0.60691450975627503</v>
      </c>
      <c r="AL5776">
        <v>95.235372802383907</v>
      </c>
      <c r="AM5776">
        <v>99.737056822088107</v>
      </c>
      <c r="AN5776">
        <v>0.99999995728913005</v>
      </c>
    </row>
    <row r="5777" spans="1:40" x14ac:dyDescent="0.25">
      <c r="A5777" t="str">
        <f>"20190305135044628"</f>
        <v>20190305135044628</v>
      </c>
      <c r="B5777" t="str">
        <f>"1551765044625784"</f>
        <v>1551765044625784</v>
      </c>
      <c r="C5777" t="s">
        <v>40</v>
      </c>
      <c r="D5777">
        <v>4.1937300000000004</v>
      </c>
      <c r="E5777">
        <v>0.63180199999999997</v>
      </c>
      <c r="F5777" t="s">
        <v>41</v>
      </c>
      <c r="G5777">
        <v>-422.98779999999999</v>
      </c>
      <c r="H5777">
        <v>0.89244820000000002</v>
      </c>
      <c r="I5777">
        <v>52.635199999999998</v>
      </c>
      <c r="J5777">
        <v>-422.86559999999997</v>
      </c>
      <c r="K5777">
        <v>1.1116440000000001</v>
      </c>
      <c r="L5777">
        <v>53.311160000000001</v>
      </c>
      <c r="M5777">
        <v>5.746743E-2</v>
      </c>
      <c r="N5777">
        <v>-1.3648540000000001E-2</v>
      </c>
      <c r="O5777">
        <v>-0.99825439999999999</v>
      </c>
      <c r="P5777">
        <v>0.22546820000000001</v>
      </c>
      <c r="Q5777">
        <v>-0.104077</v>
      </c>
      <c r="R5777">
        <v>-0.96867539999999996</v>
      </c>
      <c r="S5777">
        <v>-0.38150020000000001</v>
      </c>
      <c r="T5777">
        <v>-0.76989219999999903</v>
      </c>
      <c r="U5777">
        <v>-3.1008</v>
      </c>
      <c r="V5777">
        <v>-0.16899600000000001</v>
      </c>
      <c r="W5777">
        <v>-9.1484960000000004E-2</v>
      </c>
      <c r="X5777">
        <v>0.9813617</v>
      </c>
      <c r="Y5777">
        <v>0.17550979999999999</v>
      </c>
      <c r="Z5777">
        <v>0.22433800000000001</v>
      </c>
      <c r="AA5777">
        <v>0.9585764</v>
      </c>
      <c r="AB5777">
        <v>30</v>
      </c>
      <c r="AC5777">
        <v>-0.12220000000002</v>
      </c>
      <c r="AD5777">
        <v>-0.2191958</v>
      </c>
      <c r="AE5777">
        <v>-0.675960000000003</v>
      </c>
      <c r="AF5777">
        <v>0.14598256959478501</v>
      </c>
      <c r="AG5777">
        <v>-0.2191958</v>
      </c>
      <c r="AH5777">
        <v>0.60610285263168395</v>
      </c>
      <c r="AI5777">
        <v>109.371342756223</v>
      </c>
      <c r="AJ5777">
        <v>76.457985598396306</v>
      </c>
      <c r="AK5777">
        <v>0.66084671243140902</v>
      </c>
      <c r="AL5777">
        <v>95.249041687263698</v>
      </c>
      <c r="AM5777">
        <v>99.770823514029601</v>
      </c>
      <c r="AN5777">
        <v>0.999999966074545</v>
      </c>
    </row>
    <row r="5778" spans="1:40" x14ac:dyDescent="0.25">
      <c r="A5778" t="str">
        <f>"20190305135044642"</f>
        <v>20190305135044642</v>
      </c>
      <c r="B5778" t="str">
        <f>"1551765044635543"</f>
        <v>1551765044635543</v>
      </c>
      <c r="C5778" t="s">
        <v>40</v>
      </c>
      <c r="D5778">
        <v>4.204288</v>
      </c>
      <c r="E5778">
        <v>0.63161990000000001</v>
      </c>
      <c r="F5778" t="s">
        <v>41</v>
      </c>
      <c r="G5778">
        <v>-422.94929999999999</v>
      </c>
      <c r="H5778">
        <v>0.94074210000000003</v>
      </c>
      <c r="I5778">
        <v>52.617829999999998</v>
      </c>
      <c r="J5778">
        <v>-422.85390000000001</v>
      </c>
      <c r="K5778">
        <v>1.111607</v>
      </c>
      <c r="L5778">
        <v>53.133540000000004</v>
      </c>
      <c r="M5778">
        <v>5.8814859999999997E-2</v>
      </c>
      <c r="N5778">
        <v>-1.364639E-2</v>
      </c>
      <c r="O5778">
        <v>-0.99817560000000005</v>
      </c>
      <c r="P5778">
        <v>0.22745209999999999</v>
      </c>
      <c r="Q5778">
        <v>-0.104102399999999</v>
      </c>
      <c r="R5778">
        <v>-0.96820879999999998</v>
      </c>
      <c r="S5778">
        <v>-0.3727722</v>
      </c>
      <c r="T5778">
        <v>-0.76481529999999998</v>
      </c>
      <c r="U5778">
        <v>-3.1015929999999998</v>
      </c>
      <c r="V5778">
        <v>-0.16968920000000001</v>
      </c>
      <c r="W5778">
        <v>-9.1501589999999994E-2</v>
      </c>
      <c r="X5778">
        <v>0.98124060000000002</v>
      </c>
      <c r="Y5778">
        <v>0.17419519999999999</v>
      </c>
      <c r="Z5778">
        <v>0.2228386</v>
      </c>
      <c r="AA5778">
        <v>0.95916579999999996</v>
      </c>
      <c r="AB5778">
        <v>30</v>
      </c>
      <c r="AC5778">
        <v>-9.5399999999983706E-2</v>
      </c>
      <c r="AD5778">
        <v>-0.17086489999999999</v>
      </c>
      <c r="AE5778">
        <v>-0.515709999999998</v>
      </c>
      <c r="AF5778">
        <v>0.113519982301912</v>
      </c>
      <c r="AG5778">
        <v>-0.17086489999999999</v>
      </c>
      <c r="AH5778">
        <v>0.46034440570498297</v>
      </c>
      <c r="AI5778">
        <v>109.817744157939</v>
      </c>
      <c r="AJ5778">
        <v>76.147360437787597</v>
      </c>
      <c r="AK5778">
        <v>0.50398271031624697</v>
      </c>
      <c r="AL5778">
        <v>95.249998138468897</v>
      </c>
      <c r="AM5778">
        <v>99.811312199526895</v>
      </c>
      <c r="AN5778">
        <v>1.0000000403287601</v>
      </c>
    </row>
    <row r="5779" spans="1:40" x14ac:dyDescent="0.25">
      <c r="A5779" t="str">
        <f>"20190305135044655"</f>
        <v>20190305135044655</v>
      </c>
      <c r="B5779" t="str">
        <f>"1551765044646280"</f>
        <v>1551765044646280</v>
      </c>
      <c r="C5779" t="s">
        <v>40</v>
      </c>
      <c r="D5779">
        <v>4.1763560000000002</v>
      </c>
      <c r="E5779">
        <v>0.63159480000000001</v>
      </c>
      <c r="F5779" t="s">
        <v>41</v>
      </c>
      <c r="G5779">
        <v>-422.9452</v>
      </c>
      <c r="H5779">
        <v>0.9210663</v>
      </c>
      <c r="I5779">
        <v>52.35821</v>
      </c>
      <c r="J5779">
        <v>-422.84249999999997</v>
      </c>
      <c r="K5779">
        <v>1.1115710000000001</v>
      </c>
      <c r="L5779">
        <v>52.962130000000002</v>
      </c>
      <c r="M5779">
        <v>6.0092640000000003E-2</v>
      </c>
      <c r="N5779">
        <v>-1.364434E-2</v>
      </c>
      <c r="O5779">
        <v>-0.99809979999999998</v>
      </c>
      <c r="P5779">
        <v>0.2291369</v>
      </c>
      <c r="Q5779">
        <v>-0.1038838</v>
      </c>
      <c r="R5779">
        <v>-0.96783509999999995</v>
      </c>
      <c r="S5779">
        <v>-0.36468509999999998</v>
      </c>
      <c r="T5779">
        <v>-0.7624609</v>
      </c>
      <c r="U5779">
        <v>-3.1022029999999998</v>
      </c>
      <c r="V5779">
        <v>-0.17014799999999999</v>
      </c>
      <c r="W5779">
        <v>-9.1271980000000003E-2</v>
      </c>
      <c r="X5779">
        <v>0.98118249999999996</v>
      </c>
      <c r="Y5779">
        <v>0.17298839999999999</v>
      </c>
      <c r="Z5779">
        <v>0.22214159999999999</v>
      </c>
      <c r="AA5779">
        <v>0.9595458</v>
      </c>
      <c r="AB5779">
        <v>30</v>
      </c>
      <c r="AC5779">
        <v>-0.10270000000002701</v>
      </c>
      <c r="AD5779">
        <v>-0.190504699999999</v>
      </c>
      <c r="AE5779">
        <v>-0.60392000000000201</v>
      </c>
      <c r="AF5779">
        <v>0.12656844772099099</v>
      </c>
      <c r="AG5779">
        <v>-0.190504699999999</v>
      </c>
      <c r="AH5779">
        <v>0.54404200286527404</v>
      </c>
      <c r="AI5779">
        <v>108.832323820631</v>
      </c>
      <c r="AJ5779">
        <v>76.903406021081196</v>
      </c>
      <c r="AK5779">
        <v>0.59016380231445098</v>
      </c>
      <c r="AL5779">
        <v>95.236787346991704</v>
      </c>
      <c r="AM5779">
        <v>99.837893237679197</v>
      </c>
      <c r="AN5779">
        <v>1.0000000072716799</v>
      </c>
    </row>
    <row r="5780" spans="1:40" x14ac:dyDescent="0.25">
      <c r="A5780" t="str">
        <f>"20190305135044666"</f>
        <v>20190305135044666</v>
      </c>
      <c r="B5780" t="str">
        <f>"1551765044656040"</f>
        <v>1551765044656040</v>
      </c>
      <c r="C5780" t="s">
        <v>40</v>
      </c>
      <c r="D5780">
        <v>4.1614750000000003</v>
      </c>
      <c r="E5780">
        <v>0.63183049999999996</v>
      </c>
      <c r="F5780" t="s">
        <v>41</v>
      </c>
      <c r="G5780">
        <v>-422.94260000000003</v>
      </c>
      <c r="H5780">
        <v>0.90097590000000005</v>
      </c>
      <c r="I5780">
        <v>52.098500000000001</v>
      </c>
      <c r="J5780">
        <v>-422.83139999999997</v>
      </c>
      <c r="K5780">
        <v>1.111534</v>
      </c>
      <c r="L5780">
        <v>52.798430000000003</v>
      </c>
      <c r="M5780">
        <v>6.1288189999999999E-2</v>
      </c>
      <c r="N5780">
        <v>-1.3642369999999999E-2</v>
      </c>
      <c r="O5780">
        <v>-0.998027</v>
      </c>
      <c r="P5780">
        <v>0.23117409999999999</v>
      </c>
      <c r="Q5780">
        <v>-0.1035547</v>
      </c>
      <c r="R5780">
        <v>-0.96738579999999996</v>
      </c>
      <c r="S5780">
        <v>-0.35900880000000002</v>
      </c>
      <c r="T5780">
        <v>-0.75687469999999901</v>
      </c>
      <c r="U5780">
        <v>-3.1034549999999999</v>
      </c>
      <c r="V5780">
        <v>-0.17104549999999999</v>
      </c>
      <c r="W5780">
        <v>-9.0934609999999999E-2</v>
      </c>
      <c r="X5780">
        <v>0.98105779999999998</v>
      </c>
      <c r="Y5780">
        <v>0.17243910000000001</v>
      </c>
      <c r="Z5780">
        <v>0.22042999999999999</v>
      </c>
      <c r="AA5780">
        <v>0.96003930000000004</v>
      </c>
      <c r="AB5780">
        <v>30</v>
      </c>
      <c r="AC5780">
        <v>-0.11120000000005301</v>
      </c>
      <c r="AD5780">
        <v>-0.2105581</v>
      </c>
      <c r="AE5780">
        <v>-0.69993000000000105</v>
      </c>
      <c r="AF5780">
        <v>0.14141019200435601</v>
      </c>
      <c r="AG5780">
        <v>-0.2105581</v>
      </c>
      <c r="AH5780">
        <v>0.63568657966174003</v>
      </c>
      <c r="AI5780">
        <v>107.917373496175</v>
      </c>
      <c r="AJ5780">
        <v>77.458609275156306</v>
      </c>
      <c r="AK5780">
        <v>0.68441871938190102</v>
      </c>
      <c r="AL5780">
        <v>95.217376596207004</v>
      </c>
      <c r="AM5780">
        <v>99.889996673840201</v>
      </c>
      <c r="AN5780">
        <v>1.00000003665347</v>
      </c>
    </row>
    <row r="5781" spans="1:40" x14ac:dyDescent="0.25">
      <c r="A5781" t="str">
        <f>"20190305135044681"</f>
        <v>20190305135044681</v>
      </c>
      <c r="B5781" t="str">
        <f>"1551765044675563"</f>
        <v>1551765044675563</v>
      </c>
      <c r="C5781" t="s">
        <v>40</v>
      </c>
      <c r="D5781">
        <v>4.1591319999999996</v>
      </c>
      <c r="E5781">
        <v>0.63306319999999905</v>
      </c>
      <c r="F5781" t="s">
        <v>41</v>
      </c>
      <c r="G5781">
        <v>-422.91289999999998</v>
      </c>
      <c r="H5781">
        <v>0.93878019999999995</v>
      </c>
      <c r="I5781">
        <v>52.085009999999997</v>
      </c>
      <c r="J5781">
        <v>-422.81950000000001</v>
      </c>
      <c r="K5781">
        <v>1.111504</v>
      </c>
      <c r="L5781">
        <v>52.6248199999999</v>
      </c>
      <c r="M5781">
        <v>6.2520119999999998E-2</v>
      </c>
      <c r="N5781">
        <v>-1.364025E-2</v>
      </c>
      <c r="O5781">
        <v>-0.99795069999999997</v>
      </c>
      <c r="P5781">
        <v>0.2334608</v>
      </c>
      <c r="Q5781">
        <v>-0.1032338</v>
      </c>
      <c r="R5781">
        <v>-0.96687109999999998</v>
      </c>
      <c r="S5781">
        <v>-0.3537903</v>
      </c>
      <c r="T5781">
        <v>-0.75203140000000002</v>
      </c>
      <c r="U5781">
        <v>-3.105194</v>
      </c>
      <c r="V5781">
        <v>-0.17216020000000001</v>
      </c>
      <c r="W5781">
        <v>-9.0606290000000006E-2</v>
      </c>
      <c r="X5781">
        <v>0.98089309999999996</v>
      </c>
      <c r="Y5781">
        <v>0.17204220000000001</v>
      </c>
      <c r="Z5781">
        <v>0.21889400000000001</v>
      </c>
      <c r="AA5781">
        <v>0.96046180000000003</v>
      </c>
      <c r="AB5781">
        <v>30</v>
      </c>
      <c r="AC5781">
        <v>-9.3399999999974101E-2</v>
      </c>
      <c r="AD5781">
        <v>-0.17272380000000001</v>
      </c>
      <c r="AE5781">
        <v>-0.53980999999999502</v>
      </c>
      <c r="AF5781">
        <v>0.115489081627469</v>
      </c>
      <c r="AG5781">
        <v>-0.17272380000000001</v>
      </c>
      <c r="AH5781">
        <v>0.48472897925909197</v>
      </c>
      <c r="AI5781">
        <v>109.11775918852599</v>
      </c>
      <c r="AJ5781">
        <v>76.598842338028504</v>
      </c>
      <c r="AK5781">
        <v>0.52738356287919796</v>
      </c>
      <c r="AL5781">
        <v>95.198487699523398</v>
      </c>
      <c r="AM5781">
        <v>99.954802546286899</v>
      </c>
      <c r="AN5781">
        <v>0.99999995393960595</v>
      </c>
    </row>
    <row r="5782" spans="1:40" x14ac:dyDescent="0.25">
      <c r="A5782" t="str">
        <f>"20190305135044695"</f>
        <v>20190305135044695</v>
      </c>
      <c r="B5782" t="str">
        <f>"1551765044686296"</f>
        <v>1551765044686296</v>
      </c>
      <c r="C5782" t="s">
        <v>40</v>
      </c>
      <c r="D5782">
        <v>4.1573659999999997</v>
      </c>
      <c r="E5782">
        <v>0.6334014</v>
      </c>
      <c r="F5782" t="s">
        <v>41</v>
      </c>
      <c r="G5782">
        <v>-422.911</v>
      </c>
      <c r="H5782">
        <v>0.9196706</v>
      </c>
      <c r="I5782">
        <v>51.825119999999998</v>
      </c>
      <c r="J5782">
        <v>-422.80619999999999</v>
      </c>
      <c r="K5782">
        <v>1.1114679999999999</v>
      </c>
      <c r="L5782">
        <v>52.435490000000001</v>
      </c>
      <c r="M5782">
        <v>6.3842979999999994E-2</v>
      </c>
      <c r="N5782">
        <v>-1.3637969999999999E-2</v>
      </c>
      <c r="O5782">
        <v>-0.9978667</v>
      </c>
      <c r="P5782">
        <v>0.2351607</v>
      </c>
      <c r="Q5782">
        <v>-0.10308589999999999</v>
      </c>
      <c r="R5782">
        <v>-0.96647439999999996</v>
      </c>
      <c r="S5782">
        <v>-0.35559079999999998</v>
      </c>
      <c r="T5782">
        <v>-0.74586889999999995</v>
      </c>
      <c r="U5782">
        <v>-3.1090089999999999</v>
      </c>
      <c r="V5782">
        <v>-0.172593</v>
      </c>
      <c r="W5782">
        <v>-9.0446200000000004E-2</v>
      </c>
      <c r="X5782">
        <v>0.98083189999999998</v>
      </c>
      <c r="Y5782">
        <v>0.17381729999999901</v>
      </c>
      <c r="Z5782">
        <v>0.21675069999999999</v>
      </c>
      <c r="AA5782">
        <v>0.96062829999999999</v>
      </c>
      <c r="AB5782">
        <v>30</v>
      </c>
      <c r="AC5782">
        <v>-0.104800000000011</v>
      </c>
      <c r="AD5782">
        <v>-0.19179740000000001</v>
      </c>
      <c r="AE5782">
        <v>-0.61037000000000297</v>
      </c>
      <c r="AF5782">
        <v>0.130993546802321</v>
      </c>
      <c r="AG5782">
        <v>-0.19179740000000001</v>
      </c>
      <c r="AH5782">
        <v>0.54970860145654799</v>
      </c>
      <c r="AI5782">
        <v>108.747412925582</v>
      </c>
      <c r="AJ5782">
        <v>76.596598696455104</v>
      </c>
      <c r="AK5782">
        <v>0.59676217915173402</v>
      </c>
      <c r="AL5782">
        <v>95.189276966615097</v>
      </c>
      <c r="AM5782">
        <v>99.9799360040696</v>
      </c>
      <c r="AN5782">
        <v>1.00000003740052</v>
      </c>
    </row>
    <row r="5783" spans="1:40" x14ac:dyDescent="0.25">
      <c r="A5783" t="str">
        <f>"20190305135044707"</f>
        <v>20190305135044707</v>
      </c>
      <c r="B5783" t="str">
        <f>"1551765044696056"</f>
        <v>1551765044696056</v>
      </c>
      <c r="C5783" t="s">
        <v>40</v>
      </c>
      <c r="D5783">
        <v>4.1508710000000004</v>
      </c>
      <c r="E5783">
        <v>0.63380800000000004</v>
      </c>
      <c r="F5783" t="s">
        <v>41</v>
      </c>
      <c r="G5783">
        <v>-422.90539999999999</v>
      </c>
      <c r="H5783">
        <v>0.90354540000000005</v>
      </c>
      <c r="I5783">
        <v>51.564309999999999</v>
      </c>
      <c r="J5783">
        <v>-422.7937</v>
      </c>
      <c r="K5783">
        <v>1.1114389999999901</v>
      </c>
      <c r="L5783">
        <v>52.259219999999999</v>
      </c>
      <c r="M5783">
        <v>6.5052730000000003E-2</v>
      </c>
      <c r="N5783">
        <v>-1.363588E-2</v>
      </c>
      <c r="O5783">
        <v>-0.99778889999999998</v>
      </c>
      <c r="P5783">
        <v>0.2366365</v>
      </c>
      <c r="Q5783">
        <v>-0.1027728</v>
      </c>
      <c r="R5783">
        <v>-0.96614770000000005</v>
      </c>
      <c r="S5783">
        <v>-0.35260010000000003</v>
      </c>
      <c r="T5783">
        <v>-0.74267439999999996</v>
      </c>
      <c r="U5783">
        <v>-3.1106259999999999</v>
      </c>
      <c r="V5783">
        <v>-0.1729077</v>
      </c>
      <c r="W5783">
        <v>-9.0122300000000002E-2</v>
      </c>
      <c r="X5783">
        <v>0.98080619999999996</v>
      </c>
      <c r="Y5783">
        <v>0.17406969999999999</v>
      </c>
      <c r="Z5783">
        <v>0.21568399999999999</v>
      </c>
      <c r="AA5783">
        <v>0.96082259999999997</v>
      </c>
      <c r="AB5783">
        <v>30</v>
      </c>
      <c r="AC5783">
        <v>-0.11169999999998401</v>
      </c>
      <c r="AD5783">
        <v>-0.20789359999999901</v>
      </c>
      <c r="AE5783">
        <v>-0.69491000000000003</v>
      </c>
      <c r="AF5783">
        <v>0.144101068868217</v>
      </c>
      <c r="AG5783">
        <v>-0.20789359999999901</v>
      </c>
      <c r="AH5783">
        <v>0.631108866192992</v>
      </c>
      <c r="AI5783">
        <v>107.804162735581</v>
      </c>
      <c r="AJ5783">
        <v>77.138146755657004</v>
      </c>
      <c r="AK5783">
        <v>0.67991416219793999</v>
      </c>
      <c r="AL5783">
        <v>95.170643206586107</v>
      </c>
      <c r="AM5783">
        <v>99.998022941726703</v>
      </c>
      <c r="AN5783">
        <v>0.999999951817508</v>
      </c>
    </row>
    <row r="5784" spans="1:40" x14ac:dyDescent="0.25">
      <c r="A5784" t="str">
        <f>"20190305135044721"</f>
        <v>20190305135044721</v>
      </c>
      <c r="B5784" t="str">
        <f>"1551765044715576"</f>
        <v>1551765044715576</v>
      </c>
      <c r="C5784" t="s">
        <v>40</v>
      </c>
      <c r="D5784">
        <v>4.140002</v>
      </c>
      <c r="E5784">
        <v>0.63441329999999996</v>
      </c>
      <c r="F5784" t="s">
        <v>41</v>
      </c>
      <c r="G5784">
        <v>-422.87400000000002</v>
      </c>
      <c r="H5784">
        <v>0.94316230000000001</v>
      </c>
      <c r="I5784">
        <v>51.550199999999997</v>
      </c>
      <c r="J5784">
        <v>-422.78059999999999</v>
      </c>
      <c r="K5784">
        <v>1.111413</v>
      </c>
      <c r="L5784">
        <v>52.078800000000001</v>
      </c>
      <c r="M5784">
        <v>6.6268759999999996E-2</v>
      </c>
      <c r="N5784">
        <v>-1.3633869999999999E-2</v>
      </c>
      <c r="O5784">
        <v>-0.99770890000000001</v>
      </c>
      <c r="P5784">
        <v>0.238233</v>
      </c>
      <c r="Q5784">
        <v>-0.10250140000000001</v>
      </c>
      <c r="R5784">
        <v>-0.96578399999999998</v>
      </c>
      <c r="S5784">
        <v>-0.3506165</v>
      </c>
      <c r="T5784">
        <v>-0.738990699999999</v>
      </c>
      <c r="U5784">
        <v>-3.1123959999999999</v>
      </c>
      <c r="V5784">
        <v>-0.17333809999999999</v>
      </c>
      <c r="W5784">
        <v>-8.9843279999999998E-2</v>
      </c>
      <c r="X5784">
        <v>0.98075590000000001</v>
      </c>
      <c r="Y5784">
        <v>0.17463409999999999</v>
      </c>
      <c r="Z5784">
        <v>0.2144528</v>
      </c>
      <c r="AA5784">
        <v>0.96099579999999996</v>
      </c>
      <c r="AB5784">
        <v>30</v>
      </c>
      <c r="AC5784">
        <v>-9.3400000000031E-2</v>
      </c>
      <c r="AD5784">
        <v>-0.168250699999999</v>
      </c>
      <c r="AE5784">
        <v>-0.52860000000000396</v>
      </c>
      <c r="AF5784">
        <v>0.116756855059895</v>
      </c>
      <c r="AG5784">
        <v>-0.168250699999999</v>
      </c>
      <c r="AH5784">
        <v>0.47461906733534298</v>
      </c>
      <c r="AI5784">
        <v>108.995172349955</v>
      </c>
      <c r="AJ5784">
        <v>76.179596215979302</v>
      </c>
      <c r="AK5784">
        <v>0.516917517919676</v>
      </c>
      <c r="AL5784">
        <v>95.154591049243393</v>
      </c>
      <c r="AM5784">
        <v>100.02290954656399</v>
      </c>
      <c r="AN5784">
        <v>1.00000002362878</v>
      </c>
    </row>
    <row r="5785" spans="1:40" x14ac:dyDescent="0.25">
      <c r="A5785" t="str">
        <f>"20190305135044734"</f>
        <v>20190305135044734</v>
      </c>
      <c r="B5785" t="str">
        <f>"1551765044726312"</f>
        <v>1551765044726312</v>
      </c>
      <c r="C5785" t="s">
        <v>40</v>
      </c>
      <c r="D5785">
        <v>4.1126209999999999</v>
      </c>
      <c r="E5785">
        <v>0.63478400000000001</v>
      </c>
      <c r="F5785" t="s">
        <v>41</v>
      </c>
      <c r="G5785">
        <v>-422.86919999999998</v>
      </c>
      <c r="H5785">
        <v>0.92553439999999998</v>
      </c>
      <c r="I5785">
        <v>51.29045</v>
      </c>
      <c r="J5785">
        <v>-422.76859999999999</v>
      </c>
      <c r="K5785">
        <v>1.1113930000000001</v>
      </c>
      <c r="L5785">
        <v>51.913730000000001</v>
      </c>
      <c r="M5785">
        <v>6.7373020000000006E-2</v>
      </c>
      <c r="N5785">
        <v>-1.3632109999999999E-2</v>
      </c>
      <c r="O5785">
        <v>-0.99763500000000005</v>
      </c>
      <c r="P5785">
        <v>0.23928749999999999</v>
      </c>
      <c r="Q5785">
        <v>-0.10216509999999999</v>
      </c>
      <c r="R5785">
        <v>-0.96555899999999995</v>
      </c>
      <c r="S5785">
        <v>-0.34957890000000003</v>
      </c>
      <c r="T5785">
        <v>-0.73446509999999998</v>
      </c>
      <c r="U5785">
        <v>-3.114563</v>
      </c>
      <c r="V5785">
        <v>-0.1733276</v>
      </c>
      <c r="W5785">
        <v>-8.9498800000000003E-2</v>
      </c>
      <c r="X5785">
        <v>0.98078920000000003</v>
      </c>
      <c r="Y5785">
        <v>0.1753701</v>
      </c>
      <c r="Z5785">
        <v>0.21294299999999999</v>
      </c>
      <c r="AA5785">
        <v>0.96119750000000004</v>
      </c>
      <c r="AB5785">
        <v>30</v>
      </c>
      <c r="AC5785">
        <v>-0.10059999999998499</v>
      </c>
      <c r="AD5785">
        <v>-0.18585860000000001</v>
      </c>
      <c r="AE5785">
        <v>-0.62328000000000106</v>
      </c>
      <c r="AF5785">
        <v>0.13101359622926101</v>
      </c>
      <c r="AG5785">
        <v>-0.18585860000000001</v>
      </c>
      <c r="AH5785">
        <v>0.56603163796484701</v>
      </c>
      <c r="AI5785">
        <v>107.739292729304</v>
      </c>
      <c r="AJ5785">
        <v>76.967820210545995</v>
      </c>
      <c r="AK5785">
        <v>0.60999983341641295</v>
      </c>
      <c r="AL5785">
        <v>95.1347742233216</v>
      </c>
      <c r="AM5785">
        <v>100.02198133421599</v>
      </c>
      <c r="AN5785">
        <v>0.99999997347991898</v>
      </c>
    </row>
    <row r="5786" spans="1:40" x14ac:dyDescent="0.25">
      <c r="A5786" t="str">
        <f>"20190305135044747"</f>
        <v>20190305135044747</v>
      </c>
      <c r="B5786" t="str">
        <f>"1551765044736072"</f>
        <v>1551765044736072</v>
      </c>
      <c r="C5786" t="s">
        <v>40</v>
      </c>
      <c r="D5786">
        <v>4.125299</v>
      </c>
      <c r="E5786">
        <v>0.635078699999999</v>
      </c>
      <c r="F5786" t="s">
        <v>41</v>
      </c>
      <c r="G5786">
        <v>-422.86750000000001</v>
      </c>
      <c r="H5786">
        <v>0.90417999999999998</v>
      </c>
      <c r="I5786">
        <v>51.031840000000003</v>
      </c>
      <c r="J5786">
        <v>-422.75510000000003</v>
      </c>
      <c r="K5786">
        <v>1.111375</v>
      </c>
      <c r="L5786">
        <v>51.733400000000003</v>
      </c>
      <c r="M5786">
        <v>6.8568390000000007E-2</v>
      </c>
      <c r="N5786">
        <v>-1.363026E-2</v>
      </c>
      <c r="O5786">
        <v>-0.99755349999999998</v>
      </c>
      <c r="P5786">
        <v>0.24019460000000001</v>
      </c>
      <c r="Q5786">
        <v>-0.1017581</v>
      </c>
      <c r="R5786">
        <v>-0.96537680000000003</v>
      </c>
      <c r="S5786">
        <v>-0.34866329999999901</v>
      </c>
      <c r="T5786">
        <v>-0.73230589999999995</v>
      </c>
      <c r="U5786">
        <v>-3.115936</v>
      </c>
      <c r="V5786">
        <v>-0.17307690000000001</v>
      </c>
      <c r="W5786">
        <v>-8.9083430000000005E-2</v>
      </c>
      <c r="X5786">
        <v>0.9808713</v>
      </c>
      <c r="Y5786">
        <v>0.17624089999999901</v>
      </c>
      <c r="Z5786">
        <v>0.21217549999999999</v>
      </c>
      <c r="AA5786">
        <v>0.9612079</v>
      </c>
      <c r="AB5786">
        <v>30</v>
      </c>
      <c r="AC5786">
        <v>-0.112399999999979</v>
      </c>
      <c r="AD5786">
        <v>-0.20719499999999999</v>
      </c>
      <c r="AE5786">
        <v>-0.70155999999999996</v>
      </c>
      <c r="AF5786">
        <v>0.14768556829433899</v>
      </c>
      <c r="AG5786">
        <v>-0.20719499999999999</v>
      </c>
      <c r="AH5786">
        <v>0.63794965311194696</v>
      </c>
      <c r="AI5786">
        <v>107.558133001427</v>
      </c>
      <c r="AJ5786">
        <v>76.965617547306906</v>
      </c>
      <c r="AK5786">
        <v>0.68681915743016098</v>
      </c>
      <c r="AL5786">
        <v>95.110879750631398</v>
      </c>
      <c r="AM5786">
        <v>100.006958117</v>
      </c>
      <c r="AN5786">
        <v>0.99999998898893205</v>
      </c>
    </row>
    <row r="5787" spans="1:40" x14ac:dyDescent="0.25">
      <c r="A5787" t="str">
        <f>"20190305135044764"</f>
        <v>20190305135044764</v>
      </c>
      <c r="B5787" t="str">
        <f>"1551765044755592"</f>
        <v>1551765044755592</v>
      </c>
      <c r="C5787" t="s">
        <v>40</v>
      </c>
      <c r="D5787">
        <v>4.1149089999999999</v>
      </c>
      <c r="E5787">
        <v>0.63570269999999995</v>
      </c>
      <c r="F5787" t="s">
        <v>41</v>
      </c>
      <c r="G5787">
        <v>-422.83510000000001</v>
      </c>
      <c r="H5787">
        <v>0.943828</v>
      </c>
      <c r="I5787">
        <v>51.017980000000001</v>
      </c>
      <c r="J5787">
        <v>-422.73829999999998</v>
      </c>
      <c r="K5787">
        <v>1.1113599999999999</v>
      </c>
      <c r="L5787">
        <v>51.511839999999999</v>
      </c>
      <c r="M5787">
        <v>7.0027049999999993E-2</v>
      </c>
      <c r="N5787">
        <v>-1.3628070000000001E-2</v>
      </c>
      <c r="O5787">
        <v>-0.99745209999999995</v>
      </c>
      <c r="P5787">
        <v>0.2414877</v>
      </c>
      <c r="Q5787">
        <v>-0.1021056</v>
      </c>
      <c r="R5787">
        <v>-0.96501740000000003</v>
      </c>
      <c r="S5787">
        <v>-0.34735110000000002</v>
      </c>
      <c r="T5787">
        <v>-0.73020509999999905</v>
      </c>
      <c r="U5787">
        <v>-3.1170650000000002</v>
      </c>
      <c r="V5787">
        <v>-0.17296159999999999</v>
      </c>
      <c r="W5787">
        <v>-8.9426060000000002E-2</v>
      </c>
      <c r="X5787">
        <v>0.98086050000000002</v>
      </c>
      <c r="Y5787">
        <v>0.17725779999999999</v>
      </c>
      <c r="Z5787">
        <v>0.21143410000000001</v>
      </c>
      <c r="AA5787">
        <v>0.96118429999999999</v>
      </c>
      <c r="AB5787">
        <v>30</v>
      </c>
      <c r="AC5787">
        <v>-9.6800000000030195E-2</v>
      </c>
      <c r="AD5787">
        <v>-0.16753199999999999</v>
      </c>
      <c r="AE5787">
        <v>-0.49385999999999802</v>
      </c>
      <c r="AF5787">
        <v>0.11806518881549399</v>
      </c>
      <c r="AG5787">
        <v>-0.16753199999999999</v>
      </c>
      <c r="AH5787">
        <v>0.43739621305889198</v>
      </c>
      <c r="AI5787">
        <v>110.293714249598</v>
      </c>
      <c r="AJ5787">
        <v>74.894306106241203</v>
      </c>
      <c r="AK5787">
        <v>0.48303396053724701</v>
      </c>
      <c r="AL5787">
        <v>95.130589469486793</v>
      </c>
      <c r="AM5787">
        <v>100.000534205116</v>
      </c>
      <c r="AN5787">
        <v>1.00000002787096</v>
      </c>
    </row>
    <row r="5788" spans="1:40" x14ac:dyDescent="0.25">
      <c r="A5788" t="str">
        <f>"20190305135044782"</f>
        <v>20190305135044782</v>
      </c>
      <c r="B5788" t="str">
        <f>"1551765044776088"</f>
        <v>1551765044776088</v>
      </c>
      <c r="C5788" t="s">
        <v>40</v>
      </c>
      <c r="D5788">
        <v>4.0570060000000003</v>
      </c>
      <c r="E5788">
        <v>0.63634569999999901</v>
      </c>
      <c r="F5788" t="s">
        <v>41</v>
      </c>
      <c r="G5788">
        <v>-422.8229</v>
      </c>
      <c r="H5788">
        <v>0.93492969999999997</v>
      </c>
      <c r="I5788">
        <v>50.755549999999999</v>
      </c>
      <c r="J5788">
        <v>-422.71980000000002</v>
      </c>
      <c r="K5788">
        <v>1.1113440000000001</v>
      </c>
      <c r="L5788">
        <v>51.272829999999999</v>
      </c>
      <c r="M5788">
        <v>7.1598439999999999E-2</v>
      </c>
      <c r="N5788">
        <v>-1.362585E-2</v>
      </c>
      <c r="O5788">
        <v>-0.99734060000000002</v>
      </c>
      <c r="P5788">
        <v>0.24252190000000001</v>
      </c>
      <c r="Q5788">
        <v>-0.1026162</v>
      </c>
      <c r="R5788">
        <v>-0.96470389999999995</v>
      </c>
      <c r="S5788">
        <v>-0.34777829999999998</v>
      </c>
      <c r="T5788">
        <v>-0.72778920000000002</v>
      </c>
      <c r="U5788">
        <v>-3.1187740000000002</v>
      </c>
      <c r="V5788">
        <v>-0.1724724</v>
      </c>
      <c r="W5788">
        <v>-8.9931750000000005E-2</v>
      </c>
      <c r="X5788">
        <v>0.98090029999999995</v>
      </c>
      <c r="Y5788">
        <v>0.17889849999999999</v>
      </c>
      <c r="Z5788">
        <v>0.21053830000000001</v>
      </c>
      <c r="AA5788">
        <v>0.96107699999999996</v>
      </c>
      <c r="AB5788">
        <v>30</v>
      </c>
      <c r="AC5788">
        <v>-0.103099999999983</v>
      </c>
      <c r="AD5788">
        <v>-0.1764143</v>
      </c>
      <c r="AE5788">
        <v>-0.51727999999999896</v>
      </c>
      <c r="AF5788">
        <v>0.125802244847667</v>
      </c>
      <c r="AG5788">
        <v>-0.1764143</v>
      </c>
      <c r="AH5788">
        <v>0.45740201330770203</v>
      </c>
      <c r="AI5788">
        <v>110.399091964802</v>
      </c>
      <c r="AJ5788">
        <v>74.62180497224</v>
      </c>
      <c r="AK5788">
        <v>0.50612726841293798</v>
      </c>
      <c r="AL5788">
        <v>95.159681127803395</v>
      </c>
      <c r="AM5788">
        <v>99.972421057001398</v>
      </c>
      <c r="AN5788">
        <v>0.99999992347995303</v>
      </c>
    </row>
    <row r="5789" spans="1:40" x14ac:dyDescent="0.25">
      <c r="A5789" t="str">
        <f>"20190305135044797"</f>
        <v>20190305135044797</v>
      </c>
      <c r="B5789" t="str">
        <f>"1551765044785848"</f>
        <v>1551765044785848</v>
      </c>
      <c r="C5789" t="s">
        <v>40</v>
      </c>
      <c r="D5789">
        <v>4.0738750000000001</v>
      </c>
      <c r="E5789">
        <v>0.63662669999999999</v>
      </c>
      <c r="F5789" t="s">
        <v>41</v>
      </c>
      <c r="G5789">
        <v>-422.80779999999999</v>
      </c>
      <c r="H5789">
        <v>0.92983000000000005</v>
      </c>
      <c r="I5789">
        <v>50.491779999999999</v>
      </c>
      <c r="J5789">
        <v>-422.70429999999999</v>
      </c>
      <c r="K5789">
        <v>1.1113360000000001</v>
      </c>
      <c r="L5789">
        <v>51.076140000000002</v>
      </c>
      <c r="M5789">
        <v>7.2894E-2</v>
      </c>
      <c r="N5789">
        <v>-1.362414E-2</v>
      </c>
      <c r="O5789">
        <v>-0.99724669999999904</v>
      </c>
      <c r="P5789">
        <v>0.243455</v>
      </c>
      <c r="Q5789">
        <v>-0.102572</v>
      </c>
      <c r="R5789">
        <v>-0.96447349999999998</v>
      </c>
      <c r="S5789">
        <v>-0.35018919999999998</v>
      </c>
      <c r="T5789">
        <v>-0.72542329999999999</v>
      </c>
      <c r="U5789">
        <v>-3.1206360000000002</v>
      </c>
      <c r="V5789">
        <v>-0.17214860000000001</v>
      </c>
      <c r="W5789">
        <v>-8.9884770000000003E-2</v>
      </c>
      <c r="X5789">
        <v>0.98096159999999999</v>
      </c>
      <c r="Y5789">
        <v>0.18086450000000001</v>
      </c>
      <c r="Z5789">
        <v>0.20963850000000001</v>
      </c>
      <c r="AA5789">
        <v>0.96090569999999997</v>
      </c>
      <c r="AB5789">
        <v>30</v>
      </c>
      <c r="AC5789">
        <v>-0.103499999999996</v>
      </c>
      <c r="AD5789">
        <v>-0.181506</v>
      </c>
      <c r="AE5789">
        <v>-0.58436000000000299</v>
      </c>
      <c r="AF5789">
        <v>0.13335098647231999</v>
      </c>
      <c r="AG5789">
        <v>-0.181506</v>
      </c>
      <c r="AH5789">
        <v>0.52605198440661805</v>
      </c>
      <c r="AI5789">
        <v>108.492806287032</v>
      </c>
      <c r="AJ5789">
        <v>75.7755001050798</v>
      </c>
      <c r="AK5789">
        <v>0.57223911429338903</v>
      </c>
      <c r="AL5789">
        <v>95.156977841560703</v>
      </c>
      <c r="AM5789">
        <v>99.9534640252147</v>
      </c>
      <c r="AN5789">
        <v>1.0000000365172299</v>
      </c>
    </row>
    <row r="5790" spans="1:40" x14ac:dyDescent="0.25">
      <c r="A5790" t="str">
        <f>"20190305135044811"</f>
        <v>20190305135044811</v>
      </c>
      <c r="B5790" t="str">
        <f>"1551765044806344"</f>
        <v>1551765044806344</v>
      </c>
      <c r="C5790" t="s">
        <v>40</v>
      </c>
      <c r="D5790">
        <v>4.0543339999999999</v>
      </c>
      <c r="E5790">
        <v>0.63712849999999999</v>
      </c>
      <c r="F5790" t="s">
        <v>41</v>
      </c>
      <c r="G5790">
        <v>-422.79899999999998</v>
      </c>
      <c r="H5790">
        <v>0.9155297</v>
      </c>
      <c r="I5790">
        <v>50.231459999999998</v>
      </c>
      <c r="J5790">
        <v>-422.6902</v>
      </c>
      <c r="K5790">
        <v>1.111324</v>
      </c>
      <c r="L5790">
        <v>50.898409999999998</v>
      </c>
      <c r="M5790">
        <v>7.4067289999999994E-2</v>
      </c>
      <c r="N5790">
        <v>-1.362264E-2</v>
      </c>
      <c r="O5790">
        <v>-0.99716009999999999</v>
      </c>
      <c r="P5790">
        <v>0.24456459999999999</v>
      </c>
      <c r="Q5790">
        <v>-0.1024844</v>
      </c>
      <c r="R5790">
        <v>-0.964202</v>
      </c>
      <c r="S5790">
        <v>-0.34912110000000002</v>
      </c>
      <c r="T5790">
        <v>-0.7237884</v>
      </c>
      <c r="U5790">
        <v>-3.1216740000000001</v>
      </c>
      <c r="V5790">
        <v>-0.1721232</v>
      </c>
      <c r="W5790">
        <v>-8.9797059999999998E-2</v>
      </c>
      <c r="X5790">
        <v>0.98097400000000001</v>
      </c>
      <c r="Y5790">
        <v>0.1816739</v>
      </c>
      <c r="Z5790">
        <v>0.20904880000000001</v>
      </c>
      <c r="AA5790">
        <v>0.96088150000000006</v>
      </c>
      <c r="AB5790">
        <v>30</v>
      </c>
      <c r="AC5790">
        <v>-0.10880000000003</v>
      </c>
      <c r="AD5790">
        <v>-0.1957943</v>
      </c>
      <c r="AE5790">
        <v>-0.66694999999999904</v>
      </c>
      <c r="AF5790">
        <v>0.145675761203612</v>
      </c>
      <c r="AG5790">
        <v>-0.1957943</v>
      </c>
      <c r="AH5790">
        <v>0.60617187575915299</v>
      </c>
      <c r="AI5790">
        <v>107.43539027014</v>
      </c>
      <c r="AJ5790">
        <v>76.486883989169598</v>
      </c>
      <c r="AK5790">
        <v>0.65345327168521605</v>
      </c>
      <c r="AL5790">
        <v>95.151932479904204</v>
      </c>
      <c r="AM5790">
        <v>99.9519015014627</v>
      </c>
      <c r="AN5790">
        <v>0.99999994831943995</v>
      </c>
    </row>
    <row r="5791" spans="1:40" x14ac:dyDescent="0.25">
      <c r="A5791" t="str">
        <f>"20190305135044823"</f>
        <v>20190305135044823</v>
      </c>
      <c r="B5791" t="str">
        <f>"1551765044816104"</f>
        <v>1551765044816104</v>
      </c>
      <c r="C5791" t="s">
        <v>40</v>
      </c>
      <c r="D5791">
        <v>4.0766679999999997</v>
      </c>
      <c r="E5791">
        <v>0.63724340000000002</v>
      </c>
      <c r="F5791" t="s">
        <v>41</v>
      </c>
      <c r="G5791">
        <v>-422.79419999999999</v>
      </c>
      <c r="H5791">
        <v>0.89752639999999995</v>
      </c>
      <c r="I5791">
        <v>49.97242</v>
      </c>
      <c r="J5791">
        <v>-422.67579999999998</v>
      </c>
      <c r="K5791">
        <v>1.111324</v>
      </c>
      <c r="L5791">
        <v>50.721469999999997</v>
      </c>
      <c r="M5791">
        <v>7.5242539999999997E-2</v>
      </c>
      <c r="N5791">
        <v>-1.362112E-2</v>
      </c>
      <c r="O5791">
        <v>-0.99707250000000003</v>
      </c>
      <c r="P5791">
        <v>0.24540210000000001</v>
      </c>
      <c r="Q5791">
        <v>-0.1024249</v>
      </c>
      <c r="R5791">
        <v>-0.96399579999999996</v>
      </c>
      <c r="S5791">
        <v>-0.34921259999999998</v>
      </c>
      <c r="T5791">
        <v>-0.72140590000000004</v>
      </c>
      <c r="U5791">
        <v>-3.123291</v>
      </c>
      <c r="V5791">
        <v>-0.17181959999999999</v>
      </c>
      <c r="W5791">
        <v>-8.9736670000000004E-2</v>
      </c>
      <c r="X5791">
        <v>0.98103280000000004</v>
      </c>
      <c r="Y5791">
        <v>0.18282409999999999</v>
      </c>
      <c r="Z5791">
        <v>0.20818970000000001</v>
      </c>
      <c r="AA5791">
        <v>0.96084979999999998</v>
      </c>
      <c r="AB5791">
        <v>30</v>
      </c>
      <c r="AC5791">
        <v>-0.118400000000008</v>
      </c>
      <c r="AD5791">
        <v>-0.21379759999999901</v>
      </c>
      <c r="AE5791">
        <v>-0.74905000000000399</v>
      </c>
      <c r="AF5791">
        <v>0.16158677205035199</v>
      </c>
      <c r="AG5791">
        <v>-0.21379759999999901</v>
      </c>
      <c r="AH5791">
        <v>0.68367698192301396</v>
      </c>
      <c r="AI5791">
        <v>106.92671428017699</v>
      </c>
      <c r="AJ5791">
        <v>76.7021920701618</v>
      </c>
      <c r="AK5791">
        <v>0.734325482520369</v>
      </c>
      <c r="AL5791">
        <v>95.148458096243701</v>
      </c>
      <c r="AM5791">
        <v>99.934114245861096</v>
      </c>
      <c r="AN5791">
        <v>0.99999999978134402</v>
      </c>
    </row>
    <row r="5792" spans="1:40" x14ac:dyDescent="0.25">
      <c r="A5792" t="str">
        <f>"20190305135044837"</f>
        <v>20190305135044837</v>
      </c>
      <c r="B5792" t="str">
        <f>"1551765044825864"</f>
        <v>1551765044825864</v>
      </c>
      <c r="C5792" t="s">
        <v>40</v>
      </c>
      <c r="D5792">
        <v>4.0664480000000003</v>
      </c>
      <c r="E5792">
        <v>0.63743609999999995</v>
      </c>
      <c r="F5792" t="s">
        <v>41</v>
      </c>
      <c r="G5792">
        <v>-422.76100000000002</v>
      </c>
      <c r="H5792">
        <v>0.93589330000000004</v>
      </c>
      <c r="I5792">
        <v>49.959690000000002</v>
      </c>
      <c r="J5792">
        <v>-422.6619</v>
      </c>
      <c r="K5792">
        <v>1.111335</v>
      </c>
      <c r="L5792">
        <v>50.553190000000001</v>
      </c>
      <c r="M5792">
        <v>7.6365459999999996E-2</v>
      </c>
      <c r="N5792">
        <v>-1.3619799999999901E-2</v>
      </c>
      <c r="O5792">
        <v>-0.99698699999999996</v>
      </c>
      <c r="P5792">
        <v>0.24645839999999999</v>
      </c>
      <c r="Q5792">
        <v>-0.1016881</v>
      </c>
      <c r="R5792">
        <v>-0.96380390000000005</v>
      </c>
      <c r="S5792">
        <v>-0.34744259999999999</v>
      </c>
      <c r="T5792">
        <v>-0.71976960000000001</v>
      </c>
      <c r="U5792">
        <v>-3.1240230000000002</v>
      </c>
      <c r="V5792">
        <v>-0.1717871</v>
      </c>
      <c r="W5792">
        <v>-8.9000060000000006E-2</v>
      </c>
      <c r="X5792">
        <v>0.98110560000000002</v>
      </c>
      <c r="Y5792">
        <v>0.18338080000000001</v>
      </c>
      <c r="Z5792">
        <v>0.20762910000000001</v>
      </c>
      <c r="AA5792">
        <v>0.96086510000000003</v>
      </c>
      <c r="AB5792">
        <v>30</v>
      </c>
      <c r="AC5792">
        <v>-9.9099999999964397E-2</v>
      </c>
      <c r="AD5792">
        <v>-0.17544169999999901</v>
      </c>
      <c r="AE5792">
        <v>-0.59349999999999803</v>
      </c>
      <c r="AF5792">
        <v>0.13284427403892399</v>
      </c>
      <c r="AG5792">
        <v>-0.17544169999999901</v>
      </c>
      <c r="AH5792">
        <v>0.538425336401812</v>
      </c>
      <c r="AI5792">
        <v>107.55505231218</v>
      </c>
      <c r="AJ5792">
        <v>76.140369295271995</v>
      </c>
      <c r="AK5792">
        <v>0.58166075518572102</v>
      </c>
      <c r="AL5792">
        <v>95.106083852753798</v>
      </c>
      <c r="AM5792">
        <v>99.931550291856297</v>
      </c>
      <c r="AN5792">
        <v>1.00000000837888</v>
      </c>
    </row>
    <row r="5793" spans="1:40" x14ac:dyDescent="0.25">
      <c r="A5793" t="str">
        <f>"20190305135044852"</f>
        <v>20190305135044852</v>
      </c>
      <c r="B5793" t="str">
        <f>"1551765044846361"</f>
        <v>1551765044846361</v>
      </c>
      <c r="C5793" t="s">
        <v>40</v>
      </c>
      <c r="D5793">
        <v>4.1151530000000003</v>
      </c>
      <c r="E5793">
        <v>0.63811969999999996</v>
      </c>
      <c r="F5793" t="s">
        <v>41</v>
      </c>
      <c r="G5793">
        <v>-422.7559</v>
      </c>
      <c r="H5793">
        <v>0.9160452</v>
      </c>
      <c r="I5793">
        <v>49.701689999999999</v>
      </c>
      <c r="J5793">
        <v>-422.64510000000001</v>
      </c>
      <c r="K5793">
        <v>1.1113390000000001</v>
      </c>
      <c r="L5793">
        <v>50.351260000000003</v>
      </c>
      <c r="M5793">
        <v>7.7720609999999996E-2</v>
      </c>
      <c r="N5793">
        <v>-1.361835E-2</v>
      </c>
      <c r="O5793">
        <v>-0.9968823</v>
      </c>
      <c r="P5793">
        <v>0.2481689</v>
      </c>
      <c r="Q5793">
        <v>-0.1008957</v>
      </c>
      <c r="R5793">
        <v>-0.96344839999999998</v>
      </c>
      <c r="S5793">
        <v>-0.34506229999999999</v>
      </c>
      <c r="T5793">
        <v>-0.71678920000000002</v>
      </c>
      <c r="U5793">
        <v>-3.1252749999999998</v>
      </c>
      <c r="V5793">
        <v>-0.17219079999999901</v>
      </c>
      <c r="W5793">
        <v>-8.8211220000000007E-2</v>
      </c>
      <c r="X5793">
        <v>0.98110600000000003</v>
      </c>
      <c r="Y5793">
        <v>0.1839741</v>
      </c>
      <c r="Z5793">
        <v>0.20663580000000001</v>
      </c>
      <c r="AA5793">
        <v>0.96096579999999998</v>
      </c>
      <c r="AB5793">
        <v>30</v>
      </c>
      <c r="AC5793">
        <v>-0.110799999999983</v>
      </c>
      <c r="AD5793">
        <v>-0.19529379999999999</v>
      </c>
      <c r="AE5793">
        <v>-0.64956999999999698</v>
      </c>
      <c r="AF5793">
        <v>0.147958458630815</v>
      </c>
      <c r="AG5793">
        <v>-0.19529379999999999</v>
      </c>
      <c r="AH5793">
        <v>0.58739823978546202</v>
      </c>
      <c r="AI5793">
        <v>107.869427775836</v>
      </c>
      <c r="AJ5793">
        <v>75.862000632633993</v>
      </c>
      <c r="AK5793">
        <v>0.63644957844428396</v>
      </c>
      <c r="AL5793">
        <v>95.060708538662297</v>
      </c>
      <c r="AM5793">
        <v>99.954419175862299</v>
      </c>
      <c r="AN5793">
        <v>0.99999993708726198</v>
      </c>
    </row>
    <row r="5794" spans="1:40" x14ac:dyDescent="0.25">
      <c r="A5794" t="str">
        <f>"20190305135044864"</f>
        <v>20190305135044864</v>
      </c>
      <c r="B5794" t="str">
        <f>"1551765044856121"</f>
        <v>1551765044856121</v>
      </c>
      <c r="C5794" t="s">
        <v>40</v>
      </c>
      <c r="D5794">
        <v>4.1362449999999997</v>
      </c>
      <c r="E5794">
        <v>0.63835189999999997</v>
      </c>
      <c r="F5794" t="s">
        <v>41</v>
      </c>
      <c r="G5794">
        <v>-422.7457</v>
      </c>
      <c r="H5794">
        <v>0.90037409999999996</v>
      </c>
      <c r="I5794">
        <v>49.442709999999998</v>
      </c>
      <c r="J5794">
        <v>-422.63080000000002</v>
      </c>
      <c r="K5794">
        <v>1.111343</v>
      </c>
      <c r="L5794">
        <v>50.184170000000002</v>
      </c>
      <c r="M5794">
        <v>7.8852469999999994E-2</v>
      </c>
      <c r="N5794">
        <v>-1.3617290000000001E-2</v>
      </c>
      <c r="O5794">
        <v>-0.9967935</v>
      </c>
      <c r="P5794">
        <v>0.2495482</v>
      </c>
      <c r="Q5794">
        <v>-0.1004094</v>
      </c>
      <c r="R5794">
        <v>-0.96314279999999997</v>
      </c>
      <c r="S5794">
        <v>-0.34561160000000002</v>
      </c>
      <c r="T5794">
        <v>-0.72617279999999995</v>
      </c>
      <c r="U5794">
        <v>-3.1268009999999999</v>
      </c>
      <c r="V5794">
        <v>-0.17247789999999999</v>
      </c>
      <c r="W5794">
        <v>-8.7728479999999998E-2</v>
      </c>
      <c r="X5794">
        <v>0.9810989</v>
      </c>
      <c r="Y5794">
        <v>0.18513789999999999</v>
      </c>
      <c r="Z5794">
        <v>0.20921899999999999</v>
      </c>
      <c r="AA5794">
        <v>0.96018300000000001</v>
      </c>
      <c r="AB5794">
        <v>30</v>
      </c>
      <c r="AC5794">
        <v>-0.11489999999997701</v>
      </c>
      <c r="AD5794">
        <v>-0.21096889999999999</v>
      </c>
      <c r="AE5794">
        <v>-0.74146000000000301</v>
      </c>
      <c r="AF5794">
        <v>0.160337301033006</v>
      </c>
      <c r="AG5794">
        <v>-0.21096889999999999</v>
      </c>
      <c r="AH5794">
        <v>0.67659820262087</v>
      </c>
      <c r="AI5794">
        <v>106.878079093715</v>
      </c>
      <c r="AJ5794">
        <v>76.668223640876604</v>
      </c>
      <c r="AK5794">
        <v>0.72663681069675501</v>
      </c>
      <c r="AL5794">
        <v>95.032941698637998</v>
      </c>
      <c r="AM5794">
        <v>99.970754458568095</v>
      </c>
      <c r="AN5794">
        <v>0.99999998188636496</v>
      </c>
    </row>
    <row r="5795" spans="1:40" x14ac:dyDescent="0.25">
      <c r="A5795" t="str">
        <f>"20190305135044878"</f>
        <v>20190305135044878</v>
      </c>
      <c r="B5795" t="str">
        <f>"1551765044865880"</f>
        <v>1551765044865880</v>
      </c>
      <c r="C5795" t="s">
        <v>40</v>
      </c>
      <c r="D5795">
        <v>4.0865390000000001</v>
      </c>
      <c r="E5795">
        <v>0.63850779999999996</v>
      </c>
      <c r="F5795" t="s">
        <v>41</v>
      </c>
      <c r="G5795">
        <v>-422.71370000000002</v>
      </c>
      <c r="H5795">
        <v>0.93572200000000005</v>
      </c>
      <c r="I5795">
        <v>49.431269999999998</v>
      </c>
      <c r="J5795">
        <v>-422.61579999999998</v>
      </c>
      <c r="K5795">
        <v>1.111351</v>
      </c>
      <c r="L5795">
        <v>50.00958</v>
      </c>
      <c r="M5795">
        <v>8.0043729999999993E-2</v>
      </c>
      <c r="N5795">
        <v>-1.361623E-2</v>
      </c>
      <c r="O5795">
        <v>-0.99669839999999998</v>
      </c>
      <c r="P5795">
        <v>0.25115559999999998</v>
      </c>
      <c r="Q5795">
        <v>-0.1001851</v>
      </c>
      <c r="R5795">
        <v>-0.96274800000000005</v>
      </c>
      <c r="S5795">
        <v>-0.34341430000000001</v>
      </c>
      <c r="T5795">
        <v>-0.72970869999999999</v>
      </c>
      <c r="U5795">
        <v>-3.1277159999999999</v>
      </c>
      <c r="V5795">
        <v>-0.1729406</v>
      </c>
      <c r="W5795">
        <v>-8.7510180000000007E-2</v>
      </c>
      <c r="X5795">
        <v>0.98103700000000005</v>
      </c>
      <c r="Y5795">
        <v>0.1855898</v>
      </c>
      <c r="Z5795">
        <v>0.21015529999999999</v>
      </c>
      <c r="AA5795">
        <v>0.95989119999999994</v>
      </c>
      <c r="AB5795">
        <v>30</v>
      </c>
      <c r="AC5795">
        <v>-9.7900000000038206E-2</v>
      </c>
      <c r="AD5795">
        <v>-0.17562900000000001</v>
      </c>
      <c r="AE5795">
        <v>-0.57831000000000099</v>
      </c>
      <c r="AF5795">
        <v>0.13204133111521199</v>
      </c>
      <c r="AG5795">
        <v>-0.17562900000000001</v>
      </c>
      <c r="AH5795">
        <v>0.52182966125670704</v>
      </c>
      <c r="AI5795">
        <v>108.070496746202</v>
      </c>
      <c r="AJ5795">
        <v>75.800193261662997</v>
      </c>
      <c r="AK5795">
        <v>0.56620372140331898</v>
      </c>
      <c r="AL5795">
        <v>95.0203854521626</v>
      </c>
      <c r="AM5795">
        <v>99.997581803108901</v>
      </c>
      <c r="AN5795">
        <v>1.00000003905049</v>
      </c>
    </row>
    <row r="5796" spans="1:40" x14ac:dyDescent="0.25">
      <c r="A5796" t="str">
        <f>"20190305135044890"</f>
        <v>20190305135044890</v>
      </c>
      <c r="B5796" t="str">
        <f>"1551765044886376"</f>
        <v>1551765044886376</v>
      </c>
      <c r="C5796" t="s">
        <v>40</v>
      </c>
      <c r="D5796">
        <v>4.0642269999999998</v>
      </c>
      <c r="E5796">
        <v>0.63885249999999905</v>
      </c>
      <c r="F5796" t="s">
        <v>41</v>
      </c>
      <c r="G5796">
        <v>-422.70639999999997</v>
      </c>
      <c r="H5796">
        <v>0.91544809999999999</v>
      </c>
      <c r="I5796">
        <v>49.174120000000002</v>
      </c>
      <c r="J5796">
        <v>-422.60169999999999</v>
      </c>
      <c r="K5796">
        <v>1.1113580000000001</v>
      </c>
      <c r="L5796">
        <v>49.848050000000001</v>
      </c>
      <c r="M5796">
        <v>8.1151600000000004E-2</v>
      </c>
      <c r="N5796">
        <v>-1.361528E-2</v>
      </c>
      <c r="O5796">
        <v>-0.99660890000000002</v>
      </c>
      <c r="P5796">
        <v>0.25257269999999998</v>
      </c>
      <c r="Q5796">
        <v>-0.1001567</v>
      </c>
      <c r="R5796">
        <v>-0.96238029999999997</v>
      </c>
      <c r="S5796">
        <v>-0.3391113</v>
      </c>
      <c r="T5796">
        <v>-0.73351119999999903</v>
      </c>
      <c r="U5796">
        <v>-3.1282350000000001</v>
      </c>
      <c r="V5796">
        <v>-0.1732928</v>
      </c>
      <c r="W5796">
        <v>-8.748744E-2</v>
      </c>
      <c r="X5796">
        <v>0.98097679999999998</v>
      </c>
      <c r="Y5796">
        <v>0.185333</v>
      </c>
      <c r="Z5796">
        <v>0.21121989999999999</v>
      </c>
      <c r="AA5796">
        <v>0.95970710000000004</v>
      </c>
      <c r="AB5796">
        <v>30</v>
      </c>
      <c r="AC5796">
        <v>-0.104699999999979</v>
      </c>
      <c r="AD5796">
        <v>-0.1959099</v>
      </c>
      <c r="AE5796">
        <v>-0.67392999999999803</v>
      </c>
      <c r="AF5796">
        <v>0.14692671788864101</v>
      </c>
      <c r="AG5796">
        <v>-0.1959099</v>
      </c>
      <c r="AH5796">
        <v>0.61265691813990497</v>
      </c>
      <c r="AI5796">
        <v>107.27329107350999</v>
      </c>
      <c r="AJ5796">
        <v>76.514077408049005</v>
      </c>
      <c r="AK5796">
        <v>0.65978530499869803</v>
      </c>
      <c r="AL5796">
        <v>95.019077905381806</v>
      </c>
      <c r="AM5796">
        <v>100.01813255694</v>
      </c>
      <c r="AN5796">
        <v>0.99999996441391603</v>
      </c>
    </row>
    <row r="5797" spans="1:40" x14ac:dyDescent="0.25">
      <c r="A5797" t="str">
        <f>"20190305135044903"</f>
        <v>20190305135044903</v>
      </c>
      <c r="B5797" t="str">
        <f>"1551765044896136"</f>
        <v>1551765044896136</v>
      </c>
      <c r="C5797" t="s">
        <v>40</v>
      </c>
      <c r="D5797">
        <v>4.095072</v>
      </c>
      <c r="E5797">
        <v>0.63907199999999997</v>
      </c>
      <c r="F5797" t="s">
        <v>41</v>
      </c>
      <c r="G5797">
        <v>-422.70229999999998</v>
      </c>
      <c r="H5797">
        <v>0.89120480000000002</v>
      </c>
      <c r="I5797">
        <v>48.918460000000003</v>
      </c>
      <c r="J5797">
        <v>-422.5856</v>
      </c>
      <c r="K5797">
        <v>1.1113740000000001</v>
      </c>
      <c r="L5797">
        <v>49.666809999999998</v>
      </c>
      <c r="M5797">
        <v>8.2414500000000002E-2</v>
      </c>
      <c r="N5797">
        <v>-1.3614340000000001E-2</v>
      </c>
      <c r="O5797">
        <v>-0.99650539999999999</v>
      </c>
      <c r="P5797">
        <v>0.25515189999999999</v>
      </c>
      <c r="Q5797">
        <v>-0.1006446</v>
      </c>
      <c r="R5797">
        <v>-0.96164910000000003</v>
      </c>
      <c r="S5797">
        <v>-0.33773799999999998</v>
      </c>
      <c r="T5797">
        <v>-0.7411761</v>
      </c>
      <c r="U5797">
        <v>-3.128784</v>
      </c>
      <c r="V5797">
        <v>-0.17467729999999901</v>
      </c>
      <c r="W5797">
        <v>-8.7990600000000002E-2</v>
      </c>
      <c r="X5797">
        <v>0.98068619999999995</v>
      </c>
      <c r="Y5797">
        <v>0.18608759999999999</v>
      </c>
      <c r="Z5797">
        <v>0.21336569999999999</v>
      </c>
      <c r="AA5797">
        <v>0.95908629999999995</v>
      </c>
      <c r="AB5797">
        <v>30</v>
      </c>
      <c r="AC5797">
        <v>-0.11669999999998</v>
      </c>
      <c r="AD5797">
        <v>-0.22016920000000001</v>
      </c>
      <c r="AE5797">
        <v>-0.74835000000000196</v>
      </c>
      <c r="AF5797">
        <v>0.16411538802843201</v>
      </c>
      <c r="AG5797">
        <v>-0.22016920000000001</v>
      </c>
      <c r="AH5797">
        <v>0.67882296117279906</v>
      </c>
      <c r="AI5797">
        <v>107.49782591801301</v>
      </c>
      <c r="AJ5797">
        <v>76.408705267555206</v>
      </c>
      <c r="AK5797">
        <v>0.73226289666469502</v>
      </c>
      <c r="AL5797">
        <v>95.048018463388402</v>
      </c>
      <c r="AM5797">
        <v>100.09946099643</v>
      </c>
      <c r="AN5797">
        <v>0.99999996384704404</v>
      </c>
    </row>
    <row r="5798" spans="1:40" x14ac:dyDescent="0.25">
      <c r="A5798" t="str">
        <f>"20190305135044919"</f>
        <v>20190305135044919</v>
      </c>
      <c r="B5798" t="str">
        <f>"1551765044915656"</f>
        <v>1551765044915656</v>
      </c>
      <c r="C5798" t="s">
        <v>40</v>
      </c>
      <c r="D5798">
        <v>4.4650129999999999</v>
      </c>
      <c r="E5798">
        <v>0.63933949999999995</v>
      </c>
      <c r="F5798" t="s">
        <v>41</v>
      </c>
      <c r="G5798">
        <v>-422.66640000000001</v>
      </c>
      <c r="H5798">
        <v>0.92978039999999995</v>
      </c>
      <c r="I5798">
        <v>48.906219999999998</v>
      </c>
      <c r="J5798">
        <v>-422.56790000000001</v>
      </c>
      <c r="K5798">
        <v>1.1113900000000001</v>
      </c>
      <c r="L5798">
        <v>49.469540000000002</v>
      </c>
      <c r="M5798">
        <v>8.3805489999999996E-2</v>
      </c>
      <c r="N5798">
        <v>-1.3613449999999999E-2</v>
      </c>
      <c r="O5798">
        <v>-0.99638919999999997</v>
      </c>
      <c r="P5798">
        <v>0.257152299999999</v>
      </c>
      <c r="Q5798">
        <v>-0.10065159999999999</v>
      </c>
      <c r="R5798">
        <v>-0.96111489999999999</v>
      </c>
      <c r="S5798">
        <v>-0.33108520000000002</v>
      </c>
      <c r="T5798">
        <v>-0.74733729999999998</v>
      </c>
      <c r="U5798">
        <v>-3.1292719999999998</v>
      </c>
      <c r="V5798">
        <v>-0.17534430000000001</v>
      </c>
      <c r="W5798">
        <v>-8.8009649999999995E-2</v>
      </c>
      <c r="X5798">
        <v>0.98056549999999998</v>
      </c>
      <c r="Y5798">
        <v>0.18538379999999999</v>
      </c>
      <c r="Z5798">
        <v>0.21512229999999999</v>
      </c>
      <c r="AA5798">
        <v>0.95883010000000002</v>
      </c>
      <c r="AB5798">
        <v>30</v>
      </c>
      <c r="AC5798">
        <v>-9.8500000000001295E-2</v>
      </c>
      <c r="AD5798">
        <v>-0.18160959999999901</v>
      </c>
      <c r="AE5798">
        <v>-0.56331999999999705</v>
      </c>
      <c r="AF5798">
        <v>0.13204954545408101</v>
      </c>
      <c r="AG5798">
        <v>-0.18160959999999901</v>
      </c>
      <c r="AH5798">
        <v>0.50241264022772703</v>
      </c>
      <c r="AI5798">
        <v>109.26969658055</v>
      </c>
      <c r="AJ5798">
        <v>75.273962792353203</v>
      </c>
      <c r="AK5798">
        <v>0.55030681472010201</v>
      </c>
      <c r="AL5798">
        <v>95.0491139607159</v>
      </c>
      <c r="AM5798">
        <v>100.138449106878</v>
      </c>
      <c r="AN5798">
        <v>1.0000000109129299</v>
      </c>
    </row>
    <row r="5799" spans="1:40" x14ac:dyDescent="0.25">
      <c r="A5799" t="str">
        <f>"20190305135044933"</f>
        <v>20190305135044933</v>
      </c>
      <c r="B5799" t="str">
        <f>"1551765044925416"</f>
        <v>1551765044925416</v>
      </c>
      <c r="C5799" t="s">
        <v>40</v>
      </c>
      <c r="D5799">
        <v>4.0924620000000003</v>
      </c>
      <c r="E5799">
        <v>0.59462729999999997</v>
      </c>
      <c r="F5799" t="s">
        <v>41</v>
      </c>
      <c r="G5799">
        <v>-422.65379999999999</v>
      </c>
      <c r="H5799">
        <v>0.91421220000000003</v>
      </c>
      <c r="I5799">
        <v>48.648110000000003</v>
      </c>
      <c r="J5799">
        <v>-422.55149999999998</v>
      </c>
      <c r="K5799">
        <v>1.1114109999999999</v>
      </c>
      <c r="L5799">
        <v>49.29007</v>
      </c>
      <c r="M5799">
        <v>8.5087259999999998E-2</v>
      </c>
      <c r="N5799">
        <v>-1.361276E-2</v>
      </c>
      <c r="O5799">
        <v>-0.99628050000000001</v>
      </c>
      <c r="P5799">
        <v>0.25919219999999998</v>
      </c>
      <c r="Q5799">
        <v>-0.10028960000000001</v>
      </c>
      <c r="R5799">
        <v>-0.96060449999999997</v>
      </c>
      <c r="S5799">
        <v>-0.3266907</v>
      </c>
      <c r="T5799">
        <v>-0.75150139999999999</v>
      </c>
      <c r="U5799">
        <v>-3.130096</v>
      </c>
      <c r="V5799">
        <v>-0.1761576</v>
      </c>
      <c r="W5799">
        <v>-8.7660810000000006E-2</v>
      </c>
      <c r="X5799">
        <v>0.98045090000000001</v>
      </c>
      <c r="Y5799">
        <v>0.18526129999999999</v>
      </c>
      <c r="Z5799">
        <v>0.21625469999999999</v>
      </c>
      <c r="AA5799">
        <v>0.95859910000000004</v>
      </c>
      <c r="AB5799">
        <v>30</v>
      </c>
      <c r="AC5799">
        <v>-0.10230000000001301</v>
      </c>
      <c r="AD5799">
        <v>-0.19719880000000001</v>
      </c>
      <c r="AE5799">
        <v>-0.64196000000000397</v>
      </c>
      <c r="AF5799">
        <v>0.14336370020668299</v>
      </c>
      <c r="AG5799">
        <v>-0.19719880000000001</v>
      </c>
      <c r="AH5799">
        <v>0.57775854114080305</v>
      </c>
      <c r="AI5799">
        <v>108.328523718856</v>
      </c>
      <c r="AJ5799">
        <v>76.064223496672298</v>
      </c>
      <c r="AK5799">
        <v>0.62709285526111802</v>
      </c>
      <c r="AL5799">
        <v>95.029049696779197</v>
      </c>
      <c r="AM5799">
        <v>100.185657694832</v>
      </c>
      <c r="AN5799">
        <v>0.99999994247921098</v>
      </c>
    </row>
    <row r="5800" spans="1:40" x14ac:dyDescent="0.25">
      <c r="A5800" t="str">
        <f>"20190305135044945"</f>
        <v>20190305135044945</v>
      </c>
      <c r="B5800" t="str">
        <f>"1551765044936152"</f>
        <v>1551765044936152</v>
      </c>
      <c r="C5800" t="s">
        <v>40</v>
      </c>
      <c r="D5800">
        <v>4.0775790000000001</v>
      </c>
      <c r="E5800">
        <v>0.59462729999999997</v>
      </c>
      <c r="F5800" t="s">
        <v>41</v>
      </c>
      <c r="G5800">
        <v>-422.5437</v>
      </c>
      <c r="H5800">
        <v>0.90887739999999995</v>
      </c>
      <c r="I5800">
        <v>48.398899999999998</v>
      </c>
      <c r="J5800">
        <v>-422.53440000000001</v>
      </c>
      <c r="K5800">
        <v>1.111434</v>
      </c>
      <c r="L5800">
        <v>49.105220000000003</v>
      </c>
      <c r="M5800">
        <v>8.6436269999999996E-2</v>
      </c>
      <c r="N5800">
        <v>-1.3612249999999999E-2</v>
      </c>
      <c r="O5800">
        <v>-0.99616459999999996</v>
      </c>
      <c r="P5800">
        <v>0.26126149999999998</v>
      </c>
      <c r="Q5800">
        <v>-9.9840540000000005E-2</v>
      </c>
      <c r="R5800">
        <v>-0.96009109999999998</v>
      </c>
      <c r="S5800">
        <v>2.758789E-2</v>
      </c>
      <c r="T5800">
        <v>-0.69188260000000001</v>
      </c>
      <c r="U5800">
        <v>-3.0433349999999999</v>
      </c>
      <c r="V5800">
        <v>-0.17693439999999999</v>
      </c>
      <c r="W5800">
        <v>-8.7227390000000002E-2</v>
      </c>
      <c r="X5800">
        <v>0.98034969999999999</v>
      </c>
      <c r="Y5800">
        <v>7.7477920000000006E-2</v>
      </c>
      <c r="Z5800">
        <v>0.20682719999999999</v>
      </c>
      <c r="AA5800">
        <v>0.97530490000000003</v>
      </c>
      <c r="AB5800">
        <v>30</v>
      </c>
      <c r="AC5800">
        <v>-9.2999999999960892E-3</v>
      </c>
      <c r="AD5800">
        <v>-0.2025566</v>
      </c>
      <c r="AE5800">
        <v>-0.70632000000000505</v>
      </c>
      <c r="AF5800">
        <v>6.4979432711709806E-2</v>
      </c>
      <c r="AG5800">
        <v>-0.2025566</v>
      </c>
      <c r="AH5800">
        <v>0.64946825900229599</v>
      </c>
      <c r="AI5800">
        <v>107.240753933715</v>
      </c>
      <c r="AJ5800">
        <v>84.286558800095307</v>
      </c>
      <c r="AK5800">
        <v>0.68341826309410902</v>
      </c>
      <c r="AL5800">
        <v>95.004120945059498</v>
      </c>
      <c r="AM5800">
        <v>100.230660521511</v>
      </c>
      <c r="AN5800">
        <v>0.99999996687982995</v>
      </c>
    </row>
    <row r="5801" spans="1:40" x14ac:dyDescent="0.25">
      <c r="A5801" t="str">
        <f>"20190305135044961"</f>
        <v>20190305135044961</v>
      </c>
      <c r="B5801" t="str">
        <f>"1551765044955672"</f>
        <v>1551765044955672</v>
      </c>
      <c r="C5801" t="s">
        <v>40</v>
      </c>
      <c r="D5801">
        <v>3.9566910000000002</v>
      </c>
      <c r="E5801">
        <v>0.51542749999999904</v>
      </c>
      <c r="F5801" t="s">
        <v>41</v>
      </c>
      <c r="G5801">
        <v>-422.52629999999999</v>
      </c>
      <c r="H5801">
        <v>0.94721339999999998</v>
      </c>
      <c r="I5801">
        <v>48.381749999999997</v>
      </c>
      <c r="J5801">
        <v>-422.517</v>
      </c>
      <c r="K5801">
        <v>1.1114660000000001</v>
      </c>
      <c r="L5801">
        <v>48.921230000000001</v>
      </c>
      <c r="M5801">
        <v>8.7813890000000006E-2</v>
      </c>
      <c r="N5801">
        <v>-1.3612040000000001E-2</v>
      </c>
      <c r="O5801">
        <v>-0.99604380000000003</v>
      </c>
      <c r="P5801">
        <v>0.26443990000000001</v>
      </c>
      <c r="Q5801">
        <v>-9.9013539999999997E-2</v>
      </c>
      <c r="R5801">
        <v>-0.95930590000000004</v>
      </c>
      <c r="S5801">
        <v>3.4698489999999999E-2</v>
      </c>
      <c r="T5801">
        <v>-0.69099809999999995</v>
      </c>
      <c r="U5801">
        <v>-3.043396</v>
      </c>
      <c r="V5801">
        <v>-0.17881179999999999</v>
      </c>
      <c r="W5801">
        <v>-8.6425440000000006E-2</v>
      </c>
      <c r="X5801">
        <v>0.98008010000000001</v>
      </c>
      <c r="Y5801">
        <v>7.6579530000000007E-2</v>
      </c>
      <c r="Z5801">
        <v>0.20652200000000001</v>
      </c>
      <c r="AA5801">
        <v>0.97544059999999999</v>
      </c>
      <c r="AB5801">
        <v>30</v>
      </c>
      <c r="AC5801">
        <v>-9.2999999999960892E-3</v>
      </c>
      <c r="AD5801">
        <v>-0.1642526</v>
      </c>
      <c r="AE5801">
        <v>-0.53948000000000396</v>
      </c>
      <c r="AF5801">
        <v>5.1838373614565503E-2</v>
      </c>
      <c r="AG5801">
        <v>-0.1642526</v>
      </c>
      <c r="AH5801">
        <v>0.49107069360517103</v>
      </c>
      <c r="AI5801">
        <v>108.398691165195</v>
      </c>
      <c r="AJ5801">
        <v>83.9740633917189</v>
      </c>
      <c r="AK5801">
        <v>0.520400384034858</v>
      </c>
      <c r="AL5801">
        <v>94.957998196444706</v>
      </c>
      <c r="AM5801">
        <v>100.339668868332</v>
      </c>
      <c r="AN5801">
        <v>1.0000000094572199</v>
      </c>
    </row>
    <row r="5802" spans="1:40" x14ac:dyDescent="0.25">
      <c r="A5802" t="str">
        <f>"20190305135044977"</f>
        <v>20190305135044977</v>
      </c>
      <c r="B5802" t="str">
        <f>"1551765044965432"</f>
        <v>1551765044965432</v>
      </c>
      <c r="C5802" t="s">
        <v>40</v>
      </c>
      <c r="D5802">
        <v>3.9381210000000002</v>
      </c>
      <c r="E5802">
        <v>0.50900059999999903</v>
      </c>
      <c r="F5802" t="s">
        <v>85</v>
      </c>
      <c r="G5802">
        <v>-419.84429999999998</v>
      </c>
      <c r="H5802" s="1">
        <v>-1.4391149999999999E-6</v>
      </c>
      <c r="I5802">
        <v>37.397269999999999</v>
      </c>
      <c r="J5802">
        <v>-422.49619999999999</v>
      </c>
      <c r="K5802">
        <v>1.1115120000000001</v>
      </c>
      <c r="L5802">
        <v>48.704830000000001</v>
      </c>
      <c r="M5802">
        <v>8.9477100000000004E-2</v>
      </c>
      <c r="N5802">
        <v>-1.3612040000000001E-2</v>
      </c>
      <c r="O5802">
        <v>-0.99589609999999995</v>
      </c>
      <c r="P5802">
        <v>0.2665112</v>
      </c>
      <c r="Q5802">
        <v>-9.8971370000000003E-2</v>
      </c>
      <c r="R5802">
        <v>-0.95873710000000001</v>
      </c>
      <c r="S5802">
        <v>0.67538450000000005</v>
      </c>
      <c r="T5802">
        <v>-0.28086509999999998</v>
      </c>
      <c r="U5802">
        <v>-2.9120789999999999</v>
      </c>
      <c r="V5802">
        <v>-0.17928169999999999</v>
      </c>
      <c r="W5802">
        <v>-8.6405720000000005E-2</v>
      </c>
      <c r="X5802">
        <v>0.97999599999999998</v>
      </c>
      <c r="Y5802">
        <v>-0.1370198</v>
      </c>
      <c r="Z5802">
        <v>8.0323249999999999E-2</v>
      </c>
      <c r="AA5802">
        <v>0.98730629999999997</v>
      </c>
      <c r="AB5802">
        <v>30</v>
      </c>
      <c r="AC5802">
        <v>2.6519000000000101</v>
      </c>
      <c r="AD5802">
        <v>-1.1115134391149999</v>
      </c>
      <c r="AE5802">
        <v>-11.30756</v>
      </c>
      <c r="AF5802">
        <v>-1.61461185658206</v>
      </c>
      <c r="AG5802">
        <v>-1.1115134391149999</v>
      </c>
      <c r="AH5802">
        <v>11.3951361230146</v>
      </c>
      <c r="AI5802">
        <v>95.516409879525298</v>
      </c>
      <c r="AJ5802">
        <v>98.064729374770494</v>
      </c>
      <c r="AK5802">
        <v>11.5625066847453</v>
      </c>
      <c r="AL5802">
        <v>94.9568640376649</v>
      </c>
      <c r="AM5802">
        <v>100.367122478328</v>
      </c>
      <c r="AN5802">
        <v>1.0000000182097999</v>
      </c>
    </row>
    <row r="5803" spans="1:40" x14ac:dyDescent="0.25">
      <c r="A5803" t="str">
        <f>"20190305135044993"</f>
        <v>20190305135044993</v>
      </c>
      <c r="B5803" t="str">
        <f>"1551765044985928"</f>
        <v>1551765044985928</v>
      </c>
      <c r="C5803" t="s">
        <v>40</v>
      </c>
      <c r="D5803">
        <v>3.9842520000000001</v>
      </c>
      <c r="E5803">
        <v>0.50306059999999997</v>
      </c>
      <c r="F5803" t="s">
        <v>85</v>
      </c>
      <c r="G5803">
        <v>-418.8571</v>
      </c>
      <c r="H5803" s="1">
        <v>-3.5707329999999998E-6</v>
      </c>
      <c r="I5803">
        <v>34.321689999999997</v>
      </c>
      <c r="J5803">
        <v>-422.47469999999998</v>
      </c>
      <c r="K5803">
        <v>1.1115660000000001</v>
      </c>
      <c r="L5803">
        <v>48.486020000000003</v>
      </c>
      <c r="M5803">
        <v>9.1217870000000006E-2</v>
      </c>
      <c r="N5803">
        <v>-1.361237E-2</v>
      </c>
      <c r="O5803">
        <v>-0.99573809999999996</v>
      </c>
      <c r="P5803">
        <v>0.26915620000000001</v>
      </c>
      <c r="Q5803">
        <v>-9.897541E-2</v>
      </c>
      <c r="R5803">
        <v>-0.9579974</v>
      </c>
      <c r="S5803">
        <v>0.73419190000000001</v>
      </c>
      <c r="T5803">
        <v>-0.2242526</v>
      </c>
      <c r="U5803">
        <v>-2.9018549999999999</v>
      </c>
      <c r="V5803">
        <v>-0.18026059999999999</v>
      </c>
      <c r="W5803">
        <v>-8.6439920000000003E-2</v>
      </c>
      <c r="X5803">
        <v>0.97981339999999995</v>
      </c>
      <c r="Y5803">
        <v>-0.15525939999999999</v>
      </c>
      <c r="Z5803">
        <v>6.1503559999999999E-2</v>
      </c>
      <c r="AA5803">
        <v>0.98595730000000004</v>
      </c>
      <c r="AB5803">
        <v>30</v>
      </c>
      <c r="AC5803">
        <v>3.6175999999999799</v>
      </c>
      <c r="AD5803">
        <v>-1.111569570733</v>
      </c>
      <c r="AE5803">
        <v>-14.16433</v>
      </c>
      <c r="AF5803">
        <v>-2.2970753267146402</v>
      </c>
      <c r="AG5803">
        <v>-1.111569570733</v>
      </c>
      <c r="AH5803">
        <v>14.352310326794299</v>
      </c>
      <c r="AI5803">
        <v>94.373212772738398</v>
      </c>
      <c r="AJ5803">
        <v>99.093023700667899</v>
      </c>
      <c r="AK5803">
        <v>14.577412448160599</v>
      </c>
      <c r="AL5803">
        <v>94.958830897136195</v>
      </c>
      <c r="AM5803">
        <v>100.42439077708801</v>
      </c>
      <c r="AN5803">
        <v>1.00000002125076</v>
      </c>
    </row>
    <row r="5804" spans="1:40" x14ac:dyDescent="0.25">
      <c r="A5804" t="str">
        <f>"20190305135045008"</f>
        <v>20190305135045008</v>
      </c>
      <c r="B5804" t="str">
        <f>"1551765044995689"</f>
        <v>1551765044995689</v>
      </c>
      <c r="C5804" t="s">
        <v>40</v>
      </c>
      <c r="D5804">
        <v>3.9275449999999998</v>
      </c>
      <c r="E5804">
        <v>0.50031440000000005</v>
      </c>
      <c r="F5804" t="s">
        <v>85</v>
      </c>
      <c r="G5804">
        <v>-417.70530000000002</v>
      </c>
      <c r="H5804" s="1">
        <v>-5.5040860000000004E-6</v>
      </c>
      <c r="I5804">
        <v>31.028569999999998</v>
      </c>
      <c r="J5804">
        <v>-422.4556</v>
      </c>
      <c r="K5804">
        <v>1.1116189999999999</v>
      </c>
      <c r="L5804">
        <v>48.294280000000001</v>
      </c>
      <c r="M5804">
        <v>9.2796080000000003E-2</v>
      </c>
      <c r="N5804">
        <v>-1.361298E-2</v>
      </c>
      <c r="O5804">
        <v>-0.99559229999999999</v>
      </c>
      <c r="P5804">
        <v>0.27135330000000002</v>
      </c>
      <c r="Q5804">
        <v>-9.8678299999999997E-2</v>
      </c>
      <c r="R5804">
        <v>-0.95740840000000005</v>
      </c>
      <c r="S5804">
        <v>0.78973389999999999</v>
      </c>
      <c r="T5804">
        <v>-0.1840572</v>
      </c>
      <c r="U5804">
        <v>-2.8906559999999999</v>
      </c>
      <c r="V5804">
        <v>-0.1809413</v>
      </c>
      <c r="W5804">
        <v>-8.6170540000000004E-2</v>
      </c>
      <c r="X5804">
        <v>0.97971169999999996</v>
      </c>
      <c r="Y5804">
        <v>-0.1724907</v>
      </c>
      <c r="Z5804">
        <v>4.8112729999999999E-2</v>
      </c>
      <c r="AA5804">
        <v>0.98383540000000003</v>
      </c>
      <c r="AB5804">
        <v>30</v>
      </c>
      <c r="AC5804">
        <v>4.7502999999999798</v>
      </c>
      <c r="AD5804">
        <v>-1.111624504086</v>
      </c>
      <c r="AE5804">
        <v>-17.265709999999999</v>
      </c>
      <c r="AF5804">
        <v>-3.1154555061734799</v>
      </c>
      <c r="AG5804">
        <v>-1.111624504086</v>
      </c>
      <c r="AH5804">
        <v>17.564362307042</v>
      </c>
      <c r="AI5804">
        <v>93.565830080896404</v>
      </c>
      <c r="AJ5804">
        <v>100.058152431089</v>
      </c>
      <c r="AK5804">
        <v>17.873124945069598</v>
      </c>
      <c r="AL5804">
        <v>94.943338535565601</v>
      </c>
      <c r="AM5804">
        <v>100.46394974594099</v>
      </c>
      <c r="AN5804">
        <v>1.00000006556323</v>
      </c>
    </row>
    <row r="5805" spans="1:40" x14ac:dyDescent="0.25">
      <c r="A5805" t="str">
        <f>"20190305135045026"</f>
        <v>20190305135045026</v>
      </c>
      <c r="B5805" t="str">
        <f>"1551765045016184"</f>
        <v>1551765045016184</v>
      </c>
      <c r="C5805" t="s">
        <v>40</v>
      </c>
      <c r="D5805">
        <v>3.9245220000000001</v>
      </c>
      <c r="E5805">
        <v>0.49697340000000001</v>
      </c>
      <c r="F5805" t="s">
        <v>85</v>
      </c>
      <c r="G5805">
        <v>-417.0385</v>
      </c>
      <c r="H5805" s="1">
        <v>-8.2651529999999998E-6</v>
      </c>
      <c r="I5805">
        <v>29.203040000000001</v>
      </c>
      <c r="J5805">
        <v>-422.43110000000001</v>
      </c>
      <c r="K5805">
        <v>1.111691</v>
      </c>
      <c r="L5805">
        <v>48.054929999999999</v>
      </c>
      <c r="M5805">
        <v>9.4853610000000005E-2</v>
      </c>
      <c r="N5805">
        <v>-1.361411E-2</v>
      </c>
      <c r="O5805">
        <v>-0.99539840000000002</v>
      </c>
      <c r="P5805">
        <v>0.27394429999999997</v>
      </c>
      <c r="Q5805">
        <v>-9.8207520000000006E-2</v>
      </c>
      <c r="R5805">
        <v>-0.95671890000000004</v>
      </c>
      <c r="S5805">
        <v>0.8183899</v>
      </c>
      <c r="T5805">
        <v>-0.1679378</v>
      </c>
      <c r="U5805">
        <v>-2.8841860000000001</v>
      </c>
      <c r="V5805">
        <v>-0.18154980000000001</v>
      </c>
      <c r="W5805">
        <v>-8.5735399999999906E-2</v>
      </c>
      <c r="X5805">
        <v>0.97963730000000004</v>
      </c>
      <c r="Y5805">
        <v>-0.18015020000000001</v>
      </c>
      <c r="Z5805">
        <v>4.2738999999999999E-2</v>
      </c>
      <c r="AA5805">
        <v>0.98271019999999998</v>
      </c>
      <c r="AB5805">
        <v>30</v>
      </c>
      <c r="AC5805">
        <v>5.3926000000000096</v>
      </c>
      <c r="AD5805">
        <v>-1.111699265153</v>
      </c>
      <c r="AE5805">
        <v>-18.851890000000001</v>
      </c>
      <c r="AF5805">
        <v>-3.5684757084442</v>
      </c>
      <c r="AG5805">
        <v>-1.111699265153</v>
      </c>
      <c r="AH5805">
        <v>19.216659154772</v>
      </c>
      <c r="AI5805">
        <v>93.255387002812796</v>
      </c>
      <c r="AJ5805">
        <v>100.51982622142199</v>
      </c>
      <c r="AK5805">
        <v>19.5767689675436</v>
      </c>
      <c r="AL5805">
        <v>94.918314248597</v>
      </c>
      <c r="AM5805">
        <v>100.499138172727</v>
      </c>
      <c r="AN5805">
        <v>1.00000006412224</v>
      </c>
    </row>
    <row r="5806" spans="1:40" x14ac:dyDescent="0.25">
      <c r="A5806" t="str">
        <f>"20190305135045042"</f>
        <v>20190305135045042</v>
      </c>
      <c r="B5806" t="str">
        <f>"1551765045035705"</f>
        <v>1551765045035705</v>
      </c>
      <c r="C5806" t="s">
        <v>40</v>
      </c>
      <c r="D5806">
        <v>3.9290609999999999</v>
      </c>
      <c r="E5806">
        <v>0.4950579</v>
      </c>
      <c r="F5806" t="s">
        <v>85</v>
      </c>
      <c r="G5806">
        <v>-416.21510000000001</v>
      </c>
      <c r="H5806" s="1">
        <v>-8.3154699999999999E-6</v>
      </c>
      <c r="I5806">
        <v>27.081060000000001</v>
      </c>
      <c r="J5806">
        <v>-422.4101</v>
      </c>
      <c r="K5806">
        <v>1.1117570000000001</v>
      </c>
      <c r="L5806">
        <v>47.854190000000003</v>
      </c>
      <c r="M5806">
        <v>9.6659999999999996E-2</v>
      </c>
      <c r="N5806">
        <v>-1.36154E-2</v>
      </c>
      <c r="O5806">
        <v>-0.99522429999999995</v>
      </c>
      <c r="P5806">
        <v>0.27594940000000001</v>
      </c>
      <c r="Q5806">
        <v>-9.7974110000000003E-2</v>
      </c>
      <c r="R5806">
        <v>-0.95616590000000001</v>
      </c>
      <c r="S5806">
        <v>0.852356</v>
      </c>
      <c r="T5806">
        <v>-0.15243999999999999</v>
      </c>
      <c r="U5806">
        <v>-2.876007</v>
      </c>
      <c r="V5806">
        <v>-0.1818099</v>
      </c>
      <c r="W5806">
        <v>-8.5533410000000004E-2</v>
      </c>
      <c r="X5806">
        <v>0.97960670000000005</v>
      </c>
      <c r="Y5806">
        <v>-0.18985399999999999</v>
      </c>
      <c r="Z5806">
        <v>3.7573809999999999E-2</v>
      </c>
      <c r="AA5806">
        <v>0.98109310000000005</v>
      </c>
      <c r="AB5806">
        <v>30</v>
      </c>
      <c r="AC5806">
        <v>6.1949999999999896</v>
      </c>
      <c r="AD5806">
        <v>-1.11176531546999</v>
      </c>
      <c r="AE5806">
        <v>-20.773129999999998</v>
      </c>
      <c r="AF5806">
        <v>-4.1469612026808402</v>
      </c>
      <c r="AG5806">
        <v>-1.11176531546999</v>
      </c>
      <c r="AH5806">
        <v>21.218891184666301</v>
      </c>
      <c r="AI5806">
        <v>92.943683389474899</v>
      </c>
      <c r="AJ5806">
        <v>101.05834047081601</v>
      </c>
      <c r="AK5806">
        <v>21.648894947316201</v>
      </c>
      <c r="AL5806">
        <v>94.906698497962694</v>
      </c>
      <c r="AM5806">
        <v>100.51416584990599</v>
      </c>
      <c r="AN5806">
        <v>1.0000000453245601</v>
      </c>
    </row>
    <row r="5807" spans="1:40" x14ac:dyDescent="0.25">
      <c r="A5807" t="str">
        <f>"20190305135045056"</f>
        <v>20190305135045056</v>
      </c>
      <c r="B5807" t="str">
        <f>"1551765045046440"</f>
        <v>1551765045046440</v>
      </c>
      <c r="C5807" t="s">
        <v>40</v>
      </c>
      <c r="D5807">
        <v>3.9254560000000001</v>
      </c>
      <c r="E5807">
        <v>0.49442950000000002</v>
      </c>
      <c r="F5807" t="s">
        <v>85</v>
      </c>
      <c r="G5807">
        <v>-415.81040000000002</v>
      </c>
      <c r="H5807" s="1">
        <v>-8.3537460000000002E-6</v>
      </c>
      <c r="I5807">
        <v>26.158249999999999</v>
      </c>
      <c r="J5807">
        <v>-422.39049999999997</v>
      </c>
      <c r="K5807">
        <v>1.111826</v>
      </c>
      <c r="L5807">
        <v>47.670070000000003</v>
      </c>
      <c r="M5807">
        <v>9.8374909999999996E-2</v>
      </c>
      <c r="N5807">
        <v>-1.361688E-2</v>
      </c>
      <c r="O5807">
        <v>-0.99505659999999896</v>
      </c>
      <c r="P5807">
        <v>0.27777459999999998</v>
      </c>
      <c r="Q5807">
        <v>-9.7840170000000004E-2</v>
      </c>
      <c r="R5807">
        <v>-0.95565140000000004</v>
      </c>
      <c r="S5807">
        <v>0.87316890000000003</v>
      </c>
      <c r="T5807">
        <v>-0.14709069999999999</v>
      </c>
      <c r="U5807">
        <v>-2.8704529999999999</v>
      </c>
      <c r="V5807">
        <v>-0.1819769</v>
      </c>
      <c r="W5807">
        <v>-8.5429210000000005E-2</v>
      </c>
      <c r="X5807">
        <v>0.97958480000000003</v>
      </c>
      <c r="Y5807">
        <v>-0.1952197</v>
      </c>
      <c r="Z5807">
        <v>3.5796939999999999E-2</v>
      </c>
      <c r="AA5807">
        <v>0.98010609999999998</v>
      </c>
      <c r="AB5807">
        <v>30</v>
      </c>
      <c r="AC5807">
        <v>6.5800999999999599</v>
      </c>
      <c r="AD5807">
        <v>-1.111834353746</v>
      </c>
      <c r="AE5807">
        <v>-21.51182</v>
      </c>
      <c r="AF5807">
        <v>-4.4209585991080997</v>
      </c>
      <c r="AG5807">
        <v>-1.111834353746</v>
      </c>
      <c r="AH5807">
        <v>22.001089045024599</v>
      </c>
      <c r="AI5807">
        <v>92.836403346131206</v>
      </c>
      <c r="AJ5807">
        <v>101.361859274636</v>
      </c>
      <c r="AK5807">
        <v>22.468399358483399</v>
      </c>
      <c r="AL5807">
        <v>94.9007062672719</v>
      </c>
      <c r="AM5807">
        <v>100.523837918287</v>
      </c>
      <c r="AN5807">
        <v>1.0000000612229301</v>
      </c>
    </row>
    <row r="5808" spans="1:40" x14ac:dyDescent="0.25">
      <c r="A5808" t="str">
        <f>"20190305135045069"</f>
        <v>20190305135045069</v>
      </c>
      <c r="B5808" t="str">
        <f>"1551765045065960"</f>
        <v>1551765045065960</v>
      </c>
      <c r="C5808" t="s">
        <v>40</v>
      </c>
      <c r="D5808">
        <v>3.9509479999999999</v>
      </c>
      <c r="E5808">
        <v>0.4935331</v>
      </c>
      <c r="F5808" t="s">
        <v>85</v>
      </c>
      <c r="G5808">
        <v>-415.61919999999998</v>
      </c>
      <c r="H5808" s="1">
        <v>-8.3687809999999999E-6</v>
      </c>
      <c r="I5808">
        <v>25.69538</v>
      </c>
      <c r="J5808">
        <v>-422.37139999999999</v>
      </c>
      <c r="K5808">
        <v>1.1118950000000001</v>
      </c>
      <c r="L5808">
        <v>47.493099999999998</v>
      </c>
      <c r="M5808">
        <v>0.1000699</v>
      </c>
      <c r="N5808">
        <v>-1.361853E-2</v>
      </c>
      <c r="O5808">
        <v>-0.99488739999999998</v>
      </c>
      <c r="P5808">
        <v>0.27974090000000001</v>
      </c>
      <c r="Q5808">
        <v>-9.7735299999999997E-2</v>
      </c>
      <c r="R5808">
        <v>-0.9550881</v>
      </c>
      <c r="S5808">
        <v>0.883606</v>
      </c>
      <c r="T5808">
        <v>-0.1450871</v>
      </c>
      <c r="U5808">
        <v>-2.8675540000000002</v>
      </c>
      <c r="V5808">
        <v>-0.1823092</v>
      </c>
      <c r="W5808">
        <v>-8.5355089999999995E-2</v>
      </c>
      <c r="X5808">
        <v>0.97952939999999999</v>
      </c>
      <c r="Y5808">
        <v>-0.19709280000000001</v>
      </c>
      <c r="Z5808">
        <v>3.5132190000000001E-2</v>
      </c>
      <c r="AA5808">
        <v>0.97975520000000005</v>
      </c>
      <c r="AB5808">
        <v>29</v>
      </c>
      <c r="AC5808">
        <v>6.75220000000001</v>
      </c>
      <c r="AD5808">
        <v>-1.1119033687809901</v>
      </c>
      <c r="AE5808">
        <v>-21.797720000000002</v>
      </c>
      <c r="AF5808">
        <v>-4.5260570780995497</v>
      </c>
      <c r="AG5808">
        <v>-1.1119033687809901</v>
      </c>
      <c r="AH5808">
        <v>22.311067416930701</v>
      </c>
      <c r="AI5808">
        <v>92.796192813799806</v>
      </c>
      <c r="AJ5808">
        <v>101.46749257793</v>
      </c>
      <c r="AK5808">
        <v>22.792657832261401</v>
      </c>
      <c r="AL5808">
        <v>94.896444282350799</v>
      </c>
      <c r="AM5808">
        <v>100.543207480211</v>
      </c>
      <c r="AN5808">
        <v>0.99999999062895395</v>
      </c>
    </row>
    <row r="5809" spans="1:40" x14ac:dyDescent="0.25">
      <c r="A5809" t="str">
        <f>"20190305135045083"</f>
        <v>20190305135045083</v>
      </c>
      <c r="B5809" t="str">
        <f>"1551765045075720"</f>
        <v>1551765045075720</v>
      </c>
      <c r="C5809" t="s">
        <v>40</v>
      </c>
      <c r="D5809">
        <v>3.9408020000000001</v>
      </c>
      <c r="E5809">
        <v>0.49313610000000002</v>
      </c>
      <c r="F5809" t="s">
        <v>85</v>
      </c>
      <c r="G5809">
        <v>-415.4006</v>
      </c>
      <c r="H5809" s="1">
        <v>-8.3930209999999999E-6</v>
      </c>
      <c r="I5809">
        <v>25.228560000000002</v>
      </c>
      <c r="J5809">
        <v>-422.35129999999998</v>
      </c>
      <c r="K5809">
        <v>1.11196299999999</v>
      </c>
      <c r="L5809">
        <v>47.312559999999998</v>
      </c>
      <c r="M5809">
        <v>0.1018801</v>
      </c>
      <c r="N5809">
        <v>-1.362064E-2</v>
      </c>
      <c r="O5809">
        <v>-0.99470349999999996</v>
      </c>
      <c r="P5809">
        <v>0.28195249999999999</v>
      </c>
      <c r="Q5809">
        <v>-9.7838980000000006E-2</v>
      </c>
      <c r="R5809">
        <v>-0.95442680000000002</v>
      </c>
      <c r="S5809">
        <v>0.89663700000000002</v>
      </c>
      <c r="T5809">
        <v>-0.14302119999999999</v>
      </c>
      <c r="U5809">
        <v>-2.8638309999999998</v>
      </c>
      <c r="V5809">
        <v>-0.18278159999999999</v>
      </c>
      <c r="W5809">
        <v>-8.5491170000000005E-2</v>
      </c>
      <c r="X5809">
        <v>0.97942949999999995</v>
      </c>
      <c r="Y5809">
        <v>-0.1997389</v>
      </c>
      <c r="Z5809">
        <v>3.4448560000000003E-2</v>
      </c>
      <c r="AA5809">
        <v>0.97924339999999999</v>
      </c>
      <c r="AB5809">
        <v>29</v>
      </c>
      <c r="AC5809">
        <v>6.9506999999999799</v>
      </c>
      <c r="AD5809">
        <v>-1.11197139302099</v>
      </c>
      <c r="AE5809">
        <v>-22.084</v>
      </c>
      <c r="AF5809">
        <v>-4.6536628087335599</v>
      </c>
      <c r="AG5809">
        <v>-1.11197139302099</v>
      </c>
      <c r="AH5809">
        <v>22.6250807488641</v>
      </c>
      <c r="AI5809">
        <v>92.756088675885195</v>
      </c>
      <c r="AJ5809">
        <v>101.622841955363</v>
      </c>
      <c r="AK5809">
        <v>23.125469439752099</v>
      </c>
      <c r="AL5809">
        <v>94.904269652431395</v>
      </c>
      <c r="AM5809">
        <v>100.570966007178</v>
      </c>
      <c r="AN5809">
        <v>0.99999999945838902</v>
      </c>
    </row>
    <row r="5810" spans="1:40" x14ac:dyDescent="0.25">
      <c r="A5810" t="str">
        <f>"20190305135045099"</f>
        <v>20190305135045099</v>
      </c>
      <c r="B5810" t="str">
        <f>"1551765045096217"</f>
        <v>1551765045096217</v>
      </c>
      <c r="C5810" t="s">
        <v>40</v>
      </c>
      <c r="D5810">
        <v>3.9263949999999999</v>
      </c>
      <c r="E5810">
        <v>0.49298890000000001</v>
      </c>
      <c r="F5810" t="s">
        <v>85</v>
      </c>
      <c r="G5810">
        <v>-415.32150000000001</v>
      </c>
      <c r="H5810" s="1">
        <v>-8.4085040000000002E-6</v>
      </c>
      <c r="I5810">
        <v>25.11956</v>
      </c>
      <c r="J5810">
        <v>-422.3297</v>
      </c>
      <c r="K5810">
        <v>1.112036</v>
      </c>
      <c r="L5810">
        <v>47.121000000000002</v>
      </c>
      <c r="M5810">
        <v>0.10384699999999999</v>
      </c>
      <c r="N5810">
        <v>-1.3622779999999999E-2</v>
      </c>
      <c r="O5810">
        <v>-0.99449989999999999</v>
      </c>
      <c r="P5810">
        <v>0.28421550000000001</v>
      </c>
      <c r="Q5810">
        <v>-9.7471740000000001E-2</v>
      </c>
      <c r="R5810">
        <v>-0.95379290000000005</v>
      </c>
      <c r="S5810">
        <v>0.90618900000000002</v>
      </c>
      <c r="T5810">
        <v>-0.14334129999999901</v>
      </c>
      <c r="U5810">
        <v>-2.86084</v>
      </c>
      <c r="V5810">
        <v>-0.1831507</v>
      </c>
      <c r="W5810">
        <v>-8.5155629999999996E-2</v>
      </c>
      <c r="X5810">
        <v>0.97938979999999998</v>
      </c>
      <c r="Y5810">
        <v>-0.20106540000000001</v>
      </c>
      <c r="Z5810">
        <v>3.456269E-2</v>
      </c>
      <c r="AA5810">
        <v>0.9789679</v>
      </c>
      <c r="AB5810">
        <v>29</v>
      </c>
      <c r="AC5810">
        <v>7.00819999999998</v>
      </c>
      <c r="AD5810">
        <v>-1.112044408504</v>
      </c>
      <c r="AE5810">
        <v>-22.001439999999999</v>
      </c>
      <c r="AF5810">
        <v>-4.6744639694128196</v>
      </c>
      <c r="AG5810">
        <v>-1.112044408504</v>
      </c>
      <c r="AH5810">
        <v>22.5579899055402</v>
      </c>
      <c r="AI5810">
        <v>92.763616028130699</v>
      </c>
      <c r="AJ5810">
        <v>101.707132953293</v>
      </c>
      <c r="AK5810">
        <v>23.064044847907301</v>
      </c>
      <c r="AL5810">
        <v>94.884974160157</v>
      </c>
      <c r="AM5810">
        <v>100.59224956662101</v>
      </c>
      <c r="AN5810">
        <v>1.00000002028761</v>
      </c>
    </row>
    <row r="5811" spans="1:40" x14ac:dyDescent="0.25">
      <c r="A5811" t="str">
        <f>"20190305135045112"</f>
        <v>20190305135045112</v>
      </c>
      <c r="B5811" t="str">
        <f>"1551765045105976"</f>
        <v>1551765045105976</v>
      </c>
      <c r="C5811" t="s">
        <v>40</v>
      </c>
      <c r="D5811">
        <v>3.954752</v>
      </c>
      <c r="E5811">
        <v>0.49275350000000001</v>
      </c>
      <c r="F5811" t="s">
        <v>85</v>
      </c>
      <c r="G5811">
        <v>-415.51979999999998</v>
      </c>
      <c r="H5811" s="1">
        <v>-8.4181199999999996E-6</v>
      </c>
      <c r="I5811">
        <v>25.82395</v>
      </c>
      <c r="J5811">
        <v>-422.3073</v>
      </c>
      <c r="K5811">
        <v>1.112114</v>
      </c>
      <c r="L5811">
        <v>46.926909999999999</v>
      </c>
      <c r="M5811">
        <v>0.105892899999999</v>
      </c>
      <c r="N5811">
        <v>-1.3624860000000001E-2</v>
      </c>
      <c r="O5811">
        <v>-0.99428450000000002</v>
      </c>
      <c r="P5811">
        <v>0.28666000000000003</v>
      </c>
      <c r="Q5811">
        <v>-9.7287440000000003E-2</v>
      </c>
      <c r="R5811">
        <v>-0.95308020000000004</v>
      </c>
      <c r="S5811">
        <v>0.91378780000000004</v>
      </c>
      <c r="T5811">
        <v>-0.14922199999999999</v>
      </c>
      <c r="U5811">
        <v>-2.8577880000000002</v>
      </c>
      <c r="V5811">
        <v>-0.18363119999999999</v>
      </c>
      <c r="W5811">
        <v>-8.5003510000000004E-2</v>
      </c>
      <c r="X5811">
        <v>0.97931299999999999</v>
      </c>
      <c r="Y5811">
        <v>-0.20169000000000001</v>
      </c>
      <c r="Z5811">
        <v>3.6542110000000003E-2</v>
      </c>
      <c r="AA5811">
        <v>0.97876750000000001</v>
      </c>
      <c r="AB5811">
        <v>29</v>
      </c>
      <c r="AC5811">
        <v>6.7875000000000201</v>
      </c>
      <c r="AD5811">
        <v>-1.11212241812</v>
      </c>
      <c r="AE5811">
        <v>-21.102959999999999</v>
      </c>
      <c r="AF5811">
        <v>-4.50313614635217</v>
      </c>
      <c r="AG5811">
        <v>-1.11212241812</v>
      </c>
      <c r="AH5811">
        <v>21.648614664490001</v>
      </c>
      <c r="AI5811">
        <v>92.879262863398594</v>
      </c>
      <c r="AJ5811">
        <v>101.75055258086</v>
      </c>
      <c r="AK5811">
        <v>22.139954117320201</v>
      </c>
      <c r="AL5811">
        <v>94.876226790669406</v>
      </c>
      <c r="AM5811">
        <v>100.62022117255199</v>
      </c>
      <c r="AN5811">
        <v>0.99999998314737903</v>
      </c>
    </row>
    <row r="5812" spans="1:40" x14ac:dyDescent="0.25">
      <c r="A5812" t="str">
        <f>"20190305135045125"</f>
        <v>20190305135045125</v>
      </c>
      <c r="B5812" t="str">
        <f>"1551765045115736"</f>
        <v>1551765045115736</v>
      </c>
      <c r="C5812" t="s">
        <v>40</v>
      </c>
      <c r="D5812">
        <v>3.9801259999999998</v>
      </c>
      <c r="E5812">
        <v>0.49255549999999998</v>
      </c>
      <c r="F5812" t="s">
        <v>85</v>
      </c>
      <c r="G5812">
        <v>-415.40100000000001</v>
      </c>
      <c r="H5812" s="1">
        <v>-8.4307179999999997E-6</v>
      </c>
      <c r="I5812">
        <v>25.565010000000001</v>
      </c>
      <c r="J5812">
        <v>-422.2878</v>
      </c>
      <c r="K5812">
        <v>1.1121760000000001</v>
      </c>
      <c r="L5812">
        <v>46.760159999999999</v>
      </c>
      <c r="M5812">
        <v>0.1077032</v>
      </c>
      <c r="N5812">
        <v>-1.3626559999999999E-2</v>
      </c>
      <c r="O5812">
        <v>-0.99408969999999997</v>
      </c>
      <c r="P5812">
        <v>0.28877389999999997</v>
      </c>
      <c r="Q5812">
        <v>-9.6732499999999999E-2</v>
      </c>
      <c r="R5812">
        <v>-0.95249799999999996</v>
      </c>
      <c r="S5812">
        <v>0.92300420000000005</v>
      </c>
      <c r="T5812">
        <v>-0.14862999999999901</v>
      </c>
      <c r="U5812">
        <v>-2.8549190000000002</v>
      </c>
      <c r="V5812">
        <v>-0.18400610000000001</v>
      </c>
      <c r="W5812">
        <v>-8.4474679999999996E-2</v>
      </c>
      <c r="X5812">
        <v>0.97928839999999995</v>
      </c>
      <c r="Y5812">
        <v>-0.20305690000000001</v>
      </c>
      <c r="Z5812">
        <v>3.6350689999999998E-2</v>
      </c>
      <c r="AA5812">
        <v>0.97849200000000003</v>
      </c>
      <c r="AB5812">
        <v>29</v>
      </c>
      <c r="AC5812">
        <v>6.8867999999999903</v>
      </c>
      <c r="AD5812">
        <v>-1.112184430718</v>
      </c>
      <c r="AE5812">
        <v>-21.195150000000002</v>
      </c>
      <c r="AF5812">
        <v>-4.5523973072201196</v>
      </c>
      <c r="AG5812">
        <v>-1.112184430718</v>
      </c>
      <c r="AH5812">
        <v>21.759443456478898</v>
      </c>
      <c r="AI5812">
        <v>92.864093132712</v>
      </c>
      <c r="AJ5812">
        <v>101.81668311153599</v>
      </c>
      <c r="AK5812">
        <v>22.2583614623004</v>
      </c>
      <c r="AL5812">
        <v>94.845817636729507</v>
      </c>
      <c r="AM5812">
        <v>100.641669842742</v>
      </c>
      <c r="AN5812">
        <v>0.99999999338643597</v>
      </c>
    </row>
    <row r="5813" spans="1:40" x14ac:dyDescent="0.25">
      <c r="A5813" t="str">
        <f>"20190305135045139"</f>
        <v>20190305135045139</v>
      </c>
      <c r="B5813" t="str">
        <f>"1551765045126473"</f>
        <v>1551765045126473</v>
      </c>
      <c r="C5813" t="s">
        <v>40</v>
      </c>
      <c r="D5813">
        <v>3.9411619999999998</v>
      </c>
      <c r="E5813">
        <v>0.49277650000000001</v>
      </c>
      <c r="F5813" t="s">
        <v>85</v>
      </c>
      <c r="G5813">
        <v>-415.2115</v>
      </c>
      <c r="H5813" s="1">
        <v>-8.4414970000000005E-6</v>
      </c>
      <c r="I5813">
        <v>25.069389999999999</v>
      </c>
      <c r="J5813">
        <v>-422.2688</v>
      </c>
      <c r="K5813">
        <v>1.112241</v>
      </c>
      <c r="L5813">
        <v>46.601840000000003</v>
      </c>
      <c r="M5813">
        <v>0.1094648</v>
      </c>
      <c r="N5813">
        <v>-1.362829E-2</v>
      </c>
      <c r="O5813">
        <v>-0.99389740000000004</v>
      </c>
      <c r="P5813">
        <v>0.2919812</v>
      </c>
      <c r="Q5813">
        <v>-9.5217819999999995E-2</v>
      </c>
      <c r="R5813">
        <v>-0.95167270000000004</v>
      </c>
      <c r="S5813">
        <v>0.9306335</v>
      </c>
      <c r="T5813">
        <v>-0.14626729999999999</v>
      </c>
      <c r="U5813">
        <v>-2.8526310000000001</v>
      </c>
      <c r="V5813">
        <v>-0.18554899999999999</v>
      </c>
      <c r="W5813">
        <v>-8.2992499999999997E-2</v>
      </c>
      <c r="X5813">
        <v>0.97912399999999999</v>
      </c>
      <c r="Y5813">
        <v>-0.2039279</v>
      </c>
      <c r="Z5813">
        <v>3.5564459999999999E-2</v>
      </c>
      <c r="AA5813">
        <v>0.97833970000000003</v>
      </c>
      <c r="AB5813">
        <v>29</v>
      </c>
      <c r="AC5813">
        <v>7.0572999999999899</v>
      </c>
      <c r="AD5813">
        <v>-1.1122494414969999</v>
      </c>
      <c r="AE5813">
        <v>-21.532450000000001</v>
      </c>
      <c r="AF5813">
        <v>-4.6464236233117999</v>
      </c>
      <c r="AG5813">
        <v>-1.1122494414969999</v>
      </c>
      <c r="AH5813">
        <v>22.1223269444063</v>
      </c>
      <c r="AI5813">
        <v>92.816890490266701</v>
      </c>
      <c r="AJ5813">
        <v>101.861602233486</v>
      </c>
      <c r="AK5813">
        <v>22.632359592905601</v>
      </c>
      <c r="AL5813">
        <v>94.760595668394501</v>
      </c>
      <c r="AM5813">
        <v>100.730597377764</v>
      </c>
      <c r="AN5813">
        <v>0.999999996916625</v>
      </c>
    </row>
    <row r="5814" spans="1:40" x14ac:dyDescent="0.25">
      <c r="A5814" t="str">
        <f>"20190305135045153"</f>
        <v>20190305135045153</v>
      </c>
      <c r="B5814" t="str">
        <f>"1551765045145992"</f>
        <v>1551765045145992</v>
      </c>
      <c r="C5814" t="s">
        <v>40</v>
      </c>
      <c r="D5814">
        <v>3.9639220000000002</v>
      </c>
      <c r="E5814">
        <v>0.49250349999999998</v>
      </c>
      <c r="F5814" t="s">
        <v>85</v>
      </c>
      <c r="G5814">
        <v>-415.2552</v>
      </c>
      <c r="H5814" s="1">
        <v>-8.4525950000000007E-6</v>
      </c>
      <c r="I5814">
        <v>25.30443</v>
      </c>
      <c r="J5814">
        <v>-422.2448</v>
      </c>
      <c r="K5814">
        <v>1.1123080000000001</v>
      </c>
      <c r="L5814">
        <v>46.403930000000003</v>
      </c>
      <c r="M5814">
        <v>0.11170720000000001</v>
      </c>
      <c r="N5814">
        <v>-1.3630440000000001E-2</v>
      </c>
      <c r="O5814">
        <v>-0.99364779999999997</v>
      </c>
      <c r="P5814">
        <v>0.2949734</v>
      </c>
      <c r="Q5814">
        <v>-9.4101909999999997E-2</v>
      </c>
      <c r="R5814">
        <v>-0.95086029999999999</v>
      </c>
      <c r="S5814">
        <v>0.93841549999999996</v>
      </c>
      <c r="T5814">
        <v>-0.14881659999999999</v>
      </c>
      <c r="U5814">
        <v>-2.849548</v>
      </c>
      <c r="V5814">
        <v>-0.1864005</v>
      </c>
      <c r="W5814">
        <v>-8.1908620000000001E-2</v>
      </c>
      <c r="X5814">
        <v>0.97905359999999997</v>
      </c>
      <c r="Y5814">
        <v>-0.20443210000000001</v>
      </c>
      <c r="Z5814">
        <v>3.6429700000000002E-2</v>
      </c>
      <c r="AA5814">
        <v>0.97820260000000003</v>
      </c>
      <c r="AB5814">
        <v>29</v>
      </c>
      <c r="AC5814">
        <v>6.9895999999999896</v>
      </c>
      <c r="AD5814">
        <v>-1.112316452595</v>
      </c>
      <c r="AE5814">
        <v>-21.0994999999999</v>
      </c>
      <c r="AF5814">
        <v>-4.5771975169837997</v>
      </c>
      <c r="AG5814">
        <v>-1.112316452595</v>
      </c>
      <c r="AH5814">
        <v>21.693949387093198</v>
      </c>
      <c r="AI5814">
        <v>92.872041663743403</v>
      </c>
      <c r="AJ5814">
        <v>101.914072876855</v>
      </c>
      <c r="AK5814">
        <v>22.199446502333299</v>
      </c>
      <c r="AL5814">
        <v>94.698281449108904</v>
      </c>
      <c r="AM5814">
        <v>100.77944678439999</v>
      </c>
      <c r="AN5814">
        <v>1.00000006005175</v>
      </c>
    </row>
    <row r="5815" spans="1:40" x14ac:dyDescent="0.25">
      <c r="A5815" t="str">
        <f>"20190305135045173"</f>
        <v>20190305135045173</v>
      </c>
      <c r="B5815" t="str">
        <f>"1551765045166488"</f>
        <v>1551765045166488</v>
      </c>
      <c r="C5815" t="s">
        <v>40</v>
      </c>
      <c r="D5815">
        <v>3.9794550000000002</v>
      </c>
      <c r="E5815">
        <v>0.49232110000000001</v>
      </c>
      <c r="F5815" t="s">
        <v>85</v>
      </c>
      <c r="G5815">
        <v>-414.8843</v>
      </c>
      <c r="H5815" s="1">
        <v>-8.4781070000000002E-6</v>
      </c>
      <c r="I5815">
        <v>24.334209999999999</v>
      </c>
      <c r="J5815">
        <v>-422.21370000000002</v>
      </c>
      <c r="K5815">
        <v>1.112403</v>
      </c>
      <c r="L5815">
        <v>46.154969999999999</v>
      </c>
      <c r="M5815">
        <v>0.114608</v>
      </c>
      <c r="N5815">
        <v>-1.3633259999999999E-2</v>
      </c>
      <c r="O5815">
        <v>-0.99331720000000001</v>
      </c>
      <c r="P5815">
        <v>0.30003819999999998</v>
      </c>
      <c r="Q5815">
        <v>-9.2121389999999997E-2</v>
      </c>
      <c r="R5815">
        <v>-0.94946889999999995</v>
      </c>
      <c r="S5815">
        <v>0.94927980000000001</v>
      </c>
      <c r="T5815">
        <v>-0.1434561</v>
      </c>
      <c r="U5815">
        <v>-2.8463440000000002</v>
      </c>
      <c r="V5815">
        <v>-0.1887327</v>
      </c>
      <c r="W5815">
        <v>-7.9978110000000005E-2</v>
      </c>
      <c r="X5815">
        <v>0.97876629999999998</v>
      </c>
      <c r="Y5815">
        <v>-0.2052871</v>
      </c>
      <c r="Z5815">
        <v>3.4640249999999997E-2</v>
      </c>
      <c r="AA5815">
        <v>0.97808859999999997</v>
      </c>
      <c r="AB5815">
        <v>29</v>
      </c>
      <c r="AC5815">
        <v>7.3294000000000201</v>
      </c>
      <c r="AD5815">
        <v>-1.112411478107</v>
      </c>
      <c r="AE5815">
        <v>-21.82076</v>
      </c>
      <c r="AF5815">
        <v>-4.76889248863049</v>
      </c>
      <c r="AG5815">
        <v>-1.112411478107</v>
      </c>
      <c r="AH5815">
        <v>22.464573448474798</v>
      </c>
      <c r="AI5815">
        <v>92.773185730739002</v>
      </c>
      <c r="AJ5815">
        <v>101.98511368299199</v>
      </c>
      <c r="AK5815">
        <v>22.992104190061902</v>
      </c>
      <c r="AL5815">
        <v>94.587307499126993</v>
      </c>
      <c r="AM5815">
        <v>100.914224671391</v>
      </c>
      <c r="AN5815">
        <v>1.0000000000720699</v>
      </c>
    </row>
    <row r="5816" spans="1:40" x14ac:dyDescent="0.25">
      <c r="A5816" t="str">
        <f>"20190305135045188"</f>
        <v>20190305135045188</v>
      </c>
      <c r="B5816" t="str">
        <f>"1551765045186008"</f>
        <v>1551765045186008</v>
      </c>
      <c r="C5816" t="s">
        <v>40</v>
      </c>
      <c r="D5816">
        <v>4.2095469999999997</v>
      </c>
      <c r="E5816">
        <v>0.49153289999999999</v>
      </c>
      <c r="F5816" t="s">
        <v>85</v>
      </c>
      <c r="G5816">
        <v>-414.29610000000002</v>
      </c>
      <c r="H5816" s="1">
        <v>-8.5447349999999903E-6</v>
      </c>
      <c r="I5816">
        <v>22.860240000000001</v>
      </c>
      <c r="J5816">
        <v>-422.18709999999999</v>
      </c>
      <c r="K5816">
        <v>1.112466</v>
      </c>
      <c r="L5816">
        <v>45.945889999999999</v>
      </c>
      <c r="M5816">
        <v>0.1171001</v>
      </c>
      <c r="N5816">
        <v>-1.3635649999999999E-2</v>
      </c>
      <c r="O5816">
        <v>-0.99302690000000005</v>
      </c>
      <c r="P5816">
        <v>0.30365690000000001</v>
      </c>
      <c r="Q5816">
        <v>-9.11333E-2</v>
      </c>
      <c r="R5816">
        <v>-0.94841350000000002</v>
      </c>
      <c r="S5816">
        <v>0.96572880000000005</v>
      </c>
      <c r="T5816">
        <v>-0.13568329999999901</v>
      </c>
      <c r="U5816">
        <v>-2.8413089999999999</v>
      </c>
      <c r="V5816">
        <v>-0.1899912</v>
      </c>
      <c r="W5816">
        <v>-7.9025970000000001E-2</v>
      </c>
      <c r="X5816">
        <v>0.97860009999999997</v>
      </c>
      <c r="Y5816">
        <v>-0.2084656</v>
      </c>
      <c r="Z5816">
        <v>3.2050759999999998E-2</v>
      </c>
      <c r="AA5816">
        <v>0.97750440000000005</v>
      </c>
      <c r="AB5816">
        <v>29</v>
      </c>
      <c r="AC5816">
        <v>7.89099999999996</v>
      </c>
      <c r="AD5816">
        <v>-1.112474544735</v>
      </c>
      <c r="AE5816">
        <v>-23.085650000000001</v>
      </c>
      <c r="AF5816">
        <v>-5.1224676667366396</v>
      </c>
      <c r="AG5816">
        <v>-1.112474544735</v>
      </c>
      <c r="AH5816">
        <v>23.801427292960302</v>
      </c>
      <c r="AI5816">
        <v>92.616229419169102</v>
      </c>
      <c r="AJ5816">
        <v>102.145754035566</v>
      </c>
      <c r="AK5816">
        <v>24.371811910309798</v>
      </c>
      <c r="AL5816">
        <v>94.532580858551199</v>
      </c>
      <c r="AM5816">
        <v>100.98705792249299</v>
      </c>
      <c r="AN5816">
        <v>0.99999995786594398</v>
      </c>
    </row>
    <row r="5817" spans="1:40" x14ac:dyDescent="0.25">
      <c r="A5817" t="str">
        <f>"20190305135045203"</f>
        <v>20190305135045203</v>
      </c>
      <c r="B5817" t="str">
        <f>"1551765045195768"</f>
        <v>1551765045195768</v>
      </c>
      <c r="C5817" t="s">
        <v>40</v>
      </c>
      <c r="D5817">
        <v>3.9912209999999999</v>
      </c>
      <c r="E5817">
        <v>0.41725810000000002</v>
      </c>
      <c r="F5817" t="s">
        <v>85</v>
      </c>
      <c r="G5817">
        <v>-413.9402</v>
      </c>
      <c r="H5817" s="1">
        <v>-8.6026009999999905E-6</v>
      </c>
      <c r="I5817">
        <v>22.144359999999999</v>
      </c>
      <c r="J5817">
        <v>-422.16239999999999</v>
      </c>
      <c r="K5817">
        <v>1.112519</v>
      </c>
      <c r="L5817">
        <v>45.75705</v>
      </c>
      <c r="M5817">
        <v>0.11940439999999899</v>
      </c>
      <c r="N5817">
        <v>-1.363787E-2</v>
      </c>
      <c r="O5817">
        <v>-0.99275210000000003</v>
      </c>
      <c r="P5817">
        <v>0.30750519999999998</v>
      </c>
      <c r="Q5817">
        <v>-9.0441640000000004E-2</v>
      </c>
      <c r="R5817">
        <v>-0.94723860000000004</v>
      </c>
      <c r="S5817">
        <v>0.98257450000000002</v>
      </c>
      <c r="T5817">
        <v>-0.13254639999999901</v>
      </c>
      <c r="U5817">
        <v>-2.8358460000000001</v>
      </c>
      <c r="V5817">
        <v>-0.19167799999999999</v>
      </c>
      <c r="W5817">
        <v>-7.8370700000000001E-2</v>
      </c>
      <c r="X5817">
        <v>0.97832390000000002</v>
      </c>
      <c r="Y5817">
        <v>-0.21197269999999999</v>
      </c>
      <c r="Z5817">
        <v>3.1013889999999999E-2</v>
      </c>
      <c r="AA5817">
        <v>0.97678330000000002</v>
      </c>
      <c r="AB5817">
        <v>29</v>
      </c>
      <c r="AC5817">
        <v>8.2221999999999795</v>
      </c>
      <c r="AD5817">
        <v>-1.112527602601</v>
      </c>
      <c r="AE5817">
        <v>-23.612690000000001</v>
      </c>
      <c r="AF5817">
        <v>-5.3330852346573199</v>
      </c>
      <c r="AG5817">
        <v>-1.112527602601</v>
      </c>
      <c r="AH5817">
        <v>24.377321437667</v>
      </c>
      <c r="AI5817">
        <v>92.552748508889806</v>
      </c>
      <c r="AJ5817">
        <v>102.340312353747</v>
      </c>
      <c r="AK5817">
        <v>24.978657214950701</v>
      </c>
      <c r="AL5817">
        <v>94.4949194842346</v>
      </c>
      <c r="AM5817">
        <v>101.085251057119</v>
      </c>
      <c r="AN5817">
        <v>1.0000000378068401</v>
      </c>
    </row>
    <row r="5818" spans="1:40" x14ac:dyDescent="0.25">
      <c r="A5818" t="str">
        <f>"20190305135045216"</f>
        <v>20190305135045216</v>
      </c>
      <c r="B5818" t="str">
        <f>"1551765045206504"</f>
        <v>1551765045206504</v>
      </c>
      <c r="C5818" t="s">
        <v>40</v>
      </c>
      <c r="D5818">
        <v>3.7610589999999999</v>
      </c>
      <c r="E5818">
        <v>0.41725810000000002</v>
      </c>
      <c r="F5818" t="s">
        <v>85</v>
      </c>
      <c r="G5818">
        <v>-400.9101</v>
      </c>
      <c r="H5818">
        <v>4.4834770000000003E-2</v>
      </c>
      <c r="I5818">
        <v>9.6162189999999992</v>
      </c>
      <c r="J5818">
        <v>-422.1404</v>
      </c>
      <c r="K5818">
        <v>1.11256</v>
      </c>
      <c r="L5818">
        <v>45.591459999999998</v>
      </c>
      <c r="M5818">
        <v>0.1214594</v>
      </c>
      <c r="N5818">
        <v>-1.3639790000000001E-2</v>
      </c>
      <c r="O5818">
        <v>-0.99250280000000002</v>
      </c>
      <c r="P5818">
        <v>0.31298209999999999</v>
      </c>
      <c r="Q5818">
        <v>-9.0423790000000004E-2</v>
      </c>
      <c r="R5818">
        <v>-0.94544490000000003</v>
      </c>
      <c r="S5818">
        <v>1.5601499999999999</v>
      </c>
      <c r="T5818">
        <v>-7.8379870000000004E-2</v>
      </c>
      <c r="U5818">
        <v>-2.6531370000000001</v>
      </c>
      <c r="V5818">
        <v>-0.19529940000000001</v>
      </c>
      <c r="W5818">
        <v>-7.8406939999999994E-2</v>
      </c>
      <c r="X5818">
        <v>0.97760440000000004</v>
      </c>
      <c r="Y5818">
        <v>-0.39829340000000002</v>
      </c>
      <c r="Z5818">
        <v>1.2719329999999999E-2</v>
      </c>
      <c r="AA5818">
        <v>0.91716989999999998</v>
      </c>
      <c r="AB5818">
        <v>29</v>
      </c>
      <c r="AC5818">
        <v>21.2303</v>
      </c>
      <c r="AD5818">
        <v>-1.06772523</v>
      </c>
      <c r="AE5818">
        <v>-35.975240999999997</v>
      </c>
      <c r="AF5818">
        <v>-16.692247182658299</v>
      </c>
      <c r="AG5818">
        <v>-1.06772523</v>
      </c>
      <c r="AH5818">
        <v>38.262705671448401</v>
      </c>
      <c r="AI5818">
        <v>91.465144338037803</v>
      </c>
      <c r="AJ5818">
        <v>113.569414970446</v>
      </c>
      <c r="AK5818">
        <v>41.7589008293278</v>
      </c>
      <c r="AL5818">
        <v>94.497002762822703</v>
      </c>
      <c r="AM5818">
        <v>101.297450606312</v>
      </c>
      <c r="AN5818">
        <v>0.99999993338993898</v>
      </c>
    </row>
    <row r="5819" spans="1:40" x14ac:dyDescent="0.25">
      <c r="A5819" t="str">
        <f>"20190305135045231"</f>
        <v>20190305135045231</v>
      </c>
      <c r="B5819" t="str">
        <f>"1551765045226024"</f>
        <v>1551765045226024</v>
      </c>
      <c r="C5819" t="s">
        <v>40</v>
      </c>
      <c r="D5819">
        <v>4.041938</v>
      </c>
      <c r="E5819">
        <v>0.37041059999999998</v>
      </c>
      <c r="F5819" t="s">
        <v>85</v>
      </c>
      <c r="G5819">
        <v>-400.70069999999998</v>
      </c>
      <c r="H5819">
        <v>4.9333509999999997E-2</v>
      </c>
      <c r="I5819">
        <v>9.6162170000000007</v>
      </c>
      <c r="J5819">
        <v>-422.11360000000002</v>
      </c>
      <c r="K5819">
        <v>1.112614</v>
      </c>
      <c r="L5819">
        <v>45.393219999999999</v>
      </c>
      <c r="M5819">
        <v>0.12396450000000001</v>
      </c>
      <c r="N5819">
        <v>-1.364215E-2</v>
      </c>
      <c r="O5819">
        <v>-0.99219299999999999</v>
      </c>
      <c r="P5819">
        <v>0.31696790000000002</v>
      </c>
      <c r="Q5819">
        <v>-9.0671860000000007E-2</v>
      </c>
      <c r="R5819">
        <v>-0.9440923</v>
      </c>
      <c r="S5819">
        <v>1.5757139999999901</v>
      </c>
      <c r="T5819">
        <v>-7.8142169999999997E-2</v>
      </c>
      <c r="U5819">
        <v>-2.644012</v>
      </c>
      <c r="V5819">
        <v>-0.19694390000000001</v>
      </c>
      <c r="W5819">
        <v>-7.8696890000000005E-2</v>
      </c>
      <c r="X5819">
        <v>0.97725119999999999</v>
      </c>
      <c r="Y5819">
        <v>-0.40135150000000003</v>
      </c>
      <c r="Z5819">
        <v>1.2662949999999999E-2</v>
      </c>
      <c r="AA5819">
        <v>0.9158366</v>
      </c>
      <c r="AB5819">
        <v>29</v>
      </c>
      <c r="AC5819">
        <v>21.4129</v>
      </c>
      <c r="AD5819">
        <v>-1.0632804899999999</v>
      </c>
      <c r="AE5819">
        <v>-35.777003000000001</v>
      </c>
      <c r="AF5819">
        <v>-16.801287557874002</v>
      </c>
      <c r="AG5819">
        <v>-1.0632804899999999</v>
      </c>
      <c r="AH5819">
        <v>38.130880391184199</v>
      </c>
      <c r="AI5819">
        <v>91.461741064735605</v>
      </c>
      <c r="AJ5819">
        <v>113.779323527937</v>
      </c>
      <c r="AK5819">
        <v>41.681864982382798</v>
      </c>
      <c r="AL5819">
        <v>94.513666848173798</v>
      </c>
      <c r="AM5819">
        <v>101.394112079518</v>
      </c>
      <c r="AN5819">
        <v>1.0000000040721599</v>
      </c>
    </row>
    <row r="5820" spans="1:40" x14ac:dyDescent="0.25">
      <c r="A5820" t="str">
        <f>"20190305135045250"</f>
        <v>20190305135045250</v>
      </c>
      <c r="B5820" t="str">
        <f>"1551765045246520"</f>
        <v>1551765045246520</v>
      </c>
      <c r="C5820" t="s">
        <v>40</v>
      </c>
      <c r="D5820">
        <v>3.9735860000000001</v>
      </c>
      <c r="E5820">
        <v>0.37543919999999997</v>
      </c>
      <c r="F5820" t="s">
        <v>97</v>
      </c>
      <c r="G5820">
        <v>-387.75020000000001</v>
      </c>
      <c r="H5820">
        <v>0.59632559999999901</v>
      </c>
      <c r="I5820">
        <v>0.80537029999999998</v>
      </c>
      <c r="J5820">
        <v>-422.08069999999998</v>
      </c>
      <c r="K5820">
        <v>1.1126849999999999</v>
      </c>
      <c r="L5820">
        <v>45.155610000000003</v>
      </c>
      <c r="M5820">
        <v>0.12704969999999999</v>
      </c>
      <c r="N5820">
        <v>-1.3645819999999999E-2</v>
      </c>
      <c r="O5820">
        <v>-0.99180259999999998</v>
      </c>
      <c r="P5820">
        <v>0.32357029999999998</v>
      </c>
      <c r="Q5820">
        <v>-9.1773789999999994E-2</v>
      </c>
      <c r="R5820">
        <v>-0.94174329999999995</v>
      </c>
      <c r="S5820">
        <v>1.943848</v>
      </c>
      <c r="T5820">
        <v>-2.9206510000000001E-2</v>
      </c>
      <c r="U5820">
        <v>-2.5222169999999999</v>
      </c>
      <c r="V5820">
        <v>-0.2007321</v>
      </c>
      <c r="W5820">
        <v>-7.9870179999999999E-2</v>
      </c>
      <c r="X5820">
        <v>0.97638480000000005</v>
      </c>
      <c r="Y5820">
        <v>-0.50477329999999998</v>
      </c>
      <c r="Z5820">
        <v>-3.6525630000000002E-3</v>
      </c>
      <c r="AA5820">
        <v>0.86324429999999996</v>
      </c>
      <c r="AB5820">
        <v>29</v>
      </c>
      <c r="AC5820">
        <v>34.330499999999901</v>
      </c>
      <c r="AD5820">
        <v>-0.51635940000000002</v>
      </c>
      <c r="AE5820">
        <v>-44.350239700000003</v>
      </c>
      <c r="AF5820">
        <v>-28.414628548179799</v>
      </c>
      <c r="AG5820">
        <v>-0.51635940000000002</v>
      </c>
      <c r="AH5820">
        <v>48.348760996532498</v>
      </c>
      <c r="AI5820">
        <v>90.527536544480299</v>
      </c>
      <c r="AJ5820">
        <v>120.44280819421201</v>
      </c>
      <c r="AK5820">
        <v>56.082621483493703</v>
      </c>
      <c r="AL5820">
        <v>94.581103950925595</v>
      </c>
      <c r="AM5820">
        <v>101.61740310764699</v>
      </c>
      <c r="AN5820">
        <v>0.99999994964733996</v>
      </c>
    </row>
    <row r="5821" spans="1:40" x14ac:dyDescent="0.25">
      <c r="A5821" t="str">
        <f>"20190305135045266"</f>
        <v>20190305135045266</v>
      </c>
      <c r="B5821" t="str">
        <f>"1551765045256042"</f>
        <v>1551765045256042</v>
      </c>
      <c r="C5821" t="s">
        <v>40</v>
      </c>
      <c r="D5821">
        <v>3.9645239999999999</v>
      </c>
      <c r="E5821">
        <v>0.37695810000000002</v>
      </c>
      <c r="F5821" t="s">
        <v>97</v>
      </c>
      <c r="G5821">
        <v>-388.25099999999998</v>
      </c>
      <c r="H5821">
        <v>0.19365859999999999</v>
      </c>
      <c r="I5821">
        <v>0.80027389999999998</v>
      </c>
      <c r="J5821">
        <v>-422.05059999999997</v>
      </c>
      <c r="K5821">
        <v>1.112754</v>
      </c>
      <c r="L5821">
        <v>44.943480000000001</v>
      </c>
      <c r="M5821">
        <v>0.12988189999999999</v>
      </c>
      <c r="N5821">
        <v>-1.3649639999999999E-2</v>
      </c>
      <c r="O5821">
        <v>-0.99143570000000003</v>
      </c>
      <c r="P5821">
        <v>0.3277834</v>
      </c>
      <c r="Q5821">
        <v>-9.2038190000000006E-2</v>
      </c>
      <c r="R5821">
        <v>-0.94025939999999997</v>
      </c>
      <c r="S5821">
        <v>1.922058</v>
      </c>
      <c r="T5821">
        <v>-5.2216529999999997E-2</v>
      </c>
      <c r="U5821">
        <v>-2.5200809999999998</v>
      </c>
      <c r="V5821">
        <v>-0.20230000000000001</v>
      </c>
      <c r="W5821">
        <v>-8.0181840000000004E-2</v>
      </c>
      <c r="X5821">
        <v>0.97603569999999995</v>
      </c>
      <c r="Y5821">
        <v>-0.49792559999999902</v>
      </c>
      <c r="Z5821">
        <v>3.8436289999999999E-3</v>
      </c>
      <c r="AA5821">
        <v>0.86721119999999996</v>
      </c>
      <c r="AB5821">
        <v>29</v>
      </c>
      <c r="AC5821">
        <v>33.799599999999998</v>
      </c>
      <c r="AD5821">
        <v>-0.91909540000000001</v>
      </c>
      <c r="AE5821">
        <v>-44.1432061</v>
      </c>
      <c r="AF5821">
        <v>-27.771719816139399</v>
      </c>
      <c r="AG5821">
        <v>-0.91909540000000001</v>
      </c>
      <c r="AH5821">
        <v>48.146426689875703</v>
      </c>
      <c r="AI5821">
        <v>90.947349679014806</v>
      </c>
      <c r="AJ5821">
        <v>119.97711702442</v>
      </c>
      <c r="AK5821">
        <v>55.589491461102902</v>
      </c>
      <c r="AL5821">
        <v>94.599017735230106</v>
      </c>
      <c r="AM5821">
        <v>101.709722012989</v>
      </c>
      <c r="AN5821">
        <v>1.00000005257013</v>
      </c>
    </row>
    <row r="5822" spans="1:40" x14ac:dyDescent="0.25">
      <c r="A5822" t="str">
        <f>"20190305135045280"</f>
        <v>20190305135045280</v>
      </c>
      <c r="B5822" t="str">
        <f>"1551765045275553"</f>
        <v>1551765045275553</v>
      </c>
      <c r="C5822" t="s">
        <v>40</v>
      </c>
      <c r="D5822">
        <v>3.9757020000000001</v>
      </c>
      <c r="E5822">
        <v>0.37917269999999997</v>
      </c>
      <c r="F5822" t="s">
        <v>97</v>
      </c>
      <c r="G5822">
        <v>-388.32679999999999</v>
      </c>
      <c r="H5822">
        <v>0.24436640000000001</v>
      </c>
      <c r="I5822">
        <v>0.79950330000000003</v>
      </c>
      <c r="J5822">
        <v>-422.02569999999997</v>
      </c>
      <c r="K5822">
        <v>1.1128100000000001</v>
      </c>
      <c r="L5822">
        <v>44.771999999999998</v>
      </c>
      <c r="M5822">
        <v>0.13222729999999999</v>
      </c>
      <c r="N5822">
        <v>-1.3652849999999999E-2</v>
      </c>
      <c r="O5822">
        <v>-0.99112529999999999</v>
      </c>
      <c r="P5822">
        <v>0.33125159999999998</v>
      </c>
      <c r="Q5822">
        <v>-9.2544500000000002E-2</v>
      </c>
      <c r="R5822">
        <v>-0.93899319999999997</v>
      </c>
      <c r="S5822">
        <v>1.9219059999999999</v>
      </c>
      <c r="T5822">
        <v>-4.9490449999999998E-2</v>
      </c>
      <c r="U5822">
        <v>-2.5157470000000002</v>
      </c>
      <c r="V5822">
        <v>-0.20358270000000001</v>
      </c>
      <c r="W5822">
        <v>-8.0728400000000006E-2</v>
      </c>
      <c r="X5822">
        <v>0.97572380000000003</v>
      </c>
      <c r="Y5822">
        <v>-0.49656440000000002</v>
      </c>
      <c r="Z5822">
        <v>2.9904860000000001E-3</v>
      </c>
      <c r="AA5822">
        <v>0.86799479999999996</v>
      </c>
      <c r="AB5822">
        <v>29</v>
      </c>
      <c r="AC5822">
        <v>33.698899999999902</v>
      </c>
      <c r="AD5822">
        <v>-0.86844359999999998</v>
      </c>
      <c r="AE5822">
        <v>-43.972496700000001</v>
      </c>
      <c r="AF5822">
        <v>-27.5812641291717</v>
      </c>
      <c r="AG5822">
        <v>-0.86844359999999998</v>
      </c>
      <c r="AH5822">
        <v>48.030848040696597</v>
      </c>
      <c r="AI5822">
        <v>90.8983033842879</v>
      </c>
      <c r="AJ5822">
        <v>119.86619289189299</v>
      </c>
      <c r="AK5822">
        <v>55.393525693514</v>
      </c>
      <c r="AL5822">
        <v>94.630435583075396</v>
      </c>
      <c r="AM5822">
        <v>101.785560236412</v>
      </c>
      <c r="AN5822">
        <v>0.99999996209614395</v>
      </c>
    </row>
    <row r="5823" spans="1:40" x14ac:dyDescent="0.25">
      <c r="A5823" t="str">
        <f>"20190305135045295"</f>
        <v>20190305135045295</v>
      </c>
      <c r="B5823" t="str">
        <f>"1551765045286289"</f>
        <v>1551765045286289</v>
      </c>
      <c r="C5823" t="s">
        <v>40</v>
      </c>
      <c r="D5823">
        <v>3.9698169999999999</v>
      </c>
      <c r="E5823">
        <v>0.37984689999999999</v>
      </c>
      <c r="F5823" t="s">
        <v>97</v>
      </c>
      <c r="G5823">
        <v>-388.53989999999999</v>
      </c>
      <c r="H5823">
        <v>0.1174152</v>
      </c>
      <c r="I5823">
        <v>0.79733659999999995</v>
      </c>
      <c r="J5823">
        <v>-421.9982</v>
      </c>
      <c r="K5823">
        <v>1.1128800000000001</v>
      </c>
      <c r="L5823">
        <v>44.585749999999997</v>
      </c>
      <c r="M5823">
        <v>0.13483149999999999</v>
      </c>
      <c r="N5823">
        <v>-1.365652E-2</v>
      </c>
      <c r="O5823">
        <v>-0.99077459999999995</v>
      </c>
      <c r="P5823">
        <v>0.33587289999999997</v>
      </c>
      <c r="Q5823">
        <v>-9.3401559999999995E-2</v>
      </c>
      <c r="R5823">
        <v>-0.93726529999999997</v>
      </c>
      <c r="S5823">
        <v>1.914337</v>
      </c>
      <c r="T5823">
        <v>-5.6906940000000003E-2</v>
      </c>
      <c r="U5823">
        <v>-2.5139770000000001</v>
      </c>
      <c r="V5823">
        <v>-0.2058122</v>
      </c>
      <c r="W5823">
        <v>-8.1641909999999998E-2</v>
      </c>
      <c r="X5823">
        <v>0.97518000000000005</v>
      </c>
      <c r="Y5823">
        <v>-0.49290980000000001</v>
      </c>
      <c r="Z5823">
        <v>5.4365469999999999E-3</v>
      </c>
      <c r="AA5823">
        <v>0.87006349999999999</v>
      </c>
      <c r="AB5823">
        <v>29</v>
      </c>
      <c r="AC5823">
        <v>33.458300000000001</v>
      </c>
      <c r="AD5823">
        <v>-0.99546479999999904</v>
      </c>
      <c r="AE5823">
        <v>-43.788413400000003</v>
      </c>
      <c r="AF5823">
        <v>-27.2392243954761</v>
      </c>
      <c r="AG5823">
        <v>-0.99546479999999904</v>
      </c>
      <c r="AH5823">
        <v>47.884514309015302</v>
      </c>
      <c r="AI5823">
        <v>91.035211144335804</v>
      </c>
      <c r="AJ5823">
        <v>119.633490471155</v>
      </c>
      <c r="AK5823">
        <v>55.098938342271403</v>
      </c>
      <c r="AL5823">
        <v>94.682948797888002</v>
      </c>
      <c r="AM5823">
        <v>101.91741241272599</v>
      </c>
      <c r="AN5823">
        <v>1.0000000477686399</v>
      </c>
    </row>
    <row r="5824" spans="1:40" x14ac:dyDescent="0.25">
      <c r="A5824" t="str">
        <f>"20190305135045307"</f>
        <v>20190305135045307</v>
      </c>
      <c r="B5824" t="str">
        <f>"1551765045296049"</f>
        <v>1551765045296049</v>
      </c>
      <c r="C5824" t="s">
        <v>40</v>
      </c>
      <c r="D5824">
        <v>3.9597180000000001</v>
      </c>
      <c r="E5824">
        <v>0.38037870000000001</v>
      </c>
      <c r="F5824" t="s">
        <v>43</v>
      </c>
      <c r="G5824">
        <v>-385.36930000000001</v>
      </c>
      <c r="H5824">
        <v>-0.05</v>
      </c>
      <c r="I5824">
        <v>-3.2068789999999998</v>
      </c>
      <c r="J5824">
        <v>-421.97179999999997</v>
      </c>
      <c r="K5824">
        <v>1.112959</v>
      </c>
      <c r="L5824">
        <v>44.410220000000002</v>
      </c>
      <c r="M5824">
        <v>0.13735899999999901</v>
      </c>
      <c r="N5824">
        <v>-1.36602999999999E-2</v>
      </c>
      <c r="O5824">
        <v>-0.99042730000000001</v>
      </c>
      <c r="P5824">
        <v>0.33927279999999999</v>
      </c>
      <c r="Q5824">
        <v>-9.3924779999999999E-2</v>
      </c>
      <c r="R5824">
        <v>-0.93598729999999997</v>
      </c>
      <c r="S5824">
        <v>1.920898</v>
      </c>
      <c r="T5824">
        <v>-6.0983900000000001E-2</v>
      </c>
      <c r="U5824">
        <v>-2.506348</v>
      </c>
      <c r="V5824">
        <v>-0.20685000000000001</v>
      </c>
      <c r="W5824">
        <v>-8.2212560000000004E-2</v>
      </c>
      <c r="X5824">
        <v>0.97491240000000001</v>
      </c>
      <c r="Y5824">
        <v>-0.49339250000000001</v>
      </c>
      <c r="Z5824">
        <v>6.7911830000000001E-3</v>
      </c>
      <c r="AA5824">
        <v>0.86978029999999995</v>
      </c>
      <c r="AB5824">
        <v>29</v>
      </c>
      <c r="AC5824">
        <v>36.6024999999999</v>
      </c>
      <c r="AD5824">
        <v>-1.1629590000000001</v>
      </c>
      <c r="AE5824">
        <v>-47.617098999999897</v>
      </c>
      <c r="AF5824">
        <v>-29.703108675646401</v>
      </c>
      <c r="AG5824">
        <v>-1.1629590000000001</v>
      </c>
      <c r="AH5824">
        <v>52.174256407774998</v>
      </c>
      <c r="AI5824">
        <v>91.1097229473542</v>
      </c>
      <c r="AJ5824">
        <v>119.65311185233</v>
      </c>
      <c r="AK5824">
        <v>60.048148766945303</v>
      </c>
      <c r="AL5824">
        <v>94.715755107100094</v>
      </c>
      <c r="AM5824">
        <v>101.97896689312</v>
      </c>
      <c r="AN5824">
        <v>1.00000000759775</v>
      </c>
    </row>
    <row r="5825" spans="1:40" x14ac:dyDescent="0.25">
      <c r="A5825" t="str">
        <f>"20190305135045321"</f>
        <v>20190305135045321</v>
      </c>
      <c r="B5825" t="str">
        <f>"1551765045315569"</f>
        <v>1551765045315569</v>
      </c>
      <c r="C5825" t="s">
        <v>40</v>
      </c>
      <c r="D5825">
        <v>3.954793</v>
      </c>
      <c r="E5825">
        <v>0.38169979999999998</v>
      </c>
      <c r="F5825" t="s">
        <v>43</v>
      </c>
      <c r="G5825">
        <v>-386.29349999999999</v>
      </c>
      <c r="H5825">
        <v>-0.05</v>
      </c>
      <c r="I5825">
        <v>-1.918304</v>
      </c>
      <c r="J5825">
        <v>-421.94670000000002</v>
      </c>
      <c r="K5825">
        <v>1.1130409999999999</v>
      </c>
      <c r="L5825">
        <v>44.247770000000003</v>
      </c>
      <c r="M5825">
        <v>0.13979639999999999</v>
      </c>
      <c r="N5825">
        <v>-1.3665510000000001E-2</v>
      </c>
      <c r="O5825">
        <v>-0.99008609999999997</v>
      </c>
      <c r="P5825">
        <v>0.34235680000000002</v>
      </c>
      <c r="Q5825">
        <v>-9.4464919999999994E-2</v>
      </c>
      <c r="R5825">
        <v>-0.93480940000000001</v>
      </c>
      <c r="S5825">
        <v>1.9258729999999999</v>
      </c>
      <c r="T5825">
        <v>-6.2775250000000005E-2</v>
      </c>
      <c r="U5825">
        <v>-2.5007630000000001</v>
      </c>
      <c r="V5825">
        <v>-0.2076501</v>
      </c>
      <c r="W5825">
        <v>-8.2799529999999996E-2</v>
      </c>
      <c r="X5825">
        <v>0.97469260000000002</v>
      </c>
      <c r="Y5825">
        <v>-0.49327149999999997</v>
      </c>
      <c r="Z5825">
        <v>7.39660199999999E-3</v>
      </c>
      <c r="AA5825">
        <v>0.86984399999999995</v>
      </c>
      <c r="AB5825">
        <v>29</v>
      </c>
      <c r="AC5825">
        <v>35.653199999999998</v>
      </c>
      <c r="AD5825">
        <v>-1.163041</v>
      </c>
      <c r="AE5825">
        <v>-46.166074000000002</v>
      </c>
      <c r="AF5825">
        <v>-28.837112433344299</v>
      </c>
      <c r="AG5825">
        <v>-1.163041</v>
      </c>
      <c r="AH5825">
        <v>50.677157467700802</v>
      </c>
      <c r="AI5825">
        <v>91.142710886212399</v>
      </c>
      <c r="AJ5825">
        <v>119.64142194022</v>
      </c>
      <c r="AK5825">
        <v>58.319002107950801</v>
      </c>
      <c r="AL5825">
        <v>94.749501124042098</v>
      </c>
      <c r="AM5825">
        <v>102.02658834084301</v>
      </c>
      <c r="AN5825">
        <v>0.99999999534649497</v>
      </c>
    </row>
    <row r="5826" spans="1:40" x14ac:dyDescent="0.25">
      <c r="A5826" t="str">
        <f>"20190305135045334"</f>
        <v>20190305135045334</v>
      </c>
      <c r="B5826" t="str">
        <f>"1551765045326305"</f>
        <v>1551765045326305</v>
      </c>
      <c r="C5826" t="s">
        <v>40</v>
      </c>
      <c r="D5826">
        <v>3.9660579999999999</v>
      </c>
      <c r="E5826">
        <v>0.38216070000000002</v>
      </c>
      <c r="F5826" t="s">
        <v>42</v>
      </c>
      <c r="G5826">
        <v>-392.82650000000001</v>
      </c>
      <c r="H5826">
        <v>7.9985819999999999E-2</v>
      </c>
      <c r="I5826">
        <v>6.4471889999999998</v>
      </c>
      <c r="J5826">
        <v>-421.92</v>
      </c>
      <c r="K5826">
        <v>1.1131359999999999</v>
      </c>
      <c r="L5826">
        <v>44.077179999999998</v>
      </c>
      <c r="M5826">
        <v>0.14241570000000001</v>
      </c>
      <c r="N5826">
        <v>-1.367146E-2</v>
      </c>
      <c r="O5826">
        <v>-0.9897125</v>
      </c>
      <c r="P5826">
        <v>0.34491739999999999</v>
      </c>
      <c r="Q5826">
        <v>-9.4943139999999995E-2</v>
      </c>
      <c r="R5826">
        <v>-0.93381879999999995</v>
      </c>
      <c r="S5826">
        <v>1.9241029999999999</v>
      </c>
      <c r="T5826">
        <v>-6.8258520000000003E-2</v>
      </c>
      <c r="U5826">
        <v>-2.4976500000000001</v>
      </c>
      <c r="V5826">
        <v>-0.20772599999999999</v>
      </c>
      <c r="W5826">
        <v>-8.3322069999999998E-2</v>
      </c>
      <c r="X5826">
        <v>0.9746319</v>
      </c>
      <c r="Y5826">
        <v>-0.49109160000000002</v>
      </c>
      <c r="Z5826">
        <v>9.2140329999999999E-3</v>
      </c>
      <c r="AA5826">
        <v>0.87105919999999903</v>
      </c>
      <c r="AB5826">
        <v>29</v>
      </c>
      <c r="AC5826">
        <v>29.093499999999999</v>
      </c>
      <c r="AD5826">
        <v>-1.03315018</v>
      </c>
      <c r="AE5826">
        <v>-37.629990999999997</v>
      </c>
      <c r="AF5826">
        <v>-23.4262375914474</v>
      </c>
      <c r="AG5826">
        <v>-1.03315018</v>
      </c>
      <c r="AH5826">
        <v>41.370594248136598</v>
      </c>
      <c r="AI5826">
        <v>91.244896616717696</v>
      </c>
      <c r="AJ5826">
        <v>119.520853798372</v>
      </c>
      <c r="AK5826">
        <v>47.553991161934398</v>
      </c>
      <c r="AL5826">
        <v>94.779544256114804</v>
      </c>
      <c r="AM5826">
        <v>102.031583675327</v>
      </c>
      <c r="AN5826">
        <v>0.99999999946134699</v>
      </c>
    </row>
    <row r="5827" spans="1:40" x14ac:dyDescent="0.25">
      <c r="A5827" t="str">
        <f>"20190305135045346"</f>
        <v>20190305135045346</v>
      </c>
      <c r="B5827" t="str">
        <f>"1551765045336065"</f>
        <v>1551765045336065</v>
      </c>
      <c r="C5827" t="s">
        <v>40</v>
      </c>
      <c r="D5827">
        <v>3.9912459999999998</v>
      </c>
      <c r="E5827">
        <v>0.38258370000000003</v>
      </c>
      <c r="F5827" t="s">
        <v>42</v>
      </c>
      <c r="G5827">
        <v>-395.27800000000002</v>
      </c>
      <c r="H5827">
        <v>5.392636E-2</v>
      </c>
      <c r="I5827">
        <v>9.6123879999999993</v>
      </c>
      <c r="J5827">
        <v>-421.89339999999999</v>
      </c>
      <c r="K5827">
        <v>1.1132439999999999</v>
      </c>
      <c r="L5827">
        <v>43.910519999999998</v>
      </c>
      <c r="M5827">
        <v>0.14506069999999999</v>
      </c>
      <c r="N5827">
        <v>-1.3677979999999999E-2</v>
      </c>
      <c r="O5827">
        <v>-0.98932830000000005</v>
      </c>
      <c r="P5827">
        <v>0.34747129999999998</v>
      </c>
      <c r="Q5827">
        <v>-9.5533069999999998E-2</v>
      </c>
      <c r="R5827">
        <v>-0.93281159999999996</v>
      </c>
      <c r="S5827">
        <v>1.927155</v>
      </c>
      <c r="T5827">
        <v>-7.6617959999999999E-2</v>
      </c>
      <c r="U5827">
        <v>-2.4930110000000001</v>
      </c>
      <c r="V5827">
        <v>-0.2077698</v>
      </c>
      <c r="W5827">
        <v>-8.3959989999999998E-2</v>
      </c>
      <c r="X5827">
        <v>0.97456779999999998</v>
      </c>
      <c r="Y5827">
        <v>-0.49018840000000002</v>
      </c>
      <c r="Z5827">
        <v>1.1963379999999999E-2</v>
      </c>
      <c r="AA5827">
        <v>0.87153429999999998</v>
      </c>
      <c r="AB5827">
        <v>29</v>
      </c>
      <c r="AC5827">
        <v>26.615399999999902</v>
      </c>
      <c r="AD5827">
        <v>-1.0593176399999999</v>
      </c>
      <c r="AE5827">
        <v>-34.298131999999903</v>
      </c>
      <c r="AF5827">
        <v>-21.345344710773201</v>
      </c>
      <c r="AG5827">
        <v>-1.0593176399999999</v>
      </c>
      <c r="AH5827">
        <v>37.774003362978597</v>
      </c>
      <c r="AI5827">
        <v>91.398605332405197</v>
      </c>
      <c r="AJ5827">
        <v>119.469935188132</v>
      </c>
      <c r="AK5827">
        <v>43.400705348536398</v>
      </c>
      <c r="AL5827">
        <v>94.816222982499397</v>
      </c>
      <c r="AM5827">
        <v>102.034815081416</v>
      </c>
      <c r="AN5827">
        <v>0.99999998325483896</v>
      </c>
    </row>
    <row r="5828" spans="1:40" x14ac:dyDescent="0.25">
      <c r="A5828" t="str">
        <f>"20190305135045363"</f>
        <v>20190305135045363</v>
      </c>
      <c r="B5828" t="str">
        <f>"1551765045355584"</f>
        <v>1551765045355584</v>
      </c>
      <c r="C5828" t="s">
        <v>40</v>
      </c>
      <c r="D5828">
        <v>3.9753829999999999</v>
      </c>
      <c r="E5828">
        <v>0.3833471</v>
      </c>
      <c r="F5828" t="s">
        <v>42</v>
      </c>
      <c r="G5828">
        <v>-396.53899999999999</v>
      </c>
      <c r="H5828" s="1">
        <v>-3.5445929999999999E-6</v>
      </c>
      <c r="I5828">
        <v>11.23028</v>
      </c>
      <c r="J5828">
        <v>-421.86040000000003</v>
      </c>
      <c r="K5828">
        <v>1.1133839999999999</v>
      </c>
      <c r="L5828">
        <v>43.709290000000003</v>
      </c>
      <c r="M5828">
        <v>0.148399799999999</v>
      </c>
      <c r="N5828">
        <v>-1.3687410000000001E-2</v>
      </c>
      <c r="O5828">
        <v>-0.98883279999999996</v>
      </c>
      <c r="P5828">
        <v>0.35044109999999901</v>
      </c>
      <c r="Q5828">
        <v>-9.5833790000000002E-2</v>
      </c>
      <c r="R5828">
        <v>-0.93166910000000003</v>
      </c>
      <c r="S5828">
        <v>1.9305110000000001</v>
      </c>
      <c r="T5828">
        <v>-8.4763999999999895E-2</v>
      </c>
      <c r="U5828">
        <v>-2.4883120000000001</v>
      </c>
      <c r="V5828">
        <v>-0.20755850000000001</v>
      </c>
      <c r="W5828">
        <v>-8.431922E-2</v>
      </c>
      <c r="X5828">
        <v>0.97458180000000005</v>
      </c>
      <c r="Y5828">
        <v>-0.48874689999999998</v>
      </c>
      <c r="Z5828">
        <v>1.464684E-2</v>
      </c>
      <c r="AA5828">
        <v>0.87230269999999999</v>
      </c>
      <c r="AB5828">
        <v>29</v>
      </c>
      <c r="AC5828">
        <v>25.321400000000001</v>
      </c>
      <c r="AD5828">
        <v>-1.1133875445929999</v>
      </c>
      <c r="AE5828">
        <v>-32.479009999999903</v>
      </c>
      <c r="AF5828">
        <v>-20.205876682903099</v>
      </c>
      <c r="AG5828">
        <v>-1.1133875445929999</v>
      </c>
      <c r="AH5828">
        <v>35.851156017921497</v>
      </c>
      <c r="AI5828">
        <v>91.549743560429803</v>
      </c>
      <c r="AJ5828">
        <v>119.405808177799</v>
      </c>
      <c r="AK5828">
        <v>41.168221629923401</v>
      </c>
      <c r="AL5828">
        <v>94.836878639196101</v>
      </c>
      <c r="AM5828">
        <v>102.02276440654001</v>
      </c>
      <c r="AN5828">
        <v>0.99999997333744906</v>
      </c>
    </row>
    <row r="5829" spans="1:40" x14ac:dyDescent="0.25">
      <c r="A5829" t="str">
        <f>"20190305135045379"</f>
        <v>20190305135045379</v>
      </c>
      <c r="B5829" t="str">
        <f>"1551765045376083"</f>
        <v>1551765045376083</v>
      </c>
      <c r="C5829" t="s">
        <v>40</v>
      </c>
      <c r="D5829">
        <v>3.9523890000000002</v>
      </c>
      <c r="E5829">
        <v>0.38406030000000002</v>
      </c>
      <c r="F5829" t="s">
        <v>42</v>
      </c>
      <c r="G5829">
        <v>-398.36649999999997</v>
      </c>
      <c r="H5829" s="1">
        <v>-2.2352120000000001E-6</v>
      </c>
      <c r="I5829">
        <v>13.51383</v>
      </c>
      <c r="J5829">
        <v>-421.82830000000001</v>
      </c>
      <c r="K5829">
        <v>1.1135330000000001</v>
      </c>
      <c r="L5829">
        <v>43.517969999999998</v>
      </c>
      <c r="M5829">
        <v>0.15170120000000001</v>
      </c>
      <c r="N5829">
        <v>-1.369722E-2</v>
      </c>
      <c r="O5829">
        <v>-0.98833170000000004</v>
      </c>
      <c r="P5829">
        <v>0.35271229999999998</v>
      </c>
      <c r="Q5829">
        <v>-9.5793980000000001E-2</v>
      </c>
      <c r="R5829">
        <v>-0.93081579999999997</v>
      </c>
      <c r="S5829">
        <v>1.9324950000000001</v>
      </c>
      <c r="T5829">
        <v>-9.1581819999999994E-2</v>
      </c>
      <c r="U5829">
        <v>-2.4837340000000001</v>
      </c>
      <c r="V5829">
        <v>-0.206653</v>
      </c>
      <c r="W5829">
        <v>-8.4329509999999996E-2</v>
      </c>
      <c r="X5829">
        <v>0.97477329999999995</v>
      </c>
      <c r="Y5829">
        <v>-0.48701699999999998</v>
      </c>
      <c r="Z5829">
        <v>1.6905380000000001E-2</v>
      </c>
      <c r="AA5829">
        <v>0.87322880000000003</v>
      </c>
      <c r="AB5829">
        <v>29</v>
      </c>
      <c r="AC5829">
        <v>23.4618</v>
      </c>
      <c r="AD5829">
        <v>-1.11353523521199</v>
      </c>
      <c r="AE5829">
        <v>-30.00414</v>
      </c>
      <c r="AF5829">
        <v>-18.622204257364601</v>
      </c>
      <c r="AG5829">
        <v>-1.11353523521199</v>
      </c>
      <c r="AH5829">
        <v>33.187968292921298</v>
      </c>
      <c r="AI5829">
        <v>91.676039563776996</v>
      </c>
      <c r="AJ5829">
        <v>119.297354431814</v>
      </c>
      <c r="AK5829">
        <v>38.071875335147602</v>
      </c>
      <c r="AL5829">
        <v>94.837470396792199</v>
      </c>
      <c r="AM5829">
        <v>101.96954602103</v>
      </c>
      <c r="AN5829">
        <v>0.99999995752936399</v>
      </c>
    </row>
    <row r="5830" spans="1:40" x14ac:dyDescent="0.25">
      <c r="A5830" t="str">
        <f>"20190305135045393"</f>
        <v>20190305135045393</v>
      </c>
      <c r="B5830" t="str">
        <f>"1551765045385841"</f>
        <v>1551765045385841</v>
      </c>
      <c r="C5830" t="s">
        <v>40</v>
      </c>
      <c r="D5830">
        <v>3.9419219999999999</v>
      </c>
      <c r="E5830">
        <v>0.38425379999999998</v>
      </c>
      <c r="F5830" t="s">
        <v>42</v>
      </c>
      <c r="G5830">
        <v>-399.76749999999998</v>
      </c>
      <c r="H5830" s="1">
        <v>-1.246699E-6</v>
      </c>
      <c r="I5830">
        <v>15.20707</v>
      </c>
      <c r="J5830">
        <v>-421.7944</v>
      </c>
      <c r="K5830">
        <v>1.113685</v>
      </c>
      <c r="L5830">
        <v>43.320340000000002</v>
      </c>
      <c r="M5830">
        <v>0.1552434</v>
      </c>
      <c r="N5830">
        <v>-1.3708150000000001E-2</v>
      </c>
      <c r="O5830">
        <v>-0.98778129999999997</v>
      </c>
      <c r="P5830">
        <v>0.35555039999999999</v>
      </c>
      <c r="Q5830">
        <v>-9.5885120000000004E-2</v>
      </c>
      <c r="R5830">
        <v>-0.92972630000000001</v>
      </c>
      <c r="S5830">
        <v>1.9328920000000001</v>
      </c>
      <c r="T5830">
        <v>-9.7563860000000002E-2</v>
      </c>
      <c r="U5830">
        <v>-2.480499</v>
      </c>
      <c r="V5830">
        <v>-0.20610319999999999</v>
      </c>
      <c r="W5830">
        <v>-8.4479319999999997E-2</v>
      </c>
      <c r="X5830">
        <v>0.97487679999999999</v>
      </c>
      <c r="Y5830">
        <v>-0.48449609999999899</v>
      </c>
      <c r="Z5830">
        <v>1.8891270000000002E-2</v>
      </c>
      <c r="AA5830">
        <v>0.87458939999999996</v>
      </c>
      <c r="AB5830">
        <v>29</v>
      </c>
      <c r="AC5830">
        <v>22.026900000000001</v>
      </c>
      <c r="AD5830">
        <v>-1.1136862466990001</v>
      </c>
      <c r="AE5830">
        <v>-28.11327</v>
      </c>
      <c r="AF5830">
        <v>-17.378094001225701</v>
      </c>
      <c r="AG5830">
        <v>-1.1136862466990001</v>
      </c>
      <c r="AH5830">
        <v>31.161918135329699</v>
      </c>
      <c r="AI5830">
        <v>91.787802381591206</v>
      </c>
      <c r="AJ5830">
        <v>119.147134947122</v>
      </c>
      <c r="AK5830">
        <v>35.697389120837897</v>
      </c>
      <c r="AL5830">
        <v>94.846084265649694</v>
      </c>
      <c r="AM5830">
        <v>101.937384875943</v>
      </c>
      <c r="AN5830">
        <v>1.00000002986807</v>
      </c>
    </row>
    <row r="5831" spans="1:40" x14ac:dyDescent="0.25">
      <c r="A5831" t="str">
        <f>"20190305135045406"</f>
        <v>20190305135045406</v>
      </c>
      <c r="B5831" t="str">
        <f>"1551765045395601"</f>
        <v>1551765045395601</v>
      </c>
      <c r="C5831" t="s">
        <v>40</v>
      </c>
      <c r="D5831">
        <v>3.9687429999999999</v>
      </c>
      <c r="E5831">
        <v>0.38451170000000001</v>
      </c>
      <c r="F5831" t="s">
        <v>85</v>
      </c>
      <c r="G5831">
        <v>-400.16550000000001</v>
      </c>
      <c r="H5831" s="1">
        <v>-7.2149869999999998E-6</v>
      </c>
      <c r="I5831">
        <v>15.71109</v>
      </c>
      <c r="J5831">
        <v>-421.7654</v>
      </c>
      <c r="K5831">
        <v>1.1138129999999999</v>
      </c>
      <c r="L5831">
        <v>43.155000000000001</v>
      </c>
      <c r="M5831">
        <v>0.15832460000000001</v>
      </c>
      <c r="N5831">
        <v>-1.371823E-2</v>
      </c>
      <c r="O5831">
        <v>-0.98729180000000005</v>
      </c>
      <c r="P5831">
        <v>0.35774479999999997</v>
      </c>
      <c r="Q5831">
        <v>-9.6081589999999995E-2</v>
      </c>
      <c r="R5831">
        <v>-0.9288632</v>
      </c>
      <c r="S5831">
        <v>1.938904</v>
      </c>
      <c r="T5831">
        <v>-9.9835869999999993E-2</v>
      </c>
      <c r="U5831">
        <v>-2.475006</v>
      </c>
      <c r="V5831">
        <v>-0.2053393</v>
      </c>
      <c r="W5831">
        <v>-8.4721770000000002E-2</v>
      </c>
      <c r="X5831">
        <v>0.97501689999999996</v>
      </c>
      <c r="Y5831">
        <v>-0.484014</v>
      </c>
      <c r="Z5831">
        <v>1.96554E-2</v>
      </c>
      <c r="AA5831">
        <v>0.87483949999999999</v>
      </c>
      <c r="AB5831">
        <v>29</v>
      </c>
      <c r="AC5831">
        <v>21.599899999999899</v>
      </c>
      <c r="AD5831">
        <v>-1.113820214987</v>
      </c>
      <c r="AE5831">
        <v>-27.443909999999999</v>
      </c>
      <c r="AF5831">
        <v>-16.964701350704502</v>
      </c>
      <c r="AG5831">
        <v>-1.113820214987</v>
      </c>
      <c r="AH5831">
        <v>30.486806549430099</v>
      </c>
      <c r="AI5831">
        <v>91.828525370591805</v>
      </c>
      <c r="AJ5831">
        <v>119.094206469033</v>
      </c>
      <c r="AK5831">
        <v>34.906834015308299</v>
      </c>
      <c r="AL5831">
        <v>94.860025846199093</v>
      </c>
      <c r="AM5831">
        <v>101.892742286451</v>
      </c>
      <c r="AN5831">
        <v>0.99999998086101605</v>
      </c>
    </row>
    <row r="5832" spans="1:40" x14ac:dyDescent="0.25">
      <c r="A5832" t="str">
        <f>"20190305135045422"</f>
        <v>20190305135045422</v>
      </c>
      <c r="B5832" t="str">
        <f>"1551765045416097"</f>
        <v>1551765045416097</v>
      </c>
      <c r="C5832" t="s">
        <v>40</v>
      </c>
      <c r="D5832">
        <v>3.939486</v>
      </c>
      <c r="E5832">
        <v>0.38489620000000002</v>
      </c>
      <c r="F5832" t="s">
        <v>85</v>
      </c>
      <c r="G5832">
        <v>-400.48430000000002</v>
      </c>
      <c r="H5832" s="1">
        <v>-7.1508009999999996E-6</v>
      </c>
      <c r="I5832">
        <v>16.08933</v>
      </c>
      <c r="J5832">
        <v>-421.7296</v>
      </c>
      <c r="K5832">
        <v>1.1139650000000001</v>
      </c>
      <c r="L5832">
        <v>42.957059999999998</v>
      </c>
      <c r="M5832">
        <v>0.16216529999999901</v>
      </c>
      <c r="N5832">
        <v>-1.373125E-2</v>
      </c>
      <c r="O5832">
        <v>-0.9866682</v>
      </c>
      <c r="P5832">
        <v>0.36077730000000002</v>
      </c>
      <c r="Q5832">
        <v>-9.5975389999999994E-2</v>
      </c>
      <c r="R5832">
        <v>-0.92770090000000005</v>
      </c>
      <c r="S5832">
        <v>1.942841</v>
      </c>
      <c r="T5832">
        <v>-0.1016856</v>
      </c>
      <c r="U5832">
        <v>-2.4709469999999998</v>
      </c>
      <c r="V5832">
        <v>-0.20469860000000001</v>
      </c>
      <c r="W5832">
        <v>-8.4671330000000003E-2</v>
      </c>
      <c r="X5832">
        <v>0.97515600000000002</v>
      </c>
      <c r="Y5832">
        <v>-0.48215829999999998</v>
      </c>
      <c r="Z5832">
        <v>2.0281049999999998E-2</v>
      </c>
      <c r="AA5832">
        <v>0.87584930000000005</v>
      </c>
      <c r="AB5832">
        <v>29</v>
      </c>
      <c r="AC5832">
        <v>21.245299999999901</v>
      </c>
      <c r="AD5832">
        <v>-1.1139721508010001</v>
      </c>
      <c r="AE5832">
        <v>-26.867730000000002</v>
      </c>
      <c r="AF5832">
        <v>-16.589065560951202</v>
      </c>
      <c r="AG5832">
        <v>-1.1139721508010001</v>
      </c>
      <c r="AH5832">
        <v>29.9259528739695</v>
      </c>
      <c r="AI5832">
        <v>91.864703142345704</v>
      </c>
      <c r="AJ5832">
        <v>119.001228782193</v>
      </c>
      <c r="AK5832">
        <v>34.234495549859403</v>
      </c>
      <c r="AL5832">
        <v>94.857125392148603</v>
      </c>
      <c r="AM5832">
        <v>101.855043033595</v>
      </c>
      <c r="AN5832">
        <v>0.99999998765096398</v>
      </c>
    </row>
    <row r="5833" spans="1:40" x14ac:dyDescent="0.25">
      <c r="A5833" t="str">
        <f>"20190305135045435"</f>
        <v>20190305135045435</v>
      </c>
      <c r="B5833" t="str">
        <f>"1551765045425857"</f>
        <v>1551765045425857</v>
      </c>
      <c r="C5833" t="s">
        <v>40</v>
      </c>
      <c r="D5833">
        <v>3.9725709999999999</v>
      </c>
      <c r="E5833">
        <v>0.38505289999999998</v>
      </c>
      <c r="F5833" t="s">
        <v>85</v>
      </c>
      <c r="G5833">
        <v>-400.60849999999999</v>
      </c>
      <c r="H5833" s="1">
        <v>-7.1244440000000003E-6</v>
      </c>
      <c r="I5833">
        <v>16.224540000000001</v>
      </c>
      <c r="J5833">
        <v>-421.69959999999998</v>
      </c>
      <c r="K5833">
        <v>1.1140920000000001</v>
      </c>
      <c r="L5833">
        <v>42.794249999999998</v>
      </c>
      <c r="M5833">
        <v>0.16542390000000001</v>
      </c>
      <c r="N5833">
        <v>-1.37420999999999E-2</v>
      </c>
      <c r="O5833">
        <v>-0.98612690000000003</v>
      </c>
      <c r="P5833">
        <v>0.36356480000000002</v>
      </c>
      <c r="Q5833">
        <v>-9.5425179999999998E-2</v>
      </c>
      <c r="R5833">
        <v>-0.92666870000000001</v>
      </c>
      <c r="S5833">
        <v>1.948029</v>
      </c>
      <c r="T5833">
        <v>-0.1027431</v>
      </c>
      <c r="U5833">
        <v>-2.465576</v>
      </c>
      <c r="V5833">
        <v>-0.20437949999999999</v>
      </c>
      <c r="W5833">
        <v>-8.4168930000000003E-2</v>
      </c>
      <c r="X5833">
        <v>0.97526650000000004</v>
      </c>
      <c r="Y5833">
        <v>-0.4813209</v>
      </c>
      <c r="Z5833">
        <v>2.0651880000000001E-2</v>
      </c>
      <c r="AA5833">
        <v>0.876301199999999</v>
      </c>
      <c r="AB5833">
        <v>29</v>
      </c>
      <c r="AC5833">
        <v>21.091099999999901</v>
      </c>
      <c r="AD5833">
        <v>-1.1140991244439999</v>
      </c>
      <c r="AE5833">
        <v>-26.569710000000001</v>
      </c>
      <c r="AF5833">
        <v>-16.387108763612002</v>
      </c>
      <c r="AG5833">
        <v>-1.1140991244439999</v>
      </c>
      <c r="AH5833">
        <v>29.660887239700799</v>
      </c>
      <c r="AI5833">
        <v>91.883047718824201</v>
      </c>
      <c r="AJ5833">
        <v>118.919863844842</v>
      </c>
      <c r="AK5833">
        <v>33.904966927218503</v>
      </c>
      <c r="AL5833">
        <v>94.828236481008702</v>
      </c>
      <c r="AM5833">
        <v>101.83578091384</v>
      </c>
      <c r="AN5833">
        <v>1.0000000674099201</v>
      </c>
    </row>
    <row r="5834" spans="1:40" x14ac:dyDescent="0.25">
      <c r="A5834" t="str">
        <f>"20190305135045448"</f>
        <v>20190305135045448</v>
      </c>
      <c r="B5834" t="str">
        <f>"1551765045435617"</f>
        <v>1551765045435617</v>
      </c>
      <c r="C5834" t="s">
        <v>40</v>
      </c>
      <c r="D5834">
        <v>3.9931139999999998</v>
      </c>
      <c r="E5834">
        <v>0.38520929999999998</v>
      </c>
      <c r="F5834" t="s">
        <v>85</v>
      </c>
      <c r="G5834">
        <v>-400.16789999999997</v>
      </c>
      <c r="H5834" s="1">
        <v>-7.211566E-6</v>
      </c>
      <c r="I5834">
        <v>15.68787</v>
      </c>
      <c r="J5834">
        <v>-421.66930000000002</v>
      </c>
      <c r="K5834">
        <v>1.114217</v>
      </c>
      <c r="L5834">
        <v>42.63297</v>
      </c>
      <c r="M5834">
        <v>0.16874239999999999</v>
      </c>
      <c r="N5834">
        <v>-1.375285E-2</v>
      </c>
      <c r="O5834">
        <v>-0.98556440000000001</v>
      </c>
      <c r="P5834">
        <v>0.3664058</v>
      </c>
      <c r="Q5834">
        <v>-9.5021750000000002E-2</v>
      </c>
      <c r="R5834">
        <v>-0.92559060000000004</v>
      </c>
      <c r="S5834">
        <v>1.954285</v>
      </c>
      <c r="T5834">
        <v>-0.1011194</v>
      </c>
      <c r="U5834">
        <v>-2.4602659999999998</v>
      </c>
      <c r="V5834">
        <v>-0.20406050000000001</v>
      </c>
      <c r="W5834">
        <v>-8.3813310000000002E-2</v>
      </c>
      <c r="X5834">
        <v>0.97536389999999995</v>
      </c>
      <c r="Y5834">
        <v>-0.48066569999999997</v>
      </c>
      <c r="Z5834">
        <v>2.013937E-2</v>
      </c>
      <c r="AA5834">
        <v>0.87667260000000002</v>
      </c>
      <c r="AB5834">
        <v>29</v>
      </c>
      <c r="AC5834">
        <v>21.5014</v>
      </c>
      <c r="AD5834">
        <v>-1.1142242115659999</v>
      </c>
      <c r="AE5834">
        <v>-26.9451</v>
      </c>
      <c r="AF5834">
        <v>-16.628433005515799</v>
      </c>
      <c r="AG5834">
        <v>-1.1142242115659999</v>
      </c>
      <c r="AH5834">
        <v>30.155674859124002</v>
      </c>
      <c r="AI5834">
        <v>91.853212775327293</v>
      </c>
      <c r="AJ5834">
        <v>118.87320734154601</v>
      </c>
      <c r="AK5834">
        <v>34.454477300080697</v>
      </c>
      <c r="AL5834">
        <v>94.807788798516</v>
      </c>
      <c r="AM5834">
        <v>101.816680316964</v>
      </c>
      <c r="AN5834">
        <v>1.0000000480083</v>
      </c>
    </row>
    <row r="5835" spans="1:40" x14ac:dyDescent="0.25">
      <c r="A5835" t="str">
        <f>"20190305135045460"</f>
        <v>20190305135045460</v>
      </c>
      <c r="B5835" t="str">
        <f>"1551765045456113"</f>
        <v>1551765045456113</v>
      </c>
      <c r="C5835" t="s">
        <v>40</v>
      </c>
      <c r="D5835">
        <v>3.965773</v>
      </c>
      <c r="E5835">
        <v>0.3855537</v>
      </c>
      <c r="F5835" t="s">
        <v>85</v>
      </c>
      <c r="G5835">
        <v>-400.18299999999999</v>
      </c>
      <c r="H5835" s="1">
        <v>-7.2108910000000002E-6</v>
      </c>
      <c r="I5835">
        <v>15.72677</v>
      </c>
      <c r="J5835">
        <v>-421.63740000000001</v>
      </c>
      <c r="K5835">
        <v>1.1143400000000001</v>
      </c>
      <c r="L5835">
        <v>42.468319999999999</v>
      </c>
      <c r="M5835">
        <v>0.172269799999999</v>
      </c>
      <c r="N5835">
        <v>-1.376526E-2</v>
      </c>
      <c r="O5835">
        <v>-0.98495379999999999</v>
      </c>
      <c r="P5835">
        <v>0.36951240000000002</v>
      </c>
      <c r="Q5835">
        <v>-9.4220639999999994E-2</v>
      </c>
      <c r="R5835">
        <v>-0.92443690000000001</v>
      </c>
      <c r="S5835">
        <v>1.9602660000000001</v>
      </c>
      <c r="T5835">
        <v>-0.10165440000000001</v>
      </c>
      <c r="U5835">
        <v>-2.454742</v>
      </c>
      <c r="V5835">
        <v>-0.20381389999999999</v>
      </c>
      <c r="W5835">
        <v>-8.3059309999999997E-2</v>
      </c>
      <c r="X5835">
        <v>0.97547989999999996</v>
      </c>
      <c r="Y5835">
        <v>-0.47978929999999997</v>
      </c>
      <c r="Z5835">
        <v>2.033505E-2</v>
      </c>
      <c r="AA5835">
        <v>0.87714799999999904</v>
      </c>
      <c r="AB5835">
        <v>29</v>
      </c>
      <c r="AC5835">
        <v>21.4543999999999</v>
      </c>
      <c r="AD5835">
        <v>-1.114347210891</v>
      </c>
      <c r="AE5835">
        <v>-26.74155</v>
      </c>
      <c r="AF5835">
        <v>-16.508953096073501</v>
      </c>
      <c r="AG5835">
        <v>-1.114347210891</v>
      </c>
      <c r="AH5835">
        <v>30.0062765790741</v>
      </c>
      <c r="AI5835">
        <v>91.863611466767196</v>
      </c>
      <c r="AJ5835">
        <v>118.818857529943</v>
      </c>
      <c r="AK5835">
        <v>34.266075587593399</v>
      </c>
      <c r="AL5835">
        <v>94.764436870459505</v>
      </c>
      <c r="AM5835">
        <v>101.801436894595</v>
      </c>
      <c r="AN5835">
        <v>0.99999999505744797</v>
      </c>
    </row>
    <row r="5836" spans="1:40" x14ac:dyDescent="0.25">
      <c r="A5836" t="str">
        <f>"20190305135045474"</f>
        <v>20190305135045474</v>
      </c>
      <c r="B5836" t="str">
        <f>"1551765045465873"</f>
        <v>1551765045465873</v>
      </c>
      <c r="C5836" t="s">
        <v>40</v>
      </c>
      <c r="D5836">
        <v>3.993465</v>
      </c>
      <c r="E5836">
        <v>0.38562210000000002</v>
      </c>
      <c r="F5836" t="s">
        <v>85</v>
      </c>
      <c r="G5836">
        <v>-399.96120000000002</v>
      </c>
      <c r="H5836" s="1">
        <v>-7.2552969999999999E-6</v>
      </c>
      <c r="I5836">
        <v>15.461379999999901</v>
      </c>
      <c r="J5836">
        <v>-421.60509999999999</v>
      </c>
      <c r="K5836">
        <v>1.1144670000000001</v>
      </c>
      <c r="L5836">
        <v>42.304110000000001</v>
      </c>
      <c r="M5836">
        <v>0.17585880000000001</v>
      </c>
      <c r="N5836">
        <v>-1.3777670000000001E-2</v>
      </c>
      <c r="O5836">
        <v>-0.98431919999999995</v>
      </c>
      <c r="P5836">
        <v>0.37284420000000001</v>
      </c>
      <c r="Q5836">
        <v>-9.4624929999999996E-2</v>
      </c>
      <c r="R5836">
        <v>-0.92305680000000001</v>
      </c>
      <c r="S5836">
        <v>1.965759</v>
      </c>
      <c r="T5836">
        <v>-0.1010572</v>
      </c>
      <c r="U5836">
        <v>-2.4491879999999999</v>
      </c>
      <c r="V5836">
        <v>-0.20375360000000001</v>
      </c>
      <c r="W5836">
        <v>-8.3514420000000006E-2</v>
      </c>
      <c r="X5836">
        <v>0.97545369999999998</v>
      </c>
      <c r="Y5836">
        <v>-0.4787611</v>
      </c>
      <c r="Z5836">
        <v>2.0162889999999999E-2</v>
      </c>
      <c r="AA5836">
        <v>0.87771369999999904</v>
      </c>
      <c r="AB5836">
        <v>29</v>
      </c>
      <c r="AC5836">
        <v>21.643899999999899</v>
      </c>
      <c r="AD5836">
        <v>-1.1144742552969999</v>
      </c>
      <c r="AE5836">
        <v>-26.84273</v>
      </c>
      <c r="AF5836">
        <v>-16.568239083395</v>
      </c>
      <c r="AG5836">
        <v>-1.1144742552969999</v>
      </c>
      <c r="AH5836">
        <v>30.199400590775799</v>
      </c>
      <c r="AI5836">
        <v>91.853128076796395</v>
      </c>
      <c r="AJ5836">
        <v>118.750409165699</v>
      </c>
      <c r="AK5836">
        <v>34.463783820590699</v>
      </c>
      <c r="AL5836">
        <v>94.790603381879393</v>
      </c>
      <c r="AM5836">
        <v>101.798351225193</v>
      </c>
      <c r="AN5836">
        <v>1.00000005435229</v>
      </c>
    </row>
    <row r="5837" spans="1:40" x14ac:dyDescent="0.25">
      <c r="A5837" t="str">
        <f>"20190305135045489"</f>
        <v>20190305135045489</v>
      </c>
      <c r="B5837" t="str">
        <f>"1551765045486369"</f>
        <v>1551765045486369</v>
      </c>
      <c r="C5837" t="s">
        <v>40</v>
      </c>
      <c r="D5837">
        <v>3.9760249999999999</v>
      </c>
      <c r="E5837">
        <v>0.38576680000000002</v>
      </c>
      <c r="F5837" t="s">
        <v>85</v>
      </c>
      <c r="G5837">
        <v>-400.36680000000001</v>
      </c>
      <c r="H5837" s="1">
        <v>-7.1841800000000001E-6</v>
      </c>
      <c r="I5837">
        <v>16.03641</v>
      </c>
      <c r="J5837">
        <v>-421.56720000000001</v>
      </c>
      <c r="K5837">
        <v>1.114609</v>
      </c>
      <c r="L5837">
        <v>42.115720000000003</v>
      </c>
      <c r="M5837">
        <v>0.1800909</v>
      </c>
      <c r="N5837">
        <v>-1.3792219999999999E-2</v>
      </c>
      <c r="O5837">
        <v>-0.98355320000000002</v>
      </c>
      <c r="P5837">
        <v>0.37691859999999999</v>
      </c>
      <c r="Q5837">
        <v>-9.4638420000000001E-2</v>
      </c>
      <c r="R5837">
        <v>-0.92139879999999996</v>
      </c>
      <c r="S5837">
        <v>1.974396</v>
      </c>
      <c r="T5837">
        <v>-0.1036062</v>
      </c>
      <c r="U5837">
        <v>-2.4419559999999998</v>
      </c>
      <c r="V5837">
        <v>-0.20383789999999999</v>
      </c>
      <c r="W5837">
        <v>-8.3587259999999997E-2</v>
      </c>
      <c r="X5837">
        <v>0.97542980000000001</v>
      </c>
      <c r="Y5837">
        <v>-0.47811959999999998</v>
      </c>
      <c r="Z5837">
        <v>2.1018479999999999E-2</v>
      </c>
      <c r="AA5837">
        <v>0.87804319999999902</v>
      </c>
      <c r="AB5837">
        <v>29</v>
      </c>
      <c r="AC5837">
        <v>21.200399999999998</v>
      </c>
      <c r="AD5837">
        <v>-1.11461618418</v>
      </c>
      <c r="AE5837">
        <v>-26.07931</v>
      </c>
      <c r="AF5837">
        <v>-16.138862574652201</v>
      </c>
      <c r="AG5837">
        <v>-1.11461618418</v>
      </c>
      <c r="AH5837">
        <v>29.438815189954799</v>
      </c>
      <c r="AI5837">
        <v>91.901542181375504</v>
      </c>
      <c r="AJ5837">
        <v>118.732307591181</v>
      </c>
      <c r="AK5837">
        <v>33.590907910174998</v>
      </c>
      <c r="AL5837">
        <v>94.794791676746698</v>
      </c>
      <c r="AM5837">
        <v>101.803376795747</v>
      </c>
      <c r="AN5837">
        <v>1.00000000711937</v>
      </c>
    </row>
    <row r="5838" spans="1:40" x14ac:dyDescent="0.25">
      <c r="A5838" t="str">
        <f>"20190305135045503"</f>
        <v>20190305135045503</v>
      </c>
      <c r="B5838" t="str">
        <f>"1551765045496129"</f>
        <v>1551765045496129</v>
      </c>
      <c r="C5838" t="s">
        <v>40</v>
      </c>
      <c r="D5838">
        <v>3.992534</v>
      </c>
      <c r="E5838">
        <v>0.38579039999999998</v>
      </c>
      <c r="F5838" t="s">
        <v>85</v>
      </c>
      <c r="G5838">
        <v>-400.54790000000003</v>
      </c>
      <c r="H5838" s="1">
        <v>-7.1576459999999999E-6</v>
      </c>
      <c r="I5838">
        <v>16.339189999999999</v>
      </c>
      <c r="J5838">
        <v>-421.5292</v>
      </c>
      <c r="K5838">
        <v>1.1147419999999999</v>
      </c>
      <c r="L5838">
        <v>41.932589999999998</v>
      </c>
      <c r="M5838">
        <v>0.18435799999999999</v>
      </c>
      <c r="N5838">
        <v>-1.380724E-2</v>
      </c>
      <c r="O5838">
        <v>-0.98276220000000003</v>
      </c>
      <c r="P5838">
        <v>0.38115690000000002</v>
      </c>
      <c r="Q5838">
        <v>-9.4906400000000002E-2</v>
      </c>
      <c r="R5838">
        <v>-0.91962650000000001</v>
      </c>
      <c r="S5838">
        <v>1.9843139999999999</v>
      </c>
      <c r="T5838">
        <v>-0.1052244</v>
      </c>
      <c r="U5838">
        <v>-2.433411</v>
      </c>
      <c r="V5838">
        <v>-0.204069</v>
      </c>
      <c r="W5838">
        <v>-8.3911849999999996E-2</v>
      </c>
      <c r="X5838">
        <v>0.97535360000000004</v>
      </c>
      <c r="Y5838">
        <v>-0.4779582</v>
      </c>
      <c r="Z5838">
        <v>2.157338E-2</v>
      </c>
      <c r="AA5838">
        <v>0.87811759999999905</v>
      </c>
      <c r="AB5838">
        <v>29</v>
      </c>
      <c r="AC5838">
        <v>20.981299999999901</v>
      </c>
      <c r="AD5838">
        <v>-1.11474915764599</v>
      </c>
      <c r="AE5838">
        <v>-25.593399999999999</v>
      </c>
      <c r="AF5838">
        <v>-15.884773003553899</v>
      </c>
      <c r="AG5838">
        <v>-1.11474915764599</v>
      </c>
      <c r="AH5838">
        <v>28.9901699190473</v>
      </c>
      <c r="AI5838">
        <v>91.931406323438296</v>
      </c>
      <c r="AJ5838">
        <v>118.719944346812</v>
      </c>
      <c r="AK5838">
        <v>33.075650122017898</v>
      </c>
      <c r="AL5838">
        <v>94.813454914157703</v>
      </c>
      <c r="AM5838">
        <v>101.81727997589</v>
      </c>
      <c r="AN5838">
        <v>1.00000000018219</v>
      </c>
    </row>
    <row r="5839" spans="1:40" x14ac:dyDescent="0.25">
      <c r="A5839" t="str">
        <f>"20190305135045518"</f>
        <v>20190305135045518</v>
      </c>
      <c r="B5839" t="str">
        <f>"1551765045515648"</f>
        <v>1551765045515648</v>
      </c>
      <c r="C5839" t="s">
        <v>40</v>
      </c>
      <c r="D5839">
        <v>3.9972379999999998</v>
      </c>
      <c r="E5839">
        <v>0.38586029999999999</v>
      </c>
      <c r="F5839" t="s">
        <v>85</v>
      </c>
      <c r="G5839">
        <v>-400.74360000000001</v>
      </c>
      <c r="H5839" s="1">
        <v>-7.1301419999999996E-6</v>
      </c>
      <c r="I5839">
        <v>16.677240000000001</v>
      </c>
      <c r="J5839">
        <v>-421.4905</v>
      </c>
      <c r="K5839">
        <v>1.1148690000000001</v>
      </c>
      <c r="L5839">
        <v>41.750489999999999</v>
      </c>
      <c r="M5839">
        <v>0.18869900000000001</v>
      </c>
      <c r="N5839">
        <v>-1.382194E-2</v>
      </c>
      <c r="O5839">
        <v>-0.98193790000000003</v>
      </c>
      <c r="P5839">
        <v>0.38556049999999997</v>
      </c>
      <c r="Q5839">
        <v>-9.5172640000000003E-2</v>
      </c>
      <c r="R5839">
        <v>-0.9177613</v>
      </c>
      <c r="S5839">
        <v>1.9951779999999999</v>
      </c>
      <c r="T5839">
        <v>-0.10700320000000001</v>
      </c>
      <c r="U5839">
        <v>-2.4242249999999999</v>
      </c>
      <c r="V5839">
        <v>-0.20440900000000001</v>
      </c>
      <c r="W5839">
        <v>-8.423522E-2</v>
      </c>
      <c r="X5839">
        <v>0.97525450000000002</v>
      </c>
      <c r="Y5839">
        <v>-0.47804540000000001</v>
      </c>
      <c r="Z5839">
        <v>2.2181449999999998E-2</v>
      </c>
      <c r="AA5839">
        <v>0.87805499999999903</v>
      </c>
      <c r="AB5839">
        <v>29</v>
      </c>
      <c r="AC5839">
        <v>20.746899999999901</v>
      </c>
      <c r="AD5839">
        <v>-1.114876130142</v>
      </c>
      <c r="AE5839">
        <v>-25.073250000000002</v>
      </c>
      <c r="AF5839">
        <v>-15.624025214614999</v>
      </c>
      <c r="AG5839">
        <v>-1.114876130142</v>
      </c>
      <c r="AH5839">
        <v>28.504561617136002</v>
      </c>
      <c r="AI5839">
        <v>91.964353247586502</v>
      </c>
      <c r="AJ5839">
        <v>118.728190765401</v>
      </c>
      <c r="AK5839">
        <v>32.524808157429497</v>
      </c>
      <c r="AL5839">
        <v>94.832048598719794</v>
      </c>
      <c r="AM5839">
        <v>101.837582629205</v>
      </c>
      <c r="AN5839">
        <v>0.999999975669848</v>
      </c>
    </row>
    <row r="5840" spans="1:40" x14ac:dyDescent="0.25">
      <c r="A5840" t="str">
        <f>"20190305135045532"</f>
        <v>20190305135045532</v>
      </c>
      <c r="B5840" t="str">
        <f>"1551765045526386"</f>
        <v>1551765045526386</v>
      </c>
      <c r="C5840" t="s">
        <v>40</v>
      </c>
      <c r="D5840">
        <v>4.0183070000000001</v>
      </c>
      <c r="E5840">
        <v>0.38589849999999998</v>
      </c>
      <c r="F5840" t="s">
        <v>85</v>
      </c>
      <c r="G5840">
        <v>-400.91230000000002</v>
      </c>
      <c r="H5840" s="1">
        <v>-7.1082050000000003E-6</v>
      </c>
      <c r="I5840">
        <v>16.984200000000001</v>
      </c>
      <c r="J5840">
        <v>-421.4545</v>
      </c>
      <c r="K5840">
        <v>1.1149830000000001</v>
      </c>
      <c r="L5840">
        <v>41.583889999999997</v>
      </c>
      <c r="M5840">
        <v>0.19274759999999999</v>
      </c>
      <c r="N5840">
        <v>-1.3835139999999999E-2</v>
      </c>
      <c r="O5840">
        <v>-0.98115090000000005</v>
      </c>
      <c r="P5840">
        <v>0.39009149999999998</v>
      </c>
      <c r="Q5840">
        <v>-9.5517199999999997E-2</v>
      </c>
      <c r="R5840">
        <v>-0.91580859999999997</v>
      </c>
      <c r="S5840">
        <v>2.006348</v>
      </c>
      <c r="T5840">
        <v>-0.10869860000000001</v>
      </c>
      <c r="U5840">
        <v>-2.4146730000000001</v>
      </c>
      <c r="V5840">
        <v>-0.20518359999999999</v>
      </c>
      <c r="W5840">
        <v>-8.4638569999999996E-2</v>
      </c>
      <c r="X5840">
        <v>0.9750569</v>
      </c>
      <c r="Y5840">
        <v>-0.47852240000000001</v>
      </c>
      <c r="Z5840">
        <v>2.276365E-2</v>
      </c>
      <c r="AA5840">
        <v>0.87778029999999996</v>
      </c>
      <c r="AB5840">
        <v>29</v>
      </c>
      <c r="AC5840">
        <v>20.542199999999902</v>
      </c>
      <c r="AD5840">
        <v>-1.114990108205</v>
      </c>
      <c r="AE5840">
        <v>-24.599689999999999</v>
      </c>
      <c r="AF5840">
        <v>-15.396305899700099</v>
      </c>
      <c r="AG5840">
        <v>-1.114990108205</v>
      </c>
      <c r="AH5840">
        <v>28.064187047321902</v>
      </c>
      <c r="AI5840">
        <v>91.994947262094797</v>
      </c>
      <c r="AJ5840">
        <v>118.749632245909</v>
      </c>
      <c r="AK5840">
        <v>32.0294869288537</v>
      </c>
      <c r="AL5840">
        <v>94.855241668502998</v>
      </c>
      <c r="AM5840">
        <v>101.883507382174</v>
      </c>
      <c r="AN5840">
        <v>0.99999997773910698</v>
      </c>
    </row>
    <row r="5841" spans="1:40" x14ac:dyDescent="0.25">
      <c r="A5841" t="str">
        <f>"20190305135045545"</f>
        <v>20190305135045545</v>
      </c>
      <c r="B5841" t="str">
        <f>"1551765045536146"</f>
        <v>1551765045536146</v>
      </c>
      <c r="C5841" t="s">
        <v>40</v>
      </c>
      <c r="D5841">
        <v>3.9836459999999998</v>
      </c>
      <c r="E5841">
        <v>0.38597979999999998</v>
      </c>
      <c r="F5841" t="s">
        <v>41</v>
      </c>
      <c r="G5841">
        <v>-420.73970000000003</v>
      </c>
      <c r="H5841">
        <v>1.07582</v>
      </c>
      <c r="I5841">
        <v>40.731949999999998</v>
      </c>
      <c r="J5841">
        <v>-421.41500000000002</v>
      </c>
      <c r="K5841">
        <v>1.115105</v>
      </c>
      <c r="L5841">
        <v>41.406309999999998</v>
      </c>
      <c r="M5841">
        <v>0.1971793</v>
      </c>
      <c r="N5841">
        <v>-1.3849729999999999E-2</v>
      </c>
      <c r="O5841">
        <v>-0.98026979999999997</v>
      </c>
      <c r="P5841">
        <v>0.39505990000000002</v>
      </c>
      <c r="Q5841">
        <v>-9.5524849999999994E-2</v>
      </c>
      <c r="R5841">
        <v>-0.91367569999999998</v>
      </c>
      <c r="S5841">
        <v>2.0181269999999998</v>
      </c>
      <c r="T5841">
        <v>-0.1105338</v>
      </c>
      <c r="U5841">
        <v>-2.404633</v>
      </c>
      <c r="V5841">
        <v>-0.2060476</v>
      </c>
      <c r="W5841">
        <v>-8.4705870000000003E-2</v>
      </c>
      <c r="X5841">
        <v>0.97486879999999998</v>
      </c>
      <c r="Y5841">
        <v>-0.4788713</v>
      </c>
      <c r="Z5841">
        <v>2.3392E-2</v>
      </c>
      <c r="AA5841">
        <v>0.87757339999999995</v>
      </c>
      <c r="AB5841">
        <v>29</v>
      </c>
      <c r="AC5841">
        <v>0.67529999999999202</v>
      </c>
      <c r="AD5841">
        <v>-3.9285E-2</v>
      </c>
      <c r="AE5841">
        <v>-0.67435999999999996</v>
      </c>
      <c r="AF5841">
        <v>-0.52816205159331797</v>
      </c>
      <c r="AG5841">
        <v>-3.9285E-2</v>
      </c>
      <c r="AH5841">
        <v>0.79294233839228001</v>
      </c>
      <c r="AI5841">
        <v>92.361180739521799</v>
      </c>
      <c r="AJ5841">
        <v>123.666741214783</v>
      </c>
      <c r="AK5841">
        <v>0.95354916809951595</v>
      </c>
      <c r="AL5841">
        <v>94.8591117676918</v>
      </c>
      <c r="AM5841">
        <v>101.934352032066</v>
      </c>
      <c r="AN5841">
        <v>0.99999993754582595</v>
      </c>
    </row>
    <row r="5842" spans="1:40" x14ac:dyDescent="0.25">
      <c r="A5842" t="str">
        <f>"20190305135045596"</f>
        <v>20190305135045596</v>
      </c>
      <c r="B5842" t="str">
        <f>"1551765045585921"</f>
        <v>1551765045585921</v>
      </c>
      <c r="C5842" t="s">
        <v>40</v>
      </c>
      <c r="D5842">
        <v>3.7381500000000001</v>
      </c>
      <c r="E5842">
        <v>0.38517580000000001</v>
      </c>
      <c r="F5842" t="s">
        <v>85</v>
      </c>
      <c r="G5842">
        <v>-401.0951</v>
      </c>
      <c r="H5842" s="1">
        <v>-7.0995530000000004E-6</v>
      </c>
      <c r="I5842">
        <v>17.451260000000001</v>
      </c>
      <c r="J5842">
        <v>-421.26839999999999</v>
      </c>
      <c r="K5842">
        <v>1.115491</v>
      </c>
      <c r="L5842">
        <v>40.78116</v>
      </c>
      <c r="M5842">
        <v>0.2134894</v>
      </c>
      <c r="N5842">
        <v>-1.38999E-2</v>
      </c>
      <c r="O5842">
        <v>-0.97684660000000001</v>
      </c>
      <c r="P5842">
        <v>0.41641299999999998</v>
      </c>
      <c r="Q5842">
        <v>-9.5349920000000005E-2</v>
      </c>
      <c r="R5842">
        <v>-0.90416200000000002</v>
      </c>
      <c r="S5842">
        <v>2.030548</v>
      </c>
      <c r="T5842">
        <v>-0.11143169999999999</v>
      </c>
      <c r="U5842">
        <v>-2.393799</v>
      </c>
      <c r="V5842">
        <v>-0.2126075</v>
      </c>
      <c r="W5842">
        <v>-8.478434E-2</v>
      </c>
      <c r="X5842">
        <v>0.9734524</v>
      </c>
      <c r="Y5842">
        <v>-0.46881400000000001</v>
      </c>
      <c r="Z5842">
        <v>2.371036E-2</v>
      </c>
      <c r="AA5842">
        <v>0.88297859999999995</v>
      </c>
      <c r="AB5842">
        <v>29</v>
      </c>
      <c r="AC5842">
        <v>20.173299999999902</v>
      </c>
      <c r="AD5842">
        <v>-1.1154980995529999</v>
      </c>
      <c r="AE5842">
        <v>-23.329899999999999</v>
      </c>
      <c r="AF5842">
        <v>-14.7077150255645</v>
      </c>
      <c r="AG5842">
        <v>-1.1154980995529999</v>
      </c>
      <c r="AH5842">
        <v>27.063731972762501</v>
      </c>
      <c r="AI5842">
        <v>92.074067862807894</v>
      </c>
      <c r="AJ5842">
        <v>118.52175398334199</v>
      </c>
      <c r="AK5842">
        <v>30.822180415681999</v>
      </c>
      <c r="AL5842">
        <v>94.863623918542004</v>
      </c>
      <c r="AM5842">
        <v>102.32025687779399</v>
      </c>
      <c r="AN5842">
        <v>0.99999995421562105</v>
      </c>
    </row>
    <row r="5843" spans="1:40" x14ac:dyDescent="0.25">
      <c r="A5843" t="str">
        <f>"20190305135045783"</f>
        <v>20190305135045783</v>
      </c>
      <c r="B5843" t="str">
        <f>"1551765045776174"</f>
        <v>1551765045776174</v>
      </c>
      <c r="C5843" t="s">
        <v>40</v>
      </c>
      <c r="D5843">
        <v>3.790896</v>
      </c>
      <c r="E5843">
        <v>0.38517580000000001</v>
      </c>
      <c r="F5843" t="s">
        <v>42</v>
      </c>
      <c r="G5843">
        <v>-398.23160000000001</v>
      </c>
      <c r="H5843" s="1">
        <v>-1.896455E-6</v>
      </c>
      <c r="I5843">
        <v>14.98174</v>
      </c>
      <c r="J5843">
        <v>-420.62540000000001</v>
      </c>
      <c r="K5843">
        <v>1.1171219999999999</v>
      </c>
      <c r="L5843">
        <v>38.518889999999999</v>
      </c>
      <c r="M5843">
        <v>0.28287689999999999</v>
      </c>
      <c r="N5843">
        <v>-1.415246E-2</v>
      </c>
      <c r="O5843">
        <v>-0.95905180000000001</v>
      </c>
      <c r="P5843">
        <v>0.50795509999999999</v>
      </c>
      <c r="Q5843">
        <v>-8.6464340000000001E-2</v>
      </c>
      <c r="R5843">
        <v>-0.85703309999999999</v>
      </c>
      <c r="S5843">
        <v>2.09259</v>
      </c>
      <c r="T5843">
        <v>-0.1013278</v>
      </c>
      <c r="U5843">
        <v>-2.3435359999999998</v>
      </c>
      <c r="V5843">
        <v>-0.2434183</v>
      </c>
      <c r="W5843">
        <v>-7.7108330000000003E-2</v>
      </c>
      <c r="X5843">
        <v>0.96685149999999997</v>
      </c>
      <c r="Y5843">
        <v>-0.42754769999999997</v>
      </c>
      <c r="Z5843">
        <v>2.0295440000000001E-2</v>
      </c>
      <c r="AA5843">
        <v>0.90376500000000004</v>
      </c>
      <c r="AB5843">
        <v>29</v>
      </c>
      <c r="AC5843">
        <v>22.393799999999999</v>
      </c>
      <c r="AD5843">
        <v>-1.1171238964550001</v>
      </c>
      <c r="AE5843">
        <v>-23.53715</v>
      </c>
      <c r="AF5843">
        <v>-14.8026802992889</v>
      </c>
      <c r="AG5843">
        <v>-1.1171238964550001</v>
      </c>
      <c r="AH5843">
        <v>28.8767874358795</v>
      </c>
      <c r="AI5843">
        <v>91.971699564504306</v>
      </c>
      <c r="AJ5843">
        <v>117.140367036916</v>
      </c>
      <c r="AK5843">
        <v>32.469003102342903</v>
      </c>
      <c r="AL5843">
        <v>94.422371654825895</v>
      </c>
      <c r="AM5843">
        <v>104.131322759038</v>
      </c>
      <c r="AN5843">
        <v>0.99999999319126398</v>
      </c>
    </row>
    <row r="5844" spans="1:40" x14ac:dyDescent="0.25">
      <c r="A5844" t="str">
        <f>"20190305135045811"</f>
        <v>20190305135045811</v>
      </c>
      <c r="B5844" t="str">
        <f>"1551765045806430"</f>
        <v>1551765045806430</v>
      </c>
      <c r="C5844" t="s">
        <v>40</v>
      </c>
      <c r="D5844">
        <v>3.7506140000000001</v>
      </c>
      <c r="E5844">
        <v>0.35589759999999998</v>
      </c>
      <c r="F5844" t="s">
        <v>98</v>
      </c>
      <c r="G5844">
        <v>-388.85079999999999</v>
      </c>
      <c r="H5844">
        <v>2.8541230000000001E-3</v>
      </c>
      <c r="I5844">
        <v>9.6163249999999998</v>
      </c>
      <c r="J5844">
        <v>-420.51479999999998</v>
      </c>
      <c r="K5844">
        <v>1.117429</v>
      </c>
      <c r="L5844">
        <v>38.190219999999997</v>
      </c>
      <c r="M5844">
        <v>0.29471340000000001</v>
      </c>
      <c r="N5844">
        <v>-1.4206119999999999E-2</v>
      </c>
      <c r="O5844">
        <v>-0.95548010000000005</v>
      </c>
      <c r="P5844">
        <v>0.52360989999999996</v>
      </c>
      <c r="Q5844">
        <v>-8.5777619999999999E-2</v>
      </c>
      <c r="R5844">
        <v>-0.84762939999999998</v>
      </c>
      <c r="S5844">
        <v>2.3245849999999999</v>
      </c>
      <c r="T5844">
        <v>-8.1518289999999993E-2</v>
      </c>
      <c r="U5844">
        <v>-2.114471</v>
      </c>
      <c r="V5844">
        <v>-0.24914710000000001</v>
      </c>
      <c r="W5844">
        <v>-7.6670870000000002E-2</v>
      </c>
      <c r="X5844">
        <v>0.96542600000000001</v>
      </c>
      <c r="Y5844">
        <v>-0.50835900000000001</v>
      </c>
      <c r="Z5844">
        <v>1.4440359999999999E-2</v>
      </c>
      <c r="AA5844">
        <v>0.86102409999999996</v>
      </c>
      <c r="AB5844">
        <v>28</v>
      </c>
      <c r="AC5844">
        <v>31.663999999999898</v>
      </c>
      <c r="AD5844">
        <v>-1.1145748769999999</v>
      </c>
      <c r="AE5844">
        <v>-28.573895</v>
      </c>
      <c r="AF5844">
        <v>-21.8205137515369</v>
      </c>
      <c r="AG5844">
        <v>-1.1145748769999999</v>
      </c>
      <c r="AH5844">
        <v>36.6122867296774</v>
      </c>
      <c r="AI5844">
        <v>91.497972819690901</v>
      </c>
      <c r="AJ5844">
        <v>120.79446965813401</v>
      </c>
      <c r="AK5844">
        <v>42.636095472188401</v>
      </c>
      <c r="AL5844">
        <v>94.397232456605394</v>
      </c>
      <c r="AM5844">
        <v>104.47056710478201</v>
      </c>
      <c r="AN5844">
        <v>1.0000000306104799</v>
      </c>
    </row>
    <row r="5845" spans="1:40" x14ac:dyDescent="0.25">
      <c r="A5845" t="str">
        <f>"20190305135045824"</f>
        <v>20190305135045824</v>
      </c>
      <c r="B5845" t="str">
        <f>"1551765045816190"</f>
        <v>1551765045816190</v>
      </c>
      <c r="C5845" t="s">
        <v>40</v>
      </c>
      <c r="D5845">
        <v>3.80186</v>
      </c>
      <c r="E5845">
        <v>0.35693340000000001</v>
      </c>
      <c r="F5845" t="s">
        <v>99</v>
      </c>
      <c r="G5845">
        <v>-364.55130000000003</v>
      </c>
      <c r="H5845">
        <v>2.475349</v>
      </c>
      <c r="I5845">
        <v>-4.3702629999999996</v>
      </c>
      <c r="J5845">
        <v>-420.45389999999998</v>
      </c>
      <c r="K5845">
        <v>1.1175889999999999</v>
      </c>
      <c r="L5845">
        <v>38.016330000000004</v>
      </c>
      <c r="M5845">
        <v>0.301232</v>
      </c>
      <c r="N5845">
        <v>-1.4237629999999999E-2</v>
      </c>
      <c r="O5845">
        <v>-0.95344479999999998</v>
      </c>
      <c r="P5845">
        <v>0.53098219999999996</v>
      </c>
      <c r="Q5845">
        <v>-8.5335569999999999E-2</v>
      </c>
      <c r="R5845">
        <v>-0.84307559999999904</v>
      </c>
      <c r="S5845">
        <v>2.5725709999999999</v>
      </c>
      <c r="T5845">
        <v>6.2421919999999999E-2</v>
      </c>
      <c r="U5845">
        <v>-1.9564509999999999</v>
      </c>
      <c r="V5845">
        <v>-0.25093510000000002</v>
      </c>
      <c r="W5845">
        <v>-7.6335910000000007E-2</v>
      </c>
      <c r="X5845">
        <v>0.96498930000000005</v>
      </c>
      <c r="Y5845">
        <v>-0.5762024</v>
      </c>
      <c r="Z5845">
        <v>-3.2469730000000002E-2</v>
      </c>
      <c r="AA5845">
        <v>0.81666179999999999</v>
      </c>
      <c r="AB5845">
        <v>28</v>
      </c>
      <c r="AC5845">
        <v>55.9025999999999</v>
      </c>
      <c r="AD5845">
        <v>1.3577600000000001</v>
      </c>
      <c r="AE5845">
        <v>-42.386592999999998</v>
      </c>
      <c r="AF5845">
        <v>-40.520767705149503</v>
      </c>
      <c r="AG5845">
        <v>1.3577600000000001</v>
      </c>
      <c r="AH5845">
        <v>57.237281413224302</v>
      </c>
      <c r="AI5845">
        <v>88.890836926533794</v>
      </c>
      <c r="AJ5845">
        <v>125.29634163095901</v>
      </c>
      <c r="AK5845">
        <v>70.141874163789794</v>
      </c>
      <c r="AL5845">
        <v>94.377984508095906</v>
      </c>
      <c r="AM5845">
        <v>104.576322983521</v>
      </c>
      <c r="AN5845">
        <v>0.99999997234101301</v>
      </c>
    </row>
    <row r="5846" spans="1:40" x14ac:dyDescent="0.25">
      <c r="A5846" t="str">
        <f>"20190305135045837"</f>
        <v>20190305135045837</v>
      </c>
      <c r="B5846" t="str">
        <f>"1551765045825950"</f>
        <v>1551765045825950</v>
      </c>
      <c r="C5846" t="s">
        <v>40</v>
      </c>
      <c r="D5846">
        <v>3.7914099999999999</v>
      </c>
      <c r="E5846">
        <v>0.35728290000000001</v>
      </c>
      <c r="F5846" t="s">
        <v>99</v>
      </c>
      <c r="G5846">
        <v>-364.53309999999999</v>
      </c>
      <c r="H5846">
        <v>2.2443759999999999</v>
      </c>
      <c r="I5846">
        <v>-3.956026</v>
      </c>
      <c r="J5846">
        <v>-420.40269999999998</v>
      </c>
      <c r="K5846">
        <v>1.1177250000000001</v>
      </c>
      <c r="L5846">
        <v>37.873049999999999</v>
      </c>
      <c r="M5846">
        <v>0.30670629999999999</v>
      </c>
      <c r="N5846">
        <v>-1.4264270000000001E-2</v>
      </c>
      <c r="O5846">
        <v>-0.95169729999999997</v>
      </c>
      <c r="P5846">
        <v>0.53723129999999997</v>
      </c>
      <c r="Q5846">
        <v>-8.5296410000000003E-2</v>
      </c>
      <c r="R5846">
        <v>-0.83911089999999999</v>
      </c>
      <c r="S5846">
        <v>2.5816650000000001</v>
      </c>
      <c r="T5846">
        <v>5.2019719999999998E-2</v>
      </c>
      <c r="U5846">
        <v>-1.9377139999999999</v>
      </c>
      <c r="V5846">
        <v>-0.25253229999999999</v>
      </c>
      <c r="W5846">
        <v>-7.6388629999999999E-2</v>
      </c>
      <c r="X5846">
        <v>0.96456839999999999</v>
      </c>
      <c r="Y5846">
        <v>-0.57674769999999997</v>
      </c>
      <c r="Z5846">
        <v>-2.9090020000000001E-2</v>
      </c>
      <c r="AA5846">
        <v>0.81640429999999997</v>
      </c>
      <c r="AB5846">
        <v>28</v>
      </c>
      <c r="AC5846">
        <v>55.869599999999899</v>
      </c>
      <c r="AD5846">
        <v>1.1266509999999901</v>
      </c>
      <c r="AE5846">
        <v>-41.829076000000001</v>
      </c>
      <c r="AF5846">
        <v>-40.335300761954599</v>
      </c>
      <c r="AG5846">
        <v>1.1266509999999901</v>
      </c>
      <c r="AH5846">
        <v>56.9351352210888</v>
      </c>
      <c r="AI5846">
        <v>89.074929874685594</v>
      </c>
      <c r="AJ5846">
        <v>125.315399188252</v>
      </c>
      <c r="AK5846">
        <v>69.784063027863297</v>
      </c>
      <c r="AL5846">
        <v>94.381013901884501</v>
      </c>
      <c r="AM5846">
        <v>104.671236881982</v>
      </c>
      <c r="AN5846">
        <v>0.99999999180756305</v>
      </c>
    </row>
    <row r="5847" spans="1:40" x14ac:dyDescent="0.25">
      <c r="A5847" t="str">
        <f>"20190305135045923"</f>
        <v>20190305135045923</v>
      </c>
      <c r="B5847" t="str">
        <f>"1551765045915728"</f>
        <v>1551765045915728</v>
      </c>
      <c r="C5847" t="s">
        <v>40</v>
      </c>
      <c r="D5847">
        <v>3.787731</v>
      </c>
      <c r="E5847">
        <v>0.35829329999999998</v>
      </c>
      <c r="F5847" t="s">
        <v>99</v>
      </c>
      <c r="G5847">
        <v>-364.4</v>
      </c>
      <c r="H5847">
        <v>2.2116850000000001</v>
      </c>
      <c r="I5847">
        <v>-3.5807349999999998</v>
      </c>
      <c r="J5847">
        <v>-420.01260000000002</v>
      </c>
      <c r="K5847">
        <v>1.1187149999999999</v>
      </c>
      <c r="L5847">
        <v>36.866390000000003</v>
      </c>
      <c r="M5847">
        <v>0.34820509999999999</v>
      </c>
      <c r="N5847">
        <v>-1.447825E-2</v>
      </c>
      <c r="O5847">
        <v>-0.93730659999999999</v>
      </c>
      <c r="P5847">
        <v>0.58601269999999905</v>
      </c>
      <c r="Q5847">
        <v>-8.4163139999999997E-2</v>
      </c>
      <c r="R5847">
        <v>-0.80591919999999995</v>
      </c>
      <c r="S5847">
        <v>2.5936279999999998</v>
      </c>
      <c r="T5847">
        <v>5.0664069999999999E-2</v>
      </c>
      <c r="U5847">
        <v>-1.9198299999999999</v>
      </c>
      <c r="V5847">
        <v>-0.26710089999999997</v>
      </c>
      <c r="W5847">
        <v>-7.6031890000000005E-2</v>
      </c>
      <c r="X5847">
        <v>0.96066450000000003</v>
      </c>
      <c r="Y5847">
        <v>-0.54592059999999998</v>
      </c>
      <c r="Z5847">
        <v>-2.8411240000000001E-2</v>
      </c>
      <c r="AA5847">
        <v>0.83735509999999902</v>
      </c>
      <c r="AB5847">
        <v>28</v>
      </c>
      <c r="AC5847">
        <v>55.6126</v>
      </c>
      <c r="AD5847">
        <v>1.09296999999999</v>
      </c>
      <c r="AE5847">
        <v>-40.447125</v>
      </c>
      <c r="AF5847">
        <v>-38.036539352603903</v>
      </c>
      <c r="AG5847">
        <v>1.09296999999999</v>
      </c>
      <c r="AH5847">
        <v>57.267483023024297</v>
      </c>
      <c r="AI5847">
        <v>89.089181855878195</v>
      </c>
      <c r="AJ5847">
        <v>123.59174954820701</v>
      </c>
      <c r="AK5847">
        <v>68.757090697145301</v>
      </c>
      <c r="AL5847">
        <v>94.360514507611995</v>
      </c>
      <c r="AM5847">
        <v>105.537933061779</v>
      </c>
      <c r="AN5847">
        <v>1.0000000103190101</v>
      </c>
    </row>
    <row r="5848" spans="1:40" x14ac:dyDescent="0.25">
      <c r="A5848" t="str">
        <f>"20190305135045936"</f>
        <v>20190305135045936</v>
      </c>
      <c r="B5848" t="str">
        <f>"1551765045926464"</f>
        <v>1551765045926464</v>
      </c>
      <c r="C5848" t="s">
        <v>40</v>
      </c>
      <c r="D5848">
        <v>4.0628960000000003</v>
      </c>
      <c r="E5848">
        <v>0.35829329999999998</v>
      </c>
      <c r="F5848" t="s">
        <v>99</v>
      </c>
      <c r="G5848">
        <v>-364.29300000000001</v>
      </c>
      <c r="H5848">
        <v>2.2567689999999998</v>
      </c>
      <c r="I5848">
        <v>0.32297419999999999</v>
      </c>
      <c r="J5848">
        <v>-419.95549999999997</v>
      </c>
      <c r="K5848">
        <v>1.118851</v>
      </c>
      <c r="L5848">
        <v>36.730440000000002</v>
      </c>
      <c r="M5848">
        <v>0.3542479</v>
      </c>
      <c r="N5848">
        <v>-1.4511939999999999E-2</v>
      </c>
      <c r="O5848">
        <v>-0.93503890000000001</v>
      </c>
      <c r="P5848">
        <v>0.59234830000000005</v>
      </c>
      <c r="Q5848">
        <v>-8.4766739999999993E-2</v>
      </c>
      <c r="R5848">
        <v>-0.80121069999999905</v>
      </c>
      <c r="S5848">
        <v>2.69577</v>
      </c>
      <c r="T5848">
        <v>5.5060150000000002E-2</v>
      </c>
      <c r="U5848">
        <v>-1.7680049999999901</v>
      </c>
      <c r="V5848">
        <v>-0.2684549</v>
      </c>
      <c r="W5848">
        <v>-7.6732250000000002E-2</v>
      </c>
      <c r="X5848">
        <v>0.96023130000000001</v>
      </c>
      <c r="Y5848">
        <v>-0.58728029999999998</v>
      </c>
      <c r="Z5848">
        <v>-2.9831219999999999E-2</v>
      </c>
      <c r="AA5848">
        <v>0.80883369999999999</v>
      </c>
      <c r="AB5848">
        <v>28</v>
      </c>
      <c r="AC5848">
        <v>55.662499999999902</v>
      </c>
      <c r="AD5848">
        <v>1.13791799999999</v>
      </c>
      <c r="AE5848">
        <v>-36.407465799999997</v>
      </c>
      <c r="AF5848">
        <v>-39.142002209075798</v>
      </c>
      <c r="AG5848">
        <v>1.13791799999999</v>
      </c>
      <c r="AH5848">
        <v>53.750651690182899</v>
      </c>
      <c r="AI5848">
        <v>89.019562965667603</v>
      </c>
      <c r="AJ5848">
        <v>126.06264886488501</v>
      </c>
      <c r="AK5848">
        <v>66.502058249571405</v>
      </c>
      <c r="AL5848">
        <v>94.400759750876304</v>
      </c>
      <c r="AM5848">
        <v>105.619565844626</v>
      </c>
      <c r="AN5848">
        <v>1.00000001051188</v>
      </c>
    </row>
    <row r="5849" spans="1:40" x14ac:dyDescent="0.25">
      <c r="A5849" t="str">
        <f>"20190305135045947"</f>
        <v>20190305135045947</v>
      </c>
      <c r="B5849" t="str">
        <f>"1551765045945984"</f>
        <v>1551765045945984</v>
      </c>
      <c r="C5849" t="s">
        <v>40</v>
      </c>
      <c r="D5849">
        <v>4.0490870000000001</v>
      </c>
      <c r="E5849">
        <v>0.38675670000000001</v>
      </c>
      <c r="F5849" t="s">
        <v>99</v>
      </c>
      <c r="G5849">
        <v>-363.2448</v>
      </c>
      <c r="H5849">
        <v>2.2647620000000002</v>
      </c>
      <c r="I5849">
        <v>0.16625210000000001</v>
      </c>
      <c r="J5849">
        <v>-419.89280000000002</v>
      </c>
      <c r="K5849">
        <v>1.1190009999999999</v>
      </c>
      <c r="L5849">
        <v>36.583799999999997</v>
      </c>
      <c r="M5849">
        <v>0.36085640000000002</v>
      </c>
      <c r="N5849">
        <v>-1.454897E-2</v>
      </c>
      <c r="O5849">
        <v>-0.93250820000000001</v>
      </c>
      <c r="P5849">
        <v>0.59923349999999997</v>
      </c>
      <c r="Q5849">
        <v>-8.5145849999999995E-2</v>
      </c>
      <c r="R5849">
        <v>-0.79603400000000002</v>
      </c>
      <c r="S5849">
        <v>2.7095030000000002</v>
      </c>
      <c r="T5849">
        <v>5.4748890000000001E-2</v>
      </c>
      <c r="U5849">
        <v>-1.7469479999999999</v>
      </c>
      <c r="V5849">
        <v>-0.26991340000000003</v>
      </c>
      <c r="W5849">
        <v>-7.721567E-2</v>
      </c>
      <c r="X5849">
        <v>0.95978359999999996</v>
      </c>
      <c r="Y5849">
        <v>-0.58786359999999904</v>
      </c>
      <c r="Z5849">
        <v>-2.968585E-2</v>
      </c>
      <c r="AA5849">
        <v>0.808415199999999</v>
      </c>
      <c r="AB5849">
        <v>28</v>
      </c>
      <c r="AC5849">
        <v>56.648000000000003</v>
      </c>
      <c r="AD5849">
        <v>1.14576099999999</v>
      </c>
      <c r="AE5849">
        <v>-36.417547900000002</v>
      </c>
      <c r="AF5849">
        <v>-39.675924227670798</v>
      </c>
      <c r="AG5849">
        <v>1.14576099999999</v>
      </c>
      <c r="AH5849">
        <v>54.391454648061703</v>
      </c>
      <c r="AI5849">
        <v>89.025009009989802</v>
      </c>
      <c r="AJ5849">
        <v>126.10893457932001</v>
      </c>
      <c r="AK5849">
        <v>67.334404804090696</v>
      </c>
      <c r="AL5849">
        <v>94.428540007043793</v>
      </c>
      <c r="AM5849">
        <v>105.707214004779</v>
      </c>
      <c r="AN5849">
        <v>1.00000003101103</v>
      </c>
    </row>
    <row r="5850" spans="1:40" x14ac:dyDescent="0.25">
      <c r="A5850" t="str">
        <f>"20190305135045961"</f>
        <v>20190305135045961</v>
      </c>
      <c r="B5850" t="str">
        <f>"1551765045955745"</f>
        <v>1551765045955745</v>
      </c>
      <c r="C5850" t="s">
        <v>40</v>
      </c>
      <c r="D5850">
        <v>4.0584959999999999</v>
      </c>
      <c r="E5850">
        <v>0.38694279999999998</v>
      </c>
      <c r="F5850" t="s">
        <v>43</v>
      </c>
      <c r="G5850">
        <v>-367.87299999999999</v>
      </c>
      <c r="H5850">
        <v>-0.05</v>
      </c>
      <c r="I5850">
        <v>-1.4869380000000001</v>
      </c>
      <c r="J5850">
        <v>-419.83170000000001</v>
      </c>
      <c r="K5850">
        <v>1.1191340000000001</v>
      </c>
      <c r="L5850">
        <v>36.445160000000001</v>
      </c>
      <c r="M5850">
        <v>0.36728100000000002</v>
      </c>
      <c r="N5850">
        <v>-1.4586E-2</v>
      </c>
      <c r="O5850">
        <v>-0.92999569999999998</v>
      </c>
      <c r="P5850">
        <v>0.60567789999999999</v>
      </c>
      <c r="Q5850">
        <v>-8.5797970000000001E-2</v>
      </c>
      <c r="R5850">
        <v>-0.79107079999999996</v>
      </c>
      <c r="S5850">
        <v>2.5343930000000001</v>
      </c>
      <c r="T5850">
        <v>-5.6953429999999999E-2</v>
      </c>
      <c r="U5850">
        <v>-1.854797</v>
      </c>
      <c r="V5850">
        <v>-0.27106809999999998</v>
      </c>
      <c r="W5850">
        <v>-7.7960340000000003E-2</v>
      </c>
      <c r="X5850">
        <v>0.95939790000000003</v>
      </c>
      <c r="Y5850">
        <v>-0.53350790000000003</v>
      </c>
      <c r="Z5850">
        <v>6.7726519999999997E-3</v>
      </c>
      <c r="AA5850">
        <v>0.84576799999999996</v>
      </c>
      <c r="AB5850">
        <v>28</v>
      </c>
      <c r="AC5850">
        <v>51.958699999999901</v>
      </c>
      <c r="AD5850">
        <v>-1.1691339999999999</v>
      </c>
      <c r="AE5850">
        <v>-37.932098000000003</v>
      </c>
      <c r="AF5850">
        <v>-34.381930398236101</v>
      </c>
      <c r="AG5850">
        <v>-1.1691339999999999</v>
      </c>
      <c r="AH5850">
        <v>54.347962533971703</v>
      </c>
      <c r="AI5850">
        <v>91.041497824480601</v>
      </c>
      <c r="AJ5850">
        <v>122.31850637485999</v>
      </c>
      <c r="AK5850">
        <v>64.3209533807849</v>
      </c>
      <c r="AL5850">
        <v>94.471335466029501</v>
      </c>
      <c r="AM5850">
        <v>105.77709827742299</v>
      </c>
      <c r="AN5850">
        <v>1.0000000299874601</v>
      </c>
    </row>
    <row r="5851" spans="1:40" x14ac:dyDescent="0.25">
      <c r="A5851" t="str">
        <f>"20190305135045977"</f>
        <v>20190305135045977</v>
      </c>
      <c r="B5851" t="str">
        <f>"1551765045966482"</f>
        <v>1551765045966482</v>
      </c>
      <c r="C5851" t="s">
        <v>40</v>
      </c>
      <c r="D5851">
        <v>4.039536</v>
      </c>
      <c r="E5851">
        <v>0.3871115</v>
      </c>
      <c r="F5851" t="s">
        <v>43</v>
      </c>
      <c r="G5851">
        <v>-365.7749</v>
      </c>
      <c r="H5851">
        <v>-0.05</v>
      </c>
      <c r="I5851">
        <v>-2.4857939999999998</v>
      </c>
      <c r="J5851">
        <v>-419.74959999999999</v>
      </c>
      <c r="K5851">
        <v>1.119305</v>
      </c>
      <c r="L5851">
        <v>36.262079999999997</v>
      </c>
      <c r="M5851">
        <v>0.37589230000000001</v>
      </c>
      <c r="N5851">
        <v>-1.463502E-2</v>
      </c>
      <c r="O5851">
        <v>-0.92654769999999997</v>
      </c>
      <c r="P5851">
        <v>0.61510909999999996</v>
      </c>
      <c r="Q5851">
        <v>-8.7067069999999996E-2</v>
      </c>
      <c r="R5851">
        <v>-0.78361990000000004</v>
      </c>
      <c r="S5851">
        <v>2.548279</v>
      </c>
      <c r="T5851">
        <v>-5.5113910000000002E-2</v>
      </c>
      <c r="U5851">
        <v>-1.8352360000000001</v>
      </c>
      <c r="V5851">
        <v>-0.27364159999999998</v>
      </c>
      <c r="W5851">
        <v>-7.9382949999999994E-2</v>
      </c>
      <c r="X5851">
        <v>0.95855029999999997</v>
      </c>
      <c r="Y5851">
        <v>-0.53212590000000004</v>
      </c>
      <c r="Z5851">
        <v>6.1863269999999897E-3</v>
      </c>
      <c r="AA5851">
        <v>0.84664269999999997</v>
      </c>
      <c r="AB5851">
        <v>28</v>
      </c>
      <c r="AC5851">
        <v>53.974699999999899</v>
      </c>
      <c r="AD5851">
        <v>-1.16930499999999</v>
      </c>
      <c r="AE5851">
        <v>-38.747874000000003</v>
      </c>
      <c r="AF5851">
        <v>-35.437930354659898</v>
      </c>
      <c r="AG5851">
        <v>-1.16930499999999</v>
      </c>
      <c r="AH5851">
        <v>56.1790511959803</v>
      </c>
      <c r="AI5851">
        <v>91.0085353900581</v>
      </c>
      <c r="AJ5851">
        <v>122.2438638575</v>
      </c>
      <c r="AK5851">
        <v>66.432672498442599</v>
      </c>
      <c r="AL5851">
        <v>94.553098446964796</v>
      </c>
      <c r="AM5851">
        <v>105.932689533709</v>
      </c>
      <c r="AN5851">
        <v>1.00000002781567</v>
      </c>
    </row>
    <row r="5852" spans="1:40" x14ac:dyDescent="0.25">
      <c r="A5852" t="str">
        <f>"20190305135045991"</f>
        <v>20190305135045991</v>
      </c>
      <c r="B5852" t="str">
        <f>"1551765045986002"</f>
        <v>1551765045986002</v>
      </c>
      <c r="C5852" t="s">
        <v>40</v>
      </c>
      <c r="D5852">
        <v>4.0645559999999996</v>
      </c>
      <c r="E5852">
        <v>0.38778430000000003</v>
      </c>
      <c r="F5852" t="s">
        <v>100</v>
      </c>
      <c r="G5852">
        <v>-379.79399999999998</v>
      </c>
      <c r="H5852">
        <v>7.9985459999999994E-2</v>
      </c>
      <c r="I5852">
        <v>8.1875450000000001</v>
      </c>
      <c r="J5852">
        <v>-419.6746</v>
      </c>
      <c r="K5852">
        <v>1.1194660000000001</v>
      </c>
      <c r="L5852">
        <v>36.098849999999999</v>
      </c>
      <c r="M5852">
        <v>0.38372030000000001</v>
      </c>
      <c r="N5852">
        <v>-1.4679569999999999E-2</v>
      </c>
      <c r="O5852">
        <v>-0.92333279999999995</v>
      </c>
      <c r="P5852">
        <v>0.62279819999999997</v>
      </c>
      <c r="Q5852">
        <v>-8.7761919999999993E-2</v>
      </c>
      <c r="R5852">
        <v>-0.77744460000000004</v>
      </c>
      <c r="S5852">
        <v>2.5685120000000001</v>
      </c>
      <c r="T5852">
        <v>-6.6811800000000005E-2</v>
      </c>
      <c r="U5852">
        <v>-1.8047489999999999</v>
      </c>
      <c r="V5852">
        <v>-0.27495039999999998</v>
      </c>
      <c r="W5852">
        <v>-8.0188780000000001E-2</v>
      </c>
      <c r="X5852">
        <v>0.95810850000000003</v>
      </c>
      <c r="Y5852">
        <v>-0.53478059999999905</v>
      </c>
      <c r="Z5852">
        <v>1.009554E-2</v>
      </c>
      <c r="AA5852">
        <v>0.84493059999999998</v>
      </c>
      <c r="AB5852">
        <v>28</v>
      </c>
      <c r="AC5852">
        <v>39.880599999999902</v>
      </c>
      <c r="AD5852">
        <v>-1.03948054</v>
      </c>
      <c r="AE5852">
        <v>-27.911304999999999</v>
      </c>
      <c r="AF5852">
        <v>-26.103839237847399</v>
      </c>
      <c r="AG5852">
        <v>-1.03948054</v>
      </c>
      <c r="AH5852">
        <v>41.060117120027897</v>
      </c>
      <c r="AI5852">
        <v>91.223889706439394</v>
      </c>
      <c r="AJ5852">
        <v>122.44603115236001</v>
      </c>
      <c r="AK5852">
        <v>48.666458271162803</v>
      </c>
      <c r="AL5852">
        <v>94.599417215863198</v>
      </c>
      <c r="AM5852">
        <v>106.01200168086901</v>
      </c>
      <c r="AN5852">
        <v>0.999999930335146</v>
      </c>
    </row>
    <row r="5853" spans="1:40" x14ac:dyDescent="0.25">
      <c r="A5853" t="str">
        <f>"20190305135046005"</f>
        <v>20190305135046005</v>
      </c>
      <c r="B5853" t="str">
        <f>"1551765045995760"</f>
        <v>1551765045995760</v>
      </c>
      <c r="C5853" t="s">
        <v>40</v>
      </c>
      <c r="D5853">
        <v>4.0860059999999896</v>
      </c>
      <c r="E5853">
        <v>0.38829459999999999</v>
      </c>
      <c r="F5853" t="s">
        <v>98</v>
      </c>
      <c r="G5853">
        <v>-380.92070000000001</v>
      </c>
      <c r="H5853">
        <v>7.9986169999999995E-2</v>
      </c>
      <c r="I5853">
        <v>9.3479720000000004</v>
      </c>
      <c r="J5853">
        <v>-419.59809999999999</v>
      </c>
      <c r="K5853">
        <v>1.119624</v>
      </c>
      <c r="L5853">
        <v>35.936979999999998</v>
      </c>
      <c r="M5853">
        <v>0.39167360000000001</v>
      </c>
      <c r="N5853">
        <v>-1.4726660000000001E-2</v>
      </c>
      <c r="O5853">
        <v>-0.91998639999999998</v>
      </c>
      <c r="P5853">
        <v>0.63042349999999903</v>
      </c>
      <c r="Q5853">
        <v>-8.8263330000000001E-2</v>
      </c>
      <c r="R5853">
        <v>-0.7712175</v>
      </c>
      <c r="S5853">
        <v>2.582214</v>
      </c>
      <c r="T5853">
        <v>-6.9261669999999997E-2</v>
      </c>
      <c r="U5853">
        <v>-1.78244</v>
      </c>
      <c r="V5853">
        <v>-0.27609260000000002</v>
      </c>
      <c r="W5853">
        <v>-8.0792580000000003E-2</v>
      </c>
      <c r="X5853">
        <v>0.95772930000000001</v>
      </c>
      <c r="Y5853">
        <v>-0.53451569999999904</v>
      </c>
      <c r="Z5853">
        <v>1.0933180000000001E-2</v>
      </c>
      <c r="AA5853">
        <v>0.84508779999999994</v>
      </c>
      <c r="AB5853">
        <v>28</v>
      </c>
      <c r="AC5853">
        <v>38.677399999999899</v>
      </c>
      <c r="AD5853">
        <v>-1.03963783</v>
      </c>
      <c r="AE5853">
        <v>-26.589008</v>
      </c>
      <c r="AF5853">
        <v>-25.158854367165699</v>
      </c>
      <c r="AG5853">
        <v>-1.03963783</v>
      </c>
      <c r="AH5853">
        <v>39.595309827959099</v>
      </c>
      <c r="AI5853">
        <v>91.269543616276493</v>
      </c>
      <c r="AJ5853">
        <v>122.431871305866</v>
      </c>
      <c r="AK5853">
        <v>46.923739836652999</v>
      </c>
      <c r="AL5853">
        <v>94.634124755043302</v>
      </c>
      <c r="AM5853">
        <v>106.081124992299</v>
      </c>
      <c r="AN5853">
        <v>0.99999998841815296</v>
      </c>
    </row>
    <row r="5854" spans="1:40" x14ac:dyDescent="0.25">
      <c r="A5854" t="str">
        <f>"20190305135046017"</f>
        <v>20190305135046017</v>
      </c>
      <c r="B5854" t="str">
        <f>"1551765046006497"</f>
        <v>1551765046006497</v>
      </c>
      <c r="C5854" t="s">
        <v>40</v>
      </c>
      <c r="D5854">
        <v>4.0730760000000004</v>
      </c>
      <c r="E5854">
        <v>0.3885903</v>
      </c>
      <c r="F5854" t="s">
        <v>98</v>
      </c>
      <c r="G5854">
        <v>-380.75510000000003</v>
      </c>
      <c r="H5854">
        <v>5.0319120000000002E-2</v>
      </c>
      <c r="I5854">
        <v>9.6160040000000002</v>
      </c>
      <c r="J5854">
        <v>-419.53699999999998</v>
      </c>
      <c r="K5854">
        <v>1.1197459999999999</v>
      </c>
      <c r="L5854">
        <v>35.810639999999999</v>
      </c>
      <c r="M5854">
        <v>0.39799230000000002</v>
      </c>
      <c r="N5854">
        <v>-1.4764090000000001E-2</v>
      </c>
      <c r="O5854">
        <v>-0.91727029999999998</v>
      </c>
      <c r="P5854">
        <v>0.63655379999999995</v>
      </c>
      <c r="Q5854">
        <v>-8.9208510000000005E-2</v>
      </c>
      <c r="R5854">
        <v>-0.76605619999999996</v>
      </c>
      <c r="S5854">
        <v>2.5963750000000001</v>
      </c>
      <c r="T5854">
        <v>-7.147539E-2</v>
      </c>
      <c r="U5854">
        <v>-1.759369</v>
      </c>
      <c r="V5854">
        <v>-0.27713680000000002</v>
      </c>
      <c r="W5854">
        <v>-8.1820989999999996E-2</v>
      </c>
      <c r="X5854">
        <v>0.95734030000000003</v>
      </c>
      <c r="Y5854">
        <v>-0.53597519999999998</v>
      </c>
      <c r="Z5854">
        <v>1.1702860000000001E-2</v>
      </c>
      <c r="AA5854">
        <v>0.84415269999999998</v>
      </c>
      <c r="AB5854">
        <v>28</v>
      </c>
      <c r="AC5854">
        <v>38.781899999999901</v>
      </c>
      <c r="AD5854">
        <v>-1.06942688</v>
      </c>
      <c r="AE5854">
        <v>-26.194635999999999</v>
      </c>
      <c r="AF5854">
        <v>-25.1378282955434</v>
      </c>
      <c r="AG5854">
        <v>-1.06942688</v>
      </c>
      <c r="AH5854">
        <v>39.446150053256297</v>
      </c>
      <c r="AI5854">
        <v>91.309734988488401</v>
      </c>
      <c r="AJ5854">
        <v>122.508119235725</v>
      </c>
      <c r="AK5854">
        <v>46.787314939969598</v>
      </c>
      <c r="AL5854">
        <v>94.693244157141393</v>
      </c>
      <c r="AM5854">
        <v>106.145000129632</v>
      </c>
      <c r="AN5854">
        <v>0.99999996516145395</v>
      </c>
    </row>
    <row r="5855" spans="1:40" x14ac:dyDescent="0.25">
      <c r="A5855" t="str">
        <f>"20190305135046033"</f>
        <v>20190305135046033</v>
      </c>
      <c r="B5855" t="str">
        <f>"1551765046026016"</f>
        <v>1551765046026016</v>
      </c>
      <c r="C5855" t="s">
        <v>40</v>
      </c>
      <c r="D5855">
        <v>4.0830979999999997</v>
      </c>
      <c r="E5855">
        <v>0.3892601</v>
      </c>
      <c r="F5855" t="s">
        <v>98</v>
      </c>
      <c r="G5855">
        <v>-381.42829999999998</v>
      </c>
      <c r="H5855" s="1">
        <v>-5.7459420000000002E-6</v>
      </c>
      <c r="I5855">
        <v>10.393879999999999</v>
      </c>
      <c r="J5855">
        <v>-419.45139999999998</v>
      </c>
      <c r="K5855">
        <v>1.1199030000000001</v>
      </c>
      <c r="L5855">
        <v>35.63693</v>
      </c>
      <c r="M5855">
        <v>0.40679579999999999</v>
      </c>
      <c r="N5855">
        <v>-1.481525E-2</v>
      </c>
      <c r="O5855">
        <v>-0.91339919999999997</v>
      </c>
      <c r="P5855">
        <v>0.64424840000000005</v>
      </c>
      <c r="Q5855">
        <v>-9.1197059999999996E-2</v>
      </c>
      <c r="R5855">
        <v>-0.75935969999999997</v>
      </c>
      <c r="S5855">
        <v>2.6084900000000002</v>
      </c>
      <c r="T5855">
        <v>-7.6645610000000003E-2</v>
      </c>
      <c r="U5855">
        <v>-1.739746</v>
      </c>
      <c r="V5855">
        <v>-0.27759810000000001</v>
      </c>
      <c r="W5855">
        <v>-8.3896999999999999E-2</v>
      </c>
      <c r="X5855">
        <v>0.95702699999999996</v>
      </c>
      <c r="Y5855">
        <v>-0.53403409999999996</v>
      </c>
      <c r="Z5855">
        <v>1.341444E-2</v>
      </c>
      <c r="AA5855">
        <v>0.84535649999999996</v>
      </c>
      <c r="AB5855">
        <v>28</v>
      </c>
      <c r="AC5855">
        <v>38.023099999999999</v>
      </c>
      <c r="AD5855">
        <v>-1.1199087459420001</v>
      </c>
      <c r="AE5855">
        <v>-25.24305</v>
      </c>
      <c r="AF5855">
        <v>-24.449460839209099</v>
      </c>
      <c r="AG5855">
        <v>-1.1199087459420001</v>
      </c>
      <c r="AH5855">
        <v>38.505654702856901</v>
      </c>
      <c r="AI5855">
        <v>91.406494929290005</v>
      </c>
      <c r="AJ5855">
        <v>122.413818949532</v>
      </c>
      <c r="AK5855">
        <v>45.625823554462102</v>
      </c>
      <c r="AL5855">
        <v>94.812600843668406</v>
      </c>
      <c r="AM5855">
        <v>106.17548731967</v>
      </c>
      <c r="AN5855">
        <v>1.0000000452308</v>
      </c>
    </row>
    <row r="5856" spans="1:40" x14ac:dyDescent="0.25">
      <c r="A5856" t="str">
        <f>"20190305135046045"</f>
        <v>20190305135046045</v>
      </c>
      <c r="B5856" t="str">
        <f>"1551765046035776"</f>
        <v>1551765046035776</v>
      </c>
      <c r="C5856" t="s">
        <v>40</v>
      </c>
      <c r="D5856">
        <v>4.1132999999999997</v>
      </c>
      <c r="E5856">
        <v>0.38942710000000003</v>
      </c>
      <c r="F5856" t="s">
        <v>98</v>
      </c>
      <c r="G5856">
        <v>-384.14229999999998</v>
      </c>
      <c r="H5856" s="1">
        <v>-4.1385630000000001E-6</v>
      </c>
      <c r="I5856">
        <v>12.517989999999999</v>
      </c>
      <c r="J5856">
        <v>-419.38420000000002</v>
      </c>
      <c r="K5856">
        <v>1.120031</v>
      </c>
      <c r="L5856">
        <v>35.503909999999998</v>
      </c>
      <c r="M5856">
        <v>0.41367749999999998</v>
      </c>
      <c r="N5856">
        <v>-1.4854869999999999E-2</v>
      </c>
      <c r="O5856">
        <v>-0.91030230000000001</v>
      </c>
      <c r="P5856">
        <v>0.64971899999999905</v>
      </c>
      <c r="Q5856">
        <v>-9.2804059999999994E-2</v>
      </c>
      <c r="R5856">
        <v>-0.75448839999999995</v>
      </c>
      <c r="S5856">
        <v>2.621613</v>
      </c>
      <c r="T5856">
        <v>-8.3150269999999998E-2</v>
      </c>
      <c r="U5856">
        <v>-1.7165220000000001</v>
      </c>
      <c r="V5856">
        <v>-0.277306099999999</v>
      </c>
      <c r="W5856">
        <v>-8.5551749999999996E-2</v>
      </c>
      <c r="X5856">
        <v>0.95696510000000001</v>
      </c>
      <c r="Y5856">
        <v>-0.53479560000000004</v>
      </c>
      <c r="Z5856">
        <v>1.5591789999999999E-2</v>
      </c>
      <c r="AA5856">
        <v>0.84483759999999997</v>
      </c>
      <c r="AB5856">
        <v>28</v>
      </c>
      <c r="AC5856">
        <v>35.241900000000001</v>
      </c>
      <c r="AD5856">
        <v>-1.1200351385629901</v>
      </c>
      <c r="AE5856">
        <v>-22.98592</v>
      </c>
      <c r="AF5856">
        <v>-22.558530221403</v>
      </c>
      <c r="AG5856">
        <v>-1.1200351385629901</v>
      </c>
      <c r="AH5856">
        <v>35.481691827816697</v>
      </c>
      <c r="AI5856">
        <v>91.525915148251897</v>
      </c>
      <c r="AJ5856">
        <v>122.447361878206</v>
      </c>
      <c r="AK5856">
        <v>42.060577973034597</v>
      </c>
      <c r="AL5856">
        <v>94.907753446371501</v>
      </c>
      <c r="AM5856">
        <v>106.160351781603</v>
      </c>
      <c r="AN5856">
        <v>0.99999998882164098</v>
      </c>
    </row>
    <row r="5857" spans="1:40" x14ac:dyDescent="0.25">
      <c r="A5857" t="str">
        <f>"20190305135046057"</f>
        <v>20190305135046057</v>
      </c>
      <c r="B5857" t="str">
        <f>"1551765046045536"</f>
        <v>1551765046045536</v>
      </c>
      <c r="C5857" t="s">
        <v>40</v>
      </c>
      <c r="D5857">
        <v>4.1057920000000001</v>
      </c>
      <c r="E5857">
        <v>0.3897467</v>
      </c>
      <c r="F5857" t="s">
        <v>98</v>
      </c>
      <c r="G5857">
        <v>-385.26350000000002</v>
      </c>
      <c r="H5857" s="1">
        <v>-3.4482549999999999E-6</v>
      </c>
      <c r="I5857">
        <v>13.49424</v>
      </c>
      <c r="J5857">
        <v>-419.32049999999998</v>
      </c>
      <c r="K5857">
        <v>1.120147</v>
      </c>
      <c r="L5857">
        <v>35.380429999999997</v>
      </c>
      <c r="M5857">
        <v>0.42016150000000002</v>
      </c>
      <c r="N5857">
        <v>-1.4892549999999999E-2</v>
      </c>
      <c r="O5857">
        <v>-0.90732710000000005</v>
      </c>
      <c r="P5857">
        <v>0.65492620000000001</v>
      </c>
      <c r="Q5857">
        <v>-9.3916680000000002E-2</v>
      </c>
      <c r="R5857">
        <v>-0.74983409999999995</v>
      </c>
      <c r="S5857">
        <v>2.6328130000000001</v>
      </c>
      <c r="T5857">
        <v>-8.6423749999999994E-2</v>
      </c>
      <c r="U5857">
        <v>-1.6983029999999999</v>
      </c>
      <c r="V5857">
        <v>-0.27710859999999998</v>
      </c>
      <c r="W5857">
        <v>-8.6707800000000002E-2</v>
      </c>
      <c r="X5857">
        <v>0.9569183</v>
      </c>
      <c r="Y5857">
        <v>-0.53451300000000002</v>
      </c>
      <c r="Z5857">
        <v>1.6681339999999999E-2</v>
      </c>
      <c r="AA5857">
        <v>0.84499559999999996</v>
      </c>
      <c r="AB5857">
        <v>28</v>
      </c>
      <c r="AC5857">
        <v>34.056999999999903</v>
      </c>
      <c r="AD5857">
        <v>-1.120150448255</v>
      </c>
      <c r="AE5857">
        <v>-21.886189999999999</v>
      </c>
      <c r="AF5857">
        <v>-21.6909059871805</v>
      </c>
      <c r="AG5857">
        <v>-1.120150448255</v>
      </c>
      <c r="AH5857">
        <v>34.145022537333197</v>
      </c>
      <c r="AI5857">
        <v>91.586157146678204</v>
      </c>
      <c r="AJ5857">
        <v>122.426089306427</v>
      </c>
      <c r="AK5857">
        <v>40.4676747991087</v>
      </c>
      <c r="AL5857">
        <v>94.974237111178496</v>
      </c>
      <c r="AM5857">
        <v>106.150191045715</v>
      </c>
      <c r="AN5857">
        <v>1.00000002582484</v>
      </c>
    </row>
    <row r="5858" spans="1:40" x14ac:dyDescent="0.25">
      <c r="A5858" t="str">
        <f>"20190305135046068"</f>
        <v>20190305135046068</v>
      </c>
      <c r="B5858" t="str">
        <f>"1551765046066032"</f>
        <v>1551765046066032</v>
      </c>
      <c r="C5858" t="s">
        <v>40</v>
      </c>
      <c r="D5858">
        <v>4.1234650000000004</v>
      </c>
      <c r="E5858">
        <v>0.39053539999999998</v>
      </c>
      <c r="F5858" t="s">
        <v>41</v>
      </c>
      <c r="G5858">
        <v>-418.37740000000002</v>
      </c>
      <c r="H5858">
        <v>1.087831</v>
      </c>
      <c r="I5858">
        <v>34.780029999999996</v>
      </c>
      <c r="J5858">
        <v>-419.25200000000001</v>
      </c>
      <c r="K5858">
        <v>1.1202719999999999</v>
      </c>
      <c r="L5858">
        <v>35.249479999999998</v>
      </c>
      <c r="M5858">
        <v>0.4270912</v>
      </c>
      <c r="N5858">
        <v>-1.4932239999999999E-2</v>
      </c>
      <c r="O5858">
        <v>-0.90408540000000004</v>
      </c>
      <c r="P5858">
        <v>0.66032860000000004</v>
      </c>
      <c r="Q5858">
        <v>-9.4529950000000001E-2</v>
      </c>
      <c r="R5858">
        <v>-0.74500390000000005</v>
      </c>
      <c r="S5858">
        <v>2.642395</v>
      </c>
      <c r="T5858">
        <v>-9.0516570000000005E-2</v>
      </c>
      <c r="U5858">
        <v>-1.6816409999999999</v>
      </c>
      <c r="V5858">
        <v>-0.27669440000000001</v>
      </c>
      <c r="W5858">
        <v>-8.7359199999999998E-2</v>
      </c>
      <c r="X5858">
        <v>0.95697889999999997</v>
      </c>
      <c r="Y5858">
        <v>-0.53320059999999903</v>
      </c>
      <c r="Z5858">
        <v>1.802931E-2</v>
      </c>
      <c r="AA5858">
        <v>0.84579680000000002</v>
      </c>
      <c r="AB5858">
        <v>28</v>
      </c>
      <c r="AC5858">
        <v>0.87459999999992899</v>
      </c>
      <c r="AD5858">
        <v>-3.24409999999999E-2</v>
      </c>
      <c r="AE5858">
        <v>-0.46945000000000098</v>
      </c>
      <c r="AF5858">
        <v>-0.58965104479554997</v>
      </c>
      <c r="AG5858">
        <v>-3.24409999999999E-2</v>
      </c>
      <c r="AH5858">
        <v>0.79719422878704504</v>
      </c>
      <c r="AI5858">
        <v>91.873870190240893</v>
      </c>
      <c r="AJ5858">
        <v>126.488775360364</v>
      </c>
      <c r="AK5858">
        <v>0.99209848882097096</v>
      </c>
      <c r="AL5858">
        <v>95.011701785175902</v>
      </c>
      <c r="AM5858">
        <v>106.12633870985999</v>
      </c>
      <c r="AN5858">
        <v>1.0000000179305999</v>
      </c>
    </row>
    <row r="5859" spans="1:40" x14ac:dyDescent="0.25">
      <c r="A5859" t="str">
        <f>"20190305135046080"</f>
        <v>20190305135046080</v>
      </c>
      <c r="B5859" t="str">
        <f>"1551765046075792"</f>
        <v>1551765046075792</v>
      </c>
      <c r="C5859" t="s">
        <v>40</v>
      </c>
      <c r="D5859">
        <v>4.1143980000000004</v>
      </c>
      <c r="E5859">
        <v>0.39096720000000001</v>
      </c>
      <c r="F5859" t="s">
        <v>98</v>
      </c>
      <c r="G5859">
        <v>-387.79140000000001</v>
      </c>
      <c r="H5859" s="1">
        <v>-1.9543609999999999E-6</v>
      </c>
      <c r="I5859">
        <v>15.46035</v>
      </c>
      <c r="J5859">
        <v>-419.18540000000002</v>
      </c>
      <c r="K5859">
        <v>1.1203909999999999</v>
      </c>
      <c r="L5859">
        <v>35.125950000000003</v>
      </c>
      <c r="M5859">
        <v>0.43378889999999998</v>
      </c>
      <c r="N5859">
        <v>-1.497179E-2</v>
      </c>
      <c r="O5859">
        <v>-0.90089010000000003</v>
      </c>
      <c r="P5859">
        <v>0.66561899999999996</v>
      </c>
      <c r="Q5859">
        <v>-9.4401609999999997E-2</v>
      </c>
      <c r="R5859">
        <v>-0.74029699999999998</v>
      </c>
      <c r="S5859">
        <v>2.6494450000000001</v>
      </c>
      <c r="T5859">
        <v>-9.4343419999999997E-2</v>
      </c>
      <c r="U5859">
        <v>-1.666534</v>
      </c>
      <c r="V5859">
        <v>-0.27638190000000001</v>
      </c>
      <c r="W5859">
        <v>-8.7264899999999895E-2</v>
      </c>
      <c r="X5859">
        <v>0.95707779999999998</v>
      </c>
      <c r="Y5859">
        <v>-0.53136319999999904</v>
      </c>
      <c r="Z5859">
        <v>1.928966E-2</v>
      </c>
      <c r="AA5859">
        <v>0.84692449999999997</v>
      </c>
      <c r="AB5859">
        <v>28</v>
      </c>
      <c r="AC5859">
        <v>31.393999999999998</v>
      </c>
      <c r="AD5859">
        <v>-1.1203929543609901</v>
      </c>
      <c r="AE5859">
        <v>-19.665600000000001</v>
      </c>
      <c r="AF5859">
        <v>-19.735986740373399</v>
      </c>
      <c r="AG5859">
        <v>-1.1203929543609901</v>
      </c>
      <c r="AH5859">
        <v>31.3097870716675</v>
      </c>
      <c r="AI5859">
        <v>91.733923448221802</v>
      </c>
      <c r="AJ5859">
        <v>122.2251010666</v>
      </c>
      <c r="AK5859">
        <v>37.027924860320397</v>
      </c>
      <c r="AL5859">
        <v>95.006278088193895</v>
      </c>
      <c r="AM5859">
        <v>106.107492493354</v>
      </c>
      <c r="AN5859">
        <v>1.0000000163362199</v>
      </c>
    </row>
    <row r="5860" spans="1:40" x14ac:dyDescent="0.25">
      <c r="A5860" t="str">
        <f>"20190305135046093"</f>
        <v>20190305135046093</v>
      </c>
      <c r="B5860" t="str">
        <f>"1551765046085552"</f>
        <v>1551765046085552</v>
      </c>
      <c r="C5860" t="s">
        <v>40</v>
      </c>
      <c r="D5860">
        <v>4.1013739999999999</v>
      </c>
      <c r="E5860">
        <v>0.39135579999999998</v>
      </c>
      <c r="F5860" t="s">
        <v>98</v>
      </c>
      <c r="G5860">
        <v>-387.65230000000003</v>
      </c>
      <c r="H5860" s="1">
        <v>-1.9827659999999998E-6</v>
      </c>
      <c r="I5860">
        <v>15.55442</v>
      </c>
      <c r="J5860">
        <v>-419.1087</v>
      </c>
      <c r="K5860">
        <v>1.1205259999999999</v>
      </c>
      <c r="L5860">
        <v>34.985379999999999</v>
      </c>
      <c r="M5860">
        <v>0.4414594</v>
      </c>
      <c r="N5860">
        <v>-1.5016099999999999E-2</v>
      </c>
      <c r="O5860">
        <v>-0.89715579999999995</v>
      </c>
      <c r="P5860">
        <v>0.67231600000000002</v>
      </c>
      <c r="Q5860">
        <v>-9.3388200000000005E-2</v>
      </c>
      <c r="R5860">
        <v>-0.73435030000000001</v>
      </c>
      <c r="S5860">
        <v>2.6584780000000001</v>
      </c>
      <c r="T5860">
        <v>-9.4457390000000002E-2</v>
      </c>
      <c r="U5860">
        <v>-1.6500239999999999</v>
      </c>
      <c r="V5860">
        <v>-0.27685029999999999</v>
      </c>
      <c r="W5860">
        <v>-8.6313920000000002E-2</v>
      </c>
      <c r="X5860">
        <v>0.95702860000000001</v>
      </c>
      <c r="Y5860">
        <v>-0.52921830000000003</v>
      </c>
      <c r="Z5860">
        <v>1.9319159999999998E-2</v>
      </c>
      <c r="AA5860">
        <v>0.84826579999999996</v>
      </c>
      <c r="AB5860">
        <v>28</v>
      </c>
      <c r="AC5860">
        <v>31.456399999999899</v>
      </c>
      <c r="AD5860">
        <v>-1.120527982766</v>
      </c>
      <c r="AE5860">
        <v>-19.430959999999999</v>
      </c>
      <c r="AF5860">
        <v>-19.627495811007702</v>
      </c>
      <c r="AG5860">
        <v>-1.120527982766</v>
      </c>
      <c r="AH5860">
        <v>31.294104957466001</v>
      </c>
      <c r="AI5860">
        <v>91.737464478277104</v>
      </c>
      <c r="AJ5860">
        <v>122.09571760983</v>
      </c>
      <c r="AK5860">
        <v>36.956936830048399</v>
      </c>
      <c r="AL5860">
        <v>94.951584843602006</v>
      </c>
      <c r="AM5860">
        <v>106.134157888213</v>
      </c>
      <c r="AN5860">
        <v>0.99999996130690705</v>
      </c>
    </row>
    <row r="5861" spans="1:40" x14ac:dyDescent="0.25">
      <c r="A5861" t="str">
        <f>"20190305135046104"</f>
        <v>20190305135046104</v>
      </c>
      <c r="B5861" t="str">
        <f>"1551765046096288"</f>
        <v>1551765046096288</v>
      </c>
      <c r="C5861" t="s">
        <v>40</v>
      </c>
      <c r="D5861">
        <v>4.1072800000000003</v>
      </c>
      <c r="E5861">
        <v>0.39175500000000002</v>
      </c>
      <c r="F5861" t="s">
        <v>41</v>
      </c>
      <c r="G5861">
        <v>-418.18349999999998</v>
      </c>
      <c r="H5861">
        <v>1.0890169999999999</v>
      </c>
      <c r="I5861">
        <v>34.421250000000001</v>
      </c>
      <c r="J5861">
        <v>-419.03960000000001</v>
      </c>
      <c r="K5861">
        <v>1.1206480000000001</v>
      </c>
      <c r="L5861">
        <v>34.86157</v>
      </c>
      <c r="M5861">
        <v>0.44833240000000002</v>
      </c>
      <c r="N5861">
        <v>-1.505626E-2</v>
      </c>
      <c r="O5861">
        <v>-0.89374039999999999</v>
      </c>
      <c r="P5861">
        <v>0.67807969999999995</v>
      </c>
      <c r="Q5861">
        <v>-9.2672859999999996E-2</v>
      </c>
      <c r="R5861">
        <v>-0.72912270000000001</v>
      </c>
      <c r="S5861">
        <v>2.671173</v>
      </c>
      <c r="T5861">
        <v>-9.0932609999999997E-2</v>
      </c>
      <c r="U5861">
        <v>-1.6281429999999999</v>
      </c>
      <c r="V5861">
        <v>-0.27699679999999999</v>
      </c>
      <c r="W5861">
        <v>-8.5644020000000001E-2</v>
      </c>
      <c r="X5861">
        <v>0.95704639999999996</v>
      </c>
      <c r="Y5861">
        <v>-0.52958509999999903</v>
      </c>
      <c r="Z5861">
        <v>1.818583E-2</v>
      </c>
      <c r="AA5861">
        <v>0.84806190000000004</v>
      </c>
      <c r="AB5861">
        <v>28</v>
      </c>
      <c r="AC5861">
        <v>0.85610000000002595</v>
      </c>
      <c r="AD5861">
        <v>-3.1630999999999902E-2</v>
      </c>
      <c r="AE5861">
        <v>-0.44031999999999899</v>
      </c>
      <c r="AF5861">
        <v>-0.567173346751356</v>
      </c>
      <c r="AG5861">
        <v>-3.1630999999999902E-2</v>
      </c>
      <c r="AH5861">
        <v>0.77659867531849402</v>
      </c>
      <c r="AI5861">
        <v>91.883897136771196</v>
      </c>
      <c r="AJ5861">
        <v>126.141778481023</v>
      </c>
      <c r="AK5861">
        <v>0.96218066283446702</v>
      </c>
      <c r="AL5861">
        <v>94.913059702625105</v>
      </c>
      <c r="AM5861">
        <v>106.141966400291</v>
      </c>
      <c r="AN5861">
        <v>0.99999996856247897</v>
      </c>
    </row>
    <row r="5862" spans="1:40" x14ac:dyDescent="0.25">
      <c r="A5862" t="str">
        <f>"20190305135046115"</f>
        <v>20190305135046115</v>
      </c>
      <c r="B5862" t="str">
        <f>"1551765046106048"</f>
        <v>1551765046106048</v>
      </c>
      <c r="C5862" t="s">
        <v>40</v>
      </c>
      <c r="D5862">
        <v>4.1120109999999999</v>
      </c>
      <c r="E5862">
        <v>0.39211770000000001</v>
      </c>
      <c r="F5862" t="s">
        <v>98</v>
      </c>
      <c r="G5862">
        <v>-385.62990000000002</v>
      </c>
      <c r="H5862" s="1">
        <v>-2.9571550000000001E-6</v>
      </c>
      <c r="I5862">
        <v>14.811120000000001</v>
      </c>
      <c r="J5862">
        <v>-418.97410000000002</v>
      </c>
      <c r="K5862">
        <v>1.12076</v>
      </c>
      <c r="L5862">
        <v>34.746490000000001</v>
      </c>
      <c r="M5862">
        <v>0.45479560000000002</v>
      </c>
      <c r="N5862">
        <v>-1.5093860000000001E-2</v>
      </c>
      <c r="O5862">
        <v>-0.89046809999999998</v>
      </c>
      <c r="P5862">
        <v>0.6835523</v>
      </c>
      <c r="Q5862">
        <v>-9.0824370000000001E-2</v>
      </c>
      <c r="R5862">
        <v>-0.72422900000000001</v>
      </c>
      <c r="S5862">
        <v>2.6815190000000002</v>
      </c>
      <c r="T5862">
        <v>-8.9945319999999995E-2</v>
      </c>
      <c r="U5862">
        <v>-1.609283</v>
      </c>
      <c r="V5862">
        <v>-0.27719240000000001</v>
      </c>
      <c r="W5862">
        <v>-8.3835300000000001E-2</v>
      </c>
      <c r="X5862">
        <v>0.9571499</v>
      </c>
      <c r="Y5862">
        <v>-0.52927290000000005</v>
      </c>
      <c r="Z5862">
        <v>1.7875760000000001E-2</v>
      </c>
      <c r="AA5862">
        <v>0.84826329999999905</v>
      </c>
      <c r="AB5862">
        <v>28</v>
      </c>
      <c r="AC5862">
        <v>33.344200000000001</v>
      </c>
      <c r="AD5862">
        <v>-1.120762957155</v>
      </c>
      <c r="AE5862">
        <v>-19.935369999999999</v>
      </c>
      <c r="AF5862">
        <v>-20.610621029295501</v>
      </c>
      <c r="AG5862">
        <v>-1.120762957155</v>
      </c>
      <c r="AH5862">
        <v>32.892975922639202</v>
      </c>
      <c r="AI5862">
        <v>91.653848788111205</v>
      </c>
      <c r="AJ5862">
        <v>122.07111094535399</v>
      </c>
      <c r="AK5862">
        <v>38.832997230019302</v>
      </c>
      <c r="AL5862">
        <v>94.809053618352394</v>
      </c>
      <c r="AM5862">
        <v>106.151115152812</v>
      </c>
      <c r="AN5862">
        <v>0.99999995760692895</v>
      </c>
    </row>
    <row r="5863" spans="1:40" x14ac:dyDescent="0.25">
      <c r="A5863" t="str">
        <f>"20190305135046126"</f>
        <v>20190305135046126</v>
      </c>
      <c r="B5863" t="str">
        <f>"1551765046115808"</f>
        <v>1551765046115808</v>
      </c>
      <c r="C5863" t="s">
        <v>40</v>
      </c>
      <c r="D5863">
        <v>4.1038990000000002</v>
      </c>
      <c r="E5863">
        <v>0.39211770000000001</v>
      </c>
      <c r="F5863" t="s">
        <v>98</v>
      </c>
      <c r="G5863">
        <v>-383.96949999999998</v>
      </c>
      <c r="H5863" s="1">
        <v>-3.8391189999999997E-6</v>
      </c>
      <c r="I5863">
        <v>14.04622</v>
      </c>
      <c r="J5863">
        <v>-418.90499999999997</v>
      </c>
      <c r="K5863">
        <v>1.1208689999999999</v>
      </c>
      <c r="L5863">
        <v>34.626890000000003</v>
      </c>
      <c r="M5863">
        <v>0.46156570000000002</v>
      </c>
      <c r="N5863">
        <v>-1.513282E-2</v>
      </c>
      <c r="O5863">
        <v>-0.88697709999999996</v>
      </c>
      <c r="P5863">
        <v>0.68907739999999995</v>
      </c>
      <c r="Q5863">
        <v>-8.9751659999999997E-2</v>
      </c>
      <c r="R5863">
        <v>-0.71910859999999999</v>
      </c>
      <c r="S5863">
        <v>2.6911930000000002</v>
      </c>
      <c r="T5863">
        <v>-8.616567E-2</v>
      </c>
      <c r="U5863">
        <v>-1.591461</v>
      </c>
      <c r="V5863">
        <v>-0.27717560000000002</v>
      </c>
      <c r="W5863">
        <v>-8.2796960000000003E-2</v>
      </c>
      <c r="X5863">
        <v>0.95724520000000002</v>
      </c>
      <c r="Y5863">
        <v>-0.5283293</v>
      </c>
      <c r="Z5863">
        <v>1.6648179999999999E-2</v>
      </c>
      <c r="AA5863">
        <v>0.84887639999999998</v>
      </c>
      <c r="AB5863">
        <v>28</v>
      </c>
      <c r="AC5863">
        <v>34.935499999999898</v>
      </c>
      <c r="AD5863">
        <v>-1.1208728391189999</v>
      </c>
      <c r="AE5863">
        <v>-20.580670000000001</v>
      </c>
      <c r="AF5863">
        <v>-21.473705144838402</v>
      </c>
      <c r="AG5863">
        <v>-1.1208728391189999</v>
      </c>
      <c r="AH5863">
        <v>34.3572887569808</v>
      </c>
      <c r="AI5863">
        <v>91.584681715486497</v>
      </c>
      <c r="AJ5863">
        <v>122.005862494222</v>
      </c>
      <c r="AK5863">
        <v>40.531465052468697</v>
      </c>
      <c r="AL5863">
        <v>94.749353290252898</v>
      </c>
      <c r="AM5863">
        <v>106.148663258863</v>
      </c>
      <c r="AN5863">
        <v>1.0000000113718199</v>
      </c>
    </row>
    <row r="5864" spans="1:40" x14ac:dyDescent="0.25">
      <c r="A5864" t="str">
        <f>"20190305135046138"</f>
        <v>20190305135046138</v>
      </c>
      <c r="B5864" t="str">
        <f>"1551765046125569"</f>
        <v>1551765046125569</v>
      </c>
      <c r="C5864" t="s">
        <v>40</v>
      </c>
      <c r="D5864">
        <v>4.1200109999999999</v>
      </c>
      <c r="E5864">
        <v>0.3987964</v>
      </c>
      <c r="F5864" t="s">
        <v>98</v>
      </c>
      <c r="G5864">
        <v>-382.92160000000001</v>
      </c>
      <c r="H5864" s="1">
        <v>-4.3920069999999996E-6</v>
      </c>
      <c r="I5864">
        <v>13.72189</v>
      </c>
      <c r="J5864">
        <v>-418.8374</v>
      </c>
      <c r="K5864">
        <v>1.120967</v>
      </c>
      <c r="L5864">
        <v>34.512729999999998</v>
      </c>
      <c r="M5864">
        <v>0.46813519999999997</v>
      </c>
      <c r="N5864">
        <v>-1.5170060000000001E-2</v>
      </c>
      <c r="O5864">
        <v>-0.88352659999999905</v>
      </c>
      <c r="P5864">
        <v>0.69457749999999996</v>
      </c>
      <c r="Q5864">
        <v>-8.933112E-2</v>
      </c>
      <c r="R5864">
        <v>-0.71385019999999999</v>
      </c>
      <c r="S5864">
        <v>2.7035830000000001</v>
      </c>
      <c r="T5864">
        <v>-8.4215880000000007E-2</v>
      </c>
      <c r="U5864">
        <v>-1.5706789999999999</v>
      </c>
      <c r="V5864">
        <v>-0.277387099999999</v>
      </c>
      <c r="W5864">
        <v>-8.2414310000000005E-2</v>
      </c>
      <c r="X5864">
        <v>0.95721699999999998</v>
      </c>
      <c r="Y5864">
        <v>-0.52860850000000004</v>
      </c>
      <c r="Z5864">
        <v>1.602545E-2</v>
      </c>
      <c r="AA5864">
        <v>0.84871450000000004</v>
      </c>
      <c r="AB5864">
        <v>28</v>
      </c>
      <c r="AC5864">
        <v>35.915799999999898</v>
      </c>
      <c r="AD5864">
        <v>-1.1209713920069999</v>
      </c>
      <c r="AE5864">
        <v>-20.790839999999999</v>
      </c>
      <c r="AF5864">
        <v>-21.986131202910599</v>
      </c>
      <c r="AG5864">
        <v>-1.1209713920069999</v>
      </c>
      <c r="AH5864">
        <v>35.161105591227901</v>
      </c>
      <c r="AI5864">
        <v>91.548409811713697</v>
      </c>
      <c r="AJ5864">
        <v>122.017615315489</v>
      </c>
      <c r="AK5864">
        <v>41.484333049125603</v>
      </c>
      <c r="AL5864">
        <v>94.7273536740407</v>
      </c>
      <c r="AM5864">
        <v>106.16079383010999</v>
      </c>
      <c r="AN5864">
        <v>1.00000005341409</v>
      </c>
    </row>
    <row r="5865" spans="1:40" x14ac:dyDescent="0.25">
      <c r="A5865" t="str">
        <f>"20190305135046149"</f>
        <v>20190305135046149</v>
      </c>
      <c r="B5865" t="str">
        <f>"1551765046146064"</f>
        <v>1551765046146064</v>
      </c>
      <c r="C5865" t="s">
        <v>40</v>
      </c>
      <c r="D5865">
        <v>4.160984</v>
      </c>
      <c r="E5865">
        <v>0.39920450000000002</v>
      </c>
      <c r="F5865" t="s">
        <v>43</v>
      </c>
      <c r="G5865">
        <v>-356.8005</v>
      </c>
      <c r="H5865">
        <v>-0.05</v>
      </c>
      <c r="I5865">
        <v>-2.2523650000000002</v>
      </c>
      <c r="J5865">
        <v>-418.76249999999999</v>
      </c>
      <c r="K5865">
        <v>1.1210629999999999</v>
      </c>
      <c r="L5865">
        <v>34.387450000000001</v>
      </c>
      <c r="M5865">
        <v>0.47536230000000002</v>
      </c>
      <c r="N5865">
        <v>-1.520958E-2</v>
      </c>
      <c r="O5865">
        <v>-0.87965869999999902</v>
      </c>
      <c r="P5865">
        <v>0.70038889999999998</v>
      </c>
      <c r="Q5865">
        <v>-8.9509110000000003E-2</v>
      </c>
      <c r="R5865">
        <v>-0.7081267</v>
      </c>
      <c r="S5865">
        <v>2.6802060000000001</v>
      </c>
      <c r="T5865">
        <v>-5.0589799999999997E-2</v>
      </c>
      <c r="U5865">
        <v>-1.588379</v>
      </c>
      <c r="V5865">
        <v>-0.27734940000000002</v>
      </c>
      <c r="W5865">
        <v>-8.262659E-2</v>
      </c>
      <c r="X5865">
        <v>0.95720959999999999</v>
      </c>
      <c r="Y5865">
        <v>-0.51434740000000001</v>
      </c>
      <c r="Z5865">
        <v>5.0433320000000002E-3</v>
      </c>
      <c r="AA5865">
        <v>0.85756710000000003</v>
      </c>
      <c r="AB5865">
        <v>28</v>
      </c>
      <c r="AC5865">
        <v>61.961999999999897</v>
      </c>
      <c r="AD5865">
        <v>-1.171063</v>
      </c>
      <c r="AE5865">
        <v>-36.639814999999999</v>
      </c>
      <c r="AF5865">
        <v>-37.0827006245785</v>
      </c>
      <c r="AG5865">
        <v>-1.171063</v>
      </c>
      <c r="AH5865">
        <v>61.675741689737698</v>
      </c>
      <c r="AI5865">
        <v>90.932267640240994</v>
      </c>
      <c r="AJ5865">
        <v>121.016498862636</v>
      </c>
      <c r="AK5865">
        <v>71.974962223966003</v>
      </c>
      <c r="AL5865">
        <v>94.739558153995105</v>
      </c>
      <c r="AM5865">
        <v>106.158830431832</v>
      </c>
      <c r="AN5865">
        <v>1.00000003069377</v>
      </c>
    </row>
    <row r="5866" spans="1:40" x14ac:dyDescent="0.25">
      <c r="A5866" t="str">
        <f>"20190305135046162"</f>
        <v>20190305135046162</v>
      </c>
      <c r="B5866" t="str">
        <f>"1551765046155824"</f>
        <v>1551765046155824</v>
      </c>
      <c r="C5866" t="s">
        <v>40</v>
      </c>
      <c r="D5866">
        <v>4.1565180000000002</v>
      </c>
      <c r="E5866">
        <v>0.39977770000000001</v>
      </c>
      <c r="F5866" t="s">
        <v>100</v>
      </c>
      <c r="G5866">
        <v>-370.12169999999998</v>
      </c>
      <c r="H5866">
        <v>7.9986500000000002E-2</v>
      </c>
      <c r="I5866">
        <v>6.0250510000000004</v>
      </c>
      <c r="J5866">
        <v>-418.6771</v>
      </c>
      <c r="K5866">
        <v>1.1211660000000001</v>
      </c>
      <c r="L5866">
        <v>34.249049999999997</v>
      </c>
      <c r="M5866">
        <v>0.48350860000000001</v>
      </c>
      <c r="N5866">
        <v>-1.5253310000000001E-2</v>
      </c>
      <c r="O5866">
        <v>-0.87520679999999995</v>
      </c>
      <c r="P5866">
        <v>0.70701749999999997</v>
      </c>
      <c r="Q5866">
        <v>-9.0220090000000003E-2</v>
      </c>
      <c r="R5866">
        <v>-0.70141769999999903</v>
      </c>
      <c r="S5866">
        <v>2.6900629999999999</v>
      </c>
      <c r="T5866">
        <v>-5.7576420000000003E-2</v>
      </c>
      <c r="U5866">
        <v>-1.568573</v>
      </c>
      <c r="V5866">
        <v>-0.27746700000000002</v>
      </c>
      <c r="W5866">
        <v>-8.3375969999999994E-2</v>
      </c>
      <c r="X5866">
        <v>0.95711049999999998</v>
      </c>
      <c r="Y5866">
        <v>-0.51244120000000004</v>
      </c>
      <c r="Z5866">
        <v>7.329548E-3</v>
      </c>
      <c r="AA5866">
        <v>0.85869110000000004</v>
      </c>
      <c r="AB5866">
        <v>28</v>
      </c>
      <c r="AC5866">
        <v>48.555399999999999</v>
      </c>
      <c r="AD5866">
        <v>-1.0411794999999999</v>
      </c>
      <c r="AE5866">
        <v>-28.223998999999999</v>
      </c>
      <c r="AF5866">
        <v>-28.842911376932399</v>
      </c>
      <c r="AG5866">
        <v>-1.0411794999999999</v>
      </c>
      <c r="AH5866">
        <v>48.167836361168199</v>
      </c>
      <c r="AI5866">
        <v>91.0624332075664</v>
      </c>
      <c r="AJ5866">
        <v>120.913184266529</v>
      </c>
      <c r="AK5866">
        <v>56.1528098243096</v>
      </c>
      <c r="AL5866">
        <v>94.782643284947397</v>
      </c>
      <c r="AM5866">
        <v>106.16691055425601</v>
      </c>
      <c r="AN5866">
        <v>0.99999999883634505</v>
      </c>
    </row>
    <row r="5867" spans="1:40" x14ac:dyDescent="0.25">
      <c r="A5867" t="str">
        <f>"20190305135046179"</f>
        <v>20190305135046179</v>
      </c>
      <c r="B5867" t="str">
        <f>"1551765046176320"</f>
        <v>1551765046176320</v>
      </c>
      <c r="C5867" t="s">
        <v>40</v>
      </c>
      <c r="D5867">
        <v>4.2026289999999999</v>
      </c>
      <c r="E5867">
        <v>0.4008041</v>
      </c>
      <c r="F5867" t="s">
        <v>100</v>
      </c>
      <c r="G5867">
        <v>-375.60840000000002</v>
      </c>
      <c r="H5867">
        <v>6.9847779999999998E-2</v>
      </c>
      <c r="I5867">
        <v>9.5964659999999995</v>
      </c>
      <c r="J5867">
        <v>-418.57889999999998</v>
      </c>
      <c r="K5867">
        <v>1.121264</v>
      </c>
      <c r="L5867">
        <v>34.093020000000003</v>
      </c>
      <c r="M5867">
        <v>0.49276819999999999</v>
      </c>
      <c r="N5867">
        <v>-1.5301199999999999E-2</v>
      </c>
      <c r="O5867">
        <v>-0.87002610000000002</v>
      </c>
      <c r="P5867">
        <v>0.7143543</v>
      </c>
      <c r="Q5867">
        <v>-9.2012880000000005E-2</v>
      </c>
      <c r="R5867">
        <v>-0.69370849999999995</v>
      </c>
      <c r="S5867">
        <v>2.7009889999999999</v>
      </c>
      <c r="T5867">
        <v>-6.5931920000000005E-2</v>
      </c>
      <c r="U5867">
        <v>-1.5460510000000001</v>
      </c>
      <c r="V5867">
        <v>-0.27741890000000002</v>
      </c>
      <c r="W5867">
        <v>-8.5204660000000002E-2</v>
      </c>
      <c r="X5867">
        <v>0.95696340000000002</v>
      </c>
      <c r="Y5867">
        <v>-0.51018419999999998</v>
      </c>
      <c r="Z5867">
        <v>1.004912E-2</v>
      </c>
      <c r="AA5867">
        <v>0.86000639999999995</v>
      </c>
      <c r="AB5867">
        <v>28</v>
      </c>
      <c r="AC5867">
        <v>42.970499999999902</v>
      </c>
      <c r="AD5867">
        <v>-1.0514162199999999</v>
      </c>
      <c r="AE5867">
        <v>-24.496554</v>
      </c>
      <c r="AF5867">
        <v>-25.305862597414698</v>
      </c>
      <c r="AG5867">
        <v>-1.0514162199999999</v>
      </c>
      <c r="AH5867">
        <v>42.4729195114069</v>
      </c>
      <c r="AI5867">
        <v>91.218292111664297</v>
      </c>
      <c r="AJ5867">
        <v>120.786980730987</v>
      </c>
      <c r="AK5867">
        <v>49.451400887026097</v>
      </c>
      <c r="AL5867">
        <v>94.887793647411499</v>
      </c>
      <c r="AM5867">
        <v>106.166609236434</v>
      </c>
      <c r="AN5867">
        <v>1.00000001455124</v>
      </c>
    </row>
    <row r="5868" spans="1:40" x14ac:dyDescent="0.25">
      <c r="A5868" t="str">
        <f>"20190305135046192"</f>
        <v>20190305135046192</v>
      </c>
      <c r="B5868" t="str">
        <f>"1551765046186080"</f>
        <v>1551765046186080</v>
      </c>
      <c r="C5868" t="s">
        <v>40</v>
      </c>
      <c r="D5868">
        <v>4.1617360000000003</v>
      </c>
      <c r="E5868">
        <v>0.40093000000000001</v>
      </c>
      <c r="F5868" t="s">
        <v>100</v>
      </c>
      <c r="G5868">
        <v>-376.87670000000003</v>
      </c>
      <c r="H5868" s="1">
        <v>-3.5626599999999898E-6</v>
      </c>
      <c r="I5868">
        <v>10.675039999999999</v>
      </c>
      <c r="J5868">
        <v>-418.48759999999999</v>
      </c>
      <c r="K5868">
        <v>1.121354</v>
      </c>
      <c r="L5868">
        <v>33.950679999999998</v>
      </c>
      <c r="M5868">
        <v>0.50128909999999904</v>
      </c>
      <c r="N5868">
        <v>-1.534363E-2</v>
      </c>
      <c r="O5868">
        <v>-0.86514369999999996</v>
      </c>
      <c r="P5868">
        <v>0.72103669999999997</v>
      </c>
      <c r="Q5868">
        <v>-9.2643009999999998E-2</v>
      </c>
      <c r="R5868">
        <v>-0.68667539999999905</v>
      </c>
      <c r="S5868">
        <v>2.7115480000000001</v>
      </c>
      <c r="T5868">
        <v>-7.2906609999999997E-2</v>
      </c>
      <c r="U5868">
        <v>-1.522675</v>
      </c>
      <c r="V5868">
        <v>-0.27728920000000001</v>
      </c>
      <c r="W5868">
        <v>-8.5859480000000002E-2</v>
      </c>
      <c r="X5868">
        <v>0.95694239999999997</v>
      </c>
      <c r="Y5868">
        <v>-0.50876709999999903</v>
      </c>
      <c r="Z5868">
        <v>1.232159E-2</v>
      </c>
      <c r="AA5868">
        <v>0.86081600000000003</v>
      </c>
      <c r="AB5868">
        <v>28</v>
      </c>
      <c r="AC5868">
        <v>41.610899999999901</v>
      </c>
      <c r="AD5868">
        <v>-1.1213575626600001</v>
      </c>
      <c r="AE5868">
        <v>-23.275639999999999</v>
      </c>
      <c r="AF5868">
        <v>-24.3209970631545</v>
      </c>
      <c r="AG5868">
        <v>-1.1213575626600001</v>
      </c>
      <c r="AH5868">
        <v>40.978027254233503</v>
      </c>
      <c r="AI5868">
        <v>91.348049384856694</v>
      </c>
      <c r="AJ5868">
        <v>120.68968714563</v>
      </c>
      <c r="AK5868">
        <v>47.665155602158798</v>
      </c>
      <c r="AL5868">
        <v>94.925450364743</v>
      </c>
      <c r="AM5868">
        <v>106.159781633775</v>
      </c>
      <c r="AN5868">
        <v>0.99999995383013396</v>
      </c>
    </row>
    <row r="5869" spans="1:40" x14ac:dyDescent="0.25">
      <c r="A5869" t="str">
        <f>"20190305135046205"</f>
        <v>20190305135046205</v>
      </c>
      <c r="B5869" t="str">
        <f>"1551765046195840"</f>
        <v>1551765046195840</v>
      </c>
      <c r="C5869" t="s">
        <v>40</v>
      </c>
      <c r="D5869">
        <v>4.173521</v>
      </c>
      <c r="E5869">
        <v>0.40102939999999998</v>
      </c>
      <c r="F5869" t="s">
        <v>100</v>
      </c>
      <c r="G5869">
        <v>-378.47890000000001</v>
      </c>
      <c r="H5869" s="1">
        <v>-2.6002250000000002E-6</v>
      </c>
      <c r="I5869">
        <v>11.97988</v>
      </c>
      <c r="J5869">
        <v>-418.39350000000002</v>
      </c>
      <c r="K5869">
        <v>1.121445</v>
      </c>
      <c r="L5869">
        <v>33.807769999999998</v>
      </c>
      <c r="M5869">
        <v>0.50995290000000004</v>
      </c>
      <c r="N5869">
        <v>-1.538494E-2</v>
      </c>
      <c r="O5869">
        <v>-0.86006489999999902</v>
      </c>
      <c r="P5869">
        <v>0.72801099999999996</v>
      </c>
      <c r="Q5869">
        <v>-9.3205990000000002E-2</v>
      </c>
      <c r="R5869">
        <v>-0.67920009999999997</v>
      </c>
      <c r="S5869">
        <v>2.7254939999999999</v>
      </c>
      <c r="T5869">
        <v>-7.6389550000000001E-2</v>
      </c>
      <c r="U5869">
        <v>-1.496704</v>
      </c>
      <c r="V5869">
        <v>-0.27745429999999999</v>
      </c>
      <c r="W5869">
        <v>-8.6452559999999998E-2</v>
      </c>
      <c r="X5869">
        <v>0.95684119999999995</v>
      </c>
      <c r="Y5869">
        <v>-0.50826280000000001</v>
      </c>
      <c r="Z5869">
        <v>1.345842E-2</v>
      </c>
      <c r="AA5869">
        <v>0.86109690000000005</v>
      </c>
      <c r="AB5869">
        <v>28</v>
      </c>
      <c r="AC5869">
        <v>39.9146</v>
      </c>
      <c r="AD5869">
        <v>-1.121447600225</v>
      </c>
      <c r="AE5869">
        <v>-21.82789</v>
      </c>
      <c r="AF5869">
        <v>-23.186603516031099</v>
      </c>
      <c r="AG5869">
        <v>-1.121447600225</v>
      </c>
      <c r="AH5869">
        <v>39.108828847070001</v>
      </c>
      <c r="AI5869">
        <v>91.412963094383898</v>
      </c>
      <c r="AJ5869">
        <v>120.662594841993</v>
      </c>
      <c r="AK5869">
        <v>45.4794098589581</v>
      </c>
      <c r="AL5869">
        <v>94.959557903598693</v>
      </c>
      <c r="AM5869">
        <v>106.170521398464</v>
      </c>
      <c r="AN5869">
        <v>1.0000000078682401</v>
      </c>
    </row>
    <row r="5870" spans="1:40" x14ac:dyDescent="0.25">
      <c r="A5870" t="str">
        <f>"20190305135046218"</f>
        <v>20190305135046218</v>
      </c>
      <c r="B5870" t="str">
        <f>"1551765046205601"</f>
        <v>1551765046205601</v>
      </c>
      <c r="C5870" t="s">
        <v>40</v>
      </c>
      <c r="D5870">
        <v>4.1580110000000001</v>
      </c>
      <c r="E5870">
        <v>0.40108850000000001</v>
      </c>
      <c r="F5870" t="s">
        <v>100</v>
      </c>
      <c r="G5870">
        <v>-379.3372</v>
      </c>
      <c r="H5870" s="1">
        <v>-2.0342489999999998E-6</v>
      </c>
      <c r="I5870">
        <v>12.868130000000001</v>
      </c>
      <c r="J5870">
        <v>-418.31700000000001</v>
      </c>
      <c r="K5870">
        <v>1.121507</v>
      </c>
      <c r="L5870">
        <v>33.694309999999902</v>
      </c>
      <c r="M5870">
        <v>0.51689879999999999</v>
      </c>
      <c r="N5870">
        <v>-1.54168E-2</v>
      </c>
      <c r="O5870">
        <v>-0.85590769999999905</v>
      </c>
      <c r="P5870">
        <v>0.73350789999999999</v>
      </c>
      <c r="Q5870">
        <v>-9.3565930000000005E-2</v>
      </c>
      <c r="R5870">
        <v>-0.67320990000000003</v>
      </c>
      <c r="S5870">
        <v>2.7401119999999999</v>
      </c>
      <c r="T5870">
        <v>-7.8678609999999996E-2</v>
      </c>
      <c r="U5870">
        <v>-1.4690859999999999</v>
      </c>
      <c r="V5870">
        <v>-0.2774875</v>
      </c>
      <c r="W5870">
        <v>-8.6830060000000001E-2</v>
      </c>
      <c r="X5870">
        <v>0.95679740000000002</v>
      </c>
      <c r="Y5870">
        <v>-0.50993069999999996</v>
      </c>
      <c r="Z5870">
        <v>1.4231550000000001E-2</v>
      </c>
      <c r="AA5870">
        <v>0.86009780000000002</v>
      </c>
      <c r="AB5870">
        <v>28</v>
      </c>
      <c r="AC5870">
        <v>38.979799999999898</v>
      </c>
      <c r="AD5870">
        <v>-1.1215090342489999</v>
      </c>
      <c r="AE5870">
        <v>-20.826179999999901</v>
      </c>
      <c r="AF5870">
        <v>-22.586224131459101</v>
      </c>
      <c r="AG5870">
        <v>-1.1215090342489999</v>
      </c>
      <c r="AH5870">
        <v>37.953971119560201</v>
      </c>
      <c r="AI5870">
        <v>91.454599273149199</v>
      </c>
      <c r="AJ5870">
        <v>120.756671664298</v>
      </c>
      <c r="AK5870">
        <v>44.180303606639299</v>
      </c>
      <c r="AL5870">
        <v>94.981268650085099</v>
      </c>
      <c r="AM5870">
        <v>106.173056840553</v>
      </c>
      <c r="AN5870">
        <v>1.0000000183113</v>
      </c>
    </row>
    <row r="5871" spans="1:40" x14ac:dyDescent="0.25">
      <c r="A5871" t="str">
        <f>"20190305135046229"</f>
        <v>20190305135046229</v>
      </c>
      <c r="B5871" t="str">
        <f>"1551765046226097"</f>
        <v>1551765046226097</v>
      </c>
      <c r="C5871" t="s">
        <v>40</v>
      </c>
      <c r="D5871">
        <v>4.1744389999999996</v>
      </c>
      <c r="E5871">
        <v>0.4014143</v>
      </c>
      <c r="F5871" t="s">
        <v>98</v>
      </c>
      <c r="G5871">
        <v>-380.16989999999998</v>
      </c>
      <c r="H5871" s="1">
        <v>-5.7079900000000004E-6</v>
      </c>
      <c r="I5871">
        <v>13.6360799999999</v>
      </c>
      <c r="J5871">
        <v>-418.23759999999999</v>
      </c>
      <c r="K5871">
        <v>1.1215649999999999</v>
      </c>
      <c r="L5871">
        <v>33.577579999999998</v>
      </c>
      <c r="M5871">
        <v>0.52405570000000001</v>
      </c>
      <c r="N5871">
        <v>-1.54485E-2</v>
      </c>
      <c r="O5871">
        <v>-0.85154399999999997</v>
      </c>
      <c r="P5871">
        <v>0.73920730000000001</v>
      </c>
      <c r="Q5871">
        <v>-9.3779950000000001E-2</v>
      </c>
      <c r="R5871">
        <v>-0.66691699999999998</v>
      </c>
      <c r="S5871">
        <v>2.7516780000000001</v>
      </c>
      <c r="T5871">
        <v>-8.0898520000000002E-2</v>
      </c>
      <c r="U5871">
        <v>-1.446869</v>
      </c>
      <c r="V5871">
        <v>-0.27760000000000001</v>
      </c>
      <c r="W5871">
        <v>-8.7064069999999993E-2</v>
      </c>
      <c r="X5871">
        <v>0.95674349999999997</v>
      </c>
      <c r="Y5871">
        <v>-0.50963619999999998</v>
      </c>
      <c r="Z5871">
        <v>1.495383E-2</v>
      </c>
      <c r="AA5871">
        <v>0.86026009999999997</v>
      </c>
      <c r="AB5871">
        <v>28</v>
      </c>
      <c r="AC5871">
        <v>38.067700000000002</v>
      </c>
      <c r="AD5871">
        <v>-1.1215707079899999</v>
      </c>
      <c r="AE5871">
        <v>-19.941500000000001</v>
      </c>
      <c r="AF5871">
        <v>-21.953530799027401</v>
      </c>
      <c r="AG5871">
        <v>-1.1215707079899999</v>
      </c>
      <c r="AH5871">
        <v>36.9099230205453</v>
      </c>
      <c r="AI5871">
        <v>91.496011068265801</v>
      </c>
      <c r="AJ5871">
        <v>120.74361829564199</v>
      </c>
      <c r="AK5871">
        <v>42.9599563870757</v>
      </c>
      <c r="AL5871">
        <v>94.994727403299294</v>
      </c>
      <c r="AM5871">
        <v>106.18013459641401</v>
      </c>
      <c r="AN5871">
        <v>1.0000000185386</v>
      </c>
    </row>
    <row r="5872" spans="1:40" x14ac:dyDescent="0.25">
      <c r="A5872" t="str">
        <f>"20190305135046244"</f>
        <v>20190305135046244</v>
      </c>
      <c r="B5872" t="str">
        <f>"1551765046235856"</f>
        <v>1551765046235856</v>
      </c>
      <c r="C5872" t="s">
        <v>40</v>
      </c>
      <c r="D5872">
        <v>4.1934849999999999</v>
      </c>
      <c r="E5872">
        <v>0.40172200000000002</v>
      </c>
      <c r="F5872" t="s">
        <v>98</v>
      </c>
      <c r="G5872">
        <v>-381.10419999999999</v>
      </c>
      <c r="H5872" s="1">
        <v>-5.1275039999999997E-6</v>
      </c>
      <c r="I5872">
        <v>14.418670000000001</v>
      </c>
      <c r="J5872">
        <v>-418.13099999999997</v>
      </c>
      <c r="K5872">
        <v>1.1216299999999999</v>
      </c>
      <c r="L5872">
        <v>33.425809999999998</v>
      </c>
      <c r="M5872">
        <v>0.53350010000000003</v>
      </c>
      <c r="N5872">
        <v>-1.548881E-2</v>
      </c>
      <c r="O5872">
        <v>-0.84565820000000003</v>
      </c>
      <c r="P5872">
        <v>0.74637640000000005</v>
      </c>
      <c r="Q5872">
        <v>-9.5279989999999995E-2</v>
      </c>
      <c r="R5872">
        <v>-0.6586687</v>
      </c>
      <c r="S5872">
        <v>2.7621150000000001</v>
      </c>
      <c r="T5872">
        <v>-8.3426479999999997E-2</v>
      </c>
      <c r="U5872">
        <v>-1.4251100000000001</v>
      </c>
      <c r="V5872">
        <v>-0.27735480000000001</v>
      </c>
      <c r="W5872">
        <v>-8.8574879999999995E-2</v>
      </c>
      <c r="X5872">
        <v>0.95667590000000002</v>
      </c>
      <c r="Y5872">
        <v>-0.50671889999999997</v>
      </c>
      <c r="Z5872">
        <v>1.5742530000000001E-2</v>
      </c>
      <c r="AA5872">
        <v>0.86196759999999994</v>
      </c>
      <c r="AB5872">
        <v>28</v>
      </c>
      <c r="AC5872">
        <v>37.026799999999902</v>
      </c>
      <c r="AD5872">
        <v>-1.121635127504</v>
      </c>
      <c r="AE5872">
        <v>-19.00714</v>
      </c>
      <c r="AF5872">
        <v>-21.1588786263823</v>
      </c>
      <c r="AG5872">
        <v>-1.121635127504</v>
      </c>
      <c r="AH5872">
        <v>35.805638552687903</v>
      </c>
      <c r="AI5872">
        <v>91.544821573765702</v>
      </c>
      <c r="AJ5872">
        <v>120.580414450635</v>
      </c>
      <c r="AK5872">
        <v>41.6052876717727</v>
      </c>
      <c r="AL5872">
        <v>95.081626353975906</v>
      </c>
      <c r="AM5872">
        <v>106.167672458946</v>
      </c>
      <c r="AN5872">
        <v>0.99999998604543205</v>
      </c>
    </row>
    <row r="5873" spans="1:40" x14ac:dyDescent="0.25">
      <c r="A5873" t="str">
        <f>"20190305135046256"</f>
        <v>20190305135046256</v>
      </c>
      <c r="B5873" t="str">
        <f>"1551765046245618"</f>
        <v>1551765046245618</v>
      </c>
      <c r="C5873" t="s">
        <v>40</v>
      </c>
      <c r="D5873">
        <v>4.167109</v>
      </c>
      <c r="E5873">
        <v>0.40205279999999999</v>
      </c>
      <c r="F5873" t="s">
        <v>98</v>
      </c>
      <c r="G5873">
        <v>-382.45240000000001</v>
      </c>
      <c r="H5873" s="1">
        <v>-4.3030449999999999E-6</v>
      </c>
      <c r="I5873">
        <v>15.47377</v>
      </c>
      <c r="J5873">
        <v>-418.04939999999999</v>
      </c>
      <c r="K5873">
        <v>1.12168</v>
      </c>
      <c r="L5873">
        <v>33.311770000000003</v>
      </c>
      <c r="M5873">
        <v>0.5406377</v>
      </c>
      <c r="N5873">
        <v>-1.5518260000000001E-2</v>
      </c>
      <c r="O5873">
        <v>-0.84111250000000004</v>
      </c>
      <c r="P5873">
        <v>0.75190279999999998</v>
      </c>
      <c r="Q5873">
        <v>-9.5904169999999997E-2</v>
      </c>
      <c r="R5873">
        <v>-0.65226110000000004</v>
      </c>
      <c r="S5873">
        <v>2.7757869999999998</v>
      </c>
      <c r="T5873">
        <v>-8.7263110000000005E-2</v>
      </c>
      <c r="U5873">
        <v>-1.3966670000000001</v>
      </c>
      <c r="V5873">
        <v>-0.27734320000000001</v>
      </c>
      <c r="W5873">
        <v>-8.9210960000000006E-2</v>
      </c>
      <c r="X5873">
        <v>0.95662020000000003</v>
      </c>
      <c r="Y5873">
        <v>-0.5081483</v>
      </c>
      <c r="Z5873">
        <v>1.6999500000000001E-2</v>
      </c>
      <c r="AA5873">
        <v>0.86110180000000003</v>
      </c>
      <c r="AB5873">
        <v>28</v>
      </c>
      <c r="AC5873">
        <v>35.596999999999902</v>
      </c>
      <c r="AD5873">
        <v>-1.1216843030449899</v>
      </c>
      <c r="AE5873">
        <v>-17.838000000000001</v>
      </c>
      <c r="AF5873">
        <v>-20.283531323337201</v>
      </c>
      <c r="AG5873">
        <v>-1.1216843030449899</v>
      </c>
      <c r="AH5873">
        <v>34.225803878348799</v>
      </c>
      <c r="AI5873">
        <v>91.614958909635206</v>
      </c>
      <c r="AJ5873">
        <v>120.65261739692799</v>
      </c>
      <c r="AK5873">
        <v>39.800571223786399</v>
      </c>
      <c r="AL5873">
        <v>95.1182156980461</v>
      </c>
      <c r="AM5873">
        <v>106.16792375132</v>
      </c>
      <c r="AN5873">
        <v>1.0000000265091999</v>
      </c>
    </row>
    <row r="5874" spans="1:40" x14ac:dyDescent="0.25">
      <c r="A5874" t="str">
        <f>"20190305135046269"</f>
        <v>20190305135046269</v>
      </c>
      <c r="B5874" t="str">
        <f>"1551765046266113"</f>
        <v>1551765046266113</v>
      </c>
      <c r="C5874" t="s">
        <v>40</v>
      </c>
      <c r="D5874">
        <v>4.1837419999999996</v>
      </c>
      <c r="E5874">
        <v>0.40254990000000002</v>
      </c>
      <c r="F5874" t="s">
        <v>98</v>
      </c>
      <c r="G5874">
        <v>-382.44400000000002</v>
      </c>
      <c r="H5874" s="1">
        <v>-4.2610859999999998E-6</v>
      </c>
      <c r="I5874">
        <v>15.732779999999901</v>
      </c>
      <c r="J5874">
        <v>-417.95830000000001</v>
      </c>
      <c r="K5874">
        <v>1.1217349999999999</v>
      </c>
      <c r="L5874">
        <v>33.186100000000003</v>
      </c>
      <c r="M5874">
        <v>0.54853059999999998</v>
      </c>
      <c r="N5874">
        <v>-1.554986E-2</v>
      </c>
      <c r="O5874">
        <v>-0.83598609999999896</v>
      </c>
      <c r="P5874">
        <v>0.75767819999999997</v>
      </c>
      <c r="Q5874">
        <v>-9.6800709999999998E-2</v>
      </c>
      <c r="R5874">
        <v>-0.64541009999999999</v>
      </c>
      <c r="S5874">
        <v>2.7856139999999998</v>
      </c>
      <c r="T5874">
        <v>-8.7755799999999995E-2</v>
      </c>
      <c r="U5874">
        <v>-1.375305</v>
      </c>
      <c r="V5874">
        <v>-0.27688790000000002</v>
      </c>
      <c r="W5874">
        <v>-9.0105439999999995E-2</v>
      </c>
      <c r="X5874">
        <v>0.95666830000000003</v>
      </c>
      <c r="Y5874">
        <v>-0.50655209999999995</v>
      </c>
      <c r="Z5874">
        <v>1.71463E-2</v>
      </c>
      <c r="AA5874">
        <v>0.86203890000000005</v>
      </c>
      <c r="AB5874">
        <v>28</v>
      </c>
      <c r="AC5874">
        <v>35.514299999999899</v>
      </c>
      <c r="AD5874">
        <v>-1.121739261086</v>
      </c>
      <c r="AE5874">
        <v>-17.453320000000001</v>
      </c>
      <c r="AF5874">
        <v>-20.102056259482801</v>
      </c>
      <c r="AG5874">
        <v>-1.121739261086</v>
      </c>
      <c r="AH5874">
        <v>34.048166615316603</v>
      </c>
      <c r="AI5874">
        <v>91.625051567390898</v>
      </c>
      <c r="AJ5874">
        <v>120.55762564906099</v>
      </c>
      <c r="AK5874">
        <v>39.555386671016599</v>
      </c>
      <c r="AL5874">
        <v>95.1696726519056</v>
      </c>
      <c r="AM5874">
        <v>106.141995856603</v>
      </c>
      <c r="AN5874">
        <v>1.0000000678544401</v>
      </c>
    </row>
    <row r="5875" spans="1:40" x14ac:dyDescent="0.25">
      <c r="A5875" t="str">
        <f>"20190305135046282"</f>
        <v>20190305135046282</v>
      </c>
      <c r="B5875" t="str">
        <f>"1551765046275872"</f>
        <v>1551765046275872</v>
      </c>
      <c r="C5875" t="s">
        <v>40</v>
      </c>
      <c r="D5875">
        <v>4.1896680000000002</v>
      </c>
      <c r="E5875">
        <v>0.40277109999999999</v>
      </c>
      <c r="F5875" t="s">
        <v>98</v>
      </c>
      <c r="G5875">
        <v>-382.78460000000001</v>
      </c>
      <c r="H5875" s="1">
        <v>-4.0244550000000004E-6</v>
      </c>
      <c r="I5875">
        <v>16.159129999999902</v>
      </c>
      <c r="J5875">
        <v>-417.86219999999997</v>
      </c>
      <c r="K5875">
        <v>1.1217870000000001</v>
      </c>
      <c r="L5875">
        <v>33.05771</v>
      </c>
      <c r="M5875">
        <v>0.55669389999999996</v>
      </c>
      <c r="N5875">
        <v>-1.559021E-2</v>
      </c>
      <c r="O5875">
        <v>-0.83057150000000002</v>
      </c>
      <c r="P5875">
        <v>0.76384160000000001</v>
      </c>
      <c r="Q5875">
        <v>-9.7288020000000003E-2</v>
      </c>
      <c r="R5875">
        <v>-0.63802950000000003</v>
      </c>
      <c r="S5875">
        <v>2.79541</v>
      </c>
      <c r="T5875">
        <v>-8.9149709999999993E-2</v>
      </c>
      <c r="U5875">
        <v>-1.35321</v>
      </c>
      <c r="V5875">
        <v>-0.2767192</v>
      </c>
      <c r="W5875">
        <v>-9.0587769999999998E-2</v>
      </c>
      <c r="X5875">
        <v>0.95667150000000001</v>
      </c>
      <c r="Y5875">
        <v>-0.50479859999999999</v>
      </c>
      <c r="Z5875">
        <v>1.75690999999999E-2</v>
      </c>
      <c r="AA5875">
        <v>0.86305829999999994</v>
      </c>
      <c r="AB5875">
        <v>28</v>
      </c>
      <c r="AC5875">
        <v>35.077599999999897</v>
      </c>
      <c r="AD5875">
        <v>-1.121791024455</v>
      </c>
      <c r="AE5875">
        <v>-16.898579999999999</v>
      </c>
      <c r="AF5875">
        <v>-19.713150919956998</v>
      </c>
      <c r="AG5875">
        <v>-1.121791024455</v>
      </c>
      <c r="AH5875">
        <v>33.539201074316701</v>
      </c>
      <c r="AI5875">
        <v>91.651676608671195</v>
      </c>
      <c r="AJ5875">
        <v>120.445499549459</v>
      </c>
      <c r="AK5875">
        <v>38.919721774429398</v>
      </c>
      <c r="AL5875">
        <v>95.197421911299401</v>
      </c>
      <c r="AM5875">
        <v>106.132621610391</v>
      </c>
      <c r="AN5875">
        <v>1.0000000093172301</v>
      </c>
    </row>
    <row r="5876" spans="1:40" x14ac:dyDescent="0.25">
      <c r="A5876" t="str">
        <f>"20190305135046295"</f>
        <v>20190305135046295</v>
      </c>
      <c r="B5876" t="str">
        <f>"1551765046285635"</f>
        <v>1551765046285635</v>
      </c>
      <c r="C5876" t="s">
        <v>40</v>
      </c>
      <c r="D5876">
        <v>4.1980500000000003</v>
      </c>
      <c r="E5876">
        <v>0.40300859999999999</v>
      </c>
      <c r="F5876" t="s">
        <v>98</v>
      </c>
      <c r="G5876">
        <v>-382.80560000000003</v>
      </c>
      <c r="H5876" s="1">
        <v>-3.9575090000000003E-6</v>
      </c>
      <c r="I5876">
        <v>16.48048</v>
      </c>
      <c r="J5876">
        <v>-417.77190000000002</v>
      </c>
      <c r="K5876">
        <v>1.1218379999999999</v>
      </c>
      <c r="L5876">
        <v>32.938749999999999</v>
      </c>
      <c r="M5876">
        <v>0.5642741</v>
      </c>
      <c r="N5876">
        <v>-1.5636790000000001E-2</v>
      </c>
      <c r="O5876">
        <v>-0.82543949999999999</v>
      </c>
      <c r="P5876">
        <v>0.76950319999999905</v>
      </c>
      <c r="Q5876">
        <v>-9.7683210000000006E-2</v>
      </c>
      <c r="R5876">
        <v>-0.63112840000000003</v>
      </c>
      <c r="S5876">
        <v>2.80722</v>
      </c>
      <c r="T5876">
        <v>-8.9829560000000003E-2</v>
      </c>
      <c r="U5876">
        <v>-1.3274539999999999</v>
      </c>
      <c r="V5876">
        <v>-0.27650940000000002</v>
      </c>
      <c r="W5876">
        <v>-9.0965379999999998E-2</v>
      </c>
      <c r="X5876">
        <v>0.95669630000000005</v>
      </c>
      <c r="Y5876">
        <v>-0.50476489999999996</v>
      </c>
      <c r="Z5876">
        <v>1.7779219999999998E-2</v>
      </c>
      <c r="AA5876">
        <v>0.8630738</v>
      </c>
      <c r="AB5876">
        <v>28</v>
      </c>
      <c r="AC5876">
        <v>34.966299999999897</v>
      </c>
      <c r="AD5876">
        <v>-1.121841957509</v>
      </c>
      <c r="AE5876">
        <v>-16.458269999999999</v>
      </c>
      <c r="AF5876">
        <v>-19.561498272457499</v>
      </c>
      <c r="AG5876">
        <v>-1.121841957509</v>
      </c>
      <c r="AH5876">
        <v>33.291901292009399</v>
      </c>
      <c r="AI5876">
        <v>91.664151717182307</v>
      </c>
      <c r="AJ5876">
        <v>120.437442197986</v>
      </c>
      <c r="AK5876">
        <v>38.629799839992401</v>
      </c>
      <c r="AL5876">
        <v>95.219147223381995</v>
      </c>
      <c r="AM5876">
        <v>106.120629774674</v>
      </c>
      <c r="AN5876">
        <v>0.99999997954029696</v>
      </c>
    </row>
    <row r="5877" spans="1:40" x14ac:dyDescent="0.25">
      <c r="A5877" t="str">
        <f>"20190305135046306"</f>
        <v>20190305135046306</v>
      </c>
      <c r="B5877" t="str">
        <f>"1551765046296369"</f>
        <v>1551765046296369</v>
      </c>
      <c r="C5877" t="s">
        <v>40</v>
      </c>
      <c r="D5877">
        <v>4.2155110000000002</v>
      </c>
      <c r="E5877">
        <v>0.40323890000000001</v>
      </c>
      <c r="F5877" t="s">
        <v>41</v>
      </c>
      <c r="G5877">
        <v>-416.79430000000002</v>
      </c>
      <c r="H5877">
        <v>1.09016</v>
      </c>
      <c r="I5877">
        <v>32.486229999999999</v>
      </c>
      <c r="J5877">
        <v>-417.6884</v>
      </c>
      <c r="K5877">
        <v>1.1218840000000001</v>
      </c>
      <c r="L5877">
        <v>32.830629999999999</v>
      </c>
      <c r="M5877">
        <v>0.57119330000000001</v>
      </c>
      <c r="N5877">
        <v>-1.5690570000000001E-2</v>
      </c>
      <c r="O5877">
        <v>-0.82066569999999905</v>
      </c>
      <c r="P5877">
        <v>0.77465989999999996</v>
      </c>
      <c r="Q5877">
        <v>-9.7583760000000005E-2</v>
      </c>
      <c r="R5877">
        <v>-0.62480349999999996</v>
      </c>
      <c r="S5877">
        <v>2.817841</v>
      </c>
      <c r="T5877">
        <v>-9.1264250000000005E-2</v>
      </c>
      <c r="U5877">
        <v>-1.3036190000000001</v>
      </c>
      <c r="V5877">
        <v>-0.27630969999999999</v>
      </c>
      <c r="W5877">
        <v>-9.083513E-2</v>
      </c>
      <c r="X5877">
        <v>0.95676640000000002</v>
      </c>
      <c r="Y5877">
        <v>-0.50474940000000001</v>
      </c>
      <c r="Z5877">
        <v>1.8218109999999999E-2</v>
      </c>
      <c r="AA5877">
        <v>0.86307369999999906</v>
      </c>
      <c r="AB5877">
        <v>28</v>
      </c>
      <c r="AC5877">
        <v>0.89409999999998002</v>
      </c>
      <c r="AD5877">
        <v>-3.1724000000000002E-2</v>
      </c>
      <c r="AE5877">
        <v>-0.34439999999999998</v>
      </c>
      <c r="AF5877">
        <v>-0.53651613288946898</v>
      </c>
      <c r="AG5877">
        <v>-3.1724000000000002E-2</v>
      </c>
      <c r="AH5877">
        <v>0.79256992744444699</v>
      </c>
      <c r="AI5877">
        <v>91.898453283194101</v>
      </c>
      <c r="AJ5877">
        <v>124.095337812742</v>
      </c>
      <c r="AK5877">
        <v>0.957613211540007</v>
      </c>
      <c r="AL5877">
        <v>95.211653276656094</v>
      </c>
      <c r="AM5877">
        <v>106.10847224903701</v>
      </c>
      <c r="AN5877">
        <v>1.0000000076625799</v>
      </c>
    </row>
    <row r="5878" spans="1:40" x14ac:dyDescent="0.25">
      <c r="A5878" t="str">
        <f>"20190305135046316"</f>
        <v>20190305135046316</v>
      </c>
      <c r="B5878" t="str">
        <f>"1551765046306129"</f>
        <v>1551765046306129</v>
      </c>
      <c r="C5878" t="s">
        <v>40</v>
      </c>
      <c r="D5878">
        <v>4.2035710000000002</v>
      </c>
      <c r="E5878">
        <v>0.40344540000000001</v>
      </c>
      <c r="F5878" t="s">
        <v>98</v>
      </c>
      <c r="G5878">
        <v>-382.77960000000002</v>
      </c>
      <c r="H5878" s="1">
        <v>-3.8767340000000002E-6</v>
      </c>
      <c r="I5878">
        <v>17.00525</v>
      </c>
      <c r="J5878">
        <v>-417.61169999999998</v>
      </c>
      <c r="K5878">
        <v>1.1219300000000001</v>
      </c>
      <c r="L5878">
        <v>32.733519999999999</v>
      </c>
      <c r="M5878">
        <v>0.57744819999999997</v>
      </c>
      <c r="N5878">
        <v>-1.5762330000000001E-2</v>
      </c>
      <c r="O5878">
        <v>-0.81627519999999998</v>
      </c>
      <c r="P5878">
        <v>0.77920100000000003</v>
      </c>
      <c r="Q5878">
        <v>-9.6615199999999998E-2</v>
      </c>
      <c r="R5878">
        <v>-0.61928309999999998</v>
      </c>
      <c r="S5878">
        <v>2.827423</v>
      </c>
      <c r="T5878">
        <v>-9.0866799999999998E-2</v>
      </c>
      <c r="U5878">
        <v>-1.2817689999999999</v>
      </c>
      <c r="V5878">
        <v>-0.27591949999999998</v>
      </c>
      <c r="W5878">
        <v>-8.9803099999999997E-2</v>
      </c>
      <c r="X5878">
        <v>0.95697639999999995</v>
      </c>
      <c r="Y5878">
        <v>-0.50478650000000003</v>
      </c>
      <c r="Z5878">
        <v>1.8066760000000001E-2</v>
      </c>
      <c r="AA5878">
        <v>0.86305520000000002</v>
      </c>
      <c r="AB5878">
        <v>28</v>
      </c>
      <c r="AC5878">
        <v>34.832099999999897</v>
      </c>
      <c r="AD5878">
        <v>-1.1219338767339999</v>
      </c>
      <c r="AE5878">
        <v>-15.728269999999901</v>
      </c>
      <c r="AF5878">
        <v>-19.336058622890601</v>
      </c>
      <c r="AG5878">
        <v>-1.1219338767339999</v>
      </c>
      <c r="AH5878">
        <v>32.9280470684715</v>
      </c>
      <c r="AI5878">
        <v>91.6829276407463</v>
      </c>
      <c r="AJ5878">
        <v>120.422373693208</v>
      </c>
      <c r="AK5878">
        <v>38.202070394614701</v>
      </c>
      <c r="AL5878">
        <v>95.152279689982095</v>
      </c>
      <c r="AM5878">
        <v>106.08355413371299</v>
      </c>
      <c r="AN5878">
        <v>0.99999999870340905</v>
      </c>
    </row>
    <row r="5879" spans="1:40" x14ac:dyDescent="0.25">
      <c r="A5879" t="str">
        <f>"20190305135046327"</f>
        <v>20190305135046327</v>
      </c>
      <c r="B5879" t="str">
        <f>"1551765046315888"</f>
        <v>1551765046315888</v>
      </c>
      <c r="C5879" t="s">
        <v>40</v>
      </c>
      <c r="D5879">
        <v>4.2140639999999996</v>
      </c>
      <c r="E5879">
        <v>0.40344540000000001</v>
      </c>
      <c r="F5879" t="s">
        <v>98</v>
      </c>
      <c r="G5879">
        <v>-380.54480000000001</v>
      </c>
      <c r="H5879" s="1">
        <v>-5.07153E-6</v>
      </c>
      <c r="I5879">
        <v>16.224959999999999</v>
      </c>
      <c r="J5879">
        <v>-417.53179999999998</v>
      </c>
      <c r="K5879">
        <v>1.1219790000000001</v>
      </c>
      <c r="L5879">
        <v>32.633270000000003</v>
      </c>
      <c r="M5879">
        <v>0.58390609999999998</v>
      </c>
      <c r="N5879">
        <v>-1.5847750000000001E-2</v>
      </c>
      <c r="O5879">
        <v>-0.81166669999999996</v>
      </c>
      <c r="P5879">
        <v>0.78397559999999999</v>
      </c>
      <c r="Q5879">
        <v>-9.6299770000000007E-2</v>
      </c>
      <c r="R5879">
        <v>-0.61327759999999998</v>
      </c>
      <c r="S5879">
        <v>2.835693</v>
      </c>
      <c r="T5879">
        <v>-8.5830329999999996E-2</v>
      </c>
      <c r="U5879">
        <v>-1.262939</v>
      </c>
      <c r="V5879">
        <v>-0.27571790000000002</v>
      </c>
      <c r="W5879">
        <v>-8.94176E-2</v>
      </c>
      <c r="X5879">
        <v>0.95707059999999999</v>
      </c>
      <c r="Y5879">
        <v>-0.50368809999999997</v>
      </c>
      <c r="Z5879">
        <v>1.6439140000000001E-2</v>
      </c>
      <c r="AA5879">
        <v>0.86372919999999997</v>
      </c>
      <c r="AB5879">
        <v>28</v>
      </c>
      <c r="AC5879">
        <v>36.986999999999902</v>
      </c>
      <c r="AD5879">
        <v>-1.12198407153</v>
      </c>
      <c r="AE5879">
        <v>-16.40831</v>
      </c>
      <c r="AF5879">
        <v>-20.4270622162039</v>
      </c>
      <c r="AG5879">
        <v>-1.12198407153</v>
      </c>
      <c r="AH5879">
        <v>34.892565676024198</v>
      </c>
      <c r="AI5879">
        <v>91.589539823936505</v>
      </c>
      <c r="AJ5879">
        <v>120.34587302954201</v>
      </c>
      <c r="AK5879">
        <v>40.447680508245398</v>
      </c>
      <c r="AL5879">
        <v>95.130102938430994</v>
      </c>
      <c r="AM5879">
        <v>106.07090951580599</v>
      </c>
      <c r="AN5879">
        <v>1.00000000047726</v>
      </c>
    </row>
    <row r="5880" spans="1:40" x14ac:dyDescent="0.25">
      <c r="A5880" t="str">
        <f>"20190305135046338"</f>
        <v>20190305135046338</v>
      </c>
      <c r="B5880" t="str">
        <f>"1551765046336384"</f>
        <v>1551765046336384</v>
      </c>
      <c r="C5880" t="s">
        <v>40</v>
      </c>
      <c r="D5880">
        <v>4.17645</v>
      </c>
      <c r="E5880">
        <v>0.40958650000000002</v>
      </c>
      <c r="F5880" t="s">
        <v>98</v>
      </c>
      <c r="G5880">
        <v>-380.0641</v>
      </c>
      <c r="H5880" s="1">
        <v>-5.2866819999999996E-6</v>
      </c>
      <c r="I5880">
        <v>16.293050000000001</v>
      </c>
      <c r="J5880">
        <v>-417.44569999999999</v>
      </c>
      <c r="K5880">
        <v>1.1220250000000001</v>
      </c>
      <c r="L5880">
        <v>32.528109999999998</v>
      </c>
      <c r="M5880">
        <v>0.59074569999999904</v>
      </c>
      <c r="N5880">
        <v>-1.5962500000000001E-2</v>
      </c>
      <c r="O5880">
        <v>-0.80670010000000003</v>
      </c>
      <c r="P5880">
        <v>0.78892700000000004</v>
      </c>
      <c r="Q5880">
        <v>-9.5679E-2</v>
      </c>
      <c r="R5880">
        <v>-0.60699250000000005</v>
      </c>
      <c r="S5880">
        <v>2.8454280000000001</v>
      </c>
      <c r="T5880">
        <v>-8.5207580000000005E-2</v>
      </c>
      <c r="U5880">
        <v>-1.240936</v>
      </c>
      <c r="V5880">
        <v>-0.27535379999999998</v>
      </c>
      <c r="W5880">
        <v>-8.8689489999999996E-2</v>
      </c>
      <c r="X5880">
        <v>0.95724310000000001</v>
      </c>
      <c r="Y5880">
        <v>-0.50308379999999997</v>
      </c>
      <c r="Z5880">
        <v>1.6183070000000001E-2</v>
      </c>
      <c r="AA5880">
        <v>0.86408609999999897</v>
      </c>
      <c r="AB5880">
        <v>28</v>
      </c>
      <c r="AC5880">
        <v>37.381599999999899</v>
      </c>
      <c r="AD5880">
        <v>-1.122030286682</v>
      </c>
      <c r="AE5880">
        <v>-16.235059999999901</v>
      </c>
      <c r="AF5880">
        <v>-20.5519879133169</v>
      </c>
      <c r="AG5880">
        <v>-1.122030286682</v>
      </c>
      <c r="AH5880">
        <v>35.157672569207897</v>
      </c>
      <c r="AI5880">
        <v>91.578216822457705</v>
      </c>
      <c r="AJ5880">
        <v>120.30911396897601</v>
      </c>
      <c r="AK5880">
        <v>40.739478391812902</v>
      </c>
      <c r="AL5880">
        <v>95.088219170062601</v>
      </c>
      <c r="AM5880">
        <v>106.048037231344</v>
      </c>
      <c r="AN5880">
        <v>0.99999994665425296</v>
      </c>
    </row>
    <row r="5881" spans="1:40" x14ac:dyDescent="0.25">
      <c r="A5881" t="str">
        <f>"20190305135046356"</f>
        <v>20190305135046356</v>
      </c>
      <c r="B5881" t="str">
        <f>"1551765046346144"</f>
        <v>1551765046346144</v>
      </c>
      <c r="C5881" t="s">
        <v>40</v>
      </c>
      <c r="D5881">
        <v>4.1768519999999896</v>
      </c>
      <c r="E5881">
        <v>0.40986650000000002</v>
      </c>
      <c r="F5881" t="s">
        <v>73</v>
      </c>
      <c r="G5881">
        <v>-344.68759999999997</v>
      </c>
      <c r="H5881">
        <v>0.24194180000000001</v>
      </c>
      <c r="I5881">
        <v>0.1669226</v>
      </c>
      <c r="J5881">
        <v>-417.3064</v>
      </c>
      <c r="K5881">
        <v>1.122106</v>
      </c>
      <c r="L5881">
        <v>32.360869999999998</v>
      </c>
      <c r="M5881">
        <v>0.60165679999999999</v>
      </c>
      <c r="N5881">
        <v>-1.6175680000000001E-2</v>
      </c>
      <c r="O5881">
        <v>-0.79859099999999905</v>
      </c>
      <c r="P5881">
        <v>0.79676279999999999</v>
      </c>
      <c r="Q5881">
        <v>-9.6013169999999995E-2</v>
      </c>
      <c r="R5881">
        <v>-0.59661589999999998</v>
      </c>
      <c r="S5881">
        <v>2.8300169999999998</v>
      </c>
      <c r="T5881">
        <v>-3.4231900000000003E-2</v>
      </c>
      <c r="U5881">
        <v>-1.2587280000000001</v>
      </c>
      <c r="V5881">
        <v>-0.27482380000000001</v>
      </c>
      <c r="W5881">
        <v>-8.8824739999999999E-2</v>
      </c>
      <c r="X5881">
        <v>0.95738290000000004</v>
      </c>
      <c r="Y5881">
        <v>-0.48514269999999998</v>
      </c>
      <c r="Z5881">
        <v>1.4818200000000001E-4</v>
      </c>
      <c r="AA5881">
        <v>0.87443499999999996</v>
      </c>
      <c r="AB5881">
        <v>27</v>
      </c>
      <c r="AC5881">
        <v>72.618799999999993</v>
      </c>
      <c r="AD5881">
        <v>-0.88016419999999995</v>
      </c>
      <c r="AE5881">
        <v>-32.193947399999999</v>
      </c>
      <c r="AF5881">
        <v>-38.623321983111602</v>
      </c>
      <c r="AG5881">
        <v>-0.88016419999999995</v>
      </c>
      <c r="AH5881">
        <v>69.401947154748001</v>
      </c>
      <c r="AI5881">
        <v>90.634905727357804</v>
      </c>
      <c r="AJ5881">
        <v>119.096655355423</v>
      </c>
      <c r="AK5881">
        <v>79.430258459232704</v>
      </c>
      <c r="AL5881">
        <v>95.095998927027594</v>
      </c>
      <c r="AM5881">
        <v>106.01651495587301</v>
      </c>
      <c r="AN5881">
        <v>0.99999998634745801</v>
      </c>
    </row>
    <row r="5882" spans="1:40" x14ac:dyDescent="0.25">
      <c r="A5882" t="str">
        <f>"20190305135046368"</f>
        <v>20190305135046368</v>
      </c>
      <c r="B5882" t="str">
        <f>"1551765046365664"</f>
        <v>1551765046365664</v>
      </c>
      <c r="C5882" t="s">
        <v>40</v>
      </c>
      <c r="D5882">
        <v>4.1921200000000001</v>
      </c>
      <c r="E5882">
        <v>0.41038950000000002</v>
      </c>
      <c r="F5882" t="s">
        <v>73</v>
      </c>
      <c r="G5882">
        <v>-342.4547</v>
      </c>
      <c r="H5882">
        <v>0.167513299999999</v>
      </c>
      <c r="I5882">
        <v>0.16694779999999901</v>
      </c>
      <c r="J5882">
        <v>-417.21530000000001</v>
      </c>
      <c r="K5882">
        <v>1.12215</v>
      </c>
      <c r="L5882">
        <v>32.253540000000001</v>
      </c>
      <c r="M5882">
        <v>0.608684</v>
      </c>
      <c r="N5882">
        <v>-1.6332699999999999E-2</v>
      </c>
      <c r="O5882">
        <v>-0.79324479999999997</v>
      </c>
      <c r="P5882">
        <v>0.801073699999999</v>
      </c>
      <c r="Q5882">
        <v>-9.6856059999999994E-2</v>
      </c>
      <c r="R5882">
        <v>-0.59067769999999897</v>
      </c>
      <c r="S5882">
        <v>2.8446959999999999</v>
      </c>
      <c r="T5882">
        <v>-3.627872E-2</v>
      </c>
      <c r="U5882">
        <v>-1.223511</v>
      </c>
      <c r="V5882">
        <v>-0.27338200000000001</v>
      </c>
      <c r="W5882">
        <v>-8.9482019999999995E-2</v>
      </c>
      <c r="X5882">
        <v>0.95773439999999999</v>
      </c>
      <c r="Y5882">
        <v>-0.48818539999999999</v>
      </c>
      <c r="Z5882">
        <v>7.8773890000000005E-4</v>
      </c>
      <c r="AA5882">
        <v>0.87273959999999995</v>
      </c>
      <c r="AB5882">
        <v>27</v>
      </c>
      <c r="AC5882">
        <v>74.760599999999997</v>
      </c>
      <c r="AD5882">
        <v>-0.9546367</v>
      </c>
      <c r="AE5882">
        <v>-32.086592199999998</v>
      </c>
      <c r="AF5882">
        <v>-39.772685894099801</v>
      </c>
      <c r="AG5882">
        <v>-0.9546367</v>
      </c>
      <c r="AH5882">
        <v>70.957789438905706</v>
      </c>
      <c r="AI5882">
        <v>90.672379362967803</v>
      </c>
      <c r="AJ5882">
        <v>119.271149513523</v>
      </c>
      <c r="AK5882">
        <v>81.349774163889293</v>
      </c>
      <c r="AL5882">
        <v>95.133808968709602</v>
      </c>
      <c r="AM5882">
        <v>105.931213607015</v>
      </c>
      <c r="AN5882">
        <v>0.99999996538531899</v>
      </c>
    </row>
    <row r="5883" spans="1:40" x14ac:dyDescent="0.25">
      <c r="A5883" t="str">
        <f>"20190305135046385"</f>
        <v>20190305135046385</v>
      </c>
      <c r="B5883" t="str">
        <f>"1551765046376401"</f>
        <v>1551765046376401</v>
      </c>
      <c r="C5883" t="s">
        <v>40</v>
      </c>
      <c r="D5883">
        <v>4.1877139999999997</v>
      </c>
      <c r="E5883">
        <v>0.41063260000000001</v>
      </c>
      <c r="F5883" t="s">
        <v>43</v>
      </c>
      <c r="G5883">
        <v>-342.87439999999998</v>
      </c>
      <c r="H5883">
        <v>-0.05</v>
      </c>
      <c r="I5883">
        <v>0.80726619999999905</v>
      </c>
      <c r="J5883">
        <v>-417.09379999999999</v>
      </c>
      <c r="K5883">
        <v>1.1222080000000001</v>
      </c>
      <c r="L5883">
        <v>32.114690000000003</v>
      </c>
      <c r="M5883">
        <v>0.61786649999999999</v>
      </c>
      <c r="N5883">
        <v>-1.6570720000000001E-2</v>
      </c>
      <c r="O5883">
        <v>-0.78610849999999999</v>
      </c>
      <c r="P5883">
        <v>0.80757950000000001</v>
      </c>
      <c r="Q5883">
        <v>-9.7783480000000006E-2</v>
      </c>
      <c r="R5883">
        <v>-0.581596</v>
      </c>
      <c r="S5883">
        <v>2.8504640000000001</v>
      </c>
      <c r="T5883">
        <v>-4.494393E-2</v>
      </c>
      <c r="U5883">
        <v>-1.2057500000000001</v>
      </c>
      <c r="V5883">
        <v>-0.27294279999999999</v>
      </c>
      <c r="W5883">
        <v>-9.0181789999999998E-2</v>
      </c>
      <c r="X5883">
        <v>0.95779409999999998</v>
      </c>
      <c r="Y5883">
        <v>-0.48325659999999998</v>
      </c>
      <c r="Z5883">
        <v>3.3389869999999999E-3</v>
      </c>
      <c r="AA5883">
        <v>0.87547240000000004</v>
      </c>
      <c r="AB5883">
        <v>27</v>
      </c>
      <c r="AC5883">
        <v>74.219399999999993</v>
      </c>
      <c r="AD5883">
        <v>-1.1722079999999999</v>
      </c>
      <c r="AE5883">
        <v>-31.307423799999999</v>
      </c>
      <c r="AF5883">
        <v>-38.997786763720001</v>
      </c>
      <c r="AG5883">
        <v>-1.1722079999999999</v>
      </c>
      <c r="AH5883">
        <v>70.463462009658102</v>
      </c>
      <c r="AI5883">
        <v>90.833893567919503</v>
      </c>
      <c r="AJ5883">
        <v>118.96220032533</v>
      </c>
      <c r="AK5883">
        <v>80.543782643046796</v>
      </c>
      <c r="AL5883">
        <v>95.1740652494843</v>
      </c>
      <c r="AM5883">
        <v>105.905974084996</v>
      </c>
      <c r="AN5883">
        <v>1.0000000326571199</v>
      </c>
    </row>
    <row r="5884" spans="1:40" x14ac:dyDescent="0.25">
      <c r="A5884" t="str">
        <f>"20190305135046397"</f>
        <v>20190305135046397</v>
      </c>
      <c r="B5884" t="str">
        <f>"1551765046386161"</f>
        <v>1551765046386161</v>
      </c>
      <c r="C5884" t="s">
        <v>40</v>
      </c>
      <c r="D5884">
        <v>4.1882780000000004</v>
      </c>
      <c r="E5884">
        <v>0.4105917</v>
      </c>
      <c r="F5884" t="s">
        <v>42</v>
      </c>
      <c r="G5884">
        <v>-358.53519999999997</v>
      </c>
      <c r="H5884">
        <v>7.9985860000000006E-2</v>
      </c>
      <c r="I5884">
        <v>8.0705519999999993</v>
      </c>
      <c r="J5884">
        <v>-416.98779999999999</v>
      </c>
      <c r="K5884">
        <v>1.1222559999999999</v>
      </c>
      <c r="L5884">
        <v>31.996030000000001</v>
      </c>
      <c r="M5884">
        <v>0.62575419999999904</v>
      </c>
      <c r="N5884">
        <v>-1.6782640000000001E-2</v>
      </c>
      <c r="O5884">
        <v>-0.77984010000000004</v>
      </c>
      <c r="P5884">
        <v>0.81300299999999903</v>
      </c>
      <c r="Q5884">
        <v>-9.8200380000000004E-2</v>
      </c>
      <c r="R5884">
        <v>-0.57391939999999997</v>
      </c>
      <c r="S5884">
        <v>2.862244</v>
      </c>
      <c r="T5884">
        <v>-5.0942059999999997E-2</v>
      </c>
      <c r="U5884">
        <v>-1.1752320000000001</v>
      </c>
      <c r="V5884">
        <v>-0.27231739999999999</v>
      </c>
      <c r="W5884">
        <v>-9.0386270000000005E-2</v>
      </c>
      <c r="X5884">
        <v>0.95795280000000005</v>
      </c>
      <c r="Y5884">
        <v>-0.48367100000000002</v>
      </c>
      <c r="Z5884">
        <v>5.1172379999999996E-3</v>
      </c>
      <c r="AA5884">
        <v>0.87523490000000004</v>
      </c>
      <c r="AB5884">
        <v>27</v>
      </c>
      <c r="AC5884">
        <v>58.452599999999997</v>
      </c>
      <c r="AD5884">
        <v>-1.0422701399999901</v>
      </c>
      <c r="AE5884">
        <v>-23.925477999999998</v>
      </c>
      <c r="AF5884">
        <v>-30.608181267139301</v>
      </c>
      <c r="AG5884">
        <v>-1.0422701399999901</v>
      </c>
      <c r="AH5884">
        <v>55.227732317064302</v>
      </c>
      <c r="AI5884">
        <v>90.945676019996498</v>
      </c>
      <c r="AJ5884">
        <v>118.99599162974</v>
      </c>
      <c r="AK5884">
        <v>63.151005569286902</v>
      </c>
      <c r="AL5884">
        <v>95.185829273899699</v>
      </c>
      <c r="AM5884">
        <v>105.868869384365</v>
      </c>
      <c r="AN5884">
        <v>1.00000000558755</v>
      </c>
    </row>
    <row r="5885" spans="1:40" x14ac:dyDescent="0.25">
      <c r="A5885" t="str">
        <f>"20190305135046412"</f>
        <v>20190305135046412</v>
      </c>
      <c r="B5885" t="str">
        <f>"1551765046405680"</f>
        <v>1551765046405680</v>
      </c>
      <c r="C5885" t="s">
        <v>40</v>
      </c>
      <c r="D5885">
        <v>4.1820959999999996</v>
      </c>
      <c r="E5885">
        <v>0.41034199999999998</v>
      </c>
      <c r="F5885" t="s">
        <v>101</v>
      </c>
      <c r="G5885">
        <v>-360.26119999999997</v>
      </c>
      <c r="H5885">
        <v>7.9986329999999994E-2</v>
      </c>
      <c r="I5885">
        <v>9.3346830000000001</v>
      </c>
      <c r="J5885">
        <v>-416.87860000000001</v>
      </c>
      <c r="K5885">
        <v>1.1223099999999999</v>
      </c>
      <c r="L5885">
        <v>31.875699999999998</v>
      </c>
      <c r="M5885">
        <v>0.633772</v>
      </c>
      <c r="N5885">
        <v>-1.7001559999999999E-2</v>
      </c>
      <c r="O5885">
        <v>-0.77333300000000005</v>
      </c>
      <c r="P5885">
        <v>0.81875169999999997</v>
      </c>
      <c r="Q5885">
        <v>-9.8517919999999995E-2</v>
      </c>
      <c r="R5885">
        <v>-0.56563219999999903</v>
      </c>
      <c r="S5885">
        <v>2.8733520000000001</v>
      </c>
      <c r="T5885">
        <v>-5.2793739999999999E-2</v>
      </c>
      <c r="U5885">
        <v>-1.147858</v>
      </c>
      <c r="V5885">
        <v>-0.27211729999999901</v>
      </c>
      <c r="W5885">
        <v>-9.0499670000000004E-2</v>
      </c>
      <c r="X5885">
        <v>0.95799889999999999</v>
      </c>
      <c r="Y5885">
        <v>-0.48298229999999998</v>
      </c>
      <c r="Z5885">
        <v>5.6059969999999997E-3</v>
      </c>
      <c r="AA5885">
        <v>0.87561209999999901</v>
      </c>
      <c r="AB5885">
        <v>27</v>
      </c>
      <c r="AC5885">
        <v>56.617400000000004</v>
      </c>
      <c r="AD5885">
        <v>-1.04232367</v>
      </c>
      <c r="AE5885">
        <v>-22.541017</v>
      </c>
      <c r="AF5885">
        <v>-29.493875036853002</v>
      </c>
      <c r="AG5885">
        <v>-1.04232367</v>
      </c>
      <c r="AH5885">
        <v>53.306348977909003</v>
      </c>
      <c r="AI5885">
        <v>90.980191049237504</v>
      </c>
      <c r="AJ5885">
        <v>118.955321025686</v>
      </c>
      <c r="AK5885">
        <v>60.930632235987503</v>
      </c>
      <c r="AL5885">
        <v>95.192353622871906</v>
      </c>
      <c r="AM5885">
        <v>105.857070771179</v>
      </c>
      <c r="AN5885">
        <v>0.99999995381530304</v>
      </c>
    </row>
    <row r="5886" spans="1:40" x14ac:dyDescent="0.25">
      <c r="A5886" t="str">
        <f>"20190305135046425"</f>
        <v>20190305135046425</v>
      </c>
      <c r="B5886" t="str">
        <f>"1551765046416416"</f>
        <v>1551765046416416</v>
      </c>
      <c r="C5886" t="s">
        <v>40</v>
      </c>
      <c r="D5886">
        <v>4.1705589999999999</v>
      </c>
      <c r="E5886">
        <v>0.41031519999999999</v>
      </c>
      <c r="F5886" t="s">
        <v>42</v>
      </c>
      <c r="G5886">
        <v>-354.37090000000001</v>
      </c>
      <c r="H5886">
        <v>7.9985639999999997E-2</v>
      </c>
      <c r="I5886">
        <v>7.6870899999999898</v>
      </c>
      <c r="J5886">
        <v>-416.77109999999999</v>
      </c>
      <c r="K5886">
        <v>1.122368</v>
      </c>
      <c r="L5886">
        <v>31.7605</v>
      </c>
      <c r="M5886">
        <v>0.64152069999999894</v>
      </c>
      <c r="N5886">
        <v>-1.720911E-2</v>
      </c>
      <c r="O5886">
        <v>-0.76691299999999996</v>
      </c>
      <c r="P5886">
        <v>0.82434099999999999</v>
      </c>
      <c r="Q5886">
        <v>-9.720985E-2</v>
      </c>
      <c r="R5886">
        <v>-0.5576854</v>
      </c>
      <c r="S5886">
        <v>2.8866269999999998</v>
      </c>
      <c r="T5886">
        <v>-4.8134919999999998E-2</v>
      </c>
      <c r="U5886">
        <v>-1.117035</v>
      </c>
      <c r="V5886">
        <v>-0.27190530000000002</v>
      </c>
      <c r="W5886">
        <v>-8.8993799999999998E-2</v>
      </c>
      <c r="X5886">
        <v>0.95820019999999995</v>
      </c>
      <c r="Y5886">
        <v>-0.48367070000000001</v>
      </c>
      <c r="Z5886">
        <v>4.149158E-3</v>
      </c>
      <c r="AA5886">
        <v>0.87524029999999997</v>
      </c>
      <c r="AB5886">
        <v>27</v>
      </c>
      <c r="AC5886">
        <v>62.400199999999899</v>
      </c>
      <c r="AD5886">
        <v>-1.04238236</v>
      </c>
      <c r="AE5886">
        <v>-24.073409999999999</v>
      </c>
      <c r="AF5886">
        <v>-32.408853913554601</v>
      </c>
      <c r="AG5886">
        <v>-1.04238236</v>
      </c>
      <c r="AH5886">
        <v>58.487672945883503</v>
      </c>
      <c r="AI5886">
        <v>90.893110699669904</v>
      </c>
      <c r="AJ5886">
        <v>118.991462013221</v>
      </c>
      <c r="AK5886">
        <v>66.874720631933798</v>
      </c>
      <c r="AL5886">
        <v>95.105723764730897</v>
      </c>
      <c r="AM5886">
        <v>105.842175756926</v>
      </c>
      <c r="AN5886">
        <v>1.0000000059432801</v>
      </c>
    </row>
    <row r="5887" spans="1:40" x14ac:dyDescent="0.25">
      <c r="A5887" t="str">
        <f>"20190305135046436"</f>
        <v>20190305135046436</v>
      </c>
      <c r="B5887" t="str">
        <f>"1551765046426176"</f>
        <v>1551765046426176</v>
      </c>
      <c r="C5887" t="s">
        <v>40</v>
      </c>
      <c r="D5887">
        <v>4.1933160000000003</v>
      </c>
      <c r="E5887">
        <v>0.41031440000000002</v>
      </c>
      <c r="F5887" t="s">
        <v>42</v>
      </c>
      <c r="G5887">
        <v>-346.24059999999997</v>
      </c>
      <c r="H5887">
        <v>7.9986660000000001E-2</v>
      </c>
      <c r="I5887">
        <v>5.2703499999999996</v>
      </c>
      <c r="J5887">
        <v>-416.67869999999999</v>
      </c>
      <c r="K5887">
        <v>1.122401</v>
      </c>
      <c r="L5887">
        <v>31.663329999999998</v>
      </c>
      <c r="M5887">
        <v>0.64807869999999901</v>
      </c>
      <c r="N5887">
        <v>-1.7380530000000002E-2</v>
      </c>
      <c r="O5887">
        <v>-0.76137509999999997</v>
      </c>
      <c r="P5887">
        <v>0.82922700000000005</v>
      </c>
      <c r="Q5887">
        <v>-9.632628E-2</v>
      </c>
      <c r="R5887">
        <v>-0.55054859999999906</v>
      </c>
      <c r="S5887">
        <v>2.8979189999999999</v>
      </c>
      <c r="T5887">
        <v>-4.28288E-2</v>
      </c>
      <c r="U5887">
        <v>-1.088409</v>
      </c>
      <c r="V5887">
        <v>-0.27205790000000002</v>
      </c>
      <c r="W5887">
        <v>-8.7957359999999998E-2</v>
      </c>
      <c r="X5887">
        <v>0.95825260000000001</v>
      </c>
      <c r="Y5887">
        <v>-0.48486610000000002</v>
      </c>
      <c r="Z5887">
        <v>2.5335039999999998E-3</v>
      </c>
      <c r="AA5887">
        <v>0.87458469999999999</v>
      </c>
      <c r="AB5887">
        <v>27</v>
      </c>
      <c r="AC5887">
        <v>70.438100000000006</v>
      </c>
      <c r="AD5887">
        <v>-1.0424143400000001</v>
      </c>
      <c r="AE5887">
        <v>-26.392980000000001</v>
      </c>
      <c r="AF5887">
        <v>-36.523588723437399</v>
      </c>
      <c r="AG5887">
        <v>-1.0424143400000001</v>
      </c>
      <c r="AH5887">
        <v>65.741692724112696</v>
      </c>
      <c r="AI5887">
        <v>90.794113719378203</v>
      </c>
      <c r="AJ5887">
        <v>119.054887871476</v>
      </c>
      <c r="AK5887">
        <v>75.213225719461704</v>
      </c>
      <c r="AL5887">
        <v>95.046106245604904</v>
      </c>
      <c r="AM5887">
        <v>105.84979694219901</v>
      </c>
      <c r="AN5887">
        <v>1.00000002176866</v>
      </c>
    </row>
    <row r="5888" spans="1:40" x14ac:dyDescent="0.25">
      <c r="A5888" t="str">
        <f>"20190305135046447"</f>
        <v>20190305135046447</v>
      </c>
      <c r="B5888" t="str">
        <f>"1551765046435937"</f>
        <v>1551765046435937</v>
      </c>
      <c r="C5888" t="s">
        <v>40</v>
      </c>
      <c r="D5888">
        <v>4.1899059999999997</v>
      </c>
      <c r="E5888">
        <v>0.41037249999999997</v>
      </c>
      <c r="F5888" t="s">
        <v>43</v>
      </c>
      <c r="G5888">
        <v>-328.33280000000002</v>
      </c>
      <c r="H5888">
        <v>-0.05</v>
      </c>
      <c r="I5888">
        <v>-0.64422609999999902</v>
      </c>
      <c r="J5888">
        <v>-416.58920000000001</v>
      </c>
      <c r="K5888">
        <v>1.12242999999999</v>
      </c>
      <c r="L5888">
        <v>31.57047</v>
      </c>
      <c r="M5888">
        <v>0.65435330000000003</v>
      </c>
      <c r="N5888">
        <v>-1.754197E-2</v>
      </c>
      <c r="O5888">
        <v>-0.75598549999999998</v>
      </c>
      <c r="P5888">
        <v>0.83382140000000005</v>
      </c>
      <c r="Q5888">
        <v>-9.6006720000000004E-2</v>
      </c>
      <c r="R5888">
        <v>-0.54362169999999999</v>
      </c>
      <c r="S5888">
        <v>2.9074399999999998</v>
      </c>
      <c r="T5888">
        <v>-3.8583399999999997E-2</v>
      </c>
      <c r="U5888">
        <v>-1.063232</v>
      </c>
      <c r="V5888">
        <v>-0.27215319999999998</v>
      </c>
      <c r="W5888">
        <v>-8.7492310000000004E-2</v>
      </c>
      <c r="X5888">
        <v>0.95826809999999996</v>
      </c>
      <c r="Y5888">
        <v>-0.48524050000000002</v>
      </c>
      <c r="Z5888">
        <v>1.2435089999999901E-3</v>
      </c>
      <c r="AA5888">
        <v>0.87437989999999999</v>
      </c>
      <c r="AB5888">
        <v>27</v>
      </c>
      <c r="AC5888">
        <v>88.2563999999999</v>
      </c>
      <c r="AD5888">
        <v>-1.1724300000000001</v>
      </c>
      <c r="AE5888">
        <v>-32.214696099999998</v>
      </c>
      <c r="AF5888">
        <v>-45.640681584268599</v>
      </c>
      <c r="AG5888">
        <v>-1.1724300000000001</v>
      </c>
      <c r="AH5888">
        <v>82.104557901104101</v>
      </c>
      <c r="AI5888">
        <v>90.7150700528736</v>
      </c>
      <c r="AJ5888">
        <v>119.06902038127301</v>
      </c>
      <c r="AK5888">
        <v>93.944690300821406</v>
      </c>
      <c r="AL5888">
        <v>95.019357780381</v>
      </c>
      <c r="AM5888">
        <v>105.854826371576</v>
      </c>
      <c r="AN5888">
        <v>1.00000001002849</v>
      </c>
    </row>
    <row r="5889" spans="1:40" x14ac:dyDescent="0.25">
      <c r="A5889" t="str">
        <f>"20190305135046458"</f>
        <v>20190305135046458</v>
      </c>
      <c r="B5889" t="str">
        <f>"1551765046445696"</f>
        <v>1551765046445696</v>
      </c>
      <c r="C5889" t="s">
        <v>40</v>
      </c>
      <c r="D5889">
        <v>4.1338350000000004</v>
      </c>
      <c r="E5889">
        <v>0.41050809999999999</v>
      </c>
      <c r="F5889" t="s">
        <v>43</v>
      </c>
      <c r="G5889">
        <v>-321.3</v>
      </c>
      <c r="H5889">
        <v>-0.05</v>
      </c>
      <c r="I5889">
        <v>-2.3998569999999999</v>
      </c>
      <c r="J5889">
        <v>-416.5043</v>
      </c>
      <c r="K5889">
        <v>1.1224479999999999</v>
      </c>
      <c r="L5889">
        <v>31.484470000000002</v>
      </c>
      <c r="M5889">
        <v>0.66021229999999997</v>
      </c>
      <c r="N5889">
        <v>-1.7685849999999999E-2</v>
      </c>
      <c r="O5889">
        <v>-0.75087079999999995</v>
      </c>
      <c r="P5889">
        <v>0.83803449999999902</v>
      </c>
      <c r="Q5889">
        <v>-9.6612600000000007E-2</v>
      </c>
      <c r="R5889">
        <v>-0.53699589999999997</v>
      </c>
      <c r="S5889">
        <v>2.9160159999999999</v>
      </c>
      <c r="T5889">
        <v>-3.5878420000000001E-2</v>
      </c>
      <c r="U5889">
        <v>-1.0395509999999999</v>
      </c>
      <c r="V5889">
        <v>-0.27222770000000002</v>
      </c>
      <c r="W5889">
        <v>-8.7965940000000006E-2</v>
      </c>
      <c r="X5889">
        <v>0.95820360000000004</v>
      </c>
      <c r="Y5889">
        <v>-0.4855546</v>
      </c>
      <c r="Z5889">
        <v>4.2976899999999998E-4</v>
      </c>
      <c r="AA5889">
        <v>0.87420620000000004</v>
      </c>
      <c r="AB5889">
        <v>27</v>
      </c>
      <c r="AC5889">
        <v>95.204300000000003</v>
      </c>
      <c r="AD5889">
        <v>-1.1724479999999999</v>
      </c>
      <c r="AE5889">
        <v>-33.884326999999999</v>
      </c>
      <c r="AF5889">
        <v>-49.116350373618403</v>
      </c>
      <c r="AG5889">
        <v>-1.1724479999999999</v>
      </c>
      <c r="AH5889">
        <v>88.299726880103407</v>
      </c>
      <c r="AI5889">
        <v>90.664813224374299</v>
      </c>
      <c r="AJ5889">
        <v>119.084815042218</v>
      </c>
      <c r="AK5889">
        <v>101.047673280672</v>
      </c>
      <c r="AL5889">
        <v>95.046599698711105</v>
      </c>
      <c r="AM5889">
        <v>105.85996206277601</v>
      </c>
      <c r="AN5889">
        <v>1.00000003315016</v>
      </c>
    </row>
    <row r="5890" spans="1:40" x14ac:dyDescent="0.25">
      <c r="A5890" t="str">
        <f>"20190305135046470"</f>
        <v>20190305135046470</v>
      </c>
      <c r="B5890" t="str">
        <f>"1551765046466194"</f>
        <v>1551765046466194</v>
      </c>
      <c r="C5890" t="s">
        <v>40</v>
      </c>
      <c r="D5890">
        <v>4.1338819999999998</v>
      </c>
      <c r="E5890">
        <v>0.41082180000000001</v>
      </c>
      <c r="F5890" t="s">
        <v>43</v>
      </c>
      <c r="G5890">
        <v>-318.52030000000002</v>
      </c>
      <c r="H5890">
        <v>-0.05</v>
      </c>
      <c r="I5890">
        <v>-2.6169129999999998</v>
      </c>
      <c r="J5890">
        <v>-416.40660000000003</v>
      </c>
      <c r="K5890">
        <v>1.122455</v>
      </c>
      <c r="L5890">
        <v>31.38617</v>
      </c>
      <c r="M5890">
        <v>0.66688689999999995</v>
      </c>
      <c r="N5890">
        <v>-1.7848470000000002E-2</v>
      </c>
      <c r="O5890">
        <v>-0.74494499999999997</v>
      </c>
      <c r="P5890">
        <v>0.84299820000000003</v>
      </c>
      <c r="Q5890">
        <v>-9.7206909999999994E-2</v>
      </c>
      <c r="R5890">
        <v>-0.52906009999999903</v>
      </c>
      <c r="S5890">
        <v>2.923737</v>
      </c>
      <c r="T5890">
        <v>-3.4984590000000003E-2</v>
      </c>
      <c r="U5890">
        <v>-1.0175479999999999</v>
      </c>
      <c r="V5890">
        <v>-0.2726539</v>
      </c>
      <c r="W5890">
        <v>-8.8421589999999994E-2</v>
      </c>
      <c r="X5890">
        <v>0.95804040000000001</v>
      </c>
      <c r="Y5890">
        <v>-0.48433490000000001</v>
      </c>
      <c r="Z5890">
        <v>1.4415200000000001E-4</v>
      </c>
      <c r="AA5890">
        <v>0.87488269999999901</v>
      </c>
      <c r="AB5890">
        <v>27</v>
      </c>
      <c r="AC5890">
        <v>97.886300000000006</v>
      </c>
      <c r="AD5890">
        <v>-1.172455</v>
      </c>
      <c r="AE5890">
        <v>-34.003082999999997</v>
      </c>
      <c r="AF5890">
        <v>-50.245277836315204</v>
      </c>
      <c r="AG5890">
        <v>-1.172455</v>
      </c>
      <c r="AH5890">
        <v>90.612364844666203</v>
      </c>
      <c r="AI5890">
        <v>90.648328987346602</v>
      </c>
      <c r="AJ5890">
        <v>119.00871734272501</v>
      </c>
      <c r="AK5890">
        <v>103.61738878353501</v>
      </c>
      <c r="AL5890">
        <v>95.072808981847302</v>
      </c>
      <c r="AM5890">
        <v>105.886109772974</v>
      </c>
      <c r="AN5890">
        <v>0.99999996739774799</v>
      </c>
    </row>
    <row r="5891" spans="1:40" x14ac:dyDescent="0.25">
      <c r="A5891" t="str">
        <f>"20190305135046481"</f>
        <v>20190305135046481</v>
      </c>
      <c r="B5891" t="str">
        <f>"1551765046475953"</f>
        <v>1551765046475953</v>
      </c>
      <c r="C5891" t="s">
        <v>40</v>
      </c>
      <c r="D5891">
        <v>4.1491600000000002</v>
      </c>
      <c r="E5891">
        <v>0.41101270000000001</v>
      </c>
      <c r="F5891" t="s">
        <v>43</v>
      </c>
      <c r="G5891">
        <v>-315.46789999999999</v>
      </c>
      <c r="H5891">
        <v>-0.05</v>
      </c>
      <c r="I5891">
        <v>-2.7741389999999999</v>
      </c>
      <c r="J5891">
        <v>-416.31049999999999</v>
      </c>
      <c r="K5891">
        <v>1.122452</v>
      </c>
      <c r="L5891">
        <v>31.292570000000001</v>
      </c>
      <c r="M5891">
        <v>0.673319</v>
      </c>
      <c r="N5891">
        <v>-1.7993189999999999E-2</v>
      </c>
      <c r="O5891">
        <v>-0.73913329999999999</v>
      </c>
      <c r="P5891">
        <v>0.84787990000000002</v>
      </c>
      <c r="Q5891">
        <v>-9.7754430000000003E-2</v>
      </c>
      <c r="R5891">
        <v>-0.52109899999999998</v>
      </c>
      <c r="S5891">
        <v>2.9320369999999998</v>
      </c>
      <c r="T5891">
        <v>-3.405714E-2</v>
      </c>
      <c r="U5891">
        <v>-0.99227909999999997</v>
      </c>
      <c r="V5891">
        <v>-0.27331090000000002</v>
      </c>
      <c r="W5891">
        <v>-8.8847739999999994E-2</v>
      </c>
      <c r="X5891">
        <v>0.95781380000000005</v>
      </c>
      <c r="Y5891">
        <v>-0.48426570000000002</v>
      </c>
      <c r="Z5891">
        <v>-1.243653E-4</v>
      </c>
      <c r="AA5891">
        <v>0.87492099999999995</v>
      </c>
      <c r="AB5891">
        <v>27</v>
      </c>
      <c r="AC5891">
        <v>100.8426</v>
      </c>
      <c r="AD5891">
        <v>-1.172452</v>
      </c>
      <c r="AE5891">
        <v>-34.066709000000003</v>
      </c>
      <c r="AF5891">
        <v>-51.6004483653929</v>
      </c>
      <c r="AG5891">
        <v>-1.172452</v>
      </c>
      <c r="AH5891">
        <v>93.082842555613098</v>
      </c>
      <c r="AI5891">
        <v>90.631164069097807</v>
      </c>
      <c r="AJ5891">
        <v>119.001782739088</v>
      </c>
      <c r="AK5891">
        <v>106.434940190874</v>
      </c>
      <c r="AL5891">
        <v>95.097321777607903</v>
      </c>
      <c r="AM5891">
        <v>105.92602712807</v>
      </c>
      <c r="AN5891">
        <v>1.00000002221617</v>
      </c>
    </row>
    <row r="5892" spans="1:40" x14ac:dyDescent="0.25">
      <c r="A5892" t="str">
        <f>"20190305135046494"</f>
        <v>20190305135046494</v>
      </c>
      <c r="B5892" t="str">
        <f>"1551765046485713"</f>
        <v>1551765046485713</v>
      </c>
      <c r="C5892" t="s">
        <v>40</v>
      </c>
      <c r="D5892">
        <v>4.1439469999999998</v>
      </c>
      <c r="E5892">
        <v>0.41123310000000002</v>
      </c>
      <c r="F5892" t="s">
        <v>43</v>
      </c>
      <c r="G5892">
        <v>-316.86329999999998</v>
      </c>
      <c r="H5892">
        <v>-0.05</v>
      </c>
      <c r="I5892">
        <v>-1.372452</v>
      </c>
      <c r="J5892">
        <v>-416.20359999999999</v>
      </c>
      <c r="K5892">
        <v>1.1224449999999999</v>
      </c>
      <c r="L5892">
        <v>31.189330000000002</v>
      </c>
      <c r="M5892">
        <v>0.68040159999999905</v>
      </c>
      <c r="N5892">
        <v>-1.814876E-2</v>
      </c>
      <c r="O5892">
        <v>-0.73261509999999996</v>
      </c>
      <c r="P5892">
        <v>0.85323079999999996</v>
      </c>
      <c r="Q5892">
        <v>-9.8227679999999998E-2</v>
      </c>
      <c r="R5892">
        <v>-0.51220010000000005</v>
      </c>
      <c r="S5892">
        <v>2.940582</v>
      </c>
      <c r="T5892">
        <v>-3.4668560000000001E-2</v>
      </c>
      <c r="U5892">
        <v>-0.96588130000000005</v>
      </c>
      <c r="V5892">
        <v>-0.27406190000000002</v>
      </c>
      <c r="W5892">
        <v>-8.9188939999999994E-2</v>
      </c>
      <c r="X5892">
        <v>0.95756750000000002</v>
      </c>
      <c r="Y5892">
        <v>-0.4836839</v>
      </c>
      <c r="Z5892" s="1">
        <v>6.0776709999999903E-5</v>
      </c>
      <c r="AA5892">
        <v>0.87524279999999999</v>
      </c>
      <c r="AB5892">
        <v>27</v>
      </c>
      <c r="AC5892">
        <v>99.340299999999999</v>
      </c>
      <c r="AD5892">
        <v>-1.172445</v>
      </c>
      <c r="AE5892">
        <v>-32.561782000000001</v>
      </c>
      <c r="AF5892">
        <v>-50.625071526987</v>
      </c>
      <c r="AG5892">
        <v>-1.172445</v>
      </c>
      <c r="AH5892">
        <v>91.450086101952493</v>
      </c>
      <c r="AI5892">
        <v>90.642637376096502</v>
      </c>
      <c r="AJ5892">
        <v>118.968100272424</v>
      </c>
      <c r="AK5892">
        <v>104.53416064830201</v>
      </c>
      <c r="AL5892">
        <v>95.116948851726903</v>
      </c>
      <c r="AM5892">
        <v>105.971457981567</v>
      </c>
      <c r="AN5892">
        <v>1.00000005455309</v>
      </c>
    </row>
    <row r="5893" spans="1:40" x14ac:dyDescent="0.25">
      <c r="A5893" t="str">
        <f>"20190305135046506"</f>
        <v>20190305135046506</v>
      </c>
      <c r="B5893" t="str">
        <f>"1551765046496449"</f>
        <v>1551765046496449</v>
      </c>
      <c r="C5893" t="s">
        <v>40</v>
      </c>
      <c r="D5893">
        <v>4.1076589999999999</v>
      </c>
      <c r="E5893">
        <v>0.41123310000000002</v>
      </c>
      <c r="F5893" t="s">
        <v>43</v>
      </c>
      <c r="G5893">
        <v>-318.1123</v>
      </c>
      <c r="H5893">
        <v>-0.05</v>
      </c>
      <c r="I5893">
        <v>3.1158450000000001E-2</v>
      </c>
      <c r="J5893">
        <v>-416.10340000000002</v>
      </c>
      <c r="K5893">
        <v>1.122433</v>
      </c>
      <c r="L5893">
        <v>31.094639999999998</v>
      </c>
      <c r="M5893">
        <v>0.68692619999999904</v>
      </c>
      <c r="N5893">
        <v>-1.8283939999999999E-2</v>
      </c>
      <c r="O5893">
        <v>-0.72649730000000001</v>
      </c>
      <c r="P5893">
        <v>0.85819349999999905</v>
      </c>
      <c r="Q5893">
        <v>-9.8590659999999997E-2</v>
      </c>
      <c r="R5893">
        <v>-0.50376969999999999</v>
      </c>
      <c r="S5893">
        <v>2.9495849999999999</v>
      </c>
      <c r="T5893">
        <v>-3.5255189999999999E-2</v>
      </c>
      <c r="U5893">
        <v>-0.93692019999999998</v>
      </c>
      <c r="V5893">
        <v>-0.27489530000000001</v>
      </c>
      <c r="W5893">
        <v>-8.9437459999999996E-2</v>
      </c>
      <c r="X5893">
        <v>0.95730539999999997</v>
      </c>
      <c r="Y5893">
        <v>-0.48442869999999999</v>
      </c>
      <c r="Z5893">
        <v>2.6009930000000001E-4</v>
      </c>
      <c r="AA5893">
        <v>0.87483069999999896</v>
      </c>
      <c r="AB5893">
        <v>27</v>
      </c>
      <c r="AC5893">
        <v>97.991100000000003</v>
      </c>
      <c r="AD5893">
        <v>-1.1724330000000001</v>
      </c>
      <c r="AE5893">
        <v>-31.063481549999999</v>
      </c>
      <c r="AF5893">
        <v>-49.853794244708901</v>
      </c>
      <c r="AG5893">
        <v>-1.1724330000000001</v>
      </c>
      <c r="AH5893">
        <v>89.883514076175999</v>
      </c>
      <c r="AI5893">
        <v>90.653534394577605</v>
      </c>
      <c r="AJ5893">
        <v>119.014894053001</v>
      </c>
      <c r="AK5893">
        <v>102.790181935899</v>
      </c>
      <c r="AL5893">
        <v>95.131245119094501</v>
      </c>
      <c r="AM5893">
        <v>106.021698531167</v>
      </c>
      <c r="AN5893">
        <v>1.00000005704124</v>
      </c>
    </row>
    <row r="5894" spans="1:40" x14ac:dyDescent="0.25">
      <c r="A5894" t="str">
        <f>"20190305135046517"</f>
        <v>20190305135046517</v>
      </c>
      <c r="B5894" t="str">
        <f>"1551765046506208"</f>
        <v>1551765046506208</v>
      </c>
      <c r="C5894" t="s">
        <v>40</v>
      </c>
      <c r="D5894">
        <v>4.120844</v>
      </c>
      <c r="E5894">
        <v>0.41673199999999999</v>
      </c>
      <c r="F5894" t="s">
        <v>42</v>
      </c>
      <c r="G5894">
        <v>-330.76909999999998</v>
      </c>
      <c r="H5894">
        <v>7.9986810000000005E-2</v>
      </c>
      <c r="I5894">
        <v>4.9072740000000001</v>
      </c>
      <c r="J5894">
        <v>-416.00319999999999</v>
      </c>
      <c r="K5894">
        <v>1.1224130000000001</v>
      </c>
      <c r="L5894">
        <v>31.002040000000001</v>
      </c>
      <c r="M5894">
        <v>0.69334410000000002</v>
      </c>
      <c r="N5894">
        <v>-1.8404670000000001E-2</v>
      </c>
      <c r="O5894">
        <v>-0.72037180000000001</v>
      </c>
      <c r="P5894">
        <v>0.86313639999999903</v>
      </c>
      <c r="Q5894">
        <v>-9.8667809999999995E-2</v>
      </c>
      <c r="R5894">
        <v>-0.4952377</v>
      </c>
      <c r="S5894">
        <v>2.9585880000000002</v>
      </c>
      <c r="T5894">
        <v>-3.6142229999999997E-2</v>
      </c>
      <c r="U5894">
        <v>-0.90792850000000003</v>
      </c>
      <c r="V5894">
        <v>-0.275889</v>
      </c>
      <c r="W5894">
        <v>-8.9414999999999994E-2</v>
      </c>
      <c r="X5894">
        <v>0.95702149999999997</v>
      </c>
      <c r="Y5894">
        <v>-0.4852455</v>
      </c>
      <c r="Z5894">
        <v>5.5459300000000003E-4</v>
      </c>
      <c r="AA5894">
        <v>0.87437779999999998</v>
      </c>
      <c r="AB5894">
        <v>27</v>
      </c>
      <c r="AC5894">
        <v>85.234099999999998</v>
      </c>
      <c r="AD5894">
        <v>-1.04242618999999</v>
      </c>
      <c r="AE5894">
        <v>-26.094766</v>
      </c>
      <c r="AF5894">
        <v>-43.308997255135502</v>
      </c>
      <c r="AG5894">
        <v>-1.04242618999999</v>
      </c>
      <c r="AH5894">
        <v>77.897025059889501</v>
      </c>
      <c r="AI5894">
        <v>90.670099093118907</v>
      </c>
      <c r="AJ5894">
        <v>119.07307687498501</v>
      </c>
      <c r="AK5894">
        <v>89.133060133645102</v>
      </c>
      <c r="AL5894">
        <v>95.129953542461195</v>
      </c>
      <c r="AM5894">
        <v>106.081149501315</v>
      </c>
      <c r="AN5894">
        <v>0.99999996700412397</v>
      </c>
    </row>
    <row r="5895" spans="1:40" x14ac:dyDescent="0.25">
      <c r="A5895" t="str">
        <f>"20190305135046530"</f>
        <v>20190305135046530</v>
      </c>
      <c r="B5895" t="str">
        <f>"1551765046525729"</f>
        <v>1551765046525729</v>
      </c>
      <c r="C5895" t="s">
        <v>40</v>
      </c>
      <c r="D5895">
        <v>4.1093739999999999</v>
      </c>
      <c r="E5895">
        <v>0.417987</v>
      </c>
      <c r="F5895" t="s">
        <v>42</v>
      </c>
      <c r="G5895">
        <v>-359.25639999999999</v>
      </c>
      <c r="H5895" s="1">
        <v>-1.9084889999999999E-6</v>
      </c>
      <c r="I5895">
        <v>13.3421</v>
      </c>
      <c r="J5895">
        <v>-415.89710000000002</v>
      </c>
      <c r="K5895">
        <v>1.1223879999999999</v>
      </c>
      <c r="L5895">
        <v>30.904879999999999</v>
      </c>
      <c r="M5895">
        <v>0.70006590000000002</v>
      </c>
      <c r="N5895">
        <v>-1.852525E-2</v>
      </c>
      <c r="O5895">
        <v>-0.71383779999999997</v>
      </c>
      <c r="P5895">
        <v>0.86817770000000005</v>
      </c>
      <c r="Q5895">
        <v>-9.8485749999999997E-2</v>
      </c>
      <c r="R5895">
        <v>-0.48638290000000001</v>
      </c>
      <c r="S5895">
        <v>2.943451</v>
      </c>
      <c r="T5895">
        <v>-5.8219550000000002E-2</v>
      </c>
      <c r="U5895">
        <v>-0.91601560000000004</v>
      </c>
      <c r="V5895">
        <v>-0.27673449999999999</v>
      </c>
      <c r="W5895">
        <v>-8.9124330000000002E-2</v>
      </c>
      <c r="X5895">
        <v>0.95680449999999995</v>
      </c>
      <c r="Y5895">
        <v>-0.47350619999999999</v>
      </c>
      <c r="Z5895">
        <v>6.8509360000000002E-3</v>
      </c>
      <c r="AA5895">
        <v>0.88076390000000004</v>
      </c>
      <c r="AB5895">
        <v>27</v>
      </c>
      <c r="AC5895">
        <v>56.640700000000002</v>
      </c>
      <c r="AD5895">
        <v>-1.1223899084890001</v>
      </c>
      <c r="AE5895">
        <v>-17.562779999999901</v>
      </c>
      <c r="AF5895">
        <v>-28.131923014905901</v>
      </c>
      <c r="AG5895">
        <v>-1.1223899084890001</v>
      </c>
      <c r="AH5895">
        <v>52.179467995495102</v>
      </c>
      <c r="AI5895">
        <v>91.084694199069205</v>
      </c>
      <c r="AJ5895">
        <v>118.330784564439</v>
      </c>
      <c r="AK5895">
        <v>59.290486015179198</v>
      </c>
      <c r="AL5895">
        <v>95.113232498994094</v>
      </c>
      <c r="AM5895">
        <v>106.13134122022301</v>
      </c>
      <c r="AN5895">
        <v>0.99999999045422405</v>
      </c>
    </row>
    <row r="5896" spans="1:40" x14ac:dyDescent="0.25">
      <c r="A5896" t="str">
        <f>"20190305135046542"</f>
        <v>20190305135046542</v>
      </c>
      <c r="B5896" t="str">
        <f>"1551765046536465"</f>
        <v>1551765046536465</v>
      </c>
      <c r="C5896" t="s">
        <v>40</v>
      </c>
      <c r="D5896">
        <v>4.0994640000000002</v>
      </c>
      <c r="E5896">
        <v>0.41878500000000002</v>
      </c>
      <c r="F5896" t="s">
        <v>42</v>
      </c>
      <c r="G5896">
        <v>-351.99220000000003</v>
      </c>
      <c r="H5896" s="1">
        <v>-4.867385E-6</v>
      </c>
      <c r="I5896">
        <v>11.51235</v>
      </c>
      <c r="J5896">
        <v>-415.78910000000002</v>
      </c>
      <c r="K5896">
        <v>1.1223559999999999</v>
      </c>
      <c r="L5896">
        <v>30.80902</v>
      </c>
      <c r="M5896">
        <v>0.70676459999999997</v>
      </c>
      <c r="N5896">
        <v>-1.8628740000000001E-2</v>
      </c>
      <c r="O5896">
        <v>-0.70720340000000004</v>
      </c>
      <c r="P5896">
        <v>0.87298379999999998</v>
      </c>
      <c r="Q5896">
        <v>-9.8440680000000003E-2</v>
      </c>
      <c r="R5896">
        <v>-0.47771209999999997</v>
      </c>
      <c r="S5896">
        <v>2.9483950000000001</v>
      </c>
      <c r="T5896">
        <v>-5.1784160000000003E-2</v>
      </c>
      <c r="U5896">
        <v>-0.89471440000000002</v>
      </c>
      <c r="V5896">
        <v>-0.27725749999999999</v>
      </c>
      <c r="W5896">
        <v>-8.8970729999999998E-2</v>
      </c>
      <c r="X5896">
        <v>0.95666739999999995</v>
      </c>
      <c r="Y5896">
        <v>-0.4714525</v>
      </c>
      <c r="Z5896">
        <v>4.9856329999999997E-3</v>
      </c>
      <c r="AA5896">
        <v>0.88187739999999903</v>
      </c>
      <c r="AB5896">
        <v>26</v>
      </c>
      <c r="AC5896">
        <v>63.796900000000001</v>
      </c>
      <c r="AD5896">
        <v>-1.1223608673849901</v>
      </c>
      <c r="AE5896">
        <v>-19.296669999999999</v>
      </c>
      <c r="AF5896">
        <v>-31.475721483560601</v>
      </c>
      <c r="AG5896">
        <v>-1.1223608673849901</v>
      </c>
      <c r="AH5896">
        <v>58.729605508217503</v>
      </c>
      <c r="AI5896">
        <v>90.965001731015306</v>
      </c>
      <c r="AJ5896">
        <v>118.18877171485001</v>
      </c>
      <c r="AK5896">
        <v>66.641933495196298</v>
      </c>
      <c r="AL5896">
        <v>95.104396649917504</v>
      </c>
      <c r="AM5896">
        <v>106.162432890717</v>
      </c>
      <c r="AN5896">
        <v>1.0000000131628699</v>
      </c>
    </row>
    <row r="5897" spans="1:40" x14ac:dyDescent="0.25">
      <c r="A5897" t="str">
        <f>"20190305135046555"</f>
        <v>20190305135046555</v>
      </c>
      <c r="B5897" t="str">
        <f>"1551765046546225"</f>
        <v>1551765046546225</v>
      </c>
      <c r="C5897" t="s">
        <v>40</v>
      </c>
      <c r="D5897">
        <v>4.110697</v>
      </c>
      <c r="E5897">
        <v>0.4195006</v>
      </c>
      <c r="F5897" t="s">
        <v>42</v>
      </c>
      <c r="G5897">
        <v>-352.70639999999997</v>
      </c>
      <c r="H5897" s="1">
        <v>-4.438794E-6</v>
      </c>
      <c r="I5897">
        <v>12.209680000000001</v>
      </c>
      <c r="J5897">
        <v>-415.68990000000002</v>
      </c>
      <c r="K5897">
        <v>1.122323</v>
      </c>
      <c r="L5897">
        <v>30.722049999999999</v>
      </c>
      <c r="M5897">
        <v>0.71283090000000005</v>
      </c>
      <c r="N5897">
        <v>-1.8718579999999999E-2</v>
      </c>
      <c r="O5897">
        <v>-0.70108630000000005</v>
      </c>
      <c r="P5897">
        <v>0.87719659999999999</v>
      </c>
      <c r="Q5897">
        <v>-9.8373520000000006E-2</v>
      </c>
      <c r="R5897">
        <v>-0.46994550000000002</v>
      </c>
      <c r="S5897">
        <v>2.9539490000000002</v>
      </c>
      <c r="T5897">
        <v>-5.2556400000000003E-2</v>
      </c>
      <c r="U5897">
        <v>-0.87094119999999997</v>
      </c>
      <c r="V5897">
        <v>-0.2775222</v>
      </c>
      <c r="W5897">
        <v>-8.8799669999999997E-2</v>
      </c>
      <c r="X5897">
        <v>0.95660650000000003</v>
      </c>
      <c r="Y5897">
        <v>-0.4708271</v>
      </c>
      <c r="Z5897">
        <v>5.2218350000000002E-3</v>
      </c>
      <c r="AA5897">
        <v>0.88221000000000005</v>
      </c>
      <c r="AB5897">
        <v>26</v>
      </c>
      <c r="AC5897">
        <v>62.983499999999999</v>
      </c>
      <c r="AD5897">
        <v>-1.1223274387940001</v>
      </c>
      <c r="AE5897">
        <v>-18.512370000000001</v>
      </c>
      <c r="AF5897">
        <v>-30.957052690693001</v>
      </c>
      <c r="AG5897">
        <v>-1.1223274387940001</v>
      </c>
      <c r="AH5897">
        <v>57.868574116416497</v>
      </c>
      <c r="AI5897">
        <v>90.979731001722698</v>
      </c>
      <c r="AJ5897">
        <v>118.144753237244</v>
      </c>
      <c r="AK5897">
        <v>65.638179441856906</v>
      </c>
      <c r="AL5897">
        <v>95.094556884395104</v>
      </c>
      <c r="AM5897">
        <v>106.178032578239</v>
      </c>
      <c r="AN5897">
        <v>0.999999974363599</v>
      </c>
    </row>
    <row r="5898" spans="1:40" x14ac:dyDescent="0.25">
      <c r="A5898" t="str">
        <f>"20190305135046569"</f>
        <v>20190305135046569</v>
      </c>
      <c r="B5898" t="str">
        <f>"1551765046565745"</f>
        <v>1551765046565745</v>
      </c>
      <c r="C5898" t="s">
        <v>40</v>
      </c>
      <c r="D5898">
        <v>4.078068</v>
      </c>
      <c r="E5898">
        <v>0.42704219999999998</v>
      </c>
      <c r="F5898" t="s">
        <v>42</v>
      </c>
      <c r="G5898">
        <v>-351.41899999999998</v>
      </c>
      <c r="H5898" s="1">
        <v>-4.9681970000000003E-6</v>
      </c>
      <c r="I5898">
        <v>12.261039999999999</v>
      </c>
      <c r="J5898">
        <v>-415.55799999999999</v>
      </c>
      <c r="K5898">
        <v>1.1222760000000001</v>
      </c>
      <c r="L5898">
        <v>30.608460000000001</v>
      </c>
      <c r="M5898">
        <v>0.72076700000000005</v>
      </c>
      <c r="N5898">
        <v>-1.88276E-2</v>
      </c>
      <c r="O5898">
        <v>-0.69292189999999998</v>
      </c>
      <c r="P5898">
        <v>0.88244859999999903</v>
      </c>
      <c r="Q5898">
        <v>-9.8772810000000003E-2</v>
      </c>
      <c r="R5898">
        <v>-0.45992270000000002</v>
      </c>
      <c r="S5898">
        <v>2.9588320000000001</v>
      </c>
      <c r="T5898">
        <v>-5.1668520000000003E-2</v>
      </c>
      <c r="U5898">
        <v>-0.84988399999999997</v>
      </c>
      <c r="V5898">
        <v>-0.27749849999999998</v>
      </c>
      <c r="W5898">
        <v>-8.9055389999999998E-2</v>
      </c>
      <c r="X5898">
        <v>0.95658960000000004</v>
      </c>
      <c r="Y5898">
        <v>-0.46696280000000001</v>
      </c>
      <c r="Z5898">
        <v>4.9448309999999898E-3</v>
      </c>
      <c r="AA5898">
        <v>0.88426319999999903</v>
      </c>
      <c r="AB5898">
        <v>26</v>
      </c>
      <c r="AC5898">
        <v>64.138999999999996</v>
      </c>
      <c r="AD5898">
        <v>-1.1222809681970001</v>
      </c>
      <c r="AE5898">
        <v>-18.34742</v>
      </c>
      <c r="AF5898">
        <v>-31.215798457674399</v>
      </c>
      <c r="AG5898">
        <v>-1.1222809681970001</v>
      </c>
      <c r="AH5898">
        <v>58.936364904206599</v>
      </c>
      <c r="AI5898">
        <v>90.964061414912806</v>
      </c>
      <c r="AJ5898">
        <v>117.90804763462999</v>
      </c>
      <c r="AK5898">
        <v>66.702179095165405</v>
      </c>
      <c r="AL5898">
        <v>95.109266856080197</v>
      </c>
      <c r="AM5898">
        <v>106.17699410467699</v>
      </c>
      <c r="AN5898">
        <v>0.99999997140923003</v>
      </c>
    </row>
    <row r="5899" spans="1:40" x14ac:dyDescent="0.25">
      <c r="A5899" t="str">
        <f>"20190305135046581"</f>
        <v>20190305135046581</v>
      </c>
      <c r="B5899" t="str">
        <f>"1551765046576481"</f>
        <v>1551765046576481</v>
      </c>
      <c r="C5899" t="s">
        <v>40</v>
      </c>
      <c r="D5899">
        <v>4.0740030000000003</v>
      </c>
      <c r="E5899">
        <v>0.42782120000000001</v>
      </c>
      <c r="F5899" t="s">
        <v>42</v>
      </c>
      <c r="G5899">
        <v>-357.06659999999999</v>
      </c>
      <c r="H5899" s="1">
        <v>-2.6630650000000001E-6</v>
      </c>
      <c r="I5899">
        <v>13.30686</v>
      </c>
      <c r="J5899">
        <v>-415.45710000000003</v>
      </c>
      <c r="K5899">
        <v>1.122236</v>
      </c>
      <c r="L5899">
        <v>30.524229999999999</v>
      </c>
      <c r="M5899">
        <v>0.72670459999999903</v>
      </c>
      <c r="N5899">
        <v>-1.8898669999999999E-2</v>
      </c>
      <c r="O5899">
        <v>-0.68669019999999903</v>
      </c>
      <c r="P5899">
        <v>0.88619650000000005</v>
      </c>
      <c r="Q5899">
        <v>-9.9128930000000004E-2</v>
      </c>
      <c r="R5899">
        <v>-0.45258100000000001</v>
      </c>
      <c r="S5899">
        <v>2.9400629999999999</v>
      </c>
      <c r="T5899">
        <v>-5.6411269999999999E-2</v>
      </c>
      <c r="U5899">
        <v>-0.86965939999999997</v>
      </c>
      <c r="V5899">
        <v>-0.27717989999999998</v>
      </c>
      <c r="W5899">
        <v>-8.9300279999999996E-2</v>
      </c>
      <c r="X5899">
        <v>0.95665909999999998</v>
      </c>
      <c r="Y5899">
        <v>-0.4523008</v>
      </c>
      <c r="Z5899">
        <v>6.1368309999999997E-3</v>
      </c>
      <c r="AA5899">
        <v>0.89184439999999998</v>
      </c>
      <c r="AB5899">
        <v>26</v>
      </c>
      <c r="AC5899">
        <v>58.390500000000003</v>
      </c>
      <c r="AD5899">
        <v>-1.1222386630650001</v>
      </c>
      <c r="AE5899">
        <v>-17.217369999999999</v>
      </c>
      <c r="AF5899">
        <v>-27.579794365642101</v>
      </c>
      <c r="AG5899">
        <v>-1.1222386630650001</v>
      </c>
      <c r="AH5899">
        <v>54.246895827454402</v>
      </c>
      <c r="AI5899">
        <v>91.056476980961804</v>
      </c>
      <c r="AJ5899">
        <v>116.94934814998599</v>
      </c>
      <c r="AK5899">
        <v>60.865673279630101</v>
      </c>
      <c r="AL5899">
        <v>95.123354333219098</v>
      </c>
      <c r="AM5899">
        <v>106.158278243174</v>
      </c>
      <c r="AN5899">
        <v>0.99999993529244702</v>
      </c>
    </row>
    <row r="5900" spans="1:40" x14ac:dyDescent="0.25">
      <c r="A5900" t="str">
        <f>"20190305135046594"</f>
        <v>20190305135046594</v>
      </c>
      <c r="B5900" t="str">
        <f>"1551765046586241"</f>
        <v>1551765046586241</v>
      </c>
      <c r="C5900" t="s">
        <v>40</v>
      </c>
      <c r="D5900">
        <v>4.0601260000000003</v>
      </c>
      <c r="E5900">
        <v>0.42880800000000002</v>
      </c>
      <c r="F5900" t="s">
        <v>42</v>
      </c>
      <c r="G5900">
        <v>-357.12209999999999</v>
      </c>
      <c r="H5900" s="1">
        <v>-2.5495720000000002E-6</v>
      </c>
      <c r="I5900">
        <v>13.6624</v>
      </c>
      <c r="J5900">
        <v>-415.3485</v>
      </c>
      <c r="K5900">
        <v>1.1221920000000001</v>
      </c>
      <c r="L5900">
        <v>30.434360000000002</v>
      </c>
      <c r="M5900">
        <v>0.73301629999999995</v>
      </c>
      <c r="N5900">
        <v>-1.89719E-2</v>
      </c>
      <c r="O5900">
        <v>-0.67994639999999995</v>
      </c>
      <c r="P5900">
        <v>0.89001830000000004</v>
      </c>
      <c r="Q5900">
        <v>-9.9232109999999998E-2</v>
      </c>
      <c r="R5900">
        <v>-0.44499440000000001</v>
      </c>
      <c r="S5900">
        <v>2.9442750000000002</v>
      </c>
      <c r="T5900">
        <v>-5.6641459999999998E-2</v>
      </c>
      <c r="U5900">
        <v>-0.85104369999999996</v>
      </c>
      <c r="V5900">
        <v>-0.27651769999999998</v>
      </c>
      <c r="W5900">
        <v>-8.9274720000000002E-2</v>
      </c>
      <c r="X5900">
        <v>0.95685319999999996</v>
      </c>
      <c r="Y5900">
        <v>-0.44960129999999998</v>
      </c>
      <c r="Z5900">
        <v>6.1859669999999997E-3</v>
      </c>
      <c r="AA5900">
        <v>0.893208</v>
      </c>
      <c r="AB5900">
        <v>26</v>
      </c>
      <c r="AC5900">
        <v>58.226399999999998</v>
      </c>
      <c r="AD5900">
        <v>-1.122194549572</v>
      </c>
      <c r="AE5900">
        <v>-16.77196</v>
      </c>
      <c r="AF5900">
        <v>-27.2922647653251</v>
      </c>
      <c r="AG5900">
        <v>-1.122194549572</v>
      </c>
      <c r="AH5900">
        <v>54.076124465162401</v>
      </c>
      <c r="AI5900">
        <v>91.061357351882805</v>
      </c>
      <c r="AJ5900">
        <v>116.780115832965</v>
      </c>
      <c r="AK5900">
        <v>60.583448843718301</v>
      </c>
      <c r="AL5900">
        <v>95.121883492864001</v>
      </c>
      <c r="AM5900">
        <v>106.118582367909</v>
      </c>
      <c r="AN5900">
        <v>1.0000000301973</v>
      </c>
    </row>
    <row r="5901" spans="1:40" x14ac:dyDescent="0.25">
      <c r="A5901" t="str">
        <f>"20190305135046606"</f>
        <v>20190305135046606</v>
      </c>
      <c r="B5901" t="str">
        <f>"1551765046596000"</f>
        <v>1551765046596000</v>
      </c>
      <c r="C5901" t="s">
        <v>40</v>
      </c>
      <c r="D5901">
        <v>4.0535170000000003</v>
      </c>
      <c r="E5901">
        <v>0.43000640000000001</v>
      </c>
      <c r="F5901" t="s">
        <v>42</v>
      </c>
      <c r="G5901">
        <v>-357.27710000000002</v>
      </c>
      <c r="H5901" s="1">
        <v>-2.40054E-6</v>
      </c>
      <c r="I5901">
        <v>14.02434</v>
      </c>
      <c r="J5901">
        <v>-415.22699999999998</v>
      </c>
      <c r="K5901">
        <v>1.1221380000000001</v>
      </c>
      <c r="L5901">
        <v>30.336089999999999</v>
      </c>
      <c r="M5901">
        <v>0.73994119999999997</v>
      </c>
      <c r="N5901">
        <v>-1.9044269999999999E-2</v>
      </c>
      <c r="O5901">
        <v>-0.67240200000000006</v>
      </c>
      <c r="P5901">
        <v>0.89429190000000003</v>
      </c>
      <c r="Q5901">
        <v>-9.876704E-2</v>
      </c>
      <c r="R5901">
        <v>-0.43644830000000001</v>
      </c>
      <c r="S5901">
        <v>2.947845</v>
      </c>
      <c r="T5901">
        <v>-5.6965349999999998E-2</v>
      </c>
      <c r="U5901">
        <v>-0.83300779999999996</v>
      </c>
      <c r="V5901">
        <v>-0.27594790000000002</v>
      </c>
      <c r="W5901">
        <v>-8.8678350000000003E-2</v>
      </c>
      <c r="X5901">
        <v>0.95707310000000001</v>
      </c>
      <c r="Y5901">
        <v>-0.4457893</v>
      </c>
      <c r="Z5901">
        <v>6.2501099999999997E-3</v>
      </c>
      <c r="AA5901">
        <v>0.89511609999999997</v>
      </c>
      <c r="AB5901">
        <v>26</v>
      </c>
      <c r="AC5901">
        <v>57.9498999999999</v>
      </c>
      <c r="AD5901">
        <v>-1.12214040053999</v>
      </c>
      <c r="AE5901">
        <v>-16.31175</v>
      </c>
      <c r="AF5901">
        <v>-26.891426907235299</v>
      </c>
      <c r="AG5901">
        <v>-1.12214040053999</v>
      </c>
      <c r="AH5901">
        <v>53.838630839509896</v>
      </c>
      <c r="AI5901">
        <v>91.068219377776899</v>
      </c>
      <c r="AJ5901">
        <v>116.541302800103</v>
      </c>
      <c r="AK5901">
        <v>60.191413099035401</v>
      </c>
      <c r="AL5901">
        <v>95.087578067411897</v>
      </c>
      <c r="AM5901">
        <v>106.083582821813</v>
      </c>
      <c r="AN5901">
        <v>1.00000000600837</v>
      </c>
    </row>
    <row r="5902" spans="1:40" x14ac:dyDescent="0.25">
      <c r="A5902" t="str">
        <f>"20190305135046620"</f>
        <v>20190305135046620</v>
      </c>
      <c r="B5902" t="str">
        <f>"1551765046615520"</f>
        <v>1551765046615520</v>
      </c>
      <c r="C5902" t="s">
        <v>40</v>
      </c>
      <c r="D5902">
        <v>4.0659299999999998</v>
      </c>
      <c r="E5902">
        <v>0.43168380000000001</v>
      </c>
      <c r="F5902" t="s">
        <v>42</v>
      </c>
      <c r="G5902">
        <v>-356.78030000000001</v>
      </c>
      <c r="H5902" s="1">
        <v>-2.5150059999999998E-6</v>
      </c>
      <c r="I5902">
        <v>14.22953</v>
      </c>
      <c r="J5902">
        <v>-415.11700000000002</v>
      </c>
      <c r="K5902">
        <v>1.122088</v>
      </c>
      <c r="L5902">
        <v>30.249210000000001</v>
      </c>
      <c r="M5902">
        <v>0.74609409999999998</v>
      </c>
      <c r="N5902">
        <v>-1.9101139999999999E-2</v>
      </c>
      <c r="O5902">
        <v>-0.66556669999999996</v>
      </c>
      <c r="P5902">
        <v>0.89788380000000001</v>
      </c>
      <c r="Q5902">
        <v>-9.8609139999999998E-2</v>
      </c>
      <c r="R5902">
        <v>-0.42904680000000001</v>
      </c>
      <c r="S5902">
        <v>2.9514770000000001</v>
      </c>
      <c r="T5902">
        <v>-5.666649E-2</v>
      </c>
      <c r="U5902">
        <v>-0.81335449999999998</v>
      </c>
      <c r="V5902">
        <v>-0.2750821</v>
      </c>
      <c r="W5902">
        <v>-8.8397779999999995E-2</v>
      </c>
      <c r="X5902">
        <v>0.95734819999999998</v>
      </c>
      <c r="Y5902">
        <v>-0.44337369999999998</v>
      </c>
      <c r="Z5902">
        <v>6.1669069999999897E-3</v>
      </c>
      <c r="AA5902">
        <v>0.89631559999999899</v>
      </c>
      <c r="AB5902">
        <v>26</v>
      </c>
      <c r="AC5902">
        <v>58.336699999999901</v>
      </c>
      <c r="AD5902">
        <v>-1.1220905150060001</v>
      </c>
      <c r="AE5902">
        <v>-16.019679999999902</v>
      </c>
      <c r="AF5902">
        <v>-26.870431996251501</v>
      </c>
      <c r="AG5902">
        <v>-1.1220905150060001</v>
      </c>
      <c r="AH5902">
        <v>54.178074192250001</v>
      </c>
      <c r="AI5902">
        <v>91.062970861715797</v>
      </c>
      <c r="AJ5902">
        <v>116.37980496402599</v>
      </c>
      <c r="AK5902">
        <v>60.485890304846997</v>
      </c>
      <c r="AL5902">
        <v>95.071439481311401</v>
      </c>
      <c r="AM5902">
        <v>106.031346597764</v>
      </c>
      <c r="AN5902">
        <v>0.99999995264628805</v>
      </c>
    </row>
    <row r="5903" spans="1:40" x14ac:dyDescent="0.25">
      <c r="A5903" t="str">
        <f>"20190305135046633"</f>
        <v>20190305135046633</v>
      </c>
      <c r="B5903" t="str">
        <f>"1551765046626256"</f>
        <v>1551765046626256</v>
      </c>
      <c r="C5903" t="s">
        <v>40</v>
      </c>
      <c r="D5903">
        <v>4.0473359999999996</v>
      </c>
      <c r="E5903">
        <v>0.43168380000000001</v>
      </c>
      <c r="F5903" t="s">
        <v>42</v>
      </c>
      <c r="G5903">
        <v>-358.7627</v>
      </c>
      <c r="H5903" s="1">
        <v>-1.6462E-6</v>
      </c>
      <c r="I5903">
        <v>14.95928</v>
      </c>
      <c r="J5903">
        <v>-414.99459999999999</v>
      </c>
      <c r="K5903">
        <v>1.1220330000000001</v>
      </c>
      <c r="L5903">
        <v>30.153929999999999</v>
      </c>
      <c r="M5903">
        <v>0.75282749999999998</v>
      </c>
      <c r="N5903">
        <v>-1.915967E-2</v>
      </c>
      <c r="O5903">
        <v>-0.6579391</v>
      </c>
      <c r="P5903">
        <v>0.90189090000000005</v>
      </c>
      <c r="Q5903">
        <v>-9.8361920000000005E-2</v>
      </c>
      <c r="R5903">
        <v>-0.4206164</v>
      </c>
      <c r="S5903">
        <v>2.952026</v>
      </c>
      <c r="T5903">
        <v>-5.8778879999999999E-2</v>
      </c>
      <c r="U5903">
        <v>-0.80093380000000003</v>
      </c>
      <c r="V5903">
        <v>-0.27435019999999999</v>
      </c>
      <c r="W5903">
        <v>-8.8026399999999894E-2</v>
      </c>
      <c r="X5903">
        <v>0.95759240000000001</v>
      </c>
      <c r="Y5903">
        <v>-0.43779010000000002</v>
      </c>
      <c r="Z5903">
        <v>6.6974679999999998E-3</v>
      </c>
      <c r="AA5903">
        <v>0.89905230000000003</v>
      </c>
      <c r="AB5903">
        <v>26</v>
      </c>
      <c r="AC5903">
        <v>56.231900000000003</v>
      </c>
      <c r="AD5903">
        <v>-1.1220346461999999</v>
      </c>
      <c r="AE5903">
        <v>-15.194649999999999</v>
      </c>
      <c r="AF5903">
        <v>-25.553423413616802</v>
      </c>
      <c r="AG5903">
        <v>-1.1220346461999999</v>
      </c>
      <c r="AH5903">
        <v>52.320263716175397</v>
      </c>
      <c r="AI5903">
        <v>91.103952753278193</v>
      </c>
      <c r="AJ5903">
        <v>116.031065894726</v>
      </c>
      <c r="AK5903">
        <v>58.237843411590902</v>
      </c>
      <c r="AL5903">
        <v>95.050077753486903</v>
      </c>
      <c r="AM5903">
        <v>105.987006526603</v>
      </c>
      <c r="AN5903">
        <v>0.99999994193737796</v>
      </c>
    </row>
    <row r="5904" spans="1:40" x14ac:dyDescent="0.25">
      <c r="A5904" t="str">
        <f>"20190305135046647"</f>
        <v>20190305135046647</v>
      </c>
      <c r="B5904" t="str">
        <f>"1551765046636017"</f>
        <v>1551765046636017</v>
      </c>
      <c r="C5904" t="s">
        <v>40</v>
      </c>
      <c r="D5904">
        <v>3.9993340000000002</v>
      </c>
      <c r="E5904">
        <v>0.44035639999999998</v>
      </c>
      <c r="F5904" t="s">
        <v>42</v>
      </c>
      <c r="G5904">
        <v>-357.32310000000001</v>
      </c>
      <c r="H5904" s="1">
        <v>-2.104074E-6</v>
      </c>
      <c r="I5904">
        <v>15.0796799999999</v>
      </c>
      <c r="J5904">
        <v>-414.86529999999999</v>
      </c>
      <c r="K5904">
        <v>1.121972</v>
      </c>
      <c r="L5904">
        <v>30.055540000000001</v>
      </c>
      <c r="M5904">
        <v>0.75979549999999996</v>
      </c>
      <c r="N5904">
        <v>-1.9213149999999998E-2</v>
      </c>
      <c r="O5904">
        <v>-0.64987830000000002</v>
      </c>
      <c r="P5904">
        <v>0.9054932</v>
      </c>
      <c r="Q5904">
        <v>-9.7437579999999996E-2</v>
      </c>
      <c r="R5904">
        <v>-0.41302359999999999</v>
      </c>
      <c r="S5904">
        <v>2.9592900000000002</v>
      </c>
      <c r="T5904">
        <v>-5.757487E-2</v>
      </c>
      <c r="U5904">
        <v>-0.77349849999999998</v>
      </c>
      <c r="V5904">
        <v>-0.27230280000000001</v>
      </c>
      <c r="W5904">
        <v>-8.6932899999999994E-2</v>
      </c>
      <c r="X5904">
        <v>0.95827649999999998</v>
      </c>
      <c r="Y5904">
        <v>-0.4365542</v>
      </c>
      <c r="Z5904">
        <v>6.3878909999999997E-3</v>
      </c>
      <c r="AA5904">
        <v>0.89965529999999905</v>
      </c>
      <c r="AB5904">
        <v>26</v>
      </c>
      <c r="AC5904">
        <v>57.542199999999902</v>
      </c>
      <c r="AD5904">
        <v>-1.1219741040739999</v>
      </c>
      <c r="AE5904">
        <v>-14.975860000000001</v>
      </c>
      <c r="AF5904">
        <v>-26.012375327079901</v>
      </c>
      <c r="AG5904">
        <v>-1.1219741040739999</v>
      </c>
      <c r="AH5904">
        <v>53.443626239956203</v>
      </c>
      <c r="AI5904">
        <v>91.081409994187297</v>
      </c>
      <c r="AJ5904">
        <v>115.953367792449</v>
      </c>
      <c r="AK5904">
        <v>59.448496042568003</v>
      </c>
      <c r="AL5904">
        <v>94.987183418773299</v>
      </c>
      <c r="AM5904">
        <v>105.862971083834</v>
      </c>
      <c r="AN5904">
        <v>0.99999999722124999</v>
      </c>
    </row>
    <row r="5905" spans="1:40" x14ac:dyDescent="0.25">
      <c r="A5905" t="str">
        <f>"20190305135046660"</f>
        <v>20190305135046660</v>
      </c>
      <c r="B5905" t="str">
        <f>"1551765046655537"</f>
        <v>1551765046655537</v>
      </c>
      <c r="C5905" t="s">
        <v>40</v>
      </c>
      <c r="D5905">
        <v>4.0368440000000003</v>
      </c>
      <c r="E5905">
        <v>0.44217679999999998</v>
      </c>
      <c r="F5905" t="s">
        <v>101</v>
      </c>
      <c r="G5905">
        <v>-362.35669999999999</v>
      </c>
      <c r="H5905" s="1">
        <v>-4.3356219999999998E-6</v>
      </c>
      <c r="I5905">
        <v>15.545339999999999</v>
      </c>
      <c r="J5905">
        <v>-414.75760000000002</v>
      </c>
      <c r="K5905">
        <v>1.121923</v>
      </c>
      <c r="L5905">
        <v>29.975739999999998</v>
      </c>
      <c r="M5905">
        <v>0.76547619999999905</v>
      </c>
      <c r="N5905">
        <v>-1.9250469999999999E-2</v>
      </c>
      <c r="O5905">
        <v>-0.64317650000000004</v>
      </c>
      <c r="P5905">
        <v>0.9087305</v>
      </c>
      <c r="Q5905">
        <v>-9.6794530000000004E-2</v>
      </c>
      <c r="R5905">
        <v>-0.40600540000000002</v>
      </c>
      <c r="S5905">
        <v>2.9362490000000001</v>
      </c>
      <c r="T5905">
        <v>-6.2740210000000005E-2</v>
      </c>
      <c r="U5905">
        <v>-0.81140140000000005</v>
      </c>
      <c r="V5905">
        <v>-0.27137499999999998</v>
      </c>
      <c r="W5905">
        <v>-8.6182030000000007E-2</v>
      </c>
      <c r="X5905">
        <v>0.9586074</v>
      </c>
      <c r="Y5905">
        <v>-0.4159755</v>
      </c>
      <c r="Z5905">
        <v>7.5097599999999999E-3</v>
      </c>
      <c r="AA5905">
        <v>0.90934479999999995</v>
      </c>
      <c r="AB5905">
        <v>26</v>
      </c>
      <c r="AC5905">
        <v>52.4009</v>
      </c>
      <c r="AD5905">
        <v>-1.1219273356219901</v>
      </c>
      <c r="AE5905">
        <v>-14.430400000000001</v>
      </c>
      <c r="AF5905">
        <v>-22.6514427510755</v>
      </c>
      <c r="AG5905">
        <v>-1.1219273356219901</v>
      </c>
      <c r="AH5905">
        <v>49.381039604886602</v>
      </c>
      <c r="AI5905">
        <v>91.183038098731203</v>
      </c>
      <c r="AJ5905">
        <v>114.64126871523101</v>
      </c>
      <c r="AK5905">
        <v>54.3399820768377</v>
      </c>
      <c r="AL5905">
        <v>94.943999943917106</v>
      </c>
      <c r="AM5905">
        <v>105.806443870515</v>
      </c>
      <c r="AN5905">
        <v>0.99999994012733795</v>
      </c>
    </row>
    <row r="5906" spans="1:40" x14ac:dyDescent="0.25">
      <c r="A5906" t="str">
        <f>"20190305135046672"</f>
        <v>20190305135046672</v>
      </c>
      <c r="B5906" t="str">
        <f>"1551765046666272"</f>
        <v>1551765046666272</v>
      </c>
      <c r="C5906" t="s">
        <v>40</v>
      </c>
      <c r="D5906">
        <v>4.0323549999999999</v>
      </c>
      <c r="E5906">
        <v>0.44257649999999998</v>
      </c>
      <c r="F5906" t="s">
        <v>42</v>
      </c>
      <c r="G5906">
        <v>-358.11849999999998</v>
      </c>
      <c r="H5906" s="1">
        <v>-1.9843939999999998E-6</v>
      </c>
      <c r="I5906">
        <v>14.51224</v>
      </c>
      <c r="J5906">
        <v>-414.64859999999999</v>
      </c>
      <c r="K5906">
        <v>1.1218729999999999</v>
      </c>
      <c r="L5906">
        <v>29.89575</v>
      </c>
      <c r="M5906">
        <v>0.7711403</v>
      </c>
      <c r="N5906">
        <v>-1.928699E-2</v>
      </c>
      <c r="O5906">
        <v>-0.63637299999999997</v>
      </c>
      <c r="P5906">
        <v>0.91187019999999996</v>
      </c>
      <c r="Q5906">
        <v>-9.6545350000000002E-2</v>
      </c>
      <c r="R5906">
        <v>-0.39896340000000002</v>
      </c>
      <c r="S5906">
        <v>2.93689</v>
      </c>
      <c r="T5906">
        <v>-5.817485E-2</v>
      </c>
      <c r="U5906">
        <v>-0.80181880000000005</v>
      </c>
      <c r="V5906">
        <v>-0.27034239999999998</v>
      </c>
      <c r="W5906">
        <v>-8.5821830000000002E-2</v>
      </c>
      <c r="X5906">
        <v>0.95893150000000005</v>
      </c>
      <c r="Y5906">
        <v>-0.41074329999999998</v>
      </c>
      <c r="Z5906">
        <v>6.247992E-3</v>
      </c>
      <c r="AA5906">
        <v>0.91172960000000003</v>
      </c>
      <c r="AB5906">
        <v>26</v>
      </c>
      <c r="AC5906">
        <v>56.530099999999997</v>
      </c>
      <c r="AD5906">
        <v>-1.1218749843939999</v>
      </c>
      <c r="AE5906">
        <v>-15.383509999999999</v>
      </c>
      <c r="AF5906">
        <v>-24.107031404141701</v>
      </c>
      <c r="AG5906">
        <v>-1.1218749843939999</v>
      </c>
      <c r="AH5906">
        <v>53.372650297102297</v>
      </c>
      <c r="AI5906">
        <v>91.097438761167197</v>
      </c>
      <c r="AJ5906">
        <v>114.307450492</v>
      </c>
      <c r="AK5906">
        <v>58.575142904970001</v>
      </c>
      <c r="AL5906">
        <v>94.923284905845904</v>
      </c>
      <c r="AM5906">
        <v>105.74422969587</v>
      </c>
      <c r="AN5906">
        <v>1.00000001071727</v>
      </c>
    </row>
    <row r="5907" spans="1:40" x14ac:dyDescent="0.25">
      <c r="A5907" t="str">
        <f>"20190305135046681"</f>
        <v>20190305135046681</v>
      </c>
      <c r="B5907" t="str">
        <f>"1551765046676033"</f>
        <v>1551765046676033</v>
      </c>
      <c r="C5907" t="s">
        <v>40</v>
      </c>
      <c r="D5907">
        <v>4.0058930000000004</v>
      </c>
      <c r="E5907">
        <v>0.44286959999999997</v>
      </c>
      <c r="F5907" t="s">
        <v>42</v>
      </c>
      <c r="G5907">
        <v>-349.62950000000001</v>
      </c>
      <c r="H5907" s="1">
        <v>-1.9759500000000001E-6</v>
      </c>
      <c r="I5907">
        <v>12.61144</v>
      </c>
      <c r="J5907">
        <v>-414.54790000000003</v>
      </c>
      <c r="K5907">
        <v>1.1218189999999999</v>
      </c>
      <c r="L5907">
        <v>29.823730000000001</v>
      </c>
      <c r="M5907">
        <v>0.77626319999999904</v>
      </c>
      <c r="N5907">
        <v>-1.9318579999999998E-2</v>
      </c>
      <c r="O5907">
        <v>-0.63011300000000003</v>
      </c>
      <c r="P5907">
        <v>0.91469400000000001</v>
      </c>
      <c r="Q5907">
        <v>-9.5965270000000005E-2</v>
      </c>
      <c r="R5907">
        <v>-0.3925884</v>
      </c>
      <c r="S5907">
        <v>2.9423219999999999</v>
      </c>
      <c r="T5907">
        <v>-5.0768380000000002E-2</v>
      </c>
      <c r="U5907">
        <v>-0.78216549999999996</v>
      </c>
      <c r="V5907">
        <v>-0.26934950000000002</v>
      </c>
      <c r="W5907">
        <v>-8.5135039999999995E-2</v>
      </c>
      <c r="X5907">
        <v>0.95927200000000001</v>
      </c>
      <c r="Y5907">
        <v>-0.4094932</v>
      </c>
      <c r="Z5907">
        <v>4.3176009999999999E-3</v>
      </c>
      <c r="AA5907">
        <v>0.91230299999999998</v>
      </c>
      <c r="AB5907">
        <v>26</v>
      </c>
      <c r="AC5907">
        <v>64.918400000000005</v>
      </c>
      <c r="AD5907">
        <v>-1.12182097595</v>
      </c>
      <c r="AE5907">
        <v>-17.2122899999999</v>
      </c>
      <c r="AF5907">
        <v>-27.542115394315999</v>
      </c>
      <c r="AG5907">
        <v>-1.12182097595</v>
      </c>
      <c r="AH5907">
        <v>61.233794211779397</v>
      </c>
      <c r="AI5907">
        <v>90.957209082505102</v>
      </c>
      <c r="AJ5907">
        <v>114.217557359837</v>
      </c>
      <c r="AK5907">
        <v>67.152097184424903</v>
      </c>
      <c r="AL5907">
        <v>94.883790488946104</v>
      </c>
      <c r="AM5907">
        <v>105.683962527482</v>
      </c>
      <c r="AN5907">
        <v>0.99999994908502399</v>
      </c>
    </row>
    <row r="5908" spans="1:40" x14ac:dyDescent="0.25">
      <c r="A5908" t="str">
        <f>"20190305135046694"</f>
        <v>20190305135046694</v>
      </c>
      <c r="B5908" t="str">
        <f>"1551765046685793"</f>
        <v>1551765046685793</v>
      </c>
      <c r="C5908" t="s">
        <v>40</v>
      </c>
      <c r="D5908">
        <v>4.0036809999999896</v>
      </c>
      <c r="E5908">
        <v>0.44286959999999997</v>
      </c>
      <c r="F5908" t="s">
        <v>42</v>
      </c>
      <c r="G5908">
        <v>-336.92399999999998</v>
      </c>
      <c r="H5908" s="1">
        <v>-3.6689449999999999E-6</v>
      </c>
      <c r="I5908">
        <v>9.7088269999999994</v>
      </c>
      <c r="J5908">
        <v>-414.4402</v>
      </c>
      <c r="K5908">
        <v>1.1217549999999901</v>
      </c>
      <c r="L5908">
        <v>29.74774</v>
      </c>
      <c r="M5908">
        <v>0.78164829999999996</v>
      </c>
      <c r="N5908">
        <v>-1.93533E-2</v>
      </c>
      <c r="O5908">
        <v>-0.62341919999999995</v>
      </c>
      <c r="P5908">
        <v>0.91757230000000001</v>
      </c>
      <c r="Q5908">
        <v>-9.5688389999999998E-2</v>
      </c>
      <c r="R5908">
        <v>-0.38588230000000001</v>
      </c>
      <c r="S5908">
        <v>2.9475099999999999</v>
      </c>
      <c r="T5908">
        <v>-4.2597530000000002E-2</v>
      </c>
      <c r="U5908">
        <v>-0.76379390000000003</v>
      </c>
      <c r="V5908">
        <v>-0.26817229999999997</v>
      </c>
      <c r="W5908">
        <v>-8.4737699999999999E-2</v>
      </c>
      <c r="X5908">
        <v>0.95963699999999996</v>
      </c>
      <c r="Y5908">
        <v>-0.40738849999999999</v>
      </c>
      <c r="Z5908">
        <v>2.206024E-3</v>
      </c>
      <c r="AA5908">
        <v>0.91325230000000002</v>
      </c>
      <c r="AB5908">
        <v>26</v>
      </c>
      <c r="AC5908">
        <v>77.516199999999898</v>
      </c>
      <c r="AD5908">
        <v>-1.1217586689450001</v>
      </c>
      <c r="AE5908">
        <v>-20.038913000000001</v>
      </c>
      <c r="AF5908">
        <v>-32.661410271816997</v>
      </c>
      <c r="AG5908">
        <v>-1.1217586689450001</v>
      </c>
      <c r="AH5908">
        <v>73.082389339272694</v>
      </c>
      <c r="AI5908">
        <v>90.802858580428193</v>
      </c>
      <c r="AJ5908">
        <v>114.08044962293501</v>
      </c>
      <c r="AK5908">
        <v>80.0566155604416</v>
      </c>
      <c r="AL5908">
        <v>94.860941690644594</v>
      </c>
      <c r="AM5908">
        <v>105.613116970566</v>
      </c>
      <c r="AN5908">
        <v>1.0000000160287801</v>
      </c>
    </row>
    <row r="5909" spans="1:40" x14ac:dyDescent="0.25">
      <c r="A5909" t="str">
        <f>"20190305135046706"</f>
        <v>20190305135046706</v>
      </c>
      <c r="B5909" t="str">
        <f>"1551765046695553"</f>
        <v>1551765046695553</v>
      </c>
      <c r="C5909" t="s">
        <v>40</v>
      </c>
      <c r="D5909">
        <v>4.0165499999999996</v>
      </c>
      <c r="E5909">
        <v>0.44788830000000002</v>
      </c>
      <c r="F5909" t="s">
        <v>42</v>
      </c>
      <c r="G5909">
        <v>-335.25279999999998</v>
      </c>
      <c r="H5909" s="1">
        <v>-4.2008819999999998E-6</v>
      </c>
      <c r="I5909">
        <v>9.8470700000000004</v>
      </c>
      <c r="J5909">
        <v>-414.32499999999999</v>
      </c>
      <c r="K5909">
        <v>1.12168</v>
      </c>
      <c r="L5909">
        <v>29.66788</v>
      </c>
      <c r="M5909">
        <v>0.78729959999999999</v>
      </c>
      <c r="N5909">
        <v>-1.9391539999999999E-2</v>
      </c>
      <c r="O5909">
        <v>-0.61626569999999903</v>
      </c>
      <c r="P5909">
        <v>0.92078070000000001</v>
      </c>
      <c r="Q5909">
        <v>-9.5452960000000003E-2</v>
      </c>
      <c r="R5909">
        <v>-0.378222</v>
      </c>
      <c r="S5909">
        <v>2.953033</v>
      </c>
      <c r="T5909">
        <v>-4.1832330000000001E-2</v>
      </c>
      <c r="U5909">
        <v>-0.74212650000000002</v>
      </c>
      <c r="V5909">
        <v>-0.26746140000000002</v>
      </c>
      <c r="W5909">
        <v>-8.4386959999999997E-2</v>
      </c>
      <c r="X5909">
        <v>0.95986629999999995</v>
      </c>
      <c r="Y5909">
        <v>-0.40576879999999999</v>
      </c>
      <c r="Z5909">
        <v>2.0462280000000002E-3</v>
      </c>
      <c r="AA5909">
        <v>0.91397349999999999</v>
      </c>
      <c r="AB5909">
        <v>26</v>
      </c>
      <c r="AC5909">
        <v>79.072199999999995</v>
      </c>
      <c r="AD5909">
        <v>-1.121684200882</v>
      </c>
      <c r="AE5909">
        <v>-19.820810000000002</v>
      </c>
      <c r="AF5909">
        <v>-33.124525270733997</v>
      </c>
      <c r="AG5909">
        <v>-1.121684200882</v>
      </c>
      <c r="AH5909">
        <v>74.468298698550498</v>
      </c>
      <c r="AI5909">
        <v>90.788481453114699</v>
      </c>
      <c r="AJ5909">
        <v>113.98015728065199</v>
      </c>
      <c r="AK5909">
        <v>81.510857319221898</v>
      </c>
      <c r="AL5909">
        <v>94.840773430405903</v>
      </c>
      <c r="AM5909">
        <v>105.570199324396</v>
      </c>
      <c r="AN5909">
        <v>1.00000003669184</v>
      </c>
    </row>
    <row r="5910" spans="1:40" x14ac:dyDescent="0.25">
      <c r="A5910" t="str">
        <f>"20190305135046721"</f>
        <v>20190305135046721</v>
      </c>
      <c r="B5910" t="str">
        <f>"1551765046716049"</f>
        <v>1551765046716049</v>
      </c>
      <c r="C5910" t="s">
        <v>40</v>
      </c>
      <c r="D5910">
        <v>4.0103989999999996</v>
      </c>
      <c r="E5910">
        <v>0.44852829999999999</v>
      </c>
      <c r="F5910" t="s">
        <v>102</v>
      </c>
      <c r="G5910">
        <v>-279.02</v>
      </c>
      <c r="H5910">
        <v>0.43817060000000002</v>
      </c>
      <c r="I5910">
        <v>-4.9985019999999896</v>
      </c>
      <c r="J5910">
        <v>-414.19260000000003</v>
      </c>
      <c r="K5910">
        <v>1.12158</v>
      </c>
      <c r="L5910">
        <v>29.578399999999998</v>
      </c>
      <c r="M5910">
        <v>0.79362519999999903</v>
      </c>
      <c r="N5910">
        <v>-1.9431239999999999E-2</v>
      </c>
      <c r="O5910">
        <v>-0.60809659999999999</v>
      </c>
      <c r="P5910">
        <v>0.92460030000000004</v>
      </c>
      <c r="Q5910">
        <v>-9.5616770000000004E-2</v>
      </c>
      <c r="R5910">
        <v>-0.3687434</v>
      </c>
      <c r="S5910">
        <v>2.946472</v>
      </c>
      <c r="T5910">
        <v>-1.488447E-2</v>
      </c>
      <c r="U5910">
        <v>-0.75491330000000001</v>
      </c>
      <c r="V5910">
        <v>-0.26741120000000002</v>
      </c>
      <c r="W5910">
        <v>-8.4440909999999994E-2</v>
      </c>
      <c r="X5910">
        <v>0.95987549999999999</v>
      </c>
      <c r="Y5910">
        <v>-0.39207880000000001</v>
      </c>
      <c r="Z5910">
        <v>-4.8980780000000002E-3</v>
      </c>
      <c r="AA5910">
        <v>0.91991860000000003</v>
      </c>
      <c r="AB5910">
        <v>26</v>
      </c>
      <c r="AC5910">
        <v>135.17259999999999</v>
      </c>
      <c r="AD5910">
        <v>-0.68340939999999994</v>
      </c>
      <c r="AE5910">
        <v>-34.576901999999997</v>
      </c>
      <c r="AF5910">
        <v>-54.765923914698902</v>
      </c>
      <c r="AG5910">
        <v>-0.68340939999999994</v>
      </c>
      <c r="AH5910">
        <v>128.323627821401</v>
      </c>
      <c r="AI5910">
        <v>90.280645994828305</v>
      </c>
      <c r="AJ5910">
        <v>113.11180727084</v>
      </c>
      <c r="AK5910">
        <v>139.52321286396801</v>
      </c>
      <c r="AL5910">
        <v>94.843875805933493</v>
      </c>
      <c r="AM5910">
        <v>105.567276700493</v>
      </c>
      <c r="AN5910">
        <v>0.99999999633365899</v>
      </c>
    </row>
    <row r="5911" spans="1:40" x14ac:dyDescent="0.25">
      <c r="A5911" t="str">
        <f>"20190305135046733"</f>
        <v>20190305135046733</v>
      </c>
      <c r="B5911" t="str">
        <f>"1551765046725809"</f>
        <v>1551765046725809</v>
      </c>
      <c r="C5911" t="s">
        <v>40</v>
      </c>
      <c r="D5911">
        <v>4.0074730000000001</v>
      </c>
      <c r="E5911">
        <v>0.44961390000000001</v>
      </c>
      <c r="F5911" t="s">
        <v>102</v>
      </c>
      <c r="G5911">
        <v>-279.02</v>
      </c>
      <c r="H5911">
        <v>0.2665594</v>
      </c>
      <c r="I5911">
        <v>-3.8060100000000001</v>
      </c>
      <c r="J5911">
        <v>-414.07839999999999</v>
      </c>
      <c r="K5911">
        <v>1.1214839999999999</v>
      </c>
      <c r="L5911">
        <v>29.502379999999999</v>
      </c>
      <c r="M5911">
        <v>0.79896859999999903</v>
      </c>
      <c r="N5911">
        <v>-1.9462299999999998E-2</v>
      </c>
      <c r="O5911">
        <v>-0.60105779999999998</v>
      </c>
      <c r="P5911">
        <v>0.92751159999999999</v>
      </c>
      <c r="Q5911">
        <v>-9.5555589999999996E-2</v>
      </c>
      <c r="R5911">
        <v>-0.36137429999999998</v>
      </c>
      <c r="S5911">
        <v>2.951965</v>
      </c>
      <c r="T5911">
        <v>-1.8672350000000001E-2</v>
      </c>
      <c r="U5911">
        <v>-0.72906490000000002</v>
      </c>
      <c r="V5911">
        <v>-0.26659369999999999</v>
      </c>
      <c r="W5911">
        <v>-8.4256029999999996E-2</v>
      </c>
      <c r="X5911">
        <v>0.9601191</v>
      </c>
      <c r="Y5911">
        <v>-0.39194010000000001</v>
      </c>
      <c r="Z5911">
        <v>-3.8311310000000002E-3</v>
      </c>
      <c r="AA5911">
        <v>0.91998279999999999</v>
      </c>
      <c r="AB5911">
        <v>26</v>
      </c>
      <c r="AC5911">
        <v>135.05840000000001</v>
      </c>
      <c r="AD5911">
        <v>-0.85492459999999904</v>
      </c>
      <c r="AE5911">
        <v>-33.308390000000003</v>
      </c>
      <c r="AF5911">
        <v>-54.573820535245197</v>
      </c>
      <c r="AG5911">
        <v>-0.85492459999999904</v>
      </c>
      <c r="AH5911">
        <v>127.94708538225299</v>
      </c>
      <c r="AI5911">
        <v>90.3521424855807</v>
      </c>
      <c r="AJ5911">
        <v>113.099910519029</v>
      </c>
      <c r="AK5911">
        <v>139.102442256411</v>
      </c>
      <c r="AL5911">
        <v>94.833245143057994</v>
      </c>
      <c r="AM5911">
        <v>105.5182355601</v>
      </c>
      <c r="AN5911">
        <v>0.99999998282793001</v>
      </c>
    </row>
    <row r="5912" spans="1:40" x14ac:dyDescent="0.25">
      <c r="A5912" t="str">
        <f>"20190305135046748"</f>
        <v>20190305135046748</v>
      </c>
      <c r="B5912" t="str">
        <f>"1551765046735569"</f>
        <v>1551765046735569</v>
      </c>
      <c r="C5912" t="s">
        <v>40</v>
      </c>
      <c r="D5912">
        <v>4.0826159999999998</v>
      </c>
      <c r="E5912">
        <v>0.44956950000000001</v>
      </c>
      <c r="F5912" t="s">
        <v>43</v>
      </c>
      <c r="G5912">
        <v>-257.53370000000001</v>
      </c>
      <c r="H5912">
        <v>-0.05</v>
      </c>
      <c r="I5912">
        <v>-8.3097530000000006</v>
      </c>
      <c r="J5912">
        <v>-413.94510000000002</v>
      </c>
      <c r="K5912">
        <v>1.1213470000000001</v>
      </c>
      <c r="L5912">
        <v>29.415469999999999</v>
      </c>
      <c r="M5912">
        <v>0.80504180000000003</v>
      </c>
      <c r="N5912">
        <v>-1.9491660000000001E-2</v>
      </c>
      <c r="O5912">
        <v>-0.59289799999999904</v>
      </c>
      <c r="P5912">
        <v>0.93043969999999998</v>
      </c>
      <c r="Q5912">
        <v>-9.6243010000000004E-2</v>
      </c>
      <c r="R5912">
        <v>-0.35358139999999999</v>
      </c>
      <c r="S5912">
        <v>2.9541930000000001</v>
      </c>
      <c r="T5912">
        <v>-2.210736E-2</v>
      </c>
      <c r="U5912">
        <v>-0.71356200000000003</v>
      </c>
      <c r="V5912">
        <v>-0.26485019999999998</v>
      </c>
      <c r="W5912">
        <v>-8.4771869999999999E-2</v>
      </c>
      <c r="X5912">
        <v>0.96055610000000002</v>
      </c>
      <c r="Y5912">
        <v>-0.38729629999999998</v>
      </c>
      <c r="Z5912">
        <v>-2.901598E-3</v>
      </c>
      <c r="AA5912">
        <v>0.92195079999999996</v>
      </c>
      <c r="AB5912">
        <v>25</v>
      </c>
      <c r="AC5912">
        <v>156.41139999999999</v>
      </c>
      <c r="AD5912">
        <v>-1.1713469999999999</v>
      </c>
      <c r="AE5912">
        <v>-37.725223</v>
      </c>
      <c r="AF5912">
        <v>-62.374161262338603</v>
      </c>
      <c r="AG5912">
        <v>-1.1713469999999999</v>
      </c>
      <c r="AH5912">
        <v>148.305221141174</v>
      </c>
      <c r="AI5912">
        <v>90.4171350249499</v>
      </c>
      <c r="AJ5912">
        <v>112.810632425359</v>
      </c>
      <c r="AK5912">
        <v>160.89234495372099</v>
      </c>
      <c r="AL5912">
        <v>94.8629068313234</v>
      </c>
      <c r="AM5912">
        <v>105.414911163311</v>
      </c>
      <c r="AN5912">
        <v>0.99999995981527201</v>
      </c>
    </row>
    <row r="5913" spans="1:40" x14ac:dyDescent="0.25">
      <c r="A5913" t="str">
        <f>"20190305135046761"</f>
        <v>20190305135046761</v>
      </c>
      <c r="B5913" t="str">
        <f>"1551765046756064"</f>
        <v>1551765046756064</v>
      </c>
      <c r="C5913" t="s">
        <v>40</v>
      </c>
      <c r="D5913">
        <v>3.9947569999999999</v>
      </c>
      <c r="E5913">
        <v>0.45134160000000001</v>
      </c>
      <c r="F5913" t="s">
        <v>42</v>
      </c>
      <c r="G5913">
        <v>-349.06459999999998</v>
      </c>
      <c r="H5913" s="1">
        <v>-1.7125149999999999E-6</v>
      </c>
      <c r="I5913">
        <v>14.32399</v>
      </c>
      <c r="J5913">
        <v>-413.82440000000003</v>
      </c>
      <c r="K5913">
        <v>1.1212</v>
      </c>
      <c r="L5913">
        <v>29.33878</v>
      </c>
      <c r="M5913">
        <v>0.81036359999999996</v>
      </c>
      <c r="N5913">
        <v>-1.9507340000000001E-2</v>
      </c>
      <c r="O5913">
        <v>-0.58560259999999997</v>
      </c>
      <c r="P5913">
        <v>0.93300519999999998</v>
      </c>
      <c r="Q5913">
        <v>-9.7506300000000004E-2</v>
      </c>
      <c r="R5913">
        <v>-0.34640169999999998</v>
      </c>
      <c r="S5913">
        <v>2.9575200000000001</v>
      </c>
      <c r="T5913">
        <v>-5.1115630000000002E-2</v>
      </c>
      <c r="U5913">
        <v>-0.68792719999999996</v>
      </c>
      <c r="V5913">
        <v>-0.2634977</v>
      </c>
      <c r="W5913">
        <v>-8.588722E-2</v>
      </c>
      <c r="X5913">
        <v>0.96082900000000004</v>
      </c>
      <c r="Y5913">
        <v>-0.3867447</v>
      </c>
      <c r="Z5913">
        <v>4.3597549999999999E-3</v>
      </c>
      <c r="AA5913">
        <v>0.92217649999999995</v>
      </c>
      <c r="AB5913">
        <v>25</v>
      </c>
      <c r="AC5913">
        <v>64.759799999999998</v>
      </c>
      <c r="AD5913">
        <v>-1.121201712515</v>
      </c>
      <c r="AE5913">
        <v>-15.01479</v>
      </c>
      <c r="AF5913">
        <v>-25.753642774763598</v>
      </c>
      <c r="AG5913">
        <v>-1.121201712515</v>
      </c>
      <c r="AH5913">
        <v>61.265915356039301</v>
      </c>
      <c r="AI5913">
        <v>90.966525159764103</v>
      </c>
      <c r="AJ5913">
        <v>112.799859623952</v>
      </c>
      <c r="AK5913">
        <v>66.468184824498195</v>
      </c>
      <c r="AL5913">
        <v>94.927045365890606</v>
      </c>
      <c r="AM5913">
        <v>105.33575764752401</v>
      </c>
      <c r="AN5913">
        <v>1.0000000098527999</v>
      </c>
    </row>
    <row r="5914" spans="1:40" x14ac:dyDescent="0.25">
      <c r="A5914" t="str">
        <f>"20190305135046773"</f>
        <v>20190305135046773</v>
      </c>
      <c r="B5914" t="str">
        <f>"1551765046765824"</f>
        <v>1551765046765824</v>
      </c>
      <c r="C5914" t="s">
        <v>40</v>
      </c>
      <c r="D5914">
        <v>3.982669</v>
      </c>
      <c r="E5914">
        <v>0.4522584</v>
      </c>
      <c r="F5914" t="s">
        <v>42</v>
      </c>
      <c r="G5914">
        <v>-347.6397</v>
      </c>
      <c r="H5914" s="1">
        <v>-2.240026E-6</v>
      </c>
      <c r="I5914">
        <v>14.163830000000001</v>
      </c>
      <c r="J5914">
        <v>-413.71339999999998</v>
      </c>
      <c r="K5914">
        <v>1.1210519999999999</v>
      </c>
      <c r="L5914">
        <v>29.26904</v>
      </c>
      <c r="M5914">
        <v>0.8151465</v>
      </c>
      <c r="N5914">
        <v>-1.95187E-2</v>
      </c>
      <c r="O5914">
        <v>-0.57892600000000005</v>
      </c>
      <c r="P5914">
        <v>0.93522499999999997</v>
      </c>
      <c r="Q5914">
        <v>-9.8892750000000001E-2</v>
      </c>
      <c r="R5914">
        <v>-0.33996300000000002</v>
      </c>
      <c r="S5914">
        <v>2.958313</v>
      </c>
      <c r="T5914">
        <v>-5.0115350000000003E-2</v>
      </c>
      <c r="U5914">
        <v>-0.67828369999999905</v>
      </c>
      <c r="V5914">
        <v>-0.2621386</v>
      </c>
      <c r="W5914">
        <v>-8.7131340000000002E-2</v>
      </c>
      <c r="X5914">
        <v>0.96108870000000002</v>
      </c>
      <c r="Y5914">
        <v>-0.38207659999999999</v>
      </c>
      <c r="Z5914">
        <v>4.0915559999999997E-3</v>
      </c>
      <c r="AA5914">
        <v>0.92412159999999999</v>
      </c>
      <c r="AB5914">
        <v>25</v>
      </c>
      <c r="AC5914">
        <v>66.073699999999903</v>
      </c>
      <c r="AD5914">
        <v>-1.121054240026</v>
      </c>
      <c r="AE5914">
        <v>-15.10521</v>
      </c>
      <c r="AF5914">
        <v>-25.9366693093565</v>
      </c>
      <c r="AG5914">
        <v>-1.121054240026</v>
      </c>
      <c r="AH5914">
        <v>62.599344180446302</v>
      </c>
      <c r="AI5914">
        <v>90.947845617933297</v>
      </c>
      <c r="AJ5914">
        <v>112.505602778493</v>
      </c>
      <c r="AK5914">
        <v>67.769059823004596</v>
      </c>
      <c r="AL5914">
        <v>94.998596473005605</v>
      </c>
      <c r="AM5914">
        <v>105.25642266929199</v>
      </c>
      <c r="AN5914">
        <v>1.00000000264392</v>
      </c>
    </row>
    <row r="5915" spans="1:40" x14ac:dyDescent="0.25">
      <c r="A5915" t="str">
        <f>"20190305135046784"</f>
        <v>20190305135046784</v>
      </c>
      <c r="B5915" t="str">
        <f>"1551765046775585"</f>
        <v>1551765046775585</v>
      </c>
      <c r="C5915" t="s">
        <v>40</v>
      </c>
      <c r="D5915">
        <v>4.1694309999999897</v>
      </c>
      <c r="E5915">
        <v>0.4522584</v>
      </c>
      <c r="F5915" t="s">
        <v>42</v>
      </c>
      <c r="G5915">
        <v>-349.18610000000001</v>
      </c>
      <c r="H5915" s="1">
        <v>-1.5497989999999999E-6</v>
      </c>
      <c r="I5915">
        <v>14.7801299999999</v>
      </c>
      <c r="J5915">
        <v>-413.60520000000002</v>
      </c>
      <c r="K5915">
        <v>1.1208880000000001</v>
      </c>
      <c r="L5915">
        <v>29.202580000000001</v>
      </c>
      <c r="M5915">
        <v>0.81965849999999996</v>
      </c>
      <c r="N5915">
        <v>-1.9522250000000001E-2</v>
      </c>
      <c r="O5915">
        <v>-0.57251989999999997</v>
      </c>
      <c r="P5915">
        <v>0.93720170000000003</v>
      </c>
      <c r="Q5915">
        <v>-0.10016269999999999</v>
      </c>
      <c r="R5915">
        <v>-0.33409680000000003</v>
      </c>
      <c r="S5915">
        <v>2.9607239999999999</v>
      </c>
      <c r="T5915">
        <v>-5.1437620000000003E-2</v>
      </c>
      <c r="U5915">
        <v>-0.66479489999999997</v>
      </c>
      <c r="V5915">
        <v>-0.26055430000000002</v>
      </c>
      <c r="W5915">
        <v>-8.8248800000000002E-2</v>
      </c>
      <c r="X5915">
        <v>0.96141750000000004</v>
      </c>
      <c r="Y5915">
        <v>-0.378998</v>
      </c>
      <c r="Z5915">
        <v>4.4128630000000004E-3</v>
      </c>
      <c r="AA5915">
        <v>0.92538699999999996</v>
      </c>
      <c r="AB5915">
        <v>25</v>
      </c>
      <c r="AC5915">
        <v>64.4191</v>
      </c>
      <c r="AD5915">
        <v>-1.1208895497989999</v>
      </c>
      <c r="AE5915">
        <v>-14.42245</v>
      </c>
      <c r="AF5915">
        <v>-25.057282843571802</v>
      </c>
      <c r="AG5915">
        <v>-1.1208895497989999</v>
      </c>
      <c r="AH5915">
        <v>61.052832733694899</v>
      </c>
      <c r="AI5915">
        <v>90.973047119157499</v>
      </c>
      <c r="AJ5915">
        <v>112.314210613394</v>
      </c>
      <c r="AK5915">
        <v>66.004334718972302</v>
      </c>
      <c r="AL5915">
        <v>95.062869816562596</v>
      </c>
      <c r="AM5915">
        <v>105.16352831316701</v>
      </c>
      <c r="AN5915">
        <v>1.0000000016280799</v>
      </c>
    </row>
    <row r="5916" spans="1:40" x14ac:dyDescent="0.25">
      <c r="A5916" t="str">
        <f>"20190305135046797"</f>
        <v>20190305135046797</v>
      </c>
      <c r="B5916" t="str">
        <f>"1551765046786321"</f>
        <v>1551765046786321</v>
      </c>
      <c r="C5916" t="s">
        <v>40</v>
      </c>
      <c r="D5916">
        <v>3.9717699999999998</v>
      </c>
      <c r="E5916">
        <v>0.45329599999999998</v>
      </c>
      <c r="F5916" t="s">
        <v>42</v>
      </c>
      <c r="G5916">
        <v>-353.64960000000002</v>
      </c>
      <c r="H5916" s="1">
        <v>-3.324728E-6</v>
      </c>
      <c r="I5916">
        <v>16.131589999999999</v>
      </c>
      <c r="J5916">
        <v>-413.4896</v>
      </c>
      <c r="K5916">
        <v>1.1207020000000001</v>
      </c>
      <c r="L5916">
        <v>29.1326</v>
      </c>
      <c r="M5916">
        <v>0.82433829999999997</v>
      </c>
      <c r="N5916">
        <v>-1.9523470000000001E-2</v>
      </c>
      <c r="O5916">
        <v>-0.56576070000000001</v>
      </c>
      <c r="P5916">
        <v>0.93926779999999999</v>
      </c>
      <c r="Q5916">
        <v>-0.1012496</v>
      </c>
      <c r="R5916">
        <v>-0.32790940000000002</v>
      </c>
      <c r="S5916">
        <v>2.9646910000000002</v>
      </c>
      <c r="T5916">
        <v>-5.5426000000000003E-2</v>
      </c>
      <c r="U5916">
        <v>-0.64633180000000001</v>
      </c>
      <c r="V5916">
        <v>-0.2589378</v>
      </c>
      <c r="W5916">
        <v>-8.9167490000000002E-2</v>
      </c>
      <c r="X5916">
        <v>0.9617694</v>
      </c>
      <c r="Y5916">
        <v>-0.37713750000000001</v>
      </c>
      <c r="Z5916">
        <v>5.3881839999999999E-3</v>
      </c>
      <c r="AA5916">
        <v>0.92614160000000001</v>
      </c>
      <c r="AB5916">
        <v>25</v>
      </c>
      <c r="AC5916">
        <v>59.839999999999897</v>
      </c>
      <c r="AD5916">
        <v>-1.1207053247280001</v>
      </c>
      <c r="AE5916">
        <v>-13.001010000000001</v>
      </c>
      <c r="AF5916">
        <v>-23.134552402195101</v>
      </c>
      <c r="AG5916">
        <v>-1.1207053247280001</v>
      </c>
      <c r="AH5916">
        <v>56.675688322210704</v>
      </c>
      <c r="AI5916">
        <v>91.048827190734997</v>
      </c>
      <c r="AJ5916">
        <v>112.204880972952</v>
      </c>
      <c r="AK5916">
        <v>61.225788211105602</v>
      </c>
      <c r="AL5916">
        <v>95.115715209783303</v>
      </c>
      <c r="AM5916">
        <v>105.068481750226</v>
      </c>
      <c r="AN5916">
        <v>1.00000000215905</v>
      </c>
    </row>
    <row r="5917" spans="1:40" x14ac:dyDescent="0.25">
      <c r="A5917" t="str">
        <f>"20190305135046810"</f>
        <v>20190305135046810</v>
      </c>
      <c r="B5917" t="str">
        <f>"1551765046805841"</f>
        <v>1551765046805841</v>
      </c>
      <c r="C5917" t="s">
        <v>40</v>
      </c>
      <c r="D5917">
        <v>4.002866</v>
      </c>
      <c r="E5917">
        <v>0.45533410000000002</v>
      </c>
      <c r="F5917" t="s">
        <v>42</v>
      </c>
      <c r="G5917">
        <v>-358.44279999999998</v>
      </c>
      <c r="H5917" s="1">
        <v>-1.1177150000000001E-6</v>
      </c>
      <c r="I5917">
        <v>17.354659999999999</v>
      </c>
      <c r="J5917">
        <v>-413.36590000000001</v>
      </c>
      <c r="K5917">
        <v>1.1204959999999999</v>
      </c>
      <c r="L5917">
        <v>29.05865</v>
      </c>
      <c r="M5917">
        <v>0.8292136</v>
      </c>
      <c r="N5917">
        <v>-1.9524159999999999E-2</v>
      </c>
      <c r="O5917">
        <v>-0.55859060000000005</v>
      </c>
      <c r="P5917">
        <v>0.94152829999999998</v>
      </c>
      <c r="Q5917">
        <v>-0.10178139999999999</v>
      </c>
      <c r="R5917">
        <v>-0.32119320000000001</v>
      </c>
      <c r="S5917">
        <v>2.965881</v>
      </c>
      <c r="T5917">
        <v>-6.0382720000000001E-2</v>
      </c>
      <c r="U5917">
        <v>-0.63458249999999905</v>
      </c>
      <c r="V5917">
        <v>-0.25746960000000002</v>
      </c>
      <c r="W5917">
        <v>-8.9519230000000005E-2</v>
      </c>
      <c r="X5917">
        <v>0.96213079999999995</v>
      </c>
      <c r="Y5917">
        <v>-0.37267060000000002</v>
      </c>
      <c r="Z5917">
        <v>6.5350629999999998E-3</v>
      </c>
      <c r="AA5917">
        <v>0.92794069999999995</v>
      </c>
      <c r="AB5917">
        <v>25</v>
      </c>
      <c r="AC5917">
        <v>54.923099999999998</v>
      </c>
      <c r="AD5917">
        <v>-1.120497117715</v>
      </c>
      <c r="AE5917">
        <v>-11.703989999999999</v>
      </c>
      <c r="AF5917">
        <v>-20.970071306216202</v>
      </c>
      <c r="AG5917">
        <v>-1.120497117715</v>
      </c>
      <c r="AH5917">
        <v>52.069922951130899</v>
      </c>
      <c r="AI5917">
        <v>91.143536608288002</v>
      </c>
      <c r="AJ5917">
        <v>111.936078903267</v>
      </c>
      <c r="AK5917">
        <v>56.145135858018101</v>
      </c>
      <c r="AL5917">
        <v>95.135949450358495</v>
      </c>
      <c r="AM5917">
        <v>104.98152017740099</v>
      </c>
      <c r="AN5917">
        <v>0.99999998188629602</v>
      </c>
    </row>
    <row r="5918" spans="1:40" x14ac:dyDescent="0.25">
      <c r="A5918" t="str">
        <f>"20190305135046824"</f>
        <v>20190305135046824</v>
      </c>
      <c r="B5918" t="str">
        <f>"1551765046815601"</f>
        <v>1551765046815601</v>
      </c>
      <c r="C5918" t="s">
        <v>40</v>
      </c>
      <c r="D5918">
        <v>3.9864679999999999</v>
      </c>
      <c r="E5918">
        <v>0.45647729999999997</v>
      </c>
      <c r="F5918" t="s">
        <v>101</v>
      </c>
      <c r="G5918">
        <v>-361.13159999999999</v>
      </c>
      <c r="H5918" s="1">
        <v>-4.482851E-6</v>
      </c>
      <c r="I5918">
        <v>17.979959999999998</v>
      </c>
      <c r="J5918">
        <v>-413.22269999999997</v>
      </c>
      <c r="K5918">
        <v>1.1202240000000001</v>
      </c>
      <c r="L5918">
        <v>28.975190000000001</v>
      </c>
      <c r="M5918">
        <v>0.83458480000000002</v>
      </c>
      <c r="N5918">
        <v>-1.9515339999999999E-2</v>
      </c>
      <c r="O5918">
        <v>-0.55053399999999997</v>
      </c>
      <c r="P5918">
        <v>0.94398280000000001</v>
      </c>
      <c r="Q5918">
        <v>-0.1023777</v>
      </c>
      <c r="R5918">
        <v>-0.31371280000000001</v>
      </c>
      <c r="S5918">
        <v>2.9649049999999999</v>
      </c>
      <c r="T5918">
        <v>-6.3601489999999997E-2</v>
      </c>
      <c r="U5918">
        <v>-0.62884519999999899</v>
      </c>
      <c r="V5918">
        <v>-0.25580059999999999</v>
      </c>
      <c r="W5918">
        <v>-8.989664E-2</v>
      </c>
      <c r="X5918">
        <v>0.96254070000000003</v>
      </c>
      <c r="Y5918">
        <v>-0.36531910000000001</v>
      </c>
      <c r="Z5918">
        <v>7.2037069999999898E-3</v>
      </c>
      <c r="AA5918">
        <v>0.93085439999999997</v>
      </c>
      <c r="AB5918">
        <v>25</v>
      </c>
      <c r="AC5918">
        <v>52.091099999999898</v>
      </c>
      <c r="AD5918">
        <v>-1.1202284828510001</v>
      </c>
      <c r="AE5918">
        <v>-10.995229999999999</v>
      </c>
      <c r="AF5918">
        <v>-19.496549252833798</v>
      </c>
      <c r="AG5918">
        <v>-1.1202284828510001</v>
      </c>
      <c r="AH5918">
        <v>49.515191520669099</v>
      </c>
      <c r="AI5918">
        <v>91.205947709708894</v>
      </c>
      <c r="AJ5918">
        <v>111.49198252070001</v>
      </c>
      <c r="AK5918">
        <v>53.227103396206999</v>
      </c>
      <c r="AL5918">
        <v>95.157661019898896</v>
      </c>
      <c r="AM5918">
        <v>104.882672479184</v>
      </c>
      <c r="AN5918">
        <v>0.99999997600006896</v>
      </c>
    </row>
    <row r="5919" spans="1:40" x14ac:dyDescent="0.25">
      <c r="A5919" t="str">
        <f>"20190305135046839"</f>
        <v>20190305135046839</v>
      </c>
      <c r="B5919" t="str">
        <f>"1551765046836096"</f>
        <v>1551765046836096</v>
      </c>
      <c r="C5919" t="s">
        <v>40</v>
      </c>
      <c r="D5919">
        <v>4.0568929999999996</v>
      </c>
      <c r="E5919">
        <v>0.457451</v>
      </c>
      <c r="F5919" t="s">
        <v>101</v>
      </c>
      <c r="G5919">
        <v>-362.98430000000002</v>
      </c>
      <c r="H5919" s="1">
        <v>-3.499666E-6</v>
      </c>
      <c r="I5919">
        <v>18.585429999999999</v>
      </c>
      <c r="J5919">
        <v>-413.09230000000002</v>
      </c>
      <c r="K5919">
        <v>1.119972</v>
      </c>
      <c r="L5919">
        <v>28.900539999999999</v>
      </c>
      <c r="M5919">
        <v>0.83927790000000002</v>
      </c>
      <c r="N5919">
        <v>-1.9501310000000001E-2</v>
      </c>
      <c r="O5919">
        <v>-0.54335299999999997</v>
      </c>
      <c r="P5919">
        <v>0.94541140000000001</v>
      </c>
      <c r="Q5919">
        <v>-0.102661</v>
      </c>
      <c r="R5919">
        <v>-0.30928679999999997</v>
      </c>
      <c r="S5919">
        <v>2.9669189999999999</v>
      </c>
      <c r="T5919">
        <v>-6.6157099999999996E-2</v>
      </c>
      <c r="U5919">
        <v>-0.61358639999999998</v>
      </c>
      <c r="V5919">
        <v>-0.25209300000000001</v>
      </c>
      <c r="W5919">
        <v>-8.9915930000000005E-2</v>
      </c>
      <c r="X5919">
        <v>0.96351659999999995</v>
      </c>
      <c r="Y5919">
        <v>-0.36203649999999998</v>
      </c>
      <c r="Z5919">
        <v>7.7690369999999899E-3</v>
      </c>
      <c r="AA5919">
        <v>0.9321315</v>
      </c>
      <c r="AB5919">
        <v>25</v>
      </c>
      <c r="AC5919">
        <v>50.107999999999997</v>
      </c>
      <c r="AD5919">
        <v>-1.1199754996660001</v>
      </c>
      <c r="AE5919">
        <v>-10.315110000000001</v>
      </c>
      <c r="AF5919">
        <v>-18.563721561325799</v>
      </c>
      <c r="AG5919">
        <v>-1.1199754996660001</v>
      </c>
      <c r="AH5919">
        <v>47.645508835719198</v>
      </c>
      <c r="AI5919">
        <v>91.254729957847204</v>
      </c>
      <c r="AJ5919">
        <v>111.286965041001</v>
      </c>
      <c r="AK5919">
        <v>51.146462395173302</v>
      </c>
      <c r="AL5919">
        <v>95.158770642090104</v>
      </c>
      <c r="AM5919">
        <v>104.662113687851</v>
      </c>
      <c r="AN5919">
        <v>0.99999999679616203</v>
      </c>
    </row>
    <row r="5920" spans="1:40" x14ac:dyDescent="0.25">
      <c r="A5920" t="str">
        <f>"20190305135046850"</f>
        <v>20190305135046850</v>
      </c>
      <c r="B5920" t="str">
        <f>"1551765046845857"</f>
        <v>1551765046845857</v>
      </c>
      <c r="C5920" t="s">
        <v>40</v>
      </c>
      <c r="D5920">
        <v>4.0710410000000001</v>
      </c>
      <c r="E5920">
        <v>0.47428930000000002</v>
      </c>
      <c r="F5920" t="s">
        <v>101</v>
      </c>
      <c r="G5920">
        <v>-364.49810000000002</v>
      </c>
      <c r="H5920" s="1">
        <v>-2.7165149999999999E-6</v>
      </c>
      <c r="I5920">
        <v>18.9663</v>
      </c>
      <c r="J5920">
        <v>-412.98360000000002</v>
      </c>
      <c r="K5920">
        <v>1.119753</v>
      </c>
      <c r="L5920">
        <v>28.83887</v>
      </c>
      <c r="M5920">
        <v>0.8430839</v>
      </c>
      <c r="N5920">
        <v>-1.9488180000000001E-2</v>
      </c>
      <c r="O5920">
        <v>-0.53742889999999999</v>
      </c>
      <c r="P5920">
        <v>0.94697929999999997</v>
      </c>
      <c r="Q5920">
        <v>-0.10237739999999999</v>
      </c>
      <c r="R5920">
        <v>-0.30454730000000002</v>
      </c>
      <c r="S5920">
        <v>2.9673769999999999</v>
      </c>
      <c r="T5920">
        <v>-6.8390610000000004E-2</v>
      </c>
      <c r="U5920">
        <v>-0.60662839999999996</v>
      </c>
      <c r="V5920">
        <v>-0.25021159999999998</v>
      </c>
      <c r="W5920">
        <v>-8.9446230000000002E-2</v>
      </c>
      <c r="X5920">
        <v>0.96405059999999998</v>
      </c>
      <c r="Y5920">
        <v>-0.35758659999999998</v>
      </c>
      <c r="Z5920">
        <v>8.2196530000000004E-3</v>
      </c>
      <c r="AA5920">
        <v>0.93384389999999995</v>
      </c>
      <c r="AB5920">
        <v>25</v>
      </c>
      <c r="AC5920">
        <v>48.485500000000002</v>
      </c>
      <c r="AD5920">
        <v>-1.1197557165150001</v>
      </c>
      <c r="AE5920">
        <v>-9.8725699999999996</v>
      </c>
      <c r="AF5920">
        <v>-17.728392788398001</v>
      </c>
      <c r="AG5920">
        <v>-1.1197557165150001</v>
      </c>
      <c r="AH5920">
        <v>46.168275440576998</v>
      </c>
      <c r="AI5920">
        <v>91.297062066149707</v>
      </c>
      <c r="AJ5920">
        <v>111.00654610446</v>
      </c>
      <c r="AK5920">
        <v>49.467761429858299</v>
      </c>
      <c r="AL5920">
        <v>95.131749835762406</v>
      </c>
      <c r="AM5920">
        <v>104.549632430082</v>
      </c>
      <c r="AN5920">
        <v>1.00000001609806</v>
      </c>
    </row>
    <row r="5921" spans="1:40" x14ac:dyDescent="0.25">
      <c r="A5921" t="str">
        <f>"20190305135046862"</f>
        <v>20190305135046862</v>
      </c>
      <c r="B5921" t="str">
        <f>"1551765046855618"</f>
        <v>1551765046855618</v>
      </c>
      <c r="C5921" t="s">
        <v>40</v>
      </c>
      <c r="D5921">
        <v>4.0775560000000004</v>
      </c>
      <c r="E5921">
        <v>0.47566619999999998</v>
      </c>
      <c r="F5921" t="s">
        <v>100</v>
      </c>
      <c r="G5921">
        <v>-371.52280000000002</v>
      </c>
      <c r="H5921" s="1">
        <v>-4.1590969999999998E-6</v>
      </c>
      <c r="I5921">
        <v>18.650179999999999</v>
      </c>
      <c r="J5921">
        <v>-412.86790000000002</v>
      </c>
      <c r="K5921">
        <v>1.119494</v>
      </c>
      <c r="L5921">
        <v>28.77469</v>
      </c>
      <c r="M5921">
        <v>0.84690739999999998</v>
      </c>
      <c r="N5921">
        <v>-1.9463609999999999E-2</v>
      </c>
      <c r="O5921">
        <v>-0.53138439999999998</v>
      </c>
      <c r="P5921">
        <v>0.94858450000000005</v>
      </c>
      <c r="Q5921">
        <v>-0.10163609999999999</v>
      </c>
      <c r="R5921">
        <v>-0.29976259999999999</v>
      </c>
      <c r="S5921">
        <v>2.9280400000000002</v>
      </c>
      <c r="T5921">
        <v>-7.9079269999999993E-2</v>
      </c>
      <c r="U5921">
        <v>-0.7195435</v>
      </c>
      <c r="V5921">
        <v>-0.24830360000000001</v>
      </c>
      <c r="W5921">
        <v>-8.8506459999999995E-2</v>
      </c>
      <c r="X5921">
        <v>0.96463049999999995</v>
      </c>
      <c r="Y5921">
        <v>-0.31379970000000001</v>
      </c>
      <c r="Z5921">
        <v>9.8215079999999996E-3</v>
      </c>
      <c r="AA5921">
        <v>0.94943840000000002</v>
      </c>
      <c r="AB5921">
        <v>25</v>
      </c>
      <c r="AC5921">
        <v>41.345100000000002</v>
      </c>
      <c r="AD5921">
        <v>-1.1194981590969999</v>
      </c>
      <c r="AE5921">
        <v>-10.124510000000001</v>
      </c>
      <c r="AF5921">
        <v>-13.3888935224906</v>
      </c>
      <c r="AG5921">
        <v>-1.1194981590969999</v>
      </c>
      <c r="AH5921">
        <v>40.375197497345901</v>
      </c>
      <c r="AI5921">
        <v>91.507565527016197</v>
      </c>
      <c r="AJ5921">
        <v>108.346132139876</v>
      </c>
      <c r="AK5921">
        <v>42.551995474178398</v>
      </c>
      <c r="AL5921">
        <v>95.077690463460996</v>
      </c>
      <c r="AM5921">
        <v>104.435021148478</v>
      </c>
      <c r="AN5921">
        <v>1.0000000363824699</v>
      </c>
    </row>
    <row r="5922" spans="1:40" x14ac:dyDescent="0.25">
      <c r="A5922" t="str">
        <f>"20190305135046874"</f>
        <v>20190305135046874</v>
      </c>
      <c r="B5922" t="str">
        <f>"1551765046866353"</f>
        <v>1551765046866353</v>
      </c>
      <c r="C5922" t="s">
        <v>40</v>
      </c>
      <c r="D5922">
        <v>4.2368779999999999</v>
      </c>
      <c r="E5922">
        <v>0.47542699999999999</v>
      </c>
      <c r="F5922" t="s">
        <v>100</v>
      </c>
      <c r="G5922">
        <v>-374.79640000000001</v>
      </c>
      <c r="H5922" s="1">
        <v>-2.4649159999999999E-6</v>
      </c>
      <c r="I5922">
        <v>19.477370000000001</v>
      </c>
      <c r="J5922">
        <v>-412.75740000000002</v>
      </c>
      <c r="K5922">
        <v>1.1192409999999999</v>
      </c>
      <c r="L5922">
        <v>28.713899999999999</v>
      </c>
      <c r="M5922">
        <v>0.85044459999999999</v>
      </c>
      <c r="N5922">
        <v>-1.94386E-2</v>
      </c>
      <c r="O5922">
        <v>-0.5257056</v>
      </c>
      <c r="P5922">
        <v>0.95008979999999998</v>
      </c>
      <c r="Q5922">
        <v>-0.1009804</v>
      </c>
      <c r="R5922">
        <v>-0.29518250000000001</v>
      </c>
      <c r="S5922">
        <v>2.92746</v>
      </c>
      <c r="T5922">
        <v>-8.6082099999999995E-2</v>
      </c>
      <c r="U5922">
        <v>-0.71490480000000001</v>
      </c>
      <c r="V5922">
        <v>-0.24661520000000001</v>
      </c>
      <c r="W5922">
        <v>-8.7664660000000005E-2</v>
      </c>
      <c r="X5922">
        <v>0.96514029999999995</v>
      </c>
      <c r="Y5922">
        <v>-0.3087879</v>
      </c>
      <c r="Z5922">
        <v>1.125726E-2</v>
      </c>
      <c r="AA5922">
        <v>0.95106429999999997</v>
      </c>
      <c r="AB5922">
        <v>25</v>
      </c>
      <c r="AC5922">
        <v>37.960999999999999</v>
      </c>
      <c r="AD5922">
        <v>-1.1192434649159999</v>
      </c>
      <c r="AE5922">
        <v>-9.2365299999999895</v>
      </c>
      <c r="AF5922">
        <v>-12.0935132110093</v>
      </c>
      <c r="AG5922">
        <v>-1.1192434649159999</v>
      </c>
      <c r="AH5922">
        <v>37.115975196363998</v>
      </c>
      <c r="AI5922">
        <v>91.642318233436697</v>
      </c>
      <c r="AJ5922">
        <v>108.047184377802</v>
      </c>
      <c r="AK5922">
        <v>39.052546427803101</v>
      </c>
      <c r="AL5922">
        <v>95.029270978686398</v>
      </c>
      <c r="AM5922">
        <v>104.33366524283601</v>
      </c>
      <c r="AN5922">
        <v>0.99999997408402197</v>
      </c>
    </row>
    <row r="5923" spans="1:40" x14ac:dyDescent="0.25">
      <c r="A5923" t="str">
        <f>"20190305135046884"</f>
        <v>20190305135046884</v>
      </c>
      <c r="B5923" t="str">
        <f>"1551765046876113"</f>
        <v>1551765046876113</v>
      </c>
      <c r="C5923" t="s">
        <v>40</v>
      </c>
      <c r="D5923">
        <v>4.0909519999999997</v>
      </c>
      <c r="E5923">
        <v>0.47652949999999999</v>
      </c>
      <c r="F5923" t="s">
        <v>100</v>
      </c>
      <c r="G5923">
        <v>-374.7901</v>
      </c>
      <c r="H5923" s="1">
        <v>-2.4565999999999999E-6</v>
      </c>
      <c r="I5923">
        <v>19.666550000000001</v>
      </c>
      <c r="J5923">
        <v>-412.6549</v>
      </c>
      <c r="K5923">
        <v>1.118994</v>
      </c>
      <c r="L5923">
        <v>28.65823</v>
      </c>
      <c r="M5923">
        <v>0.85358539999999905</v>
      </c>
      <c r="N5923">
        <v>-1.94106E-2</v>
      </c>
      <c r="O5923">
        <v>-0.52059120000000003</v>
      </c>
      <c r="P5923">
        <v>0.9514281</v>
      </c>
      <c r="Q5923">
        <v>-0.10002270000000001</v>
      </c>
      <c r="R5923">
        <v>-0.2911707</v>
      </c>
      <c r="S5923">
        <v>2.9313349999999998</v>
      </c>
      <c r="T5923">
        <v>-8.6413149999999994E-2</v>
      </c>
      <c r="U5923">
        <v>-0.69851680000000005</v>
      </c>
      <c r="V5923">
        <v>-0.24502470000000001</v>
      </c>
      <c r="W5923">
        <v>-8.6533490000000005E-2</v>
      </c>
      <c r="X5923">
        <v>0.96564740000000004</v>
      </c>
      <c r="Y5923">
        <v>-0.30839169999999999</v>
      </c>
      <c r="Z5923">
        <v>1.130899E-2</v>
      </c>
      <c r="AA5923">
        <v>0.95119219999999904</v>
      </c>
      <c r="AB5923">
        <v>25</v>
      </c>
      <c r="AC5923">
        <v>37.864800000000002</v>
      </c>
      <c r="AD5923">
        <v>-1.1189964565999999</v>
      </c>
      <c r="AE5923">
        <v>-8.9916799999999899</v>
      </c>
      <c r="AF5923">
        <v>-12.0292382210206</v>
      </c>
      <c r="AG5923">
        <v>-1.1189964565999999</v>
      </c>
      <c r="AH5923">
        <v>36.978231597599297</v>
      </c>
      <c r="AI5923">
        <v>91.648323208809998</v>
      </c>
      <c r="AJ5923">
        <v>108.02001438892999</v>
      </c>
      <c r="AK5923">
        <v>38.901726662625599</v>
      </c>
      <c r="AL5923">
        <v>94.9642122091945</v>
      </c>
      <c r="AM5923">
        <v>104.237820527343</v>
      </c>
      <c r="AN5923">
        <v>1.00000002481421</v>
      </c>
    </row>
    <row r="5924" spans="1:40" x14ac:dyDescent="0.25">
      <c r="A5924" t="str">
        <f>"20190305135046895"</f>
        <v>20190305135046895</v>
      </c>
      <c r="B5924" t="str">
        <f>"1551765046885873"</f>
        <v>1551765046885873</v>
      </c>
      <c r="C5924" t="s">
        <v>40</v>
      </c>
      <c r="D5924">
        <v>4.0841519999999996</v>
      </c>
      <c r="E5924">
        <v>0.47752460000000002</v>
      </c>
      <c r="F5924" t="s">
        <v>100</v>
      </c>
      <c r="G5924">
        <v>-376.0822</v>
      </c>
      <c r="H5924" s="1">
        <v>-1.9341240000000001E-6</v>
      </c>
      <c r="I5924">
        <v>19.998419999999999</v>
      </c>
      <c r="J5924">
        <v>-412.55349999999999</v>
      </c>
      <c r="K5924">
        <v>1.118736</v>
      </c>
      <c r="L5924">
        <v>28.603819999999999</v>
      </c>
      <c r="M5924">
        <v>0.85655820000000005</v>
      </c>
      <c r="N5924">
        <v>-1.9379170000000001E-2</v>
      </c>
      <c r="O5924">
        <v>-0.51568639999999999</v>
      </c>
      <c r="P5924">
        <v>0.95260829999999996</v>
      </c>
      <c r="Q5924">
        <v>-9.9481490000000006E-2</v>
      </c>
      <c r="R5924">
        <v>-0.28747319999999998</v>
      </c>
      <c r="S5924">
        <v>2.9313349999999998</v>
      </c>
      <c r="T5924">
        <v>-8.9688539999999997E-2</v>
      </c>
      <c r="U5924">
        <v>-0.69409180000000004</v>
      </c>
      <c r="V5924">
        <v>-0.24333479999999999</v>
      </c>
      <c r="W5924">
        <v>-8.5818039999999998E-2</v>
      </c>
      <c r="X5924">
        <v>0.96613839999999995</v>
      </c>
      <c r="Y5924">
        <v>-0.30427739999999998</v>
      </c>
      <c r="Z5924">
        <v>1.191882E-2</v>
      </c>
      <c r="AA5924">
        <v>0.95250889999999999</v>
      </c>
      <c r="AB5924">
        <v>25</v>
      </c>
      <c r="AC5924">
        <v>36.4712999999999</v>
      </c>
      <c r="AD5924">
        <v>-1.118737934124</v>
      </c>
      <c r="AE5924">
        <v>-8.6053999999999995</v>
      </c>
      <c r="AF5924">
        <v>-11.428689394932899</v>
      </c>
      <c r="AG5924">
        <v>-1.118737934124</v>
      </c>
      <c r="AH5924">
        <v>35.652403636435501</v>
      </c>
      <c r="AI5924">
        <v>91.711562976026897</v>
      </c>
      <c r="AJ5924">
        <v>107.77370640380499</v>
      </c>
      <c r="AK5924">
        <v>37.456112997832797</v>
      </c>
      <c r="AL5924">
        <v>94.923067080529293</v>
      </c>
      <c r="AM5924">
        <v>104.136678286589</v>
      </c>
      <c r="AN5924">
        <v>0.99999998441752003</v>
      </c>
    </row>
    <row r="5925" spans="1:40" x14ac:dyDescent="0.25">
      <c r="A5925" t="str">
        <f>"20190305135046911"</f>
        <v>20190305135046911</v>
      </c>
      <c r="B5925" t="str">
        <f>"1551765046906369"</f>
        <v>1551765046906369</v>
      </c>
      <c r="C5925" t="s">
        <v>40</v>
      </c>
      <c r="D5925">
        <v>4.2990399999999998</v>
      </c>
      <c r="E5925">
        <v>0.49428159999999999</v>
      </c>
      <c r="F5925" t="s">
        <v>100</v>
      </c>
      <c r="G5925">
        <v>-375.99720000000002</v>
      </c>
      <c r="H5925" s="1">
        <v>-1.9746460000000001E-6</v>
      </c>
      <c r="I5925">
        <v>19.999790000000001</v>
      </c>
      <c r="J5925">
        <v>-412.40350000000001</v>
      </c>
      <c r="K5925">
        <v>1.118333</v>
      </c>
      <c r="L5925">
        <v>28.524139999999999</v>
      </c>
      <c r="M5925">
        <v>0.86075380000000001</v>
      </c>
      <c r="N5925">
        <v>-1.9329570000000001E-2</v>
      </c>
      <c r="O5925">
        <v>-0.50865450000000001</v>
      </c>
      <c r="P5925">
        <v>0.95443140000000004</v>
      </c>
      <c r="Q5925">
        <v>-9.9165379999999997E-2</v>
      </c>
      <c r="R5925">
        <v>-0.28147369999999999</v>
      </c>
      <c r="S5925">
        <v>2.9316409999999999</v>
      </c>
      <c r="T5925">
        <v>-8.9717389999999994E-2</v>
      </c>
      <c r="U5925">
        <v>-0.69000240000000002</v>
      </c>
      <c r="V5925">
        <v>-0.2416124</v>
      </c>
      <c r="W5925">
        <v>-8.5261610000000002E-2</v>
      </c>
      <c r="X5925">
        <v>0.96661980000000003</v>
      </c>
      <c r="Y5925">
        <v>-0.29775400000000002</v>
      </c>
      <c r="Z5925">
        <v>1.1758650000000001E-2</v>
      </c>
      <c r="AA5925">
        <v>0.95457020000000004</v>
      </c>
      <c r="AB5925">
        <v>25</v>
      </c>
      <c r="AC5925">
        <v>36.406299999999902</v>
      </c>
      <c r="AD5925">
        <v>-1.1183349746460001</v>
      </c>
      <c r="AE5925">
        <v>-8.5243500000000001</v>
      </c>
      <c r="AF5925">
        <v>-11.1729553444777</v>
      </c>
      <c r="AG5925">
        <v>-1.1183349746460001</v>
      </c>
      <c r="AH5925">
        <v>35.647584738232503</v>
      </c>
      <c r="AI5925">
        <v>91.714694184270002</v>
      </c>
      <c r="AJ5925">
        <v>107.402457924731</v>
      </c>
      <c r="AK5925">
        <v>37.374267911421001</v>
      </c>
      <c r="AL5925">
        <v>94.8910687980147</v>
      </c>
      <c r="AM5925">
        <v>104.03386967916499</v>
      </c>
      <c r="AN5925">
        <v>0.99999996586279505</v>
      </c>
    </row>
    <row r="5926" spans="1:40" x14ac:dyDescent="0.25">
      <c r="A5926" t="str">
        <f>"20190305135046928"</f>
        <v>20190305135046928</v>
      </c>
      <c r="B5926" t="str">
        <f>"1551765046925888"</f>
        <v>1551765046925888</v>
      </c>
      <c r="C5926" t="s">
        <v>40</v>
      </c>
      <c r="D5926">
        <v>4.1739829999999998</v>
      </c>
      <c r="E5926">
        <v>0.49872460000000002</v>
      </c>
      <c r="F5926" t="s">
        <v>85</v>
      </c>
      <c r="G5926">
        <v>-401.78930000000003</v>
      </c>
      <c r="H5926" s="1">
        <v>-6.2183049999999998E-6</v>
      </c>
      <c r="I5926">
        <v>25.568840000000002</v>
      </c>
      <c r="J5926">
        <v>-412.23340000000002</v>
      </c>
      <c r="K5926">
        <v>1.117821</v>
      </c>
      <c r="L5926">
        <v>28.43524</v>
      </c>
      <c r="M5926">
        <v>0.86514139999999995</v>
      </c>
      <c r="N5926">
        <v>-1.9271960000000001E-2</v>
      </c>
      <c r="O5926">
        <v>-0.50115770000000004</v>
      </c>
      <c r="P5926">
        <v>0.95554479999999997</v>
      </c>
      <c r="Q5926">
        <v>-0.100496</v>
      </c>
      <c r="R5926">
        <v>-0.27719120000000003</v>
      </c>
      <c r="S5926">
        <v>2.8756409999999999</v>
      </c>
      <c r="T5926">
        <v>-0.30298389999999997</v>
      </c>
      <c r="U5926">
        <v>-0.80065920000000002</v>
      </c>
      <c r="V5926">
        <v>-0.23756469999999999</v>
      </c>
      <c r="W5926">
        <v>-8.6256070000000004E-2</v>
      </c>
      <c r="X5926">
        <v>0.96753440000000002</v>
      </c>
      <c r="Y5926">
        <v>-0.24786459999999999</v>
      </c>
      <c r="Z5926">
        <v>5.4212030000000001E-2</v>
      </c>
      <c r="AA5926">
        <v>0.96727669999999999</v>
      </c>
      <c r="AB5926">
        <v>25</v>
      </c>
      <c r="AC5926">
        <v>10.444099999999899</v>
      </c>
      <c r="AD5926">
        <v>-1.117827218305</v>
      </c>
      <c r="AE5926">
        <v>-2.8664000000000001</v>
      </c>
      <c r="AF5926">
        <v>-2.7257739141828199</v>
      </c>
      <c r="AG5926">
        <v>-1.117827218305</v>
      </c>
      <c r="AH5926">
        <v>10.363683169030001</v>
      </c>
      <c r="AI5926">
        <v>95.955125176648707</v>
      </c>
      <c r="AJ5926">
        <v>104.735749331403</v>
      </c>
      <c r="AK5926">
        <v>10.7742893013534</v>
      </c>
      <c r="AL5926">
        <v>94.948257902292895</v>
      </c>
      <c r="AM5926">
        <v>103.795278310158</v>
      </c>
      <c r="AN5926">
        <v>0.99999995574064604</v>
      </c>
    </row>
    <row r="5927" spans="1:40" x14ac:dyDescent="0.25">
      <c r="A5927" t="str">
        <f>"20190305135046941"</f>
        <v>20190305135046941</v>
      </c>
      <c r="B5927" t="str">
        <f>"1551765046935649"</f>
        <v>1551765046935649</v>
      </c>
      <c r="C5927" t="s">
        <v>40</v>
      </c>
      <c r="D5927">
        <v>4.1737449999999896</v>
      </c>
      <c r="E5927">
        <v>0.50099740000000004</v>
      </c>
      <c r="F5927" t="s">
        <v>42</v>
      </c>
      <c r="G5927">
        <v>-398.98230000000001</v>
      </c>
      <c r="H5927" s="1">
        <v>-1.8009049999999999E-6</v>
      </c>
      <c r="I5927">
        <v>24.650020000000001</v>
      </c>
      <c r="J5927">
        <v>-412.12610000000001</v>
      </c>
      <c r="K5927">
        <v>1.1174900000000001</v>
      </c>
      <c r="L5927">
        <v>28.38</v>
      </c>
      <c r="M5927">
        <v>0.86768509999999999</v>
      </c>
      <c r="N5927">
        <v>-1.9233190000000001E-2</v>
      </c>
      <c r="O5927">
        <v>-0.49674210000000002</v>
      </c>
      <c r="P5927">
        <v>0.95634839999999999</v>
      </c>
      <c r="Q5927">
        <v>-0.1009216</v>
      </c>
      <c r="R5927">
        <v>-0.27424910000000002</v>
      </c>
      <c r="S5927">
        <v>2.8757630000000001</v>
      </c>
      <c r="T5927">
        <v>-0.24259069999999999</v>
      </c>
      <c r="U5927">
        <v>-0.82147219999999999</v>
      </c>
      <c r="V5927">
        <v>-0.23565320000000001</v>
      </c>
      <c r="W5927">
        <v>-8.6485530000000005E-2</v>
      </c>
      <c r="X5927">
        <v>0.96798130000000004</v>
      </c>
      <c r="Y5927">
        <v>-0.23761260000000001</v>
      </c>
      <c r="Z5927">
        <v>4.1159380000000002E-2</v>
      </c>
      <c r="AA5927">
        <v>0.97048760000000001</v>
      </c>
      <c r="AB5927">
        <v>25</v>
      </c>
      <c r="AC5927">
        <v>13.143800000000001</v>
      </c>
      <c r="AD5927">
        <v>-1.1174918009050001</v>
      </c>
      <c r="AE5927">
        <v>-3.7299799999999901</v>
      </c>
      <c r="AF5927">
        <v>-3.2713553056178601</v>
      </c>
      <c r="AG5927">
        <v>-1.1174918009050001</v>
      </c>
      <c r="AH5927">
        <v>13.1718536412942</v>
      </c>
      <c r="AI5927">
        <v>94.706999951588102</v>
      </c>
      <c r="AJ5927">
        <v>103.947746010156</v>
      </c>
      <c r="AK5927">
        <v>13.6179397049759</v>
      </c>
      <c r="AL5927">
        <v>94.961454149376493</v>
      </c>
      <c r="AM5927">
        <v>103.682387896359</v>
      </c>
      <c r="AN5927">
        <v>0.99999998735965501</v>
      </c>
    </row>
    <row r="5928" spans="1:40" x14ac:dyDescent="0.25">
      <c r="A5928" t="str">
        <f>"20190305135046952"</f>
        <v>20190305135046952</v>
      </c>
      <c r="B5928" t="str">
        <f>"1551765046946385"</f>
        <v>1551765046946385</v>
      </c>
      <c r="C5928" t="s">
        <v>40</v>
      </c>
      <c r="D5928">
        <v>4.1586410000000003</v>
      </c>
      <c r="E5928">
        <v>0.50274669999999999</v>
      </c>
      <c r="F5928" t="s">
        <v>42</v>
      </c>
      <c r="G5928">
        <v>-397.98520000000002</v>
      </c>
      <c r="H5928" s="1">
        <v>-2.1784230000000002E-6</v>
      </c>
      <c r="I5928">
        <v>24.297519999999999</v>
      </c>
      <c r="J5928">
        <v>-412.00990000000002</v>
      </c>
      <c r="K5928">
        <v>1.1171230000000001</v>
      </c>
      <c r="L5928">
        <v>28.320430000000002</v>
      </c>
      <c r="M5928">
        <v>0.87034339999999999</v>
      </c>
      <c r="N5928">
        <v>-1.919247E-2</v>
      </c>
      <c r="O5928">
        <v>-0.49207119999999999</v>
      </c>
      <c r="P5928">
        <v>0.95724860000000001</v>
      </c>
      <c r="Q5928">
        <v>-0.1009071</v>
      </c>
      <c r="R5928">
        <v>-0.2710958</v>
      </c>
      <c r="S5928">
        <v>2.875</v>
      </c>
      <c r="T5928">
        <v>-0.22719929999999999</v>
      </c>
      <c r="U5928">
        <v>-0.83001709999999995</v>
      </c>
      <c r="V5928">
        <v>-0.2337206</v>
      </c>
      <c r="W5928">
        <v>-8.6258689999999999E-2</v>
      </c>
      <c r="X5928">
        <v>0.96847000000000005</v>
      </c>
      <c r="Y5928">
        <v>-0.22991929999999999</v>
      </c>
      <c r="Z5928">
        <v>3.7504170000000003E-2</v>
      </c>
      <c r="AA5928">
        <v>0.97248679999999998</v>
      </c>
      <c r="AB5928">
        <v>25</v>
      </c>
      <c r="AC5928">
        <v>14.0246999999999</v>
      </c>
      <c r="AD5928">
        <v>-1.1171251784230001</v>
      </c>
      <c r="AE5928">
        <v>-4.0229099999999898</v>
      </c>
      <c r="AF5928">
        <v>-3.3806452814090502</v>
      </c>
      <c r="AG5928">
        <v>-1.1171251784230001</v>
      </c>
      <c r="AH5928">
        <v>14.1057822593796</v>
      </c>
      <c r="AI5928">
        <v>94.403958692524398</v>
      </c>
      <c r="AJ5928">
        <v>103.477517789492</v>
      </c>
      <c r="AK5928">
        <v>14.548189726973201</v>
      </c>
      <c r="AL5928">
        <v>94.948408306278097</v>
      </c>
      <c r="AM5928">
        <v>103.56774980885</v>
      </c>
      <c r="AN5928">
        <v>1.0000000106824301</v>
      </c>
    </row>
    <row r="5929" spans="1:40" x14ac:dyDescent="0.25">
      <c r="A5929" t="str">
        <f>"20190305135046963"</f>
        <v>20190305135046963</v>
      </c>
      <c r="B5929" t="str">
        <f>"1551765046956145"</f>
        <v>1551765046956145</v>
      </c>
      <c r="C5929" t="s">
        <v>40</v>
      </c>
      <c r="D5929">
        <v>4.1493539999999998</v>
      </c>
      <c r="E5929">
        <v>0.50429999999999997</v>
      </c>
      <c r="F5929" t="s">
        <v>42</v>
      </c>
      <c r="G5929">
        <v>-397.1232</v>
      </c>
      <c r="H5929" s="1">
        <v>-2.5076890000000001E-6</v>
      </c>
      <c r="I5929">
        <v>24.003509999999999</v>
      </c>
      <c r="J5929">
        <v>-411.90109999999999</v>
      </c>
      <c r="K5929">
        <v>1.11676</v>
      </c>
      <c r="L5929">
        <v>28.265170000000001</v>
      </c>
      <c r="M5929">
        <v>0.87263639999999998</v>
      </c>
      <c r="N5929">
        <v>-1.9149619999999999E-2</v>
      </c>
      <c r="O5929">
        <v>-0.48799490000000001</v>
      </c>
      <c r="P5929">
        <v>0.95793839999999997</v>
      </c>
      <c r="Q5929">
        <v>-0.1013853</v>
      </c>
      <c r="R5929">
        <v>-0.26846750000000003</v>
      </c>
      <c r="S5929">
        <v>2.8751220000000002</v>
      </c>
      <c r="T5929">
        <v>-0.21575340000000001</v>
      </c>
      <c r="U5929">
        <v>-0.83374020000000004</v>
      </c>
      <c r="V5929">
        <v>-0.23189470000000001</v>
      </c>
      <c r="W5929">
        <v>-8.6533959999999993E-2</v>
      </c>
      <c r="X5929">
        <v>0.96888430000000003</v>
      </c>
      <c r="Y5929">
        <v>-0.2243947</v>
      </c>
      <c r="Z5929">
        <v>3.482387E-2</v>
      </c>
      <c r="AA5929">
        <v>0.97387590000000002</v>
      </c>
      <c r="AB5929">
        <v>24</v>
      </c>
      <c r="AC5929">
        <v>14.777899999999899</v>
      </c>
      <c r="AD5929">
        <v>-1.116762507689</v>
      </c>
      <c r="AE5929">
        <v>-4.2616599999999902</v>
      </c>
      <c r="AF5929">
        <v>-3.4749795080591999</v>
      </c>
      <c r="AG5929">
        <v>-1.116762507689</v>
      </c>
      <c r="AH5929">
        <v>14.8995927226731</v>
      </c>
      <c r="AI5929">
        <v>94.174821721817594</v>
      </c>
      <c r="AJ5929">
        <v>103.128215831261</v>
      </c>
      <c r="AK5929">
        <v>15.340159855149601</v>
      </c>
      <c r="AL5929">
        <v>94.964239201582799</v>
      </c>
      <c r="AM5929">
        <v>103.460080282528</v>
      </c>
      <c r="AN5929">
        <v>1.00000003245393</v>
      </c>
    </row>
    <row r="5930" spans="1:40" x14ac:dyDescent="0.25">
      <c r="A5930" t="str">
        <f>"20190305135046975"</f>
        <v>20190305135046975</v>
      </c>
      <c r="B5930" t="str">
        <f>"1551765046965905"</f>
        <v>1551765046965905</v>
      </c>
      <c r="C5930" t="s">
        <v>40</v>
      </c>
      <c r="D5930">
        <v>4.1837839999999904</v>
      </c>
      <c r="E5930">
        <v>0.50545329999999999</v>
      </c>
      <c r="F5930" t="s">
        <v>42</v>
      </c>
      <c r="G5930">
        <v>-396.57490000000001</v>
      </c>
      <c r="H5930" s="1">
        <v>-2.7125689999999999E-6</v>
      </c>
      <c r="I5930">
        <v>23.79946</v>
      </c>
      <c r="J5930">
        <v>-411.78660000000002</v>
      </c>
      <c r="K5930">
        <v>1.1163730000000001</v>
      </c>
      <c r="L5930">
        <v>28.207370000000001</v>
      </c>
      <c r="M5930">
        <v>0.87490579999999996</v>
      </c>
      <c r="N5930">
        <v>-1.910365E-2</v>
      </c>
      <c r="O5930">
        <v>-0.48391620000000002</v>
      </c>
      <c r="P5930">
        <v>0.95862219999999998</v>
      </c>
      <c r="Q5930">
        <v>-0.1023386</v>
      </c>
      <c r="R5930">
        <v>-0.26565159999999999</v>
      </c>
      <c r="S5930">
        <v>2.8747859999999998</v>
      </c>
      <c r="T5930">
        <v>-0.20947470000000001</v>
      </c>
      <c r="U5930">
        <v>-0.83764649999999996</v>
      </c>
      <c r="V5930">
        <v>-0.2302392</v>
      </c>
      <c r="W5930">
        <v>-8.7281510000000007E-2</v>
      </c>
      <c r="X5930">
        <v>0.96921199999999996</v>
      </c>
      <c r="Y5930">
        <v>-0.21869449999999999</v>
      </c>
      <c r="Z5930">
        <v>3.3189610000000001E-2</v>
      </c>
      <c r="AA5930">
        <v>0.97522880000000001</v>
      </c>
      <c r="AB5930">
        <v>24</v>
      </c>
      <c r="AC5930">
        <v>15.2117</v>
      </c>
      <c r="AD5930">
        <v>-1.1163757125689999</v>
      </c>
      <c r="AE5930">
        <v>-4.4079100000000002</v>
      </c>
      <c r="AF5930">
        <v>-3.4879906994694099</v>
      </c>
      <c r="AG5930">
        <v>-1.1163757125689999</v>
      </c>
      <c r="AH5930">
        <v>15.3683204749832</v>
      </c>
      <c r="AI5930">
        <v>94.052050526648998</v>
      </c>
      <c r="AJ5930">
        <v>102.78721526263099</v>
      </c>
      <c r="AK5930">
        <v>15.798659692296299</v>
      </c>
      <c r="AL5930">
        <v>95.007233367326606</v>
      </c>
      <c r="AM5930">
        <v>103.363091924657</v>
      </c>
      <c r="AN5930">
        <v>1.0000000260742501</v>
      </c>
    </row>
    <row r="5931" spans="1:40" x14ac:dyDescent="0.25">
      <c r="A5931" t="str">
        <f>"20190305135046986"</f>
        <v>20190305135046986</v>
      </c>
      <c r="B5931" t="str">
        <f>"1551765046975666"</f>
        <v>1551765046975666</v>
      </c>
      <c r="C5931" t="s">
        <v>40</v>
      </c>
      <c r="D5931">
        <v>4.0541299999999998</v>
      </c>
      <c r="E5931">
        <v>0.50600299999999998</v>
      </c>
      <c r="F5931" t="s">
        <v>42</v>
      </c>
      <c r="G5931">
        <v>-396.23689999999999</v>
      </c>
      <c r="H5931" s="1">
        <v>-2.839466E-6</v>
      </c>
      <c r="I5931">
        <v>23.675830000000001</v>
      </c>
      <c r="J5931">
        <v>-411.68430000000001</v>
      </c>
      <c r="K5931">
        <v>1.1160190000000001</v>
      </c>
      <c r="L5931">
        <v>28.156009999999998</v>
      </c>
      <c r="M5931">
        <v>0.87681589999999998</v>
      </c>
      <c r="N5931">
        <v>-1.906186E-2</v>
      </c>
      <c r="O5931">
        <v>-0.48044809999999999</v>
      </c>
      <c r="P5931">
        <v>0.95910810000000002</v>
      </c>
      <c r="Q5931">
        <v>-0.1036001</v>
      </c>
      <c r="R5931">
        <v>-0.26339899999999999</v>
      </c>
      <c r="S5931">
        <v>2.8752749999999998</v>
      </c>
      <c r="T5931">
        <v>-0.20642769999999999</v>
      </c>
      <c r="U5931">
        <v>-0.83792109999999997</v>
      </c>
      <c r="V5931">
        <v>-0.2286716</v>
      </c>
      <c r="W5931">
        <v>-8.8359569999999998E-2</v>
      </c>
      <c r="X5931">
        <v>0.96948529999999999</v>
      </c>
      <c r="Y5931">
        <v>-0.21484</v>
      </c>
      <c r="Z5931">
        <v>3.230148E-2</v>
      </c>
      <c r="AA5931">
        <v>0.97611490000000001</v>
      </c>
      <c r="AB5931">
        <v>24</v>
      </c>
      <c r="AC5931">
        <v>15.4474</v>
      </c>
      <c r="AD5931">
        <v>-1.116021839466</v>
      </c>
      <c r="AE5931">
        <v>-4.4801799999999998</v>
      </c>
      <c r="AF5931">
        <v>-3.4772743893198101</v>
      </c>
      <c r="AG5931">
        <v>-1.116021839466</v>
      </c>
      <c r="AH5931">
        <v>15.6246474484466</v>
      </c>
      <c r="AI5931">
        <v>93.988280496749496</v>
      </c>
      <c r="AJ5931">
        <v>102.54673476556501</v>
      </c>
      <c r="AK5931">
        <v>16.0457642327511</v>
      </c>
      <c r="AL5931">
        <v>95.069241721203795</v>
      </c>
      <c r="AM5931">
        <v>103.27173035062199</v>
      </c>
      <c r="AN5931">
        <v>0.99999993058661496</v>
      </c>
    </row>
    <row r="5932" spans="1:40" x14ac:dyDescent="0.25">
      <c r="A5932" t="str">
        <f>"20190305135047001"</f>
        <v>20190305135047001</v>
      </c>
      <c r="B5932" t="str">
        <f>"1551765046996160"</f>
        <v>1551765046996160</v>
      </c>
      <c r="C5932" t="s">
        <v>40</v>
      </c>
      <c r="D5932">
        <v>4.1731930000000004</v>
      </c>
      <c r="E5932">
        <v>0.50747730000000002</v>
      </c>
      <c r="F5932" t="s">
        <v>42</v>
      </c>
      <c r="G5932">
        <v>-396.94099999999997</v>
      </c>
      <c r="H5932" s="1">
        <v>-2.5587210000000001E-6</v>
      </c>
      <c r="I5932">
        <v>23.871649999999999</v>
      </c>
      <c r="J5932">
        <v>-411.55709999999999</v>
      </c>
      <c r="K5932">
        <v>1.115575</v>
      </c>
      <c r="L5932">
        <v>28.092559999999999</v>
      </c>
      <c r="M5932">
        <v>0.87896749999999901</v>
      </c>
      <c r="N5932">
        <v>-1.9007880000000001E-2</v>
      </c>
      <c r="O5932">
        <v>-0.47650300000000001</v>
      </c>
      <c r="P5932">
        <v>0.95950340000000001</v>
      </c>
      <c r="Q5932">
        <v>-0.106181</v>
      </c>
      <c r="R5932">
        <v>-0.26091930000000002</v>
      </c>
      <c r="S5932">
        <v>2.8749389999999999</v>
      </c>
      <c r="T5932">
        <v>-0.21762390000000001</v>
      </c>
      <c r="U5932">
        <v>-0.8354492</v>
      </c>
      <c r="V5932">
        <v>-0.2267489</v>
      </c>
      <c r="W5932">
        <v>-9.0716290000000005E-2</v>
      </c>
      <c r="X5932">
        <v>0.96971929999999995</v>
      </c>
      <c r="Y5932">
        <v>-0.21106259999999999</v>
      </c>
      <c r="Z5932">
        <v>3.4133520000000001E-2</v>
      </c>
      <c r="AA5932">
        <v>0.97687639999999998</v>
      </c>
      <c r="AB5932">
        <v>24</v>
      </c>
      <c r="AC5932">
        <v>14.616099999999999</v>
      </c>
      <c r="AD5932">
        <v>-1.115577558721</v>
      </c>
      <c r="AE5932">
        <v>-4.2209099999999999</v>
      </c>
      <c r="AF5932">
        <v>-3.2377506933558799</v>
      </c>
      <c r="AG5932">
        <v>-1.115577558721</v>
      </c>
      <c r="AH5932">
        <v>14.781553943814201</v>
      </c>
      <c r="AI5932">
        <v>94.216393743286503</v>
      </c>
      <c r="AJ5932">
        <v>102.35494004800201</v>
      </c>
      <c r="AK5932">
        <v>15.173064286284999</v>
      </c>
      <c r="AL5932">
        <v>95.204815980151196</v>
      </c>
      <c r="AM5932">
        <v>103.160975326894</v>
      </c>
      <c r="AN5932">
        <v>1.0000000148575301</v>
      </c>
    </row>
    <row r="5933" spans="1:40" x14ac:dyDescent="0.25">
      <c r="A5933" t="str">
        <f>"20190305135047015"</f>
        <v>20190305135047015</v>
      </c>
      <c r="B5933" t="str">
        <f>"1551765047005921"</f>
        <v>1551765047005921</v>
      </c>
      <c r="C5933" t="s">
        <v>40</v>
      </c>
      <c r="D5933">
        <v>4.2011979999999998</v>
      </c>
      <c r="E5933">
        <v>0.50828269999999998</v>
      </c>
      <c r="F5933" t="s">
        <v>42</v>
      </c>
      <c r="G5933">
        <v>-396.74430000000001</v>
      </c>
      <c r="H5933" s="1">
        <v>-2.6240249999999998E-6</v>
      </c>
      <c r="I5933">
        <v>23.76755</v>
      </c>
      <c r="J5933">
        <v>-411.41419999999999</v>
      </c>
      <c r="K5933">
        <v>1.1150639999999901</v>
      </c>
      <c r="L5933">
        <v>28.021509999999999</v>
      </c>
      <c r="M5933">
        <v>0.88118989999999997</v>
      </c>
      <c r="N5933">
        <v>-1.894786E-2</v>
      </c>
      <c r="O5933">
        <v>-0.47238259999999999</v>
      </c>
      <c r="P5933">
        <v>0.95981289999999997</v>
      </c>
      <c r="Q5933">
        <v>-0.1092356</v>
      </c>
      <c r="R5933">
        <v>-0.25850899999999999</v>
      </c>
      <c r="S5933">
        <v>2.8744200000000002</v>
      </c>
      <c r="T5933">
        <v>-0.21647640000000001</v>
      </c>
      <c r="U5933">
        <v>-0.83926389999999995</v>
      </c>
      <c r="V5933">
        <v>-0.22456000000000001</v>
      </c>
      <c r="W5933">
        <v>-9.3520049999999993E-2</v>
      </c>
      <c r="X5933">
        <v>0.96996230000000006</v>
      </c>
      <c r="Y5933">
        <v>-0.20527670000000001</v>
      </c>
      <c r="Z5933">
        <v>3.3492849999999998E-2</v>
      </c>
      <c r="AA5933">
        <v>0.97813070000000002</v>
      </c>
      <c r="AB5933">
        <v>24</v>
      </c>
      <c r="AC5933">
        <v>14.669899999999901</v>
      </c>
      <c r="AD5933">
        <v>-1.11506662402499</v>
      </c>
      <c r="AE5933">
        <v>-4.2539599999999904</v>
      </c>
      <c r="AF5933">
        <v>-3.16496263896948</v>
      </c>
      <c r="AG5933">
        <v>-1.11506662402499</v>
      </c>
      <c r="AH5933">
        <v>14.8599510504386</v>
      </c>
      <c r="AI5933">
        <v>94.197537114370306</v>
      </c>
      <c r="AJ5933">
        <v>102.02354341357</v>
      </c>
      <c r="AK5933">
        <v>15.234123122238399</v>
      </c>
      <c r="AL5933">
        <v>95.366145534479898</v>
      </c>
      <c r="AM5933">
        <v>103.035133030929</v>
      </c>
      <c r="AN5933">
        <v>1.0000000283866399</v>
      </c>
    </row>
    <row r="5934" spans="1:40" x14ac:dyDescent="0.25">
      <c r="A5934" t="str">
        <f>"20190305135047029"</f>
        <v>20190305135047029</v>
      </c>
      <c r="B5934" t="str">
        <f>"1551765047026417"</f>
        <v>1551765047026417</v>
      </c>
      <c r="C5934" t="s">
        <v>40</v>
      </c>
      <c r="D5934">
        <v>4.1682139999999999</v>
      </c>
      <c r="E5934">
        <v>0.50977479999999997</v>
      </c>
      <c r="F5934" t="s">
        <v>42</v>
      </c>
      <c r="G5934">
        <v>-396.84449999999998</v>
      </c>
      <c r="H5934" s="1">
        <v>-2.5784280000000001E-6</v>
      </c>
      <c r="I5934">
        <v>23.774239999999999</v>
      </c>
      <c r="J5934">
        <v>-411.27749999999997</v>
      </c>
      <c r="K5934">
        <v>1.114555</v>
      </c>
      <c r="L5934">
        <v>27.95383</v>
      </c>
      <c r="M5934">
        <v>0.88310929999999999</v>
      </c>
      <c r="N5934">
        <v>-1.8890609999999999E-2</v>
      </c>
      <c r="O5934">
        <v>-0.46878710000000001</v>
      </c>
      <c r="P5934">
        <v>0.95889369999999996</v>
      </c>
      <c r="Q5934">
        <v>-0.11447350000000001</v>
      </c>
      <c r="R5934">
        <v>-0.25965199999999999</v>
      </c>
      <c r="S5934">
        <v>2.8747859999999998</v>
      </c>
      <c r="T5934">
        <v>-0.22001709999999999</v>
      </c>
      <c r="U5934">
        <v>-0.83804319999999899</v>
      </c>
      <c r="V5934">
        <v>-0.2192269</v>
      </c>
      <c r="W5934">
        <v>-9.8476300000000003E-2</v>
      </c>
      <c r="X5934">
        <v>0.97069150000000004</v>
      </c>
      <c r="Y5934">
        <v>-0.20167089999999999</v>
      </c>
      <c r="Z5934">
        <v>3.3849379999999998E-2</v>
      </c>
      <c r="AA5934">
        <v>0.97886819999999997</v>
      </c>
      <c r="AB5934">
        <v>24</v>
      </c>
      <c r="AC5934">
        <v>14.4329999999999</v>
      </c>
      <c r="AD5934">
        <v>-1.114557578428</v>
      </c>
      <c r="AE5934">
        <v>-4.1795900000000001</v>
      </c>
      <c r="AF5934">
        <v>-3.0586890258032602</v>
      </c>
      <c r="AG5934">
        <v>-1.114557578428</v>
      </c>
      <c r="AH5934">
        <v>14.627397606154</v>
      </c>
      <c r="AI5934">
        <v>94.265417484894499</v>
      </c>
      <c r="AJ5934">
        <v>101.81075800055901</v>
      </c>
      <c r="AK5934">
        <v>14.985278705473601</v>
      </c>
      <c r="AL5934">
        <v>95.651435795600193</v>
      </c>
      <c r="AM5934">
        <v>102.726517727084</v>
      </c>
      <c r="AN5934">
        <v>1.00000000175877</v>
      </c>
    </row>
    <row r="5935" spans="1:40" x14ac:dyDescent="0.25">
      <c r="A5935" t="str">
        <f>"20190305135047043"</f>
        <v>20190305135047043</v>
      </c>
      <c r="B5935" t="str">
        <f>"1551765047036177"</f>
        <v>1551765047036177</v>
      </c>
      <c r="C5935" t="s">
        <v>40</v>
      </c>
      <c r="D5935">
        <v>4.2306059999999999</v>
      </c>
      <c r="E5935">
        <v>0.51037969999999999</v>
      </c>
      <c r="F5935" t="s">
        <v>42</v>
      </c>
      <c r="G5935">
        <v>-397.23250000000002</v>
      </c>
      <c r="H5935" s="1">
        <v>-2.3968169999999999E-6</v>
      </c>
      <c r="I5935">
        <v>23.780989999999999</v>
      </c>
      <c r="J5935">
        <v>-411.14710000000002</v>
      </c>
      <c r="K5935">
        <v>1.1140859999999999</v>
      </c>
      <c r="L5935">
        <v>27.889500000000002</v>
      </c>
      <c r="M5935">
        <v>0.88467169999999895</v>
      </c>
      <c r="N5935">
        <v>-1.883576E-2</v>
      </c>
      <c r="O5935">
        <v>-0.46583380000000002</v>
      </c>
      <c r="P5935">
        <v>0.958951</v>
      </c>
      <c r="Q5935">
        <v>-0.1152615</v>
      </c>
      <c r="R5935">
        <v>-0.25909009999999999</v>
      </c>
      <c r="S5935">
        <v>2.870514</v>
      </c>
      <c r="T5935">
        <v>-0.2277931</v>
      </c>
      <c r="U5935">
        <v>-0.85284419999999905</v>
      </c>
      <c r="V5935">
        <v>-0.21661359999999999</v>
      </c>
      <c r="W5935">
        <v>-9.9038379999999995E-2</v>
      </c>
      <c r="X5935">
        <v>0.97122090000000005</v>
      </c>
      <c r="Y5935">
        <v>-0.19328229999999999</v>
      </c>
      <c r="Z5935">
        <v>3.4797880000000003E-2</v>
      </c>
      <c r="AA5935">
        <v>0.98052589999999995</v>
      </c>
      <c r="AB5935">
        <v>24</v>
      </c>
      <c r="AC5935">
        <v>13.9146</v>
      </c>
      <c r="AD5935">
        <v>-1.1140883968169999</v>
      </c>
      <c r="AE5935">
        <v>-4.1085099999999999</v>
      </c>
      <c r="AF5935">
        <v>-2.83102061198174</v>
      </c>
      <c r="AG5935">
        <v>-1.1140883968169999</v>
      </c>
      <c r="AH5935">
        <v>14.142866355620299</v>
      </c>
      <c r="AI5935">
        <v>94.416845810376898</v>
      </c>
      <c r="AJ5935">
        <v>101.31946552378599</v>
      </c>
      <c r="AK5935">
        <v>14.4663934487599</v>
      </c>
      <c r="AL5935">
        <v>95.6837985690983</v>
      </c>
      <c r="AM5935">
        <v>102.573028212224</v>
      </c>
      <c r="AN5935">
        <v>1.00000004450739</v>
      </c>
    </row>
    <row r="5936" spans="1:40" x14ac:dyDescent="0.25">
      <c r="A5936" t="str">
        <f>"20190305135047055"</f>
        <v>20190305135047055</v>
      </c>
      <c r="B5936" t="str">
        <f>"1551765047045937"</f>
        <v>1551765047045937</v>
      </c>
      <c r="C5936" t="s">
        <v>40</v>
      </c>
      <c r="D5936">
        <v>4.165279</v>
      </c>
      <c r="E5936">
        <v>0.51092720000000003</v>
      </c>
      <c r="F5936" t="s">
        <v>42</v>
      </c>
      <c r="G5936">
        <v>-397.04129999999998</v>
      </c>
      <c r="H5936" s="1">
        <v>-2.461358E-6</v>
      </c>
      <c r="I5936">
        <v>23.68383</v>
      </c>
      <c r="J5936">
        <v>-411.02710000000002</v>
      </c>
      <c r="K5936">
        <v>1.113667</v>
      </c>
      <c r="L5936">
        <v>27.830380000000002</v>
      </c>
      <c r="M5936">
        <v>0.88597539999999997</v>
      </c>
      <c r="N5936">
        <v>-1.8786379999999998E-2</v>
      </c>
      <c r="O5936">
        <v>-0.46335179999999998</v>
      </c>
      <c r="P5936">
        <v>0.95915609999999996</v>
      </c>
      <c r="Q5936">
        <v>-0.114995</v>
      </c>
      <c r="R5936">
        <v>-0.25844929999999999</v>
      </c>
      <c r="S5936">
        <v>2.8699650000000001</v>
      </c>
      <c r="T5936">
        <v>-0.2266717</v>
      </c>
      <c r="U5936">
        <v>-0.85568239999999995</v>
      </c>
      <c r="V5936">
        <v>-0.2146614</v>
      </c>
      <c r="W5936">
        <v>-9.8570669999999999E-2</v>
      </c>
      <c r="X5936">
        <v>0.9717017</v>
      </c>
      <c r="Y5936">
        <v>-0.18961739999999999</v>
      </c>
      <c r="Z5936">
        <v>3.4320200000000002E-2</v>
      </c>
      <c r="AA5936">
        <v>0.98125799999999996</v>
      </c>
      <c r="AB5936">
        <v>24</v>
      </c>
      <c r="AC5936">
        <v>13.985799999999999</v>
      </c>
      <c r="AD5936">
        <v>-1.113669461358</v>
      </c>
      <c r="AE5936">
        <v>-4.1465499999999897</v>
      </c>
      <c r="AF5936">
        <v>-2.7908333358589199</v>
      </c>
      <c r="AG5936">
        <v>-1.113669461358</v>
      </c>
      <c r="AH5936">
        <v>14.2319614712206</v>
      </c>
      <c r="AI5936">
        <v>94.391058026177902</v>
      </c>
      <c r="AJ5936">
        <v>101.094702502611</v>
      </c>
      <c r="AK5936">
        <v>14.545712003749101</v>
      </c>
      <c r="AL5936">
        <v>95.656869562923006</v>
      </c>
      <c r="AM5936">
        <v>102.457297294873</v>
      </c>
      <c r="AN5936">
        <v>0.99999994370854695</v>
      </c>
    </row>
    <row r="5937" spans="1:40" x14ac:dyDescent="0.25">
      <c r="A5937" t="str">
        <f>"20190305135047074"</f>
        <v>20190305135047074</v>
      </c>
      <c r="B5937" t="str">
        <f>"1551765047066437"</f>
        <v>1551765047066437</v>
      </c>
      <c r="C5937" t="s">
        <v>40</v>
      </c>
      <c r="D5937">
        <v>4.2471300000000003</v>
      </c>
      <c r="E5937">
        <v>0.51223459999999998</v>
      </c>
      <c r="F5937" t="s">
        <v>42</v>
      </c>
      <c r="G5937">
        <v>-396.61649999999997</v>
      </c>
      <c r="H5937" s="1">
        <v>-2.6190210000000002E-6</v>
      </c>
      <c r="I5937">
        <v>23.521740000000001</v>
      </c>
      <c r="J5937">
        <v>-410.85550000000001</v>
      </c>
      <c r="K5937">
        <v>1.1130789999999999</v>
      </c>
      <c r="L5937">
        <v>27.745819999999998</v>
      </c>
      <c r="M5937">
        <v>0.88755919999999899</v>
      </c>
      <c r="N5937">
        <v>-1.871685E-2</v>
      </c>
      <c r="O5937">
        <v>-0.46031339999999998</v>
      </c>
      <c r="P5937">
        <v>0.96021889999999999</v>
      </c>
      <c r="Q5937">
        <v>-0.11109860000000001</v>
      </c>
      <c r="R5937">
        <v>-0.2561968</v>
      </c>
      <c r="S5937">
        <v>2.8699650000000001</v>
      </c>
      <c r="T5937">
        <v>-0.2217942</v>
      </c>
      <c r="U5937">
        <v>-0.85809329999999995</v>
      </c>
      <c r="V5937">
        <v>-0.21399799999999999</v>
      </c>
      <c r="W5937">
        <v>-9.4408339999999993E-2</v>
      </c>
      <c r="X5937">
        <v>0.97226129999999999</v>
      </c>
      <c r="Y5937">
        <v>-0.18557280000000001</v>
      </c>
      <c r="Z5937">
        <v>3.31235E-2</v>
      </c>
      <c r="AA5937">
        <v>0.9820721</v>
      </c>
      <c r="AB5937">
        <v>24</v>
      </c>
      <c r="AC5937">
        <v>14.239000000000001</v>
      </c>
      <c r="AD5937">
        <v>-1.113081619021</v>
      </c>
      <c r="AE5937">
        <v>-4.2240799999999998</v>
      </c>
      <c r="AF5937">
        <v>-2.79010227019051</v>
      </c>
      <c r="AG5937">
        <v>-1.113081619021</v>
      </c>
      <c r="AH5937">
        <v>14.503452043472199</v>
      </c>
      <c r="AI5937">
        <v>94.309897706167206</v>
      </c>
      <c r="AJ5937">
        <v>100.88924852431199</v>
      </c>
      <c r="AK5937">
        <v>14.811270794433</v>
      </c>
      <c r="AL5937">
        <v>95.417266829790904</v>
      </c>
      <c r="AM5937">
        <v>102.41306828420799</v>
      </c>
      <c r="AN5937">
        <v>1.0000000570716201</v>
      </c>
    </row>
    <row r="5938" spans="1:40" x14ac:dyDescent="0.25">
      <c r="A5938" t="str">
        <f>"20190305135047084"</f>
        <v>20190305135047084</v>
      </c>
      <c r="B5938" t="str">
        <f>"1551765047076194"</f>
        <v>1551765047076194</v>
      </c>
      <c r="C5938" t="s">
        <v>40</v>
      </c>
      <c r="D5938">
        <v>4.225231</v>
      </c>
      <c r="E5938">
        <v>0.5126579</v>
      </c>
      <c r="F5938" t="s">
        <v>42</v>
      </c>
      <c r="G5938">
        <v>-395.64299999999997</v>
      </c>
      <c r="H5938" s="1">
        <v>-2.9891119999999998E-6</v>
      </c>
      <c r="I5938">
        <v>23.183240000000001</v>
      </c>
      <c r="J5938">
        <v>-410.75009999999997</v>
      </c>
      <c r="K5938">
        <v>1.1127229999999999</v>
      </c>
      <c r="L5938">
        <v>27.693850000000001</v>
      </c>
      <c r="M5938">
        <v>0.88836209999999904</v>
      </c>
      <c r="N5938">
        <v>-1.867576E-2</v>
      </c>
      <c r="O5938">
        <v>-0.4587637</v>
      </c>
      <c r="P5938">
        <v>0.96109290000000003</v>
      </c>
      <c r="Q5938">
        <v>-0.1092699</v>
      </c>
      <c r="R5938">
        <v>-0.25369439999999999</v>
      </c>
      <c r="S5938">
        <v>2.8702999999999999</v>
      </c>
      <c r="T5938">
        <v>-0.21001719999999999</v>
      </c>
      <c r="U5938">
        <v>-0.86087039999999904</v>
      </c>
      <c r="V5938">
        <v>-0.21502299999999999</v>
      </c>
      <c r="W5938">
        <v>-9.2434100000000005E-2</v>
      </c>
      <c r="X5938">
        <v>0.9722248</v>
      </c>
      <c r="Y5938">
        <v>-0.18316840000000001</v>
      </c>
      <c r="Z5938">
        <v>3.08264E-2</v>
      </c>
      <c r="AA5938">
        <v>0.98259810000000003</v>
      </c>
      <c r="AB5938">
        <v>24</v>
      </c>
      <c r="AC5938">
        <v>15.1070999999999</v>
      </c>
      <c r="AD5938">
        <v>-1.1127259891119901</v>
      </c>
      <c r="AE5938">
        <v>-4.5106099999999998</v>
      </c>
      <c r="AF5938">
        <v>-2.9095510505784499</v>
      </c>
      <c r="AG5938">
        <v>-1.1127259891119901</v>
      </c>
      <c r="AH5938">
        <v>15.4157921487684</v>
      </c>
      <c r="AI5938">
        <v>94.057118002305401</v>
      </c>
      <c r="AJ5938">
        <v>100.688181959427</v>
      </c>
      <c r="AK5938">
        <v>15.727374034364299</v>
      </c>
      <c r="AL5938">
        <v>95.3036545965263</v>
      </c>
      <c r="AM5938">
        <v>102.47112167419201</v>
      </c>
      <c r="AN5938">
        <v>1.0000000075534199</v>
      </c>
    </row>
    <row r="5939" spans="1:40" x14ac:dyDescent="0.25">
      <c r="A5939" t="str">
        <f>"20190305135047096"</f>
        <v>20190305135047096</v>
      </c>
      <c r="B5939" t="str">
        <f>"1551765047085952"</f>
        <v>1551765047085952</v>
      </c>
      <c r="C5939" t="s">
        <v>40</v>
      </c>
      <c r="D5939">
        <v>4.240386</v>
      </c>
      <c r="E5939">
        <v>0.51302530000000002</v>
      </c>
      <c r="F5939" t="s">
        <v>42</v>
      </c>
      <c r="G5939">
        <v>-394.95429999999999</v>
      </c>
      <c r="H5939" s="1">
        <v>-3.2619800000000001E-6</v>
      </c>
      <c r="I5939">
        <v>22.985199999999999</v>
      </c>
      <c r="J5939">
        <v>-410.64350000000002</v>
      </c>
      <c r="K5939">
        <v>1.112368</v>
      </c>
      <c r="L5939">
        <v>27.64124</v>
      </c>
      <c r="M5939">
        <v>0.88906280000000004</v>
      </c>
      <c r="N5939">
        <v>-1.8636380000000001E-2</v>
      </c>
      <c r="O5939">
        <v>-0.45740550000000002</v>
      </c>
      <c r="P5939">
        <v>0.96167460000000005</v>
      </c>
      <c r="Q5939">
        <v>-0.1086396</v>
      </c>
      <c r="R5939">
        <v>-0.25175259999999999</v>
      </c>
      <c r="S5939">
        <v>2.8724370000000001</v>
      </c>
      <c r="T5939">
        <v>-0.20234779999999999</v>
      </c>
      <c r="U5939">
        <v>-0.85626219999999997</v>
      </c>
      <c r="V5939">
        <v>-0.21561659999999999</v>
      </c>
      <c r="W5939">
        <v>-9.1657820000000001E-2</v>
      </c>
      <c r="X5939">
        <v>0.9721668</v>
      </c>
      <c r="Y5939">
        <v>-0.1834025</v>
      </c>
      <c r="Z5939">
        <v>2.9401480000000001E-2</v>
      </c>
      <c r="AA5939">
        <v>0.98259810000000003</v>
      </c>
      <c r="AB5939">
        <v>24</v>
      </c>
      <c r="AC5939">
        <v>15.6892</v>
      </c>
      <c r="AD5939">
        <v>-1.1123712619799999</v>
      </c>
      <c r="AE5939">
        <v>-4.65604</v>
      </c>
      <c r="AF5939">
        <v>-3.02337431477123</v>
      </c>
      <c r="AG5939">
        <v>-1.1123712619799999</v>
      </c>
      <c r="AH5939">
        <v>16.007223934446699</v>
      </c>
      <c r="AI5939">
        <v>93.906350335675398</v>
      </c>
      <c r="AJ5939">
        <v>100.695776568422</v>
      </c>
      <c r="AK5939">
        <v>16.328177490437199</v>
      </c>
      <c r="AL5939">
        <v>95.258987547209998</v>
      </c>
      <c r="AM5939">
        <v>102.50519100627</v>
      </c>
      <c r="AN5939">
        <v>0.99999998059247597</v>
      </c>
    </row>
    <row r="5940" spans="1:40" x14ac:dyDescent="0.25">
      <c r="A5940" t="str">
        <f>"20190305135047108"</f>
        <v>20190305135047108</v>
      </c>
      <c r="B5940" t="str">
        <f>"1551765047095713"</f>
        <v>1551765047095713</v>
      </c>
      <c r="C5940" t="s">
        <v>40</v>
      </c>
      <c r="D5940">
        <v>4.2389970000000003</v>
      </c>
      <c r="E5940">
        <v>0.51344749999999995</v>
      </c>
      <c r="F5940" t="s">
        <v>42</v>
      </c>
      <c r="G5940">
        <v>-394.54759999999999</v>
      </c>
      <c r="H5940" s="1">
        <v>-3.4218099999999999E-6</v>
      </c>
      <c r="I5940">
        <v>22.86336</v>
      </c>
      <c r="J5940">
        <v>-410.52809999999999</v>
      </c>
      <c r="K5940">
        <v>1.1119950000000001</v>
      </c>
      <c r="L5940">
        <v>27.584199999999999</v>
      </c>
      <c r="M5940">
        <v>0.88973089999999999</v>
      </c>
      <c r="N5940">
        <v>-1.8595609999999999E-2</v>
      </c>
      <c r="O5940">
        <v>-0.45610659999999997</v>
      </c>
      <c r="P5940">
        <v>0.96206849999999999</v>
      </c>
      <c r="Q5940">
        <v>-0.109184</v>
      </c>
      <c r="R5940">
        <v>-0.25000679999999997</v>
      </c>
      <c r="S5940">
        <v>2.8738100000000002</v>
      </c>
      <c r="T5940">
        <v>-0.19860630000000001</v>
      </c>
      <c r="U5940">
        <v>-0.85305789999999904</v>
      </c>
      <c r="V5940">
        <v>-0.2160135</v>
      </c>
      <c r="W5940">
        <v>-9.2047100000000007E-2</v>
      </c>
      <c r="X5940">
        <v>0.97204190000000001</v>
      </c>
      <c r="Y5940">
        <v>-0.18314459999999999</v>
      </c>
      <c r="Z5940">
        <v>2.867399E-2</v>
      </c>
      <c r="AA5940">
        <v>0.98266770000000003</v>
      </c>
      <c r="AB5940">
        <v>24</v>
      </c>
      <c r="AC5940">
        <v>15.980499999999999</v>
      </c>
      <c r="AD5940">
        <v>-1.1119984218100001</v>
      </c>
      <c r="AE5940">
        <v>-4.7208399999999902</v>
      </c>
      <c r="AF5940">
        <v>-3.0753724486726699</v>
      </c>
      <c r="AG5940">
        <v>-1.1119984218100001</v>
      </c>
      <c r="AH5940">
        <v>16.3017832373639</v>
      </c>
      <c r="AI5940">
        <v>93.834852166860003</v>
      </c>
      <c r="AJ5940">
        <v>100.683433650875</v>
      </c>
      <c r="AK5940">
        <v>16.6265628710856</v>
      </c>
      <c r="AL5940">
        <v>95.281386350186395</v>
      </c>
      <c r="AM5940">
        <v>102.529042998455</v>
      </c>
      <c r="AN5940">
        <v>0.99999997807813401</v>
      </c>
    </row>
    <row r="5941" spans="1:40" x14ac:dyDescent="0.25">
      <c r="A5941" t="str">
        <f>"20190305135047119"</f>
        <v>20190305135047119</v>
      </c>
      <c r="B5941" t="str">
        <f>"1551765047116209"</f>
        <v>1551765047116209</v>
      </c>
      <c r="C5941" t="s">
        <v>40</v>
      </c>
      <c r="D5941">
        <v>4.2102469999999999</v>
      </c>
      <c r="E5941">
        <v>0.51416770000000001</v>
      </c>
      <c r="F5941" t="s">
        <v>42</v>
      </c>
      <c r="G5941">
        <v>-394.3691</v>
      </c>
      <c r="H5941" s="1">
        <v>-3.4896340000000001E-6</v>
      </c>
      <c r="I5941">
        <v>22.80106</v>
      </c>
      <c r="J5941">
        <v>-410.43270000000001</v>
      </c>
      <c r="K5941">
        <v>1.1116820000000001</v>
      </c>
      <c r="L5941">
        <v>27.536829999999998</v>
      </c>
      <c r="M5941">
        <v>0.89012809999999898</v>
      </c>
      <c r="N5941">
        <v>-1.8563030000000001E-2</v>
      </c>
      <c r="O5941">
        <v>-0.45533249999999997</v>
      </c>
      <c r="P5941">
        <v>0.96200140000000001</v>
      </c>
      <c r="Q5941">
        <v>-0.1111992</v>
      </c>
      <c r="R5941">
        <v>-0.24937609999999999</v>
      </c>
      <c r="S5941">
        <v>2.874695</v>
      </c>
      <c r="T5941">
        <v>-0.197825</v>
      </c>
      <c r="U5941">
        <v>-0.85092159999999994</v>
      </c>
      <c r="V5941">
        <v>-0.21576119999999999</v>
      </c>
      <c r="W5941">
        <v>-9.3935039999999997E-2</v>
      </c>
      <c r="X5941">
        <v>0.97191729999999998</v>
      </c>
      <c r="Y5941">
        <v>-0.1830522</v>
      </c>
      <c r="Z5941">
        <v>2.850635E-2</v>
      </c>
      <c r="AA5941">
        <v>0.98268990000000001</v>
      </c>
      <c r="AB5941">
        <v>24</v>
      </c>
      <c r="AC5941">
        <v>16.063600000000001</v>
      </c>
      <c r="AD5941">
        <v>-1.111685489634</v>
      </c>
      <c r="AE5941">
        <v>-4.7357699999999898</v>
      </c>
      <c r="AF5941">
        <v>-3.08577365874392</v>
      </c>
      <c r="AG5941">
        <v>-1.111685489634</v>
      </c>
      <c r="AH5941">
        <v>16.385643578791601</v>
      </c>
      <c r="AI5941">
        <v>93.814442270561401</v>
      </c>
      <c r="AJ5941">
        <v>100.66513424154201</v>
      </c>
      <c r="AK5941">
        <v>16.710689967564399</v>
      </c>
      <c r="AL5941">
        <v>95.390028197825899</v>
      </c>
      <c r="AM5941">
        <v>102.516424430637</v>
      </c>
      <c r="AN5941">
        <v>0.99999996260226498</v>
      </c>
    </row>
    <row r="5942" spans="1:40" x14ac:dyDescent="0.25">
      <c r="A5942" t="str">
        <f>"20190305135047130"</f>
        <v>20190305135047130</v>
      </c>
      <c r="B5942" t="str">
        <f>"1551765047125969"</f>
        <v>1551765047125969</v>
      </c>
      <c r="C5942" t="s">
        <v>40</v>
      </c>
      <c r="D5942">
        <v>4.2500879999999999</v>
      </c>
      <c r="E5942">
        <v>0.51461400000000002</v>
      </c>
      <c r="F5942" t="s">
        <v>42</v>
      </c>
      <c r="G5942">
        <v>-394.47309999999999</v>
      </c>
      <c r="H5942" s="1">
        <v>-3.4373340000000002E-6</v>
      </c>
      <c r="I5942">
        <v>22.78931</v>
      </c>
      <c r="J5942">
        <v>-410.32159999999999</v>
      </c>
      <c r="K5942">
        <v>1.111324</v>
      </c>
      <c r="L5942">
        <v>27.481660000000002</v>
      </c>
      <c r="M5942">
        <v>0.89055119999999899</v>
      </c>
      <c r="N5942">
        <v>-1.8526040000000001E-2</v>
      </c>
      <c r="O5942">
        <v>-0.45450580000000002</v>
      </c>
      <c r="P5942">
        <v>0.96170940000000005</v>
      </c>
      <c r="Q5942">
        <v>-0.1138484</v>
      </c>
      <c r="R5942">
        <v>-0.24930659999999999</v>
      </c>
      <c r="S5942">
        <v>2.8737490000000001</v>
      </c>
      <c r="T5942">
        <v>-0.20017470000000001</v>
      </c>
      <c r="U5942">
        <v>-0.85485840000000002</v>
      </c>
      <c r="V5942">
        <v>-0.21486279999999999</v>
      </c>
      <c r="W5942">
        <v>-9.6433340000000006E-2</v>
      </c>
      <c r="X5942">
        <v>0.97187170000000001</v>
      </c>
      <c r="Y5942">
        <v>-0.1807937</v>
      </c>
      <c r="Z5942">
        <v>2.8813120000000001E-2</v>
      </c>
      <c r="AA5942">
        <v>0.9830989</v>
      </c>
      <c r="AB5942">
        <v>24</v>
      </c>
      <c r="AC5942">
        <v>15.8485</v>
      </c>
      <c r="AD5942">
        <v>-1.1113274373340001</v>
      </c>
      <c r="AE5942">
        <v>-4.6923499999999896</v>
      </c>
      <c r="AF5942">
        <v>-3.0113623958905</v>
      </c>
      <c r="AG5942">
        <v>-1.1113274373340001</v>
      </c>
      <c r="AH5942">
        <v>16.176258830049299</v>
      </c>
      <c r="AI5942">
        <v>93.863933600226702</v>
      </c>
      <c r="AJ5942">
        <v>100.54543441016401</v>
      </c>
      <c r="AK5942">
        <v>16.491655522994201</v>
      </c>
      <c r="AL5942">
        <v>95.533822919174895</v>
      </c>
      <c r="AM5942">
        <v>102.466506820502</v>
      </c>
      <c r="AN5942">
        <v>1.0000000065741399</v>
      </c>
    </row>
    <row r="5943" spans="1:40" x14ac:dyDescent="0.25">
      <c r="A5943" t="str">
        <f>"20190305135047141"</f>
        <v>20190305135047141</v>
      </c>
      <c r="B5943" t="str">
        <f>"1551765047135729"</f>
        <v>1551765047135729</v>
      </c>
      <c r="C5943" t="s">
        <v>40</v>
      </c>
      <c r="D5943">
        <v>4.2405229999999996</v>
      </c>
      <c r="E5943">
        <v>0.5151213</v>
      </c>
      <c r="F5943" t="s">
        <v>42</v>
      </c>
      <c r="G5943">
        <v>-394.8793</v>
      </c>
      <c r="H5943" s="1">
        <v>-3.2661540000000002E-6</v>
      </c>
      <c r="I5943">
        <v>22.867709999999999</v>
      </c>
      <c r="J5943">
        <v>-410.21050000000002</v>
      </c>
      <c r="K5943">
        <v>1.1109800000000001</v>
      </c>
      <c r="L5943">
        <v>27.42615</v>
      </c>
      <c r="M5943">
        <v>0.89078159999999895</v>
      </c>
      <c r="N5943">
        <v>-1.849197E-2</v>
      </c>
      <c r="O5943">
        <v>-0.4540556</v>
      </c>
      <c r="P5943">
        <v>0.96138429999999997</v>
      </c>
      <c r="Q5943">
        <v>-0.1158613</v>
      </c>
      <c r="R5943">
        <v>-0.2496333</v>
      </c>
      <c r="S5943">
        <v>2.872528</v>
      </c>
      <c r="T5943">
        <v>-0.2067263</v>
      </c>
      <c r="U5943">
        <v>-0.85827640000000005</v>
      </c>
      <c r="V5943">
        <v>-0.2140106</v>
      </c>
      <c r="W5943">
        <v>-9.8297519999999999E-2</v>
      </c>
      <c r="X5943">
        <v>0.97187299999999999</v>
      </c>
      <c r="Y5943">
        <v>-0.179039</v>
      </c>
      <c r="Z5943">
        <v>2.990402E-2</v>
      </c>
      <c r="AA5943">
        <v>0.98338740000000002</v>
      </c>
      <c r="AB5943">
        <v>24</v>
      </c>
      <c r="AC5943">
        <v>15.331200000000001</v>
      </c>
      <c r="AD5943">
        <v>-1.11098326615399</v>
      </c>
      <c r="AE5943">
        <v>-4.55844</v>
      </c>
      <c r="AF5943">
        <v>-2.88720840556305</v>
      </c>
      <c r="AG5943">
        <v>-1.11098326615399</v>
      </c>
      <c r="AH5943">
        <v>15.653698592925799</v>
      </c>
      <c r="AI5943">
        <v>93.992502428705293</v>
      </c>
      <c r="AJ5943">
        <v>100.450333624493</v>
      </c>
      <c r="AK5943">
        <v>15.9564574963554</v>
      </c>
      <c r="AL5943">
        <v>95.641142334605405</v>
      </c>
      <c r="AM5943">
        <v>102.418582416104</v>
      </c>
      <c r="AN5943">
        <v>1.0000000337397501</v>
      </c>
    </row>
    <row r="5944" spans="1:40" x14ac:dyDescent="0.25">
      <c r="A5944" t="str">
        <f>"20190305135047153"</f>
        <v>20190305135047153</v>
      </c>
      <c r="B5944" t="str">
        <f>"1551765047146466"</f>
        <v>1551765047146466</v>
      </c>
      <c r="C5944" t="s">
        <v>40</v>
      </c>
      <c r="D5944">
        <v>4.2745319999999998</v>
      </c>
      <c r="E5944">
        <v>0.51563009999999998</v>
      </c>
      <c r="F5944" t="s">
        <v>42</v>
      </c>
      <c r="G5944">
        <v>-395.04809999999998</v>
      </c>
      <c r="H5944" s="1">
        <v>-3.1862020000000001E-6</v>
      </c>
      <c r="I5944">
        <v>22.86703</v>
      </c>
      <c r="J5944">
        <v>-410.11219999999997</v>
      </c>
      <c r="K5944">
        <v>1.1106819999999999</v>
      </c>
      <c r="L5944">
        <v>27.376919999999998</v>
      </c>
      <c r="M5944">
        <v>0.89094130000000005</v>
      </c>
      <c r="N5944">
        <v>-1.846335E-2</v>
      </c>
      <c r="O5944">
        <v>-0.45374320000000001</v>
      </c>
      <c r="P5944">
        <v>0.96111150000000001</v>
      </c>
      <c r="Q5944">
        <v>-0.117378</v>
      </c>
      <c r="R5944">
        <v>-0.2499738</v>
      </c>
      <c r="S5944">
        <v>2.8710330000000002</v>
      </c>
      <c r="T5944">
        <v>-0.2103672</v>
      </c>
      <c r="U5944">
        <v>-0.86328130000000003</v>
      </c>
      <c r="V5944">
        <v>-0.21331269999999999</v>
      </c>
      <c r="W5944">
        <v>-9.9685689999999993E-2</v>
      </c>
      <c r="X5944">
        <v>0.971885</v>
      </c>
      <c r="Y5944">
        <v>-0.17694409999999999</v>
      </c>
      <c r="Z5944">
        <v>3.046188E-2</v>
      </c>
      <c r="AA5944">
        <v>0.9837494</v>
      </c>
      <c r="AB5944">
        <v>24</v>
      </c>
      <c r="AC5944">
        <v>15.0640999999999</v>
      </c>
      <c r="AD5944">
        <v>-1.110685186202</v>
      </c>
      <c r="AE5944">
        <v>-4.5098900000000004</v>
      </c>
      <c r="AF5944">
        <v>-2.8036780537050401</v>
      </c>
      <c r="AG5944">
        <v>-1.110685186202</v>
      </c>
      <c r="AH5944">
        <v>15.393398082854899</v>
      </c>
      <c r="AI5944">
        <v>94.060361227441405</v>
      </c>
      <c r="AJ5944">
        <v>100.32242234</v>
      </c>
      <c r="AK5944">
        <v>15.686010861558101</v>
      </c>
      <c r="AL5944">
        <v>95.721071409376506</v>
      </c>
      <c r="AM5944">
        <v>102.37918718703401</v>
      </c>
      <c r="AN5944">
        <v>0.99999999899853298</v>
      </c>
    </row>
    <row r="5945" spans="1:40" x14ac:dyDescent="0.25">
      <c r="A5945" t="str">
        <f>"20190305135047164"</f>
        <v>20190305135047164</v>
      </c>
      <c r="B5945" t="str">
        <f>"1551765047156225"</f>
        <v>1551765047156225</v>
      </c>
      <c r="C5945" t="s">
        <v>40</v>
      </c>
      <c r="D5945">
        <v>4.268942</v>
      </c>
      <c r="E5945">
        <v>0.51615259999999996</v>
      </c>
      <c r="F5945" t="s">
        <v>42</v>
      </c>
      <c r="G5945">
        <v>-395.1635</v>
      </c>
      <c r="H5945" s="1">
        <v>-3.1281880000000001E-6</v>
      </c>
      <c r="I5945">
        <v>22.853960000000001</v>
      </c>
      <c r="J5945">
        <v>-409.9991</v>
      </c>
      <c r="K5945">
        <v>1.1103670000000001</v>
      </c>
      <c r="L5945">
        <v>27.32001</v>
      </c>
      <c r="M5945">
        <v>0.89099699999999904</v>
      </c>
      <c r="N5945">
        <v>-1.8434059999999999E-2</v>
      </c>
      <c r="O5945">
        <v>-0.45363490000000001</v>
      </c>
      <c r="P5945">
        <v>0.96086000000000005</v>
      </c>
      <c r="Q5945">
        <v>-0.118476</v>
      </c>
      <c r="R5945">
        <v>-0.25042340000000002</v>
      </c>
      <c r="S5945">
        <v>2.8695369999999998</v>
      </c>
      <c r="T5945">
        <v>-0.21320629999999999</v>
      </c>
      <c r="U5945">
        <v>-0.86822509999999997</v>
      </c>
      <c r="V5945">
        <v>-0.21275769999999999</v>
      </c>
      <c r="W5945">
        <v>-0.1006433</v>
      </c>
      <c r="X5945">
        <v>0.97190799999999999</v>
      </c>
      <c r="Y5945">
        <v>-0.1751009</v>
      </c>
      <c r="Z5945">
        <v>3.089546E-2</v>
      </c>
      <c r="AA5945">
        <v>0.98406559999999998</v>
      </c>
      <c r="AB5945">
        <v>23</v>
      </c>
      <c r="AC5945">
        <v>14.835599999999999</v>
      </c>
      <c r="AD5945">
        <v>-1.1103701281880001</v>
      </c>
      <c r="AE5945">
        <v>-4.4660499999999903</v>
      </c>
      <c r="AF5945">
        <v>-2.7371174605269299</v>
      </c>
      <c r="AG5945">
        <v>-1.1103701281880001</v>
      </c>
      <c r="AH5945">
        <v>15.169108182007299</v>
      </c>
      <c r="AI5945">
        <v>94.120248903472401</v>
      </c>
      <c r="AJ5945">
        <v>100.228403911889</v>
      </c>
      <c r="AK5945">
        <v>15.454014910428199</v>
      </c>
      <c r="AL5945">
        <v>95.776215531976206</v>
      </c>
      <c r="AM5945">
        <v>102.34768489059201</v>
      </c>
      <c r="AN5945">
        <v>1.00000003660408</v>
      </c>
    </row>
    <row r="5946" spans="1:40" x14ac:dyDescent="0.25">
      <c r="A5946" t="str">
        <f>"20190305135047175"</f>
        <v>20190305135047175</v>
      </c>
      <c r="B5946" t="str">
        <f>"1551765047165985"</f>
        <v>1551765047165985</v>
      </c>
      <c r="C5946" t="s">
        <v>40</v>
      </c>
      <c r="D5946">
        <v>4.2506640000000004</v>
      </c>
      <c r="E5946">
        <v>0.51665169999999905</v>
      </c>
      <c r="F5946" t="s">
        <v>42</v>
      </c>
      <c r="G5946">
        <v>-395.14530000000002</v>
      </c>
      <c r="H5946" s="1">
        <v>-3.1214069999999999E-6</v>
      </c>
      <c r="I5946">
        <v>22.796150000000001</v>
      </c>
      <c r="J5946">
        <v>-409.89800000000002</v>
      </c>
      <c r="K5946">
        <v>1.1101030000000001</v>
      </c>
      <c r="L5946">
        <v>27.26886</v>
      </c>
      <c r="M5946">
        <v>0.89096589999999998</v>
      </c>
      <c r="N5946">
        <v>-1.8409600000000002E-2</v>
      </c>
      <c r="O5946">
        <v>-0.45369680000000001</v>
      </c>
      <c r="P5946">
        <v>0.96059439999999996</v>
      </c>
      <c r="Q5946">
        <v>-0.11961579999999999</v>
      </c>
      <c r="R5946">
        <v>-0.2508995</v>
      </c>
      <c r="S5946">
        <v>2.8681030000000001</v>
      </c>
      <c r="T5946">
        <v>-0.2143996</v>
      </c>
      <c r="U5946">
        <v>-0.87350459999999996</v>
      </c>
      <c r="V5946">
        <v>-0.2123486</v>
      </c>
      <c r="W5946">
        <v>-0.1016647</v>
      </c>
      <c r="X5946">
        <v>0.97189110000000001</v>
      </c>
      <c r="Y5946">
        <v>-0.1733645</v>
      </c>
      <c r="Z5946">
        <v>3.104552E-2</v>
      </c>
      <c r="AA5946">
        <v>0.98436829999999997</v>
      </c>
      <c r="AB5946">
        <v>23</v>
      </c>
      <c r="AC5946">
        <v>14.752700000000001</v>
      </c>
      <c r="AD5946">
        <v>-1.110106121407</v>
      </c>
      <c r="AE5946">
        <v>-4.4727099999999904</v>
      </c>
      <c r="AF5946">
        <v>-2.6947062463083702</v>
      </c>
      <c r="AG5946">
        <v>-1.110106121407</v>
      </c>
      <c r="AH5946">
        <v>15.0976891759304</v>
      </c>
      <c r="AI5946">
        <v>94.140093619151699</v>
      </c>
      <c r="AJ5946">
        <v>100.119854942812</v>
      </c>
      <c r="AK5946">
        <v>15.3764103680828</v>
      </c>
      <c r="AL5946">
        <v>95.835039523454697</v>
      </c>
      <c r="AM5946">
        <v>102.324876281234</v>
      </c>
      <c r="AN5946">
        <v>0.999999974703629</v>
      </c>
    </row>
    <row r="5947" spans="1:40" x14ac:dyDescent="0.25">
      <c r="A5947" t="str">
        <f>"20190305135047186"</f>
        <v>20190305135047186</v>
      </c>
      <c r="B5947" t="str">
        <f>"1551765047175745"</f>
        <v>1551765047175745</v>
      </c>
      <c r="C5947" t="s">
        <v>40</v>
      </c>
      <c r="D5947">
        <v>4.2518949999999904</v>
      </c>
      <c r="E5947">
        <v>0.51716640000000003</v>
      </c>
      <c r="F5947" t="s">
        <v>42</v>
      </c>
      <c r="G5947">
        <v>-395.14839999999998</v>
      </c>
      <c r="H5947" s="1">
        <v>-3.1068079999999999E-6</v>
      </c>
      <c r="I5947">
        <v>22.746870000000001</v>
      </c>
      <c r="J5947">
        <v>-409.79649999999998</v>
      </c>
      <c r="K5947">
        <v>1.109847</v>
      </c>
      <c r="L5947">
        <v>27.217320000000001</v>
      </c>
      <c r="M5947">
        <v>0.890868199999999</v>
      </c>
      <c r="N5947">
        <v>-1.838629E-2</v>
      </c>
      <c r="O5947">
        <v>-0.4538895</v>
      </c>
      <c r="P5947">
        <v>0.96018380000000003</v>
      </c>
      <c r="Q5947">
        <v>-0.1204129</v>
      </c>
      <c r="R5947">
        <v>-0.25208720000000001</v>
      </c>
      <c r="S5947">
        <v>2.8666689999999999</v>
      </c>
      <c r="T5947">
        <v>-0.21575569999999999</v>
      </c>
      <c r="U5947">
        <v>-0.87887569999999904</v>
      </c>
      <c r="V5947">
        <v>-0.2113794</v>
      </c>
      <c r="W5947">
        <v>-0.1023464</v>
      </c>
      <c r="X5947">
        <v>0.97203079999999997</v>
      </c>
      <c r="Y5947">
        <v>-0.17174139999999999</v>
      </c>
      <c r="Z5947">
        <v>3.1234000000000001E-2</v>
      </c>
      <c r="AA5947">
        <v>0.98464680000000004</v>
      </c>
      <c r="AB5947">
        <v>23</v>
      </c>
      <c r="AC5947">
        <v>14.648099999999999</v>
      </c>
      <c r="AD5947">
        <v>-1.109850106808</v>
      </c>
      <c r="AE5947">
        <v>-4.4704499999999996</v>
      </c>
      <c r="AF5947">
        <v>-2.6525578251927699</v>
      </c>
      <c r="AG5947">
        <v>-1.109850106808</v>
      </c>
      <c r="AH5947">
        <v>15.0023808261131</v>
      </c>
      <c r="AI5947">
        <v>94.166543216158104</v>
      </c>
      <c r="AJ5947">
        <v>100.02678962569701</v>
      </c>
      <c r="AK5947">
        <v>15.2754463347982</v>
      </c>
      <c r="AL5947">
        <v>95.874302971224296</v>
      </c>
      <c r="AM5947">
        <v>102.268621081722</v>
      </c>
      <c r="AN5947">
        <v>0.99999995624297899</v>
      </c>
    </row>
    <row r="5948" spans="1:40" x14ac:dyDescent="0.25">
      <c r="A5948" t="str">
        <f>"20190305135047199"</f>
        <v>20190305135047199</v>
      </c>
      <c r="B5948" t="str">
        <f>"1551765047196241"</f>
        <v>1551765047196241</v>
      </c>
      <c r="C5948" t="s">
        <v>40</v>
      </c>
      <c r="D5948">
        <v>4.2449599999999998</v>
      </c>
      <c r="E5948">
        <v>0.51821980000000001</v>
      </c>
      <c r="F5948" t="s">
        <v>42</v>
      </c>
      <c r="G5948">
        <v>-395.04739999999998</v>
      </c>
      <c r="H5948" s="1">
        <v>-3.129867E-6</v>
      </c>
      <c r="I5948">
        <v>22.654109999999999</v>
      </c>
      <c r="J5948">
        <v>-409.68389999999999</v>
      </c>
      <c r="K5948">
        <v>1.109588</v>
      </c>
      <c r="L5948">
        <v>27.159700000000001</v>
      </c>
      <c r="M5948">
        <v>0.89064359999999998</v>
      </c>
      <c r="N5948">
        <v>-1.8362380000000001E-2</v>
      </c>
      <c r="O5948">
        <v>-0.4543314</v>
      </c>
      <c r="P5948">
        <v>0.95954759999999995</v>
      </c>
      <c r="Q5948">
        <v>-0.12084</v>
      </c>
      <c r="R5948">
        <v>-0.25429550000000001</v>
      </c>
      <c r="S5948">
        <v>2.864655</v>
      </c>
      <c r="T5948">
        <v>-0.21556130000000001</v>
      </c>
      <c r="U5948">
        <v>-0.88629150000000001</v>
      </c>
      <c r="V5948">
        <v>-0.20967230000000001</v>
      </c>
      <c r="W5948">
        <v>-0.1026542</v>
      </c>
      <c r="X5948">
        <v>0.97236809999999996</v>
      </c>
      <c r="Y5948">
        <v>-0.1697147</v>
      </c>
      <c r="Z5948">
        <v>3.114403E-2</v>
      </c>
      <c r="AA5948">
        <v>0.98500100000000002</v>
      </c>
      <c r="AB5948">
        <v>23</v>
      </c>
      <c r="AC5948">
        <v>14.6365</v>
      </c>
      <c r="AD5948">
        <v>-1.109591129867</v>
      </c>
      <c r="AE5948">
        <v>-4.5055899999999998</v>
      </c>
      <c r="AF5948">
        <v>-2.6236178839847502</v>
      </c>
      <c r="AG5948">
        <v>-1.109591129867</v>
      </c>
      <c r="AH5948">
        <v>15.006697604121999</v>
      </c>
      <c r="AI5948">
        <v>94.165781415738294</v>
      </c>
      <c r="AJ5948">
        <v>99.916783053955697</v>
      </c>
      <c r="AK5948">
        <v>15.274669759382901</v>
      </c>
      <c r="AL5948">
        <v>95.892031496804094</v>
      </c>
      <c r="AM5948">
        <v>102.16840911190999</v>
      </c>
      <c r="AN5948">
        <v>1.0000000400312601</v>
      </c>
    </row>
    <row r="5949" spans="1:40" x14ac:dyDescent="0.25">
      <c r="A5949" t="str">
        <f>"20190305135047212"</f>
        <v>20190305135047212</v>
      </c>
      <c r="B5949" t="str">
        <f>"1551765047206001"</f>
        <v>1551765047206001</v>
      </c>
      <c r="C5949" t="s">
        <v>40</v>
      </c>
      <c r="D5949">
        <v>4.2919280000000004</v>
      </c>
      <c r="E5949">
        <v>0.51867419999999997</v>
      </c>
      <c r="F5949" t="s">
        <v>42</v>
      </c>
      <c r="G5949">
        <v>-394.72539999999998</v>
      </c>
      <c r="H5949" s="1">
        <v>-3.2273739999999999E-6</v>
      </c>
      <c r="I5949">
        <v>22.448530000000002</v>
      </c>
      <c r="J5949">
        <v>-409.56279999999998</v>
      </c>
      <c r="K5949">
        <v>1.109321</v>
      </c>
      <c r="L5949">
        <v>27.097529999999999</v>
      </c>
      <c r="M5949">
        <v>0.89033410000000002</v>
      </c>
      <c r="N5949">
        <v>-1.833779E-2</v>
      </c>
      <c r="O5949">
        <v>-0.45493830000000002</v>
      </c>
      <c r="P5949">
        <v>0.95883240000000003</v>
      </c>
      <c r="Q5949">
        <v>-0.12003030000000001</v>
      </c>
      <c r="R5949">
        <v>-0.25735849999999999</v>
      </c>
      <c r="S5949">
        <v>2.8609619999999998</v>
      </c>
      <c r="T5949">
        <v>-0.2122214</v>
      </c>
      <c r="U5949">
        <v>-0.90106200000000003</v>
      </c>
      <c r="V5949">
        <v>-0.20734739999999999</v>
      </c>
      <c r="W5949">
        <v>-0.1017217</v>
      </c>
      <c r="X5949">
        <v>0.97296439999999995</v>
      </c>
      <c r="Y5949">
        <v>-0.16544220000000001</v>
      </c>
      <c r="Z5949">
        <v>3.0410070000000001E-2</v>
      </c>
      <c r="AA5949">
        <v>0.98575060000000003</v>
      </c>
      <c r="AB5949">
        <v>23</v>
      </c>
      <c r="AC5949">
        <v>14.837400000000001</v>
      </c>
      <c r="AD5949">
        <v>-1.109324227374</v>
      </c>
      <c r="AE5949">
        <v>-4.649</v>
      </c>
      <c r="AF5949">
        <v>-2.5981525290716001</v>
      </c>
      <c r="AG5949">
        <v>-1.109324227374</v>
      </c>
      <c r="AH5949">
        <v>15.2502035317408</v>
      </c>
      <c r="AI5949">
        <v>94.101566013492999</v>
      </c>
      <c r="AJ5949">
        <v>99.668558052295694</v>
      </c>
      <c r="AK5949">
        <v>15.509664875982301</v>
      </c>
      <c r="AL5949">
        <v>95.838322335260102</v>
      </c>
      <c r="AM5949">
        <v>102.03027677263999</v>
      </c>
      <c r="AN5949">
        <v>0.99999998610250496</v>
      </c>
    </row>
    <row r="5950" spans="1:40" x14ac:dyDescent="0.25">
      <c r="A5950" t="str">
        <f>"20190305135047225"</f>
        <v>20190305135047225</v>
      </c>
      <c r="B5950" t="str">
        <f>"1551765047215761"</f>
        <v>1551765047215761</v>
      </c>
      <c r="C5950" t="s">
        <v>40</v>
      </c>
      <c r="D5950">
        <v>4.2751549999999998</v>
      </c>
      <c r="E5950">
        <v>0.51907349999999997</v>
      </c>
      <c r="F5950" t="s">
        <v>42</v>
      </c>
      <c r="G5950">
        <v>-394.322</v>
      </c>
      <c r="H5950" s="1">
        <v>-3.3582720000000002E-6</v>
      </c>
      <c r="I5950">
        <v>22.223769999999998</v>
      </c>
      <c r="J5950">
        <v>-409.44060000000002</v>
      </c>
      <c r="K5950">
        <v>1.1090850000000001</v>
      </c>
      <c r="L5950">
        <v>27.034210000000002</v>
      </c>
      <c r="M5950">
        <v>0.88989609999999997</v>
      </c>
      <c r="N5950">
        <v>-1.831605E-2</v>
      </c>
      <c r="O5950">
        <v>-0.45579570000000003</v>
      </c>
      <c r="P5950">
        <v>0.9580263</v>
      </c>
      <c r="Q5950">
        <v>-0.11844159999999999</v>
      </c>
      <c r="R5950">
        <v>-0.26107019999999997</v>
      </c>
      <c r="S5950">
        <v>2.857513</v>
      </c>
      <c r="T5950">
        <v>-0.20798849999999999</v>
      </c>
      <c r="U5950">
        <v>-0.91378780000000004</v>
      </c>
      <c r="V5950">
        <v>-0.2046684</v>
      </c>
      <c r="W5950">
        <v>-0.10002270000000001</v>
      </c>
      <c r="X5950">
        <v>0.97370749999999995</v>
      </c>
      <c r="Y5950">
        <v>-0.1621175</v>
      </c>
      <c r="Z5950">
        <v>2.9575629999999999E-2</v>
      </c>
      <c r="AA5950">
        <v>0.98632810000000004</v>
      </c>
      <c r="AB5950">
        <v>23</v>
      </c>
      <c r="AC5950">
        <v>15.118600000000001</v>
      </c>
      <c r="AD5950">
        <v>-1.1090883582719999</v>
      </c>
      <c r="AE5950">
        <v>-4.8104399999999901</v>
      </c>
      <c r="AF5950">
        <v>-2.5979429500988598</v>
      </c>
      <c r="AG5950">
        <v>-1.1090883582719999</v>
      </c>
      <c r="AH5950">
        <v>15.5730810750423</v>
      </c>
      <c r="AI5950">
        <v>94.0182854174395</v>
      </c>
      <c r="AJ5950">
        <v>99.471018690416699</v>
      </c>
      <c r="AK5950">
        <v>15.8271993330552</v>
      </c>
      <c r="AL5950">
        <v>95.740477673926605</v>
      </c>
      <c r="AM5950">
        <v>101.870476771234</v>
      </c>
      <c r="AN5950">
        <v>0.99999999501504899</v>
      </c>
    </row>
    <row r="5951" spans="1:40" x14ac:dyDescent="0.25">
      <c r="A5951" t="str">
        <f>"20190305135047242"</f>
        <v>20190305135047242</v>
      </c>
      <c r="B5951" t="str">
        <f>"1551765047236257"</f>
        <v>1551765047236257</v>
      </c>
      <c r="C5951" t="s">
        <v>40</v>
      </c>
      <c r="D5951">
        <v>4.2985350000000002</v>
      </c>
      <c r="E5951">
        <v>0.53268919999999997</v>
      </c>
      <c r="F5951" t="s">
        <v>42</v>
      </c>
      <c r="G5951">
        <v>-393.73270000000002</v>
      </c>
      <c r="H5951" s="1">
        <v>-3.557515E-6</v>
      </c>
      <c r="I5951">
        <v>21.925640000000001</v>
      </c>
      <c r="J5951">
        <v>-409.2919</v>
      </c>
      <c r="K5951">
        <v>1.108846</v>
      </c>
      <c r="L5951">
        <v>26.956669999999999</v>
      </c>
      <c r="M5951">
        <v>0.88925219999999905</v>
      </c>
      <c r="N5951">
        <v>-1.8279340000000002E-2</v>
      </c>
      <c r="O5951">
        <v>-0.45705240000000003</v>
      </c>
      <c r="P5951">
        <v>0.95660319999999999</v>
      </c>
      <c r="Q5951">
        <v>-0.1153636</v>
      </c>
      <c r="R5951">
        <v>-0.26758569999999998</v>
      </c>
      <c r="S5951">
        <v>2.8536380000000001</v>
      </c>
      <c r="T5951">
        <v>-0.20148740000000001</v>
      </c>
      <c r="U5951">
        <v>-0.92807010000000001</v>
      </c>
      <c r="V5951">
        <v>-0.19964889999999999</v>
      </c>
      <c r="W5951">
        <v>-9.6840789999999996E-2</v>
      </c>
      <c r="X5951">
        <v>0.9750704</v>
      </c>
      <c r="Y5951">
        <v>-0.1587276</v>
      </c>
      <c r="Z5951">
        <v>2.836584E-2</v>
      </c>
      <c r="AA5951">
        <v>0.98691490000000004</v>
      </c>
      <c r="AB5951">
        <v>23</v>
      </c>
      <c r="AC5951">
        <v>15.559199999999899</v>
      </c>
      <c r="AD5951">
        <v>-1.1088495575149999</v>
      </c>
      <c r="AE5951">
        <v>-5.0310300000000003</v>
      </c>
      <c r="AF5951">
        <v>-2.62588107501099</v>
      </c>
      <c r="AG5951">
        <v>-1.1088495575149999</v>
      </c>
      <c r="AH5951">
        <v>16.064323171756399</v>
      </c>
      <c r="AI5951">
        <v>93.897054884946201</v>
      </c>
      <c r="AJ5951">
        <v>99.283490606402196</v>
      </c>
      <c r="AK5951">
        <v>16.315246787221199</v>
      </c>
      <c r="AL5951">
        <v>95.557277599897702</v>
      </c>
      <c r="AM5951">
        <v>101.571561766635</v>
      </c>
      <c r="AN5951">
        <v>1.0000000534175899</v>
      </c>
    </row>
    <row r="5952" spans="1:40" x14ac:dyDescent="0.25">
      <c r="A5952" t="str">
        <f>"20190305135047252"</f>
        <v>20190305135047252</v>
      </c>
      <c r="B5952" t="str">
        <f>"1551765047246018"</f>
        <v>1551765047246018</v>
      </c>
      <c r="C5952" t="s">
        <v>40</v>
      </c>
      <c r="D5952">
        <v>4.29725</v>
      </c>
      <c r="E5952">
        <v>0.5331941</v>
      </c>
      <c r="F5952" t="s">
        <v>98</v>
      </c>
      <c r="G5952">
        <v>-386.0453</v>
      </c>
      <c r="H5952" s="1">
        <v>-2.1020989999999999E-6</v>
      </c>
      <c r="I5952">
        <v>18.307079999999999</v>
      </c>
      <c r="J5952">
        <v>-409.18880000000001</v>
      </c>
      <c r="K5952">
        <v>1.1086860000000001</v>
      </c>
      <c r="L5952">
        <v>26.90259</v>
      </c>
      <c r="M5952">
        <v>0.88875139999999997</v>
      </c>
      <c r="N5952">
        <v>-1.824926E-2</v>
      </c>
      <c r="O5952">
        <v>-0.4580263</v>
      </c>
      <c r="P5952">
        <v>0.95584639999999998</v>
      </c>
      <c r="Q5952">
        <v>-0.1142146</v>
      </c>
      <c r="R5952">
        <v>-0.2707637</v>
      </c>
      <c r="S5952">
        <v>2.825806</v>
      </c>
      <c r="T5952">
        <v>-0.13478889999999999</v>
      </c>
      <c r="U5952">
        <v>-1.0514220000000001</v>
      </c>
      <c r="V5952">
        <v>-0.1975769</v>
      </c>
      <c r="W5952">
        <v>-9.5639009999999997E-2</v>
      </c>
      <c r="X5952">
        <v>0.97561089999999995</v>
      </c>
      <c r="Y5952">
        <v>-0.1190681</v>
      </c>
      <c r="Z5952">
        <v>1.5450729999999999E-2</v>
      </c>
      <c r="AA5952">
        <v>0.99276580000000003</v>
      </c>
      <c r="AB5952">
        <v>23</v>
      </c>
      <c r="AC5952">
        <v>23.1435</v>
      </c>
      <c r="AD5952">
        <v>-1.108688102099</v>
      </c>
      <c r="AE5952">
        <v>-8.5955100000000009</v>
      </c>
      <c r="AF5952">
        <v>-2.9555925042328899</v>
      </c>
      <c r="AG5952">
        <v>-1.108688102099</v>
      </c>
      <c r="AH5952">
        <v>24.4605375150702</v>
      </c>
      <c r="AI5952">
        <v>92.576473582296103</v>
      </c>
      <c r="AJ5952">
        <v>96.889708681335406</v>
      </c>
      <c r="AK5952">
        <v>24.663386058791001</v>
      </c>
      <c r="AL5952">
        <v>95.488099638842399</v>
      </c>
      <c r="AM5952">
        <v>101.44848156345</v>
      </c>
      <c r="AN5952">
        <v>1.0000000399230899</v>
      </c>
    </row>
    <row r="5953" spans="1:40" x14ac:dyDescent="0.25">
      <c r="A5953" t="str">
        <f>"20190305135047263"</f>
        <v>20190305135047263</v>
      </c>
      <c r="B5953" t="str">
        <f>"1551765047255777"</f>
        <v>1551765047255777</v>
      </c>
      <c r="C5953" t="s">
        <v>40</v>
      </c>
      <c r="D5953">
        <v>4.2827479999999998</v>
      </c>
      <c r="E5953">
        <v>0.532682199999999</v>
      </c>
      <c r="F5953" t="s">
        <v>98</v>
      </c>
      <c r="G5953">
        <v>-384.44670000000002</v>
      </c>
      <c r="H5953" s="1">
        <v>-2.988504E-6</v>
      </c>
      <c r="I5953">
        <v>17.570029999999999</v>
      </c>
      <c r="J5953">
        <v>-409.08769999999998</v>
      </c>
      <c r="K5953">
        <v>1.1085480000000001</v>
      </c>
      <c r="L5953">
        <v>26.849150000000002</v>
      </c>
      <c r="M5953">
        <v>0.88819749999999997</v>
      </c>
      <c r="N5953">
        <v>-1.8215209999999999E-2</v>
      </c>
      <c r="O5953">
        <v>-0.45910099999999998</v>
      </c>
      <c r="P5953">
        <v>0.95498620000000001</v>
      </c>
      <c r="Q5953">
        <v>-0.113870899999999</v>
      </c>
      <c r="R5953">
        <v>-0.27392539999999999</v>
      </c>
      <c r="S5953">
        <v>2.8219599999999998</v>
      </c>
      <c r="T5953">
        <v>-0.12645129999999999</v>
      </c>
      <c r="U5953">
        <v>-1.0644229999999999</v>
      </c>
      <c r="V5953">
        <v>-0.19558130000000001</v>
      </c>
      <c r="W5953">
        <v>-9.5262429999999995E-2</v>
      </c>
      <c r="X5953">
        <v>0.97604970000000002</v>
      </c>
      <c r="Y5953">
        <v>-0.1158637</v>
      </c>
      <c r="Z5953">
        <v>1.398303E-2</v>
      </c>
      <c r="AA5953">
        <v>0.99316669999999996</v>
      </c>
      <c r="AB5953">
        <v>23</v>
      </c>
      <c r="AC5953">
        <v>24.640999999999899</v>
      </c>
      <c r="AD5953">
        <v>-1.1085509885039999</v>
      </c>
      <c r="AE5953">
        <v>-9.2791200000000007</v>
      </c>
      <c r="AF5953">
        <v>-3.06609081642946</v>
      </c>
      <c r="AG5953">
        <v>-1.1085509885039999</v>
      </c>
      <c r="AH5953">
        <v>26.1041909454596</v>
      </c>
      <c r="AI5953">
        <v>92.415102064823401</v>
      </c>
      <c r="AJ5953">
        <v>96.699032578113204</v>
      </c>
      <c r="AK5953">
        <v>26.307006350128901</v>
      </c>
      <c r="AL5953">
        <v>95.466424468275804</v>
      </c>
      <c r="AM5953">
        <v>101.330891962979</v>
      </c>
      <c r="AN5953">
        <v>0.99999999617464197</v>
      </c>
    </row>
    <row r="5954" spans="1:40" x14ac:dyDescent="0.25">
      <c r="A5954" t="str">
        <f>"20190305135047274"</f>
        <v>20190305135047274</v>
      </c>
      <c r="B5954" t="str">
        <f>"1551765047265538"</f>
        <v>1551765047265538</v>
      </c>
      <c r="C5954" t="s">
        <v>40</v>
      </c>
      <c r="D5954">
        <v>4.3058019999999999</v>
      </c>
      <c r="E5954">
        <v>0.53256780000000004</v>
      </c>
      <c r="F5954" t="s">
        <v>98</v>
      </c>
      <c r="G5954">
        <v>-384.34679999999997</v>
      </c>
      <c r="H5954" s="1">
        <v>-3.0549959999999999E-6</v>
      </c>
      <c r="I5954">
        <v>17.461379999999998</v>
      </c>
      <c r="J5954">
        <v>-408.99270000000001</v>
      </c>
      <c r="K5954">
        <v>1.1084290000000001</v>
      </c>
      <c r="L5954">
        <v>26.79871</v>
      </c>
      <c r="M5954">
        <v>0.88764639999999995</v>
      </c>
      <c r="N5954">
        <v>-1.8184079999999998E-2</v>
      </c>
      <c r="O5954">
        <v>-0.46016620000000003</v>
      </c>
      <c r="P5954">
        <v>0.95397410000000005</v>
      </c>
      <c r="Q5954">
        <v>-0.1144271</v>
      </c>
      <c r="R5954">
        <v>-0.27719959999999999</v>
      </c>
      <c r="S5954">
        <v>2.819458</v>
      </c>
      <c r="T5954">
        <v>-0.12632979999999999</v>
      </c>
      <c r="U5954">
        <v>-1.0698240000000001</v>
      </c>
      <c r="V5954">
        <v>-0.19340669999999999</v>
      </c>
      <c r="W5954">
        <v>-9.5797480000000004E-2</v>
      </c>
      <c r="X5954">
        <v>0.97643060000000004</v>
      </c>
      <c r="Y5954">
        <v>-0.1151006</v>
      </c>
      <c r="Z5954">
        <v>1.3980960000000001E-2</v>
      </c>
      <c r="AA5954">
        <v>0.99325540000000001</v>
      </c>
      <c r="AB5954">
        <v>23</v>
      </c>
      <c r="AC5954">
        <v>24.645900000000001</v>
      </c>
      <c r="AD5954">
        <v>-1.1084320549959901</v>
      </c>
      <c r="AE5954">
        <v>-9.3373299999999908</v>
      </c>
      <c r="AF5954">
        <v>-3.0480766348500801</v>
      </c>
      <c r="AG5954">
        <v>-1.1084320549959901</v>
      </c>
      <c r="AH5954">
        <v>26.131678249858101</v>
      </c>
      <c r="AI5954">
        <v>92.412532320116</v>
      </c>
      <c r="AJ5954">
        <v>96.653085712538001</v>
      </c>
      <c r="AK5954">
        <v>26.3321856469714</v>
      </c>
      <c r="AL5954">
        <v>95.4972213326527</v>
      </c>
      <c r="AM5954">
        <v>101.20385283230701</v>
      </c>
      <c r="AN5954">
        <v>1.0000000126977999</v>
      </c>
    </row>
    <row r="5955" spans="1:40" x14ac:dyDescent="0.25">
      <c r="A5955" t="str">
        <f>"20190305135047286"</f>
        <v>20190305135047286</v>
      </c>
      <c r="B5955" t="str">
        <f>"1551765047276273"</f>
        <v>1551765047276273</v>
      </c>
      <c r="C5955" t="s">
        <v>40</v>
      </c>
      <c r="D5955">
        <v>4.1941230000000003</v>
      </c>
      <c r="E5955">
        <v>0.53256780000000004</v>
      </c>
      <c r="F5955" t="s">
        <v>98</v>
      </c>
      <c r="G5955">
        <v>-385.24829999999997</v>
      </c>
      <c r="H5955" s="1">
        <v>-2.5859679999999999E-6</v>
      </c>
      <c r="I5955">
        <v>17.703060000000001</v>
      </c>
      <c r="J5955">
        <v>-408.88589999999999</v>
      </c>
      <c r="K5955">
        <v>1.1083069999999999</v>
      </c>
      <c r="L5955">
        <v>26.741700000000002</v>
      </c>
      <c r="M5955">
        <v>0.88698619999999995</v>
      </c>
      <c r="N5955">
        <v>-1.8150349999999999E-2</v>
      </c>
      <c r="O5955">
        <v>-0.46143889999999999</v>
      </c>
      <c r="P5955">
        <v>0.95295940000000001</v>
      </c>
      <c r="Q5955">
        <v>-0.11558980000000001</v>
      </c>
      <c r="R5955">
        <v>-0.2801921</v>
      </c>
      <c r="S5955">
        <v>2.815582</v>
      </c>
      <c r="T5955">
        <v>-0.13143669999999999</v>
      </c>
      <c r="U5955">
        <v>-1.078552</v>
      </c>
      <c r="V5955">
        <v>-0.19171250000000001</v>
      </c>
      <c r="W5955">
        <v>-9.6946309999999994E-2</v>
      </c>
      <c r="X5955">
        <v>0.9766513</v>
      </c>
      <c r="Y5955">
        <v>-0.1133586</v>
      </c>
      <c r="Z5955">
        <v>1.484539E-2</v>
      </c>
      <c r="AA5955">
        <v>0.99344330000000003</v>
      </c>
      <c r="AB5955">
        <v>23</v>
      </c>
      <c r="AC5955">
        <v>23.637599999999999</v>
      </c>
      <c r="AD5955">
        <v>-1.1083095859680001</v>
      </c>
      <c r="AE5955">
        <v>-9.0386399999999991</v>
      </c>
      <c r="AF5955">
        <v>-2.88510202171455</v>
      </c>
      <c r="AG5955">
        <v>-1.1083095859680001</v>
      </c>
      <c r="AH5955">
        <v>25.093020598334501</v>
      </c>
      <c r="AI5955">
        <v>92.512467815075098</v>
      </c>
      <c r="AJ5955">
        <v>96.558854763036805</v>
      </c>
      <c r="AK5955">
        <v>25.2826392325344</v>
      </c>
      <c r="AL5955">
        <v>95.563352242249707</v>
      </c>
      <c r="AM5955">
        <v>101.105712998491</v>
      </c>
      <c r="AN5955">
        <v>1.00000001573527</v>
      </c>
    </row>
    <row r="5956" spans="1:40" x14ac:dyDescent="0.25">
      <c r="A5956" t="str">
        <f>"20190305135047298"</f>
        <v>20190305135047298</v>
      </c>
      <c r="B5956" t="str">
        <f>"1551765047295794"</f>
        <v>1551765047295794</v>
      </c>
      <c r="C5956" t="s">
        <v>40</v>
      </c>
      <c r="D5956">
        <v>4.3600190000000003</v>
      </c>
      <c r="E5956">
        <v>0.53152069999999996</v>
      </c>
      <c r="F5956" t="s">
        <v>98</v>
      </c>
      <c r="G5956">
        <v>-385.8279</v>
      </c>
      <c r="H5956" s="1">
        <v>-2.290803E-6</v>
      </c>
      <c r="I5956">
        <v>17.82264</v>
      </c>
      <c r="J5956">
        <v>-408.78199999999998</v>
      </c>
      <c r="K5956">
        <v>1.108212</v>
      </c>
      <c r="L5956">
        <v>26.685849999999999</v>
      </c>
      <c r="M5956">
        <v>0.88630159999999902</v>
      </c>
      <c r="N5956">
        <v>-1.8119739999999999E-2</v>
      </c>
      <c r="O5956">
        <v>-0.4627541</v>
      </c>
      <c r="P5956">
        <v>0.95186970000000004</v>
      </c>
      <c r="Q5956">
        <v>-0.1171017</v>
      </c>
      <c r="R5956">
        <v>-0.2832519</v>
      </c>
      <c r="S5956">
        <v>2.8119200000000002</v>
      </c>
      <c r="T5956">
        <v>-0.1351579</v>
      </c>
      <c r="U5956">
        <v>-1.087677</v>
      </c>
      <c r="V5956">
        <v>-0.18996779999999999</v>
      </c>
      <c r="W5956">
        <v>-9.8455799999999996E-2</v>
      </c>
      <c r="X5956">
        <v>0.97684119999999997</v>
      </c>
      <c r="Y5956">
        <v>-0.1115738</v>
      </c>
      <c r="Z5956">
        <v>1.5472329999999999E-2</v>
      </c>
      <c r="AA5956">
        <v>0.99363570000000001</v>
      </c>
      <c r="AB5956">
        <v>23</v>
      </c>
      <c r="AC5956">
        <v>22.954099999999901</v>
      </c>
      <c r="AD5956">
        <v>-1.1082142908029999</v>
      </c>
      <c r="AE5956">
        <v>-8.8632099999999898</v>
      </c>
      <c r="AF5956">
        <v>-2.7614790713394002</v>
      </c>
      <c r="AG5956">
        <v>-1.1082142908029999</v>
      </c>
      <c r="AH5956">
        <v>24.4002583477161</v>
      </c>
      <c r="AI5956">
        <v>92.584007218550099</v>
      </c>
      <c r="AJ5956">
        <v>96.456928396619404</v>
      </c>
      <c r="AK5956">
        <v>24.581019364767499</v>
      </c>
      <c r="AL5956">
        <v>95.650255394060906</v>
      </c>
      <c r="AM5956">
        <v>101.005036040646</v>
      </c>
      <c r="AN5956">
        <v>1.00000001980395</v>
      </c>
    </row>
    <row r="5957" spans="1:40" x14ac:dyDescent="0.25">
      <c r="A5957" t="str">
        <f>"20190305135047309"</f>
        <v>20190305135047309</v>
      </c>
      <c r="B5957" t="str">
        <f>"1551765047305553"</f>
        <v>1551765047305553</v>
      </c>
      <c r="C5957" t="s">
        <v>40</v>
      </c>
      <c r="D5957">
        <v>4.3284979999999997</v>
      </c>
      <c r="E5957">
        <v>0.53094759999999996</v>
      </c>
      <c r="F5957" t="s">
        <v>98</v>
      </c>
      <c r="G5957">
        <v>-387.77359999999999</v>
      </c>
      <c r="H5957" s="1">
        <v>-1.2433119999999999E-6</v>
      </c>
      <c r="I5957">
        <v>18.542629999999999</v>
      </c>
      <c r="J5957">
        <v>-408.67809999999997</v>
      </c>
      <c r="K5957">
        <v>1.108131</v>
      </c>
      <c r="L5957">
        <v>26.629909999999999</v>
      </c>
      <c r="M5957">
        <v>0.88559880000000002</v>
      </c>
      <c r="N5957">
        <v>-1.8089959999999999E-2</v>
      </c>
      <c r="O5957">
        <v>-0.46409850000000002</v>
      </c>
      <c r="P5957">
        <v>0.95087089999999996</v>
      </c>
      <c r="Q5957">
        <v>-0.1180166</v>
      </c>
      <c r="R5957">
        <v>-0.28621039999999998</v>
      </c>
      <c r="S5957">
        <v>2.8093569999999999</v>
      </c>
      <c r="T5957">
        <v>-0.14819679999999999</v>
      </c>
      <c r="U5957">
        <v>-1.088959</v>
      </c>
      <c r="V5957">
        <v>-0.18838479999999999</v>
      </c>
      <c r="W5957">
        <v>-9.9371459999999995E-2</v>
      </c>
      <c r="X5957">
        <v>0.97705500000000001</v>
      </c>
      <c r="Y5957">
        <v>-0.11230320000000001</v>
      </c>
      <c r="Z5957">
        <v>1.7774189999999999E-2</v>
      </c>
      <c r="AA5957">
        <v>0.99351500000000004</v>
      </c>
      <c r="AB5957">
        <v>23</v>
      </c>
      <c r="AC5957">
        <v>20.904499999999899</v>
      </c>
      <c r="AD5957">
        <v>-1.108132243312</v>
      </c>
      <c r="AE5957">
        <v>-8.0872799999999998</v>
      </c>
      <c r="AF5957">
        <v>-2.5338841614340399</v>
      </c>
      <c r="AG5957">
        <v>-1.108132243312</v>
      </c>
      <c r="AH5957">
        <v>22.215641105444799</v>
      </c>
      <c r="AI5957">
        <v>92.837222930283005</v>
      </c>
      <c r="AJ5957">
        <v>96.506954565235503</v>
      </c>
      <c r="AK5957">
        <v>22.3871220959319</v>
      </c>
      <c r="AL5957">
        <v>95.702977529363494</v>
      </c>
      <c r="AM5957">
        <v>100.91321177498099</v>
      </c>
      <c r="AN5957">
        <v>0.99999999647928495</v>
      </c>
    </row>
    <row r="5958" spans="1:40" x14ac:dyDescent="0.25">
      <c r="A5958" t="str">
        <f>"20190305135047320"</f>
        <v>20190305135047320</v>
      </c>
      <c r="B5958" t="str">
        <f>"1551765047316289"</f>
        <v>1551765047316289</v>
      </c>
      <c r="C5958" t="s">
        <v>40</v>
      </c>
      <c r="D5958">
        <v>4.3129759999999999</v>
      </c>
      <c r="E5958">
        <v>0.5304084</v>
      </c>
      <c r="F5958" t="s">
        <v>98</v>
      </c>
      <c r="G5958">
        <v>-388.32729999999998</v>
      </c>
      <c r="H5958" s="1">
        <v>-9.5334240000000001E-7</v>
      </c>
      <c r="I5958">
        <v>18.70186</v>
      </c>
      <c r="J5958">
        <v>-408.58760000000001</v>
      </c>
      <c r="K5958">
        <v>1.108077</v>
      </c>
      <c r="L5958">
        <v>26.580749999999998</v>
      </c>
      <c r="M5958">
        <v>0.88494740000000005</v>
      </c>
      <c r="N5958">
        <v>-1.8058999999999999E-2</v>
      </c>
      <c r="O5958">
        <v>-0.465341</v>
      </c>
      <c r="P5958">
        <v>0.95000549999999995</v>
      </c>
      <c r="Q5958">
        <v>-0.1192651</v>
      </c>
      <c r="R5958">
        <v>-0.28855760000000003</v>
      </c>
      <c r="S5958">
        <v>2.8068849999999999</v>
      </c>
      <c r="T5958">
        <v>-0.1528389</v>
      </c>
      <c r="U5958">
        <v>-1.093475</v>
      </c>
      <c r="V5958">
        <v>-0.18728829999999999</v>
      </c>
      <c r="W5958">
        <v>-0.10063759999999999</v>
      </c>
      <c r="X5958">
        <v>0.97713620000000001</v>
      </c>
      <c r="Y5958">
        <v>-0.111983399999999</v>
      </c>
      <c r="Z5958">
        <v>1.8611490000000001E-2</v>
      </c>
      <c r="AA5958">
        <v>0.99353579999999997</v>
      </c>
      <c r="AB5958">
        <v>23</v>
      </c>
      <c r="AC5958">
        <v>20.260300000000001</v>
      </c>
      <c r="AD5958">
        <v>-1.1080779533423999</v>
      </c>
      <c r="AE5958">
        <v>-7.8788899999999904</v>
      </c>
      <c r="AF5958">
        <v>-2.4495805054587301</v>
      </c>
      <c r="AG5958">
        <v>-1.1080779533423999</v>
      </c>
      <c r="AH5958">
        <v>21.543214322073499</v>
      </c>
      <c r="AI5958">
        <v>92.925602293205998</v>
      </c>
      <c r="AJ5958">
        <v>96.486980575542404</v>
      </c>
      <c r="AK5958">
        <v>21.710328526537701</v>
      </c>
      <c r="AL5958">
        <v>95.775887528689907</v>
      </c>
      <c r="AM5958">
        <v>100.85032304042601</v>
      </c>
      <c r="AN5958">
        <v>0.99999999360054503</v>
      </c>
    </row>
    <row r="5959" spans="1:40" x14ac:dyDescent="0.25">
      <c r="A5959" t="str">
        <f>"20190305135047330"</f>
        <v>20190305135047330</v>
      </c>
      <c r="B5959" t="str">
        <f>"1551765047326051"</f>
        <v>1551765047326051</v>
      </c>
      <c r="C5959" t="s">
        <v>40</v>
      </c>
      <c r="D5959">
        <v>4.3282030000000002</v>
      </c>
      <c r="E5959">
        <v>0.52992410000000001</v>
      </c>
      <c r="F5959" t="s">
        <v>98</v>
      </c>
      <c r="G5959">
        <v>-389.01389999999998</v>
      </c>
      <c r="H5959" s="1">
        <v>-5.8831979999999998E-7</v>
      </c>
      <c r="I5959">
        <v>18.929819999999999</v>
      </c>
      <c r="J5959">
        <v>-408.49630000000002</v>
      </c>
      <c r="K5959">
        <v>1.1080239999999999</v>
      </c>
      <c r="L5959">
        <v>26.531040000000001</v>
      </c>
      <c r="M5959">
        <v>0.88428649999999998</v>
      </c>
      <c r="N5959">
        <v>-1.802728E-2</v>
      </c>
      <c r="O5959">
        <v>-0.46659669999999998</v>
      </c>
      <c r="P5959">
        <v>0.94916769999999995</v>
      </c>
      <c r="Q5959">
        <v>-0.120548</v>
      </c>
      <c r="R5959">
        <v>-0.290773</v>
      </c>
      <c r="S5959">
        <v>2.8049010000000001</v>
      </c>
      <c r="T5959">
        <v>-0.15878699999999901</v>
      </c>
      <c r="U5959">
        <v>-1.0963750000000001</v>
      </c>
      <c r="V5959">
        <v>-0.18633849999999999</v>
      </c>
      <c r="W5959">
        <v>-0.1019391</v>
      </c>
      <c r="X5959">
        <v>0.97718289999999997</v>
      </c>
      <c r="Y5959">
        <v>-0.11222310000000001</v>
      </c>
      <c r="Z5959">
        <v>1.9695339999999999E-2</v>
      </c>
      <c r="AA5959">
        <v>0.99348780000000003</v>
      </c>
      <c r="AB5959">
        <v>23</v>
      </c>
      <c r="AC5959">
        <v>19.482399999999998</v>
      </c>
      <c r="AD5959">
        <v>-1.1080245883198001</v>
      </c>
      <c r="AE5959">
        <v>-7.6012199999999996</v>
      </c>
      <c r="AF5959">
        <v>-2.3625201005853</v>
      </c>
      <c r="AG5959">
        <v>-1.1080245883198001</v>
      </c>
      <c r="AH5959">
        <v>20.719937691165399</v>
      </c>
      <c r="AI5959">
        <v>93.041378643188807</v>
      </c>
      <c r="AJ5959">
        <v>96.504862828635396</v>
      </c>
      <c r="AK5959">
        <v>20.8836069116369</v>
      </c>
      <c r="AL5959">
        <v>95.850843336443802</v>
      </c>
      <c r="AM5959">
        <v>100.79609019312799</v>
      </c>
      <c r="AN5959">
        <v>1.0000000183717299</v>
      </c>
    </row>
    <row r="5960" spans="1:40" x14ac:dyDescent="0.25">
      <c r="A5960" t="str">
        <f>"20190305135047341"</f>
        <v>20190305135047341</v>
      </c>
      <c r="B5960" t="str">
        <f>"1551765047335810"</f>
        <v>1551765047335810</v>
      </c>
      <c r="C5960" t="s">
        <v>40</v>
      </c>
      <c r="D5960">
        <v>4.3246279999999997</v>
      </c>
      <c r="E5960">
        <v>0.52929510000000002</v>
      </c>
      <c r="F5960" t="s">
        <v>98</v>
      </c>
      <c r="G5960">
        <v>-389.60070000000002</v>
      </c>
      <c r="H5960" s="1">
        <v>-2.861054E-7</v>
      </c>
      <c r="I5960">
        <v>19.118929999999999</v>
      </c>
      <c r="J5960">
        <v>-408.38569999999999</v>
      </c>
      <c r="K5960">
        <v>1.1079829999999999</v>
      </c>
      <c r="L5960">
        <v>26.470400000000001</v>
      </c>
      <c r="M5960">
        <v>0.88345370000000001</v>
      </c>
      <c r="N5960">
        <v>-1.79712E-2</v>
      </c>
      <c r="O5960">
        <v>-0.46817389999999998</v>
      </c>
      <c r="P5960">
        <v>0.94835009999999997</v>
      </c>
      <c r="Q5960">
        <v>-0.12214319999999999</v>
      </c>
      <c r="R5960">
        <v>-0.29276819999999998</v>
      </c>
      <c r="S5960">
        <v>2.8029790000000001</v>
      </c>
      <c r="T5960">
        <v>-0.16436509999999999</v>
      </c>
      <c r="U5960">
        <v>-1.099518</v>
      </c>
      <c r="V5960">
        <v>-0.18594559999999999</v>
      </c>
      <c r="W5960">
        <v>-0.1035841</v>
      </c>
      <c r="X5960">
        <v>0.97708479999999998</v>
      </c>
      <c r="Y5960">
        <v>-0.11275639999999899</v>
      </c>
      <c r="Z5960">
        <v>2.0750709999999999E-2</v>
      </c>
      <c r="AA5960">
        <v>0.99340589999999995</v>
      </c>
      <c r="AB5960">
        <v>23</v>
      </c>
      <c r="AC5960">
        <v>18.784999999999901</v>
      </c>
      <c r="AD5960">
        <v>-1.1079832861054</v>
      </c>
      <c r="AE5960">
        <v>-7.3514699999999999</v>
      </c>
      <c r="AF5960">
        <v>-2.29341565304152</v>
      </c>
      <c r="AG5960">
        <v>-1.1079832861054</v>
      </c>
      <c r="AH5960">
        <v>19.980400224653401</v>
      </c>
      <c r="AI5960">
        <v>93.153338430413299</v>
      </c>
      <c r="AJ5960">
        <v>96.547940407284401</v>
      </c>
      <c r="AK5960">
        <v>20.142089649717001</v>
      </c>
      <c r="AL5960">
        <v>95.945596222101301</v>
      </c>
      <c r="AM5960">
        <v>100.774916073735</v>
      </c>
      <c r="AN5960">
        <v>1.0000000691616</v>
      </c>
    </row>
    <row r="5961" spans="1:40" x14ac:dyDescent="0.25">
      <c r="A5961" t="str">
        <f>"20190305135047352"</f>
        <v>20190305135047352</v>
      </c>
      <c r="B5961" t="str">
        <f>"1551765047345569"</f>
        <v>1551765047345569</v>
      </c>
      <c r="C5961" t="s">
        <v>40</v>
      </c>
      <c r="D5961">
        <v>4.3581190000000003</v>
      </c>
      <c r="E5961">
        <v>0.52892090000000003</v>
      </c>
      <c r="F5961" t="s">
        <v>42</v>
      </c>
      <c r="G5961">
        <v>-390.27530000000002</v>
      </c>
      <c r="H5961" s="1">
        <v>-4.6239860000000001E-6</v>
      </c>
      <c r="I5961">
        <v>19.353619999999999</v>
      </c>
      <c r="J5961">
        <v>-408.29410000000001</v>
      </c>
      <c r="K5961">
        <v>1.1079479999999999</v>
      </c>
      <c r="L5961">
        <v>26.42004</v>
      </c>
      <c r="M5961">
        <v>0.8827583</v>
      </c>
      <c r="N5961">
        <v>-1.7919899999999999E-2</v>
      </c>
      <c r="O5961">
        <v>-0.4694856</v>
      </c>
      <c r="P5961">
        <v>0.94764099999999996</v>
      </c>
      <c r="Q5961">
        <v>-0.1241901</v>
      </c>
      <c r="R5961">
        <v>-0.29420059999999998</v>
      </c>
      <c r="S5961">
        <v>2.8014830000000002</v>
      </c>
      <c r="T5961">
        <v>-0.17139399999999999</v>
      </c>
      <c r="U5961">
        <v>-1.1008910000000001</v>
      </c>
      <c r="V5961">
        <v>-0.1858098</v>
      </c>
      <c r="W5961">
        <v>-0.1056805</v>
      </c>
      <c r="X5961">
        <v>0.97688600000000003</v>
      </c>
      <c r="Y5961">
        <v>-0.11357349999999999</v>
      </c>
      <c r="Z5961">
        <v>2.2063159999999998E-2</v>
      </c>
      <c r="AA5961">
        <v>0.99328459999999996</v>
      </c>
      <c r="AB5961">
        <v>23</v>
      </c>
      <c r="AC5961">
        <v>18.018799999999999</v>
      </c>
      <c r="AD5961">
        <v>-1.107952623986</v>
      </c>
      <c r="AE5961">
        <v>-7.0664199999999999</v>
      </c>
      <c r="AF5961">
        <v>-2.2147255379762401</v>
      </c>
      <c r="AG5961">
        <v>-1.107952623986</v>
      </c>
      <c r="AH5961">
        <v>19.1641157639996</v>
      </c>
      <c r="AI5961">
        <v>93.286981789472506</v>
      </c>
      <c r="AJ5961">
        <v>96.592216213234593</v>
      </c>
      <c r="AK5961">
        <v>19.323454692200901</v>
      </c>
      <c r="AL5961">
        <v>96.066374766013595</v>
      </c>
      <c r="AM5961">
        <v>100.769370885268</v>
      </c>
      <c r="AN5961">
        <v>0.99999995342614301</v>
      </c>
    </row>
    <row r="5962" spans="1:40" x14ac:dyDescent="0.25">
      <c r="A5962" t="str">
        <f>"20190305135047364"</f>
        <v>20190305135047364</v>
      </c>
      <c r="B5962" t="str">
        <f>"1551765047356305"</f>
        <v>1551765047356305</v>
      </c>
      <c r="C5962" t="s">
        <v>40</v>
      </c>
      <c r="D5962">
        <v>4.3104459999999998</v>
      </c>
      <c r="E5962">
        <v>0.5283873</v>
      </c>
      <c r="F5962" t="s">
        <v>42</v>
      </c>
      <c r="G5962">
        <v>-390.9599</v>
      </c>
      <c r="H5962" s="1">
        <v>-4.2574769999999999E-6</v>
      </c>
      <c r="I5962">
        <v>19.595580000000002</v>
      </c>
      <c r="J5962">
        <v>-408.18920000000003</v>
      </c>
      <c r="K5962">
        <v>1.107926</v>
      </c>
      <c r="L5962">
        <v>26.36206</v>
      </c>
      <c r="M5962">
        <v>0.88195020000000002</v>
      </c>
      <c r="N5962">
        <v>-1.7847350000000001E-2</v>
      </c>
      <c r="O5962">
        <v>-0.4710046</v>
      </c>
      <c r="P5962">
        <v>0.94698059999999995</v>
      </c>
      <c r="Q5962">
        <v>-0.12682299999999999</v>
      </c>
      <c r="R5962">
        <v>-0.29520159999999901</v>
      </c>
      <c r="S5962">
        <v>2.8000790000000002</v>
      </c>
      <c r="T5962">
        <v>-0.17897260000000001</v>
      </c>
      <c r="U5962">
        <v>-1.1023860000000001</v>
      </c>
      <c r="V5962">
        <v>-0.186308</v>
      </c>
      <c r="W5962">
        <v>-0.1083896</v>
      </c>
      <c r="X5962">
        <v>0.97649430000000004</v>
      </c>
      <c r="Y5962">
        <v>-0.11458939999999999</v>
      </c>
      <c r="Z5962">
        <v>2.3501330000000001E-2</v>
      </c>
      <c r="AA5962">
        <v>0.99313490000000004</v>
      </c>
      <c r="AB5962">
        <v>23</v>
      </c>
      <c r="AC5962">
        <v>17.229299999999999</v>
      </c>
      <c r="AD5962">
        <v>-1.107930257477</v>
      </c>
      <c r="AE5962">
        <v>-6.7664799999999898</v>
      </c>
      <c r="AF5962">
        <v>-2.1400563342569598</v>
      </c>
      <c r="AG5962">
        <v>-1.107930257477</v>
      </c>
      <c r="AH5962">
        <v>18.31972434899</v>
      </c>
      <c r="AI5962">
        <v>93.437568646294395</v>
      </c>
      <c r="AJ5962">
        <v>96.662926078412198</v>
      </c>
      <c r="AK5962">
        <v>18.4775445011561</v>
      </c>
      <c r="AL5962">
        <v>96.2224910870695</v>
      </c>
      <c r="AM5962">
        <v>100.80179750141799</v>
      </c>
      <c r="AN5962">
        <v>1.00000004709232</v>
      </c>
    </row>
    <row r="5963" spans="1:40" x14ac:dyDescent="0.25">
      <c r="A5963" t="str">
        <f>"20190305135047376"</f>
        <v>20190305135047376</v>
      </c>
      <c r="B5963" t="str">
        <f>"1551765047366066"</f>
        <v>1551765047366066</v>
      </c>
      <c r="C5963" t="s">
        <v>40</v>
      </c>
      <c r="D5963">
        <v>4.339156</v>
      </c>
      <c r="E5963">
        <v>0.52787890000000004</v>
      </c>
      <c r="F5963" t="s">
        <v>42</v>
      </c>
      <c r="G5963">
        <v>-391.64049999999997</v>
      </c>
      <c r="H5963" s="1">
        <v>-3.9944710000000003E-6</v>
      </c>
      <c r="I5963">
        <v>19.850940000000001</v>
      </c>
      <c r="J5963">
        <v>-408.08550000000002</v>
      </c>
      <c r="K5963">
        <v>1.107909</v>
      </c>
      <c r="L5963">
        <v>26.304469999999998</v>
      </c>
      <c r="M5963">
        <v>0.8811483</v>
      </c>
      <c r="N5963">
        <v>-1.7769480000000001E-2</v>
      </c>
      <c r="O5963">
        <v>-0.47250629999999999</v>
      </c>
      <c r="P5963">
        <v>0.94636419999999999</v>
      </c>
      <c r="Q5963">
        <v>-0.12873470000000001</v>
      </c>
      <c r="R5963">
        <v>-0.29634929999999998</v>
      </c>
      <c r="S5963">
        <v>2.7995000000000001</v>
      </c>
      <c r="T5963">
        <v>-0.18742600000000001</v>
      </c>
      <c r="U5963">
        <v>-1.1014710000000001</v>
      </c>
      <c r="V5963">
        <v>-0.1866718</v>
      </c>
      <c r="W5963">
        <v>-0.1103861</v>
      </c>
      <c r="X5963">
        <v>0.97620110000000004</v>
      </c>
      <c r="Y5963">
        <v>-0.11641319999999999</v>
      </c>
      <c r="Z5963">
        <v>2.5133019999999999E-2</v>
      </c>
      <c r="AA5963">
        <v>0.99288279999999995</v>
      </c>
      <c r="AB5963">
        <v>23</v>
      </c>
      <c r="AC5963">
        <v>16.445</v>
      </c>
      <c r="AD5963">
        <v>-1.107912994471</v>
      </c>
      <c r="AE5963">
        <v>-6.4535299999999998</v>
      </c>
      <c r="AF5963">
        <v>-2.0760126867495998</v>
      </c>
      <c r="AG5963">
        <v>-1.107912994471</v>
      </c>
      <c r="AH5963">
        <v>17.4738579358647</v>
      </c>
      <c r="AI5963">
        <v>93.602657637270298</v>
      </c>
      <c r="AJ5963">
        <v>96.775367609354305</v>
      </c>
      <c r="AK5963">
        <v>17.631591279338501</v>
      </c>
      <c r="AL5963">
        <v>96.337572887193105</v>
      </c>
      <c r="AM5963">
        <v>100.825565989289</v>
      </c>
      <c r="AN5963">
        <v>1.00000001981482</v>
      </c>
    </row>
    <row r="5964" spans="1:40" x14ac:dyDescent="0.25">
      <c r="A5964" t="str">
        <f>"20190305135047387"</f>
        <v>20190305135047387</v>
      </c>
      <c r="B5964" t="str">
        <f>"1551765047376479"</f>
        <v>1551765047376479</v>
      </c>
      <c r="C5964" t="s">
        <v>40</v>
      </c>
      <c r="D5964">
        <v>4.3509140000000004</v>
      </c>
      <c r="E5964">
        <v>0.52753409999999901</v>
      </c>
      <c r="F5964" t="s">
        <v>42</v>
      </c>
      <c r="G5964">
        <v>-392.09059999999999</v>
      </c>
      <c r="H5964" s="1">
        <v>-3.8244420000000001E-6</v>
      </c>
      <c r="I5964">
        <v>20.01155</v>
      </c>
      <c r="J5964">
        <v>-407.98419999999999</v>
      </c>
      <c r="K5964">
        <v>1.107909</v>
      </c>
      <c r="L5964">
        <v>26.248080000000002</v>
      </c>
      <c r="M5964">
        <v>0.88036229999999904</v>
      </c>
      <c r="N5964">
        <v>-1.7688769999999999E-2</v>
      </c>
      <c r="O5964">
        <v>-0.47397250000000002</v>
      </c>
      <c r="P5964">
        <v>0.94596820000000004</v>
      </c>
      <c r="Q5964">
        <v>-0.1305529</v>
      </c>
      <c r="R5964">
        <v>-0.29681770000000002</v>
      </c>
      <c r="S5964">
        <v>2.7988590000000002</v>
      </c>
      <c r="T5964">
        <v>-0.19386780000000001</v>
      </c>
      <c r="U5964">
        <v>-1.1011660000000001</v>
      </c>
      <c r="V5964">
        <v>-0.1876968</v>
      </c>
      <c r="W5964">
        <v>-0.1122939</v>
      </c>
      <c r="X5964">
        <v>0.97578690000000001</v>
      </c>
      <c r="Y5964">
        <v>-0.11801730000000001</v>
      </c>
      <c r="Z5964">
        <v>2.6416780000000001E-2</v>
      </c>
      <c r="AA5964">
        <v>0.99266010000000005</v>
      </c>
      <c r="AB5964">
        <v>22</v>
      </c>
      <c r="AC5964">
        <v>15.8935999999999</v>
      </c>
      <c r="AD5964">
        <v>-1.107912824442</v>
      </c>
      <c r="AE5964">
        <v>-6.2365299999999904</v>
      </c>
      <c r="AF5964">
        <v>-2.0344755636337899</v>
      </c>
      <c r="AG5964">
        <v>-1.107912824442</v>
      </c>
      <c r="AH5964">
        <v>16.8796390503447</v>
      </c>
      <c r="AI5964">
        <v>93.728375458233103</v>
      </c>
      <c r="AJ5964">
        <v>96.872615778842004</v>
      </c>
      <c r="AK5964">
        <v>17.037863014929702</v>
      </c>
      <c r="AL5964">
        <v>96.447565544639602</v>
      </c>
      <c r="AM5964">
        <v>100.888101874903</v>
      </c>
      <c r="AN5964">
        <v>1.00000004145952</v>
      </c>
    </row>
    <row r="5965" spans="1:40" x14ac:dyDescent="0.25">
      <c r="A5965" t="str">
        <f>"20190305135047398"</f>
        <v>20190305135047398</v>
      </c>
      <c r="B5965" t="str">
        <f>"1551765047395999"</f>
        <v>1551765047395999</v>
      </c>
      <c r="C5965" t="s">
        <v>40</v>
      </c>
      <c r="D5965">
        <v>4.3888179999999997</v>
      </c>
      <c r="E5965">
        <v>0.52699640000000003</v>
      </c>
      <c r="F5965" t="s">
        <v>42</v>
      </c>
      <c r="G5965">
        <v>-392.5127</v>
      </c>
      <c r="H5965" s="1">
        <v>-3.666403E-6</v>
      </c>
      <c r="I5965">
        <v>20.167449999999999</v>
      </c>
      <c r="J5965">
        <v>-407.89030000000002</v>
      </c>
      <c r="K5965">
        <v>1.1079209999999999</v>
      </c>
      <c r="L5965">
        <v>26.195430000000002</v>
      </c>
      <c r="M5965">
        <v>0.87963380000000002</v>
      </c>
      <c r="N5965">
        <v>-1.7603540000000001E-2</v>
      </c>
      <c r="O5965">
        <v>-0.47532600000000003</v>
      </c>
      <c r="P5965">
        <v>0.94570639999999995</v>
      </c>
      <c r="Q5965">
        <v>-0.13149229999999901</v>
      </c>
      <c r="R5965">
        <v>-0.29723660000000002</v>
      </c>
      <c r="S5965">
        <v>2.7986149999999999</v>
      </c>
      <c r="T5965">
        <v>-0.20040830000000001</v>
      </c>
      <c r="U5965">
        <v>-1.099915</v>
      </c>
      <c r="V5965">
        <v>-0.188698</v>
      </c>
      <c r="W5965">
        <v>-0.1133295</v>
      </c>
      <c r="X5965">
        <v>0.97547399999999995</v>
      </c>
      <c r="Y5965">
        <v>-0.1198292</v>
      </c>
      <c r="Z5965">
        <v>2.7731510000000001E-2</v>
      </c>
      <c r="AA5965">
        <v>0.99240709999999999</v>
      </c>
      <c r="AB5965">
        <v>22</v>
      </c>
      <c r="AC5965">
        <v>15.377599999999999</v>
      </c>
      <c r="AD5965">
        <v>-1.107924666403</v>
      </c>
      <c r="AE5965">
        <v>-6.0279800000000003</v>
      </c>
      <c r="AF5965">
        <v>-1.9982776042622299</v>
      </c>
      <c r="AG5965">
        <v>-1.107924666403</v>
      </c>
      <c r="AH5965">
        <v>16.3210136836754</v>
      </c>
      <c r="AI5965">
        <v>93.854772760406803</v>
      </c>
      <c r="AJ5965">
        <v>96.980317704441006</v>
      </c>
      <c r="AK5965">
        <v>16.4801728787304</v>
      </c>
      <c r="AL5965">
        <v>96.507282417858505</v>
      </c>
      <c r="AM5965">
        <v>100.94820739159999</v>
      </c>
      <c r="AN5965">
        <v>1.00000001772512</v>
      </c>
    </row>
    <row r="5966" spans="1:40" x14ac:dyDescent="0.25">
      <c r="A5966" t="str">
        <f>"20190305135047411"</f>
        <v>20190305135047411</v>
      </c>
      <c r="B5966" t="str">
        <f>"1551765047405758"</f>
        <v>1551765047405758</v>
      </c>
      <c r="C5966" t="s">
        <v>40</v>
      </c>
      <c r="D5966">
        <v>4.3512469999999999</v>
      </c>
      <c r="E5966">
        <v>0.5267385</v>
      </c>
      <c r="F5966" t="s">
        <v>42</v>
      </c>
      <c r="G5966">
        <v>-392.69209999999998</v>
      </c>
      <c r="H5966" s="1">
        <v>-3.6002010000000001E-6</v>
      </c>
      <c r="I5966">
        <v>20.23734</v>
      </c>
      <c r="J5966">
        <v>-407.78480000000002</v>
      </c>
      <c r="K5966">
        <v>1.107944</v>
      </c>
      <c r="L5966">
        <v>26.13626</v>
      </c>
      <c r="M5966">
        <v>0.87881549999999997</v>
      </c>
      <c r="N5966">
        <v>-1.7503009999999999E-2</v>
      </c>
      <c r="O5966">
        <v>-0.47684110000000002</v>
      </c>
      <c r="P5966">
        <v>0.94553050000000005</v>
      </c>
      <c r="Q5966">
        <v>-0.1320617</v>
      </c>
      <c r="R5966">
        <v>-0.29754370000000002</v>
      </c>
      <c r="S5966">
        <v>2.7990110000000001</v>
      </c>
      <c r="T5966">
        <v>-0.204044</v>
      </c>
      <c r="U5966">
        <v>-1.0972900000000001</v>
      </c>
      <c r="V5966">
        <v>-0.19001419999999999</v>
      </c>
      <c r="W5966">
        <v>-0.1140119</v>
      </c>
      <c r="X5966">
        <v>0.97513890000000003</v>
      </c>
      <c r="Y5966">
        <v>-0.1223471</v>
      </c>
      <c r="Z5966">
        <v>2.858484E-2</v>
      </c>
      <c r="AA5966">
        <v>0.9920757</v>
      </c>
      <c r="AB5966">
        <v>22</v>
      </c>
      <c r="AC5966">
        <v>15.092700000000001</v>
      </c>
      <c r="AD5966">
        <v>-1.107947600201</v>
      </c>
      <c r="AE5966">
        <v>-5.8989199999999897</v>
      </c>
      <c r="AF5966">
        <v>-2.0036983034822602</v>
      </c>
      <c r="AG5966">
        <v>-1.107947600201</v>
      </c>
      <c r="AH5966">
        <v>16.004188727663202</v>
      </c>
      <c r="AI5966">
        <v>93.929607617866495</v>
      </c>
      <c r="AJ5966">
        <v>97.1362068460909</v>
      </c>
      <c r="AK5966">
        <v>16.167139870949001</v>
      </c>
      <c r="AL5966">
        <v>96.546636299415994</v>
      </c>
      <c r="AM5966">
        <v>101.026403903288</v>
      </c>
      <c r="AN5966">
        <v>0.99999999191822997</v>
      </c>
    </row>
    <row r="5967" spans="1:40" x14ac:dyDescent="0.25">
      <c r="A5967" t="str">
        <f>"20190305135047431"</f>
        <v>20190305135047431</v>
      </c>
      <c r="B5967" t="str">
        <f>"1551765047426255"</f>
        <v>1551765047426255</v>
      </c>
      <c r="C5967" t="s">
        <v>40</v>
      </c>
      <c r="D5967">
        <v>4.3597169999999998</v>
      </c>
      <c r="E5967">
        <v>0.52823500000000001</v>
      </c>
      <c r="F5967" t="s">
        <v>42</v>
      </c>
      <c r="G5967">
        <v>-392.63029999999998</v>
      </c>
      <c r="H5967" s="1">
        <v>-3.6195470000000001E-6</v>
      </c>
      <c r="I5967">
        <v>20.200330000000001</v>
      </c>
      <c r="J5967">
        <v>-407.60759999999999</v>
      </c>
      <c r="K5967">
        <v>1.107985</v>
      </c>
      <c r="L5967">
        <v>26.03622</v>
      </c>
      <c r="M5967">
        <v>0.87744719999999998</v>
      </c>
      <c r="N5967">
        <v>-1.7277839999999999E-2</v>
      </c>
      <c r="O5967">
        <v>-0.47936220000000002</v>
      </c>
      <c r="P5967">
        <v>0.94554550000000004</v>
      </c>
      <c r="Q5967">
        <v>-0.131275799999999</v>
      </c>
      <c r="R5967">
        <v>-0.29784349999999998</v>
      </c>
      <c r="S5967">
        <v>2.799194</v>
      </c>
      <c r="T5967">
        <v>-0.20465050000000001</v>
      </c>
      <c r="U5967">
        <v>-1.096436</v>
      </c>
      <c r="V5967">
        <v>-0.19252610000000001</v>
      </c>
      <c r="W5967">
        <v>-0.1134719</v>
      </c>
      <c r="X5967">
        <v>0.97470909999999999</v>
      </c>
      <c r="Y5967">
        <v>-0.1254576</v>
      </c>
      <c r="Z5967">
        <v>2.902679E-2</v>
      </c>
      <c r="AA5967">
        <v>0.99167419999999995</v>
      </c>
      <c r="AB5967">
        <v>22</v>
      </c>
      <c r="AC5967">
        <v>14.9773</v>
      </c>
      <c r="AD5967">
        <v>-1.1079886195469999</v>
      </c>
      <c r="AE5967">
        <v>-5.83589</v>
      </c>
      <c r="AF5967">
        <v>-2.0494357034930699</v>
      </c>
      <c r="AG5967">
        <v>-1.1079886195469999</v>
      </c>
      <c r="AH5967">
        <v>15.866286639275</v>
      </c>
      <c r="AI5967">
        <v>93.961836557946796</v>
      </c>
      <c r="AJ5967">
        <v>97.360097463658803</v>
      </c>
      <c r="AK5967">
        <v>16.036423454231802</v>
      </c>
      <c r="AL5967">
        <v>96.515494421943799</v>
      </c>
      <c r="AM5967">
        <v>101.173327320016</v>
      </c>
      <c r="AN5967">
        <v>1.0000000004468099</v>
      </c>
    </row>
    <row r="5968" spans="1:40" x14ac:dyDescent="0.25">
      <c r="A5968" t="str">
        <f>"20190305135047444"</f>
        <v>20190305135047444</v>
      </c>
      <c r="B5968" t="str">
        <f>"1551765047436014"</f>
        <v>1551765047436014</v>
      </c>
      <c r="C5968" t="s">
        <v>40</v>
      </c>
      <c r="D5968">
        <v>4.3283870000000002</v>
      </c>
      <c r="E5968">
        <v>0.52823500000000001</v>
      </c>
      <c r="F5968" t="s">
        <v>42</v>
      </c>
      <c r="G5968">
        <v>-392.13780000000003</v>
      </c>
      <c r="H5968" s="1">
        <v>-3.7725150000000001E-6</v>
      </c>
      <c r="I5968">
        <v>19.900279999999999</v>
      </c>
      <c r="J5968">
        <v>-407.4812</v>
      </c>
      <c r="K5968">
        <v>1.1080099999999999</v>
      </c>
      <c r="L5968">
        <v>25.964449999999999</v>
      </c>
      <c r="M5968">
        <v>0.87647900000000001</v>
      </c>
      <c r="N5968">
        <v>-1.7070990000000001E-2</v>
      </c>
      <c r="O5968">
        <v>-0.48113729999999899</v>
      </c>
      <c r="P5968">
        <v>0.94548540000000003</v>
      </c>
      <c r="Q5968">
        <v>-0.1297489</v>
      </c>
      <c r="R5968">
        <v>-0.29870170000000001</v>
      </c>
      <c r="S5968">
        <v>2.7956850000000002</v>
      </c>
      <c r="T5968">
        <v>-0.20023560000000001</v>
      </c>
      <c r="U5968">
        <v>-1.108887</v>
      </c>
      <c r="V5968">
        <v>-0.1936909</v>
      </c>
      <c r="W5968">
        <v>-0.11216520000000001</v>
      </c>
      <c r="X5968">
        <v>0.97462959999999998</v>
      </c>
      <c r="Y5968">
        <v>-0.1232634</v>
      </c>
      <c r="Z5968">
        <v>2.8317869999999998E-2</v>
      </c>
      <c r="AA5968">
        <v>0.99196989999999996</v>
      </c>
      <c r="AB5968">
        <v>22</v>
      </c>
      <c r="AC5968">
        <v>15.3433999999999</v>
      </c>
      <c r="AD5968">
        <v>-1.1080137725150001</v>
      </c>
      <c r="AE5968">
        <v>-6.0641699999999998</v>
      </c>
      <c r="AF5968">
        <v>-2.0581825527605999</v>
      </c>
      <c r="AG5968">
        <v>-1.1080137725150001</v>
      </c>
      <c r="AH5968">
        <v>16.294756506186602</v>
      </c>
      <c r="AI5968">
        <v>93.859449162958796</v>
      </c>
      <c r="AJ5968">
        <v>97.198878957505499</v>
      </c>
      <c r="AK5968">
        <v>16.461558235370099</v>
      </c>
      <c r="AL5968">
        <v>96.440144788895594</v>
      </c>
      <c r="AM5968">
        <v>101.240104520164</v>
      </c>
      <c r="AN5968">
        <v>1.000000027015</v>
      </c>
    </row>
    <row r="5969" spans="1:40" x14ac:dyDescent="0.25">
      <c r="A5969" t="str">
        <f>"20190305135047456"</f>
        <v>20190305135047456</v>
      </c>
      <c r="B5969" t="str">
        <f>"1551765047445775"</f>
        <v>1551765047445775</v>
      </c>
      <c r="C5969" t="s">
        <v>40</v>
      </c>
      <c r="D5969">
        <v>4.3471469999999997</v>
      </c>
      <c r="E5969">
        <v>0.55765619999999905</v>
      </c>
      <c r="F5969" t="s">
        <v>42</v>
      </c>
      <c r="G5969">
        <v>-391.66370000000001</v>
      </c>
      <c r="H5969" s="1">
        <v>-3.9364460000000001E-6</v>
      </c>
      <c r="I5969">
        <v>19.673929999999999</v>
      </c>
      <c r="J5969">
        <v>-407.39089999999999</v>
      </c>
      <c r="K5969">
        <v>1.1080299999999901</v>
      </c>
      <c r="L5969">
        <v>25.912960000000002</v>
      </c>
      <c r="M5969">
        <v>0.87579240000000003</v>
      </c>
      <c r="N5969">
        <v>-1.691519E-2</v>
      </c>
      <c r="O5969">
        <v>-0.48239179999999998</v>
      </c>
      <c r="P5969">
        <v>0.94556189999999996</v>
      </c>
      <c r="Q5969">
        <v>-0.1284708</v>
      </c>
      <c r="R5969">
        <v>-0.299012</v>
      </c>
      <c r="S5969">
        <v>2.7949830000000002</v>
      </c>
      <c r="T5969">
        <v>-0.19578719999999999</v>
      </c>
      <c r="U5969">
        <v>-1.111542</v>
      </c>
      <c r="V5969">
        <v>-0.19483159999999999</v>
      </c>
      <c r="W5969">
        <v>-0.11105139999999999</v>
      </c>
      <c r="X5969">
        <v>0.97452969999999906</v>
      </c>
      <c r="Y5969">
        <v>-0.1238218</v>
      </c>
      <c r="Z5969">
        <v>2.7668410000000001E-2</v>
      </c>
      <c r="AA5969">
        <v>0.99191859999999998</v>
      </c>
      <c r="AB5969">
        <v>22</v>
      </c>
      <c r="AC5969">
        <v>15.7271999999999</v>
      </c>
      <c r="AD5969">
        <v>-1.1080339364459999</v>
      </c>
      <c r="AE5969">
        <v>-6.2390299999999996</v>
      </c>
      <c r="AF5969">
        <v>-2.1138150606793</v>
      </c>
      <c r="AG5969">
        <v>-1.1080339364459999</v>
      </c>
      <c r="AH5969">
        <v>16.714135609732899</v>
      </c>
      <c r="AI5969">
        <v>93.762886381066295</v>
      </c>
      <c r="AJ5969">
        <v>97.207857205185107</v>
      </c>
      <c r="AK5969">
        <v>16.883669106435701</v>
      </c>
      <c r="AL5969">
        <v>96.375928023057796</v>
      </c>
      <c r="AM5969">
        <v>101.305729824816</v>
      </c>
      <c r="AN5969">
        <v>0.99999995099130301</v>
      </c>
    </row>
    <row r="5970" spans="1:40" x14ac:dyDescent="0.25">
      <c r="A5970" t="str">
        <f>"20190305135047466"</f>
        <v>20190305135047466</v>
      </c>
      <c r="B5970" t="str">
        <f>"1551765047456512"</f>
        <v>1551765047456512</v>
      </c>
      <c r="C5970" t="s">
        <v>40</v>
      </c>
      <c r="D5970">
        <v>4.3583769999999999</v>
      </c>
      <c r="E5970">
        <v>0.55790810000000002</v>
      </c>
      <c r="F5970" t="s">
        <v>100</v>
      </c>
      <c r="G5970">
        <v>-379.67860000000002</v>
      </c>
      <c r="H5970" s="1">
        <v>-2.0349720000000001E-6</v>
      </c>
      <c r="I5970">
        <v>12.37266</v>
      </c>
      <c r="J5970">
        <v>-407.29419999999999</v>
      </c>
      <c r="K5970">
        <v>1.108053</v>
      </c>
      <c r="L5970">
        <v>25.857700000000001</v>
      </c>
      <c r="M5970">
        <v>0.87506039999999996</v>
      </c>
      <c r="N5970">
        <v>-1.6742480000000001E-2</v>
      </c>
      <c r="O5970">
        <v>-0.48372419999999999</v>
      </c>
      <c r="P5970">
        <v>0.94565259999999995</v>
      </c>
      <c r="Q5970">
        <v>-0.12696350000000001</v>
      </c>
      <c r="R5970">
        <v>-0.29936889999999999</v>
      </c>
      <c r="S5970">
        <v>2.7351990000000002</v>
      </c>
      <c r="T5970">
        <v>-0.1093626</v>
      </c>
      <c r="U5970">
        <v>-1.3364259999999999</v>
      </c>
      <c r="V5970">
        <v>-0.19602549999999999</v>
      </c>
      <c r="W5970">
        <v>-0.1097257</v>
      </c>
      <c r="X5970">
        <v>0.97444050000000004</v>
      </c>
      <c r="Y5970">
        <v>-5.0350829999999999E-2</v>
      </c>
      <c r="Z5970">
        <v>1.0434529999999999E-2</v>
      </c>
      <c r="AA5970">
        <v>0.99867709999999998</v>
      </c>
      <c r="AB5970">
        <v>22</v>
      </c>
      <c r="AC5970">
        <v>27.615599999999901</v>
      </c>
      <c r="AD5970">
        <v>-1.108055034972</v>
      </c>
      <c r="AE5970">
        <v>-13.48504</v>
      </c>
      <c r="AF5970">
        <v>-1.5563046941516401</v>
      </c>
      <c r="AG5970">
        <v>-1.108055034972</v>
      </c>
      <c r="AH5970">
        <v>30.652810489951101</v>
      </c>
      <c r="AI5970">
        <v>92.067597738583999</v>
      </c>
      <c r="AJ5970">
        <v>92.906525928078906</v>
      </c>
      <c r="AK5970">
        <v>30.7122884395549</v>
      </c>
      <c r="AL5970">
        <v>96.299503579364895</v>
      </c>
      <c r="AM5970">
        <v>101.37422337832299</v>
      </c>
      <c r="AN5970">
        <v>1.00000000696549</v>
      </c>
    </row>
    <row r="5971" spans="1:40" x14ac:dyDescent="0.25">
      <c r="A5971" t="str">
        <f>"20190305135047479"</f>
        <v>20190305135047479</v>
      </c>
      <c r="B5971" t="str">
        <f>"1551765047475661"</f>
        <v>1551765047475661</v>
      </c>
      <c r="C5971" t="s">
        <v>40</v>
      </c>
      <c r="D5971">
        <v>4.3564369999999997</v>
      </c>
      <c r="E5971">
        <v>0.55681059999999905</v>
      </c>
      <c r="F5971" t="s">
        <v>98</v>
      </c>
      <c r="G5971">
        <v>-380.92630000000003</v>
      </c>
      <c r="H5971" s="1">
        <v>-5.4749249999999898E-6</v>
      </c>
      <c r="I5971">
        <v>12.934189999999999</v>
      </c>
      <c r="J5971">
        <v>-407.18880000000001</v>
      </c>
      <c r="K5971">
        <v>1.108082</v>
      </c>
      <c r="L5971">
        <v>25.797270000000001</v>
      </c>
      <c r="M5971">
        <v>0.87427520000000003</v>
      </c>
      <c r="N5971">
        <v>-1.6552500000000001E-2</v>
      </c>
      <c r="O5971">
        <v>-0.48514879999999999</v>
      </c>
      <c r="P5971">
        <v>0.94566280000000003</v>
      </c>
      <c r="Q5971">
        <v>-0.1252781</v>
      </c>
      <c r="R5971">
        <v>-0.3000466</v>
      </c>
      <c r="S5971">
        <v>2.7329409999999998</v>
      </c>
      <c r="T5971">
        <v>-0.1148465</v>
      </c>
      <c r="U5971">
        <v>-1.3394779999999999</v>
      </c>
      <c r="V5971">
        <v>-0.19700090000000001</v>
      </c>
      <c r="W5971">
        <v>-0.10824110000000001</v>
      </c>
      <c r="X5971">
        <v>0.97440979999999999</v>
      </c>
      <c r="Y5971">
        <v>-5.0729290000000003E-2</v>
      </c>
      <c r="Z5971">
        <v>1.147486E-2</v>
      </c>
      <c r="AA5971">
        <v>0.99864649999999999</v>
      </c>
      <c r="AB5971">
        <v>22</v>
      </c>
      <c r="AC5971">
        <v>26.2624999999999</v>
      </c>
      <c r="AD5971">
        <v>-1.108087474925</v>
      </c>
      <c r="AE5971">
        <v>-12.86308</v>
      </c>
      <c r="AF5971">
        <v>-1.49340883826596</v>
      </c>
      <c r="AG5971">
        <v>-1.108087474925</v>
      </c>
      <c r="AH5971">
        <v>29.1632821612186</v>
      </c>
      <c r="AI5971">
        <v>92.173117834923602</v>
      </c>
      <c r="AJ5971">
        <v>92.931472076999697</v>
      </c>
      <c r="AK5971">
        <v>29.222511086919798</v>
      </c>
      <c r="AL5971">
        <v>96.213932763271899</v>
      </c>
      <c r="AM5971">
        <v>101.429684838518</v>
      </c>
      <c r="AN5971">
        <v>0.99999997433302901</v>
      </c>
    </row>
    <row r="5972" spans="1:40" x14ac:dyDescent="0.25">
      <c r="A5972" t="str">
        <f>"20190305135047493"</f>
        <v>20190305135047493</v>
      </c>
      <c r="B5972" t="str">
        <f>"1551765047486398"</f>
        <v>1551765047486398</v>
      </c>
      <c r="C5972" t="s">
        <v>40</v>
      </c>
      <c r="D5972">
        <v>4.3289540000000004</v>
      </c>
      <c r="E5972">
        <v>0.55649999999999999</v>
      </c>
      <c r="F5972" t="s">
        <v>98</v>
      </c>
      <c r="G5972">
        <v>-381.90219999999999</v>
      </c>
      <c r="H5972" s="1">
        <v>-4.9195239999999999E-6</v>
      </c>
      <c r="I5972">
        <v>13.46475</v>
      </c>
      <c r="J5972">
        <v>-407.07299999999998</v>
      </c>
      <c r="K5972">
        <v>1.108109</v>
      </c>
      <c r="L5972">
        <v>25.730650000000001</v>
      </c>
      <c r="M5972">
        <v>0.87341729999999995</v>
      </c>
      <c r="N5972">
        <v>-1.63436E-2</v>
      </c>
      <c r="O5972">
        <v>-0.48669839999999998</v>
      </c>
      <c r="P5972">
        <v>0.94563189999999997</v>
      </c>
      <c r="Q5972">
        <v>-0.1240919</v>
      </c>
      <c r="R5972">
        <v>-0.30063570000000001</v>
      </c>
      <c r="S5972">
        <v>2.7335210000000001</v>
      </c>
      <c r="T5972">
        <v>-0.1197855</v>
      </c>
      <c r="U5972">
        <v>-1.3331599999999999</v>
      </c>
      <c r="V5972">
        <v>-0.19817670000000001</v>
      </c>
      <c r="W5972">
        <v>-0.1072776</v>
      </c>
      <c r="X5972">
        <v>0.97427799999999998</v>
      </c>
      <c r="Y5972">
        <v>-5.4419769999999999E-2</v>
      </c>
      <c r="Z5972">
        <v>1.2533280000000001E-2</v>
      </c>
      <c r="AA5972">
        <v>0.99843950000000004</v>
      </c>
      <c r="AB5972">
        <v>22</v>
      </c>
      <c r="AC5972">
        <v>25.1708</v>
      </c>
      <c r="AD5972">
        <v>-1.108113919524</v>
      </c>
      <c r="AE5972">
        <v>-12.2659</v>
      </c>
      <c r="AF5972">
        <v>-1.53513971535522</v>
      </c>
      <c r="AG5972">
        <v>-1.108113919524</v>
      </c>
      <c r="AH5972">
        <v>27.914418245174399</v>
      </c>
      <c r="AI5972">
        <v>92.269840965933</v>
      </c>
      <c r="AJ5972">
        <v>93.147782416587503</v>
      </c>
      <c r="AK5972">
        <v>27.978551005562</v>
      </c>
      <c r="AL5972">
        <v>96.158404441805303</v>
      </c>
      <c r="AM5972">
        <v>101.497605646184</v>
      </c>
      <c r="AN5972">
        <v>1.00000005458432</v>
      </c>
    </row>
    <row r="5973" spans="1:40" x14ac:dyDescent="0.25">
      <c r="A5973" t="str">
        <f>"20190305135047508"</f>
        <v>20190305135047508</v>
      </c>
      <c r="B5973" t="str">
        <f>"1551765047505917"</f>
        <v>1551765047505917</v>
      </c>
      <c r="C5973" t="s">
        <v>40</v>
      </c>
      <c r="D5973">
        <v>4.4066939999999999</v>
      </c>
      <c r="E5973">
        <v>0.55780010000000002</v>
      </c>
      <c r="F5973" t="s">
        <v>98</v>
      </c>
      <c r="G5973">
        <v>-381.63279999999997</v>
      </c>
      <c r="H5973" s="1">
        <v>-5.0710740000000002E-6</v>
      </c>
      <c r="I5973">
        <v>13.328250000000001</v>
      </c>
      <c r="J5973">
        <v>-406.92770000000002</v>
      </c>
      <c r="K5973">
        <v>1.1081559999999999</v>
      </c>
      <c r="L5973">
        <v>25.646699999999999</v>
      </c>
      <c r="M5973">
        <v>0.87235769999999901</v>
      </c>
      <c r="N5973">
        <v>-1.608416E-2</v>
      </c>
      <c r="O5973">
        <v>-0.48860330000000002</v>
      </c>
      <c r="P5973">
        <v>0.94589959999999995</v>
      </c>
      <c r="Q5973">
        <v>-0.1222903</v>
      </c>
      <c r="R5973">
        <v>-0.30053150000000001</v>
      </c>
      <c r="S5973">
        <v>2.7332459999999998</v>
      </c>
      <c r="T5973">
        <v>-0.1190536</v>
      </c>
      <c r="U5973">
        <v>-1.332489</v>
      </c>
      <c r="V5973">
        <v>-0.20049429999999999</v>
      </c>
      <c r="W5973">
        <v>-0.1057529</v>
      </c>
      <c r="X5973">
        <v>0.97397040000000001</v>
      </c>
      <c r="Y5973">
        <v>-5.6753030000000003E-2</v>
      </c>
      <c r="Z5973">
        <v>1.2632859999999999E-2</v>
      </c>
      <c r="AA5973">
        <v>0.99830830000000004</v>
      </c>
      <c r="AB5973">
        <v>22</v>
      </c>
      <c r="AC5973">
        <v>25.294899999999998</v>
      </c>
      <c r="AD5973">
        <v>-1.108161071074</v>
      </c>
      <c r="AE5973">
        <v>-12.31845</v>
      </c>
      <c r="AF5973">
        <v>-1.61078681050651</v>
      </c>
      <c r="AG5973">
        <v>-1.108161071074</v>
      </c>
      <c r="AH5973">
        <v>28.0451636447285</v>
      </c>
      <c r="AI5973">
        <v>92.259057379731004</v>
      </c>
      <c r="AJ5973">
        <v>93.287197857886099</v>
      </c>
      <c r="AK5973">
        <v>28.113232808909501</v>
      </c>
      <c r="AL5973">
        <v>96.070546133366193</v>
      </c>
      <c r="AM5973">
        <v>101.631996381666</v>
      </c>
      <c r="AN5973">
        <v>0.99999999013353003</v>
      </c>
    </row>
    <row r="5974" spans="1:40" x14ac:dyDescent="0.25">
      <c r="A5974" t="str">
        <f>"20190305135047520"</f>
        <v>20190305135047520</v>
      </c>
      <c r="B5974" t="str">
        <f>"1551765047515677"</f>
        <v>1551765047515677</v>
      </c>
      <c r="C5974" t="s">
        <v>40</v>
      </c>
      <c r="D5974">
        <v>4.3469740000000003</v>
      </c>
      <c r="E5974">
        <v>0.55804169999999997</v>
      </c>
      <c r="F5974" t="s">
        <v>100</v>
      </c>
      <c r="G5974">
        <v>-379.0754</v>
      </c>
      <c r="H5974" s="1">
        <v>-2.3769839999999998E-6</v>
      </c>
      <c r="I5974">
        <v>11.957879999999999</v>
      </c>
      <c r="J5974">
        <v>-406.8338</v>
      </c>
      <c r="K5974">
        <v>1.1081840000000001</v>
      </c>
      <c r="L5974">
        <v>25.59225</v>
      </c>
      <c r="M5974">
        <v>0.87168650000000003</v>
      </c>
      <c r="N5974">
        <v>-1.5922660000000002E-2</v>
      </c>
      <c r="O5974">
        <v>-0.48980560000000001</v>
      </c>
      <c r="P5974">
        <v>0.9459438</v>
      </c>
      <c r="Q5974">
        <v>-0.12148589999999999</v>
      </c>
      <c r="R5974">
        <v>-0.30071910000000002</v>
      </c>
      <c r="S5974">
        <v>2.7311100000000001</v>
      </c>
      <c r="T5974">
        <v>-0.1086627</v>
      </c>
      <c r="U5974">
        <v>-1.342285</v>
      </c>
      <c r="V5974">
        <v>-0.201678</v>
      </c>
      <c r="W5974">
        <v>-0.1051227</v>
      </c>
      <c r="X5974">
        <v>0.97379420000000005</v>
      </c>
      <c r="Y5974">
        <v>-5.4971609999999997E-2</v>
      </c>
      <c r="Z5974">
        <v>1.092337E-2</v>
      </c>
      <c r="AA5974">
        <v>0.99842819999999999</v>
      </c>
      <c r="AB5974">
        <v>22</v>
      </c>
      <c r="AC5974">
        <v>27.758399999999899</v>
      </c>
      <c r="AD5974">
        <v>-1.1081863769839999</v>
      </c>
      <c r="AE5974">
        <v>-13.634370000000001</v>
      </c>
      <c r="AF5974">
        <v>-1.7093452795644</v>
      </c>
      <c r="AG5974">
        <v>-1.1081863769839999</v>
      </c>
      <c r="AH5974">
        <v>30.839123253633598</v>
      </c>
      <c r="AI5974">
        <v>92.054854398626404</v>
      </c>
      <c r="AJ5974">
        <v>93.172533706728601</v>
      </c>
      <c r="AK5974">
        <v>30.906333677479498</v>
      </c>
      <c r="AL5974">
        <v>96.034236052268199</v>
      </c>
      <c r="AM5974">
        <v>101.700841521896</v>
      </c>
      <c r="AN5974">
        <v>0.99999997084646397</v>
      </c>
    </row>
    <row r="5975" spans="1:40" x14ac:dyDescent="0.25">
      <c r="A5975" t="str">
        <f>"20190305135047533"</f>
        <v>20190305135047533</v>
      </c>
      <c r="B5975" t="str">
        <f>"1551765047526414"</f>
        <v>1551765047526414</v>
      </c>
      <c r="C5975" t="s">
        <v>40</v>
      </c>
      <c r="D5975">
        <v>4.3146019999999998</v>
      </c>
      <c r="E5975">
        <v>0.55800070000000002</v>
      </c>
      <c r="F5975" t="s">
        <v>100</v>
      </c>
      <c r="G5975">
        <v>-378.03680000000003</v>
      </c>
      <c r="H5975" s="1">
        <v>-2.9210859999999999E-6</v>
      </c>
      <c r="I5975">
        <v>11.411949999999999</v>
      </c>
      <c r="J5975">
        <v>-406.7328</v>
      </c>
      <c r="K5975">
        <v>1.1082129999999999</v>
      </c>
      <c r="L5975">
        <v>25.53351</v>
      </c>
      <c r="M5975">
        <v>0.87096640000000003</v>
      </c>
      <c r="N5975">
        <v>-1.575118E-2</v>
      </c>
      <c r="O5975">
        <v>-0.49109029999999998</v>
      </c>
      <c r="P5975">
        <v>0.94594789999999995</v>
      </c>
      <c r="Q5975">
        <v>-0.1208605</v>
      </c>
      <c r="R5975">
        <v>-0.30095759999999899</v>
      </c>
      <c r="S5975">
        <v>2.7305299999999999</v>
      </c>
      <c r="T5975">
        <v>-0.10507809999999999</v>
      </c>
      <c r="U5975">
        <v>-1.3445739999999999</v>
      </c>
      <c r="V5975">
        <v>-0.20288990000000001</v>
      </c>
      <c r="W5975">
        <v>-0.1046837</v>
      </c>
      <c r="X5975">
        <v>0.9735897</v>
      </c>
      <c r="Y5975">
        <v>-5.5694809999999997E-2</v>
      </c>
      <c r="Z5975">
        <v>1.043468E-2</v>
      </c>
      <c r="AA5975">
        <v>0.99839330000000004</v>
      </c>
      <c r="AB5975">
        <v>22</v>
      </c>
      <c r="AC5975">
        <v>28.695999999999898</v>
      </c>
      <c r="AD5975">
        <v>-1.1082159210860001</v>
      </c>
      <c r="AE5975">
        <v>-14.121560000000001</v>
      </c>
      <c r="AF5975">
        <v>-1.7909948019034601</v>
      </c>
      <c r="AG5975">
        <v>-1.1082159210860001</v>
      </c>
      <c r="AH5975">
        <v>31.8938762479115</v>
      </c>
      <c r="AI5975">
        <v>91.9869269660404</v>
      </c>
      <c r="AJ5975">
        <v>93.214058516571697</v>
      </c>
      <c r="AK5975">
        <v>31.963340673735701</v>
      </c>
      <c r="AL5975">
        <v>96.008943800011807</v>
      </c>
      <c r="AM5975">
        <v>101.771600395856</v>
      </c>
      <c r="AN5975">
        <v>0.99999994625689304</v>
      </c>
    </row>
    <row r="5976" spans="1:40" x14ac:dyDescent="0.25">
      <c r="A5976" t="str">
        <f>"20190305135047544"</f>
        <v>20190305135047544</v>
      </c>
      <c r="B5976" t="str">
        <f>"1551765047536173"</f>
        <v>1551765047536173</v>
      </c>
      <c r="C5976" t="s">
        <v>40</v>
      </c>
      <c r="D5976">
        <v>4.3554779999999997</v>
      </c>
      <c r="E5976">
        <v>0.55807010000000001</v>
      </c>
      <c r="F5976" t="s">
        <v>100</v>
      </c>
      <c r="G5976">
        <v>-377.55099999999999</v>
      </c>
      <c r="H5976" s="1">
        <v>-3.175518E-6</v>
      </c>
      <c r="I5976">
        <v>11.1569</v>
      </c>
      <c r="J5976">
        <v>-406.62060000000002</v>
      </c>
      <c r="K5976">
        <v>1.1082479999999999</v>
      </c>
      <c r="L5976">
        <v>25.468139999999998</v>
      </c>
      <c r="M5976">
        <v>0.87018530000000005</v>
      </c>
      <c r="N5976">
        <v>-1.557059E-2</v>
      </c>
      <c r="O5976">
        <v>-0.49247859999999999</v>
      </c>
      <c r="P5976">
        <v>0.94590280000000004</v>
      </c>
      <c r="Q5976">
        <v>-0.12039320000000001</v>
      </c>
      <c r="R5976">
        <v>-0.30128650000000001</v>
      </c>
      <c r="S5976">
        <v>2.7302249999999999</v>
      </c>
      <c r="T5976">
        <v>-0.1036837</v>
      </c>
      <c r="U5976">
        <v>-1.345062</v>
      </c>
      <c r="V5976">
        <v>-0.20411509999999999</v>
      </c>
      <c r="W5976">
        <v>-0.1044158</v>
      </c>
      <c r="X5976">
        <v>0.97336239999999996</v>
      </c>
      <c r="Y5976">
        <v>-5.7099669999999998E-2</v>
      </c>
      <c r="Z5976">
        <v>1.0338389999999999E-2</v>
      </c>
      <c r="AA5976">
        <v>0.99831499999999995</v>
      </c>
      <c r="AB5976">
        <v>22</v>
      </c>
      <c r="AC5976">
        <v>29.069600000000001</v>
      </c>
      <c r="AD5976">
        <v>-1.108251175518</v>
      </c>
      <c r="AE5976">
        <v>-14.3112399999999</v>
      </c>
      <c r="AF5976">
        <v>-1.8607741002862599</v>
      </c>
      <c r="AG5976">
        <v>-1.108251175518</v>
      </c>
      <c r="AH5976">
        <v>32.310038948782299</v>
      </c>
      <c r="AI5976">
        <v>91.961257649538396</v>
      </c>
      <c r="AJ5976">
        <v>93.296092141753405</v>
      </c>
      <c r="AK5976">
        <v>32.382546499498197</v>
      </c>
      <c r="AL5976">
        <v>95.993509367048603</v>
      </c>
      <c r="AM5976">
        <v>101.84337205086899</v>
      </c>
      <c r="AN5976">
        <v>0.99999999753570401</v>
      </c>
    </row>
    <row r="5977" spans="1:40" x14ac:dyDescent="0.25">
      <c r="A5977" t="str">
        <f>"20190305135047556"</f>
        <v>20190305135047556</v>
      </c>
      <c r="B5977" t="str">
        <f>"1551765047545933"</f>
        <v>1551765047545933</v>
      </c>
      <c r="C5977" t="s">
        <v>40</v>
      </c>
      <c r="D5977">
        <v>4.3686910000000001</v>
      </c>
      <c r="E5977">
        <v>0.55813480000000004</v>
      </c>
      <c r="F5977" t="s">
        <v>100</v>
      </c>
      <c r="G5977">
        <v>-376.86680000000001</v>
      </c>
      <c r="H5977" s="1">
        <v>-3.5355939999999999E-6</v>
      </c>
      <c r="I5977">
        <v>10.79101</v>
      </c>
      <c r="J5977">
        <v>-406.5213</v>
      </c>
      <c r="K5977">
        <v>1.1082809999999901</v>
      </c>
      <c r="L5977">
        <v>25.4101</v>
      </c>
      <c r="M5977">
        <v>0.86950709999999998</v>
      </c>
      <c r="N5977">
        <v>-1.541816E-2</v>
      </c>
      <c r="O5977">
        <v>-0.49368000000000001</v>
      </c>
      <c r="P5977">
        <v>0.94594270000000003</v>
      </c>
      <c r="Q5977">
        <v>-0.1199018</v>
      </c>
      <c r="R5977">
        <v>-0.3013574</v>
      </c>
      <c r="S5977">
        <v>2.7297060000000002</v>
      </c>
      <c r="T5977">
        <v>-0.1016746</v>
      </c>
      <c r="U5977">
        <v>-1.346527</v>
      </c>
      <c r="V5977">
        <v>-0.20540059999999999</v>
      </c>
      <c r="W5977">
        <v>-0.10409400000000001</v>
      </c>
      <c r="X5977">
        <v>0.97312639999999995</v>
      </c>
      <c r="Y5977">
        <v>-5.7975720000000001E-2</v>
      </c>
      <c r="Z5977">
        <v>1.010668E-2</v>
      </c>
      <c r="AA5977">
        <v>0.99826680000000001</v>
      </c>
      <c r="AB5977">
        <v>22</v>
      </c>
      <c r="AC5977">
        <v>29.654499999999899</v>
      </c>
      <c r="AD5977">
        <v>-1.1082845355940001</v>
      </c>
      <c r="AE5977">
        <v>-14.61909</v>
      </c>
      <c r="AF5977">
        <v>-1.9264952634668699</v>
      </c>
      <c r="AG5977">
        <v>-1.1082845355940001</v>
      </c>
      <c r="AH5977">
        <v>32.968823513473097</v>
      </c>
      <c r="AI5977">
        <v>91.922061643494402</v>
      </c>
      <c r="AJ5977">
        <v>93.344210117969595</v>
      </c>
      <c r="AK5977">
        <v>33.043652983205902</v>
      </c>
      <c r="AL5977">
        <v>95.974970671954694</v>
      </c>
      <c r="AM5977">
        <v>101.918641961527</v>
      </c>
      <c r="AN5977">
        <v>0.99999997884665903</v>
      </c>
    </row>
    <row r="5978" spans="1:40" x14ac:dyDescent="0.25">
      <c r="A5978" t="str">
        <f>"20190305135047568"</f>
        <v>20190305135047568</v>
      </c>
      <c r="B5978" t="str">
        <f>"1551765047555693"</f>
        <v>1551765047555693</v>
      </c>
      <c r="C5978" t="s">
        <v>40</v>
      </c>
      <c r="D5978">
        <v>4.3700070000000002</v>
      </c>
      <c r="E5978">
        <v>0.55795509999999904</v>
      </c>
      <c r="F5978" t="s">
        <v>100</v>
      </c>
      <c r="G5978">
        <v>-375.91390000000001</v>
      </c>
      <c r="H5978" s="1">
        <v>-4.0302629999999998E-6</v>
      </c>
      <c r="I5978">
        <v>10.307119999999999</v>
      </c>
      <c r="J5978">
        <v>-406.42500000000001</v>
      </c>
      <c r="K5978">
        <v>1.108317</v>
      </c>
      <c r="L5978">
        <v>25.3537</v>
      </c>
      <c r="M5978">
        <v>0.8688574</v>
      </c>
      <c r="N5978">
        <v>-1.527511E-2</v>
      </c>
      <c r="O5978">
        <v>-0.49482700000000002</v>
      </c>
      <c r="P5978">
        <v>0.94604560000000004</v>
      </c>
      <c r="Q5978">
        <v>-0.119329</v>
      </c>
      <c r="R5978">
        <v>-0.30126190000000003</v>
      </c>
      <c r="S5978">
        <v>2.7297669999999998</v>
      </c>
      <c r="T5978">
        <v>-9.8844290000000001E-2</v>
      </c>
      <c r="U5978">
        <v>-1.3469850000000001</v>
      </c>
      <c r="V5978">
        <v>-0.20680190000000001</v>
      </c>
      <c r="W5978">
        <v>-0.10368139999999899</v>
      </c>
      <c r="X5978">
        <v>0.97287360000000001</v>
      </c>
      <c r="Y5978">
        <v>-5.9173179999999999E-2</v>
      </c>
      <c r="Z5978">
        <v>9.7338249999999998E-3</v>
      </c>
      <c r="AA5978">
        <v>0.99820030000000004</v>
      </c>
      <c r="AB5978">
        <v>22</v>
      </c>
      <c r="AC5978">
        <v>30.511099999999999</v>
      </c>
      <c r="AD5978">
        <v>-1.108321030263</v>
      </c>
      <c r="AE5978">
        <v>-15.046579999999899</v>
      </c>
      <c r="AF5978">
        <v>-2.0224730098367401</v>
      </c>
      <c r="AG5978">
        <v>-1.108321030263</v>
      </c>
      <c r="AH5978">
        <v>33.9232007724572</v>
      </c>
      <c r="AI5978">
        <v>91.867957568436296</v>
      </c>
      <c r="AJ5978">
        <v>93.411888079168094</v>
      </c>
      <c r="AK5978">
        <v>34.0015047200867</v>
      </c>
      <c r="AL5978">
        <v>95.951201992103606</v>
      </c>
      <c r="AM5978">
        <v>102.000632930457</v>
      </c>
      <c r="AN5978">
        <v>0.99999995006326303</v>
      </c>
    </row>
    <row r="5979" spans="1:40" x14ac:dyDescent="0.25">
      <c r="A5979" t="str">
        <f>"20190305135047579"</f>
        <v>20190305135047579</v>
      </c>
      <c r="B5979" t="str">
        <f>"1551765047575830"</f>
        <v>1551765047575830</v>
      </c>
      <c r="C5979" t="s">
        <v>40</v>
      </c>
      <c r="D5979">
        <v>4.3961220000000001</v>
      </c>
      <c r="E5979">
        <v>0.55789699999999998</v>
      </c>
      <c r="F5979" t="s">
        <v>100</v>
      </c>
      <c r="G5979">
        <v>-375.32130000000001</v>
      </c>
      <c r="H5979" s="1">
        <v>-4.3328950000000001E-6</v>
      </c>
      <c r="I5979">
        <v>10.025040000000001</v>
      </c>
      <c r="J5979">
        <v>-406.3279</v>
      </c>
      <c r="K5979">
        <v>1.10836</v>
      </c>
      <c r="L5979">
        <v>25.29663</v>
      </c>
      <c r="M5979">
        <v>0.86822819999999901</v>
      </c>
      <c r="N5979">
        <v>-1.514092E-2</v>
      </c>
      <c r="O5979">
        <v>-0.49593389999999998</v>
      </c>
      <c r="P5979">
        <v>0.94612660000000004</v>
      </c>
      <c r="Q5979">
        <v>-0.1186762</v>
      </c>
      <c r="R5979">
        <v>-0.30126449999999999</v>
      </c>
      <c r="S5979">
        <v>2.7303470000000001</v>
      </c>
      <c r="T5979">
        <v>-9.7290749999999995E-2</v>
      </c>
      <c r="U5979">
        <v>-1.3455809999999999</v>
      </c>
      <c r="V5979">
        <v>-0.20806140000000001</v>
      </c>
      <c r="W5979">
        <v>-0.103183</v>
      </c>
      <c r="X5979">
        <v>0.97265800000000002</v>
      </c>
      <c r="Y5979">
        <v>-6.0943879999999999E-2</v>
      </c>
      <c r="Z5979">
        <v>9.5858820000000004E-3</v>
      </c>
      <c r="AA5979">
        <v>0.99809519999999996</v>
      </c>
      <c r="AB5979">
        <v>22</v>
      </c>
      <c r="AC5979">
        <v>31.006599999999899</v>
      </c>
      <c r="AD5979">
        <v>-1.1083643328949999</v>
      </c>
      <c r="AE5979">
        <v>-15.27159</v>
      </c>
      <c r="AF5979">
        <v>-2.1160658917922102</v>
      </c>
      <c r="AG5979">
        <v>-1.1083643328949999</v>
      </c>
      <c r="AH5979">
        <v>34.463020927713004</v>
      </c>
      <c r="AI5979">
        <v>91.838592989277004</v>
      </c>
      <c r="AJ5979">
        <v>93.513610277970201</v>
      </c>
      <c r="AK5979">
        <v>34.545709108611803</v>
      </c>
      <c r="AL5979">
        <v>95.922491898298802</v>
      </c>
      <c r="AM5979">
        <v>102.07418089767999</v>
      </c>
      <c r="AN5979">
        <v>0.99999993131147702</v>
      </c>
    </row>
    <row r="5980" spans="1:40" x14ac:dyDescent="0.25">
      <c r="A5980" t="str">
        <f>"20190305135047591"</f>
        <v>20190305135047591</v>
      </c>
      <c r="B5980" t="str">
        <f>"1551765047586566"</f>
        <v>1551765047586566</v>
      </c>
      <c r="C5980" t="s">
        <v>40</v>
      </c>
      <c r="D5980">
        <v>4.3786079999999998</v>
      </c>
      <c r="E5980">
        <v>0.55785419999999997</v>
      </c>
      <c r="F5980" t="s">
        <v>100</v>
      </c>
      <c r="G5980">
        <v>-374.6893</v>
      </c>
      <c r="H5980" s="1">
        <v>-4.6592369999999998E-6</v>
      </c>
      <c r="I5980">
        <v>9.7107170000000007</v>
      </c>
      <c r="J5980">
        <v>-406.2269</v>
      </c>
      <c r="K5980">
        <v>1.108409</v>
      </c>
      <c r="L5980">
        <v>25.237300000000001</v>
      </c>
      <c r="M5980">
        <v>0.86758409999999997</v>
      </c>
      <c r="N5980">
        <v>-1.5004979999999999E-2</v>
      </c>
      <c r="O5980">
        <v>-0.49706359999999999</v>
      </c>
      <c r="P5980">
        <v>0.9462855</v>
      </c>
      <c r="Q5980">
        <v>-0.1184335</v>
      </c>
      <c r="R5980">
        <v>-0.30086010000000002</v>
      </c>
      <c r="S5980">
        <v>2.7305299999999999</v>
      </c>
      <c r="T5980">
        <v>-9.5656039999999998E-2</v>
      </c>
      <c r="U5980">
        <v>-1.3451229999999901</v>
      </c>
      <c r="V5980">
        <v>-0.2097396</v>
      </c>
      <c r="W5980">
        <v>-0.1030996</v>
      </c>
      <c r="X5980">
        <v>0.97230640000000002</v>
      </c>
      <c r="Y5980">
        <v>-6.240627E-2</v>
      </c>
      <c r="Z5980">
        <v>9.4166979999999994E-3</v>
      </c>
      <c r="AA5980">
        <v>0.99800639999999996</v>
      </c>
      <c r="AB5980">
        <v>22</v>
      </c>
      <c r="AC5980">
        <v>31.537600000000001</v>
      </c>
      <c r="AD5980">
        <v>-1.108413659237</v>
      </c>
      <c r="AE5980">
        <v>-15.526582999999899</v>
      </c>
      <c r="AF5980">
        <v>-2.2036343444965301</v>
      </c>
      <c r="AG5980">
        <v>-1.108413659237</v>
      </c>
      <c r="AH5980">
        <v>35.048330731758597</v>
      </c>
      <c r="AI5980">
        <v>91.807824559586606</v>
      </c>
      <c r="AJ5980">
        <v>93.597688234195303</v>
      </c>
      <c r="AK5980">
        <v>35.135026287836503</v>
      </c>
      <c r="AL5980">
        <v>95.917687510875098</v>
      </c>
      <c r="AM5980">
        <v>102.17294782840101</v>
      </c>
      <c r="AN5980">
        <v>0.99999998140463897</v>
      </c>
    </row>
    <row r="5981" spans="1:40" x14ac:dyDescent="0.25">
      <c r="A5981" t="str">
        <f>"20190305135047602"</f>
        <v>20190305135047602</v>
      </c>
      <c r="B5981" t="str">
        <f>"1551765047596327"</f>
        <v>1551765047596327</v>
      </c>
      <c r="C5981" t="s">
        <v>40</v>
      </c>
      <c r="D5981">
        <v>4.4017839999999904</v>
      </c>
      <c r="E5981">
        <v>0.5578436</v>
      </c>
      <c r="F5981" t="s">
        <v>100</v>
      </c>
      <c r="G5981">
        <v>-374.63580000000002</v>
      </c>
      <c r="H5981" s="1">
        <v>-4.6841830000000001E-6</v>
      </c>
      <c r="I5981">
        <v>9.6941419999999994</v>
      </c>
      <c r="J5981">
        <v>-406.12970000000001</v>
      </c>
      <c r="K5981">
        <v>1.108465</v>
      </c>
      <c r="L5981">
        <v>25.1799</v>
      </c>
      <c r="M5981">
        <v>0.86700149999999998</v>
      </c>
      <c r="N5981">
        <v>-1.4884150000000001E-2</v>
      </c>
      <c r="O5981">
        <v>-0.49808330000000001</v>
      </c>
      <c r="P5981">
        <v>0.94649240000000001</v>
      </c>
      <c r="Q5981">
        <v>-0.1181628</v>
      </c>
      <c r="R5981">
        <v>-0.30031619999999998</v>
      </c>
      <c r="S5981">
        <v>2.7310789999999998</v>
      </c>
      <c r="T5981">
        <v>-9.5823290000000005E-2</v>
      </c>
      <c r="U5981">
        <v>-1.3437190000000001</v>
      </c>
      <c r="V5981">
        <v>-0.2114374</v>
      </c>
      <c r="W5981">
        <v>-0.102978399999999</v>
      </c>
      <c r="X5981">
        <v>0.97195149999999997</v>
      </c>
      <c r="Y5981">
        <v>-6.4068470000000002E-2</v>
      </c>
      <c r="Z5981">
        <v>9.5525409999999995E-3</v>
      </c>
      <c r="AA5981">
        <v>0.9978998</v>
      </c>
      <c r="AB5981">
        <v>22</v>
      </c>
      <c r="AC5981">
        <v>31.4939</v>
      </c>
      <c r="AD5981">
        <v>-1.108469684183</v>
      </c>
      <c r="AE5981">
        <v>-15.485757999999899</v>
      </c>
      <c r="AF5981">
        <v>-2.25840756190768</v>
      </c>
      <c r="AG5981">
        <v>-1.108469684183</v>
      </c>
      <c r="AH5981">
        <v>34.9874305371332</v>
      </c>
      <c r="AI5981">
        <v>91.810868350116806</v>
      </c>
      <c r="AJ5981">
        <v>93.693267917002004</v>
      </c>
      <c r="AK5981">
        <v>35.0777622625383</v>
      </c>
      <c r="AL5981">
        <v>95.9107058636001</v>
      </c>
      <c r="AM5981">
        <v>102.272856343296</v>
      </c>
      <c r="AN5981">
        <v>1.0000000216687801</v>
      </c>
    </row>
    <row r="5982" spans="1:40" x14ac:dyDescent="0.25">
      <c r="A5982" t="str">
        <f>"20190305135047614"</f>
        <v>20190305135047614</v>
      </c>
      <c r="B5982" t="str">
        <f>"1551765047606086"</f>
        <v>1551765047606086</v>
      </c>
      <c r="C5982" t="s">
        <v>40</v>
      </c>
      <c r="D5982">
        <v>4.3695930000000001</v>
      </c>
      <c r="E5982">
        <v>0.5577472</v>
      </c>
      <c r="F5982" t="s">
        <v>100</v>
      </c>
      <c r="G5982">
        <v>-374.59910000000002</v>
      </c>
      <c r="H5982" s="1">
        <v>-4.699558E-6</v>
      </c>
      <c r="I5982">
        <v>9.6893550000000008</v>
      </c>
      <c r="J5982">
        <v>-406.02409999999998</v>
      </c>
      <c r="K5982">
        <v>1.1085259999999999</v>
      </c>
      <c r="L5982">
        <v>25.11758</v>
      </c>
      <c r="M5982">
        <v>0.86638959999999998</v>
      </c>
      <c r="N5982">
        <v>-1.47583E-2</v>
      </c>
      <c r="O5982">
        <v>-0.49915039999999999</v>
      </c>
      <c r="P5982">
        <v>0.9466791</v>
      </c>
      <c r="Q5982">
        <v>-0.1181401</v>
      </c>
      <c r="R5982">
        <v>-0.29973559999999999</v>
      </c>
      <c r="S5982">
        <v>2.7318120000000001</v>
      </c>
      <c r="T5982">
        <v>-9.6037860000000003E-2</v>
      </c>
      <c r="U5982">
        <v>-1.3421019999999999</v>
      </c>
      <c r="V5982">
        <v>-0.21320900000000001</v>
      </c>
      <c r="W5982">
        <v>-0.10311629999999999</v>
      </c>
      <c r="X5982">
        <v>0.97154969999999996</v>
      </c>
      <c r="Y5982">
        <v>-6.5875180000000005E-2</v>
      </c>
      <c r="Z5982">
        <v>9.702446E-3</v>
      </c>
      <c r="AA5982">
        <v>0.99778069999999996</v>
      </c>
      <c r="AB5982">
        <v>22</v>
      </c>
      <c r="AC5982">
        <v>31.424999999999901</v>
      </c>
      <c r="AD5982">
        <v>-1.108530699558</v>
      </c>
      <c r="AE5982">
        <v>-15.428224999999999</v>
      </c>
      <c r="AF5982">
        <v>-2.31687729245815</v>
      </c>
      <c r="AG5982">
        <v>-1.108530699558</v>
      </c>
      <c r="AH5982">
        <v>34.896114999939698</v>
      </c>
      <c r="AI5982">
        <v>91.815485537125099</v>
      </c>
      <c r="AJ5982">
        <v>93.798495910714195</v>
      </c>
      <c r="AK5982">
        <v>34.9905073239755</v>
      </c>
      <c r="AL5982">
        <v>95.918649757388707</v>
      </c>
      <c r="AM5982">
        <v>102.37749324836599</v>
      </c>
      <c r="AN5982">
        <v>0.99999993428838696</v>
      </c>
    </row>
    <row r="5983" spans="1:40" x14ac:dyDescent="0.25">
      <c r="A5983" t="str">
        <f>"20190305135047627"</f>
        <v>20190305135047627</v>
      </c>
      <c r="B5983" t="str">
        <f>"1551765047615845"</f>
        <v>1551765047615845</v>
      </c>
      <c r="C5983" t="s">
        <v>40</v>
      </c>
      <c r="D5983">
        <v>4.3682299999999996</v>
      </c>
      <c r="E5983">
        <v>0.55769369999999996</v>
      </c>
      <c r="F5983" t="s">
        <v>100</v>
      </c>
      <c r="G5983">
        <v>-375.14510000000001</v>
      </c>
      <c r="H5983" s="1">
        <v>-4.4132880000000003E-6</v>
      </c>
      <c r="I5983">
        <v>9.977233</v>
      </c>
      <c r="J5983">
        <v>-405.91430000000003</v>
      </c>
      <c r="K5983">
        <v>1.1086</v>
      </c>
      <c r="L5983">
        <v>25.05264</v>
      </c>
      <c r="M5983">
        <v>0.86578359999999999</v>
      </c>
      <c r="N5983">
        <v>-1.4634940000000001E-2</v>
      </c>
      <c r="O5983">
        <v>-0.500204599999999</v>
      </c>
      <c r="P5983">
        <v>0.94694409999999896</v>
      </c>
      <c r="Q5983">
        <v>-0.1185083</v>
      </c>
      <c r="R5983">
        <v>-0.29875259999999998</v>
      </c>
      <c r="S5983">
        <v>2.732513</v>
      </c>
      <c r="T5983">
        <v>-9.8094819999999999E-2</v>
      </c>
      <c r="U5983">
        <v>-1.3397829999999999</v>
      </c>
      <c r="V5983">
        <v>-0.21535260000000001</v>
      </c>
      <c r="W5983">
        <v>-0.1036493</v>
      </c>
      <c r="X5983">
        <v>0.97102010000000005</v>
      </c>
      <c r="Y5983">
        <v>-6.7863599999999996E-2</v>
      </c>
      <c r="Z5983">
        <v>1.0177159999999999E-2</v>
      </c>
      <c r="AA5983">
        <v>0.99764269999999999</v>
      </c>
      <c r="AB5983">
        <v>22</v>
      </c>
      <c r="AC5983">
        <v>30.769200000000001</v>
      </c>
      <c r="AD5983">
        <v>-1.108604413288</v>
      </c>
      <c r="AE5983">
        <v>-15.075407</v>
      </c>
      <c r="AF5983">
        <v>-2.33665955627129</v>
      </c>
      <c r="AG5983">
        <v>-1.108604413288</v>
      </c>
      <c r="AH5983">
        <v>34.148168820869301</v>
      </c>
      <c r="AI5983">
        <v>91.855092857801907</v>
      </c>
      <c r="AJ5983">
        <v>93.914481079853203</v>
      </c>
      <c r="AK5983">
        <v>34.2459693313778</v>
      </c>
      <c r="AL5983">
        <v>95.949352672866297</v>
      </c>
      <c r="AM5983">
        <v>102.504646961169</v>
      </c>
      <c r="AN5983">
        <v>0.99999997716062905</v>
      </c>
    </row>
    <row r="5984" spans="1:40" x14ac:dyDescent="0.25">
      <c r="A5984" t="str">
        <f>"20190305135047645"</f>
        <v>20190305135047645</v>
      </c>
      <c r="B5984" t="str">
        <f>"1551765047636342"</f>
        <v>1551765047636342</v>
      </c>
      <c r="C5984" t="s">
        <v>40</v>
      </c>
      <c r="D5984">
        <v>4.3813529999999998</v>
      </c>
      <c r="E5984">
        <v>0.55750500000000003</v>
      </c>
      <c r="F5984" t="s">
        <v>100</v>
      </c>
      <c r="G5984">
        <v>-375.39319999999998</v>
      </c>
      <c r="H5984" s="1">
        <v>-4.2773639999999998E-6</v>
      </c>
      <c r="I5984">
        <v>10.130050000000001</v>
      </c>
      <c r="J5984">
        <v>-405.77449999999999</v>
      </c>
      <c r="K5984">
        <v>1.1087070000000001</v>
      </c>
      <c r="L5984">
        <v>24.96988</v>
      </c>
      <c r="M5984">
        <v>0.86508349999999901</v>
      </c>
      <c r="N5984">
        <v>-1.4491850000000001E-2</v>
      </c>
      <c r="O5984">
        <v>-0.50141869999999999</v>
      </c>
      <c r="P5984">
        <v>0.94772239999999996</v>
      </c>
      <c r="Q5984">
        <v>-0.1190557</v>
      </c>
      <c r="R5984">
        <v>-0.29605409999999999</v>
      </c>
      <c r="S5984">
        <v>2.7339479999999998</v>
      </c>
      <c r="T5984">
        <v>-9.9303959999999997E-2</v>
      </c>
      <c r="U5984">
        <v>-1.3367</v>
      </c>
      <c r="V5984">
        <v>-0.2194065</v>
      </c>
      <c r="W5984">
        <v>-0.104403</v>
      </c>
      <c r="X5984">
        <v>0.97003139999999999</v>
      </c>
      <c r="Y5984">
        <v>-7.0369210000000001E-2</v>
      </c>
      <c r="Z5984">
        <v>1.052732E-2</v>
      </c>
      <c r="AA5984">
        <v>0.9974655</v>
      </c>
      <c r="AB5984">
        <v>22</v>
      </c>
      <c r="AC5984">
        <v>30.3813</v>
      </c>
      <c r="AD5984">
        <v>-1.108711277364</v>
      </c>
      <c r="AE5984">
        <v>-14.839829999999999</v>
      </c>
      <c r="AF5984">
        <v>-2.39373749258852</v>
      </c>
      <c r="AG5984">
        <v>-1.108711277364</v>
      </c>
      <c r="AH5984">
        <v>33.690643255721596</v>
      </c>
      <c r="AI5984">
        <v>91.880106445230993</v>
      </c>
      <c r="AJ5984">
        <v>94.064065014780297</v>
      </c>
      <c r="AK5984">
        <v>33.793766627357101</v>
      </c>
      <c r="AL5984">
        <v>95.992771588062794</v>
      </c>
      <c r="AM5984">
        <v>102.744988047937</v>
      </c>
      <c r="AN5984">
        <v>1.0000000578185999</v>
      </c>
    </row>
    <row r="5985" spans="1:40" x14ac:dyDescent="0.25">
      <c r="A5985" t="str">
        <f>"20190305135047657"</f>
        <v>20190305135047657</v>
      </c>
      <c r="B5985" t="str">
        <f>"1551765047646103"</f>
        <v>1551765047646103</v>
      </c>
      <c r="C5985" t="s">
        <v>40</v>
      </c>
      <c r="D5985">
        <v>4.4137019999999998</v>
      </c>
      <c r="E5985">
        <v>0.55725599999999997</v>
      </c>
      <c r="F5985" t="s">
        <v>100</v>
      </c>
      <c r="G5985">
        <v>-376.80619999999999</v>
      </c>
      <c r="H5985" s="1">
        <v>-3.5232209999999999E-6</v>
      </c>
      <c r="I5985">
        <v>10.925050000000001</v>
      </c>
      <c r="J5985">
        <v>-405.66250000000002</v>
      </c>
      <c r="K5985">
        <v>1.108811</v>
      </c>
      <c r="L5985">
        <v>24.903559999999999</v>
      </c>
      <c r="M5985">
        <v>0.8645777</v>
      </c>
      <c r="N5985">
        <v>-1.438558E-2</v>
      </c>
      <c r="O5985">
        <v>-0.50229330000000005</v>
      </c>
      <c r="P5985">
        <v>0.94812669999999999</v>
      </c>
      <c r="Q5985">
        <v>-0.1194766</v>
      </c>
      <c r="R5985">
        <v>-0.29458659999999998</v>
      </c>
      <c r="S5985">
        <v>2.7376399999999999</v>
      </c>
      <c r="T5985">
        <v>-0.1047783</v>
      </c>
      <c r="U5985">
        <v>-1.3273010000000001</v>
      </c>
      <c r="V5985">
        <v>-0.22183059999999999</v>
      </c>
      <c r="W5985">
        <v>-0.10498879999999999</v>
      </c>
      <c r="X5985">
        <v>0.96941659999999996</v>
      </c>
      <c r="Y5985">
        <v>-7.4652949999999996E-2</v>
      </c>
      <c r="Z5985">
        <v>1.1645630000000001E-2</v>
      </c>
      <c r="AA5985">
        <v>0.99714159999999996</v>
      </c>
      <c r="AB5985">
        <v>22</v>
      </c>
      <c r="AC5985">
        <v>28.856300000000001</v>
      </c>
      <c r="AD5985">
        <v>-1.108814523221</v>
      </c>
      <c r="AE5985">
        <v>-13.978509999999901</v>
      </c>
      <c r="AF5985">
        <v>-2.4061897652614799</v>
      </c>
      <c r="AG5985">
        <v>-1.108814523221</v>
      </c>
      <c r="AH5985">
        <v>31.9349417866155</v>
      </c>
      <c r="AI5985">
        <v>91.982954183891295</v>
      </c>
      <c r="AJ5985">
        <v>94.308901311419305</v>
      </c>
      <c r="AK5985">
        <v>32.044652061582298</v>
      </c>
      <c r="AL5985">
        <v>96.026521257903994</v>
      </c>
      <c r="AM5985">
        <v>102.889024044607</v>
      </c>
      <c r="AN5985">
        <v>1.00000000378867</v>
      </c>
    </row>
    <row r="5986" spans="1:40" x14ac:dyDescent="0.25">
      <c r="A5986" t="str">
        <f>"20190305135047668"</f>
        <v>20190305135047668</v>
      </c>
      <c r="B5986" t="str">
        <f>"1551765047655861"</f>
        <v>1551765047655861</v>
      </c>
      <c r="C5986" t="s">
        <v>40</v>
      </c>
      <c r="D5986">
        <v>4.5754390000000003</v>
      </c>
      <c r="E5986">
        <v>0.55725599999999997</v>
      </c>
      <c r="F5986" t="s">
        <v>100</v>
      </c>
      <c r="G5986">
        <v>-377.67320000000001</v>
      </c>
      <c r="H5986" s="1">
        <v>-3.062812E-6</v>
      </c>
      <c r="I5986">
        <v>11.40399</v>
      </c>
      <c r="J5986">
        <v>-405.56670000000003</v>
      </c>
      <c r="K5986">
        <v>1.1089059999999999</v>
      </c>
      <c r="L5986">
        <v>24.846769999999999</v>
      </c>
      <c r="M5986">
        <v>0.86417409999999995</v>
      </c>
      <c r="N5986">
        <v>-1.429893E-2</v>
      </c>
      <c r="O5986">
        <v>-0.50298980000000004</v>
      </c>
      <c r="P5986">
        <v>0.94846770000000002</v>
      </c>
      <c r="Q5986">
        <v>-0.1200275</v>
      </c>
      <c r="R5986">
        <v>-0.29326259999999998</v>
      </c>
      <c r="S5986">
        <v>2.739868</v>
      </c>
      <c r="T5986">
        <v>-0.1085417</v>
      </c>
      <c r="U5986">
        <v>-1.321472</v>
      </c>
      <c r="V5986">
        <v>-0.22390109999999999</v>
      </c>
      <c r="W5986">
        <v>-0.1056815</v>
      </c>
      <c r="X5986">
        <v>0.96886519999999998</v>
      </c>
      <c r="Y5986">
        <v>-7.7475530000000001E-2</v>
      </c>
      <c r="Z5986">
        <v>1.2425759999999999E-2</v>
      </c>
      <c r="AA5986">
        <v>0.99691680000000005</v>
      </c>
      <c r="AB5986">
        <v>22</v>
      </c>
      <c r="AC5986">
        <v>27.8935</v>
      </c>
      <c r="AD5986">
        <v>-1.108909062812</v>
      </c>
      <c r="AE5986">
        <v>-13.442780000000001</v>
      </c>
      <c r="AF5986">
        <v>-2.4103988072895501</v>
      </c>
      <c r="AG5986">
        <v>-1.108909062812</v>
      </c>
      <c r="AH5986">
        <v>30.830034361819799</v>
      </c>
      <c r="AI5986">
        <v>92.0536915007999</v>
      </c>
      <c r="AJ5986">
        <v>94.470488328213804</v>
      </c>
      <c r="AK5986">
        <v>30.943993285785801</v>
      </c>
      <c r="AL5986">
        <v>96.066431924895397</v>
      </c>
      <c r="AM5986">
        <v>103.01240415852899</v>
      </c>
      <c r="AN5986">
        <v>1.0000000288972399</v>
      </c>
    </row>
    <row r="5987" spans="1:40" x14ac:dyDescent="0.25">
      <c r="A5987" t="str">
        <f>"20190305135047681"</f>
        <v>20190305135047681</v>
      </c>
      <c r="B5987" t="str">
        <f>"1551765047676358"</f>
        <v>1551765047676358</v>
      </c>
      <c r="C5987" t="s">
        <v>40</v>
      </c>
      <c r="D5987">
        <v>4.4510459999999998</v>
      </c>
      <c r="E5987">
        <v>0.51783109999999999</v>
      </c>
      <c r="F5987" t="s">
        <v>100</v>
      </c>
      <c r="G5987">
        <v>-377.95600000000002</v>
      </c>
      <c r="H5987" s="1">
        <v>-2.9075679999999999E-6</v>
      </c>
      <c r="I5987">
        <v>11.57939</v>
      </c>
      <c r="J5987">
        <v>-405.46280000000002</v>
      </c>
      <c r="K5987">
        <v>1.1090279999999999</v>
      </c>
      <c r="L5987">
        <v>24.785160000000001</v>
      </c>
      <c r="M5987">
        <v>0.86381249999999998</v>
      </c>
      <c r="N5987">
        <v>-1.421392E-2</v>
      </c>
      <c r="O5987">
        <v>-0.50361290000000003</v>
      </c>
      <c r="P5987">
        <v>0.94893539999999998</v>
      </c>
      <c r="Q5987">
        <v>-0.120037</v>
      </c>
      <c r="R5987">
        <v>-0.29174070000000002</v>
      </c>
      <c r="S5987">
        <v>2.74173</v>
      </c>
      <c r="T5987">
        <v>-0.11011410000000001</v>
      </c>
      <c r="U5987">
        <v>-1.3174440000000001</v>
      </c>
      <c r="V5987">
        <v>-0.2261164</v>
      </c>
      <c r="W5987">
        <v>-0.1058429</v>
      </c>
      <c r="X5987">
        <v>0.96833290000000005</v>
      </c>
      <c r="Y5987">
        <v>-7.9638849999999997E-2</v>
      </c>
      <c r="Z5987">
        <v>1.2803490000000001E-2</v>
      </c>
      <c r="AA5987">
        <v>0.99674149999999995</v>
      </c>
      <c r="AB5987">
        <v>22</v>
      </c>
      <c r="AC5987">
        <v>27.506799999999998</v>
      </c>
      <c r="AD5987">
        <v>-1.109030907568</v>
      </c>
      <c r="AE5987">
        <v>-13.205769999999999</v>
      </c>
      <c r="AF5987">
        <v>-2.4424904323799499</v>
      </c>
      <c r="AG5987">
        <v>-1.109030907568</v>
      </c>
      <c r="AH5987">
        <v>30.374259084549799</v>
      </c>
      <c r="AI5987">
        <v>92.084343695268601</v>
      </c>
      <c r="AJ5987">
        <v>94.597442789583098</v>
      </c>
      <c r="AK5987">
        <v>30.4924797942307</v>
      </c>
      <c r="AL5987">
        <v>96.075731946746401</v>
      </c>
      <c r="AM5987">
        <v>103.143676781499</v>
      </c>
      <c r="AN5987">
        <v>0.99999997552588904</v>
      </c>
    </row>
    <row r="5988" spans="1:40" x14ac:dyDescent="0.25">
      <c r="A5988" t="str">
        <f>"20190305135047692"</f>
        <v>20190305135047692</v>
      </c>
      <c r="B5988" t="str">
        <f>"1551765047686119"</f>
        <v>1551765047686119</v>
      </c>
      <c r="C5988" t="s">
        <v>40</v>
      </c>
      <c r="D5988">
        <v>4.3350429999999998</v>
      </c>
      <c r="E5988">
        <v>0.44924019999999998</v>
      </c>
      <c r="F5988" t="s">
        <v>42</v>
      </c>
      <c r="G5988">
        <v>-392.35680000000002</v>
      </c>
      <c r="H5988" s="1">
        <v>-3.717714E-6</v>
      </c>
      <c r="I5988">
        <v>20.083320000000001</v>
      </c>
      <c r="J5988">
        <v>-405.36270000000002</v>
      </c>
      <c r="K5988">
        <v>1.1091489999999999</v>
      </c>
      <c r="L5988">
        <v>24.725919999999999</v>
      </c>
      <c r="M5988">
        <v>0.86349509999999996</v>
      </c>
      <c r="N5988">
        <v>-1.413537E-2</v>
      </c>
      <c r="O5988">
        <v>-0.50415929999999998</v>
      </c>
      <c r="P5988">
        <v>0.94937570000000004</v>
      </c>
      <c r="Q5988">
        <v>-0.1201998</v>
      </c>
      <c r="R5988">
        <v>-0.29023789999999999</v>
      </c>
      <c r="S5988">
        <v>2.82016</v>
      </c>
      <c r="T5988">
        <v>-0.2386432</v>
      </c>
      <c r="U5988">
        <v>-1.011749</v>
      </c>
      <c r="V5988">
        <v>-0.22821620000000001</v>
      </c>
      <c r="W5988">
        <v>-0.10615280000000001</v>
      </c>
      <c r="X5988">
        <v>0.96780630000000001</v>
      </c>
      <c r="Y5988">
        <v>-0.18139549999999999</v>
      </c>
      <c r="Z5988">
        <v>4.0362040000000002E-2</v>
      </c>
      <c r="AA5988">
        <v>0.98258160000000005</v>
      </c>
      <c r="AB5988">
        <v>22</v>
      </c>
      <c r="AC5988">
        <v>13.005899999999899</v>
      </c>
      <c r="AD5988">
        <v>-1.1091527177139999</v>
      </c>
      <c r="AE5988">
        <v>-4.6425999999999998</v>
      </c>
      <c r="AF5988">
        <v>-2.5321032805554098</v>
      </c>
      <c r="AG5988">
        <v>-1.1091527177139999</v>
      </c>
      <c r="AH5988">
        <v>13.4855028726687</v>
      </c>
      <c r="AI5988">
        <v>94.621465974515402</v>
      </c>
      <c r="AJ5988">
        <v>100.634313400739</v>
      </c>
      <c r="AK5988">
        <v>13.7659200383907</v>
      </c>
      <c r="AL5988">
        <v>96.093588096480502</v>
      </c>
      <c r="AM5988">
        <v>103.26840041118299</v>
      </c>
      <c r="AN5988">
        <v>1.00000004260498</v>
      </c>
    </row>
    <row r="5989" spans="1:40" x14ac:dyDescent="0.25">
      <c r="A5989" t="str">
        <f>"20190305135047709"</f>
        <v>20190305135047709</v>
      </c>
      <c r="B5989" t="str">
        <f>"1551765047705639"</f>
        <v>1551765047705639</v>
      </c>
      <c r="C5989" t="s">
        <v>40</v>
      </c>
      <c r="D5989">
        <v>4.3723669999999997</v>
      </c>
      <c r="E5989">
        <v>0.43573600000000001</v>
      </c>
      <c r="F5989" t="s">
        <v>43</v>
      </c>
      <c r="G5989">
        <v>-315.38499999999999</v>
      </c>
      <c r="H5989">
        <v>-0.05</v>
      </c>
      <c r="I5989">
        <v>10.22461</v>
      </c>
      <c r="J5989">
        <v>-405.22199999999998</v>
      </c>
      <c r="K5989">
        <v>1.10934</v>
      </c>
      <c r="L5989">
        <v>24.642610000000001</v>
      </c>
      <c r="M5989">
        <v>0.86314659999999999</v>
      </c>
      <c r="N5989">
        <v>-1.40343E-2</v>
      </c>
      <c r="O5989">
        <v>-0.50475859999999995</v>
      </c>
      <c r="P5989">
        <v>0.9505422</v>
      </c>
      <c r="Q5989">
        <v>-0.1198124</v>
      </c>
      <c r="R5989">
        <v>-0.2865569</v>
      </c>
      <c r="S5989">
        <v>3.006958</v>
      </c>
      <c r="T5989">
        <v>-3.8737540000000001E-2</v>
      </c>
      <c r="U5989">
        <v>-0.48461910000000002</v>
      </c>
      <c r="V5989">
        <v>-0.23260420000000001</v>
      </c>
      <c r="W5989">
        <v>-0.1059756</v>
      </c>
      <c r="X5989">
        <v>0.96678050000000004</v>
      </c>
      <c r="Y5989">
        <v>-0.3609676</v>
      </c>
      <c r="Z5989">
        <v>3.6489819999999998E-3</v>
      </c>
      <c r="AA5989">
        <v>0.93257120000000004</v>
      </c>
      <c r="AB5989">
        <v>22</v>
      </c>
      <c r="AC5989">
        <v>89.836999999999904</v>
      </c>
      <c r="AD5989">
        <v>-1.15934</v>
      </c>
      <c r="AE5989">
        <v>-14.417999999999999</v>
      </c>
      <c r="AF5989">
        <v>-32.899045682803902</v>
      </c>
      <c r="AG5989">
        <v>-1.15934</v>
      </c>
      <c r="AH5989">
        <v>84.814683883147893</v>
      </c>
      <c r="AI5989">
        <v>90.730134564700904</v>
      </c>
      <c r="AJ5989">
        <v>111.200938260833</v>
      </c>
      <c r="AK5989">
        <v>90.979238721112296</v>
      </c>
      <c r="AL5989">
        <v>96.0833777163501</v>
      </c>
      <c r="AM5989">
        <v>103.528055408459</v>
      </c>
      <c r="AN5989">
        <v>1.0000000384166201</v>
      </c>
    </row>
    <row r="5990" spans="1:40" x14ac:dyDescent="0.25">
      <c r="A5990" t="str">
        <f>"20190305135047721"</f>
        <v>20190305135047721</v>
      </c>
      <c r="B5990" t="str">
        <f>"1551765047716374"</f>
        <v>1551765047716374</v>
      </c>
      <c r="C5990" t="s">
        <v>40</v>
      </c>
      <c r="D5990">
        <v>4.3085690000000003</v>
      </c>
      <c r="E5990">
        <v>0.43273309999999998</v>
      </c>
      <c r="F5990" t="s">
        <v>103</v>
      </c>
      <c r="G5990">
        <v>-241.47579999999999</v>
      </c>
      <c r="H5990">
        <v>3.4083969999999999</v>
      </c>
      <c r="I5990">
        <v>4.8003920000000004</v>
      </c>
      <c r="J5990">
        <v>-405.12810000000002</v>
      </c>
      <c r="K5990">
        <v>1.1094729999999999</v>
      </c>
      <c r="L5990">
        <v>24.587160000000001</v>
      </c>
      <c r="M5990">
        <v>0.86300159999999904</v>
      </c>
      <c r="N5990">
        <v>-1.3974459999999999E-2</v>
      </c>
      <c r="O5990">
        <v>-0.50500800000000001</v>
      </c>
      <c r="P5990">
        <v>0.95113239999999999</v>
      </c>
      <c r="Q5990">
        <v>-0.1194149</v>
      </c>
      <c r="R5990">
        <v>-0.28475909999999999</v>
      </c>
      <c r="S5990">
        <v>3.0500790000000002</v>
      </c>
      <c r="T5990">
        <v>4.2824149999999998E-2</v>
      </c>
      <c r="U5990">
        <v>-0.36959839999999999</v>
      </c>
      <c r="V5990">
        <v>-0.23469799999999999</v>
      </c>
      <c r="W5990">
        <v>-0.1057149</v>
      </c>
      <c r="X5990">
        <v>0.96630289999999996</v>
      </c>
      <c r="Y5990">
        <v>-0.3973681</v>
      </c>
      <c r="Z5990">
        <v>-1.408883E-2</v>
      </c>
      <c r="AA5990">
        <v>0.91755120000000001</v>
      </c>
      <c r="AB5990">
        <v>22</v>
      </c>
      <c r="AC5990">
        <v>163.6523</v>
      </c>
      <c r="AD5990">
        <v>2.298924</v>
      </c>
      <c r="AE5990">
        <v>-19.786767999999999</v>
      </c>
      <c r="AF5990">
        <v>-65.563355888471406</v>
      </c>
      <c r="AG5990">
        <v>2.298924</v>
      </c>
      <c r="AH5990">
        <v>151.210022245902</v>
      </c>
      <c r="AI5990">
        <v>89.200846841958096</v>
      </c>
      <c r="AJ5990">
        <v>113.44113722071199</v>
      </c>
      <c r="AK5990">
        <v>164.82812112780499</v>
      </c>
      <c r="AL5990">
        <v>96.068356298807004</v>
      </c>
      <c r="AM5990">
        <v>103.65178747800999</v>
      </c>
      <c r="AN5990">
        <v>1.0000000429172</v>
      </c>
    </row>
    <row r="5991" spans="1:40" x14ac:dyDescent="0.25">
      <c r="A5991" t="str">
        <f>"20190305135047731"</f>
        <v>20190305135047731</v>
      </c>
      <c r="B5991" t="str">
        <f>"1551765047726134"</f>
        <v>1551765047726134</v>
      </c>
      <c r="C5991" t="s">
        <v>40</v>
      </c>
      <c r="D5991">
        <v>4.2753639999999997</v>
      </c>
      <c r="E5991">
        <v>0.43142720000000001</v>
      </c>
      <c r="F5991" t="s">
        <v>103</v>
      </c>
      <c r="G5991">
        <v>-241.6901</v>
      </c>
      <c r="H5991">
        <v>4.7338060000000004</v>
      </c>
      <c r="I5991">
        <v>6.3922530000000002</v>
      </c>
      <c r="J5991">
        <v>-405.03050000000002</v>
      </c>
      <c r="K5991">
        <v>1.109615</v>
      </c>
      <c r="L5991">
        <v>24.529540000000001</v>
      </c>
      <c r="M5991">
        <v>0.86287449999999999</v>
      </c>
      <c r="N5991">
        <v>-1.3914040000000001E-2</v>
      </c>
      <c r="O5991">
        <v>-0.50522630000000002</v>
      </c>
      <c r="P5991">
        <v>0.95158699999999996</v>
      </c>
      <c r="Q5991">
        <v>-0.1190795</v>
      </c>
      <c r="R5991">
        <v>-0.28337630000000003</v>
      </c>
      <c r="S5991">
        <v>3.060638</v>
      </c>
      <c r="T5991">
        <v>6.7871329999999994E-2</v>
      </c>
      <c r="U5991">
        <v>-0.3407288</v>
      </c>
      <c r="V5991">
        <v>-0.23632909999999999</v>
      </c>
      <c r="W5991">
        <v>-0.1055214</v>
      </c>
      <c r="X5991">
        <v>0.96592639999999996</v>
      </c>
      <c r="Y5991">
        <v>-0.40633750000000002</v>
      </c>
      <c r="Z5991">
        <v>-1.9650259999999999E-2</v>
      </c>
      <c r="AA5991">
        <v>0.91351179999999998</v>
      </c>
      <c r="AB5991">
        <v>22</v>
      </c>
      <c r="AC5991">
        <v>163.34039999999999</v>
      </c>
      <c r="AD5991">
        <v>3.6241910000000002</v>
      </c>
      <c r="AE5991">
        <v>-18.137287000000001</v>
      </c>
      <c r="AF5991">
        <v>-66.847641949713207</v>
      </c>
      <c r="AG5991">
        <v>3.6241910000000002</v>
      </c>
      <c r="AH5991">
        <v>150.04729203520699</v>
      </c>
      <c r="AI5991">
        <v>88.736079458602106</v>
      </c>
      <c r="AJ5991">
        <v>114.013473456976</v>
      </c>
      <c r="AK5991">
        <v>164.304387773852</v>
      </c>
      <c r="AL5991">
        <v>96.057207407800206</v>
      </c>
      <c r="AM5991">
        <v>103.748232229961</v>
      </c>
      <c r="AN5991">
        <v>1.0000000097908599</v>
      </c>
    </row>
    <row r="5992" spans="1:40" x14ac:dyDescent="0.25">
      <c r="A5992" t="str">
        <f>"20190305135047743"</f>
        <v>20190305135047743</v>
      </c>
      <c r="B5992" t="str">
        <f>"1551765047735895"</f>
        <v>1551765047735895</v>
      </c>
      <c r="C5992" t="s">
        <v>40</v>
      </c>
      <c r="D5992">
        <v>4.2750349999999999</v>
      </c>
      <c r="E5992">
        <v>0.43160229999999999</v>
      </c>
      <c r="F5992" t="s">
        <v>103</v>
      </c>
      <c r="G5992">
        <v>-241.07</v>
      </c>
      <c r="H5992">
        <v>5.7832970000000001</v>
      </c>
      <c r="I5992">
        <v>7.08426799999999</v>
      </c>
      <c r="J5992">
        <v>-404.92559999999997</v>
      </c>
      <c r="K5992">
        <v>1.1097729999999999</v>
      </c>
      <c r="L5992">
        <v>24.4678</v>
      </c>
      <c r="M5992">
        <v>0.86283089999999996</v>
      </c>
      <c r="N5992">
        <v>-1.3855630000000001E-2</v>
      </c>
      <c r="O5992">
        <v>-0.5053029</v>
      </c>
      <c r="P5992">
        <v>0.95200640000000003</v>
      </c>
      <c r="Q5992">
        <v>-0.1187965</v>
      </c>
      <c r="R5992">
        <v>-0.28208430000000001</v>
      </c>
      <c r="S5992">
        <v>3.0664060000000002</v>
      </c>
      <c r="T5992">
        <v>8.7407589999999993E-2</v>
      </c>
      <c r="U5992">
        <v>-0.32626339999999998</v>
      </c>
      <c r="V5992">
        <v>-0.2377001</v>
      </c>
      <c r="W5992">
        <v>-0.10539</v>
      </c>
      <c r="X5992">
        <v>0.96560420000000002</v>
      </c>
      <c r="Y5992">
        <v>-0.41069670000000003</v>
      </c>
      <c r="Z5992">
        <v>-2.4003819999999999E-2</v>
      </c>
      <c r="AA5992">
        <v>0.91145600000000004</v>
      </c>
      <c r="AB5992">
        <v>22</v>
      </c>
      <c r="AC5992">
        <v>163.85559999999899</v>
      </c>
      <c r="AD5992">
        <v>4.6735239999999996</v>
      </c>
      <c r="AE5992">
        <v>-17.383531999999999</v>
      </c>
      <c r="AF5992">
        <v>-67.749662578665493</v>
      </c>
      <c r="AG5992">
        <v>4.6735239999999996</v>
      </c>
      <c r="AH5992">
        <v>150.05731258342001</v>
      </c>
      <c r="AI5992">
        <v>88.374046713385894</v>
      </c>
      <c r="AJ5992">
        <v>114.298790949094</v>
      </c>
      <c r="AK5992">
        <v>164.70900298969599</v>
      </c>
      <c r="AL5992">
        <v>96.049637009614003</v>
      </c>
      <c r="AM5992">
        <v>103.829373372341</v>
      </c>
      <c r="AN5992">
        <v>0.99999993034882195</v>
      </c>
    </row>
    <row r="5993" spans="1:40" x14ac:dyDescent="0.25">
      <c r="A5993" t="str">
        <f>"20190305135047756"</f>
        <v>20190305135047756</v>
      </c>
      <c r="B5993" t="str">
        <f>"1551765047745654"</f>
        <v>1551765047745654</v>
      </c>
      <c r="C5993" t="s">
        <v>40</v>
      </c>
      <c r="D5993">
        <v>4.2702489999999997</v>
      </c>
      <c r="E5993">
        <v>0.43142950000000002</v>
      </c>
      <c r="F5993" t="s">
        <v>103</v>
      </c>
      <c r="G5993">
        <v>-241.07</v>
      </c>
      <c r="H5993">
        <v>6.4215150000000003</v>
      </c>
      <c r="I5993">
        <v>7.1764349999999997</v>
      </c>
      <c r="J5993">
        <v>-404.82569999999998</v>
      </c>
      <c r="K5993">
        <v>1.1099270000000001</v>
      </c>
      <c r="L5993">
        <v>24.409210000000002</v>
      </c>
      <c r="M5993">
        <v>0.86284689999999997</v>
      </c>
      <c r="N5993">
        <v>-1.3803920000000001E-2</v>
      </c>
      <c r="O5993">
        <v>-0.50527699999999998</v>
      </c>
      <c r="P5993">
        <v>0.95236580000000004</v>
      </c>
      <c r="Q5993">
        <v>-0.1186783</v>
      </c>
      <c r="R5993">
        <v>-0.2809179</v>
      </c>
      <c r="S5993">
        <v>3.0677189999999999</v>
      </c>
      <c r="T5993">
        <v>9.9446770000000004E-2</v>
      </c>
      <c r="U5993">
        <v>-0.32373049999999998</v>
      </c>
      <c r="V5993">
        <v>-0.23882010000000001</v>
      </c>
      <c r="W5993">
        <v>-0.1054134</v>
      </c>
      <c r="X5993">
        <v>0.9653254</v>
      </c>
      <c r="Y5993">
        <v>-0.41133570000000003</v>
      </c>
      <c r="Z5993">
        <v>-2.6678420000000001E-2</v>
      </c>
      <c r="AA5993">
        <v>0.91109340000000005</v>
      </c>
      <c r="AB5993">
        <v>22</v>
      </c>
      <c r="AC5993">
        <v>163.75569999999999</v>
      </c>
      <c r="AD5993">
        <v>5.3115879999999898</v>
      </c>
      <c r="AE5993">
        <v>-17.232775</v>
      </c>
      <c r="AF5993">
        <v>-67.808644196902605</v>
      </c>
      <c r="AG5993">
        <v>5.3115879999999898</v>
      </c>
      <c r="AH5993">
        <v>149.861761652794</v>
      </c>
      <c r="AI5993">
        <v>88.150476553336702</v>
      </c>
      <c r="AJ5993">
        <v>114.345544993079</v>
      </c>
      <c r="AK5993">
        <v>164.57452050843901</v>
      </c>
      <c r="AL5993">
        <v>96.050984353460507</v>
      </c>
      <c r="AM5993">
        <v>103.895873255566</v>
      </c>
      <c r="AN5993">
        <v>1.00000007647436</v>
      </c>
    </row>
    <row r="5994" spans="1:40" x14ac:dyDescent="0.25">
      <c r="A5994" t="str">
        <f>"20190305135047767"</f>
        <v>20190305135047767</v>
      </c>
      <c r="B5994" t="str">
        <f>"1551765047756390"</f>
        <v>1551765047756390</v>
      </c>
      <c r="C5994" t="s">
        <v>40</v>
      </c>
      <c r="D5994">
        <v>4.26851</v>
      </c>
      <c r="E5994">
        <v>0.43129899999999999</v>
      </c>
      <c r="F5994" t="s">
        <v>103</v>
      </c>
      <c r="G5994">
        <v>-241.07</v>
      </c>
      <c r="H5994">
        <v>6.7451049999999997</v>
      </c>
      <c r="I5994">
        <v>7.3969779999999998</v>
      </c>
      <c r="J5994">
        <v>-404.73180000000002</v>
      </c>
      <c r="K5994">
        <v>1.1100730000000001</v>
      </c>
      <c r="L5994">
        <v>24.35416</v>
      </c>
      <c r="M5994">
        <v>0.86290750000000005</v>
      </c>
      <c r="N5994">
        <v>-1.3758309999999999E-2</v>
      </c>
      <c r="O5994">
        <v>-0.50517469999999998</v>
      </c>
      <c r="P5994">
        <v>0.95265129999999998</v>
      </c>
      <c r="Q5994">
        <v>-0.11853669999999999</v>
      </c>
      <c r="R5994">
        <v>-0.28000839999999999</v>
      </c>
      <c r="S5994">
        <v>3.069153</v>
      </c>
      <c r="T5994">
        <v>0.105615899999999</v>
      </c>
      <c r="U5994">
        <v>-0.31884770000000001</v>
      </c>
      <c r="V5994">
        <v>-0.23959820000000001</v>
      </c>
      <c r="W5994">
        <v>-0.10540190000000001</v>
      </c>
      <c r="X5994">
        <v>0.96513369999999998</v>
      </c>
      <c r="Y5994">
        <v>-0.4126398</v>
      </c>
      <c r="Z5994">
        <v>-2.8045730000000001E-2</v>
      </c>
      <c r="AA5994">
        <v>0.91046240000000001</v>
      </c>
      <c r="AB5994">
        <v>22</v>
      </c>
      <c r="AC5994">
        <v>163.6618</v>
      </c>
      <c r="AD5994">
        <v>5.6350319999999998</v>
      </c>
      <c r="AE5994">
        <v>-16.957182</v>
      </c>
      <c r="AF5994">
        <v>-67.972033785724406</v>
      </c>
      <c r="AG5994">
        <v>5.6350319999999998</v>
      </c>
      <c r="AH5994">
        <v>149.63000303804299</v>
      </c>
      <c r="AI5994">
        <v>88.036223921799305</v>
      </c>
      <c r="AJ5994">
        <v>114.430750443279</v>
      </c>
      <c r="AK5994">
        <v>164.441748871062</v>
      </c>
      <c r="AL5994">
        <v>96.050322477733104</v>
      </c>
      <c r="AM5994">
        <v>103.942045359685</v>
      </c>
      <c r="AN5994">
        <v>0.99999995842126899</v>
      </c>
    </row>
    <row r="5995" spans="1:40" x14ac:dyDescent="0.25">
      <c r="A5995" t="str">
        <f>"20190305135047778"</f>
        <v>20190305135047778</v>
      </c>
      <c r="B5995" t="str">
        <f>"1551765047766151"</f>
        <v>1551765047766151</v>
      </c>
      <c r="C5995" t="s">
        <v>40</v>
      </c>
      <c r="D5995">
        <v>4.2595890000000001</v>
      </c>
      <c r="E5995">
        <v>0.43124970000000001</v>
      </c>
      <c r="F5995" t="s">
        <v>103</v>
      </c>
      <c r="G5995">
        <v>-241.07</v>
      </c>
      <c r="H5995">
        <v>6.8237329999999998</v>
      </c>
      <c r="I5995">
        <v>7.580597</v>
      </c>
      <c r="J5995">
        <v>-404.6404</v>
      </c>
      <c r="K5995">
        <v>1.110217</v>
      </c>
      <c r="L5995">
        <v>24.30078</v>
      </c>
      <c r="M5995">
        <v>0.86304740000000002</v>
      </c>
      <c r="N5995">
        <v>-1.371853E-2</v>
      </c>
      <c r="O5995">
        <v>-0.50493690000000002</v>
      </c>
      <c r="P5995">
        <v>0.95300640000000003</v>
      </c>
      <c r="Q5995">
        <v>-0.1182581</v>
      </c>
      <c r="R5995">
        <v>-0.2789162</v>
      </c>
      <c r="S5995">
        <v>3.0699459999999998</v>
      </c>
      <c r="T5995">
        <v>0.1071759</v>
      </c>
      <c r="U5995">
        <v>-0.31463619999999998</v>
      </c>
      <c r="V5995">
        <v>-0.24041760000000001</v>
      </c>
      <c r="W5995">
        <v>-0.1052483</v>
      </c>
      <c r="X5995">
        <v>0.96494669999999905</v>
      </c>
      <c r="Y5995">
        <v>-0.4136319</v>
      </c>
      <c r="Z5995">
        <v>-2.8378960000000002E-2</v>
      </c>
      <c r="AA5995">
        <v>0.91000179999999997</v>
      </c>
      <c r="AB5995">
        <v>22</v>
      </c>
      <c r="AC5995">
        <v>163.57040000000001</v>
      </c>
      <c r="AD5995">
        <v>5.7135160000000003</v>
      </c>
      <c r="AE5995">
        <v>-16.720182999999999</v>
      </c>
      <c r="AF5995">
        <v>-68.086611609317202</v>
      </c>
      <c r="AG5995">
        <v>5.7135160000000003</v>
      </c>
      <c r="AH5995">
        <v>149.445251272028</v>
      </c>
      <c r="AI5995">
        <v>88.007432083693402</v>
      </c>
      <c r="AJ5995">
        <v>114.49380508526799</v>
      </c>
      <c r="AK5995">
        <v>164.32380860143201</v>
      </c>
      <c r="AL5995">
        <v>96.041472487797407</v>
      </c>
      <c r="AM5995">
        <v>103.99046084243901</v>
      </c>
      <c r="AN5995">
        <v>0.99999998044176897</v>
      </c>
    </row>
    <row r="5996" spans="1:40" x14ac:dyDescent="0.25">
      <c r="A5996" t="str">
        <f>"20190305135047788"</f>
        <v>20190305135047788</v>
      </c>
      <c r="B5996" t="str">
        <f>"1551765047785671"</f>
        <v>1551765047785671</v>
      </c>
      <c r="C5996" t="s">
        <v>40</v>
      </c>
      <c r="D5996">
        <v>4.2623829999999998</v>
      </c>
      <c r="E5996">
        <v>0.43071219999999999</v>
      </c>
      <c r="F5996" t="s">
        <v>103</v>
      </c>
      <c r="G5996">
        <v>-241.07</v>
      </c>
      <c r="H5996">
        <v>6.9705250000000003</v>
      </c>
      <c r="I5996">
        <v>7.7600559999999996</v>
      </c>
      <c r="J5996">
        <v>-404.54539999999997</v>
      </c>
      <c r="K5996">
        <v>1.110366</v>
      </c>
      <c r="L5996">
        <v>24.24539</v>
      </c>
      <c r="M5996">
        <v>0.86321740000000002</v>
      </c>
      <c r="N5996">
        <v>-1.367853E-2</v>
      </c>
      <c r="O5996">
        <v>-0.50464709999999902</v>
      </c>
      <c r="P5996">
        <v>0.95344790000000001</v>
      </c>
      <c r="Q5996">
        <v>-0.1177658</v>
      </c>
      <c r="R5996">
        <v>-0.27761219999999998</v>
      </c>
      <c r="S5996">
        <v>3.0706790000000002</v>
      </c>
      <c r="T5996">
        <v>0.1100144</v>
      </c>
      <c r="U5996">
        <v>-0.31051640000000003</v>
      </c>
      <c r="V5996">
        <v>-0.24140449999999999</v>
      </c>
      <c r="W5996">
        <v>-0.1048861</v>
      </c>
      <c r="X5996">
        <v>0.96473969999999998</v>
      </c>
      <c r="Y5996">
        <v>-0.41452499999999998</v>
      </c>
      <c r="Z5996">
        <v>-2.899556E-2</v>
      </c>
      <c r="AA5996">
        <v>0.90957589999999999</v>
      </c>
      <c r="AB5996">
        <v>22</v>
      </c>
      <c r="AC5996">
        <v>163.47539999999901</v>
      </c>
      <c r="AD5996">
        <v>5.8601589999999897</v>
      </c>
      <c r="AE5996">
        <v>-16.485333999999899</v>
      </c>
      <c r="AF5996">
        <v>-68.186604187456894</v>
      </c>
      <c r="AG5996">
        <v>5.8601589999999897</v>
      </c>
      <c r="AH5996">
        <v>149.258190929618</v>
      </c>
      <c r="AI5996">
        <v>87.954732422202298</v>
      </c>
      <c r="AJ5996">
        <v>114.552655458755</v>
      </c>
      <c r="AK5996">
        <v>164.200371539484</v>
      </c>
      <c r="AL5996">
        <v>96.020604591533498</v>
      </c>
      <c r="AM5996">
        <v>104.048516254188</v>
      </c>
      <c r="AN5996">
        <v>0.99999995767477401</v>
      </c>
    </row>
    <row r="5997" spans="1:40" x14ac:dyDescent="0.25">
      <c r="A5997" t="str">
        <f>"20190305135047800"</f>
        <v>20190305135047800</v>
      </c>
      <c r="B5997" t="str">
        <f>"1551765047796406"</f>
        <v>1551765047796406</v>
      </c>
      <c r="C5997" t="s">
        <v>40</v>
      </c>
      <c r="D5997">
        <v>4.2700709999999997</v>
      </c>
      <c r="E5997">
        <v>0.43092999999999998</v>
      </c>
      <c r="F5997" t="s">
        <v>103</v>
      </c>
      <c r="G5997">
        <v>-241.07</v>
      </c>
      <c r="H5997">
        <v>7.1545310000000004</v>
      </c>
      <c r="I5997">
        <v>8.1875099999999996</v>
      </c>
      <c r="J5997">
        <v>-404.4547</v>
      </c>
      <c r="K5997">
        <v>1.110519</v>
      </c>
      <c r="L5997">
        <v>24.192869999999999</v>
      </c>
      <c r="M5997">
        <v>0.86348879999999995</v>
      </c>
      <c r="N5997">
        <v>-1.3645839999999999E-2</v>
      </c>
      <c r="O5997">
        <v>-0.50418350000000001</v>
      </c>
      <c r="P5997">
        <v>0.95384820000000003</v>
      </c>
      <c r="Q5997">
        <v>-0.1170033</v>
      </c>
      <c r="R5997">
        <v>-0.27655800000000003</v>
      </c>
      <c r="S5997">
        <v>3.072632</v>
      </c>
      <c r="T5997">
        <v>0.1136041</v>
      </c>
      <c r="U5997">
        <v>-0.3018188</v>
      </c>
      <c r="V5997">
        <v>-0.2419618</v>
      </c>
      <c r="W5997">
        <v>-0.10424650000000001</v>
      </c>
      <c r="X5997">
        <v>0.96466949999999996</v>
      </c>
      <c r="Y5997">
        <v>-0.41660160000000002</v>
      </c>
      <c r="Z5997">
        <v>-2.9781990000000001E-2</v>
      </c>
      <c r="AA5997">
        <v>0.9086012</v>
      </c>
      <c r="AB5997">
        <v>22</v>
      </c>
      <c r="AC5997">
        <v>163.38470000000001</v>
      </c>
      <c r="AD5997">
        <v>6.0440120000000004</v>
      </c>
      <c r="AE5997">
        <v>-16.00536</v>
      </c>
      <c r="AF5997">
        <v>-68.468994875953598</v>
      </c>
      <c r="AG5997">
        <v>6.0440120000000004</v>
      </c>
      <c r="AH5997">
        <v>148.962467072435</v>
      </c>
      <c r="AI5997">
        <v>87.888678868234607</v>
      </c>
      <c r="AJ5997">
        <v>114.685367696266</v>
      </c>
      <c r="AK5997">
        <v>164.055935389994</v>
      </c>
      <c r="AL5997">
        <v>95.983755679446801</v>
      </c>
      <c r="AM5997">
        <v>104.08064355449601</v>
      </c>
      <c r="AN5997">
        <v>1.0000000448258599</v>
      </c>
    </row>
    <row r="5998" spans="1:40" x14ac:dyDescent="0.25">
      <c r="A5998" t="str">
        <f>"20190305135047812"</f>
        <v>20190305135047812</v>
      </c>
      <c r="B5998" t="str">
        <f>"1551765047806166"</f>
        <v>1551765047806166</v>
      </c>
      <c r="C5998" t="s">
        <v>40</v>
      </c>
      <c r="D5998">
        <v>4.2688160000000002</v>
      </c>
      <c r="E5998">
        <v>0.43113659999999998</v>
      </c>
      <c r="F5998" t="s">
        <v>103</v>
      </c>
      <c r="G5998">
        <v>-241.07</v>
      </c>
      <c r="H5998">
        <v>7.1833220000000004</v>
      </c>
      <c r="I5998">
        <v>8.2555960000000006</v>
      </c>
      <c r="J5998">
        <v>-404.36130000000003</v>
      </c>
      <c r="K5998">
        <v>1.1106739999999999</v>
      </c>
      <c r="L5998">
        <v>24.138850000000001</v>
      </c>
      <c r="M5998">
        <v>0.86378690000000002</v>
      </c>
      <c r="N5998">
        <v>-1.361301E-2</v>
      </c>
      <c r="O5998">
        <v>-0.50367359999999906</v>
      </c>
      <c r="P5998">
        <v>0.95422700000000005</v>
      </c>
      <c r="Q5998">
        <v>-0.115939</v>
      </c>
      <c r="R5998">
        <v>-0.275698</v>
      </c>
      <c r="S5998">
        <v>3.0722659999999999</v>
      </c>
      <c r="T5998">
        <v>0.1141921</v>
      </c>
      <c r="U5998">
        <v>-0.29968260000000002</v>
      </c>
      <c r="V5998">
        <v>-0.2422879</v>
      </c>
      <c r="W5998">
        <v>-0.1033072</v>
      </c>
      <c r="X5998">
        <v>0.96468869999999896</v>
      </c>
      <c r="Y5998">
        <v>-0.41667399999999999</v>
      </c>
      <c r="Z5998">
        <v>-2.98847E-2</v>
      </c>
      <c r="AA5998">
        <v>0.9085647</v>
      </c>
      <c r="AB5998">
        <v>22</v>
      </c>
      <c r="AC5998">
        <v>163.29130000000001</v>
      </c>
      <c r="AD5998">
        <v>6.072648</v>
      </c>
      <c r="AE5998">
        <v>-15.883254000000001</v>
      </c>
      <c r="AF5998">
        <v>-68.438348165129995</v>
      </c>
      <c r="AG5998">
        <v>6.072648</v>
      </c>
      <c r="AH5998">
        <v>148.85871187638199</v>
      </c>
      <c r="AI5998">
        <v>87.877299665787703</v>
      </c>
      <c r="AJ5998">
        <v>114.690783233612</v>
      </c>
      <c r="AK5998">
        <v>163.94999437267199</v>
      </c>
      <c r="AL5998">
        <v>95.929645585557296</v>
      </c>
      <c r="AM5998">
        <v>104.09859474104201</v>
      </c>
      <c r="AN5998">
        <v>1.0000000459829601</v>
      </c>
    </row>
    <row r="5999" spans="1:40" x14ac:dyDescent="0.25">
      <c r="A5999" t="str">
        <f>"20190305135047825"</f>
        <v>20190305135047825</v>
      </c>
      <c r="B5999" t="str">
        <f>"1551765047815927"</f>
        <v>1551765047815927</v>
      </c>
      <c r="C5999" t="s">
        <v>40</v>
      </c>
      <c r="D5999">
        <v>4.272132</v>
      </c>
      <c r="E5999">
        <v>0.43131360000000002</v>
      </c>
      <c r="F5999" t="s">
        <v>103</v>
      </c>
      <c r="G5999">
        <v>-241.07</v>
      </c>
      <c r="H5999">
        <v>7.2849349999999999</v>
      </c>
      <c r="I5999">
        <v>8.2697979999999998</v>
      </c>
      <c r="J5999">
        <v>-404.23180000000002</v>
      </c>
      <c r="K5999">
        <v>1.1109009999999999</v>
      </c>
      <c r="L5999">
        <v>24.064419999999998</v>
      </c>
      <c r="M5999">
        <v>0.86434140000000004</v>
      </c>
      <c r="N5999">
        <v>-1.3574879999999999E-2</v>
      </c>
      <c r="O5999">
        <v>-0.50272249999999996</v>
      </c>
      <c r="P5999">
        <v>0.95455409999999996</v>
      </c>
      <c r="Q5999">
        <v>-0.1154347</v>
      </c>
      <c r="R5999">
        <v>-0.27477570000000001</v>
      </c>
      <c r="S5999">
        <v>3.071777</v>
      </c>
      <c r="T5999">
        <v>0.1161479</v>
      </c>
      <c r="U5999">
        <v>-0.29852289999999998</v>
      </c>
      <c r="V5999">
        <v>-0.24213299999999999</v>
      </c>
      <c r="W5999">
        <v>-0.1029726</v>
      </c>
      <c r="X5999">
        <v>0.96476329999999999</v>
      </c>
      <c r="Y5999">
        <v>-0.41597790000000001</v>
      </c>
      <c r="Z5999">
        <v>-3.0261610000000001E-2</v>
      </c>
      <c r="AA5999">
        <v>0.90887110000000004</v>
      </c>
      <c r="AB5999">
        <v>22</v>
      </c>
      <c r="AC5999">
        <v>163.1618</v>
      </c>
      <c r="AD5999">
        <v>6.1740339999999998</v>
      </c>
      <c r="AE5999">
        <v>-15.794622</v>
      </c>
      <c r="AF5999">
        <v>-68.282591085300496</v>
      </c>
      <c r="AG5999">
        <v>6.1740339999999998</v>
      </c>
      <c r="AH5999">
        <v>148.770478731558</v>
      </c>
      <c r="AI5999">
        <v>87.839980880375606</v>
      </c>
      <c r="AJ5999">
        <v>114.654149932263</v>
      </c>
      <c r="AK5999">
        <v>163.80868805766201</v>
      </c>
      <c r="AL5999">
        <v>95.910371986354306</v>
      </c>
      <c r="AM5999">
        <v>104.088894221377</v>
      </c>
      <c r="AN5999">
        <v>0.99999998553332403</v>
      </c>
    </row>
    <row r="6000" spans="1:40" x14ac:dyDescent="0.25">
      <c r="A6000" t="str">
        <f>"20190305135047838"</f>
        <v>20190305135047838</v>
      </c>
      <c r="B6000" t="str">
        <f>"1551765047836422"</f>
        <v>1551765047836422</v>
      </c>
      <c r="C6000" t="s">
        <v>40</v>
      </c>
      <c r="D6000">
        <v>4.2285219999999999</v>
      </c>
      <c r="E6000">
        <v>0.43114809999999998</v>
      </c>
      <c r="F6000" t="s">
        <v>103</v>
      </c>
      <c r="G6000">
        <v>-241.07</v>
      </c>
      <c r="H6000">
        <v>7.3046059999999997</v>
      </c>
      <c r="I6000">
        <v>8.2890580000000007</v>
      </c>
      <c r="J6000">
        <v>-404.1327</v>
      </c>
      <c r="K6000">
        <v>1.111065</v>
      </c>
      <c r="L6000">
        <v>24.007840000000002</v>
      </c>
      <c r="M6000">
        <v>0.86484079999999997</v>
      </c>
      <c r="N6000">
        <v>-1.3549520000000001E-2</v>
      </c>
      <c r="O6000">
        <v>-0.50186359999999997</v>
      </c>
      <c r="P6000">
        <v>0.95479420000000004</v>
      </c>
      <c r="Q6000">
        <v>-0.1149705</v>
      </c>
      <c r="R6000">
        <v>-0.27413530000000003</v>
      </c>
      <c r="S6000">
        <v>3.071472</v>
      </c>
      <c r="T6000">
        <v>0.11659460000000001</v>
      </c>
      <c r="U6000">
        <v>-0.29696660000000002</v>
      </c>
      <c r="V6000">
        <v>-0.24181</v>
      </c>
      <c r="W6000">
        <v>-0.1026289</v>
      </c>
      <c r="X6000">
        <v>0.96488090000000004</v>
      </c>
      <c r="Y6000">
        <v>-0.41551830000000001</v>
      </c>
      <c r="Z6000">
        <v>-3.0310380000000001E-2</v>
      </c>
      <c r="AA6000">
        <v>0.90907969999999905</v>
      </c>
      <c r="AB6000">
        <v>22</v>
      </c>
      <c r="AC6000">
        <v>163.06270000000001</v>
      </c>
      <c r="AD6000">
        <v>6.1935409999999997</v>
      </c>
      <c r="AE6000">
        <v>-15.7187819999999</v>
      </c>
      <c r="AF6000">
        <v>-68.149832477394895</v>
      </c>
      <c r="AG6000">
        <v>6.1935409999999997</v>
      </c>
      <c r="AH6000">
        <v>148.71304197464201</v>
      </c>
      <c r="AI6000">
        <v>87.831739485323894</v>
      </c>
      <c r="AJ6000">
        <v>114.620281509165</v>
      </c>
      <c r="AK6000">
        <v>163.70195011107</v>
      </c>
      <c r="AL6000">
        <v>95.890574694711006</v>
      </c>
      <c r="AM6000">
        <v>104.06920017706599</v>
      </c>
      <c r="AN6000">
        <v>0.99999995920000895</v>
      </c>
    </row>
    <row r="6001" spans="1:40" x14ac:dyDescent="0.25">
      <c r="A6001" t="str">
        <f>"20190305135047854"</f>
        <v>20190305135047854</v>
      </c>
      <c r="B6001" t="str">
        <f>"1551765047846182"</f>
        <v>1551765047846182</v>
      </c>
      <c r="C6001" t="s">
        <v>40</v>
      </c>
      <c r="D6001">
        <v>4.2362919999999997</v>
      </c>
      <c r="E6001">
        <v>0.43113560000000001</v>
      </c>
      <c r="F6001" t="s">
        <v>103</v>
      </c>
      <c r="G6001">
        <v>-241.07</v>
      </c>
      <c r="H6001">
        <v>7.4443179999999902</v>
      </c>
      <c r="I6001">
        <v>8.4201350000000001</v>
      </c>
      <c r="J6001">
        <v>-403.99110000000002</v>
      </c>
      <c r="K6001">
        <v>1.111281</v>
      </c>
      <c r="L6001">
        <v>23.92746</v>
      </c>
      <c r="M6001">
        <v>0.86563539999999894</v>
      </c>
      <c r="N6001">
        <v>-1.351663E-2</v>
      </c>
      <c r="O6001">
        <v>-0.50049259999999995</v>
      </c>
      <c r="P6001">
        <v>0.95486300000000002</v>
      </c>
      <c r="Q6001">
        <v>-0.1156208</v>
      </c>
      <c r="R6001">
        <v>-0.27362069999999999</v>
      </c>
      <c r="S6001">
        <v>3.0720830000000001</v>
      </c>
      <c r="T6001">
        <v>0.119317699999999</v>
      </c>
      <c r="U6001">
        <v>-0.29367070000000001</v>
      </c>
      <c r="V6001">
        <v>-0.24070420000000001</v>
      </c>
      <c r="W6001">
        <v>-0.1034366</v>
      </c>
      <c r="X6001">
        <v>0.96507109999999996</v>
      </c>
      <c r="Y6001">
        <v>-0.41503069999999997</v>
      </c>
      <c r="Z6001">
        <v>-3.0832390000000001E-2</v>
      </c>
      <c r="AA6001">
        <v>0.9092848</v>
      </c>
      <c r="AB6001">
        <v>22</v>
      </c>
      <c r="AC6001">
        <v>162.9211</v>
      </c>
      <c r="AD6001">
        <v>6.3330369999999903</v>
      </c>
      <c r="AE6001">
        <v>-15.507325</v>
      </c>
      <c r="AF6001">
        <v>-68.021473598409301</v>
      </c>
      <c r="AG6001">
        <v>6.3330369999999903</v>
      </c>
      <c r="AH6001">
        <v>148.58265775439401</v>
      </c>
      <c r="AI6001">
        <v>87.780621211014207</v>
      </c>
      <c r="AJ6001">
        <v>114.59841291858299</v>
      </c>
      <c r="AK6001">
        <v>163.53542250381699</v>
      </c>
      <c r="AL6001">
        <v>95.937100252646403</v>
      </c>
      <c r="AM6001">
        <v>104.00474816878101</v>
      </c>
      <c r="AN6001">
        <v>0.999999935086202</v>
      </c>
    </row>
    <row r="6002" spans="1:40" x14ac:dyDescent="0.25">
      <c r="A6002" t="str">
        <f>"20190305135047865"</f>
        <v>20190305135047865</v>
      </c>
      <c r="B6002" t="str">
        <f>"1551765047855944"</f>
        <v>1551765047855944</v>
      </c>
      <c r="C6002" t="s">
        <v>40</v>
      </c>
      <c r="D6002">
        <v>4.245546</v>
      </c>
      <c r="E6002">
        <v>0.43116090000000001</v>
      </c>
      <c r="F6002" t="s">
        <v>103</v>
      </c>
      <c r="G6002">
        <v>-241.07</v>
      </c>
      <c r="H6002">
        <v>7.3658599999999996</v>
      </c>
      <c r="I6002">
        <v>8.4389800000000008</v>
      </c>
      <c r="J6002">
        <v>-403.8929</v>
      </c>
      <c r="K6002">
        <v>1.111413</v>
      </c>
      <c r="L6002">
        <v>23.8721</v>
      </c>
      <c r="M6002">
        <v>0.86624709999999905</v>
      </c>
      <c r="N6002">
        <v>-1.3496009999999999E-2</v>
      </c>
      <c r="O6002">
        <v>-0.49943409999999999</v>
      </c>
      <c r="P6002">
        <v>0.95495810000000003</v>
      </c>
      <c r="Q6002">
        <v>-0.11624470000000001</v>
      </c>
      <c r="R6002">
        <v>-0.27302549999999998</v>
      </c>
      <c r="S6002">
        <v>3.0723880000000001</v>
      </c>
      <c r="T6002">
        <v>0.1179496</v>
      </c>
      <c r="U6002">
        <v>-0.2920837</v>
      </c>
      <c r="V6002">
        <v>-0.2400514</v>
      </c>
      <c r="W6002">
        <v>-0.10415870000000001</v>
      </c>
      <c r="X6002">
        <v>0.96515609999999996</v>
      </c>
      <c r="Y6002">
        <v>-0.41441119999999998</v>
      </c>
      <c r="Z6002">
        <v>-3.0460750000000002E-2</v>
      </c>
      <c r="AA6002">
        <v>0.9095799</v>
      </c>
      <c r="AB6002">
        <v>22</v>
      </c>
      <c r="AC6002">
        <v>162.8229</v>
      </c>
      <c r="AD6002">
        <v>6.2544469999999999</v>
      </c>
      <c r="AE6002">
        <v>-15.433120000000001</v>
      </c>
      <c r="AF6002">
        <v>-67.857348076284694</v>
      </c>
      <c r="AG6002">
        <v>6.2544469999999999</v>
      </c>
      <c r="AH6002">
        <v>148.548959398389</v>
      </c>
      <c r="AI6002">
        <v>87.806809532665099</v>
      </c>
      <c r="AJ6002">
        <v>114.550979112913</v>
      </c>
      <c r="AK6002">
        <v>163.43356795213799</v>
      </c>
      <c r="AL6002">
        <v>95.978697822959205</v>
      </c>
      <c r="AM6002">
        <v>103.967073742613</v>
      </c>
      <c r="AN6002">
        <v>1.0000000033974299</v>
      </c>
    </row>
    <row r="6003" spans="1:40" x14ac:dyDescent="0.25">
      <c r="A6003" t="str">
        <f>"20190305135047877"</f>
        <v>20190305135047877</v>
      </c>
      <c r="B6003" t="str">
        <f>"1551765047865702"</f>
        <v>1551765047865702</v>
      </c>
      <c r="C6003" t="s">
        <v>40</v>
      </c>
      <c r="D6003">
        <v>4.262607</v>
      </c>
      <c r="E6003">
        <v>0.4311218</v>
      </c>
      <c r="F6003" t="s">
        <v>103</v>
      </c>
      <c r="G6003">
        <v>-241.07</v>
      </c>
      <c r="H6003">
        <v>7.2287299999999997</v>
      </c>
      <c r="I6003">
        <v>8.4925230000000003</v>
      </c>
      <c r="J6003">
        <v>-403.80220000000003</v>
      </c>
      <c r="K6003">
        <v>1.111515</v>
      </c>
      <c r="L6003">
        <v>23.821200000000001</v>
      </c>
      <c r="M6003">
        <v>0.86685730000000005</v>
      </c>
      <c r="N6003">
        <v>-1.3478189999999999E-2</v>
      </c>
      <c r="O6003">
        <v>-0.4983745</v>
      </c>
      <c r="P6003">
        <v>0.95510300000000004</v>
      </c>
      <c r="Q6003">
        <v>-0.1170013</v>
      </c>
      <c r="R6003">
        <v>-0.27219359999999998</v>
      </c>
      <c r="S6003">
        <v>3.0725709999999999</v>
      </c>
      <c r="T6003">
        <v>0.1154375</v>
      </c>
      <c r="U6003">
        <v>-0.29022219999999999</v>
      </c>
      <c r="V6003">
        <v>-0.23963580000000001</v>
      </c>
      <c r="W6003">
        <v>-0.1049925</v>
      </c>
      <c r="X6003">
        <v>0.96516900000000005</v>
      </c>
      <c r="Y6003">
        <v>-0.41388190000000002</v>
      </c>
      <c r="Z6003">
        <v>-2.983937E-2</v>
      </c>
      <c r="AA6003">
        <v>0.90984140000000002</v>
      </c>
      <c r="AB6003">
        <v>22</v>
      </c>
      <c r="AC6003">
        <v>162.73220000000001</v>
      </c>
      <c r="AD6003">
        <v>6.1172149999999998</v>
      </c>
      <c r="AE6003">
        <v>-15.3286769999999</v>
      </c>
      <c r="AF6003">
        <v>-67.725092765706407</v>
      </c>
      <c r="AG6003">
        <v>6.1172149999999998</v>
      </c>
      <c r="AH6003">
        <v>148.51048908998601</v>
      </c>
      <c r="AI6003">
        <v>87.853705455494307</v>
      </c>
      <c r="AJ6003">
        <v>114.514362280502</v>
      </c>
      <c r="AK6003">
        <v>163.33852539810201</v>
      </c>
      <c r="AL6003">
        <v>96.026734634054307</v>
      </c>
      <c r="AM6003">
        <v>103.943657814936</v>
      </c>
      <c r="AN6003">
        <v>0.99999997012944397</v>
      </c>
    </row>
    <row r="6004" spans="1:40" x14ac:dyDescent="0.25">
      <c r="A6004" t="str">
        <f>"20190305135047888"</f>
        <v>20190305135047888</v>
      </c>
      <c r="B6004" t="str">
        <f>"1551765047876439"</f>
        <v>1551765047876439</v>
      </c>
      <c r="C6004" t="s">
        <v>40</v>
      </c>
      <c r="D6004">
        <v>4.2399630000000004</v>
      </c>
      <c r="E6004">
        <v>0.43112339999999999</v>
      </c>
      <c r="F6004" t="s">
        <v>103</v>
      </c>
      <c r="G6004">
        <v>-241.07</v>
      </c>
      <c r="H6004">
        <v>7.0801809999999996</v>
      </c>
      <c r="I6004">
        <v>8.6139429999999901</v>
      </c>
      <c r="J6004">
        <v>-403.70979999999997</v>
      </c>
      <c r="K6004">
        <v>1.1116079999999999</v>
      </c>
      <c r="L6004">
        <v>23.769559999999998</v>
      </c>
      <c r="M6004">
        <v>0.86749699999999996</v>
      </c>
      <c r="N6004">
        <v>-1.3460450000000001E-2</v>
      </c>
      <c r="O6004">
        <v>-0.49726049999999999</v>
      </c>
      <c r="P6004">
        <v>0.95523130000000001</v>
      </c>
      <c r="Q6004">
        <v>-0.11785379999999999</v>
      </c>
      <c r="R6004">
        <v>-0.2713738</v>
      </c>
      <c r="S6004">
        <v>3.0729980000000001</v>
      </c>
      <c r="T6004">
        <v>0.1127108</v>
      </c>
      <c r="U6004">
        <v>-0.28717039999999999</v>
      </c>
      <c r="V6004">
        <v>-0.2391442</v>
      </c>
      <c r="W6004">
        <v>-0.1059167</v>
      </c>
      <c r="X6004">
        <v>0.96518999999999999</v>
      </c>
      <c r="Y6004">
        <v>-0.41365380000000002</v>
      </c>
      <c r="Z6004">
        <v>-2.9172199999999999E-2</v>
      </c>
      <c r="AA6004">
        <v>0.90996679999999996</v>
      </c>
      <c r="AB6004">
        <v>22</v>
      </c>
      <c r="AC6004">
        <v>162.63979999999901</v>
      </c>
      <c r="AD6004">
        <v>5.9685729999999904</v>
      </c>
      <c r="AE6004">
        <v>-15.155616999999999</v>
      </c>
      <c r="AF6004">
        <v>-67.642710751921399</v>
      </c>
      <c r="AG6004">
        <v>5.9685729999999904</v>
      </c>
      <c r="AH6004">
        <v>148.441084819211</v>
      </c>
      <c r="AI6004">
        <v>87.904562872945704</v>
      </c>
      <c r="AJ6004">
        <v>114.498149776189</v>
      </c>
      <c r="AK6004">
        <v>163.235767660855</v>
      </c>
      <c r="AL6004">
        <v>96.079984031508303</v>
      </c>
      <c r="AM6004">
        <v>103.915874976856</v>
      </c>
      <c r="AN6004">
        <v>1.0000000159162601</v>
      </c>
    </row>
    <row r="6005" spans="1:40" x14ac:dyDescent="0.25">
      <c r="A6005" t="str">
        <f>"20190305135047902"</f>
        <v>20190305135047902</v>
      </c>
      <c r="B6005" t="str">
        <f>"1551765047895959"</f>
        <v>1551765047895959</v>
      </c>
      <c r="C6005" t="s">
        <v>40</v>
      </c>
      <c r="D6005">
        <v>4.2641980000000004</v>
      </c>
      <c r="E6005">
        <v>0.43161189999999999</v>
      </c>
      <c r="F6005" t="s">
        <v>103</v>
      </c>
      <c r="G6005">
        <v>-241.07</v>
      </c>
      <c r="H6005">
        <v>6.9103159999999999</v>
      </c>
      <c r="I6005">
        <v>8.7276330000000009</v>
      </c>
      <c r="J6005">
        <v>-403.59719999999999</v>
      </c>
      <c r="K6005">
        <v>1.1116790000000001</v>
      </c>
      <c r="L6005">
        <v>23.707059999999998</v>
      </c>
      <c r="M6005">
        <v>0.86832259999999994</v>
      </c>
      <c r="N6005">
        <v>-1.3440529999999999E-2</v>
      </c>
      <c r="O6005">
        <v>-0.49581779999999998</v>
      </c>
      <c r="P6005">
        <v>0.95552510000000002</v>
      </c>
      <c r="Q6005">
        <v>-0.1183483</v>
      </c>
      <c r="R6005">
        <v>-0.27012190000000003</v>
      </c>
      <c r="S6005">
        <v>3.073334</v>
      </c>
      <c r="T6005">
        <v>0.10957550000000001</v>
      </c>
      <c r="U6005">
        <v>-0.28424070000000001</v>
      </c>
      <c r="V6005">
        <v>-0.23875299999999999</v>
      </c>
      <c r="W6005">
        <v>-0.1064721</v>
      </c>
      <c r="X6005">
        <v>0.96522580000000002</v>
      </c>
      <c r="Y6005">
        <v>-0.41304809999999997</v>
      </c>
      <c r="Z6005">
        <v>-2.8397160000000001E-2</v>
      </c>
      <c r="AA6005">
        <v>0.91026640000000003</v>
      </c>
      <c r="AB6005">
        <v>22</v>
      </c>
      <c r="AC6005">
        <v>162.52719999999999</v>
      </c>
      <c r="AD6005">
        <v>5.7986370000000003</v>
      </c>
      <c r="AE6005">
        <v>-14.979426999999999</v>
      </c>
      <c r="AF6005">
        <v>-67.497810455232596</v>
      </c>
      <c r="AG6005">
        <v>5.7986370000000003</v>
      </c>
      <c r="AH6005">
        <v>148.37923804080799</v>
      </c>
      <c r="AI6005">
        <v>87.962721189636696</v>
      </c>
      <c r="AJ6005">
        <v>114.460818489001</v>
      </c>
      <c r="AK6005">
        <v>163.113386602324</v>
      </c>
      <c r="AL6005">
        <v>96.111986715579107</v>
      </c>
      <c r="AM6005">
        <v>103.893498224555</v>
      </c>
      <c r="AN6005">
        <v>1.00000007403652</v>
      </c>
    </row>
    <row r="6006" spans="1:40" x14ac:dyDescent="0.25">
      <c r="A6006" t="str">
        <f>"20190305135047913"</f>
        <v>20190305135047913</v>
      </c>
      <c r="B6006" t="str">
        <f>"1551765047905719"</f>
        <v>1551765047905719</v>
      </c>
      <c r="C6006" t="s">
        <v>40</v>
      </c>
      <c r="D6006">
        <v>4.2779369999999997</v>
      </c>
      <c r="E6006">
        <v>0.43174699999999999</v>
      </c>
      <c r="F6006" t="s">
        <v>103</v>
      </c>
      <c r="G6006">
        <v>-241.07</v>
      </c>
      <c r="H6006">
        <v>6.615164</v>
      </c>
      <c r="I6006">
        <v>8.7077550000000006</v>
      </c>
      <c r="J6006">
        <v>-403.49439999999998</v>
      </c>
      <c r="K6006">
        <v>1.111726</v>
      </c>
      <c r="L6006">
        <v>23.65024</v>
      </c>
      <c r="M6006">
        <v>0.86908830000000004</v>
      </c>
      <c r="N6006">
        <v>-1.342291E-2</v>
      </c>
      <c r="O6006">
        <v>-0.4944751</v>
      </c>
      <c r="P6006">
        <v>0.95585629999999999</v>
      </c>
      <c r="Q6006">
        <v>-0.1183821</v>
      </c>
      <c r="R6006">
        <v>-0.26893250000000002</v>
      </c>
      <c r="S6006">
        <v>3.072327</v>
      </c>
      <c r="T6006">
        <v>0.1040348</v>
      </c>
      <c r="U6006">
        <v>-0.28353879999999998</v>
      </c>
      <c r="V6006">
        <v>-0.23844770000000001</v>
      </c>
      <c r="W6006">
        <v>-0.1065497</v>
      </c>
      <c r="X6006">
        <v>0.96529259999999995</v>
      </c>
      <c r="Y6006">
        <v>-0.41188180000000002</v>
      </c>
      <c r="Z6006">
        <v>-2.7102330000000001E-2</v>
      </c>
      <c r="AA6006">
        <v>0.91083409999999998</v>
      </c>
      <c r="AB6006">
        <v>22</v>
      </c>
      <c r="AC6006">
        <v>162.42439999999999</v>
      </c>
      <c r="AD6006">
        <v>5.5034380000000001</v>
      </c>
      <c r="AE6006">
        <v>-14.942485</v>
      </c>
      <c r="AF6006">
        <v>-67.257971293695903</v>
      </c>
      <c r="AG6006">
        <v>5.5034380000000001</v>
      </c>
      <c r="AH6006">
        <v>148.39426031987199</v>
      </c>
      <c r="AI6006">
        <v>88.065341080928206</v>
      </c>
      <c r="AJ6006">
        <v>114.381857064676</v>
      </c>
      <c r="AK6006">
        <v>163.017726116657</v>
      </c>
      <c r="AL6006">
        <v>96.116458918970295</v>
      </c>
      <c r="AM6006">
        <v>103.875496088129</v>
      </c>
      <c r="AN6006">
        <v>0.99999997391006901</v>
      </c>
    </row>
    <row r="6007" spans="1:40" x14ac:dyDescent="0.25">
      <c r="A6007" t="str">
        <f>"20190305135047933"</f>
        <v>20190305135047933</v>
      </c>
      <c r="B6007" t="str">
        <f>"1551765047926217"</f>
        <v>1551765047926217</v>
      </c>
      <c r="C6007" t="s">
        <v>40</v>
      </c>
      <c r="D6007">
        <v>4.2680800000000003</v>
      </c>
      <c r="E6007">
        <v>0.4318883</v>
      </c>
      <c r="F6007" t="s">
        <v>103</v>
      </c>
      <c r="G6007">
        <v>-241.07</v>
      </c>
      <c r="H6007">
        <v>6.5536709999999996</v>
      </c>
      <c r="I6007">
        <v>8.8304109999999998</v>
      </c>
      <c r="J6007">
        <v>-403.32690000000002</v>
      </c>
      <c r="K6007">
        <v>1.1117520000000001</v>
      </c>
      <c r="L6007">
        <v>23.558199999999999</v>
      </c>
      <c r="M6007">
        <v>0.87035969999999996</v>
      </c>
      <c r="N6007">
        <v>-1.3396399999999999E-2</v>
      </c>
      <c r="O6007">
        <v>-0.49223420000000001</v>
      </c>
      <c r="P6007">
        <v>0.95638880000000004</v>
      </c>
      <c r="Q6007">
        <v>-0.117535</v>
      </c>
      <c r="R6007">
        <v>-0.26740570000000002</v>
      </c>
      <c r="S6007">
        <v>3.0724490000000002</v>
      </c>
      <c r="T6007">
        <v>0.1029407</v>
      </c>
      <c r="U6007">
        <v>-0.28033449999999999</v>
      </c>
      <c r="V6007">
        <v>-0.23755190000000001</v>
      </c>
      <c r="W6007">
        <v>-0.10573299999999999</v>
      </c>
      <c r="X6007">
        <v>0.96560319999999999</v>
      </c>
      <c r="Y6007">
        <v>-0.41049419999999998</v>
      </c>
      <c r="Z6007">
        <v>-2.674083E-2</v>
      </c>
      <c r="AA6007">
        <v>0.91147109999999998</v>
      </c>
      <c r="AB6007">
        <v>22</v>
      </c>
      <c r="AC6007">
        <v>162.2569</v>
      </c>
      <c r="AD6007">
        <v>5.4419190000000004</v>
      </c>
      <c r="AE6007">
        <v>-14.727789</v>
      </c>
      <c r="AF6007">
        <v>-66.9812107008825</v>
      </c>
      <c r="AG6007">
        <v>5.4419190000000004</v>
      </c>
      <c r="AH6007">
        <v>148.31923943671401</v>
      </c>
      <c r="AI6007">
        <v>88.084808194779498</v>
      </c>
      <c r="AJ6007">
        <v>114.30401290645401</v>
      </c>
      <c r="AK6007">
        <v>162.83333152780401</v>
      </c>
      <c r="AL6007">
        <v>96.069399725780301</v>
      </c>
      <c r="AM6007">
        <v>103.82109557724</v>
      </c>
      <c r="AN6007">
        <v>0.99999995616642401</v>
      </c>
    </row>
    <row r="6008" spans="1:40" x14ac:dyDescent="0.25">
      <c r="A6008" t="str">
        <f>"20190305135047943"</f>
        <v>20190305135047943</v>
      </c>
      <c r="B6008" t="str">
        <f>"1551765047935974"</f>
        <v>1551765047935974</v>
      </c>
      <c r="C6008" t="s">
        <v>40</v>
      </c>
      <c r="D6008">
        <v>4.3022299999999998</v>
      </c>
      <c r="E6008">
        <v>0.4318689</v>
      </c>
      <c r="F6008" t="s">
        <v>92</v>
      </c>
      <c r="G6008">
        <v>-274.49669999999998</v>
      </c>
      <c r="H6008">
        <v>5.3469150000000001</v>
      </c>
      <c r="I6008">
        <v>11.990399999999999</v>
      </c>
      <c r="J6008">
        <v>-403.23340000000002</v>
      </c>
      <c r="K6008">
        <v>1.1117379999999999</v>
      </c>
      <c r="L6008">
        <v>23.50714</v>
      </c>
      <c r="M6008">
        <v>0.87106930000000005</v>
      </c>
      <c r="N6008">
        <v>-1.3382659999999999E-2</v>
      </c>
      <c r="O6008">
        <v>-0.49097780000000002</v>
      </c>
      <c r="P6008">
        <v>0.9566926</v>
      </c>
      <c r="Q6008">
        <v>-0.116453399999999</v>
      </c>
      <c r="R6008">
        <v>-0.26679229999999998</v>
      </c>
      <c r="S6008">
        <v>3.0721129999999999</v>
      </c>
      <c r="T6008">
        <v>0.10099279999999999</v>
      </c>
      <c r="U6008">
        <v>-0.27584839999999999</v>
      </c>
      <c r="V6008">
        <v>-0.23685300000000001</v>
      </c>
      <c r="W6008">
        <v>-0.1046497</v>
      </c>
      <c r="X6008">
        <v>0.96589290000000005</v>
      </c>
      <c r="Y6008">
        <v>-0.41051149999999997</v>
      </c>
      <c r="Z6008">
        <v>-2.6258839999999999E-2</v>
      </c>
      <c r="AA6008">
        <v>0.91147730000000005</v>
      </c>
      <c r="AB6008">
        <v>22</v>
      </c>
      <c r="AC6008">
        <v>128.73670000000001</v>
      </c>
      <c r="AD6008">
        <v>4.2351769999999904</v>
      </c>
      <c r="AE6008">
        <v>-11.516739999999899</v>
      </c>
      <c r="AF6008">
        <v>-53.122707866226499</v>
      </c>
      <c r="AG6008">
        <v>4.2351769999999904</v>
      </c>
      <c r="AH6008">
        <v>117.677250903333</v>
      </c>
      <c r="AI6008">
        <v>88.121240200512602</v>
      </c>
      <c r="AJ6008">
        <v>114.29570947275</v>
      </c>
      <c r="AK6008">
        <v>129.18163257765301</v>
      </c>
      <c r="AL6008">
        <v>96.006984667570407</v>
      </c>
      <c r="AM6008">
        <v>103.77800913731799</v>
      </c>
      <c r="AN6008">
        <v>0.99999999879474999</v>
      </c>
    </row>
    <row r="6009" spans="1:40" x14ac:dyDescent="0.25">
      <c r="A6009" t="str">
        <f>"20190305135047956"</f>
        <v>20190305135047956</v>
      </c>
      <c r="B6009" t="str">
        <f>"1551765047945734"</f>
        <v>1551765047945734</v>
      </c>
      <c r="C6009" t="s">
        <v>40</v>
      </c>
      <c r="D6009">
        <v>4.3024019999999998</v>
      </c>
      <c r="E6009">
        <v>0.43188460000000001</v>
      </c>
      <c r="F6009" t="s">
        <v>92</v>
      </c>
      <c r="G6009">
        <v>-274.49669999999998</v>
      </c>
      <c r="H6009">
        <v>5.3667579999999999</v>
      </c>
      <c r="I6009">
        <v>12.03867</v>
      </c>
      <c r="J6009">
        <v>-403.13709999999998</v>
      </c>
      <c r="K6009">
        <v>1.1117109999999999</v>
      </c>
      <c r="L6009">
        <v>23.454709999999999</v>
      </c>
      <c r="M6009">
        <v>0.87179079999999998</v>
      </c>
      <c r="N6009">
        <v>-1.3369209999999999E-2</v>
      </c>
      <c r="O6009">
        <v>-0.48969560000000001</v>
      </c>
      <c r="P6009">
        <v>0.95701460000000005</v>
      </c>
      <c r="Q6009">
        <v>-0.1158502</v>
      </c>
      <c r="R6009">
        <v>-0.26589869999999999</v>
      </c>
      <c r="S6009">
        <v>3.0718079999999999</v>
      </c>
      <c r="T6009">
        <v>0.1015298</v>
      </c>
      <c r="U6009">
        <v>-0.27365109999999998</v>
      </c>
      <c r="V6009">
        <v>-0.2363796</v>
      </c>
      <c r="W6009">
        <v>-0.10403999999999999</v>
      </c>
      <c r="X6009">
        <v>0.96607469999999995</v>
      </c>
      <c r="Y6009">
        <v>-0.40980480000000002</v>
      </c>
      <c r="Z6009">
        <v>-2.6313079999999999E-2</v>
      </c>
      <c r="AA6009">
        <v>0.91179359999999998</v>
      </c>
      <c r="AB6009">
        <v>22</v>
      </c>
      <c r="AC6009">
        <v>128.6404</v>
      </c>
      <c r="AD6009">
        <v>4.2550469999999896</v>
      </c>
      <c r="AE6009">
        <v>-11.416040000000001</v>
      </c>
      <c r="AF6009">
        <v>-52.989465325717703</v>
      </c>
      <c r="AG6009">
        <v>4.2550469999999896</v>
      </c>
      <c r="AH6009">
        <v>117.620759534296</v>
      </c>
      <c r="AI6009">
        <v>88.110878243880506</v>
      </c>
      <c r="AJ6009">
        <v>114.25209621606901</v>
      </c>
      <c r="AK6009">
        <v>129.07607033800801</v>
      </c>
      <c r="AL6009">
        <v>95.971859793173493</v>
      </c>
      <c r="AM6009">
        <v>103.74902773139701</v>
      </c>
      <c r="AN6009">
        <v>0.99999998143812396</v>
      </c>
    </row>
    <row r="6010" spans="1:40" x14ac:dyDescent="0.25">
      <c r="A6010" t="str">
        <f>"20190305135047966"</f>
        <v>20190305135047966</v>
      </c>
      <c r="B6010" t="str">
        <f>"1551765047956470"</f>
        <v>1551765047956470</v>
      </c>
      <c r="C6010" t="s">
        <v>40</v>
      </c>
      <c r="D6010">
        <v>4.2857450000000004</v>
      </c>
      <c r="E6010">
        <v>0.43185699999999999</v>
      </c>
      <c r="F6010" t="s">
        <v>92</v>
      </c>
      <c r="G6010">
        <v>-274.49669999999998</v>
      </c>
      <c r="H6010">
        <v>5.3221559999999997</v>
      </c>
      <c r="I6010">
        <v>12.109389999999999</v>
      </c>
      <c r="J6010">
        <v>-403.04579999999999</v>
      </c>
      <c r="K6010">
        <v>1.111675</v>
      </c>
      <c r="L6010">
        <v>23.405059999999999</v>
      </c>
      <c r="M6010">
        <v>0.87246840000000003</v>
      </c>
      <c r="N6010">
        <v>-1.33571E-2</v>
      </c>
      <c r="O6010">
        <v>-0.48848799999999998</v>
      </c>
      <c r="P6010">
        <v>0.95728340000000001</v>
      </c>
      <c r="Q6010">
        <v>-0.11538420000000001</v>
      </c>
      <c r="R6010">
        <v>-0.265132599999999</v>
      </c>
      <c r="S6010">
        <v>3.0716860000000001</v>
      </c>
      <c r="T6010">
        <v>0.1005374</v>
      </c>
      <c r="U6010">
        <v>-0.27090449999999999</v>
      </c>
      <c r="V6010">
        <v>-0.23585420000000001</v>
      </c>
      <c r="W6010">
        <v>-0.1035611</v>
      </c>
      <c r="X6010">
        <v>0.96625450000000002</v>
      </c>
      <c r="Y6010">
        <v>-0.40935929999999998</v>
      </c>
      <c r="Z6010">
        <v>-2.6037560000000001E-2</v>
      </c>
      <c r="AA6010">
        <v>0.91200170000000003</v>
      </c>
      <c r="AB6010">
        <v>22</v>
      </c>
      <c r="AC6010">
        <v>128.54910000000001</v>
      </c>
      <c r="AD6010">
        <v>4.2104809999999997</v>
      </c>
      <c r="AE6010">
        <v>-11.295669999999999</v>
      </c>
      <c r="AF6010">
        <v>-52.887995178469801</v>
      </c>
      <c r="AG6010">
        <v>4.2104809999999997</v>
      </c>
      <c r="AH6010">
        <v>117.55817060826899</v>
      </c>
      <c r="AI6010">
        <v>88.129219512990304</v>
      </c>
      <c r="AJ6010">
        <v>114.22240249328</v>
      </c>
      <c r="AK6010">
        <v>128.97593442581501</v>
      </c>
      <c r="AL6010">
        <v>95.944272112340101</v>
      </c>
      <c r="AM6010">
        <v>103.71716737067599</v>
      </c>
      <c r="AN6010">
        <v>0.99999993193054704</v>
      </c>
    </row>
    <row r="6011" spans="1:40" x14ac:dyDescent="0.25">
      <c r="A6011" t="str">
        <f>"20190305135047977"</f>
        <v>20190305135047977</v>
      </c>
      <c r="B6011" t="str">
        <f>"1551765047966231"</f>
        <v>1551765047966231</v>
      </c>
      <c r="C6011" t="s">
        <v>40</v>
      </c>
      <c r="D6011">
        <v>4.2918500000000002</v>
      </c>
      <c r="E6011">
        <v>0.43180580000000002</v>
      </c>
      <c r="F6011" t="s">
        <v>92</v>
      </c>
      <c r="G6011">
        <v>-274.49669999999998</v>
      </c>
      <c r="H6011">
        <v>5.2556599999999998</v>
      </c>
      <c r="I6011">
        <v>12.182180000000001</v>
      </c>
      <c r="J6011">
        <v>-402.95269999999999</v>
      </c>
      <c r="K6011">
        <v>1.111629</v>
      </c>
      <c r="L6011">
        <v>23.35474</v>
      </c>
      <c r="M6011">
        <v>0.87313969999999896</v>
      </c>
      <c r="N6011">
        <v>-1.3345549999999999E-2</v>
      </c>
      <c r="O6011">
        <v>-0.48728749999999998</v>
      </c>
      <c r="P6011">
        <v>0.95753860000000002</v>
      </c>
      <c r="Q6011">
        <v>-0.1151298</v>
      </c>
      <c r="R6011">
        <v>-0.264320099999999</v>
      </c>
      <c r="S6011">
        <v>3.0715330000000001</v>
      </c>
      <c r="T6011">
        <v>9.9015829999999999E-2</v>
      </c>
      <c r="U6011">
        <v>-0.26815800000000001</v>
      </c>
      <c r="V6011">
        <v>-0.23537250000000001</v>
      </c>
      <c r="W6011">
        <v>-0.10328900000000001</v>
      </c>
      <c r="X6011">
        <v>0.96640119999999896</v>
      </c>
      <c r="Y6011">
        <v>-0.40892679999999998</v>
      </c>
      <c r="Z6011">
        <v>-2.5648049999999999E-2</v>
      </c>
      <c r="AA6011">
        <v>0.91220659999999998</v>
      </c>
      <c r="AB6011">
        <v>22</v>
      </c>
      <c r="AC6011">
        <v>128.45599999999999</v>
      </c>
      <c r="AD6011">
        <v>4.144031</v>
      </c>
      <c r="AE6011">
        <v>-11.172560000000001</v>
      </c>
      <c r="AF6011">
        <v>-52.789972128470502</v>
      </c>
      <c r="AG6011">
        <v>4.144031</v>
      </c>
      <c r="AH6011">
        <v>117.493387180976</v>
      </c>
      <c r="AI6011">
        <v>88.157305543682796</v>
      </c>
      <c r="AJ6011">
        <v>114.19446194714099</v>
      </c>
      <c r="AK6011">
        <v>128.874552109842</v>
      </c>
      <c r="AL6011">
        <v>95.928597138437496</v>
      </c>
      <c r="AM6011">
        <v>103.68820714312101</v>
      </c>
      <c r="AN6011">
        <v>1.00000005531934</v>
      </c>
    </row>
    <row r="6012" spans="1:40" x14ac:dyDescent="0.25">
      <c r="A6012" t="str">
        <f>"20190305135047988"</f>
        <v>20190305135047988</v>
      </c>
      <c r="B6012" t="str">
        <f>"1551765047975990"</f>
        <v>1551765047975990</v>
      </c>
      <c r="C6012" t="s">
        <v>40</v>
      </c>
      <c r="D6012">
        <v>4.2208899999999998</v>
      </c>
      <c r="E6012">
        <v>0.43195050000000001</v>
      </c>
      <c r="F6012" t="s">
        <v>92</v>
      </c>
      <c r="G6012">
        <v>-274.49669999999998</v>
      </c>
      <c r="H6012">
        <v>5.2064360000000001</v>
      </c>
      <c r="I6012">
        <v>12.267939999999999</v>
      </c>
      <c r="J6012">
        <v>-402.85739999999998</v>
      </c>
      <c r="K6012">
        <v>1.111578</v>
      </c>
      <c r="L6012">
        <v>23.303249999999998</v>
      </c>
      <c r="M6012">
        <v>0.8738186</v>
      </c>
      <c r="N6012">
        <v>-1.3334159999999999E-2</v>
      </c>
      <c r="O6012">
        <v>-0.48606949999999999</v>
      </c>
      <c r="P6012">
        <v>0.95776090000000003</v>
      </c>
      <c r="Q6012">
        <v>-0.1151512</v>
      </c>
      <c r="R6012">
        <v>-0.26350449999999997</v>
      </c>
      <c r="S6012">
        <v>3.071625</v>
      </c>
      <c r="T6012">
        <v>9.7914580000000001E-2</v>
      </c>
      <c r="U6012">
        <v>-0.26510620000000001</v>
      </c>
      <c r="V6012">
        <v>-0.23485909999999999</v>
      </c>
      <c r="W6012">
        <v>-0.1032904</v>
      </c>
      <c r="X6012">
        <v>0.96652590000000005</v>
      </c>
      <c r="Y6012">
        <v>-0.40856900000000002</v>
      </c>
      <c r="Z6012">
        <v>-2.5349799999999999E-2</v>
      </c>
      <c r="AA6012">
        <v>0.9123753</v>
      </c>
      <c r="AB6012">
        <v>22</v>
      </c>
      <c r="AC6012">
        <v>128.36070000000001</v>
      </c>
      <c r="AD6012">
        <v>4.0948580000000003</v>
      </c>
      <c r="AE6012">
        <v>-11.035310000000001</v>
      </c>
      <c r="AF6012">
        <v>-52.700804798052701</v>
      </c>
      <c r="AG6012">
        <v>4.0948580000000003</v>
      </c>
      <c r="AH6012">
        <v>117.419706906934</v>
      </c>
      <c r="AI6012">
        <v>88.177689416160206</v>
      </c>
      <c r="AJ6012">
        <v>114.171696580375</v>
      </c>
      <c r="AK6012">
        <v>128.76929082088199</v>
      </c>
      <c r="AL6012">
        <v>95.928678056624705</v>
      </c>
      <c r="AM6012">
        <v>103.65777344564199</v>
      </c>
      <c r="AN6012">
        <v>1.00000000947789</v>
      </c>
    </row>
    <row r="6013" spans="1:40" x14ac:dyDescent="0.25">
      <c r="A6013" t="str">
        <f>"20190305135048000"</f>
        <v>20190305135048000</v>
      </c>
      <c r="B6013" t="str">
        <f>"1551765047996486"</f>
        <v>1551765047996486</v>
      </c>
      <c r="C6013" t="s">
        <v>40</v>
      </c>
      <c r="D6013">
        <v>4.1943929999999998</v>
      </c>
      <c r="E6013">
        <v>0.43212709999999999</v>
      </c>
      <c r="F6013" t="s">
        <v>92</v>
      </c>
      <c r="G6013">
        <v>-274.49669999999998</v>
      </c>
      <c r="H6013">
        <v>5.2278710000000004</v>
      </c>
      <c r="I6013">
        <v>12.29227</v>
      </c>
      <c r="J6013">
        <v>-402.76139999999998</v>
      </c>
      <c r="K6013">
        <v>1.111523</v>
      </c>
      <c r="L6013">
        <v>23.251650000000001</v>
      </c>
      <c r="M6013">
        <v>0.87447330000000001</v>
      </c>
      <c r="N6013">
        <v>-1.332351E-2</v>
      </c>
      <c r="O6013">
        <v>-0.48489080000000001</v>
      </c>
      <c r="P6013">
        <v>0.95802639999999994</v>
      </c>
      <c r="Q6013">
        <v>-0.1157357</v>
      </c>
      <c r="R6013">
        <v>-0.26227990000000001</v>
      </c>
      <c r="S6013">
        <v>3.071625</v>
      </c>
      <c r="T6013">
        <v>9.8501439999999996E-2</v>
      </c>
      <c r="U6013">
        <v>-0.26348880000000002</v>
      </c>
      <c r="V6013">
        <v>-0.2347677</v>
      </c>
      <c r="W6013">
        <v>-0.1038562</v>
      </c>
      <c r="X6013">
        <v>0.96648750000000005</v>
      </c>
      <c r="Y6013">
        <v>-0.40781099999999998</v>
      </c>
      <c r="Z6013">
        <v>-2.5417700000000001E-2</v>
      </c>
      <c r="AA6013">
        <v>0.91271250000000004</v>
      </c>
      <c r="AB6013">
        <v>22</v>
      </c>
      <c r="AC6013">
        <v>128.2647</v>
      </c>
      <c r="AD6013">
        <v>4.1163480000000003</v>
      </c>
      <c r="AE6013">
        <v>-10.959379999999999</v>
      </c>
      <c r="AF6013">
        <v>-52.5616112316157</v>
      </c>
      <c r="AG6013">
        <v>4.1163480000000003</v>
      </c>
      <c r="AH6013">
        <v>117.368571447102</v>
      </c>
      <c r="AI6013">
        <v>88.166657549485905</v>
      </c>
      <c r="AJ6013">
        <v>114.124447427999</v>
      </c>
      <c r="AK6013">
        <v>128.66642475663201</v>
      </c>
      <c r="AL6013">
        <v>95.961271145657506</v>
      </c>
      <c r="AM6013">
        <v>103.65317935385499</v>
      </c>
      <c r="AN6013">
        <v>1.00000003544898</v>
      </c>
    </row>
    <row r="6014" spans="1:40" x14ac:dyDescent="0.25">
      <c r="A6014" t="str">
        <f>"20190305135048013"</f>
        <v>20190305135048013</v>
      </c>
      <c r="B6014" t="str">
        <f>"1551765048006246"</f>
        <v>1551765048006246</v>
      </c>
      <c r="C6014" t="s">
        <v>40</v>
      </c>
      <c r="D6014">
        <v>4.1564779999999999</v>
      </c>
      <c r="E6014">
        <v>0.43219679999999999</v>
      </c>
      <c r="F6014" t="s">
        <v>92</v>
      </c>
      <c r="G6014">
        <v>-274.49669999999998</v>
      </c>
      <c r="H6014">
        <v>5.1838839999999999</v>
      </c>
      <c r="I6014">
        <v>12.353949999999999</v>
      </c>
      <c r="J6014">
        <v>-402.65390000000002</v>
      </c>
      <c r="K6014">
        <v>1.1114660000000001</v>
      </c>
      <c r="L6014">
        <v>23.19397</v>
      </c>
      <c r="M6014">
        <v>0.87519409999999898</v>
      </c>
      <c r="N6014">
        <v>-1.331208E-2</v>
      </c>
      <c r="O6014">
        <v>-0.48358889999999999</v>
      </c>
      <c r="P6014">
        <v>0.95840259999999999</v>
      </c>
      <c r="Q6014">
        <v>-0.1165407</v>
      </c>
      <c r="R6014">
        <v>-0.26054369999999999</v>
      </c>
      <c r="S6014">
        <v>3.071777</v>
      </c>
      <c r="T6014">
        <v>9.7528100000000006E-2</v>
      </c>
      <c r="U6014">
        <v>-0.2609863</v>
      </c>
      <c r="V6014">
        <v>-0.23504369999999999</v>
      </c>
      <c r="W6014">
        <v>-0.1046431</v>
      </c>
      <c r="X6014">
        <v>0.96633550000000001</v>
      </c>
      <c r="Y6014">
        <v>-0.4072057</v>
      </c>
      <c r="Z6014">
        <v>-2.5141730000000001E-2</v>
      </c>
      <c r="AA6014">
        <v>0.91299039999999998</v>
      </c>
      <c r="AB6014">
        <v>22</v>
      </c>
      <c r="AC6014">
        <v>128.15719999999999</v>
      </c>
      <c r="AD6014">
        <v>4.0724179999999999</v>
      </c>
      <c r="AE6014">
        <v>-10.8400199999999</v>
      </c>
      <c r="AF6014">
        <v>-52.440349235027398</v>
      </c>
      <c r="AG6014">
        <v>4.0724179999999999</v>
      </c>
      <c r="AH6014">
        <v>117.29733311869199</v>
      </c>
      <c r="AI6014">
        <v>88.184593972894007</v>
      </c>
      <c r="AJ6014">
        <v>114.08807984849901</v>
      </c>
      <c r="AK6014">
        <v>128.55053159367199</v>
      </c>
      <c r="AL6014">
        <v>96.006604366650507</v>
      </c>
      <c r="AM6014">
        <v>103.670698011559</v>
      </c>
      <c r="AN6014">
        <v>1.0000000089237699</v>
      </c>
    </row>
    <row r="6015" spans="1:40" x14ac:dyDescent="0.25">
      <c r="A6015" t="str">
        <f>"20190305135048025"</f>
        <v>20190305135048025</v>
      </c>
      <c r="B6015" t="str">
        <f>"1551765048016006"</f>
        <v>1551765048016006</v>
      </c>
      <c r="C6015" t="s">
        <v>40</v>
      </c>
      <c r="D6015">
        <v>4.1958349999999998</v>
      </c>
      <c r="E6015">
        <v>0.43225439999999998</v>
      </c>
      <c r="F6015" t="s">
        <v>92</v>
      </c>
      <c r="G6015">
        <v>-274.49669999999998</v>
      </c>
      <c r="H6015">
        <v>5.0754479999999997</v>
      </c>
      <c r="I6015">
        <v>12.51538</v>
      </c>
      <c r="J6015">
        <v>-402.54129999999998</v>
      </c>
      <c r="K6015">
        <v>1.1114029999999999</v>
      </c>
      <c r="L6015">
        <v>23.133759999999999</v>
      </c>
      <c r="M6015">
        <v>0.87592109999999901</v>
      </c>
      <c r="N6015">
        <v>-1.330106E-2</v>
      </c>
      <c r="O6015">
        <v>-0.4822708</v>
      </c>
      <c r="P6015">
        <v>0.95876819999999896</v>
      </c>
      <c r="Q6015">
        <v>-0.1171355</v>
      </c>
      <c r="R6015">
        <v>-0.25892549999999998</v>
      </c>
      <c r="S6015">
        <v>3.0721129999999999</v>
      </c>
      <c r="T6015">
        <v>9.502244E-2</v>
      </c>
      <c r="U6015">
        <v>-0.25598140000000003</v>
      </c>
      <c r="V6015">
        <v>-0.23519660000000001</v>
      </c>
      <c r="W6015">
        <v>-0.1052183</v>
      </c>
      <c r="X6015">
        <v>0.96623579999999998</v>
      </c>
      <c r="Y6015">
        <v>-0.4073425</v>
      </c>
      <c r="Z6015">
        <v>-2.4540880000000001E-2</v>
      </c>
      <c r="AA6015">
        <v>0.91294569999999997</v>
      </c>
      <c r="AB6015">
        <v>22</v>
      </c>
      <c r="AC6015">
        <v>128.0446</v>
      </c>
      <c r="AD6015">
        <v>3.964045</v>
      </c>
      <c r="AE6015">
        <v>-10.61838</v>
      </c>
      <c r="AF6015">
        <v>-52.406069988098601</v>
      </c>
      <c r="AG6015">
        <v>3.964045</v>
      </c>
      <c r="AH6015">
        <v>117.176750770387</v>
      </c>
      <c r="AI6015">
        <v>88.2311665581379</v>
      </c>
      <c r="AJ6015">
        <v>114.096078802972</v>
      </c>
      <c r="AK6015">
        <v>128.42313166040199</v>
      </c>
      <c r="AL6015">
        <v>96.039744042537805</v>
      </c>
      <c r="AM6015">
        <v>103.680615475453</v>
      </c>
      <c r="AN6015">
        <v>0.99999997625404402</v>
      </c>
    </row>
    <row r="6016" spans="1:40" x14ac:dyDescent="0.25">
      <c r="A6016" t="str">
        <f>"20190305135048039"</f>
        <v>20190305135048039</v>
      </c>
      <c r="B6016" t="str">
        <f>"1551765048036502"</f>
        <v>1551765048036502</v>
      </c>
      <c r="C6016" t="s">
        <v>40</v>
      </c>
      <c r="D6016">
        <v>4.1886359999999998</v>
      </c>
      <c r="E6016">
        <v>0.43250549999999999</v>
      </c>
      <c r="F6016" t="s">
        <v>92</v>
      </c>
      <c r="G6016">
        <v>-274.49669999999998</v>
      </c>
      <c r="H6016">
        <v>4.9945349999999999</v>
      </c>
      <c r="I6016">
        <v>12.667070000000001</v>
      </c>
      <c r="J6016">
        <v>-402.43029999999999</v>
      </c>
      <c r="K6016">
        <v>1.1113489999999999</v>
      </c>
      <c r="L6016">
        <v>23.074580000000001</v>
      </c>
      <c r="M6016">
        <v>0.87661769999999894</v>
      </c>
      <c r="N6016">
        <v>-1.329081E-2</v>
      </c>
      <c r="O6016">
        <v>-0.48100399999999999</v>
      </c>
      <c r="P6016">
        <v>0.95915300000000003</v>
      </c>
      <c r="Q6016">
        <v>-0.117844699999999</v>
      </c>
      <c r="R6016">
        <v>-0.25717370000000001</v>
      </c>
      <c r="S6016">
        <v>3.0725709999999999</v>
      </c>
      <c r="T6016">
        <v>9.3180180000000001E-2</v>
      </c>
      <c r="U6016">
        <v>-0.25115969999999999</v>
      </c>
      <c r="V6016">
        <v>-0.23553250000000001</v>
      </c>
      <c r="W6016">
        <v>-0.1059126</v>
      </c>
      <c r="X6016">
        <v>0.9660782</v>
      </c>
      <c r="Y6016">
        <v>-0.4074757</v>
      </c>
      <c r="Z6016">
        <v>-2.4086710000000001E-2</v>
      </c>
      <c r="AA6016">
        <v>0.9128984</v>
      </c>
      <c r="AB6016">
        <v>22</v>
      </c>
      <c r="AC6016">
        <v>127.9336</v>
      </c>
      <c r="AD6016">
        <v>3.8831859999999998</v>
      </c>
      <c r="AE6016">
        <v>-10.407509999999901</v>
      </c>
      <c r="AF6016">
        <v>-52.369861686114497</v>
      </c>
      <c r="AG6016">
        <v>3.8831859999999998</v>
      </c>
      <c r="AH6016">
        <v>117.058117816058</v>
      </c>
      <c r="AI6016">
        <v>88.265563164788503</v>
      </c>
      <c r="AJ6016">
        <v>114.102950805706</v>
      </c>
      <c r="AK6016">
        <v>128.297640247869</v>
      </c>
      <c r="AL6016">
        <v>96.079747502948095</v>
      </c>
      <c r="AM6016">
        <v>103.701568600684</v>
      </c>
      <c r="AN6016">
        <v>1.00000006295512</v>
      </c>
    </row>
    <row r="6017" spans="1:40" x14ac:dyDescent="0.25">
      <c r="A6017" t="str">
        <f>"20190305135048057"</f>
        <v>20190305135048057</v>
      </c>
      <c r="B6017" t="str">
        <f>"1551765048046262"</f>
        <v>1551765048046262</v>
      </c>
      <c r="C6017" t="s">
        <v>40</v>
      </c>
      <c r="D6017">
        <v>4.1866190000000003</v>
      </c>
      <c r="E6017">
        <v>0.43260100000000001</v>
      </c>
      <c r="F6017" t="s">
        <v>92</v>
      </c>
      <c r="G6017">
        <v>-274.49669999999998</v>
      </c>
      <c r="H6017">
        <v>4.8880290000000004</v>
      </c>
      <c r="I6017">
        <v>12.76417</v>
      </c>
      <c r="J6017">
        <v>-402.2715</v>
      </c>
      <c r="K6017">
        <v>1.1112820000000001</v>
      </c>
      <c r="L6017">
        <v>22.990259999999999</v>
      </c>
      <c r="M6017">
        <v>0.87758910000000001</v>
      </c>
      <c r="N6017">
        <v>-1.3277290000000001E-2</v>
      </c>
      <c r="O6017">
        <v>-0.47922959999999898</v>
      </c>
      <c r="P6017">
        <v>0.95969899999999997</v>
      </c>
      <c r="Q6017">
        <v>-0.1188149</v>
      </c>
      <c r="R6017">
        <v>-0.2546776</v>
      </c>
      <c r="S6017">
        <v>3.0725099999999999</v>
      </c>
      <c r="T6017">
        <v>9.0702530000000003E-2</v>
      </c>
      <c r="U6017">
        <v>-0.2476196</v>
      </c>
      <c r="V6017">
        <v>-0.23604439999999999</v>
      </c>
      <c r="W6017">
        <v>-0.1068665</v>
      </c>
      <c r="X6017">
        <v>0.96584809999999999</v>
      </c>
      <c r="Y6017">
        <v>-0.40669709999999998</v>
      </c>
      <c r="Z6017">
        <v>-2.3470049999999999E-2</v>
      </c>
      <c r="AA6017">
        <v>0.91326149999999995</v>
      </c>
      <c r="AB6017">
        <v>22</v>
      </c>
      <c r="AC6017">
        <v>127.7748</v>
      </c>
      <c r="AD6017">
        <v>3.7767469999999999</v>
      </c>
      <c r="AE6017">
        <v>-10.226089999999999</v>
      </c>
      <c r="AF6017">
        <v>-52.218438935164301</v>
      </c>
      <c r="AG6017">
        <v>3.7767469999999999</v>
      </c>
      <c r="AH6017">
        <v>116.94321928031999</v>
      </c>
      <c r="AI6017">
        <v>88.310882351160103</v>
      </c>
      <c r="AJ6017">
        <v>114.06210640773099</v>
      </c>
      <c r="AK6017">
        <v>128.12784911319099</v>
      </c>
      <c r="AL6017">
        <v>96.134714417355895</v>
      </c>
      <c r="AM6017">
        <v>103.733368540142</v>
      </c>
      <c r="AN6017">
        <v>0.99999997993360901</v>
      </c>
    </row>
    <row r="6018" spans="1:40" x14ac:dyDescent="0.25">
      <c r="A6018" t="str">
        <f>"20190305135048068"</f>
        <v>20190305135048068</v>
      </c>
      <c r="B6018" t="str">
        <f>"1551765048065783"</f>
        <v>1551765048065783</v>
      </c>
      <c r="C6018" t="s">
        <v>40</v>
      </c>
      <c r="D6018">
        <v>4.1734809999999998</v>
      </c>
      <c r="E6018">
        <v>0.43277850000000001</v>
      </c>
      <c r="F6018" t="s">
        <v>92</v>
      </c>
      <c r="G6018">
        <v>-274.49669999999998</v>
      </c>
      <c r="H6018">
        <v>4.7976789999999996</v>
      </c>
      <c r="I6018">
        <v>12.95665</v>
      </c>
      <c r="J6018">
        <v>-402.173</v>
      </c>
      <c r="K6018">
        <v>1.111248</v>
      </c>
      <c r="L6018">
        <v>22.938110000000002</v>
      </c>
      <c r="M6018">
        <v>0.87818090000000004</v>
      </c>
      <c r="N6018">
        <v>-1.326957E-2</v>
      </c>
      <c r="O6018">
        <v>-0.47814489999999998</v>
      </c>
      <c r="P6018">
        <v>0.96005739999999995</v>
      </c>
      <c r="Q6018">
        <v>-0.1186199</v>
      </c>
      <c r="R6018">
        <v>-0.253415</v>
      </c>
      <c r="S6018">
        <v>3.0729060000000001</v>
      </c>
      <c r="T6018">
        <v>8.8655709999999999E-2</v>
      </c>
      <c r="U6018">
        <v>-0.2413025</v>
      </c>
      <c r="V6018">
        <v>-0.23614180000000001</v>
      </c>
      <c r="W6018">
        <v>-0.10666109999999999</v>
      </c>
      <c r="X6018">
        <v>0.96584700000000001</v>
      </c>
      <c r="Y6018">
        <v>-0.40746310000000002</v>
      </c>
      <c r="Z6018">
        <v>-2.298907E-2</v>
      </c>
      <c r="AA6018">
        <v>0.91293230000000003</v>
      </c>
      <c r="AB6018">
        <v>22</v>
      </c>
      <c r="AC6018">
        <v>127.6763</v>
      </c>
      <c r="AD6018">
        <v>3.6864309999999998</v>
      </c>
      <c r="AE6018">
        <v>-9.9814600000000002</v>
      </c>
      <c r="AF6018">
        <v>-52.243550324159301</v>
      </c>
      <c r="AG6018">
        <v>3.6864309999999998</v>
      </c>
      <c r="AH6018">
        <v>116.80895844123501</v>
      </c>
      <c r="AI6018">
        <v>88.349806254610797</v>
      </c>
      <c r="AJ6018">
        <v>114.096884683189</v>
      </c>
      <c r="AK6018">
        <v>128.01293331580499</v>
      </c>
      <c r="AL6018">
        <v>96.122878190055403</v>
      </c>
      <c r="AM6018">
        <v>103.738835755824</v>
      </c>
      <c r="AN6018">
        <v>0.99999998368472498</v>
      </c>
    </row>
    <row r="6019" spans="1:40" x14ac:dyDescent="0.25">
      <c r="A6019" t="str">
        <f>"20190305135048081"</f>
        <v>20190305135048081</v>
      </c>
      <c r="B6019" t="str">
        <f>"1551765048076519"</f>
        <v>1551765048076519</v>
      </c>
      <c r="C6019" t="s">
        <v>40</v>
      </c>
      <c r="D6019">
        <v>4.1140990000000004</v>
      </c>
      <c r="E6019">
        <v>0.4328747</v>
      </c>
      <c r="F6019" t="s">
        <v>92</v>
      </c>
      <c r="G6019">
        <v>-274.49669999999998</v>
      </c>
      <c r="H6019">
        <v>4.891445</v>
      </c>
      <c r="I6019">
        <v>13.00869</v>
      </c>
      <c r="J6019">
        <v>-402.07400000000001</v>
      </c>
      <c r="K6019">
        <v>1.1112249999999999</v>
      </c>
      <c r="L6019">
        <v>22.88589</v>
      </c>
      <c r="M6019">
        <v>0.87876710000000002</v>
      </c>
      <c r="N6019">
        <v>-1.325894E-2</v>
      </c>
      <c r="O6019">
        <v>-0.47706690000000002</v>
      </c>
      <c r="P6019">
        <v>0.96042499999999997</v>
      </c>
      <c r="Q6019">
        <v>-0.1185312</v>
      </c>
      <c r="R6019">
        <v>-0.25206129999999999</v>
      </c>
      <c r="S6019">
        <v>3.072937</v>
      </c>
      <c r="T6019">
        <v>9.0982439999999998E-2</v>
      </c>
      <c r="U6019">
        <v>-0.23898320000000001</v>
      </c>
      <c r="V6019">
        <v>-0.2363287</v>
      </c>
      <c r="W6019">
        <v>-0.1065729</v>
      </c>
      <c r="X6019">
        <v>0.96581099999999998</v>
      </c>
      <c r="Y6019">
        <v>-0.40700799999999998</v>
      </c>
      <c r="Z6019">
        <v>-2.3440840000000001E-2</v>
      </c>
      <c r="AA6019">
        <v>0.91312380000000004</v>
      </c>
      <c r="AB6019">
        <v>22</v>
      </c>
      <c r="AC6019">
        <v>127.57729999999999</v>
      </c>
      <c r="AD6019">
        <v>3.7802199999999999</v>
      </c>
      <c r="AE6019">
        <v>-9.8772000000000002</v>
      </c>
      <c r="AF6019">
        <v>-52.142222438866099</v>
      </c>
      <c r="AG6019">
        <v>3.7802199999999999</v>
      </c>
      <c r="AH6019">
        <v>116.731197369912</v>
      </c>
      <c r="AI6019">
        <v>88.306360617494505</v>
      </c>
      <c r="AJ6019">
        <v>114.069659377474</v>
      </c>
      <c r="AK6019">
        <v>127.903377060678</v>
      </c>
      <c r="AL6019">
        <v>96.117795862592402</v>
      </c>
      <c r="AM6019">
        <v>103.74979020620501</v>
      </c>
      <c r="AN6019">
        <v>0.99999996258954904</v>
      </c>
    </row>
    <row r="6020" spans="1:40" x14ac:dyDescent="0.25">
      <c r="A6020" t="str">
        <f>"20190305135048093"</f>
        <v>20190305135048093</v>
      </c>
      <c r="B6020" t="str">
        <f>"1551765048086278"</f>
        <v>1551765048086278</v>
      </c>
      <c r="C6020" t="s">
        <v>40</v>
      </c>
      <c r="D6020">
        <v>4.2251620000000001</v>
      </c>
      <c r="E6020">
        <v>0.43288910000000003</v>
      </c>
      <c r="F6020" t="s">
        <v>92</v>
      </c>
      <c r="G6020">
        <v>-274.49669999999998</v>
      </c>
      <c r="H6020">
        <v>4.9353439999999997</v>
      </c>
      <c r="I6020">
        <v>13.10422</v>
      </c>
      <c r="J6020">
        <v>-401.97359999999998</v>
      </c>
      <c r="K6020">
        <v>1.1112</v>
      </c>
      <c r="L6020">
        <v>22.833010000000002</v>
      </c>
      <c r="M6020">
        <v>0.87936150000000002</v>
      </c>
      <c r="N6020">
        <v>-1.3218260000000001E-2</v>
      </c>
      <c r="O6020">
        <v>-0.47597149999999999</v>
      </c>
      <c r="P6020">
        <v>0.96071200000000001</v>
      </c>
      <c r="Q6020">
        <v>-0.1184093</v>
      </c>
      <c r="R6020">
        <v>-0.25102180000000002</v>
      </c>
      <c r="S6020">
        <v>3.0731510000000002</v>
      </c>
      <c r="T6020">
        <v>9.2117550000000006E-2</v>
      </c>
      <c r="U6020">
        <v>-0.23562620000000001</v>
      </c>
      <c r="V6020">
        <v>-0.23618140000000001</v>
      </c>
      <c r="W6020">
        <v>-0.1064804</v>
      </c>
      <c r="X6020">
        <v>0.96585730000000003</v>
      </c>
      <c r="Y6020">
        <v>-0.40685710000000003</v>
      </c>
      <c r="Z6020">
        <v>-2.3627289999999999E-2</v>
      </c>
      <c r="AA6020">
        <v>0.91318630000000001</v>
      </c>
      <c r="AB6020">
        <v>22</v>
      </c>
      <c r="AC6020">
        <v>127.4769</v>
      </c>
      <c r="AD6020">
        <v>3.824144</v>
      </c>
      <c r="AE6020">
        <v>-9.72879</v>
      </c>
      <c r="AF6020">
        <v>-52.078200602539603</v>
      </c>
      <c r="AG6020">
        <v>3.824144</v>
      </c>
      <c r="AH6020">
        <v>116.634735229483</v>
      </c>
      <c r="AI6020">
        <v>88.285162495751294</v>
      </c>
      <c r="AJ6020">
        <v>114.061085930563</v>
      </c>
      <c r="AK6020">
        <v>127.79054940559</v>
      </c>
      <c r="AL6020">
        <v>96.112465280277704</v>
      </c>
      <c r="AM6020">
        <v>103.740911393941</v>
      </c>
      <c r="AN6020">
        <v>1.0000000266267</v>
      </c>
    </row>
    <row r="6021" spans="1:40" x14ac:dyDescent="0.25">
      <c r="A6021" t="str">
        <f>"20190305135048103"</f>
        <v>20190305135048103</v>
      </c>
      <c r="B6021" t="str">
        <f>"1551765048096039"</f>
        <v>1551765048096039</v>
      </c>
      <c r="C6021" t="s">
        <v>40</v>
      </c>
      <c r="D6021">
        <v>4.2362909999999996</v>
      </c>
      <c r="E6021">
        <v>0.4328997</v>
      </c>
      <c r="F6021" t="s">
        <v>92</v>
      </c>
      <c r="G6021">
        <v>-274.49669999999998</v>
      </c>
      <c r="H6021">
        <v>4.8771709999999997</v>
      </c>
      <c r="I6021">
        <v>13.1855299999999</v>
      </c>
      <c r="J6021">
        <v>-401.87709999999998</v>
      </c>
      <c r="K6021">
        <v>1.1111629999999999</v>
      </c>
      <c r="L6021">
        <v>22.78238</v>
      </c>
      <c r="M6021">
        <v>0.87993539999999904</v>
      </c>
      <c r="N6021">
        <v>-1.3091729999999999E-2</v>
      </c>
      <c r="O6021">
        <v>-0.47491309999999898</v>
      </c>
      <c r="P6021">
        <v>0.96107390000000004</v>
      </c>
      <c r="Q6021">
        <v>-0.1180745</v>
      </c>
      <c r="R6021">
        <v>-0.24979029999999999</v>
      </c>
      <c r="S6021">
        <v>3.0731199999999999</v>
      </c>
      <c r="T6021">
        <v>9.0787290000000007E-2</v>
      </c>
      <c r="U6021">
        <v>-0.23257449999999999</v>
      </c>
      <c r="V6021">
        <v>-0.2362776</v>
      </c>
      <c r="W6021">
        <v>-0.1062651</v>
      </c>
      <c r="X6021">
        <v>0.96585739999999998</v>
      </c>
      <c r="Y6021">
        <v>-0.40667350000000002</v>
      </c>
      <c r="Z6021">
        <v>-2.3261980000000002E-2</v>
      </c>
      <c r="AA6021">
        <v>0.91327740000000002</v>
      </c>
      <c r="AB6021">
        <v>22</v>
      </c>
      <c r="AC6021">
        <v>127.38039999999999</v>
      </c>
      <c r="AD6021">
        <v>3.7660079999999998</v>
      </c>
      <c r="AE6021">
        <v>-9.5968499999999999</v>
      </c>
      <c r="AF6021">
        <v>-52.009265366093302</v>
      </c>
      <c r="AG6021">
        <v>3.7660079999999998</v>
      </c>
      <c r="AH6021">
        <v>116.55287836942</v>
      </c>
      <c r="AI6021">
        <v>88.3098567953501</v>
      </c>
      <c r="AJ6021">
        <v>114.04781064615599</v>
      </c>
      <c r="AK6021">
        <v>127.68602099044899</v>
      </c>
      <c r="AL6021">
        <v>96.100059601682702</v>
      </c>
      <c r="AM6021">
        <v>103.74629461739499</v>
      </c>
      <c r="AN6021">
        <v>0.99999994643726298</v>
      </c>
    </row>
    <row r="6022" spans="1:40" x14ac:dyDescent="0.25">
      <c r="A6022" t="str">
        <f>"20190305135048114"</f>
        <v>20190305135048114</v>
      </c>
      <c r="B6022" t="str">
        <f>"1551765048105799"</f>
        <v>1551765048105799</v>
      </c>
      <c r="C6022" t="s">
        <v>40</v>
      </c>
      <c r="D6022">
        <v>4.1980060000000003</v>
      </c>
      <c r="E6022">
        <v>0.43293120000000002</v>
      </c>
      <c r="F6022" t="s">
        <v>92</v>
      </c>
      <c r="G6022">
        <v>-274.49669999999998</v>
      </c>
      <c r="H6022">
        <v>4.8183030000000002</v>
      </c>
      <c r="I6022">
        <v>13.302670000000001</v>
      </c>
      <c r="J6022">
        <v>-401.78449999999998</v>
      </c>
      <c r="K6022">
        <v>1.1111340000000001</v>
      </c>
      <c r="L6022">
        <v>22.73395</v>
      </c>
      <c r="M6022">
        <v>0.88048579999999999</v>
      </c>
      <c r="N6022">
        <v>-1.2963830000000001E-2</v>
      </c>
      <c r="O6022">
        <v>-0.47389540000000002</v>
      </c>
      <c r="P6022">
        <v>0.96139010000000003</v>
      </c>
      <c r="Q6022">
        <v>-0.1177701</v>
      </c>
      <c r="R6022">
        <v>-0.24871570000000001</v>
      </c>
      <c r="S6022">
        <v>3.0730590000000002</v>
      </c>
      <c r="T6022">
        <v>8.9434979999999997E-2</v>
      </c>
      <c r="U6022">
        <v>-0.2286987</v>
      </c>
      <c r="V6022">
        <v>-0.23625869999999999</v>
      </c>
      <c r="W6022">
        <v>-0.10608289999999999</v>
      </c>
      <c r="X6022">
        <v>0.96588209999999997</v>
      </c>
      <c r="Y6022">
        <v>-0.40677570000000002</v>
      </c>
      <c r="Z6022">
        <v>-2.2897150000000002E-2</v>
      </c>
      <c r="AA6022">
        <v>0.91324110000000003</v>
      </c>
      <c r="AB6022">
        <v>22</v>
      </c>
      <c r="AC6022">
        <v>127.2878</v>
      </c>
      <c r="AD6022">
        <v>3.7071689999999999</v>
      </c>
      <c r="AE6022">
        <v>-9.4312799999999992</v>
      </c>
      <c r="AF6022">
        <v>-51.977514390453102</v>
      </c>
      <c r="AG6022">
        <v>3.7071689999999999</v>
      </c>
      <c r="AH6022">
        <v>116.456084455877</v>
      </c>
      <c r="AI6022">
        <v>88.334926912764004</v>
      </c>
      <c r="AJ6022">
        <v>114.052504785702</v>
      </c>
      <c r="AK6022">
        <v>127.583011059461</v>
      </c>
      <c r="AL6022">
        <v>96.089560682314698</v>
      </c>
      <c r="AM6022">
        <v>103.74489858093</v>
      </c>
      <c r="AN6022">
        <v>0.99999999304925402</v>
      </c>
    </row>
    <row r="6023" spans="1:40" x14ac:dyDescent="0.25">
      <c r="A6023" t="str">
        <f>"20190305135048125"</f>
        <v>20190305135048125</v>
      </c>
      <c r="B6023" t="str">
        <f>"1551765048116534"</f>
        <v>1551765048116534</v>
      </c>
      <c r="C6023" t="s">
        <v>40</v>
      </c>
      <c r="D6023">
        <v>4.1643049999999997</v>
      </c>
      <c r="E6023">
        <v>0.43305919999999998</v>
      </c>
      <c r="F6023" t="s">
        <v>92</v>
      </c>
      <c r="G6023">
        <v>-274.49669999999998</v>
      </c>
      <c r="H6023">
        <v>4.7833220000000001</v>
      </c>
      <c r="I6023">
        <v>13.39629</v>
      </c>
      <c r="J6023">
        <v>-401.69439999999997</v>
      </c>
      <c r="K6023">
        <v>1.1111040000000001</v>
      </c>
      <c r="L6023">
        <v>22.68695</v>
      </c>
      <c r="M6023">
        <v>0.88102159999999996</v>
      </c>
      <c r="N6023">
        <v>-1.283201E-2</v>
      </c>
      <c r="O6023">
        <v>-0.47290189999999999</v>
      </c>
      <c r="P6023">
        <v>0.96172270000000004</v>
      </c>
      <c r="Q6023">
        <v>-0.1172916</v>
      </c>
      <c r="R6023">
        <v>-0.2476535</v>
      </c>
      <c r="S6023">
        <v>3.073029</v>
      </c>
      <c r="T6023">
        <v>8.8655349999999994E-2</v>
      </c>
      <c r="U6023">
        <v>-0.2254333</v>
      </c>
      <c r="V6023">
        <v>-0.23626349999999999</v>
      </c>
      <c r="W6023">
        <v>-0.1057324</v>
      </c>
      <c r="X6023">
        <v>0.96591939999999998</v>
      </c>
      <c r="Y6023">
        <v>-0.40671889999999999</v>
      </c>
      <c r="Z6023">
        <v>-2.2653969999999999E-2</v>
      </c>
      <c r="AA6023">
        <v>0.91327239999999998</v>
      </c>
      <c r="AB6023">
        <v>22</v>
      </c>
      <c r="AC6023">
        <v>127.1977</v>
      </c>
      <c r="AD6023">
        <v>3.672218</v>
      </c>
      <c r="AE6023">
        <v>-9.2906600000000008</v>
      </c>
      <c r="AF6023">
        <v>-51.927991142935703</v>
      </c>
      <c r="AG6023">
        <v>3.672218</v>
      </c>
      <c r="AH6023">
        <v>116.370606759079</v>
      </c>
      <c r="AI6023">
        <v>88.349345574469893</v>
      </c>
      <c r="AJ6023">
        <v>114.047835545287</v>
      </c>
      <c r="AK6023">
        <v>127.483801193158</v>
      </c>
      <c r="AL6023">
        <v>96.069364676882003</v>
      </c>
      <c r="AM6023">
        <v>103.74465658710299</v>
      </c>
      <c r="AN6023">
        <v>1.00000003456918</v>
      </c>
    </row>
    <row r="6024" spans="1:40" x14ac:dyDescent="0.25">
      <c r="A6024" t="str">
        <f>"20190305135048136"</f>
        <v>20190305135048136</v>
      </c>
      <c r="B6024" t="str">
        <f>"1551765048126294"</f>
        <v>1551765048126294</v>
      </c>
      <c r="C6024" t="s">
        <v>40</v>
      </c>
      <c r="D6024">
        <v>4.246372</v>
      </c>
      <c r="E6024">
        <v>0.43305919999999998</v>
      </c>
      <c r="F6024" t="s">
        <v>92</v>
      </c>
      <c r="G6024">
        <v>-274.49669999999998</v>
      </c>
      <c r="H6024">
        <v>4.8665370000000001</v>
      </c>
      <c r="I6024">
        <v>13.45036</v>
      </c>
      <c r="J6024">
        <v>-401.60480000000001</v>
      </c>
      <c r="K6024">
        <v>1.1110899999999999</v>
      </c>
      <c r="L6024">
        <v>22.64029</v>
      </c>
      <c r="M6024">
        <v>0.88155720000000004</v>
      </c>
      <c r="N6024">
        <v>-1.273823E-2</v>
      </c>
      <c r="O6024">
        <v>-0.47190539999999997</v>
      </c>
      <c r="P6024">
        <v>0.96201939999999997</v>
      </c>
      <c r="Q6024">
        <v>-0.11712409999999999</v>
      </c>
      <c r="R6024">
        <v>-0.2465782</v>
      </c>
      <c r="S6024">
        <v>3.072937</v>
      </c>
      <c r="T6024">
        <v>9.0726730000000005E-2</v>
      </c>
      <c r="U6024">
        <v>-0.2231445</v>
      </c>
      <c r="V6024">
        <v>-0.23625979999999999</v>
      </c>
      <c r="W6024">
        <v>-0.1056573</v>
      </c>
      <c r="X6024">
        <v>0.96592849999999997</v>
      </c>
      <c r="Y6024">
        <v>-0.40634350000000002</v>
      </c>
      <c r="Z6024">
        <v>-2.3028960000000001E-2</v>
      </c>
      <c r="AA6024">
        <v>0.91343019999999997</v>
      </c>
      <c r="AB6024">
        <v>22</v>
      </c>
      <c r="AC6024">
        <v>127.10809999999999</v>
      </c>
      <c r="AD6024">
        <v>3.7554470000000002</v>
      </c>
      <c r="AE6024">
        <v>-9.1899300000000004</v>
      </c>
      <c r="AF6024">
        <v>-51.840740086668397</v>
      </c>
      <c r="AG6024">
        <v>3.7554470000000002</v>
      </c>
      <c r="AH6024">
        <v>116.298286749903</v>
      </c>
      <c r="AI6024">
        <v>88.310609713966102</v>
      </c>
      <c r="AJ6024">
        <v>114.025242984033</v>
      </c>
      <c r="AK6024">
        <v>127.384682029929</v>
      </c>
      <c r="AL6024">
        <v>96.065037659523497</v>
      </c>
      <c r="AM6024">
        <v>103.744324926716</v>
      </c>
      <c r="AN6024">
        <v>1.00000001262579</v>
      </c>
    </row>
    <row r="6025" spans="1:40" x14ac:dyDescent="0.25">
      <c r="A6025" t="str">
        <f>"20190305135048146"</f>
        <v>20190305135048146</v>
      </c>
      <c r="B6025" t="str">
        <f>"1551765048136055"</f>
        <v>1551765048136055</v>
      </c>
      <c r="C6025" t="s">
        <v>40</v>
      </c>
      <c r="D6025">
        <v>4.4121009999999998</v>
      </c>
      <c r="E6025">
        <v>0.44543729999999998</v>
      </c>
      <c r="F6025" t="s">
        <v>92</v>
      </c>
      <c r="G6025">
        <v>-274.49669999999998</v>
      </c>
      <c r="H6025">
        <v>4.882981</v>
      </c>
      <c r="I6025">
        <v>13.556369999999999</v>
      </c>
      <c r="J6025">
        <v>-401.50779999999997</v>
      </c>
      <c r="K6025">
        <v>1.111084</v>
      </c>
      <c r="L6025">
        <v>22.5899</v>
      </c>
      <c r="M6025">
        <v>0.88213829999999904</v>
      </c>
      <c r="N6025">
        <v>-1.2666490000000001E-2</v>
      </c>
      <c r="O6025">
        <v>-0.47082069999999998</v>
      </c>
      <c r="P6025">
        <v>0.96228130000000001</v>
      </c>
      <c r="Q6025">
        <v>-0.1172381</v>
      </c>
      <c r="R6025">
        <v>-0.24550050000000001</v>
      </c>
      <c r="S6025">
        <v>3.0732729999999999</v>
      </c>
      <c r="T6025">
        <v>9.1198440000000006E-2</v>
      </c>
      <c r="U6025">
        <v>-0.219635</v>
      </c>
      <c r="V6025">
        <v>-0.23614499999999999</v>
      </c>
      <c r="W6025">
        <v>-0.10584250000000001</v>
      </c>
      <c r="X6025">
        <v>0.96593629999999997</v>
      </c>
      <c r="Y6025">
        <v>-0.40626190000000001</v>
      </c>
      <c r="Z6025">
        <v>-2.3064399999999999E-2</v>
      </c>
      <c r="AA6025">
        <v>0.91346559999999999</v>
      </c>
      <c r="AB6025">
        <v>22</v>
      </c>
      <c r="AC6025">
        <v>127.0111</v>
      </c>
      <c r="AD6025">
        <v>3.7718970000000001</v>
      </c>
      <c r="AE6025">
        <v>-9.0335300000000007</v>
      </c>
      <c r="AF6025">
        <v>-51.789331354909699</v>
      </c>
      <c r="AG6025">
        <v>3.7718970000000001</v>
      </c>
      <c r="AH6025">
        <v>116.201860314214</v>
      </c>
      <c r="AI6025">
        <v>88.301761024495207</v>
      </c>
      <c r="AJ6025">
        <v>114.021776951116</v>
      </c>
      <c r="AK6025">
        <v>127.276212976547</v>
      </c>
      <c r="AL6025">
        <v>96.0757086536956</v>
      </c>
      <c r="AM6025">
        <v>103.737792843793</v>
      </c>
      <c r="AN6025">
        <v>1.00000001574446</v>
      </c>
    </row>
    <row r="6026" spans="1:40" x14ac:dyDescent="0.25">
      <c r="A6026" t="str">
        <f>"20190305135048158"</f>
        <v>20190305135048158</v>
      </c>
      <c r="B6026" t="str">
        <f>"1551765048145815"</f>
        <v>1551765048145815</v>
      </c>
      <c r="C6026" t="s">
        <v>40</v>
      </c>
      <c r="D6026">
        <v>4.3593209999999996</v>
      </c>
      <c r="E6026">
        <v>0.45117000000000002</v>
      </c>
      <c r="F6026" t="s">
        <v>43</v>
      </c>
      <c r="G6026">
        <v>-288.01159999999999</v>
      </c>
      <c r="H6026">
        <v>-0.05</v>
      </c>
      <c r="I6026">
        <v>10.89207</v>
      </c>
      <c r="J6026">
        <v>-401.4117</v>
      </c>
      <c r="K6026">
        <v>1.111092</v>
      </c>
      <c r="L6026">
        <v>22.540279999999999</v>
      </c>
      <c r="M6026">
        <v>0.88272289999999998</v>
      </c>
      <c r="N6026">
        <v>-1.263484E-2</v>
      </c>
      <c r="O6026">
        <v>-0.46972449999999999</v>
      </c>
      <c r="P6026">
        <v>0.96259459999999997</v>
      </c>
      <c r="Q6026">
        <v>-0.117060999999999</v>
      </c>
      <c r="R6026">
        <v>-0.24435390000000001</v>
      </c>
      <c r="S6026">
        <v>3.0340579999999999</v>
      </c>
      <c r="T6026">
        <v>-3.1038880000000001E-2</v>
      </c>
      <c r="U6026">
        <v>-0.31271359999999998</v>
      </c>
      <c r="V6026">
        <v>-0.23610439999999999</v>
      </c>
      <c r="W6026">
        <v>-0.1056994</v>
      </c>
      <c r="X6026">
        <v>0.96596190000000004</v>
      </c>
      <c r="Y6026">
        <v>-0.3767354</v>
      </c>
      <c r="Z6026">
        <v>2.783298E-3</v>
      </c>
      <c r="AA6026">
        <v>0.92631669999999999</v>
      </c>
      <c r="AB6026">
        <v>22</v>
      </c>
      <c r="AC6026">
        <v>113.40009999999999</v>
      </c>
      <c r="AD6026">
        <v>-1.161092</v>
      </c>
      <c r="AE6026">
        <v>-11.648210000000001</v>
      </c>
      <c r="AF6026">
        <v>-42.9836258902982</v>
      </c>
      <c r="AG6026">
        <v>-1.161092</v>
      </c>
      <c r="AH6026">
        <v>105.56976618228499</v>
      </c>
      <c r="AI6026">
        <v>90.583615411477894</v>
      </c>
      <c r="AJ6026">
        <v>112.15411274223599</v>
      </c>
      <c r="AK6026">
        <v>113.990858234737</v>
      </c>
      <c r="AL6026">
        <v>96.067463340658307</v>
      </c>
      <c r="AM6026">
        <v>103.73517016240601</v>
      </c>
      <c r="AN6026">
        <v>1.0000000215556599</v>
      </c>
    </row>
    <row r="6027" spans="1:40" x14ac:dyDescent="0.25">
      <c r="A6027" t="str">
        <f>"20190305135048170"</f>
        <v>20190305135048170</v>
      </c>
      <c r="B6027" t="str">
        <f>"1551765048166311"</f>
        <v>1551765048166311</v>
      </c>
      <c r="C6027" t="s">
        <v>40</v>
      </c>
      <c r="D6027">
        <v>4.3180519999999998</v>
      </c>
      <c r="E6027">
        <v>0.45865939999999999</v>
      </c>
      <c r="F6027" t="s">
        <v>43</v>
      </c>
      <c r="G6027">
        <v>-297.6103</v>
      </c>
      <c r="H6027">
        <v>-0.05</v>
      </c>
      <c r="I6027">
        <v>10.403639999999999</v>
      </c>
      <c r="J6027">
        <v>-401.31150000000002</v>
      </c>
      <c r="K6027">
        <v>1.1111070000000001</v>
      </c>
      <c r="L6027">
        <v>22.488530000000001</v>
      </c>
      <c r="M6027">
        <v>0.88333539999999899</v>
      </c>
      <c r="N6027">
        <v>-1.261434E-2</v>
      </c>
      <c r="O6027">
        <v>-0.46857189999999999</v>
      </c>
      <c r="P6027">
        <v>0.9629799</v>
      </c>
      <c r="Q6027">
        <v>-0.1170476</v>
      </c>
      <c r="R6027">
        <v>-0.24283660000000001</v>
      </c>
      <c r="S6027">
        <v>3.0227360000000001</v>
      </c>
      <c r="T6027">
        <v>-3.381145E-2</v>
      </c>
      <c r="U6027">
        <v>-0.35342410000000002</v>
      </c>
      <c r="V6027">
        <v>-0.23636389999999999</v>
      </c>
      <c r="W6027">
        <v>-0.105712</v>
      </c>
      <c r="X6027">
        <v>0.96589700000000001</v>
      </c>
      <c r="Y6027">
        <v>-0.36280190000000001</v>
      </c>
      <c r="Z6027">
        <v>3.2308459999999999E-3</v>
      </c>
      <c r="AA6027">
        <v>0.93186069999999999</v>
      </c>
      <c r="AB6027">
        <v>22</v>
      </c>
      <c r="AC6027">
        <v>103.7012</v>
      </c>
      <c r="AD6027">
        <v>-1.1611069999999999</v>
      </c>
      <c r="AE6027">
        <v>-12.0848899999999</v>
      </c>
      <c r="AF6027">
        <v>-37.914781353993398</v>
      </c>
      <c r="AG6027">
        <v>-1.1611069999999999</v>
      </c>
      <c r="AH6027">
        <v>97.261281936156195</v>
      </c>
      <c r="AI6027">
        <v>90.637261615688999</v>
      </c>
      <c r="AJ6027">
        <v>111.297030019562</v>
      </c>
      <c r="AK6027">
        <v>104.396531448372</v>
      </c>
      <c r="AL6027">
        <v>96.068189664810902</v>
      </c>
      <c r="AM6027">
        <v>103.750582496409</v>
      </c>
      <c r="AN6027">
        <v>0.99999996738810404</v>
      </c>
    </row>
    <row r="6028" spans="1:40" x14ac:dyDescent="0.25">
      <c r="A6028" t="str">
        <f>"20190305135048181"</f>
        <v>20190305135048181</v>
      </c>
      <c r="B6028" t="str">
        <f>"1551765048176072"</f>
        <v>1551765048176072</v>
      </c>
      <c r="C6028" t="s">
        <v>40</v>
      </c>
      <c r="D6028">
        <v>4.3395229999999998</v>
      </c>
      <c r="E6028">
        <v>0.45993440000000002</v>
      </c>
      <c r="F6028" t="s">
        <v>101</v>
      </c>
      <c r="G6028">
        <v>-367.84730000000002</v>
      </c>
      <c r="H6028" s="1">
        <v>-1.31380599999999E-6</v>
      </c>
      <c r="I6028">
        <v>17.948989999999998</v>
      </c>
      <c r="J6028">
        <v>-401.21080000000001</v>
      </c>
      <c r="K6028">
        <v>1.1111279999999999</v>
      </c>
      <c r="L6028">
        <v>22.436800000000002</v>
      </c>
      <c r="M6028">
        <v>0.88396719999999895</v>
      </c>
      <c r="N6028">
        <v>-1.259382E-2</v>
      </c>
      <c r="O6028">
        <v>-0.4673794</v>
      </c>
      <c r="P6028">
        <v>0.9634298</v>
      </c>
      <c r="Q6028">
        <v>-0.11670460000000001</v>
      </c>
      <c r="R6028">
        <v>-0.2412115</v>
      </c>
      <c r="S6028">
        <v>3.00061</v>
      </c>
      <c r="T6028">
        <v>-9.9628930000000004E-2</v>
      </c>
      <c r="U6028">
        <v>-0.4070435</v>
      </c>
      <c r="V6028">
        <v>-0.23670620000000001</v>
      </c>
      <c r="W6028">
        <v>-0.10539949999999999</v>
      </c>
      <c r="X6028">
        <v>0.96584740000000002</v>
      </c>
      <c r="Y6028">
        <v>-0.34400920000000001</v>
      </c>
      <c r="Z6028">
        <v>1.6622979999999999E-2</v>
      </c>
      <c r="AA6028">
        <v>0.93881910000000002</v>
      </c>
      <c r="AB6028">
        <v>22</v>
      </c>
      <c r="AC6028">
        <v>33.363499999999902</v>
      </c>
      <c r="AD6028">
        <v>-1.1111293138060001</v>
      </c>
      <c r="AE6028">
        <v>-4.4878099999999996</v>
      </c>
      <c r="AF6028">
        <v>-11.614603918632399</v>
      </c>
      <c r="AG6028">
        <v>-1.1111293138060001</v>
      </c>
      <c r="AH6028">
        <v>31.557873172166701</v>
      </c>
      <c r="AI6028">
        <v>91.892503399931201</v>
      </c>
      <c r="AJ6028">
        <v>110.205704420014</v>
      </c>
      <c r="AK6028">
        <v>33.645697967039901</v>
      </c>
      <c r="AL6028">
        <v>96.050183702794797</v>
      </c>
      <c r="AM6028">
        <v>103.77041873398301</v>
      </c>
      <c r="AN6028">
        <v>1.00000003990272</v>
      </c>
    </row>
    <row r="6029" spans="1:40" x14ac:dyDescent="0.25">
      <c r="A6029" t="str">
        <f>"20190305135048192"</f>
        <v>20190305135048192</v>
      </c>
      <c r="B6029" t="str">
        <f>"1551765048185830"</f>
        <v>1551765048185830</v>
      </c>
      <c r="C6029" t="s">
        <v>40</v>
      </c>
      <c r="D6029">
        <v>4.2328970000000004</v>
      </c>
      <c r="E6029">
        <v>0.46158120000000002</v>
      </c>
      <c r="F6029" t="s">
        <v>101</v>
      </c>
      <c r="G6029">
        <v>-364.79719999999998</v>
      </c>
      <c r="H6029" s="1">
        <v>-2.846255E-6</v>
      </c>
      <c r="I6029">
        <v>17.43787</v>
      </c>
      <c r="J6029">
        <v>-401.11770000000001</v>
      </c>
      <c r="K6029">
        <v>1.111143</v>
      </c>
      <c r="L6029">
        <v>22.389099999999999</v>
      </c>
      <c r="M6029">
        <v>0.8845537</v>
      </c>
      <c r="N6029">
        <v>-1.257017E-2</v>
      </c>
      <c r="O6029">
        <v>-0.46626919999999999</v>
      </c>
      <c r="P6029">
        <v>0.96382120000000004</v>
      </c>
      <c r="Q6029">
        <v>-0.1164374</v>
      </c>
      <c r="R6029">
        <v>-0.2397735</v>
      </c>
      <c r="S6029">
        <v>2.999695</v>
      </c>
      <c r="T6029">
        <v>-9.1533299999999998E-2</v>
      </c>
      <c r="U6029">
        <v>-0.41180420000000001</v>
      </c>
      <c r="V6029">
        <v>-0.23694599999999999</v>
      </c>
      <c r="W6029">
        <v>-0.1051655</v>
      </c>
      <c r="X6029">
        <v>0.96581410000000001</v>
      </c>
      <c r="Y6029">
        <v>-0.34138449999999998</v>
      </c>
      <c r="Z6029">
        <v>1.489441E-2</v>
      </c>
      <c r="AA6029">
        <v>0.93980569999999997</v>
      </c>
      <c r="AB6029">
        <v>22</v>
      </c>
      <c r="AC6029">
        <v>36.320500000000003</v>
      </c>
      <c r="AD6029">
        <v>-1.1111458462549999</v>
      </c>
      <c r="AE6029">
        <v>-4.95122999999999</v>
      </c>
      <c r="AF6029">
        <v>-12.544965443712501</v>
      </c>
      <c r="AG6029">
        <v>-1.1111458462549999</v>
      </c>
      <c r="AH6029">
        <v>34.407140970602804</v>
      </c>
      <c r="AI6029">
        <v>91.737837905467899</v>
      </c>
      <c r="AJ6029">
        <v>110.032034661574</v>
      </c>
      <c r="AK6029">
        <v>36.639625446318703</v>
      </c>
      <c r="AL6029">
        <v>96.036701606587002</v>
      </c>
      <c r="AM6029">
        <v>103.78429444813101</v>
      </c>
      <c r="AN6029">
        <v>1.00000003253252</v>
      </c>
    </row>
    <row r="6030" spans="1:40" x14ac:dyDescent="0.25">
      <c r="A6030" t="str">
        <f>"20190305135048203"</f>
        <v>20190305135048203</v>
      </c>
      <c r="B6030" t="str">
        <f>"1551765048196566"</f>
        <v>1551765048196566</v>
      </c>
      <c r="C6030" t="s">
        <v>40</v>
      </c>
      <c r="D6030">
        <v>4.354209</v>
      </c>
      <c r="E6030">
        <v>0.4625456</v>
      </c>
      <c r="F6030" t="s">
        <v>100</v>
      </c>
      <c r="G6030">
        <v>-373.86</v>
      </c>
      <c r="H6030" s="1">
        <v>-3.070013E-6</v>
      </c>
      <c r="I6030">
        <v>18.561330000000002</v>
      </c>
      <c r="J6030">
        <v>-401.02109999999999</v>
      </c>
      <c r="K6030">
        <v>1.1111599999999999</v>
      </c>
      <c r="L6030">
        <v>22.339839999999999</v>
      </c>
      <c r="M6030">
        <v>0.88517029999999997</v>
      </c>
      <c r="N6030">
        <v>-1.2532730000000001E-2</v>
      </c>
      <c r="O6030">
        <v>-0.46509840000000002</v>
      </c>
      <c r="P6030">
        <v>0.96431880000000003</v>
      </c>
      <c r="Q6030">
        <v>-0.1158199</v>
      </c>
      <c r="R6030">
        <v>-0.238065</v>
      </c>
      <c r="S6030">
        <v>2.9933169999999998</v>
      </c>
      <c r="T6030">
        <v>-0.1220212</v>
      </c>
      <c r="U6030">
        <v>-0.42034909999999998</v>
      </c>
      <c r="V6030">
        <v>-0.23741110000000001</v>
      </c>
      <c r="W6030">
        <v>-0.10459830000000001</v>
      </c>
      <c r="X6030">
        <v>0.96576139999999999</v>
      </c>
      <c r="Y6030">
        <v>-0.33700429999999998</v>
      </c>
      <c r="Z6030">
        <v>2.106703E-2</v>
      </c>
      <c r="AA6030">
        <v>0.94126739999999998</v>
      </c>
      <c r="AB6030">
        <v>22</v>
      </c>
      <c r="AC6030">
        <v>27.161099999999902</v>
      </c>
      <c r="AD6030">
        <v>-1.111163070013</v>
      </c>
      <c r="AE6030">
        <v>-3.7785099999999998</v>
      </c>
      <c r="AF6030">
        <v>-9.2734628631127798</v>
      </c>
      <c r="AG6030">
        <v>-1.111163070013</v>
      </c>
      <c r="AH6030">
        <v>25.759310531700802</v>
      </c>
      <c r="AI6030">
        <v>92.324154332130206</v>
      </c>
      <c r="AJ6030">
        <v>109.799095063466</v>
      </c>
      <c r="AK6030">
        <v>27.4002532088717</v>
      </c>
      <c r="AL6030">
        <v>96.004023657025201</v>
      </c>
      <c r="AM6030">
        <v>103.811041401281</v>
      </c>
      <c r="AN6030">
        <v>0.99999995824802901</v>
      </c>
    </row>
    <row r="6031" spans="1:40" x14ac:dyDescent="0.25">
      <c r="A6031" t="str">
        <f>"20190305135048215"</f>
        <v>20190305135048215</v>
      </c>
      <c r="B6031" t="str">
        <f>"1551765048206326"</f>
        <v>1551765048206326</v>
      </c>
      <c r="C6031" t="s">
        <v>40</v>
      </c>
      <c r="D6031">
        <v>4.3680560000000002</v>
      </c>
      <c r="E6031">
        <v>0.46325509999999998</v>
      </c>
      <c r="F6031" t="s">
        <v>100</v>
      </c>
      <c r="G6031">
        <v>-375.69380000000001</v>
      </c>
      <c r="H6031" s="1">
        <v>-2.167622E-6</v>
      </c>
      <c r="I6031">
        <v>18.761679999999998</v>
      </c>
      <c r="J6031">
        <v>-400.92860000000002</v>
      </c>
      <c r="K6031">
        <v>1.111178</v>
      </c>
      <c r="L6031">
        <v>22.292719999999999</v>
      </c>
      <c r="M6031">
        <v>0.88576330000000003</v>
      </c>
      <c r="N6031">
        <v>-1.249547E-2</v>
      </c>
      <c r="O6031">
        <v>-0.46396900000000002</v>
      </c>
      <c r="P6031">
        <v>0.96482380000000001</v>
      </c>
      <c r="Q6031">
        <v>-0.115432199999999</v>
      </c>
      <c r="R6031">
        <v>-0.23619979999999999</v>
      </c>
      <c r="S6031">
        <v>2.9909059999999998</v>
      </c>
      <c r="T6031">
        <v>-0.13121749999999999</v>
      </c>
      <c r="U6031">
        <v>-0.42254639999999999</v>
      </c>
      <c r="V6031">
        <v>-0.23806240000000001</v>
      </c>
      <c r="W6031">
        <v>-0.1042632</v>
      </c>
      <c r="X6031">
        <v>0.96563730000000003</v>
      </c>
      <c r="Y6031">
        <v>-0.33493620000000002</v>
      </c>
      <c r="Z6031">
        <v>2.2892280000000001E-2</v>
      </c>
      <c r="AA6031">
        <v>0.94196270000000004</v>
      </c>
      <c r="AB6031">
        <v>22</v>
      </c>
      <c r="AC6031">
        <v>25.2348</v>
      </c>
      <c r="AD6031">
        <v>-1.1111801676219999</v>
      </c>
      <c r="AE6031">
        <v>-3.53104</v>
      </c>
      <c r="AF6031">
        <v>-8.5648811895164592</v>
      </c>
      <c r="AG6031">
        <v>-1.1111801676219999</v>
      </c>
      <c r="AH6031">
        <v>23.946685960458499</v>
      </c>
      <c r="AI6031">
        <v>92.501760111085801</v>
      </c>
      <c r="AJ6031">
        <v>109.68033029063599</v>
      </c>
      <c r="AK6031">
        <v>25.456544927469501</v>
      </c>
      <c r="AL6031">
        <v>95.984718282245097</v>
      </c>
      <c r="AM6031">
        <v>103.84918454675</v>
      </c>
      <c r="AN6031">
        <v>0.99999995815964404</v>
      </c>
    </row>
    <row r="6032" spans="1:40" x14ac:dyDescent="0.25">
      <c r="A6032" t="str">
        <f>"20190305135048226"</f>
        <v>20190305135048226</v>
      </c>
      <c r="B6032" t="str">
        <f>"1551765048216087"</f>
        <v>1551765048216087</v>
      </c>
      <c r="C6032" t="s">
        <v>40</v>
      </c>
      <c r="D6032">
        <v>4.351254</v>
      </c>
      <c r="E6032">
        <v>0.46380840000000001</v>
      </c>
      <c r="F6032" t="s">
        <v>100</v>
      </c>
      <c r="G6032">
        <v>-376.93400000000003</v>
      </c>
      <c r="H6032" s="1">
        <v>-1.5566329999999999E-6</v>
      </c>
      <c r="I6032">
        <v>18.901350000000001</v>
      </c>
      <c r="J6032">
        <v>-400.82350000000002</v>
      </c>
      <c r="K6032">
        <v>1.1112010000000001</v>
      </c>
      <c r="L6032">
        <v>22.239470000000001</v>
      </c>
      <c r="M6032">
        <v>0.88643909999999904</v>
      </c>
      <c r="N6032">
        <v>-1.245136E-2</v>
      </c>
      <c r="O6032">
        <v>-0.46267799999999998</v>
      </c>
      <c r="P6032">
        <v>0.96519829999999995</v>
      </c>
      <c r="Q6032">
        <v>-0.1154086</v>
      </c>
      <c r="R6032">
        <v>-0.2346772</v>
      </c>
      <c r="S6032">
        <v>2.9893800000000001</v>
      </c>
      <c r="T6032">
        <v>-0.1384367</v>
      </c>
      <c r="U6032">
        <v>-0.4225159</v>
      </c>
      <c r="V6032">
        <v>-0.23817289999999999</v>
      </c>
      <c r="W6032">
        <v>-0.1042989</v>
      </c>
      <c r="X6032">
        <v>0.96560619999999997</v>
      </c>
      <c r="Y6032">
        <v>-0.33343519999999999</v>
      </c>
      <c r="Z6032">
        <v>2.431351E-2</v>
      </c>
      <c r="AA6032">
        <v>0.94245950000000001</v>
      </c>
      <c r="AB6032">
        <v>22</v>
      </c>
      <c r="AC6032">
        <v>23.889500000000002</v>
      </c>
      <c r="AD6032">
        <v>-1.1112025566329999</v>
      </c>
      <c r="AE6032">
        <v>-3.3381199999999902</v>
      </c>
      <c r="AF6032">
        <v>-8.0775907134327305</v>
      </c>
      <c r="AG6032">
        <v>-1.1112025566329999</v>
      </c>
      <c r="AH6032">
        <v>22.674701327746501</v>
      </c>
      <c r="AI6032">
        <v>92.643152995007398</v>
      </c>
      <c r="AJ6032">
        <v>109.607832188221</v>
      </c>
      <c r="AK6032">
        <v>24.0961474754391</v>
      </c>
      <c r="AL6032">
        <v>95.9867749308914</v>
      </c>
      <c r="AM6032">
        <v>103.855794254976</v>
      </c>
      <c r="AN6032">
        <v>0.99999996215702902</v>
      </c>
    </row>
    <row r="6033" spans="1:40" x14ac:dyDescent="0.25">
      <c r="A6033" t="str">
        <f>"20190305135048241"</f>
        <v>20190305135048241</v>
      </c>
      <c r="B6033" t="str">
        <f>"1551765048236583"</f>
        <v>1551765048236583</v>
      </c>
      <c r="C6033" t="s">
        <v>40</v>
      </c>
      <c r="D6033">
        <v>4.3260870000000002</v>
      </c>
      <c r="E6033">
        <v>0.4645398</v>
      </c>
      <c r="F6033" t="s">
        <v>100</v>
      </c>
      <c r="G6033">
        <v>-377.90249999999997</v>
      </c>
      <c r="H6033" s="1">
        <v>-1.080913E-6</v>
      </c>
      <c r="I6033">
        <v>19.00206</v>
      </c>
      <c r="J6033">
        <v>-400.70769999999999</v>
      </c>
      <c r="K6033">
        <v>1.1112249999999999</v>
      </c>
      <c r="L6033">
        <v>22.181090000000001</v>
      </c>
      <c r="M6033">
        <v>0.88718869999999905</v>
      </c>
      <c r="N6033">
        <v>-1.2413749999999999E-2</v>
      </c>
      <c r="O6033">
        <v>-0.46123999999999998</v>
      </c>
      <c r="P6033">
        <v>0.96567930000000002</v>
      </c>
      <c r="Q6033">
        <v>-0.1149184</v>
      </c>
      <c r="R6033">
        <v>-0.232933</v>
      </c>
      <c r="S6033">
        <v>2.9881899999999999</v>
      </c>
      <c r="T6033">
        <v>-0.144866299999999</v>
      </c>
      <c r="U6033">
        <v>-0.42205809999999999</v>
      </c>
      <c r="V6033">
        <v>-0.23837220000000001</v>
      </c>
      <c r="W6033">
        <v>-0.1038635</v>
      </c>
      <c r="X6033">
        <v>0.96560400000000002</v>
      </c>
      <c r="Y6033">
        <v>-0.33193010000000001</v>
      </c>
      <c r="Z6033">
        <v>2.5557369999999999E-2</v>
      </c>
      <c r="AA6033">
        <v>0.94295770000000001</v>
      </c>
      <c r="AB6033">
        <v>22</v>
      </c>
      <c r="AC6033">
        <v>22.805199999999999</v>
      </c>
      <c r="AD6033">
        <v>-1.1112260809129999</v>
      </c>
      <c r="AE6033">
        <v>-3.17903</v>
      </c>
      <c r="AF6033">
        <v>-7.6809739318886603</v>
      </c>
      <c r="AG6033">
        <v>-1.1112260809129999</v>
      </c>
      <c r="AH6033">
        <v>21.650057104138099</v>
      </c>
      <c r="AI6033">
        <v>92.769388774678603</v>
      </c>
      <c r="AJ6033">
        <v>109.533588902387</v>
      </c>
      <c r="AK6033">
        <v>22.999068601960701</v>
      </c>
      <c r="AL6033">
        <v>95.961691839804203</v>
      </c>
      <c r="AM6033">
        <v>103.866971665886</v>
      </c>
      <c r="AN6033">
        <v>1.0000000085905401</v>
      </c>
    </row>
    <row r="6034" spans="1:40" x14ac:dyDescent="0.25">
      <c r="A6034" t="str">
        <f>"20190305135048259"</f>
        <v>20190305135048259</v>
      </c>
      <c r="B6034" t="str">
        <f>"1551765048246342"</f>
        <v>1551765048246342</v>
      </c>
      <c r="C6034" t="s">
        <v>40</v>
      </c>
      <c r="D6034">
        <v>4.3688650000000004</v>
      </c>
      <c r="E6034">
        <v>0.46477400000000002</v>
      </c>
      <c r="F6034" t="s">
        <v>100</v>
      </c>
      <c r="G6034">
        <v>-378.87979999999999</v>
      </c>
      <c r="H6034" s="1">
        <v>-6.0283250000000002E-7</v>
      </c>
      <c r="I6034">
        <v>19.092860000000002</v>
      </c>
      <c r="J6034">
        <v>-400.5564</v>
      </c>
      <c r="K6034">
        <v>1.111254</v>
      </c>
      <c r="L6034">
        <v>22.105129999999999</v>
      </c>
      <c r="M6034">
        <v>0.8881753</v>
      </c>
      <c r="N6034">
        <v>-1.2376440000000001E-2</v>
      </c>
      <c r="O6034">
        <v>-0.45933829999999998</v>
      </c>
      <c r="P6034">
        <v>0.96582990000000002</v>
      </c>
      <c r="Q6034">
        <v>-0.11608060000000001</v>
      </c>
      <c r="R6034">
        <v>-0.2317282</v>
      </c>
      <c r="S6034">
        <v>2.9866030000000001</v>
      </c>
      <c r="T6034">
        <v>-0.1520435</v>
      </c>
      <c r="U6034">
        <v>-0.42254639999999999</v>
      </c>
      <c r="V6034">
        <v>-0.2374308</v>
      </c>
      <c r="W6034">
        <v>-0.1050794</v>
      </c>
      <c r="X6034">
        <v>0.96570440000000002</v>
      </c>
      <c r="Y6034">
        <v>-0.32961200000000002</v>
      </c>
      <c r="Z6034">
        <v>2.69071E-2</v>
      </c>
      <c r="AA6034">
        <v>0.94373300000000004</v>
      </c>
      <c r="AB6034">
        <v>22</v>
      </c>
      <c r="AC6034">
        <v>21.676600000000001</v>
      </c>
      <c r="AD6034">
        <v>-1.1112546028325001</v>
      </c>
      <c r="AE6034">
        <v>-3.0122699999999898</v>
      </c>
      <c r="AF6034">
        <v>-7.2632985799790903</v>
      </c>
      <c r="AG6034">
        <v>-1.1112546028325001</v>
      </c>
      <c r="AH6034">
        <v>20.584775863799901</v>
      </c>
      <c r="AI6034">
        <v>92.9143065620366</v>
      </c>
      <c r="AJ6034">
        <v>109.435291351204</v>
      </c>
      <c r="AK6034">
        <v>21.8568842797211</v>
      </c>
      <c r="AL6034">
        <v>96.031740990272297</v>
      </c>
      <c r="AM6034">
        <v>103.812927564701</v>
      </c>
      <c r="AN6034">
        <v>1.0000000266361699</v>
      </c>
    </row>
    <row r="6035" spans="1:40" x14ac:dyDescent="0.25">
      <c r="A6035" t="str">
        <f>"20190305135048272"</f>
        <v>20190305135048272</v>
      </c>
      <c r="B6035" t="str">
        <f>"1551765048266838"</f>
        <v>1551765048266838</v>
      </c>
      <c r="C6035" t="s">
        <v>40</v>
      </c>
      <c r="D6035">
        <v>4.3719049999999999</v>
      </c>
      <c r="E6035">
        <v>0.4652463</v>
      </c>
      <c r="F6035" t="s">
        <v>100</v>
      </c>
      <c r="G6035">
        <v>-379.65469999999999</v>
      </c>
      <c r="H6035" s="1">
        <v>-2.3797459999999999E-7</v>
      </c>
      <c r="I6035">
        <v>19.160920000000001</v>
      </c>
      <c r="J6035">
        <v>-400.43349999999998</v>
      </c>
      <c r="K6035">
        <v>1.111278</v>
      </c>
      <c r="L6035">
        <v>22.04373</v>
      </c>
      <c r="M6035">
        <v>0.88898459999999901</v>
      </c>
      <c r="N6035">
        <v>-1.235437E-2</v>
      </c>
      <c r="O6035">
        <v>-0.45777050000000002</v>
      </c>
      <c r="P6035">
        <v>0.96595620000000004</v>
      </c>
      <c r="Q6035">
        <v>-0.1171286</v>
      </c>
      <c r="R6035">
        <v>-0.2306723</v>
      </c>
      <c r="S6035">
        <v>2.9861149999999999</v>
      </c>
      <c r="T6035">
        <v>-0.15875899999999901</v>
      </c>
      <c r="U6035">
        <v>-0.42062379999999999</v>
      </c>
      <c r="V6035">
        <v>-0.23671349999999999</v>
      </c>
      <c r="W6035">
        <v>-0.1061624</v>
      </c>
      <c r="X6035">
        <v>0.96576200000000001</v>
      </c>
      <c r="Y6035">
        <v>-0.32844509999999899</v>
      </c>
      <c r="Z6035">
        <v>2.8186490000000002E-2</v>
      </c>
      <c r="AA6035">
        <v>0.94410240000000001</v>
      </c>
      <c r="AB6035">
        <v>22</v>
      </c>
      <c r="AC6035">
        <v>20.778799999999901</v>
      </c>
      <c r="AD6035">
        <v>-1.1112782379746</v>
      </c>
      <c r="AE6035">
        <v>-2.8828099999999899</v>
      </c>
      <c r="AF6035">
        <v>-6.9302301934157802</v>
      </c>
      <c r="AG6035">
        <v>-1.1112782379746</v>
      </c>
      <c r="AH6035">
        <v>19.737819322299</v>
      </c>
      <c r="AI6035">
        <v>93.040842954396197</v>
      </c>
      <c r="AJ6035">
        <v>109.34690258344899</v>
      </c>
      <c r="AK6035">
        <v>20.948616695515899</v>
      </c>
      <c r="AL6035">
        <v>96.094141592979796</v>
      </c>
      <c r="AM6035">
        <v>103.771998604396</v>
      </c>
      <c r="AN6035">
        <v>0.99999998845000504</v>
      </c>
    </row>
    <row r="6036" spans="1:40" x14ac:dyDescent="0.25">
      <c r="A6036" t="str">
        <f>"20190305135048283"</f>
        <v>20190305135048283</v>
      </c>
      <c r="B6036" t="str">
        <f>"1551765048276598"</f>
        <v>1551765048276598</v>
      </c>
      <c r="C6036" t="s">
        <v>40</v>
      </c>
      <c r="D6036">
        <v>4.3033159999999997</v>
      </c>
      <c r="E6036">
        <v>0.46567770000000003</v>
      </c>
      <c r="F6036" t="s">
        <v>98</v>
      </c>
      <c r="G6036">
        <v>-380.75900000000001</v>
      </c>
      <c r="H6036" s="1">
        <v>-4.4305490000000001E-6</v>
      </c>
      <c r="I6036">
        <v>19.267700000000001</v>
      </c>
      <c r="J6036">
        <v>-400.3295</v>
      </c>
      <c r="K6036">
        <v>1.1112930000000001</v>
      </c>
      <c r="L6036">
        <v>21.992069999999998</v>
      </c>
      <c r="M6036">
        <v>0.88967770000000002</v>
      </c>
      <c r="N6036">
        <v>-1.2339009999999999E-2</v>
      </c>
      <c r="O6036">
        <v>-0.45642260000000001</v>
      </c>
      <c r="P6036">
        <v>0.96592160000000005</v>
      </c>
      <c r="Q6036">
        <v>-0.11824850000000001</v>
      </c>
      <c r="R6036">
        <v>-0.23024600000000001</v>
      </c>
      <c r="S6036">
        <v>2.9847410000000001</v>
      </c>
      <c r="T6036">
        <v>-0.16858879999999901</v>
      </c>
      <c r="U6036">
        <v>-0.42114259999999898</v>
      </c>
      <c r="V6036">
        <v>-0.23560400000000001</v>
      </c>
      <c r="W6036">
        <v>-0.10730389999999999</v>
      </c>
      <c r="X6036">
        <v>0.96590719999999997</v>
      </c>
      <c r="Y6036">
        <v>-0.326675299999999</v>
      </c>
      <c r="Z6036">
        <v>3.0074159999999999E-2</v>
      </c>
      <c r="AA6036">
        <v>0.944658</v>
      </c>
      <c r="AB6036">
        <v>22</v>
      </c>
      <c r="AC6036">
        <v>19.5704999999999</v>
      </c>
      <c r="AD6036">
        <v>-1.111297430549</v>
      </c>
      <c r="AE6036">
        <v>-2.72437</v>
      </c>
      <c r="AF6036">
        <v>-6.4885775607409499</v>
      </c>
      <c r="AG6036">
        <v>-1.111297430549</v>
      </c>
      <c r="AH6036">
        <v>18.597492560323499</v>
      </c>
      <c r="AI6036">
        <v>93.229197459086194</v>
      </c>
      <c r="AJ6036">
        <v>109.23363908518699</v>
      </c>
      <c r="AK6036">
        <v>19.728237383815699</v>
      </c>
      <c r="AL6036">
        <v>96.159920126245297</v>
      </c>
      <c r="AM6036">
        <v>103.70790595992</v>
      </c>
      <c r="AN6036">
        <v>1.0000000453915201</v>
      </c>
    </row>
    <row r="6037" spans="1:40" x14ac:dyDescent="0.25">
      <c r="A6037" t="str">
        <f>"20190305135048295"</f>
        <v>20190305135048295</v>
      </c>
      <c r="B6037" t="str">
        <f>"1551765048286358"</f>
        <v>1551765048286358</v>
      </c>
      <c r="C6037" t="s">
        <v>40</v>
      </c>
      <c r="D6037">
        <v>4.4023890000000003</v>
      </c>
      <c r="E6037">
        <v>0.46588550000000001</v>
      </c>
      <c r="F6037" t="s">
        <v>98</v>
      </c>
      <c r="G6037">
        <v>-381.84530000000001</v>
      </c>
      <c r="H6037" s="1">
        <v>-3.8990749999999996E-6</v>
      </c>
      <c r="I6037">
        <v>19.369019999999999</v>
      </c>
      <c r="J6037">
        <v>-400.23349999999999</v>
      </c>
      <c r="K6037">
        <v>1.111307</v>
      </c>
      <c r="L6037">
        <v>21.94455</v>
      </c>
      <c r="M6037">
        <v>0.89032160000000005</v>
      </c>
      <c r="N6037">
        <v>-1.232486E-2</v>
      </c>
      <c r="O6037">
        <v>-0.45516570000000001</v>
      </c>
      <c r="P6037">
        <v>0.96591079999999996</v>
      </c>
      <c r="Q6037">
        <v>-0.1193005</v>
      </c>
      <c r="R6037">
        <v>-0.22974820000000001</v>
      </c>
      <c r="S6037">
        <v>2.9830019999999999</v>
      </c>
      <c r="T6037">
        <v>-0.17934249999999999</v>
      </c>
      <c r="U6037">
        <v>-0.4233093</v>
      </c>
      <c r="V6037">
        <v>-0.2346714</v>
      </c>
      <c r="W6037">
        <v>-0.1083752</v>
      </c>
      <c r="X6037">
        <v>0.96601459999999995</v>
      </c>
      <c r="Y6037">
        <v>-0.32445560000000001</v>
      </c>
      <c r="Z6037">
        <v>3.2123209999999999E-2</v>
      </c>
      <c r="AA6037">
        <v>0.94535530000000001</v>
      </c>
      <c r="AB6037">
        <v>22</v>
      </c>
      <c r="AC6037">
        <v>18.388199999999902</v>
      </c>
      <c r="AD6037">
        <v>-1.111310899075</v>
      </c>
      <c r="AE6037">
        <v>-2.5755299999999899</v>
      </c>
      <c r="AF6037">
        <v>-6.0553967873884904</v>
      </c>
      <c r="AG6037">
        <v>-1.111310899075</v>
      </c>
      <c r="AH6037">
        <v>17.482408563256001</v>
      </c>
      <c r="AI6037">
        <v>93.437413028994001</v>
      </c>
      <c r="AJ6037">
        <v>109.10459448388499</v>
      </c>
      <c r="AK6037">
        <v>18.534763320305</v>
      </c>
      <c r="AL6037">
        <v>96.221661253877599</v>
      </c>
      <c r="AM6037">
        <v>103.654219467628</v>
      </c>
      <c r="AN6037">
        <v>1.0000000286830699</v>
      </c>
    </row>
    <row r="6038" spans="1:40" x14ac:dyDescent="0.25">
      <c r="A6038" t="str">
        <f>"20190305135048306"</f>
        <v>20190305135048306</v>
      </c>
      <c r="B6038" t="str">
        <f>"1551765048296120"</f>
        <v>1551765048296120</v>
      </c>
      <c r="C6038" t="s">
        <v>40</v>
      </c>
      <c r="D6038">
        <v>4.3633689999999996</v>
      </c>
      <c r="E6038">
        <v>0.46655210000000003</v>
      </c>
      <c r="F6038" t="s">
        <v>98</v>
      </c>
      <c r="G6038">
        <v>-382.25940000000003</v>
      </c>
      <c r="H6038" s="1">
        <v>-3.6991630000000001E-6</v>
      </c>
      <c r="I6038">
        <v>19.39264</v>
      </c>
      <c r="J6038">
        <v>-400.13619999999997</v>
      </c>
      <c r="K6038">
        <v>1.111316</v>
      </c>
      <c r="L6038">
        <v>21.89658</v>
      </c>
      <c r="M6038">
        <v>0.8909764</v>
      </c>
      <c r="N6038">
        <v>-1.231057E-2</v>
      </c>
      <c r="O6038">
        <v>-0.45388279999999998</v>
      </c>
      <c r="P6038">
        <v>0.9658485</v>
      </c>
      <c r="Q6038">
        <v>-0.1201681</v>
      </c>
      <c r="R6038">
        <v>-0.2295576</v>
      </c>
      <c r="S6038">
        <v>2.9823909999999998</v>
      </c>
      <c r="T6038">
        <v>-0.1843969</v>
      </c>
      <c r="U6038">
        <v>-0.42343140000000001</v>
      </c>
      <c r="V6038">
        <v>-0.2334145</v>
      </c>
      <c r="W6038">
        <v>-0.1092587</v>
      </c>
      <c r="X6038">
        <v>0.96621950000000001</v>
      </c>
      <c r="Y6038">
        <v>-0.3229631</v>
      </c>
      <c r="Z6038">
        <v>3.3037110000000001E-2</v>
      </c>
      <c r="AA6038">
        <v>0.94583479999999998</v>
      </c>
      <c r="AB6038">
        <v>22</v>
      </c>
      <c r="AC6038">
        <v>17.8767999999999</v>
      </c>
      <c r="AD6038">
        <v>-1.1113196991630001</v>
      </c>
      <c r="AE6038">
        <v>-2.5039400000000001</v>
      </c>
      <c r="AF6038">
        <v>-5.8612509187543296</v>
      </c>
      <c r="AG6038">
        <v>-1.1113196991630001</v>
      </c>
      <c r="AH6038">
        <v>17.001157044557502</v>
      </c>
      <c r="AI6038">
        <v>93.536258401658998</v>
      </c>
      <c r="AJ6038">
        <v>109.021940306928</v>
      </c>
      <c r="AK6038">
        <v>18.017453611985601</v>
      </c>
      <c r="AL6038">
        <v>96.272584917143007</v>
      </c>
      <c r="AM6038">
        <v>103.58103016388201</v>
      </c>
      <c r="AN6038">
        <v>0.99999995725809399</v>
      </c>
    </row>
    <row r="6039" spans="1:40" x14ac:dyDescent="0.25">
      <c r="A6039" t="str">
        <f>"20190305135048318"</f>
        <v>20190305135048318</v>
      </c>
      <c r="B6039" t="str">
        <f>"1551765048305879"</f>
        <v>1551765048305879</v>
      </c>
      <c r="C6039" t="s">
        <v>40</v>
      </c>
      <c r="D6039">
        <v>4.3976249999999997</v>
      </c>
      <c r="E6039">
        <v>0.46673490000000001</v>
      </c>
      <c r="F6039" t="s">
        <v>98</v>
      </c>
      <c r="G6039">
        <v>-383.16500000000002</v>
      </c>
      <c r="H6039" s="1">
        <v>-3.2593049999999998E-6</v>
      </c>
      <c r="I6039">
        <v>19.458960000000001</v>
      </c>
      <c r="J6039">
        <v>-400.04419999999999</v>
      </c>
      <c r="K6039">
        <v>1.1113249999999999</v>
      </c>
      <c r="L6039">
        <v>21.851410000000001</v>
      </c>
      <c r="M6039">
        <v>0.89159979999999905</v>
      </c>
      <c r="N6039">
        <v>-1.229744E-2</v>
      </c>
      <c r="O6039">
        <v>-0.45265759999999999</v>
      </c>
      <c r="P6039">
        <v>0.96594720000000001</v>
      </c>
      <c r="Q6039">
        <v>-0.12035270000000001</v>
      </c>
      <c r="R6039">
        <v>-0.2290452</v>
      </c>
      <c r="S6039">
        <v>2.9801030000000002</v>
      </c>
      <c r="T6039">
        <v>-0.1951447</v>
      </c>
      <c r="U6039">
        <v>-0.42803960000000002</v>
      </c>
      <c r="V6039">
        <v>-0.2325855</v>
      </c>
      <c r="W6039">
        <v>-0.109458</v>
      </c>
      <c r="X6039">
        <v>0.9663969</v>
      </c>
      <c r="Y6039">
        <v>-0.3199805</v>
      </c>
      <c r="Z6039">
        <v>3.5035450000000003E-2</v>
      </c>
      <c r="AA6039">
        <v>0.94677610000000001</v>
      </c>
      <c r="AB6039">
        <v>22</v>
      </c>
      <c r="AC6039">
        <v>16.879199999999901</v>
      </c>
      <c r="AD6039">
        <v>-1.11132825930499</v>
      </c>
      <c r="AE6039">
        <v>-2.3924500000000002</v>
      </c>
      <c r="AF6039">
        <v>-5.48449915518834</v>
      </c>
      <c r="AG6039">
        <v>-1.11132825930499</v>
      </c>
      <c r="AH6039">
        <v>16.0653986606874</v>
      </c>
      <c r="AI6039">
        <v>93.745555479263203</v>
      </c>
      <c r="AJ6039">
        <v>108.849176620828</v>
      </c>
      <c r="AK6039">
        <v>17.012107912013899</v>
      </c>
      <c r="AL6039">
        <v>96.284072480659603</v>
      </c>
      <c r="AM6039">
        <v>103.53217976576001</v>
      </c>
      <c r="AN6039">
        <v>1.00000001845192</v>
      </c>
    </row>
    <row r="6040" spans="1:40" x14ac:dyDescent="0.25">
      <c r="A6040" t="str">
        <f>"20190305135048329"</f>
        <v>20190305135048329</v>
      </c>
      <c r="B6040" t="str">
        <f>"1551765048326375"</f>
        <v>1551765048326375</v>
      </c>
      <c r="C6040" t="s">
        <v>40</v>
      </c>
      <c r="D6040">
        <v>4.4143860000000004</v>
      </c>
      <c r="E6040">
        <v>0.46693630000000003</v>
      </c>
      <c r="F6040" t="s">
        <v>98</v>
      </c>
      <c r="G6040">
        <v>-383.21949999999998</v>
      </c>
      <c r="H6040" s="1">
        <v>-3.2377899999999999E-6</v>
      </c>
      <c r="I6040">
        <v>19.435099999999998</v>
      </c>
      <c r="J6040">
        <v>-399.93970000000002</v>
      </c>
      <c r="K6040">
        <v>1.11134</v>
      </c>
      <c r="L6040">
        <v>21.800170000000001</v>
      </c>
      <c r="M6040">
        <v>0.89230789999999904</v>
      </c>
      <c r="N6040">
        <v>-1.2282660000000001E-2</v>
      </c>
      <c r="O6040">
        <v>-0.45126050000000001</v>
      </c>
      <c r="P6040">
        <v>0.96607739999999998</v>
      </c>
      <c r="Q6040">
        <v>-0.1204838</v>
      </c>
      <c r="R6040">
        <v>-0.22842489999999999</v>
      </c>
      <c r="S6040">
        <v>2.979797</v>
      </c>
      <c r="T6040">
        <v>-0.19682549999999999</v>
      </c>
      <c r="U6040">
        <v>-0.427948</v>
      </c>
      <c r="V6040">
        <v>-0.2316812</v>
      </c>
      <c r="W6040">
        <v>-0.1096053</v>
      </c>
      <c r="X6040">
        <v>0.96659740000000005</v>
      </c>
      <c r="Y6040">
        <v>-0.31849139999999998</v>
      </c>
      <c r="Z6040">
        <v>3.5256629999999997E-2</v>
      </c>
      <c r="AA6040">
        <v>0.9472699</v>
      </c>
      <c r="AB6040">
        <v>22</v>
      </c>
      <c r="AC6040">
        <v>16.720199999999998</v>
      </c>
      <c r="AD6040">
        <v>-1.1113432377899899</v>
      </c>
      <c r="AE6040">
        <v>-2.3650699999999998</v>
      </c>
      <c r="AF6040">
        <v>-5.4117648546357797</v>
      </c>
      <c r="AG6040">
        <v>-1.1113432377899899</v>
      </c>
      <c r="AH6040">
        <v>15.9190839493172</v>
      </c>
      <c r="AI6040">
        <v>93.781579873301197</v>
      </c>
      <c r="AJ6040">
        <v>108.775698401819</v>
      </c>
      <c r="AK6040">
        <v>16.8505049306975</v>
      </c>
      <c r="AL6040">
        <v>96.292563244544894</v>
      </c>
      <c r="AM6040">
        <v>103.47879589679501</v>
      </c>
      <c r="AN6040">
        <v>1.0000000169541401</v>
      </c>
    </row>
    <row r="6041" spans="1:40" x14ac:dyDescent="0.25">
      <c r="A6041" t="str">
        <f>"20190305135048345"</f>
        <v>20190305135048345</v>
      </c>
      <c r="B6041" t="str">
        <f>"1551765048336134"</f>
        <v>1551765048336134</v>
      </c>
      <c r="C6041" t="s">
        <v>40</v>
      </c>
      <c r="D6041">
        <v>4.4086619999999996</v>
      </c>
      <c r="E6041">
        <v>0.46705239999999998</v>
      </c>
      <c r="F6041" t="s">
        <v>98</v>
      </c>
      <c r="G6041">
        <v>-382.69409999999999</v>
      </c>
      <c r="H6041" s="1">
        <v>-3.5054750000000001E-6</v>
      </c>
      <c r="I6041">
        <v>19.326170000000001</v>
      </c>
      <c r="J6041">
        <v>-399.80079999999998</v>
      </c>
      <c r="K6041">
        <v>1.111359</v>
      </c>
      <c r="L6041">
        <v>21.732600000000001</v>
      </c>
      <c r="M6041">
        <v>0.89325330000000003</v>
      </c>
      <c r="N6041">
        <v>-1.226615E-2</v>
      </c>
      <c r="O6041">
        <v>-0.44938640000000002</v>
      </c>
      <c r="P6041">
        <v>0.96633400000000003</v>
      </c>
      <c r="Q6041">
        <v>-0.11948540000000001</v>
      </c>
      <c r="R6041">
        <v>-0.22786329999999999</v>
      </c>
      <c r="S6041">
        <v>2.9803470000000001</v>
      </c>
      <c r="T6041">
        <v>-0.19205990000000001</v>
      </c>
      <c r="U6041">
        <v>-0.42755130000000002</v>
      </c>
      <c r="V6041">
        <v>-0.23027210000000001</v>
      </c>
      <c r="W6041">
        <v>-0.1086192</v>
      </c>
      <c r="X6041">
        <v>0.9670453</v>
      </c>
      <c r="Y6041">
        <v>-0.31672509999999998</v>
      </c>
      <c r="Z6041">
        <v>3.4163319999999997E-2</v>
      </c>
      <c r="AA6041">
        <v>0.94790189999999996</v>
      </c>
      <c r="AB6041">
        <v>22</v>
      </c>
      <c r="AC6041">
        <v>17.106699999999901</v>
      </c>
      <c r="AD6041">
        <v>-1.111362505475</v>
      </c>
      <c r="AE6041">
        <v>-2.4064299999999998</v>
      </c>
      <c r="AF6041">
        <v>-5.5155558178867903</v>
      </c>
      <c r="AG6041">
        <v>-1.111362505475</v>
      </c>
      <c r="AH6041">
        <v>16.295819477878499</v>
      </c>
      <c r="AI6041">
        <v>93.696134517653604</v>
      </c>
      <c r="AJ6041">
        <v>108.69913323723399</v>
      </c>
      <c r="AK6041">
        <v>17.2397858181129</v>
      </c>
      <c r="AL6041">
        <v>96.235724675259306</v>
      </c>
      <c r="AM6041">
        <v>103.393799632504</v>
      </c>
      <c r="AN6041">
        <v>0.99999999144956997</v>
      </c>
    </row>
    <row r="6042" spans="1:40" x14ac:dyDescent="0.25">
      <c r="A6042" t="str">
        <f>"20190305135048357"</f>
        <v>20190305135048357</v>
      </c>
      <c r="B6042" t="str">
        <f>"1551765048345895"</f>
        <v>1551765048345895</v>
      </c>
      <c r="C6042" t="s">
        <v>40</v>
      </c>
      <c r="D6042">
        <v>4.4081349999999997</v>
      </c>
      <c r="E6042">
        <v>0.46698190000000001</v>
      </c>
      <c r="F6042" t="s">
        <v>98</v>
      </c>
      <c r="G6042">
        <v>-382.40879999999999</v>
      </c>
      <c r="H6042" s="1">
        <v>-3.6552690000000002E-6</v>
      </c>
      <c r="I6042">
        <v>19.241859999999999</v>
      </c>
      <c r="J6042">
        <v>-399.70069999999998</v>
      </c>
      <c r="K6042">
        <v>1.111372</v>
      </c>
      <c r="L6042">
        <v>21.684170000000002</v>
      </c>
      <c r="M6042">
        <v>0.89393449999999997</v>
      </c>
      <c r="N6042">
        <v>-1.2255749999999999E-2</v>
      </c>
      <c r="O6042">
        <v>-0.4480304</v>
      </c>
      <c r="P6042">
        <v>0.96665389999999995</v>
      </c>
      <c r="Q6042">
        <v>-0.1187656</v>
      </c>
      <c r="R6042">
        <v>-0.226881</v>
      </c>
      <c r="S6042">
        <v>2.9803160000000002</v>
      </c>
      <c r="T6042">
        <v>-0.19044530000000001</v>
      </c>
      <c r="U6042">
        <v>-0.4268188</v>
      </c>
      <c r="V6042">
        <v>-0.22982839999999999</v>
      </c>
      <c r="W6042">
        <v>-0.1079099</v>
      </c>
      <c r="X6042">
        <v>0.96723029999999999</v>
      </c>
      <c r="Y6042">
        <v>-0.31553940000000003</v>
      </c>
      <c r="Z6042">
        <v>3.374622E-2</v>
      </c>
      <c r="AA6042">
        <v>0.94831220000000005</v>
      </c>
      <c r="AB6042">
        <v>22</v>
      </c>
      <c r="AC6042">
        <v>17.291899999999998</v>
      </c>
      <c r="AD6042">
        <v>-1.111375655269</v>
      </c>
      <c r="AE6042">
        <v>-2.44231</v>
      </c>
      <c r="AF6042">
        <v>-5.54200342759877</v>
      </c>
      <c r="AG6042">
        <v>-1.111375655269</v>
      </c>
      <c r="AH6042">
        <v>16.4865246997139</v>
      </c>
      <c r="AI6042">
        <v>93.656090624631403</v>
      </c>
      <c r="AJ6042">
        <v>108.58025225674599</v>
      </c>
      <c r="AK6042">
        <v>17.428552851941401</v>
      </c>
      <c r="AL6042">
        <v>96.194844145735004</v>
      </c>
      <c r="AM6042">
        <v>103.36645392609201</v>
      </c>
      <c r="AN6042">
        <v>1.0000000466013199</v>
      </c>
    </row>
    <row r="6043" spans="1:40" x14ac:dyDescent="0.25">
      <c r="A6043" t="str">
        <f>"20190305135048371"</f>
        <v>20190305135048371</v>
      </c>
      <c r="B6043" t="str">
        <f>"1551765048366391"</f>
        <v>1551765048366391</v>
      </c>
      <c r="C6043" t="s">
        <v>40</v>
      </c>
      <c r="D6043">
        <v>4.2997500000000004</v>
      </c>
      <c r="E6043">
        <v>0.46633089999999999</v>
      </c>
      <c r="F6043" t="s">
        <v>98</v>
      </c>
      <c r="G6043">
        <v>-381.54860000000002</v>
      </c>
      <c r="H6043" s="1">
        <v>-4.0857279999999996E-6</v>
      </c>
      <c r="I6043">
        <v>19.107669999999999</v>
      </c>
      <c r="J6043">
        <v>-399.59129999999999</v>
      </c>
      <c r="K6043">
        <v>1.111381</v>
      </c>
      <c r="L6043">
        <v>21.631319999999999</v>
      </c>
      <c r="M6043">
        <v>0.89467960000000002</v>
      </c>
      <c r="N6043">
        <v>-1.2245229999999999E-2</v>
      </c>
      <c r="O6043">
        <v>-0.44654050000000001</v>
      </c>
      <c r="P6043">
        <v>0.96717339999999996</v>
      </c>
      <c r="Q6043">
        <v>-0.1175032</v>
      </c>
      <c r="R6043">
        <v>-0.22531870000000001</v>
      </c>
      <c r="S6043">
        <v>2.9816889999999998</v>
      </c>
      <c r="T6043">
        <v>-0.1825552</v>
      </c>
      <c r="U6043">
        <v>-0.42321779999999998</v>
      </c>
      <c r="V6043">
        <v>-0.22985259999999999</v>
      </c>
      <c r="W6043">
        <v>-0.10666059999999999</v>
      </c>
      <c r="X6043">
        <v>0.96736310000000003</v>
      </c>
      <c r="Y6043">
        <v>-0.31525379999999997</v>
      </c>
      <c r="Z6043">
        <v>3.2116730000000003E-2</v>
      </c>
      <c r="AA6043">
        <v>0.94846379999999997</v>
      </c>
      <c r="AB6043">
        <v>22</v>
      </c>
      <c r="AC6043">
        <v>18.0426999999999</v>
      </c>
      <c r="AD6043">
        <v>-1.1113850857280001</v>
      </c>
      <c r="AE6043">
        <v>-2.5236499999999999</v>
      </c>
      <c r="AF6043">
        <v>-5.7778710318052298</v>
      </c>
      <c r="AG6043">
        <v>-1.1113850857280001</v>
      </c>
      <c r="AH6043">
        <v>17.206609403233099</v>
      </c>
      <c r="AI6043">
        <v>93.503884465552204</v>
      </c>
      <c r="AJ6043">
        <v>108.56172679076801</v>
      </c>
      <c r="AK6043">
        <v>18.184784233649399</v>
      </c>
      <c r="AL6043">
        <v>96.122849066830398</v>
      </c>
      <c r="AM6043">
        <v>103.366041563792</v>
      </c>
      <c r="AN6043">
        <v>1.0000000342803601</v>
      </c>
    </row>
    <row r="6044" spans="1:40" x14ac:dyDescent="0.25">
      <c r="A6044" t="str">
        <f>"20190305135048382"</f>
        <v>20190305135048382</v>
      </c>
      <c r="B6044" t="str">
        <f>"1551765048376151"</f>
        <v>1551765048376151</v>
      </c>
      <c r="C6044" t="s">
        <v>40</v>
      </c>
      <c r="D6044">
        <v>4.2401519999999904</v>
      </c>
      <c r="E6044">
        <v>0.43821890000000002</v>
      </c>
      <c r="F6044" t="s">
        <v>98</v>
      </c>
      <c r="G6044">
        <v>-380.55900000000003</v>
      </c>
      <c r="H6044" s="1">
        <v>-4.5734710000000002E-6</v>
      </c>
      <c r="I6044">
        <v>18.99513</v>
      </c>
      <c r="J6044">
        <v>-399.47539999999998</v>
      </c>
      <c r="K6044">
        <v>1.1113869999999999</v>
      </c>
      <c r="L6044">
        <v>21.57574</v>
      </c>
      <c r="M6044">
        <v>0.89547060000000001</v>
      </c>
      <c r="N6044">
        <v>-1.2235680000000001E-2</v>
      </c>
      <c r="O6044">
        <v>-0.44495279999999998</v>
      </c>
      <c r="P6044">
        <v>0.96762510000000002</v>
      </c>
      <c r="Q6044">
        <v>-0.1167619</v>
      </c>
      <c r="R6044">
        <v>-0.22375999999999999</v>
      </c>
      <c r="S6044">
        <v>2.9843139999999999</v>
      </c>
      <c r="T6044">
        <v>-0.17426810000000001</v>
      </c>
      <c r="U6044">
        <v>-0.41336060000000002</v>
      </c>
      <c r="V6044">
        <v>-0.22973640000000001</v>
      </c>
      <c r="W6044">
        <v>-0.10593039999999899</v>
      </c>
      <c r="X6044">
        <v>0.96747090000000002</v>
      </c>
      <c r="Y6044">
        <v>-0.31686629999999999</v>
      </c>
      <c r="Z6044">
        <v>3.0474009999999999E-2</v>
      </c>
      <c r="AA6044">
        <v>0.9479805</v>
      </c>
      <c r="AB6044">
        <v>22</v>
      </c>
      <c r="AC6044">
        <v>18.9163999999999</v>
      </c>
      <c r="AD6044">
        <v>-1.111391573471</v>
      </c>
      <c r="AE6044">
        <v>-2.5806100000000001</v>
      </c>
      <c r="AF6044">
        <v>-6.0858770045902304</v>
      </c>
      <c r="AG6044">
        <v>-1.111391573471</v>
      </c>
      <c r="AH6044">
        <v>18.027588762520999</v>
      </c>
      <c r="AI6044">
        <v>93.342898225267803</v>
      </c>
      <c r="AJ6044">
        <v>108.654006211682</v>
      </c>
      <c r="AK6044">
        <v>19.059565754107702</v>
      </c>
      <c r="AL6044">
        <v>96.080773505018797</v>
      </c>
      <c r="AM6044">
        <v>103.358091576427</v>
      </c>
      <c r="AN6044">
        <v>1.0000000027379601</v>
      </c>
    </row>
    <row r="6045" spans="1:40" x14ac:dyDescent="0.25">
      <c r="A6045" t="str">
        <f>"20190305135048394"</f>
        <v>20190305135048394</v>
      </c>
      <c r="B6045" t="str">
        <f>"1551765048385911"</f>
        <v>1551765048385911</v>
      </c>
      <c r="C6045" t="s">
        <v>40</v>
      </c>
      <c r="D6045">
        <v>4.311572</v>
      </c>
      <c r="E6045">
        <v>0.43349759999999998</v>
      </c>
      <c r="F6045" t="s">
        <v>92</v>
      </c>
      <c r="G6045">
        <v>-274.49669999999998</v>
      </c>
      <c r="H6045">
        <v>5.3316860000000004</v>
      </c>
      <c r="I6045">
        <v>13.889779999999901</v>
      </c>
      <c r="J6045">
        <v>-399.37759999999997</v>
      </c>
      <c r="K6045">
        <v>1.111391</v>
      </c>
      <c r="L6045">
        <v>21.528960000000001</v>
      </c>
      <c r="M6045">
        <v>0.89613679999999996</v>
      </c>
      <c r="N6045">
        <v>-1.222957E-2</v>
      </c>
      <c r="O6045">
        <v>-0.44360959999999999</v>
      </c>
      <c r="P6045">
        <v>0.96803790000000001</v>
      </c>
      <c r="Q6045">
        <v>-0.11656710000000001</v>
      </c>
      <c r="R6045">
        <v>-0.22206999999999999</v>
      </c>
      <c r="S6045">
        <v>3.0692140000000001</v>
      </c>
      <c r="T6045">
        <v>0.103641899999999</v>
      </c>
      <c r="U6045">
        <v>-0.18875120000000001</v>
      </c>
      <c r="V6045">
        <v>-0.22998540000000001</v>
      </c>
      <c r="W6045">
        <v>-0.1057453</v>
      </c>
      <c r="X6045">
        <v>0.96743199999999996</v>
      </c>
      <c r="Y6045">
        <v>-0.38719979999999998</v>
      </c>
      <c r="Z6045">
        <v>-2.4245659999999999E-2</v>
      </c>
      <c r="AA6045">
        <v>0.92167699999999997</v>
      </c>
      <c r="AB6045">
        <v>22</v>
      </c>
      <c r="AC6045">
        <v>124.8809</v>
      </c>
      <c r="AD6045">
        <v>4.2202950000000001</v>
      </c>
      <c r="AE6045">
        <v>-7.6391799999999996</v>
      </c>
      <c r="AF6045">
        <v>-48.501056846201401</v>
      </c>
      <c r="AG6045">
        <v>4.2202950000000001</v>
      </c>
      <c r="AH6045">
        <v>115.176745332021</v>
      </c>
      <c r="AI6045">
        <v>88.065862994330601</v>
      </c>
      <c r="AJ6045">
        <v>112.83601412170501</v>
      </c>
      <c r="AK6045">
        <v>125.04337675527999</v>
      </c>
      <c r="AL6045">
        <v>96.0701080867331</v>
      </c>
      <c r="AM6045">
        <v>103.37256834585</v>
      </c>
      <c r="AN6045">
        <v>1.0000000136546201</v>
      </c>
    </row>
    <row r="6046" spans="1:40" x14ac:dyDescent="0.25">
      <c r="A6046" t="str">
        <f>"20190305135048405"</f>
        <v>20190305135048405</v>
      </c>
      <c r="B6046" t="str">
        <f>"1551765048395671"</f>
        <v>1551765048395671</v>
      </c>
      <c r="C6046" t="s">
        <v>40</v>
      </c>
      <c r="D6046">
        <v>4.2883459999999998</v>
      </c>
      <c r="E6046">
        <v>0.43133339999999998</v>
      </c>
      <c r="F6046" t="s">
        <v>92</v>
      </c>
      <c r="G6046">
        <v>-274.15660000000003</v>
      </c>
      <c r="H6046">
        <v>6.3505370000000001</v>
      </c>
      <c r="I6046">
        <v>15.56907</v>
      </c>
      <c r="J6046">
        <v>-399.28070000000002</v>
      </c>
      <c r="K6046">
        <v>1.1113919999999999</v>
      </c>
      <c r="L6046">
        <v>21.482849999999999</v>
      </c>
      <c r="M6046">
        <v>0.89679660000000005</v>
      </c>
      <c r="N6046">
        <v>-1.2226020000000001E-2</v>
      </c>
      <c r="O6046">
        <v>-0.442274</v>
      </c>
      <c r="P6046">
        <v>0.96852559999999999</v>
      </c>
      <c r="Q6046">
        <v>-0.1161652</v>
      </c>
      <c r="R6046">
        <v>-0.2201457</v>
      </c>
      <c r="S6046">
        <v>3.0809329999999999</v>
      </c>
      <c r="T6046">
        <v>0.12890389999999999</v>
      </c>
      <c r="U6046">
        <v>-0.14663699999999999</v>
      </c>
      <c r="V6046">
        <v>-0.23048869999999999</v>
      </c>
      <c r="W6046">
        <v>-0.10535079999999999</v>
      </c>
      <c r="X6046">
        <v>0.96735530000000003</v>
      </c>
      <c r="Y6046">
        <v>-0.39829730000000002</v>
      </c>
      <c r="Z6046">
        <v>-2.9384339999999998E-2</v>
      </c>
      <c r="AA6046">
        <v>0.91678559999999998</v>
      </c>
      <c r="AB6046">
        <v>22</v>
      </c>
      <c r="AC6046">
        <v>125.1241</v>
      </c>
      <c r="AD6046">
        <v>5.2391449999999997</v>
      </c>
      <c r="AE6046">
        <v>-5.9137799999999903</v>
      </c>
      <c r="AF6046">
        <v>-49.952038454906898</v>
      </c>
      <c r="AG6046">
        <v>5.2391449999999997</v>
      </c>
      <c r="AH6046">
        <v>114.634434104874</v>
      </c>
      <c r="AI6046">
        <v>87.6008208409567</v>
      </c>
      <c r="AJ6046">
        <v>113.545199825227</v>
      </c>
      <c r="AK6046">
        <v>125.154737300177</v>
      </c>
      <c r="AL6046">
        <v>96.047377690004197</v>
      </c>
      <c r="AM6046">
        <v>103.40180252063</v>
      </c>
      <c r="AN6046">
        <v>1.0000000541631999</v>
      </c>
    </row>
    <row r="6047" spans="1:40" x14ac:dyDescent="0.25">
      <c r="A6047" t="str">
        <f>"20190305135048417"</f>
        <v>20190305135048417</v>
      </c>
      <c r="B6047" t="str">
        <f>"1551765048406407"</f>
        <v>1551765048406407</v>
      </c>
      <c r="C6047" t="s">
        <v>40</v>
      </c>
      <c r="D6047">
        <v>4.252777</v>
      </c>
      <c r="E6047">
        <v>0.43035420000000002</v>
      </c>
      <c r="F6047" t="s">
        <v>104</v>
      </c>
      <c r="G6047">
        <v>-276.28109999999998</v>
      </c>
      <c r="H6047">
        <v>6.4438870000000001</v>
      </c>
      <c r="I6047">
        <v>16.55453</v>
      </c>
      <c r="J6047">
        <v>-399.185</v>
      </c>
      <c r="K6047">
        <v>1.111437</v>
      </c>
      <c r="L6047">
        <v>21.437470000000001</v>
      </c>
      <c r="M6047">
        <v>0.89739629999999904</v>
      </c>
      <c r="N6047">
        <v>-1.2574439999999999E-2</v>
      </c>
      <c r="O6047">
        <v>-0.4410461</v>
      </c>
      <c r="P6047">
        <v>0.96892020000000001</v>
      </c>
      <c r="Q6047">
        <v>-0.11658499999999999</v>
      </c>
      <c r="R6047">
        <v>-0.2181776</v>
      </c>
      <c r="S6047">
        <v>3.08548</v>
      </c>
      <c r="T6047">
        <v>0.1337671</v>
      </c>
      <c r="U6047">
        <v>-0.12362670000000001</v>
      </c>
      <c r="V6047">
        <v>-0.23112050000000001</v>
      </c>
      <c r="W6047">
        <v>-0.1054117</v>
      </c>
      <c r="X6047">
        <v>0.9671978</v>
      </c>
      <c r="Y6047">
        <v>-0.40385959999999899</v>
      </c>
      <c r="Z6047">
        <v>-3.0454450000000001E-2</v>
      </c>
      <c r="AA6047">
        <v>0.91431390000000001</v>
      </c>
      <c r="AB6047">
        <v>22</v>
      </c>
      <c r="AC6047">
        <v>122.90389999999999</v>
      </c>
      <c r="AD6047">
        <v>5.3324499999999997</v>
      </c>
      <c r="AE6047">
        <v>-4.8829399999999996</v>
      </c>
      <c r="AF6047">
        <v>-49.734820005851802</v>
      </c>
      <c r="AG6047">
        <v>5.3324499999999997</v>
      </c>
      <c r="AH6047">
        <v>112.24504131323501</v>
      </c>
      <c r="AI6047">
        <v>87.512953692273101</v>
      </c>
      <c r="AJ6047">
        <v>113.897723365266</v>
      </c>
      <c r="AK6047">
        <v>122.88586836339999</v>
      </c>
      <c r="AL6047">
        <v>96.050887184178507</v>
      </c>
      <c r="AM6047">
        <v>103.439316829655</v>
      </c>
      <c r="AN6047">
        <v>0.99999994817098803</v>
      </c>
    </row>
    <row r="6048" spans="1:40" x14ac:dyDescent="0.25">
      <c r="A6048" t="str">
        <f>"20190305135048428"</f>
        <v>20190305135048428</v>
      </c>
      <c r="B6048" t="str">
        <f>"1551765048416167"</f>
        <v>1551765048416167</v>
      </c>
      <c r="C6048" t="s">
        <v>40</v>
      </c>
      <c r="D6048">
        <v>4.2423960000000003</v>
      </c>
      <c r="E6048">
        <v>0.42979260000000002</v>
      </c>
      <c r="F6048" t="s">
        <v>92</v>
      </c>
      <c r="G6048">
        <v>-274.15660000000003</v>
      </c>
      <c r="H6048">
        <v>6.4792040000000002</v>
      </c>
      <c r="I6048">
        <v>16.99596</v>
      </c>
      <c r="J6048">
        <v>-399.08300000000003</v>
      </c>
      <c r="K6048">
        <v>1.111515</v>
      </c>
      <c r="L6048">
        <v>21.389189999999999</v>
      </c>
      <c r="M6048">
        <v>0.89800369999999996</v>
      </c>
      <c r="N6048">
        <v>-1.3149589999999999E-2</v>
      </c>
      <c r="O6048">
        <v>-0.43979119999999999</v>
      </c>
      <c r="P6048">
        <v>0.9692113</v>
      </c>
      <c r="Q6048">
        <v>-0.1174577</v>
      </c>
      <c r="R6048">
        <v>-0.21640980000000001</v>
      </c>
      <c r="S6048">
        <v>3.087494</v>
      </c>
      <c r="T6048">
        <v>0.13255359999999999</v>
      </c>
      <c r="U6048">
        <v>-0.10968020000000001</v>
      </c>
      <c r="V6048">
        <v>-0.2315084</v>
      </c>
      <c r="W6048">
        <v>-0.10568710000000001</v>
      </c>
      <c r="X6048">
        <v>0.96707500000000002</v>
      </c>
      <c r="Y6048">
        <v>-0.40673710000000002</v>
      </c>
      <c r="Z6048">
        <v>-3.0316260000000001E-2</v>
      </c>
      <c r="AA6048">
        <v>0.91304209999999997</v>
      </c>
      <c r="AB6048">
        <v>22</v>
      </c>
      <c r="AC6048">
        <v>124.9264</v>
      </c>
      <c r="AD6048">
        <v>5.3676890000000004</v>
      </c>
      <c r="AE6048">
        <v>-4.3932299999999902</v>
      </c>
      <c r="AF6048">
        <v>-50.906942133040097</v>
      </c>
      <c r="AG6048">
        <v>5.3676890000000004</v>
      </c>
      <c r="AH6048">
        <v>113.916302367352</v>
      </c>
      <c r="AI6048">
        <v>87.536686304221803</v>
      </c>
      <c r="AJ6048">
        <v>114.07892301234099</v>
      </c>
      <c r="AK6048">
        <v>124.888961832451</v>
      </c>
      <c r="AL6048">
        <v>96.066754892096995</v>
      </c>
      <c r="AM6048">
        <v>103.462699479623</v>
      </c>
      <c r="AN6048">
        <v>0.99999997900098403</v>
      </c>
    </row>
    <row r="6049" spans="1:40" x14ac:dyDescent="0.25">
      <c r="A6049" t="str">
        <f>"20190305135048442"</f>
        <v>20190305135048442</v>
      </c>
      <c r="B6049" t="str">
        <f>"1551765048435687"</f>
        <v>1551765048435687</v>
      </c>
      <c r="C6049" t="s">
        <v>40</v>
      </c>
      <c r="D6049">
        <v>4.2344429999999997</v>
      </c>
      <c r="E6049">
        <v>0.42915199999999998</v>
      </c>
      <c r="F6049" t="s">
        <v>92</v>
      </c>
      <c r="G6049">
        <v>-274.15660000000003</v>
      </c>
      <c r="H6049">
        <v>6.4443820000000001</v>
      </c>
      <c r="I6049">
        <v>17.363289999999999</v>
      </c>
      <c r="J6049">
        <v>-398.97719999999998</v>
      </c>
      <c r="K6049">
        <v>1.1116029999999999</v>
      </c>
      <c r="L6049">
        <v>21.339289999999998</v>
      </c>
      <c r="M6049">
        <v>0.89858749999999998</v>
      </c>
      <c r="N6049">
        <v>-1.402842E-2</v>
      </c>
      <c r="O6049">
        <v>-0.43857030000000002</v>
      </c>
      <c r="P6049">
        <v>0.96947340000000004</v>
      </c>
      <c r="Q6049">
        <v>-0.1186801</v>
      </c>
      <c r="R6049">
        <v>-0.21456140000000001</v>
      </c>
      <c r="S6049">
        <v>3.0890499999999999</v>
      </c>
      <c r="T6049">
        <v>0.1318656</v>
      </c>
      <c r="U6049">
        <v>-9.9548339999999999E-2</v>
      </c>
      <c r="V6049">
        <v>-0.23200899999999999</v>
      </c>
      <c r="W6049">
        <v>-0.10599310000000001</v>
      </c>
      <c r="X6049">
        <v>0.96692160000000005</v>
      </c>
      <c r="Y6049">
        <v>-0.40850340000000002</v>
      </c>
      <c r="Z6049">
        <v>-3.0344400000000001E-2</v>
      </c>
      <c r="AA6049">
        <v>0.91225219999999996</v>
      </c>
      <c r="AB6049">
        <v>22</v>
      </c>
      <c r="AC6049">
        <v>124.820599999999</v>
      </c>
      <c r="AD6049">
        <v>5.3327790000000004</v>
      </c>
      <c r="AE6049">
        <v>-3.9759999999999902</v>
      </c>
      <c r="AF6049">
        <v>-51.081709724501302</v>
      </c>
      <c r="AG6049">
        <v>5.3327790000000004</v>
      </c>
      <c r="AH6049">
        <v>113.70984047008599</v>
      </c>
      <c r="AI6049">
        <v>87.550394196017706</v>
      </c>
      <c r="AJ6049">
        <v>114.19097850707</v>
      </c>
      <c r="AK6049">
        <v>124.77061921772101</v>
      </c>
      <c r="AL6049">
        <v>96.084386019673204</v>
      </c>
      <c r="AM6049">
        <v>103.492809447467</v>
      </c>
      <c r="AN6049">
        <v>1.00000004693758</v>
      </c>
    </row>
    <row r="6050" spans="1:40" x14ac:dyDescent="0.25">
      <c r="A6050" t="str">
        <f>"20190305135048460"</f>
        <v>20190305135048460</v>
      </c>
      <c r="B6050" t="str">
        <f>"1551765048456183"</f>
        <v>1551765048456183</v>
      </c>
      <c r="C6050" t="s">
        <v>40</v>
      </c>
      <c r="D6050">
        <v>4.2823979999999997</v>
      </c>
      <c r="E6050">
        <v>0.42915829999999999</v>
      </c>
      <c r="F6050" t="s">
        <v>92</v>
      </c>
      <c r="G6050">
        <v>-274.15660000000003</v>
      </c>
      <c r="H6050">
        <v>6.357602</v>
      </c>
      <c r="I6050">
        <v>17.768910000000002</v>
      </c>
      <c r="J6050">
        <v>-398.83179999999999</v>
      </c>
      <c r="K6050">
        <v>1.111731</v>
      </c>
      <c r="L6050">
        <v>21.270810000000001</v>
      </c>
      <c r="M6050">
        <v>0.89935069999999995</v>
      </c>
      <c r="N6050">
        <v>-1.535794E-2</v>
      </c>
      <c r="O6050">
        <v>-0.43695830000000002</v>
      </c>
      <c r="P6050">
        <v>0.96992529999999999</v>
      </c>
      <c r="Q6050">
        <v>-0.120119699999999</v>
      </c>
      <c r="R6050">
        <v>-0.21169789999999999</v>
      </c>
      <c r="S6050">
        <v>3.0907900000000001</v>
      </c>
      <c r="T6050">
        <v>0.12990070000000001</v>
      </c>
      <c r="U6050">
        <v>-8.8409420000000002E-2</v>
      </c>
      <c r="V6050">
        <v>-0.23310359999999999</v>
      </c>
      <c r="W6050">
        <v>-0.1060595</v>
      </c>
      <c r="X6050">
        <v>0.96665100000000004</v>
      </c>
      <c r="Y6050">
        <v>-0.41018070000000001</v>
      </c>
      <c r="Z6050">
        <v>-3.0194789999999999E-2</v>
      </c>
      <c r="AA6050">
        <v>0.91150430000000005</v>
      </c>
      <c r="AB6050">
        <v>21</v>
      </c>
      <c r="AC6050">
        <v>124.67519999999899</v>
      </c>
      <c r="AD6050">
        <v>5.2458710000000002</v>
      </c>
      <c r="AE6050">
        <v>-3.5018999999999898</v>
      </c>
      <c r="AF6050">
        <v>-51.243827637196901</v>
      </c>
      <c r="AG6050">
        <v>5.2458710000000002</v>
      </c>
      <c r="AH6050">
        <v>113.46958316973</v>
      </c>
      <c r="AI6050">
        <v>87.587320072443902</v>
      </c>
      <c r="AJ6050">
        <v>114.304339460149</v>
      </c>
      <c r="AK6050">
        <v>124.614587180521</v>
      </c>
      <c r="AL6050">
        <v>96.088212123593394</v>
      </c>
      <c r="AM6050">
        <v>103.557778348485</v>
      </c>
      <c r="AN6050">
        <v>1.0000000308371</v>
      </c>
    </row>
    <row r="6051" spans="1:40" x14ac:dyDescent="0.25">
      <c r="A6051" t="str">
        <f>"20190305135048474"</f>
        <v>20190305135048474</v>
      </c>
      <c r="B6051" t="str">
        <f>"1551765048465943"</f>
        <v>1551765048465943</v>
      </c>
      <c r="C6051" t="s">
        <v>40</v>
      </c>
      <c r="D6051">
        <v>4.2598339999999997</v>
      </c>
      <c r="E6051">
        <v>0.4292803</v>
      </c>
      <c r="F6051" t="s">
        <v>92</v>
      </c>
      <c r="G6051">
        <v>-274.15660000000003</v>
      </c>
      <c r="H6051">
        <v>6.0954990000000002</v>
      </c>
      <c r="I6051">
        <v>18.077829999999999</v>
      </c>
      <c r="J6051">
        <v>-398.70819999999998</v>
      </c>
      <c r="K6051">
        <v>1.1118619999999999</v>
      </c>
      <c r="L6051">
        <v>21.212800000000001</v>
      </c>
      <c r="M6051">
        <v>0.89995910000000001</v>
      </c>
      <c r="N6051">
        <v>-1.657877E-2</v>
      </c>
      <c r="O6051">
        <v>-0.43565939999999997</v>
      </c>
      <c r="P6051">
        <v>0.97017149999999996</v>
      </c>
      <c r="Q6051">
        <v>-0.1213403</v>
      </c>
      <c r="R6051">
        <v>-0.20986679999999999</v>
      </c>
      <c r="S6051">
        <v>3.0910340000000001</v>
      </c>
      <c r="T6051">
        <v>0.12356109999999999</v>
      </c>
      <c r="U6051">
        <v>-7.91626E-2</v>
      </c>
      <c r="V6051">
        <v>-0.23350609999999999</v>
      </c>
      <c r="W6051">
        <v>-0.1060357</v>
      </c>
      <c r="X6051">
        <v>0.96655639999999998</v>
      </c>
      <c r="Y6051">
        <v>-0.41165689999999999</v>
      </c>
      <c r="Z6051">
        <v>-2.915046E-2</v>
      </c>
      <c r="AA6051">
        <v>0.91087260000000003</v>
      </c>
      <c r="AB6051">
        <v>21</v>
      </c>
      <c r="AC6051">
        <v>124.551599999999</v>
      </c>
      <c r="AD6051">
        <v>4.9836369999999999</v>
      </c>
      <c r="AE6051">
        <v>-3.13497</v>
      </c>
      <c r="AF6051">
        <v>-51.365607570848802</v>
      </c>
      <c r="AG6051">
        <v>4.9836369999999999</v>
      </c>
      <c r="AH6051">
        <v>113.291434559949</v>
      </c>
      <c r="AI6051">
        <v>87.705731153795</v>
      </c>
      <c r="AJ6051">
        <v>114.389233812024</v>
      </c>
      <c r="AK6051">
        <v>124.491812676663</v>
      </c>
      <c r="AL6051">
        <v>96.0868411141618</v>
      </c>
      <c r="AM6051">
        <v>103.581602209709</v>
      </c>
      <c r="AN6051">
        <v>0.99999997139632901</v>
      </c>
    </row>
    <row r="6052" spans="1:40" x14ac:dyDescent="0.25">
      <c r="A6052" t="str">
        <f>"20190305135048488"</f>
        <v>20190305135048488</v>
      </c>
      <c r="B6052" t="str">
        <f>"1551765048475702"</f>
        <v>1551765048475702</v>
      </c>
      <c r="C6052" t="s">
        <v>40</v>
      </c>
      <c r="D6052">
        <v>4.2701019999999996</v>
      </c>
      <c r="E6052">
        <v>0.42951800000000001</v>
      </c>
      <c r="F6052" t="s">
        <v>105</v>
      </c>
      <c r="G6052">
        <v>-276.43450000000001</v>
      </c>
      <c r="H6052">
        <v>5.7358099999999999</v>
      </c>
      <c r="I6052">
        <v>18.269380000000002</v>
      </c>
      <c r="J6052">
        <v>-398.59339999999997</v>
      </c>
      <c r="K6052">
        <v>1.1120099999999999</v>
      </c>
      <c r="L6052">
        <v>21.159030000000001</v>
      </c>
      <c r="M6052">
        <v>0.90049080000000004</v>
      </c>
      <c r="N6052">
        <v>-1.7754140000000002E-2</v>
      </c>
      <c r="O6052">
        <v>-0.43451299999999998</v>
      </c>
      <c r="P6052">
        <v>0.97040740000000003</v>
      </c>
      <c r="Q6052">
        <v>-0.12274549999999999</v>
      </c>
      <c r="R6052">
        <v>-0.20795089999999999</v>
      </c>
      <c r="S6052">
        <v>3.0907589999999998</v>
      </c>
      <c r="T6052">
        <v>0.116881399999999</v>
      </c>
      <c r="U6052">
        <v>-7.440186E-2</v>
      </c>
      <c r="V6052">
        <v>-0.23413149999999999</v>
      </c>
      <c r="W6052">
        <v>-0.1062736</v>
      </c>
      <c r="X6052">
        <v>0.96637899999999999</v>
      </c>
      <c r="Y6052">
        <v>-0.41196529999999998</v>
      </c>
      <c r="Z6052">
        <v>-2.8021339999999999E-2</v>
      </c>
      <c r="AA6052">
        <v>0.91076860000000004</v>
      </c>
      <c r="AB6052">
        <v>20</v>
      </c>
      <c r="AC6052">
        <v>122.15889999999899</v>
      </c>
      <c r="AD6052">
        <v>4.6238000000000001</v>
      </c>
      <c r="AE6052">
        <v>-2.8896500000000001</v>
      </c>
      <c r="AF6052">
        <v>-50.413287712134398</v>
      </c>
      <c r="AG6052">
        <v>4.6238000000000001</v>
      </c>
      <c r="AH6052">
        <v>111.11696521626099</v>
      </c>
      <c r="AI6052">
        <v>87.829855017610697</v>
      </c>
      <c r="AJ6052">
        <v>114.403590706316</v>
      </c>
      <c r="AK6052">
        <v>122.105933775792</v>
      </c>
      <c r="AL6052">
        <v>96.100549033786905</v>
      </c>
      <c r="AM6052">
        <v>103.619031823659</v>
      </c>
      <c r="AN6052">
        <v>1.0000000044951001</v>
      </c>
    </row>
    <row r="6053" spans="1:40" x14ac:dyDescent="0.25">
      <c r="A6053" t="str">
        <f>"20190305135048504"</f>
        <v>20190305135048504</v>
      </c>
      <c r="B6053" t="str">
        <f>"1551765048496199"</f>
        <v>1551765048496199</v>
      </c>
      <c r="C6053" t="s">
        <v>40</v>
      </c>
      <c r="D6053">
        <v>4.2583469999999997</v>
      </c>
      <c r="E6053">
        <v>0.42986760000000002</v>
      </c>
      <c r="F6053" t="s">
        <v>105</v>
      </c>
      <c r="G6053">
        <v>-276.45490000000001</v>
      </c>
      <c r="H6053">
        <v>5.6634469999999997</v>
      </c>
      <c r="I6053">
        <v>18.373460000000001</v>
      </c>
      <c r="J6053">
        <v>-398.46629999999999</v>
      </c>
      <c r="K6053">
        <v>1.112185</v>
      </c>
      <c r="L6053">
        <v>21.099879999999999</v>
      </c>
      <c r="M6053">
        <v>0.90115489999999998</v>
      </c>
      <c r="N6053">
        <v>-1.8946250000000001E-2</v>
      </c>
      <c r="O6053">
        <v>-0.4330833</v>
      </c>
      <c r="P6053">
        <v>0.97087659999999998</v>
      </c>
      <c r="Q6053">
        <v>-0.1240943</v>
      </c>
      <c r="R6053">
        <v>-0.20493800000000001</v>
      </c>
      <c r="S6053">
        <v>3.0910030000000002</v>
      </c>
      <c r="T6053">
        <v>0.11518490000000001</v>
      </c>
      <c r="U6053">
        <v>-7.049561E-2</v>
      </c>
      <c r="V6053">
        <v>-0.2355276</v>
      </c>
      <c r="W6053">
        <v>-0.1064865</v>
      </c>
      <c r="X6053">
        <v>0.96601619999999999</v>
      </c>
      <c r="Y6053">
        <v>-0.41168280000000002</v>
      </c>
      <c r="Z6053">
        <v>-2.7881690000000001E-2</v>
      </c>
      <c r="AA6053">
        <v>0.91090059999999995</v>
      </c>
      <c r="AB6053">
        <v>20</v>
      </c>
      <c r="AC6053">
        <v>122.011399999999</v>
      </c>
      <c r="AD6053">
        <v>4.5512620000000004</v>
      </c>
      <c r="AE6053">
        <v>-2.7264199999999899</v>
      </c>
      <c r="AF6053">
        <v>-50.323225337710802</v>
      </c>
      <c r="AG6053">
        <v>4.5512620000000004</v>
      </c>
      <c r="AH6053">
        <v>110.997506185273</v>
      </c>
      <c r="AI6053">
        <v>87.861311859483493</v>
      </c>
      <c r="AJ6053">
        <v>114.38823622017399</v>
      </c>
      <c r="AK6053">
        <v>121.957317835103</v>
      </c>
      <c r="AL6053">
        <v>96.112817180458507</v>
      </c>
      <c r="AM6053">
        <v>103.70214051631</v>
      </c>
      <c r="AN6053">
        <v>0.99999996185322404</v>
      </c>
    </row>
    <row r="6054" spans="1:40" x14ac:dyDescent="0.25">
      <c r="A6054" t="str">
        <f>"20190305135048516"</f>
        <v>20190305135048516</v>
      </c>
      <c r="B6054" t="str">
        <f>"1551765048505959"</f>
        <v>1551765048505959</v>
      </c>
      <c r="C6054" t="s">
        <v>40</v>
      </c>
      <c r="D6054">
        <v>4.2823180000000001</v>
      </c>
      <c r="E6054">
        <v>0.43024689999999999</v>
      </c>
      <c r="F6054" t="s">
        <v>105</v>
      </c>
      <c r="G6054">
        <v>-276.48129999999998</v>
      </c>
      <c r="H6054">
        <v>5.3584509999999996</v>
      </c>
      <c r="I6054">
        <v>18.561589999999999</v>
      </c>
      <c r="J6054">
        <v>-398.3664</v>
      </c>
      <c r="K6054">
        <v>1.1122780000000001</v>
      </c>
      <c r="L6054">
        <v>21.053619999999999</v>
      </c>
      <c r="M6054">
        <v>0.90180669999999996</v>
      </c>
      <c r="N6054">
        <v>-1.9427489999999999E-2</v>
      </c>
      <c r="O6054">
        <v>-0.4317029</v>
      </c>
      <c r="P6054">
        <v>0.97119440000000001</v>
      </c>
      <c r="Q6054">
        <v>-0.1252421</v>
      </c>
      <c r="R6054">
        <v>-0.20272129999999999</v>
      </c>
      <c r="S6054">
        <v>3.0901489999999998</v>
      </c>
      <c r="T6054">
        <v>0.1075673</v>
      </c>
      <c r="U6054">
        <v>-6.4300540000000003E-2</v>
      </c>
      <c r="V6054">
        <v>-0.23616690000000001</v>
      </c>
      <c r="W6054">
        <v>-0.1072289</v>
      </c>
      <c r="X6054">
        <v>0.96577800000000003</v>
      </c>
      <c r="Y6054">
        <v>-0.41218870000000002</v>
      </c>
      <c r="Z6054">
        <v>-2.6391640000000001E-2</v>
      </c>
      <c r="AA6054">
        <v>0.91071619999999998</v>
      </c>
      <c r="AB6054">
        <v>20</v>
      </c>
      <c r="AC6054">
        <v>121.88509999999999</v>
      </c>
      <c r="AD6054">
        <v>4.2461729999999998</v>
      </c>
      <c r="AE6054">
        <v>-2.4920300000000002</v>
      </c>
      <c r="AF6054">
        <v>-50.319281904341501</v>
      </c>
      <c r="AG6054">
        <v>4.2461729999999998</v>
      </c>
      <c r="AH6054">
        <v>110.879047735973</v>
      </c>
      <c r="AI6054">
        <v>88.002763323630006</v>
      </c>
      <c r="AJ6054">
        <v>114.409562589643</v>
      </c>
      <c r="AK6054">
        <v>121.83687185475</v>
      </c>
      <c r="AL6054">
        <v>96.155598326563805</v>
      </c>
      <c r="AM6054">
        <v>103.741185200096</v>
      </c>
      <c r="AN6054">
        <v>0.99999999346740998</v>
      </c>
    </row>
    <row r="6055" spans="1:40" x14ac:dyDescent="0.25">
      <c r="A6055" t="str">
        <f>"20190305135048530"</f>
        <v>20190305135048530</v>
      </c>
      <c r="B6055" t="str">
        <f>"1551765048526455"</f>
        <v>1551765048526455</v>
      </c>
      <c r="C6055" t="s">
        <v>40</v>
      </c>
      <c r="D6055">
        <v>4.2491019999999997</v>
      </c>
      <c r="E6055">
        <v>0.43052560000000001</v>
      </c>
      <c r="F6055" t="s">
        <v>105</v>
      </c>
      <c r="G6055">
        <v>-276.50119999999998</v>
      </c>
      <c r="H6055">
        <v>5.2865140000000004</v>
      </c>
      <c r="I6055">
        <v>18.663319999999999</v>
      </c>
      <c r="J6055">
        <v>-398.25729999999999</v>
      </c>
      <c r="K6055">
        <v>1.1123350000000001</v>
      </c>
      <c r="L6055">
        <v>21.003329999999998</v>
      </c>
      <c r="M6055">
        <v>0.90262520000000002</v>
      </c>
      <c r="N6055">
        <v>-1.9538429999999999E-2</v>
      </c>
      <c r="O6055">
        <v>-0.42998409999999898</v>
      </c>
      <c r="P6055">
        <v>0.97169419999999995</v>
      </c>
      <c r="Q6055">
        <v>-0.12592059999999999</v>
      </c>
      <c r="R6055">
        <v>-0.1998866</v>
      </c>
      <c r="S6055">
        <v>3.0899960000000002</v>
      </c>
      <c r="T6055">
        <v>0.1058414</v>
      </c>
      <c r="U6055">
        <v>-6.0607910000000001E-2</v>
      </c>
      <c r="V6055">
        <v>-0.2370593</v>
      </c>
      <c r="W6055">
        <v>-0.10790760000000001</v>
      </c>
      <c r="X6055">
        <v>0.96548369999999994</v>
      </c>
      <c r="Y6055">
        <v>-0.41156029999999999</v>
      </c>
      <c r="Z6055">
        <v>-2.5975640000000001E-2</v>
      </c>
      <c r="AA6055">
        <v>0.9110123</v>
      </c>
      <c r="AB6055">
        <v>20</v>
      </c>
      <c r="AC6055">
        <v>121.7561</v>
      </c>
      <c r="AD6055">
        <v>4.1741789999999996</v>
      </c>
      <c r="AE6055">
        <v>-2.3400099999999902</v>
      </c>
      <c r="AF6055">
        <v>-50.191649259052298</v>
      </c>
      <c r="AG6055">
        <v>4.1741789999999996</v>
      </c>
      <c r="AH6055">
        <v>110.79727277975201</v>
      </c>
      <c r="AI6055">
        <v>88.034548477083206</v>
      </c>
      <c r="AJ6055">
        <v>114.37073434796299</v>
      </c>
      <c r="AK6055">
        <v>121.70727620441799</v>
      </c>
      <c r="AL6055">
        <v>96.194712077706797</v>
      </c>
      <c r="AM6055">
        <v>103.79517314524701</v>
      </c>
      <c r="AN6055">
        <v>0.99999996840996896</v>
      </c>
    </row>
    <row r="6056" spans="1:40" x14ac:dyDescent="0.25">
      <c r="A6056" t="str">
        <f>"20190305135048543"</f>
        <v>20190305135048543</v>
      </c>
      <c r="B6056" t="str">
        <f>"1551765048536216"</f>
        <v>1551765048536216</v>
      </c>
      <c r="C6056" t="s">
        <v>40</v>
      </c>
      <c r="D6056">
        <v>4.3614819999999996</v>
      </c>
      <c r="E6056">
        <v>0.43027799999999999</v>
      </c>
      <c r="F6056" t="s">
        <v>105</v>
      </c>
      <c r="G6056">
        <v>-276.714</v>
      </c>
      <c r="H6056">
        <v>5.2827950000000001</v>
      </c>
      <c r="I6056">
        <v>18.875029999999999</v>
      </c>
      <c r="J6056">
        <v>-398.15069999999997</v>
      </c>
      <c r="K6056">
        <v>1.112317</v>
      </c>
      <c r="L6056">
        <v>20.95486</v>
      </c>
      <c r="M6056">
        <v>0.90346309999999996</v>
      </c>
      <c r="N6056">
        <v>-1.8960009999999999E-2</v>
      </c>
      <c r="O6056">
        <v>-0.42824649999999997</v>
      </c>
      <c r="P6056">
        <v>0.97225170000000005</v>
      </c>
      <c r="Q6056">
        <v>-0.12551309999999999</v>
      </c>
      <c r="R6056">
        <v>-0.1974167</v>
      </c>
      <c r="S6056">
        <v>3.0899960000000002</v>
      </c>
      <c r="T6056">
        <v>0.1060251</v>
      </c>
      <c r="U6056">
        <v>-5.4107669999999997E-2</v>
      </c>
      <c r="V6056">
        <v>-0.2376048</v>
      </c>
      <c r="W6056">
        <v>-0.1082072</v>
      </c>
      <c r="X6056">
        <v>0.96531610000000001</v>
      </c>
      <c r="Y6056">
        <v>-0.41172819999999999</v>
      </c>
      <c r="Z6056">
        <v>-2.578894E-2</v>
      </c>
      <c r="AA6056">
        <v>0.91094169999999997</v>
      </c>
      <c r="AB6056">
        <v>20</v>
      </c>
      <c r="AC6056">
        <v>121.43669999999901</v>
      </c>
      <c r="AD6056">
        <v>4.1704780000000001</v>
      </c>
      <c r="AE6056">
        <v>-2.0798299999999998</v>
      </c>
      <c r="AF6056">
        <v>-50.075757697086999</v>
      </c>
      <c r="AG6056">
        <v>4.1704780000000001</v>
      </c>
      <c r="AH6056">
        <v>110.493854777892</v>
      </c>
      <c r="AI6056">
        <v>88.031045925758804</v>
      </c>
      <c r="AJ6056">
        <v>114.380009045394</v>
      </c>
      <c r="AK6056">
        <v>121.383138612262</v>
      </c>
      <c r="AL6056">
        <v>96.211978763075805</v>
      </c>
      <c r="AM6056">
        <v>103.82800902613801</v>
      </c>
      <c r="AN6056">
        <v>1.00000000601704</v>
      </c>
    </row>
    <row r="6057" spans="1:40" x14ac:dyDescent="0.25">
      <c r="A6057" t="str">
        <f>"20190305135048558"</f>
        <v>20190305135048558</v>
      </c>
      <c r="B6057" t="str">
        <f>"1551765048556711"</f>
        <v>1551765048556711</v>
      </c>
      <c r="C6057" t="s">
        <v>40</v>
      </c>
      <c r="D6057">
        <v>4.3362400000000001</v>
      </c>
      <c r="E6057">
        <v>0.43013190000000001</v>
      </c>
      <c r="F6057" t="s">
        <v>105</v>
      </c>
      <c r="G6057">
        <v>-276.56479999999999</v>
      </c>
      <c r="H6057">
        <v>5.188434</v>
      </c>
      <c r="I6057">
        <v>19.20167</v>
      </c>
      <c r="J6057">
        <v>-398.02449999999999</v>
      </c>
      <c r="K6057">
        <v>1.1123069999999999</v>
      </c>
      <c r="L6057">
        <v>20.897950000000002</v>
      </c>
      <c r="M6057">
        <v>0.90442279999999997</v>
      </c>
      <c r="N6057">
        <v>-1.831464E-2</v>
      </c>
      <c r="O6057">
        <v>-0.42624430000000002</v>
      </c>
      <c r="P6057">
        <v>0.97299380000000002</v>
      </c>
      <c r="Q6057">
        <v>-0.1244027</v>
      </c>
      <c r="R6057">
        <v>-0.19444059999999999</v>
      </c>
      <c r="S6057">
        <v>3.089966</v>
      </c>
      <c r="T6057">
        <v>0.1035898</v>
      </c>
      <c r="U6057">
        <v>-4.4555659999999997E-2</v>
      </c>
      <c r="V6057">
        <v>-0.2384088</v>
      </c>
      <c r="W6057">
        <v>-0.10787389999999999</v>
      </c>
      <c r="X6057">
        <v>0.96515519999999999</v>
      </c>
      <c r="Y6057">
        <v>-0.41255789999999998</v>
      </c>
      <c r="Z6057">
        <v>-2.505518E-2</v>
      </c>
      <c r="AA6057">
        <v>0.91058680000000003</v>
      </c>
      <c r="AB6057">
        <v>20</v>
      </c>
      <c r="AC6057">
        <v>121.4597</v>
      </c>
      <c r="AD6057">
        <v>4.0761269999999996</v>
      </c>
      <c r="AE6057">
        <v>-1.69628</v>
      </c>
      <c r="AF6057">
        <v>-50.189258148241798</v>
      </c>
      <c r="AG6057">
        <v>4.0761269999999996</v>
      </c>
      <c r="AH6057">
        <v>110.468098904282</v>
      </c>
      <c r="AI6057">
        <v>88.075928352667106</v>
      </c>
      <c r="AJ6057">
        <v>114.433846411171</v>
      </c>
      <c r="AK6057">
        <v>121.40336618198501</v>
      </c>
      <c r="AL6057">
        <v>96.192769383207505</v>
      </c>
      <c r="AM6057">
        <v>103.87521861409</v>
      </c>
      <c r="AN6057">
        <v>1.0000000471528401</v>
      </c>
    </row>
    <row r="6058" spans="1:40" x14ac:dyDescent="0.25">
      <c r="A6058" t="str">
        <f>"20190305135048569"</f>
        <v>20190305135048569</v>
      </c>
      <c r="B6058" t="str">
        <f>"1551765048566471"</f>
        <v>1551765048566471</v>
      </c>
      <c r="C6058" t="s">
        <v>40</v>
      </c>
      <c r="D6058">
        <v>4.3220409999999996</v>
      </c>
      <c r="E6058">
        <v>0.43010510000000002</v>
      </c>
      <c r="F6058" t="s">
        <v>105</v>
      </c>
      <c r="G6058">
        <v>-276.71609999999998</v>
      </c>
      <c r="H6058">
        <v>5.0696009999999996</v>
      </c>
      <c r="I6058">
        <v>19.535419999999998</v>
      </c>
      <c r="J6058">
        <v>-397.93920000000003</v>
      </c>
      <c r="K6058">
        <v>1.1123069999999999</v>
      </c>
      <c r="L6058">
        <v>20.85971</v>
      </c>
      <c r="M6058">
        <v>0.90505530000000001</v>
      </c>
      <c r="N6058">
        <v>-1.789758E-2</v>
      </c>
      <c r="O6058">
        <v>-0.42491770000000001</v>
      </c>
      <c r="P6058">
        <v>0.97342150000000005</v>
      </c>
      <c r="Q6058">
        <v>-0.123427</v>
      </c>
      <c r="R6058">
        <v>-0.1929158</v>
      </c>
      <c r="S6058">
        <v>3.089264</v>
      </c>
      <c r="T6058">
        <v>0.10077700000000001</v>
      </c>
      <c r="U6058">
        <v>-3.4698489999999999E-2</v>
      </c>
      <c r="V6058">
        <v>-0.23851710000000001</v>
      </c>
      <c r="W6058">
        <v>-0.1073897</v>
      </c>
      <c r="X6058">
        <v>0.9651824</v>
      </c>
      <c r="Y6058">
        <v>-0.41415649999999998</v>
      </c>
      <c r="Z6058">
        <v>-2.434652E-2</v>
      </c>
      <c r="AA6058">
        <v>0.90988000000000002</v>
      </c>
      <c r="AB6058">
        <v>20</v>
      </c>
      <c r="AC6058">
        <v>121.2231</v>
      </c>
      <c r="AD6058">
        <v>3.9572940000000001</v>
      </c>
      <c r="AE6058">
        <v>-1.32428999999999</v>
      </c>
      <c r="AF6058">
        <v>-50.265772454489998</v>
      </c>
      <c r="AG6058">
        <v>3.9572940000000001</v>
      </c>
      <c r="AH6058">
        <v>110.17656499754899</v>
      </c>
      <c r="AI6058">
        <v>88.128380099021399</v>
      </c>
      <c r="AJ6058">
        <v>114.523859194339</v>
      </c>
      <c r="AK6058">
        <v>121.165933871316</v>
      </c>
      <c r="AL6058">
        <v>96.164864894551798</v>
      </c>
      <c r="AM6058">
        <v>103.880901821075</v>
      </c>
      <c r="AN6058">
        <v>1.00000000996413</v>
      </c>
    </row>
    <row r="6059" spans="1:40" x14ac:dyDescent="0.25">
      <c r="A6059" t="str">
        <f>"20190305135048582"</f>
        <v>20190305135048582</v>
      </c>
      <c r="B6059" t="str">
        <f>"1551765048576231"</f>
        <v>1551765048576231</v>
      </c>
      <c r="C6059" t="s">
        <v>40</v>
      </c>
      <c r="D6059">
        <v>4.3543029999999998</v>
      </c>
      <c r="E6059">
        <v>0.43004379999999998</v>
      </c>
      <c r="F6059" t="s">
        <v>105</v>
      </c>
      <c r="G6059">
        <v>-276.9837</v>
      </c>
      <c r="H6059">
        <v>5.0947809999999896</v>
      </c>
      <c r="I6059">
        <v>19.69819</v>
      </c>
      <c r="J6059">
        <v>-397.84160000000003</v>
      </c>
      <c r="K6059">
        <v>1.1123190000000001</v>
      </c>
      <c r="L6059">
        <v>20.81644</v>
      </c>
      <c r="M6059">
        <v>0.90576489999999998</v>
      </c>
      <c r="N6059">
        <v>-1.7725290000000001E-2</v>
      </c>
      <c r="O6059">
        <v>-0.42341020000000001</v>
      </c>
      <c r="P6059">
        <v>0.97388799999999998</v>
      </c>
      <c r="Q6059">
        <v>-0.1223282</v>
      </c>
      <c r="R6059">
        <v>-0.19125549999999999</v>
      </c>
      <c r="S6059">
        <v>3.0889280000000001</v>
      </c>
      <c r="T6059">
        <v>0.101701899999999</v>
      </c>
      <c r="U6059">
        <v>-2.966309E-2</v>
      </c>
      <c r="V6059">
        <v>-0.23859900000000001</v>
      </c>
      <c r="W6059">
        <v>-0.1064986</v>
      </c>
      <c r="X6059">
        <v>0.96526089999999998</v>
      </c>
      <c r="Y6059">
        <v>-0.41411730000000002</v>
      </c>
      <c r="Z6059">
        <v>-2.4421160000000001E-2</v>
      </c>
      <c r="AA6059">
        <v>0.90989589999999998</v>
      </c>
      <c r="AB6059">
        <v>20</v>
      </c>
      <c r="AC6059">
        <v>120.8579</v>
      </c>
      <c r="AD6059">
        <v>3.9824619999999902</v>
      </c>
      <c r="AE6059">
        <v>-1.11824999999999</v>
      </c>
      <c r="AF6059">
        <v>-50.113058090320898</v>
      </c>
      <c r="AG6059">
        <v>3.9824619999999902</v>
      </c>
      <c r="AH6059">
        <v>109.84031801127399</v>
      </c>
      <c r="AI6059">
        <v>88.110728106698502</v>
      </c>
      <c r="AJ6059">
        <v>114.52415768991</v>
      </c>
      <c r="AK6059">
        <v>120.797657492035</v>
      </c>
      <c r="AL6059">
        <v>96.113514068464994</v>
      </c>
      <c r="AM6059">
        <v>103.884398168677</v>
      </c>
      <c r="AN6059">
        <v>1.00000001983588</v>
      </c>
    </row>
    <row r="6060" spans="1:40" x14ac:dyDescent="0.25">
      <c r="A6060" t="str">
        <f>"20190305135048592"</f>
        <v>20190305135048592</v>
      </c>
      <c r="B6060" t="str">
        <f>"1551765048585992"</f>
        <v>1551765048585992</v>
      </c>
      <c r="C6060" t="s">
        <v>40</v>
      </c>
      <c r="D6060">
        <v>4.3705819999999997</v>
      </c>
      <c r="E6060">
        <v>0.43004379999999998</v>
      </c>
      <c r="F6060" t="s">
        <v>105</v>
      </c>
      <c r="G6060">
        <v>-277.04809999999998</v>
      </c>
      <c r="H6060">
        <v>5.065124</v>
      </c>
      <c r="I6060">
        <v>19.88664</v>
      </c>
      <c r="J6060">
        <v>-397.7457</v>
      </c>
      <c r="K6060">
        <v>1.1123190000000001</v>
      </c>
      <c r="L6060">
        <v>20.774139999999999</v>
      </c>
      <c r="M6060">
        <v>0.90647849999999996</v>
      </c>
      <c r="N6060">
        <v>-1.7605570000000001E-2</v>
      </c>
      <c r="O6060">
        <v>-0.42188520000000002</v>
      </c>
      <c r="P6060">
        <v>0.9743655</v>
      </c>
      <c r="Q6060">
        <v>-0.1211624</v>
      </c>
      <c r="R6060">
        <v>-0.189557</v>
      </c>
      <c r="S6060">
        <v>3.08847</v>
      </c>
      <c r="T6060">
        <v>0.101066</v>
      </c>
      <c r="U6060">
        <v>-2.377319E-2</v>
      </c>
      <c r="V6060">
        <v>-0.2387127</v>
      </c>
      <c r="W6060">
        <v>-0.105472</v>
      </c>
      <c r="X6060">
        <v>0.96534549999999997</v>
      </c>
      <c r="Y6060">
        <v>-0.41432849999999999</v>
      </c>
      <c r="Z6060">
        <v>-2.4197159999999999E-2</v>
      </c>
      <c r="AA6060">
        <v>0.90980570000000005</v>
      </c>
      <c r="AB6060">
        <v>20</v>
      </c>
      <c r="AC6060">
        <v>120.69759999999999</v>
      </c>
      <c r="AD6060">
        <v>3.9528050000000001</v>
      </c>
      <c r="AE6060">
        <v>-0.88749999999999896</v>
      </c>
      <c r="AF6060">
        <v>-50.070092112409803</v>
      </c>
      <c r="AG6060">
        <v>3.9528050000000001</v>
      </c>
      <c r="AH6060">
        <v>109.68356778872401</v>
      </c>
      <c r="AI6060">
        <v>88.122293746040597</v>
      </c>
      <c r="AJ6060">
        <v>114.53650035097201</v>
      </c>
      <c r="AK6060">
        <v>120.636328833303</v>
      </c>
      <c r="AL6060">
        <v>96.054361080453504</v>
      </c>
      <c r="AM6060">
        <v>103.88958814699301</v>
      </c>
      <c r="AN6060">
        <v>1.0000000151477599</v>
      </c>
    </row>
    <row r="6061" spans="1:40" x14ac:dyDescent="0.25">
      <c r="A6061" t="str">
        <f>"20190305135048604"</f>
        <v>20190305135048604</v>
      </c>
      <c r="B6061" t="str">
        <f>"1551765048595803"</f>
        <v>1551765048595803</v>
      </c>
      <c r="C6061" t="s">
        <v>40</v>
      </c>
      <c r="D6061">
        <v>4.45465</v>
      </c>
      <c r="E6061">
        <v>0.42971609999999999</v>
      </c>
      <c r="F6061" t="s">
        <v>105</v>
      </c>
      <c r="G6061">
        <v>-276.48930000000001</v>
      </c>
      <c r="H6061">
        <v>5.2171729999999998</v>
      </c>
      <c r="I6061">
        <v>20.058810000000001</v>
      </c>
      <c r="J6061">
        <v>-397.65190000000001</v>
      </c>
      <c r="K6061">
        <v>1.11229</v>
      </c>
      <c r="L6061">
        <v>20.733029999999999</v>
      </c>
      <c r="M6061">
        <v>0.90722939999999996</v>
      </c>
      <c r="N6061">
        <v>-1.757771E-2</v>
      </c>
      <c r="O6061">
        <v>-0.4202688</v>
      </c>
      <c r="P6061">
        <v>0.97480800000000001</v>
      </c>
      <c r="Q6061">
        <v>-0.12023200000000001</v>
      </c>
      <c r="R6061">
        <v>-0.18786630000000001</v>
      </c>
      <c r="S6061">
        <v>3.0883790000000002</v>
      </c>
      <c r="T6061">
        <v>0.1045499</v>
      </c>
      <c r="U6061">
        <v>-1.8218990000000001E-2</v>
      </c>
      <c r="V6061">
        <v>-0.23872589999999999</v>
      </c>
      <c r="W6061">
        <v>-0.1045536</v>
      </c>
      <c r="X6061">
        <v>0.96544209999999997</v>
      </c>
      <c r="Y6061">
        <v>-0.41431000000000001</v>
      </c>
      <c r="Z6061">
        <v>-2.48081E-2</v>
      </c>
      <c r="AA6061">
        <v>0.90979770000000004</v>
      </c>
      <c r="AB6061">
        <v>20</v>
      </c>
      <c r="AC6061">
        <v>121.1626</v>
      </c>
      <c r="AD6061">
        <v>4.1048830000000001</v>
      </c>
      <c r="AE6061">
        <v>-0.67421999999999804</v>
      </c>
      <c r="AF6061">
        <v>-50.259276083423401</v>
      </c>
      <c r="AG6061">
        <v>4.1048830000000001</v>
      </c>
      <c r="AH6061">
        <v>110.09629049545801</v>
      </c>
      <c r="AI6061">
        <v>88.0574158832233</v>
      </c>
      <c r="AJ6061">
        <v>114.53683531281</v>
      </c>
      <c r="AK6061">
        <v>121.09516124822601</v>
      </c>
      <c r="AL6061">
        <v>96.001448287092401</v>
      </c>
      <c r="AM6061">
        <v>103.88899042992701</v>
      </c>
      <c r="AN6061">
        <v>0.99999997952808894</v>
      </c>
    </row>
    <row r="6062" spans="1:40" x14ac:dyDescent="0.25">
      <c r="A6062" t="str">
        <f>"20190305135048617"</f>
        <v>20190305135048617</v>
      </c>
      <c r="B6062" t="str">
        <f>"1551765048606487"</f>
        <v>1551765048606487</v>
      </c>
      <c r="C6062" t="s">
        <v>40</v>
      </c>
      <c r="D6062">
        <v>4.3734010000000003</v>
      </c>
      <c r="E6062">
        <v>0.42965300000000001</v>
      </c>
      <c r="F6062" t="s">
        <v>105</v>
      </c>
      <c r="G6062">
        <v>-275.6859</v>
      </c>
      <c r="H6062">
        <v>5.0957999999999997</v>
      </c>
      <c r="I6062">
        <v>20.329249999999998</v>
      </c>
      <c r="J6062">
        <v>-397.55119999999999</v>
      </c>
      <c r="K6062">
        <v>1.11222</v>
      </c>
      <c r="L6062">
        <v>20.689060000000001</v>
      </c>
      <c r="M6062">
        <v>0.90810639999999998</v>
      </c>
      <c r="N6062">
        <v>-1.748338E-2</v>
      </c>
      <c r="O6062">
        <v>-0.41837469999999999</v>
      </c>
      <c r="P6062">
        <v>0.97530039999999996</v>
      </c>
      <c r="Q6062">
        <v>-0.119219699999999</v>
      </c>
      <c r="R6062">
        <v>-0.18594630000000001</v>
      </c>
      <c r="S6062">
        <v>3.0880130000000001</v>
      </c>
      <c r="T6062">
        <v>0.1008573</v>
      </c>
      <c r="U6062">
        <v>-1.0223390000000001E-2</v>
      </c>
      <c r="V6062">
        <v>-0.23868120000000001</v>
      </c>
      <c r="W6062">
        <v>-0.1036016</v>
      </c>
      <c r="X6062">
        <v>0.96555579999999996</v>
      </c>
      <c r="Y6062">
        <v>-0.41480590000000001</v>
      </c>
      <c r="Z6062">
        <v>-2.3964550000000001E-2</v>
      </c>
      <c r="AA6062">
        <v>0.90959429999999997</v>
      </c>
      <c r="AB6062">
        <v>20</v>
      </c>
      <c r="AC6062">
        <v>121.8653</v>
      </c>
      <c r="AD6062">
        <v>3.9835799999999999</v>
      </c>
      <c r="AE6062">
        <v>-0.35981000000000302</v>
      </c>
      <c r="AF6062">
        <v>-50.612269028953399</v>
      </c>
      <c r="AG6062">
        <v>3.9835799999999999</v>
      </c>
      <c r="AH6062">
        <v>110.715816432257</v>
      </c>
      <c r="AI6062">
        <v>88.1257691471546</v>
      </c>
      <c r="AJ6062">
        <v>114.56688211865</v>
      </c>
      <c r="AK6062">
        <v>121.800914176112</v>
      </c>
      <c r="AL6062">
        <v>95.946604705869703</v>
      </c>
      <c r="AM6062">
        <v>103.884918519953</v>
      </c>
      <c r="AN6062">
        <v>1.0000000048348101</v>
      </c>
    </row>
    <row r="6063" spans="1:40" x14ac:dyDescent="0.25">
      <c r="A6063" t="str">
        <f>"20190305135048627"</f>
        <v>20190305135048627</v>
      </c>
      <c r="B6063" t="str">
        <f>"1551765048616247"</f>
        <v>1551765048616247</v>
      </c>
      <c r="C6063" t="s">
        <v>40</v>
      </c>
      <c r="D6063">
        <v>4.4172529999999997</v>
      </c>
      <c r="E6063">
        <v>0.42965300000000001</v>
      </c>
      <c r="F6063" t="s">
        <v>92</v>
      </c>
      <c r="G6063">
        <v>-273.40989999999999</v>
      </c>
      <c r="H6063">
        <v>5.1043880000000001</v>
      </c>
      <c r="I6063">
        <v>20.547940000000001</v>
      </c>
      <c r="J6063">
        <v>-397.4597</v>
      </c>
      <c r="K6063">
        <v>1.112128</v>
      </c>
      <c r="L6063">
        <v>20.649290000000001</v>
      </c>
      <c r="M6063">
        <v>0.9089469</v>
      </c>
      <c r="N6063">
        <v>-1.7356320000000001E-2</v>
      </c>
      <c r="O6063">
        <v>-0.416551</v>
      </c>
      <c r="P6063">
        <v>0.97563429999999995</v>
      </c>
      <c r="Q6063">
        <v>-0.11860809999999999</v>
      </c>
      <c r="R6063">
        <v>-0.18458160000000001</v>
      </c>
      <c r="S6063">
        <v>3.0874329999999999</v>
      </c>
      <c r="T6063">
        <v>9.9286559999999996E-2</v>
      </c>
      <c r="U6063">
        <v>-3.5095209999999998E-3</v>
      </c>
      <c r="V6063">
        <v>-0.23814279999999999</v>
      </c>
      <c r="W6063">
        <v>-0.10307139999999999</v>
      </c>
      <c r="X6063">
        <v>0.96574539999999998</v>
      </c>
      <c r="Y6063">
        <v>-0.4149757</v>
      </c>
      <c r="Z6063">
        <v>-2.354123E-2</v>
      </c>
      <c r="AA6063">
        <v>0.90952789999999994</v>
      </c>
      <c r="AB6063">
        <v>20</v>
      </c>
      <c r="AC6063">
        <v>124.0498</v>
      </c>
      <c r="AD6063">
        <v>3.9922599999999999</v>
      </c>
      <c r="AE6063">
        <v>-0.10135</v>
      </c>
      <c r="AF6063">
        <v>-51.535329407721697</v>
      </c>
      <c r="AG6063">
        <v>3.9922599999999999</v>
      </c>
      <c r="AH6063">
        <v>112.697143483139</v>
      </c>
      <c r="AI6063">
        <v>88.154794951911597</v>
      </c>
      <c r="AJ6063">
        <v>114.574166448962</v>
      </c>
      <c r="AK6063">
        <v>123.985783323449</v>
      </c>
      <c r="AL6063">
        <v>95.916063348925306</v>
      </c>
      <c r="AM6063">
        <v>103.85219065984801</v>
      </c>
      <c r="AN6063">
        <v>0.99999994215547805</v>
      </c>
    </row>
    <row r="6064" spans="1:40" x14ac:dyDescent="0.25">
      <c r="A6064" t="str">
        <f>"20190305135048639"</f>
        <v>20190305135048639</v>
      </c>
      <c r="B6064" t="str">
        <f>"1551765048635767"</f>
        <v>1551765048635767</v>
      </c>
      <c r="C6064" t="s">
        <v>40</v>
      </c>
      <c r="D6064">
        <v>4.4042440000000003</v>
      </c>
      <c r="E6064">
        <v>0.42968200000000001</v>
      </c>
      <c r="F6064" t="s">
        <v>92</v>
      </c>
      <c r="G6064">
        <v>-273.40989999999999</v>
      </c>
      <c r="H6064">
        <v>5.1700809999999997</v>
      </c>
      <c r="I6064">
        <v>20.68853</v>
      </c>
      <c r="J6064">
        <v>-397.36950000000002</v>
      </c>
      <c r="K6064">
        <v>1.112031</v>
      </c>
      <c r="L6064">
        <v>20.610230000000001</v>
      </c>
      <c r="M6064">
        <v>0.90982379999999996</v>
      </c>
      <c r="N6064">
        <v>-1.7131380000000002E-2</v>
      </c>
      <c r="O6064">
        <v>-0.41464119999999999</v>
      </c>
      <c r="P6064">
        <v>0.97595109999999996</v>
      </c>
      <c r="Q6064">
        <v>-0.1183857</v>
      </c>
      <c r="R6064">
        <v>-0.18304239999999999</v>
      </c>
      <c r="S6064">
        <v>3.087402</v>
      </c>
      <c r="T6064">
        <v>0.100996</v>
      </c>
      <c r="U6064">
        <v>9.765625E-4</v>
      </c>
      <c r="V6064">
        <v>-0.23765819999999999</v>
      </c>
      <c r="W6064">
        <v>-0.1030384</v>
      </c>
      <c r="X6064">
        <v>0.96586839999999996</v>
      </c>
      <c r="Y6064">
        <v>-0.41437429999999997</v>
      </c>
      <c r="Z6064">
        <v>-2.3734749999999999E-2</v>
      </c>
      <c r="AA6064">
        <v>0.90979699999999997</v>
      </c>
      <c r="AB6064">
        <v>20</v>
      </c>
      <c r="AC6064">
        <v>123.95959999999999</v>
      </c>
      <c r="AD6064">
        <v>4.0580499999999997</v>
      </c>
      <c r="AE6064">
        <v>7.8300000000002201E-2</v>
      </c>
      <c r="AF6064">
        <v>-51.422437401748098</v>
      </c>
      <c r="AG6064">
        <v>4.0580499999999997</v>
      </c>
      <c r="AH6064">
        <v>112.644746105658</v>
      </c>
      <c r="AI6064">
        <v>88.122977176534206</v>
      </c>
      <c r="AJ6064">
        <v>114.53674436694401</v>
      </c>
      <c r="AK6064">
        <v>123.89339636698701</v>
      </c>
      <c r="AL6064">
        <v>95.914161832958101</v>
      </c>
      <c r="AM6064">
        <v>103.82339208807601</v>
      </c>
      <c r="AN6064">
        <v>1.0000000490101699</v>
      </c>
    </row>
    <row r="6065" spans="1:40" x14ac:dyDescent="0.25">
      <c r="A6065" t="str">
        <f>"20190305135048652"</f>
        <v>20190305135048652</v>
      </c>
      <c r="B6065" t="str">
        <f>"1551765048646503"</f>
        <v>1551765048646503</v>
      </c>
      <c r="C6065" t="s">
        <v>40</v>
      </c>
      <c r="D6065">
        <v>4.3766990000000003</v>
      </c>
      <c r="E6065">
        <v>0.42965500000000001</v>
      </c>
      <c r="F6065" t="s">
        <v>92</v>
      </c>
      <c r="G6065">
        <v>-273.40989999999999</v>
      </c>
      <c r="H6065">
        <v>4.8365280000000004</v>
      </c>
      <c r="I6065">
        <v>20.832090000000001</v>
      </c>
      <c r="J6065">
        <v>-397.26549999999997</v>
      </c>
      <c r="K6065">
        <v>1.1119380000000001</v>
      </c>
      <c r="L6065">
        <v>20.565460000000002</v>
      </c>
      <c r="M6065">
        <v>0.91083250000000004</v>
      </c>
      <c r="N6065">
        <v>-1.6854640000000001E-2</v>
      </c>
      <c r="O6065">
        <v>-0.41243180000000002</v>
      </c>
      <c r="P6065">
        <v>0.97624789999999995</v>
      </c>
      <c r="Q6065">
        <v>-0.1185268</v>
      </c>
      <c r="R6065">
        <v>-0.18135979999999999</v>
      </c>
      <c r="S6065">
        <v>3.086182</v>
      </c>
      <c r="T6065">
        <v>9.2727660000000003E-2</v>
      </c>
      <c r="U6065">
        <v>5.5236819999999898E-3</v>
      </c>
      <c r="V6065">
        <v>-0.23697670000000001</v>
      </c>
      <c r="W6065">
        <v>-0.103423</v>
      </c>
      <c r="X6065">
        <v>0.96599469999999998</v>
      </c>
      <c r="Y6065">
        <v>-0.41358850000000003</v>
      </c>
      <c r="Z6065">
        <v>-2.1938289999999999E-2</v>
      </c>
      <c r="AA6065">
        <v>0.9101996</v>
      </c>
      <c r="AB6065">
        <v>20</v>
      </c>
      <c r="AC6065">
        <v>123.855599999999</v>
      </c>
      <c r="AD6065">
        <v>3.7245900000000001</v>
      </c>
      <c r="AE6065">
        <v>0.26662999999999898</v>
      </c>
      <c r="AF6065">
        <v>-51.285758395544001</v>
      </c>
      <c r="AG6065">
        <v>3.7245900000000001</v>
      </c>
      <c r="AH6065">
        <v>112.615914407801</v>
      </c>
      <c r="AI6065">
        <v>88.275965640554901</v>
      </c>
      <c r="AJ6065">
        <v>114.48471814451899</v>
      </c>
      <c r="AK6065">
        <v>123.80002327455099</v>
      </c>
      <c r="AL6065">
        <v>95.9363163411779</v>
      </c>
      <c r="AM6065">
        <v>103.783533188596</v>
      </c>
      <c r="AN6065">
        <v>1.0000000168499801</v>
      </c>
    </row>
    <row r="6066" spans="1:40" x14ac:dyDescent="0.25">
      <c r="A6066" t="str">
        <f>"20190305135048665"</f>
        <v>20190305135048665</v>
      </c>
      <c r="B6066" t="str">
        <f>"1551765048656263"</f>
        <v>1551765048656263</v>
      </c>
      <c r="C6066" t="s">
        <v>40</v>
      </c>
      <c r="D6066">
        <v>4.3460320000000001</v>
      </c>
      <c r="E6066">
        <v>0.4296082</v>
      </c>
      <c r="F6066" t="s">
        <v>106</v>
      </c>
      <c r="G6066">
        <v>-276.78059999999999</v>
      </c>
      <c r="H6066">
        <v>4.5827790000000004</v>
      </c>
      <c r="I6066">
        <v>20.995609999999999</v>
      </c>
      <c r="J6066">
        <v>-397.16039999999998</v>
      </c>
      <c r="K6066">
        <v>1.111899</v>
      </c>
      <c r="L6066">
        <v>20.52054</v>
      </c>
      <c r="M6066">
        <v>0.91183289999999995</v>
      </c>
      <c r="N6066">
        <v>-1.656848E-2</v>
      </c>
      <c r="O6066">
        <v>-0.41022730000000002</v>
      </c>
      <c r="P6066">
        <v>0.97653809999999996</v>
      </c>
      <c r="Q6066">
        <v>-0.1188367</v>
      </c>
      <c r="R6066">
        <v>-0.17958579999999999</v>
      </c>
      <c r="S6066">
        <v>3.085785</v>
      </c>
      <c r="T6066">
        <v>8.8893059999999996E-2</v>
      </c>
      <c r="U6066">
        <v>1.101685E-2</v>
      </c>
      <c r="V6066">
        <v>-0.23637240000000001</v>
      </c>
      <c r="W6066">
        <v>-0.1040122</v>
      </c>
      <c r="X6066">
        <v>0.96607949999999998</v>
      </c>
      <c r="Y6066">
        <v>-0.413045</v>
      </c>
      <c r="Z6066">
        <v>-2.1021249999999998E-2</v>
      </c>
      <c r="AA6066">
        <v>0.91046800000000006</v>
      </c>
      <c r="AB6066">
        <v>20</v>
      </c>
      <c r="AC6066">
        <v>120.3798</v>
      </c>
      <c r="AD6066">
        <v>3.4708800000000002</v>
      </c>
      <c r="AE6066">
        <v>0.47506999999999799</v>
      </c>
      <c r="AF6066">
        <v>-49.781714862749098</v>
      </c>
      <c r="AG6066">
        <v>3.4708800000000002</v>
      </c>
      <c r="AH6066">
        <v>109.495382551955</v>
      </c>
      <c r="AI6066">
        <v>88.347103669884106</v>
      </c>
      <c r="AJ6066">
        <v>114.44876244872199</v>
      </c>
      <c r="AK6066">
        <v>120.330814602285</v>
      </c>
      <c r="AL6066">
        <v>95.970258021904797</v>
      </c>
      <c r="AM6066">
        <v>103.748559116842</v>
      </c>
      <c r="AN6066">
        <v>1.0000000247754199</v>
      </c>
    </row>
    <row r="6067" spans="1:40" x14ac:dyDescent="0.25">
      <c r="A6067" t="str">
        <f>"20190305135048682"</f>
        <v>20190305135048682</v>
      </c>
      <c r="B6067" t="str">
        <f>"1551765048675782"</f>
        <v>1551765048675782</v>
      </c>
      <c r="C6067" t="s">
        <v>40</v>
      </c>
      <c r="D6067">
        <v>4.3860049999999999</v>
      </c>
      <c r="E6067">
        <v>0.4296295</v>
      </c>
      <c r="F6067" t="s">
        <v>106</v>
      </c>
      <c r="G6067">
        <v>-276.72930000000002</v>
      </c>
      <c r="H6067">
        <v>4.4176830000000002</v>
      </c>
      <c r="I6067">
        <v>21.178049999999999</v>
      </c>
      <c r="J6067">
        <v>-397.02339999999998</v>
      </c>
      <c r="K6067">
        <v>1.1119079999999999</v>
      </c>
      <c r="L6067">
        <v>20.462430000000001</v>
      </c>
      <c r="M6067">
        <v>0.91308429999999996</v>
      </c>
      <c r="N6067">
        <v>-1.6263489999999999E-2</v>
      </c>
      <c r="O6067">
        <v>-0.40744639999999999</v>
      </c>
      <c r="P6067">
        <v>0.97693730000000001</v>
      </c>
      <c r="Q6067">
        <v>-0.11832520000000001</v>
      </c>
      <c r="R6067">
        <v>-0.17774329999999999</v>
      </c>
      <c r="S6067">
        <v>3.08548</v>
      </c>
      <c r="T6067">
        <v>8.4695099999999995E-2</v>
      </c>
      <c r="U6067">
        <v>1.6845699999999901E-2</v>
      </c>
      <c r="V6067">
        <v>-0.23526420000000001</v>
      </c>
      <c r="W6067">
        <v>-0.10381369999999999</v>
      </c>
      <c r="X6067">
        <v>0.96637130000000004</v>
      </c>
      <c r="Y6067">
        <v>-0.41203030000000002</v>
      </c>
      <c r="Z6067">
        <v>-2.0007759999999999E-2</v>
      </c>
      <c r="AA6067">
        <v>0.9109505</v>
      </c>
      <c r="AB6067">
        <v>20</v>
      </c>
      <c r="AC6067">
        <v>120.29409999999901</v>
      </c>
      <c r="AD6067">
        <v>3.3057750000000001</v>
      </c>
      <c r="AE6067">
        <v>0.71562000000000103</v>
      </c>
      <c r="AF6067">
        <v>-49.635905560440598</v>
      </c>
      <c r="AG6067">
        <v>3.3057750000000001</v>
      </c>
      <c r="AH6067">
        <v>109.47889258706</v>
      </c>
      <c r="AI6067">
        <v>88.424703524105993</v>
      </c>
      <c r="AJ6067">
        <v>114.38874760181599</v>
      </c>
      <c r="AK6067">
        <v>120.25090099972</v>
      </c>
      <c r="AL6067">
        <v>95.958823000359303</v>
      </c>
      <c r="AM6067">
        <v>103.68255309441901</v>
      </c>
      <c r="AN6067">
        <v>1.00000000878651</v>
      </c>
    </row>
    <row r="6068" spans="1:40" x14ac:dyDescent="0.25">
      <c r="A6068" t="str">
        <f>"20190305135048695"</f>
        <v>20190305135048695</v>
      </c>
      <c r="B6068" t="str">
        <f>"1551765048686519"</f>
        <v>1551765048686519</v>
      </c>
      <c r="C6068" t="s">
        <v>40</v>
      </c>
      <c r="D6068">
        <v>4.3788140000000002</v>
      </c>
      <c r="E6068">
        <v>0.42966130000000002</v>
      </c>
      <c r="F6068" t="s">
        <v>106</v>
      </c>
      <c r="G6068">
        <v>-277.37</v>
      </c>
      <c r="H6068">
        <v>4.2297140000000004</v>
      </c>
      <c r="I6068">
        <v>21.33605</v>
      </c>
      <c r="J6068">
        <v>-396.91370000000001</v>
      </c>
      <c r="K6068">
        <v>1.1119460000000001</v>
      </c>
      <c r="L6068">
        <v>20.416319999999999</v>
      </c>
      <c r="M6068">
        <v>0.91405630000000004</v>
      </c>
      <c r="N6068">
        <v>-1.6063480000000002E-2</v>
      </c>
      <c r="O6068">
        <v>-0.4052692</v>
      </c>
      <c r="P6068">
        <v>0.97737600000000002</v>
      </c>
      <c r="Q6068">
        <v>-0.117372699999999</v>
      </c>
      <c r="R6068">
        <v>-0.17595429999999901</v>
      </c>
      <c r="S6068">
        <v>3.0846559999999998</v>
      </c>
      <c r="T6068">
        <v>8.0376859999999994E-2</v>
      </c>
      <c r="U6068">
        <v>2.2521969999999999E-2</v>
      </c>
      <c r="V6068">
        <v>-0.23476659999999999</v>
      </c>
      <c r="W6068">
        <v>-0.1030795</v>
      </c>
      <c r="X6068">
        <v>0.96657090000000001</v>
      </c>
      <c r="Y6068">
        <v>-0.41157440000000001</v>
      </c>
      <c r="Z6068">
        <v>-1.903256E-2</v>
      </c>
      <c r="AA6068">
        <v>0.91117740000000003</v>
      </c>
      <c r="AB6068">
        <v>20</v>
      </c>
      <c r="AC6068">
        <v>119.5437</v>
      </c>
      <c r="AD6068">
        <v>3.1177679999999999</v>
      </c>
      <c r="AE6068">
        <v>0.91972999999999705</v>
      </c>
      <c r="AF6068">
        <v>-49.260917864007602</v>
      </c>
      <c r="AG6068">
        <v>3.1177679999999999</v>
      </c>
      <c r="AH6068">
        <v>108.836955791238</v>
      </c>
      <c r="AI6068">
        <v>88.505060555790294</v>
      </c>
      <c r="AJ6068">
        <v>114.352080584593</v>
      </c>
      <c r="AK6068">
        <v>119.50665860951101</v>
      </c>
      <c r="AL6068">
        <v>95.916529454351405</v>
      </c>
      <c r="AM6068">
        <v>103.651983811582</v>
      </c>
      <c r="AN6068">
        <v>1.0000000222612999</v>
      </c>
    </row>
    <row r="6069" spans="1:40" x14ac:dyDescent="0.25">
      <c r="A6069" t="str">
        <f>"20190305135048707"</f>
        <v>20190305135048707</v>
      </c>
      <c r="B6069" t="str">
        <f>"1551765048696280"</f>
        <v>1551765048696280</v>
      </c>
      <c r="C6069" t="s">
        <v>40</v>
      </c>
      <c r="D6069">
        <v>4.3649610000000001</v>
      </c>
      <c r="E6069">
        <v>0.42969800000000002</v>
      </c>
      <c r="F6069" t="s">
        <v>106</v>
      </c>
      <c r="G6069">
        <v>-277.10930000000002</v>
      </c>
      <c r="H6069">
        <v>4.2329910000000002</v>
      </c>
      <c r="I6069">
        <v>21.502199999999998</v>
      </c>
      <c r="J6069">
        <v>-396.81490000000002</v>
      </c>
      <c r="K6069">
        <v>1.111998</v>
      </c>
      <c r="L6069">
        <v>20.37509</v>
      </c>
      <c r="M6069">
        <v>0.91491469999999997</v>
      </c>
      <c r="N6069">
        <v>-1.5911640000000001E-2</v>
      </c>
      <c r="O6069">
        <v>-0.40333380000000002</v>
      </c>
      <c r="P6069">
        <v>0.97776980000000002</v>
      </c>
      <c r="Q6069">
        <v>-0.11625290000000001</v>
      </c>
      <c r="R6069">
        <v>-0.17450360000000001</v>
      </c>
      <c r="S6069">
        <v>3.0841669999999999</v>
      </c>
      <c r="T6069">
        <v>8.0346109999999998E-2</v>
      </c>
      <c r="U6069">
        <v>2.7954099999999999E-2</v>
      </c>
      <c r="V6069">
        <v>-0.23420099999999999</v>
      </c>
      <c r="W6069">
        <v>-0.1021302</v>
      </c>
      <c r="X6069">
        <v>0.96680889999999997</v>
      </c>
      <c r="Y6069">
        <v>-0.41125440000000002</v>
      </c>
      <c r="Z6069">
        <v>-1.8916160000000001E-2</v>
      </c>
      <c r="AA6069">
        <v>0.91132429999999998</v>
      </c>
      <c r="AB6069">
        <v>20</v>
      </c>
      <c r="AC6069">
        <v>119.7056</v>
      </c>
      <c r="AD6069">
        <v>3.1209929999999999</v>
      </c>
      <c r="AE6069">
        <v>1.1271099999999901</v>
      </c>
      <c r="AF6069">
        <v>-49.285262452443199</v>
      </c>
      <c r="AG6069">
        <v>3.1209929999999999</v>
      </c>
      <c r="AH6069">
        <v>109.00551638701999</v>
      </c>
      <c r="AI6069">
        <v>88.505560639322397</v>
      </c>
      <c r="AJ6069">
        <v>114.329414071656</v>
      </c>
      <c r="AK6069">
        <v>119.670298299591</v>
      </c>
      <c r="AL6069">
        <v>95.8618497154376</v>
      </c>
      <c r="AM6069">
        <v>103.61709192813299</v>
      </c>
      <c r="AN6069">
        <v>1.00000006763612</v>
      </c>
    </row>
    <row r="6070" spans="1:40" x14ac:dyDescent="0.25">
      <c r="A6070" t="str">
        <f>"20190305135048719"</f>
        <v>20190305135048719</v>
      </c>
      <c r="B6070" t="str">
        <f>"1551765048715799"</f>
        <v>1551765048715799</v>
      </c>
      <c r="C6070" t="s">
        <v>40</v>
      </c>
      <c r="D6070">
        <v>4.3574489999999999</v>
      </c>
      <c r="E6070">
        <v>0.42979529999999999</v>
      </c>
      <c r="F6070" t="s">
        <v>106</v>
      </c>
      <c r="G6070">
        <v>-276.91660000000002</v>
      </c>
      <c r="H6070">
        <v>4.2599689999999999</v>
      </c>
      <c r="I6070">
        <v>21.621030000000001</v>
      </c>
      <c r="J6070">
        <v>-396.71929999999998</v>
      </c>
      <c r="K6070">
        <v>1.1120380000000001</v>
      </c>
      <c r="L6070">
        <v>20.335660000000001</v>
      </c>
      <c r="M6070">
        <v>0.91574949999999999</v>
      </c>
      <c r="N6070">
        <v>-1.577201E-2</v>
      </c>
      <c r="O6070">
        <v>-0.40144039999999998</v>
      </c>
      <c r="P6070">
        <v>0.97809889999999999</v>
      </c>
      <c r="Q6070">
        <v>-0.1154789</v>
      </c>
      <c r="R6070">
        <v>-0.17316909999999999</v>
      </c>
      <c r="S6070">
        <v>3.0835880000000002</v>
      </c>
      <c r="T6070">
        <v>8.0960749999999998E-2</v>
      </c>
      <c r="U6070">
        <v>3.2043460000000003E-2</v>
      </c>
      <c r="V6070">
        <v>-0.23355020000000001</v>
      </c>
      <c r="W6070">
        <v>-0.1015095</v>
      </c>
      <c r="X6070">
        <v>0.96703159999999999</v>
      </c>
      <c r="Y6070">
        <v>-0.41057670000000002</v>
      </c>
      <c r="Z6070">
        <v>-1.8928210000000001E-2</v>
      </c>
      <c r="AA6070">
        <v>0.91162960000000004</v>
      </c>
      <c r="AB6070">
        <v>20</v>
      </c>
      <c r="AC6070">
        <v>119.80269999999901</v>
      </c>
      <c r="AD6070">
        <v>3.1479309999999998</v>
      </c>
      <c r="AE6070">
        <v>1.2853699999999899</v>
      </c>
      <c r="AF6070">
        <v>-49.242848115249103</v>
      </c>
      <c r="AG6070">
        <v>3.1479309999999998</v>
      </c>
      <c r="AH6070">
        <v>109.131492144551</v>
      </c>
      <c r="AI6070">
        <v>88.493892745839503</v>
      </c>
      <c r="AJ6070">
        <v>114.28608228260001</v>
      </c>
      <c r="AK6070">
        <v>119.768318589594</v>
      </c>
      <c r="AL6070">
        <v>95.826100857600693</v>
      </c>
      <c r="AM6070">
        <v>103.577644145973</v>
      </c>
      <c r="AN6070">
        <v>0.99999999495442404</v>
      </c>
    </row>
    <row r="6071" spans="1:40" x14ac:dyDescent="0.25">
      <c r="A6071" t="str">
        <f>"20190305135048731"</f>
        <v>20190305135048731</v>
      </c>
      <c r="B6071" t="str">
        <f>"1551765048726535"</f>
        <v>1551765048726535</v>
      </c>
      <c r="C6071" t="s">
        <v>40</v>
      </c>
      <c r="D6071">
        <v>4.3805440000000004</v>
      </c>
      <c r="E6071">
        <v>0.42986400000000002</v>
      </c>
      <c r="F6071" t="s">
        <v>106</v>
      </c>
      <c r="G6071">
        <v>-276.80459999999999</v>
      </c>
      <c r="H6071">
        <v>4.1651439999999997</v>
      </c>
      <c r="I6071">
        <v>21.70796</v>
      </c>
      <c r="J6071">
        <v>-396.62470000000002</v>
      </c>
      <c r="K6071">
        <v>1.1120779999999999</v>
      </c>
      <c r="L6071">
        <v>20.296690000000002</v>
      </c>
      <c r="M6071">
        <v>0.91657699999999998</v>
      </c>
      <c r="N6071">
        <v>-1.563486E-2</v>
      </c>
      <c r="O6071">
        <v>-0.39955259999999998</v>
      </c>
      <c r="P6071">
        <v>0.97829849999999996</v>
      </c>
      <c r="Q6071">
        <v>-0.1154037</v>
      </c>
      <c r="R6071">
        <v>-0.1720864</v>
      </c>
      <c r="S6071">
        <v>3.082703</v>
      </c>
      <c r="T6071">
        <v>7.8487630000000003E-2</v>
      </c>
      <c r="U6071">
        <v>3.5278320000000002E-2</v>
      </c>
      <c r="V6071">
        <v>-0.23262099999999999</v>
      </c>
      <c r="W6071">
        <v>-0.1015817</v>
      </c>
      <c r="X6071">
        <v>0.967248</v>
      </c>
      <c r="Y6071">
        <v>-0.4096786</v>
      </c>
      <c r="Z6071">
        <v>-1.8344530000000001E-2</v>
      </c>
      <c r="AA6071">
        <v>0.91204549999999995</v>
      </c>
      <c r="AB6071">
        <v>20</v>
      </c>
      <c r="AC6071">
        <v>119.8201</v>
      </c>
      <c r="AD6071">
        <v>3.0530659999999998</v>
      </c>
      <c r="AE6071">
        <v>1.41127</v>
      </c>
      <c r="AF6071">
        <v>-49.142076495169199</v>
      </c>
      <c r="AG6071">
        <v>3.0530659999999998</v>
      </c>
      <c r="AH6071">
        <v>109.202930720667</v>
      </c>
      <c r="AI6071">
        <v>88.539549674252896</v>
      </c>
      <c r="AJ6071">
        <v>114.22807590262801</v>
      </c>
      <c r="AK6071">
        <v>119.789586242879</v>
      </c>
      <c r="AL6071">
        <v>95.830258887947195</v>
      </c>
      <c r="AM6071">
        <v>103.52269778963</v>
      </c>
      <c r="AN6071">
        <v>1.0000000324599401</v>
      </c>
    </row>
    <row r="6072" spans="1:40" x14ac:dyDescent="0.25">
      <c r="A6072" t="str">
        <f>"20190305135048742"</f>
        <v>20190305135048742</v>
      </c>
      <c r="B6072" t="str">
        <f>"1551765048736296"</f>
        <v>1551765048736296</v>
      </c>
      <c r="C6072" t="s">
        <v>40</v>
      </c>
      <c r="D6072">
        <v>4.3696070000000002</v>
      </c>
      <c r="E6072">
        <v>0.4298901</v>
      </c>
      <c r="F6072" t="s">
        <v>106</v>
      </c>
      <c r="G6072">
        <v>-276.75850000000003</v>
      </c>
      <c r="H6072">
        <v>4.0964</v>
      </c>
      <c r="I6072">
        <v>21.76595</v>
      </c>
      <c r="J6072">
        <v>-396.53429999999997</v>
      </c>
      <c r="K6072">
        <v>1.112107</v>
      </c>
      <c r="L6072">
        <v>20.25986</v>
      </c>
      <c r="M6072">
        <v>0.91738600000000003</v>
      </c>
      <c r="N6072">
        <v>-1.550254E-2</v>
      </c>
      <c r="O6072">
        <v>-0.39769690000000002</v>
      </c>
      <c r="P6072">
        <v>0.97849450000000004</v>
      </c>
      <c r="Q6072">
        <v>-0.11563809999999999</v>
      </c>
      <c r="R6072">
        <v>-0.17081070000000001</v>
      </c>
      <c r="S6072">
        <v>3.0822449999999999</v>
      </c>
      <c r="T6072">
        <v>7.673895E-2</v>
      </c>
      <c r="U6072">
        <v>3.7780759999999997E-2</v>
      </c>
      <c r="V6072">
        <v>-0.231906</v>
      </c>
      <c r="W6072">
        <v>-0.10195319999999999</v>
      </c>
      <c r="X6072">
        <v>0.96738060000000003</v>
      </c>
      <c r="Y6072">
        <v>-0.4085898</v>
      </c>
      <c r="Z6072">
        <v>-1.7903220000000001E-2</v>
      </c>
      <c r="AA6072">
        <v>0.91254250000000003</v>
      </c>
      <c r="AB6072">
        <v>20</v>
      </c>
      <c r="AC6072">
        <v>119.77579999999899</v>
      </c>
      <c r="AD6072">
        <v>2.9842930000000001</v>
      </c>
      <c r="AE6072">
        <v>1.5060899999999999</v>
      </c>
      <c r="AF6072">
        <v>-48.991607053975002</v>
      </c>
      <c r="AG6072">
        <v>2.9842930000000001</v>
      </c>
      <c r="AH6072">
        <v>109.22700019463601</v>
      </c>
      <c r="AI6072">
        <v>88.571960503215706</v>
      </c>
      <c r="AJ6072">
        <v>114.157674412142</v>
      </c>
      <c r="AK6072">
        <v>119.748157138054</v>
      </c>
      <c r="AL6072">
        <v>95.851655331341902</v>
      </c>
      <c r="AM6072">
        <v>103.480872551884</v>
      </c>
      <c r="AN6072">
        <v>1.00000003654129</v>
      </c>
    </row>
    <row r="6073" spans="1:40" x14ac:dyDescent="0.25">
      <c r="A6073" t="str">
        <f>"20190305135048753"</f>
        <v>20190305135048753</v>
      </c>
      <c r="B6073" t="str">
        <f>"1551765048746057"</f>
        <v>1551765048746057</v>
      </c>
      <c r="C6073" t="s">
        <v>40</v>
      </c>
      <c r="D6073">
        <v>4.372179</v>
      </c>
      <c r="E6073">
        <v>0.42995420000000001</v>
      </c>
      <c r="F6073" t="s">
        <v>106</v>
      </c>
      <c r="G6073">
        <v>-276.73200000000003</v>
      </c>
      <c r="H6073">
        <v>3.977411</v>
      </c>
      <c r="I6073">
        <v>21.86731</v>
      </c>
      <c r="J6073">
        <v>-396.44380000000001</v>
      </c>
      <c r="K6073">
        <v>1.1121289999999999</v>
      </c>
      <c r="L6073">
        <v>20.223109999999998</v>
      </c>
      <c r="M6073">
        <v>0.91819879999999998</v>
      </c>
      <c r="N6073">
        <v>-1.5373680000000001E-2</v>
      </c>
      <c r="O6073">
        <v>-0.3958218</v>
      </c>
      <c r="P6073">
        <v>0.97865340000000001</v>
      </c>
      <c r="Q6073">
        <v>-0.1158315</v>
      </c>
      <c r="R6073">
        <v>-0.16976720000000001</v>
      </c>
      <c r="S6073">
        <v>3.0818789999999998</v>
      </c>
      <c r="T6073">
        <v>7.3709129999999998E-2</v>
      </c>
      <c r="U6073">
        <v>4.1351319999999997E-2</v>
      </c>
      <c r="V6073">
        <v>-0.2309456</v>
      </c>
      <c r="W6073">
        <v>-0.1022753</v>
      </c>
      <c r="X6073">
        <v>0.96757629999999994</v>
      </c>
      <c r="Y6073">
        <v>-0.4078077</v>
      </c>
      <c r="Z6073">
        <v>-1.721984E-2</v>
      </c>
      <c r="AA6073">
        <v>0.91290550000000004</v>
      </c>
      <c r="AB6073">
        <v>20</v>
      </c>
      <c r="AC6073">
        <v>119.711799999999</v>
      </c>
      <c r="AD6073">
        <v>2.8652820000000001</v>
      </c>
      <c r="AE6073">
        <v>1.6441999999999899</v>
      </c>
      <c r="AF6073">
        <v>-48.872022447559701</v>
      </c>
      <c r="AG6073">
        <v>2.8652820000000001</v>
      </c>
      <c r="AH6073">
        <v>109.218763448082</v>
      </c>
      <c r="AI6073">
        <v>88.628241146696894</v>
      </c>
      <c r="AJ6073">
        <v>114.107041122011</v>
      </c>
      <c r="AK6073">
        <v>119.688857911596</v>
      </c>
      <c r="AL6073">
        <v>95.870207483369001</v>
      </c>
      <c r="AM6073">
        <v>103.424451993134</v>
      </c>
      <c r="AN6073">
        <v>1.0000000017355699</v>
      </c>
    </row>
    <row r="6074" spans="1:40" x14ac:dyDescent="0.25">
      <c r="A6074" t="str">
        <f>"20190305135048764"</f>
        <v>20190305135048764</v>
      </c>
      <c r="B6074" t="str">
        <f>"1551765048755815"</f>
        <v>1551765048755815</v>
      </c>
      <c r="C6074" t="s">
        <v>40</v>
      </c>
      <c r="D6074">
        <v>4.3796980000000003</v>
      </c>
      <c r="E6074">
        <v>0.43002590000000002</v>
      </c>
      <c r="F6074" t="s">
        <v>106</v>
      </c>
      <c r="G6074">
        <v>-276.7174</v>
      </c>
      <c r="H6074">
        <v>3.8482729999999998</v>
      </c>
      <c r="I6074">
        <v>21.938880000000001</v>
      </c>
      <c r="J6074">
        <v>-396.35230000000001</v>
      </c>
      <c r="K6074">
        <v>1.1121449999999999</v>
      </c>
      <c r="L6074">
        <v>20.186340000000001</v>
      </c>
      <c r="M6074">
        <v>0.91903000000000001</v>
      </c>
      <c r="N6074">
        <v>-1.5250639999999999E-2</v>
      </c>
      <c r="O6074">
        <v>-0.39389249999999998</v>
      </c>
      <c r="P6074">
        <v>0.97885639999999996</v>
      </c>
      <c r="Q6074">
        <v>-0.11562840000000001</v>
      </c>
      <c r="R6074">
        <v>-0.16873070000000001</v>
      </c>
      <c r="S6074">
        <v>3.0814210000000002</v>
      </c>
      <c r="T6074">
        <v>7.0420620000000003E-2</v>
      </c>
      <c r="U6074">
        <v>4.4158940000000001E-2</v>
      </c>
      <c r="V6074">
        <v>-0.22994500000000001</v>
      </c>
      <c r="W6074">
        <v>-0.1021894</v>
      </c>
      <c r="X6074">
        <v>0.96782369999999995</v>
      </c>
      <c r="Y6074">
        <v>-0.40674850000000001</v>
      </c>
      <c r="Z6074">
        <v>-1.6489879999999998E-2</v>
      </c>
      <c r="AA6074">
        <v>0.91339139999999996</v>
      </c>
      <c r="AB6074">
        <v>20</v>
      </c>
      <c r="AC6074">
        <v>119.6349</v>
      </c>
      <c r="AD6074">
        <v>2.7361279999999999</v>
      </c>
      <c r="AE6074">
        <v>1.75253999999999</v>
      </c>
      <c r="AF6074">
        <v>-48.7141191294549</v>
      </c>
      <c r="AG6074">
        <v>2.7361279999999999</v>
      </c>
      <c r="AH6074">
        <v>109.213342756215</v>
      </c>
      <c r="AI6074">
        <v>88.689292309563101</v>
      </c>
      <c r="AJ6074">
        <v>114.039045413933</v>
      </c>
      <c r="AK6074">
        <v>119.61649566417501</v>
      </c>
      <c r="AL6074">
        <v>95.865259596101296</v>
      </c>
      <c r="AM6074">
        <v>103.365086580998</v>
      </c>
      <c r="AN6074">
        <v>1.0000000453895199</v>
      </c>
    </row>
    <row r="6075" spans="1:40" x14ac:dyDescent="0.25">
      <c r="A6075" t="str">
        <f>"20190305135048776"</f>
        <v>20190305135048776</v>
      </c>
      <c r="B6075" t="str">
        <f>"1551765048766551"</f>
        <v>1551765048766551</v>
      </c>
      <c r="C6075" t="s">
        <v>40</v>
      </c>
      <c r="D6075">
        <v>4.3495920000000003</v>
      </c>
      <c r="E6075">
        <v>0.43007030000000002</v>
      </c>
      <c r="F6075" t="s">
        <v>106</v>
      </c>
      <c r="G6075">
        <v>-276.69740000000002</v>
      </c>
      <c r="H6075">
        <v>3.7696710000000002</v>
      </c>
      <c r="I6075">
        <v>22.012689999999999</v>
      </c>
      <c r="J6075">
        <v>-396.2611</v>
      </c>
      <c r="K6075">
        <v>1.1121540000000001</v>
      </c>
      <c r="L6075">
        <v>20.149809999999999</v>
      </c>
      <c r="M6075">
        <v>0.91986330000000005</v>
      </c>
      <c r="N6075">
        <v>-1.513837E-2</v>
      </c>
      <c r="O6075">
        <v>-0.3919472</v>
      </c>
      <c r="P6075">
        <v>0.97913830000000002</v>
      </c>
      <c r="Q6075">
        <v>-0.11520759999999999</v>
      </c>
      <c r="R6075">
        <v>-0.16737949999999999</v>
      </c>
      <c r="S6075">
        <v>3.0810550000000001</v>
      </c>
      <c r="T6075">
        <v>6.8429950000000003E-2</v>
      </c>
      <c r="U6075">
        <v>4.7027590000000001E-2</v>
      </c>
      <c r="V6075">
        <v>-0.2292527</v>
      </c>
      <c r="W6075">
        <v>-0.1018754</v>
      </c>
      <c r="X6075">
        <v>0.96802100000000002</v>
      </c>
      <c r="Y6075">
        <v>-0.40568280000000001</v>
      </c>
      <c r="Z6075">
        <v>-1.601319E-2</v>
      </c>
      <c r="AA6075">
        <v>0.91387370000000001</v>
      </c>
      <c r="AB6075">
        <v>20</v>
      </c>
      <c r="AC6075">
        <v>119.563699999999</v>
      </c>
      <c r="AD6075">
        <v>2.6575169999999901</v>
      </c>
      <c r="AE6075">
        <v>1.8628799999999901</v>
      </c>
      <c r="AF6075">
        <v>-48.557829722164698</v>
      </c>
      <c r="AG6075">
        <v>2.6575169999999901</v>
      </c>
      <c r="AH6075">
        <v>109.210674921131</v>
      </c>
      <c r="AI6075">
        <v>88.726234377960296</v>
      </c>
      <c r="AJ6075">
        <v>113.97114168754</v>
      </c>
      <c r="AK6075">
        <v>119.548721200442</v>
      </c>
      <c r="AL6075">
        <v>95.847174444321297</v>
      </c>
      <c r="AM6075">
        <v>103.323666399283</v>
      </c>
      <c r="AN6075">
        <v>1.00000002701172</v>
      </c>
    </row>
    <row r="6076" spans="1:40" x14ac:dyDescent="0.25">
      <c r="A6076" t="str">
        <f>"20190305135048787"</f>
        <v>20190305135048787</v>
      </c>
      <c r="B6076" t="str">
        <f>"1551765048776311"</f>
        <v>1551765048776311</v>
      </c>
      <c r="C6076" t="s">
        <v>40</v>
      </c>
      <c r="D6076">
        <v>4.3975010000000001</v>
      </c>
      <c r="E6076">
        <v>0.43016159999999998</v>
      </c>
      <c r="F6076" t="s">
        <v>106</v>
      </c>
      <c r="G6076">
        <v>-276.64179999999999</v>
      </c>
      <c r="H6076">
        <v>3.7230560000000001</v>
      </c>
      <c r="I6076">
        <v>22.13823</v>
      </c>
      <c r="J6076">
        <v>-396.16930000000002</v>
      </c>
      <c r="K6076">
        <v>1.1121650000000001</v>
      </c>
      <c r="L6076">
        <v>20.113340000000001</v>
      </c>
      <c r="M6076">
        <v>0.92070269999999999</v>
      </c>
      <c r="N6076">
        <v>-1.5033950000000001E-2</v>
      </c>
      <c r="O6076">
        <v>-0.38997530000000002</v>
      </c>
      <c r="P6076">
        <v>0.97941040000000001</v>
      </c>
      <c r="Q6076">
        <v>-0.1146002</v>
      </c>
      <c r="R6076">
        <v>-0.1661994</v>
      </c>
      <c r="S6076">
        <v>3.080597</v>
      </c>
      <c r="T6076">
        <v>6.7239519999999997E-2</v>
      </c>
      <c r="U6076">
        <v>5.1208499999999997E-2</v>
      </c>
      <c r="V6076">
        <v>-0.22837470000000001</v>
      </c>
      <c r="W6076">
        <v>-0.1013636</v>
      </c>
      <c r="X6076">
        <v>0.96828219999999998</v>
      </c>
      <c r="Y6076">
        <v>-0.404976</v>
      </c>
      <c r="Z6076">
        <v>-1.5693639999999998E-2</v>
      </c>
      <c r="AA6076">
        <v>0.91419260000000002</v>
      </c>
      <c r="AB6076">
        <v>20</v>
      </c>
      <c r="AC6076">
        <v>119.5275</v>
      </c>
      <c r="AD6076">
        <v>2.6108910000000001</v>
      </c>
      <c r="AE6076">
        <v>2.0248899999999899</v>
      </c>
      <c r="AF6076">
        <v>-48.459453343342801</v>
      </c>
      <c r="AG6076">
        <v>2.6108910000000001</v>
      </c>
      <c r="AH6076">
        <v>109.21987485042899</v>
      </c>
      <c r="AI6076">
        <v>88.748245297387797</v>
      </c>
      <c r="AJ6076">
        <v>113.926245369668</v>
      </c>
      <c r="AK6076">
        <v>119.51617644692701</v>
      </c>
      <c r="AL6076">
        <v>95.817698026957601</v>
      </c>
      <c r="AM6076">
        <v>103.270994587198</v>
      </c>
      <c r="AN6076">
        <v>1.00000000092094</v>
      </c>
    </row>
    <row r="6077" spans="1:40" x14ac:dyDescent="0.25">
      <c r="A6077" t="str">
        <f>"20190305135048805"</f>
        <v>20190305135048805</v>
      </c>
      <c r="B6077" t="str">
        <f>"1551765048795831"</f>
        <v>1551765048795831</v>
      </c>
      <c r="C6077" t="s">
        <v>40</v>
      </c>
      <c r="D6077">
        <v>4.3686819999999997</v>
      </c>
      <c r="E6077">
        <v>0.43023440000000002</v>
      </c>
      <c r="F6077" t="s">
        <v>106</v>
      </c>
      <c r="G6077">
        <v>-276.66419999999999</v>
      </c>
      <c r="H6077">
        <v>3.7163080000000002</v>
      </c>
      <c r="I6077">
        <v>22.22682</v>
      </c>
      <c r="J6077">
        <v>-396.02409999999998</v>
      </c>
      <c r="K6077">
        <v>1.112193</v>
      </c>
      <c r="L6077">
        <v>20.056149999999999</v>
      </c>
      <c r="M6077">
        <v>0.92203570000000001</v>
      </c>
      <c r="N6077">
        <v>-1.4889579999999999E-2</v>
      </c>
      <c r="O6077">
        <v>-0.38681860000000001</v>
      </c>
      <c r="P6077">
        <v>0.97985199999999995</v>
      </c>
      <c r="Q6077">
        <v>-0.1133398</v>
      </c>
      <c r="R6077">
        <v>-0.16445100000000001</v>
      </c>
      <c r="S6077">
        <v>3.0802</v>
      </c>
      <c r="T6077">
        <v>6.712079E-2</v>
      </c>
      <c r="U6077">
        <v>5.4473880000000002E-2</v>
      </c>
      <c r="V6077">
        <v>-0.2268483</v>
      </c>
      <c r="W6077">
        <v>-0.100232</v>
      </c>
      <c r="X6077">
        <v>0.96875869999999997</v>
      </c>
      <c r="Y6077">
        <v>-0.40281709999999998</v>
      </c>
      <c r="Z6077">
        <v>-1.552269E-2</v>
      </c>
      <c r="AA6077">
        <v>0.91514890000000004</v>
      </c>
      <c r="AB6077">
        <v>20</v>
      </c>
      <c r="AC6077">
        <v>119.359899999999</v>
      </c>
      <c r="AD6077">
        <v>2.6041150000000002</v>
      </c>
      <c r="AE6077">
        <v>2.1706699999999999</v>
      </c>
      <c r="AF6077">
        <v>-48.1544877483718</v>
      </c>
      <c r="AG6077">
        <v>2.6041150000000002</v>
      </c>
      <c r="AH6077">
        <v>109.174583537224</v>
      </c>
      <c r="AI6077">
        <v>88.749769154756606</v>
      </c>
      <c r="AJ6077">
        <v>113.801212175283</v>
      </c>
      <c r="AK6077">
        <v>119.351270608099</v>
      </c>
      <c r="AL6077">
        <v>95.752530151676595</v>
      </c>
      <c r="AM6077">
        <v>103.17914398421</v>
      </c>
      <c r="AN6077">
        <v>1.00000001193129</v>
      </c>
    </row>
    <row r="6078" spans="1:40" x14ac:dyDescent="0.25">
      <c r="A6078" t="str">
        <f>"20190305135048817"</f>
        <v>20190305135048817</v>
      </c>
      <c r="B6078" t="str">
        <f>"1551765048806567"</f>
        <v>1551765048806567</v>
      </c>
      <c r="C6078" t="s">
        <v>40</v>
      </c>
      <c r="D6078">
        <v>4.6242650000000003</v>
      </c>
      <c r="E6078">
        <v>0.43023440000000002</v>
      </c>
      <c r="F6078" t="s">
        <v>106</v>
      </c>
      <c r="G6078">
        <v>-276.69929999999999</v>
      </c>
      <c r="H6078">
        <v>3.6988460000000001</v>
      </c>
      <c r="I6078">
        <v>22.370360000000002</v>
      </c>
      <c r="J6078">
        <v>-395.92610000000002</v>
      </c>
      <c r="K6078">
        <v>1.112206</v>
      </c>
      <c r="L6078">
        <v>20.017939999999999</v>
      </c>
      <c r="M6078">
        <v>0.92293630000000004</v>
      </c>
      <c r="N6078">
        <v>-1.480019E-2</v>
      </c>
      <c r="O6078">
        <v>-0.38466800000000001</v>
      </c>
      <c r="P6078">
        <v>0.98023740000000004</v>
      </c>
      <c r="Q6078">
        <v>-0.112717</v>
      </c>
      <c r="R6078">
        <v>-0.16257179999999999</v>
      </c>
      <c r="S6078">
        <v>3.079437</v>
      </c>
      <c r="T6078">
        <v>6.6754220000000003E-2</v>
      </c>
      <c r="U6078">
        <v>5.9722900000000002E-2</v>
      </c>
      <c r="V6078">
        <v>-0.22647610000000001</v>
      </c>
      <c r="W6078">
        <v>-9.9695829999999999E-2</v>
      </c>
      <c r="X6078">
        <v>0.96890109999999996</v>
      </c>
      <c r="Y6078">
        <v>-0.40225119999999998</v>
      </c>
      <c r="Z6078">
        <v>-1.5359940000000001E-2</v>
      </c>
      <c r="AA6078">
        <v>0.91540049999999995</v>
      </c>
      <c r="AB6078">
        <v>20</v>
      </c>
      <c r="AC6078">
        <v>119.2268</v>
      </c>
      <c r="AD6078">
        <v>2.5866400000000001</v>
      </c>
      <c r="AE6078">
        <v>2.35242</v>
      </c>
      <c r="AF6078">
        <v>-48.016540320713297</v>
      </c>
      <c r="AG6078">
        <v>2.5866400000000001</v>
      </c>
      <c r="AH6078">
        <v>109.09447098116701</v>
      </c>
      <c r="AI6078">
        <v>88.756813345409199</v>
      </c>
      <c r="AJ6078">
        <v>113.756082446189</v>
      </c>
      <c r="AK6078">
        <v>119.2219881126</v>
      </c>
      <c r="AL6078">
        <v>95.721655222679999</v>
      </c>
      <c r="AM6078">
        <v>103.15640668351701</v>
      </c>
      <c r="AN6078">
        <v>1.0000000119859001</v>
      </c>
    </row>
    <row r="6079" spans="1:40" x14ac:dyDescent="0.25">
      <c r="A6079" t="str">
        <f>"20190305135048828"</f>
        <v>20190305135048828</v>
      </c>
      <c r="B6079" t="str">
        <f>"1551765048826087"</f>
        <v>1551765048826087</v>
      </c>
      <c r="C6079" t="s">
        <v>40</v>
      </c>
      <c r="D6079">
        <v>4.4095250000000004</v>
      </c>
      <c r="E6079">
        <v>0.45146809999999998</v>
      </c>
      <c r="F6079" t="s">
        <v>106</v>
      </c>
      <c r="G6079">
        <v>-276.76049999999998</v>
      </c>
      <c r="H6079">
        <v>3.766721</v>
      </c>
      <c r="I6079">
        <v>22.56062</v>
      </c>
      <c r="J6079">
        <v>-395.8322</v>
      </c>
      <c r="K6079">
        <v>1.112223</v>
      </c>
      <c r="L6079">
        <v>19.98151</v>
      </c>
      <c r="M6079">
        <v>0.92379800000000001</v>
      </c>
      <c r="N6079">
        <v>-1.4717930000000001E-2</v>
      </c>
      <c r="O6079">
        <v>-0.38259729999999997</v>
      </c>
      <c r="P6079">
        <v>0.98052280000000003</v>
      </c>
      <c r="Q6079">
        <v>-0.1125892</v>
      </c>
      <c r="R6079">
        <v>-0.16093150000000001</v>
      </c>
      <c r="S6079">
        <v>3.0793149999999998</v>
      </c>
      <c r="T6079">
        <v>6.8594340000000004E-2</v>
      </c>
      <c r="U6079">
        <v>6.5704349999999995E-2</v>
      </c>
      <c r="V6079">
        <v>-0.2259284</v>
      </c>
      <c r="W6079">
        <v>-9.9647360000000004E-2</v>
      </c>
      <c r="X6079">
        <v>0.96903399999999995</v>
      </c>
      <c r="Y6079">
        <v>-0.4019662</v>
      </c>
      <c r="Z6079">
        <v>-1.561333E-2</v>
      </c>
      <c r="AA6079">
        <v>0.91552140000000004</v>
      </c>
      <c r="AB6079">
        <v>20</v>
      </c>
      <c r="AC6079">
        <v>119.07170000000001</v>
      </c>
      <c r="AD6079">
        <v>2.6544979999999998</v>
      </c>
      <c r="AE6079">
        <v>2.57911</v>
      </c>
      <c r="AF6079">
        <v>-47.920474472472797</v>
      </c>
      <c r="AG6079">
        <v>2.6544979999999998</v>
      </c>
      <c r="AH6079">
        <v>108.96911236853001</v>
      </c>
      <c r="AI6079">
        <v>88.722566374451702</v>
      </c>
      <c r="AJ6079">
        <v>113.73806875509</v>
      </c>
      <c r="AK6079">
        <v>119.070087275034</v>
      </c>
      <c r="AL6079">
        <v>95.718863889746004</v>
      </c>
      <c r="AM6079">
        <v>103.123954779244</v>
      </c>
      <c r="AN6079">
        <v>1.00000006571876</v>
      </c>
    </row>
    <row r="6080" spans="1:40" x14ac:dyDescent="0.25">
      <c r="A6080" t="str">
        <f>"20190305135048839"</f>
        <v>20190305135048839</v>
      </c>
      <c r="B6080" t="str">
        <f>"1551765048835847"</f>
        <v>1551765048835847</v>
      </c>
      <c r="C6080" t="s">
        <v>40</v>
      </c>
      <c r="D6080">
        <v>4.4848949999999999</v>
      </c>
      <c r="E6080">
        <v>0.4536114</v>
      </c>
      <c r="F6080" t="s">
        <v>42</v>
      </c>
      <c r="G6080">
        <v>-341.5582</v>
      </c>
      <c r="H6080" s="1">
        <v>-3.8487579999999996E-6</v>
      </c>
      <c r="I6080">
        <v>18.235320000000002</v>
      </c>
      <c r="J6080">
        <v>-395.74489999999997</v>
      </c>
      <c r="K6080">
        <v>1.112231</v>
      </c>
      <c r="L6080">
        <v>19.948</v>
      </c>
      <c r="M6080">
        <v>0.92460399999999998</v>
      </c>
      <c r="N6080">
        <v>-1.464732E-2</v>
      </c>
      <c r="O6080">
        <v>-0.3806484</v>
      </c>
      <c r="P6080">
        <v>0.98073639999999995</v>
      </c>
      <c r="Q6080">
        <v>-0.1129676</v>
      </c>
      <c r="R6080">
        <v>-0.15935839999999901</v>
      </c>
      <c r="S6080">
        <v>3.0364070000000001</v>
      </c>
      <c r="T6080">
        <v>-6.2224509999999997E-2</v>
      </c>
      <c r="U6080">
        <v>-9.7686770000000006E-2</v>
      </c>
      <c r="V6080">
        <v>-0.2254187</v>
      </c>
      <c r="W6080">
        <v>-0.1000955</v>
      </c>
      <c r="X6080">
        <v>0.96910640000000003</v>
      </c>
      <c r="Y6080">
        <v>-0.35063090000000002</v>
      </c>
      <c r="Z6080">
        <v>8.1021280000000001E-3</v>
      </c>
      <c r="AA6080">
        <v>0.9364787</v>
      </c>
      <c r="AB6080">
        <v>20</v>
      </c>
      <c r="AC6080">
        <v>54.186699999999902</v>
      </c>
      <c r="AD6080">
        <v>-1.112234848758</v>
      </c>
      <c r="AE6080">
        <v>-1.71267999999999</v>
      </c>
      <c r="AF6080">
        <v>-19.036557634158299</v>
      </c>
      <c r="AG6080">
        <v>-1.112234848758</v>
      </c>
      <c r="AH6080">
        <v>50.737250926176699</v>
      </c>
      <c r="AI6080">
        <v>91.1757944019175</v>
      </c>
      <c r="AJ6080">
        <v>110.56603262327</v>
      </c>
      <c r="AK6080">
        <v>54.202363642771502</v>
      </c>
      <c r="AL6080">
        <v>95.744670064387094</v>
      </c>
      <c r="AM6080">
        <v>103.094423687293</v>
      </c>
      <c r="AN6080">
        <v>0.99999995697544897</v>
      </c>
    </row>
    <row r="6081" spans="1:40" x14ac:dyDescent="0.25">
      <c r="A6081" t="str">
        <f>"20190305135048853"</f>
        <v>20190305135048853</v>
      </c>
      <c r="B6081" t="str">
        <f>"1551765048846583"</f>
        <v>1551765048846583</v>
      </c>
      <c r="C6081" t="s">
        <v>40</v>
      </c>
      <c r="D6081">
        <v>4.4621259999999996</v>
      </c>
      <c r="E6081">
        <v>0.45483030000000002</v>
      </c>
      <c r="F6081" t="s">
        <v>42</v>
      </c>
      <c r="G6081">
        <v>-345.90249999999997</v>
      </c>
      <c r="H6081" s="1">
        <v>-2.0011479999999998E-6</v>
      </c>
      <c r="I6081">
        <v>18.144649999999999</v>
      </c>
      <c r="J6081">
        <v>-395.63889999999998</v>
      </c>
      <c r="K6081">
        <v>1.1122449999999999</v>
      </c>
      <c r="L6081">
        <v>19.907499999999999</v>
      </c>
      <c r="M6081">
        <v>0.92557979999999995</v>
      </c>
      <c r="N6081">
        <v>-1.456437E-2</v>
      </c>
      <c r="O6081">
        <v>-0.37827240000000001</v>
      </c>
      <c r="P6081">
        <v>0.98104179999999996</v>
      </c>
      <c r="Q6081">
        <v>-0.11319079999999999</v>
      </c>
      <c r="R6081">
        <v>-0.15730529999999901</v>
      </c>
      <c r="S6081">
        <v>3.033264</v>
      </c>
      <c r="T6081">
        <v>-6.7687269999999994E-2</v>
      </c>
      <c r="U6081">
        <v>-0.1097412</v>
      </c>
      <c r="V6081">
        <v>-0.22494349999999999</v>
      </c>
      <c r="W6081">
        <v>-0.10040200000000001</v>
      </c>
      <c r="X6081">
        <v>0.96918510000000002</v>
      </c>
      <c r="Y6081">
        <v>-0.34444970000000003</v>
      </c>
      <c r="Z6081">
        <v>8.9881570000000001E-3</v>
      </c>
      <c r="AA6081">
        <v>0.93876179999999998</v>
      </c>
      <c r="AB6081">
        <v>20</v>
      </c>
      <c r="AC6081">
        <v>49.736400000000003</v>
      </c>
      <c r="AD6081">
        <v>-1.1122470011479999</v>
      </c>
      <c r="AE6081">
        <v>-1.76285</v>
      </c>
      <c r="AF6081">
        <v>-17.1754922437276</v>
      </c>
      <c r="AG6081">
        <v>-1.1122470011479999</v>
      </c>
      <c r="AH6081">
        <v>46.683479486010398</v>
      </c>
      <c r="AI6081">
        <v>91.280918226421093</v>
      </c>
      <c r="AJ6081">
        <v>110.199260798791</v>
      </c>
      <c r="AK6081">
        <v>49.755219667153099</v>
      </c>
      <c r="AL6081">
        <v>95.762320182068507</v>
      </c>
      <c r="AM6081">
        <v>103.066743230784</v>
      </c>
      <c r="AN6081">
        <v>0.99999994892912802</v>
      </c>
    </row>
    <row r="6082" spans="1:40" x14ac:dyDescent="0.25">
      <c r="A6082" t="str">
        <f>"20190305135048867"</f>
        <v>20190305135048867</v>
      </c>
      <c r="B6082" t="str">
        <f>"1551765048856343"</f>
        <v>1551765048856343</v>
      </c>
      <c r="C6082" t="s">
        <v>40</v>
      </c>
      <c r="D6082">
        <v>4.4478609999999996</v>
      </c>
      <c r="E6082">
        <v>0.45573140000000001</v>
      </c>
      <c r="F6082" t="s">
        <v>42</v>
      </c>
      <c r="G6082">
        <v>-349.67849999999999</v>
      </c>
      <c r="H6082" s="1">
        <v>-4.7386809999999998E-7</v>
      </c>
      <c r="I6082">
        <v>18.194050000000001</v>
      </c>
      <c r="J6082">
        <v>-395.52319999999997</v>
      </c>
      <c r="K6082">
        <v>1.1122620000000001</v>
      </c>
      <c r="L6082">
        <v>19.863710000000001</v>
      </c>
      <c r="M6082">
        <v>0.92664880000000005</v>
      </c>
      <c r="N6082">
        <v>-1.4482119999999999E-2</v>
      </c>
      <c r="O6082">
        <v>-0.37564910000000001</v>
      </c>
      <c r="P6082">
        <v>0.98132129999999995</v>
      </c>
      <c r="Q6082">
        <v>-0.113816</v>
      </c>
      <c r="R6082">
        <v>-0.1550956</v>
      </c>
      <c r="S6082">
        <v>3.0313720000000002</v>
      </c>
      <c r="T6082">
        <v>-7.3359489999999999E-2</v>
      </c>
      <c r="U6082">
        <v>-0.1130066</v>
      </c>
      <c r="V6082">
        <v>-0.2243464</v>
      </c>
      <c r="W6082">
        <v>-0.10111050000000001</v>
      </c>
      <c r="X6082">
        <v>0.9692499</v>
      </c>
      <c r="Y6082">
        <v>-0.34073330000000002</v>
      </c>
      <c r="Z6082">
        <v>9.9361950000000001E-3</v>
      </c>
      <c r="AA6082">
        <v>0.94010749999999998</v>
      </c>
      <c r="AB6082">
        <v>20</v>
      </c>
      <c r="AC6082">
        <v>45.844699999999897</v>
      </c>
      <c r="AD6082">
        <v>-1.1122624738681</v>
      </c>
      <c r="AE6082">
        <v>-1.6696599999999999</v>
      </c>
      <c r="AF6082">
        <v>-15.666766420098901</v>
      </c>
      <c r="AG6082">
        <v>-1.1122624738681</v>
      </c>
      <c r="AH6082">
        <v>43.088335276736998</v>
      </c>
      <c r="AI6082">
        <v>91.389706187540497</v>
      </c>
      <c r="AJ6082">
        <v>109.981087489505</v>
      </c>
      <c r="AK6082">
        <v>45.861632491585098</v>
      </c>
      <c r="AL6082">
        <v>95.803121555175807</v>
      </c>
      <c r="AM6082">
        <v>103.032402345657</v>
      </c>
      <c r="AN6082">
        <v>1.00000000452661</v>
      </c>
    </row>
    <row r="6083" spans="1:40" x14ac:dyDescent="0.25">
      <c r="A6083" t="str">
        <f>"20190305135048884"</f>
        <v>20190305135048884</v>
      </c>
      <c r="B6083" t="str">
        <f>"1551765048875863"</f>
        <v>1551765048875863</v>
      </c>
      <c r="C6083" t="s">
        <v>40</v>
      </c>
      <c r="D6083">
        <v>4.4896089999999997</v>
      </c>
      <c r="E6083">
        <v>0.45667980000000002</v>
      </c>
      <c r="F6083" t="s">
        <v>42</v>
      </c>
      <c r="G6083">
        <v>-351.30849999999998</v>
      </c>
      <c r="H6083" s="1">
        <v>-3.9603750000000002E-6</v>
      </c>
      <c r="I6083">
        <v>18.209900000000001</v>
      </c>
      <c r="J6083">
        <v>-395.37990000000002</v>
      </c>
      <c r="K6083">
        <v>1.1122840000000001</v>
      </c>
      <c r="L6083">
        <v>19.81006</v>
      </c>
      <c r="M6083">
        <v>0.9279733</v>
      </c>
      <c r="N6083">
        <v>-1.4392200000000001E-2</v>
      </c>
      <c r="O6083">
        <v>-0.37236849999999999</v>
      </c>
      <c r="P6083">
        <v>0.98167740000000003</v>
      </c>
      <c r="Q6083">
        <v>-0.11435099999999999</v>
      </c>
      <c r="R6083">
        <v>-0.15242520000000001</v>
      </c>
      <c r="S6083">
        <v>3.0303650000000002</v>
      </c>
      <c r="T6083">
        <v>-7.6232079999999994E-2</v>
      </c>
      <c r="U6083">
        <v>-0.11334230000000001</v>
      </c>
      <c r="V6083">
        <v>-0.2235241</v>
      </c>
      <c r="W6083">
        <v>-0.1017347</v>
      </c>
      <c r="X6083">
        <v>0.96937450000000003</v>
      </c>
      <c r="Y6083">
        <v>-0.3372772</v>
      </c>
      <c r="Z6083">
        <v>1.037397E-2</v>
      </c>
      <c r="AA6083">
        <v>0.94134830000000003</v>
      </c>
      <c r="AB6083">
        <v>20</v>
      </c>
      <c r="AC6083">
        <v>44.071399999999997</v>
      </c>
      <c r="AD6083">
        <v>-1.112287960375</v>
      </c>
      <c r="AE6083">
        <v>-1.60015999999999</v>
      </c>
      <c r="AF6083">
        <v>-14.917952509367501</v>
      </c>
      <c r="AG6083">
        <v>-1.112287960375</v>
      </c>
      <c r="AH6083">
        <v>41.470851123949203</v>
      </c>
      <c r="AI6083">
        <v>91.445709204534793</v>
      </c>
      <c r="AJ6083">
        <v>109.78474375736501</v>
      </c>
      <c r="AK6083">
        <v>44.086437648366399</v>
      </c>
      <c r="AL6083">
        <v>95.839071294590497</v>
      </c>
      <c r="AM6083">
        <v>102.984643893149</v>
      </c>
      <c r="AN6083">
        <v>0.99999994685757299</v>
      </c>
    </row>
    <row r="6084" spans="1:40" x14ac:dyDescent="0.25">
      <c r="A6084" t="str">
        <f>"20190305135048898"</f>
        <v>20190305135048898</v>
      </c>
      <c r="B6084" t="str">
        <f>"1551765048885623"</f>
        <v>1551765048885623</v>
      </c>
      <c r="C6084" t="s">
        <v>40</v>
      </c>
      <c r="D6084">
        <v>4.5083190000000002</v>
      </c>
      <c r="E6084">
        <v>0.45684590000000003</v>
      </c>
      <c r="F6084" t="s">
        <v>42</v>
      </c>
      <c r="G6084">
        <v>-350.15309999999999</v>
      </c>
      <c r="H6084" s="1">
        <v>-4.4701510000000001E-6</v>
      </c>
      <c r="I6084">
        <v>18.13043</v>
      </c>
      <c r="J6084">
        <v>-395.26650000000001</v>
      </c>
      <c r="K6084">
        <v>1.1122989999999999</v>
      </c>
      <c r="L6084">
        <v>19.768039999999999</v>
      </c>
      <c r="M6084">
        <v>0.92902099999999999</v>
      </c>
      <c r="N6084">
        <v>-1.4328759999999999E-2</v>
      </c>
      <c r="O6084">
        <v>-0.36974950000000001</v>
      </c>
      <c r="P6084">
        <v>0.98203819999999997</v>
      </c>
      <c r="Q6084">
        <v>-0.1141702</v>
      </c>
      <c r="R6084">
        <v>-0.15022070000000001</v>
      </c>
      <c r="S6084">
        <v>3.0299070000000001</v>
      </c>
      <c r="T6084">
        <v>-7.4516299999999994E-2</v>
      </c>
      <c r="U6084">
        <v>-0.1125183</v>
      </c>
      <c r="V6084">
        <v>-0.22297310000000001</v>
      </c>
      <c r="W6084">
        <v>-0.101616</v>
      </c>
      <c r="X6084">
        <v>0.96951390000000004</v>
      </c>
      <c r="Y6084">
        <v>-0.33488000000000001</v>
      </c>
      <c r="Z6084">
        <v>1.002052E-2</v>
      </c>
      <c r="AA6084">
        <v>0.94220749999999998</v>
      </c>
      <c r="AB6084">
        <v>20</v>
      </c>
      <c r="AC6084">
        <v>45.113399999999999</v>
      </c>
      <c r="AD6084">
        <v>-1.112303470151</v>
      </c>
      <c r="AE6084">
        <v>-1.63760999999999</v>
      </c>
      <c r="AF6084">
        <v>-15.1516406367241</v>
      </c>
      <c r="AG6084">
        <v>-1.112303470151</v>
      </c>
      <c r="AH6084">
        <v>42.495367107603002</v>
      </c>
      <c r="AI6084">
        <v>91.412310000692202</v>
      </c>
      <c r="AJ6084">
        <v>109.623594054433</v>
      </c>
      <c r="AK6084">
        <v>45.129432287633399</v>
      </c>
      <c r="AL6084">
        <v>95.832234495288404</v>
      </c>
      <c r="AM6084">
        <v>102.951917142371</v>
      </c>
      <c r="AN6084">
        <v>1.00000000853641</v>
      </c>
    </row>
    <row r="6085" spans="1:40" x14ac:dyDescent="0.25">
      <c r="A6085" t="str">
        <f>"20190305135048910"</f>
        <v>20190305135048910</v>
      </c>
      <c r="B6085" t="str">
        <f>"1551765048906119"</f>
        <v>1551765048906119</v>
      </c>
      <c r="C6085" t="s">
        <v>40</v>
      </c>
      <c r="D6085">
        <v>4.4715369999999997</v>
      </c>
      <c r="E6085">
        <v>0.45719209999999899</v>
      </c>
      <c r="F6085" t="s">
        <v>42</v>
      </c>
      <c r="G6085">
        <v>-347.75420000000003</v>
      </c>
      <c r="H6085" s="1">
        <v>-1.216072E-6</v>
      </c>
      <c r="I6085">
        <v>18.092279999999999</v>
      </c>
      <c r="J6085">
        <v>-395.16399999999999</v>
      </c>
      <c r="K6085">
        <v>1.112312</v>
      </c>
      <c r="L6085">
        <v>19.73029</v>
      </c>
      <c r="M6085">
        <v>0.92996570000000001</v>
      </c>
      <c r="N6085">
        <v>-1.427523E-2</v>
      </c>
      <c r="O6085">
        <v>-0.3673688</v>
      </c>
      <c r="P6085">
        <v>0.98235300000000003</v>
      </c>
      <c r="Q6085">
        <v>-0.1141979</v>
      </c>
      <c r="R6085">
        <v>-0.14812600000000001</v>
      </c>
      <c r="S6085">
        <v>3.0303040000000001</v>
      </c>
      <c r="T6085">
        <v>-7.0941809999999994E-2</v>
      </c>
      <c r="U6085">
        <v>-0.1068726</v>
      </c>
      <c r="V6085">
        <v>-0.22255369999999999</v>
      </c>
      <c r="W6085">
        <v>-0.1016966</v>
      </c>
      <c r="X6085">
        <v>0.96960179999999996</v>
      </c>
      <c r="Y6085">
        <v>-0.33424039999999999</v>
      </c>
      <c r="Z6085">
        <v>9.3785339999999991E-3</v>
      </c>
      <c r="AA6085">
        <v>0.94244119999999998</v>
      </c>
      <c r="AB6085">
        <v>20</v>
      </c>
      <c r="AC6085">
        <v>47.409799999999898</v>
      </c>
      <c r="AD6085">
        <v>-1.112313216072</v>
      </c>
      <c r="AE6085">
        <v>-1.63801</v>
      </c>
      <c r="AF6085">
        <v>-15.886475021415301</v>
      </c>
      <c r="AG6085">
        <v>-1.112313216072</v>
      </c>
      <c r="AH6085">
        <v>44.671239987262702</v>
      </c>
      <c r="AI6085">
        <v>91.343945318877701</v>
      </c>
      <c r="AJ6085">
        <v>109.57696014566901</v>
      </c>
      <c r="AK6085">
        <v>47.425067330435198</v>
      </c>
      <c r="AL6085">
        <v>95.836876637732303</v>
      </c>
      <c r="AM6085">
        <v>102.92724191516101</v>
      </c>
      <c r="AN6085">
        <v>0.99999999919924498</v>
      </c>
    </row>
    <row r="6086" spans="1:40" x14ac:dyDescent="0.25">
      <c r="A6086" t="str">
        <f>"20190305135048926"</f>
        <v>20190305135048926</v>
      </c>
      <c r="B6086" t="str">
        <f>"1551765048915879"</f>
        <v>1551765048915879</v>
      </c>
      <c r="C6086" t="s">
        <v>40</v>
      </c>
      <c r="D6086">
        <v>4.5004369999999998</v>
      </c>
      <c r="E6086">
        <v>0.45730739999999998</v>
      </c>
      <c r="F6086" t="s">
        <v>42</v>
      </c>
      <c r="G6086">
        <v>-344.84570000000002</v>
      </c>
      <c r="H6086" s="1">
        <v>-2.4766070000000001E-6</v>
      </c>
      <c r="I6086">
        <v>18.02009</v>
      </c>
      <c r="J6086">
        <v>-395.0333</v>
      </c>
      <c r="K6086">
        <v>1.112322</v>
      </c>
      <c r="L6086">
        <v>19.682770000000001</v>
      </c>
      <c r="M6086">
        <v>0.93116810000000005</v>
      </c>
      <c r="N6086">
        <v>-1.421413E-2</v>
      </c>
      <c r="O6086">
        <v>-0.3643131</v>
      </c>
      <c r="P6086">
        <v>0.9827399</v>
      </c>
      <c r="Q6086">
        <v>-0.1138619</v>
      </c>
      <c r="R6086">
        <v>-0.14580070000000001</v>
      </c>
      <c r="S6086">
        <v>3.0305789999999999</v>
      </c>
      <c r="T6086">
        <v>-6.6992759999999998E-2</v>
      </c>
      <c r="U6086">
        <v>-0.1029968</v>
      </c>
      <c r="V6086">
        <v>-0.2216793</v>
      </c>
      <c r="W6086">
        <v>-0.10141550000000001</v>
      </c>
      <c r="X6086">
        <v>0.96983149999999996</v>
      </c>
      <c r="Y6086">
        <v>-0.33236870000000002</v>
      </c>
      <c r="Z6086">
        <v>8.6528360000000006E-3</v>
      </c>
      <c r="AA6086">
        <v>0.94310989999999995</v>
      </c>
      <c r="AB6086">
        <v>20</v>
      </c>
      <c r="AC6086">
        <v>50.187599999999897</v>
      </c>
      <c r="AD6086">
        <v>-1.112324476607</v>
      </c>
      <c r="AE6086">
        <v>-1.6626799999999999</v>
      </c>
      <c r="AF6086">
        <v>-16.7292469634878</v>
      </c>
      <c r="AG6086">
        <v>-1.112324476607</v>
      </c>
      <c r="AH6086">
        <v>47.320389719326798</v>
      </c>
      <c r="AI6086">
        <v>91.269584048246003</v>
      </c>
      <c r="AJ6086">
        <v>109.470104247103</v>
      </c>
      <c r="AK6086">
        <v>50.202831124306101</v>
      </c>
      <c r="AL6086">
        <v>95.820687220580993</v>
      </c>
      <c r="AM6086">
        <v>102.875199670383</v>
      </c>
      <c r="AN6086">
        <v>0.99999997704049404</v>
      </c>
    </row>
    <row r="6087" spans="1:40" x14ac:dyDescent="0.25">
      <c r="A6087" t="str">
        <f>"20190305135048939"</f>
        <v>20190305135048939</v>
      </c>
      <c r="B6087" t="str">
        <f>"1551765048926616"</f>
        <v>1551765048926616</v>
      </c>
      <c r="C6087" t="s">
        <v>40</v>
      </c>
      <c r="D6087">
        <v>4.5171549999999998</v>
      </c>
      <c r="E6087">
        <v>0.45755879999999999</v>
      </c>
      <c r="F6087" t="s">
        <v>42</v>
      </c>
      <c r="G6087">
        <v>-344.81299999999999</v>
      </c>
      <c r="H6087" s="1">
        <v>-2.4801799999999999E-6</v>
      </c>
      <c r="I6087">
        <v>18.079059999999998</v>
      </c>
      <c r="J6087">
        <v>-394.9391</v>
      </c>
      <c r="K6087">
        <v>1.11232</v>
      </c>
      <c r="L6087">
        <v>19.64883</v>
      </c>
      <c r="M6087">
        <v>0.93203190000000002</v>
      </c>
      <c r="N6087">
        <v>-1.41736E-2</v>
      </c>
      <c r="O6087">
        <v>-0.36209920000000001</v>
      </c>
      <c r="P6087">
        <v>0.98302820000000002</v>
      </c>
      <c r="Q6087">
        <v>-0.1138697</v>
      </c>
      <c r="R6087">
        <v>-0.14383879999999999</v>
      </c>
      <c r="S6087">
        <v>3.0305789999999999</v>
      </c>
      <c r="T6087">
        <v>-6.7124009999999998E-2</v>
      </c>
      <c r="U6087">
        <v>-9.6771239999999994E-2</v>
      </c>
      <c r="V6087">
        <v>-0.22130920000000001</v>
      </c>
      <c r="W6087">
        <v>-0.1014611</v>
      </c>
      <c r="X6087">
        <v>0.96991130000000003</v>
      </c>
      <c r="Y6087">
        <v>-0.33206210000000003</v>
      </c>
      <c r="Z6087">
        <v>8.6666629999999998E-3</v>
      </c>
      <c r="AA6087">
        <v>0.94321770000000005</v>
      </c>
      <c r="AB6087">
        <v>20</v>
      </c>
      <c r="AC6087">
        <v>50.126099999999902</v>
      </c>
      <c r="AD6087">
        <v>-1.11232248018</v>
      </c>
      <c r="AE6087">
        <v>-1.5697699999999899</v>
      </c>
      <c r="AF6087">
        <v>-16.6810139193305</v>
      </c>
      <c r="AG6087">
        <v>-1.11232248018</v>
      </c>
      <c r="AH6087">
        <v>47.269029563196298</v>
      </c>
      <c r="AI6087">
        <v>91.271214673431203</v>
      </c>
      <c r="AJ6087">
        <v>109.43769263081499</v>
      </c>
      <c r="AK6087">
        <v>50.1383550041596</v>
      </c>
      <c r="AL6087">
        <v>95.8233131841789</v>
      </c>
      <c r="AM6087">
        <v>102.85339631657</v>
      </c>
      <c r="AN6087">
        <v>1.0000000233427599</v>
      </c>
    </row>
    <row r="6088" spans="1:40" x14ac:dyDescent="0.25">
      <c r="A6088" t="str">
        <f>"20190305135048950"</f>
        <v>20190305135048950</v>
      </c>
      <c r="B6088" t="str">
        <f>"1551765048946135"</f>
        <v>1551765048946135</v>
      </c>
      <c r="C6088" t="s">
        <v>40</v>
      </c>
      <c r="D6088">
        <v>4.5012249999999998</v>
      </c>
      <c r="E6088">
        <v>0.45817940000000001</v>
      </c>
      <c r="F6088" t="s">
        <v>42</v>
      </c>
      <c r="G6088">
        <v>-345.39429999999999</v>
      </c>
      <c r="H6088" s="1">
        <v>-2.221352E-6</v>
      </c>
      <c r="I6088">
        <v>18.132429999999999</v>
      </c>
      <c r="J6088">
        <v>-394.846</v>
      </c>
      <c r="K6088">
        <v>1.112322</v>
      </c>
      <c r="L6088">
        <v>19.615449999999999</v>
      </c>
      <c r="M6088">
        <v>0.93288040000000005</v>
      </c>
      <c r="N6088">
        <v>-1.413476E-2</v>
      </c>
      <c r="O6088">
        <v>-0.35990879999999997</v>
      </c>
      <c r="P6088">
        <v>0.98333680000000001</v>
      </c>
      <c r="Q6088">
        <v>-0.11393739999999999</v>
      </c>
      <c r="R6088">
        <v>-0.14165730000000001</v>
      </c>
      <c r="S6088">
        <v>3.0303339999999999</v>
      </c>
      <c r="T6088">
        <v>-6.8033579999999996E-2</v>
      </c>
      <c r="U6088">
        <v>-9.2742920000000006E-2</v>
      </c>
      <c r="V6088">
        <v>-0.22117870000000001</v>
      </c>
      <c r="W6088">
        <v>-0.1015669</v>
      </c>
      <c r="X6088">
        <v>0.96992999999999996</v>
      </c>
      <c r="Y6088">
        <v>-0.33109300000000003</v>
      </c>
      <c r="Z6088">
        <v>8.8014119999999998E-3</v>
      </c>
      <c r="AA6088">
        <v>0.94355710000000004</v>
      </c>
      <c r="AB6088">
        <v>20</v>
      </c>
      <c r="AC6088">
        <v>49.451700000000002</v>
      </c>
      <c r="AD6088">
        <v>-1.1123242213519999</v>
      </c>
      <c r="AE6088">
        <v>-1.48301999999999</v>
      </c>
      <c r="AF6088">
        <v>-16.407967890356101</v>
      </c>
      <c r="AG6088">
        <v>-1.1123242213519999</v>
      </c>
      <c r="AH6088">
        <v>46.647357005225501</v>
      </c>
      <c r="AI6088">
        <v>91.2886169391343</v>
      </c>
      <c r="AJ6088">
        <v>109.379060441988</v>
      </c>
      <c r="AK6088">
        <v>49.461445500888097</v>
      </c>
      <c r="AL6088">
        <v>95.829406523826606</v>
      </c>
      <c r="AM6088">
        <v>102.84582909542399</v>
      </c>
      <c r="AN6088">
        <v>1.00000002870464</v>
      </c>
    </row>
    <row r="6089" spans="1:40" x14ac:dyDescent="0.25">
      <c r="A6089" t="str">
        <f>"20190305135048961"</f>
        <v>20190305135048961</v>
      </c>
      <c r="B6089" t="str">
        <f>"1551765048955895"</f>
        <v>1551765048955895</v>
      </c>
      <c r="C6089" t="s">
        <v>40</v>
      </c>
      <c r="D6089">
        <v>4.5073040000000004</v>
      </c>
      <c r="E6089">
        <v>0.45842280000000002</v>
      </c>
      <c r="F6089" t="s">
        <v>42</v>
      </c>
      <c r="G6089">
        <v>-346.2423</v>
      </c>
      <c r="H6089" s="1">
        <v>-1.853555E-6</v>
      </c>
      <c r="I6089">
        <v>18.154949999999999</v>
      </c>
      <c r="J6089">
        <v>-394.74889999999999</v>
      </c>
      <c r="K6089">
        <v>1.11232</v>
      </c>
      <c r="L6089">
        <v>19.581050000000001</v>
      </c>
      <c r="M6089">
        <v>0.93376199999999998</v>
      </c>
      <c r="N6089">
        <v>-1.4098640000000001E-2</v>
      </c>
      <c r="O6089">
        <v>-0.35761670000000001</v>
      </c>
      <c r="P6089">
        <v>0.98360630000000004</v>
      </c>
      <c r="Q6089">
        <v>-0.1139637</v>
      </c>
      <c r="R6089">
        <v>-0.1397534</v>
      </c>
      <c r="S6089">
        <v>3.0296940000000001</v>
      </c>
      <c r="T6089">
        <v>-6.9336300000000003E-2</v>
      </c>
      <c r="U6089">
        <v>-9.1033939999999994E-2</v>
      </c>
      <c r="V6089">
        <v>-0.2206737</v>
      </c>
      <c r="W6089">
        <v>-0.10162359999999999</v>
      </c>
      <c r="X6089">
        <v>0.97003910000000004</v>
      </c>
      <c r="Y6089">
        <v>-0.32929589999999997</v>
      </c>
      <c r="Z6089">
        <v>8.9858879999999992E-3</v>
      </c>
      <c r="AA6089">
        <v>0.94418400000000002</v>
      </c>
      <c r="AB6089">
        <v>20</v>
      </c>
      <c r="AC6089">
        <v>48.506599999999899</v>
      </c>
      <c r="AD6089">
        <v>-1.1123218535549999</v>
      </c>
      <c r="AE6089">
        <v>-1.4260999999999999</v>
      </c>
      <c r="AF6089">
        <v>-16.008313908249399</v>
      </c>
      <c r="AG6089">
        <v>-1.1123218535549999</v>
      </c>
      <c r="AH6089">
        <v>45.784116454835399</v>
      </c>
      <c r="AI6089">
        <v>91.313761855387796</v>
      </c>
      <c r="AJ6089">
        <v>109.272065017868</v>
      </c>
      <c r="AK6089">
        <v>48.5148296260111</v>
      </c>
      <c r="AL6089">
        <v>95.832671985523703</v>
      </c>
      <c r="AM6089">
        <v>102.816075094068</v>
      </c>
      <c r="AN6089">
        <v>1.00000004673872</v>
      </c>
    </row>
    <row r="6090" spans="1:40" x14ac:dyDescent="0.25">
      <c r="A6090" t="str">
        <f>"20190305135048973"</f>
        <v>20190305135048973</v>
      </c>
      <c r="B6090" t="str">
        <f>"1551765048966632"</f>
        <v>1551765048966632</v>
      </c>
      <c r="C6090" t="s">
        <v>40</v>
      </c>
      <c r="D6090">
        <v>4.4814080000000001</v>
      </c>
      <c r="E6090">
        <v>0.45863969999999998</v>
      </c>
      <c r="F6090" t="s">
        <v>42</v>
      </c>
      <c r="G6090">
        <v>-346.1386</v>
      </c>
      <c r="H6090" s="1">
        <v>-1.89298E-6</v>
      </c>
      <c r="I6090">
        <v>18.18347</v>
      </c>
      <c r="J6090">
        <v>-394.65609999999998</v>
      </c>
      <c r="K6090">
        <v>1.1123209999999999</v>
      </c>
      <c r="L6090">
        <v>19.548310000000001</v>
      </c>
      <c r="M6090">
        <v>0.93459999999999999</v>
      </c>
      <c r="N6090">
        <v>-1.4065350000000001E-2</v>
      </c>
      <c r="O6090">
        <v>-0.35542259999999998</v>
      </c>
      <c r="P6090">
        <v>0.98395069999999996</v>
      </c>
      <c r="Q6090">
        <v>-0.11383459999999999</v>
      </c>
      <c r="R6090">
        <v>-0.13741339999999999</v>
      </c>
      <c r="S6090">
        <v>3.0295719999999999</v>
      </c>
      <c r="T6090">
        <v>-6.932402E-2</v>
      </c>
      <c r="U6090">
        <v>-8.7097170000000002E-2</v>
      </c>
      <c r="V6090">
        <v>-0.2207083</v>
      </c>
      <c r="W6090">
        <v>-0.10152609999999999</v>
      </c>
      <c r="X6090">
        <v>0.97004140000000005</v>
      </c>
      <c r="Y6090">
        <v>-0.32830310000000001</v>
      </c>
      <c r="Z6090">
        <v>8.9586209999999999E-3</v>
      </c>
      <c r="AA6090">
        <v>0.94452999999999998</v>
      </c>
      <c r="AB6090">
        <v>20</v>
      </c>
      <c r="AC6090">
        <v>48.517499999999899</v>
      </c>
      <c r="AD6090">
        <v>-1.11232289298</v>
      </c>
      <c r="AE6090">
        <v>-1.3648400000000001</v>
      </c>
      <c r="AF6090">
        <v>-15.9618315002158</v>
      </c>
      <c r="AG6090">
        <v>-1.11232289298</v>
      </c>
      <c r="AH6090">
        <v>45.810020227554901</v>
      </c>
      <c r="AI6090">
        <v>91.313515675879998</v>
      </c>
      <c r="AJ6090">
        <v>109.21014403423899</v>
      </c>
      <c r="AK6090">
        <v>48.523966040591901</v>
      </c>
      <c r="AL6090">
        <v>95.827056817662495</v>
      </c>
      <c r="AM6090">
        <v>102.817988796514</v>
      </c>
      <c r="AN6090">
        <v>1.0000000101920199</v>
      </c>
    </row>
    <row r="6091" spans="1:40" x14ac:dyDescent="0.25">
      <c r="A6091" t="str">
        <f>"20190305135048984"</f>
        <v>20190305135048984</v>
      </c>
      <c r="B6091" t="str">
        <f>"1551765048976391"</f>
        <v>1551765048976391</v>
      </c>
      <c r="C6091" t="s">
        <v>40</v>
      </c>
      <c r="D6091">
        <v>4.5054949999999998</v>
      </c>
      <c r="E6091">
        <v>0.45888289999999998</v>
      </c>
      <c r="F6091" t="s">
        <v>42</v>
      </c>
      <c r="G6091">
        <v>-346.03710000000001</v>
      </c>
      <c r="H6091" s="1">
        <v>-1.9269300000000001E-6</v>
      </c>
      <c r="I6091">
        <v>18.23762</v>
      </c>
      <c r="J6091">
        <v>-394.56599999999997</v>
      </c>
      <c r="K6091">
        <v>1.1123149999999999</v>
      </c>
      <c r="L6091">
        <v>19.516850000000002</v>
      </c>
      <c r="M6091">
        <v>0.93540710000000005</v>
      </c>
      <c r="N6091">
        <v>-1.4035789999999999E-2</v>
      </c>
      <c r="O6091">
        <v>-0.35329429999999901</v>
      </c>
      <c r="P6091">
        <v>0.98422339999999997</v>
      </c>
      <c r="Q6091">
        <v>-0.1139828</v>
      </c>
      <c r="R6091">
        <v>-0.13532379999999999</v>
      </c>
      <c r="S6091">
        <v>3.0295100000000001</v>
      </c>
      <c r="T6091">
        <v>-6.931031E-2</v>
      </c>
      <c r="U6091">
        <v>-8.1665039999999994E-2</v>
      </c>
      <c r="V6091">
        <v>-0.220554</v>
      </c>
      <c r="W6091">
        <v>-0.1016999</v>
      </c>
      <c r="X6091">
        <v>0.97005830000000004</v>
      </c>
      <c r="Y6091">
        <v>-0.32784489999999999</v>
      </c>
      <c r="Z6091">
        <v>8.9405830000000002E-3</v>
      </c>
      <c r="AA6091">
        <v>0.94468920000000001</v>
      </c>
      <c r="AB6091">
        <v>20</v>
      </c>
      <c r="AC6091">
        <v>48.528899999999901</v>
      </c>
      <c r="AD6091">
        <v>-1.1123169269299999</v>
      </c>
      <c r="AE6091">
        <v>-1.2792300000000001</v>
      </c>
      <c r="AF6091">
        <v>-15.941582405845899</v>
      </c>
      <c r="AG6091">
        <v>-1.1123169269299999</v>
      </c>
      <c r="AH6091">
        <v>45.826673067016102</v>
      </c>
      <c r="AI6091">
        <v>91.313263204471198</v>
      </c>
      <c r="AJ6091">
        <v>109.181093714328</v>
      </c>
      <c r="AK6091">
        <v>48.533032698766</v>
      </c>
      <c r="AL6091">
        <v>95.837066571597106</v>
      </c>
      <c r="AM6091">
        <v>102.80910750134601</v>
      </c>
      <c r="AN6091">
        <v>1.00000002098744</v>
      </c>
    </row>
    <row r="6092" spans="1:40" x14ac:dyDescent="0.25">
      <c r="A6092" t="str">
        <f>"20190305135048995"</f>
        <v>20190305135048995</v>
      </c>
      <c r="B6092" t="str">
        <f>"1551765048986151"</f>
        <v>1551765048986151</v>
      </c>
      <c r="C6092" t="s">
        <v>40</v>
      </c>
      <c r="D6092">
        <v>4.4854469999999997</v>
      </c>
      <c r="E6092">
        <v>0.45908080000000001</v>
      </c>
      <c r="F6092" t="s">
        <v>42</v>
      </c>
      <c r="G6092">
        <v>-346.29160000000002</v>
      </c>
      <c r="H6092" s="1">
        <v>-1.8090110000000001E-6</v>
      </c>
      <c r="I6092">
        <v>18.28687</v>
      </c>
      <c r="J6092">
        <v>-394.47519999999997</v>
      </c>
      <c r="K6092">
        <v>1.1123080000000001</v>
      </c>
      <c r="L6092">
        <v>19.485320000000002</v>
      </c>
      <c r="M6092">
        <v>0.9362161</v>
      </c>
      <c r="N6092">
        <v>-1.4007790000000001E-2</v>
      </c>
      <c r="O6092">
        <v>-0.35114580000000001</v>
      </c>
      <c r="P6092">
        <v>0.98449739999999997</v>
      </c>
      <c r="Q6092">
        <v>-0.114301</v>
      </c>
      <c r="R6092">
        <v>-0.13304270000000001</v>
      </c>
      <c r="S6092">
        <v>3.0293580000000002</v>
      </c>
      <c r="T6092">
        <v>-6.9801089999999996E-2</v>
      </c>
      <c r="U6092">
        <v>-7.7178960000000005E-2</v>
      </c>
      <c r="V6092">
        <v>-0.22056149999999999</v>
      </c>
      <c r="W6092">
        <v>-0.1020431</v>
      </c>
      <c r="X6092">
        <v>0.97002049999999995</v>
      </c>
      <c r="Y6092">
        <v>-0.32707079999999999</v>
      </c>
      <c r="Z6092">
        <v>9.0008959999999995E-3</v>
      </c>
      <c r="AA6092">
        <v>0.94495700000000005</v>
      </c>
      <c r="AB6092">
        <v>20</v>
      </c>
      <c r="AC6092">
        <v>48.183599999999899</v>
      </c>
      <c r="AD6092">
        <v>-1.112309809011</v>
      </c>
      <c r="AE6092">
        <v>-1.19845</v>
      </c>
      <c r="AF6092">
        <v>-15.790599538690399</v>
      </c>
      <c r="AG6092">
        <v>-1.112309809011</v>
      </c>
      <c r="AH6092">
        <v>45.511318006853898</v>
      </c>
      <c r="AI6092">
        <v>91.322723077923797</v>
      </c>
      <c r="AJ6092">
        <v>109.13472035687199</v>
      </c>
      <c r="AK6092">
        <v>48.185685982701301</v>
      </c>
      <c r="AL6092">
        <v>95.856833617788098</v>
      </c>
      <c r="AM6092">
        <v>102.810011405312</v>
      </c>
      <c r="AN6092">
        <v>0.99999996998005403</v>
      </c>
    </row>
    <row r="6093" spans="1:40" x14ac:dyDescent="0.25">
      <c r="A6093" t="str">
        <f>"20190305135049007"</f>
        <v>20190305135049007</v>
      </c>
      <c r="B6093" t="str">
        <f>"1551765048995911"</f>
        <v>1551765048995911</v>
      </c>
      <c r="C6093" t="s">
        <v>40</v>
      </c>
      <c r="D6093">
        <v>4.4870910000000004</v>
      </c>
      <c r="E6093">
        <v>0.45937319999999998</v>
      </c>
      <c r="F6093" t="s">
        <v>42</v>
      </c>
      <c r="G6093">
        <v>-346.47199999999998</v>
      </c>
      <c r="H6093" s="1">
        <v>-1.7208900000000001E-6</v>
      </c>
      <c r="I6093">
        <v>18.347370000000002</v>
      </c>
      <c r="J6093">
        <v>-394.37279999999998</v>
      </c>
      <c r="K6093">
        <v>1.112301</v>
      </c>
      <c r="L6093">
        <v>19.450009999999999</v>
      </c>
      <c r="M6093">
        <v>0.93712130000000005</v>
      </c>
      <c r="N6093">
        <v>-1.397818E-2</v>
      </c>
      <c r="O6093">
        <v>-0.34872389999999998</v>
      </c>
      <c r="P6093">
        <v>0.98481269999999999</v>
      </c>
      <c r="Q6093">
        <v>-0.1144302</v>
      </c>
      <c r="R6093">
        <v>-0.1305751</v>
      </c>
      <c r="S6093">
        <v>3.029388</v>
      </c>
      <c r="T6093">
        <v>-7.0195789999999994E-2</v>
      </c>
      <c r="U6093">
        <v>-7.1807860000000001E-2</v>
      </c>
      <c r="V6093">
        <v>-0.2204798</v>
      </c>
      <c r="W6093">
        <v>-0.1021966</v>
      </c>
      <c r="X6093">
        <v>0.97002290000000002</v>
      </c>
      <c r="Y6093">
        <v>-0.32630049999999999</v>
      </c>
      <c r="Z6093">
        <v>9.0420770000000008E-3</v>
      </c>
      <c r="AA6093">
        <v>0.94522289999999998</v>
      </c>
      <c r="AB6093">
        <v>19</v>
      </c>
      <c r="AC6093">
        <v>47.900799999999997</v>
      </c>
      <c r="AD6093">
        <v>-1.11230272089</v>
      </c>
      <c r="AE6093">
        <v>-1.1026399999999901</v>
      </c>
      <c r="AF6093">
        <v>-15.6639351982147</v>
      </c>
      <c r="AG6093">
        <v>-1.11230272089</v>
      </c>
      <c r="AH6093">
        <v>45.253410411869901</v>
      </c>
      <c r="AI6093">
        <v>91.330588419131004</v>
      </c>
      <c r="AJ6093">
        <v>109.092692788102</v>
      </c>
      <c r="AK6093">
        <v>47.900597461220698</v>
      </c>
      <c r="AL6093">
        <v>95.865674817741706</v>
      </c>
      <c r="AM6093">
        <v>102.805392174888</v>
      </c>
      <c r="AN6093">
        <v>0.99999995689200405</v>
      </c>
    </row>
    <row r="6094" spans="1:40" x14ac:dyDescent="0.25">
      <c r="A6094" t="str">
        <f>"20190305135049019"</f>
        <v>20190305135049019</v>
      </c>
      <c r="B6094" t="str">
        <f>"1551765049016407"</f>
        <v>1551765049016407</v>
      </c>
      <c r="C6094" t="s">
        <v>40</v>
      </c>
      <c r="D6094">
        <v>4.4910500000000004</v>
      </c>
      <c r="E6094">
        <v>0.45928790000000003</v>
      </c>
      <c r="F6094" t="s">
        <v>42</v>
      </c>
      <c r="G6094">
        <v>-348.84550000000002</v>
      </c>
      <c r="H6094" s="1">
        <v>-6.8952829999999998E-7</v>
      </c>
      <c r="I6094">
        <v>18.449000000000002</v>
      </c>
      <c r="J6094">
        <v>-394.2801</v>
      </c>
      <c r="K6094">
        <v>1.11229</v>
      </c>
      <c r="L6094">
        <v>19.418399999999998</v>
      </c>
      <c r="M6094">
        <v>0.93793400000000005</v>
      </c>
      <c r="N6094">
        <v>-1.3950860000000001E-2</v>
      </c>
      <c r="O6094">
        <v>-0.34653299999999998</v>
      </c>
      <c r="P6094">
        <v>0.98509910000000001</v>
      </c>
      <c r="Q6094">
        <v>-0.11446000000000001</v>
      </c>
      <c r="R6094">
        <v>-0.12836900000000001</v>
      </c>
      <c r="S6094">
        <v>3.0288089999999999</v>
      </c>
      <c r="T6094">
        <v>-7.3998449999999993E-2</v>
      </c>
      <c r="U6094">
        <v>-6.658936E-2</v>
      </c>
      <c r="V6094">
        <v>-0.22038569999999999</v>
      </c>
      <c r="W6094">
        <v>-0.1022479</v>
      </c>
      <c r="X6094">
        <v>0.97003899999999998</v>
      </c>
      <c r="Y6094">
        <v>-0.32569880000000001</v>
      </c>
      <c r="Z6094">
        <v>9.6553969999999996E-3</v>
      </c>
      <c r="AA6094">
        <v>0.9454243</v>
      </c>
      <c r="AB6094">
        <v>19</v>
      </c>
      <c r="AC6094">
        <v>45.434599999999897</v>
      </c>
      <c r="AD6094">
        <v>-1.1122906895283</v>
      </c>
      <c r="AE6094">
        <v>-0.96939999999999604</v>
      </c>
      <c r="AF6094">
        <v>-14.827916678602</v>
      </c>
      <c r="AG6094">
        <v>-1.1122906895283</v>
      </c>
      <c r="AH6094">
        <v>42.929050082565396</v>
      </c>
      <c r="AI6094">
        <v>91.402906346956797</v>
      </c>
      <c r="AJ6094">
        <v>109.055178080104</v>
      </c>
      <c r="AK6094">
        <v>45.431350899978597</v>
      </c>
      <c r="AL6094">
        <v>95.868628870062807</v>
      </c>
      <c r="AM6094">
        <v>102.799901506346</v>
      </c>
      <c r="AN6094">
        <v>1.0000000756699401</v>
      </c>
    </row>
    <row r="6095" spans="1:40" x14ac:dyDescent="0.25">
      <c r="A6095" t="str">
        <f>"20190305135049032"</f>
        <v>20190305135049032</v>
      </c>
      <c r="B6095" t="str">
        <f>"1551765049026167"</f>
        <v>1551765049026167</v>
      </c>
      <c r="C6095" t="s">
        <v>40</v>
      </c>
      <c r="D6095">
        <v>4.524394</v>
      </c>
      <c r="E6095">
        <v>0.45938129999999999</v>
      </c>
      <c r="F6095" t="s">
        <v>42</v>
      </c>
      <c r="G6095">
        <v>-348.64420000000001</v>
      </c>
      <c r="H6095" s="1">
        <v>-7.5720559999999896E-7</v>
      </c>
      <c r="I6095">
        <v>18.526820000000001</v>
      </c>
      <c r="J6095">
        <v>-394.18540000000002</v>
      </c>
      <c r="K6095">
        <v>1.1122780000000001</v>
      </c>
      <c r="L6095">
        <v>19.38626</v>
      </c>
      <c r="M6095">
        <v>0.93875920000000002</v>
      </c>
      <c r="N6095">
        <v>-1.392087E-2</v>
      </c>
      <c r="O6095">
        <v>-0.3442925</v>
      </c>
      <c r="P6095">
        <v>0.98538349999999997</v>
      </c>
      <c r="Q6095">
        <v>-0.11477370000000001</v>
      </c>
      <c r="R6095">
        <v>-0.125884199999999</v>
      </c>
      <c r="S6095">
        <v>3.0291139999999999</v>
      </c>
      <c r="T6095">
        <v>-7.3829049999999993E-2</v>
      </c>
      <c r="U6095">
        <v>-5.9173580000000003E-2</v>
      </c>
      <c r="V6095">
        <v>-0.22050330000000001</v>
      </c>
      <c r="W6095">
        <v>-0.10258780000000001</v>
      </c>
      <c r="X6095">
        <v>0.96997630000000001</v>
      </c>
      <c r="Y6095">
        <v>-0.32575759999999998</v>
      </c>
      <c r="Z6095">
        <v>9.6153579999999992E-3</v>
      </c>
      <c r="AA6095">
        <v>0.94540440000000003</v>
      </c>
      <c r="AB6095">
        <v>19</v>
      </c>
      <c r="AC6095">
        <v>45.541200000000003</v>
      </c>
      <c r="AD6095">
        <v>-1.1122787572056001</v>
      </c>
      <c r="AE6095">
        <v>-0.85943999999999898</v>
      </c>
      <c r="AF6095">
        <v>-14.8652639217222</v>
      </c>
      <c r="AG6095">
        <v>-1.1122787572056001</v>
      </c>
      <c r="AH6095">
        <v>43.026635313750603</v>
      </c>
      <c r="AI6095">
        <v>91.399674248229104</v>
      </c>
      <c r="AJ6095">
        <v>109.059509418619</v>
      </c>
      <c r="AK6095">
        <v>45.535750591361499</v>
      </c>
      <c r="AL6095">
        <v>95.888207147265007</v>
      </c>
      <c r="AM6095">
        <v>102.80730701608501</v>
      </c>
      <c r="AN6095">
        <v>0.99999999229071002</v>
      </c>
    </row>
    <row r="6096" spans="1:40" x14ac:dyDescent="0.25">
      <c r="A6096" t="str">
        <f>"20190305135049042"</f>
        <v>20190305135049042</v>
      </c>
      <c r="B6096" t="str">
        <f>"1551765049035927"</f>
        <v>1551765049035927</v>
      </c>
      <c r="C6096" t="s">
        <v>40</v>
      </c>
      <c r="D6096">
        <v>4.5264639999999998</v>
      </c>
      <c r="E6096">
        <v>0.45948060000000002</v>
      </c>
      <c r="F6096" t="s">
        <v>42</v>
      </c>
      <c r="G6096">
        <v>-348.8152</v>
      </c>
      <c r="H6096" s="1">
        <v>-6.7042839999999997E-7</v>
      </c>
      <c r="I6096">
        <v>18.602270000000001</v>
      </c>
      <c r="J6096">
        <v>-394.0872</v>
      </c>
      <c r="K6096">
        <v>1.112263</v>
      </c>
      <c r="L6096">
        <v>19.353300000000001</v>
      </c>
      <c r="M6096">
        <v>0.93960829999999995</v>
      </c>
      <c r="N6096">
        <v>-1.3873949999999999E-2</v>
      </c>
      <c r="O6096">
        <v>-0.34197080000000002</v>
      </c>
      <c r="P6096">
        <v>0.98564019999999997</v>
      </c>
      <c r="Q6096">
        <v>-0.114954399999999</v>
      </c>
      <c r="R6096">
        <v>-0.1236908</v>
      </c>
      <c r="S6096">
        <v>3.029175</v>
      </c>
      <c r="T6096">
        <v>-7.4262259999999997E-2</v>
      </c>
      <c r="U6096">
        <v>-5.2337649999999999E-2</v>
      </c>
      <c r="V6096">
        <v>-0.2202577</v>
      </c>
      <c r="W6096">
        <v>-0.1028082</v>
      </c>
      <c r="X6096">
        <v>0.9700088</v>
      </c>
      <c r="Y6096">
        <v>-0.325551599999999</v>
      </c>
      <c r="Z6096">
        <v>9.6728079999999998E-3</v>
      </c>
      <c r="AA6096">
        <v>0.94547479999999995</v>
      </c>
      <c r="AB6096">
        <v>19</v>
      </c>
      <c r="AC6096">
        <v>45.271999999999899</v>
      </c>
      <c r="AD6096">
        <v>-1.1122636704283999</v>
      </c>
      <c r="AE6096">
        <v>-0.75102999999999998</v>
      </c>
      <c r="AF6096">
        <v>-14.768536346571899</v>
      </c>
      <c r="AG6096">
        <v>-1.1122636704283999</v>
      </c>
      <c r="AH6096">
        <v>42.773079630888297</v>
      </c>
      <c r="AI6096">
        <v>91.408041662245793</v>
      </c>
      <c r="AJ6096">
        <v>109.048586917704</v>
      </c>
      <c r="AK6096">
        <v>45.264590326246001</v>
      </c>
      <c r="AL6096">
        <v>95.900902060545704</v>
      </c>
      <c r="AM6096">
        <v>102.793097190041</v>
      </c>
      <c r="AN6096">
        <v>1.0000000262369799</v>
      </c>
    </row>
    <row r="6097" spans="1:40" x14ac:dyDescent="0.25">
      <c r="A6097" t="str">
        <f>"20190305135049055"</f>
        <v>20190305135049055</v>
      </c>
      <c r="B6097" t="str">
        <f>"1551765049046663"</f>
        <v>1551765049046663</v>
      </c>
      <c r="C6097" t="s">
        <v>40</v>
      </c>
      <c r="D6097">
        <v>4.5188879999999996</v>
      </c>
      <c r="E6097">
        <v>0.45951360000000002</v>
      </c>
      <c r="F6097" t="s">
        <v>42</v>
      </c>
      <c r="G6097">
        <v>-348.64510000000001</v>
      </c>
      <c r="H6097" s="1">
        <v>-7.3389299999999999E-7</v>
      </c>
      <c r="I6097">
        <v>18.655989999999999</v>
      </c>
      <c r="J6097">
        <v>-393.98989999999998</v>
      </c>
      <c r="K6097">
        <v>1.1122449999999999</v>
      </c>
      <c r="L6097">
        <v>19.32086</v>
      </c>
      <c r="M6097">
        <v>0.94044360000000005</v>
      </c>
      <c r="N6097">
        <v>-1.3814740000000001E-2</v>
      </c>
      <c r="O6097">
        <v>-0.33966940000000001</v>
      </c>
      <c r="P6097">
        <v>0.98593010000000003</v>
      </c>
      <c r="Q6097">
        <v>-0.11517810000000001</v>
      </c>
      <c r="R6097">
        <v>-0.121144</v>
      </c>
      <c r="S6097">
        <v>3.029236</v>
      </c>
      <c r="T6097">
        <v>-7.4145080000000002E-2</v>
      </c>
      <c r="U6097">
        <v>-4.6478270000000002E-2</v>
      </c>
      <c r="V6097">
        <v>-0.22037899999999999</v>
      </c>
      <c r="W6097">
        <v>-0.1030876</v>
      </c>
      <c r="X6097">
        <v>0.96995160000000002</v>
      </c>
      <c r="Y6097">
        <v>-0.32506610000000002</v>
      </c>
      <c r="Z6097">
        <v>9.6359040000000007E-3</v>
      </c>
      <c r="AA6097">
        <v>0.94564219999999999</v>
      </c>
      <c r="AB6097">
        <v>19</v>
      </c>
      <c r="AC6097">
        <v>45.3447999999999</v>
      </c>
      <c r="AD6097">
        <v>-1.1122457338930001</v>
      </c>
      <c r="AE6097">
        <v>-0.66486999999999996</v>
      </c>
      <c r="AF6097">
        <v>-14.7694920229026</v>
      </c>
      <c r="AG6097">
        <v>-1.1122457338930001</v>
      </c>
      <c r="AH6097">
        <v>42.848373295004698</v>
      </c>
      <c r="AI6097">
        <v>91.405798933089301</v>
      </c>
      <c r="AJ6097">
        <v>109.018663429367</v>
      </c>
      <c r="AK6097">
        <v>45.336057164416303</v>
      </c>
      <c r="AL6097">
        <v>95.916995980149395</v>
      </c>
      <c r="AM6097">
        <v>102.800640530666</v>
      </c>
      <c r="AN6097">
        <v>1.0000000316286499</v>
      </c>
    </row>
    <row r="6098" spans="1:40" x14ac:dyDescent="0.25">
      <c r="A6098" t="str">
        <f>"20190305135049067"</f>
        <v>20190305135049067</v>
      </c>
      <c r="B6098" t="str">
        <f>"1551765049056424"</f>
        <v>1551765049056424</v>
      </c>
      <c r="C6098" t="s">
        <v>40</v>
      </c>
      <c r="D6098">
        <v>4.5353159999999999</v>
      </c>
      <c r="E6098">
        <v>0.45949699999999999</v>
      </c>
      <c r="F6098" t="s">
        <v>42</v>
      </c>
      <c r="G6098">
        <v>-348.31270000000001</v>
      </c>
      <c r="H6098" s="1">
        <v>-8.628652E-7</v>
      </c>
      <c r="I6098">
        <v>18.732710000000001</v>
      </c>
      <c r="J6098">
        <v>-393.88780000000003</v>
      </c>
      <c r="K6098">
        <v>1.1122209999999999</v>
      </c>
      <c r="L6098">
        <v>19.28708</v>
      </c>
      <c r="M6098">
        <v>0.94131330000000002</v>
      </c>
      <c r="N6098">
        <v>-1.373603E-2</v>
      </c>
      <c r="O6098">
        <v>-0.33725460000000002</v>
      </c>
      <c r="P6098">
        <v>0.98622920000000003</v>
      </c>
      <c r="Q6098">
        <v>-0.11522979999999999</v>
      </c>
      <c r="R6098">
        <v>-0.1186345</v>
      </c>
      <c r="S6098">
        <v>3.029388</v>
      </c>
      <c r="T6098">
        <v>-7.3766109999999996E-2</v>
      </c>
      <c r="U6098">
        <v>-3.9001460000000002E-2</v>
      </c>
      <c r="V6098">
        <v>-0.2203562</v>
      </c>
      <c r="W6098">
        <v>-0.1032131</v>
      </c>
      <c r="X6098">
        <v>0.96994340000000001</v>
      </c>
      <c r="Y6098">
        <v>-0.3249745</v>
      </c>
      <c r="Z6098">
        <v>9.5660840000000007E-3</v>
      </c>
      <c r="AA6098">
        <v>0.94567440000000003</v>
      </c>
      <c r="AB6098">
        <v>19</v>
      </c>
      <c r="AC6098">
        <v>45.575099999999999</v>
      </c>
      <c r="AD6098">
        <v>-1.1122218628652001</v>
      </c>
      <c r="AE6098">
        <v>-0.55436999999999803</v>
      </c>
      <c r="AF6098">
        <v>-14.8411392064242</v>
      </c>
      <c r="AG6098">
        <v>-1.1122218628652001</v>
      </c>
      <c r="AH6098">
        <v>43.0658308446313</v>
      </c>
      <c r="AI6098">
        <v>91.398706372031498</v>
      </c>
      <c r="AJ6098">
        <v>109.014728837207</v>
      </c>
      <c r="AK6098">
        <v>45.564923315584402</v>
      </c>
      <c r="AL6098">
        <v>95.924225356045895</v>
      </c>
      <c r="AM6098">
        <v>102.799464466801</v>
      </c>
      <c r="AN6098">
        <v>0.99999999904680403</v>
      </c>
    </row>
    <row r="6099" spans="1:40" x14ac:dyDescent="0.25">
      <c r="A6099" t="str">
        <f>"20190305135049086"</f>
        <v>20190305135049086</v>
      </c>
      <c r="B6099" t="str">
        <f>"1551765049076511"</f>
        <v>1551765049076511</v>
      </c>
      <c r="C6099" t="s">
        <v>40</v>
      </c>
      <c r="D6099">
        <v>4.4653859999999996</v>
      </c>
      <c r="E6099">
        <v>0.45985169999999997</v>
      </c>
      <c r="F6099" t="s">
        <v>42</v>
      </c>
      <c r="G6099">
        <v>-347.8066</v>
      </c>
      <c r="H6099" s="1">
        <v>-1.0659719999999999E-6</v>
      </c>
      <c r="I6099">
        <v>18.811679999999999</v>
      </c>
      <c r="J6099">
        <v>-393.74110000000002</v>
      </c>
      <c r="K6099">
        <v>1.1121780000000001</v>
      </c>
      <c r="L6099">
        <v>19.239070000000002</v>
      </c>
      <c r="M6099">
        <v>0.9425519</v>
      </c>
      <c r="N6099">
        <v>-1.357356E-2</v>
      </c>
      <c r="O6099">
        <v>-0.33378439999999998</v>
      </c>
      <c r="P6099">
        <v>0.98668149999999999</v>
      </c>
      <c r="Q6099">
        <v>-0.1156238</v>
      </c>
      <c r="R6099">
        <v>-0.1144174</v>
      </c>
      <c r="S6099">
        <v>3.029633</v>
      </c>
      <c r="T6099">
        <v>-7.3123690000000005E-2</v>
      </c>
      <c r="U6099">
        <v>-3.125E-2</v>
      </c>
      <c r="V6099">
        <v>-0.22090989999999999</v>
      </c>
      <c r="W6099">
        <v>-0.10376829999999999</v>
      </c>
      <c r="X6099">
        <v>0.96975820000000001</v>
      </c>
      <c r="Y6099">
        <v>-0.32391330000000002</v>
      </c>
      <c r="Z6099">
        <v>9.440548E-3</v>
      </c>
      <c r="AA6099">
        <v>0.94603970000000004</v>
      </c>
      <c r="AB6099">
        <v>19</v>
      </c>
      <c r="AC6099">
        <v>45.9345</v>
      </c>
      <c r="AD6099">
        <v>-1.1121790659719999</v>
      </c>
      <c r="AE6099">
        <v>-0.42739000000000199</v>
      </c>
      <c r="AF6099">
        <v>-14.9220080973945</v>
      </c>
      <c r="AG6099">
        <v>-1.1121790659719999</v>
      </c>
      <c r="AH6099">
        <v>43.416850597224503</v>
      </c>
      <c r="AI6099">
        <v>91.387743246917907</v>
      </c>
      <c r="AJ6099">
        <v>108.96741675751601</v>
      </c>
      <c r="AK6099">
        <v>45.923046324424199</v>
      </c>
      <c r="AL6099">
        <v>95.956207668035901</v>
      </c>
      <c r="AM6099">
        <v>102.832932298781</v>
      </c>
      <c r="AN6099">
        <v>1.0000000052350699</v>
      </c>
    </row>
    <row r="6100" spans="1:40" x14ac:dyDescent="0.25">
      <c r="A6100" t="str">
        <f>"20190305135049100"</f>
        <v>20190305135049100</v>
      </c>
      <c r="B6100" t="str">
        <f>"1551765049096016"</f>
        <v>1551765049096016</v>
      </c>
      <c r="C6100" t="s">
        <v>40</v>
      </c>
      <c r="D6100">
        <v>4.9102480000000002</v>
      </c>
      <c r="E6100">
        <v>0.47128530000000002</v>
      </c>
      <c r="F6100" t="s">
        <v>42</v>
      </c>
      <c r="G6100">
        <v>-354.74790000000002</v>
      </c>
      <c r="H6100" s="1">
        <v>-2.3511729999999999E-6</v>
      </c>
      <c r="I6100">
        <v>18.963889999999999</v>
      </c>
      <c r="J6100">
        <v>-393.62200000000001</v>
      </c>
      <c r="K6100">
        <v>1.112139</v>
      </c>
      <c r="L6100">
        <v>19.200559999999999</v>
      </c>
      <c r="M6100">
        <v>0.94354640000000001</v>
      </c>
      <c r="N6100">
        <v>-1.341024E-2</v>
      </c>
      <c r="O6100">
        <v>-0.33096959999999997</v>
      </c>
      <c r="P6100">
        <v>0.98702160000000005</v>
      </c>
      <c r="Q6100">
        <v>-0.1156602</v>
      </c>
      <c r="R6100">
        <v>-0.11140609999999999</v>
      </c>
      <c r="S6100">
        <v>3.0279240000000001</v>
      </c>
      <c r="T6100">
        <v>-8.6363789999999996E-2</v>
      </c>
      <c r="U6100">
        <v>-2.1362300000000001E-2</v>
      </c>
      <c r="V6100">
        <v>-0.22097149999999999</v>
      </c>
      <c r="W6100">
        <v>-0.1039625</v>
      </c>
      <c r="X6100">
        <v>0.96972329999999995</v>
      </c>
      <c r="Y6100">
        <v>-0.32410809999999901</v>
      </c>
      <c r="Z6100">
        <v>1.1589840000000001E-2</v>
      </c>
      <c r="AA6100">
        <v>0.94594909999999999</v>
      </c>
      <c r="AB6100">
        <v>19</v>
      </c>
      <c r="AC6100">
        <v>38.874099999999899</v>
      </c>
      <c r="AD6100">
        <v>-1.1121413511730001</v>
      </c>
      <c r="AE6100">
        <v>-0.23666999999999999</v>
      </c>
      <c r="AF6100">
        <v>-12.6336300968832</v>
      </c>
      <c r="AG6100">
        <v>-1.1121413511730001</v>
      </c>
      <c r="AH6100">
        <v>36.731081808885001</v>
      </c>
      <c r="AI6100">
        <v>91.6400265872402</v>
      </c>
      <c r="AJ6100">
        <v>108.98061980992</v>
      </c>
      <c r="AK6100">
        <v>38.858947987057803</v>
      </c>
      <c r="AL6100">
        <v>95.967395396062003</v>
      </c>
      <c r="AM6100">
        <v>102.83683886358899</v>
      </c>
      <c r="AN6100">
        <v>0.99999994189069297</v>
      </c>
    </row>
    <row r="6101" spans="1:40" x14ac:dyDescent="0.25">
      <c r="A6101" t="str">
        <f>"20190305135049117"</f>
        <v>20190305135049117</v>
      </c>
      <c r="B6101" t="str">
        <f>"1551765049105775"</f>
        <v>1551765049105775</v>
      </c>
      <c r="C6101" t="s">
        <v>40</v>
      </c>
      <c r="D6101">
        <v>4.5778999999999996</v>
      </c>
      <c r="E6101">
        <v>0.47128530000000002</v>
      </c>
      <c r="F6101" t="s">
        <v>100</v>
      </c>
      <c r="G6101">
        <v>-378.36250000000001</v>
      </c>
      <c r="H6101" s="1">
        <v>-9.2264900000000005E-7</v>
      </c>
      <c r="I6101">
        <v>18.668479999999999</v>
      </c>
      <c r="J6101">
        <v>-393.48480000000001</v>
      </c>
      <c r="K6101">
        <v>1.11209</v>
      </c>
      <c r="L6101">
        <v>19.156649999999999</v>
      </c>
      <c r="M6101">
        <v>0.94467990000000002</v>
      </c>
      <c r="N6101">
        <v>-1.320238E-2</v>
      </c>
      <c r="O6101">
        <v>-0.32772849999999998</v>
      </c>
      <c r="P6101">
        <v>0.98736760000000001</v>
      </c>
      <c r="Q6101">
        <v>-0.1163971</v>
      </c>
      <c r="R6101">
        <v>-0.1075045</v>
      </c>
      <c r="S6101">
        <v>3.0019840000000002</v>
      </c>
      <c r="T6101">
        <v>-0.2187905</v>
      </c>
      <c r="U6101">
        <v>-0.1046753</v>
      </c>
      <c r="V6101">
        <v>-0.2214401</v>
      </c>
      <c r="W6101">
        <v>-0.1049045</v>
      </c>
      <c r="X6101">
        <v>0.96951500000000002</v>
      </c>
      <c r="Y6101">
        <v>-0.2931685</v>
      </c>
      <c r="Z6101">
        <v>3.1690040000000003E-2</v>
      </c>
      <c r="AA6101">
        <v>0.95553549999999998</v>
      </c>
      <c r="AB6101">
        <v>19</v>
      </c>
      <c r="AC6101">
        <v>15.1222999999999</v>
      </c>
      <c r="AD6101">
        <v>-1.1120909226489999</v>
      </c>
      <c r="AE6101">
        <v>-0.48816999999999999</v>
      </c>
      <c r="AF6101">
        <v>-4.4710803363656098</v>
      </c>
      <c r="AG6101">
        <v>-1.1120909226489999</v>
      </c>
      <c r="AH6101">
        <v>14.3693464175846</v>
      </c>
      <c r="AI6101">
        <v>94.226395752710204</v>
      </c>
      <c r="AJ6101">
        <v>107.283741460792</v>
      </c>
      <c r="AK6101">
        <v>15.0899112675664</v>
      </c>
      <c r="AL6101">
        <v>96.021664404484994</v>
      </c>
      <c r="AM6101">
        <v>102.865828180888</v>
      </c>
      <c r="AN6101">
        <v>1.0000000036166301</v>
      </c>
    </row>
    <row r="6102" spans="1:40" x14ac:dyDescent="0.25">
      <c r="A6102" t="str">
        <f>"20190305135049128"</f>
        <v>20190305135049128</v>
      </c>
      <c r="B6102" t="str">
        <f>"1551765049116511"</f>
        <v>1551765049116511</v>
      </c>
      <c r="C6102" t="s">
        <v>40</v>
      </c>
      <c r="D6102">
        <v>4.5386300000000004</v>
      </c>
      <c r="E6102">
        <v>0.50322579999999995</v>
      </c>
      <c r="F6102" t="s">
        <v>100</v>
      </c>
      <c r="G6102">
        <v>-378.37329999999997</v>
      </c>
      <c r="H6102" s="1">
        <v>-9.1386080000000005E-7</v>
      </c>
      <c r="I6102">
        <v>18.689219999999999</v>
      </c>
      <c r="J6102">
        <v>-393.3913</v>
      </c>
      <c r="K6102">
        <v>1.1120559999999999</v>
      </c>
      <c r="L6102">
        <v>19.12698</v>
      </c>
      <c r="M6102">
        <v>0.94544490000000003</v>
      </c>
      <c r="N6102">
        <v>-1.30537E-2</v>
      </c>
      <c r="O6102">
        <v>-0.32552029999999998</v>
      </c>
      <c r="P6102">
        <v>0.98754940000000002</v>
      </c>
      <c r="Q6102">
        <v>-0.11688510000000001</v>
      </c>
      <c r="R6102">
        <v>-0.10527930000000001</v>
      </c>
      <c r="S6102">
        <v>3.0022579999999999</v>
      </c>
      <c r="T6102">
        <v>-0.220944</v>
      </c>
      <c r="U6102">
        <v>-9.2864989999999994E-2</v>
      </c>
      <c r="V6102">
        <v>-0.22133739999999999</v>
      </c>
      <c r="W6102">
        <v>-0.1055349</v>
      </c>
      <c r="X6102">
        <v>0.96947000000000005</v>
      </c>
      <c r="Y6102">
        <v>-0.29465940000000002</v>
      </c>
      <c r="Z6102">
        <v>3.1996080000000003E-2</v>
      </c>
      <c r="AA6102">
        <v>0.95506659999999999</v>
      </c>
      <c r="AB6102">
        <v>19</v>
      </c>
      <c r="AC6102">
        <v>15.018000000000001</v>
      </c>
      <c r="AD6102">
        <v>-1.1120569138608001</v>
      </c>
      <c r="AE6102">
        <v>-0.43775999999999698</v>
      </c>
      <c r="AF6102">
        <v>-4.4507837945553304</v>
      </c>
      <c r="AG6102">
        <v>-1.1120569138608001</v>
      </c>
      <c r="AH6102">
        <v>14.264267176432799</v>
      </c>
      <c r="AI6102">
        <v>94.256239118766203</v>
      </c>
      <c r="AJ6102">
        <v>107.329138621233</v>
      </c>
      <c r="AK6102">
        <v>14.9838401301602</v>
      </c>
      <c r="AL6102">
        <v>96.057985483965496</v>
      </c>
      <c r="AM6102">
        <v>102.86063675180201</v>
      </c>
      <c r="AN6102">
        <v>0.99999997032838395</v>
      </c>
    </row>
    <row r="6103" spans="1:40" x14ac:dyDescent="0.25">
      <c r="A6103" t="str">
        <f>"20190305135049139"</f>
        <v>20190305135049139</v>
      </c>
      <c r="B6103" t="str">
        <f>"1551765049136030"</f>
        <v>1551765049136030</v>
      </c>
      <c r="C6103" t="s">
        <v>40</v>
      </c>
      <c r="D6103">
        <v>4.5189329999999996</v>
      </c>
      <c r="E6103">
        <v>0.50382780000000005</v>
      </c>
      <c r="F6103" t="s">
        <v>98</v>
      </c>
      <c r="G6103">
        <v>-381.45949999999999</v>
      </c>
      <c r="H6103" s="1">
        <v>-4.3670419999999998E-6</v>
      </c>
      <c r="I6103">
        <v>17.759150000000002</v>
      </c>
      <c r="J6103">
        <v>-393.2971</v>
      </c>
      <c r="K6103">
        <v>1.1120190000000001</v>
      </c>
      <c r="L6103">
        <v>19.09741</v>
      </c>
      <c r="M6103">
        <v>0.94621040000000001</v>
      </c>
      <c r="N6103">
        <v>-1.290554E-2</v>
      </c>
      <c r="O6103">
        <v>-0.32329439999999998</v>
      </c>
      <c r="P6103">
        <v>0.98773</v>
      </c>
      <c r="Q6103">
        <v>-0.11733349999999999</v>
      </c>
      <c r="R6103">
        <v>-0.1030626</v>
      </c>
      <c r="S6103">
        <v>2.9687809999999999</v>
      </c>
      <c r="T6103">
        <v>-0.27669290000000002</v>
      </c>
      <c r="U6103">
        <v>-0.34033200000000002</v>
      </c>
      <c r="V6103">
        <v>-0.22121109999999999</v>
      </c>
      <c r="W6103">
        <v>-0.10612439999999999</v>
      </c>
      <c r="X6103">
        <v>0.96943449999999998</v>
      </c>
      <c r="Y6103">
        <v>-0.21144740000000001</v>
      </c>
      <c r="Z6103">
        <v>3.636226E-2</v>
      </c>
      <c r="AA6103">
        <v>0.97671280000000005</v>
      </c>
      <c r="AB6103">
        <v>19</v>
      </c>
      <c r="AC6103">
        <v>11.8376</v>
      </c>
      <c r="AD6103">
        <v>-1.1120233670419899</v>
      </c>
      <c r="AE6103">
        <v>-1.33825999999999</v>
      </c>
      <c r="AF6103">
        <v>-2.53884576093713</v>
      </c>
      <c r="AG6103">
        <v>-1.1120233670419899</v>
      </c>
      <c r="AH6103">
        <v>11.5339818377924</v>
      </c>
      <c r="AI6103">
        <v>95.379035258213193</v>
      </c>
      <c r="AJ6103">
        <v>102.413908590828</v>
      </c>
      <c r="AK6103">
        <v>11.862338336145999</v>
      </c>
      <c r="AL6103">
        <v>96.091951947392303</v>
      </c>
      <c r="AM6103">
        <v>102.85399705936101</v>
      </c>
      <c r="AN6103">
        <v>0.99999999441440901</v>
      </c>
    </row>
    <row r="6104" spans="1:40" x14ac:dyDescent="0.25">
      <c r="A6104" t="str">
        <f>"20190305135049151"</f>
        <v>20190305135049151</v>
      </c>
      <c r="B6104" t="str">
        <f>"1551765049145791"</f>
        <v>1551765049145791</v>
      </c>
      <c r="C6104" t="s">
        <v>40</v>
      </c>
      <c r="D6104">
        <v>4.4939780000000003</v>
      </c>
      <c r="E6104">
        <v>0.50383750000000005</v>
      </c>
      <c r="F6104" t="s">
        <v>98</v>
      </c>
      <c r="G6104">
        <v>-380.2928</v>
      </c>
      <c r="H6104" s="1">
        <v>-4.9436329999999998E-6</v>
      </c>
      <c r="I6104">
        <v>17.617739999999898</v>
      </c>
      <c r="J6104">
        <v>-393.19670000000002</v>
      </c>
      <c r="K6104">
        <v>1.1119870000000001</v>
      </c>
      <c r="L6104">
        <v>19.066009999999999</v>
      </c>
      <c r="M6104">
        <v>0.9470208</v>
      </c>
      <c r="N6104">
        <v>-1.27481E-2</v>
      </c>
      <c r="O6104">
        <v>-0.32091960000000003</v>
      </c>
      <c r="P6104">
        <v>0.98793330000000001</v>
      </c>
      <c r="Q6104">
        <v>-0.1176575</v>
      </c>
      <c r="R6104">
        <v>-0.1007218</v>
      </c>
      <c r="S6104">
        <v>2.9717709999999999</v>
      </c>
      <c r="T6104">
        <v>-0.25412030000000002</v>
      </c>
      <c r="U6104">
        <v>-0.33813480000000001</v>
      </c>
      <c r="V6104">
        <v>-0.22106210000000001</v>
      </c>
      <c r="W6104">
        <v>-0.1065981</v>
      </c>
      <c r="X6104">
        <v>0.96941659999999996</v>
      </c>
      <c r="Y6104">
        <v>-0.21015829999999999</v>
      </c>
      <c r="Z6104">
        <v>3.2951439999999999E-2</v>
      </c>
      <c r="AA6104">
        <v>0.97711190000000003</v>
      </c>
      <c r="AB6104">
        <v>20</v>
      </c>
      <c r="AC6104">
        <v>12.9039</v>
      </c>
      <c r="AD6104">
        <v>-1.1119919436329999</v>
      </c>
      <c r="AE6104">
        <v>-1.4482699999999999</v>
      </c>
      <c r="AF6104">
        <v>-2.74963221794374</v>
      </c>
      <c r="AG6104">
        <v>-1.1119919436329999</v>
      </c>
      <c r="AH6104">
        <v>12.593710062537999</v>
      </c>
      <c r="AI6104">
        <v>94.930427390348001</v>
      </c>
      <c r="AJ6104">
        <v>102.31632623510301</v>
      </c>
      <c r="AK6104">
        <v>12.938258636923599</v>
      </c>
      <c r="AL6104">
        <v>96.119247293668707</v>
      </c>
      <c r="AM6104">
        <v>102.845855700135</v>
      </c>
      <c r="AN6104">
        <v>1.00000007566778</v>
      </c>
    </row>
    <row r="6105" spans="1:40" x14ac:dyDescent="0.25">
      <c r="A6105" t="str">
        <f>"20190305135049163"</f>
        <v>20190305135049163</v>
      </c>
      <c r="B6105" t="str">
        <f>"1551765049156527"</f>
        <v>1551765049156527</v>
      </c>
      <c r="C6105" t="s">
        <v>40</v>
      </c>
      <c r="D6105">
        <v>4.542052</v>
      </c>
      <c r="E6105">
        <v>0.50470969999999904</v>
      </c>
      <c r="F6105" t="s">
        <v>43</v>
      </c>
      <c r="G6105">
        <v>-379.3922</v>
      </c>
      <c r="H6105">
        <v>-0.05</v>
      </c>
      <c r="I6105">
        <v>17.528459999999999</v>
      </c>
      <c r="J6105">
        <v>-393.1001</v>
      </c>
      <c r="K6105">
        <v>1.111961</v>
      </c>
      <c r="L6105">
        <v>19.036190000000001</v>
      </c>
      <c r="M6105">
        <v>0.94779400000000003</v>
      </c>
      <c r="N6105">
        <v>-1.259767E-2</v>
      </c>
      <c r="O6105">
        <v>-0.318635</v>
      </c>
      <c r="P6105">
        <v>0.98816380000000004</v>
      </c>
      <c r="Q6105">
        <v>-0.1174289</v>
      </c>
      <c r="R6105">
        <v>-9.8707199999999995E-2</v>
      </c>
      <c r="S6105">
        <v>2.9730829999999999</v>
      </c>
      <c r="T6105">
        <v>-0.250258799999999</v>
      </c>
      <c r="U6105">
        <v>-0.3311462</v>
      </c>
      <c r="V6105">
        <v>-0.22071099999999999</v>
      </c>
      <c r="W6105">
        <v>-0.10651040000000001</v>
      </c>
      <c r="X6105">
        <v>0.96950610000000004</v>
      </c>
      <c r="Y6105">
        <v>-0.21017359999999999</v>
      </c>
      <c r="Z6105">
        <v>3.2283430000000002E-2</v>
      </c>
      <c r="AA6105">
        <v>0.97713090000000002</v>
      </c>
      <c r="AB6105">
        <v>20</v>
      </c>
      <c r="AC6105">
        <v>13.707899999999899</v>
      </c>
      <c r="AD6105">
        <v>-1.161961</v>
      </c>
      <c r="AE6105">
        <v>-1.50772999999999</v>
      </c>
      <c r="AF6105">
        <v>-2.9183137191583302</v>
      </c>
      <c r="AG6105">
        <v>-1.161961</v>
      </c>
      <c r="AH6105">
        <v>13.3787666215865</v>
      </c>
      <c r="AI6105">
        <v>94.850261978783294</v>
      </c>
      <c r="AJ6105">
        <v>102.30519545355899</v>
      </c>
      <c r="AK6105">
        <v>13.7425654316735</v>
      </c>
      <c r="AL6105">
        <v>96.114194489190595</v>
      </c>
      <c r="AM6105">
        <v>102.824983808537</v>
      </c>
      <c r="AN6105">
        <v>0.99999994438318296</v>
      </c>
    </row>
    <row r="6106" spans="1:40" x14ac:dyDescent="0.25">
      <c r="A6106" t="str">
        <f>"20190305135049174"</f>
        <v>20190305135049174</v>
      </c>
      <c r="B6106" t="str">
        <f>"1551765049166286"</f>
        <v>1551765049166286</v>
      </c>
      <c r="C6106" t="s">
        <v>40</v>
      </c>
      <c r="D6106">
        <v>4.5122339999999896</v>
      </c>
      <c r="E6106">
        <v>0.50439560000000006</v>
      </c>
      <c r="F6106" t="s">
        <v>98</v>
      </c>
      <c r="G6106">
        <v>-380.52980000000002</v>
      </c>
      <c r="H6106" s="1">
        <v>-4.8293300000000001E-6</v>
      </c>
      <c r="I6106">
        <v>17.630559999999999</v>
      </c>
      <c r="J6106">
        <v>-393.01100000000002</v>
      </c>
      <c r="K6106">
        <v>1.111945</v>
      </c>
      <c r="L6106">
        <v>19.00882</v>
      </c>
      <c r="M6106">
        <v>0.94850250000000003</v>
      </c>
      <c r="N6106">
        <v>-1.245832E-2</v>
      </c>
      <c r="O6106">
        <v>-0.3165249</v>
      </c>
      <c r="P6106">
        <v>0.98840839999999996</v>
      </c>
      <c r="Q6106">
        <v>-0.1171992</v>
      </c>
      <c r="R6106">
        <v>-9.6506499999999995E-2</v>
      </c>
      <c r="S6106">
        <v>2.9714969999999998</v>
      </c>
      <c r="T6106">
        <v>-0.26285649999999999</v>
      </c>
      <c r="U6106">
        <v>-0.3322754</v>
      </c>
      <c r="V6106">
        <v>-0.2207211</v>
      </c>
      <c r="W6106">
        <v>-0.10641490000000001</v>
      </c>
      <c r="X6106">
        <v>0.9695144</v>
      </c>
      <c r="Y6106">
        <v>-0.20741209999999999</v>
      </c>
      <c r="Z6106">
        <v>3.3801350000000001E-2</v>
      </c>
      <c r="AA6106">
        <v>0.97766949999999997</v>
      </c>
      <c r="AB6106">
        <v>20</v>
      </c>
      <c r="AC6106">
        <v>12.4811999999999</v>
      </c>
      <c r="AD6106">
        <v>-1.1119498293300001</v>
      </c>
      <c r="AE6106">
        <v>-1.37826</v>
      </c>
      <c r="AF6106">
        <v>-2.6229646725421301</v>
      </c>
      <c r="AG6106">
        <v>-1.1119498293300001</v>
      </c>
      <c r="AH6106">
        <v>12.1801449294808</v>
      </c>
      <c r="AI6106">
        <v>95.099912294883296</v>
      </c>
      <c r="AJ6106">
        <v>102.15291350666701</v>
      </c>
      <c r="AK6106">
        <v>12.508889103334001</v>
      </c>
      <c r="AL6106">
        <v>96.108690798336397</v>
      </c>
      <c r="AM6106">
        <v>102.825445117881</v>
      </c>
      <c r="AN6106">
        <v>1.0000000533672799</v>
      </c>
    </row>
    <row r="6107" spans="1:40" x14ac:dyDescent="0.25">
      <c r="A6107" t="str">
        <f>"20190305135049185"</f>
        <v>20190305135049185</v>
      </c>
      <c r="B6107" t="str">
        <f>"1551765049176047"</f>
        <v>1551765049176047</v>
      </c>
      <c r="C6107" t="s">
        <v>40</v>
      </c>
      <c r="D6107">
        <v>4.5203139999999999</v>
      </c>
      <c r="E6107">
        <v>0.50443779999999905</v>
      </c>
      <c r="F6107" t="s">
        <v>98</v>
      </c>
      <c r="G6107">
        <v>-380.16180000000003</v>
      </c>
      <c r="H6107" s="1">
        <v>-5.006453E-6</v>
      </c>
      <c r="I6107">
        <v>17.612639999999999</v>
      </c>
      <c r="J6107">
        <v>-392.91879999999998</v>
      </c>
      <c r="K6107">
        <v>1.1119239999999999</v>
      </c>
      <c r="L6107">
        <v>18.98077</v>
      </c>
      <c r="M6107">
        <v>0.9492294</v>
      </c>
      <c r="N6107">
        <v>-1.2313579999999999E-2</v>
      </c>
      <c r="O6107">
        <v>-0.314343599999999</v>
      </c>
      <c r="P6107">
        <v>0.98867620000000001</v>
      </c>
      <c r="Q6107">
        <v>-0.11653040000000001</v>
      </c>
      <c r="R6107">
        <v>-9.4550930000000005E-2</v>
      </c>
      <c r="S6107">
        <v>2.9731450000000001</v>
      </c>
      <c r="T6107">
        <v>-0.25729180000000001</v>
      </c>
      <c r="U6107">
        <v>-0.32305909999999999</v>
      </c>
      <c r="V6107">
        <v>-0.22043779999999999</v>
      </c>
      <c r="W6107">
        <v>-0.1058834</v>
      </c>
      <c r="X6107">
        <v>0.96963699999999997</v>
      </c>
      <c r="Y6107">
        <v>-0.20829539999999999</v>
      </c>
      <c r="Z6107">
        <v>3.294478E-2</v>
      </c>
      <c r="AA6107">
        <v>0.97751089999999996</v>
      </c>
      <c r="AB6107">
        <v>20</v>
      </c>
      <c r="AC6107">
        <v>12.7569999999999</v>
      </c>
      <c r="AD6107">
        <v>-1.1119290064530001</v>
      </c>
      <c r="AE6107">
        <v>-1.3681300000000001</v>
      </c>
      <c r="AF6107">
        <v>-2.6914029122183898</v>
      </c>
      <c r="AG6107">
        <v>-1.1119290064530001</v>
      </c>
      <c r="AH6107">
        <v>12.446846566533599</v>
      </c>
      <c r="AI6107">
        <v>94.990195032405595</v>
      </c>
      <c r="AJ6107">
        <v>102.201316783899</v>
      </c>
      <c r="AK6107">
        <v>12.782958390064399</v>
      </c>
      <c r="AL6107">
        <v>96.078065298687306</v>
      </c>
      <c r="AM6107">
        <v>102.807960605918</v>
      </c>
      <c r="AN6107">
        <v>1.0000000149166901</v>
      </c>
    </row>
    <row r="6108" spans="1:40" x14ac:dyDescent="0.25">
      <c r="A6108" t="str">
        <f>"20190305135049196"</f>
        <v>20190305135049196</v>
      </c>
      <c r="B6108" t="str">
        <f>"1551765049186540"</f>
        <v>1551765049186540</v>
      </c>
      <c r="C6108" t="s">
        <v>40</v>
      </c>
      <c r="D6108">
        <v>4.5015000000000001</v>
      </c>
      <c r="E6108">
        <v>0.50433149999999904</v>
      </c>
      <c r="F6108" t="s">
        <v>100</v>
      </c>
      <c r="G6108">
        <v>-379.755</v>
      </c>
      <c r="H6108" s="1">
        <v>-6.2125859999999899E-7</v>
      </c>
      <c r="I6108">
        <v>17.57574</v>
      </c>
      <c r="J6108">
        <v>-392.82409999999999</v>
      </c>
      <c r="K6108">
        <v>1.1119079999999999</v>
      </c>
      <c r="L6108">
        <v>18.952179999999998</v>
      </c>
      <c r="M6108">
        <v>0.94996990000000003</v>
      </c>
      <c r="N6108">
        <v>-1.2167549999999999E-2</v>
      </c>
      <c r="O6108">
        <v>-0.3121044</v>
      </c>
      <c r="P6108">
        <v>0.98891640000000003</v>
      </c>
      <c r="Q6108">
        <v>-0.1161635</v>
      </c>
      <c r="R6108">
        <v>-9.246915E-2</v>
      </c>
      <c r="S6108">
        <v>2.9744259999999998</v>
      </c>
      <c r="T6108">
        <v>-0.25124439999999998</v>
      </c>
      <c r="U6108">
        <v>-0.31747439999999999</v>
      </c>
      <c r="V6108">
        <v>-0.22020690000000001</v>
      </c>
      <c r="W6108">
        <v>-0.105657</v>
      </c>
      <c r="X6108">
        <v>0.96971419999999997</v>
      </c>
      <c r="Y6108">
        <v>-0.20793639999999999</v>
      </c>
      <c r="Z6108">
        <v>3.1964720000000002E-2</v>
      </c>
      <c r="AA6108">
        <v>0.97761989999999999</v>
      </c>
      <c r="AB6108">
        <v>20</v>
      </c>
      <c r="AC6108">
        <v>13.069099999999899</v>
      </c>
      <c r="AD6108">
        <v>-1.11190862125859</v>
      </c>
      <c r="AE6108">
        <v>-1.3764399999999899</v>
      </c>
      <c r="AF6108">
        <v>-2.7518515218867901</v>
      </c>
      <c r="AG6108">
        <v>-1.11190862125859</v>
      </c>
      <c r="AH6108">
        <v>12.754485306101801</v>
      </c>
      <c r="AI6108">
        <v>94.870804783146596</v>
      </c>
      <c r="AJ6108">
        <v>102.17525318033999</v>
      </c>
      <c r="AK6108">
        <v>13.0952633804787</v>
      </c>
      <c r="AL6108">
        <v>96.065020115650995</v>
      </c>
      <c r="AM6108">
        <v>102.79400148795099</v>
      </c>
      <c r="AN6108">
        <v>1.0000000550691199</v>
      </c>
    </row>
    <row r="6109" spans="1:40" x14ac:dyDescent="0.25">
      <c r="A6109" t="str">
        <f>"20190305135049208"</f>
        <v>20190305135049208</v>
      </c>
      <c r="B6109" t="str">
        <f>"1551765049196299"</f>
        <v>1551765049196299</v>
      </c>
      <c r="C6109" t="s">
        <v>40</v>
      </c>
      <c r="D6109">
        <v>4.5191720000000002</v>
      </c>
      <c r="E6109">
        <v>0.5042008</v>
      </c>
      <c r="F6109" t="s">
        <v>100</v>
      </c>
      <c r="G6109">
        <v>-379.51769999999999</v>
      </c>
      <c r="H6109" s="1">
        <v>-7.1544469999999895E-7</v>
      </c>
      <c r="I6109">
        <v>17.56419</v>
      </c>
      <c r="J6109">
        <v>-392.73009999999999</v>
      </c>
      <c r="K6109">
        <v>1.1118939999999999</v>
      </c>
      <c r="L6109">
        <v>18.924009999999999</v>
      </c>
      <c r="M6109">
        <v>0.95069919999999997</v>
      </c>
      <c r="N6109">
        <v>-1.202427E-2</v>
      </c>
      <c r="O6109">
        <v>-0.30988130000000003</v>
      </c>
      <c r="P6109">
        <v>0.98915149999999996</v>
      </c>
      <c r="Q6109">
        <v>-0.1159502</v>
      </c>
      <c r="R6109">
        <v>-9.0195490000000003E-2</v>
      </c>
      <c r="S6109">
        <v>2.975403</v>
      </c>
      <c r="T6109">
        <v>-0.24862989999999999</v>
      </c>
      <c r="U6109">
        <v>-0.31036380000000002</v>
      </c>
      <c r="V6109">
        <v>-0.2201748</v>
      </c>
      <c r="W6109">
        <v>-0.1055841</v>
      </c>
      <c r="X6109">
        <v>0.96972939999999996</v>
      </c>
      <c r="Y6109">
        <v>-0.20803070000000001</v>
      </c>
      <c r="Z6109">
        <v>3.1488170000000003E-2</v>
      </c>
      <c r="AA6109">
        <v>0.97761529999999996</v>
      </c>
      <c r="AB6109">
        <v>20</v>
      </c>
      <c r="AC6109">
        <v>13.212400000000001</v>
      </c>
      <c r="AD6109">
        <v>-1.1118947154446901</v>
      </c>
      <c r="AE6109">
        <v>-1.35981999999999</v>
      </c>
      <c r="AF6109">
        <v>-2.78220110363038</v>
      </c>
      <c r="AG6109">
        <v>-1.1118947154446901</v>
      </c>
      <c r="AH6109">
        <v>12.892986951983101</v>
      </c>
      <c r="AI6109">
        <v>94.8186325526747</v>
      </c>
      <c r="AJ6109">
        <v>102.177236507423</v>
      </c>
      <c r="AK6109">
        <v>13.2365428032883</v>
      </c>
      <c r="AL6109">
        <v>96.060819929790895</v>
      </c>
      <c r="AM6109">
        <v>102.792003933674</v>
      </c>
      <c r="AN6109">
        <v>1.0000000269761</v>
      </c>
    </row>
    <row r="6110" spans="1:40" x14ac:dyDescent="0.25">
      <c r="A6110" t="str">
        <f>"20190305135049218"</f>
        <v>20190305135049218</v>
      </c>
      <c r="B6110" t="str">
        <f>"1551765049206060"</f>
        <v>1551765049206060</v>
      </c>
      <c r="C6110" t="s">
        <v>40</v>
      </c>
      <c r="D6110">
        <v>4.5141210000000003</v>
      </c>
      <c r="E6110">
        <v>0.50426150000000003</v>
      </c>
      <c r="F6110" t="s">
        <v>100</v>
      </c>
      <c r="G6110">
        <v>-379.28840000000002</v>
      </c>
      <c r="H6110" s="1">
        <v>-8.0511699999999997E-7</v>
      </c>
      <c r="I6110">
        <v>17.5581</v>
      </c>
      <c r="J6110">
        <v>-392.6454</v>
      </c>
      <c r="K6110">
        <v>1.111883</v>
      </c>
      <c r="L6110">
        <v>18.898859999999999</v>
      </c>
      <c r="M6110">
        <v>0.95135040000000004</v>
      </c>
      <c r="N6110">
        <v>-1.1901429999999999E-2</v>
      </c>
      <c r="O6110">
        <v>-0.30788110000000002</v>
      </c>
      <c r="P6110">
        <v>0.98929659999999997</v>
      </c>
      <c r="Q6110">
        <v>-0.1160419</v>
      </c>
      <c r="R6110">
        <v>-8.8468309999999994E-2</v>
      </c>
      <c r="S6110">
        <v>2.9764710000000001</v>
      </c>
      <c r="T6110">
        <v>-0.2462125</v>
      </c>
      <c r="U6110">
        <v>-0.3024597</v>
      </c>
      <c r="V6110">
        <v>-0.21982209999999999</v>
      </c>
      <c r="W6110">
        <v>-0.105795</v>
      </c>
      <c r="X6110">
        <v>0.96978640000000005</v>
      </c>
      <c r="Y6110">
        <v>-0.2086114</v>
      </c>
      <c r="Z6110">
        <v>3.1074230000000001E-2</v>
      </c>
      <c r="AA6110">
        <v>0.97750479999999995</v>
      </c>
      <c r="AB6110">
        <v>20</v>
      </c>
      <c r="AC6110">
        <v>13.3569999999999</v>
      </c>
      <c r="AD6110">
        <v>-1.1118838051169999</v>
      </c>
      <c r="AE6110">
        <v>-1.34075999999999</v>
      </c>
      <c r="AF6110">
        <v>-2.81770574556655</v>
      </c>
      <c r="AG6110">
        <v>-1.1118838051169999</v>
      </c>
      <c r="AH6110">
        <v>13.031510382549801</v>
      </c>
      <c r="AI6110">
        <v>94.767180073264399</v>
      </c>
      <c r="AJ6110">
        <v>102.20081264741</v>
      </c>
      <c r="AK6110">
        <v>13.378939199921</v>
      </c>
      <c r="AL6110">
        <v>96.072971835730797</v>
      </c>
      <c r="AM6110">
        <v>102.771458873059</v>
      </c>
      <c r="AN6110">
        <v>0.99999999964918496</v>
      </c>
    </row>
    <row r="6111" spans="1:40" x14ac:dyDescent="0.25">
      <c r="A6111" t="str">
        <f>"20190305135049229"</f>
        <v>20190305135049229</v>
      </c>
      <c r="B6111" t="str">
        <f>"1551765049226556"</f>
        <v>1551765049226556</v>
      </c>
      <c r="C6111" t="s">
        <v>40</v>
      </c>
      <c r="D6111">
        <v>4.5024829999999998</v>
      </c>
      <c r="E6111">
        <v>0.50431309999999996</v>
      </c>
      <c r="F6111" t="s">
        <v>100</v>
      </c>
      <c r="G6111">
        <v>-379.0573</v>
      </c>
      <c r="H6111" s="1">
        <v>-8.9861579999999999E-7</v>
      </c>
      <c r="I6111">
        <v>17.540329999999901</v>
      </c>
      <c r="J6111">
        <v>-392.55220000000003</v>
      </c>
      <c r="K6111">
        <v>1.111866</v>
      </c>
      <c r="L6111">
        <v>18.87134</v>
      </c>
      <c r="M6111">
        <v>0.95206159999999995</v>
      </c>
      <c r="N6111">
        <v>-1.176782E-2</v>
      </c>
      <c r="O6111">
        <v>-0.30568040000000002</v>
      </c>
      <c r="P6111">
        <v>0.98945989999999995</v>
      </c>
      <c r="Q6111">
        <v>-0.11614480000000001</v>
      </c>
      <c r="R6111">
        <v>-8.648699E-2</v>
      </c>
      <c r="S6111">
        <v>2.9772949999999998</v>
      </c>
      <c r="T6111">
        <v>-0.24362349999999999</v>
      </c>
      <c r="U6111">
        <v>-0.2976685</v>
      </c>
      <c r="V6111">
        <v>-0.21951509999999999</v>
      </c>
      <c r="W6111">
        <v>-0.106028399999999</v>
      </c>
      <c r="X6111">
        <v>0.96983050000000004</v>
      </c>
      <c r="Y6111">
        <v>-0.20797379999999999</v>
      </c>
      <c r="Z6111">
        <v>3.0571310000000001E-2</v>
      </c>
      <c r="AA6111">
        <v>0.97765650000000004</v>
      </c>
      <c r="AB6111">
        <v>20</v>
      </c>
      <c r="AC6111">
        <v>13.494899999999999</v>
      </c>
      <c r="AD6111">
        <v>-1.1118668986158</v>
      </c>
      <c r="AE6111">
        <v>-1.33101</v>
      </c>
      <c r="AF6111">
        <v>-2.8390336583201501</v>
      </c>
      <c r="AG6111">
        <v>-1.1118668986158</v>
      </c>
      <c r="AH6111">
        <v>13.1672327270396</v>
      </c>
      <c r="AI6111">
        <v>94.718783645996993</v>
      </c>
      <c r="AJ6111">
        <v>102.167476011239</v>
      </c>
      <c r="AK6111">
        <v>13.515634568947799</v>
      </c>
      <c r="AL6111">
        <v>96.086420005156896</v>
      </c>
      <c r="AM6111">
        <v>102.75364526589701</v>
      </c>
      <c r="AN6111">
        <v>1.0000000497324</v>
      </c>
    </row>
    <row r="6112" spans="1:40" x14ac:dyDescent="0.25">
      <c r="A6112" t="str">
        <f>"20190305135049240"</f>
        <v>20190305135049240</v>
      </c>
      <c r="B6112" t="str">
        <f>"1551765049236316"</f>
        <v>1551765049236316</v>
      </c>
      <c r="C6112" t="s">
        <v>40</v>
      </c>
      <c r="D6112">
        <v>4.4949729999999999</v>
      </c>
      <c r="E6112">
        <v>0.5044014</v>
      </c>
      <c r="F6112" t="s">
        <v>100</v>
      </c>
      <c r="G6112">
        <v>-378.67899999999997</v>
      </c>
      <c r="H6112" s="1">
        <v>-1.051661E-6</v>
      </c>
      <c r="I6112">
        <v>17.51099</v>
      </c>
      <c r="J6112">
        <v>-392.46280000000002</v>
      </c>
      <c r="K6112">
        <v>1.111858</v>
      </c>
      <c r="L6112">
        <v>18.845279999999999</v>
      </c>
      <c r="M6112">
        <v>0.95273799999999997</v>
      </c>
      <c r="N6112">
        <v>-1.164944E-2</v>
      </c>
      <c r="O6112">
        <v>-0.30357000000000001</v>
      </c>
      <c r="P6112">
        <v>0.98958740000000001</v>
      </c>
      <c r="Q6112">
        <v>-0.11646579999999999</v>
      </c>
      <c r="R6112">
        <v>-8.4573120000000002E-2</v>
      </c>
      <c r="S6112">
        <v>2.978424</v>
      </c>
      <c r="T6112">
        <v>-0.238706</v>
      </c>
      <c r="U6112">
        <v>-0.29205320000000001</v>
      </c>
      <c r="V6112">
        <v>-0.21922549999999999</v>
      </c>
      <c r="W6112">
        <v>-0.10646609999999999</v>
      </c>
      <c r="X6112">
        <v>0.96984800000000004</v>
      </c>
      <c r="Y6112">
        <v>-0.20773539999999999</v>
      </c>
      <c r="Z6112">
        <v>2.977788E-2</v>
      </c>
      <c r="AA6112">
        <v>0.97773169999999998</v>
      </c>
      <c r="AB6112">
        <v>20</v>
      </c>
      <c r="AC6112">
        <v>13.7837999999999</v>
      </c>
      <c r="AD6112">
        <v>-1.1118590516609901</v>
      </c>
      <c r="AE6112">
        <v>-1.33428999999999</v>
      </c>
      <c r="AF6112">
        <v>-2.89465700323532</v>
      </c>
      <c r="AG6112">
        <v>-1.1118590516609901</v>
      </c>
      <c r="AH6112">
        <v>13.451604941277999</v>
      </c>
      <c r="AI6112">
        <v>94.619831209057594</v>
      </c>
      <c r="AJ6112">
        <v>102.144309959883</v>
      </c>
      <c r="AK6112">
        <v>13.8043813774234</v>
      </c>
      <c r="AL6112">
        <v>96.111641450189794</v>
      </c>
      <c r="AM6112">
        <v>102.737146659392</v>
      </c>
      <c r="AN6112">
        <v>0.99999999670173001</v>
      </c>
    </row>
    <row r="6113" spans="1:40" x14ac:dyDescent="0.25">
      <c r="A6113" t="str">
        <f>"20190305135049252"</f>
        <v>20190305135049252</v>
      </c>
      <c r="B6113" t="str">
        <f>"1551765049246076"</f>
        <v>1551765049246076</v>
      </c>
      <c r="C6113" t="s">
        <v>40</v>
      </c>
      <c r="D6113">
        <v>4.5059069999999997</v>
      </c>
      <c r="E6113">
        <v>0.50462559999999901</v>
      </c>
      <c r="F6113" t="s">
        <v>100</v>
      </c>
      <c r="G6113">
        <v>-378.55130000000003</v>
      </c>
      <c r="H6113" s="1">
        <v>-1.1023039999999999E-6</v>
      </c>
      <c r="I6113">
        <v>17.504950000000001</v>
      </c>
      <c r="J6113">
        <v>-392.35829999999999</v>
      </c>
      <c r="K6113">
        <v>1.1118509999999999</v>
      </c>
      <c r="L6113">
        <v>18.814969999999999</v>
      </c>
      <c r="M6113">
        <v>0.95352150000000002</v>
      </c>
      <c r="N6113">
        <v>-1.1514460000000001E-2</v>
      </c>
      <c r="O6113">
        <v>-0.30110479999999901</v>
      </c>
      <c r="P6113">
        <v>0.98972329999999997</v>
      </c>
      <c r="Q6113">
        <v>-0.1169564</v>
      </c>
      <c r="R6113">
        <v>-8.2273330000000006E-2</v>
      </c>
      <c r="S6113">
        <v>2.9790040000000002</v>
      </c>
      <c r="T6113">
        <v>-0.23809430000000001</v>
      </c>
      <c r="U6113">
        <v>-0.28701779999999999</v>
      </c>
      <c r="V6113">
        <v>-0.21894759999999999</v>
      </c>
      <c r="W6113">
        <v>-0.10709059999999999</v>
      </c>
      <c r="X6113">
        <v>0.96984199999999998</v>
      </c>
      <c r="Y6113">
        <v>-0.20687559999999999</v>
      </c>
      <c r="Z6113">
        <v>2.9523710000000002E-2</v>
      </c>
      <c r="AA6113">
        <v>0.9779217</v>
      </c>
      <c r="AB6113">
        <v>20</v>
      </c>
      <c r="AC6113">
        <v>13.806999999999899</v>
      </c>
      <c r="AD6113">
        <v>-1.111852102304</v>
      </c>
      <c r="AE6113">
        <v>-1.31002</v>
      </c>
      <c r="AF6113">
        <v>-2.88984184729676</v>
      </c>
      <c r="AG6113">
        <v>-1.111852102304</v>
      </c>
      <c r="AH6113">
        <v>13.4740275295066</v>
      </c>
      <c r="AI6113">
        <v>94.612822451847705</v>
      </c>
      <c r="AJ6113">
        <v>102.105124971525</v>
      </c>
      <c r="AK6113">
        <v>13.825224007794199</v>
      </c>
      <c r="AL6113">
        <v>96.147628532400205</v>
      </c>
      <c r="AM6113">
        <v>102.721602389624</v>
      </c>
      <c r="AN6113">
        <v>0.99999997655905903</v>
      </c>
    </row>
    <row r="6114" spans="1:40" x14ac:dyDescent="0.25">
      <c r="A6114" t="str">
        <f>"20190305135049263"</f>
        <v>20190305135049263</v>
      </c>
      <c r="B6114" t="str">
        <f>"1551765049255835"</f>
        <v>1551765049255835</v>
      </c>
      <c r="C6114" t="s">
        <v>40</v>
      </c>
      <c r="D6114">
        <v>4.5136459999999996</v>
      </c>
      <c r="E6114">
        <v>0.5047739</v>
      </c>
      <c r="F6114" t="s">
        <v>100</v>
      </c>
      <c r="G6114">
        <v>-378.42720000000003</v>
      </c>
      <c r="H6114" s="1">
        <v>-1.1521970000000001E-6</v>
      </c>
      <c r="I6114">
        <v>17.496569999999998</v>
      </c>
      <c r="J6114">
        <v>-392.26069999999999</v>
      </c>
      <c r="K6114">
        <v>1.1118459999999999</v>
      </c>
      <c r="L6114">
        <v>18.786989999999999</v>
      </c>
      <c r="M6114">
        <v>0.95424690000000001</v>
      </c>
      <c r="N6114">
        <v>-1.13978E-2</v>
      </c>
      <c r="O6114">
        <v>-0.29880240000000002</v>
      </c>
      <c r="P6114">
        <v>0.98985570000000001</v>
      </c>
      <c r="Q6114">
        <v>-0.1173366</v>
      </c>
      <c r="R6114">
        <v>-8.0110899999999999E-2</v>
      </c>
      <c r="S6114">
        <v>2.9796140000000002</v>
      </c>
      <c r="T6114">
        <v>-0.2378055</v>
      </c>
      <c r="U6114">
        <v>-0.28198240000000002</v>
      </c>
      <c r="V6114">
        <v>-0.21870690000000001</v>
      </c>
      <c r="W6114">
        <v>-0.1075868</v>
      </c>
      <c r="X6114">
        <v>0.96984139999999996</v>
      </c>
      <c r="Y6114">
        <v>-0.20618059999999999</v>
      </c>
      <c r="Z6114">
        <v>2.9326649999999999E-2</v>
      </c>
      <c r="AA6114">
        <v>0.97807440000000001</v>
      </c>
      <c r="AB6114">
        <v>20</v>
      </c>
      <c r="AC6114">
        <v>13.8334999999999</v>
      </c>
      <c r="AD6114">
        <v>-1.1118471521969999</v>
      </c>
      <c r="AE6114">
        <v>-1.2904199999999899</v>
      </c>
      <c r="AF6114">
        <v>-2.88382382300551</v>
      </c>
      <c r="AG6114">
        <v>-1.1118471521969999</v>
      </c>
      <c r="AH6114">
        <v>13.5005780402527</v>
      </c>
      <c r="AI6114">
        <v>94.6045833970378</v>
      </c>
      <c r="AJ6114">
        <v>102.05759544387</v>
      </c>
      <c r="AK6114">
        <v>13.8498466183903</v>
      </c>
      <c r="AL6114">
        <v>96.176223860012598</v>
      </c>
      <c r="AM6114">
        <v>102.70807892072</v>
      </c>
      <c r="AN6114">
        <v>0.99999998439790405</v>
      </c>
    </row>
    <row r="6115" spans="1:40" x14ac:dyDescent="0.25">
      <c r="A6115" t="str">
        <f>"20190305135049276"</f>
        <v>20190305135049276</v>
      </c>
      <c r="B6115" t="str">
        <f>"1551765049266571"</f>
        <v>1551765049266571</v>
      </c>
      <c r="C6115" t="s">
        <v>40</v>
      </c>
      <c r="D6115">
        <v>4.4902689999999996</v>
      </c>
      <c r="E6115">
        <v>0.50497320000000001</v>
      </c>
      <c r="F6115" t="s">
        <v>100</v>
      </c>
      <c r="G6115">
        <v>-378.33339999999998</v>
      </c>
      <c r="H6115" s="1">
        <v>-1.188885E-6</v>
      </c>
      <c r="I6115">
        <v>17.494150000000001</v>
      </c>
      <c r="J6115">
        <v>-392.15609999999998</v>
      </c>
      <c r="K6115">
        <v>1.111842</v>
      </c>
      <c r="L6115">
        <v>18.757290000000001</v>
      </c>
      <c r="M6115">
        <v>0.95501740000000002</v>
      </c>
      <c r="N6115">
        <v>-1.1279310000000001E-2</v>
      </c>
      <c r="O6115">
        <v>-0.29633510000000002</v>
      </c>
      <c r="P6115">
        <v>0.99004599999999998</v>
      </c>
      <c r="Q6115">
        <v>-0.1174777</v>
      </c>
      <c r="R6115">
        <v>-7.7511609999999995E-2</v>
      </c>
      <c r="S6115">
        <v>2.9801639999999998</v>
      </c>
      <c r="T6115">
        <v>-0.23791329999999999</v>
      </c>
      <c r="U6115">
        <v>-0.27664179999999999</v>
      </c>
      <c r="V6115">
        <v>-0.21873719999999999</v>
      </c>
      <c r="W6115">
        <v>-0.107848</v>
      </c>
      <c r="X6115">
        <v>0.96980560000000005</v>
      </c>
      <c r="Y6115">
        <v>-0.20541139999999999</v>
      </c>
      <c r="Z6115">
        <v>2.916887E-2</v>
      </c>
      <c r="AA6115">
        <v>0.97824089999999997</v>
      </c>
      <c r="AB6115">
        <v>20</v>
      </c>
      <c r="AC6115">
        <v>13.8226999999999</v>
      </c>
      <c r="AD6115">
        <v>-1.111843188885</v>
      </c>
      <c r="AE6115">
        <v>-1.2631399999999999</v>
      </c>
      <c r="AF6115">
        <v>-2.87158923193202</v>
      </c>
      <c r="AG6115">
        <v>-1.111843188885</v>
      </c>
      <c r="AH6115">
        <v>13.489541741738099</v>
      </c>
      <c r="AI6115">
        <v>94.6090033236826</v>
      </c>
      <c r="AJ6115">
        <v>102.017467679018</v>
      </c>
      <c r="AK6115">
        <v>13.8365442360335</v>
      </c>
      <c r="AL6115">
        <v>96.191276834757801</v>
      </c>
      <c r="AM6115">
        <v>102.710236266582</v>
      </c>
      <c r="AN6115">
        <v>1.00000002777959</v>
      </c>
    </row>
    <row r="6116" spans="1:40" x14ac:dyDescent="0.25">
      <c r="A6116" t="str">
        <f>"20190305135049299"</f>
        <v>20190305135049299</v>
      </c>
      <c r="B6116" t="str">
        <f>"1551765049296421"</f>
        <v>1551765049296421</v>
      </c>
      <c r="C6116" t="s">
        <v>40</v>
      </c>
      <c r="D6116">
        <v>4.4657519999999904</v>
      </c>
      <c r="E6116">
        <v>0.50550669999999998</v>
      </c>
      <c r="F6116" t="s">
        <v>100</v>
      </c>
      <c r="G6116">
        <v>-378.17360000000002</v>
      </c>
      <c r="H6116" s="1">
        <v>-1.2516269999999999E-6</v>
      </c>
      <c r="I6116">
        <v>17.48884</v>
      </c>
      <c r="J6116">
        <v>-391.9744</v>
      </c>
      <c r="K6116">
        <v>1.1118440000000001</v>
      </c>
      <c r="L6116">
        <v>18.70636</v>
      </c>
      <c r="M6116">
        <v>0.95634129999999995</v>
      </c>
      <c r="N6116">
        <v>-1.109101E-2</v>
      </c>
      <c r="O6116">
        <v>-0.29204229999999998</v>
      </c>
      <c r="P6116">
        <v>0.99035470000000003</v>
      </c>
      <c r="Q6116">
        <v>-0.1177526</v>
      </c>
      <c r="R6116">
        <v>-7.3025030000000005E-2</v>
      </c>
      <c r="S6116">
        <v>2.9808650000000001</v>
      </c>
      <c r="T6116">
        <v>-0.23702980000000001</v>
      </c>
      <c r="U6116">
        <v>-0.2704163</v>
      </c>
      <c r="V6116">
        <v>-0.21875790000000001</v>
      </c>
      <c r="W6116">
        <v>-0.1083143</v>
      </c>
      <c r="X6116">
        <v>0.96974890000000002</v>
      </c>
      <c r="Y6116">
        <v>-0.2030884</v>
      </c>
      <c r="Z6116">
        <v>2.870545E-2</v>
      </c>
      <c r="AA6116">
        <v>0.97873960000000004</v>
      </c>
      <c r="AB6116">
        <v>20</v>
      </c>
      <c r="AC6116">
        <v>13.800799999999899</v>
      </c>
      <c r="AD6116">
        <v>-1.1118452516269901</v>
      </c>
      <c r="AE6116">
        <v>-1.2175199999999999</v>
      </c>
      <c r="AF6116">
        <v>-2.8478868935687802</v>
      </c>
      <c r="AG6116">
        <v>-1.1118452516269901</v>
      </c>
      <c r="AH6116">
        <v>13.4679344192571</v>
      </c>
      <c r="AI6116">
        <v>94.617698202966494</v>
      </c>
      <c r="AJ6116">
        <v>101.939701013639</v>
      </c>
      <c r="AK6116">
        <v>13.8105726580593</v>
      </c>
      <c r="AL6116">
        <v>96.218151659671094</v>
      </c>
      <c r="AM6116">
        <v>102.712119077341</v>
      </c>
      <c r="AN6116">
        <v>0.99999996772405397</v>
      </c>
    </row>
    <row r="6117" spans="1:40" x14ac:dyDescent="0.25">
      <c r="A6117" t="str">
        <f>"20190305135049313"</f>
        <v>20190305135049313</v>
      </c>
      <c r="B6117" t="str">
        <f>"1551765049306179"</f>
        <v>1551765049306179</v>
      </c>
      <c r="C6117" t="s">
        <v>40</v>
      </c>
      <c r="D6117">
        <v>4.4404789999999998</v>
      </c>
      <c r="E6117">
        <v>0.50566109999999997</v>
      </c>
      <c r="F6117" t="s">
        <v>100</v>
      </c>
      <c r="G6117">
        <v>-377.92129999999997</v>
      </c>
      <c r="H6117" s="1">
        <v>-1.352155E-6</v>
      </c>
      <c r="I6117">
        <v>17.47523</v>
      </c>
      <c r="J6117">
        <v>-391.8415</v>
      </c>
      <c r="K6117">
        <v>1.111847</v>
      </c>
      <c r="L6117">
        <v>18.669619999999998</v>
      </c>
      <c r="M6117">
        <v>0.95729730000000002</v>
      </c>
      <c r="N6117">
        <v>-1.096606E-2</v>
      </c>
      <c r="O6117">
        <v>-0.28889730000000002</v>
      </c>
      <c r="P6117">
        <v>0.99058659999999998</v>
      </c>
      <c r="Q6117">
        <v>-0.1178236</v>
      </c>
      <c r="R6117">
        <v>-6.9685209999999997E-2</v>
      </c>
      <c r="S6117">
        <v>2.981903</v>
      </c>
      <c r="T6117">
        <v>-0.23592070000000001</v>
      </c>
      <c r="U6117">
        <v>-0.26123049999999998</v>
      </c>
      <c r="V6117">
        <v>-0.21883269999999999</v>
      </c>
      <c r="W6117">
        <v>-0.1085139</v>
      </c>
      <c r="X6117">
        <v>0.96970979999999996</v>
      </c>
      <c r="Y6117">
        <v>-0.2029116</v>
      </c>
      <c r="Z6117">
        <v>2.8371420000000001E-2</v>
      </c>
      <c r="AA6117">
        <v>0.97878589999999999</v>
      </c>
      <c r="AB6117">
        <v>20</v>
      </c>
      <c r="AC6117">
        <v>13.920199999999999</v>
      </c>
      <c r="AD6117">
        <v>-1.111848352155</v>
      </c>
      <c r="AE6117">
        <v>-1.1943900000000001</v>
      </c>
      <c r="AF6117">
        <v>-2.8601811676294</v>
      </c>
      <c r="AG6117">
        <v>-1.111848352155</v>
      </c>
      <c r="AH6117">
        <v>13.5856091465338</v>
      </c>
      <c r="AI6117">
        <v>94.578737781443706</v>
      </c>
      <c r="AJ6117">
        <v>101.88887177686</v>
      </c>
      <c r="AK6117">
        <v>13.9278720180879</v>
      </c>
      <c r="AL6117">
        <v>96.229655148390805</v>
      </c>
      <c r="AM6117">
        <v>102.716820487955</v>
      </c>
      <c r="AN6117">
        <v>1.0000000566492599</v>
      </c>
    </row>
    <row r="6118" spans="1:40" x14ac:dyDescent="0.25">
      <c r="A6118" t="str">
        <f>"20190305135049328"</f>
        <v>20190305135049328</v>
      </c>
      <c r="B6118" t="str">
        <f>"1551765049325699"</f>
        <v>1551765049325699</v>
      </c>
      <c r="C6118" t="s">
        <v>40</v>
      </c>
      <c r="D6118">
        <v>4.4742769999999998</v>
      </c>
      <c r="E6118">
        <v>0.50591679999999895</v>
      </c>
      <c r="F6118" t="s">
        <v>100</v>
      </c>
      <c r="G6118">
        <v>-377.7731</v>
      </c>
      <c r="H6118" s="1">
        <v>-1.4122229999999901E-6</v>
      </c>
      <c r="I6118">
        <v>17.479229999999902</v>
      </c>
      <c r="J6118">
        <v>-391.71039999999999</v>
      </c>
      <c r="K6118">
        <v>1.1118509999999999</v>
      </c>
      <c r="L6118">
        <v>18.633790000000001</v>
      </c>
      <c r="M6118">
        <v>0.95823199999999997</v>
      </c>
      <c r="N6118">
        <v>-1.085304E-2</v>
      </c>
      <c r="O6118">
        <v>-0.28578680000000001</v>
      </c>
      <c r="P6118">
        <v>0.99067400000000005</v>
      </c>
      <c r="Q6118">
        <v>-0.11887830000000001</v>
      </c>
      <c r="R6118">
        <v>-6.6584740000000003E-2</v>
      </c>
      <c r="S6118">
        <v>2.9827270000000001</v>
      </c>
      <c r="T6118">
        <v>-0.23572979999999999</v>
      </c>
      <c r="U6118">
        <v>-0.2523804</v>
      </c>
      <c r="V6118">
        <v>-0.2186717</v>
      </c>
      <c r="W6118">
        <v>-0.10968559999999999</v>
      </c>
      <c r="X6118">
        <v>0.96961430000000004</v>
      </c>
      <c r="Y6118">
        <v>-0.20264670000000001</v>
      </c>
      <c r="Z6118">
        <v>2.815378E-2</v>
      </c>
      <c r="AA6118">
        <v>0.97884709999999997</v>
      </c>
      <c r="AB6118">
        <v>20</v>
      </c>
      <c r="AC6118">
        <v>13.937299999999899</v>
      </c>
      <c r="AD6118">
        <v>-1.111852412223</v>
      </c>
      <c r="AE6118">
        <v>-1.15456</v>
      </c>
      <c r="AF6118">
        <v>-2.8588587639199599</v>
      </c>
      <c r="AG6118">
        <v>-1.111852412223</v>
      </c>
      <c r="AH6118">
        <v>13.599966191543301</v>
      </c>
      <c r="AI6118">
        <v>94.574234455945998</v>
      </c>
      <c r="AJ6118">
        <v>101.871342368584</v>
      </c>
      <c r="AK6118">
        <v>13.941605704858</v>
      </c>
      <c r="AL6118">
        <v>96.297191687051694</v>
      </c>
      <c r="AM6118">
        <v>102.70897934721999</v>
      </c>
      <c r="AN6118">
        <v>1.00000006699636</v>
      </c>
    </row>
    <row r="6119" spans="1:40" x14ac:dyDescent="0.25">
      <c r="A6119" t="str">
        <f>"20190305135049343"</f>
        <v>20190305135049343</v>
      </c>
      <c r="B6119" t="str">
        <f>"1551765049336436"</f>
        <v>1551765049336436</v>
      </c>
      <c r="C6119" t="s">
        <v>40</v>
      </c>
      <c r="D6119">
        <v>4.4666930000000002</v>
      </c>
      <c r="E6119">
        <v>0.50616049999999901</v>
      </c>
      <c r="F6119" t="s">
        <v>100</v>
      </c>
      <c r="G6119">
        <v>-377.82299999999998</v>
      </c>
      <c r="H6119" s="1">
        <v>-1.38625499999999E-6</v>
      </c>
      <c r="I6119">
        <v>17.492539999999899</v>
      </c>
      <c r="J6119">
        <v>-391.58710000000002</v>
      </c>
      <c r="K6119">
        <v>1.111858</v>
      </c>
      <c r="L6119">
        <v>18.600680000000001</v>
      </c>
      <c r="M6119">
        <v>0.95910379999999995</v>
      </c>
      <c r="N6119">
        <v>-1.0758490000000001E-2</v>
      </c>
      <c r="O6119">
        <v>-0.28285070000000001</v>
      </c>
      <c r="P6119">
        <v>0.99079910000000004</v>
      </c>
      <c r="Q6119">
        <v>-0.1193316</v>
      </c>
      <c r="R6119">
        <v>-6.3856800000000005E-2</v>
      </c>
      <c r="S6119">
        <v>2.9830930000000002</v>
      </c>
      <c r="T6119">
        <v>-0.23883380000000001</v>
      </c>
      <c r="U6119">
        <v>-0.2451477</v>
      </c>
      <c r="V6119">
        <v>-0.2183485</v>
      </c>
      <c r="W6119">
        <v>-0.1102374</v>
      </c>
      <c r="X6119">
        <v>0.9696245</v>
      </c>
      <c r="Y6119">
        <v>-0.2019852</v>
      </c>
      <c r="Z6119">
        <v>2.8346369999999999E-2</v>
      </c>
      <c r="AA6119">
        <v>0.97897829999999997</v>
      </c>
      <c r="AB6119">
        <v>20</v>
      </c>
      <c r="AC6119">
        <v>13.7640999999999</v>
      </c>
      <c r="AD6119">
        <v>-1.1118593862549999</v>
      </c>
      <c r="AE6119">
        <v>-1.1081399999999999</v>
      </c>
      <c r="AF6119">
        <v>-2.8122943017860602</v>
      </c>
      <c r="AG6119">
        <v>-1.1118593862549999</v>
      </c>
      <c r="AH6119">
        <v>13.428358043633599</v>
      </c>
      <c r="AI6119">
        <v>94.633191354100703</v>
      </c>
      <c r="AJ6119">
        <v>101.82846887387301</v>
      </c>
      <c r="AK6119">
        <v>13.764666006942599</v>
      </c>
      <c r="AL6119">
        <v>96.329000742563693</v>
      </c>
      <c r="AM6119">
        <v>102.690674909112</v>
      </c>
      <c r="AN6119">
        <v>1.00000001140563</v>
      </c>
    </row>
    <row r="6120" spans="1:40" x14ac:dyDescent="0.25">
      <c r="A6120" t="str">
        <f>"20190305135049354"</f>
        <v>20190305135049354</v>
      </c>
      <c r="B6120" t="str">
        <f>"1551765049346196"</f>
        <v>1551765049346196</v>
      </c>
      <c r="C6120" t="s">
        <v>40</v>
      </c>
      <c r="D6120">
        <v>4.5443339999999903</v>
      </c>
      <c r="E6120">
        <v>0.50668649999999904</v>
      </c>
      <c r="F6120" t="s">
        <v>100</v>
      </c>
      <c r="G6120">
        <v>-377.74630000000002</v>
      </c>
      <c r="H6120" s="1">
        <v>-1.42262499999999E-6</v>
      </c>
      <c r="I6120">
        <v>17.492039999999999</v>
      </c>
      <c r="J6120">
        <v>-391.48849999999999</v>
      </c>
      <c r="K6120">
        <v>1.1118680000000001</v>
      </c>
      <c r="L6120">
        <v>18.574459999999998</v>
      </c>
      <c r="M6120">
        <v>0.95979619999999999</v>
      </c>
      <c r="N6120">
        <v>-1.068766E-2</v>
      </c>
      <c r="O6120">
        <v>-0.28049429999999997</v>
      </c>
      <c r="P6120">
        <v>0.99087320000000001</v>
      </c>
      <c r="Q6120">
        <v>-0.119866</v>
      </c>
      <c r="R6120">
        <v>-6.166609E-2</v>
      </c>
      <c r="S6120">
        <v>2.9835820000000002</v>
      </c>
      <c r="T6120">
        <v>-0.23967749999999999</v>
      </c>
      <c r="U6120">
        <v>-0.23898320000000001</v>
      </c>
      <c r="V6120">
        <v>-0.2180848</v>
      </c>
      <c r="W6120">
        <v>-0.1108478</v>
      </c>
      <c r="X6120">
        <v>0.96961419999999998</v>
      </c>
      <c r="Y6120">
        <v>-0.20159850000000001</v>
      </c>
      <c r="Z6120">
        <v>2.829226E-2</v>
      </c>
      <c r="AA6120">
        <v>0.97905960000000003</v>
      </c>
      <c r="AB6120">
        <v>20</v>
      </c>
      <c r="AC6120">
        <v>13.742199999999899</v>
      </c>
      <c r="AD6120">
        <v>-1.1118694226250001</v>
      </c>
      <c r="AE6120">
        <v>-1.0824199999999999</v>
      </c>
      <c r="AF6120">
        <v>-2.7976655618207502</v>
      </c>
      <c r="AG6120">
        <v>-1.1118694226250001</v>
      </c>
      <c r="AH6120">
        <v>13.406870454006899</v>
      </c>
      <c r="AI6120">
        <v>94.641325616252203</v>
      </c>
      <c r="AJ6120">
        <v>101.78699562585</v>
      </c>
      <c r="AK6120">
        <v>13.740719107066001</v>
      </c>
      <c r="AL6120">
        <v>96.364190101691605</v>
      </c>
      <c r="AM6120">
        <v>102.675974169791</v>
      </c>
      <c r="AN6120">
        <v>0.999999955798759</v>
      </c>
    </row>
    <row r="6121" spans="1:40" x14ac:dyDescent="0.25">
      <c r="A6121" t="str">
        <f>"20190305135049367"</f>
        <v>20190305135049367</v>
      </c>
      <c r="B6121" t="str">
        <f>"1551765049355956"</f>
        <v>1551765049355956</v>
      </c>
      <c r="C6121" t="s">
        <v>40</v>
      </c>
      <c r="D6121">
        <v>4.430364</v>
      </c>
      <c r="E6121">
        <v>0.50705679999999997</v>
      </c>
      <c r="F6121" t="s">
        <v>100</v>
      </c>
      <c r="G6121">
        <v>-377.97160000000002</v>
      </c>
      <c r="H6121" s="1">
        <v>-1.3257399999999999E-6</v>
      </c>
      <c r="I6121">
        <v>17.501999999999999</v>
      </c>
      <c r="J6121">
        <v>-391.38299999999998</v>
      </c>
      <c r="K6121">
        <v>1.1118809999999999</v>
      </c>
      <c r="L6121">
        <v>18.54663</v>
      </c>
      <c r="M6121">
        <v>0.96053489999999997</v>
      </c>
      <c r="N6121">
        <v>-1.061703E-2</v>
      </c>
      <c r="O6121">
        <v>-0.27795720000000002</v>
      </c>
      <c r="P6121">
        <v>0.99096459999999997</v>
      </c>
      <c r="Q6121">
        <v>-0.1201841</v>
      </c>
      <c r="R6121">
        <v>-5.9540200000000001E-2</v>
      </c>
      <c r="S6121">
        <v>2.983215</v>
      </c>
      <c r="T6121">
        <v>-0.2453909</v>
      </c>
      <c r="U6121">
        <v>-0.2366943</v>
      </c>
      <c r="V6121">
        <v>-0.21758459999999999</v>
      </c>
      <c r="W6121">
        <v>-0.11124199999999999</v>
      </c>
      <c r="X6121">
        <v>0.96968149999999997</v>
      </c>
      <c r="Y6121">
        <v>-0.1996897</v>
      </c>
      <c r="Z6121">
        <v>2.8768209999999999E-2</v>
      </c>
      <c r="AA6121">
        <v>0.9794368</v>
      </c>
      <c r="AB6121">
        <v>20</v>
      </c>
      <c r="AC6121">
        <v>13.4114</v>
      </c>
      <c r="AD6121">
        <v>-1.1118823257399999</v>
      </c>
      <c r="AE6121">
        <v>-1.0446299999999999</v>
      </c>
      <c r="AF6121">
        <v>-2.7060573249698399</v>
      </c>
      <c r="AG6121">
        <v>-1.1118823257399999</v>
      </c>
      <c r="AH6121">
        <v>13.083833559350101</v>
      </c>
      <c r="AI6121">
        <v>94.757198487712103</v>
      </c>
      <c r="AJ6121">
        <v>101.685410282307</v>
      </c>
      <c r="AK6121">
        <v>13.4069284014308</v>
      </c>
      <c r="AL6121">
        <v>96.386916203233795</v>
      </c>
      <c r="AM6121">
        <v>102.646987282501</v>
      </c>
      <c r="AN6121">
        <v>1.0000000260816999</v>
      </c>
    </row>
    <row r="6122" spans="1:40" x14ac:dyDescent="0.25">
      <c r="A6122" t="str">
        <f>"20190305135049379"</f>
        <v>20190305135049379</v>
      </c>
      <c r="B6122" t="str">
        <f>"1551765049376451"</f>
        <v>1551765049376451</v>
      </c>
      <c r="C6122" t="s">
        <v>40</v>
      </c>
      <c r="D6122">
        <v>4.4874400000000003</v>
      </c>
      <c r="E6122">
        <v>0.50765850000000001</v>
      </c>
      <c r="F6122" t="s">
        <v>100</v>
      </c>
      <c r="G6122">
        <v>-377.81490000000002</v>
      </c>
      <c r="H6122" s="1">
        <v>-1.3912779999999999E-6</v>
      </c>
      <c r="I6122">
        <v>17.48583</v>
      </c>
      <c r="J6122">
        <v>-391.28489999999999</v>
      </c>
      <c r="K6122">
        <v>1.1119000000000001</v>
      </c>
      <c r="L6122">
        <v>18.52112</v>
      </c>
      <c r="M6122">
        <v>0.96122059999999998</v>
      </c>
      <c r="N6122">
        <v>-1.055822E-2</v>
      </c>
      <c r="O6122">
        <v>-0.2755784</v>
      </c>
      <c r="P6122">
        <v>0.99100440000000001</v>
      </c>
      <c r="Q6122">
        <v>-0.120797</v>
      </c>
      <c r="R6122">
        <v>-5.7604889999999999E-2</v>
      </c>
      <c r="S6122">
        <v>2.9837039999999999</v>
      </c>
      <c r="T6122">
        <v>-0.24451039999999999</v>
      </c>
      <c r="U6122">
        <v>-0.23327639999999999</v>
      </c>
      <c r="V6122">
        <v>-0.21704680000000001</v>
      </c>
      <c r="W6122">
        <v>-0.1119213</v>
      </c>
      <c r="X6122">
        <v>0.96972380000000002</v>
      </c>
      <c r="Y6122">
        <v>-0.19841239999999999</v>
      </c>
      <c r="Z6122">
        <v>2.8445990000000001E-2</v>
      </c>
      <c r="AA6122">
        <v>0.97970579999999996</v>
      </c>
      <c r="AB6122">
        <v>20</v>
      </c>
      <c r="AC6122">
        <v>13.469999999999899</v>
      </c>
      <c r="AD6122">
        <v>-1.111901391278</v>
      </c>
      <c r="AE6122">
        <v>-1.0352899999999901</v>
      </c>
      <c r="AF6122">
        <v>-2.6987692388131799</v>
      </c>
      <c r="AG6122">
        <v>-1.111901391278</v>
      </c>
      <c r="AH6122">
        <v>13.144642247467999</v>
      </c>
      <c r="AI6122">
        <v>94.736780650270703</v>
      </c>
      <c r="AJ6122">
        <v>101.60234930372501</v>
      </c>
      <c r="AK6122">
        <v>13.464817114324701</v>
      </c>
      <c r="AL6122">
        <v>96.426082169550597</v>
      </c>
      <c r="AM6122">
        <v>102.616197139177</v>
      </c>
      <c r="AN6122">
        <v>0.999999969535184</v>
      </c>
    </row>
    <row r="6123" spans="1:40" x14ac:dyDescent="0.25">
      <c r="A6123" t="str">
        <f>"20190305135049396"</f>
        <v>20190305135049396</v>
      </c>
      <c r="B6123" t="str">
        <f>"1551765049385855"</f>
        <v>1551765049385855</v>
      </c>
      <c r="C6123" t="s">
        <v>40</v>
      </c>
      <c r="D6123">
        <v>4.4901390000000001</v>
      </c>
      <c r="E6123">
        <v>0.50765850000000001</v>
      </c>
      <c r="F6123" t="s">
        <v>100</v>
      </c>
      <c r="G6123">
        <v>-377.64089999999999</v>
      </c>
      <c r="H6123" s="1">
        <v>-1.4782610000000001E-6</v>
      </c>
      <c r="I6123">
        <v>17.459129999999998</v>
      </c>
      <c r="J6123">
        <v>-391.13780000000003</v>
      </c>
      <c r="K6123">
        <v>1.1119330000000001</v>
      </c>
      <c r="L6123">
        <v>18.483309999999999</v>
      </c>
      <c r="M6123">
        <v>0.96224480000000001</v>
      </c>
      <c r="N6123">
        <v>-1.047529E-2</v>
      </c>
      <c r="O6123">
        <v>-0.27198410000000001</v>
      </c>
      <c r="P6123">
        <v>0.9910582</v>
      </c>
      <c r="Q6123">
        <v>-0.121514</v>
      </c>
      <c r="R6123">
        <v>-5.5115020000000001E-2</v>
      </c>
      <c r="S6123">
        <v>2.9841000000000002</v>
      </c>
      <c r="T6123">
        <v>-0.24318619999999999</v>
      </c>
      <c r="U6123">
        <v>-0.23226930000000001</v>
      </c>
      <c r="V6123">
        <v>-0.21581900000000001</v>
      </c>
      <c r="W6123">
        <v>-0.112731399999999</v>
      </c>
      <c r="X6123">
        <v>0.96990399999999999</v>
      </c>
      <c r="Y6123">
        <v>-0.1951234</v>
      </c>
      <c r="Z6123">
        <v>2.789997E-2</v>
      </c>
      <c r="AA6123">
        <v>0.98038179999999997</v>
      </c>
      <c r="AB6123">
        <v>20</v>
      </c>
      <c r="AC6123">
        <v>13.4969</v>
      </c>
      <c r="AD6123">
        <v>-1.1119344782609999</v>
      </c>
      <c r="AE6123">
        <v>-1.0241800000000001</v>
      </c>
      <c r="AF6123">
        <v>-2.66757578550411</v>
      </c>
      <c r="AG6123">
        <v>-1.1119344782609999</v>
      </c>
      <c r="AH6123">
        <v>13.1776820686364</v>
      </c>
      <c r="AI6123">
        <v>94.727752208721995</v>
      </c>
      <c r="AJ6123">
        <v>101.443817021784</v>
      </c>
      <c r="AK6123">
        <v>13.490873343020301</v>
      </c>
      <c r="AL6123">
        <v>96.472792971274203</v>
      </c>
      <c r="AM6123">
        <v>102.54483791348299</v>
      </c>
      <c r="AN6123">
        <v>0.99999998926148004</v>
      </c>
    </row>
    <row r="6124" spans="1:40" x14ac:dyDescent="0.25">
      <c r="A6124" t="str">
        <f>"20190305135049407"</f>
        <v>20190305135049407</v>
      </c>
      <c r="B6124" t="str">
        <f>"1551765049395615"</f>
        <v>1551765049395615</v>
      </c>
      <c r="C6124" t="s">
        <v>40</v>
      </c>
      <c r="D6124">
        <v>4.3737450000000004</v>
      </c>
      <c r="E6124">
        <v>0.5081502</v>
      </c>
      <c r="F6124" t="s">
        <v>100</v>
      </c>
      <c r="G6124">
        <v>-377.6139</v>
      </c>
      <c r="H6124" s="1">
        <v>-1.4900999999999999E-6</v>
      </c>
      <c r="I6124">
        <v>17.464400000000001</v>
      </c>
      <c r="J6124">
        <v>-391.0369</v>
      </c>
      <c r="K6124">
        <v>1.1119570000000001</v>
      </c>
      <c r="L6124">
        <v>18.457699999999999</v>
      </c>
      <c r="M6124">
        <v>0.96294469999999999</v>
      </c>
      <c r="N6124">
        <v>-1.0421619999999999E-2</v>
      </c>
      <c r="O6124">
        <v>-0.26949719999999999</v>
      </c>
      <c r="P6124">
        <v>0.9911818</v>
      </c>
      <c r="Q6124">
        <v>-0.1212966</v>
      </c>
      <c r="R6124">
        <v>-5.3348090000000001E-2</v>
      </c>
      <c r="S6124">
        <v>2.984467</v>
      </c>
      <c r="T6124">
        <v>-0.24538399999999999</v>
      </c>
      <c r="U6124">
        <v>-0.22485350000000001</v>
      </c>
      <c r="V6124">
        <v>-0.2150425</v>
      </c>
      <c r="W6124">
        <v>-0.1125765</v>
      </c>
      <c r="X6124">
        <v>0.97009440000000002</v>
      </c>
      <c r="Y6124">
        <v>-0.1950007</v>
      </c>
      <c r="Z6124">
        <v>2.8002659999999999E-2</v>
      </c>
      <c r="AA6124">
        <v>0.98040329999999998</v>
      </c>
      <c r="AB6124">
        <v>20</v>
      </c>
      <c r="AC6124">
        <v>13.423</v>
      </c>
      <c r="AD6124">
        <v>-1.1119584900999999</v>
      </c>
      <c r="AE6124">
        <v>-0.99329999999999796</v>
      </c>
      <c r="AF6124">
        <v>-2.6430735385130402</v>
      </c>
      <c r="AG6124">
        <v>-1.1119584900999999</v>
      </c>
      <c r="AH6124">
        <v>13.104576334946699</v>
      </c>
      <c r="AI6124">
        <v>94.754788593440196</v>
      </c>
      <c r="AJ6124">
        <v>101.40305625683099</v>
      </c>
      <c r="AK6124">
        <v>13.414626731003001</v>
      </c>
      <c r="AL6124">
        <v>96.463861283587804</v>
      </c>
      <c r="AM6124">
        <v>102.49874738323101</v>
      </c>
      <c r="AN6124">
        <v>0.99999994503492795</v>
      </c>
    </row>
    <row r="6125" spans="1:40" x14ac:dyDescent="0.25">
      <c r="A6125" t="str">
        <f>"20190305135049419"</f>
        <v>20190305135049419</v>
      </c>
      <c r="B6125" t="str">
        <f>"1551765049416113"</f>
        <v>1551765049416113</v>
      </c>
      <c r="C6125" t="s">
        <v>40</v>
      </c>
      <c r="D6125">
        <v>4.4476069999999996</v>
      </c>
      <c r="E6125">
        <v>0.50859120000000002</v>
      </c>
      <c r="F6125" t="s">
        <v>100</v>
      </c>
      <c r="G6125">
        <v>-377.76710000000003</v>
      </c>
      <c r="H6125" s="1">
        <v>-1.417824E-6</v>
      </c>
      <c r="I6125">
        <v>17.463629999999998</v>
      </c>
      <c r="J6125">
        <v>-390.94420000000002</v>
      </c>
      <c r="K6125">
        <v>1.1119859999999999</v>
      </c>
      <c r="L6125">
        <v>18.434570000000001</v>
      </c>
      <c r="M6125">
        <v>0.96358909999999998</v>
      </c>
      <c r="N6125">
        <v>-1.03736E-2</v>
      </c>
      <c r="O6125">
        <v>-0.26718629999999999</v>
      </c>
      <c r="P6125">
        <v>0.99120580000000003</v>
      </c>
      <c r="Q6125">
        <v>-0.1217374</v>
      </c>
      <c r="R6125">
        <v>-5.1878340000000002E-2</v>
      </c>
      <c r="S6125">
        <v>2.9840390000000001</v>
      </c>
      <c r="T6125">
        <v>-0.25005129999999998</v>
      </c>
      <c r="U6125">
        <v>-0.2235413</v>
      </c>
      <c r="V6125">
        <v>-0.21412819999999999</v>
      </c>
      <c r="W6125">
        <v>-0.1130736</v>
      </c>
      <c r="X6125">
        <v>0.97023890000000002</v>
      </c>
      <c r="Y6125">
        <v>-0.1930222</v>
      </c>
      <c r="Z6125">
        <v>2.8326810000000001E-2</v>
      </c>
      <c r="AA6125">
        <v>0.98078540000000003</v>
      </c>
      <c r="AB6125">
        <v>20</v>
      </c>
      <c r="AC6125">
        <v>13.1770999999999</v>
      </c>
      <c r="AD6125">
        <v>-1.1119874178239999</v>
      </c>
      <c r="AE6125">
        <v>-0.97094000000000202</v>
      </c>
      <c r="AF6125">
        <v>-2.5671099173259</v>
      </c>
      <c r="AG6125">
        <v>-1.1119874178239999</v>
      </c>
      <c r="AH6125">
        <v>12.866298293682799</v>
      </c>
      <c r="AI6125">
        <v>94.844571762702401</v>
      </c>
      <c r="AJ6125">
        <v>101.28359752860899</v>
      </c>
      <c r="AK6125">
        <v>13.166935905025801</v>
      </c>
      <c r="AL6125">
        <v>96.492525530439195</v>
      </c>
      <c r="AM6125">
        <v>102.445469876068</v>
      </c>
      <c r="AN6125">
        <v>1.0000000240627001</v>
      </c>
    </row>
    <row r="6126" spans="1:40" x14ac:dyDescent="0.25">
      <c r="A6126" t="str">
        <f>"20190305135049430"</f>
        <v>20190305135049430</v>
      </c>
      <c r="B6126" t="str">
        <f>"1551765049425873"</f>
        <v>1551765049425873</v>
      </c>
      <c r="C6126" t="s">
        <v>40</v>
      </c>
      <c r="D6126">
        <v>4.4488890000000003</v>
      </c>
      <c r="E6126">
        <v>0.50877249999999996</v>
      </c>
      <c r="F6126" t="s">
        <v>100</v>
      </c>
      <c r="G6126">
        <v>-377.60719999999998</v>
      </c>
      <c r="H6126" s="1">
        <v>-1.497681E-6</v>
      </c>
      <c r="I6126">
        <v>17.439540000000001</v>
      </c>
      <c r="J6126">
        <v>-390.8424</v>
      </c>
      <c r="K6126">
        <v>1.1120139999999901</v>
      </c>
      <c r="L6126">
        <v>18.409300000000002</v>
      </c>
      <c r="M6126">
        <v>0.96429339999999997</v>
      </c>
      <c r="N6126">
        <v>-1.032071E-2</v>
      </c>
      <c r="O6126">
        <v>-0.26463569999999997</v>
      </c>
      <c r="P6126">
        <v>0.99127270000000001</v>
      </c>
      <c r="Q6126">
        <v>-0.121806</v>
      </c>
      <c r="R6126">
        <v>-5.0420149999999997E-2</v>
      </c>
      <c r="S6126">
        <v>2.9844059999999999</v>
      </c>
      <c r="T6126">
        <v>-0.2488281</v>
      </c>
      <c r="U6126">
        <v>-0.2226563</v>
      </c>
      <c r="V6126">
        <v>-0.2129762</v>
      </c>
      <c r="W6126">
        <v>-0.1132025</v>
      </c>
      <c r="X6126">
        <v>0.97047740000000005</v>
      </c>
      <c r="Y6126">
        <v>-0.19075339999999999</v>
      </c>
      <c r="Z6126">
        <v>2.7902059999999999E-2</v>
      </c>
      <c r="AA6126">
        <v>0.98124129999999998</v>
      </c>
      <c r="AB6126">
        <v>20</v>
      </c>
      <c r="AC6126">
        <v>13.235200000000001</v>
      </c>
      <c r="AD6126">
        <v>-1.1120154976809999</v>
      </c>
      <c r="AE6126">
        <v>-0.96975999999999996</v>
      </c>
      <c r="AF6126">
        <v>-2.5496072776263898</v>
      </c>
      <c r="AG6126">
        <v>-1.1120154976809999</v>
      </c>
      <c r="AH6126">
        <v>12.9291571953054</v>
      </c>
      <c r="AI6126">
        <v>94.823379484648598</v>
      </c>
      <c r="AJ6126">
        <v>101.155495805097</v>
      </c>
      <c r="AK6126">
        <v>13.2249832331888</v>
      </c>
      <c r="AL6126">
        <v>96.499958670833095</v>
      </c>
      <c r="AM6126">
        <v>102.377635128397</v>
      </c>
      <c r="AN6126">
        <v>1.0000000258417201</v>
      </c>
    </row>
    <row r="6127" spans="1:40" x14ac:dyDescent="0.25">
      <c r="A6127" t="str">
        <f>"20190305135049442"</f>
        <v>20190305135049442</v>
      </c>
      <c r="B6127" t="str">
        <f>"1551765049435632"</f>
        <v>1551765049435632</v>
      </c>
      <c r="C6127" t="s">
        <v>40</v>
      </c>
      <c r="D6127">
        <v>4.4977799999999997</v>
      </c>
      <c r="E6127">
        <v>0.50902899999999995</v>
      </c>
      <c r="F6127" t="s">
        <v>100</v>
      </c>
      <c r="G6127">
        <v>-377.4436</v>
      </c>
      <c r="H6127" s="1">
        <v>-1.577918E-6</v>
      </c>
      <c r="I6127">
        <v>17.423210000000001</v>
      </c>
      <c r="J6127">
        <v>-390.73340000000002</v>
      </c>
      <c r="K6127">
        <v>1.112044</v>
      </c>
      <c r="L6127">
        <v>18.382719999999999</v>
      </c>
      <c r="M6127">
        <v>0.96504999999999996</v>
      </c>
      <c r="N6127">
        <v>-1.0259330000000001E-2</v>
      </c>
      <c r="O6127">
        <v>-0.2618645</v>
      </c>
      <c r="P6127">
        <v>0.99130929999999995</v>
      </c>
      <c r="Q6127">
        <v>-0.1222071</v>
      </c>
      <c r="R6127">
        <v>-4.8697619999999997E-2</v>
      </c>
      <c r="S6127">
        <v>2.984772</v>
      </c>
      <c r="T6127">
        <v>-0.24771689999999999</v>
      </c>
      <c r="U6127">
        <v>-0.21966550000000001</v>
      </c>
      <c r="V6127">
        <v>-0.21184829999999999</v>
      </c>
      <c r="W6127">
        <v>-0.113675</v>
      </c>
      <c r="X6127">
        <v>0.970669</v>
      </c>
      <c r="Y6127">
        <v>-0.1889467</v>
      </c>
      <c r="Z6127">
        <v>2.7502019999999999E-2</v>
      </c>
      <c r="AA6127">
        <v>0.98160210000000003</v>
      </c>
      <c r="AB6127">
        <v>20</v>
      </c>
      <c r="AC6127">
        <v>13.2898</v>
      </c>
      <c r="AD6127">
        <v>-1.1120455779180001</v>
      </c>
      <c r="AE6127">
        <v>-0.95951000000000097</v>
      </c>
      <c r="AF6127">
        <v>-2.53661769450818</v>
      </c>
      <c r="AG6127">
        <v>-1.1120455779180001</v>
      </c>
      <c r="AH6127">
        <v>12.986813578969899</v>
      </c>
      <c r="AI6127">
        <v>94.8038897876243</v>
      </c>
      <c r="AJ6127">
        <v>101.05201232644001</v>
      </c>
      <c r="AK6127">
        <v>13.278870495278399</v>
      </c>
      <c r="AL6127">
        <v>96.5272069321353</v>
      </c>
      <c r="AM6127">
        <v>102.31173299152501</v>
      </c>
      <c r="AN6127">
        <v>1.00000000769944</v>
      </c>
    </row>
    <row r="6128" spans="1:40" x14ac:dyDescent="0.25">
      <c r="A6128" t="str">
        <f>"20190305135049455"</f>
        <v>20190305135049455</v>
      </c>
      <c r="B6128" t="str">
        <f>"1551765049446368"</f>
        <v>1551765049446368</v>
      </c>
      <c r="C6128" t="s">
        <v>40</v>
      </c>
      <c r="D6128">
        <v>4.4555509999999998</v>
      </c>
      <c r="E6128">
        <v>0.50928149999999905</v>
      </c>
      <c r="F6128" t="s">
        <v>100</v>
      </c>
      <c r="G6128">
        <v>-377.3211</v>
      </c>
      <c r="H6128" s="1">
        <v>-1.6382069999999901E-6</v>
      </c>
      <c r="I6128">
        <v>17.409739999999999</v>
      </c>
      <c r="J6128">
        <v>-390.63470000000001</v>
      </c>
      <c r="K6128">
        <v>1.1120699999999999</v>
      </c>
      <c r="L6128">
        <v>18.35895</v>
      </c>
      <c r="M6128">
        <v>0.96573260000000005</v>
      </c>
      <c r="N6128">
        <v>-1.020183E-2</v>
      </c>
      <c r="O6128">
        <v>-0.25933859999999997</v>
      </c>
      <c r="P6128">
        <v>0.99134690000000003</v>
      </c>
      <c r="Q6128">
        <v>-0.1224885</v>
      </c>
      <c r="R6128">
        <v>-4.7205410000000003E-2</v>
      </c>
      <c r="S6128">
        <v>2.9851380000000001</v>
      </c>
      <c r="T6128">
        <v>-0.24750520000000001</v>
      </c>
      <c r="U6128">
        <v>-0.21655269999999999</v>
      </c>
      <c r="V6128">
        <v>-0.2107493</v>
      </c>
      <c r="W6128">
        <v>-0.11402139999999999</v>
      </c>
      <c r="X6128">
        <v>0.97086760000000005</v>
      </c>
      <c r="Y6128">
        <v>-0.18741849999999999</v>
      </c>
      <c r="Z6128">
        <v>2.7238419999999999E-2</v>
      </c>
      <c r="AA6128">
        <v>0.98190239999999995</v>
      </c>
      <c r="AB6128">
        <v>20</v>
      </c>
      <c r="AC6128">
        <v>13.313599999999999</v>
      </c>
      <c r="AD6128">
        <v>-1.1120716382069999</v>
      </c>
      <c r="AE6128">
        <v>-0.94921</v>
      </c>
      <c r="AF6128">
        <v>-2.5186949798969098</v>
      </c>
      <c r="AG6128">
        <v>-1.1120716382069999</v>
      </c>
      <c r="AH6128">
        <v>13.013886124566</v>
      </c>
      <c r="AI6128">
        <v>94.795649472516004</v>
      </c>
      <c r="AJ6128">
        <v>100.95354623027001</v>
      </c>
      <c r="AK6128">
        <v>13.301945714572501</v>
      </c>
      <c r="AL6128">
        <v>96.547183984876796</v>
      </c>
      <c r="AM6128">
        <v>102.247366948294</v>
      </c>
      <c r="AN6128">
        <v>1.0000000219191001</v>
      </c>
    </row>
    <row r="6129" spans="1:40" x14ac:dyDescent="0.25">
      <c r="A6129" t="str">
        <f>"20190305135049467"</f>
        <v>20190305135049467</v>
      </c>
      <c r="B6129" t="str">
        <f>"1551765049456127"</f>
        <v>1551765049456127</v>
      </c>
      <c r="C6129" t="s">
        <v>40</v>
      </c>
      <c r="D6129">
        <v>4.5045489999999999</v>
      </c>
      <c r="E6129">
        <v>0.50923370000000001</v>
      </c>
      <c r="F6129" t="s">
        <v>100</v>
      </c>
      <c r="G6129">
        <v>-377.20940000000002</v>
      </c>
      <c r="H6129" s="1">
        <v>-1.693462E-6</v>
      </c>
      <c r="I6129">
        <v>17.395969999999998</v>
      </c>
      <c r="J6129">
        <v>-390.51179999999999</v>
      </c>
      <c r="K6129">
        <v>1.112098</v>
      </c>
      <c r="L6129">
        <v>18.329619999999998</v>
      </c>
      <c r="M6129">
        <v>0.96658100000000002</v>
      </c>
      <c r="N6129">
        <v>-1.012679E-2</v>
      </c>
      <c r="O6129">
        <v>-0.25616159999999999</v>
      </c>
      <c r="P6129">
        <v>0.99142189999999997</v>
      </c>
      <c r="Q6129">
        <v>-0.1226001</v>
      </c>
      <c r="R6129">
        <v>-4.5299310000000002E-2</v>
      </c>
      <c r="S6129">
        <v>2.9854430000000001</v>
      </c>
      <c r="T6129">
        <v>-0.2472955</v>
      </c>
      <c r="U6129">
        <v>-0.21414179999999999</v>
      </c>
      <c r="V6129">
        <v>-0.20940780000000001</v>
      </c>
      <c r="W6129">
        <v>-0.1142164</v>
      </c>
      <c r="X6129">
        <v>0.97113490000000002</v>
      </c>
      <c r="Y6129">
        <v>-0.1850031</v>
      </c>
      <c r="Z6129">
        <v>2.6891780000000001E-2</v>
      </c>
      <c r="AA6129">
        <v>0.98236990000000002</v>
      </c>
      <c r="AB6129">
        <v>20</v>
      </c>
      <c r="AC6129">
        <v>13.302399999999899</v>
      </c>
      <c r="AD6129">
        <v>-1.112099693462</v>
      </c>
      <c r="AE6129">
        <v>-0.93364999999999998</v>
      </c>
      <c r="AF6129">
        <v>-2.48794052237495</v>
      </c>
      <c r="AG6129">
        <v>-1.112099693462</v>
      </c>
      <c r="AH6129">
        <v>13.007218620420501</v>
      </c>
      <c r="AI6129">
        <v>94.800224330291201</v>
      </c>
      <c r="AJ6129">
        <v>100.828392720648</v>
      </c>
      <c r="AK6129">
        <v>13.2896331781765</v>
      </c>
      <c r="AL6129">
        <v>96.558430253843696</v>
      </c>
      <c r="AM6129">
        <v>102.168488921725</v>
      </c>
      <c r="AN6129">
        <v>1.0000000033639</v>
      </c>
    </row>
    <row r="6130" spans="1:40" x14ac:dyDescent="0.25">
      <c r="A6130" t="str">
        <f>"20190305135049483"</f>
        <v>20190305135049483</v>
      </c>
      <c r="B6130" t="str">
        <f>"1551765049476623"</f>
        <v>1551765049476623</v>
      </c>
      <c r="C6130" t="s">
        <v>40</v>
      </c>
      <c r="D6130">
        <v>4.3249709999999997</v>
      </c>
      <c r="E6130">
        <v>0.50955740000000005</v>
      </c>
      <c r="F6130" t="s">
        <v>100</v>
      </c>
      <c r="G6130">
        <v>-377.23390000000001</v>
      </c>
      <c r="H6130" s="1">
        <v>-1.6803999999999901E-6</v>
      </c>
      <c r="I6130">
        <v>17.404250000000001</v>
      </c>
      <c r="J6130">
        <v>-390.39179999999999</v>
      </c>
      <c r="K6130">
        <v>1.112123</v>
      </c>
      <c r="L6130">
        <v>18.30161</v>
      </c>
      <c r="M6130">
        <v>0.96740950000000003</v>
      </c>
      <c r="N6130">
        <v>-1.0047520000000001E-2</v>
      </c>
      <c r="O6130">
        <v>-0.25301760000000001</v>
      </c>
      <c r="P6130">
        <v>0.99146109999999998</v>
      </c>
      <c r="Q6130">
        <v>-0.1230173</v>
      </c>
      <c r="R6130">
        <v>-4.3261960000000002E-2</v>
      </c>
      <c r="S6130">
        <v>2.9855040000000002</v>
      </c>
      <c r="T6130">
        <v>-0.25005349999999998</v>
      </c>
      <c r="U6130">
        <v>-0.2080688</v>
      </c>
      <c r="V6130">
        <v>-0.20821980000000001</v>
      </c>
      <c r="W6130">
        <v>-0.1147204</v>
      </c>
      <c r="X6130">
        <v>0.9713309</v>
      </c>
      <c r="Y6130">
        <v>-0.183778</v>
      </c>
      <c r="Z6130">
        <v>2.6945779999999999E-2</v>
      </c>
      <c r="AA6130">
        <v>0.98259839999999998</v>
      </c>
      <c r="AB6130">
        <v>20</v>
      </c>
      <c r="AC6130">
        <v>13.1578999999999</v>
      </c>
      <c r="AD6130">
        <v>-1.1121246804</v>
      </c>
      <c r="AE6130">
        <v>-0.89735999999999805</v>
      </c>
      <c r="AF6130">
        <v>-2.4438124625159099</v>
      </c>
      <c r="AG6130">
        <v>-1.1121246804</v>
      </c>
      <c r="AH6130">
        <v>12.8652968034314</v>
      </c>
      <c r="AI6130">
        <v>94.854207131067</v>
      </c>
      <c r="AJ6130">
        <v>100.755414150863</v>
      </c>
      <c r="AK6130">
        <v>13.1424846394084</v>
      </c>
      <c r="AL6130">
        <v>96.587498507999499</v>
      </c>
      <c r="AM6130">
        <v>102.099125775395</v>
      </c>
      <c r="AN6130">
        <v>0.99999998629150399</v>
      </c>
    </row>
    <row r="6131" spans="1:40" x14ac:dyDescent="0.25">
      <c r="A6131" t="str">
        <f>"20190305135049499"</f>
        <v>20190305135049499</v>
      </c>
      <c r="B6131" t="str">
        <f>"1551765049496144"</f>
        <v>1551765049496144</v>
      </c>
      <c r="C6131" t="s">
        <v>40</v>
      </c>
      <c r="D6131">
        <v>4.3974460000000004</v>
      </c>
      <c r="E6131">
        <v>0.51010459999999902</v>
      </c>
      <c r="F6131" t="s">
        <v>100</v>
      </c>
      <c r="G6131">
        <v>-377.22669999999999</v>
      </c>
      <c r="H6131" s="1">
        <v>-1.684673E-6</v>
      </c>
      <c r="I6131">
        <v>17.399480000000001</v>
      </c>
      <c r="J6131">
        <v>-390.24779999999998</v>
      </c>
      <c r="K6131">
        <v>1.1121460000000001</v>
      </c>
      <c r="L6131">
        <v>18.26849</v>
      </c>
      <c r="M6131">
        <v>0.96839759999999997</v>
      </c>
      <c r="N6131">
        <v>-9.9451810000000009E-3</v>
      </c>
      <c r="O6131">
        <v>-0.2492133</v>
      </c>
      <c r="P6131">
        <v>0.99146529999999999</v>
      </c>
      <c r="Q6131">
        <v>-0.1236165</v>
      </c>
      <c r="R6131">
        <v>-4.1420150000000003E-2</v>
      </c>
      <c r="S6131">
        <v>2.9856569999999998</v>
      </c>
      <c r="T6131">
        <v>-0.2522143</v>
      </c>
      <c r="U6131">
        <v>-0.20458979999999999</v>
      </c>
      <c r="V6131">
        <v>-0.20617240000000001</v>
      </c>
      <c r="W6131">
        <v>-0.11542330000000001</v>
      </c>
      <c r="X6131">
        <v>0.97168429999999995</v>
      </c>
      <c r="Y6131">
        <v>-0.18105199999999999</v>
      </c>
      <c r="Z6131">
        <v>2.6808459999999999E-2</v>
      </c>
      <c r="AA6131">
        <v>0.98310810000000004</v>
      </c>
      <c r="AB6131">
        <v>20</v>
      </c>
      <c r="AC6131">
        <v>13.021099999999899</v>
      </c>
      <c r="AD6131">
        <v>-1.1121476846729901</v>
      </c>
      <c r="AE6131">
        <v>-0.86900999999999895</v>
      </c>
      <c r="AF6131">
        <v>-2.3862720327362599</v>
      </c>
      <c r="AG6131">
        <v>-1.1121476846729901</v>
      </c>
      <c r="AH6131">
        <v>12.7343187882792</v>
      </c>
      <c r="AI6131">
        <v>94.906274283404898</v>
      </c>
      <c r="AJ6131">
        <v>100.613514659393</v>
      </c>
      <c r="AK6131">
        <v>13.003616484973101</v>
      </c>
      <c r="AL6131">
        <v>96.628041019942501</v>
      </c>
      <c r="AM6131">
        <v>101.979379664379</v>
      </c>
      <c r="AN6131">
        <v>0.99999998778556898</v>
      </c>
    </row>
    <row r="6132" spans="1:40" x14ac:dyDescent="0.25">
      <c r="A6132" t="str">
        <f>"20190305135049514"</f>
        <v>20190305135049514</v>
      </c>
      <c r="B6132" t="str">
        <f>"1551765049505904"</f>
        <v>1551765049505904</v>
      </c>
      <c r="C6132" t="s">
        <v>40</v>
      </c>
      <c r="D6132">
        <v>4.4908599999999996</v>
      </c>
      <c r="E6132">
        <v>0.5104668</v>
      </c>
      <c r="F6132" t="s">
        <v>100</v>
      </c>
      <c r="G6132">
        <v>-377.16410000000002</v>
      </c>
      <c r="H6132" s="1">
        <v>-1.7182419999999901E-6</v>
      </c>
      <c r="I6132">
        <v>17.376899999999999</v>
      </c>
      <c r="J6132">
        <v>-390.11020000000002</v>
      </c>
      <c r="K6132">
        <v>1.1121669999999999</v>
      </c>
      <c r="L6132">
        <v>18.237369999999999</v>
      </c>
      <c r="M6132">
        <v>0.96933689999999995</v>
      </c>
      <c r="N6132">
        <v>-9.8389979999999998E-3</v>
      </c>
      <c r="O6132">
        <v>-0.24553829999999999</v>
      </c>
      <c r="P6132">
        <v>0.9915349</v>
      </c>
      <c r="Q6132">
        <v>-0.123948</v>
      </c>
      <c r="R6132">
        <v>-3.8673289999999999E-2</v>
      </c>
      <c r="S6132">
        <v>2.985687</v>
      </c>
      <c r="T6132">
        <v>-0.2537913</v>
      </c>
      <c r="U6132">
        <v>-0.20346069999999999</v>
      </c>
      <c r="V6132">
        <v>-0.20515520000000001</v>
      </c>
      <c r="W6132">
        <v>-0.1158681</v>
      </c>
      <c r="X6132">
        <v>0.9718466</v>
      </c>
      <c r="Y6132">
        <v>-0.17769560000000001</v>
      </c>
      <c r="Z6132">
        <v>2.657849E-2</v>
      </c>
      <c r="AA6132">
        <v>0.98372649999999995</v>
      </c>
      <c r="AB6132">
        <v>20</v>
      </c>
      <c r="AC6132">
        <v>12.946099999999999</v>
      </c>
      <c r="AD6132">
        <v>-1.1121687182419999</v>
      </c>
      <c r="AE6132">
        <v>-0.86047000000000295</v>
      </c>
      <c r="AF6132">
        <v>-2.3276886256063301</v>
      </c>
      <c r="AG6132">
        <v>-1.1121687182419999</v>
      </c>
      <c r="AH6132">
        <v>12.6679493874302</v>
      </c>
      <c r="AI6132">
        <v>94.935153443006001</v>
      </c>
      <c r="AJ6132">
        <v>100.411747077092</v>
      </c>
      <c r="AK6132">
        <v>12.9279540252163</v>
      </c>
      <c r="AL6132">
        <v>96.653698627501299</v>
      </c>
      <c r="AM6132">
        <v>101.92003780217</v>
      </c>
      <c r="AN6132">
        <v>0.99999994330810305</v>
      </c>
    </row>
    <row r="6133" spans="1:40" x14ac:dyDescent="0.25">
      <c r="A6133" t="str">
        <f>"20190305135049531"</f>
        <v>20190305135049531</v>
      </c>
      <c r="B6133" t="str">
        <f>"1551765049526400"</f>
        <v>1551765049526400</v>
      </c>
      <c r="C6133" t="s">
        <v>40</v>
      </c>
      <c r="D6133">
        <v>4.4523729999999997</v>
      </c>
      <c r="E6133">
        <v>0.51085639999999999</v>
      </c>
      <c r="F6133" t="s">
        <v>100</v>
      </c>
      <c r="G6133">
        <v>-377.15219999999999</v>
      </c>
      <c r="H6133" s="1">
        <v>-1.7237629999999999E-6</v>
      </c>
      <c r="I6133">
        <v>17.377559999999999</v>
      </c>
      <c r="J6133">
        <v>-389.96440000000001</v>
      </c>
      <c r="K6133">
        <v>1.112177</v>
      </c>
      <c r="L6133">
        <v>18.20505</v>
      </c>
      <c r="M6133">
        <v>0.97032359999999895</v>
      </c>
      <c r="N6133">
        <v>-9.718328E-3</v>
      </c>
      <c r="O6133">
        <v>-0.2416152</v>
      </c>
      <c r="P6133">
        <v>0.99161639999999995</v>
      </c>
      <c r="Q6133">
        <v>-0.12399789999999999</v>
      </c>
      <c r="R6133">
        <v>-3.6353650000000001E-2</v>
      </c>
      <c r="S6133">
        <v>2.98584</v>
      </c>
      <c r="T6133">
        <v>-0.25627119999999998</v>
      </c>
      <c r="U6133">
        <v>-0.19812009999999999</v>
      </c>
      <c r="V6133">
        <v>-0.20348630000000001</v>
      </c>
      <c r="W6133">
        <v>-0.1160378</v>
      </c>
      <c r="X6133">
        <v>0.97217719999999996</v>
      </c>
      <c r="Y6133">
        <v>-0.17545999999999901</v>
      </c>
      <c r="Z6133">
        <v>2.6478930000000001E-2</v>
      </c>
      <c r="AA6133">
        <v>0.98413039999999996</v>
      </c>
      <c r="AB6133">
        <v>20</v>
      </c>
      <c r="AC6133">
        <v>12.812200000000001</v>
      </c>
      <c r="AD6133">
        <v>-1.1121787237630001</v>
      </c>
      <c r="AE6133">
        <v>-0.82749000000000095</v>
      </c>
      <c r="AF6133">
        <v>-2.2757201435528698</v>
      </c>
      <c r="AG6133">
        <v>-1.1121787237630001</v>
      </c>
      <c r="AH6133">
        <v>12.5384206907473</v>
      </c>
      <c r="AI6133">
        <v>94.987895161963493</v>
      </c>
      <c r="AJ6133">
        <v>100.28718417223</v>
      </c>
      <c r="AK6133">
        <v>12.791709702128299</v>
      </c>
      <c r="AL6133">
        <v>96.6634875284646</v>
      </c>
      <c r="AM6133">
        <v>101.821903401852</v>
      </c>
      <c r="AN6133">
        <v>0.99999997675818397</v>
      </c>
    </row>
    <row r="6134" spans="1:40" x14ac:dyDescent="0.25">
      <c r="A6134" t="str">
        <f>"20190305135049543"</f>
        <v>20190305135049543</v>
      </c>
      <c r="B6134" t="str">
        <f>"1551765049536160"</f>
        <v>1551765049536160</v>
      </c>
      <c r="C6134" t="s">
        <v>40</v>
      </c>
      <c r="D6134">
        <v>4.4220499999999996</v>
      </c>
      <c r="E6134">
        <v>0.51103799999999999</v>
      </c>
      <c r="F6134" t="s">
        <v>100</v>
      </c>
      <c r="G6134">
        <v>-376.90370000000001</v>
      </c>
      <c r="H6134" s="1">
        <v>-1.845103E-6</v>
      </c>
      <c r="I6134">
        <v>17.355560000000001</v>
      </c>
      <c r="J6134">
        <v>-389.85329999999999</v>
      </c>
      <c r="K6134">
        <v>1.1121799999999999</v>
      </c>
      <c r="L6134">
        <v>18.18094</v>
      </c>
      <c r="M6134">
        <v>0.97106950000000003</v>
      </c>
      <c r="N6134">
        <v>-9.6214639999999997E-3</v>
      </c>
      <c r="O6134">
        <v>-0.2386035</v>
      </c>
      <c r="P6134">
        <v>0.99173460000000002</v>
      </c>
      <c r="Q6134">
        <v>-0.1236666</v>
      </c>
      <c r="R6134">
        <v>-3.4193519999999998E-2</v>
      </c>
      <c r="S6134">
        <v>2.98645</v>
      </c>
      <c r="T6134">
        <v>-0.254310799999999</v>
      </c>
      <c r="U6134">
        <v>-0.19424440000000001</v>
      </c>
      <c r="V6134">
        <v>-0.20259340000000001</v>
      </c>
      <c r="W6134">
        <v>-0.11580360000000001</v>
      </c>
      <c r="X6134">
        <v>0.97239160000000002</v>
      </c>
      <c r="Y6134">
        <v>-0.17372679999999999</v>
      </c>
      <c r="Z6134">
        <v>2.5975649999999999E-2</v>
      </c>
      <c r="AA6134">
        <v>0.98445119999999997</v>
      </c>
      <c r="AB6134">
        <v>20</v>
      </c>
      <c r="AC6134">
        <v>12.949599999999901</v>
      </c>
      <c r="AD6134">
        <v>-1.1121818451030001</v>
      </c>
      <c r="AE6134">
        <v>-0.825379999999999</v>
      </c>
      <c r="AF6134">
        <v>-2.2717350511474499</v>
      </c>
      <c r="AG6134">
        <v>-1.1121818451030001</v>
      </c>
      <c r="AH6134">
        <v>12.679341947557701</v>
      </c>
      <c r="AI6134">
        <v>94.934746475994501</v>
      </c>
      <c r="AJ6134">
        <v>100.157804862053</v>
      </c>
      <c r="AK6134">
        <v>12.9291701521128</v>
      </c>
      <c r="AL6134">
        <v>96.649977680901301</v>
      </c>
      <c r="AM6134">
        <v>101.76895623548</v>
      </c>
      <c r="AN6134">
        <v>0.99999999162353903</v>
      </c>
    </row>
    <row r="6135" spans="1:40" x14ac:dyDescent="0.25">
      <c r="A6135" t="str">
        <f>"20190305135049556"</f>
        <v>20190305135049556</v>
      </c>
      <c r="B6135" t="str">
        <f>"1551765049545920"</f>
        <v>1551765049545920</v>
      </c>
      <c r="C6135" t="s">
        <v>40</v>
      </c>
      <c r="D6135">
        <v>4.3918910000000002</v>
      </c>
      <c r="E6135">
        <v>0.51121649999999996</v>
      </c>
      <c r="F6135" t="s">
        <v>100</v>
      </c>
      <c r="G6135">
        <v>-376.69450000000001</v>
      </c>
      <c r="H6135" s="1">
        <v>-1.9455299999999998E-6</v>
      </c>
      <c r="I6135">
        <v>17.34714</v>
      </c>
      <c r="J6135">
        <v>-389.74310000000003</v>
      </c>
      <c r="K6135">
        <v>1.1121829999999999</v>
      </c>
      <c r="L6135">
        <v>18.157350000000001</v>
      </c>
      <c r="M6135">
        <v>0.97180129999999998</v>
      </c>
      <c r="N6135">
        <v>-9.5247279999999997E-3</v>
      </c>
      <c r="O6135">
        <v>-0.2356094</v>
      </c>
      <c r="P6135">
        <v>0.99180360000000001</v>
      </c>
      <c r="Q6135">
        <v>-0.1237509</v>
      </c>
      <c r="R6135">
        <v>-3.1806769999999998E-2</v>
      </c>
      <c r="S6135">
        <v>2.9870000000000001</v>
      </c>
      <c r="T6135">
        <v>-0.2524613</v>
      </c>
      <c r="U6135">
        <v>-0.18926999999999999</v>
      </c>
      <c r="V6135">
        <v>-0.20192779999999999</v>
      </c>
      <c r="W6135">
        <v>-0.1159862</v>
      </c>
      <c r="X6135">
        <v>0.97250829999999999</v>
      </c>
      <c r="Y6135">
        <v>-0.1723691</v>
      </c>
      <c r="Z6135">
        <v>2.550852E-2</v>
      </c>
      <c r="AA6135">
        <v>0.98470210000000002</v>
      </c>
      <c r="AB6135">
        <v>20</v>
      </c>
      <c r="AC6135">
        <v>13.0486</v>
      </c>
      <c r="AD6135">
        <v>-1.1121849455299999</v>
      </c>
      <c r="AE6135">
        <v>-0.81021000000000098</v>
      </c>
      <c r="AF6135">
        <v>-2.2706803358879402</v>
      </c>
      <c r="AG6135">
        <v>-1.1121849455299999</v>
      </c>
      <c r="AH6135">
        <v>12.7796361771123</v>
      </c>
      <c r="AI6135">
        <v>94.897475696532396</v>
      </c>
      <c r="AJ6135">
        <v>100.075143720013</v>
      </c>
      <c r="AK6135">
        <v>13.0273575739752</v>
      </c>
      <c r="AL6135">
        <v>96.660510716787698</v>
      </c>
      <c r="AM6135">
        <v>101.729995101974</v>
      </c>
      <c r="AN6135">
        <v>1.0000000142860801</v>
      </c>
    </row>
    <row r="6136" spans="1:40" x14ac:dyDescent="0.25">
      <c r="A6136" t="str">
        <f>"20190305135049568"</f>
        <v>20190305135049568</v>
      </c>
      <c r="B6136" t="str">
        <f>"1551765049566417"</f>
        <v>1551765049566417</v>
      </c>
      <c r="C6136" t="s">
        <v>40</v>
      </c>
      <c r="D6136">
        <v>4.4535330000000002</v>
      </c>
      <c r="E6136">
        <v>0.51158000000000003</v>
      </c>
      <c r="F6136" t="s">
        <v>100</v>
      </c>
      <c r="G6136">
        <v>-376.54480000000001</v>
      </c>
      <c r="H6136" s="1">
        <v>-2.0164350000000002E-6</v>
      </c>
      <c r="I6136">
        <v>17.34638</v>
      </c>
      <c r="J6136">
        <v>-389.62970000000001</v>
      </c>
      <c r="K6136">
        <v>1.1121829999999999</v>
      </c>
      <c r="L6136">
        <v>18.133330000000001</v>
      </c>
      <c r="M6136">
        <v>0.97254600000000002</v>
      </c>
      <c r="N6136">
        <v>-9.4245010000000001E-3</v>
      </c>
      <c r="O6136">
        <v>-0.2325199</v>
      </c>
      <c r="P6136">
        <v>0.9918844</v>
      </c>
      <c r="Q6136">
        <v>-0.1236918</v>
      </c>
      <c r="R6136">
        <v>-2.942552E-2</v>
      </c>
      <c r="S6136">
        <v>2.987457</v>
      </c>
      <c r="T6136">
        <v>-0.25174400000000002</v>
      </c>
      <c r="U6136">
        <v>-0.18356320000000001</v>
      </c>
      <c r="V6136">
        <v>-0.20116809999999999</v>
      </c>
      <c r="W6136">
        <v>-0.1160269</v>
      </c>
      <c r="X6136">
        <v>0.97266090000000005</v>
      </c>
      <c r="Y6136">
        <v>-0.17114199999999999</v>
      </c>
      <c r="Z6136">
        <v>2.5165159999999999E-2</v>
      </c>
      <c r="AA6136">
        <v>0.98492489999999999</v>
      </c>
      <c r="AB6136">
        <v>20</v>
      </c>
      <c r="AC6136">
        <v>13.084899999999999</v>
      </c>
      <c r="AD6136">
        <v>-1.112185016435</v>
      </c>
      <c r="AE6136">
        <v>-0.78694999999999704</v>
      </c>
      <c r="AF6136">
        <v>-2.2609798630706801</v>
      </c>
      <c r="AG6136">
        <v>-1.112185016435</v>
      </c>
      <c r="AH6136">
        <v>12.8169581459978</v>
      </c>
      <c r="AI6136">
        <v>94.884347113108504</v>
      </c>
      <c r="AJ6136">
        <v>100.004354234055</v>
      </c>
      <c r="AK6136">
        <v>13.0622892927792</v>
      </c>
      <c r="AL6136">
        <v>96.662858359630704</v>
      </c>
      <c r="AM6136">
        <v>101.68529709699</v>
      </c>
      <c r="AN6136">
        <v>1.0000000361850101</v>
      </c>
    </row>
    <row r="6137" spans="1:40" x14ac:dyDescent="0.25">
      <c r="A6137" t="str">
        <f>"20190305135049586"</f>
        <v>20190305135049586</v>
      </c>
      <c r="B6137" t="str">
        <f>"1551765049576179"</f>
        <v>1551765049576179</v>
      </c>
      <c r="C6137" t="s">
        <v>40</v>
      </c>
      <c r="D6137">
        <v>4.4024929999999998</v>
      </c>
      <c r="E6137">
        <v>0.51173480000000005</v>
      </c>
      <c r="F6137" t="s">
        <v>100</v>
      </c>
      <c r="G6137">
        <v>-376.33049999999997</v>
      </c>
      <c r="H6137" s="1">
        <v>-2.1196980000000002E-6</v>
      </c>
      <c r="I6137">
        <v>17.335079999999898</v>
      </c>
      <c r="J6137">
        <v>-389.4742</v>
      </c>
      <c r="K6137">
        <v>1.1121719999999999</v>
      </c>
      <c r="L6137">
        <v>18.101199999999999</v>
      </c>
      <c r="M6137">
        <v>0.97355290000000005</v>
      </c>
      <c r="N6137">
        <v>-9.2788390000000005E-3</v>
      </c>
      <c r="O6137">
        <v>-0.22827339999999999</v>
      </c>
      <c r="P6137">
        <v>0.99193969999999998</v>
      </c>
      <c r="Q6137">
        <v>-0.1239619</v>
      </c>
      <c r="R6137">
        <v>-2.6247090000000001E-2</v>
      </c>
      <c r="S6137">
        <v>2.9880680000000002</v>
      </c>
      <c r="T6137">
        <v>-0.2498869</v>
      </c>
      <c r="U6137">
        <v>-0.17935179999999901</v>
      </c>
      <c r="V6137">
        <v>-0.20002429999999999</v>
      </c>
      <c r="W6137">
        <v>-0.11643870000000001</v>
      </c>
      <c r="X6137">
        <v>0.97284749999999998</v>
      </c>
      <c r="Y6137">
        <v>-0.16827819999999999</v>
      </c>
      <c r="Z6137">
        <v>2.4549850000000002E-2</v>
      </c>
      <c r="AA6137">
        <v>0.98543380000000003</v>
      </c>
      <c r="AB6137">
        <v>20</v>
      </c>
      <c r="AC6137">
        <v>13.143700000000001</v>
      </c>
      <c r="AD6137">
        <v>-1.112174119698</v>
      </c>
      <c r="AE6137">
        <v>-0.76612000000000002</v>
      </c>
      <c r="AF6137">
        <v>-2.2386215385610502</v>
      </c>
      <c r="AG6137">
        <v>-1.112174119698</v>
      </c>
      <c r="AH6137">
        <v>12.879624608600199</v>
      </c>
      <c r="AI6137">
        <v>94.862781394609698</v>
      </c>
      <c r="AJ6137">
        <v>99.8601366043968</v>
      </c>
      <c r="AK6137">
        <v>13.1199499893824</v>
      </c>
      <c r="AL6137">
        <v>96.686614187193101</v>
      </c>
      <c r="AM6137">
        <v>101.61850064133</v>
      </c>
      <c r="AN6137">
        <v>0.99999997485221404</v>
      </c>
    </row>
    <row r="6138" spans="1:40" x14ac:dyDescent="0.25">
      <c r="A6138" t="str">
        <f>"20190305135049598"</f>
        <v>20190305135049598</v>
      </c>
      <c r="B6138" t="str">
        <f>"1551765049595696"</f>
        <v>1551765049595696</v>
      </c>
      <c r="C6138" t="s">
        <v>40</v>
      </c>
      <c r="D6138">
        <v>4.4734569999999998</v>
      </c>
      <c r="E6138">
        <v>0.51205579999999995</v>
      </c>
      <c r="F6138" t="s">
        <v>100</v>
      </c>
      <c r="G6138">
        <v>-376.1694</v>
      </c>
      <c r="H6138" s="1">
        <v>-2.1950370000000001E-6</v>
      </c>
      <c r="I6138">
        <v>17.33971</v>
      </c>
      <c r="J6138">
        <v>-389.3646</v>
      </c>
      <c r="K6138">
        <v>1.1121639999999999</v>
      </c>
      <c r="L6138">
        <v>18.078980000000001</v>
      </c>
      <c r="M6138">
        <v>0.97425189999999995</v>
      </c>
      <c r="N6138">
        <v>-9.1678650000000007E-3</v>
      </c>
      <c r="O6138">
        <v>-0.22527610000000001</v>
      </c>
      <c r="P6138">
        <v>0.99197740000000001</v>
      </c>
      <c r="Q6138">
        <v>-0.1241722</v>
      </c>
      <c r="R6138">
        <v>-2.371154E-2</v>
      </c>
      <c r="S6138">
        <v>2.9886170000000001</v>
      </c>
      <c r="T6138">
        <v>-0.24982399999999999</v>
      </c>
      <c r="U6138">
        <v>-0.17105100000000001</v>
      </c>
      <c r="V6138">
        <v>-0.1995055</v>
      </c>
      <c r="W6138">
        <v>-0.116758399999999</v>
      </c>
      <c r="X6138">
        <v>0.9729158</v>
      </c>
      <c r="Y6138">
        <v>-0.1679919</v>
      </c>
      <c r="Z6138">
        <v>2.4329010000000002E-2</v>
      </c>
      <c r="AA6138">
        <v>0.98548809999999998</v>
      </c>
      <c r="AB6138">
        <v>20</v>
      </c>
      <c r="AC6138">
        <v>13.1952</v>
      </c>
      <c r="AD6138">
        <v>-1.1121661950370001</v>
      </c>
      <c r="AE6138">
        <v>-0.73926999999999699</v>
      </c>
      <c r="AF6138">
        <v>-2.2365833648125202</v>
      </c>
      <c r="AG6138">
        <v>-1.1121661950370001</v>
      </c>
      <c r="AH6138">
        <v>12.9309598895085</v>
      </c>
      <c r="AI6138">
        <v>94.844221905026004</v>
      </c>
      <c r="AJ6138">
        <v>99.812987783990593</v>
      </c>
      <c r="AK6138">
        <v>13.1700016118912</v>
      </c>
      <c r="AL6138">
        <v>96.705056865998998</v>
      </c>
      <c r="AM6138">
        <v>101.58839059102201</v>
      </c>
      <c r="AN6138">
        <v>1.00000006119522</v>
      </c>
    </row>
    <row r="6139" spans="1:40" x14ac:dyDescent="0.25">
      <c r="A6139" t="str">
        <f>"20190305135049612"</f>
        <v>20190305135049612</v>
      </c>
      <c r="B6139" t="str">
        <f>"1551765049606431"</f>
        <v>1551765049606431</v>
      </c>
      <c r="C6139" t="s">
        <v>40</v>
      </c>
      <c r="D6139">
        <v>4.5574680000000001</v>
      </c>
      <c r="E6139">
        <v>0.51179430000000004</v>
      </c>
      <c r="F6139" t="s">
        <v>100</v>
      </c>
      <c r="G6139">
        <v>-376.02280000000002</v>
      </c>
      <c r="H6139" s="1">
        <v>-2.2646439999999998E-6</v>
      </c>
      <c r="I6139">
        <v>17.337969999999999</v>
      </c>
      <c r="J6139">
        <v>-389.25119999999998</v>
      </c>
      <c r="K6139">
        <v>1.1121509999999999</v>
      </c>
      <c r="L6139">
        <v>18.056239999999999</v>
      </c>
      <c r="M6139">
        <v>0.97496519999999998</v>
      </c>
      <c r="N6139">
        <v>-9.0489479999999994E-3</v>
      </c>
      <c r="O6139">
        <v>-0.2221736</v>
      </c>
      <c r="P6139">
        <v>0.99206090000000002</v>
      </c>
      <c r="Q6139">
        <v>-0.12402779999999999</v>
      </c>
      <c r="R6139">
        <v>-2.079841E-2</v>
      </c>
      <c r="S6139">
        <v>2.9891049999999999</v>
      </c>
      <c r="T6139">
        <v>-0.249171</v>
      </c>
      <c r="U6139">
        <v>-0.16601560000000001</v>
      </c>
      <c r="V6139">
        <v>-0.19926669999999999</v>
      </c>
      <c r="W6139">
        <v>-0.11673310000000001</v>
      </c>
      <c r="X6139">
        <v>0.97296769999999999</v>
      </c>
      <c r="Y6139">
        <v>-0.1665375</v>
      </c>
      <c r="Z6139">
        <v>2.3986500000000001E-2</v>
      </c>
      <c r="AA6139">
        <v>0.98574329999999999</v>
      </c>
      <c r="AB6139">
        <v>21</v>
      </c>
      <c r="AC6139">
        <v>13.228399999999899</v>
      </c>
      <c r="AD6139">
        <v>-1.112153264644</v>
      </c>
      <c r="AE6139">
        <v>-0.71826999999999597</v>
      </c>
      <c r="AF6139">
        <v>-2.2231369141993498</v>
      </c>
      <c r="AG6139">
        <v>-1.112153264644</v>
      </c>
      <c r="AH6139">
        <v>12.9659661484141</v>
      </c>
      <c r="AI6139">
        <v>94.832358962027001</v>
      </c>
      <c r="AJ6139">
        <v>99.729295054863499</v>
      </c>
      <c r="AK6139">
        <v>13.202102135082701</v>
      </c>
      <c r="AL6139">
        <v>96.703597782902705</v>
      </c>
      <c r="AM6139">
        <v>101.57429353523101</v>
      </c>
      <c r="AN6139">
        <v>0.99999998980389404</v>
      </c>
    </row>
    <row r="6140" spans="1:40" x14ac:dyDescent="0.25">
      <c r="A6140" t="str">
        <f>"20190305135049624"</f>
        <v>20190305135049624</v>
      </c>
      <c r="B6140" t="str">
        <f>"1551765049616191"</f>
        <v>1551765049616191</v>
      </c>
      <c r="C6140" t="s">
        <v>40</v>
      </c>
      <c r="D6140">
        <v>4.4579940000000002</v>
      </c>
      <c r="E6140">
        <v>0.51179430000000004</v>
      </c>
      <c r="F6140" t="s">
        <v>100</v>
      </c>
      <c r="G6140">
        <v>-375.85469999999998</v>
      </c>
      <c r="H6140" s="1">
        <v>-2.3400250000000001E-6</v>
      </c>
      <c r="I6140">
        <v>17.36103</v>
      </c>
      <c r="J6140">
        <v>-389.13400000000001</v>
      </c>
      <c r="K6140">
        <v>1.112141</v>
      </c>
      <c r="L6140">
        <v>18.033259999999999</v>
      </c>
      <c r="M6140">
        <v>0.97569050000000002</v>
      </c>
      <c r="N6140">
        <v>-8.9189779999999993E-3</v>
      </c>
      <c r="O6140">
        <v>-0.21897169999999999</v>
      </c>
      <c r="P6140">
        <v>0.99207690000000004</v>
      </c>
      <c r="Q6140">
        <v>-0.12436170000000001</v>
      </c>
      <c r="R6140">
        <v>-1.7817240000000002E-2</v>
      </c>
      <c r="S6140">
        <v>2.989716</v>
      </c>
      <c r="T6140">
        <v>-0.24820110000000001</v>
      </c>
      <c r="U6140">
        <v>-0.15515139999999999</v>
      </c>
      <c r="V6140">
        <v>-0.19897970000000001</v>
      </c>
      <c r="W6140">
        <v>-0.1171963</v>
      </c>
      <c r="X6140">
        <v>0.97297080000000002</v>
      </c>
      <c r="Y6140">
        <v>-0.1668994</v>
      </c>
      <c r="Z6140">
        <v>2.3692149999999999E-2</v>
      </c>
      <c r="AA6140">
        <v>0.98568920000000004</v>
      </c>
      <c r="AB6140">
        <v>21</v>
      </c>
      <c r="AC6140">
        <v>13.279299999999999</v>
      </c>
      <c r="AD6140">
        <v>-1.112143340025</v>
      </c>
      <c r="AE6140">
        <v>-0.67223000000000199</v>
      </c>
      <c r="AF6140">
        <v>-2.2363460927907699</v>
      </c>
      <c r="AG6140">
        <v>-1.112143340025</v>
      </c>
      <c r="AH6140">
        <v>13.0131645653645</v>
      </c>
      <c r="AI6140">
        <v>94.814557731704596</v>
      </c>
      <c r="AJ6140">
        <v>99.751178029456398</v>
      </c>
      <c r="AK6140">
        <v>13.2506814413735</v>
      </c>
      <c r="AL6140">
        <v>96.730320301735105</v>
      </c>
      <c r="AM6140">
        <v>101.55803635858599</v>
      </c>
      <c r="AN6140">
        <v>1.0000000356992</v>
      </c>
    </row>
    <row r="6141" spans="1:40" x14ac:dyDescent="0.25">
      <c r="A6141" t="str">
        <f>"20190305135049635"</f>
        <v>20190305135049635</v>
      </c>
      <c r="B6141" t="str">
        <f>"1551765049625952"</f>
        <v>1551765049625952</v>
      </c>
      <c r="C6141" t="s">
        <v>40</v>
      </c>
      <c r="D6141">
        <v>4.4495209999999998</v>
      </c>
      <c r="E6141">
        <v>0.51047679999999995</v>
      </c>
      <c r="F6141" t="s">
        <v>100</v>
      </c>
      <c r="G6141">
        <v>-375.79349999999999</v>
      </c>
      <c r="H6141" s="1">
        <v>-2.3654319999999999E-6</v>
      </c>
      <c r="I6141">
        <v>17.380790000000001</v>
      </c>
      <c r="J6141">
        <v>-389.029</v>
      </c>
      <c r="K6141">
        <v>1.112128</v>
      </c>
      <c r="L6141">
        <v>18.01294</v>
      </c>
      <c r="M6141">
        <v>0.97633099999999995</v>
      </c>
      <c r="N6141">
        <v>-8.8025269999999992E-3</v>
      </c>
      <c r="O6141">
        <v>-0.2161035</v>
      </c>
      <c r="P6141">
        <v>0.99214089999999999</v>
      </c>
      <c r="Q6141">
        <v>-0.1242017</v>
      </c>
      <c r="R6141">
        <v>-1.518223E-2</v>
      </c>
      <c r="S6141">
        <v>2.9900509999999998</v>
      </c>
      <c r="T6141">
        <v>-0.24926880000000001</v>
      </c>
      <c r="U6141">
        <v>-0.14624019999999999</v>
      </c>
      <c r="V6141">
        <v>-0.19870740000000001</v>
      </c>
      <c r="W6141">
        <v>-0.1171512</v>
      </c>
      <c r="X6141">
        <v>0.9730318</v>
      </c>
      <c r="Y6141">
        <v>-0.16693350000000001</v>
      </c>
      <c r="Z6141">
        <v>2.3609149999999999E-2</v>
      </c>
      <c r="AA6141">
        <v>0.98568549999999999</v>
      </c>
      <c r="AB6141">
        <v>21</v>
      </c>
      <c r="AC6141">
        <v>13.2355</v>
      </c>
      <c r="AD6141">
        <v>-1.1121303654320001</v>
      </c>
      <c r="AE6141">
        <v>-0.63214999999999899</v>
      </c>
      <c r="AF6141">
        <v>-2.2274457431920598</v>
      </c>
      <c r="AG6141">
        <v>-1.1121303654320001</v>
      </c>
      <c r="AH6141">
        <v>12.967990829802501</v>
      </c>
      <c r="AI6141">
        <v>94.831264166269705</v>
      </c>
      <c r="AJ6141">
        <v>99.746297977384998</v>
      </c>
      <c r="AK6141">
        <v>13.204814828327599</v>
      </c>
      <c r="AL6141">
        <v>96.727718855789405</v>
      </c>
      <c r="AM6141">
        <v>101.541939976577</v>
      </c>
      <c r="AN6141">
        <v>0.99999995914371897</v>
      </c>
    </row>
    <row r="6142" spans="1:40" x14ac:dyDescent="0.25">
      <c r="A6142" t="str">
        <f>"20190305135049648"</f>
        <v>20190305135049648</v>
      </c>
      <c r="B6142" t="str">
        <f>"1551765049635712"</f>
        <v>1551765049635712</v>
      </c>
      <c r="C6142" t="s">
        <v>40</v>
      </c>
      <c r="D6142">
        <v>4.512518</v>
      </c>
      <c r="E6142">
        <v>0.50964520000000002</v>
      </c>
      <c r="F6142" t="s">
        <v>100</v>
      </c>
      <c r="G6142">
        <v>-375.41180000000003</v>
      </c>
      <c r="H6142" s="1">
        <v>-2.5369019999999999E-6</v>
      </c>
      <c r="I6142">
        <v>17.43139</v>
      </c>
      <c r="J6142">
        <v>-388.92070000000001</v>
      </c>
      <c r="K6142">
        <v>1.1121209999999999</v>
      </c>
      <c r="L6142">
        <v>17.992279999999901</v>
      </c>
      <c r="M6142">
        <v>0.97698099999999999</v>
      </c>
      <c r="N6142">
        <v>-8.6826019999999993E-3</v>
      </c>
      <c r="O6142">
        <v>-0.2131497</v>
      </c>
      <c r="P6142">
        <v>0.99218799999999996</v>
      </c>
      <c r="Q6142">
        <v>-0.12415519999999999</v>
      </c>
      <c r="R6142">
        <v>-1.218556E-2</v>
      </c>
      <c r="S6142">
        <v>2.991241</v>
      </c>
      <c r="T6142">
        <v>-0.24429880000000001</v>
      </c>
      <c r="U6142">
        <v>-0.12774659999999999</v>
      </c>
      <c r="V6142">
        <v>-0.1987015</v>
      </c>
      <c r="W6142">
        <v>-0.11722539999999999</v>
      </c>
      <c r="X6142">
        <v>0.97302409999999995</v>
      </c>
      <c r="Y6142">
        <v>-0.17009649999999901</v>
      </c>
      <c r="Z6142">
        <v>2.3062079999999999E-2</v>
      </c>
      <c r="AA6142">
        <v>0.98515750000000002</v>
      </c>
      <c r="AB6142">
        <v>21</v>
      </c>
      <c r="AC6142">
        <v>13.508899999999899</v>
      </c>
      <c r="AD6142">
        <v>-1.1121235369019999</v>
      </c>
      <c r="AE6142">
        <v>-0.560889999999997</v>
      </c>
      <c r="AF6142">
        <v>-2.31585833464933</v>
      </c>
      <c r="AG6142">
        <v>-1.1121235369019999</v>
      </c>
      <c r="AH6142">
        <v>13.228492696779</v>
      </c>
      <c r="AI6142">
        <v>94.733913257530702</v>
      </c>
      <c r="AJ6142">
        <v>99.929910552000393</v>
      </c>
      <c r="AK6142">
        <v>13.4756460927197</v>
      </c>
      <c r="AL6142">
        <v>96.731999491413106</v>
      </c>
      <c r="AM6142">
        <v>101.54169535373801</v>
      </c>
      <c r="AN6142">
        <v>0.99999998984410898</v>
      </c>
    </row>
    <row r="6143" spans="1:40" x14ac:dyDescent="0.25">
      <c r="A6143" t="str">
        <f>"20190305135049665"</f>
        <v>20190305135049665</v>
      </c>
      <c r="B6143" t="str">
        <f>"1551765049656211"</f>
        <v>1551765049656211</v>
      </c>
      <c r="C6143" t="s">
        <v>40</v>
      </c>
      <c r="D6143">
        <v>4.4708610000000002</v>
      </c>
      <c r="E6143">
        <v>0.50820010000000004</v>
      </c>
      <c r="F6143" t="s">
        <v>100</v>
      </c>
      <c r="G6143">
        <v>-375.08319999999998</v>
      </c>
      <c r="H6143" s="1">
        <v>-2.6846940000000002E-6</v>
      </c>
      <c r="I6143">
        <v>17.4739</v>
      </c>
      <c r="J6143">
        <v>-388.76260000000002</v>
      </c>
      <c r="K6143">
        <v>1.1121000000000001</v>
      </c>
      <c r="L6143">
        <v>17.96283</v>
      </c>
      <c r="M6143">
        <v>0.97791139999999999</v>
      </c>
      <c r="N6143">
        <v>-8.5077339999999994E-3</v>
      </c>
      <c r="O6143">
        <v>-0.2088467</v>
      </c>
      <c r="P6143">
        <v>0.99214380000000002</v>
      </c>
      <c r="Q6143">
        <v>-0.1248219</v>
      </c>
      <c r="R6143">
        <v>-8.3782470000000001E-3</v>
      </c>
      <c r="S6143">
        <v>2.9921259999999998</v>
      </c>
      <c r="T6143">
        <v>-0.2404782</v>
      </c>
      <c r="U6143">
        <v>-0.1120911</v>
      </c>
      <c r="V6143">
        <v>-0.19812450000000001</v>
      </c>
      <c r="W6143">
        <v>-0.1180634</v>
      </c>
      <c r="X6143">
        <v>0.97304049999999997</v>
      </c>
      <c r="Y6143">
        <v>-0.17096159999999999</v>
      </c>
      <c r="Z6143">
        <v>2.2442529999999999E-2</v>
      </c>
      <c r="AA6143">
        <v>0.98502210000000001</v>
      </c>
      <c r="AB6143">
        <v>21</v>
      </c>
      <c r="AC6143">
        <v>13.679399999999999</v>
      </c>
      <c r="AD6143">
        <v>-1.1121026846940001</v>
      </c>
      <c r="AE6143">
        <v>-0.48892999999999898</v>
      </c>
      <c r="AF6143">
        <v>-2.3632538502542899</v>
      </c>
      <c r="AG6143">
        <v>-1.1121026846940001</v>
      </c>
      <c r="AH6143">
        <v>13.3914450645825</v>
      </c>
      <c r="AI6143">
        <v>94.675360579793605</v>
      </c>
      <c r="AJ6143">
        <v>100.00821906087</v>
      </c>
      <c r="AK6143">
        <v>13.6437730140815</v>
      </c>
      <c r="AL6143">
        <v>96.780348701785897</v>
      </c>
      <c r="AM6143">
        <v>101.50888670837099</v>
      </c>
      <c r="AN6143">
        <v>1.0000000492800201</v>
      </c>
    </row>
    <row r="6144" spans="1:40" x14ac:dyDescent="0.25">
      <c r="A6144" t="str">
        <f>"20190305135049677"</f>
        <v>20190305135049677</v>
      </c>
      <c r="B6144" t="str">
        <f>"1551765049665968"</f>
        <v>1551765049665968</v>
      </c>
      <c r="C6144" t="s">
        <v>40</v>
      </c>
      <c r="D6144">
        <v>4.4481780000000004</v>
      </c>
      <c r="E6144">
        <v>0.50754929999999998</v>
      </c>
      <c r="F6144" t="s">
        <v>100</v>
      </c>
      <c r="G6144">
        <v>-374.65460000000002</v>
      </c>
      <c r="H6144" s="1">
        <v>-2.8751709999999999E-6</v>
      </c>
      <c r="I6144">
        <v>17.542400000000001</v>
      </c>
      <c r="J6144">
        <v>-388.65370000000001</v>
      </c>
      <c r="K6144">
        <v>1.1120829999999999</v>
      </c>
      <c r="L6144">
        <v>17.942900000000002</v>
      </c>
      <c r="M6144">
        <v>0.97854070000000004</v>
      </c>
      <c r="N6144">
        <v>-8.3842120000000003E-3</v>
      </c>
      <c r="O6144">
        <v>-0.20588319999999999</v>
      </c>
      <c r="P6144">
        <v>0.9921103</v>
      </c>
      <c r="Q6144">
        <v>-0.12523860000000001</v>
      </c>
      <c r="R6144">
        <v>-5.6917950000000004E-3</v>
      </c>
      <c r="S6144">
        <v>2.993347</v>
      </c>
      <c r="T6144">
        <v>-0.235958</v>
      </c>
      <c r="U6144">
        <v>-8.9202879999999998E-2</v>
      </c>
      <c r="V6144">
        <v>-0.19779389999999999</v>
      </c>
      <c r="W6144">
        <v>-0.1186021</v>
      </c>
      <c r="X6144">
        <v>0.97304219999999997</v>
      </c>
      <c r="Y6144">
        <v>-0.1755477</v>
      </c>
      <c r="Z6144">
        <v>2.201032E-2</v>
      </c>
      <c r="AA6144">
        <v>0.98422489999999996</v>
      </c>
      <c r="AB6144">
        <v>21</v>
      </c>
      <c r="AC6144">
        <v>13.9991</v>
      </c>
      <c r="AD6144">
        <v>-1.1120858751710001</v>
      </c>
      <c r="AE6144">
        <v>-0.40050000000000002</v>
      </c>
      <c r="AF6144">
        <v>-2.4747567407598998</v>
      </c>
      <c r="AG6144">
        <v>-1.1120858751710001</v>
      </c>
      <c r="AH6144">
        <v>13.6952732641252</v>
      </c>
      <c r="AI6144">
        <v>94.568685076225194</v>
      </c>
      <c r="AJ6144">
        <v>100.242901852488</v>
      </c>
      <c r="AK6144">
        <v>13.961434944114901</v>
      </c>
      <c r="AL6144">
        <v>96.811432640650295</v>
      </c>
      <c r="AM6144">
        <v>101.490174065085</v>
      </c>
      <c r="AN6144">
        <v>1.00000000399123</v>
      </c>
    </row>
    <row r="6145" spans="1:40" x14ac:dyDescent="0.25">
      <c r="A6145" t="str">
        <f>"20190305135049691"</f>
        <v>20190305135049691</v>
      </c>
      <c r="B6145" t="str">
        <f>"1551765049686464"</f>
        <v>1551765049686464</v>
      </c>
      <c r="C6145" t="s">
        <v>40</v>
      </c>
      <c r="D6145">
        <v>4.4430329999999998</v>
      </c>
      <c r="E6145">
        <v>0.50635269999999999</v>
      </c>
      <c r="F6145" t="s">
        <v>100</v>
      </c>
      <c r="G6145">
        <v>-374.38409999999999</v>
      </c>
      <c r="H6145" s="1">
        <v>-2.9961890000000001E-6</v>
      </c>
      <c r="I6145">
        <v>17.580870000000001</v>
      </c>
      <c r="J6145">
        <v>-388.52800000000002</v>
      </c>
      <c r="K6145">
        <v>1.1120719999999999</v>
      </c>
      <c r="L6145">
        <v>17.920289999999898</v>
      </c>
      <c r="M6145">
        <v>0.97925390000000001</v>
      </c>
      <c r="N6145">
        <v>-8.2394089999999996E-3</v>
      </c>
      <c r="O6145">
        <v>-0.20247000000000001</v>
      </c>
      <c r="P6145">
        <v>0.99208779999999996</v>
      </c>
      <c r="Q6145">
        <v>-0.12552089999999999</v>
      </c>
      <c r="R6145">
        <v>-2.5619179999999998E-3</v>
      </c>
      <c r="S6145">
        <v>2.9939269999999998</v>
      </c>
      <c r="T6145">
        <v>-0.2333297</v>
      </c>
      <c r="U6145">
        <v>-7.5958250000000005E-2</v>
      </c>
      <c r="V6145">
        <v>-0.19745799999999999</v>
      </c>
      <c r="W6145">
        <v>-0.1190277</v>
      </c>
      <c r="X6145">
        <v>0.97305850000000005</v>
      </c>
      <c r="Y6145">
        <v>-0.17650060000000001</v>
      </c>
      <c r="Z6145">
        <v>2.1579480000000002E-2</v>
      </c>
      <c r="AA6145">
        <v>0.98406389999999999</v>
      </c>
      <c r="AB6145">
        <v>21</v>
      </c>
      <c r="AC6145">
        <v>14.1439</v>
      </c>
      <c r="AD6145">
        <v>-1.112074996189</v>
      </c>
      <c r="AE6145">
        <v>-0.339419999999996</v>
      </c>
      <c r="AF6145">
        <v>-2.5158785245039601</v>
      </c>
      <c r="AG6145">
        <v>-1.112074996189</v>
      </c>
      <c r="AH6145">
        <v>13.834188891729401</v>
      </c>
      <c r="AI6145">
        <v>94.522040672764604</v>
      </c>
      <c r="AJ6145">
        <v>100.307137451736</v>
      </c>
      <c r="AK6145">
        <v>14.1050039999731</v>
      </c>
      <c r="AL6145">
        <v>96.835991375987902</v>
      </c>
      <c r="AM6145">
        <v>101.47099171215901</v>
      </c>
      <c r="AN6145">
        <v>1.00000004977676</v>
      </c>
    </row>
    <row r="6146" spans="1:40" x14ac:dyDescent="0.25">
      <c r="A6146" t="str">
        <f>"20190305135049705"</f>
        <v>20190305135049705</v>
      </c>
      <c r="B6146" t="str">
        <f>"1551765049696223"</f>
        <v>1551765049696223</v>
      </c>
      <c r="C6146" t="s">
        <v>40</v>
      </c>
      <c r="D6146">
        <v>4.4105160000000003</v>
      </c>
      <c r="E6146">
        <v>0.505803</v>
      </c>
      <c r="F6146" t="s">
        <v>100</v>
      </c>
      <c r="G6146">
        <v>-373.83879999999999</v>
      </c>
      <c r="H6146" s="1">
        <v>-3.2433139999999999E-6</v>
      </c>
      <c r="I6146">
        <v>17.640999999999998</v>
      </c>
      <c r="J6146">
        <v>-388.39659999999998</v>
      </c>
      <c r="K6146">
        <v>1.11206</v>
      </c>
      <c r="L6146">
        <v>17.897220000000001</v>
      </c>
      <c r="M6146">
        <v>0.97998549999999995</v>
      </c>
      <c r="N6146">
        <v>-8.08298E-3</v>
      </c>
      <c r="O6146">
        <v>-0.19890479999999999</v>
      </c>
      <c r="P6146">
        <v>0.992089</v>
      </c>
      <c r="Q6146">
        <v>-0.1255365</v>
      </c>
      <c r="R6146">
        <v>3.941455E-4</v>
      </c>
      <c r="S6146">
        <v>2.9950869999999998</v>
      </c>
      <c r="T6146">
        <v>-0.22674830000000001</v>
      </c>
      <c r="U6146">
        <v>-5.6945799999999998E-2</v>
      </c>
      <c r="V6146">
        <v>-0.1968104</v>
      </c>
      <c r="W6146">
        <v>-0.11919589999999899</v>
      </c>
      <c r="X6146">
        <v>0.97316899999999995</v>
      </c>
      <c r="Y6146">
        <v>-0.17923120000000001</v>
      </c>
      <c r="Z6146">
        <v>2.0837850000000002E-2</v>
      </c>
      <c r="AA6146">
        <v>0.98358630000000002</v>
      </c>
      <c r="AB6146">
        <v>21</v>
      </c>
      <c r="AC6146">
        <v>14.557799999999901</v>
      </c>
      <c r="AD6146">
        <v>-1.1120632433140001</v>
      </c>
      <c r="AE6146">
        <v>-0.256220000000002</v>
      </c>
      <c r="AF6146">
        <v>-2.6292727653933698</v>
      </c>
      <c r="AG6146">
        <v>-1.1120632433140001</v>
      </c>
      <c r="AH6146">
        <v>14.234824221136501</v>
      </c>
      <c r="AI6146">
        <v>94.393018540465505</v>
      </c>
      <c r="AJ6146">
        <v>100.464989409347</v>
      </c>
      <c r="AK6146">
        <v>14.518263688837701</v>
      </c>
      <c r="AL6146">
        <v>96.845698316721794</v>
      </c>
      <c r="AM6146">
        <v>101.43309886767901</v>
      </c>
      <c r="AN6146">
        <v>0.99999994934298297</v>
      </c>
    </row>
    <row r="6147" spans="1:40" x14ac:dyDescent="0.25">
      <c r="A6147" t="str">
        <f>"20190305135049723"</f>
        <v>20190305135049723</v>
      </c>
      <c r="B6147" t="str">
        <f>"1551765049715744"</f>
        <v>1551765049715744</v>
      </c>
      <c r="C6147" t="s">
        <v>40</v>
      </c>
      <c r="D6147">
        <v>4.4045550000000002</v>
      </c>
      <c r="E6147">
        <v>0.50472340000000004</v>
      </c>
      <c r="F6147" t="s">
        <v>100</v>
      </c>
      <c r="G6147">
        <v>-373.48599999999999</v>
      </c>
      <c r="H6147" s="1">
        <v>-3.4031800000000002E-6</v>
      </c>
      <c r="I6147">
        <v>17.68</v>
      </c>
      <c r="J6147">
        <v>-388.2441</v>
      </c>
      <c r="K6147">
        <v>1.112053</v>
      </c>
      <c r="L6147">
        <v>17.870999999999999</v>
      </c>
      <c r="M6147">
        <v>0.98081629999999997</v>
      </c>
      <c r="N6147">
        <v>-7.9022150000000006E-3</v>
      </c>
      <c r="O6147">
        <v>-0.19477449999999999</v>
      </c>
      <c r="P6147">
        <v>0.99207579999999995</v>
      </c>
      <c r="Q6147">
        <v>-0.1256015</v>
      </c>
      <c r="R6147">
        <v>3.189014E-3</v>
      </c>
      <c r="S6147">
        <v>2.9956670000000001</v>
      </c>
      <c r="T6147">
        <v>-0.2234225</v>
      </c>
      <c r="U6147">
        <v>-4.3640140000000001E-2</v>
      </c>
      <c r="V6147">
        <v>-0.19544449999999999</v>
      </c>
      <c r="W6147">
        <v>-0.1194322</v>
      </c>
      <c r="X6147">
        <v>0.97341529999999998</v>
      </c>
      <c r="Y6147">
        <v>-0.1794955</v>
      </c>
      <c r="Z6147">
        <v>2.0279479999999999E-2</v>
      </c>
      <c r="AA6147">
        <v>0.98354980000000003</v>
      </c>
      <c r="AB6147">
        <v>21</v>
      </c>
      <c r="AC6147">
        <v>14.758100000000001</v>
      </c>
      <c r="AD6147">
        <v>-1.11205640318</v>
      </c>
      <c r="AE6147">
        <v>-0.190999999999998</v>
      </c>
      <c r="AF6147">
        <v>-2.6720798811672299</v>
      </c>
      <c r="AG6147">
        <v>-1.11205640318</v>
      </c>
      <c r="AH6147">
        <v>14.4307155159185</v>
      </c>
      <c r="AI6147">
        <v>94.333232837868195</v>
      </c>
      <c r="AJ6147">
        <v>100.49042194859599</v>
      </c>
      <c r="AK6147">
        <v>14.7180919495892</v>
      </c>
      <c r="AL6147">
        <v>96.859334546669999</v>
      </c>
      <c r="AM6147">
        <v>101.35302097688999</v>
      </c>
      <c r="AN6147">
        <v>0.99999997462558898</v>
      </c>
    </row>
    <row r="6148" spans="1:40" x14ac:dyDescent="0.25">
      <c r="A6148" t="str">
        <f>"20190305135049735"</f>
        <v>20190305135049735</v>
      </c>
      <c r="B6148" t="str">
        <f>"1551765049726481"</f>
        <v>1551765049726481</v>
      </c>
      <c r="C6148" t="s">
        <v>40</v>
      </c>
      <c r="D6148">
        <v>4.3945699999999999</v>
      </c>
      <c r="E6148">
        <v>0.50420940000000003</v>
      </c>
      <c r="F6148" t="s">
        <v>100</v>
      </c>
      <c r="G6148">
        <v>-372.71140000000003</v>
      </c>
      <c r="H6148" s="1">
        <v>-3.7598770000000002E-6</v>
      </c>
      <c r="I6148">
        <v>17.733239999999999</v>
      </c>
      <c r="J6148">
        <v>-388.11950000000002</v>
      </c>
      <c r="K6148">
        <v>1.1120479999999999</v>
      </c>
      <c r="L6148">
        <v>17.850010000000001</v>
      </c>
      <c r="M6148">
        <v>0.98148060000000004</v>
      </c>
      <c r="N6148">
        <v>-7.756303E-3</v>
      </c>
      <c r="O6148">
        <v>-0.1914042</v>
      </c>
      <c r="P6148">
        <v>0.99207279999999998</v>
      </c>
      <c r="Q6148">
        <v>-0.1255281</v>
      </c>
      <c r="R6148">
        <v>5.8348999999999996E-3</v>
      </c>
      <c r="S6148">
        <v>2.996918</v>
      </c>
      <c r="T6148">
        <v>-0.21456310000000001</v>
      </c>
      <c r="U6148">
        <v>-2.658081E-2</v>
      </c>
      <c r="V6148">
        <v>-0.19469420000000001</v>
      </c>
      <c r="W6148">
        <v>-0.11950089999999999</v>
      </c>
      <c r="X6148">
        <v>0.97355720000000001</v>
      </c>
      <c r="Y6148">
        <v>-0.1817975</v>
      </c>
      <c r="Z6148">
        <v>1.9334250000000001E-2</v>
      </c>
      <c r="AA6148">
        <v>0.98314590000000002</v>
      </c>
      <c r="AB6148">
        <v>21</v>
      </c>
      <c r="AC6148">
        <v>15.4080999999999</v>
      </c>
      <c r="AD6148">
        <v>-1.1120517598769999</v>
      </c>
      <c r="AE6148">
        <v>-0.116770000000002</v>
      </c>
      <c r="AF6148">
        <v>-2.81996471248166</v>
      </c>
      <c r="AG6148">
        <v>-1.1120517598769999</v>
      </c>
      <c r="AH6148">
        <v>15.067078427631399</v>
      </c>
      <c r="AI6148">
        <v>94.149369639047706</v>
      </c>
      <c r="AJ6148">
        <v>100.60087305053599</v>
      </c>
      <c r="AK6148">
        <v>15.368985407003301</v>
      </c>
      <c r="AL6148">
        <v>96.863299267263798</v>
      </c>
      <c r="AM6148">
        <v>101.308956885771</v>
      </c>
      <c r="AN6148">
        <v>0.99999995914314399</v>
      </c>
    </row>
    <row r="6149" spans="1:40" x14ac:dyDescent="0.25">
      <c r="A6149" t="str">
        <f>"20190305135049746"</f>
        <v>20190305135049746</v>
      </c>
      <c r="B6149" t="str">
        <f>"1551765049736240"</f>
        <v>1551765049736240</v>
      </c>
      <c r="C6149" t="s">
        <v>40</v>
      </c>
      <c r="D6149">
        <v>4.4311780000000001</v>
      </c>
      <c r="E6149">
        <v>0.50374799999999997</v>
      </c>
      <c r="F6149" t="s">
        <v>100</v>
      </c>
      <c r="G6149">
        <v>-372.23039999999997</v>
      </c>
      <c r="H6149" s="1">
        <v>-3.98015999999999E-6</v>
      </c>
      <c r="I6149">
        <v>17.77317</v>
      </c>
      <c r="J6149">
        <v>-388.01029999999997</v>
      </c>
      <c r="K6149">
        <v>1.112044</v>
      </c>
      <c r="L6149">
        <v>17.831969999999998</v>
      </c>
      <c r="M6149">
        <v>0.98205290000000001</v>
      </c>
      <c r="N6149">
        <v>-7.6302359999999899E-3</v>
      </c>
      <c r="O6149">
        <v>-0.1884516</v>
      </c>
      <c r="P6149">
        <v>0.99212020000000001</v>
      </c>
      <c r="Q6149">
        <v>-0.12502559999999999</v>
      </c>
      <c r="R6149">
        <v>8.1404019999999997E-3</v>
      </c>
      <c r="S6149">
        <v>2.9974980000000002</v>
      </c>
      <c r="T6149">
        <v>-0.2097898</v>
      </c>
      <c r="U6149">
        <v>-1.4495849999999999E-2</v>
      </c>
      <c r="V6149">
        <v>-0.19404060000000001</v>
      </c>
      <c r="W6149">
        <v>-0.1191209</v>
      </c>
      <c r="X6149">
        <v>0.97373430000000005</v>
      </c>
      <c r="Y6149">
        <v>-0.18284829999999999</v>
      </c>
      <c r="Z6149">
        <v>1.8758380000000002E-2</v>
      </c>
      <c r="AA6149">
        <v>0.98296220000000001</v>
      </c>
      <c r="AB6149">
        <v>21</v>
      </c>
      <c r="AC6149">
        <v>15.7798999999999</v>
      </c>
      <c r="AD6149">
        <v>-1.1120479801600001</v>
      </c>
      <c r="AE6149">
        <v>-5.8800000000001497E-2</v>
      </c>
      <c r="AF6149">
        <v>-2.9016768165970701</v>
      </c>
      <c r="AG6149">
        <v>-1.1120479801600001</v>
      </c>
      <c r="AH6149">
        <v>15.4315901691447</v>
      </c>
      <c r="AI6149">
        <v>94.051033760798703</v>
      </c>
      <c r="AJ6149">
        <v>100.649256556815</v>
      </c>
      <c r="AK6149">
        <v>15.7413580801212</v>
      </c>
      <c r="AL6149">
        <v>96.841369844777503</v>
      </c>
      <c r="AM6149">
        <v>101.26996801438101</v>
      </c>
      <c r="AN6149">
        <v>1.0000000151308299</v>
      </c>
    </row>
    <row r="6150" spans="1:40" x14ac:dyDescent="0.25">
      <c r="A6150" t="str">
        <f>"20190305135049766"</f>
        <v>20190305135049766</v>
      </c>
      <c r="B6150" t="str">
        <f>"1551765049755760"</f>
        <v>1551765049755760</v>
      </c>
      <c r="C6150" t="s">
        <v>40</v>
      </c>
      <c r="D6150">
        <v>4.4058950000000001</v>
      </c>
      <c r="E6150">
        <v>0.50296730000000001</v>
      </c>
      <c r="F6150" t="s">
        <v>100</v>
      </c>
      <c r="G6150">
        <v>-371.66640000000001</v>
      </c>
      <c r="H6150" s="1">
        <v>-4.2400829999999996E-6</v>
      </c>
      <c r="I6150">
        <v>17.81101</v>
      </c>
      <c r="J6150">
        <v>-387.82889999999998</v>
      </c>
      <c r="K6150">
        <v>1.1120460000000001</v>
      </c>
      <c r="L6150">
        <v>17.802800000000001</v>
      </c>
      <c r="M6150">
        <v>0.98298090000000005</v>
      </c>
      <c r="N6150">
        <v>-7.42999E-3</v>
      </c>
      <c r="O6150">
        <v>-0.1835581</v>
      </c>
      <c r="P6150">
        <v>0.99220750000000002</v>
      </c>
      <c r="Q6150">
        <v>-0.1240739</v>
      </c>
      <c r="R6150">
        <v>1.1423340000000001E-2</v>
      </c>
      <c r="S6150">
        <v>2.9981689999999999</v>
      </c>
      <c r="T6150">
        <v>-0.20399690000000001</v>
      </c>
      <c r="U6150">
        <v>-3.8452149999999999E-3</v>
      </c>
      <c r="V6150">
        <v>-0.19243569999999999</v>
      </c>
      <c r="W6150">
        <v>-0.1183594</v>
      </c>
      <c r="X6150">
        <v>0.9741455</v>
      </c>
      <c r="Y6150">
        <v>-0.181504</v>
      </c>
      <c r="Z6150">
        <v>1.7895589999999999E-2</v>
      </c>
      <c r="AA6150">
        <v>0.98322739999999997</v>
      </c>
      <c r="AB6150">
        <v>21</v>
      </c>
      <c r="AC6150">
        <v>16.162499999999898</v>
      </c>
      <c r="AD6150">
        <v>-1.1120502400829999</v>
      </c>
      <c r="AE6150">
        <v>8.2099999999982708E-3</v>
      </c>
      <c r="AF6150">
        <v>-2.9608928614134902</v>
      </c>
      <c r="AG6150">
        <v>-1.1120502400829999</v>
      </c>
      <c r="AH6150">
        <v>15.8115062077802</v>
      </c>
      <c r="AI6150">
        <v>93.954569058299697</v>
      </c>
      <c r="AJ6150">
        <v>100.60647648528899</v>
      </c>
      <c r="AK6150">
        <v>16.124740953947398</v>
      </c>
      <c r="AL6150">
        <v>96.797428677439399</v>
      </c>
      <c r="AM6150">
        <v>101.17451173216701</v>
      </c>
      <c r="AN6150">
        <v>0.99999995068654801</v>
      </c>
    </row>
    <row r="6151" spans="1:40" x14ac:dyDescent="0.25">
      <c r="A6151" t="str">
        <f>"20190305135049780"</f>
        <v>20190305135049780</v>
      </c>
      <c r="B6151" t="str">
        <f>"1551765049776256"</f>
        <v>1551765049776256</v>
      </c>
      <c r="C6151" t="s">
        <v>40</v>
      </c>
      <c r="D6151">
        <v>4.4179620000000002</v>
      </c>
      <c r="E6151">
        <v>0.50236029999999998</v>
      </c>
      <c r="F6151" t="s">
        <v>100</v>
      </c>
      <c r="G6151">
        <v>-370.82740000000001</v>
      </c>
      <c r="H6151" s="1">
        <v>-4.6257170000000003E-6</v>
      </c>
      <c r="I6151">
        <v>17.872689999999999</v>
      </c>
      <c r="J6151">
        <v>-387.7063</v>
      </c>
      <c r="K6151">
        <v>1.1120460000000001</v>
      </c>
      <c r="L6151">
        <v>17.783629999999999</v>
      </c>
      <c r="M6151">
        <v>0.98359229999999997</v>
      </c>
      <c r="N6151">
        <v>-7.3014730000000002E-3</v>
      </c>
      <c r="O6151">
        <v>-0.18025830000000001</v>
      </c>
      <c r="P6151">
        <v>0.99221060000000005</v>
      </c>
      <c r="Q6151">
        <v>-0.1237791</v>
      </c>
      <c r="R6151">
        <v>1.4035209999999999E-2</v>
      </c>
      <c r="S6151">
        <v>2.9988709999999998</v>
      </c>
      <c r="T6151">
        <v>-0.19615270000000001</v>
      </c>
      <c r="U6151">
        <v>1.2329100000000001E-2</v>
      </c>
      <c r="V6151">
        <v>-0.19173480000000001</v>
      </c>
      <c r="W6151">
        <v>-0.1181902</v>
      </c>
      <c r="X6151">
        <v>0.97430430000000001</v>
      </c>
      <c r="Y6151">
        <v>-0.1835687</v>
      </c>
      <c r="Z6151">
        <v>1.7078079999999999E-2</v>
      </c>
      <c r="AA6151">
        <v>0.98285849999999997</v>
      </c>
      <c r="AB6151">
        <v>21</v>
      </c>
      <c r="AC6151">
        <v>16.878899999999899</v>
      </c>
      <c r="AD6151">
        <v>-1.112050625717</v>
      </c>
      <c r="AE6151">
        <v>8.9059999999999903E-2</v>
      </c>
      <c r="AF6151">
        <v>-3.1167153275148198</v>
      </c>
      <c r="AG6151">
        <v>-1.112050625717</v>
      </c>
      <c r="AH6151">
        <v>16.5146595494606</v>
      </c>
      <c r="AI6151">
        <v>93.785692966876596</v>
      </c>
      <c r="AJ6151">
        <v>100.687397594983</v>
      </c>
      <c r="AK6151">
        <v>16.842937720644699</v>
      </c>
      <c r="AL6151">
        <v>96.787665279148797</v>
      </c>
      <c r="AM6151">
        <v>101.133060649895</v>
      </c>
      <c r="AN6151">
        <v>1.00000001295278</v>
      </c>
    </row>
    <row r="6152" spans="1:40" x14ac:dyDescent="0.25">
      <c r="A6152" t="str">
        <f>"20190305135049791"</f>
        <v>20190305135049791</v>
      </c>
      <c r="B6152" t="str">
        <f>"1551765049786016"</f>
        <v>1551765049786016</v>
      </c>
      <c r="C6152" t="s">
        <v>40</v>
      </c>
      <c r="D6152">
        <v>4.4068160000000001</v>
      </c>
      <c r="E6152">
        <v>0.50208379999999997</v>
      </c>
      <c r="F6152" t="s">
        <v>100</v>
      </c>
      <c r="G6152">
        <v>-370.50009999999997</v>
      </c>
      <c r="H6152" s="1">
        <v>-4.7707739999999998E-6</v>
      </c>
      <c r="I6152">
        <v>17.927199999999999</v>
      </c>
      <c r="J6152">
        <v>-387.59030000000001</v>
      </c>
      <c r="K6152">
        <v>1.1120399999999999</v>
      </c>
      <c r="L6152">
        <v>17.765750000000001</v>
      </c>
      <c r="M6152">
        <v>0.98415989999999998</v>
      </c>
      <c r="N6152">
        <v>-7.182613E-3</v>
      </c>
      <c r="O6152">
        <v>-0.177138299999999</v>
      </c>
      <c r="P6152">
        <v>0.99220969999999997</v>
      </c>
      <c r="Q6152">
        <v>-0.12346799999999999</v>
      </c>
      <c r="R6152">
        <v>1.660522E-2</v>
      </c>
      <c r="S6152">
        <v>2.998993</v>
      </c>
      <c r="T6152">
        <v>-0.19382669999999999</v>
      </c>
      <c r="U6152">
        <v>2.502441E-2</v>
      </c>
      <c r="V6152">
        <v>-0.19117339999999999</v>
      </c>
      <c r="W6152">
        <v>-0.1179958</v>
      </c>
      <c r="X6152">
        <v>0.97443820000000003</v>
      </c>
      <c r="Y6152">
        <v>-0.18463160000000001</v>
      </c>
      <c r="Z6152">
        <v>1.67409E-2</v>
      </c>
      <c r="AA6152">
        <v>0.98266520000000002</v>
      </c>
      <c r="AB6152">
        <v>21</v>
      </c>
      <c r="AC6152">
        <v>17.090199999999999</v>
      </c>
      <c r="AD6152">
        <v>-1.112044770774</v>
      </c>
      <c r="AE6152">
        <v>0.16144999999999801</v>
      </c>
      <c r="AF6152">
        <v>-3.1728706255094399</v>
      </c>
      <c r="AG6152">
        <v>-1.112044770774</v>
      </c>
      <c r="AH6152">
        <v>16.720533042399801</v>
      </c>
      <c r="AI6152">
        <v>93.738489779830999</v>
      </c>
      <c r="AJ6152">
        <v>100.74463600658299</v>
      </c>
      <c r="AK6152">
        <v>17.055203804129999</v>
      </c>
      <c r="AL6152">
        <v>96.776448295312505</v>
      </c>
      <c r="AM6152">
        <v>101.09978630931499</v>
      </c>
      <c r="AN6152">
        <v>1.0000000416522099</v>
      </c>
    </row>
    <row r="6153" spans="1:40" x14ac:dyDescent="0.25">
      <c r="A6153" t="str">
        <f>"20190305135049803"</f>
        <v>20190305135049803</v>
      </c>
      <c r="B6153" t="str">
        <f>"1551765049796752"</f>
        <v>1551765049796752</v>
      </c>
      <c r="C6153" t="s">
        <v>40</v>
      </c>
      <c r="D6153">
        <v>4.3874409999999999</v>
      </c>
      <c r="E6153">
        <v>0.50185609999999903</v>
      </c>
      <c r="F6153" t="s">
        <v>100</v>
      </c>
      <c r="G6153">
        <v>-370.23599999999999</v>
      </c>
      <c r="H6153" s="1">
        <v>-4.8883009999999997E-6</v>
      </c>
      <c r="I6153">
        <v>17.96848</v>
      </c>
      <c r="J6153">
        <v>-387.47660000000002</v>
      </c>
      <c r="K6153">
        <v>1.112036</v>
      </c>
      <c r="L6153">
        <v>17.74869</v>
      </c>
      <c r="M6153">
        <v>0.98470489999999999</v>
      </c>
      <c r="N6153">
        <v>-7.0708300000000002E-3</v>
      </c>
      <c r="O6153">
        <v>-0.1740872</v>
      </c>
      <c r="P6153">
        <v>0.99214020000000003</v>
      </c>
      <c r="Q6153">
        <v>-0.1236491</v>
      </c>
      <c r="R6153">
        <v>1.9205030000000001E-2</v>
      </c>
      <c r="S6153">
        <v>2.9990540000000001</v>
      </c>
      <c r="T6153">
        <v>-0.1921755</v>
      </c>
      <c r="U6153">
        <v>3.5034179999999998E-2</v>
      </c>
      <c r="V6153">
        <v>-0.19069700000000001</v>
      </c>
      <c r="W6153">
        <v>-0.118287</v>
      </c>
      <c r="X6153">
        <v>0.97449620000000003</v>
      </c>
      <c r="Y6153">
        <v>-0.1848814</v>
      </c>
      <c r="Z6153">
        <v>1.6440799999999998E-2</v>
      </c>
      <c r="AA6153">
        <v>0.98262329999999998</v>
      </c>
      <c r="AB6153">
        <v>22</v>
      </c>
      <c r="AC6153">
        <v>17.240600000000001</v>
      </c>
      <c r="AD6153">
        <v>-1.112040888301</v>
      </c>
      <c r="AE6153">
        <v>0.21978999999999899</v>
      </c>
      <c r="AF6153">
        <v>-3.2045462888102798</v>
      </c>
      <c r="AG6153">
        <v>-1.112040888301</v>
      </c>
      <c r="AH6153">
        <v>16.868893155821301</v>
      </c>
      <c r="AI6153">
        <v>93.705547851313696</v>
      </c>
      <c r="AJ6153">
        <v>100.756185673004</v>
      </c>
      <c r="AK6153">
        <v>17.206548409163801</v>
      </c>
      <c r="AL6153">
        <v>96.793250765790404</v>
      </c>
      <c r="AM6153">
        <v>101.072167542171</v>
      </c>
      <c r="AN6153">
        <v>1.0000000019962201</v>
      </c>
    </row>
    <row r="6154" spans="1:40" x14ac:dyDescent="0.25">
      <c r="A6154" t="str">
        <f>"20190305135049822"</f>
        <v>20190305135049822</v>
      </c>
      <c r="B6154" t="str">
        <f>"1551765049816272"</f>
        <v>1551765049816272</v>
      </c>
      <c r="C6154" t="s">
        <v>40</v>
      </c>
      <c r="D6154">
        <v>4.3923829999999997</v>
      </c>
      <c r="E6154">
        <v>0.50141369999999996</v>
      </c>
      <c r="F6154" t="s">
        <v>100</v>
      </c>
      <c r="G6154">
        <v>-370.10180000000003</v>
      </c>
      <c r="H6154" s="1">
        <v>-4.94472E-6</v>
      </c>
      <c r="I6154">
        <v>18.00788</v>
      </c>
      <c r="J6154">
        <v>-387.31150000000002</v>
      </c>
      <c r="K6154">
        <v>1.1120289999999999</v>
      </c>
      <c r="L6154">
        <v>17.724519999999998</v>
      </c>
      <c r="M6154">
        <v>0.98547649999999998</v>
      </c>
      <c r="N6154">
        <v>-6.9111789999999999E-3</v>
      </c>
      <c r="O6154">
        <v>-0.16967199999999999</v>
      </c>
      <c r="P6154">
        <v>0.99200330000000003</v>
      </c>
      <c r="Q6154">
        <v>-0.1241223</v>
      </c>
      <c r="R6154">
        <v>2.287548E-2</v>
      </c>
      <c r="S6154">
        <v>2.9990540000000001</v>
      </c>
      <c r="T6154">
        <v>-0.19194910000000001</v>
      </c>
      <c r="U6154">
        <v>4.4738769999999997E-2</v>
      </c>
      <c r="V6154">
        <v>-0.1899158</v>
      </c>
      <c r="W6154">
        <v>-0.11891599999999999</v>
      </c>
      <c r="X6154">
        <v>0.9745722</v>
      </c>
      <c r="Y6154">
        <v>-0.18366669999999999</v>
      </c>
      <c r="Z6154">
        <v>1.614295E-2</v>
      </c>
      <c r="AA6154">
        <v>0.98285599999999995</v>
      </c>
      <c r="AB6154">
        <v>22</v>
      </c>
      <c r="AC6154">
        <v>17.209699999999899</v>
      </c>
      <c r="AD6154">
        <v>-1.1120339447200001</v>
      </c>
      <c r="AE6154">
        <v>0.283359999999998</v>
      </c>
      <c r="AF6154">
        <v>-3.1860257298070702</v>
      </c>
      <c r="AG6154">
        <v>-1.1120339447200001</v>
      </c>
      <c r="AH6154">
        <v>16.841777457838301</v>
      </c>
      <c r="AI6154">
        <v>93.712011789738199</v>
      </c>
      <c r="AJ6154">
        <v>100.71228058689</v>
      </c>
      <c r="AK6154">
        <v>17.176520235034602</v>
      </c>
      <c r="AL6154">
        <v>96.829546002304596</v>
      </c>
      <c r="AM6154">
        <v>101.02708507617299</v>
      </c>
      <c r="AN6154">
        <v>0.99999999957923902</v>
      </c>
    </row>
    <row r="6155" spans="1:40" x14ac:dyDescent="0.25">
      <c r="A6155" t="str">
        <f>"20190305135049833"</f>
        <v>20190305135049833</v>
      </c>
      <c r="B6155" t="str">
        <f>"1551765049826032"</f>
        <v>1551765049826032</v>
      </c>
      <c r="C6155" t="s">
        <v>40</v>
      </c>
      <c r="D6155">
        <v>4.3958589999999997</v>
      </c>
      <c r="E6155">
        <v>0.50119570000000002</v>
      </c>
      <c r="F6155" t="s">
        <v>101</v>
      </c>
      <c r="G6155">
        <v>-369.9289</v>
      </c>
      <c r="H6155" s="1">
        <v>-4.3937949999999999E-7</v>
      </c>
      <c r="I6155">
        <v>18.069289999999999</v>
      </c>
      <c r="J6155">
        <v>-387.18830000000003</v>
      </c>
      <c r="K6155">
        <v>1.1120209999999999</v>
      </c>
      <c r="L6155">
        <v>17.706879999999899</v>
      </c>
      <c r="M6155">
        <v>0.98603730000000001</v>
      </c>
      <c r="N6155">
        <v>-6.7922109999999898E-3</v>
      </c>
      <c r="O6155">
        <v>-0.16638610000000001</v>
      </c>
      <c r="P6155">
        <v>0.99185679999999998</v>
      </c>
      <c r="Q6155">
        <v>-0.12471019999999899</v>
      </c>
      <c r="R6155">
        <v>2.5843359999999999E-2</v>
      </c>
      <c r="S6155">
        <v>2.9988100000000002</v>
      </c>
      <c r="T6155">
        <v>-0.19184419999999999</v>
      </c>
      <c r="U6155">
        <v>5.9478759999999999E-2</v>
      </c>
      <c r="V6155">
        <v>-0.18956319999999999</v>
      </c>
      <c r="W6155">
        <v>-0.1196213</v>
      </c>
      <c r="X6155">
        <v>0.97455449999999999</v>
      </c>
      <c r="Y6155">
        <v>-0.18522269999999999</v>
      </c>
      <c r="Z6155">
        <v>1.6014770000000001E-2</v>
      </c>
      <c r="AA6155">
        <v>0.9825661</v>
      </c>
      <c r="AB6155">
        <v>22</v>
      </c>
      <c r="AC6155">
        <v>17.259399999999999</v>
      </c>
      <c r="AD6155">
        <v>-1.1120214393794901</v>
      </c>
      <c r="AE6155">
        <v>0.36241000000000001</v>
      </c>
      <c r="AF6155">
        <v>-3.2158048739956802</v>
      </c>
      <c r="AG6155">
        <v>-1.1120214393794901</v>
      </c>
      <c r="AH6155">
        <v>16.888426616166001</v>
      </c>
      <c r="AI6155">
        <v>93.700906546961406</v>
      </c>
      <c r="AJ6155">
        <v>100.780898643263</v>
      </c>
      <c r="AK6155">
        <v>17.2277957452159</v>
      </c>
      <c r="AL6155">
        <v>96.870247460275095</v>
      </c>
      <c r="AM6155">
        <v>101.00730755047501</v>
      </c>
      <c r="AN6155">
        <v>0.99999996783908895</v>
      </c>
    </row>
    <row r="6156" spans="1:40" x14ac:dyDescent="0.25">
      <c r="A6156" t="str">
        <f>"20190305135049845"</f>
        <v>20190305135049845</v>
      </c>
      <c r="B6156" t="str">
        <f>"1551765049835792"</f>
        <v>1551765049835792</v>
      </c>
      <c r="C6156" t="s">
        <v>40</v>
      </c>
      <c r="D6156">
        <v>4.3717220000000001</v>
      </c>
      <c r="E6156">
        <v>0.5009692</v>
      </c>
      <c r="F6156" t="s">
        <v>101</v>
      </c>
      <c r="G6156">
        <v>-369.91750000000002</v>
      </c>
      <c r="H6156" s="1">
        <v>-4.3251979999999997E-7</v>
      </c>
      <c r="I6156">
        <v>18.111509999999999</v>
      </c>
      <c r="J6156">
        <v>-387.07479999999998</v>
      </c>
      <c r="K6156">
        <v>1.1120080000000001</v>
      </c>
      <c r="L6156">
        <v>17.691009999999999</v>
      </c>
      <c r="M6156">
        <v>0.98654240000000004</v>
      </c>
      <c r="N6156">
        <v>-6.6811250000000004E-3</v>
      </c>
      <c r="O6156">
        <v>-0.16336899999999999</v>
      </c>
      <c r="P6156">
        <v>0.99176790000000004</v>
      </c>
      <c r="Q6156">
        <v>-0.1248165</v>
      </c>
      <c r="R6156">
        <v>2.859043E-2</v>
      </c>
      <c r="S6156">
        <v>2.9985659999999998</v>
      </c>
      <c r="T6156">
        <v>-0.19306909999999999</v>
      </c>
      <c r="U6156">
        <v>7.0251460000000002E-2</v>
      </c>
      <c r="V6156">
        <v>-0.1892752</v>
      </c>
      <c r="W6156">
        <v>-0.1198364</v>
      </c>
      <c r="X6156">
        <v>0.97458409999999995</v>
      </c>
      <c r="Y6156">
        <v>-0.18574099999999999</v>
      </c>
      <c r="Z6156">
        <v>1.597645E-2</v>
      </c>
      <c r="AA6156">
        <v>0.98246880000000003</v>
      </c>
      <c r="AB6156">
        <v>22</v>
      </c>
      <c r="AC6156">
        <v>17.1572999999999</v>
      </c>
      <c r="AD6156">
        <v>-1.1120084325198001</v>
      </c>
      <c r="AE6156">
        <v>0.42049999999999599</v>
      </c>
      <c r="AF6156">
        <v>-3.2044312152469798</v>
      </c>
      <c r="AG6156">
        <v>-1.1120084325198001</v>
      </c>
      <c r="AH6156">
        <v>16.787606908373</v>
      </c>
      <c r="AI6156">
        <v>93.7227086880185</v>
      </c>
      <c r="AJ6156">
        <v>100.80666493599701</v>
      </c>
      <c r="AK6156">
        <v>17.126841152918299</v>
      </c>
      <c r="AL6156">
        <v>96.882660745308002</v>
      </c>
      <c r="AM6156">
        <v>100.99066620180599</v>
      </c>
      <c r="AN6156">
        <v>1.0000000160364</v>
      </c>
    </row>
    <row r="6157" spans="1:40" x14ac:dyDescent="0.25">
      <c r="A6157" t="str">
        <f>"20190305135049857"</f>
        <v>20190305135049857</v>
      </c>
      <c r="B6157" t="str">
        <f>"1551765049846528"</f>
        <v>1551765049846528</v>
      </c>
      <c r="C6157" t="s">
        <v>40</v>
      </c>
      <c r="D6157">
        <v>4.6538890000000004</v>
      </c>
      <c r="E6157">
        <v>0.50091249999999998</v>
      </c>
      <c r="F6157" t="s">
        <v>101</v>
      </c>
      <c r="G6157">
        <v>-369.78989999999999</v>
      </c>
      <c r="H6157" s="1">
        <v>-4.7005060000000001E-7</v>
      </c>
      <c r="I6157">
        <v>18.154579999999999</v>
      </c>
      <c r="J6157">
        <v>-386.96660000000003</v>
      </c>
      <c r="K6157">
        <v>1.1119939999999999</v>
      </c>
      <c r="L6157">
        <v>17.676269999999999</v>
      </c>
      <c r="M6157">
        <v>0.98701280000000002</v>
      </c>
      <c r="N6157">
        <v>-6.572189E-3</v>
      </c>
      <c r="O6157">
        <v>-0.16050690000000001</v>
      </c>
      <c r="P6157">
        <v>0.99164560000000002</v>
      </c>
      <c r="Q6157">
        <v>-0.12517739999999999</v>
      </c>
      <c r="R6157">
        <v>3.1141909999999998E-2</v>
      </c>
      <c r="S6157">
        <v>2.9983219999999999</v>
      </c>
      <c r="T6157">
        <v>-0.19289419999999999</v>
      </c>
      <c r="U6157">
        <v>8.0413819999999997E-2</v>
      </c>
      <c r="V6157">
        <v>-0.1889438</v>
      </c>
      <c r="W6157">
        <v>-0.1203028</v>
      </c>
      <c r="X6157">
        <v>0.97459090000000004</v>
      </c>
      <c r="Y6157">
        <v>-0.18622540000000001</v>
      </c>
      <c r="Z6157">
        <v>1.5824649999999999E-2</v>
      </c>
      <c r="AA6157">
        <v>0.98237960000000002</v>
      </c>
      <c r="AB6157">
        <v>22</v>
      </c>
      <c r="AC6157">
        <v>17.1767</v>
      </c>
      <c r="AD6157">
        <v>-1.1119944700505999</v>
      </c>
      <c r="AE6157">
        <v>0.47830999999999602</v>
      </c>
      <c r="AF6157">
        <v>-3.21568009597171</v>
      </c>
      <c r="AG6157">
        <v>-1.1119944700505999</v>
      </c>
      <c r="AH6157">
        <v>16.806831656457899</v>
      </c>
      <c r="AI6157">
        <v>93.718107518985903</v>
      </c>
      <c r="AJ6157">
        <v>100.831592763591</v>
      </c>
      <c r="AK6157">
        <v>17.147790543086501</v>
      </c>
      <c r="AL6157">
        <v>96.909578532056699</v>
      </c>
      <c r="AM6157">
        <v>100.971815462059</v>
      </c>
      <c r="AN6157">
        <v>0.999999972804544</v>
      </c>
    </row>
    <row r="6158" spans="1:40" x14ac:dyDescent="0.25">
      <c r="A6158" t="str">
        <f>"20190305135049868"</f>
        <v>20190305135049868</v>
      </c>
      <c r="B6158" t="str">
        <f>"1551765049856288"</f>
        <v>1551765049856288</v>
      </c>
      <c r="C6158" t="s">
        <v>40</v>
      </c>
      <c r="D6158">
        <v>4.4247860000000001</v>
      </c>
      <c r="E6158">
        <v>0.50073239999999997</v>
      </c>
      <c r="F6158" t="s">
        <v>101</v>
      </c>
      <c r="G6158">
        <v>-369.81400000000002</v>
      </c>
      <c r="H6158" s="1">
        <v>-4.5315579999999997E-7</v>
      </c>
      <c r="I6158">
        <v>18.183309999999999</v>
      </c>
      <c r="J6158">
        <v>-386.85469999999998</v>
      </c>
      <c r="K6158">
        <v>1.1119790000000001</v>
      </c>
      <c r="L6158">
        <v>17.661159999999999</v>
      </c>
      <c r="M6158">
        <v>0.98749010000000004</v>
      </c>
      <c r="N6158">
        <v>-6.4576590000000001E-3</v>
      </c>
      <c r="O6158">
        <v>-0.15754939999999901</v>
      </c>
      <c r="P6158">
        <v>0.99152499999999999</v>
      </c>
      <c r="Q6158">
        <v>-0.12548709999999999</v>
      </c>
      <c r="R6158">
        <v>3.363824E-2</v>
      </c>
      <c r="S6158">
        <v>2.997986</v>
      </c>
      <c r="T6158">
        <v>-0.19435749999999999</v>
      </c>
      <c r="U6158">
        <v>8.8623049999999995E-2</v>
      </c>
      <c r="V6158">
        <v>-0.18846660000000001</v>
      </c>
      <c r="W6158">
        <v>-0.1207217</v>
      </c>
      <c r="X6158">
        <v>0.97463149999999998</v>
      </c>
      <c r="Y6158">
        <v>-0.1859674</v>
      </c>
      <c r="Z6158">
        <v>1.5777650000000001E-2</v>
      </c>
      <c r="AA6158">
        <v>0.9824292</v>
      </c>
      <c r="AB6158">
        <v>22</v>
      </c>
      <c r="AC6158">
        <v>17.040699999999902</v>
      </c>
      <c r="AD6158">
        <v>-1.1119794531558</v>
      </c>
      <c r="AE6158">
        <v>0.522150000000003</v>
      </c>
      <c r="AF6158">
        <v>-3.1868790001398599</v>
      </c>
      <c r="AG6158">
        <v>-1.1119794531558</v>
      </c>
      <c r="AH6158">
        <v>16.6746692438326</v>
      </c>
      <c r="AI6158">
        <v>93.747588190664899</v>
      </c>
      <c r="AJ6158">
        <v>100.81994350161</v>
      </c>
      <c r="AK6158">
        <v>17.012856622477901</v>
      </c>
      <c r="AL6158">
        <v>96.933755932114394</v>
      </c>
      <c r="AM6158">
        <v>100.94432993586101</v>
      </c>
      <c r="AN6158">
        <v>0.99999997447934896</v>
      </c>
    </row>
    <row r="6159" spans="1:40" x14ac:dyDescent="0.25">
      <c r="A6159" t="str">
        <f>"20190305135049882"</f>
        <v>20190305135049882</v>
      </c>
      <c r="B6159" t="str">
        <f>"1551765049875808"</f>
        <v>1551765049875808</v>
      </c>
      <c r="C6159" t="s">
        <v>40</v>
      </c>
      <c r="D6159">
        <v>4.4231030000000002</v>
      </c>
      <c r="E6159">
        <v>0.5003898</v>
      </c>
      <c r="F6159" t="s">
        <v>101</v>
      </c>
      <c r="G6159">
        <v>-369.74529999999999</v>
      </c>
      <c r="H6159" s="1">
        <v>-4.7019629999999999E-7</v>
      </c>
      <c r="I6159">
        <v>18.218360000000001</v>
      </c>
      <c r="J6159">
        <v>-386.72579999999999</v>
      </c>
      <c r="K6159">
        <v>1.111953</v>
      </c>
      <c r="L6159">
        <v>17.644379999999899</v>
      </c>
      <c r="M6159">
        <v>0.98802380000000001</v>
      </c>
      <c r="N6159">
        <v>-6.3201000000000004E-3</v>
      </c>
      <c r="O6159">
        <v>-0.15417249999999999</v>
      </c>
      <c r="P6159">
        <v>0.99142160000000001</v>
      </c>
      <c r="Q6159">
        <v>-0.12539610000000001</v>
      </c>
      <c r="R6159">
        <v>3.6863600000000003E-2</v>
      </c>
      <c r="S6159">
        <v>2.997681</v>
      </c>
      <c r="T6159">
        <v>-0.19482669999999999</v>
      </c>
      <c r="U6159">
        <v>9.7625729999999994E-2</v>
      </c>
      <c r="V6159">
        <v>-0.18830620000000001</v>
      </c>
      <c r="W6159">
        <v>-0.120764</v>
      </c>
      <c r="X6159">
        <v>0.97465729999999995</v>
      </c>
      <c r="Y6159">
        <v>-0.1855617</v>
      </c>
      <c r="Z6159">
        <v>1.561681E-2</v>
      </c>
      <c r="AA6159">
        <v>0.98250850000000001</v>
      </c>
      <c r="AB6159">
        <v>22</v>
      </c>
      <c r="AC6159">
        <v>16.980499999999999</v>
      </c>
      <c r="AD6159">
        <v>-1.1119534701963001</v>
      </c>
      <c r="AE6159">
        <v>0.57398000000000204</v>
      </c>
      <c r="AF6159">
        <v>-3.1715109726950299</v>
      </c>
      <c r="AG6159">
        <v>-1.1119534701963001</v>
      </c>
      <c r="AH6159">
        <v>16.617799740189302</v>
      </c>
      <c r="AI6159">
        <v>93.760475911467097</v>
      </c>
      <c r="AJ6159">
        <v>100.80497724903201</v>
      </c>
      <c r="AK6159">
        <v>16.9542381301798</v>
      </c>
      <c r="AL6159">
        <v>96.936197154500704</v>
      </c>
      <c r="AM6159">
        <v>100.93495760039001</v>
      </c>
      <c r="AN6159">
        <v>1.00000001054886</v>
      </c>
    </row>
    <row r="6160" spans="1:40" x14ac:dyDescent="0.25">
      <c r="A6160" t="str">
        <f>"20190305135049895"</f>
        <v>20190305135049895</v>
      </c>
      <c r="B6160" t="str">
        <f>"1551765049886544"</f>
        <v>1551765049886544</v>
      </c>
      <c r="C6160" t="s">
        <v>40</v>
      </c>
      <c r="D6160">
        <v>4.3906020000000003</v>
      </c>
      <c r="E6160">
        <v>0.50027600000000005</v>
      </c>
      <c r="F6160" t="s">
        <v>101</v>
      </c>
      <c r="G6160">
        <v>-369.44029999999998</v>
      </c>
      <c r="H6160" s="1">
        <v>-5.7105529999999998E-7</v>
      </c>
      <c r="I6160">
        <v>18.279509999999998</v>
      </c>
      <c r="J6160">
        <v>-386.59660000000002</v>
      </c>
      <c r="K6160">
        <v>1.111928</v>
      </c>
      <c r="L6160">
        <v>17.627870000000001</v>
      </c>
      <c r="M6160">
        <v>0.9885446</v>
      </c>
      <c r="N6160">
        <v>-6.181125E-3</v>
      </c>
      <c r="O6160">
        <v>-0.1508022</v>
      </c>
      <c r="P6160">
        <v>0.99128879999999997</v>
      </c>
      <c r="Q6160">
        <v>-0.12546160000000001</v>
      </c>
      <c r="R6160">
        <v>4.0073259999999999E-2</v>
      </c>
      <c r="S6160">
        <v>2.9974669999999999</v>
      </c>
      <c r="T6160">
        <v>-0.19282279999999999</v>
      </c>
      <c r="U6160">
        <v>0.1101379</v>
      </c>
      <c r="V6160">
        <v>-0.1881352</v>
      </c>
      <c r="W6160">
        <v>-0.1209634</v>
      </c>
      <c r="X6160">
        <v>0.97466560000000002</v>
      </c>
      <c r="Y6160">
        <v>-0.1863274</v>
      </c>
      <c r="Z6160">
        <v>1.5295049999999999E-2</v>
      </c>
      <c r="AA6160">
        <v>0.98236860000000004</v>
      </c>
      <c r="AB6160">
        <v>22</v>
      </c>
      <c r="AC6160">
        <v>17.156300000000002</v>
      </c>
      <c r="AD6160">
        <v>-1.1119285710553</v>
      </c>
      <c r="AE6160">
        <v>0.65164</v>
      </c>
      <c r="AF6160">
        <v>-3.2179471355653102</v>
      </c>
      <c r="AG6160">
        <v>-1.1119285710553</v>
      </c>
      <c r="AH6160">
        <v>16.791390109856</v>
      </c>
      <c r="AI6160">
        <v>93.721084060591295</v>
      </c>
      <c r="AJ6160">
        <v>100.848779428863</v>
      </c>
      <c r="AK6160">
        <v>17.133077678449698</v>
      </c>
      <c r="AL6160">
        <v>96.947706275997504</v>
      </c>
      <c r="AM6160">
        <v>100.92517587759301</v>
      </c>
      <c r="AN6160">
        <v>1.00000001472098</v>
      </c>
    </row>
    <row r="6161" spans="1:40" x14ac:dyDescent="0.25">
      <c r="A6161" t="str">
        <f>"20190305135049911"</f>
        <v>20190305135049911</v>
      </c>
      <c r="B6161" t="str">
        <f>"1551765049906064"</f>
        <v>1551765049906064</v>
      </c>
      <c r="C6161" t="s">
        <v>40</v>
      </c>
      <c r="D6161">
        <v>4.3811070000000001</v>
      </c>
      <c r="E6161">
        <v>0.50002279999999999</v>
      </c>
      <c r="F6161" t="s">
        <v>101</v>
      </c>
      <c r="G6161">
        <v>-369.30579999999998</v>
      </c>
      <c r="H6161" s="1">
        <v>-6.1075009999999998E-7</v>
      </c>
      <c r="I6161">
        <v>18.324369999999998</v>
      </c>
      <c r="J6161">
        <v>-386.43349999999998</v>
      </c>
      <c r="K6161">
        <v>1.1118969999999999</v>
      </c>
      <c r="L6161">
        <v>17.607569999999999</v>
      </c>
      <c r="M6161">
        <v>0.98918010000000001</v>
      </c>
      <c r="N6161">
        <v>-6.0058799999999999E-3</v>
      </c>
      <c r="O6161">
        <v>-0.14658309999999999</v>
      </c>
      <c r="P6161">
        <v>0.99113770000000001</v>
      </c>
      <c r="Q6161">
        <v>-0.1253348</v>
      </c>
      <c r="R6161">
        <v>4.4015470000000001E-2</v>
      </c>
      <c r="S6161">
        <v>2.9970699999999999</v>
      </c>
      <c r="T6161">
        <v>-0.1927354</v>
      </c>
      <c r="U6161">
        <v>0.1207275</v>
      </c>
      <c r="V6161">
        <v>-0.18785589999999999</v>
      </c>
      <c r="W6161">
        <v>-0.1210036</v>
      </c>
      <c r="X6161">
        <v>0.97471450000000004</v>
      </c>
      <c r="Y6161">
        <v>-0.18561510000000001</v>
      </c>
      <c r="Z6161">
        <v>1.5031310000000001E-2</v>
      </c>
      <c r="AA6161">
        <v>0.98250749999999998</v>
      </c>
      <c r="AB6161">
        <v>22</v>
      </c>
      <c r="AC6161">
        <v>17.127700000000001</v>
      </c>
      <c r="AD6161">
        <v>-1.1118976107501</v>
      </c>
      <c r="AE6161">
        <v>0.71679999999999899</v>
      </c>
      <c r="AF6161">
        <v>-3.2062451712101998</v>
      </c>
      <c r="AG6161">
        <v>-1.1118976107501</v>
      </c>
      <c r="AH6161">
        <v>16.767074440213801</v>
      </c>
      <c r="AI6161">
        <v>93.726649935076793</v>
      </c>
      <c r="AJ6161">
        <v>100.825566315223</v>
      </c>
      <c r="AK6161">
        <v>17.107048537908899</v>
      </c>
      <c r="AL6161">
        <v>96.950026479504999</v>
      </c>
      <c r="AM6161">
        <v>100.90881195683799</v>
      </c>
      <c r="AN6161">
        <v>1.000000033444</v>
      </c>
    </row>
    <row r="6162" spans="1:40" x14ac:dyDescent="0.25">
      <c r="A6162" t="str">
        <f>"20190305135049927"</f>
        <v>20190305135049927</v>
      </c>
      <c r="B6162" t="str">
        <f>"1551765049915823"</f>
        <v>1551765049915823</v>
      </c>
      <c r="C6162" t="s">
        <v>40</v>
      </c>
      <c r="D6162">
        <v>4.3643720000000004</v>
      </c>
      <c r="E6162">
        <v>0.49990230000000002</v>
      </c>
      <c r="F6162" t="s">
        <v>101</v>
      </c>
      <c r="G6162">
        <v>-369.04730000000001</v>
      </c>
      <c r="H6162" s="1">
        <v>-6.9284739999999995E-7</v>
      </c>
      <c r="I6162">
        <v>18.388940000000002</v>
      </c>
      <c r="J6162">
        <v>-386.27769999999998</v>
      </c>
      <c r="K6162">
        <v>1.111872</v>
      </c>
      <c r="L6162">
        <v>17.58887</v>
      </c>
      <c r="M6162">
        <v>0.98976399999999998</v>
      </c>
      <c r="N6162">
        <v>-5.8449590000000003E-3</v>
      </c>
      <c r="O6162">
        <v>-0.1425951</v>
      </c>
      <c r="P6162">
        <v>0.9909538</v>
      </c>
      <c r="Q6162">
        <v>-0.12542929999999999</v>
      </c>
      <c r="R6162">
        <v>4.7731849999999999E-2</v>
      </c>
      <c r="S6162">
        <v>2.9966430000000002</v>
      </c>
      <c r="T6162">
        <v>-0.19164439999999999</v>
      </c>
      <c r="U6162">
        <v>0.13467409999999999</v>
      </c>
      <c r="V6162">
        <v>-0.18757969999999999</v>
      </c>
      <c r="W6162">
        <v>-0.12125089999999999</v>
      </c>
      <c r="X6162">
        <v>0.97473690000000002</v>
      </c>
      <c r="Y6162">
        <v>-0.1862374</v>
      </c>
      <c r="Z6162">
        <v>1.474695E-2</v>
      </c>
      <c r="AA6162">
        <v>0.98239410000000005</v>
      </c>
      <c r="AB6162">
        <v>22</v>
      </c>
      <c r="AC6162">
        <v>17.2303999999999</v>
      </c>
      <c r="AD6162">
        <v>-1.1118726928474001</v>
      </c>
      <c r="AE6162">
        <v>0.80006999999999795</v>
      </c>
      <c r="AF6162">
        <v>-3.2354623528798898</v>
      </c>
      <c r="AG6162">
        <v>-1.1118726928474001</v>
      </c>
      <c r="AH6162">
        <v>16.870132876663899</v>
      </c>
      <c r="AI6162">
        <v>93.703480276631495</v>
      </c>
      <c r="AJ6162">
        <v>100.85672259627199</v>
      </c>
      <c r="AK6162">
        <v>17.213537137912699</v>
      </c>
      <c r="AL6162">
        <v>96.964301240688002</v>
      </c>
      <c r="AM6162">
        <v>100.892912636773</v>
      </c>
      <c r="AN6162">
        <v>0.99999997441225397</v>
      </c>
    </row>
    <row r="6163" spans="1:40" x14ac:dyDescent="0.25">
      <c r="A6163" t="str">
        <f>"20190305135049941"</f>
        <v>20190305135049941</v>
      </c>
      <c r="B6163" t="str">
        <f>"1551765049936320"</f>
        <v>1551765049936320</v>
      </c>
      <c r="C6163" t="s">
        <v>40</v>
      </c>
      <c r="D6163">
        <v>4.3793579999999999</v>
      </c>
      <c r="E6163">
        <v>0.49969829999999998</v>
      </c>
      <c r="F6163" t="s">
        <v>101</v>
      </c>
      <c r="G6163">
        <v>-368.76299999999998</v>
      </c>
      <c r="H6163" s="1">
        <v>-7.924551E-7</v>
      </c>
      <c r="I6163">
        <v>18.44783</v>
      </c>
      <c r="J6163">
        <v>-386.14060000000001</v>
      </c>
      <c r="K6163">
        <v>1.11185</v>
      </c>
      <c r="L6163">
        <v>17.572939999999999</v>
      </c>
      <c r="M6163">
        <v>0.99025890000000005</v>
      </c>
      <c r="N6163">
        <v>-5.7107950000000003E-3</v>
      </c>
      <c r="O6163">
        <v>-0.13912149999999901</v>
      </c>
      <c r="P6163">
        <v>0.99080590000000002</v>
      </c>
      <c r="Q6163">
        <v>-0.12528819999999999</v>
      </c>
      <c r="R6163">
        <v>5.1057190000000002E-2</v>
      </c>
      <c r="S6163">
        <v>2.9962460000000002</v>
      </c>
      <c r="T6163">
        <v>-0.19020809999999999</v>
      </c>
      <c r="U6163">
        <v>0.14694209999999999</v>
      </c>
      <c r="V6163">
        <v>-0.1874345</v>
      </c>
      <c r="W6163">
        <v>-0.12123780000000001</v>
      </c>
      <c r="X6163">
        <v>0.97476649999999998</v>
      </c>
      <c r="Y6163">
        <v>-0.18682360000000001</v>
      </c>
      <c r="Z6163">
        <v>1.4463800000000001E-2</v>
      </c>
      <c r="AA6163">
        <v>0.98228700000000002</v>
      </c>
      <c r="AB6163">
        <v>22</v>
      </c>
      <c r="AC6163">
        <v>17.377599999999902</v>
      </c>
      <c r="AD6163">
        <v>-1.1118507924551</v>
      </c>
      <c r="AE6163">
        <v>0.87488999999999995</v>
      </c>
      <c r="AF6163">
        <v>-3.2706636002823801</v>
      </c>
      <c r="AG6163">
        <v>-1.1118507924551</v>
      </c>
      <c r="AH6163">
        <v>17.017397305631601</v>
      </c>
      <c r="AI6163">
        <v>93.671169989590496</v>
      </c>
      <c r="AJ6163">
        <v>100.87931639341799</v>
      </c>
      <c r="AK6163">
        <v>17.364482820648899</v>
      </c>
      <c r="AL6163">
        <v>96.963544819428506</v>
      </c>
      <c r="AM6163">
        <v>100.884359603974</v>
      </c>
      <c r="AN6163">
        <v>1.0000000127306601</v>
      </c>
    </row>
    <row r="6164" spans="1:40" x14ac:dyDescent="0.25">
      <c r="A6164" t="str">
        <f>"20190305135049955"</f>
        <v>20190305135049955</v>
      </c>
      <c r="B6164" t="str">
        <f>"1551765049946080"</f>
        <v>1551765049946080</v>
      </c>
      <c r="C6164" t="s">
        <v>40</v>
      </c>
      <c r="D6164">
        <v>4.3820300000000003</v>
      </c>
      <c r="E6164">
        <v>0.49963869999999999</v>
      </c>
      <c r="F6164" t="s">
        <v>101</v>
      </c>
      <c r="G6164">
        <v>-368.33199999999999</v>
      </c>
      <c r="H6164" s="1">
        <v>-9.8409069999999996E-7</v>
      </c>
      <c r="I6164">
        <v>18.516020000000001</v>
      </c>
      <c r="J6164">
        <v>-385.99610000000001</v>
      </c>
      <c r="K6164">
        <v>1.1118349999999999</v>
      </c>
      <c r="L6164">
        <v>17.55658</v>
      </c>
      <c r="M6164">
        <v>0.99076249999999999</v>
      </c>
      <c r="N6164">
        <v>-5.5750649999999997E-3</v>
      </c>
      <c r="O6164">
        <v>-0.135493899999999</v>
      </c>
      <c r="P6164">
        <v>0.99060870000000001</v>
      </c>
      <c r="Q6164">
        <v>-0.12549679999999999</v>
      </c>
      <c r="R6164">
        <v>5.4266509999999997E-2</v>
      </c>
      <c r="S6164">
        <v>2.9960330000000002</v>
      </c>
      <c r="T6164">
        <v>-0.18705260000000001</v>
      </c>
      <c r="U6164">
        <v>0.15866089999999999</v>
      </c>
      <c r="V6164">
        <v>-0.1870173</v>
      </c>
      <c r="W6164">
        <v>-0.121573</v>
      </c>
      <c r="X6164">
        <v>0.97480489999999997</v>
      </c>
      <c r="Y6164">
        <v>-0.1870879</v>
      </c>
      <c r="Z6164">
        <v>1.4030900000000001E-2</v>
      </c>
      <c r="AA6164">
        <v>0.98224299999999998</v>
      </c>
      <c r="AB6164">
        <v>22</v>
      </c>
      <c r="AC6164">
        <v>17.664100000000001</v>
      </c>
      <c r="AD6164">
        <v>-1.1118359840906999</v>
      </c>
      <c r="AE6164">
        <v>0.95943999999999996</v>
      </c>
      <c r="AF6164">
        <v>-3.3308494040664298</v>
      </c>
      <c r="AG6164">
        <v>-1.1118359840906999</v>
      </c>
      <c r="AH6164">
        <v>17.302849775286301</v>
      </c>
      <c r="AI6164">
        <v>93.610513246961702</v>
      </c>
      <c r="AJ6164">
        <v>100.896314418138</v>
      </c>
      <c r="AK6164">
        <v>17.6555755316617</v>
      </c>
      <c r="AL6164">
        <v>96.982893372735006</v>
      </c>
      <c r="AM6164">
        <v>100.860291854298</v>
      </c>
      <c r="AN6164">
        <v>1.0000000289461399</v>
      </c>
    </row>
    <row r="6165" spans="1:40" x14ac:dyDescent="0.25">
      <c r="A6165" t="str">
        <f>"20190305135049967"</f>
        <v>20190305135049967</v>
      </c>
      <c r="B6165" t="str">
        <f>"1551765049955840"</f>
        <v>1551765049955840</v>
      </c>
      <c r="C6165" t="s">
        <v>40</v>
      </c>
      <c r="D6165">
        <v>4.4027339999999997</v>
      </c>
      <c r="E6165">
        <v>0.49960270000000001</v>
      </c>
      <c r="F6165" t="s">
        <v>101</v>
      </c>
      <c r="G6165">
        <v>-368.2088</v>
      </c>
      <c r="H6165" s="1">
        <v>-1.034675E-6</v>
      </c>
      <c r="I6165">
        <v>18.559059999999999</v>
      </c>
      <c r="J6165">
        <v>-385.87689999999998</v>
      </c>
      <c r="K6165">
        <v>1.1118159999999999</v>
      </c>
      <c r="L6165">
        <v>17.543369999999999</v>
      </c>
      <c r="M6165">
        <v>0.99116439999999995</v>
      </c>
      <c r="N6165">
        <v>-5.467614E-3</v>
      </c>
      <c r="O6165">
        <v>-0.13252700000000001</v>
      </c>
      <c r="P6165">
        <v>0.99045989999999995</v>
      </c>
      <c r="Q6165">
        <v>-0.12545049999999999</v>
      </c>
      <c r="R6165">
        <v>5.7023270000000001E-2</v>
      </c>
      <c r="S6165">
        <v>2.9954830000000001</v>
      </c>
      <c r="T6165">
        <v>-0.18723999999999999</v>
      </c>
      <c r="U6165">
        <v>0.16882320000000001</v>
      </c>
      <c r="V6165">
        <v>-0.18681429999999999</v>
      </c>
      <c r="W6165">
        <v>-0.121627</v>
      </c>
      <c r="X6165">
        <v>0.97483710000000001</v>
      </c>
      <c r="Y6165">
        <v>-0.18748129999999999</v>
      </c>
      <c r="Z6165">
        <v>1.389701E-2</v>
      </c>
      <c r="AA6165">
        <v>0.98216990000000004</v>
      </c>
      <c r="AB6165">
        <v>23</v>
      </c>
      <c r="AC6165">
        <v>17.6680999999999</v>
      </c>
      <c r="AD6165">
        <v>-1.11181703467499</v>
      </c>
      <c r="AE6165">
        <v>1.01569</v>
      </c>
      <c r="AF6165">
        <v>-3.33510257046039</v>
      </c>
      <c r="AG6165">
        <v>-1.11181703467499</v>
      </c>
      <c r="AH6165">
        <v>17.309325821811601</v>
      </c>
      <c r="AI6165">
        <v>93.6089885419198</v>
      </c>
      <c r="AJ6165">
        <v>100.90591037110001</v>
      </c>
      <c r="AK6165">
        <v>17.662723648399201</v>
      </c>
      <c r="AL6165">
        <v>96.986010393837901</v>
      </c>
      <c r="AM6165">
        <v>100.848433479797</v>
      </c>
      <c r="AN6165">
        <v>1.0000000406749401</v>
      </c>
    </row>
    <row r="6166" spans="1:40" x14ac:dyDescent="0.25">
      <c r="A6166" t="str">
        <f>"20190305135049980"</f>
        <v>20190305135049980</v>
      </c>
      <c r="B6166" t="str">
        <f>"1551765049976336"</f>
        <v>1551765049976336</v>
      </c>
      <c r="C6166" t="s">
        <v>40</v>
      </c>
      <c r="D6166">
        <v>4.5946490000000004</v>
      </c>
      <c r="E6166">
        <v>0.49958780000000003</v>
      </c>
      <c r="F6166" t="s">
        <v>101</v>
      </c>
      <c r="G6166">
        <v>-368.02879999999999</v>
      </c>
      <c r="H6166" s="1">
        <v>-1.112366E-6</v>
      </c>
      <c r="I6166">
        <v>18.6007</v>
      </c>
      <c r="J6166">
        <v>-385.7525</v>
      </c>
      <c r="K6166">
        <v>1.1117969999999999</v>
      </c>
      <c r="L6166">
        <v>17.530059999999999</v>
      </c>
      <c r="M6166">
        <v>0.99156829999999996</v>
      </c>
      <c r="N6166">
        <v>-5.3630860000000004E-3</v>
      </c>
      <c r="O6166">
        <v>-0.12947429999999999</v>
      </c>
      <c r="P6166">
        <v>0.99032960000000003</v>
      </c>
      <c r="Q6166">
        <v>-0.12525219999999901</v>
      </c>
      <c r="R6166">
        <v>5.9659700000000003E-2</v>
      </c>
      <c r="S6166">
        <v>2.9950559999999999</v>
      </c>
      <c r="T6166">
        <v>-0.18657260000000001</v>
      </c>
      <c r="U6166">
        <v>0.17742920000000001</v>
      </c>
      <c r="V6166">
        <v>-0.18641369999999999</v>
      </c>
      <c r="W6166">
        <v>-0.1215233</v>
      </c>
      <c r="X6166">
        <v>0.97492670000000003</v>
      </c>
      <c r="Y6166">
        <v>-0.18728690000000001</v>
      </c>
      <c r="Z6166">
        <v>1.367311E-2</v>
      </c>
      <c r="AA6166">
        <v>0.98221009999999997</v>
      </c>
      <c r="AB6166">
        <v>23</v>
      </c>
      <c r="AC6166">
        <v>17.723700000000001</v>
      </c>
      <c r="AD6166">
        <v>-1.1117981123659999</v>
      </c>
      <c r="AE6166">
        <v>1.07064</v>
      </c>
      <c r="AF6166">
        <v>-3.3433164525602201</v>
      </c>
      <c r="AG6166">
        <v>-1.1117981123659999</v>
      </c>
      <c r="AH6166">
        <v>17.3677954868364</v>
      </c>
      <c r="AI6166">
        <v>93.596926634891702</v>
      </c>
      <c r="AJ6166">
        <v>100.896202470213</v>
      </c>
      <c r="AK6166">
        <v>17.721573858356798</v>
      </c>
      <c r="AL6166">
        <v>96.980024527841493</v>
      </c>
      <c r="AM6166">
        <v>100.824749233251</v>
      </c>
      <c r="AN6166">
        <v>1.00000002518173</v>
      </c>
    </row>
    <row r="6167" spans="1:40" x14ac:dyDescent="0.25">
      <c r="A6167" t="str">
        <f>"20190305135049992"</f>
        <v>20190305135049992</v>
      </c>
      <c r="B6167" t="str">
        <f>"1551765049986096"</f>
        <v>1551765049986096</v>
      </c>
      <c r="C6167" t="s">
        <v>40</v>
      </c>
      <c r="D6167">
        <v>4.390142</v>
      </c>
      <c r="E6167">
        <v>0.49959209999999898</v>
      </c>
      <c r="F6167" t="s">
        <v>101</v>
      </c>
      <c r="G6167">
        <v>-367.61489999999998</v>
      </c>
      <c r="H6167" s="1">
        <v>-1.2986999999999999E-6</v>
      </c>
      <c r="I6167">
        <v>18.653390000000002</v>
      </c>
      <c r="J6167">
        <v>-385.63040000000001</v>
      </c>
      <c r="K6167">
        <v>1.1117760000000001</v>
      </c>
      <c r="L6167">
        <v>17.51727</v>
      </c>
      <c r="M6167">
        <v>0.99195299999999997</v>
      </c>
      <c r="N6167">
        <v>-5.2638619999999898E-3</v>
      </c>
      <c r="O6167">
        <v>-0.12649749999999901</v>
      </c>
      <c r="P6167">
        <v>0.99012770000000005</v>
      </c>
      <c r="Q6167">
        <v>-0.1254663</v>
      </c>
      <c r="R6167">
        <v>6.2492119999999998E-2</v>
      </c>
      <c r="S6167">
        <v>2.994904</v>
      </c>
      <c r="T6167">
        <v>-0.18358169999999999</v>
      </c>
      <c r="U6167">
        <v>0.18548580000000001</v>
      </c>
      <c r="V6167">
        <v>-0.18627279999999999</v>
      </c>
      <c r="W6167">
        <v>-0.12182900000000001</v>
      </c>
      <c r="X6167">
        <v>0.97491539999999999</v>
      </c>
      <c r="Y6167">
        <v>-0.18699859999999999</v>
      </c>
      <c r="Z6167">
        <v>1.3279610000000001E-2</v>
      </c>
      <c r="AA6167">
        <v>0.98227039999999999</v>
      </c>
      <c r="AB6167">
        <v>23</v>
      </c>
      <c r="AC6167">
        <v>18.015499999999999</v>
      </c>
      <c r="AD6167">
        <v>-1.1117772987000001</v>
      </c>
      <c r="AE6167">
        <v>1.13611999999999</v>
      </c>
      <c r="AF6167">
        <v>-3.3930694143459799</v>
      </c>
      <c r="AG6167">
        <v>-1.1117772987000001</v>
      </c>
      <c r="AH6167">
        <v>17.660067573451901</v>
      </c>
      <c r="AI6167">
        <v>93.537725513493498</v>
      </c>
      <c r="AJ6167">
        <v>100.875835931574</v>
      </c>
      <c r="AK6167">
        <v>18.0174070140895</v>
      </c>
      <c r="AL6167">
        <v>96.997671497148104</v>
      </c>
      <c r="AM6167">
        <v>100.816882904076</v>
      </c>
      <c r="AN6167">
        <v>0.99999994920899804</v>
      </c>
    </row>
    <row r="6168" spans="1:40" x14ac:dyDescent="0.25">
      <c r="A6168" t="str">
        <f>"20190305135050013"</f>
        <v>20190305135050013</v>
      </c>
      <c r="B6168" t="str">
        <f>"1551765050006592"</f>
        <v>1551765050006592</v>
      </c>
      <c r="C6168" t="s">
        <v>40</v>
      </c>
      <c r="D6168">
        <v>4.3311010000000003</v>
      </c>
      <c r="E6168">
        <v>0.4996063</v>
      </c>
      <c r="F6168" t="s">
        <v>101</v>
      </c>
      <c r="G6168">
        <v>-367.4359</v>
      </c>
      <c r="H6168" s="1">
        <v>-1.375693E-6</v>
      </c>
      <c r="I6168">
        <v>18.696390000000001</v>
      </c>
      <c r="J6168">
        <v>-385.42469999999997</v>
      </c>
      <c r="K6168">
        <v>1.111734</v>
      </c>
      <c r="L6168">
        <v>17.49652</v>
      </c>
      <c r="M6168">
        <v>0.99256960000000005</v>
      </c>
      <c r="N6168">
        <v>-5.111226E-3</v>
      </c>
      <c r="O6168">
        <v>-0.121571</v>
      </c>
      <c r="P6168">
        <v>0.9898555</v>
      </c>
      <c r="Q6168">
        <v>-0.12542880000000001</v>
      </c>
      <c r="R6168">
        <v>6.6738950000000005E-2</v>
      </c>
      <c r="S6168">
        <v>2.9944760000000001</v>
      </c>
      <c r="T6168">
        <v>-0.1829779</v>
      </c>
      <c r="U6168">
        <v>0.19406129999999999</v>
      </c>
      <c r="V6168">
        <v>-0.18562110000000001</v>
      </c>
      <c r="W6168">
        <v>-0.12192450000000001</v>
      </c>
      <c r="X6168">
        <v>0.9750278</v>
      </c>
      <c r="Y6168">
        <v>-0.184947</v>
      </c>
      <c r="Z6168">
        <v>1.289975E-2</v>
      </c>
      <c r="AA6168">
        <v>0.98266379999999998</v>
      </c>
      <c r="AB6168">
        <v>23</v>
      </c>
      <c r="AC6168">
        <v>17.988799999999902</v>
      </c>
      <c r="AD6168">
        <v>-1.111735375693</v>
      </c>
      <c r="AE6168">
        <v>1.19987</v>
      </c>
      <c r="AF6168">
        <v>-3.3651190362191001</v>
      </c>
      <c r="AG6168">
        <v>-1.111735375693</v>
      </c>
      <c r="AH6168">
        <v>17.6424120884692</v>
      </c>
      <c r="AI6168">
        <v>93.542031735272502</v>
      </c>
      <c r="AJ6168">
        <v>100.798899914711</v>
      </c>
      <c r="AK6168">
        <v>17.994851651871301</v>
      </c>
      <c r="AL6168">
        <v>97.003184028723197</v>
      </c>
      <c r="AM6168">
        <v>100.778713315749</v>
      </c>
      <c r="AN6168">
        <v>0.99999999361915004</v>
      </c>
    </row>
    <row r="6169" spans="1:40" x14ac:dyDescent="0.25">
      <c r="A6169" t="str">
        <f>"20190305135050025"</f>
        <v>20190305135050025</v>
      </c>
      <c r="B6169" t="str">
        <f>"1551765050016352"</f>
        <v>1551765050016352</v>
      </c>
      <c r="C6169" t="s">
        <v>40</v>
      </c>
      <c r="D6169">
        <v>4.3594010000000001</v>
      </c>
      <c r="E6169">
        <v>0.49960009999999999</v>
      </c>
      <c r="F6169" t="s">
        <v>101</v>
      </c>
      <c r="G6169">
        <v>-366.9513</v>
      </c>
      <c r="H6169" s="1">
        <v>-1.591326E-6</v>
      </c>
      <c r="I6169">
        <v>18.77206</v>
      </c>
      <c r="J6169">
        <v>-385.2869</v>
      </c>
      <c r="K6169">
        <v>1.111707</v>
      </c>
      <c r="L6169">
        <v>17.48312</v>
      </c>
      <c r="M6169">
        <v>0.99296249999999997</v>
      </c>
      <c r="N6169">
        <v>-5.0180870000000001E-3</v>
      </c>
      <c r="O6169">
        <v>-0.11832330000000001</v>
      </c>
      <c r="P6169">
        <v>0.98967309999999997</v>
      </c>
      <c r="Q6169">
        <v>-0.1252315</v>
      </c>
      <c r="R6169">
        <v>6.974342E-2</v>
      </c>
      <c r="S6169">
        <v>2.9939580000000001</v>
      </c>
      <c r="T6169">
        <v>-0.1801778</v>
      </c>
      <c r="U6169">
        <v>0.2067261</v>
      </c>
      <c r="V6169">
        <v>-0.18540010000000001</v>
      </c>
      <c r="W6169">
        <v>-0.121808</v>
      </c>
      <c r="X6169">
        <v>0.97508439999999996</v>
      </c>
      <c r="Y6169">
        <v>-0.1859015</v>
      </c>
      <c r="Z6169">
        <v>1.2557179999999999E-2</v>
      </c>
      <c r="AA6169">
        <v>0.98248820000000003</v>
      </c>
      <c r="AB6169">
        <v>23</v>
      </c>
      <c r="AC6169">
        <v>18.335599999999999</v>
      </c>
      <c r="AD6169">
        <v>-1.1117085913259901</v>
      </c>
      <c r="AE6169">
        <v>1.28894</v>
      </c>
      <c r="AF6169">
        <v>-3.43686875202147</v>
      </c>
      <c r="AG6169">
        <v>-1.1117085913259901</v>
      </c>
      <c r="AH6169">
        <v>17.988474976346001</v>
      </c>
      <c r="AI6169">
        <v>93.4737713108305</v>
      </c>
      <c r="AJ6169">
        <v>100.816544605004</v>
      </c>
      <c r="AK6169">
        <v>18.347566454036301</v>
      </c>
      <c r="AL6169">
        <v>96.996458994985005</v>
      </c>
      <c r="AM6169">
        <v>100.76557000051901</v>
      </c>
      <c r="AN6169">
        <v>0.99999998653368405</v>
      </c>
    </row>
    <row r="6170" spans="1:40" x14ac:dyDescent="0.25">
      <c r="A6170" t="str">
        <f>"20190305135050036"</f>
        <v>20190305135050036</v>
      </c>
      <c r="B6170" t="str">
        <f>"1551765050026113"</f>
        <v>1551765050026113</v>
      </c>
      <c r="C6170" t="s">
        <v>40</v>
      </c>
      <c r="D6170">
        <v>4.3450179999999996</v>
      </c>
      <c r="E6170">
        <v>0.49959379999999998</v>
      </c>
      <c r="F6170" t="s">
        <v>101</v>
      </c>
      <c r="G6170">
        <v>-366.6481</v>
      </c>
      <c r="H6170" s="1">
        <v>-1.7249809999999999E-6</v>
      </c>
      <c r="I6170">
        <v>18.826730000000001</v>
      </c>
      <c r="J6170">
        <v>-385.17500000000001</v>
      </c>
      <c r="K6170">
        <v>1.111686</v>
      </c>
      <c r="L6170">
        <v>17.472560000000001</v>
      </c>
      <c r="M6170">
        <v>0.99326959999999997</v>
      </c>
      <c r="N6170">
        <v>-4.9480519999999997E-3</v>
      </c>
      <c r="O6170">
        <v>-0.11572010000000001</v>
      </c>
      <c r="P6170">
        <v>0.98955289999999996</v>
      </c>
      <c r="Q6170">
        <v>-0.1250192</v>
      </c>
      <c r="R6170">
        <v>7.1800660000000002E-2</v>
      </c>
      <c r="S6170">
        <v>2.9934690000000002</v>
      </c>
      <c r="T6170">
        <v>-0.17854510000000001</v>
      </c>
      <c r="U6170">
        <v>0.2157898</v>
      </c>
      <c r="V6170">
        <v>-0.18488009999999999</v>
      </c>
      <c r="W6170">
        <v>-0.1216526</v>
      </c>
      <c r="X6170">
        <v>0.97520260000000003</v>
      </c>
      <c r="Y6170">
        <v>-0.18631</v>
      </c>
      <c r="Z6170">
        <v>1.231697E-2</v>
      </c>
      <c r="AA6170">
        <v>0.9824138</v>
      </c>
      <c r="AB6170">
        <v>23</v>
      </c>
      <c r="AC6170">
        <v>18.526900000000001</v>
      </c>
      <c r="AD6170">
        <v>-1.111687724981</v>
      </c>
      <c r="AE6170">
        <v>1.3541699999999901</v>
      </c>
      <c r="AF6170">
        <v>-3.47658227356222</v>
      </c>
      <c r="AG6170">
        <v>-1.111687724981</v>
      </c>
      <c r="AH6170">
        <v>18.180613064078798</v>
      </c>
      <c r="AI6170">
        <v>93.436979129734098</v>
      </c>
      <c r="AJ6170">
        <v>100.82567709296799</v>
      </c>
      <c r="AK6170">
        <v>18.543386025439801</v>
      </c>
      <c r="AL6170">
        <v>96.987488012049297</v>
      </c>
      <c r="AM6170">
        <v>100.734807075823</v>
      </c>
      <c r="AN6170">
        <v>1.0000000587547599</v>
      </c>
    </row>
    <row r="6171" spans="1:40" x14ac:dyDescent="0.25">
      <c r="A6171" t="str">
        <f>"20190305135050048"</f>
        <v>20190305135050048</v>
      </c>
      <c r="B6171" t="str">
        <f>"1551765050046613"</f>
        <v>1551765050046613</v>
      </c>
      <c r="C6171" t="s">
        <v>40</v>
      </c>
      <c r="D6171">
        <v>4.3590200000000001</v>
      </c>
      <c r="E6171">
        <v>0.49975170000000002</v>
      </c>
      <c r="F6171" t="s">
        <v>101</v>
      </c>
      <c r="G6171">
        <v>-366.39229999999998</v>
      </c>
      <c r="H6171" s="1">
        <v>-1.838911E-6</v>
      </c>
      <c r="I6171">
        <v>18.866129999999998</v>
      </c>
      <c r="J6171">
        <v>-385.04969999999997</v>
      </c>
      <c r="K6171">
        <v>1.1116619999999999</v>
      </c>
      <c r="L6171">
        <v>17.460940000000001</v>
      </c>
      <c r="M6171">
        <v>0.99360320000000002</v>
      </c>
      <c r="N6171">
        <v>-4.8726669999999998E-3</v>
      </c>
      <c r="O6171">
        <v>-0.11282300000000001</v>
      </c>
      <c r="P6171">
        <v>0.98940459999999997</v>
      </c>
      <c r="Q6171">
        <v>-0.12484049999999999</v>
      </c>
      <c r="R6171">
        <v>7.4118210000000004E-2</v>
      </c>
      <c r="S6171">
        <v>2.9931950000000001</v>
      </c>
      <c r="T6171">
        <v>-0.17715729999999999</v>
      </c>
      <c r="U6171">
        <v>0.22207640000000001</v>
      </c>
      <c r="V6171">
        <v>-0.18432889999999999</v>
      </c>
      <c r="W6171">
        <v>-0.1215347</v>
      </c>
      <c r="X6171">
        <v>0.97532160000000001</v>
      </c>
      <c r="Y6171">
        <v>-0.18551770000000001</v>
      </c>
      <c r="Z6171">
        <v>1.204089E-2</v>
      </c>
      <c r="AA6171">
        <v>0.98256710000000003</v>
      </c>
      <c r="AB6171">
        <v>23</v>
      </c>
      <c r="AC6171">
        <v>18.657399999999999</v>
      </c>
      <c r="AD6171">
        <v>-1.1116638389110001</v>
      </c>
      <c r="AE6171">
        <v>1.4051899999999899</v>
      </c>
      <c r="AF6171">
        <v>-3.4889102905743901</v>
      </c>
      <c r="AG6171">
        <v>-1.1116638389110001</v>
      </c>
      <c r="AH6171">
        <v>18.3150777191907</v>
      </c>
      <c r="AI6171">
        <v>93.412190492617398</v>
      </c>
      <c r="AJ6171">
        <v>100.785276136033</v>
      </c>
      <c r="AK6171">
        <v>18.6775363302127</v>
      </c>
      <c r="AL6171">
        <v>96.980682578155097</v>
      </c>
      <c r="AM6171">
        <v>100.70226712775801</v>
      </c>
      <c r="AN6171">
        <v>1.00000002505292</v>
      </c>
    </row>
    <row r="6172" spans="1:40" x14ac:dyDescent="0.25">
      <c r="A6172" t="str">
        <f>"20190305135050067"</f>
        <v>20190305135050067</v>
      </c>
      <c r="B6172" t="str">
        <f>"1551765050056376"</f>
        <v>1551765050056376</v>
      </c>
      <c r="C6172" t="s">
        <v>40</v>
      </c>
      <c r="D6172">
        <v>4.564171</v>
      </c>
      <c r="E6172">
        <v>0.49979420000000002</v>
      </c>
      <c r="F6172" t="s">
        <v>101</v>
      </c>
      <c r="G6172">
        <v>-366.02769999999998</v>
      </c>
      <c r="H6172" s="1">
        <v>-2.0035189999999998E-6</v>
      </c>
      <c r="I6172">
        <v>18.909569999999999</v>
      </c>
      <c r="J6172">
        <v>-384.8725</v>
      </c>
      <c r="K6172">
        <v>1.1116140000000001</v>
      </c>
      <c r="L6172">
        <v>17.445219999999999</v>
      </c>
      <c r="M6172">
        <v>0.99404950000000003</v>
      </c>
      <c r="N6172">
        <v>-4.7772939999999996E-3</v>
      </c>
      <c r="O6172">
        <v>-0.1088254</v>
      </c>
      <c r="P6172">
        <v>0.98920759999999996</v>
      </c>
      <c r="Q6172">
        <v>-0.1248427</v>
      </c>
      <c r="R6172">
        <v>7.6701069999999996E-2</v>
      </c>
      <c r="S6172">
        <v>2.9930110000000001</v>
      </c>
      <c r="T6172">
        <v>-0.17491499999999999</v>
      </c>
      <c r="U6172">
        <v>0.22793579999999999</v>
      </c>
      <c r="V6172">
        <v>-0.18296270000000001</v>
      </c>
      <c r="W6172">
        <v>-0.12160269999999999</v>
      </c>
      <c r="X6172">
        <v>0.9755703</v>
      </c>
      <c r="Y6172">
        <v>-0.18350459999999999</v>
      </c>
      <c r="Z6172">
        <v>1.1612610000000001E-2</v>
      </c>
      <c r="AA6172">
        <v>0.98295030000000005</v>
      </c>
      <c r="AB6172">
        <v>23</v>
      </c>
      <c r="AC6172">
        <v>18.844799999999999</v>
      </c>
      <c r="AD6172">
        <v>-1.1116160035189999</v>
      </c>
      <c r="AE6172">
        <v>1.46434999999999</v>
      </c>
      <c r="AF6172">
        <v>-3.4943829496159702</v>
      </c>
      <c r="AG6172">
        <v>-1.1116160035189999</v>
      </c>
      <c r="AH6172">
        <v>18.509496974023701</v>
      </c>
      <c r="AI6172">
        <v>93.377339732035907</v>
      </c>
      <c r="AJ6172">
        <v>100.690965234999</v>
      </c>
      <c r="AK6172">
        <v>18.869231054</v>
      </c>
      <c r="AL6172">
        <v>96.984608062791906</v>
      </c>
      <c r="AM6172">
        <v>100.622110149064</v>
      </c>
      <c r="AN6172">
        <v>0.99999998824033398</v>
      </c>
    </row>
    <row r="6173" spans="1:40" x14ac:dyDescent="0.25">
      <c r="A6173" t="str">
        <f>"20190305135050078"</f>
        <v>20190305135050078</v>
      </c>
      <c r="B6173" t="str">
        <f>"1551765050075892"</f>
        <v>1551765050075892</v>
      </c>
      <c r="C6173" t="s">
        <v>40</v>
      </c>
      <c r="D6173">
        <v>4.3885329999999998</v>
      </c>
      <c r="E6173">
        <v>0.50019399999999903</v>
      </c>
      <c r="F6173" t="s">
        <v>101</v>
      </c>
      <c r="G6173">
        <v>-365.71319999999997</v>
      </c>
      <c r="H6173" s="1">
        <v>-2.144472E-6</v>
      </c>
      <c r="I6173">
        <v>18.953189999999999</v>
      </c>
      <c r="J6173">
        <v>-384.74290000000002</v>
      </c>
      <c r="K6173">
        <v>1.111572</v>
      </c>
      <c r="L6173">
        <v>17.43411</v>
      </c>
      <c r="M6173">
        <v>0.99435830000000003</v>
      </c>
      <c r="N6173">
        <v>-4.7131259999999998E-3</v>
      </c>
      <c r="O6173">
        <v>-0.1059684</v>
      </c>
      <c r="P6173">
        <v>0.98905240000000005</v>
      </c>
      <c r="Q6173">
        <v>-0.1248827</v>
      </c>
      <c r="R6173">
        <v>7.8613660000000002E-2</v>
      </c>
      <c r="S6173">
        <v>2.9925540000000002</v>
      </c>
      <c r="T6173">
        <v>-0.17362669999999999</v>
      </c>
      <c r="U6173">
        <v>0.23553470000000001</v>
      </c>
      <c r="V6173">
        <v>-0.18205460000000001</v>
      </c>
      <c r="W6173">
        <v>-0.1216826</v>
      </c>
      <c r="X6173">
        <v>0.97573019999999999</v>
      </c>
      <c r="Y6173">
        <v>-0.18318419999999999</v>
      </c>
      <c r="Z6173">
        <v>1.13671E-2</v>
      </c>
      <c r="AA6173">
        <v>0.98301289999999997</v>
      </c>
      <c r="AB6173">
        <v>23</v>
      </c>
      <c r="AC6173">
        <v>19.029699999999998</v>
      </c>
      <c r="AD6173">
        <v>-1.111574144472</v>
      </c>
      <c r="AE6173">
        <v>1.51907999999999</v>
      </c>
      <c r="AF6173">
        <v>-3.5151779893809301</v>
      </c>
      <c r="AG6173">
        <v>-1.111574144472</v>
      </c>
      <c r="AH6173">
        <v>18.69817977001</v>
      </c>
      <c r="AI6173">
        <v>93.343692415840394</v>
      </c>
      <c r="AJ6173">
        <v>100.64709150921701</v>
      </c>
      <c r="AK6173">
        <v>19.0581741016106</v>
      </c>
      <c r="AL6173">
        <v>96.989220318814603</v>
      </c>
      <c r="AM6173">
        <v>100.568887159548</v>
      </c>
      <c r="AN6173">
        <v>0.99999997785797901</v>
      </c>
    </row>
    <row r="6174" spans="1:40" x14ac:dyDescent="0.25">
      <c r="A6174" t="str">
        <f>"20190305135050093"</f>
        <v>20190305135050093</v>
      </c>
      <c r="B6174" t="str">
        <f>"1551765050086629"</f>
        <v>1551765050086629</v>
      </c>
      <c r="C6174" t="s">
        <v>40</v>
      </c>
      <c r="D6174">
        <v>4.3454079999999999</v>
      </c>
      <c r="E6174">
        <v>0.50019399999999903</v>
      </c>
      <c r="F6174" t="s">
        <v>101</v>
      </c>
      <c r="G6174">
        <v>-365.46100000000001</v>
      </c>
      <c r="H6174" s="1">
        <v>-2.2608839999999998E-6</v>
      </c>
      <c r="I6174">
        <v>18.969059999999999</v>
      </c>
      <c r="J6174">
        <v>-384.60140000000001</v>
      </c>
      <c r="K6174">
        <v>1.111523</v>
      </c>
      <c r="L6174">
        <v>17.422270000000001</v>
      </c>
      <c r="M6174">
        <v>0.99468129999999999</v>
      </c>
      <c r="N6174">
        <v>-4.6466759999999998E-3</v>
      </c>
      <c r="O6174">
        <v>-0.1028955</v>
      </c>
      <c r="P6174">
        <v>0.98885820000000002</v>
      </c>
      <c r="Q6174">
        <v>-0.12522639999999999</v>
      </c>
      <c r="R6174">
        <v>8.0483769999999996E-2</v>
      </c>
      <c r="S6174">
        <v>2.9925229999999998</v>
      </c>
      <c r="T6174">
        <v>-0.17251420000000001</v>
      </c>
      <c r="U6174">
        <v>0.23822019999999999</v>
      </c>
      <c r="V6174">
        <v>-0.1808902</v>
      </c>
      <c r="W6174">
        <v>-0.122063</v>
      </c>
      <c r="X6174">
        <v>0.97589919999999997</v>
      </c>
      <c r="Y6174">
        <v>-0.18103820000000001</v>
      </c>
      <c r="Z6174">
        <v>1.106592E-2</v>
      </c>
      <c r="AA6174">
        <v>0.9834138</v>
      </c>
      <c r="AB6174">
        <v>23</v>
      </c>
      <c r="AC6174">
        <v>19.1404</v>
      </c>
      <c r="AD6174">
        <v>-1.1115252608840001</v>
      </c>
      <c r="AE6174">
        <v>1.5467899999999899</v>
      </c>
      <c r="AF6174">
        <v>-3.4963475393021701</v>
      </c>
      <c r="AG6174">
        <v>-1.1115252608840001</v>
      </c>
      <c r="AH6174">
        <v>18.816599368718698</v>
      </c>
      <c r="AI6174">
        <v>93.3238585785694</v>
      </c>
      <c r="AJ6174">
        <v>100.526189047214</v>
      </c>
      <c r="AK6174">
        <v>19.170924503634001</v>
      </c>
      <c r="AL6174">
        <v>97.011179557476794</v>
      </c>
      <c r="AM6174">
        <v>100.50102023686701</v>
      </c>
      <c r="AN6174">
        <v>0.99999994449283802</v>
      </c>
    </row>
    <row r="6175" spans="1:40" x14ac:dyDescent="0.25">
      <c r="A6175" t="str">
        <f>"20190305135050106"</f>
        <v>20190305135050106</v>
      </c>
      <c r="B6175" t="str">
        <f>"1551765050096389"</f>
        <v>1551765050096389</v>
      </c>
      <c r="C6175" t="s">
        <v>40</v>
      </c>
      <c r="D6175">
        <v>4.3212039999999998</v>
      </c>
      <c r="E6175">
        <v>0.53922530000000002</v>
      </c>
      <c r="F6175" t="s">
        <v>101</v>
      </c>
      <c r="G6175">
        <v>-365.4366</v>
      </c>
      <c r="H6175" s="1">
        <v>-2.269606E-6</v>
      </c>
      <c r="I6175">
        <v>18.9849</v>
      </c>
      <c r="J6175">
        <v>-384.45710000000003</v>
      </c>
      <c r="K6175">
        <v>1.1114630000000001</v>
      </c>
      <c r="L6175">
        <v>17.410640000000001</v>
      </c>
      <c r="M6175">
        <v>0.99499230000000005</v>
      </c>
      <c r="N6175">
        <v>-4.5844909999999996E-3</v>
      </c>
      <c r="O6175">
        <v>-9.9845870000000003E-2</v>
      </c>
      <c r="P6175">
        <v>0.98870749999999996</v>
      </c>
      <c r="Q6175">
        <v>-0.12521979999999999</v>
      </c>
      <c r="R6175">
        <v>8.2325120000000002E-2</v>
      </c>
      <c r="S6175">
        <v>2.9920040000000001</v>
      </c>
      <c r="T6175">
        <v>-0.17353089999999999</v>
      </c>
      <c r="U6175">
        <v>0.24395749999999999</v>
      </c>
      <c r="V6175">
        <v>-0.1797309</v>
      </c>
      <c r="W6175">
        <v>-0.12208529999999999</v>
      </c>
      <c r="X6175">
        <v>0.97611060000000005</v>
      </c>
      <c r="Y6175">
        <v>-0.1799113</v>
      </c>
      <c r="Z6175">
        <v>1.0936080000000001E-2</v>
      </c>
      <c r="AA6175">
        <v>0.98362210000000005</v>
      </c>
      <c r="AB6175">
        <v>24</v>
      </c>
      <c r="AC6175">
        <v>19.020499999999998</v>
      </c>
      <c r="AD6175">
        <v>-1.1114652696059999</v>
      </c>
      <c r="AE6175">
        <v>1.57425999999999</v>
      </c>
      <c r="AF6175">
        <v>-3.4538181664018901</v>
      </c>
      <c r="AG6175">
        <v>-1.1114652696059999</v>
      </c>
      <c r="AH6175">
        <v>18.704829778703299</v>
      </c>
      <c r="AI6175">
        <v>93.344190215102302</v>
      </c>
      <c r="AJ6175">
        <v>100.461742154997</v>
      </c>
      <c r="AK6175">
        <v>19.053474014530099</v>
      </c>
      <c r="AL6175">
        <v>97.012466770920199</v>
      </c>
      <c r="AM6175">
        <v>100.432993319619</v>
      </c>
      <c r="AN6175">
        <v>0.99999996016162895</v>
      </c>
    </row>
    <row r="6176" spans="1:40" x14ac:dyDescent="0.25">
      <c r="A6176" t="str">
        <f>"20190305135050126"</f>
        <v>20190305135050126</v>
      </c>
      <c r="B6176" t="str">
        <f>"1551765050115908"</f>
        <v>1551765050115908</v>
      </c>
      <c r="C6176" t="s">
        <v>40</v>
      </c>
      <c r="D6176">
        <v>4.2959319999999996</v>
      </c>
      <c r="E6176">
        <v>0.54130909999999999</v>
      </c>
      <c r="F6176" t="s">
        <v>42</v>
      </c>
      <c r="G6176">
        <v>-345.40159999999997</v>
      </c>
      <c r="H6176" s="1">
        <v>-2.4809210000000002E-6</v>
      </c>
      <c r="I6176">
        <v>16.651350000000001</v>
      </c>
      <c r="J6176">
        <v>-384.24459999999999</v>
      </c>
      <c r="K6176">
        <v>1.111361</v>
      </c>
      <c r="L6176">
        <v>17.394100000000002</v>
      </c>
      <c r="M6176">
        <v>0.99542059999999999</v>
      </c>
      <c r="N6176">
        <v>-4.501845E-3</v>
      </c>
      <c r="O6176">
        <v>-9.5485539999999994E-2</v>
      </c>
      <c r="P6176">
        <v>0.98852079999999998</v>
      </c>
      <c r="Q6176">
        <v>-0.12534120000000001</v>
      </c>
      <c r="R6176">
        <v>8.4358089999999997E-2</v>
      </c>
      <c r="S6176">
        <v>3.0283199999999999</v>
      </c>
      <c r="T6176">
        <v>-8.6181880000000002E-2</v>
      </c>
      <c r="U6176">
        <v>-5.8868410000000003E-2</v>
      </c>
      <c r="V6176">
        <v>-0.17748329999999901</v>
      </c>
      <c r="W6176">
        <v>-0.12223390000000001</v>
      </c>
      <c r="X6176">
        <v>0.97650329999999996</v>
      </c>
      <c r="Y6176">
        <v>-7.6058749999999994E-2</v>
      </c>
      <c r="Z6176">
        <v>3.5357019999999999E-3</v>
      </c>
      <c r="AA6176">
        <v>0.99709709999999996</v>
      </c>
      <c r="AB6176">
        <v>24</v>
      </c>
      <c r="AC6176">
        <v>38.843000000000004</v>
      </c>
      <c r="AD6176">
        <v>-1.111363480921</v>
      </c>
      <c r="AE6176">
        <v>-0.74275000000000002</v>
      </c>
      <c r="AF6176">
        <v>-2.9671982375463402</v>
      </c>
      <c r="AG6176">
        <v>-1.111363480921</v>
      </c>
      <c r="AH6176">
        <v>38.7047649847947</v>
      </c>
      <c r="AI6176">
        <v>91.639922175234801</v>
      </c>
      <c r="AJ6176">
        <v>94.383854377258501</v>
      </c>
      <c r="AK6176">
        <v>38.834240390354203</v>
      </c>
      <c r="AL6176">
        <v>97.021044386662496</v>
      </c>
      <c r="AM6176">
        <v>100.301282167751</v>
      </c>
      <c r="AN6176">
        <v>1.0000000714994901</v>
      </c>
    </row>
    <row r="6177" spans="1:40" x14ac:dyDescent="0.25">
      <c r="A6177" t="str">
        <f>"20190305135050140"</f>
        <v>20190305135050140</v>
      </c>
      <c r="B6177" t="str">
        <f>"1551765050136405"</f>
        <v>1551765050136405</v>
      </c>
      <c r="C6177" t="s">
        <v>40</v>
      </c>
      <c r="D6177">
        <v>4.2971089999999998</v>
      </c>
      <c r="E6177">
        <v>0.54234740000000004</v>
      </c>
      <c r="F6177" t="s">
        <v>42</v>
      </c>
      <c r="G6177">
        <v>-342.03769999999997</v>
      </c>
      <c r="H6177" s="1">
        <v>-3.962395E-6</v>
      </c>
      <c r="I6177">
        <v>16.435189999999999</v>
      </c>
      <c r="J6177">
        <v>-384.1069</v>
      </c>
      <c r="K6177">
        <v>1.1112930000000001</v>
      </c>
      <c r="L6177">
        <v>17.383849999999999</v>
      </c>
      <c r="M6177">
        <v>0.9956779</v>
      </c>
      <c r="N6177">
        <v>-4.4540559999999996E-3</v>
      </c>
      <c r="O6177">
        <v>-9.2766650000000006E-2</v>
      </c>
      <c r="P6177">
        <v>0.98840680000000003</v>
      </c>
      <c r="Q6177">
        <v>-0.12524969999999999</v>
      </c>
      <c r="R6177">
        <v>8.5817350000000001E-2</v>
      </c>
      <c r="S6177">
        <v>3.0306090000000001</v>
      </c>
      <c r="T6177">
        <v>-7.9800010000000005E-2</v>
      </c>
      <c r="U6177">
        <v>-6.8847660000000005E-2</v>
      </c>
      <c r="V6177">
        <v>-0.1762775</v>
      </c>
      <c r="W6177">
        <v>-0.1221536</v>
      </c>
      <c r="X6177">
        <v>0.97673169999999998</v>
      </c>
      <c r="Y6177">
        <v>-7.0079539999999996E-2</v>
      </c>
      <c r="Z6177">
        <v>3.1035059999999998E-3</v>
      </c>
      <c r="AA6177">
        <v>0.9975366</v>
      </c>
      <c r="AB6177">
        <v>24</v>
      </c>
      <c r="AC6177">
        <v>42.069200000000002</v>
      </c>
      <c r="AD6177">
        <v>-1.111296962395</v>
      </c>
      <c r="AE6177">
        <v>-0.94865999999999995</v>
      </c>
      <c r="AF6177">
        <v>-2.9560266707446399</v>
      </c>
      <c r="AG6177">
        <v>-1.111296962395</v>
      </c>
      <c r="AH6177">
        <v>41.946538241899397</v>
      </c>
      <c r="AI6177">
        <v>91.513839490143397</v>
      </c>
      <c r="AJ6177">
        <v>94.031043328683793</v>
      </c>
      <c r="AK6177">
        <v>42.065248663188903</v>
      </c>
      <c r="AL6177">
        <v>97.016409045597698</v>
      </c>
      <c r="AM6177">
        <v>100.23043782021701</v>
      </c>
      <c r="AN6177">
        <v>1.00000003639204</v>
      </c>
    </row>
    <row r="6178" spans="1:40" x14ac:dyDescent="0.25">
      <c r="A6178" t="str">
        <f>"20190305135050155"</f>
        <v>20190305135050155</v>
      </c>
      <c r="B6178" t="str">
        <f>"1551765050146168"</f>
        <v>1551765050146168</v>
      </c>
      <c r="C6178" t="s">
        <v>40</v>
      </c>
      <c r="D6178">
        <v>4.3763360000000002</v>
      </c>
      <c r="E6178">
        <v>0.54259309999999905</v>
      </c>
      <c r="F6178" t="s">
        <v>42</v>
      </c>
      <c r="G6178">
        <v>-339.44139999999999</v>
      </c>
      <c r="H6178" s="1">
        <v>-1.0535459999999999E-6</v>
      </c>
      <c r="I6178">
        <v>16.318719999999999</v>
      </c>
      <c r="J6178">
        <v>-383.9332</v>
      </c>
      <c r="K6178">
        <v>1.1112029999999999</v>
      </c>
      <c r="L6178">
        <v>17.37125</v>
      </c>
      <c r="M6178">
        <v>0.99598299999999995</v>
      </c>
      <c r="N6178">
        <v>-4.3982919999999998E-3</v>
      </c>
      <c r="O6178">
        <v>-8.9433410000000005E-2</v>
      </c>
      <c r="P6178">
        <v>0.9883265</v>
      </c>
      <c r="Q6178">
        <v>-0.125281</v>
      </c>
      <c r="R6178">
        <v>8.6691589999999999E-2</v>
      </c>
      <c r="S6178">
        <v>3.0319210000000001</v>
      </c>
      <c r="T6178">
        <v>-7.5435279999999993E-2</v>
      </c>
      <c r="U6178">
        <v>-7.2296139999999995E-2</v>
      </c>
      <c r="V6178">
        <v>-0.17389679999999999</v>
      </c>
      <c r="W6178">
        <v>-0.12218560000000001</v>
      </c>
      <c r="X6178">
        <v>0.97715430000000003</v>
      </c>
      <c r="Y6178">
        <v>-6.5623630000000002E-2</v>
      </c>
      <c r="Z6178">
        <v>2.78839E-3</v>
      </c>
      <c r="AA6178">
        <v>0.99784050000000002</v>
      </c>
      <c r="AB6178">
        <v>24</v>
      </c>
      <c r="AC6178">
        <v>44.491799999999998</v>
      </c>
      <c r="AD6178">
        <v>-1.1112040535459999</v>
      </c>
      <c r="AE6178">
        <v>-1.05252999999999</v>
      </c>
      <c r="AF6178">
        <v>-2.92895403640695</v>
      </c>
      <c r="AG6178">
        <v>-1.1112040535459999</v>
      </c>
      <c r="AH6178">
        <v>44.379973788281099</v>
      </c>
      <c r="AI6178">
        <v>91.431183466448104</v>
      </c>
      <c r="AJ6178">
        <v>93.775885291434705</v>
      </c>
      <c r="AK6178">
        <v>44.490399185043501</v>
      </c>
      <c r="AL6178">
        <v>97.018256802702197</v>
      </c>
      <c r="AM6178">
        <v>100.09085595523599</v>
      </c>
      <c r="AN6178">
        <v>0.99999997195304402</v>
      </c>
    </row>
    <row r="6179" spans="1:40" x14ac:dyDescent="0.25">
      <c r="A6179" t="str">
        <f>"20190305135050167"</f>
        <v>20190305135050167</v>
      </c>
      <c r="B6179" t="str">
        <f>"1551765050155925"</f>
        <v>1551765050155925</v>
      </c>
      <c r="C6179" t="s">
        <v>40</v>
      </c>
      <c r="D6179">
        <v>4.2975789999999998</v>
      </c>
      <c r="E6179">
        <v>0.54271289999999905</v>
      </c>
      <c r="F6179" t="s">
        <v>42</v>
      </c>
      <c r="G6179">
        <v>-335.78440000000001</v>
      </c>
      <c r="H6179" s="1">
        <v>-2.3891269999999998E-6</v>
      </c>
      <c r="I6179">
        <v>16.243259999999999</v>
      </c>
      <c r="J6179">
        <v>-383.80840000000001</v>
      </c>
      <c r="K6179">
        <v>1.1111329999999999</v>
      </c>
      <c r="L6179">
        <v>17.362459999999999</v>
      </c>
      <c r="M6179">
        <v>0.99618890000000004</v>
      </c>
      <c r="N6179">
        <v>-4.3613410000000003E-3</v>
      </c>
      <c r="O6179">
        <v>-8.7114349999999993E-2</v>
      </c>
      <c r="P6179">
        <v>0.9882225</v>
      </c>
      <c r="Q6179">
        <v>-0.12537599999999999</v>
      </c>
      <c r="R6179">
        <v>8.7734519999999996E-2</v>
      </c>
      <c r="S6179">
        <v>3.0328059999999999</v>
      </c>
      <c r="T6179">
        <v>-6.9992780000000004E-2</v>
      </c>
      <c r="U6179">
        <v>-7.1044919999999998E-2</v>
      </c>
      <c r="V6179">
        <v>-0.17267060000000001</v>
      </c>
      <c r="W6179">
        <v>-0.12228029999999999</v>
      </c>
      <c r="X6179">
        <v>0.97735989999999995</v>
      </c>
      <c r="Y6179">
        <v>-6.3725909999999997E-2</v>
      </c>
      <c r="Z6179">
        <v>2.5013600000000002E-3</v>
      </c>
      <c r="AA6179">
        <v>0.99796430000000003</v>
      </c>
      <c r="AB6179">
        <v>24</v>
      </c>
      <c r="AC6179">
        <v>48.023999999999901</v>
      </c>
      <c r="AD6179">
        <v>-1.1111353891269999</v>
      </c>
      <c r="AE6179">
        <v>-1.1192</v>
      </c>
      <c r="AF6179">
        <v>-3.06703275311237</v>
      </c>
      <c r="AG6179">
        <v>-1.1111353891269999</v>
      </c>
      <c r="AH6179">
        <v>47.913288671381402</v>
      </c>
      <c r="AI6179">
        <v>91.325769908193394</v>
      </c>
      <c r="AJ6179">
        <v>93.662629035762095</v>
      </c>
      <c r="AK6179">
        <v>48.024207885906499</v>
      </c>
      <c r="AL6179">
        <v>97.023723572639796</v>
      </c>
      <c r="AM6179">
        <v>100.01908405573499</v>
      </c>
      <c r="AN6179">
        <v>0.99999999100022996</v>
      </c>
    </row>
    <row r="6180" spans="1:40" x14ac:dyDescent="0.25">
      <c r="A6180" t="str">
        <f>"20190305135050179"</f>
        <v>20190305135050179</v>
      </c>
      <c r="B6180" t="str">
        <f>"1551765050176420"</f>
        <v>1551765050176420</v>
      </c>
      <c r="C6180" t="s">
        <v>40</v>
      </c>
      <c r="D6180">
        <v>4.3266739999999997</v>
      </c>
      <c r="E6180">
        <v>0.54299869999999995</v>
      </c>
      <c r="F6180" t="s">
        <v>42</v>
      </c>
      <c r="G6180">
        <v>-335.29750000000001</v>
      </c>
      <c r="H6180" s="1">
        <v>-2.5941720000000002E-6</v>
      </c>
      <c r="I6180">
        <v>16.264620000000001</v>
      </c>
      <c r="J6180">
        <v>-383.68779999999998</v>
      </c>
      <c r="K6180">
        <v>1.1110580000000001</v>
      </c>
      <c r="L6180">
        <v>17.354220000000002</v>
      </c>
      <c r="M6180">
        <v>0.99637450000000005</v>
      </c>
      <c r="N6180">
        <v>-4.3287930000000001E-3</v>
      </c>
      <c r="O6180">
        <v>-8.4965040000000006E-2</v>
      </c>
      <c r="P6180">
        <v>0.98812350000000004</v>
      </c>
      <c r="Q6180">
        <v>-0.12566659999999999</v>
      </c>
      <c r="R6180">
        <v>8.8430389999999998E-2</v>
      </c>
      <c r="S6180">
        <v>3.03302</v>
      </c>
      <c r="T6180">
        <v>-6.9470879999999999E-2</v>
      </c>
      <c r="U6180">
        <v>-6.8634029999999999E-2</v>
      </c>
      <c r="V6180">
        <v>-0.1712649</v>
      </c>
      <c r="W6180">
        <v>-0.1225653</v>
      </c>
      <c r="X6180">
        <v>0.97757150000000004</v>
      </c>
      <c r="Y6180">
        <v>-6.2368729999999997E-2</v>
      </c>
      <c r="Z6180">
        <v>2.4243630000000001E-3</v>
      </c>
      <c r="AA6180">
        <v>0.9980502</v>
      </c>
      <c r="AB6180">
        <v>24</v>
      </c>
      <c r="AC6180">
        <v>48.390299999999897</v>
      </c>
      <c r="AD6180">
        <v>-1.111060594172</v>
      </c>
      <c r="AE6180">
        <v>-1.0895999999999999</v>
      </c>
      <c r="AF6180">
        <v>-3.0242690337416001</v>
      </c>
      <c r="AG6180">
        <v>-1.111060594172</v>
      </c>
      <c r="AH6180">
        <v>48.282452275697501</v>
      </c>
      <c r="AI6180">
        <v>91.315662293499798</v>
      </c>
      <c r="AJ6180">
        <v>93.584154552599898</v>
      </c>
      <c r="AK6180">
        <v>48.389832161182198</v>
      </c>
      <c r="AL6180">
        <v>97.040176720012795</v>
      </c>
      <c r="AM6180">
        <v>99.937043808800794</v>
      </c>
      <c r="AN6180">
        <v>0.99999997817417396</v>
      </c>
    </row>
    <row r="6181" spans="1:40" x14ac:dyDescent="0.25">
      <c r="A6181" t="str">
        <f>"20190305135050191"</f>
        <v>20190305135050191</v>
      </c>
      <c r="B6181" t="str">
        <f>"1551765050186182"</f>
        <v>1551765050186182</v>
      </c>
      <c r="C6181" t="s">
        <v>40</v>
      </c>
      <c r="D6181">
        <v>4.3112370000000002</v>
      </c>
      <c r="E6181">
        <v>0.5442401</v>
      </c>
      <c r="F6181" t="s">
        <v>42</v>
      </c>
      <c r="G6181">
        <v>-334.49220000000003</v>
      </c>
      <c r="H6181" s="1">
        <v>-2.943683E-6</v>
      </c>
      <c r="I6181">
        <v>16.242049999999999</v>
      </c>
      <c r="J6181">
        <v>-383.55759999999998</v>
      </c>
      <c r="K6181">
        <v>1.110975</v>
      </c>
      <c r="L6181">
        <v>17.345489999999899</v>
      </c>
      <c r="M6181">
        <v>0.99656670000000003</v>
      </c>
      <c r="N6181">
        <v>-4.2951270000000001E-3</v>
      </c>
      <c r="O6181">
        <v>-8.2683399999999893E-2</v>
      </c>
      <c r="P6181">
        <v>0.98808989999999997</v>
      </c>
      <c r="Q6181">
        <v>-0.12599109999999999</v>
      </c>
      <c r="R6181">
        <v>8.8345209999999993E-2</v>
      </c>
      <c r="S6181">
        <v>3.0334780000000001</v>
      </c>
      <c r="T6181">
        <v>-6.8509699999999896E-2</v>
      </c>
      <c r="U6181">
        <v>-6.8572999999999995E-2</v>
      </c>
      <c r="V6181">
        <v>-0.16895839999999901</v>
      </c>
      <c r="W6181">
        <v>-0.122876399999999</v>
      </c>
      <c r="X6181">
        <v>0.97793379999999996</v>
      </c>
      <c r="Y6181">
        <v>-6.0108799999999997E-2</v>
      </c>
      <c r="Z6181">
        <v>2.3171260000000001E-3</v>
      </c>
      <c r="AA6181">
        <v>0.9981892</v>
      </c>
      <c r="AB6181">
        <v>24</v>
      </c>
      <c r="AC6181">
        <v>49.065399999999897</v>
      </c>
      <c r="AD6181">
        <v>-1.1109779436830001</v>
      </c>
      <c r="AE6181">
        <v>-1.10343999999999</v>
      </c>
      <c r="AF6181">
        <v>-2.9557549078942</v>
      </c>
      <c r="AG6181">
        <v>-1.1109779436830001</v>
      </c>
      <c r="AH6181">
        <v>48.963536658416899</v>
      </c>
      <c r="AI6181">
        <v>91.297451634888802</v>
      </c>
      <c r="AJ6181">
        <v>93.454550650756204</v>
      </c>
      <c r="AK6181">
        <v>49.065249221491101</v>
      </c>
      <c r="AL6181">
        <v>97.058136801334101</v>
      </c>
      <c r="AM6181">
        <v>99.802270047198903</v>
      </c>
      <c r="AN6181">
        <v>1.0000000338949699</v>
      </c>
    </row>
    <row r="6182" spans="1:40" x14ac:dyDescent="0.25">
      <c r="A6182" t="str">
        <f>"20190305135050202"</f>
        <v>20190305135050202</v>
      </c>
      <c r="B6182" t="str">
        <f>"1551765050195941"</f>
        <v>1551765050195941</v>
      </c>
      <c r="C6182" t="s">
        <v>40</v>
      </c>
      <c r="D6182">
        <v>4.2612389999999998</v>
      </c>
      <c r="E6182">
        <v>0.54491899999999904</v>
      </c>
      <c r="F6182" t="s">
        <v>42</v>
      </c>
      <c r="G6182">
        <v>-328.20870000000002</v>
      </c>
      <c r="H6182" s="1">
        <v>-1.655781E-6</v>
      </c>
      <c r="I6182">
        <v>15.919269999999999</v>
      </c>
      <c r="J6182">
        <v>-383.42540000000002</v>
      </c>
      <c r="K6182">
        <v>1.110889</v>
      </c>
      <c r="L6182">
        <v>17.336879999999901</v>
      </c>
      <c r="M6182">
        <v>0.99674680000000004</v>
      </c>
      <c r="N6182">
        <v>-4.2644789999999998E-3</v>
      </c>
      <c r="O6182">
        <v>-8.0484730000000004E-2</v>
      </c>
      <c r="P6182">
        <v>0.98797639999999998</v>
      </c>
      <c r="Q6182">
        <v>-0.1262141</v>
      </c>
      <c r="R6182">
        <v>8.9291389999999998E-2</v>
      </c>
      <c r="S6182">
        <v>3.035431</v>
      </c>
      <c r="T6182">
        <v>-6.0927870000000002E-2</v>
      </c>
      <c r="U6182">
        <v>-7.8216549999999996E-2</v>
      </c>
      <c r="V6182">
        <v>-0.1677582</v>
      </c>
      <c r="W6182">
        <v>-0.123089</v>
      </c>
      <c r="X6182">
        <v>0.97811369999999997</v>
      </c>
      <c r="Y6182">
        <v>-5.4759639999999998E-2</v>
      </c>
      <c r="Z6182">
        <v>1.936058E-3</v>
      </c>
      <c r="AA6182">
        <v>0.99849770000000004</v>
      </c>
      <c r="AB6182">
        <v>24</v>
      </c>
      <c r="AC6182">
        <v>55.216700000000003</v>
      </c>
      <c r="AD6182">
        <v>-1.1108906557809901</v>
      </c>
      <c r="AE6182">
        <v>-1.41760999999999</v>
      </c>
      <c r="AF6182">
        <v>-3.0299046898144302</v>
      </c>
      <c r="AG6182">
        <v>-1.1108906557809901</v>
      </c>
      <c r="AH6182">
        <v>55.129362368984303</v>
      </c>
      <c r="AI6182">
        <v>91.152650009430701</v>
      </c>
      <c r="AJ6182">
        <v>93.145805926045497</v>
      </c>
      <c r="AK6182">
        <v>55.223735799828397</v>
      </c>
      <c r="AL6182">
        <v>97.070410854008401</v>
      </c>
      <c r="AM6182">
        <v>99.732220025211106</v>
      </c>
      <c r="AN6182">
        <v>1.0000000628579599</v>
      </c>
    </row>
    <row r="6183" spans="1:40" x14ac:dyDescent="0.25">
      <c r="A6183" t="str">
        <f>"20190305135050215"</f>
        <v>20190305135050215</v>
      </c>
      <c r="B6183" t="str">
        <f>"1551765050206676"</f>
        <v>1551765050206676</v>
      </c>
      <c r="C6183" t="s">
        <v>40</v>
      </c>
      <c r="D6183">
        <v>4.3095600000000003</v>
      </c>
      <c r="E6183">
        <v>0.54569880000000004</v>
      </c>
      <c r="F6183" t="s">
        <v>42</v>
      </c>
      <c r="G6183">
        <v>-324.32589999999999</v>
      </c>
      <c r="H6183" s="1">
        <v>-3.3450440000000001E-6</v>
      </c>
      <c r="I6183">
        <v>15.769410000000001</v>
      </c>
      <c r="J6183">
        <v>-383.29570000000001</v>
      </c>
      <c r="K6183">
        <v>1.110806</v>
      </c>
      <c r="L6183">
        <v>17.328610000000001</v>
      </c>
      <c r="M6183">
        <v>0.99691390000000002</v>
      </c>
      <c r="N6183">
        <v>-4.2362279999999999E-3</v>
      </c>
      <c r="O6183">
        <v>-7.8390249999999995E-2</v>
      </c>
      <c r="P6183">
        <v>0.98794340000000003</v>
      </c>
      <c r="Q6183">
        <v>-0.12619620000000001</v>
      </c>
      <c r="R6183">
        <v>8.9678540000000001E-2</v>
      </c>
      <c r="S6183">
        <v>3.0364990000000001</v>
      </c>
      <c r="T6183">
        <v>-5.7077049999999997E-2</v>
      </c>
      <c r="U6183">
        <v>-8.0535889999999999E-2</v>
      </c>
      <c r="V6183">
        <v>-0.16610939999999999</v>
      </c>
      <c r="W6183">
        <v>-0.1230562</v>
      </c>
      <c r="X6183">
        <v>0.97839909999999997</v>
      </c>
      <c r="Y6183">
        <v>-5.1912199999999999E-2</v>
      </c>
      <c r="Z6183">
        <v>1.737008E-3</v>
      </c>
      <c r="AA6183">
        <v>0.99865009999999999</v>
      </c>
      <c r="AB6183">
        <v>24</v>
      </c>
      <c r="AC6183">
        <v>58.969799999999999</v>
      </c>
      <c r="AD6183">
        <v>-1.110809345044</v>
      </c>
      <c r="AE6183">
        <v>-1.5591999999999999</v>
      </c>
      <c r="AF6183">
        <v>-3.0672087054107302</v>
      </c>
      <c r="AG6183">
        <v>-1.110809345044</v>
      </c>
      <c r="AH6183">
        <v>58.889677911898502</v>
      </c>
      <c r="AI6183">
        <v>91.079153819119895</v>
      </c>
      <c r="AJ6183">
        <v>92.981498072860703</v>
      </c>
      <c r="AK6183">
        <v>58.979961268304798</v>
      </c>
      <c r="AL6183">
        <v>97.068517744688506</v>
      </c>
      <c r="AM6183">
        <v>99.635611755368501</v>
      </c>
      <c r="AN6183">
        <v>0.99999998000380397</v>
      </c>
    </row>
    <row r="6184" spans="1:40" x14ac:dyDescent="0.25">
      <c r="A6184" t="str">
        <f>"20190305135050227"</f>
        <v>20190305135050227</v>
      </c>
      <c r="B6184" t="str">
        <f>"1551765050216437"</f>
        <v>1551765050216437</v>
      </c>
      <c r="C6184" t="s">
        <v>40</v>
      </c>
      <c r="D6184">
        <v>4.3187309999999997</v>
      </c>
      <c r="E6184">
        <v>0.54639569999999904</v>
      </c>
      <c r="F6184" t="s">
        <v>43</v>
      </c>
      <c r="G6184">
        <v>-316.49149999999997</v>
      </c>
      <c r="H6184">
        <v>-0.05</v>
      </c>
      <c r="I6184">
        <v>15.452070000000001</v>
      </c>
      <c r="J6184">
        <v>-383.16320000000002</v>
      </c>
      <c r="K6184">
        <v>1.1107209999999901</v>
      </c>
      <c r="L6184">
        <v>17.320339999999899</v>
      </c>
      <c r="M6184">
        <v>0.99707480000000004</v>
      </c>
      <c r="N6184">
        <v>-4.2093390000000003E-3</v>
      </c>
      <c r="O6184">
        <v>-7.6317609999999994E-2</v>
      </c>
      <c r="P6184">
        <v>0.98791640000000003</v>
      </c>
      <c r="Q6184">
        <v>-0.12595599999999901</v>
      </c>
      <c r="R6184">
        <v>9.0314989999999998E-2</v>
      </c>
      <c r="S6184">
        <v>3.0376280000000002</v>
      </c>
      <c r="T6184">
        <v>-5.2782540000000003E-2</v>
      </c>
      <c r="U6184">
        <v>-8.5327150000000004E-2</v>
      </c>
      <c r="V6184">
        <v>-0.1647335</v>
      </c>
      <c r="W6184">
        <v>-0.1228014</v>
      </c>
      <c r="X6184">
        <v>0.97866370000000003</v>
      </c>
      <c r="Y6184">
        <v>-4.8275470000000001E-2</v>
      </c>
      <c r="Z6184">
        <v>1.5238840000000001E-3</v>
      </c>
      <c r="AA6184">
        <v>0.99883290000000002</v>
      </c>
      <c r="AB6184">
        <v>24</v>
      </c>
      <c r="AC6184">
        <v>66.671700000000001</v>
      </c>
      <c r="AD6184">
        <v>-1.1607209999999999</v>
      </c>
      <c r="AE6184">
        <v>-1.8682699999999901</v>
      </c>
      <c r="AF6184">
        <v>-3.2244714888239199</v>
      </c>
      <c r="AG6184">
        <v>-1.1607209999999999</v>
      </c>
      <c r="AH6184">
        <v>66.599665722912704</v>
      </c>
      <c r="AI6184">
        <v>90.997300751164104</v>
      </c>
      <c r="AJ6184">
        <v>92.771852573119503</v>
      </c>
      <c r="AK6184">
        <v>66.687779720319</v>
      </c>
      <c r="AL6184">
        <v>97.053807251671699</v>
      </c>
      <c r="AM6184">
        <v>99.554740956517904</v>
      </c>
      <c r="AN6184">
        <v>0.99999997378094896</v>
      </c>
    </row>
    <row r="6185" spans="1:40" x14ac:dyDescent="0.25">
      <c r="A6185" t="str">
        <f>"20190305135050238"</f>
        <v>20190305135050238</v>
      </c>
      <c r="B6185" t="str">
        <f>"1551765050235957"</f>
        <v>1551765050235957</v>
      </c>
      <c r="C6185" t="s">
        <v>40</v>
      </c>
      <c r="D6185">
        <v>4.2830279999999998</v>
      </c>
      <c r="E6185">
        <v>0.54743180000000002</v>
      </c>
      <c r="F6185" t="s">
        <v>43</v>
      </c>
      <c r="G6185">
        <v>-310.4699</v>
      </c>
      <c r="H6185">
        <v>-0.05</v>
      </c>
      <c r="I6185">
        <v>15.19655</v>
      </c>
      <c r="J6185">
        <v>-383.03960000000001</v>
      </c>
      <c r="K6185">
        <v>1.110644</v>
      </c>
      <c r="L6185">
        <v>17.312899999999999</v>
      </c>
      <c r="M6185">
        <v>0.99721329999999997</v>
      </c>
      <c r="N6185">
        <v>-4.1868490000000003E-3</v>
      </c>
      <c r="O6185">
        <v>-7.448507E-2</v>
      </c>
      <c r="P6185">
        <v>0.98789890000000002</v>
      </c>
      <c r="Q6185">
        <v>-0.12591369999999999</v>
      </c>
      <c r="R6185">
        <v>9.0563619999999997E-2</v>
      </c>
      <c r="S6185">
        <v>3.038605</v>
      </c>
      <c r="T6185">
        <v>-4.8518539999999999E-2</v>
      </c>
      <c r="U6185">
        <v>-8.8775629999999994E-2</v>
      </c>
      <c r="V6185">
        <v>-0.16320479999999901</v>
      </c>
      <c r="W6185">
        <v>-0.1227415</v>
      </c>
      <c r="X6185">
        <v>0.97892729999999994</v>
      </c>
      <c r="Y6185">
        <v>-4.5319209999999999E-2</v>
      </c>
      <c r="Z6185">
        <v>1.332387E-3</v>
      </c>
      <c r="AA6185">
        <v>0.99897159999999996</v>
      </c>
      <c r="AB6185">
        <v>24</v>
      </c>
      <c r="AC6185">
        <v>72.569699999999997</v>
      </c>
      <c r="AD6185">
        <v>-1.160644</v>
      </c>
      <c r="AE6185">
        <v>-2.1163500000000002</v>
      </c>
      <c r="AF6185">
        <v>-3.2940939390005401</v>
      </c>
      <c r="AG6185">
        <v>-1.160644</v>
      </c>
      <c r="AH6185">
        <v>72.507214013799</v>
      </c>
      <c r="AI6185">
        <v>90.916127040147998</v>
      </c>
      <c r="AJ6185">
        <v>92.601230673221394</v>
      </c>
      <c r="AK6185">
        <v>72.591282075856299</v>
      </c>
      <c r="AL6185">
        <v>97.050349095526798</v>
      </c>
      <c r="AM6185">
        <v>99.465183784914402</v>
      </c>
      <c r="AN6185">
        <v>0.999999970625289</v>
      </c>
    </row>
    <row r="6186" spans="1:40" x14ac:dyDescent="0.25">
      <c r="A6186" t="str">
        <f>"20190305135050257"</f>
        <v>20190305135050257</v>
      </c>
      <c r="B6186" t="str">
        <f>"1551765050246698"</f>
        <v>1551765050246698</v>
      </c>
      <c r="C6186" t="s">
        <v>40</v>
      </c>
      <c r="D6186">
        <v>4.2509790000000001</v>
      </c>
      <c r="E6186">
        <v>0.54794430000000005</v>
      </c>
      <c r="F6186" t="s">
        <v>43</v>
      </c>
      <c r="G6186">
        <v>-298.24799999999999</v>
      </c>
      <c r="H6186">
        <v>-0.05</v>
      </c>
      <c r="I6186">
        <v>14.64372</v>
      </c>
      <c r="J6186">
        <v>-382.84129999999999</v>
      </c>
      <c r="K6186">
        <v>1.110525</v>
      </c>
      <c r="L6186">
        <v>17.30115</v>
      </c>
      <c r="M6186">
        <v>0.99741990000000003</v>
      </c>
      <c r="N6186">
        <v>-4.1538010000000004E-3</v>
      </c>
      <c r="O6186">
        <v>-7.1668159999999995E-2</v>
      </c>
      <c r="P6186">
        <v>0.98797659999999998</v>
      </c>
      <c r="Q6186">
        <v>-0.1253553</v>
      </c>
      <c r="R6186">
        <v>9.0488760000000001E-2</v>
      </c>
      <c r="S6186">
        <v>3.0401919999999998</v>
      </c>
      <c r="T6186">
        <v>-4.1614770000000002E-2</v>
      </c>
      <c r="U6186">
        <v>-9.5703129999999997E-2</v>
      </c>
      <c r="V6186">
        <v>-0.1604101</v>
      </c>
      <c r="W6186">
        <v>-0.1221505</v>
      </c>
      <c r="X6186">
        <v>0.97946299999999997</v>
      </c>
      <c r="Y6186">
        <v>-4.024233E-2</v>
      </c>
      <c r="Z6186">
        <v>1.0408699999999999E-3</v>
      </c>
      <c r="AA6186">
        <v>0.99918940000000001</v>
      </c>
      <c r="AB6186">
        <v>24</v>
      </c>
      <c r="AC6186">
        <v>84.593299999999999</v>
      </c>
      <c r="AD6186">
        <v>-1.160525</v>
      </c>
      <c r="AE6186">
        <v>-2.65742999999999</v>
      </c>
      <c r="AF6186">
        <v>-3.4114605395857498</v>
      </c>
      <c r="AG6186">
        <v>-1.160525</v>
      </c>
      <c r="AH6186">
        <v>84.550324653631804</v>
      </c>
      <c r="AI6186">
        <v>90.785744593697302</v>
      </c>
      <c r="AJ6186">
        <v>92.310533109731793</v>
      </c>
      <c r="AK6186">
        <v>84.627077701662998</v>
      </c>
      <c r="AL6186">
        <v>97.016230651200004</v>
      </c>
      <c r="AM6186">
        <v>99.3009617915597</v>
      </c>
      <c r="AN6186">
        <v>0.99999995660062901</v>
      </c>
    </row>
    <row r="6187" spans="1:40" x14ac:dyDescent="0.25">
      <c r="A6187" t="str">
        <f>"20190305135050268"</f>
        <v>20190305135050268</v>
      </c>
      <c r="B6187" t="str">
        <f>"1551765050256454"</f>
        <v>1551765050256454</v>
      </c>
      <c r="C6187" t="s">
        <v>40</v>
      </c>
      <c r="D6187">
        <v>4.2410240000000003</v>
      </c>
      <c r="E6187">
        <v>0.54831490000000005</v>
      </c>
      <c r="F6187" t="s">
        <v>43</v>
      </c>
      <c r="G6187">
        <v>-300.85210000000001</v>
      </c>
      <c r="H6187">
        <v>-0.05</v>
      </c>
      <c r="I6187">
        <v>14.60826</v>
      </c>
      <c r="J6187">
        <v>-382.7183</v>
      </c>
      <c r="K6187">
        <v>1.110447</v>
      </c>
      <c r="L6187">
        <v>17.294039999999999</v>
      </c>
      <c r="M6187">
        <v>0.9975387</v>
      </c>
      <c r="N6187">
        <v>-4.1350700000000002E-3</v>
      </c>
      <c r="O6187">
        <v>-6.999706E-2</v>
      </c>
      <c r="P6187">
        <v>0.98802920000000005</v>
      </c>
      <c r="Q6187">
        <v>-0.1248471</v>
      </c>
      <c r="R6187">
        <v>9.0619450000000004E-2</v>
      </c>
      <c r="S6187">
        <v>3.040222</v>
      </c>
      <c r="T6187">
        <v>-4.3033120000000001E-2</v>
      </c>
      <c r="U6187">
        <v>-9.9853520000000001E-2</v>
      </c>
      <c r="V6187">
        <v>-0.15892899999999999</v>
      </c>
      <c r="W6187">
        <v>-0.12162199999999999</v>
      </c>
      <c r="X6187">
        <v>0.97977020000000004</v>
      </c>
      <c r="Y6187">
        <v>-3.7205700000000001E-2</v>
      </c>
      <c r="Z6187">
        <v>1.040137E-3</v>
      </c>
      <c r="AA6187">
        <v>0.9993071</v>
      </c>
      <c r="AB6187">
        <v>25</v>
      </c>
      <c r="AC6187">
        <v>81.866199999999907</v>
      </c>
      <c r="AD6187">
        <v>-1.160447</v>
      </c>
      <c r="AE6187">
        <v>-2.6857799999999901</v>
      </c>
      <c r="AF6187">
        <v>-3.0506373879042101</v>
      </c>
      <c r="AG6187">
        <v>-1.160447</v>
      </c>
      <c r="AH6187">
        <v>81.836967590079198</v>
      </c>
      <c r="AI6187">
        <v>90.811835084075497</v>
      </c>
      <c r="AJ6187">
        <v>92.134826827795294</v>
      </c>
      <c r="AK6187">
        <v>81.902028607672307</v>
      </c>
      <c r="AL6187">
        <v>96.985722118450795</v>
      </c>
      <c r="AM6187">
        <v>99.213724311381199</v>
      </c>
      <c r="AN6187">
        <v>0.99999999136651996</v>
      </c>
    </row>
    <row r="6188" spans="1:40" x14ac:dyDescent="0.25">
      <c r="A6188" t="str">
        <f>"20190305135050279"</f>
        <v>20190305135050279</v>
      </c>
      <c r="B6188" t="str">
        <f>"1551765050275973"</f>
        <v>1551765050275973</v>
      </c>
      <c r="C6188" t="s">
        <v>40</v>
      </c>
      <c r="D6188">
        <v>4.2336720000000003</v>
      </c>
      <c r="E6188">
        <v>0.54904649999999999</v>
      </c>
      <c r="F6188" t="s">
        <v>43</v>
      </c>
      <c r="G6188">
        <v>-292.08319999999998</v>
      </c>
      <c r="H6188">
        <v>-0.05</v>
      </c>
      <c r="I6188">
        <v>14.24681</v>
      </c>
      <c r="J6188">
        <v>-382.59190000000001</v>
      </c>
      <c r="K6188">
        <v>1.1103730000000001</v>
      </c>
      <c r="L6188">
        <v>17.286929999999899</v>
      </c>
      <c r="M6188">
        <v>0.9976507</v>
      </c>
      <c r="N6188">
        <v>-4.1180230000000002E-3</v>
      </c>
      <c r="O6188">
        <v>-6.8381910000000004E-2</v>
      </c>
      <c r="P6188">
        <v>0.98804190000000003</v>
      </c>
      <c r="Q6188">
        <v>-0.124753</v>
      </c>
      <c r="R6188">
        <v>9.0608880000000003E-2</v>
      </c>
      <c r="S6188">
        <v>3.0408019999999998</v>
      </c>
      <c r="T6188">
        <v>-3.8932920000000003E-2</v>
      </c>
      <c r="U6188">
        <v>-0.1022339</v>
      </c>
      <c r="V6188">
        <v>-0.1573562</v>
      </c>
      <c r="W6188">
        <v>-0.1215065</v>
      </c>
      <c r="X6188">
        <v>0.98003830000000003</v>
      </c>
      <c r="Y6188">
        <v>-3.4814480000000002E-2</v>
      </c>
      <c r="Z6188">
        <v>8.8723209999999999E-4</v>
      </c>
      <c r="AA6188">
        <v>0.99939339999999999</v>
      </c>
      <c r="AB6188">
        <v>25</v>
      </c>
      <c r="AC6188">
        <v>90.508700000000005</v>
      </c>
      <c r="AD6188">
        <v>-1.1603729999999901</v>
      </c>
      <c r="AE6188">
        <v>-3.0401199999999902</v>
      </c>
      <c r="AF6188">
        <v>-3.1556886453238602</v>
      </c>
      <c r="AG6188">
        <v>-1.1603729999999901</v>
      </c>
      <c r="AH6188">
        <v>90.489869413818496</v>
      </c>
      <c r="AI6188">
        <v>90.7342307821785</v>
      </c>
      <c r="AJ6188">
        <v>91.997288744380597</v>
      </c>
      <c r="AK6188">
        <v>90.552312520748401</v>
      </c>
      <c r="AL6188">
        <v>96.979055395592198</v>
      </c>
      <c r="AM6188">
        <v>99.121630205171698</v>
      </c>
      <c r="AN6188">
        <v>0.99999993634378803</v>
      </c>
    </row>
    <row r="6189" spans="1:40" x14ac:dyDescent="0.25">
      <c r="A6189" t="str">
        <f>"20190305135050291"</f>
        <v>20190305135050291</v>
      </c>
      <c r="B6189" t="str">
        <f>"1551765050286709"</f>
        <v>1551765050286709</v>
      </c>
      <c r="C6189" t="s">
        <v>40</v>
      </c>
      <c r="D6189">
        <v>4.2811360000000001</v>
      </c>
      <c r="E6189">
        <v>0.54937440000000004</v>
      </c>
      <c r="F6189" t="s">
        <v>107</v>
      </c>
      <c r="G6189">
        <v>-279.68</v>
      </c>
      <c r="H6189">
        <v>-1.2082219999999999E-2</v>
      </c>
      <c r="I6189">
        <v>13.634259999999999</v>
      </c>
      <c r="J6189">
        <v>-382.46420000000001</v>
      </c>
      <c r="K6189">
        <v>1.110295</v>
      </c>
      <c r="L6189">
        <v>17.279820000000001</v>
      </c>
      <c r="M6189">
        <v>0.99775899999999995</v>
      </c>
      <c r="N6189">
        <v>-4.1016459999999996E-3</v>
      </c>
      <c r="O6189">
        <v>-6.6782729999999998E-2</v>
      </c>
      <c r="P6189">
        <v>0.98807690000000004</v>
      </c>
      <c r="Q6189">
        <v>-0.1243327</v>
      </c>
      <c r="R6189">
        <v>9.0804800000000005E-2</v>
      </c>
      <c r="S6189">
        <v>3.0420229999999999</v>
      </c>
      <c r="T6189">
        <v>-3.3179519999999997E-2</v>
      </c>
      <c r="U6189">
        <v>-0.1079712</v>
      </c>
      <c r="V6189">
        <v>-0.1560078</v>
      </c>
      <c r="W6189">
        <v>-0.1210658</v>
      </c>
      <c r="X6189">
        <v>0.98030839999999997</v>
      </c>
      <c r="Y6189">
        <v>-3.1345459999999999E-2</v>
      </c>
      <c r="Z6189">
        <v>6.8865840000000001E-4</v>
      </c>
      <c r="AA6189">
        <v>0.99950839999999996</v>
      </c>
      <c r="AB6189">
        <v>25</v>
      </c>
      <c r="AC6189">
        <v>102.7842</v>
      </c>
      <c r="AD6189">
        <v>-1.12237722</v>
      </c>
      <c r="AE6189">
        <v>-3.6455600000000001</v>
      </c>
      <c r="AF6189">
        <v>-3.2264624349046498</v>
      </c>
      <c r="AG6189">
        <v>-1.12237722</v>
      </c>
      <c r="AH6189">
        <v>102.785956269609</v>
      </c>
      <c r="AI6189">
        <v>90.625311755996407</v>
      </c>
      <c r="AJ6189">
        <v>91.797930431230498</v>
      </c>
      <c r="AK6189">
        <v>102.842708038664</v>
      </c>
      <c r="AL6189">
        <v>96.953617181738693</v>
      </c>
      <c r="AM6189">
        <v>99.042312766819293</v>
      </c>
      <c r="AN6189">
        <v>0.99999996035051897</v>
      </c>
    </row>
    <row r="6190" spans="1:40" x14ac:dyDescent="0.25">
      <c r="A6190" t="str">
        <f>"20190305135050305"</f>
        <v>20190305135050305</v>
      </c>
      <c r="B6190" t="str">
        <f>"1551765050296469"</f>
        <v>1551765050296469</v>
      </c>
      <c r="C6190" t="s">
        <v>40</v>
      </c>
      <c r="D6190">
        <v>4.2986690000000003</v>
      </c>
      <c r="E6190">
        <v>0.54966019999999904</v>
      </c>
      <c r="F6190" t="s">
        <v>107</v>
      </c>
      <c r="G6190">
        <v>-279.68</v>
      </c>
      <c r="H6190">
        <v>0.1030819</v>
      </c>
      <c r="I6190">
        <v>13.567349999999999</v>
      </c>
      <c r="J6190">
        <v>-382.31020000000001</v>
      </c>
      <c r="K6190">
        <v>1.110204</v>
      </c>
      <c r="L6190">
        <v>17.271450000000002</v>
      </c>
      <c r="M6190">
        <v>0.99787820000000005</v>
      </c>
      <c r="N6190">
        <v>-4.0842500000000002E-3</v>
      </c>
      <c r="O6190">
        <v>-6.4980309999999999E-2</v>
      </c>
      <c r="P6190">
        <v>0.98810200000000004</v>
      </c>
      <c r="Q6190">
        <v>-0.1239297</v>
      </c>
      <c r="R6190">
        <v>9.1081460000000003E-2</v>
      </c>
      <c r="S6190">
        <v>3.0425420000000001</v>
      </c>
      <c r="T6190">
        <v>-2.9815080000000001E-2</v>
      </c>
      <c r="U6190">
        <v>-0.1098938</v>
      </c>
      <c r="V6190">
        <v>-0.15454329999999999</v>
      </c>
      <c r="W6190">
        <v>-0.1206381</v>
      </c>
      <c r="X6190">
        <v>0.9805931</v>
      </c>
      <c r="Y6190">
        <v>-2.8916239999999999E-2</v>
      </c>
      <c r="Z6190">
        <v>5.712003E-4</v>
      </c>
      <c r="AA6190">
        <v>0.99958170000000002</v>
      </c>
      <c r="AB6190">
        <v>25</v>
      </c>
      <c r="AC6190">
        <v>102.6302</v>
      </c>
      <c r="AD6190">
        <v>-1.0071220999999999</v>
      </c>
      <c r="AE6190">
        <v>-3.7040999999999999</v>
      </c>
      <c r="AF6190">
        <v>-2.9724404641264099</v>
      </c>
      <c r="AG6190">
        <v>-1.0071220999999999</v>
      </c>
      <c r="AH6190">
        <v>102.644116291638</v>
      </c>
      <c r="AI6190">
        <v>90.561920335634397</v>
      </c>
      <c r="AJ6190">
        <v>91.6587478788569</v>
      </c>
      <c r="AK6190">
        <v>102.692084926387</v>
      </c>
      <c r="AL6190">
        <v>96.928930525473604</v>
      </c>
      <c r="AM6190">
        <v>98.956253648207394</v>
      </c>
      <c r="AN6190">
        <v>1.0000000052570499</v>
      </c>
    </row>
    <row r="6191" spans="1:40" x14ac:dyDescent="0.25">
      <c r="A6191" t="str">
        <f>"20190305135050317"</f>
        <v>20190305135050317</v>
      </c>
      <c r="B6191" t="str">
        <f>"1551765050306229"</f>
        <v>1551765050306229</v>
      </c>
      <c r="C6191" t="s">
        <v>40</v>
      </c>
      <c r="D6191">
        <v>4.3012959999999998</v>
      </c>
      <c r="E6191">
        <v>0.55000749999999998</v>
      </c>
      <c r="F6191" t="s">
        <v>107</v>
      </c>
      <c r="G6191">
        <v>-279.68</v>
      </c>
      <c r="H6191">
        <v>0.20681289999999999</v>
      </c>
      <c r="I6191">
        <v>13.516730000000001</v>
      </c>
      <c r="J6191">
        <v>-382.17090000000002</v>
      </c>
      <c r="K6191">
        <v>1.1101289999999999</v>
      </c>
      <c r="L6191">
        <v>17.26407</v>
      </c>
      <c r="M6191">
        <v>0.9979787</v>
      </c>
      <c r="N6191">
        <v>-4.0701399999999999E-3</v>
      </c>
      <c r="O6191">
        <v>-6.3420509999999999E-2</v>
      </c>
      <c r="P6191">
        <v>0.98820779999999997</v>
      </c>
      <c r="Q6191">
        <v>-0.1231831</v>
      </c>
      <c r="R6191">
        <v>9.0946650000000004E-2</v>
      </c>
      <c r="S6191">
        <v>3.042999</v>
      </c>
      <c r="T6191">
        <v>-2.6785969999999999E-2</v>
      </c>
      <c r="U6191">
        <v>-0.1113281</v>
      </c>
      <c r="V6191">
        <v>-0.15290870000000001</v>
      </c>
      <c r="W6191">
        <v>-0.1198678</v>
      </c>
      <c r="X6191">
        <v>0.98094369999999997</v>
      </c>
      <c r="Y6191">
        <v>-2.6889469999999999E-2</v>
      </c>
      <c r="Z6191">
        <v>4.72418E-4</v>
      </c>
      <c r="AA6191">
        <v>0.99963829999999998</v>
      </c>
      <c r="AB6191">
        <v>25</v>
      </c>
      <c r="AC6191">
        <v>102.4909</v>
      </c>
      <c r="AD6191">
        <v>-0.90331609999999996</v>
      </c>
      <c r="AE6191">
        <v>-3.7473399999999999</v>
      </c>
      <c r="AF6191">
        <v>-2.7600681009045598</v>
      </c>
      <c r="AG6191">
        <v>-0.90331609999999996</v>
      </c>
      <c r="AH6191">
        <v>102.514278975629</v>
      </c>
      <c r="AI6191">
        <v>90.504672266849894</v>
      </c>
      <c r="AJ6191">
        <v>91.542244263144894</v>
      </c>
      <c r="AK6191">
        <v>102.555406243607</v>
      </c>
      <c r="AL6191">
        <v>96.884473343065693</v>
      </c>
      <c r="AM6191">
        <v>98.8599179305766</v>
      </c>
      <c r="AN6191">
        <v>0.99999995129110797</v>
      </c>
    </row>
    <row r="6192" spans="1:40" x14ac:dyDescent="0.25">
      <c r="A6192" t="str">
        <f>"20190305135050337"</f>
        <v>20190305135050337</v>
      </c>
      <c r="B6192" t="str">
        <f>"1551765050326724"</f>
        <v>1551765050326724</v>
      </c>
      <c r="C6192" t="s">
        <v>40</v>
      </c>
      <c r="D6192">
        <v>4.2359809999999998</v>
      </c>
      <c r="E6192">
        <v>0.55064590000000002</v>
      </c>
      <c r="F6192" t="s">
        <v>107</v>
      </c>
      <c r="G6192">
        <v>-279.68</v>
      </c>
      <c r="H6192">
        <v>0.36985659999999998</v>
      </c>
      <c r="I6192">
        <v>13.41239</v>
      </c>
      <c r="J6192">
        <v>-381.95190000000002</v>
      </c>
      <c r="K6192">
        <v>1.110012</v>
      </c>
      <c r="L6192">
        <v>17.252690000000001</v>
      </c>
      <c r="M6192">
        <v>0.99812330000000005</v>
      </c>
      <c r="N6192">
        <v>-4.0507420000000004E-3</v>
      </c>
      <c r="O6192">
        <v>-6.1103970000000001E-2</v>
      </c>
      <c r="P6192">
        <v>0.98849929999999997</v>
      </c>
      <c r="Q6192">
        <v>-0.12149310000000001</v>
      </c>
      <c r="R6192">
        <v>9.0048439999999993E-2</v>
      </c>
      <c r="S6192">
        <v>3.0435789999999998</v>
      </c>
      <c r="T6192">
        <v>-2.19835E-2</v>
      </c>
      <c r="U6192">
        <v>-0.11437990000000001</v>
      </c>
      <c r="V6192">
        <v>-0.14979410000000001</v>
      </c>
      <c r="W6192">
        <v>-0.1181391</v>
      </c>
      <c r="X6192">
        <v>0.9816338</v>
      </c>
      <c r="Y6192">
        <v>-2.3576070000000001E-2</v>
      </c>
      <c r="Z6192">
        <v>3.2611990000000002E-4</v>
      </c>
      <c r="AA6192">
        <v>0.999722</v>
      </c>
      <c r="AB6192">
        <v>25</v>
      </c>
      <c r="AC6192">
        <v>102.2719</v>
      </c>
      <c r="AD6192">
        <v>-0.74015540000000002</v>
      </c>
      <c r="AE6192">
        <v>-3.8403</v>
      </c>
      <c r="AF6192">
        <v>-2.4160193870846198</v>
      </c>
      <c r="AG6192">
        <v>-0.74015540000000002</v>
      </c>
      <c r="AH6192">
        <v>102.310100722955</v>
      </c>
      <c r="AI6192">
        <v>90.414379632611698</v>
      </c>
      <c r="AJ6192">
        <v>91.352769572120295</v>
      </c>
      <c r="AK6192">
        <v>102.341300019279</v>
      </c>
      <c r="AL6192">
        <v>96.784716771304204</v>
      </c>
      <c r="AM6192">
        <v>98.676217181626399</v>
      </c>
      <c r="AN6192">
        <v>1.00000001832302</v>
      </c>
    </row>
    <row r="6193" spans="1:40" x14ac:dyDescent="0.25">
      <c r="A6193" t="str">
        <f>"20190305135050350"</f>
        <v>20190305135050350</v>
      </c>
      <c r="B6193" t="str">
        <f>"1551765050346245"</f>
        <v>1551765050346245</v>
      </c>
      <c r="C6193" t="s">
        <v>40</v>
      </c>
      <c r="D6193">
        <v>4.3264389999999997</v>
      </c>
      <c r="E6193">
        <v>0.55120789999999997</v>
      </c>
      <c r="F6193" t="s">
        <v>107</v>
      </c>
      <c r="G6193">
        <v>-279.68</v>
      </c>
      <c r="H6193">
        <v>0.65816609999999998</v>
      </c>
      <c r="I6193">
        <v>13.15497</v>
      </c>
      <c r="J6193">
        <v>-381.80680000000001</v>
      </c>
      <c r="K6193">
        <v>1.1099399999999999</v>
      </c>
      <c r="L6193">
        <v>17.245329999999999</v>
      </c>
      <c r="M6193">
        <v>0.99821170000000004</v>
      </c>
      <c r="N6193">
        <v>-4.0393099999999999E-3</v>
      </c>
      <c r="O6193">
        <v>-5.9642319999999999E-2</v>
      </c>
      <c r="P6193">
        <v>0.98856379999999999</v>
      </c>
      <c r="Q6193">
        <v>-0.12104819999999999</v>
      </c>
      <c r="R6193">
        <v>8.9940160000000005E-2</v>
      </c>
      <c r="S6193">
        <v>3.0443730000000002</v>
      </c>
      <c r="T6193">
        <v>-1.345062E-2</v>
      </c>
      <c r="U6193">
        <v>-0.1219788</v>
      </c>
      <c r="V6193">
        <v>-0.14827479999999901</v>
      </c>
      <c r="W6193">
        <v>-0.1176722</v>
      </c>
      <c r="X6193">
        <v>0.98192049999999997</v>
      </c>
      <c r="Y6193">
        <v>-1.9631050000000001E-2</v>
      </c>
      <c r="Z6193">
        <v>1.052246E-4</v>
      </c>
      <c r="AA6193">
        <v>0.99980729999999995</v>
      </c>
      <c r="AB6193">
        <v>25</v>
      </c>
      <c r="AC6193">
        <v>102.1268</v>
      </c>
      <c r="AD6193">
        <v>-0.45177390000000001</v>
      </c>
      <c r="AE6193">
        <v>-4.0903599999999898</v>
      </c>
      <c r="AF6193">
        <v>-2.0080111065569799</v>
      </c>
      <c r="AG6193">
        <v>-0.45177390000000001</v>
      </c>
      <c r="AH6193">
        <v>102.186956247921</v>
      </c>
      <c r="AI6193">
        <v>90.253257109220399</v>
      </c>
      <c r="AJ6193">
        <v>91.125738165151802</v>
      </c>
      <c r="AK6193">
        <v>102.20768188093901</v>
      </c>
      <c r="AL6193">
        <v>96.757777483287498</v>
      </c>
      <c r="AM6193">
        <v>98.587066461412306</v>
      </c>
      <c r="AN6193">
        <v>1.00000001564406</v>
      </c>
    </row>
    <row r="6194" spans="1:40" x14ac:dyDescent="0.25">
      <c r="A6194" t="str">
        <f>"20190305135050362"</f>
        <v>20190305135050362</v>
      </c>
      <c r="B6194" t="str">
        <f>"1551765050356004"</f>
        <v>1551765050356004</v>
      </c>
      <c r="C6194" t="s">
        <v>40</v>
      </c>
      <c r="D6194">
        <v>4.3689730000000004</v>
      </c>
      <c r="E6194">
        <v>0.55115590000000003</v>
      </c>
      <c r="F6194" t="s">
        <v>107</v>
      </c>
      <c r="G6194">
        <v>-279.68</v>
      </c>
      <c r="H6194">
        <v>0.82806499999999905</v>
      </c>
      <c r="I6194">
        <v>12.99999</v>
      </c>
      <c r="J6194">
        <v>-381.65879999999999</v>
      </c>
      <c r="K6194">
        <v>1.1098730000000001</v>
      </c>
      <c r="L6194">
        <v>17.238009999999999</v>
      </c>
      <c r="M6194">
        <v>0.9982936</v>
      </c>
      <c r="N6194">
        <v>-4.0297680000000004E-3</v>
      </c>
      <c r="O6194">
        <v>-5.8254840000000002E-2</v>
      </c>
      <c r="P6194">
        <v>0.98855249999999995</v>
      </c>
      <c r="Q6194">
        <v>-0.120863</v>
      </c>
      <c r="R6194">
        <v>9.0312409999999996E-2</v>
      </c>
      <c r="S6194">
        <v>3.0451969999999999</v>
      </c>
      <c r="T6194">
        <v>-8.4052090000000003E-3</v>
      </c>
      <c r="U6194">
        <v>-0.1265869</v>
      </c>
      <c r="V6194">
        <v>-0.14730070000000001</v>
      </c>
      <c r="W6194">
        <v>-0.11746860000000001</v>
      </c>
      <c r="X6194">
        <v>0.98209139999999995</v>
      </c>
      <c r="Y6194">
        <v>-1.6741869999999999E-2</v>
      </c>
      <c r="Z6194" s="1">
        <v>-1.737565E-5</v>
      </c>
      <c r="AA6194">
        <v>0.99985990000000002</v>
      </c>
      <c r="AB6194">
        <v>25</v>
      </c>
      <c r="AC6194">
        <v>101.978799999999</v>
      </c>
      <c r="AD6194">
        <v>-0.281807999999999</v>
      </c>
      <c r="AE6194">
        <v>-4.2380199999999997</v>
      </c>
      <c r="AF6194">
        <v>-1.70997130304458</v>
      </c>
      <c r="AG6194">
        <v>-0.281807999999999</v>
      </c>
      <c r="AH6194">
        <v>102.051720374629</v>
      </c>
      <c r="AI6194">
        <v>90.158195293377801</v>
      </c>
      <c r="AJ6194">
        <v>90.959954137251103</v>
      </c>
      <c r="AK6194">
        <v>102.066434487679</v>
      </c>
      <c r="AL6194">
        <v>96.746031084566695</v>
      </c>
      <c r="AM6194">
        <v>98.530023299542904</v>
      </c>
      <c r="AN6194">
        <v>0.99999994308020301</v>
      </c>
    </row>
    <row r="6195" spans="1:40" x14ac:dyDescent="0.25">
      <c r="A6195" t="str">
        <f>"20190305135050380"</f>
        <v>20190305135050380</v>
      </c>
      <c r="B6195" t="str">
        <f>"1551765050376397"</f>
        <v>1551765050376397</v>
      </c>
      <c r="C6195" t="s">
        <v>40</v>
      </c>
      <c r="D6195">
        <v>4.3710139999999997</v>
      </c>
      <c r="E6195">
        <v>0.50484759999999995</v>
      </c>
      <c r="F6195" t="s">
        <v>107</v>
      </c>
      <c r="G6195">
        <v>-279.68</v>
      </c>
      <c r="H6195">
        <v>0.83540609999999904</v>
      </c>
      <c r="I6195">
        <v>13.05498</v>
      </c>
      <c r="J6195">
        <v>-381.46749999999997</v>
      </c>
      <c r="K6195">
        <v>1.1097870000000001</v>
      </c>
      <c r="L6195">
        <v>17.2287</v>
      </c>
      <c r="M6195">
        <v>0.99839290000000003</v>
      </c>
      <c r="N6195">
        <v>-4.0172080000000004E-3</v>
      </c>
      <c r="O6195">
        <v>-5.6530959999999998E-2</v>
      </c>
      <c r="P6195">
        <v>0.98858259999999998</v>
      </c>
      <c r="Q6195">
        <v>-0.1211946</v>
      </c>
      <c r="R6195">
        <v>8.9536260000000006E-2</v>
      </c>
      <c r="S6195">
        <v>3.045166</v>
      </c>
      <c r="T6195">
        <v>-8.1961150000000003E-3</v>
      </c>
      <c r="U6195">
        <v>-0.1249084</v>
      </c>
      <c r="V6195">
        <v>-0.14485319999999999</v>
      </c>
      <c r="W6195">
        <v>-0.11777459999999999</v>
      </c>
      <c r="X6195">
        <v>0.98241880000000004</v>
      </c>
      <c r="Y6195">
        <v>-1.556513E-2</v>
      </c>
      <c r="Z6195" s="1">
        <v>-2.295839E-5</v>
      </c>
      <c r="AA6195">
        <v>0.99987890000000001</v>
      </c>
      <c r="AB6195">
        <v>25</v>
      </c>
      <c r="AC6195">
        <v>101.787499999999</v>
      </c>
      <c r="AD6195">
        <v>-0.27438089999999998</v>
      </c>
      <c r="AE6195">
        <v>-4.1737199999999897</v>
      </c>
      <c r="AF6195">
        <v>-1.58713375532778</v>
      </c>
      <c r="AG6195">
        <v>-0.27438089999999998</v>
      </c>
      <c r="AH6195">
        <v>101.85993095036299</v>
      </c>
      <c r="AI6195">
        <v>90.154318988352898</v>
      </c>
      <c r="AJ6195">
        <v>90.892683773182597</v>
      </c>
      <c r="AK6195">
        <v>101.87266469298</v>
      </c>
      <c r="AL6195">
        <v>96.763685744780702</v>
      </c>
      <c r="AM6195">
        <v>98.387569079658803</v>
      </c>
      <c r="AN6195">
        <v>1.00000000227442</v>
      </c>
    </row>
    <row r="6196" spans="1:40" x14ac:dyDescent="0.25">
      <c r="A6196" t="str">
        <f>"20190305135050392"</f>
        <v>20190305135050392</v>
      </c>
      <c r="B6196" t="str">
        <f>"1551765050386157"</f>
        <v>1551765050386157</v>
      </c>
      <c r="C6196" t="s">
        <v>40</v>
      </c>
      <c r="D6196">
        <v>4.4239509999999997</v>
      </c>
      <c r="E6196">
        <v>0.49428260000000002</v>
      </c>
      <c r="F6196" t="s">
        <v>42</v>
      </c>
      <c r="G6196">
        <v>-346.1671</v>
      </c>
      <c r="H6196" s="1">
        <v>-1.7366029999999999E-6</v>
      </c>
      <c r="I6196">
        <v>20.029620000000001</v>
      </c>
      <c r="J6196">
        <v>-381.33019999999999</v>
      </c>
      <c r="K6196">
        <v>1.1097250000000001</v>
      </c>
      <c r="L6196">
        <v>17.222169999999998</v>
      </c>
      <c r="M6196">
        <v>0.9984594</v>
      </c>
      <c r="N6196">
        <v>-4.0068959999999898E-3</v>
      </c>
      <c r="O6196">
        <v>-5.534294E-2</v>
      </c>
      <c r="P6196">
        <v>0.98847600000000002</v>
      </c>
      <c r="Q6196">
        <v>-0.1221655</v>
      </c>
      <c r="R6196">
        <v>8.9392100000000002E-2</v>
      </c>
      <c r="S6196">
        <v>3.001465</v>
      </c>
      <c r="T6196">
        <v>-9.4361189999999998E-2</v>
      </c>
      <c r="U6196">
        <v>0.23815919999999999</v>
      </c>
      <c r="V6196">
        <v>-0.14354649999999999</v>
      </c>
      <c r="W6196">
        <v>-0.1187325</v>
      </c>
      <c r="X6196">
        <v>0.98249529999999996</v>
      </c>
      <c r="Y6196">
        <v>-0.134052799999999</v>
      </c>
      <c r="Z6196">
        <v>3.8881419999999998E-3</v>
      </c>
      <c r="AA6196">
        <v>0.99096660000000003</v>
      </c>
      <c r="AB6196">
        <v>25</v>
      </c>
      <c r="AC6196">
        <v>35.163099999999901</v>
      </c>
      <c r="AD6196">
        <v>-1.1097267366029999</v>
      </c>
      <c r="AE6196">
        <v>2.8074499999999998</v>
      </c>
      <c r="AF6196">
        <v>-4.7444965658566396</v>
      </c>
      <c r="AG6196">
        <v>-1.1097267366029999</v>
      </c>
      <c r="AH6196">
        <v>34.919275395570601</v>
      </c>
      <c r="AI6196">
        <v>91.803673033026499</v>
      </c>
      <c r="AJ6196">
        <v>97.7374207832016</v>
      </c>
      <c r="AK6196">
        <v>35.257588335634303</v>
      </c>
      <c r="AL6196">
        <v>96.818957141258196</v>
      </c>
      <c r="AM6196">
        <v>98.312329874939394</v>
      </c>
      <c r="AN6196">
        <v>1.0000000093702901</v>
      </c>
    </row>
    <row r="6197" spans="1:40" x14ac:dyDescent="0.25">
      <c r="A6197" t="str">
        <f>"20190305135050403"</f>
        <v>20190305135050403</v>
      </c>
      <c r="B6197" t="str">
        <f>"1551765050395918"</f>
        <v>1551765050395918</v>
      </c>
      <c r="C6197" t="s">
        <v>40</v>
      </c>
      <c r="D6197">
        <v>4.4716500000000003</v>
      </c>
      <c r="E6197">
        <v>0.4883342</v>
      </c>
      <c r="F6197" t="s">
        <v>42</v>
      </c>
      <c r="G6197">
        <v>-341.47410000000002</v>
      </c>
      <c r="H6197" s="1">
        <v>-4.1099759999999998E-6</v>
      </c>
      <c r="I6197">
        <v>21.50825</v>
      </c>
      <c r="J6197">
        <v>-381.19380000000001</v>
      </c>
      <c r="K6197">
        <v>1.109666</v>
      </c>
      <c r="L6197">
        <v>17.215789999999998</v>
      </c>
      <c r="M6197">
        <v>0.99852059999999998</v>
      </c>
      <c r="N6197">
        <v>-3.9910029999999999E-3</v>
      </c>
      <c r="O6197">
        <v>-5.4227749999999998E-2</v>
      </c>
      <c r="P6197">
        <v>0.98832209999999998</v>
      </c>
      <c r="Q6197">
        <v>-0.1232979</v>
      </c>
      <c r="R6197">
        <v>8.9538590000000001E-2</v>
      </c>
      <c r="S6197">
        <v>2.9955440000000002</v>
      </c>
      <c r="T6197">
        <v>-8.3406090000000002E-2</v>
      </c>
      <c r="U6197">
        <v>0.32214359999999997</v>
      </c>
      <c r="V6197">
        <v>-0.14259749999999999</v>
      </c>
      <c r="W6197">
        <v>-0.11986049999999999</v>
      </c>
      <c r="X6197">
        <v>0.98249649999999999</v>
      </c>
      <c r="Y6197">
        <v>-0.16059860000000001</v>
      </c>
      <c r="Z6197">
        <v>3.8405230000000002E-3</v>
      </c>
      <c r="AA6197">
        <v>0.98701229999999995</v>
      </c>
      <c r="AB6197">
        <v>26</v>
      </c>
      <c r="AC6197">
        <v>39.719699999999897</v>
      </c>
      <c r="AD6197">
        <v>-1.109670109976</v>
      </c>
      <c r="AE6197">
        <v>4.2924600000000002</v>
      </c>
      <c r="AF6197">
        <v>-6.4351064432107998</v>
      </c>
      <c r="AG6197">
        <v>-1.109670109976</v>
      </c>
      <c r="AH6197">
        <v>39.398087485993202</v>
      </c>
      <c r="AI6197">
        <v>91.592253928346096</v>
      </c>
      <c r="AJ6197">
        <v>99.276519302656695</v>
      </c>
      <c r="AK6197">
        <v>39.935588893146402</v>
      </c>
      <c r="AL6197">
        <v>96.884051851375602</v>
      </c>
      <c r="AM6197">
        <v>98.258126678363297</v>
      </c>
      <c r="AN6197">
        <v>0.99999997948937402</v>
      </c>
    </row>
    <row r="6198" spans="1:40" x14ac:dyDescent="0.25">
      <c r="A6198" t="str">
        <f>"20190305135050416"</f>
        <v>20190305135050416</v>
      </c>
      <c r="B6198" t="str">
        <f>"1551765050406653"</f>
        <v>1551765050406653</v>
      </c>
      <c r="C6198" t="s">
        <v>40</v>
      </c>
      <c r="D6198">
        <v>4.4420510000000002</v>
      </c>
      <c r="E6198">
        <v>0.48543180000000002</v>
      </c>
      <c r="F6198" t="s">
        <v>42</v>
      </c>
      <c r="G6198">
        <v>-338.46519999999998</v>
      </c>
      <c r="H6198" s="1">
        <v>-1.4082389999999999E-6</v>
      </c>
      <c r="I6198">
        <v>22.500889999999998</v>
      </c>
      <c r="J6198">
        <v>-381.05489999999998</v>
      </c>
      <c r="K6198">
        <v>1.109604</v>
      </c>
      <c r="L6198">
        <v>17.209379999999999</v>
      </c>
      <c r="M6198">
        <v>0.99857980000000002</v>
      </c>
      <c r="N6198">
        <v>-3.9709150000000002E-3</v>
      </c>
      <c r="O6198">
        <v>-5.3129860000000001E-2</v>
      </c>
      <c r="P6198">
        <v>0.98823539999999999</v>
      </c>
      <c r="Q6198">
        <v>-0.1240129</v>
      </c>
      <c r="R6198">
        <v>8.9510510000000001E-2</v>
      </c>
      <c r="S6198">
        <v>2.9922490000000002</v>
      </c>
      <c r="T6198">
        <v>-7.7709199999999895E-2</v>
      </c>
      <c r="U6198">
        <v>0.37011719999999998</v>
      </c>
      <c r="V6198">
        <v>-0.14149579999999901</v>
      </c>
      <c r="W6198">
        <v>-0.1205751</v>
      </c>
      <c r="X6198">
        <v>0.98256840000000001</v>
      </c>
      <c r="Y6198">
        <v>-0.17523159999999999</v>
      </c>
      <c r="Z6198">
        <v>3.7806060000000002E-3</v>
      </c>
      <c r="AA6198">
        <v>0.98451999999999995</v>
      </c>
      <c r="AB6198">
        <v>26</v>
      </c>
      <c r="AC6198">
        <v>42.589699999999901</v>
      </c>
      <c r="AD6198">
        <v>-1.1096054082389999</v>
      </c>
      <c r="AE6198">
        <v>5.2915099999999899</v>
      </c>
      <c r="AF6198">
        <v>-7.5417972783611704</v>
      </c>
      <c r="AG6198">
        <v>-1.1096054082389999</v>
      </c>
      <c r="AH6198">
        <v>42.220183994510599</v>
      </c>
      <c r="AI6198">
        <v>91.482018286399907</v>
      </c>
      <c r="AJ6198">
        <v>100.127931455674</v>
      </c>
      <c r="AK6198">
        <v>42.9028421771824</v>
      </c>
      <c r="AL6198">
        <v>96.925294117905693</v>
      </c>
      <c r="AM6198">
        <v>98.194603266746</v>
      </c>
      <c r="AN6198">
        <v>1.0000000384181</v>
      </c>
    </row>
    <row r="6199" spans="1:40" x14ac:dyDescent="0.25">
      <c r="A6199" t="str">
        <f>"20190305135050428"</f>
        <v>20190305135050428</v>
      </c>
      <c r="B6199" t="str">
        <f>"1551765050416413"</f>
        <v>1551765050416413</v>
      </c>
      <c r="C6199" t="s">
        <v>40</v>
      </c>
      <c r="D6199">
        <v>4.4079169999999896</v>
      </c>
      <c r="E6199">
        <v>0.48372739999999997</v>
      </c>
      <c r="F6199" t="s">
        <v>42</v>
      </c>
      <c r="G6199">
        <v>-332.26819999999998</v>
      </c>
      <c r="H6199" s="1">
        <v>-4.2154739999999901E-6</v>
      </c>
      <c r="I6199">
        <v>23.626470000000001</v>
      </c>
      <c r="J6199">
        <v>-380.91399999999999</v>
      </c>
      <c r="K6199">
        <v>1.1095469999999901</v>
      </c>
      <c r="L6199">
        <v>17.202970000000001</v>
      </c>
      <c r="M6199">
        <v>0.99863670000000004</v>
      </c>
      <c r="N6199">
        <v>-3.9466680000000004E-3</v>
      </c>
      <c r="O6199">
        <v>-5.2052710000000002E-2</v>
      </c>
      <c r="P6199">
        <v>0.98813039999999996</v>
      </c>
      <c r="Q6199">
        <v>-0.1248176</v>
      </c>
      <c r="R6199">
        <v>8.9549889999999993E-2</v>
      </c>
      <c r="S6199">
        <v>2.9915470000000002</v>
      </c>
      <c r="T6199">
        <v>-6.8040009999999998E-2</v>
      </c>
      <c r="U6199">
        <v>0.3934937</v>
      </c>
      <c r="V6199">
        <v>-0.14048150000000001</v>
      </c>
      <c r="W6199">
        <v>-0.1213847</v>
      </c>
      <c r="X6199">
        <v>0.98261419999999999</v>
      </c>
      <c r="Y6199">
        <v>-0.1817802</v>
      </c>
      <c r="Z6199">
        <v>3.3932350000000001E-3</v>
      </c>
      <c r="AA6199">
        <v>0.98333329999999997</v>
      </c>
      <c r="AB6199">
        <v>26</v>
      </c>
      <c r="AC6199">
        <v>48.645800000000001</v>
      </c>
      <c r="AD6199">
        <v>-1.1095512154739999</v>
      </c>
      <c r="AE6199">
        <v>6.4234999999999998</v>
      </c>
      <c r="AF6199">
        <v>-8.9423843514202908</v>
      </c>
      <c r="AG6199">
        <v>-1.1095512154739999</v>
      </c>
      <c r="AH6199">
        <v>48.220832130904903</v>
      </c>
      <c r="AI6199">
        <v>91.296041663698603</v>
      </c>
      <c r="AJ6199">
        <v>100.505951920622</v>
      </c>
      <c r="AK6199">
        <v>49.055539882720701</v>
      </c>
      <c r="AL6199">
        <v>96.972024411454896</v>
      </c>
      <c r="AM6199">
        <v>98.136276189540695</v>
      </c>
      <c r="AN6199">
        <v>0.99999998163898896</v>
      </c>
    </row>
    <row r="6200" spans="1:40" x14ac:dyDescent="0.25">
      <c r="A6200" t="str">
        <f>"20190305135050440"</f>
        <v>20190305135050440</v>
      </c>
      <c r="B6200" t="str">
        <f>"1551765050435933"</f>
        <v>1551765050435933</v>
      </c>
      <c r="C6200" t="s">
        <v>40</v>
      </c>
      <c r="D6200">
        <v>4.3634940000000002</v>
      </c>
      <c r="E6200">
        <v>0.48232550000000002</v>
      </c>
      <c r="F6200" t="s">
        <v>42</v>
      </c>
      <c r="G6200">
        <v>-329.35239999999999</v>
      </c>
      <c r="H6200" s="1">
        <v>-1.5128200000000001E-6</v>
      </c>
      <c r="I6200">
        <v>24.224789999999999</v>
      </c>
      <c r="J6200">
        <v>-380.77440000000001</v>
      </c>
      <c r="K6200">
        <v>1.1094949999999999</v>
      </c>
      <c r="L6200">
        <v>17.196809999999999</v>
      </c>
      <c r="M6200">
        <v>0.99868889999999999</v>
      </c>
      <c r="N6200">
        <v>-3.9162750000000003E-3</v>
      </c>
      <c r="O6200">
        <v>-5.104243E-2</v>
      </c>
      <c r="P6200">
        <v>0.98803529999999995</v>
      </c>
      <c r="Q6200">
        <v>-0.12541479999999999</v>
      </c>
      <c r="R6200">
        <v>8.9763280000000001E-2</v>
      </c>
      <c r="S6200">
        <v>2.9909669999999999</v>
      </c>
      <c r="T6200">
        <v>-6.4362169999999996E-2</v>
      </c>
      <c r="U6200">
        <v>0.40731810000000002</v>
      </c>
      <c r="V6200">
        <v>-0.1397062</v>
      </c>
      <c r="W6200">
        <v>-0.1219949</v>
      </c>
      <c r="X6200">
        <v>0.9826492</v>
      </c>
      <c r="Y6200">
        <v>-0.18527959999999999</v>
      </c>
      <c r="Z6200">
        <v>3.2435799999999998E-3</v>
      </c>
      <c r="AA6200">
        <v>0.98268049999999996</v>
      </c>
      <c r="AB6200">
        <v>26</v>
      </c>
      <c r="AC6200">
        <v>51.421999999999997</v>
      </c>
      <c r="AD6200">
        <v>-1.1094965128200001</v>
      </c>
      <c r="AE6200">
        <v>7.0279800000000003</v>
      </c>
      <c r="AF6200">
        <v>-9.6391374194223598</v>
      </c>
      <c r="AG6200">
        <v>-1.1094965128200001</v>
      </c>
      <c r="AH6200">
        <v>50.972947122136297</v>
      </c>
      <c r="AI6200">
        <v>91.225217154396304</v>
      </c>
      <c r="AJ6200">
        <v>100.708355533451</v>
      </c>
      <c r="AK6200">
        <v>51.888199920777502</v>
      </c>
      <c r="AL6200">
        <v>97.007247844622597</v>
      </c>
      <c r="AM6200">
        <v>98.0916850256515</v>
      </c>
      <c r="AN6200">
        <v>1.00000001410254</v>
      </c>
    </row>
    <row r="6201" spans="1:40" x14ac:dyDescent="0.25">
      <c r="A6201" t="str">
        <f>"20190305135050458"</f>
        <v>20190305135050458</v>
      </c>
      <c r="B6201" t="str">
        <f>"1551765050446675"</f>
        <v>1551765050446675</v>
      </c>
      <c r="C6201" t="s">
        <v>40</v>
      </c>
      <c r="D6201">
        <v>4.4705300000000001</v>
      </c>
      <c r="E6201">
        <v>0.4827978</v>
      </c>
      <c r="F6201" t="s">
        <v>42</v>
      </c>
      <c r="G6201">
        <v>-328.30630000000002</v>
      </c>
      <c r="H6201" s="1">
        <v>-2.0940760000000002E-6</v>
      </c>
      <c r="I6201">
        <v>24.55097</v>
      </c>
      <c r="J6201">
        <v>-380.5686</v>
      </c>
      <c r="K6201">
        <v>1.1094250000000001</v>
      </c>
      <c r="L6201">
        <v>17.187809999999999</v>
      </c>
      <c r="M6201">
        <v>0.99876129999999996</v>
      </c>
      <c r="N6201">
        <v>-3.8677379999999999E-3</v>
      </c>
      <c r="O6201">
        <v>-4.9608619999999999E-2</v>
      </c>
      <c r="P6201">
        <v>0.98808229999999997</v>
      </c>
      <c r="Q6201">
        <v>-0.12490519999999999</v>
      </c>
      <c r="R6201">
        <v>8.9956309999999998E-2</v>
      </c>
      <c r="S6201">
        <v>2.990265</v>
      </c>
      <c r="T6201">
        <v>-6.3232540000000004E-2</v>
      </c>
      <c r="U6201">
        <v>0.41912840000000001</v>
      </c>
      <c r="V6201">
        <v>-0.13850979999999999</v>
      </c>
      <c r="W6201">
        <v>-0.12150859999999999</v>
      </c>
      <c r="X6201">
        <v>0.98287880000000005</v>
      </c>
      <c r="Y6201">
        <v>-0.18770909999999999</v>
      </c>
      <c r="Z6201">
        <v>3.1931899999999998E-3</v>
      </c>
      <c r="AA6201">
        <v>0.98221950000000002</v>
      </c>
      <c r="AB6201">
        <v>26</v>
      </c>
      <c r="AC6201">
        <v>52.262299999999897</v>
      </c>
      <c r="AD6201">
        <v>-1.109427094076</v>
      </c>
      <c r="AE6201">
        <v>7.3631599999999997</v>
      </c>
      <c r="AF6201">
        <v>-9.9423805549080608</v>
      </c>
      <c r="AG6201">
        <v>-1.109427094076</v>
      </c>
      <c r="AH6201">
        <v>51.809778700768199</v>
      </c>
      <c r="AI6201">
        <v>91.204738154164403</v>
      </c>
      <c r="AJ6201">
        <v>100.86308898448701</v>
      </c>
      <c r="AK6201">
        <v>52.7667975965783</v>
      </c>
      <c r="AL6201">
        <v>96.979176027945798</v>
      </c>
      <c r="AM6201">
        <v>98.021446682254506</v>
      </c>
      <c r="AN6201">
        <v>1.0000000200297099</v>
      </c>
    </row>
    <row r="6202" spans="1:40" x14ac:dyDescent="0.25">
      <c r="A6202" t="str">
        <f>"20190305135050469"</f>
        <v>20190305135050469</v>
      </c>
      <c r="B6202" t="str">
        <f>"1551765050466188"</f>
        <v>1551765050466188</v>
      </c>
      <c r="C6202" t="s">
        <v>40</v>
      </c>
      <c r="D6202">
        <v>4.3640189999999999</v>
      </c>
      <c r="E6202">
        <v>0.48189670000000001</v>
      </c>
      <c r="F6202" t="s">
        <v>42</v>
      </c>
      <c r="G6202">
        <v>-336.09059999999999</v>
      </c>
      <c r="H6202" s="1">
        <v>-2.6590700000000001E-6</v>
      </c>
      <c r="I6202">
        <v>23.37331</v>
      </c>
      <c r="J6202">
        <v>-380.43639999999999</v>
      </c>
      <c r="K6202">
        <v>1.10938</v>
      </c>
      <c r="L6202">
        <v>17.182129999999901</v>
      </c>
      <c r="M6202">
        <v>0.99880530000000001</v>
      </c>
      <c r="N6202">
        <v>-3.834825E-3</v>
      </c>
      <c r="O6202">
        <v>-4.871839E-2</v>
      </c>
      <c r="P6202">
        <v>0.98810240000000005</v>
      </c>
      <c r="Q6202">
        <v>-0.1242965</v>
      </c>
      <c r="R6202">
        <v>9.0577069999999996E-2</v>
      </c>
      <c r="S6202">
        <v>2.9889830000000002</v>
      </c>
      <c r="T6202">
        <v>-7.4555040000000003E-2</v>
      </c>
      <c r="U6202">
        <v>0.41567989999999999</v>
      </c>
      <c r="V6202">
        <v>-0.13826769999999999</v>
      </c>
      <c r="W6202">
        <v>-0.120919</v>
      </c>
      <c r="X6202">
        <v>0.98298560000000001</v>
      </c>
      <c r="Y6202">
        <v>-0.18575949999999999</v>
      </c>
      <c r="Z6202">
        <v>3.6872720000000001E-3</v>
      </c>
      <c r="AA6202">
        <v>0.98258829999999997</v>
      </c>
      <c r="AB6202">
        <v>26</v>
      </c>
      <c r="AC6202">
        <v>44.345799999999997</v>
      </c>
      <c r="AD6202">
        <v>-1.10938265907</v>
      </c>
      <c r="AE6202">
        <v>6.1911800000000001</v>
      </c>
      <c r="AF6202">
        <v>-8.3391806890952704</v>
      </c>
      <c r="AG6202">
        <v>-1.10938265907</v>
      </c>
      <c r="AH6202">
        <v>43.964526129117203</v>
      </c>
      <c r="AI6202">
        <v>91.420160093167198</v>
      </c>
      <c r="AJ6202">
        <v>100.740256851971</v>
      </c>
      <c r="AK6202">
        <v>44.762174011183397</v>
      </c>
      <c r="AL6202">
        <v>96.945143456006903</v>
      </c>
      <c r="AM6202">
        <v>98.006749354309704</v>
      </c>
      <c r="AN6202">
        <v>1.0000000256158199</v>
      </c>
    </row>
    <row r="6203" spans="1:40" x14ac:dyDescent="0.25">
      <c r="A6203" t="str">
        <f>"20190305135050480"</f>
        <v>20190305135050480</v>
      </c>
      <c r="B6203" t="str">
        <f>"1551765050476926"</f>
        <v>1551765050476926</v>
      </c>
      <c r="C6203" t="s">
        <v>40</v>
      </c>
      <c r="D6203">
        <v>4.365132</v>
      </c>
      <c r="E6203">
        <v>0.481601</v>
      </c>
      <c r="F6203" t="s">
        <v>42</v>
      </c>
      <c r="G6203">
        <v>-330.5883</v>
      </c>
      <c r="H6203" s="1">
        <v>-4.9010789999999996E-6</v>
      </c>
      <c r="I6203">
        <v>24.268609999999999</v>
      </c>
      <c r="J6203">
        <v>-380.30309999999997</v>
      </c>
      <c r="K6203">
        <v>1.1093420000000001</v>
      </c>
      <c r="L6203">
        <v>17.176539999999999</v>
      </c>
      <c r="M6203">
        <v>0.99884649999999997</v>
      </c>
      <c r="N6203">
        <v>-3.8004570000000001E-3</v>
      </c>
      <c r="O6203">
        <v>-4.7867859999999998E-2</v>
      </c>
      <c r="P6203">
        <v>0.98811230000000005</v>
      </c>
      <c r="Q6203">
        <v>-0.1238768</v>
      </c>
      <c r="R6203">
        <v>9.1043669999999993E-2</v>
      </c>
      <c r="S6203">
        <v>2.9887999999999999</v>
      </c>
      <c r="T6203">
        <v>-6.6516640000000002E-2</v>
      </c>
      <c r="U6203">
        <v>0.4248962</v>
      </c>
      <c r="V6203">
        <v>-0.1379078</v>
      </c>
      <c r="W6203">
        <v>-0.120521</v>
      </c>
      <c r="X6203">
        <v>0.98308499999999999</v>
      </c>
      <c r="Y6203">
        <v>-0.18791640000000001</v>
      </c>
      <c r="Z6203">
        <v>3.3188369999999998E-3</v>
      </c>
      <c r="AA6203">
        <v>0.98217940000000004</v>
      </c>
      <c r="AB6203">
        <v>26</v>
      </c>
      <c r="AC6203">
        <v>49.714799999999897</v>
      </c>
      <c r="AD6203">
        <v>-1.109346901079</v>
      </c>
      <c r="AE6203">
        <v>7.0920699999999997</v>
      </c>
      <c r="AF6203">
        <v>-9.45908225623735</v>
      </c>
      <c r="AG6203">
        <v>-1.109346901079</v>
      </c>
      <c r="AH6203">
        <v>49.294270033923802</v>
      </c>
      <c r="AI6203">
        <v>91.266108157286396</v>
      </c>
      <c r="AJ6203">
        <v>100.862452114899</v>
      </c>
      <c r="AK6203">
        <v>50.205875610874401</v>
      </c>
      <c r="AL6203">
        <v>96.922171947839402</v>
      </c>
      <c r="AM6203">
        <v>97.985380575764907</v>
      </c>
      <c r="AN6203">
        <v>0.99999999498341996</v>
      </c>
    </row>
    <row r="6204" spans="1:40" x14ac:dyDescent="0.25">
      <c r="A6204" t="str">
        <f>"20190305135050493"</f>
        <v>20190305135050493</v>
      </c>
      <c r="B6204" t="str">
        <f>"1551765050486685"</f>
        <v>1551765050486685</v>
      </c>
      <c r="C6204" t="s">
        <v>40</v>
      </c>
      <c r="D6204">
        <v>4.3525010000000002</v>
      </c>
      <c r="E6204">
        <v>0.48121789999999998</v>
      </c>
      <c r="F6204" t="s">
        <v>42</v>
      </c>
      <c r="G6204">
        <v>-327.91269999999997</v>
      </c>
      <c r="H6204" s="1">
        <v>-2.3178800000000002E-6</v>
      </c>
      <c r="I6204">
        <v>24.69284</v>
      </c>
      <c r="J6204">
        <v>-380.1542</v>
      </c>
      <c r="K6204">
        <v>1.1092979999999999</v>
      </c>
      <c r="L6204">
        <v>17.17032</v>
      </c>
      <c r="M6204">
        <v>0.99889099999999997</v>
      </c>
      <c r="N6204">
        <v>-3.7614929999999999E-3</v>
      </c>
      <c r="O6204">
        <v>-4.6933040000000002E-2</v>
      </c>
      <c r="P6204">
        <v>0.98808879999999999</v>
      </c>
      <c r="Q6204">
        <v>-0.1236666</v>
      </c>
      <c r="R6204">
        <v>9.1579969999999997E-2</v>
      </c>
      <c r="S6204">
        <v>2.9886469999999998</v>
      </c>
      <c r="T6204">
        <v>-6.3283320000000004E-2</v>
      </c>
      <c r="U6204">
        <v>0.42877199999999999</v>
      </c>
      <c r="V6204">
        <v>-0.13753309999999999</v>
      </c>
      <c r="W6204">
        <v>-0.1203366</v>
      </c>
      <c r="X6204">
        <v>0.98316009999999998</v>
      </c>
      <c r="Y6204">
        <v>-0.18825819999999999</v>
      </c>
      <c r="Z6204">
        <v>3.1523380000000002E-3</v>
      </c>
      <c r="AA6204">
        <v>0.9821145</v>
      </c>
      <c r="AB6204">
        <v>26</v>
      </c>
      <c r="AC6204">
        <v>52.241500000000002</v>
      </c>
      <c r="AD6204">
        <v>-1.1093003178799901</v>
      </c>
      <c r="AE6204">
        <v>7.5225200000000001</v>
      </c>
      <c r="AF6204">
        <v>-9.9616996418510109</v>
      </c>
      <c r="AG6204">
        <v>-1.1093003178799901</v>
      </c>
      <c r="AH6204">
        <v>51.807988814410997</v>
      </c>
      <c r="AI6204">
        <v>91.204557461976094</v>
      </c>
      <c r="AJ6204">
        <v>100.88406049235</v>
      </c>
      <c r="AK6204">
        <v>52.768681165477702</v>
      </c>
      <c r="AL6204">
        <v>96.911528997496902</v>
      </c>
      <c r="AM6204">
        <v>97.963362251108293</v>
      </c>
      <c r="AN6204">
        <v>1.0000000165635801</v>
      </c>
    </row>
    <row r="6205" spans="1:40" x14ac:dyDescent="0.25">
      <c r="A6205" t="str">
        <f>"20190305135050508"</f>
        <v>20190305135050508</v>
      </c>
      <c r="B6205" t="str">
        <f>"1551765050496445"</f>
        <v>1551765050496445</v>
      </c>
      <c r="C6205" t="s">
        <v>40</v>
      </c>
      <c r="D6205">
        <v>4.3374189999999997</v>
      </c>
      <c r="E6205">
        <v>0.48094330000000002</v>
      </c>
      <c r="F6205" t="s">
        <v>42</v>
      </c>
      <c r="G6205">
        <v>-325.89409999999998</v>
      </c>
      <c r="H6205" s="1">
        <v>-3.3642829999999999E-6</v>
      </c>
      <c r="I6205">
        <v>25.039249999999999</v>
      </c>
      <c r="J6205">
        <v>-379.9803</v>
      </c>
      <c r="K6205">
        <v>1.109246</v>
      </c>
      <c r="L6205">
        <v>17.163209999999999</v>
      </c>
      <c r="M6205">
        <v>0.9989401</v>
      </c>
      <c r="N6205">
        <v>-3.7144249999999999E-3</v>
      </c>
      <c r="O6205">
        <v>-4.588271E-2</v>
      </c>
      <c r="P6205">
        <v>0.98801229999999995</v>
      </c>
      <c r="Q6205">
        <v>-0.1238828</v>
      </c>
      <c r="R6205">
        <v>9.2115340000000004E-2</v>
      </c>
      <c r="S6205">
        <v>2.9883730000000002</v>
      </c>
      <c r="T6205">
        <v>-6.1094639999999999E-2</v>
      </c>
      <c r="U6205">
        <v>0.43338009999999899</v>
      </c>
      <c r="V6205">
        <v>-0.13704</v>
      </c>
      <c r="W6205">
        <v>-0.120585999999999</v>
      </c>
      <c r="X6205">
        <v>0.98319840000000003</v>
      </c>
      <c r="Y6205">
        <v>-0.18872549999999999</v>
      </c>
      <c r="Z6205">
        <v>3.035449E-3</v>
      </c>
      <c r="AA6205">
        <v>0.98202520000000004</v>
      </c>
      <c r="AB6205">
        <v>26</v>
      </c>
      <c r="AC6205">
        <v>54.086199999999998</v>
      </c>
      <c r="AD6205">
        <v>-1.1092493642829999</v>
      </c>
      <c r="AE6205">
        <v>7.8760399999999997</v>
      </c>
      <c r="AF6205">
        <v>-10.345122267245999</v>
      </c>
      <c r="AG6205">
        <v>-1.1092493642829999</v>
      </c>
      <c r="AH6205">
        <v>53.6457652852311</v>
      </c>
      <c r="AI6205">
        <v>91.163129347226302</v>
      </c>
      <c r="AJ6205">
        <v>100.915010495362</v>
      </c>
      <c r="AK6205">
        <v>54.645403483866197</v>
      </c>
      <c r="AL6205">
        <v>96.9259233646887</v>
      </c>
      <c r="AM6205">
        <v>97.934870219476196</v>
      </c>
      <c r="AN6205">
        <v>1.00000001937927</v>
      </c>
    </row>
    <row r="6206" spans="1:40" x14ac:dyDescent="0.25">
      <c r="A6206" t="str">
        <f>"20190305135050527"</f>
        <v>20190305135050527</v>
      </c>
      <c r="B6206" t="str">
        <f>"1551765050515966"</f>
        <v>1551765050515966</v>
      </c>
      <c r="C6206" t="s">
        <v>40</v>
      </c>
      <c r="D6206">
        <v>4.5097339999999999</v>
      </c>
      <c r="E6206">
        <v>0.4813886</v>
      </c>
      <c r="F6206" t="s">
        <v>42</v>
      </c>
      <c r="G6206">
        <v>-324.73340000000002</v>
      </c>
      <c r="H6206" s="1">
        <v>-3.892477E-6</v>
      </c>
      <c r="I6206">
        <v>25.247630000000001</v>
      </c>
      <c r="J6206">
        <v>-379.74770000000001</v>
      </c>
      <c r="K6206">
        <v>1.1091879999999901</v>
      </c>
      <c r="L6206">
        <v>17.153929999999999</v>
      </c>
      <c r="M6206">
        <v>0.99900129999999998</v>
      </c>
      <c r="N6206">
        <v>-3.6515359999999999E-3</v>
      </c>
      <c r="O6206">
        <v>-4.4534709999999998E-2</v>
      </c>
      <c r="P6206">
        <v>0.98787469999999999</v>
      </c>
      <c r="Q6206">
        <v>-0.12418460000000001</v>
      </c>
      <c r="R6206">
        <v>9.3177700000000002E-2</v>
      </c>
      <c r="S6206">
        <v>2.9880979999999999</v>
      </c>
      <c r="T6206">
        <v>-5.999517E-2</v>
      </c>
      <c r="U6206">
        <v>0.43725589999999998</v>
      </c>
      <c r="V6206">
        <v>-0.13677899999999901</v>
      </c>
      <c r="W6206">
        <v>-0.1209368</v>
      </c>
      <c r="X6206">
        <v>0.98319160000000005</v>
      </c>
      <c r="Y6206">
        <v>-0.18866250000000001</v>
      </c>
      <c r="Z6206">
        <v>2.9582810000000001E-3</v>
      </c>
      <c r="AA6206">
        <v>0.98203750000000001</v>
      </c>
      <c r="AB6206">
        <v>26</v>
      </c>
      <c r="AC6206">
        <v>55.014299999999899</v>
      </c>
      <c r="AD6206">
        <v>-1.1091918924769999</v>
      </c>
      <c r="AE6206">
        <v>8.0936999999999895</v>
      </c>
      <c r="AF6206">
        <v>-10.531541138623201</v>
      </c>
      <c r="AG6206">
        <v>-1.1091918924769999</v>
      </c>
      <c r="AH6206">
        <v>54.5775473974088</v>
      </c>
      <c r="AI6206">
        <v>91.143191549361404</v>
      </c>
      <c r="AJ6206">
        <v>100.921824984206</v>
      </c>
      <c r="AK6206">
        <v>55.595434572681</v>
      </c>
      <c r="AL6206">
        <v>96.946171295158095</v>
      </c>
      <c r="AM6206">
        <v>97.920003866201398</v>
      </c>
      <c r="AN6206">
        <v>0.99999996337289898</v>
      </c>
    </row>
    <row r="6207" spans="1:40" x14ac:dyDescent="0.25">
      <c r="A6207" t="str">
        <f>"20190305135050549"</f>
        <v>20190305135050549</v>
      </c>
      <c r="B6207" t="str">
        <f>"1551765050546221"</f>
        <v>1551765050546221</v>
      </c>
      <c r="C6207" t="s">
        <v>40</v>
      </c>
      <c r="D6207">
        <v>4.2961669999999996</v>
      </c>
      <c r="E6207">
        <v>0.48099380000000003</v>
      </c>
      <c r="F6207" t="s">
        <v>42</v>
      </c>
      <c r="G6207">
        <v>-328.85680000000002</v>
      </c>
      <c r="H6207" s="1">
        <v>-1.8442639999999999E-6</v>
      </c>
      <c r="I6207">
        <v>24.589980000000001</v>
      </c>
      <c r="J6207">
        <v>-379.49599999999998</v>
      </c>
      <c r="K6207">
        <v>1.1091519999999999</v>
      </c>
      <c r="L6207">
        <v>17.144200000000001</v>
      </c>
      <c r="M6207">
        <v>0.99906300000000003</v>
      </c>
      <c r="N6207">
        <v>-3.5867099999999999E-3</v>
      </c>
      <c r="O6207">
        <v>-4.3132810000000001E-2</v>
      </c>
      <c r="P6207">
        <v>0.98771940000000003</v>
      </c>
      <c r="Q6207">
        <v>-0.12387579999999999</v>
      </c>
      <c r="R6207">
        <v>9.5212089999999999E-2</v>
      </c>
      <c r="S6207">
        <v>2.9874879999999999</v>
      </c>
      <c r="T6207">
        <v>-6.5113539999999998E-2</v>
      </c>
      <c r="U6207">
        <v>0.43652340000000001</v>
      </c>
      <c r="V6207">
        <v>-0.1374349</v>
      </c>
      <c r="W6207">
        <v>-0.1206837</v>
      </c>
      <c r="X6207">
        <v>0.98313130000000004</v>
      </c>
      <c r="Y6207">
        <v>-0.1870694</v>
      </c>
      <c r="Z6207">
        <v>3.1466770000000001E-3</v>
      </c>
      <c r="AA6207">
        <v>0.98234160000000004</v>
      </c>
      <c r="AB6207">
        <v>26</v>
      </c>
      <c r="AC6207">
        <v>50.639199999999903</v>
      </c>
      <c r="AD6207">
        <v>-1.1091538442640001</v>
      </c>
      <c r="AE6207">
        <v>7.4457799999999903</v>
      </c>
      <c r="AF6207">
        <v>-9.6185585215992102</v>
      </c>
      <c r="AG6207">
        <v>-1.1091538442640001</v>
      </c>
      <c r="AH6207">
        <v>50.2473167038562</v>
      </c>
      <c r="AI6207">
        <v>91.241992146549194</v>
      </c>
      <c r="AJ6207">
        <v>100.83671070959799</v>
      </c>
      <c r="AK6207">
        <v>51.171669175641497</v>
      </c>
      <c r="AL6207">
        <v>96.931562269234206</v>
      </c>
      <c r="AM6207">
        <v>97.957979325732694</v>
      </c>
      <c r="AN6207">
        <v>1.00000003011169</v>
      </c>
    </row>
    <row r="6208" spans="1:40" x14ac:dyDescent="0.25">
      <c r="A6208" t="str">
        <f>"20190305135050563"</f>
        <v>20190305135050563</v>
      </c>
      <c r="B6208" t="str">
        <f>"1551765050555981"</f>
        <v>1551765050555981</v>
      </c>
      <c r="C6208" t="s">
        <v>40</v>
      </c>
      <c r="D6208">
        <v>4.3231390000000003</v>
      </c>
      <c r="E6208">
        <v>0.48084680000000002</v>
      </c>
      <c r="F6208" t="s">
        <v>42</v>
      </c>
      <c r="G6208">
        <v>-322.13780000000003</v>
      </c>
      <c r="H6208" s="1">
        <v>-4.9707009999999999E-6</v>
      </c>
      <c r="I6208">
        <v>25.70682</v>
      </c>
      <c r="J6208">
        <v>-379.32049999999998</v>
      </c>
      <c r="K6208">
        <v>1.1091329999999999</v>
      </c>
      <c r="L6208">
        <v>17.137599999999999</v>
      </c>
      <c r="M6208">
        <v>0.99910339999999997</v>
      </c>
      <c r="N6208">
        <v>-3.5434109999999998E-3</v>
      </c>
      <c r="O6208">
        <v>-4.2189740000000003E-2</v>
      </c>
      <c r="P6208">
        <v>0.98764370000000001</v>
      </c>
      <c r="Q6208">
        <v>-0.1235863</v>
      </c>
      <c r="R6208">
        <v>9.6368560000000006E-2</v>
      </c>
      <c r="S6208">
        <v>2.9870909999999999</v>
      </c>
      <c r="T6208">
        <v>-5.7762500000000001E-2</v>
      </c>
      <c r="U6208">
        <v>0.44592290000000001</v>
      </c>
      <c r="V6208">
        <v>-0.13766419999999999</v>
      </c>
      <c r="W6208">
        <v>-0.1204325</v>
      </c>
      <c r="X6208">
        <v>0.98312999999999995</v>
      </c>
      <c r="Y6208">
        <v>-0.18919710000000001</v>
      </c>
      <c r="Z6208">
        <v>2.819275E-3</v>
      </c>
      <c r="AA6208">
        <v>0.98193509999999995</v>
      </c>
      <c r="AB6208">
        <v>27</v>
      </c>
      <c r="AC6208">
        <v>57.182699999999897</v>
      </c>
      <c r="AD6208">
        <v>-1.1091379707009901</v>
      </c>
      <c r="AE6208">
        <v>8.5692199999999996</v>
      </c>
      <c r="AF6208">
        <v>-10.970091724049601</v>
      </c>
      <c r="AG6208">
        <v>-1.1091379707009901</v>
      </c>
      <c r="AH6208">
        <v>56.7493681153287</v>
      </c>
      <c r="AI6208">
        <v>91.099328480206495</v>
      </c>
      <c r="AJ6208">
        <v>100.940771485022</v>
      </c>
      <c r="AK6208">
        <v>57.810586236096903</v>
      </c>
      <c r="AL6208">
        <v>96.917063976086197</v>
      </c>
      <c r="AM6208">
        <v>97.971096513461902</v>
      </c>
      <c r="AN6208">
        <v>1.00000000795894</v>
      </c>
    </row>
    <row r="6209" spans="1:40" x14ac:dyDescent="0.25">
      <c r="A6209" t="str">
        <f>"20190305135050581"</f>
        <v>20190305135050581</v>
      </c>
      <c r="B6209" t="str">
        <f>"1551765050576477"</f>
        <v>1551765050576477</v>
      </c>
      <c r="C6209" t="s">
        <v>40</v>
      </c>
      <c r="D6209">
        <v>4.3165779999999998</v>
      </c>
      <c r="E6209">
        <v>0.4800333</v>
      </c>
      <c r="F6209" t="s">
        <v>42</v>
      </c>
      <c r="G6209">
        <v>-321.64609999999999</v>
      </c>
      <c r="H6209" s="1">
        <v>-5.1829589999999997E-6</v>
      </c>
      <c r="I6209">
        <v>25.838950000000001</v>
      </c>
      <c r="J6209">
        <v>-379.10509999999999</v>
      </c>
      <c r="K6209">
        <v>1.1091139999999999</v>
      </c>
      <c r="L6209">
        <v>17.129639999999998</v>
      </c>
      <c r="M6209">
        <v>0.99915100000000001</v>
      </c>
      <c r="N6209">
        <v>-3.4883729999999999E-3</v>
      </c>
      <c r="O6209">
        <v>-4.105284E-2</v>
      </c>
      <c r="P6209">
        <v>0.98758460000000003</v>
      </c>
      <c r="Q6209">
        <v>-0.12261660000000001</v>
      </c>
      <c r="R6209">
        <v>9.8195580000000005E-2</v>
      </c>
      <c r="S6209">
        <v>2.9864199999999999</v>
      </c>
      <c r="T6209">
        <v>-5.7431940000000001E-2</v>
      </c>
      <c r="U6209">
        <v>0.4505615</v>
      </c>
      <c r="V6209">
        <v>-0.13837530000000001</v>
      </c>
      <c r="W6209">
        <v>-0.1195143</v>
      </c>
      <c r="X6209">
        <v>0.98314219999999997</v>
      </c>
      <c r="Y6209">
        <v>-0.1896042</v>
      </c>
      <c r="Z6209">
        <v>2.7884250000000002E-3</v>
      </c>
      <c r="AA6209">
        <v>0.98185659999999997</v>
      </c>
      <c r="AB6209">
        <v>27</v>
      </c>
      <c r="AC6209">
        <v>57.458999999999897</v>
      </c>
      <c r="AD6209">
        <v>-1.1091191829589999</v>
      </c>
      <c r="AE6209">
        <v>8.7093100000000003</v>
      </c>
      <c r="AF6209">
        <v>-11.056809763548401</v>
      </c>
      <c r="AG6209">
        <v>-1.1091191829589999</v>
      </c>
      <c r="AH6209">
        <v>57.0322432692139</v>
      </c>
      <c r="AI6209">
        <v>91.093744088222607</v>
      </c>
      <c r="AJ6209">
        <v>100.971793022268</v>
      </c>
      <c r="AK6209">
        <v>58.104732680119099</v>
      </c>
      <c r="AL6209">
        <v>96.864072370408493</v>
      </c>
      <c r="AM6209">
        <v>98.011639552163103</v>
      </c>
      <c r="AN6209">
        <v>0.99999998848770899</v>
      </c>
    </row>
    <row r="6210" spans="1:40" x14ac:dyDescent="0.25">
      <c r="A6210" t="str">
        <f>"20190305135050594"</f>
        <v>20190305135050594</v>
      </c>
      <c r="B6210" t="str">
        <f>"1551765050586238"</f>
        <v>1551765050586238</v>
      </c>
      <c r="C6210" t="s">
        <v>40</v>
      </c>
      <c r="D6210">
        <v>4.2871639999999998</v>
      </c>
      <c r="E6210">
        <v>0.44666139999999999</v>
      </c>
      <c r="F6210" t="s">
        <v>42</v>
      </c>
      <c r="G6210">
        <v>-322.54649999999998</v>
      </c>
      <c r="H6210" s="1">
        <v>-4.847002E-6</v>
      </c>
      <c r="I6210">
        <v>25.894349999999999</v>
      </c>
      <c r="J6210">
        <v>-378.9529</v>
      </c>
      <c r="K6210">
        <v>1.109102</v>
      </c>
      <c r="L6210">
        <v>17.124179999999999</v>
      </c>
      <c r="M6210">
        <v>0.99918320000000005</v>
      </c>
      <c r="N6210">
        <v>-3.447599E-3</v>
      </c>
      <c r="O6210">
        <v>-4.0260440000000002E-2</v>
      </c>
      <c r="P6210">
        <v>0.98748020000000003</v>
      </c>
      <c r="Q6210">
        <v>-0.1225305</v>
      </c>
      <c r="R6210">
        <v>9.9342819999999998E-2</v>
      </c>
      <c r="S6210">
        <v>2.984467</v>
      </c>
      <c r="T6210">
        <v>-5.8525679999999997E-2</v>
      </c>
      <c r="U6210">
        <v>0.46249390000000001</v>
      </c>
      <c r="V6210">
        <v>-0.13873940000000001</v>
      </c>
      <c r="W6210">
        <v>-0.1194674</v>
      </c>
      <c r="X6210">
        <v>0.98309659999999999</v>
      </c>
      <c r="Y6210">
        <v>-0.1927529</v>
      </c>
      <c r="Z6210">
        <v>2.8601540000000002E-3</v>
      </c>
      <c r="AA6210">
        <v>0.98124310000000003</v>
      </c>
      <c r="AB6210">
        <v>27</v>
      </c>
      <c r="AC6210">
        <v>56.406399999999998</v>
      </c>
      <c r="AD6210">
        <v>-1.109106847002</v>
      </c>
      <c r="AE6210">
        <v>8.7701700000000002</v>
      </c>
      <c r="AF6210">
        <v>-11.0298556153333</v>
      </c>
      <c r="AG6210">
        <v>-1.109106847002</v>
      </c>
      <c r="AH6210">
        <v>55.986438396297203</v>
      </c>
      <c r="AI6210">
        <v>91.113499098900405</v>
      </c>
      <c r="AJ6210">
        <v>101.145080662149</v>
      </c>
      <c r="AK6210">
        <v>57.073366093087202</v>
      </c>
      <c r="AL6210">
        <v>96.861365707563394</v>
      </c>
      <c r="AM6210">
        <v>98.032813117891195</v>
      </c>
      <c r="AN6210">
        <v>1.00000000285334</v>
      </c>
    </row>
    <row r="6211" spans="1:40" x14ac:dyDescent="0.25">
      <c r="A6211" t="str">
        <f>"20190305135050605"</f>
        <v>20190305135050605</v>
      </c>
      <c r="B6211" t="str">
        <f>"1551765050595997"</f>
        <v>1551765050595997</v>
      </c>
      <c r="C6211" t="s">
        <v>40</v>
      </c>
      <c r="D6211">
        <v>4.2763350000000004</v>
      </c>
      <c r="E6211">
        <v>0.44668649999999999</v>
      </c>
      <c r="F6211" t="s">
        <v>42</v>
      </c>
      <c r="G6211">
        <v>-349.1078</v>
      </c>
      <c r="H6211" s="1">
        <v>-1.6638780000000001E-6</v>
      </c>
      <c r="I6211">
        <v>24.497630000000001</v>
      </c>
      <c r="J6211">
        <v>-378.8107</v>
      </c>
      <c r="K6211">
        <v>1.109094</v>
      </c>
      <c r="L6211">
        <v>17.119139999999899</v>
      </c>
      <c r="M6211">
        <v>0.99921269999999995</v>
      </c>
      <c r="N6211">
        <v>-3.4074560000000001E-3</v>
      </c>
      <c r="O6211">
        <v>-3.9528720000000003E-2</v>
      </c>
      <c r="P6211">
        <v>0.98736789999999997</v>
      </c>
      <c r="Q6211">
        <v>-0.12263449999999999</v>
      </c>
      <c r="R6211">
        <v>0.100329</v>
      </c>
      <c r="S6211">
        <v>2.9510800000000001</v>
      </c>
      <c r="T6211">
        <v>-0.1096681</v>
      </c>
      <c r="U6211">
        <v>0.72909550000000001</v>
      </c>
      <c r="V6211">
        <v>-0.13900090000000001</v>
      </c>
      <c r="W6211">
        <v>-0.11961090000000001</v>
      </c>
      <c r="X6211">
        <v>0.98304219999999998</v>
      </c>
      <c r="Y6211">
        <v>-0.27781679999999997</v>
      </c>
      <c r="Z6211">
        <v>6.8801629999999999E-3</v>
      </c>
      <c r="AA6211">
        <v>0.96060939999999995</v>
      </c>
      <c r="AB6211">
        <v>27</v>
      </c>
      <c r="AC6211">
        <v>29.7029</v>
      </c>
      <c r="AD6211">
        <v>-1.1090956638779901</v>
      </c>
      <c r="AE6211">
        <v>7.3784899999999896</v>
      </c>
      <c r="AF6211">
        <v>-8.5356383888721101</v>
      </c>
      <c r="AG6211">
        <v>-1.1090956638779901</v>
      </c>
      <c r="AH6211">
        <v>29.3494788992267</v>
      </c>
      <c r="AI6211">
        <v>92.078116127750306</v>
      </c>
      <c r="AJ6211">
        <v>106.215888604547</v>
      </c>
      <c r="AK6211">
        <v>30.585603272673499</v>
      </c>
      <c r="AL6211">
        <v>96.869647106169694</v>
      </c>
      <c r="AM6211">
        <v>98.048194939235202</v>
      </c>
      <c r="AN6211">
        <v>0.99999999229022996</v>
      </c>
    </row>
    <row r="6212" spans="1:40" x14ac:dyDescent="0.25">
      <c r="A6212" t="str">
        <f>"20190305135050617"</f>
        <v>20190305135050617</v>
      </c>
      <c r="B6212" t="str">
        <f>"1551765050606733"</f>
        <v>1551765050606733</v>
      </c>
      <c r="C6212" t="s">
        <v>40</v>
      </c>
      <c r="D6212">
        <v>4.2420049999999998</v>
      </c>
      <c r="E6212">
        <v>0.44712499999999999</v>
      </c>
      <c r="F6212" t="s">
        <v>42</v>
      </c>
      <c r="G6212">
        <v>-349.47460000000001</v>
      </c>
      <c r="H6212" s="1">
        <v>-1.4793449999999999E-6</v>
      </c>
      <c r="I6212">
        <v>24.395510000000002</v>
      </c>
      <c r="J6212">
        <v>-378.67200000000003</v>
      </c>
      <c r="K6212">
        <v>1.1090850000000001</v>
      </c>
      <c r="L6212">
        <v>17.114319999999999</v>
      </c>
      <c r="M6212">
        <v>0.99924060000000003</v>
      </c>
      <c r="N6212">
        <v>-3.367152E-3</v>
      </c>
      <c r="O6212">
        <v>-3.8818329999999998E-2</v>
      </c>
      <c r="P6212">
        <v>0.98728910000000003</v>
      </c>
      <c r="Q6212">
        <v>-0.1224763</v>
      </c>
      <c r="R6212">
        <v>0.1012909</v>
      </c>
      <c r="S6212">
        <v>2.9501650000000001</v>
      </c>
      <c r="T6212">
        <v>-0.1115353</v>
      </c>
      <c r="U6212">
        <v>0.73175049999999997</v>
      </c>
      <c r="V6212">
        <v>-0.1392612</v>
      </c>
      <c r="W6212">
        <v>-0.119493</v>
      </c>
      <c r="X6212">
        <v>0.98301970000000005</v>
      </c>
      <c r="Y6212">
        <v>-0.278010799999999</v>
      </c>
      <c r="Z6212">
        <v>6.9683599999999998E-3</v>
      </c>
      <c r="AA6212">
        <v>0.96055259999999998</v>
      </c>
      <c r="AB6212">
        <v>27</v>
      </c>
      <c r="AC6212">
        <v>29.197399999999899</v>
      </c>
      <c r="AD6212">
        <v>-1.1090864793449999</v>
      </c>
      <c r="AE6212">
        <v>7.2811899999999898</v>
      </c>
      <c r="AF6212">
        <v>-8.3976949731199593</v>
      </c>
      <c r="AG6212">
        <v>-1.1090864793449999</v>
      </c>
      <c r="AH6212">
        <v>28.853552154868002</v>
      </c>
      <c r="AI6212">
        <v>92.113661184515394</v>
      </c>
      <c r="AJ6212">
        <v>106.227396459638</v>
      </c>
      <c r="AK6212">
        <v>30.071229200581701</v>
      </c>
      <c r="AL6212">
        <v>96.8628431184314</v>
      </c>
      <c r="AM6212">
        <v>98.063250498718403</v>
      </c>
      <c r="AN6212">
        <v>0.999999994731265</v>
      </c>
    </row>
    <row r="6213" spans="1:40" x14ac:dyDescent="0.25">
      <c r="A6213" t="str">
        <f>"20190305135050629"</f>
        <v>20190305135050629</v>
      </c>
      <c r="B6213" t="str">
        <f>"1551765050626252"</f>
        <v>1551765050626252</v>
      </c>
      <c r="C6213" t="s">
        <v>40</v>
      </c>
      <c r="D6213">
        <v>4.2094360000000002</v>
      </c>
      <c r="E6213">
        <v>0.44827539999999999</v>
      </c>
      <c r="F6213" t="s">
        <v>42</v>
      </c>
      <c r="G6213">
        <v>-348.46789999999999</v>
      </c>
      <c r="H6213" s="1">
        <v>-1.965751E-6</v>
      </c>
      <c r="I6213">
        <v>24.600429999999999</v>
      </c>
      <c r="J6213">
        <v>-378.51870000000002</v>
      </c>
      <c r="K6213">
        <v>1.109078</v>
      </c>
      <c r="L6213">
        <v>17.109100000000002</v>
      </c>
      <c r="M6213">
        <v>0.99927089999999996</v>
      </c>
      <c r="N6213">
        <v>-3.3219539999999998E-3</v>
      </c>
      <c r="O6213">
        <v>-3.8036300000000002E-2</v>
      </c>
      <c r="P6213">
        <v>0.98718039999999996</v>
      </c>
      <c r="Q6213">
        <v>-0.1225701</v>
      </c>
      <c r="R6213">
        <v>0.1022328</v>
      </c>
      <c r="S6213">
        <v>2.9501339999999998</v>
      </c>
      <c r="T6213">
        <v>-0.1083282</v>
      </c>
      <c r="U6213">
        <v>0.7312012</v>
      </c>
      <c r="V6213">
        <v>-0.139428</v>
      </c>
      <c r="W6213">
        <v>-0.11963219999999999</v>
      </c>
      <c r="X6213">
        <v>0.98297909999999999</v>
      </c>
      <c r="Y6213">
        <v>-0.27710649999999998</v>
      </c>
      <c r="Z6213">
        <v>6.7299600000000001E-3</v>
      </c>
      <c r="AA6213">
        <v>0.96081559999999999</v>
      </c>
      <c r="AB6213">
        <v>27</v>
      </c>
      <c r="AC6213">
        <v>30.050799999999999</v>
      </c>
      <c r="AD6213">
        <v>-1.109079965751</v>
      </c>
      <c r="AE6213">
        <v>7.4913299999999898</v>
      </c>
      <c r="AF6213">
        <v>-8.6178846420990993</v>
      </c>
      <c r="AG6213">
        <v>-1.109079965751</v>
      </c>
      <c r="AH6213">
        <v>29.7060141660643</v>
      </c>
      <c r="AI6213">
        <v>92.053563472439293</v>
      </c>
      <c r="AJ6213">
        <v>106.17774629161499</v>
      </c>
      <c r="AK6213">
        <v>30.9506909730522</v>
      </c>
      <c r="AL6213">
        <v>96.870876481388194</v>
      </c>
      <c r="AM6213">
        <v>98.073110050562306</v>
      </c>
      <c r="AN6213">
        <v>0.99999997074882396</v>
      </c>
    </row>
    <row r="6214" spans="1:40" x14ac:dyDescent="0.25">
      <c r="A6214" t="str">
        <f>"20190305135050640"</f>
        <v>20190305135050640</v>
      </c>
      <c r="B6214" t="str">
        <f>"1551765050636013"</f>
        <v>1551765050636013</v>
      </c>
      <c r="C6214" t="s">
        <v>40</v>
      </c>
      <c r="D6214">
        <v>4.2182680000000001</v>
      </c>
      <c r="E6214">
        <v>0.44880239999999999</v>
      </c>
      <c r="F6214" t="s">
        <v>42</v>
      </c>
      <c r="G6214">
        <v>-348.43950000000001</v>
      </c>
      <c r="H6214" s="1">
        <v>-1.9510570000000001E-6</v>
      </c>
      <c r="I6214">
        <v>24.499320000000001</v>
      </c>
      <c r="J6214">
        <v>-378.38619999999997</v>
      </c>
      <c r="K6214">
        <v>1.10907</v>
      </c>
      <c r="L6214">
        <v>17.10474</v>
      </c>
      <c r="M6214">
        <v>0.99929639999999997</v>
      </c>
      <c r="N6214">
        <v>-3.281754E-3</v>
      </c>
      <c r="O6214">
        <v>-3.7362869999999999E-2</v>
      </c>
      <c r="P6214">
        <v>0.98710659999999895</v>
      </c>
      <c r="Q6214">
        <v>-0.1226038</v>
      </c>
      <c r="R6214">
        <v>0.102904</v>
      </c>
      <c r="S6214">
        <v>2.950348</v>
      </c>
      <c r="T6214">
        <v>-0.1087849</v>
      </c>
      <c r="U6214">
        <v>0.72488399999999997</v>
      </c>
      <c r="V6214">
        <v>-0.1394328</v>
      </c>
      <c r="W6214">
        <v>-0.1197067</v>
      </c>
      <c r="X6214">
        <v>0.98296930000000005</v>
      </c>
      <c r="Y6214">
        <v>-0.2745031</v>
      </c>
      <c r="Z6214">
        <v>6.6797849999999997E-3</v>
      </c>
      <c r="AA6214">
        <v>0.9615631</v>
      </c>
      <c r="AB6214">
        <v>27</v>
      </c>
      <c r="AC6214">
        <v>29.9466999999999</v>
      </c>
      <c r="AD6214">
        <v>-1.109071951057</v>
      </c>
      <c r="AE6214">
        <v>7.3945800000000004</v>
      </c>
      <c r="AF6214">
        <v>-8.4973324358933695</v>
      </c>
      <c r="AG6214">
        <v>-1.109071951057</v>
      </c>
      <c r="AH6214">
        <v>29.6112255198043</v>
      </c>
      <c r="AI6214">
        <v>92.061840237879693</v>
      </c>
      <c r="AJ6214">
        <v>106.011531727313</v>
      </c>
      <c r="AK6214">
        <v>30.826277360450401</v>
      </c>
      <c r="AL6214">
        <v>96.875176248816302</v>
      </c>
      <c r="AM6214">
        <v>98.073463743042296</v>
      </c>
      <c r="AN6214">
        <v>0.99999992224160705</v>
      </c>
    </row>
    <row r="6215" spans="1:40" x14ac:dyDescent="0.25">
      <c r="A6215" t="str">
        <f>"20190305135050659"</f>
        <v>20190305135050659</v>
      </c>
      <c r="B6215" t="str">
        <f>"1551765050656510"</f>
        <v>1551765050656510</v>
      </c>
      <c r="C6215" t="s">
        <v>40</v>
      </c>
      <c r="D6215">
        <v>4.1995420000000001</v>
      </c>
      <c r="E6215">
        <v>0.44979839999999999</v>
      </c>
      <c r="F6215" t="s">
        <v>42</v>
      </c>
      <c r="G6215">
        <v>-348.65890000000002</v>
      </c>
      <c r="H6215" s="1">
        <v>-1.826601E-6</v>
      </c>
      <c r="I6215">
        <v>24.38541</v>
      </c>
      <c r="J6215">
        <v>-378.15620000000001</v>
      </c>
      <c r="K6215">
        <v>1.109067</v>
      </c>
      <c r="L6215">
        <v>17.097290000000001</v>
      </c>
      <c r="M6215">
        <v>0.99933959999999999</v>
      </c>
      <c r="N6215">
        <v>-3.212838E-3</v>
      </c>
      <c r="O6215">
        <v>-3.6196010000000001E-2</v>
      </c>
      <c r="P6215">
        <v>0.98702319999999999</v>
      </c>
      <c r="Q6215">
        <v>-0.1222328</v>
      </c>
      <c r="R6215">
        <v>0.1041372</v>
      </c>
      <c r="S6215">
        <v>2.9502259999999998</v>
      </c>
      <c r="T6215">
        <v>-0.1100676</v>
      </c>
      <c r="U6215">
        <v>0.72256469999999995</v>
      </c>
      <c r="V6215">
        <v>-0.1395129</v>
      </c>
      <c r="W6215">
        <v>-0.11940630000000001</v>
      </c>
      <c r="X6215">
        <v>0.98299460000000005</v>
      </c>
      <c r="Y6215">
        <v>-0.27267329999999901</v>
      </c>
      <c r="Z6215">
        <v>6.6723819999999897E-3</v>
      </c>
      <c r="AA6215">
        <v>0.96208349999999998</v>
      </c>
      <c r="AB6215">
        <v>27</v>
      </c>
      <c r="AC6215">
        <v>29.497299999999999</v>
      </c>
      <c r="AD6215">
        <v>-1.109068826601</v>
      </c>
      <c r="AE6215">
        <v>7.2881199999999904</v>
      </c>
      <c r="AF6215">
        <v>-8.3399224547059205</v>
      </c>
      <c r="AG6215">
        <v>-1.109068826601</v>
      </c>
      <c r="AH6215">
        <v>29.175296645095699</v>
      </c>
      <c r="AI6215">
        <v>92.093227631651501</v>
      </c>
      <c r="AJ6215">
        <v>105.952882217851</v>
      </c>
      <c r="AK6215">
        <v>30.364161021539498</v>
      </c>
      <c r="AL6215">
        <v>96.857839379709901</v>
      </c>
      <c r="AM6215">
        <v>98.077835341777998</v>
      </c>
      <c r="AN6215">
        <v>1.0000000486876199</v>
      </c>
    </row>
    <row r="6216" spans="1:40" x14ac:dyDescent="0.25">
      <c r="A6216" t="str">
        <f>"20190305135050672"</f>
        <v>20190305135050672</v>
      </c>
      <c r="B6216" t="str">
        <f>"1551765050666269"</f>
        <v>1551765050666269</v>
      </c>
      <c r="C6216" t="s">
        <v>40</v>
      </c>
      <c r="D6216">
        <v>4.2100339999999896</v>
      </c>
      <c r="E6216">
        <v>0.45018940000000002</v>
      </c>
      <c r="F6216" t="s">
        <v>42</v>
      </c>
      <c r="G6216">
        <v>-348.12959999999998</v>
      </c>
      <c r="H6216" s="1">
        <v>-2.0598519999999999E-6</v>
      </c>
      <c r="I6216">
        <v>24.408650000000002</v>
      </c>
      <c r="J6216">
        <v>-378.00549999999998</v>
      </c>
      <c r="K6216">
        <v>1.1090709999999999</v>
      </c>
      <c r="L6216">
        <v>17.09253</v>
      </c>
      <c r="M6216">
        <v>0.99936709999999995</v>
      </c>
      <c r="N6216">
        <v>-3.1685760000000002E-3</v>
      </c>
      <c r="O6216">
        <v>-3.5431619999999997E-2</v>
      </c>
      <c r="P6216">
        <v>0.98701320000000003</v>
      </c>
      <c r="Q6216">
        <v>-0.1219375</v>
      </c>
      <c r="R6216">
        <v>0.104576</v>
      </c>
      <c r="S6216">
        <v>2.9501339999999998</v>
      </c>
      <c r="T6216">
        <v>-0.1089666</v>
      </c>
      <c r="U6216">
        <v>0.71835329999999997</v>
      </c>
      <c r="V6216">
        <v>-0.13919790000000001</v>
      </c>
      <c r="W6216">
        <v>-0.1191557</v>
      </c>
      <c r="X6216">
        <v>0.98306959999999999</v>
      </c>
      <c r="Y6216">
        <v>-0.2706538</v>
      </c>
      <c r="Z6216">
        <v>6.5400880000000003E-3</v>
      </c>
      <c r="AA6216">
        <v>0.96265449999999997</v>
      </c>
      <c r="AB6216">
        <v>28</v>
      </c>
      <c r="AC6216">
        <v>29.875900000000001</v>
      </c>
      <c r="AD6216">
        <v>-1.109073059852</v>
      </c>
      <c r="AE6216">
        <v>7.3161199999999997</v>
      </c>
      <c r="AF6216">
        <v>-8.3592149774222406</v>
      </c>
      <c r="AG6216">
        <v>-1.109073059852</v>
      </c>
      <c r="AH6216">
        <v>29.559486478157599</v>
      </c>
      <c r="AI6216">
        <v>92.067716946564104</v>
      </c>
      <c r="AJ6216">
        <v>105.790530101885</v>
      </c>
      <c r="AK6216">
        <v>30.738733853938001</v>
      </c>
      <c r="AL6216">
        <v>96.843378232104001</v>
      </c>
      <c r="AM6216">
        <v>98.059229857075593</v>
      </c>
      <c r="AN6216">
        <v>0.99999998732552997</v>
      </c>
    </row>
    <row r="6217" spans="1:40" x14ac:dyDescent="0.25">
      <c r="A6217" t="str">
        <f>"20190305135050693"</f>
        <v>20190305135050693</v>
      </c>
      <c r="B6217" t="str">
        <f>"1551765050686487"</f>
        <v>1551765050686487</v>
      </c>
      <c r="C6217" t="s">
        <v>40</v>
      </c>
      <c r="D6217">
        <v>4.205362</v>
      </c>
      <c r="E6217">
        <v>0.45079540000000001</v>
      </c>
      <c r="F6217" t="s">
        <v>42</v>
      </c>
      <c r="G6217">
        <v>-347.71749999999997</v>
      </c>
      <c r="H6217" s="1">
        <v>-2.2471570000000001E-6</v>
      </c>
      <c r="I6217">
        <v>24.44819</v>
      </c>
      <c r="J6217">
        <v>-377.72789999999998</v>
      </c>
      <c r="K6217">
        <v>1.1090739999999999</v>
      </c>
      <c r="L6217">
        <v>17.084109999999999</v>
      </c>
      <c r="M6217">
        <v>0.99941639999999998</v>
      </c>
      <c r="N6217">
        <v>-3.0930060000000001E-3</v>
      </c>
      <c r="O6217">
        <v>-3.4024079999999998E-2</v>
      </c>
      <c r="P6217">
        <v>0.98698379999999997</v>
      </c>
      <c r="Q6217">
        <v>-0.12144050000000001</v>
      </c>
      <c r="R6217">
        <v>0.1054316</v>
      </c>
      <c r="S6217">
        <v>2.9502259999999998</v>
      </c>
      <c r="T6217">
        <v>-0.1080301</v>
      </c>
      <c r="U6217">
        <v>0.71649169999999995</v>
      </c>
      <c r="V6217">
        <v>-0.13866539999999999</v>
      </c>
      <c r="W6217">
        <v>-0.11873599999999999</v>
      </c>
      <c r="X6217">
        <v>0.98319570000000001</v>
      </c>
      <c r="Y6217">
        <v>-0.26872289999999999</v>
      </c>
      <c r="Z6217">
        <v>6.3947350000000003E-3</v>
      </c>
      <c r="AA6217">
        <v>0.96319630000000001</v>
      </c>
      <c r="AB6217">
        <v>28</v>
      </c>
      <c r="AC6217">
        <v>30.010400000000001</v>
      </c>
      <c r="AD6217">
        <v>-1.1090762471569999</v>
      </c>
      <c r="AE6217">
        <v>7.3640800000000004</v>
      </c>
      <c r="AF6217">
        <v>-8.3701147677907493</v>
      </c>
      <c r="AG6217">
        <v>-1.1090762471569999</v>
      </c>
      <c r="AH6217">
        <v>29.704201831814199</v>
      </c>
      <c r="AI6217">
        <v>92.058201253329301</v>
      </c>
      <c r="AJ6217">
        <v>105.73689047664401</v>
      </c>
      <c r="AK6217">
        <v>30.880875599845801</v>
      </c>
      <c r="AL6217">
        <v>96.819158774196097</v>
      </c>
      <c r="AM6217">
        <v>98.027785821102</v>
      </c>
      <c r="AN6217">
        <v>1.0000000576758199</v>
      </c>
    </row>
    <row r="6218" spans="1:40" x14ac:dyDescent="0.25">
      <c r="A6218" t="str">
        <f>"20190305135050705"</f>
        <v>20190305135050705</v>
      </c>
      <c r="B6218" t="str">
        <f>"1551765050696235"</f>
        <v>1551765050696235</v>
      </c>
      <c r="C6218" t="s">
        <v>40</v>
      </c>
      <c r="D6218">
        <v>4.2377859999999998</v>
      </c>
      <c r="E6218">
        <v>0.45096550000000002</v>
      </c>
      <c r="F6218" t="s">
        <v>42</v>
      </c>
      <c r="G6218">
        <v>-346.94749999999999</v>
      </c>
      <c r="H6218" s="1">
        <v>-2.6007240000000002E-6</v>
      </c>
      <c r="I6218">
        <v>24.535609999999998</v>
      </c>
      <c r="J6218">
        <v>-377.58139999999997</v>
      </c>
      <c r="K6218">
        <v>1.1090719999999901</v>
      </c>
      <c r="L6218">
        <v>17.079799999999999</v>
      </c>
      <c r="M6218">
        <v>0.99944140000000004</v>
      </c>
      <c r="N6218">
        <v>-3.056287E-3</v>
      </c>
      <c r="O6218">
        <v>-3.3281039999999998E-2</v>
      </c>
      <c r="P6218">
        <v>0.98694950000000004</v>
      </c>
      <c r="Q6218">
        <v>-0.12131069999999999</v>
      </c>
      <c r="R6218">
        <v>0.1058986</v>
      </c>
      <c r="S6218">
        <v>2.9501650000000001</v>
      </c>
      <c r="T6218">
        <v>-0.1063002</v>
      </c>
      <c r="U6218">
        <v>0.71420289999999997</v>
      </c>
      <c r="V6218">
        <v>-0.1383973</v>
      </c>
      <c r="W6218">
        <v>-0.11864420000000001</v>
      </c>
      <c r="X6218">
        <v>0.98324449999999997</v>
      </c>
      <c r="Y6218">
        <v>-0.26731300000000002</v>
      </c>
      <c r="Z6218">
        <v>6.2429109999999899E-3</v>
      </c>
      <c r="AA6218">
        <v>0.96358949999999999</v>
      </c>
      <c r="AB6218">
        <v>28</v>
      </c>
      <c r="AC6218">
        <v>30.633899999999901</v>
      </c>
      <c r="AD6218">
        <v>-1.10907460072399</v>
      </c>
      <c r="AE6218">
        <v>7.4558099999999996</v>
      </c>
      <c r="AF6218">
        <v>-8.4607427952834904</v>
      </c>
      <c r="AG6218">
        <v>-1.10907460072399</v>
      </c>
      <c r="AH6218">
        <v>30.331258285518601</v>
      </c>
      <c r="AI6218">
        <v>92.017169298047307</v>
      </c>
      <c r="AJ6218">
        <v>105.586160978683</v>
      </c>
      <c r="AK6218">
        <v>31.508720131112199</v>
      </c>
      <c r="AL6218">
        <v>96.813861953517403</v>
      </c>
      <c r="AM6218">
        <v>98.012073901838804</v>
      </c>
      <c r="AN6218">
        <v>1.00000000281059</v>
      </c>
    </row>
    <row r="6219" spans="1:40" x14ac:dyDescent="0.25">
      <c r="A6219" t="str">
        <f>"20190305135050718"</f>
        <v>20190305135050718</v>
      </c>
      <c r="B6219" t="str">
        <f>"1551765050716731"</f>
        <v>1551765050716731</v>
      </c>
      <c r="C6219" t="s">
        <v>40</v>
      </c>
      <c r="D6219">
        <v>4.1986600000000003</v>
      </c>
      <c r="E6219">
        <v>0.45129750000000002</v>
      </c>
      <c r="F6219" t="s">
        <v>42</v>
      </c>
      <c r="G6219">
        <v>-347.06979999999999</v>
      </c>
      <c r="H6219" s="1">
        <v>-2.5297460000000001E-6</v>
      </c>
      <c r="I6219">
        <v>24.465990000000001</v>
      </c>
      <c r="J6219">
        <v>-377.41699999999997</v>
      </c>
      <c r="K6219">
        <v>1.109076</v>
      </c>
      <c r="L6219">
        <v>17.075129999999898</v>
      </c>
      <c r="M6219">
        <v>0.99946900000000005</v>
      </c>
      <c r="N6219">
        <v>-3.0180459999999999E-3</v>
      </c>
      <c r="O6219">
        <v>-3.2446559999999999E-2</v>
      </c>
      <c r="P6219">
        <v>0.98691510000000005</v>
      </c>
      <c r="Q6219">
        <v>-0.121182399999999</v>
      </c>
      <c r="R6219">
        <v>0.1063674</v>
      </c>
      <c r="S6219">
        <v>2.9498899999999999</v>
      </c>
      <c r="T6219">
        <v>-0.1072264</v>
      </c>
      <c r="U6219">
        <v>0.7141113</v>
      </c>
      <c r="V6219">
        <v>-0.13804249999999901</v>
      </c>
      <c r="W6219">
        <v>-0.11855540000000001</v>
      </c>
      <c r="X6219">
        <v>0.98330510000000004</v>
      </c>
      <c r="Y6219">
        <v>-0.26649840000000002</v>
      </c>
      <c r="Z6219">
        <v>6.2478660000000004E-3</v>
      </c>
      <c r="AA6219">
        <v>0.96381510000000004</v>
      </c>
      <c r="AB6219">
        <v>28</v>
      </c>
      <c r="AC6219">
        <v>30.347199999999901</v>
      </c>
      <c r="AD6219">
        <v>-1.109078529746</v>
      </c>
      <c r="AE6219">
        <v>7.39086</v>
      </c>
      <c r="AF6219">
        <v>-8.3610930441057398</v>
      </c>
      <c r="AG6219">
        <v>-1.109078529746</v>
      </c>
      <c r="AH6219">
        <v>30.0535192123488</v>
      </c>
      <c r="AI6219">
        <v>92.036190569277295</v>
      </c>
      <c r="AJ6219">
        <v>105.54692816011701</v>
      </c>
      <c r="AK6219">
        <v>31.2146111480562</v>
      </c>
      <c r="AL6219">
        <v>96.808737825302799</v>
      </c>
      <c r="AM6219">
        <v>97.991313426436093</v>
      </c>
      <c r="AN6219">
        <v>1.00000001718071</v>
      </c>
    </row>
    <row r="6220" spans="1:40" x14ac:dyDescent="0.25">
      <c r="A6220" t="str">
        <f>"20190305135050733"</f>
        <v>20190305135050733</v>
      </c>
      <c r="B6220" t="str">
        <f>"1551765050726490"</f>
        <v>1551765050726490</v>
      </c>
      <c r="C6220" t="s">
        <v>40</v>
      </c>
      <c r="D6220">
        <v>4.1684609999999997</v>
      </c>
      <c r="E6220">
        <v>0.45141310000000001</v>
      </c>
      <c r="F6220" t="s">
        <v>42</v>
      </c>
      <c r="G6220">
        <v>-347.48039999999997</v>
      </c>
      <c r="H6220" s="1">
        <v>-2.3126009999999999E-6</v>
      </c>
      <c r="I6220">
        <v>24.311859999999999</v>
      </c>
      <c r="J6220">
        <v>-377.23200000000003</v>
      </c>
      <c r="K6220">
        <v>1.1090789999999999</v>
      </c>
      <c r="L6220">
        <v>17.07001</v>
      </c>
      <c r="M6220">
        <v>0.99949909999999997</v>
      </c>
      <c r="N6220">
        <v>-2.9784690000000001E-3</v>
      </c>
      <c r="O6220">
        <v>-3.1507529999999999E-2</v>
      </c>
      <c r="P6220">
        <v>0.98693010000000003</v>
      </c>
      <c r="Q6220">
        <v>-0.12059309999999999</v>
      </c>
      <c r="R6220">
        <v>0.106895</v>
      </c>
      <c r="S6220">
        <v>2.9495239999999998</v>
      </c>
      <c r="T6220">
        <v>-0.1092727</v>
      </c>
      <c r="U6220">
        <v>0.71301269999999894</v>
      </c>
      <c r="V6220">
        <v>-0.13764499999999999</v>
      </c>
      <c r="W6220">
        <v>-0.118007</v>
      </c>
      <c r="X6220">
        <v>0.98342669999999999</v>
      </c>
      <c r="Y6220">
        <v>-0.26527509999999999</v>
      </c>
      <c r="Z6220">
        <v>6.3022059999999899E-3</v>
      </c>
      <c r="AA6220">
        <v>0.96415220000000001</v>
      </c>
      <c r="AB6220">
        <v>28</v>
      </c>
      <c r="AC6220">
        <v>29.7516</v>
      </c>
      <c r="AD6220">
        <v>-1.109081312601</v>
      </c>
      <c r="AE6220">
        <v>7.2418499999999897</v>
      </c>
      <c r="AF6220">
        <v>-8.1649462832413899</v>
      </c>
      <c r="AG6220">
        <v>-1.109081312601</v>
      </c>
      <c r="AH6220">
        <v>29.469992470979701</v>
      </c>
      <c r="AI6220">
        <v>92.0770923811274</v>
      </c>
      <c r="AJ6220">
        <v>105.485906508805</v>
      </c>
      <c r="AK6220">
        <v>30.600275577284901</v>
      </c>
      <c r="AL6220">
        <v>96.777095241123405</v>
      </c>
      <c r="AM6220">
        <v>97.967625407044096</v>
      </c>
      <c r="AN6220">
        <v>0.99999993617344296</v>
      </c>
    </row>
    <row r="6221" spans="1:40" x14ac:dyDescent="0.25">
      <c r="A6221" t="str">
        <f>"20190305135050748"</f>
        <v>20190305135050748</v>
      </c>
      <c r="B6221" t="str">
        <f>"1551765050736251"</f>
        <v>1551765050736251</v>
      </c>
      <c r="C6221" t="s">
        <v>40</v>
      </c>
      <c r="D6221">
        <v>4.1916729999999998</v>
      </c>
      <c r="E6221">
        <v>0.45158290000000001</v>
      </c>
      <c r="F6221" t="s">
        <v>42</v>
      </c>
      <c r="G6221">
        <v>-346.9228</v>
      </c>
      <c r="H6221" s="1">
        <v>-2.576446E-6</v>
      </c>
      <c r="I6221">
        <v>24.40448</v>
      </c>
      <c r="J6221">
        <v>-377.03469999999999</v>
      </c>
      <c r="K6221">
        <v>1.109086</v>
      </c>
      <c r="L6221">
        <v>17.064699999999998</v>
      </c>
      <c r="M6221">
        <v>0.99953029999999998</v>
      </c>
      <c r="N6221">
        <v>-2.9422770000000001E-3</v>
      </c>
      <c r="O6221">
        <v>-3.0505210000000001E-2</v>
      </c>
      <c r="P6221">
        <v>0.98704919999999996</v>
      </c>
      <c r="Q6221">
        <v>-0.1195508</v>
      </c>
      <c r="R6221">
        <v>0.1069653</v>
      </c>
      <c r="S6221">
        <v>2.9492189999999998</v>
      </c>
      <c r="T6221">
        <v>-0.1079184</v>
      </c>
      <c r="U6221">
        <v>0.71368409999999904</v>
      </c>
      <c r="V6221">
        <v>-0.13673279999999999</v>
      </c>
      <c r="W6221">
        <v>-0.1170008</v>
      </c>
      <c r="X6221">
        <v>0.98367420000000005</v>
      </c>
      <c r="Y6221">
        <v>-0.26454429999999901</v>
      </c>
      <c r="Z6221">
        <v>6.1771090000000001E-3</v>
      </c>
      <c r="AA6221">
        <v>0.96435369999999998</v>
      </c>
      <c r="AB6221">
        <v>28</v>
      </c>
      <c r="AC6221">
        <v>30.111899999999899</v>
      </c>
      <c r="AD6221">
        <v>-1.1090885764459999</v>
      </c>
      <c r="AE6221">
        <v>7.3397800000000002</v>
      </c>
      <c r="AF6221">
        <v>-8.2443806902867198</v>
      </c>
      <c r="AG6221">
        <v>-1.1090885764459999</v>
      </c>
      <c r="AH6221">
        <v>29.835777877509599</v>
      </c>
      <c r="AI6221">
        <v>92.0520495733617</v>
      </c>
      <c r="AJ6221">
        <v>105.44682337129299</v>
      </c>
      <c r="AK6221">
        <v>30.973755535822001</v>
      </c>
      <c r="AL6221">
        <v>96.719041698401995</v>
      </c>
      <c r="AM6221">
        <v>97.913527536407798</v>
      </c>
      <c r="AN6221">
        <v>0.99999998877106</v>
      </c>
    </row>
    <row r="6222" spans="1:40" x14ac:dyDescent="0.25">
      <c r="A6222" t="str">
        <f>"20190305135050760"</f>
        <v>20190305135050760</v>
      </c>
      <c r="B6222" t="str">
        <f>"1551765050756746"</f>
        <v>1551765050756746</v>
      </c>
      <c r="C6222" t="s">
        <v>40</v>
      </c>
      <c r="D6222">
        <v>4.180714</v>
      </c>
      <c r="E6222">
        <v>0.45173020000000003</v>
      </c>
      <c r="F6222" t="s">
        <v>42</v>
      </c>
      <c r="G6222">
        <v>-346.55930000000001</v>
      </c>
      <c r="H6222" s="1">
        <v>-2.7385640000000002E-6</v>
      </c>
      <c r="I6222">
        <v>24.427710000000001</v>
      </c>
      <c r="J6222">
        <v>-376.88670000000002</v>
      </c>
      <c r="K6222">
        <v>1.109091</v>
      </c>
      <c r="L6222">
        <v>17.06091</v>
      </c>
      <c r="M6222">
        <v>0.99955300000000002</v>
      </c>
      <c r="N6222">
        <v>-2.9205379999999999E-3</v>
      </c>
      <c r="O6222">
        <v>-2.9754900000000001E-2</v>
      </c>
      <c r="P6222">
        <v>0.98706950000000004</v>
      </c>
      <c r="Q6222">
        <v>-0.11909309999999999</v>
      </c>
      <c r="R6222">
        <v>0.10728749999999999</v>
      </c>
      <c r="S6222">
        <v>2.9492189999999998</v>
      </c>
      <c r="T6222">
        <v>-0.1073308</v>
      </c>
      <c r="U6222">
        <v>0.71255489999999999</v>
      </c>
      <c r="V6222">
        <v>-0.13631579999999999</v>
      </c>
      <c r="W6222">
        <v>-0.11656569999999999</v>
      </c>
      <c r="X6222">
        <v>0.98378370000000004</v>
      </c>
      <c r="Y6222">
        <v>-0.26347480000000001</v>
      </c>
      <c r="Z6222">
        <v>6.0975780000000002E-3</v>
      </c>
      <c r="AA6222">
        <v>0.96464700000000003</v>
      </c>
      <c r="AB6222">
        <v>28</v>
      </c>
      <c r="AC6222">
        <v>30.327400000000001</v>
      </c>
      <c r="AD6222">
        <v>-1.1090937385640001</v>
      </c>
      <c r="AE6222">
        <v>7.3667999999999996</v>
      </c>
      <c r="AF6222">
        <v>-8.2555048431054008</v>
      </c>
      <c r="AG6222">
        <v>-1.1090937385640001</v>
      </c>
      <c r="AH6222">
        <v>30.056813662435001</v>
      </c>
      <c r="AI6222">
        <v>92.037847492508405</v>
      </c>
      <c r="AJ6222">
        <v>105.35831671545201</v>
      </c>
      <c r="AK6222">
        <v>31.189669710880199</v>
      </c>
      <c r="AL6222">
        <v>96.693940713891195</v>
      </c>
      <c r="AM6222">
        <v>97.888830583409501</v>
      </c>
      <c r="AN6222">
        <v>0.99999996406590896</v>
      </c>
    </row>
    <row r="6223" spans="1:40" x14ac:dyDescent="0.25">
      <c r="A6223" t="str">
        <f>"20190305135050773"</f>
        <v>20190305135050773</v>
      </c>
      <c r="B6223" t="str">
        <f>"1551765050766508"</f>
        <v>1551765050766508</v>
      </c>
      <c r="C6223" t="s">
        <v>40</v>
      </c>
      <c r="D6223">
        <v>4.1807319999999999</v>
      </c>
      <c r="E6223">
        <v>0.451818</v>
      </c>
      <c r="F6223" t="s">
        <v>42</v>
      </c>
      <c r="G6223">
        <v>-346.8503</v>
      </c>
      <c r="H6223" s="1">
        <v>-2.583704E-6</v>
      </c>
      <c r="I6223">
        <v>24.314869999999999</v>
      </c>
      <c r="J6223">
        <v>-376.72989999999999</v>
      </c>
      <c r="K6223">
        <v>1.109103</v>
      </c>
      <c r="L6223">
        <v>17.056979999999999</v>
      </c>
      <c r="M6223">
        <v>0.99957640000000003</v>
      </c>
      <c r="N6223">
        <v>-2.8996540000000002E-3</v>
      </c>
      <c r="O6223">
        <v>-2.896168E-2</v>
      </c>
      <c r="P6223">
        <v>0.9870698</v>
      </c>
      <c r="Q6223">
        <v>-0.1187048</v>
      </c>
      <c r="R6223">
        <v>0.1077143</v>
      </c>
      <c r="S6223">
        <v>2.9487920000000001</v>
      </c>
      <c r="T6223">
        <v>-0.1088842</v>
      </c>
      <c r="U6223">
        <v>0.71215819999999996</v>
      </c>
      <c r="V6223">
        <v>-0.13596050000000001</v>
      </c>
      <c r="W6223">
        <v>-0.116199</v>
      </c>
      <c r="X6223">
        <v>0.98387630000000004</v>
      </c>
      <c r="Y6223">
        <v>-0.26261400000000001</v>
      </c>
      <c r="Z6223">
        <v>6.1365300000000003E-3</v>
      </c>
      <c r="AA6223">
        <v>0.96488149999999995</v>
      </c>
      <c r="AB6223">
        <v>28</v>
      </c>
      <c r="AC6223">
        <v>29.8795999999999</v>
      </c>
      <c r="AD6223">
        <v>-1.109105583704</v>
      </c>
      <c r="AE6223">
        <v>7.2578899999999997</v>
      </c>
      <c r="AF6223">
        <v>-8.1096612323013098</v>
      </c>
      <c r="AG6223">
        <v>-1.109105583704</v>
      </c>
      <c r="AH6223">
        <v>29.618329135584499</v>
      </c>
      <c r="AI6223">
        <v>92.068464997574097</v>
      </c>
      <c r="AJ6223">
        <v>105.31260355790801</v>
      </c>
      <c r="AK6223">
        <v>30.7285232525468</v>
      </c>
      <c r="AL6223">
        <v>96.672786226412796</v>
      </c>
      <c r="AM6223">
        <v>97.867795355040101</v>
      </c>
      <c r="AN6223">
        <v>1.00000001943146</v>
      </c>
    </row>
    <row r="6224" spans="1:40" x14ac:dyDescent="0.25">
      <c r="A6224" t="str">
        <f>"20190305135050785"</f>
        <v>20190305135050785</v>
      </c>
      <c r="B6224" t="str">
        <f>"1551765050776268"</f>
        <v>1551765050776268</v>
      </c>
      <c r="C6224" t="s">
        <v>40</v>
      </c>
      <c r="D6224">
        <v>4.1950770000000004</v>
      </c>
      <c r="E6224">
        <v>0.45186609999999999</v>
      </c>
      <c r="F6224" t="s">
        <v>42</v>
      </c>
      <c r="G6224">
        <v>-346.74130000000002</v>
      </c>
      <c r="H6224" s="1">
        <v>-2.6282070000000001E-6</v>
      </c>
      <c r="I6224">
        <v>24.306290000000001</v>
      </c>
      <c r="J6224">
        <v>-376.57049999999998</v>
      </c>
      <c r="K6224">
        <v>1.1091089999999999</v>
      </c>
      <c r="L6224">
        <v>17.053100000000001</v>
      </c>
      <c r="M6224">
        <v>0.99959920000000002</v>
      </c>
      <c r="N6224">
        <v>-2.8834160000000002E-3</v>
      </c>
      <c r="O6224">
        <v>-2.8159279999999998E-2</v>
      </c>
      <c r="P6224">
        <v>0.98711059999999995</v>
      </c>
      <c r="Q6224">
        <v>-0.1180015</v>
      </c>
      <c r="R6224">
        <v>0.10811129999999999</v>
      </c>
      <c r="S6224">
        <v>2.9483950000000001</v>
      </c>
      <c r="T6224">
        <v>-0.1090438</v>
      </c>
      <c r="U6224">
        <v>0.71273799999999998</v>
      </c>
      <c r="V6224">
        <v>-0.1355693</v>
      </c>
      <c r="W6224">
        <v>-0.11551210000000001</v>
      </c>
      <c r="X6224">
        <v>0.98401110000000003</v>
      </c>
      <c r="Y6224">
        <v>-0.26204870000000002</v>
      </c>
      <c r="Z6224">
        <v>6.1058830000000003E-3</v>
      </c>
      <c r="AA6224">
        <v>0.96503530000000004</v>
      </c>
      <c r="AB6224">
        <v>28</v>
      </c>
      <c r="AC6224">
        <v>29.829199999999901</v>
      </c>
      <c r="AD6224">
        <v>-1.1091116282069999</v>
      </c>
      <c r="AE6224">
        <v>7.2531899999999903</v>
      </c>
      <c r="AF6224">
        <v>-8.0797393617606303</v>
      </c>
      <c r="AG6224">
        <v>-1.1091116282069999</v>
      </c>
      <c r="AH6224">
        <v>29.5745211499788</v>
      </c>
      <c r="AI6224">
        <v>92.071856852971493</v>
      </c>
      <c r="AJ6224">
        <v>105.280290094932</v>
      </c>
      <c r="AK6224">
        <v>30.678406379868399</v>
      </c>
      <c r="AL6224">
        <v>96.633163313493398</v>
      </c>
      <c r="AM6224">
        <v>97.844378237109396</v>
      </c>
      <c r="AN6224">
        <v>0.99999996263605395</v>
      </c>
    </row>
    <row r="6225" spans="1:40" x14ac:dyDescent="0.25">
      <c r="A6225" t="str">
        <f>"20190305135050796"</f>
        <v>20190305135050796</v>
      </c>
      <c r="B6225" t="str">
        <f>"1551765050786026"</f>
        <v>1551765050786026</v>
      </c>
      <c r="C6225" t="s">
        <v>40</v>
      </c>
      <c r="D6225">
        <v>4.1790250000000002</v>
      </c>
      <c r="E6225">
        <v>0.45193990000000001</v>
      </c>
      <c r="F6225" t="s">
        <v>42</v>
      </c>
      <c r="G6225">
        <v>-346.38639999999998</v>
      </c>
      <c r="H6225" s="1">
        <v>-2.79413E-6</v>
      </c>
      <c r="I6225">
        <v>24.35782</v>
      </c>
      <c r="J6225">
        <v>-376.42169999999999</v>
      </c>
      <c r="K6225">
        <v>1.1091150000000001</v>
      </c>
      <c r="L6225">
        <v>17.049589999999998</v>
      </c>
      <c r="M6225">
        <v>0.99962010000000001</v>
      </c>
      <c r="N6225">
        <v>-2.8716950000000001E-3</v>
      </c>
      <c r="O6225">
        <v>-2.7415410000000001E-2</v>
      </c>
      <c r="P6225">
        <v>0.98711380000000004</v>
      </c>
      <c r="Q6225">
        <v>-0.11745460000000001</v>
      </c>
      <c r="R6225">
        <v>0.1086775</v>
      </c>
      <c r="S6225">
        <v>2.9481199999999999</v>
      </c>
      <c r="T6225">
        <v>-0.10832849999999999</v>
      </c>
      <c r="U6225">
        <v>0.71347050000000001</v>
      </c>
      <c r="V6225">
        <v>-0.1354042</v>
      </c>
      <c r="W6225">
        <v>-0.1149772</v>
      </c>
      <c r="X6225">
        <v>0.98409650000000004</v>
      </c>
      <c r="Y6225">
        <v>-0.26158089999999901</v>
      </c>
      <c r="Z6225">
        <v>6.0329529999999998E-3</v>
      </c>
      <c r="AA6225">
        <v>0.96516270000000004</v>
      </c>
      <c r="AB6225">
        <v>28</v>
      </c>
      <c r="AC6225">
        <v>30.035299999999999</v>
      </c>
      <c r="AD6225">
        <v>-1.1091177941299999</v>
      </c>
      <c r="AE6225">
        <v>7.30823</v>
      </c>
      <c r="AF6225">
        <v>-8.1184647328409199</v>
      </c>
      <c r="AG6225">
        <v>-1.1091177941299999</v>
      </c>
      <c r="AH6225">
        <v>29.785306117795699</v>
      </c>
      <c r="AI6225">
        <v>92.057549372335401</v>
      </c>
      <c r="AJ6225">
        <v>105.246523159671</v>
      </c>
      <c r="AK6225">
        <v>30.8918123850064</v>
      </c>
      <c r="AL6225">
        <v>96.602310064074999</v>
      </c>
      <c r="AM6225">
        <v>97.834272382298295</v>
      </c>
      <c r="AN6225">
        <v>0.99999998760486497</v>
      </c>
    </row>
    <row r="6226" spans="1:40" x14ac:dyDescent="0.25">
      <c r="A6226" t="str">
        <f>"20190305135050808"</f>
        <v>20190305135050808</v>
      </c>
      <c r="B6226" t="str">
        <f>"1551765050796553"</f>
        <v>1551765050796553</v>
      </c>
      <c r="C6226" t="s">
        <v>40</v>
      </c>
      <c r="D6226">
        <v>4.1527440000000002</v>
      </c>
      <c r="E6226">
        <v>0.45210349999999999</v>
      </c>
      <c r="F6226" t="s">
        <v>42</v>
      </c>
      <c r="G6226">
        <v>-345.92779999999999</v>
      </c>
      <c r="H6226" s="1">
        <v>-3.0131669999999999E-6</v>
      </c>
      <c r="I6226">
        <v>24.441569999999999</v>
      </c>
      <c r="J6226">
        <v>-376.27789999999999</v>
      </c>
      <c r="K6226">
        <v>1.1091200000000001</v>
      </c>
      <c r="L6226">
        <v>17.046299999999999</v>
      </c>
      <c r="M6226">
        <v>0.99963939999999996</v>
      </c>
      <c r="N6226">
        <v>-2.862332E-3</v>
      </c>
      <c r="O6226">
        <v>-2.6698840000000001E-2</v>
      </c>
      <c r="P6226">
        <v>0.98717460000000001</v>
      </c>
      <c r="Q6226">
        <v>-0.1167136</v>
      </c>
      <c r="R6226">
        <v>0.1089228</v>
      </c>
      <c r="S6226">
        <v>2.9477540000000002</v>
      </c>
      <c r="T6226">
        <v>-0.1072152</v>
      </c>
      <c r="U6226">
        <v>0.71456909999999996</v>
      </c>
      <c r="V6226">
        <v>-0.13494690000000001</v>
      </c>
      <c r="W6226">
        <v>-0.1142445</v>
      </c>
      <c r="X6226">
        <v>0.98424460000000003</v>
      </c>
      <c r="Y6226">
        <v>-0.26126070000000001</v>
      </c>
      <c r="Z6226">
        <v>5.9436760000000002E-3</v>
      </c>
      <c r="AA6226">
        <v>0.96525000000000005</v>
      </c>
      <c r="AB6226">
        <v>29</v>
      </c>
      <c r="AC6226">
        <v>30.350100000000001</v>
      </c>
      <c r="AD6226">
        <v>-1.109123013167</v>
      </c>
      <c r="AE6226">
        <v>7.39527</v>
      </c>
      <c r="AF6226">
        <v>-8.1926216046001805</v>
      </c>
      <c r="AG6226">
        <v>-1.109123013167</v>
      </c>
      <c r="AH6226">
        <v>30.103884739981201</v>
      </c>
      <c r="AI6226">
        <v>92.036020247268297</v>
      </c>
      <c r="AJ6226">
        <v>105.224061815556</v>
      </c>
      <c r="AK6226">
        <v>31.218473361978699</v>
      </c>
      <c r="AL6226">
        <v>96.560051211041397</v>
      </c>
      <c r="AM6226">
        <v>97.806980236227403</v>
      </c>
      <c r="AN6226">
        <v>0.99999995211450798</v>
      </c>
    </row>
    <row r="6227" spans="1:40" x14ac:dyDescent="0.25">
      <c r="A6227" t="str">
        <f>"20190305135050826"</f>
        <v>20190305135050826</v>
      </c>
      <c r="B6227" t="str">
        <f>"1551765050816073"</f>
        <v>1551765050816073</v>
      </c>
      <c r="C6227" t="s">
        <v>40</v>
      </c>
      <c r="D6227">
        <v>4.1745239999999999</v>
      </c>
      <c r="E6227">
        <v>0.45235199999999998</v>
      </c>
      <c r="F6227" t="s">
        <v>42</v>
      </c>
      <c r="G6227">
        <v>-345.5831</v>
      </c>
      <c r="H6227" s="1">
        <v>-3.171661E-6</v>
      </c>
      <c r="I6227">
        <v>24.481490000000001</v>
      </c>
      <c r="J6227">
        <v>-376.04360000000003</v>
      </c>
      <c r="K6227">
        <v>1.1091249999999999</v>
      </c>
      <c r="L6227">
        <v>17.041139999999999</v>
      </c>
      <c r="M6227">
        <v>0.99966960000000005</v>
      </c>
      <c r="N6227">
        <v>-2.8524710000000001E-3</v>
      </c>
      <c r="O6227">
        <v>-2.554847E-2</v>
      </c>
      <c r="P6227">
        <v>0.98723240000000001</v>
      </c>
      <c r="Q6227">
        <v>-0.1158732</v>
      </c>
      <c r="R6227">
        <v>0.1092964</v>
      </c>
      <c r="S6227">
        <v>2.9476619999999998</v>
      </c>
      <c r="T6227">
        <v>-0.1065106</v>
      </c>
      <c r="U6227">
        <v>0.71401979999999998</v>
      </c>
      <c r="V6227">
        <v>-0.134191899999999</v>
      </c>
      <c r="W6227">
        <v>-0.113410999999999</v>
      </c>
      <c r="X6227">
        <v>0.98444430000000005</v>
      </c>
      <c r="Y6227">
        <v>-0.25999060000000002</v>
      </c>
      <c r="Z6227">
        <v>5.8436349999999998E-3</v>
      </c>
      <c r="AA6227">
        <v>0.96559349999999999</v>
      </c>
      <c r="AB6227">
        <v>29</v>
      </c>
      <c r="AC6227">
        <v>30.4605</v>
      </c>
      <c r="AD6227">
        <v>-1.109128171661</v>
      </c>
      <c r="AE6227">
        <v>7.4403499999999996</v>
      </c>
      <c r="AF6227">
        <v>-8.2058765435610308</v>
      </c>
      <c r="AG6227">
        <v>-1.109128171661</v>
      </c>
      <c r="AH6227">
        <v>30.222652724748301</v>
      </c>
      <c r="AI6227">
        <v>92.028358902180898</v>
      </c>
      <c r="AJ6227">
        <v>105.19040166597</v>
      </c>
      <c r="AK6227">
        <v>31.336485330522802</v>
      </c>
      <c r="AL6227">
        <v>96.511982111467603</v>
      </c>
      <c r="AM6227">
        <v>97.762280237388396</v>
      </c>
      <c r="AN6227">
        <v>1.0000000503745401</v>
      </c>
    </row>
    <row r="6228" spans="1:40" x14ac:dyDescent="0.25">
      <c r="A6228" t="str">
        <f>"20190305135050837"</f>
        <v>20190305135050837</v>
      </c>
      <c r="B6228" t="str">
        <f>"1551765050826810"</f>
        <v>1551765050826810</v>
      </c>
      <c r="C6228" t="s">
        <v>40</v>
      </c>
      <c r="D6228">
        <v>4.1513309999999999</v>
      </c>
      <c r="E6228">
        <v>0.45247870000000001</v>
      </c>
      <c r="F6228" t="s">
        <v>42</v>
      </c>
      <c r="G6228">
        <v>-345.1497</v>
      </c>
      <c r="H6228" s="1">
        <v>-3.3663989999999998E-6</v>
      </c>
      <c r="I6228">
        <v>24.51464</v>
      </c>
      <c r="J6228">
        <v>-375.90159999999997</v>
      </c>
      <c r="K6228">
        <v>1.109129</v>
      </c>
      <c r="L6228">
        <v>17.038180000000001</v>
      </c>
      <c r="M6228">
        <v>0.99968699999999999</v>
      </c>
      <c r="N6228">
        <v>-2.848681E-3</v>
      </c>
      <c r="O6228">
        <v>-2.48623E-2</v>
      </c>
      <c r="P6228">
        <v>0.98727830000000005</v>
      </c>
      <c r="Q6228">
        <v>-0.1153894</v>
      </c>
      <c r="R6228">
        <v>0.10939359999999999</v>
      </c>
      <c r="S6228">
        <v>2.9474179999999999</v>
      </c>
      <c r="T6228">
        <v>-0.1058158</v>
      </c>
      <c r="U6228">
        <v>0.71301269999999894</v>
      </c>
      <c r="V6228">
        <v>-0.13361719999999999</v>
      </c>
      <c r="W6228">
        <v>-0.1129279</v>
      </c>
      <c r="X6228">
        <v>0.98457799999999995</v>
      </c>
      <c r="Y6228">
        <v>-0.25903759999999998</v>
      </c>
      <c r="Z6228">
        <v>5.7671390000000001E-3</v>
      </c>
      <c r="AA6228">
        <v>0.96584999999999999</v>
      </c>
      <c r="AB6228">
        <v>29</v>
      </c>
      <c r="AC6228">
        <v>30.7518999999999</v>
      </c>
      <c r="AD6228">
        <v>-1.109132366399</v>
      </c>
      <c r="AE6228">
        <v>7.4764599999999897</v>
      </c>
      <c r="AF6228">
        <v>-8.2286081424311899</v>
      </c>
      <c r="AG6228">
        <v>-1.109132366399</v>
      </c>
      <c r="AH6228">
        <v>30.519026720997498</v>
      </c>
      <c r="AI6228">
        <v>92.009642578220806</v>
      </c>
      <c r="AJ6228">
        <v>105.089399435006</v>
      </c>
      <c r="AK6228">
        <v>31.6283284187584</v>
      </c>
      <c r="AL6228">
        <v>96.484123536562805</v>
      </c>
      <c r="AM6228">
        <v>97.728402718560304</v>
      </c>
      <c r="AN6228">
        <v>1.0000000524091199</v>
      </c>
    </row>
    <row r="6229" spans="1:40" x14ac:dyDescent="0.25">
      <c r="A6229" t="str">
        <f>"20190305135050849"</f>
        <v>20190305135050849</v>
      </c>
      <c r="B6229" t="str">
        <f>"1551765050846330"</f>
        <v>1551765050846330</v>
      </c>
      <c r="C6229" t="s">
        <v>40</v>
      </c>
      <c r="D6229">
        <v>4.1071239999999998</v>
      </c>
      <c r="E6229">
        <v>0.45278930000000001</v>
      </c>
      <c r="F6229" t="s">
        <v>42</v>
      </c>
      <c r="G6229">
        <v>-344.70549999999997</v>
      </c>
      <c r="H6229" s="1">
        <v>-3.5547879999999999E-6</v>
      </c>
      <c r="I6229">
        <v>24.577680000000001</v>
      </c>
      <c r="J6229">
        <v>-375.74430000000001</v>
      </c>
      <c r="K6229">
        <v>1.1091249999999999</v>
      </c>
      <c r="L6229">
        <v>17.034939999999999</v>
      </c>
      <c r="M6229">
        <v>0.99970539999999997</v>
      </c>
      <c r="N6229">
        <v>-2.8454069999999999E-3</v>
      </c>
      <c r="O6229">
        <v>-2.4108069999999999E-2</v>
      </c>
      <c r="P6229">
        <v>0.987317</v>
      </c>
      <c r="Q6229">
        <v>-0.1149169</v>
      </c>
      <c r="R6229">
        <v>0.1095414</v>
      </c>
      <c r="S6229">
        <v>2.94754</v>
      </c>
      <c r="T6229">
        <v>-0.1047956</v>
      </c>
      <c r="U6229">
        <v>0.7123718</v>
      </c>
      <c r="V6229">
        <v>-0.133025799999999</v>
      </c>
      <c r="W6229">
        <v>-0.112455</v>
      </c>
      <c r="X6229">
        <v>0.98471209999999998</v>
      </c>
      <c r="Y6229">
        <v>-0.25810569999999999</v>
      </c>
      <c r="Z6229">
        <v>5.6720399999999997E-3</v>
      </c>
      <c r="AA6229">
        <v>0.96609999999999996</v>
      </c>
      <c r="AB6229">
        <v>29</v>
      </c>
      <c r="AC6229">
        <v>31.038799999999998</v>
      </c>
      <c r="AD6229">
        <v>-1.1091285547880001</v>
      </c>
      <c r="AE6229">
        <v>7.5427399999999896</v>
      </c>
      <c r="AF6229">
        <v>-8.2788545345785103</v>
      </c>
      <c r="AG6229">
        <v>-1.1091285547880001</v>
      </c>
      <c r="AH6229">
        <v>30.810788855492</v>
      </c>
      <c r="AI6229">
        <v>91.991081361215706</v>
      </c>
      <c r="AJ6229">
        <v>105.040121214622</v>
      </c>
      <c r="AK6229">
        <v>31.922943292457699</v>
      </c>
      <c r="AL6229">
        <v>96.456855292107093</v>
      </c>
      <c r="AM6229">
        <v>97.6935715982939</v>
      </c>
      <c r="AN6229">
        <v>0.99999995518852303</v>
      </c>
    </row>
    <row r="6230" spans="1:40" x14ac:dyDescent="0.25">
      <c r="A6230" t="str">
        <f>"20190305135050861"</f>
        <v>20190305135050861</v>
      </c>
      <c r="B6230" t="str">
        <f>"1551765050856090"</f>
        <v>1551765050856090</v>
      </c>
      <c r="C6230" t="s">
        <v>40</v>
      </c>
      <c r="D6230">
        <v>4.1287979999999997</v>
      </c>
      <c r="E6230">
        <v>0.45294269999999998</v>
      </c>
      <c r="F6230" t="s">
        <v>42</v>
      </c>
      <c r="G6230">
        <v>-344.2801</v>
      </c>
      <c r="H6230" s="1">
        <v>-3.7065489999999999E-6</v>
      </c>
      <c r="I6230">
        <v>24.61702</v>
      </c>
      <c r="J6230">
        <v>-375.59109999999998</v>
      </c>
      <c r="K6230">
        <v>1.109119</v>
      </c>
      <c r="L6230">
        <v>17.03192</v>
      </c>
      <c r="M6230">
        <v>0.99972229999999995</v>
      </c>
      <c r="N6230">
        <v>-2.8461319999999999E-3</v>
      </c>
      <c r="O6230">
        <v>-2.3395079999999999E-2</v>
      </c>
      <c r="P6230">
        <v>0.98735419999999996</v>
      </c>
      <c r="Q6230">
        <v>-0.1146118</v>
      </c>
      <c r="R6230">
        <v>0.10952729999999999</v>
      </c>
      <c r="S6230">
        <v>2.9476930000000001</v>
      </c>
      <c r="T6230">
        <v>-0.1039076</v>
      </c>
      <c r="U6230">
        <v>0.71032709999999999</v>
      </c>
      <c r="V6230">
        <v>-0.1323134</v>
      </c>
      <c r="W6230">
        <v>-0.1121441</v>
      </c>
      <c r="X6230">
        <v>0.98484360000000004</v>
      </c>
      <c r="Y6230">
        <v>-0.256776</v>
      </c>
      <c r="Z6230">
        <v>5.5789639999999996E-3</v>
      </c>
      <c r="AA6230">
        <v>0.96645490000000001</v>
      </c>
      <c r="AB6230">
        <v>29</v>
      </c>
      <c r="AC6230">
        <v>31.3109999999999</v>
      </c>
      <c r="AD6230">
        <v>-1.1091227065489999</v>
      </c>
      <c r="AE6230">
        <v>7.5850999999999997</v>
      </c>
      <c r="AF6230">
        <v>-8.3057061236900793</v>
      </c>
      <c r="AG6230">
        <v>-1.1091227065489999</v>
      </c>
      <c r="AH6230">
        <v>31.088129077509901</v>
      </c>
      <c r="AI6230">
        <v>91.974078407053497</v>
      </c>
      <c r="AJ6230">
        <v>104.958150005977</v>
      </c>
      <c r="AK6230">
        <v>32.197619118984598</v>
      </c>
      <c r="AL6230">
        <v>96.438928180414607</v>
      </c>
      <c r="AM6230">
        <v>97.651849661407695</v>
      </c>
      <c r="AN6230">
        <v>1.00000002572266</v>
      </c>
    </row>
    <row r="6231" spans="1:40" x14ac:dyDescent="0.25">
      <c r="A6231" t="str">
        <f>"20190305135050873"</f>
        <v>20190305135050873</v>
      </c>
      <c r="B6231" t="str">
        <f>"1551765050865850"</f>
        <v>1551765050865850</v>
      </c>
      <c r="C6231" t="s">
        <v>40</v>
      </c>
      <c r="D6231">
        <v>4.1382309999999896</v>
      </c>
      <c r="E6231">
        <v>0.45307589999999998</v>
      </c>
      <c r="F6231" t="s">
        <v>42</v>
      </c>
      <c r="G6231">
        <v>-343.9785</v>
      </c>
      <c r="H6231" s="1">
        <v>-3.8124090000000002E-6</v>
      </c>
      <c r="I6231">
        <v>24.635210000000001</v>
      </c>
      <c r="J6231">
        <v>-375.43020000000001</v>
      </c>
      <c r="K6231">
        <v>1.1091059999999999</v>
      </c>
      <c r="L6231">
        <v>17.02881</v>
      </c>
      <c r="M6231">
        <v>0.99973939999999994</v>
      </c>
      <c r="N6231">
        <v>-2.8488440000000001E-3</v>
      </c>
      <c r="O6231">
        <v>-2.265551E-2</v>
      </c>
      <c r="P6231">
        <v>0.9874098</v>
      </c>
      <c r="Q6231">
        <v>-0.1142098</v>
      </c>
      <c r="R6231">
        <v>0.1094456</v>
      </c>
      <c r="S6231">
        <v>2.9477540000000002</v>
      </c>
      <c r="T6231">
        <v>-0.1034212</v>
      </c>
      <c r="U6231">
        <v>0.70898439999999996</v>
      </c>
      <c r="V6231">
        <v>-0.13150899999999999</v>
      </c>
      <c r="W6231">
        <v>-0.111733399999999</v>
      </c>
      <c r="X6231">
        <v>0.98499800000000004</v>
      </c>
      <c r="Y6231">
        <v>-0.2556428</v>
      </c>
      <c r="Z6231">
        <v>5.5099669999999898E-3</v>
      </c>
      <c r="AA6231">
        <v>0.96675560000000005</v>
      </c>
      <c r="AB6231">
        <v>29</v>
      </c>
      <c r="AC6231">
        <v>31.451699999999999</v>
      </c>
      <c r="AD6231">
        <v>-1.109109812409</v>
      </c>
      <c r="AE6231">
        <v>7.6063999999999998</v>
      </c>
      <c r="AF6231">
        <v>-8.3072451677001897</v>
      </c>
      <c r="AG6231">
        <v>-1.109109812409</v>
      </c>
      <c r="AH6231">
        <v>31.2346043867866</v>
      </c>
      <c r="AI6231">
        <v>91.965393567588194</v>
      </c>
      <c r="AJ6231">
        <v>104.893763400384</v>
      </c>
      <c r="AK6231">
        <v>32.339464405758598</v>
      </c>
      <c r="AL6231">
        <v>96.415248046537997</v>
      </c>
      <c r="AM6231">
        <v>97.604698141914994</v>
      </c>
      <c r="AN6231">
        <v>1.0000000148802799</v>
      </c>
    </row>
    <row r="6232" spans="1:40" x14ac:dyDescent="0.25">
      <c r="A6232" t="str">
        <f>"20190305135050885"</f>
        <v>20190305135050885</v>
      </c>
      <c r="B6232" t="str">
        <f>"1551765050876586"</f>
        <v>1551765050876586</v>
      </c>
      <c r="C6232" t="s">
        <v>40</v>
      </c>
      <c r="D6232">
        <v>4.1441919999999897</v>
      </c>
      <c r="E6232">
        <v>0.45307589999999998</v>
      </c>
      <c r="F6232" t="s">
        <v>42</v>
      </c>
      <c r="G6232">
        <v>-343.58069999999998</v>
      </c>
      <c r="H6232" s="1">
        <v>-3.9549050000000004E-6</v>
      </c>
      <c r="I6232">
        <v>24.675409999999999</v>
      </c>
      <c r="J6232">
        <v>-375.26990000000001</v>
      </c>
      <c r="K6232">
        <v>1.1090949999999999</v>
      </c>
      <c r="L6232">
        <v>17.025879999999901</v>
      </c>
      <c r="M6232">
        <v>0.99975530000000001</v>
      </c>
      <c r="N6232">
        <v>-2.8556369999999998E-3</v>
      </c>
      <c r="O6232">
        <v>-2.1937640000000001E-2</v>
      </c>
      <c r="P6232">
        <v>0.98750559999999998</v>
      </c>
      <c r="Q6232">
        <v>-0.113632399999999</v>
      </c>
      <c r="R6232">
        <v>0.1091799</v>
      </c>
      <c r="S6232">
        <v>2.947937</v>
      </c>
      <c r="T6232">
        <v>-0.1026572</v>
      </c>
      <c r="U6232">
        <v>0.7077637</v>
      </c>
      <c r="V6232">
        <v>-0.13054350000000001</v>
      </c>
      <c r="W6232">
        <v>-0.1111419</v>
      </c>
      <c r="X6232">
        <v>0.98519330000000005</v>
      </c>
      <c r="Y6232">
        <v>-0.25455990000000001</v>
      </c>
      <c r="Z6232">
        <v>5.4293789999999998E-3</v>
      </c>
      <c r="AA6232">
        <v>0.96704179999999995</v>
      </c>
      <c r="AB6232">
        <v>29</v>
      </c>
      <c r="AC6232">
        <v>31.6892</v>
      </c>
      <c r="AD6232">
        <v>-1.1090989549050001</v>
      </c>
      <c r="AE6232">
        <v>7.6495300000000004</v>
      </c>
      <c r="AF6232">
        <v>-8.33323240059838</v>
      </c>
      <c r="AG6232">
        <v>-1.1090989549050001</v>
      </c>
      <c r="AH6232">
        <v>31.477325292668802</v>
      </c>
      <c r="AI6232">
        <v>91.950823119012597</v>
      </c>
      <c r="AJ6232">
        <v>104.828179689338</v>
      </c>
      <c r="AK6232">
        <v>32.580590392358403</v>
      </c>
      <c r="AL6232">
        <v>96.381145386038895</v>
      </c>
      <c r="AM6232">
        <v>97.548033702340604</v>
      </c>
      <c r="AN6232">
        <v>0.99999998284637404</v>
      </c>
    </row>
    <row r="6233" spans="1:40" x14ac:dyDescent="0.25">
      <c r="A6233" t="str">
        <f>"20190305135050897"</f>
        <v>20190305135050897</v>
      </c>
      <c r="B6233" t="str">
        <f>"1551765050886346"</f>
        <v>1551765050886346</v>
      </c>
      <c r="C6233" t="s">
        <v>40</v>
      </c>
      <c r="D6233">
        <v>4.3098879999999999</v>
      </c>
      <c r="E6233">
        <v>0.4534012</v>
      </c>
      <c r="F6233" t="s">
        <v>42</v>
      </c>
      <c r="G6233">
        <v>-342.85090000000002</v>
      </c>
      <c r="H6233" s="1">
        <v>-4.2250640000000003E-6</v>
      </c>
      <c r="I6233">
        <v>24.798400000000001</v>
      </c>
      <c r="J6233">
        <v>-375.11989999999997</v>
      </c>
      <c r="K6233">
        <v>1.109083</v>
      </c>
      <c r="L6233">
        <v>17.02319</v>
      </c>
      <c r="M6233">
        <v>0.99976949999999998</v>
      </c>
      <c r="N6233">
        <v>-2.86572E-3</v>
      </c>
      <c r="O6233">
        <v>-2.128509E-2</v>
      </c>
      <c r="P6233">
        <v>0.98759870000000005</v>
      </c>
      <c r="Q6233">
        <v>-0.11301509999999999</v>
      </c>
      <c r="R6233">
        <v>0.1089801</v>
      </c>
      <c r="S6233">
        <v>2.9482119999999998</v>
      </c>
      <c r="T6233">
        <v>-0.10086249999999999</v>
      </c>
      <c r="U6233">
        <v>0.70684809999999998</v>
      </c>
      <c r="V6233">
        <v>-0.1297085</v>
      </c>
      <c r="W6233">
        <v>-0.1105072</v>
      </c>
      <c r="X6233">
        <v>0.985375</v>
      </c>
      <c r="Y6233">
        <v>-0.25363059999999998</v>
      </c>
      <c r="Z6233">
        <v>5.3034559999999998E-3</v>
      </c>
      <c r="AA6233">
        <v>0.9672866</v>
      </c>
      <c r="AB6233">
        <v>29</v>
      </c>
      <c r="AC6233">
        <v>32.268999999999899</v>
      </c>
      <c r="AD6233">
        <v>-1.109087225064</v>
      </c>
      <c r="AE6233">
        <v>7.7752100000000004</v>
      </c>
      <c r="AF6233">
        <v>-8.4508645358402994</v>
      </c>
      <c r="AG6233">
        <v>-1.109087225064</v>
      </c>
      <c r="AH6233">
        <v>32.060397769453203</v>
      </c>
      <c r="AI6233">
        <v>91.915892045203904</v>
      </c>
      <c r="AJ6233">
        <v>104.766822122009</v>
      </c>
      <c r="AK6233">
        <v>33.174030370328602</v>
      </c>
      <c r="AL6233">
        <v>96.344554157451995</v>
      </c>
      <c r="AM6233">
        <v>97.498938058586702</v>
      </c>
      <c r="AN6233">
        <v>1.0000000134245399</v>
      </c>
    </row>
    <row r="6234" spans="1:40" x14ac:dyDescent="0.25">
      <c r="A6234" t="str">
        <f>"20190305135050909"</f>
        <v>20190305135050909</v>
      </c>
      <c r="B6234" t="str">
        <f>"1551765050906659"</f>
        <v>1551765050906659</v>
      </c>
      <c r="C6234" t="s">
        <v>40</v>
      </c>
      <c r="D6234">
        <v>4.2063119999999996</v>
      </c>
      <c r="E6234">
        <v>0.527584099999999</v>
      </c>
      <c r="F6234" t="s">
        <v>42</v>
      </c>
      <c r="G6234">
        <v>-341.17020000000002</v>
      </c>
      <c r="H6234" s="1">
        <v>-4.8550600000000001E-6</v>
      </c>
      <c r="I6234">
        <v>25.125499999999999</v>
      </c>
      <c r="J6234">
        <v>-374.9554</v>
      </c>
      <c r="K6234">
        <v>1.109065</v>
      </c>
      <c r="L6234">
        <v>17.020320000000002</v>
      </c>
      <c r="M6234">
        <v>0.99978409999999995</v>
      </c>
      <c r="N6234">
        <v>-2.8789559999999998E-3</v>
      </c>
      <c r="O6234">
        <v>-2.057927E-2</v>
      </c>
      <c r="P6234">
        <v>0.98769169999999995</v>
      </c>
      <c r="Q6234">
        <v>-0.1124778</v>
      </c>
      <c r="R6234">
        <v>0.10869239999999999</v>
      </c>
      <c r="S6234">
        <v>2.9489749999999999</v>
      </c>
      <c r="T6234">
        <v>-9.6338510000000002E-2</v>
      </c>
      <c r="U6234">
        <v>0.70379639999999999</v>
      </c>
      <c r="V6234">
        <v>-0.1287335</v>
      </c>
      <c r="W6234">
        <v>-0.1099485</v>
      </c>
      <c r="X6234">
        <v>0.98556529999999998</v>
      </c>
      <c r="Y6234">
        <v>-0.25195879999999998</v>
      </c>
      <c r="Z6234">
        <v>5.0301390000000003E-3</v>
      </c>
      <c r="AA6234">
        <v>0.9677249</v>
      </c>
      <c r="AB6234">
        <v>29</v>
      </c>
      <c r="AC6234">
        <v>33.785199999999897</v>
      </c>
      <c r="AD6234">
        <v>-1.10906985506</v>
      </c>
      <c r="AE6234">
        <v>8.1051799999999901</v>
      </c>
      <c r="AF6234">
        <v>-8.7897845781059001</v>
      </c>
      <c r="AG6234">
        <v>-1.10906985506</v>
      </c>
      <c r="AH6234">
        <v>33.577031614961399</v>
      </c>
      <c r="AI6234">
        <v>91.830199412557405</v>
      </c>
      <c r="AJ6234">
        <v>104.669686280497</v>
      </c>
      <c r="AK6234">
        <v>34.726177459447399</v>
      </c>
      <c r="AL6234">
        <v>96.312346996834407</v>
      </c>
      <c r="AM6234">
        <v>97.441782954196896</v>
      </c>
      <c r="AN6234">
        <v>0.99999997361929405</v>
      </c>
    </row>
    <row r="6235" spans="1:40" x14ac:dyDescent="0.25">
      <c r="A6235" t="str">
        <f>"20190305135050928"</f>
        <v>20190305135050928</v>
      </c>
      <c r="B6235" t="str">
        <f>"1551765050916419"</f>
        <v>1551765050916419</v>
      </c>
      <c r="C6235" t="s">
        <v>40</v>
      </c>
      <c r="D6235">
        <v>4.2719620000000003</v>
      </c>
      <c r="E6235">
        <v>0.53998109999999999</v>
      </c>
      <c r="F6235" t="s">
        <v>43</v>
      </c>
      <c r="G6235">
        <v>-281.68599999999998</v>
      </c>
      <c r="H6235">
        <v>-0.05</v>
      </c>
      <c r="I6235">
        <v>20.62032</v>
      </c>
      <c r="J6235">
        <v>-374.71080000000001</v>
      </c>
      <c r="K6235">
        <v>1.1090420000000001</v>
      </c>
      <c r="L6235">
        <v>17.01624</v>
      </c>
      <c r="M6235">
        <v>0.99980409999999997</v>
      </c>
      <c r="N6235">
        <v>-2.9110960000000002E-3</v>
      </c>
      <c r="O6235">
        <v>-1.958151E-2</v>
      </c>
      <c r="P6235">
        <v>0.98789389999999999</v>
      </c>
      <c r="Q6235">
        <v>-0.111384999999999</v>
      </c>
      <c r="R6235">
        <v>0.1079778</v>
      </c>
      <c r="S6235">
        <v>3.0202939999999998</v>
      </c>
      <c r="T6235">
        <v>-3.7533400000000001E-2</v>
      </c>
      <c r="U6235">
        <v>0.1165771</v>
      </c>
      <c r="V6235">
        <v>-0.12705039999999901</v>
      </c>
      <c r="W6235">
        <v>-0.1088095</v>
      </c>
      <c r="X6235">
        <v>0.98591010000000001</v>
      </c>
      <c r="Y6235">
        <v>-5.8122449999999999E-2</v>
      </c>
      <c r="Z6235">
        <v>6.3190719999999998E-4</v>
      </c>
      <c r="AA6235">
        <v>0.99830929999999996</v>
      </c>
      <c r="AB6235">
        <v>29</v>
      </c>
      <c r="AC6235">
        <v>93.024799999999999</v>
      </c>
      <c r="AD6235">
        <v>-1.1590419999999999</v>
      </c>
      <c r="AE6235">
        <v>3.6040800000000002</v>
      </c>
      <c r="AF6235">
        <v>-5.4241218233278197</v>
      </c>
      <c r="AG6235">
        <v>-1.1590419999999999</v>
      </c>
      <c r="AH6235">
        <v>92.921986515484903</v>
      </c>
      <c r="AI6235">
        <v>90.713414985803794</v>
      </c>
      <c r="AJ6235">
        <v>93.3407273935468</v>
      </c>
      <c r="AK6235">
        <v>93.0873785961127</v>
      </c>
      <c r="AL6235">
        <v>96.246692902815198</v>
      </c>
      <c r="AM6235">
        <v>97.3430155131352</v>
      </c>
      <c r="AN6235">
        <v>1.0000000183561999</v>
      </c>
    </row>
    <row r="6236" spans="1:40" x14ac:dyDescent="0.25">
      <c r="A6236" t="str">
        <f>"20190305135050942"</f>
        <v>20190305135050942</v>
      </c>
      <c r="B6236" t="str">
        <f>"1551765050935938"</f>
        <v>1551765050935938</v>
      </c>
      <c r="C6236" t="s">
        <v>40</v>
      </c>
      <c r="D6236">
        <v>4.1011709999999999</v>
      </c>
      <c r="E6236">
        <v>0.60804080000000005</v>
      </c>
      <c r="F6236" t="s">
        <v>43</v>
      </c>
      <c r="G6236">
        <v>-311.38679999999999</v>
      </c>
      <c r="H6236">
        <v>-0.05</v>
      </c>
      <c r="I6236">
        <v>17.33972</v>
      </c>
      <c r="J6236">
        <v>-374.51780000000002</v>
      </c>
      <c r="K6236">
        <v>1.109029</v>
      </c>
      <c r="L6236">
        <v>17.013179999999998</v>
      </c>
      <c r="M6236">
        <v>0.99981830000000005</v>
      </c>
      <c r="N6236">
        <v>-2.9489400000000002E-3</v>
      </c>
      <c r="O6236">
        <v>-1.8834340000000001E-2</v>
      </c>
      <c r="P6236">
        <v>0.98799720000000002</v>
      </c>
      <c r="Q6236">
        <v>-0.11081539999999999</v>
      </c>
      <c r="R6236">
        <v>0.1076164</v>
      </c>
      <c r="S6236">
        <v>3.0288089999999999</v>
      </c>
      <c r="T6236">
        <v>-5.543733E-2</v>
      </c>
      <c r="U6236">
        <v>1.5472410000000001E-2</v>
      </c>
      <c r="V6236">
        <v>-0.12596299999999999</v>
      </c>
      <c r="W6236">
        <v>-0.1081912</v>
      </c>
      <c r="X6236">
        <v>0.98611760000000004</v>
      </c>
      <c r="Y6236">
        <v>-2.3934750000000001E-2</v>
      </c>
      <c r="Z6236">
        <v>5.4346820000000004E-4</v>
      </c>
      <c r="AA6236">
        <v>0.99971339999999997</v>
      </c>
      <c r="AB6236">
        <v>30</v>
      </c>
      <c r="AC6236">
        <v>63.131</v>
      </c>
      <c r="AD6236">
        <v>-1.1590290000000001</v>
      </c>
      <c r="AE6236">
        <v>0.326540000000001</v>
      </c>
      <c r="AF6236">
        <v>-1.5150072991421599</v>
      </c>
      <c r="AG6236">
        <v>-1.1590290000000001</v>
      </c>
      <c r="AH6236">
        <v>63.092386256326201</v>
      </c>
      <c r="AI6236">
        <v>91.052121733415802</v>
      </c>
      <c r="AJ6236">
        <v>91.3755518124985</v>
      </c>
      <c r="AK6236">
        <v>63.121215125001797</v>
      </c>
      <c r="AL6236">
        <v>96.211056859708194</v>
      </c>
      <c r="AM6236">
        <v>97.2793296950436</v>
      </c>
      <c r="AN6236">
        <v>0.99999996707809902</v>
      </c>
    </row>
    <row r="6237" spans="1:40" x14ac:dyDescent="0.25">
      <c r="A6237" t="str">
        <f>"20190305135050962"</f>
        <v>20190305135050962</v>
      </c>
      <c r="B6237" t="str">
        <f>"1551765050956435"</f>
        <v>1551765050956435</v>
      </c>
      <c r="C6237" t="s">
        <v>40</v>
      </c>
      <c r="D6237">
        <v>3.9830260000000002</v>
      </c>
      <c r="E6237">
        <v>0.60661690000000001</v>
      </c>
      <c r="F6237" t="s">
        <v>102</v>
      </c>
      <c r="G6237">
        <v>-279.02</v>
      </c>
      <c r="H6237">
        <v>6.622312</v>
      </c>
      <c r="I6237">
        <v>1.1215459999999999</v>
      </c>
      <c r="J6237">
        <v>-374.26609999999999</v>
      </c>
      <c r="K6237">
        <v>1.1090070000000001</v>
      </c>
      <c r="L6237">
        <v>17.009339999999899</v>
      </c>
      <c r="M6237">
        <v>0.99983529999999998</v>
      </c>
      <c r="N6237">
        <v>-3.0163059999999998E-3</v>
      </c>
      <c r="O6237">
        <v>-1.7903140000000001E-2</v>
      </c>
      <c r="P6237">
        <v>0.98834169999999999</v>
      </c>
      <c r="Q6237">
        <v>-0.11000360000000001</v>
      </c>
      <c r="R6237">
        <v>0.1052608</v>
      </c>
      <c r="S6237">
        <v>3.1130369999999998</v>
      </c>
      <c r="T6237">
        <v>0.1797221</v>
      </c>
      <c r="U6237">
        <v>-0.51803589999999999</v>
      </c>
      <c r="V6237">
        <v>-0.12270730000000001</v>
      </c>
      <c r="W6237">
        <v>-0.107292899999999</v>
      </c>
      <c r="X6237">
        <v>0.98662609999999995</v>
      </c>
      <c r="Y6237">
        <v>0.1462725</v>
      </c>
      <c r="Z6237">
        <v>2.8888989999999999E-3</v>
      </c>
      <c r="AA6237">
        <v>0.98924009999999996</v>
      </c>
      <c r="AB6237">
        <v>30</v>
      </c>
      <c r="AC6237">
        <v>95.246099999999998</v>
      </c>
      <c r="AD6237">
        <v>5.5133049999999999</v>
      </c>
      <c r="AE6237">
        <v>-15.8877939999999</v>
      </c>
      <c r="AF6237">
        <v>14.133959809650401</v>
      </c>
      <c r="AG6237">
        <v>5.5133049999999999</v>
      </c>
      <c r="AH6237">
        <v>95.204914084333396</v>
      </c>
      <c r="AI6237">
        <v>86.721561556945304</v>
      </c>
      <c r="AJ6237">
        <v>81.5556429481653</v>
      </c>
      <c r="AK6237">
        <v>96.406125416018696</v>
      </c>
      <c r="AL6237">
        <v>96.159286774823897</v>
      </c>
      <c r="AM6237">
        <v>97.089507580390503</v>
      </c>
      <c r="AN6237">
        <v>0.99999995453245305</v>
      </c>
    </row>
    <row r="6238" spans="1:40" x14ac:dyDescent="0.25">
      <c r="A6238" t="str">
        <f>"20190305135050974"</f>
        <v>20190305135050974</v>
      </c>
      <c r="B6238" t="str">
        <f>"1551765050966194"</f>
        <v>1551765050966194</v>
      </c>
      <c r="C6238" t="s">
        <v>40</v>
      </c>
      <c r="D6238">
        <v>4.202242</v>
      </c>
      <c r="E6238">
        <v>0.60424820000000001</v>
      </c>
      <c r="F6238" t="s">
        <v>102</v>
      </c>
      <c r="G6238">
        <v>-279.02</v>
      </c>
      <c r="H6238">
        <v>6.6115399999999998</v>
      </c>
      <c r="I6238">
        <v>1.271917</v>
      </c>
      <c r="J6238">
        <v>-374.10239999999999</v>
      </c>
      <c r="K6238">
        <v>1.108995</v>
      </c>
      <c r="L6238">
        <v>17.006930000000001</v>
      </c>
      <c r="M6238">
        <v>0.99984519999999999</v>
      </c>
      <c r="N6238">
        <v>-3.0741710000000001E-3</v>
      </c>
      <c r="O6238">
        <v>-1.7323709999999999E-2</v>
      </c>
      <c r="P6238">
        <v>0.98852249999999997</v>
      </c>
      <c r="Q6238">
        <v>-0.109665</v>
      </c>
      <c r="R6238">
        <v>0.1039088</v>
      </c>
      <c r="S6238">
        <v>3.1101380000000001</v>
      </c>
      <c r="T6238">
        <v>0.17967820000000001</v>
      </c>
      <c r="U6238">
        <v>-0.5138855</v>
      </c>
      <c r="V6238">
        <v>-0.12079479999999999</v>
      </c>
      <c r="W6238">
        <v>-0.1068849</v>
      </c>
      <c r="X6238">
        <v>0.98690639999999996</v>
      </c>
      <c r="Y6238">
        <v>0.14570999999999901</v>
      </c>
      <c r="Z6238">
        <v>2.9058059999999999E-3</v>
      </c>
      <c r="AA6238">
        <v>0.98932310000000001</v>
      </c>
      <c r="AB6238">
        <v>30</v>
      </c>
      <c r="AC6238">
        <v>95.082400000000007</v>
      </c>
      <c r="AD6238">
        <v>5.5025449999999996</v>
      </c>
      <c r="AE6238">
        <v>-15.735013</v>
      </c>
      <c r="AF6238">
        <v>14.0396971207752</v>
      </c>
      <c r="AG6238">
        <v>5.5025449999999996</v>
      </c>
      <c r="AH6238">
        <v>95.030937836555495</v>
      </c>
      <c r="AI6238">
        <v>86.7216274060752</v>
      </c>
      <c r="AJ6238">
        <v>81.596017717302999</v>
      </c>
      <c r="AK6238">
        <v>96.219905647508298</v>
      </c>
      <c r="AL6238">
        <v>96.1357745848197</v>
      </c>
      <c r="AM6238">
        <v>96.978147044657305</v>
      </c>
      <c r="AN6238">
        <v>1.0000000039579999</v>
      </c>
    </row>
    <row r="6239" spans="1:40" x14ac:dyDescent="0.25">
      <c r="A6239" t="str">
        <f>"20190305135050998"</f>
        <v>20190305135050998</v>
      </c>
      <c r="B6239" t="str">
        <f>"1551765050986691"</f>
        <v>1551765050986691</v>
      </c>
      <c r="C6239" t="s">
        <v>40</v>
      </c>
      <c r="D6239">
        <v>3.994815</v>
      </c>
      <c r="E6239">
        <v>0.60301369999999999</v>
      </c>
      <c r="F6239" t="s">
        <v>102</v>
      </c>
      <c r="G6239">
        <v>-279.02</v>
      </c>
      <c r="H6239">
        <v>6.3804360000000004</v>
      </c>
      <c r="I6239">
        <v>1.7131559999999999</v>
      </c>
      <c r="J6239">
        <v>-373.78230000000002</v>
      </c>
      <c r="K6239">
        <v>1.1089880000000001</v>
      </c>
      <c r="L6239">
        <v>17.00244</v>
      </c>
      <c r="M6239">
        <v>0.99986249999999999</v>
      </c>
      <c r="N6239">
        <v>-3.253494E-3</v>
      </c>
      <c r="O6239">
        <v>-1.6261959999999999E-2</v>
      </c>
      <c r="P6239">
        <v>0.98887539999999996</v>
      </c>
      <c r="Q6239">
        <v>-0.10937089999999899</v>
      </c>
      <c r="R6239">
        <v>0.10081569999999999</v>
      </c>
      <c r="S6239">
        <v>3.1064449999999999</v>
      </c>
      <c r="T6239">
        <v>0.17222379999999901</v>
      </c>
      <c r="U6239">
        <v>-0.49966430000000001</v>
      </c>
      <c r="V6239">
        <v>-0.1166729</v>
      </c>
      <c r="W6239">
        <v>-0.1063897</v>
      </c>
      <c r="X6239">
        <v>0.98745570000000005</v>
      </c>
      <c r="Y6239">
        <v>0.1425565</v>
      </c>
      <c r="Z6239">
        <v>2.742614E-3</v>
      </c>
      <c r="AA6239">
        <v>0.98978290000000002</v>
      </c>
      <c r="AB6239">
        <v>30</v>
      </c>
      <c r="AC6239">
        <v>94.762299999999996</v>
      </c>
      <c r="AD6239">
        <v>5.2714480000000004</v>
      </c>
      <c r="AE6239">
        <v>-15.289284</v>
      </c>
      <c r="AF6239">
        <v>13.704899715806199</v>
      </c>
      <c r="AG6239">
        <v>5.2714480000000004</v>
      </c>
      <c r="AH6239">
        <v>94.712752680476001</v>
      </c>
      <c r="AI6239">
        <v>86.847132269701206</v>
      </c>
      <c r="AJ6239">
        <v>81.766469362965594</v>
      </c>
      <c r="AK6239">
        <v>95.844238014343006</v>
      </c>
      <c r="AL6239">
        <v>96.107238742561506</v>
      </c>
      <c r="AM6239">
        <v>96.738544796945504</v>
      </c>
      <c r="AN6239">
        <v>1.00000004666149</v>
      </c>
    </row>
    <row r="6240" spans="1:40" x14ac:dyDescent="0.25">
      <c r="A6240" t="str">
        <f>"20190305135051010"</f>
        <v>20190305135051010</v>
      </c>
      <c r="B6240" t="str">
        <f>"1551765051006211"</f>
        <v>1551765051006211</v>
      </c>
      <c r="C6240" t="s">
        <v>40</v>
      </c>
      <c r="D6240">
        <v>4.0340170000000004</v>
      </c>
      <c r="E6240">
        <v>0.6014581</v>
      </c>
      <c r="F6240" t="s">
        <v>102</v>
      </c>
      <c r="G6240">
        <v>-279.02</v>
      </c>
      <c r="H6240">
        <v>6.0932950000000003</v>
      </c>
      <c r="I6240">
        <v>1.727114</v>
      </c>
      <c r="J6240">
        <v>-373.61790000000002</v>
      </c>
      <c r="K6240">
        <v>1.1089960000000001</v>
      </c>
      <c r="L6240">
        <v>17.000239999999899</v>
      </c>
      <c r="M6240">
        <v>0.99987040000000005</v>
      </c>
      <c r="N6240">
        <v>-3.3829870000000001E-3</v>
      </c>
      <c r="O6240">
        <v>-1.5741620000000001E-2</v>
      </c>
      <c r="P6240">
        <v>0.98905560000000003</v>
      </c>
      <c r="Q6240">
        <v>-0.1089615</v>
      </c>
      <c r="R6240">
        <v>9.9482639999999997E-2</v>
      </c>
      <c r="S6240">
        <v>3.1027529999999999</v>
      </c>
      <c r="T6240">
        <v>0.1631987</v>
      </c>
      <c r="U6240">
        <v>-0.50015259999999995</v>
      </c>
      <c r="V6240">
        <v>-0.11483649999999999</v>
      </c>
      <c r="W6240">
        <v>-0.105841</v>
      </c>
      <c r="X6240">
        <v>0.98772979999999999</v>
      </c>
      <c r="Y6240">
        <v>0.14342479999999999</v>
      </c>
      <c r="Z6240">
        <v>2.6261729999999999E-3</v>
      </c>
      <c r="AA6240">
        <v>0.98965769999999997</v>
      </c>
      <c r="AB6240">
        <v>30</v>
      </c>
      <c r="AC6240">
        <v>94.597899999999996</v>
      </c>
      <c r="AD6240">
        <v>4.984299</v>
      </c>
      <c r="AE6240">
        <v>-15.2731259999999</v>
      </c>
      <c r="AF6240">
        <v>13.7449121272239</v>
      </c>
      <c r="AG6240">
        <v>4.984299</v>
      </c>
      <c r="AH6240">
        <v>94.570729642301302</v>
      </c>
      <c r="AI6240">
        <v>87.014359887480595</v>
      </c>
      <c r="AJ6240">
        <v>81.730532919411701</v>
      </c>
      <c r="AK6240">
        <v>95.694246174907207</v>
      </c>
      <c r="AL6240">
        <v>96.075622635189205</v>
      </c>
      <c r="AM6240">
        <v>96.631610187963503</v>
      </c>
      <c r="AN6240">
        <v>0.99999994841064299</v>
      </c>
    </row>
    <row r="6241" spans="1:40" x14ac:dyDescent="0.25">
      <c r="A6241" t="str">
        <f>"20190305135051027"</f>
        <v>20190305135051027</v>
      </c>
      <c r="B6241" t="str">
        <f>"1551765051015971"</f>
        <v>1551765051015971</v>
      </c>
      <c r="C6241" t="s">
        <v>40</v>
      </c>
      <c r="D6241">
        <v>4.0634059999999996</v>
      </c>
      <c r="E6241">
        <v>0.60109060000000003</v>
      </c>
      <c r="F6241" t="s">
        <v>102</v>
      </c>
      <c r="G6241">
        <v>-279.02</v>
      </c>
      <c r="H6241">
        <v>6.0282960000000001</v>
      </c>
      <c r="I6241">
        <v>1.9887600000000001</v>
      </c>
      <c r="J6241">
        <v>-373.3732</v>
      </c>
      <c r="K6241">
        <v>1.1090370000000001</v>
      </c>
      <c r="L6241">
        <v>16.9971</v>
      </c>
      <c r="M6241">
        <v>0.99988030000000006</v>
      </c>
      <c r="N6241">
        <v>-3.727962E-3</v>
      </c>
      <c r="O6241">
        <v>-1.502589E-2</v>
      </c>
      <c r="P6241">
        <v>0.98938349999999997</v>
      </c>
      <c r="Q6241">
        <v>-0.1087733</v>
      </c>
      <c r="R6241">
        <v>9.6378329999999998E-2</v>
      </c>
      <c r="S6241">
        <v>3.1004640000000001</v>
      </c>
      <c r="T6241">
        <v>0.16123100000000001</v>
      </c>
      <c r="U6241">
        <v>-0.49200440000000001</v>
      </c>
      <c r="V6241">
        <v>-0.1110418</v>
      </c>
      <c r="W6241">
        <v>-0.1052927</v>
      </c>
      <c r="X6241">
        <v>0.98822220000000005</v>
      </c>
      <c r="Y6241">
        <v>0.14171800000000001</v>
      </c>
      <c r="Z6241">
        <v>2.5621239999999998E-3</v>
      </c>
      <c r="AA6241">
        <v>0.98990370000000005</v>
      </c>
      <c r="AB6241">
        <v>30</v>
      </c>
      <c r="AC6241">
        <v>94.353200000000001</v>
      </c>
      <c r="AD6241">
        <v>4.9192589999999896</v>
      </c>
      <c r="AE6241">
        <v>-15.008339999999899</v>
      </c>
      <c r="AF6241">
        <v>13.5529642113689</v>
      </c>
      <c r="AG6241">
        <v>4.9192589999999896</v>
      </c>
      <c r="AH6241">
        <v>94.318011805826799</v>
      </c>
      <c r="AI6241">
        <v>87.044681516803905</v>
      </c>
      <c r="AJ6241">
        <v>81.822894805776897</v>
      </c>
      <c r="AK6241">
        <v>95.413674591369798</v>
      </c>
      <c r="AL6241">
        <v>96.044030665695402</v>
      </c>
      <c r="AM6241">
        <v>96.411160523872994</v>
      </c>
      <c r="AN6241">
        <v>0.99999997529668405</v>
      </c>
    </row>
    <row r="6242" spans="1:40" x14ac:dyDescent="0.25">
      <c r="A6242" t="str">
        <f>"20190305135051039"</f>
        <v>20190305135051039</v>
      </c>
      <c r="B6242" t="str">
        <f>"1551765051036467"</f>
        <v>1551765051036467</v>
      </c>
      <c r="C6242" t="s">
        <v>40</v>
      </c>
      <c r="D6242">
        <v>4.0671730000000004</v>
      </c>
      <c r="E6242">
        <v>0.60027710000000001</v>
      </c>
      <c r="F6242" t="s">
        <v>102</v>
      </c>
      <c r="G6242">
        <v>-279.02</v>
      </c>
      <c r="H6242">
        <v>6.1174569999999999</v>
      </c>
      <c r="I6242">
        <v>1.8202719999999999</v>
      </c>
      <c r="J6242">
        <v>-373.2199</v>
      </c>
      <c r="K6242">
        <v>1.109073</v>
      </c>
      <c r="L6242">
        <v>16.99521</v>
      </c>
      <c r="M6242">
        <v>0.99988529999999998</v>
      </c>
      <c r="N6242">
        <v>-4.0188519999999998E-3</v>
      </c>
      <c r="O6242">
        <v>-1.4605430000000001E-2</v>
      </c>
      <c r="P6242">
        <v>0.98952960000000001</v>
      </c>
      <c r="Q6242">
        <v>-0.10889409999999999</v>
      </c>
      <c r="R6242">
        <v>9.4726530000000003E-2</v>
      </c>
      <c r="S6242">
        <v>3.0987849999999999</v>
      </c>
      <c r="T6242">
        <v>0.16448859999999901</v>
      </c>
      <c r="U6242">
        <v>-0.49844359999999999</v>
      </c>
      <c r="V6242">
        <v>-0.10898339999999899</v>
      </c>
      <c r="W6242">
        <v>-0.105115</v>
      </c>
      <c r="X6242">
        <v>0.98847030000000002</v>
      </c>
      <c r="Y6242">
        <v>0.14421349999999999</v>
      </c>
      <c r="Z6242">
        <v>2.6808040000000002E-3</v>
      </c>
      <c r="AA6242">
        <v>0.98954299999999995</v>
      </c>
      <c r="AB6242">
        <v>30</v>
      </c>
      <c r="AC6242">
        <v>94.1999</v>
      </c>
      <c r="AD6242">
        <v>5.0083840000000004</v>
      </c>
      <c r="AE6242">
        <v>-15.174937999999999</v>
      </c>
      <c r="AF6242">
        <v>13.759566604866301</v>
      </c>
      <c r="AG6242">
        <v>5.0083840000000004</v>
      </c>
      <c r="AH6242">
        <v>94.152073747931198</v>
      </c>
      <c r="AI6242">
        <v>86.986987815057603</v>
      </c>
      <c r="AJ6242">
        <v>81.685542213780096</v>
      </c>
      <c r="AK6242">
        <v>95.283905117711697</v>
      </c>
      <c r="AL6242">
        <v>96.033792002046297</v>
      </c>
      <c r="AM6242">
        <v>96.291711338319701</v>
      </c>
      <c r="AN6242">
        <v>1.00000003934132</v>
      </c>
    </row>
    <row r="6243" spans="1:40" x14ac:dyDescent="0.25">
      <c r="A6243" t="str">
        <f>"20190305135051051"</f>
        <v>20190305135051051</v>
      </c>
      <c r="B6243" t="str">
        <f>"1551765051046227"</f>
        <v>1551765051046227</v>
      </c>
      <c r="C6243" t="s">
        <v>40</v>
      </c>
      <c r="D6243">
        <v>4.08155</v>
      </c>
      <c r="E6243">
        <v>0.600134099999999</v>
      </c>
      <c r="F6243" t="s">
        <v>102</v>
      </c>
      <c r="G6243">
        <v>-279.02</v>
      </c>
      <c r="H6243">
        <v>6.0816589999999904</v>
      </c>
      <c r="I6243">
        <v>1.8722190000000001</v>
      </c>
      <c r="J6243">
        <v>-373.06270000000001</v>
      </c>
      <c r="K6243">
        <v>1.109118</v>
      </c>
      <c r="L6243">
        <v>16.993320000000001</v>
      </c>
      <c r="M6243">
        <v>0.9998901</v>
      </c>
      <c r="N6243">
        <v>-4.3416139999999997E-3</v>
      </c>
      <c r="O6243">
        <v>-1.4184250000000001E-2</v>
      </c>
      <c r="P6243">
        <v>0.98962629999999996</v>
      </c>
      <c r="Q6243">
        <v>-0.1089219</v>
      </c>
      <c r="R6243">
        <v>9.3680520000000003E-2</v>
      </c>
      <c r="S6243">
        <v>3.0973510000000002</v>
      </c>
      <c r="T6243">
        <v>0.1635017</v>
      </c>
      <c r="U6243">
        <v>-0.49725340000000001</v>
      </c>
      <c r="V6243">
        <v>-0.107529399999999</v>
      </c>
      <c r="W6243">
        <v>-0.104814</v>
      </c>
      <c r="X6243">
        <v>0.98866149999999997</v>
      </c>
      <c r="Y6243">
        <v>0.14433399999999999</v>
      </c>
      <c r="Z6243">
        <v>2.6627769999999999E-3</v>
      </c>
      <c r="AA6243">
        <v>0.9895254</v>
      </c>
      <c r="AB6243">
        <v>30</v>
      </c>
      <c r="AC6243">
        <v>94.042699999999996</v>
      </c>
      <c r="AD6243">
        <v>4.9725409999999997</v>
      </c>
      <c r="AE6243">
        <v>-15.121100999999999</v>
      </c>
      <c r="AF6243">
        <v>13.748173696517</v>
      </c>
      <c r="AG6243">
        <v>4.9725409999999997</v>
      </c>
      <c r="AH6243">
        <v>93.991563134836397</v>
      </c>
      <c r="AI6243">
        <v>87.003467087343097</v>
      </c>
      <c r="AJ6243">
        <v>81.678341847317398</v>
      </c>
      <c r="AK6243">
        <v>95.121776605129895</v>
      </c>
      <c r="AL6243">
        <v>96.016450087607296</v>
      </c>
      <c r="AM6243">
        <v>96.207239183651296</v>
      </c>
      <c r="AN6243">
        <v>1.0000000540213001</v>
      </c>
    </row>
    <row r="6244" spans="1:40" x14ac:dyDescent="0.25">
      <c r="A6244" t="str">
        <f>"20190305135051062"</f>
        <v>20190305135051062</v>
      </c>
      <c r="B6244" t="str">
        <f>"1551765051055987"</f>
        <v>1551765051055987</v>
      </c>
      <c r="C6244" t="s">
        <v>40</v>
      </c>
      <c r="D6244">
        <v>4.0210189999999999</v>
      </c>
      <c r="E6244">
        <v>0.59974329999999998</v>
      </c>
      <c r="F6244" t="s">
        <v>102</v>
      </c>
      <c r="G6244">
        <v>-279.02</v>
      </c>
      <c r="H6244">
        <v>6.1105289999999997</v>
      </c>
      <c r="I6244">
        <v>1.8301540000000001</v>
      </c>
      <c r="J6244">
        <v>-372.90660000000003</v>
      </c>
      <c r="K6244">
        <v>1.109173</v>
      </c>
      <c r="L6244">
        <v>16.991520000000001</v>
      </c>
      <c r="M6244">
        <v>0.9998937</v>
      </c>
      <c r="N6244">
        <v>-4.7476050000000002E-3</v>
      </c>
      <c r="O6244">
        <v>-1.380177E-2</v>
      </c>
      <c r="P6244">
        <v>0.98976470000000005</v>
      </c>
      <c r="Q6244">
        <v>-0.1091618</v>
      </c>
      <c r="R6244">
        <v>9.1924850000000002E-2</v>
      </c>
      <c r="S6244">
        <v>3.0968629999999999</v>
      </c>
      <c r="T6244">
        <v>0.16469839999999999</v>
      </c>
      <c r="U6244">
        <v>-0.49932860000000001</v>
      </c>
      <c r="V6244">
        <v>-0.1054049</v>
      </c>
      <c r="W6244">
        <v>-0.1046416</v>
      </c>
      <c r="X6244">
        <v>0.98890849999999997</v>
      </c>
      <c r="Y6244">
        <v>0.1453806</v>
      </c>
      <c r="Z6244">
        <v>2.6971859999999999E-3</v>
      </c>
      <c r="AA6244">
        <v>0.98937209999999998</v>
      </c>
      <c r="AB6244">
        <v>30</v>
      </c>
      <c r="AC6244">
        <v>93.886600000000001</v>
      </c>
      <c r="AD6244">
        <v>5.0013560000000004</v>
      </c>
      <c r="AE6244">
        <v>-15.161365999999999</v>
      </c>
      <c r="AF6244">
        <v>13.825869575675</v>
      </c>
      <c r="AG6244">
        <v>5.0013560000000004</v>
      </c>
      <c r="AH6244">
        <v>93.827424853361407</v>
      </c>
      <c r="AI6244">
        <v>86.9813414396626</v>
      </c>
      <c r="AJ6244">
        <v>81.617546348960602</v>
      </c>
      <c r="AK6244">
        <v>94.972384859892202</v>
      </c>
      <c r="AL6244">
        <v>96.006517764910001</v>
      </c>
      <c r="AM6244">
        <v>96.084021187902906</v>
      </c>
      <c r="AN6244">
        <v>1.0000000393834001</v>
      </c>
    </row>
    <row r="6245" spans="1:40" x14ac:dyDescent="0.25">
      <c r="A6245" t="str">
        <f>"20190305135051073"</f>
        <v>20190305135051073</v>
      </c>
      <c r="B6245" t="str">
        <f>"1551765051065746"</f>
        <v>1551765051065746</v>
      </c>
      <c r="C6245" t="s">
        <v>40</v>
      </c>
      <c r="D6245">
        <v>4.0618550000000004</v>
      </c>
      <c r="E6245">
        <v>0.59964169999999895</v>
      </c>
      <c r="F6245" t="s">
        <v>102</v>
      </c>
      <c r="G6245">
        <v>-279.02</v>
      </c>
      <c r="H6245">
        <v>6.0586789999999997</v>
      </c>
      <c r="I6245">
        <v>1.7750680000000001</v>
      </c>
      <c r="J6245">
        <v>-372.75279999999998</v>
      </c>
      <c r="K6245">
        <v>1.1092340000000001</v>
      </c>
      <c r="L6245">
        <v>16.989719999999998</v>
      </c>
      <c r="M6245">
        <v>0.99989640000000002</v>
      </c>
      <c r="N6245">
        <v>-5.1671499999999997E-3</v>
      </c>
      <c r="O6245">
        <v>-1.3436470000000001E-2</v>
      </c>
      <c r="P6245">
        <v>0.98985749999999995</v>
      </c>
      <c r="Q6245">
        <v>-0.1094879</v>
      </c>
      <c r="R6245">
        <v>9.0526449999999994E-2</v>
      </c>
      <c r="S6245">
        <v>3.0955810000000001</v>
      </c>
      <c r="T6245">
        <v>0.16319259999999999</v>
      </c>
      <c r="U6245">
        <v>-0.50170899999999996</v>
      </c>
      <c r="V6245">
        <v>-0.1036535</v>
      </c>
      <c r="W6245">
        <v>-0.10454280000000001</v>
      </c>
      <c r="X6245">
        <v>0.98910399999999998</v>
      </c>
      <c r="Y6245">
        <v>0.1465506</v>
      </c>
      <c r="Z6245">
        <v>2.6819449999999998E-3</v>
      </c>
      <c r="AA6245">
        <v>0.98919950000000001</v>
      </c>
      <c r="AB6245">
        <v>30</v>
      </c>
      <c r="AC6245">
        <v>93.732799999999997</v>
      </c>
      <c r="AD6245">
        <v>4.9494449999999999</v>
      </c>
      <c r="AE6245">
        <v>-15.214651999999999</v>
      </c>
      <c r="AF6245">
        <v>13.9160186492549</v>
      </c>
      <c r="AG6245">
        <v>4.9494449999999999</v>
      </c>
      <c r="AH6245">
        <v>93.674290891740299</v>
      </c>
      <c r="AI6245">
        <v>87.008261756900794</v>
      </c>
      <c r="AJ6245">
        <v>81.550081813299698</v>
      </c>
      <c r="AK6245">
        <v>94.831563073297602</v>
      </c>
      <c r="AL6245">
        <v>96.000826056207302</v>
      </c>
      <c r="AM6245">
        <v>95.9824949939661</v>
      </c>
      <c r="AN6245">
        <v>0.99999998395504497</v>
      </c>
    </row>
    <row r="6246" spans="1:40" x14ac:dyDescent="0.25">
      <c r="A6246" t="str">
        <f>"20190305135051084"</f>
        <v>20190305135051084</v>
      </c>
      <c r="B6246" t="str">
        <f>"1551765051076483"</f>
        <v>1551765051076483</v>
      </c>
      <c r="C6246" t="s">
        <v>40</v>
      </c>
      <c r="D6246">
        <v>4.0347359999999997</v>
      </c>
      <c r="E6246">
        <v>0.59886119999999898</v>
      </c>
      <c r="F6246" t="s">
        <v>102</v>
      </c>
      <c r="G6246">
        <v>-279.02</v>
      </c>
      <c r="H6246">
        <v>6.0143630000000003</v>
      </c>
      <c r="I6246">
        <v>1.6883049999999999</v>
      </c>
      <c r="J6246">
        <v>-372.6019</v>
      </c>
      <c r="K6246">
        <v>1.109291</v>
      </c>
      <c r="L6246">
        <v>16.98807</v>
      </c>
      <c r="M6246">
        <v>0.99989859999999997</v>
      </c>
      <c r="N6246">
        <v>-5.6109790000000003E-3</v>
      </c>
      <c r="O6246">
        <v>-1.309661E-2</v>
      </c>
      <c r="P6246">
        <v>0.98991890000000005</v>
      </c>
      <c r="Q6246">
        <v>-0.11001180000000001</v>
      </c>
      <c r="R6246">
        <v>8.9207720000000004E-2</v>
      </c>
      <c r="S6246">
        <v>3.094849</v>
      </c>
      <c r="T6246">
        <v>0.161956399999999</v>
      </c>
      <c r="U6246">
        <v>-0.50521850000000001</v>
      </c>
      <c r="V6246">
        <v>-0.1020061</v>
      </c>
      <c r="W6246">
        <v>-0.1046179</v>
      </c>
      <c r="X6246">
        <v>0.98926729999999996</v>
      </c>
      <c r="Y6246">
        <v>0.1480186</v>
      </c>
      <c r="Z6246">
        <v>2.6735219999999998E-3</v>
      </c>
      <c r="AA6246">
        <v>0.98898090000000005</v>
      </c>
      <c r="AB6246">
        <v>30</v>
      </c>
      <c r="AC6246">
        <v>93.581900000000005</v>
      </c>
      <c r="AD6246">
        <v>4.9050719999999997</v>
      </c>
      <c r="AE6246">
        <v>-15.299764999999899</v>
      </c>
      <c r="AF6246">
        <v>14.035272610418099</v>
      </c>
      <c r="AG6246">
        <v>4.9050719999999997</v>
      </c>
      <c r="AH6246">
        <v>93.524001871092494</v>
      </c>
      <c r="AI6246">
        <v>87.030934692798596</v>
      </c>
      <c r="AJ6246">
        <v>81.465236699357106</v>
      </c>
      <c r="AK6246">
        <v>94.698403020104095</v>
      </c>
      <c r="AL6246">
        <v>96.005152777945</v>
      </c>
      <c r="AM6246">
        <v>95.887121412715501</v>
      </c>
      <c r="AN6246">
        <v>0.99999997014345399</v>
      </c>
    </row>
    <row r="6247" spans="1:40" x14ac:dyDescent="0.25">
      <c r="A6247" t="str">
        <f>"20190305135051096"</f>
        <v>20190305135051096</v>
      </c>
      <c r="B6247" t="str">
        <f>"1551765051086242"</f>
        <v>1551765051086242</v>
      </c>
      <c r="C6247" t="s">
        <v>40</v>
      </c>
      <c r="D6247">
        <v>4.0838489999999998</v>
      </c>
      <c r="E6247">
        <v>0.59821489999999999</v>
      </c>
      <c r="F6247" t="s">
        <v>102</v>
      </c>
      <c r="G6247">
        <v>-279.02</v>
      </c>
      <c r="H6247">
        <v>5.8959140000000003</v>
      </c>
      <c r="I6247">
        <v>1.7645230000000001</v>
      </c>
      <c r="J6247">
        <v>-372.46480000000003</v>
      </c>
      <c r="K6247">
        <v>1.109337</v>
      </c>
      <c r="L6247">
        <v>16.986539999999898</v>
      </c>
      <c r="M6247">
        <v>0.99990000000000001</v>
      </c>
      <c r="N6247">
        <v>-6.0167290000000002E-3</v>
      </c>
      <c r="O6247">
        <v>-1.28016E-2</v>
      </c>
      <c r="P6247">
        <v>0.98999789999999999</v>
      </c>
      <c r="Q6247">
        <v>-0.11069519999999999</v>
      </c>
      <c r="R6247">
        <v>8.7470599999999996E-2</v>
      </c>
      <c r="S6247">
        <v>3.0934750000000002</v>
      </c>
      <c r="T6247">
        <v>0.15822829999999999</v>
      </c>
      <c r="U6247">
        <v>-0.50323490000000004</v>
      </c>
      <c r="V6247">
        <v>-9.9984530000000002E-2</v>
      </c>
      <c r="W6247">
        <v>-0.1048901</v>
      </c>
      <c r="X6247">
        <v>0.98944489999999996</v>
      </c>
      <c r="Y6247">
        <v>0.1477715</v>
      </c>
      <c r="Z6247">
        <v>2.5779919999999999E-3</v>
      </c>
      <c r="AA6247">
        <v>0.98901819999999896</v>
      </c>
      <c r="AB6247">
        <v>30</v>
      </c>
      <c r="AC6247">
        <v>93.444800000000001</v>
      </c>
      <c r="AD6247">
        <v>4.7865769999999896</v>
      </c>
      <c r="AE6247">
        <v>-15.2220169999999</v>
      </c>
      <c r="AF6247">
        <v>13.9887494140882</v>
      </c>
      <c r="AG6247">
        <v>4.7865769999999896</v>
      </c>
      <c r="AH6247">
        <v>93.393296273205493</v>
      </c>
      <c r="AI6247">
        <v>87.098366094277907</v>
      </c>
      <c r="AJ6247">
        <v>81.481381578644204</v>
      </c>
      <c r="AK6247">
        <v>94.556354722048297</v>
      </c>
      <c r="AL6247">
        <v>96.020834640639407</v>
      </c>
      <c r="AM6247">
        <v>95.770216207517706</v>
      </c>
      <c r="AN6247">
        <v>1.00000002472667</v>
      </c>
    </row>
    <row r="6248" spans="1:40" x14ac:dyDescent="0.25">
      <c r="A6248" t="str">
        <f>"20190305135051105"</f>
        <v>20190305135051105</v>
      </c>
      <c r="B6248" t="str">
        <f>"1551765051096003"</f>
        <v>1551765051096003</v>
      </c>
      <c r="C6248" t="s">
        <v>40</v>
      </c>
      <c r="D6248">
        <v>4.2430870000000001</v>
      </c>
      <c r="E6248">
        <v>0.59614880000000003</v>
      </c>
      <c r="F6248" t="s">
        <v>102</v>
      </c>
      <c r="G6248">
        <v>-279.02</v>
      </c>
      <c r="H6248">
        <v>5.7873760000000001</v>
      </c>
      <c r="I6248">
        <v>1.7648539999999999</v>
      </c>
      <c r="J6248">
        <v>-372.31540000000001</v>
      </c>
      <c r="K6248">
        <v>1.1093839999999999</v>
      </c>
      <c r="L6248">
        <v>16.98499</v>
      </c>
      <c r="M6248">
        <v>0.99990120000000005</v>
      </c>
      <c r="N6248">
        <v>-6.4613090000000001E-3</v>
      </c>
      <c r="O6248">
        <v>-1.249168E-2</v>
      </c>
      <c r="P6248">
        <v>0.99003180000000002</v>
      </c>
      <c r="Q6248">
        <v>-0.11129020000000001</v>
      </c>
      <c r="R6248">
        <v>8.6323150000000001E-2</v>
      </c>
      <c r="S6248">
        <v>3.092133</v>
      </c>
      <c r="T6248">
        <v>0.15479849999999901</v>
      </c>
      <c r="U6248">
        <v>-0.50369259999999905</v>
      </c>
      <c r="V6248">
        <v>-9.8537769999999997E-2</v>
      </c>
      <c r="W6248">
        <v>-0.1050359</v>
      </c>
      <c r="X6248">
        <v>0.98957459999999997</v>
      </c>
      <c r="Y6248">
        <v>0.14829629999999999</v>
      </c>
      <c r="Z6248">
        <v>2.5020870000000001E-3</v>
      </c>
      <c r="AA6248">
        <v>0.98893980000000004</v>
      </c>
      <c r="AB6248">
        <v>30</v>
      </c>
      <c r="AC6248">
        <v>93.295400000000001</v>
      </c>
      <c r="AD6248">
        <v>4.6779919999999997</v>
      </c>
      <c r="AE6248">
        <v>-15.220135999999901</v>
      </c>
      <c r="AF6248">
        <v>14.0191747750799</v>
      </c>
      <c r="AG6248">
        <v>4.6779919999999997</v>
      </c>
      <c r="AH6248">
        <v>93.249879236853005</v>
      </c>
      <c r="AI6248">
        <v>87.159959039435904</v>
      </c>
      <c r="AJ6248">
        <v>81.450190695547093</v>
      </c>
      <c r="AK6248">
        <v>94.413774674111806</v>
      </c>
      <c r="AL6248">
        <v>96.029234548705901</v>
      </c>
      <c r="AM6248">
        <v>95.6865329198354</v>
      </c>
      <c r="AN6248">
        <v>1.0000000606852599</v>
      </c>
    </row>
    <row r="6249" spans="1:40" x14ac:dyDescent="0.25">
      <c r="A6249" t="str">
        <f>"20190305135051119"</f>
        <v>20190305135051119</v>
      </c>
      <c r="B6249" t="str">
        <f>"1551765051116499"</f>
        <v>1551765051116499</v>
      </c>
      <c r="C6249" t="s">
        <v>40</v>
      </c>
      <c r="D6249">
        <v>4.2335609999999999</v>
      </c>
      <c r="E6249">
        <v>0.59274609999999905</v>
      </c>
      <c r="F6249" t="s">
        <v>102</v>
      </c>
      <c r="G6249">
        <v>-279.02</v>
      </c>
      <c r="H6249">
        <v>5.2626520000000001</v>
      </c>
      <c r="I6249">
        <v>2.1469499999999999</v>
      </c>
      <c r="J6249">
        <v>-372.14769999999999</v>
      </c>
      <c r="K6249">
        <v>1.1094219999999999</v>
      </c>
      <c r="L6249">
        <v>16.983219999999999</v>
      </c>
      <c r="M6249">
        <v>0.99990199999999996</v>
      </c>
      <c r="N6249">
        <v>-6.9414139999999999E-3</v>
      </c>
      <c r="O6249">
        <v>-1.21683E-2</v>
      </c>
      <c r="P6249">
        <v>0.99010509999999996</v>
      </c>
      <c r="Q6249">
        <v>-0.1117129</v>
      </c>
      <c r="R6249">
        <v>8.4926160000000001E-2</v>
      </c>
      <c r="S6249">
        <v>3.0885310000000001</v>
      </c>
      <c r="T6249">
        <v>0.13749339999999999</v>
      </c>
      <c r="U6249">
        <v>-0.49121090000000001</v>
      </c>
      <c r="V6249">
        <v>-9.6830109999999997E-2</v>
      </c>
      <c r="W6249">
        <v>-0.104973</v>
      </c>
      <c r="X6249">
        <v>0.98974980000000001</v>
      </c>
      <c r="Y6249">
        <v>0.14493819999999999</v>
      </c>
      <c r="Z6249">
        <v>2.0762110000000001E-3</v>
      </c>
      <c r="AA6249">
        <v>0.9894385</v>
      </c>
      <c r="AB6249">
        <v>30</v>
      </c>
      <c r="AC6249">
        <v>93.127700000000004</v>
      </c>
      <c r="AD6249">
        <v>4.1532299999999998</v>
      </c>
      <c r="AE6249">
        <v>-14.836270000000001</v>
      </c>
      <c r="AF6249">
        <v>13.675412695272099</v>
      </c>
      <c r="AG6249">
        <v>4.1532299999999998</v>
      </c>
      <c r="AH6249">
        <v>93.120717237896798</v>
      </c>
      <c r="AI6249">
        <v>87.4733374656428</v>
      </c>
      <c r="AJ6249">
        <v>81.645442979748097</v>
      </c>
      <c r="AK6249">
        <v>94.211115112385897</v>
      </c>
      <c r="AL6249">
        <v>96.025610773171806</v>
      </c>
      <c r="AM6249">
        <v>95.587631585122395</v>
      </c>
      <c r="AN6249">
        <v>1.0000000337658199</v>
      </c>
    </row>
    <row r="6250" spans="1:40" x14ac:dyDescent="0.25">
      <c r="A6250" t="str">
        <f>"20190305135051139"</f>
        <v>20190305135051139</v>
      </c>
      <c r="B6250" t="str">
        <f>"1551765051136018"</f>
        <v>1551765051136018</v>
      </c>
      <c r="C6250" t="s">
        <v>40</v>
      </c>
      <c r="D6250">
        <v>4.2584600000000004</v>
      </c>
      <c r="E6250">
        <v>0.5899683</v>
      </c>
      <c r="F6250" t="s">
        <v>102</v>
      </c>
      <c r="G6250">
        <v>-279.55990000000003</v>
      </c>
      <c r="H6250">
        <v>4.4361600000000001</v>
      </c>
      <c r="I6250">
        <v>2.8890419999999999</v>
      </c>
      <c r="J6250">
        <v>-371.87169999999998</v>
      </c>
      <c r="K6250">
        <v>1.1094740000000001</v>
      </c>
      <c r="L6250">
        <v>16.980409999999999</v>
      </c>
      <c r="M6250">
        <v>0.99990219999999996</v>
      </c>
      <c r="N6250">
        <v>-7.6955549999999998E-3</v>
      </c>
      <c r="O6250">
        <v>-1.167897E-2</v>
      </c>
      <c r="P6250">
        <v>0.99022849999999996</v>
      </c>
      <c r="Q6250">
        <v>-0.1124743</v>
      </c>
      <c r="R6250">
        <v>8.2443069999999993E-2</v>
      </c>
      <c r="S6250">
        <v>3.0827330000000002</v>
      </c>
      <c r="T6250">
        <v>0.1107645</v>
      </c>
      <c r="U6250">
        <v>-0.46926879999999999</v>
      </c>
      <c r="V6250">
        <v>-9.3877660000000002E-2</v>
      </c>
      <c r="W6250">
        <v>-0.10497049999999999</v>
      </c>
      <c r="X6250">
        <v>0.99003450000000004</v>
      </c>
      <c r="Y6250">
        <v>0.1388771</v>
      </c>
      <c r="Z6250">
        <v>1.4359799999999999E-3</v>
      </c>
      <c r="AA6250">
        <v>0.99030859999999998</v>
      </c>
      <c r="AB6250">
        <v>30</v>
      </c>
      <c r="AC6250">
        <v>92.311799999999906</v>
      </c>
      <c r="AD6250">
        <v>3.326686</v>
      </c>
      <c r="AE6250">
        <v>-14.091367999999999</v>
      </c>
      <c r="AF6250">
        <v>12.9957749382971</v>
      </c>
      <c r="AG6250">
        <v>3.326686</v>
      </c>
      <c r="AH6250">
        <v>92.352873751370197</v>
      </c>
      <c r="AI6250">
        <v>87.9571237349775</v>
      </c>
      <c r="AJ6250">
        <v>81.990007553911994</v>
      </c>
      <c r="AK6250">
        <v>93.322078288719993</v>
      </c>
      <c r="AL6250">
        <v>96.025466542692399</v>
      </c>
      <c r="AM6250">
        <v>95.416739809780694</v>
      </c>
      <c r="AN6250">
        <v>1.00000006605378</v>
      </c>
    </row>
    <row r="6251" spans="1:40" x14ac:dyDescent="0.25">
      <c r="A6251" t="str">
        <f>"20190305135051154"</f>
        <v>20190305135051154</v>
      </c>
      <c r="B6251" t="str">
        <f>"1551765051145778"</f>
        <v>1551765051145778</v>
      </c>
      <c r="C6251" t="s">
        <v>40</v>
      </c>
      <c r="D6251">
        <v>4.1995630000000004</v>
      </c>
      <c r="E6251">
        <v>0.5899683</v>
      </c>
      <c r="F6251" t="s">
        <v>102</v>
      </c>
      <c r="G6251">
        <v>-279.02</v>
      </c>
      <c r="H6251">
        <v>3.7422610000000001</v>
      </c>
      <c r="I6251">
        <v>3.2352430000000001</v>
      </c>
      <c r="J6251">
        <v>-371.67840000000001</v>
      </c>
      <c r="K6251">
        <v>1.109494</v>
      </c>
      <c r="L6251">
        <v>16.97852</v>
      </c>
      <c r="M6251">
        <v>0.99990179999999995</v>
      </c>
      <c r="N6251">
        <v>-8.1924600000000004E-3</v>
      </c>
      <c r="O6251">
        <v>-1.1368970000000001E-2</v>
      </c>
      <c r="P6251">
        <v>0.99027279999999995</v>
      </c>
      <c r="Q6251">
        <v>-0.112883</v>
      </c>
      <c r="R6251">
        <v>8.1345669999999995E-2</v>
      </c>
      <c r="S6251">
        <v>3.0774539999999999</v>
      </c>
      <c r="T6251">
        <v>8.7260480000000001E-2</v>
      </c>
      <c r="U6251">
        <v>-0.45556639999999998</v>
      </c>
      <c r="V6251">
        <v>-9.2483949999999995E-2</v>
      </c>
      <c r="W6251">
        <v>-0.1048765</v>
      </c>
      <c r="X6251">
        <v>0.99017549999999999</v>
      </c>
      <c r="Y6251">
        <v>0.13515139999999901</v>
      </c>
      <c r="Z6251">
        <v>9.35519E-4</v>
      </c>
      <c r="AA6251">
        <v>0.9908245</v>
      </c>
      <c r="AB6251">
        <v>30</v>
      </c>
      <c r="AC6251">
        <v>92.6584</v>
      </c>
      <c r="AD6251">
        <v>2.6327669999999999</v>
      </c>
      <c r="AE6251">
        <v>-13.743277000000001</v>
      </c>
      <c r="AF6251">
        <v>12.678906976717499</v>
      </c>
      <c r="AG6251">
        <v>2.6327669999999999</v>
      </c>
      <c r="AH6251">
        <v>92.735406164053401</v>
      </c>
      <c r="AI6251">
        <v>88.388785435956393</v>
      </c>
      <c r="AJ6251">
        <v>82.214715408431204</v>
      </c>
      <c r="AK6251">
        <v>93.635152056332402</v>
      </c>
      <c r="AL6251">
        <v>96.020051602168493</v>
      </c>
      <c r="AM6251">
        <v>95.336034980361305</v>
      </c>
      <c r="AN6251">
        <v>0.99999994103004897</v>
      </c>
    </row>
    <row r="6252" spans="1:40" x14ac:dyDescent="0.25">
      <c r="A6252" t="str">
        <f>"20190305135051166"</f>
        <v>20190305135051166</v>
      </c>
      <c r="B6252" t="str">
        <f>"1551765051156516"</f>
        <v>1551765051156516</v>
      </c>
      <c r="C6252" t="s">
        <v>40</v>
      </c>
      <c r="D6252">
        <v>4.2469000000000001</v>
      </c>
      <c r="E6252">
        <v>0.56754899999999997</v>
      </c>
      <c r="F6252" t="s">
        <v>102</v>
      </c>
      <c r="G6252">
        <v>-279.02</v>
      </c>
      <c r="H6252">
        <v>3.698401</v>
      </c>
      <c r="I6252">
        <v>3.158693</v>
      </c>
      <c r="J6252">
        <v>-371.50439999999998</v>
      </c>
      <c r="K6252">
        <v>1.109502</v>
      </c>
      <c r="L6252">
        <v>16.97681</v>
      </c>
      <c r="M6252">
        <v>0.99990109999999999</v>
      </c>
      <c r="N6252">
        <v>-8.6144789999999995E-3</v>
      </c>
      <c r="O6252">
        <v>-1.111354E-2</v>
      </c>
      <c r="P6252">
        <v>0.99031690000000006</v>
      </c>
      <c r="Q6252">
        <v>-0.1132721</v>
      </c>
      <c r="R6252">
        <v>8.0261979999999997E-2</v>
      </c>
      <c r="S6252">
        <v>3.076965</v>
      </c>
      <c r="T6252">
        <v>8.5971469999999994E-2</v>
      </c>
      <c r="U6252">
        <v>-0.45892329999999998</v>
      </c>
      <c r="V6252">
        <v>-9.1156070000000006E-2</v>
      </c>
      <c r="W6252">
        <v>-0.1048384</v>
      </c>
      <c r="X6252">
        <v>0.99030269999999998</v>
      </c>
      <c r="Y6252">
        <v>0.13648629999999901</v>
      </c>
      <c r="Z6252">
        <v>9.0079449999999996E-4</v>
      </c>
      <c r="AA6252">
        <v>0.99064149999999995</v>
      </c>
      <c r="AB6252">
        <v>30</v>
      </c>
      <c r="AC6252">
        <v>92.484399999999994</v>
      </c>
      <c r="AD6252">
        <v>2.5888990000000001</v>
      </c>
      <c r="AE6252">
        <v>-13.818117000000001</v>
      </c>
      <c r="AF6252">
        <v>12.7796009116938</v>
      </c>
      <c r="AG6252">
        <v>2.5888990000000001</v>
      </c>
      <c r="AH6252">
        <v>92.561314821211894</v>
      </c>
      <c r="AI6252">
        <v>88.412927518242995</v>
      </c>
      <c r="AJ6252">
        <v>82.139079777116194</v>
      </c>
      <c r="AK6252">
        <v>93.475224519258902</v>
      </c>
      <c r="AL6252">
        <v>96.017856306155394</v>
      </c>
      <c r="AM6252">
        <v>95.259181462351606</v>
      </c>
      <c r="AN6252">
        <v>0.999999978419847</v>
      </c>
    </row>
    <row r="6253" spans="1:40" x14ac:dyDescent="0.25">
      <c r="A6253" t="str">
        <f>"20190305135051184"</f>
        <v>20190305135051184</v>
      </c>
      <c r="B6253" t="str">
        <f>"1551765051176035"</f>
        <v>1551765051176035</v>
      </c>
      <c r="C6253" t="s">
        <v>40</v>
      </c>
      <c r="D6253">
        <v>4.2393919999999996</v>
      </c>
      <c r="E6253">
        <v>0.56745040000000002</v>
      </c>
      <c r="F6253" t="s">
        <v>43</v>
      </c>
      <c r="G6253">
        <v>-290.00569999999999</v>
      </c>
      <c r="H6253">
        <v>-0.05</v>
      </c>
      <c r="I6253">
        <v>9.2828669999999995</v>
      </c>
      <c r="J6253">
        <v>-371.27289999999999</v>
      </c>
      <c r="K6253">
        <v>1.1094999999999999</v>
      </c>
      <c r="L6253">
        <v>16.974609999999998</v>
      </c>
      <c r="M6253">
        <v>0.99989989999999995</v>
      </c>
      <c r="N6253">
        <v>-9.1279949999999999E-3</v>
      </c>
      <c r="O6253">
        <v>-1.080827E-2</v>
      </c>
      <c r="P6253">
        <v>0.99044860000000001</v>
      </c>
      <c r="Q6253">
        <v>-0.1134179</v>
      </c>
      <c r="R6253">
        <v>7.8409779999999998E-2</v>
      </c>
      <c r="S6253">
        <v>3.0476990000000002</v>
      </c>
      <c r="T6253">
        <v>-4.3360349999999999E-2</v>
      </c>
      <c r="U6253">
        <v>-0.28771970000000002</v>
      </c>
      <c r="V6253">
        <v>-8.9015070000000002E-2</v>
      </c>
      <c r="W6253">
        <v>-0.10446270000000001</v>
      </c>
      <c r="X6253">
        <v>0.99053720000000001</v>
      </c>
      <c r="Y6253">
        <v>8.3207699999999996E-2</v>
      </c>
      <c r="Z6253">
        <v>-9.1625880000000004E-4</v>
      </c>
      <c r="AA6253">
        <v>0.99653179999999997</v>
      </c>
      <c r="AB6253">
        <v>30</v>
      </c>
      <c r="AC6253">
        <v>81.267200000000003</v>
      </c>
      <c r="AD6253">
        <v>-1.1595</v>
      </c>
      <c r="AE6253">
        <v>-7.6917429999999998</v>
      </c>
      <c r="AF6253">
        <v>6.8115249209992896</v>
      </c>
      <c r="AG6253">
        <v>-1.1595</v>
      </c>
      <c r="AH6253">
        <v>81.329181524945994</v>
      </c>
      <c r="AI6253">
        <v>90.813954085518404</v>
      </c>
      <c r="AJ6253">
        <v>85.212506437356495</v>
      </c>
      <c r="AK6253">
        <v>81.622160468325006</v>
      </c>
      <c r="AL6253">
        <v>95.996211050873598</v>
      </c>
      <c r="AM6253">
        <v>95.135117191305596</v>
      </c>
      <c r="AN6253">
        <v>1.0000000414811101</v>
      </c>
    </row>
    <row r="6254" spans="1:40" x14ac:dyDescent="0.25">
      <c r="A6254" t="str">
        <f>"20190305135051195"</f>
        <v>20190305135051195</v>
      </c>
      <c r="B6254" t="str">
        <f>"1551765051185795"</f>
        <v>1551765051185795</v>
      </c>
      <c r="C6254" t="s">
        <v>40</v>
      </c>
      <c r="D6254">
        <v>4.3866670000000001</v>
      </c>
      <c r="E6254">
        <v>0.56689469999999997</v>
      </c>
      <c r="F6254" t="s">
        <v>43</v>
      </c>
      <c r="G6254">
        <v>-252.7885</v>
      </c>
      <c r="H6254">
        <v>-0.05</v>
      </c>
      <c r="I6254">
        <v>5.6168209999999998</v>
      </c>
      <c r="J6254">
        <v>-371.12040000000002</v>
      </c>
      <c r="K6254">
        <v>1.1094949999999999</v>
      </c>
      <c r="L6254">
        <v>16.973140000000001</v>
      </c>
      <c r="M6254">
        <v>0.99989910000000004</v>
      </c>
      <c r="N6254">
        <v>-9.4387719999999998E-3</v>
      </c>
      <c r="O6254">
        <v>-1.0625300000000001E-2</v>
      </c>
      <c r="P6254">
        <v>0.99053270000000004</v>
      </c>
      <c r="Q6254">
        <v>-0.1134754</v>
      </c>
      <c r="R6254">
        <v>7.7256549999999993E-2</v>
      </c>
      <c r="S6254">
        <v>3.0486149999999999</v>
      </c>
      <c r="T6254">
        <v>-2.9834030000000001E-2</v>
      </c>
      <c r="U6254">
        <v>-0.2922363</v>
      </c>
      <c r="V6254">
        <v>-8.7688269999999999E-2</v>
      </c>
      <c r="W6254">
        <v>-0.1042043</v>
      </c>
      <c r="X6254">
        <v>0.99068270000000003</v>
      </c>
      <c r="Y6254">
        <v>8.4830719999999998E-2</v>
      </c>
      <c r="Z6254">
        <v>-8.1176509999999905E-4</v>
      </c>
      <c r="AA6254">
        <v>0.99639509999999998</v>
      </c>
      <c r="AB6254">
        <v>30</v>
      </c>
      <c r="AC6254">
        <v>118.3319</v>
      </c>
      <c r="AD6254">
        <v>-1.1594949999999999</v>
      </c>
      <c r="AE6254">
        <v>-11.356318999999999</v>
      </c>
      <c r="AF6254">
        <v>10.097349415821901</v>
      </c>
      <c r="AG6254">
        <v>-1.1594949999999999</v>
      </c>
      <c r="AH6254">
        <v>118.434621627179</v>
      </c>
      <c r="AI6254">
        <v>90.558890064597094</v>
      </c>
      <c r="AJ6254">
        <v>85.126932954678495</v>
      </c>
      <c r="AK6254">
        <v>118.86993099120301</v>
      </c>
      <c r="AL6254">
        <v>95.981324883429707</v>
      </c>
      <c r="AM6254">
        <v>95.058237542663804</v>
      </c>
      <c r="AN6254">
        <v>0.99999999045668597</v>
      </c>
    </row>
    <row r="6255" spans="1:40" x14ac:dyDescent="0.25">
      <c r="A6255" t="str">
        <f>"20190305135051206"</f>
        <v>20190305135051206</v>
      </c>
      <c r="B6255" t="str">
        <f>"1551765051196532"</f>
        <v>1551765051196532</v>
      </c>
      <c r="C6255" t="s">
        <v>40</v>
      </c>
      <c r="D6255">
        <v>4.294117</v>
      </c>
      <c r="E6255">
        <v>0.56645299999999998</v>
      </c>
      <c r="F6255" t="s">
        <v>43</v>
      </c>
      <c r="G6255">
        <v>-282.63490000000002</v>
      </c>
      <c r="H6255">
        <v>-0.05</v>
      </c>
      <c r="I6255">
        <v>8.5029299999999992</v>
      </c>
      <c r="J6255">
        <v>-370.97</v>
      </c>
      <c r="K6255">
        <v>1.109488</v>
      </c>
      <c r="L6255">
        <v>16.97174</v>
      </c>
      <c r="M6255">
        <v>0.99989810000000001</v>
      </c>
      <c r="N6255">
        <v>-9.7259890000000009E-3</v>
      </c>
      <c r="O6255">
        <v>-1.045684E-2</v>
      </c>
      <c r="P6255">
        <v>0.99056080000000002</v>
      </c>
      <c r="Q6255">
        <v>-0.1137416</v>
      </c>
      <c r="R6255">
        <v>7.6498689999999994E-2</v>
      </c>
      <c r="S6255">
        <v>3.0468440000000001</v>
      </c>
      <c r="T6255">
        <v>-3.9925219999999997E-2</v>
      </c>
      <c r="U6255">
        <v>-0.29165649999999999</v>
      </c>
      <c r="V6255">
        <v>-8.6770589999999995E-2</v>
      </c>
      <c r="W6255">
        <v>-0.1041792</v>
      </c>
      <c r="X6255">
        <v>0.99076620000000004</v>
      </c>
      <c r="Y6255">
        <v>8.4861030000000004E-2</v>
      </c>
      <c r="Z6255">
        <v>-9.3316899999999997E-4</v>
      </c>
      <c r="AA6255">
        <v>0.99639239999999996</v>
      </c>
      <c r="AB6255">
        <v>30</v>
      </c>
      <c r="AC6255">
        <v>88.335099999999997</v>
      </c>
      <c r="AD6255">
        <v>-1.1594879999999901</v>
      </c>
      <c r="AE6255">
        <v>-8.4688099999999995</v>
      </c>
      <c r="AF6255">
        <v>7.5433094834879499</v>
      </c>
      <c r="AG6255">
        <v>-1.1594879999999901</v>
      </c>
      <c r="AH6255">
        <v>88.4037384980317</v>
      </c>
      <c r="AI6255">
        <v>90.7487179542494</v>
      </c>
      <c r="AJ6255">
        <v>85.122882421777703</v>
      </c>
      <c r="AK6255">
        <v>88.732558347058799</v>
      </c>
      <c r="AL6255">
        <v>95.979878519576602</v>
      </c>
      <c r="AM6255">
        <v>95.005152436837804</v>
      </c>
      <c r="AN6255">
        <v>1.00000005203201</v>
      </c>
    </row>
    <row r="6256" spans="1:40" x14ac:dyDescent="0.25">
      <c r="A6256" t="str">
        <f>"20190305135051218"</f>
        <v>20190305135051218</v>
      </c>
      <c r="B6256" t="str">
        <f>"1551765051206291"</f>
        <v>1551765051206291</v>
      </c>
      <c r="C6256" t="s">
        <v>40</v>
      </c>
      <c r="D6256">
        <v>4.3183389999999999</v>
      </c>
      <c r="E6256">
        <v>0.56664250000000005</v>
      </c>
      <c r="F6256" t="s">
        <v>43</v>
      </c>
      <c r="G6256">
        <v>-301.1771</v>
      </c>
      <c r="H6256">
        <v>-0.05</v>
      </c>
      <c r="I6256">
        <v>10.30902</v>
      </c>
      <c r="J6256">
        <v>-370.82839999999999</v>
      </c>
      <c r="K6256">
        <v>1.109477</v>
      </c>
      <c r="L6256">
        <v>16.97043</v>
      </c>
      <c r="M6256">
        <v>0.99989720000000004</v>
      </c>
      <c r="N6256">
        <v>-9.9682420000000004E-3</v>
      </c>
      <c r="O6256">
        <v>-1.0314179999999999E-2</v>
      </c>
      <c r="P6256">
        <v>0.99065890000000001</v>
      </c>
      <c r="Q6256">
        <v>-0.1135535</v>
      </c>
      <c r="R6256">
        <v>7.550345E-2</v>
      </c>
      <c r="S6256">
        <v>3.0452270000000001</v>
      </c>
      <c r="T6256">
        <v>-5.0591110000000002E-2</v>
      </c>
      <c r="U6256">
        <v>-0.29071039999999998</v>
      </c>
      <c r="V6256">
        <v>-8.5641549999999997E-2</v>
      </c>
      <c r="W6256">
        <v>-0.10374410000000001</v>
      </c>
      <c r="X6256">
        <v>0.99091010000000002</v>
      </c>
      <c r="Y6256">
        <v>8.4740800000000005E-2</v>
      </c>
      <c r="Z6256">
        <v>-1.0573049999999999E-3</v>
      </c>
      <c r="AA6256">
        <v>0.99640240000000002</v>
      </c>
      <c r="AB6256">
        <v>30</v>
      </c>
      <c r="AC6256">
        <v>69.651299999999907</v>
      </c>
      <c r="AD6256">
        <v>-1.1594770000000001</v>
      </c>
      <c r="AE6256">
        <v>-6.6614100000000001</v>
      </c>
      <c r="AF6256">
        <v>5.9409925067534397</v>
      </c>
      <c r="AG6256">
        <v>-1.1594770000000001</v>
      </c>
      <c r="AH6256">
        <v>69.697165768875394</v>
      </c>
      <c r="AI6256">
        <v>90.949637426213897</v>
      </c>
      <c r="AJ6256">
        <v>85.127880033189498</v>
      </c>
      <c r="AK6256">
        <v>69.959521832935096</v>
      </c>
      <c r="AL6256">
        <v>95.9548131999627</v>
      </c>
      <c r="AM6256">
        <v>94.939637024217802</v>
      </c>
      <c r="AN6256">
        <v>1.0000000698266001</v>
      </c>
    </row>
    <row r="6257" spans="1:40" x14ac:dyDescent="0.25">
      <c r="A6257" t="str">
        <f>"20190305135051228"</f>
        <v>20190305135051228</v>
      </c>
      <c r="B6257" t="str">
        <f>"1551765051225812"</f>
        <v>1551765051225812</v>
      </c>
      <c r="C6257" t="s">
        <v>40</v>
      </c>
      <c r="D6257">
        <v>4.2334949999999996</v>
      </c>
      <c r="E6257">
        <v>0.5661465</v>
      </c>
      <c r="F6257" t="s">
        <v>43</v>
      </c>
      <c r="G6257">
        <v>-309.5016</v>
      </c>
      <c r="H6257">
        <v>-0.05</v>
      </c>
      <c r="I6257">
        <v>11.018689999999999</v>
      </c>
      <c r="J6257">
        <v>-370.67599999999999</v>
      </c>
      <c r="K6257">
        <v>1.109464</v>
      </c>
      <c r="L6257">
        <v>16.96902</v>
      </c>
      <c r="M6257">
        <v>0.99989620000000001</v>
      </c>
      <c r="N6257">
        <v>-1.0218400000000001E-2</v>
      </c>
      <c r="O6257">
        <v>-1.0166369999999999E-2</v>
      </c>
      <c r="P6257">
        <v>0.99075210000000002</v>
      </c>
      <c r="Q6257">
        <v>-0.1133656</v>
      </c>
      <c r="R6257">
        <v>7.4557189999999995E-2</v>
      </c>
      <c r="S6257">
        <v>3.0442200000000001</v>
      </c>
      <c r="T6257">
        <v>-5.7555679999999998E-2</v>
      </c>
      <c r="U6257">
        <v>-0.2954407</v>
      </c>
      <c r="V6257">
        <v>-8.4556300000000001E-2</v>
      </c>
      <c r="W6257">
        <v>-0.1033013</v>
      </c>
      <c r="X6257">
        <v>0.99104950000000003</v>
      </c>
      <c r="Y6257">
        <v>8.6448269999999994E-2</v>
      </c>
      <c r="Z6257">
        <v>-1.169956E-3</v>
      </c>
      <c r="AA6257">
        <v>0.99625560000000002</v>
      </c>
      <c r="AB6257">
        <v>30</v>
      </c>
      <c r="AC6257">
        <v>61.174399999999899</v>
      </c>
      <c r="AD6257">
        <v>-1.1594640000000001</v>
      </c>
      <c r="AE6257">
        <v>-5.9503300000000001</v>
      </c>
      <c r="AF6257">
        <v>5.3261730618226197</v>
      </c>
      <c r="AG6257">
        <v>-1.1594640000000001</v>
      </c>
      <c r="AH6257">
        <v>61.209952164647497</v>
      </c>
      <c r="AI6257">
        <v>91.0811062082918</v>
      </c>
      <c r="AJ6257">
        <v>85.026944026295396</v>
      </c>
      <c r="AK6257">
        <v>61.452182388017903</v>
      </c>
      <c r="AL6257">
        <v>95.929305882994399</v>
      </c>
      <c r="AM6257">
        <v>94.876663071160607</v>
      </c>
      <c r="AN6257">
        <v>1.00000001895081</v>
      </c>
    </row>
    <row r="6258" spans="1:40" x14ac:dyDescent="0.25">
      <c r="A6258" t="str">
        <f>"20190305135051239"</f>
        <v>20190305135051239</v>
      </c>
      <c r="B6258" t="str">
        <f>"1551765051236547"</f>
        <v>1551765051236547</v>
      </c>
      <c r="C6258" t="s">
        <v>40</v>
      </c>
      <c r="D6258">
        <v>4.1224480000000003</v>
      </c>
      <c r="E6258">
        <v>0.56803000000000003</v>
      </c>
      <c r="F6258" t="s">
        <v>43</v>
      </c>
      <c r="G6258">
        <v>-314.6388</v>
      </c>
      <c r="H6258">
        <v>-0.05</v>
      </c>
      <c r="I6258">
        <v>11.54407</v>
      </c>
      <c r="J6258">
        <v>-370.5378</v>
      </c>
      <c r="K6258">
        <v>1.1094520000000001</v>
      </c>
      <c r="L6258">
        <v>16.9678</v>
      </c>
      <c r="M6258">
        <v>0.99989530000000004</v>
      </c>
      <c r="N6258">
        <v>-1.0412329999999999E-2</v>
      </c>
      <c r="O6258">
        <v>-1.005024E-2</v>
      </c>
      <c r="P6258">
        <v>0.99083449999999995</v>
      </c>
      <c r="Q6258">
        <v>-0.1132537</v>
      </c>
      <c r="R6258">
        <v>7.3625659999999996E-2</v>
      </c>
      <c r="S6258">
        <v>3.0429379999999999</v>
      </c>
      <c r="T6258">
        <v>-6.2961340000000005E-2</v>
      </c>
      <c r="U6258">
        <v>-0.29458620000000002</v>
      </c>
      <c r="V6258">
        <v>-8.3515989999999998E-2</v>
      </c>
      <c r="W6258">
        <v>-0.1029914</v>
      </c>
      <c r="X6258">
        <v>0.99116990000000005</v>
      </c>
      <c r="Y6258">
        <v>8.6323349999999993E-2</v>
      </c>
      <c r="Z6258">
        <v>-1.238425E-3</v>
      </c>
      <c r="AA6258">
        <v>0.9962664</v>
      </c>
      <c r="AB6258">
        <v>30</v>
      </c>
      <c r="AC6258">
        <v>55.898999999999901</v>
      </c>
      <c r="AD6258">
        <v>-1.1594519999999999</v>
      </c>
      <c r="AE6258">
        <v>-5.4237299999999999</v>
      </c>
      <c r="AF6258">
        <v>4.85955602032156</v>
      </c>
      <c r="AG6258">
        <v>-1.1594519999999999</v>
      </c>
      <c r="AH6258">
        <v>55.926852436535199</v>
      </c>
      <c r="AI6258">
        <v>91.1832049075268</v>
      </c>
      <c r="AJ6258">
        <v>85.033969086436798</v>
      </c>
      <c r="AK6258">
        <v>56.149554202263602</v>
      </c>
      <c r="AL6258">
        <v>95.911455056954395</v>
      </c>
      <c r="AM6258">
        <v>94.816366371906398</v>
      </c>
      <c r="AN6258">
        <v>0.99999995986282397</v>
      </c>
    </row>
    <row r="6259" spans="1:40" x14ac:dyDescent="0.25">
      <c r="A6259" t="str">
        <f>"20190305135051251"</f>
        <v>20190305135051251</v>
      </c>
      <c r="B6259" t="str">
        <f>"1551765051246307"</f>
        <v>1551765051246307</v>
      </c>
      <c r="C6259" t="s">
        <v>40</v>
      </c>
      <c r="D6259">
        <v>4.1195430000000002</v>
      </c>
      <c r="E6259">
        <v>0.56963240000000004</v>
      </c>
      <c r="F6259" t="s">
        <v>43</v>
      </c>
      <c r="G6259">
        <v>-294.47300000000001</v>
      </c>
      <c r="H6259">
        <v>-0.05</v>
      </c>
      <c r="I6259">
        <v>9.1759489999999992</v>
      </c>
      <c r="J6259">
        <v>-370.3897</v>
      </c>
      <c r="K6259">
        <v>1.1094349999999999</v>
      </c>
      <c r="L6259">
        <v>16.966460000000001</v>
      </c>
      <c r="M6259">
        <v>0.99989439999999996</v>
      </c>
      <c r="N6259">
        <v>-1.061554E-2</v>
      </c>
      <c r="O6259">
        <v>-9.92847E-3</v>
      </c>
      <c r="P6259">
        <v>0.99090060000000002</v>
      </c>
      <c r="Q6259">
        <v>-0.11332109999999999</v>
      </c>
      <c r="R6259">
        <v>7.2625549999999997E-2</v>
      </c>
      <c r="S6259">
        <v>3.0455930000000002</v>
      </c>
      <c r="T6259">
        <v>-4.642379E-2</v>
      </c>
      <c r="U6259">
        <v>-0.31198120000000001</v>
      </c>
      <c r="V6259">
        <v>-8.2401279999999993E-2</v>
      </c>
      <c r="W6259">
        <v>-0.1028514</v>
      </c>
      <c r="X6259">
        <v>0.99127779999999999</v>
      </c>
      <c r="Y6259">
        <v>9.2003409999999994E-2</v>
      </c>
      <c r="Z6259">
        <v>-1.1432219999999999E-3</v>
      </c>
      <c r="AA6259">
        <v>0.99575809999999998</v>
      </c>
      <c r="AB6259">
        <v>30</v>
      </c>
      <c r="AC6259">
        <v>75.916699999999906</v>
      </c>
      <c r="AD6259">
        <v>-1.159435</v>
      </c>
      <c r="AE6259">
        <v>-7.7905110000000004</v>
      </c>
      <c r="AF6259">
        <v>7.0347241143999701</v>
      </c>
      <c r="AG6259">
        <v>-1.159435</v>
      </c>
      <c r="AH6259">
        <v>75.9727741279534</v>
      </c>
      <c r="AI6259">
        <v>90.870610229982404</v>
      </c>
      <c r="AJ6259">
        <v>84.709763268809297</v>
      </c>
      <c r="AK6259">
        <v>76.3065792810945</v>
      </c>
      <c r="AL6259">
        <v>95.903390412119506</v>
      </c>
      <c r="AM6259">
        <v>94.751862550619094</v>
      </c>
      <c r="AN6259">
        <v>1.00000002910021</v>
      </c>
    </row>
    <row r="6260" spans="1:40" x14ac:dyDescent="0.25">
      <c r="A6260" t="str">
        <f>"20190305135051261"</f>
        <v>20190305135051261</v>
      </c>
      <c r="B6260" t="str">
        <f>"1551765051256067"</f>
        <v>1551765051256067</v>
      </c>
      <c r="C6260" t="s">
        <v>40</v>
      </c>
      <c r="D6260">
        <v>4.2598120000000002</v>
      </c>
      <c r="E6260">
        <v>0.569191</v>
      </c>
      <c r="F6260" t="s">
        <v>43</v>
      </c>
      <c r="G6260">
        <v>-260.8759</v>
      </c>
      <c r="H6260">
        <v>-0.05</v>
      </c>
      <c r="I6260">
        <v>5.1963039999999996</v>
      </c>
      <c r="J6260">
        <v>-370.22989999999999</v>
      </c>
      <c r="K6260">
        <v>1.1094170000000001</v>
      </c>
      <c r="L6260">
        <v>16.965029999999999</v>
      </c>
      <c r="M6260">
        <v>0.99989360000000005</v>
      </c>
      <c r="N6260">
        <v>-1.0801989999999999E-2</v>
      </c>
      <c r="O6260">
        <v>-9.8158169999999993E-3</v>
      </c>
      <c r="P6260">
        <v>0.9909618</v>
      </c>
      <c r="Q6260">
        <v>-0.1133962</v>
      </c>
      <c r="R6260">
        <v>7.1669990000000003E-2</v>
      </c>
      <c r="S6260">
        <v>3.047882</v>
      </c>
      <c r="T6260">
        <v>-3.2268289999999998E-2</v>
      </c>
      <c r="U6260">
        <v>-0.32757570000000003</v>
      </c>
      <c r="V6260">
        <v>-8.1340570000000001E-2</v>
      </c>
      <c r="W6260">
        <v>-0.1027362</v>
      </c>
      <c r="X6260">
        <v>0.99137730000000002</v>
      </c>
      <c r="Y6260">
        <v>9.7084840000000006E-2</v>
      </c>
      <c r="Z6260">
        <v>-1.040479E-3</v>
      </c>
      <c r="AA6260">
        <v>0.99527560000000004</v>
      </c>
      <c r="AB6260">
        <v>30</v>
      </c>
      <c r="AC6260">
        <v>109.353999999999</v>
      </c>
      <c r="AD6260">
        <v>-1.1594169999999999</v>
      </c>
      <c r="AE6260">
        <v>-11.7687259999999</v>
      </c>
      <c r="AF6260">
        <v>10.693509302147501</v>
      </c>
      <c r="AG6260">
        <v>-1.1594169999999999</v>
      </c>
      <c r="AH6260">
        <v>109.452094721742</v>
      </c>
      <c r="AI6260">
        <v>90.604030975459494</v>
      </c>
      <c r="AJ6260">
        <v>84.419891334795906</v>
      </c>
      <c r="AK6260">
        <v>109.979345460647</v>
      </c>
      <c r="AL6260">
        <v>95.896755060114302</v>
      </c>
      <c r="AM6260">
        <v>94.690500265516505</v>
      </c>
      <c r="AN6260">
        <v>0.99999998303682702</v>
      </c>
    </row>
    <row r="6261" spans="1:40" x14ac:dyDescent="0.25">
      <c r="A6261" t="str">
        <f>"20190305135051274"</f>
        <v>20190305135051274</v>
      </c>
      <c r="B6261" t="str">
        <f>"1551765051265827"</f>
        <v>1551765051265827</v>
      </c>
      <c r="C6261" t="s">
        <v>40</v>
      </c>
      <c r="D6261">
        <v>4.2744070000000001</v>
      </c>
      <c r="E6261">
        <v>0.56865129999999997</v>
      </c>
      <c r="F6261" t="s">
        <v>43</v>
      </c>
      <c r="G6261">
        <v>-274.3415</v>
      </c>
      <c r="H6261">
        <v>-0.05</v>
      </c>
      <c r="I6261">
        <v>6.6737209999999996</v>
      </c>
      <c r="J6261">
        <v>-370.0727</v>
      </c>
      <c r="K6261">
        <v>1.1093999999999999</v>
      </c>
      <c r="L6261">
        <v>16.96359</v>
      </c>
      <c r="M6261">
        <v>0.99989269999999997</v>
      </c>
      <c r="N6261">
        <v>-1.0973439999999999E-2</v>
      </c>
      <c r="O6261">
        <v>-9.7102490000000007E-3</v>
      </c>
      <c r="P6261">
        <v>0.99102970000000001</v>
      </c>
      <c r="Q6261">
        <v>-0.11339730000000001</v>
      </c>
      <c r="R6261">
        <v>7.0719320000000002E-2</v>
      </c>
      <c r="S6261">
        <v>3.0467529999999998</v>
      </c>
      <c r="T6261">
        <v>-3.6839249999999997E-2</v>
      </c>
      <c r="U6261">
        <v>-0.3269958</v>
      </c>
      <c r="V6261">
        <v>-8.0290609999999998E-2</v>
      </c>
      <c r="W6261">
        <v>-0.1025621</v>
      </c>
      <c r="X6261">
        <v>0.9914809</v>
      </c>
      <c r="Y6261">
        <v>9.7039329999999993E-2</v>
      </c>
      <c r="Z6261">
        <v>-1.108185E-3</v>
      </c>
      <c r="AA6261">
        <v>0.9952799</v>
      </c>
      <c r="AB6261">
        <v>30</v>
      </c>
      <c r="AC6261">
        <v>95.731200000000001</v>
      </c>
      <c r="AD6261">
        <v>-1.1594</v>
      </c>
      <c r="AE6261">
        <v>-10.289868999999999</v>
      </c>
      <c r="AF6261">
        <v>9.3583971358923392</v>
      </c>
      <c r="AG6261">
        <v>-1.1594</v>
      </c>
      <c r="AH6261">
        <v>95.812716423371299</v>
      </c>
      <c r="AI6261">
        <v>90.690001404584294</v>
      </c>
      <c r="AJ6261">
        <v>84.421395870930795</v>
      </c>
      <c r="AK6261">
        <v>96.275648186540096</v>
      </c>
      <c r="AL6261">
        <v>95.886726964823197</v>
      </c>
      <c r="AM6261">
        <v>94.629737629590494</v>
      </c>
      <c r="AN6261">
        <v>0.99999997073769498</v>
      </c>
    </row>
    <row r="6262" spans="1:40" x14ac:dyDescent="0.25">
      <c r="A6262" t="str">
        <f>"20190305135051285"</f>
        <v>20190305135051285</v>
      </c>
      <c r="B6262" t="str">
        <f>"1551765051276563"</f>
        <v>1551765051276563</v>
      </c>
      <c r="C6262" t="s">
        <v>40</v>
      </c>
      <c r="D6262">
        <v>4.2664109999999997</v>
      </c>
      <c r="E6262">
        <v>0.56815319999999903</v>
      </c>
      <c r="F6262" t="s">
        <v>43</v>
      </c>
      <c r="G6262">
        <v>-285.62819999999999</v>
      </c>
      <c r="H6262">
        <v>-0.05</v>
      </c>
      <c r="I6262">
        <v>7.9291989999999997</v>
      </c>
      <c r="J6262">
        <v>-369.91500000000002</v>
      </c>
      <c r="K6262">
        <v>1.1093820000000001</v>
      </c>
      <c r="L6262">
        <v>16.962219999999999</v>
      </c>
      <c r="M6262">
        <v>0.99989189999999994</v>
      </c>
      <c r="N6262">
        <v>-1.1125019999999999E-2</v>
      </c>
      <c r="O6262">
        <v>-9.6135189999999992E-3</v>
      </c>
      <c r="P6262">
        <v>0.99109100000000006</v>
      </c>
      <c r="Q6262">
        <v>-0.1133373</v>
      </c>
      <c r="R6262">
        <v>6.9951819999999998E-2</v>
      </c>
      <c r="S6262">
        <v>3.0455930000000002</v>
      </c>
      <c r="T6262">
        <v>-4.1815159999999997E-2</v>
      </c>
      <c r="U6262">
        <v>-0.32583620000000002</v>
      </c>
      <c r="V6262">
        <v>-7.9432379999999997E-2</v>
      </c>
      <c r="W6262">
        <v>-0.1023472</v>
      </c>
      <c r="X6262">
        <v>0.99157229999999996</v>
      </c>
      <c r="Y6262">
        <v>9.6798190000000006E-2</v>
      </c>
      <c r="Z6262">
        <v>-1.1776930000000001E-3</v>
      </c>
      <c r="AA6262">
        <v>0.9953033</v>
      </c>
      <c r="AB6262">
        <v>30</v>
      </c>
      <c r="AC6262">
        <v>84.286799999999999</v>
      </c>
      <c r="AD6262">
        <v>-1.1593819999999999</v>
      </c>
      <c r="AE6262">
        <v>-9.0330209999999997</v>
      </c>
      <c r="AF6262">
        <v>8.2207228765178009</v>
      </c>
      <c r="AG6262">
        <v>-1.1593819999999999</v>
      </c>
      <c r="AH6262">
        <v>84.353970024474705</v>
      </c>
      <c r="AI6262">
        <v>90.7837254490302</v>
      </c>
      <c r="AJ6262">
        <v>84.433812437222699</v>
      </c>
      <c r="AK6262">
        <v>84.761528479165705</v>
      </c>
      <c r="AL6262">
        <v>95.874348560586398</v>
      </c>
      <c r="AM6262">
        <v>94.580041448612505</v>
      </c>
      <c r="AN6262">
        <v>1.00000003923379</v>
      </c>
    </row>
    <row r="6263" spans="1:40" x14ac:dyDescent="0.25">
      <c r="A6263" t="str">
        <f>"20190305135051298"</f>
        <v>20190305135051298</v>
      </c>
      <c r="B6263" t="str">
        <f>"1551765051286324"</f>
        <v>1551765051286324</v>
      </c>
      <c r="C6263" t="s">
        <v>40</v>
      </c>
      <c r="D6263">
        <v>4.1228559999999996</v>
      </c>
      <c r="E6263">
        <v>0.56838610000000001</v>
      </c>
      <c r="F6263" t="s">
        <v>43</v>
      </c>
      <c r="G6263">
        <v>-295.25229999999999</v>
      </c>
      <c r="H6263">
        <v>-0.05</v>
      </c>
      <c r="I6263">
        <v>9.0080720000000003</v>
      </c>
      <c r="J6263">
        <v>-369.75529999999998</v>
      </c>
      <c r="K6263">
        <v>1.1093660000000001</v>
      </c>
      <c r="L6263">
        <v>16.96078</v>
      </c>
      <c r="M6263">
        <v>0.99989130000000004</v>
      </c>
      <c r="N6263">
        <v>-1.1258890000000001E-2</v>
      </c>
      <c r="O6263">
        <v>-9.5242050000000009E-3</v>
      </c>
      <c r="P6263">
        <v>0.99115160000000002</v>
      </c>
      <c r="Q6263">
        <v>-0.1133265</v>
      </c>
      <c r="R6263">
        <v>6.9106180000000003E-2</v>
      </c>
      <c r="S6263">
        <v>3.0444640000000001</v>
      </c>
      <c r="T6263">
        <v>-4.7275299999999999E-2</v>
      </c>
      <c r="U6263">
        <v>-0.32434079999999998</v>
      </c>
      <c r="V6263">
        <v>-7.8502569999999994E-2</v>
      </c>
      <c r="W6263">
        <v>-0.10219930000000001</v>
      </c>
      <c r="X6263">
        <v>0.99166149999999997</v>
      </c>
      <c r="Y6263">
        <v>9.6439300000000006E-2</v>
      </c>
      <c r="Z6263">
        <v>-1.2506139999999999E-3</v>
      </c>
      <c r="AA6263">
        <v>0.9953381</v>
      </c>
      <c r="AB6263">
        <v>30</v>
      </c>
      <c r="AC6263">
        <v>74.502999999999901</v>
      </c>
      <c r="AD6263">
        <v>-1.1593659999999999</v>
      </c>
      <c r="AE6263">
        <v>-7.9527079999999897</v>
      </c>
      <c r="AF6263">
        <v>7.2409867677921396</v>
      </c>
      <c r="AG6263">
        <v>-1.1593659999999999</v>
      </c>
      <c r="AH6263">
        <v>74.557517329057106</v>
      </c>
      <c r="AI6263">
        <v>90.886703668443104</v>
      </c>
      <c r="AJ6263">
        <v>84.452861014512393</v>
      </c>
      <c r="AK6263">
        <v>74.917283781287395</v>
      </c>
      <c r="AL6263">
        <v>95.865830427097706</v>
      </c>
      <c r="AM6263">
        <v>94.526247593921696</v>
      </c>
      <c r="AN6263">
        <v>0.99999994049967</v>
      </c>
    </row>
    <row r="6264" spans="1:40" x14ac:dyDescent="0.25">
      <c r="A6264" t="str">
        <f>"20190305135051309"</f>
        <v>20190305135051309</v>
      </c>
      <c r="B6264" t="str">
        <f>"1551765051305843"</f>
        <v>1551765051305843</v>
      </c>
      <c r="C6264" t="s">
        <v>40</v>
      </c>
      <c r="D6264">
        <v>4.1407970000000001</v>
      </c>
      <c r="E6264">
        <v>0.56798579999999999</v>
      </c>
      <c r="F6264" t="s">
        <v>43</v>
      </c>
      <c r="G6264">
        <v>-286.14999999999998</v>
      </c>
      <c r="H6264">
        <v>-0.05</v>
      </c>
      <c r="I6264">
        <v>7.9378659999999996</v>
      </c>
      <c r="J6264">
        <v>-369.59980000000002</v>
      </c>
      <c r="K6264">
        <v>1.1093459999999999</v>
      </c>
      <c r="L6264">
        <v>16.959440000000001</v>
      </c>
      <c r="M6264">
        <v>0.99989070000000002</v>
      </c>
      <c r="N6264">
        <v>-1.1380390000000001E-2</v>
      </c>
      <c r="O6264">
        <v>-9.4410220000000003E-3</v>
      </c>
      <c r="P6264">
        <v>0.99120039999999998</v>
      </c>
      <c r="Q6264">
        <v>-0.1133847</v>
      </c>
      <c r="R6264">
        <v>6.8304669999999998E-2</v>
      </c>
      <c r="S6264">
        <v>3.0448909999999998</v>
      </c>
      <c r="T6264">
        <v>-4.222393E-2</v>
      </c>
      <c r="U6264">
        <v>-0.3286133</v>
      </c>
      <c r="V6264">
        <v>-7.7623079999999997E-2</v>
      </c>
      <c r="W6264">
        <v>-0.1021331</v>
      </c>
      <c r="X6264">
        <v>0.9917376</v>
      </c>
      <c r="Y6264">
        <v>9.789088E-2</v>
      </c>
      <c r="Z6264">
        <v>-1.212065E-3</v>
      </c>
      <c r="AA6264">
        <v>0.99519639999999998</v>
      </c>
      <c r="AB6264">
        <v>30</v>
      </c>
      <c r="AC6264">
        <v>83.449799999999996</v>
      </c>
      <c r="AD6264">
        <v>-1.159346</v>
      </c>
      <c r="AE6264">
        <v>-9.0215739999999993</v>
      </c>
      <c r="AF6264">
        <v>8.2316990506036003</v>
      </c>
      <c r="AG6264">
        <v>-1.159346</v>
      </c>
      <c r="AH6264">
        <v>83.515325844978094</v>
      </c>
      <c r="AI6264">
        <v>90.791484604921706</v>
      </c>
      <c r="AJ6264">
        <v>84.370816319175702</v>
      </c>
      <c r="AK6264">
        <v>83.928032286002605</v>
      </c>
      <c r="AL6264">
        <v>95.862017203550906</v>
      </c>
      <c r="AM6264">
        <v>94.475403711895495</v>
      </c>
      <c r="AN6264">
        <v>0.99999998995902795</v>
      </c>
    </row>
    <row r="6265" spans="1:40" x14ac:dyDescent="0.25">
      <c r="A6265" t="str">
        <f>"20190305135051321"</f>
        <v>20190305135051321</v>
      </c>
      <c r="B6265" t="str">
        <f>"1551765051316579"</f>
        <v>1551765051316579</v>
      </c>
      <c r="C6265" t="s">
        <v>40</v>
      </c>
      <c r="D6265">
        <v>4.3087179999999998</v>
      </c>
      <c r="E6265">
        <v>0.56744479999999997</v>
      </c>
      <c r="F6265" t="s">
        <v>43</v>
      </c>
      <c r="G6265">
        <v>-288.07600000000002</v>
      </c>
      <c r="H6265">
        <v>-0.05</v>
      </c>
      <c r="I6265">
        <v>8.1799320000000009</v>
      </c>
      <c r="J6265">
        <v>-369.44889999999998</v>
      </c>
      <c r="K6265">
        <v>1.109329</v>
      </c>
      <c r="L6265">
        <v>16.958100000000002</v>
      </c>
      <c r="M6265">
        <v>0.99989039999999996</v>
      </c>
      <c r="N6265">
        <v>-1.1467639999999999E-2</v>
      </c>
      <c r="O6265">
        <v>-9.3729099999999999E-3</v>
      </c>
      <c r="P6265">
        <v>0.99127969999999999</v>
      </c>
      <c r="Q6265">
        <v>-0.1132768</v>
      </c>
      <c r="R6265">
        <v>6.7327059999999994E-2</v>
      </c>
      <c r="S6265">
        <v>3.0443120000000001</v>
      </c>
      <c r="T6265">
        <v>-4.3292999999999998E-2</v>
      </c>
      <c r="U6265">
        <v>-0.32785029999999998</v>
      </c>
      <c r="V6265">
        <v>-7.6582339999999999E-2</v>
      </c>
      <c r="W6265">
        <v>-0.1019346</v>
      </c>
      <c r="X6265">
        <v>0.99183889999999997</v>
      </c>
      <c r="Y6265">
        <v>9.773163E-2</v>
      </c>
      <c r="Z6265">
        <v>-1.2292500000000001E-3</v>
      </c>
      <c r="AA6265">
        <v>0.99521199999999999</v>
      </c>
      <c r="AB6265">
        <v>30</v>
      </c>
      <c r="AC6265">
        <v>81.372900000000001</v>
      </c>
      <c r="AD6265">
        <v>-1.1593290000000001</v>
      </c>
      <c r="AE6265">
        <v>-8.7781679999999902</v>
      </c>
      <c r="AF6265">
        <v>8.0134235393076203</v>
      </c>
      <c r="AG6265">
        <v>-1.1593290000000001</v>
      </c>
      <c r="AH6265">
        <v>81.4352678658164</v>
      </c>
      <c r="AI6265">
        <v>90.811699389761699</v>
      </c>
      <c r="AJ6265">
        <v>84.380052144822002</v>
      </c>
      <c r="AK6265">
        <v>81.836800114177393</v>
      </c>
      <c r="AL6265">
        <v>95.8505844950095</v>
      </c>
      <c r="AM6265">
        <v>94.415188955351198</v>
      </c>
      <c r="AN6265">
        <v>0.99999996051512197</v>
      </c>
    </row>
    <row r="6266" spans="1:40" x14ac:dyDescent="0.25">
      <c r="A6266" t="str">
        <f>"20190305135051334"</f>
        <v>20190305135051334</v>
      </c>
      <c r="B6266" t="str">
        <f>"1551765051326339"</f>
        <v>1551765051326339</v>
      </c>
      <c r="C6266" t="s">
        <v>40</v>
      </c>
      <c r="D6266">
        <v>4.2069269999999896</v>
      </c>
      <c r="E6266">
        <v>0.56762089999999998</v>
      </c>
      <c r="F6266" t="s">
        <v>43</v>
      </c>
      <c r="G6266">
        <v>-296.96449999999999</v>
      </c>
      <c r="H6266">
        <v>-0.05</v>
      </c>
      <c r="I6266">
        <v>9.1784669999999995</v>
      </c>
      <c r="J6266">
        <v>-369.2783</v>
      </c>
      <c r="K6266">
        <v>1.1093059999999999</v>
      </c>
      <c r="L6266">
        <v>16.956600000000002</v>
      </c>
      <c r="M6266">
        <v>0.99988999999999995</v>
      </c>
      <c r="N6266">
        <v>-1.155403E-2</v>
      </c>
      <c r="O6266">
        <v>-9.2992279999999997E-3</v>
      </c>
      <c r="P6266">
        <v>0.99137819999999999</v>
      </c>
      <c r="Q6266">
        <v>-0.11298660000000001</v>
      </c>
      <c r="R6266">
        <v>6.6357920000000001E-2</v>
      </c>
      <c r="S6266">
        <v>3.042999</v>
      </c>
      <c r="T6266">
        <v>-4.8670289999999998E-2</v>
      </c>
      <c r="U6266">
        <v>-0.32659909999999998</v>
      </c>
      <c r="V6266">
        <v>-7.5545719999999997E-2</v>
      </c>
      <c r="W6266">
        <v>-0.10155400000000001</v>
      </c>
      <c r="X6266">
        <v>0.99195750000000005</v>
      </c>
      <c r="Y6266">
        <v>9.7442570000000006E-2</v>
      </c>
      <c r="Z6266">
        <v>-1.3004710000000001E-3</v>
      </c>
      <c r="AA6266">
        <v>0.99524029999999997</v>
      </c>
      <c r="AB6266">
        <v>30</v>
      </c>
      <c r="AC6266">
        <v>72.313800000000001</v>
      </c>
      <c r="AD6266">
        <v>-1.1593059999999999</v>
      </c>
      <c r="AE6266">
        <v>-7.7781330000000004</v>
      </c>
      <c r="AF6266">
        <v>7.1034844270067099</v>
      </c>
      <c r="AG6266">
        <v>-1.1593059999999999</v>
      </c>
      <c r="AH6266">
        <v>72.364622403940601</v>
      </c>
      <c r="AI6266">
        <v>90.913429929412402</v>
      </c>
      <c r="AJ6266">
        <v>84.393670456143994</v>
      </c>
      <c r="AK6266">
        <v>72.721675290598697</v>
      </c>
      <c r="AL6266">
        <v>95.828663580997599</v>
      </c>
      <c r="AM6266">
        <v>94.355137666982401</v>
      </c>
      <c r="AN6266">
        <v>1.00000002626628</v>
      </c>
    </row>
    <row r="6267" spans="1:40" x14ac:dyDescent="0.25">
      <c r="A6267" t="str">
        <f>"20190305135051353"</f>
        <v>20190305135051353</v>
      </c>
      <c r="B6267" t="str">
        <f>"1551765051345859"</f>
        <v>1551765051345859</v>
      </c>
      <c r="C6267" t="s">
        <v>40</v>
      </c>
      <c r="D6267">
        <v>4.1568769999999997</v>
      </c>
      <c r="E6267">
        <v>0.56799069999999996</v>
      </c>
      <c r="F6267" t="s">
        <v>43</v>
      </c>
      <c r="G6267">
        <v>-290.1961</v>
      </c>
      <c r="H6267">
        <v>-0.05</v>
      </c>
      <c r="I6267">
        <v>8.3591460000000009</v>
      </c>
      <c r="J6267">
        <v>-369.0136</v>
      </c>
      <c r="K6267">
        <v>1.109267</v>
      </c>
      <c r="L6267">
        <v>16.954279999999901</v>
      </c>
      <c r="M6267">
        <v>0.9998899</v>
      </c>
      <c r="N6267">
        <v>-1.163814E-2</v>
      </c>
      <c r="O6267">
        <v>-9.1996990000000004E-3</v>
      </c>
      <c r="P6267">
        <v>0.9915081</v>
      </c>
      <c r="Q6267">
        <v>-0.1131147</v>
      </c>
      <c r="R6267">
        <v>6.4163189999999995E-2</v>
      </c>
      <c r="S6267">
        <v>3.0431819999999998</v>
      </c>
      <c r="T6267">
        <v>-4.4611570000000003E-2</v>
      </c>
      <c r="U6267">
        <v>-0.330841099999999</v>
      </c>
      <c r="V6267">
        <v>-7.3260169999999999E-2</v>
      </c>
      <c r="W6267">
        <v>-0.1015914</v>
      </c>
      <c r="X6267">
        <v>0.99212500000000003</v>
      </c>
      <c r="Y6267">
        <v>9.8908800000000005E-2</v>
      </c>
      <c r="Z6267">
        <v>-1.27246E-3</v>
      </c>
      <c r="AA6267">
        <v>0.99509570000000003</v>
      </c>
      <c r="AB6267">
        <v>30</v>
      </c>
      <c r="AC6267">
        <v>78.817499999999995</v>
      </c>
      <c r="AD6267">
        <v>-1.159267</v>
      </c>
      <c r="AE6267">
        <v>-8.5951339999999892</v>
      </c>
      <c r="AF6267">
        <v>7.8679417077265601</v>
      </c>
      <c r="AG6267">
        <v>-1.159267</v>
      </c>
      <c r="AH6267">
        <v>78.876379162260804</v>
      </c>
      <c r="AI6267">
        <v>90.837873041814404</v>
      </c>
      <c r="AJ6267">
        <v>84.303572876095103</v>
      </c>
      <c r="AK6267">
        <v>79.276299083914196</v>
      </c>
      <c r="AL6267">
        <v>95.830818086073904</v>
      </c>
      <c r="AM6267">
        <v>94.223151645482801</v>
      </c>
      <c r="AN6267">
        <v>0.999999940343692</v>
      </c>
    </row>
    <row r="6268" spans="1:40" x14ac:dyDescent="0.25">
      <c r="A6268" t="str">
        <f>"20190305135051367"</f>
        <v>20190305135051367</v>
      </c>
      <c r="B6268" t="str">
        <f>"1551765051356596"</f>
        <v>1551765051356596</v>
      </c>
      <c r="C6268" t="s">
        <v>40</v>
      </c>
      <c r="D6268">
        <v>4.2326059999999996</v>
      </c>
      <c r="E6268">
        <v>0.56807869999999905</v>
      </c>
      <c r="F6268" t="s">
        <v>43</v>
      </c>
      <c r="G6268">
        <v>-278.48239999999998</v>
      </c>
      <c r="H6268">
        <v>-0.05</v>
      </c>
      <c r="I6268">
        <v>6.83009299999999</v>
      </c>
      <c r="J6268">
        <v>-368.82499999999999</v>
      </c>
      <c r="K6268">
        <v>1.1092360000000001</v>
      </c>
      <c r="L6268">
        <v>16.95261</v>
      </c>
      <c r="M6268">
        <v>0.9998901</v>
      </c>
      <c r="N6268">
        <v>-1.1670979999999999E-2</v>
      </c>
      <c r="O6268">
        <v>-9.1391219999999995E-3</v>
      </c>
      <c r="P6268">
        <v>0.99158109999999999</v>
      </c>
      <c r="Q6268">
        <v>-0.1129434</v>
      </c>
      <c r="R6268">
        <v>6.3330700000000004E-2</v>
      </c>
      <c r="S6268">
        <v>3.0432739999999998</v>
      </c>
      <c r="T6268">
        <v>-3.896964E-2</v>
      </c>
      <c r="U6268">
        <v>-0.34033200000000002</v>
      </c>
      <c r="V6268">
        <v>-7.2373220000000002E-2</v>
      </c>
      <c r="W6268">
        <v>-0.101383</v>
      </c>
      <c r="X6268">
        <v>0.99221150000000002</v>
      </c>
      <c r="Y6268">
        <v>0.1020345</v>
      </c>
      <c r="Z6268">
        <v>-1.2382719999999999E-3</v>
      </c>
      <c r="AA6268">
        <v>0.99478009999999994</v>
      </c>
      <c r="AB6268">
        <v>30</v>
      </c>
      <c r="AC6268">
        <v>90.342600000000004</v>
      </c>
      <c r="AD6268">
        <v>-1.1592359999999999</v>
      </c>
      <c r="AE6268">
        <v>-10.122517</v>
      </c>
      <c r="AF6268">
        <v>9.2948744817258007</v>
      </c>
      <c r="AG6268">
        <v>-1.1592359999999999</v>
      </c>
      <c r="AH6268">
        <v>90.416641348503006</v>
      </c>
      <c r="AI6268">
        <v>90.730701195181595</v>
      </c>
      <c r="AJ6268">
        <v>84.130584072337498</v>
      </c>
      <c r="AK6268">
        <v>90.900536590707503</v>
      </c>
      <c r="AL6268">
        <v>95.818815161602302</v>
      </c>
      <c r="AM6268">
        <v>94.171841783156495</v>
      </c>
      <c r="AN6268">
        <v>1.0000000281971999</v>
      </c>
    </row>
    <row r="6269" spans="1:40" x14ac:dyDescent="0.25">
      <c r="A6269" t="str">
        <f>"20190305135051384"</f>
        <v>20190305135051384</v>
      </c>
      <c r="B6269" t="str">
        <f>"1551765051376115"</f>
        <v>1551765051376115</v>
      </c>
      <c r="C6269" t="s">
        <v>40</v>
      </c>
      <c r="D6269">
        <v>4.2223509999999997</v>
      </c>
      <c r="E6269">
        <v>0.56826779999999999</v>
      </c>
      <c r="F6269" t="s">
        <v>43</v>
      </c>
      <c r="G6269">
        <v>-271.28789999999998</v>
      </c>
      <c r="H6269">
        <v>-0.05</v>
      </c>
      <c r="I6269">
        <v>5.9460449999999998</v>
      </c>
      <c r="J6269">
        <v>-368.59289999999999</v>
      </c>
      <c r="K6269">
        <v>1.109191</v>
      </c>
      <c r="L6269">
        <v>16.950559999999999</v>
      </c>
      <c r="M6269">
        <v>0.99989059999999996</v>
      </c>
      <c r="N6269">
        <v>-1.1680909999999999E-2</v>
      </c>
      <c r="O6269">
        <v>-9.0819149999999994E-3</v>
      </c>
      <c r="P6269">
        <v>0.99169779999999996</v>
      </c>
      <c r="Q6269">
        <v>-0.1128772</v>
      </c>
      <c r="R6269">
        <v>6.1597369999999999E-2</v>
      </c>
      <c r="S6269">
        <v>3.0432429999999999</v>
      </c>
      <c r="T6269">
        <v>-3.616917E-2</v>
      </c>
      <c r="U6269">
        <v>-0.34341430000000001</v>
      </c>
      <c r="V6269">
        <v>-7.0589550000000001E-2</v>
      </c>
      <c r="W6269">
        <v>-0.10130119999999999</v>
      </c>
      <c r="X6269">
        <v>0.99234829999999996</v>
      </c>
      <c r="Y6269">
        <v>0.103088899999999</v>
      </c>
      <c r="Z6269">
        <v>-1.2128919999999999E-3</v>
      </c>
      <c r="AA6269">
        <v>0.99467139999999998</v>
      </c>
      <c r="AB6269">
        <v>30</v>
      </c>
      <c r="AC6269">
        <v>97.305000000000007</v>
      </c>
      <c r="AD6269">
        <v>-1.1591910000000001</v>
      </c>
      <c r="AE6269">
        <v>-11.004515</v>
      </c>
      <c r="AF6269">
        <v>10.118867201158601</v>
      </c>
      <c r="AG6269">
        <v>-1.1591910000000001</v>
      </c>
      <c r="AH6269">
        <v>97.387288796690399</v>
      </c>
      <c r="AI6269">
        <v>90.678302362588497</v>
      </c>
      <c r="AJ6269">
        <v>84.068061378805893</v>
      </c>
      <c r="AK6269">
        <v>97.918431443621202</v>
      </c>
      <c r="AL6269">
        <v>95.814104375872105</v>
      </c>
      <c r="AM6269">
        <v>94.068815557680196</v>
      </c>
      <c r="AN6269">
        <v>0.99999998310176597</v>
      </c>
    </row>
    <row r="6270" spans="1:40" x14ac:dyDescent="0.25">
      <c r="A6270" t="str">
        <f>"20190305135051396"</f>
        <v>20190305135051396</v>
      </c>
      <c r="B6270" t="str">
        <f>"1551765051385875"</f>
        <v>1551765051385875</v>
      </c>
      <c r="C6270" t="s">
        <v>40</v>
      </c>
      <c r="D6270">
        <v>4.5810320000000004</v>
      </c>
      <c r="E6270">
        <v>0.5678105</v>
      </c>
      <c r="F6270" t="s">
        <v>43</v>
      </c>
      <c r="G6270">
        <v>-252.4777</v>
      </c>
      <c r="H6270">
        <v>-0.05</v>
      </c>
      <c r="I6270">
        <v>3.6015009999999998</v>
      </c>
      <c r="J6270">
        <v>-368.44439999999997</v>
      </c>
      <c r="K6270">
        <v>1.1091629999999999</v>
      </c>
      <c r="L6270">
        <v>16.949249999999999</v>
      </c>
      <c r="M6270">
        <v>0.99989110000000003</v>
      </c>
      <c r="N6270">
        <v>-1.1659040000000001E-2</v>
      </c>
      <c r="O6270">
        <v>-9.0541960000000005E-3</v>
      </c>
      <c r="P6270">
        <v>0.99176679999999995</v>
      </c>
      <c r="Q6270">
        <v>-0.1126537</v>
      </c>
      <c r="R6270">
        <v>6.0892479999999999E-2</v>
      </c>
      <c r="S6270">
        <v>3.0434269999999999</v>
      </c>
      <c r="T6270">
        <v>-3.0382869999999999E-2</v>
      </c>
      <c r="U6270">
        <v>-0.34988399999999997</v>
      </c>
      <c r="V6270">
        <v>-6.9861339999999994E-2</v>
      </c>
      <c r="W6270">
        <v>-0.1010962</v>
      </c>
      <c r="X6270">
        <v>0.99242070000000004</v>
      </c>
      <c r="Y6270">
        <v>0.1052001</v>
      </c>
      <c r="Z6270">
        <v>-1.153867E-3</v>
      </c>
      <c r="AA6270">
        <v>0.99445039999999996</v>
      </c>
      <c r="AB6270">
        <v>30</v>
      </c>
      <c r="AC6270">
        <v>115.96669999999899</v>
      </c>
      <c r="AD6270">
        <v>-1.1591629999999999</v>
      </c>
      <c r="AE6270">
        <v>-13.347749</v>
      </c>
      <c r="AF6270">
        <v>12.2959328008029</v>
      </c>
      <c r="AG6270">
        <v>-1.1591629999999999</v>
      </c>
      <c r="AH6270">
        <v>116.07136179317899</v>
      </c>
      <c r="AI6270">
        <v>90.568989847049593</v>
      </c>
      <c r="AJ6270">
        <v>83.952967267950498</v>
      </c>
      <c r="AK6270">
        <v>116.726580738175</v>
      </c>
      <c r="AL6270">
        <v>95.802298339753094</v>
      </c>
      <c r="AM6270">
        <v>94.026687180814093</v>
      </c>
      <c r="AN6270">
        <v>0.99999994713476104</v>
      </c>
    </row>
    <row r="6271" spans="1:40" x14ac:dyDescent="0.25">
      <c r="A6271" t="str">
        <f>"20190305135051407"</f>
        <v>20190305135051407</v>
      </c>
      <c r="B6271" t="str">
        <f>"1551765051396612"</f>
        <v>1551765051396612</v>
      </c>
      <c r="C6271" t="s">
        <v>40</v>
      </c>
      <c r="D6271">
        <v>4.3952339999999896</v>
      </c>
      <c r="E6271">
        <v>0.56740840000000003</v>
      </c>
      <c r="F6271" t="s">
        <v>43</v>
      </c>
      <c r="G6271">
        <v>-262.5926</v>
      </c>
      <c r="H6271">
        <v>-0.05</v>
      </c>
      <c r="I6271">
        <v>4.8243710000000002</v>
      </c>
      <c r="J6271">
        <v>-368.2937</v>
      </c>
      <c r="K6271">
        <v>1.1091390000000001</v>
      </c>
      <c r="L6271">
        <v>16.94791</v>
      </c>
      <c r="M6271">
        <v>0.99989170000000005</v>
      </c>
      <c r="N6271">
        <v>-1.1617830000000001E-2</v>
      </c>
      <c r="O6271">
        <v>-9.0318399999999993E-3</v>
      </c>
      <c r="P6271">
        <v>0.99180769999999996</v>
      </c>
      <c r="Q6271">
        <v>-0.112681</v>
      </c>
      <c r="R6271">
        <v>6.0170700000000001E-2</v>
      </c>
      <c r="S6271">
        <v>3.0425420000000001</v>
      </c>
      <c r="T6271">
        <v>-3.3318279999999999E-2</v>
      </c>
      <c r="U6271">
        <v>-0.34851070000000001</v>
      </c>
      <c r="V6271">
        <v>-6.9120730000000005E-2</v>
      </c>
      <c r="W6271">
        <v>-0.10116169999999999</v>
      </c>
      <c r="X6271">
        <v>0.99246590000000001</v>
      </c>
      <c r="Y6271">
        <v>0.1048105</v>
      </c>
      <c r="Z6271">
        <v>-1.1889100000000001E-3</v>
      </c>
      <c r="AA6271">
        <v>0.99449149999999997</v>
      </c>
      <c r="AB6271">
        <v>30</v>
      </c>
      <c r="AC6271">
        <v>105.7011</v>
      </c>
      <c r="AD6271">
        <v>-1.1591389999999999</v>
      </c>
      <c r="AE6271">
        <v>-12.123538999999999</v>
      </c>
      <c r="AF6271">
        <v>11.166979087117401</v>
      </c>
      <c r="AG6271">
        <v>-1.1591389999999999</v>
      </c>
      <c r="AH6271">
        <v>105.793736057882</v>
      </c>
      <c r="AI6271">
        <v>90.624273642948793</v>
      </c>
      <c r="AJ6271">
        <v>83.974498636603997</v>
      </c>
      <c r="AK6271">
        <v>106.387779440302</v>
      </c>
      <c r="AL6271">
        <v>95.806070455540805</v>
      </c>
      <c r="AM6271">
        <v>93.9839570357817</v>
      </c>
      <c r="AN6271">
        <v>0.99999996376271505</v>
      </c>
    </row>
    <row r="6272" spans="1:40" x14ac:dyDescent="0.25">
      <c r="A6272" t="str">
        <f>"20190305135051418"</f>
        <v>20190305135051418</v>
      </c>
      <c r="B6272" t="str">
        <f>"1551765051406373"</f>
        <v>1551765051406373</v>
      </c>
      <c r="C6272" t="s">
        <v>40</v>
      </c>
      <c r="D6272">
        <v>4.4812890000000003</v>
      </c>
      <c r="E6272">
        <v>0.56745040000000002</v>
      </c>
      <c r="F6272" t="s">
        <v>43</v>
      </c>
      <c r="G6272">
        <v>-272.86410000000001</v>
      </c>
      <c r="H6272">
        <v>-0.05</v>
      </c>
      <c r="I6272">
        <v>6.0451199999999998</v>
      </c>
      <c r="J6272">
        <v>-368.15089999999998</v>
      </c>
      <c r="K6272">
        <v>1.109105</v>
      </c>
      <c r="L6272">
        <v>16.946619999999999</v>
      </c>
      <c r="M6272">
        <v>0.99989280000000003</v>
      </c>
      <c r="N6272">
        <v>-1.15441E-2</v>
      </c>
      <c r="O6272">
        <v>-9.0205919999999992E-3</v>
      </c>
      <c r="P6272">
        <v>0.9918901</v>
      </c>
      <c r="Q6272">
        <v>-0.1124206</v>
      </c>
      <c r="R6272">
        <v>5.9294449999999999E-2</v>
      </c>
      <c r="S6272">
        <v>3.0416259999999999</v>
      </c>
      <c r="T6272">
        <v>-3.6945220000000001E-2</v>
      </c>
      <c r="U6272">
        <v>-0.34750370000000003</v>
      </c>
      <c r="V6272">
        <v>-6.8236610000000003E-2</v>
      </c>
      <c r="W6272">
        <v>-0.1009718</v>
      </c>
      <c r="X6272">
        <v>0.99254640000000005</v>
      </c>
      <c r="Y6272">
        <v>0.1045285</v>
      </c>
      <c r="Z6272">
        <v>-1.2327309999999999E-3</v>
      </c>
      <c r="AA6272">
        <v>0.99452110000000005</v>
      </c>
      <c r="AB6272">
        <v>30</v>
      </c>
      <c r="AC6272">
        <v>95.2867999999999</v>
      </c>
      <c r="AD6272">
        <v>-1.1591049999999901</v>
      </c>
      <c r="AE6272">
        <v>-10.9015</v>
      </c>
      <c r="AF6272">
        <v>10.039989435134</v>
      </c>
      <c r="AG6272">
        <v>-1.1591049999999901</v>
      </c>
      <c r="AH6272">
        <v>95.367337744234007</v>
      </c>
      <c r="AI6272">
        <v>90.692518125873207</v>
      </c>
      <c r="AJ6272">
        <v>83.990208322069904</v>
      </c>
      <c r="AK6272">
        <v>95.901376531734101</v>
      </c>
      <c r="AL6272">
        <v>95.795134081157101</v>
      </c>
      <c r="AM6272">
        <v>93.932841403194502</v>
      </c>
      <c r="AN6272">
        <v>0.99999994774624401</v>
      </c>
    </row>
    <row r="6273" spans="1:40" x14ac:dyDescent="0.25">
      <c r="A6273" t="str">
        <f>"20190305135051430"</f>
        <v>20190305135051430</v>
      </c>
      <c r="B6273" t="str">
        <f>"1551765051425891"</f>
        <v>1551765051425891</v>
      </c>
      <c r="C6273" t="s">
        <v>40</v>
      </c>
      <c r="D6273">
        <v>4.38598</v>
      </c>
      <c r="E6273">
        <v>0.56849320000000003</v>
      </c>
      <c r="F6273" t="s">
        <v>43</v>
      </c>
      <c r="G6273">
        <v>-276.11110000000002</v>
      </c>
      <c r="H6273">
        <v>-0.05</v>
      </c>
      <c r="I6273">
        <v>6.3379969999999997</v>
      </c>
      <c r="J6273">
        <v>-367.99029999999999</v>
      </c>
      <c r="K6273">
        <v>1.1090679999999999</v>
      </c>
      <c r="L6273">
        <v>16.945219999999999</v>
      </c>
      <c r="M6273">
        <v>0.99989399999999995</v>
      </c>
      <c r="N6273">
        <v>-1.1449269999999999E-2</v>
      </c>
      <c r="O6273">
        <v>-9.0113840000000008E-3</v>
      </c>
      <c r="P6273">
        <v>0.99193489999999995</v>
      </c>
      <c r="Q6273">
        <v>-0.11251800000000001</v>
      </c>
      <c r="R6273">
        <v>5.835444E-2</v>
      </c>
      <c r="S6273">
        <v>3.0411380000000001</v>
      </c>
      <c r="T6273">
        <v>-3.8298609999999997E-2</v>
      </c>
      <c r="U6273">
        <v>-0.35052489999999997</v>
      </c>
      <c r="V6273">
        <v>-6.7290589999999997E-2</v>
      </c>
      <c r="W6273">
        <v>-0.1011608</v>
      </c>
      <c r="X6273">
        <v>0.99259180000000002</v>
      </c>
      <c r="Y6273">
        <v>0.10552980000000001</v>
      </c>
      <c r="Z6273">
        <v>-1.2582159999999999E-3</v>
      </c>
      <c r="AA6273">
        <v>0.9944153</v>
      </c>
      <c r="AB6273">
        <v>30</v>
      </c>
      <c r="AC6273">
        <v>91.879199999999898</v>
      </c>
      <c r="AD6273">
        <v>-1.159068</v>
      </c>
      <c r="AE6273">
        <v>-10.607222999999999</v>
      </c>
      <c r="AF6273">
        <v>9.7772438552101608</v>
      </c>
      <c r="AG6273">
        <v>-1.159068</v>
      </c>
      <c r="AH6273">
        <v>91.956619286335794</v>
      </c>
      <c r="AI6273">
        <v>90.718099715121994</v>
      </c>
      <c r="AJ6273">
        <v>83.930855292270707</v>
      </c>
      <c r="AK6273">
        <v>92.482202431629901</v>
      </c>
      <c r="AL6273">
        <v>95.806018376241894</v>
      </c>
      <c r="AM6273">
        <v>93.878307920181896</v>
      </c>
      <c r="AN6273">
        <v>1.0000000061932099</v>
      </c>
    </row>
    <row r="6274" spans="1:40" x14ac:dyDescent="0.25">
      <c r="A6274" t="str">
        <f>"20190305135051442"</f>
        <v>20190305135051442</v>
      </c>
      <c r="B6274" t="str">
        <f>"1551765051436627"</f>
        <v>1551765051436627</v>
      </c>
      <c r="C6274" t="s">
        <v>40</v>
      </c>
      <c r="D6274">
        <v>4.3376219999999996</v>
      </c>
      <c r="E6274">
        <v>0.56908019999999904</v>
      </c>
      <c r="F6274" t="s">
        <v>43</v>
      </c>
      <c r="G6274">
        <v>-282.36649999999997</v>
      </c>
      <c r="H6274">
        <v>-0.05</v>
      </c>
      <c r="I6274">
        <v>6.7595210000000003</v>
      </c>
      <c r="J6274">
        <v>-367.82499999999999</v>
      </c>
      <c r="K6274">
        <v>1.1090230000000001</v>
      </c>
      <c r="L6274">
        <v>16.943729999999999</v>
      </c>
      <c r="M6274">
        <v>0.99989530000000004</v>
      </c>
      <c r="N6274">
        <v>-1.1314650000000001E-2</v>
      </c>
      <c r="O6274">
        <v>-9.0214079999999999E-3</v>
      </c>
      <c r="P6274">
        <v>0.99199630000000005</v>
      </c>
      <c r="Q6274">
        <v>-0.1122718</v>
      </c>
      <c r="R6274">
        <v>5.7780850000000002E-2</v>
      </c>
      <c r="S6274">
        <v>3.0410159999999999</v>
      </c>
      <c r="T6274">
        <v>-4.1165470000000003E-2</v>
      </c>
      <c r="U6274">
        <v>-0.3617554</v>
      </c>
      <c r="V6274">
        <v>-6.6730499999999998E-2</v>
      </c>
      <c r="W6274">
        <v>-0.1010455</v>
      </c>
      <c r="X6274">
        <v>0.99264129999999995</v>
      </c>
      <c r="Y6274">
        <v>0.10914409999999999</v>
      </c>
      <c r="Z6274">
        <v>-1.3358679999999901E-3</v>
      </c>
      <c r="AA6274">
        <v>0.99402509999999999</v>
      </c>
      <c r="AB6274">
        <v>30</v>
      </c>
      <c r="AC6274">
        <v>85.458500000000001</v>
      </c>
      <c r="AD6274">
        <v>-1.1590229999999999</v>
      </c>
      <c r="AE6274">
        <v>-10.184208999999999</v>
      </c>
      <c r="AF6274">
        <v>9.4110823466725098</v>
      </c>
      <c r="AG6274">
        <v>-1.1590229999999999</v>
      </c>
      <c r="AH6274">
        <v>85.531391467450902</v>
      </c>
      <c r="AI6274">
        <v>90.771702173117404</v>
      </c>
      <c r="AJ6274">
        <v>83.720961267285901</v>
      </c>
      <c r="AK6274">
        <v>86.055393390587199</v>
      </c>
      <c r="AL6274">
        <v>95.799378465821505</v>
      </c>
      <c r="AM6274">
        <v>93.845933082625095</v>
      </c>
      <c r="AN6274">
        <v>0.99999995158309296</v>
      </c>
    </row>
    <row r="6275" spans="1:40" x14ac:dyDescent="0.25">
      <c r="A6275" t="str">
        <f>"20190305135051454"</f>
        <v>20190305135051454</v>
      </c>
      <c r="B6275" t="str">
        <f>"1551765051446388"</f>
        <v>1551765051446388</v>
      </c>
      <c r="C6275" t="s">
        <v>40</v>
      </c>
      <c r="D6275">
        <v>4.3526369999999996</v>
      </c>
      <c r="E6275">
        <v>0.56960619999999995</v>
      </c>
      <c r="F6275" t="s">
        <v>43</v>
      </c>
      <c r="G6275">
        <v>-280.98349999999999</v>
      </c>
      <c r="H6275">
        <v>-0.05</v>
      </c>
      <c r="I6275">
        <v>6.4302669999999997</v>
      </c>
      <c r="J6275">
        <v>-367.67380000000003</v>
      </c>
      <c r="K6275">
        <v>1.1089819999999999</v>
      </c>
      <c r="L6275">
        <v>16.942350000000001</v>
      </c>
      <c r="M6275">
        <v>0.99989680000000003</v>
      </c>
      <c r="N6275">
        <v>-1.118475E-2</v>
      </c>
      <c r="O6275">
        <v>-9.0374189999999997E-3</v>
      </c>
      <c r="P6275">
        <v>0.99206190000000005</v>
      </c>
      <c r="Q6275">
        <v>-0.11203539999999999</v>
      </c>
      <c r="R6275">
        <v>5.7111469999999998E-2</v>
      </c>
      <c r="S6275">
        <v>3.0410460000000001</v>
      </c>
      <c r="T6275">
        <v>-4.0587070000000003E-2</v>
      </c>
      <c r="U6275">
        <v>-0.36816409999999999</v>
      </c>
      <c r="V6275">
        <v>-6.6080879999999995E-2</v>
      </c>
      <c r="W6275">
        <v>-0.10093530000000001</v>
      </c>
      <c r="X6275">
        <v>0.99269600000000002</v>
      </c>
      <c r="Y6275">
        <v>0.111192</v>
      </c>
      <c r="Z6275">
        <v>-1.3440100000000001E-3</v>
      </c>
      <c r="AA6275">
        <v>0.99379799999999996</v>
      </c>
      <c r="AB6275">
        <v>30</v>
      </c>
      <c r="AC6275">
        <v>86.690299999999993</v>
      </c>
      <c r="AD6275">
        <v>-1.158982</v>
      </c>
      <c r="AE6275">
        <v>-10.512083000000001</v>
      </c>
      <c r="AF6275">
        <v>9.7264349543456792</v>
      </c>
      <c r="AG6275">
        <v>-1.158982</v>
      </c>
      <c r="AH6275">
        <v>86.766483720774602</v>
      </c>
      <c r="AI6275">
        <v>90.760519071792899</v>
      </c>
      <c r="AJ6275">
        <v>83.603903456313105</v>
      </c>
      <c r="AK6275">
        <v>87.317635523786905</v>
      </c>
      <c r="AL6275">
        <v>95.793031841446904</v>
      </c>
      <c r="AM6275">
        <v>93.808394490427901</v>
      </c>
      <c r="AN6275">
        <v>0.99999998295183201</v>
      </c>
    </row>
    <row r="6276" spans="1:40" x14ac:dyDescent="0.25">
      <c r="A6276" t="str">
        <f>"20190305135051464"</f>
        <v>20190305135051464</v>
      </c>
      <c r="B6276" t="str">
        <f>"1551765051456148"</f>
        <v>1551765051456148</v>
      </c>
      <c r="C6276" t="s">
        <v>40</v>
      </c>
      <c r="D6276">
        <v>4.3617350000000004</v>
      </c>
      <c r="E6276">
        <v>0.57013619999999898</v>
      </c>
      <c r="F6276" t="s">
        <v>43</v>
      </c>
      <c r="G6276">
        <v>-278.69279999999998</v>
      </c>
      <c r="H6276">
        <v>-0.05</v>
      </c>
      <c r="I6276">
        <v>5.9912869999999998</v>
      </c>
      <c r="J6276">
        <v>-367.52199999999999</v>
      </c>
      <c r="K6276">
        <v>1.10894</v>
      </c>
      <c r="L6276">
        <v>16.940950000000001</v>
      </c>
      <c r="M6276">
        <v>0.99989810000000001</v>
      </c>
      <c r="N6276">
        <v>-1.104171E-2</v>
      </c>
      <c r="O6276">
        <v>-9.0661400000000003E-3</v>
      </c>
      <c r="P6276">
        <v>0.99213870000000004</v>
      </c>
      <c r="Q6276">
        <v>-0.11165990000000001</v>
      </c>
      <c r="R6276">
        <v>5.6508120000000002E-2</v>
      </c>
      <c r="S6276">
        <v>3.0410460000000001</v>
      </c>
      <c r="T6276">
        <v>-3.9609789999999999E-2</v>
      </c>
      <c r="U6276">
        <v>-0.37426759999999998</v>
      </c>
      <c r="V6276">
        <v>-6.5509689999999995E-2</v>
      </c>
      <c r="W6276">
        <v>-0.1006987</v>
      </c>
      <c r="X6276">
        <v>0.99275789999999997</v>
      </c>
      <c r="Y6276">
        <v>0.11312899999999999</v>
      </c>
      <c r="Z6276">
        <v>-1.343066E-3</v>
      </c>
      <c r="AA6276">
        <v>0.9935794</v>
      </c>
      <c r="AB6276">
        <v>30</v>
      </c>
      <c r="AC6276">
        <v>88.8292</v>
      </c>
      <c r="AD6276">
        <v>-1.1589399999999901</v>
      </c>
      <c r="AE6276">
        <v>-10.949662999999999</v>
      </c>
      <c r="AF6276">
        <v>10.1421254500448</v>
      </c>
      <c r="AG6276">
        <v>-1.1589399999999901</v>
      </c>
      <c r="AH6276">
        <v>88.909918318675906</v>
      </c>
      <c r="AI6276">
        <v>90.741996253887905</v>
      </c>
      <c r="AJ6276">
        <v>83.492289889963502</v>
      </c>
      <c r="AK6276">
        <v>89.494018939824599</v>
      </c>
      <c r="AL6276">
        <v>95.779406150780105</v>
      </c>
      <c r="AM6276">
        <v>93.775336379683196</v>
      </c>
      <c r="AN6276">
        <v>0.99999999783899796</v>
      </c>
    </row>
    <row r="6277" spans="1:40" x14ac:dyDescent="0.25">
      <c r="A6277" t="str">
        <f>"20190305135051475"</f>
        <v>20190305135051475</v>
      </c>
      <c r="B6277" t="str">
        <f>"1551765051465909"</f>
        <v>1551765051465909</v>
      </c>
      <c r="C6277" t="s">
        <v>40</v>
      </c>
      <c r="D6277">
        <v>4.3660240000000003</v>
      </c>
      <c r="E6277">
        <v>0.57054249999999995</v>
      </c>
      <c r="F6277" t="s">
        <v>43</v>
      </c>
      <c r="G6277">
        <v>-275.2627</v>
      </c>
      <c r="H6277">
        <v>-0.05</v>
      </c>
      <c r="I6277">
        <v>5.4034420000000001</v>
      </c>
      <c r="J6277">
        <v>-367.37959999999998</v>
      </c>
      <c r="K6277">
        <v>1.1089</v>
      </c>
      <c r="L6277">
        <v>16.939640000000001</v>
      </c>
      <c r="M6277">
        <v>0.99989919999999999</v>
      </c>
      <c r="N6277">
        <v>-1.09005E-2</v>
      </c>
      <c r="O6277">
        <v>-9.1046670000000003E-3</v>
      </c>
      <c r="P6277">
        <v>0.99218289999999998</v>
      </c>
      <c r="Q6277">
        <v>-0.1116354</v>
      </c>
      <c r="R6277">
        <v>5.5776050000000001E-2</v>
      </c>
      <c r="S6277">
        <v>3.0411380000000001</v>
      </c>
      <c r="T6277">
        <v>-3.8202050000000001E-2</v>
      </c>
      <c r="U6277">
        <v>-0.38031009999999998</v>
      </c>
      <c r="V6277">
        <v>-6.4819689999999999E-2</v>
      </c>
      <c r="W6277">
        <v>-0.1008116</v>
      </c>
      <c r="X6277">
        <v>0.99279170000000005</v>
      </c>
      <c r="Y6277">
        <v>0.11503190000000001</v>
      </c>
      <c r="Z6277">
        <v>-1.334093E-3</v>
      </c>
      <c r="AA6277">
        <v>0.99336089999999999</v>
      </c>
      <c r="AB6277">
        <v>30</v>
      </c>
      <c r="AC6277">
        <v>92.116900000000001</v>
      </c>
      <c r="AD6277">
        <v>-1.1589</v>
      </c>
      <c r="AE6277">
        <v>-11.536197999999899</v>
      </c>
      <c r="AF6277">
        <v>10.6953096440857</v>
      </c>
      <c r="AG6277">
        <v>-1.1589</v>
      </c>
      <c r="AH6277">
        <v>92.203752693908399</v>
      </c>
      <c r="AI6277">
        <v>90.715311422461198</v>
      </c>
      <c r="AJ6277">
        <v>83.383461786859499</v>
      </c>
      <c r="AK6277">
        <v>92.829223353598593</v>
      </c>
      <c r="AL6277">
        <v>95.785908119435305</v>
      </c>
      <c r="AM6277">
        <v>93.735557915921405</v>
      </c>
      <c r="AN6277">
        <v>0.99999996524757195</v>
      </c>
    </row>
    <row r="6278" spans="1:40" x14ac:dyDescent="0.25">
      <c r="A6278" t="str">
        <f>"20190305135051487"</f>
        <v>20190305135051487</v>
      </c>
      <c r="B6278" t="str">
        <f>"1551765051476643"</f>
        <v>1551765051476643</v>
      </c>
      <c r="C6278" t="s">
        <v>40</v>
      </c>
      <c r="D6278">
        <v>4.4097600000000003</v>
      </c>
      <c r="E6278">
        <v>0.57087759999999999</v>
      </c>
      <c r="F6278" t="s">
        <v>43</v>
      </c>
      <c r="G6278">
        <v>-275.27519999999998</v>
      </c>
      <c r="H6278">
        <v>-0.05</v>
      </c>
      <c r="I6278">
        <v>5.2573239999999997</v>
      </c>
      <c r="J6278">
        <v>-367.2167</v>
      </c>
      <c r="K6278">
        <v>1.1088530000000001</v>
      </c>
      <c r="L6278">
        <v>16.938110000000002</v>
      </c>
      <c r="M6278">
        <v>0.99990060000000003</v>
      </c>
      <c r="N6278">
        <v>-1.073232E-2</v>
      </c>
      <c r="O6278">
        <v>-9.1603929999999993E-3</v>
      </c>
      <c r="P6278">
        <v>0.99222540000000004</v>
      </c>
      <c r="Q6278">
        <v>-0.1115584</v>
      </c>
      <c r="R6278">
        <v>5.5169330000000003E-2</v>
      </c>
      <c r="S6278">
        <v>3.040985</v>
      </c>
      <c r="T6278">
        <v>-3.8263079999999998E-2</v>
      </c>
      <c r="U6278">
        <v>-0.38571169999999999</v>
      </c>
      <c r="V6278">
        <v>-6.4273759999999999E-2</v>
      </c>
      <c r="W6278">
        <v>-0.10089819999999999</v>
      </c>
      <c r="X6278">
        <v>0.99281839999999999</v>
      </c>
      <c r="Y6278">
        <v>0.1167193</v>
      </c>
      <c r="Z6278">
        <v>-1.343407E-3</v>
      </c>
      <c r="AA6278">
        <v>0.99316409999999999</v>
      </c>
      <c r="AB6278">
        <v>30</v>
      </c>
      <c r="AC6278">
        <v>91.941500000000005</v>
      </c>
      <c r="AD6278">
        <v>-1.1588529999999999</v>
      </c>
      <c r="AE6278">
        <v>-11.680785999999999</v>
      </c>
      <c r="AF6278">
        <v>10.836333006759499</v>
      </c>
      <c r="AG6278">
        <v>-1.1588529999999999</v>
      </c>
      <c r="AH6278">
        <v>92.0302603494724</v>
      </c>
      <c r="AI6278">
        <v>90.716486051344802</v>
      </c>
      <c r="AJ6278">
        <v>83.284487012779707</v>
      </c>
      <c r="AK6278">
        <v>92.673285650723997</v>
      </c>
      <c r="AL6278">
        <v>95.790895340479906</v>
      </c>
      <c r="AM6278">
        <v>93.704084600783503</v>
      </c>
      <c r="AN6278">
        <v>0.99999996918316802</v>
      </c>
    </row>
    <row r="6279" spans="1:40" x14ac:dyDescent="0.25">
      <c r="A6279" t="str">
        <f>"20190305135051510"</f>
        <v>20190305135051510</v>
      </c>
      <c r="B6279" t="str">
        <f>"1551765051505923"</f>
        <v>1551765051505923</v>
      </c>
      <c r="C6279" t="s">
        <v>40</v>
      </c>
      <c r="D6279">
        <v>4.4008240000000001</v>
      </c>
      <c r="E6279">
        <v>0.57202459999999999</v>
      </c>
      <c r="F6279" t="s">
        <v>43</v>
      </c>
      <c r="G6279">
        <v>-274.23700000000002</v>
      </c>
      <c r="H6279">
        <v>-0.05</v>
      </c>
      <c r="I6279">
        <v>5.0073549999999996</v>
      </c>
      <c r="J6279">
        <v>-366.9212</v>
      </c>
      <c r="K6279">
        <v>1.1087750000000001</v>
      </c>
      <c r="L6279">
        <v>16.935300000000002</v>
      </c>
      <c r="M6279">
        <v>0.99990250000000003</v>
      </c>
      <c r="N6279">
        <v>-1.041769E-2</v>
      </c>
      <c r="O6279">
        <v>-9.3092239999999996E-3</v>
      </c>
      <c r="P6279">
        <v>0.99235839999999997</v>
      </c>
      <c r="Q6279">
        <v>-0.1110003</v>
      </c>
      <c r="R6279">
        <v>5.3890559999999997E-2</v>
      </c>
      <c r="S6279">
        <v>3.040924</v>
      </c>
      <c r="T6279">
        <v>-3.7900570000000001E-2</v>
      </c>
      <c r="U6279">
        <v>-0.39019779999999998</v>
      </c>
      <c r="V6279">
        <v>-6.3154290000000002E-2</v>
      </c>
      <c r="W6279">
        <v>-0.10064480000000001</v>
      </c>
      <c r="X6279">
        <v>0.99291600000000002</v>
      </c>
      <c r="Y6279">
        <v>0.11801590000000001</v>
      </c>
      <c r="Z6279">
        <v>-1.3307849999999999E-3</v>
      </c>
      <c r="AA6279">
        <v>0.99301079999999997</v>
      </c>
      <c r="AB6279">
        <v>30</v>
      </c>
      <c r="AC6279">
        <v>92.684199999999905</v>
      </c>
      <c r="AD6279">
        <v>-1.1587750000000001</v>
      </c>
      <c r="AE6279">
        <v>-11.927944999999999</v>
      </c>
      <c r="AF6279">
        <v>11.0628623054195</v>
      </c>
      <c r="AG6279">
        <v>-1.1587750000000001</v>
      </c>
      <c r="AH6279">
        <v>92.776963624855298</v>
      </c>
      <c r="AI6279">
        <v>90.710548225176396</v>
      </c>
      <c r="AJ6279">
        <v>83.200073568313996</v>
      </c>
      <c r="AK6279">
        <v>93.441396935924601</v>
      </c>
      <c r="AL6279">
        <v>95.776302059262505</v>
      </c>
      <c r="AM6279">
        <v>93.639387901467799</v>
      </c>
      <c r="AN6279">
        <v>1.00000001158422</v>
      </c>
    </row>
    <row r="6280" spans="1:40" x14ac:dyDescent="0.25">
      <c r="A6280" t="str">
        <f>"20190305135051522"</f>
        <v>20190305135051522</v>
      </c>
      <c r="B6280" t="str">
        <f>"1551765051516661"</f>
        <v>1551765051516661</v>
      </c>
      <c r="C6280" t="s">
        <v>40</v>
      </c>
      <c r="D6280">
        <v>4.5175340000000004</v>
      </c>
      <c r="E6280">
        <v>0.5724475</v>
      </c>
      <c r="F6280" t="s">
        <v>43</v>
      </c>
      <c r="G6280">
        <v>-270.1748</v>
      </c>
      <c r="H6280">
        <v>-0.05</v>
      </c>
      <c r="I6280">
        <v>4.1056819999999998</v>
      </c>
      <c r="J6280">
        <v>-366.74380000000002</v>
      </c>
      <c r="K6280">
        <v>1.1087229999999999</v>
      </c>
      <c r="L6280">
        <v>16.933529999999902</v>
      </c>
      <c r="M6280">
        <v>0.99990330000000005</v>
      </c>
      <c r="N6280">
        <v>-1.0227480000000001E-2</v>
      </c>
      <c r="O6280">
        <v>-9.4343589999999998E-3</v>
      </c>
      <c r="P6280">
        <v>0.99241449999999998</v>
      </c>
      <c r="Q6280">
        <v>-0.11063339999999899</v>
      </c>
      <c r="R6280">
        <v>5.3612649999999998E-2</v>
      </c>
      <c r="S6280">
        <v>3.040924</v>
      </c>
      <c r="T6280">
        <v>-3.6422490000000002E-2</v>
      </c>
      <c r="U6280">
        <v>-0.40325929999999999</v>
      </c>
      <c r="V6280">
        <v>-6.3008209999999995E-2</v>
      </c>
      <c r="W6280">
        <v>-0.10046190000000001</v>
      </c>
      <c r="X6280">
        <v>0.99294380000000004</v>
      </c>
      <c r="Y6280">
        <v>0.122085</v>
      </c>
      <c r="Z6280">
        <v>-1.33861299999999E-3</v>
      </c>
      <c r="AA6280">
        <v>0.99251869999999998</v>
      </c>
      <c r="AB6280">
        <v>30</v>
      </c>
      <c r="AC6280">
        <v>96.569000000000003</v>
      </c>
      <c r="AD6280">
        <v>-1.1587229999999999</v>
      </c>
      <c r="AE6280">
        <v>-12.8278479999999</v>
      </c>
      <c r="AF6280">
        <v>11.9144772444039</v>
      </c>
      <c r="AG6280">
        <v>-1.1587229999999999</v>
      </c>
      <c r="AH6280">
        <v>96.672053712923002</v>
      </c>
      <c r="AI6280">
        <v>90.681564931164999</v>
      </c>
      <c r="AJ6280">
        <v>82.973936162829403</v>
      </c>
      <c r="AK6280">
        <v>97.410386387040006</v>
      </c>
      <c r="AL6280">
        <v>95.765769293082599</v>
      </c>
      <c r="AM6280">
        <v>93.6308909191292</v>
      </c>
      <c r="AN6280">
        <v>1.00000000891872</v>
      </c>
    </row>
    <row r="6281" spans="1:40" x14ac:dyDescent="0.25">
      <c r="A6281" t="str">
        <f>"20190305135051536"</f>
        <v>20190305135051536</v>
      </c>
      <c r="B6281" t="str">
        <f>"1551765051526419"</f>
        <v>1551765051526419</v>
      </c>
      <c r="C6281" t="s">
        <v>40</v>
      </c>
      <c r="D6281">
        <v>4.4444419999999996</v>
      </c>
      <c r="E6281">
        <v>0.57269979999999998</v>
      </c>
      <c r="F6281" t="s">
        <v>43</v>
      </c>
      <c r="G6281">
        <v>-268.03919999999999</v>
      </c>
      <c r="H6281">
        <v>-0.05</v>
      </c>
      <c r="I6281">
        <v>3.7076720000000001</v>
      </c>
      <c r="J6281">
        <v>-366.56060000000002</v>
      </c>
      <c r="K6281">
        <v>1.108673</v>
      </c>
      <c r="L6281">
        <v>16.93167</v>
      </c>
      <c r="M6281">
        <v>0.99990380000000001</v>
      </c>
      <c r="N6281">
        <v>-1.0031669999999999E-2</v>
      </c>
      <c r="O6281">
        <v>-9.5805930000000001E-3</v>
      </c>
      <c r="P6281">
        <v>0.99247280000000004</v>
      </c>
      <c r="Q6281">
        <v>-0.1105188</v>
      </c>
      <c r="R6281">
        <v>5.2759609999999998E-2</v>
      </c>
      <c r="S6281">
        <v>3.0409549999999999</v>
      </c>
      <c r="T6281">
        <v>-3.5698649999999998E-2</v>
      </c>
      <c r="U6281">
        <v>-0.40747070000000002</v>
      </c>
      <c r="V6281">
        <v>-6.2307939999999999E-2</v>
      </c>
      <c r="W6281">
        <v>-0.1005368</v>
      </c>
      <c r="X6281">
        <v>0.99298039999999999</v>
      </c>
      <c r="Y6281">
        <v>0.1232895</v>
      </c>
      <c r="Z6281">
        <v>-1.3253819999999999E-3</v>
      </c>
      <c r="AA6281">
        <v>0.99236979999999997</v>
      </c>
      <c r="AB6281">
        <v>30</v>
      </c>
      <c r="AC6281">
        <v>98.5214</v>
      </c>
      <c r="AD6281">
        <v>-1.1586730000000001</v>
      </c>
      <c r="AE6281">
        <v>-13.223998</v>
      </c>
      <c r="AF6281">
        <v>12.2777819919934</v>
      </c>
      <c r="AG6281">
        <v>-1.1586730000000001</v>
      </c>
      <c r="AH6281">
        <v>98.630177690622205</v>
      </c>
      <c r="AI6281">
        <v>90.667905343684197</v>
      </c>
      <c r="AJ6281">
        <v>82.904150795468297</v>
      </c>
      <c r="AK6281">
        <v>99.398181095267404</v>
      </c>
      <c r="AL6281">
        <v>95.770082629495406</v>
      </c>
      <c r="AM6281">
        <v>93.590511546839707</v>
      </c>
      <c r="AN6281">
        <v>1.0000000011627199</v>
      </c>
    </row>
    <row r="6282" spans="1:40" x14ac:dyDescent="0.25">
      <c r="A6282" t="str">
        <f>"20190305135051554"</f>
        <v>20190305135051554</v>
      </c>
      <c r="B6282" t="str">
        <f>"1551765051545939"</f>
        <v>1551765051545939</v>
      </c>
      <c r="C6282" t="s">
        <v>40</v>
      </c>
      <c r="D6282">
        <v>4.4250309999999997</v>
      </c>
      <c r="E6282">
        <v>0.57321369999999905</v>
      </c>
      <c r="F6282" t="s">
        <v>43</v>
      </c>
      <c r="G6282">
        <v>-268.37630000000001</v>
      </c>
      <c r="H6282">
        <v>-0.05</v>
      </c>
      <c r="I6282">
        <v>3.6245569999999998</v>
      </c>
      <c r="J6282">
        <v>-366.315</v>
      </c>
      <c r="K6282">
        <v>1.1086049999999901</v>
      </c>
      <c r="L6282">
        <v>16.929110000000001</v>
      </c>
      <c r="M6282">
        <v>0.99990420000000002</v>
      </c>
      <c r="N6282">
        <v>-9.7718370000000002E-3</v>
      </c>
      <c r="O6282">
        <v>-9.8117489999999998E-3</v>
      </c>
      <c r="P6282">
        <v>0.99254589999999998</v>
      </c>
      <c r="Q6282">
        <v>-0.11030429999999999</v>
      </c>
      <c r="R6282">
        <v>5.1825009999999998E-2</v>
      </c>
      <c r="S6282">
        <v>3.04068</v>
      </c>
      <c r="T6282">
        <v>-3.5883070000000003E-2</v>
      </c>
      <c r="U6282">
        <v>-0.41210940000000001</v>
      </c>
      <c r="V6282">
        <v>-6.1613559999999998E-2</v>
      </c>
      <c r="W6282">
        <v>-0.1005738</v>
      </c>
      <c r="X6282">
        <v>0.99302000000000001</v>
      </c>
      <c r="Y6282">
        <v>0.12455860000000001</v>
      </c>
      <c r="Z6282">
        <v>-1.3232179999999999E-3</v>
      </c>
      <c r="AA6282">
        <v>0.99221130000000002</v>
      </c>
      <c r="AB6282">
        <v>30</v>
      </c>
      <c r="AC6282">
        <v>97.938699999999898</v>
      </c>
      <c r="AD6282">
        <v>-1.1586050000000001</v>
      </c>
      <c r="AE6282">
        <v>-13.304553</v>
      </c>
      <c r="AF6282">
        <v>12.3412209456396</v>
      </c>
      <c r="AG6282">
        <v>-1.1586050000000001</v>
      </c>
      <c r="AH6282">
        <v>98.051059025201894</v>
      </c>
      <c r="AI6282">
        <v>90.671695981562493</v>
      </c>
      <c r="AJ6282">
        <v>82.826176446294596</v>
      </c>
      <c r="AK6282">
        <v>98.831463997751001</v>
      </c>
      <c r="AL6282">
        <v>95.772213262745893</v>
      </c>
      <c r="AM6282">
        <v>93.550459423101401</v>
      </c>
      <c r="AN6282">
        <v>1.0000000202111501</v>
      </c>
    </row>
    <row r="6283" spans="1:40" x14ac:dyDescent="0.25">
      <c r="A6283" t="str">
        <f>"20190305135051567"</f>
        <v>20190305135051567</v>
      </c>
      <c r="B6283" t="str">
        <f>"1551765051556675"</f>
        <v>1551765051556675</v>
      </c>
      <c r="C6283" t="s">
        <v>40</v>
      </c>
      <c r="D6283">
        <v>4.5765890000000002</v>
      </c>
      <c r="E6283">
        <v>0.57352019999999904</v>
      </c>
      <c r="F6283" t="s">
        <v>43</v>
      </c>
      <c r="G6283">
        <v>-269.46359999999999</v>
      </c>
      <c r="H6283">
        <v>-0.05</v>
      </c>
      <c r="I6283">
        <v>3.5807799999999999</v>
      </c>
      <c r="J6283">
        <v>-366.12900000000002</v>
      </c>
      <c r="K6283">
        <v>1.1085579999999999</v>
      </c>
      <c r="L6283">
        <v>16.927119999999999</v>
      </c>
      <c r="M6283">
        <v>0.99990409999999996</v>
      </c>
      <c r="N6283">
        <v>-9.5791120000000007E-3</v>
      </c>
      <c r="O6283">
        <v>-1.001021E-2</v>
      </c>
      <c r="P6283">
        <v>0.99259540000000002</v>
      </c>
      <c r="Q6283">
        <v>-0.11024299999999999</v>
      </c>
      <c r="R6283">
        <v>5.1000150000000001E-2</v>
      </c>
      <c r="S6283">
        <v>3.0404049999999998</v>
      </c>
      <c r="T6283">
        <v>-3.6371470000000003E-2</v>
      </c>
      <c r="U6283">
        <v>-0.41903689999999999</v>
      </c>
      <c r="V6283">
        <v>-6.0993400000000003E-2</v>
      </c>
      <c r="W6283">
        <v>-0.1006995</v>
      </c>
      <c r="X6283">
        <v>0.99304550000000003</v>
      </c>
      <c r="Y6283">
        <v>0.12659219999999999</v>
      </c>
      <c r="Z6283">
        <v>-1.3391270000000001E-3</v>
      </c>
      <c r="AA6283">
        <v>0.99195390000000006</v>
      </c>
      <c r="AB6283">
        <v>30</v>
      </c>
      <c r="AC6283">
        <v>96.665400000000005</v>
      </c>
      <c r="AD6283">
        <v>-1.158558</v>
      </c>
      <c r="AE6283">
        <v>-13.34634</v>
      </c>
      <c r="AF6283">
        <v>12.3762414317045</v>
      </c>
      <c r="AG6283">
        <v>-1.158558</v>
      </c>
      <c r="AH6283">
        <v>96.780519996554801</v>
      </c>
      <c r="AI6283">
        <v>90.680314504990903</v>
      </c>
      <c r="AJ6283">
        <v>82.712598433208697</v>
      </c>
      <c r="AK6283">
        <v>97.575522849835394</v>
      </c>
      <c r="AL6283">
        <v>95.779452356310401</v>
      </c>
      <c r="AM6283">
        <v>93.514722937368006</v>
      </c>
      <c r="AN6283">
        <v>0.99999997460702905</v>
      </c>
    </row>
    <row r="6284" spans="1:40" x14ac:dyDescent="0.25">
      <c r="A6284" t="str">
        <f>"20190305135051581"</f>
        <v>20190305135051581</v>
      </c>
      <c r="B6284" t="str">
        <f>"1551765051576196"</f>
        <v>1551765051576196</v>
      </c>
      <c r="C6284" t="s">
        <v>40</v>
      </c>
      <c r="D6284">
        <v>4.433281</v>
      </c>
      <c r="E6284">
        <v>0.57389089999999998</v>
      </c>
      <c r="F6284" t="s">
        <v>43</v>
      </c>
      <c r="G6284">
        <v>-266.63319999999999</v>
      </c>
      <c r="H6284">
        <v>-0.05</v>
      </c>
      <c r="I6284">
        <v>3.0508579999999998</v>
      </c>
      <c r="J6284">
        <v>-365.95530000000002</v>
      </c>
      <c r="K6284">
        <v>1.108522</v>
      </c>
      <c r="L6284">
        <v>16.925170000000001</v>
      </c>
      <c r="M6284">
        <v>0.99990369999999995</v>
      </c>
      <c r="N6284">
        <v>-9.4036970000000008E-3</v>
      </c>
      <c r="O6284">
        <v>-1.0216680000000001E-2</v>
      </c>
      <c r="P6284">
        <v>0.99263299999999999</v>
      </c>
      <c r="Q6284">
        <v>-0.11013100000000001</v>
      </c>
      <c r="R6284">
        <v>5.0508099999999903E-2</v>
      </c>
      <c r="S6284">
        <v>3.0402529999999999</v>
      </c>
      <c r="T6284">
        <v>-3.5401580000000002E-2</v>
      </c>
      <c r="U6284">
        <v>-0.42401119999999998</v>
      </c>
      <c r="V6284">
        <v>-6.0711769999999998E-2</v>
      </c>
      <c r="W6284">
        <v>-0.1007581</v>
      </c>
      <c r="X6284">
        <v>0.99305679999999996</v>
      </c>
      <c r="Y6284">
        <v>0.12798709999999999</v>
      </c>
      <c r="Z6284">
        <v>-1.323535E-3</v>
      </c>
      <c r="AA6284">
        <v>0.99177499999999996</v>
      </c>
      <c r="AB6284">
        <v>30</v>
      </c>
      <c r="AC6284">
        <v>99.322100000000006</v>
      </c>
      <c r="AD6284">
        <v>-1.1585219999999901</v>
      </c>
      <c r="AE6284">
        <v>-13.874312</v>
      </c>
      <c r="AF6284">
        <v>12.8570851432212</v>
      </c>
      <c r="AG6284">
        <v>-1.1585219999999901</v>
      </c>
      <c r="AH6284">
        <v>99.445400267203695</v>
      </c>
      <c r="AI6284">
        <v>90.661946976603602</v>
      </c>
      <c r="AJ6284">
        <v>82.633214808695499</v>
      </c>
      <c r="AK6284">
        <v>100.27978084294401</v>
      </c>
      <c r="AL6284">
        <v>95.7828271327094</v>
      </c>
      <c r="AM6284">
        <v>93.498494799867302</v>
      </c>
      <c r="AN6284">
        <v>0.99999996087918996</v>
      </c>
    </row>
    <row r="6285" spans="1:40" x14ac:dyDescent="0.25">
      <c r="A6285" t="str">
        <f>"20190305135051596"</f>
        <v>20190305135051596</v>
      </c>
      <c r="B6285" t="str">
        <f>"1551765051585955"</f>
        <v>1551765051585955</v>
      </c>
      <c r="C6285" t="s">
        <v>40</v>
      </c>
      <c r="D6285">
        <v>4.4180039999999998</v>
      </c>
      <c r="E6285">
        <v>0.57411210000000001</v>
      </c>
      <c r="F6285" t="s">
        <v>43</v>
      </c>
      <c r="G6285">
        <v>-265.37740000000002</v>
      </c>
      <c r="H6285">
        <v>-0.05</v>
      </c>
      <c r="I6285">
        <v>2.747147</v>
      </c>
      <c r="J6285">
        <v>-365.73090000000002</v>
      </c>
      <c r="K6285">
        <v>1.108479</v>
      </c>
      <c r="L6285">
        <v>16.922639999999902</v>
      </c>
      <c r="M6285">
        <v>0.99990279999999998</v>
      </c>
      <c r="N6285">
        <v>-9.1794649999999995E-3</v>
      </c>
      <c r="O6285">
        <v>-1.05007E-2</v>
      </c>
      <c r="P6285">
        <v>0.99271960000000004</v>
      </c>
      <c r="Q6285">
        <v>-0.1097897</v>
      </c>
      <c r="R6285">
        <v>4.9538829999999999E-2</v>
      </c>
      <c r="S6285">
        <v>3.0401609999999999</v>
      </c>
      <c r="T6285">
        <v>-3.5018559999999997E-2</v>
      </c>
      <c r="U6285">
        <v>-0.4285583</v>
      </c>
      <c r="V6285">
        <v>-6.0032059999999998E-2</v>
      </c>
      <c r="W6285">
        <v>-0.10063510000000001</v>
      </c>
      <c r="X6285">
        <v>0.99311070000000001</v>
      </c>
      <c r="Y6285">
        <v>0.12916440000000001</v>
      </c>
      <c r="Z6285">
        <v>-1.311616E-3</v>
      </c>
      <c r="AA6285">
        <v>0.99162229999999996</v>
      </c>
      <c r="AB6285">
        <v>31</v>
      </c>
      <c r="AC6285">
        <v>100.3535</v>
      </c>
      <c r="AD6285">
        <v>-1.158479</v>
      </c>
      <c r="AE6285">
        <v>-14.1754929999999</v>
      </c>
      <c r="AF6285">
        <v>13.1191709539232</v>
      </c>
      <c r="AG6285">
        <v>-1.158479</v>
      </c>
      <c r="AH6285">
        <v>100.483696669152</v>
      </c>
      <c r="AI6285">
        <v>90.654976903130802</v>
      </c>
      <c r="AJ6285">
        <v>82.561526790463105</v>
      </c>
      <c r="AK6285">
        <v>101.34312022239</v>
      </c>
      <c r="AL6285">
        <v>95.775743132864704</v>
      </c>
      <c r="AM6285">
        <v>93.459235104696106</v>
      </c>
      <c r="AN6285">
        <v>1.00000006701716</v>
      </c>
    </row>
    <row r="6286" spans="1:40" x14ac:dyDescent="0.25">
      <c r="A6286" t="str">
        <f>"20190305135051608"</f>
        <v>20190305135051608</v>
      </c>
      <c r="B6286" t="str">
        <f>"1551765051595715"</f>
        <v>1551765051595715</v>
      </c>
      <c r="C6286" t="s">
        <v>40</v>
      </c>
      <c r="D6286">
        <v>4.4250759999999998</v>
      </c>
      <c r="E6286">
        <v>0.57432289999999997</v>
      </c>
      <c r="F6286" t="s">
        <v>102</v>
      </c>
      <c r="G6286">
        <v>-279.33690000000001</v>
      </c>
      <c r="H6286">
        <v>0.15621199999999999</v>
      </c>
      <c r="I6286">
        <v>4.6147140000000002</v>
      </c>
      <c r="J6286">
        <v>-365.57049999999998</v>
      </c>
      <c r="K6286">
        <v>1.1084449999999999</v>
      </c>
      <c r="L6286">
        <v>16.920780000000001</v>
      </c>
      <c r="M6286">
        <v>0.99990199999999996</v>
      </c>
      <c r="N6286">
        <v>-9.0201180000000006E-3</v>
      </c>
      <c r="O6286">
        <v>-1.07159E-2</v>
      </c>
      <c r="P6286">
        <v>0.99276470000000006</v>
      </c>
      <c r="Q6286">
        <v>-0.1095431</v>
      </c>
      <c r="R6286">
        <v>4.9181519999999999E-2</v>
      </c>
      <c r="S6286">
        <v>3.039917</v>
      </c>
      <c r="T6286">
        <v>-3.350711E-2</v>
      </c>
      <c r="U6286">
        <v>-0.43307499999999999</v>
      </c>
      <c r="V6286">
        <v>-5.9893380000000003E-2</v>
      </c>
      <c r="W6286">
        <v>-0.1005441</v>
      </c>
      <c r="X6286">
        <v>0.99312820000000002</v>
      </c>
      <c r="Y6286">
        <v>0.1304072</v>
      </c>
      <c r="Z6286">
        <v>-1.28491E-3</v>
      </c>
      <c r="AA6286">
        <v>0.99145970000000005</v>
      </c>
      <c r="AB6286">
        <v>31</v>
      </c>
      <c r="AC6286">
        <v>86.233599999999896</v>
      </c>
      <c r="AD6286">
        <v>-0.952233</v>
      </c>
      <c r="AE6286">
        <v>-12.306066</v>
      </c>
      <c r="AF6286">
        <v>11.3798913030283</v>
      </c>
      <c r="AG6286">
        <v>-0.952233</v>
      </c>
      <c r="AH6286">
        <v>86.350205170223703</v>
      </c>
      <c r="AI6286">
        <v>90.626391923992202</v>
      </c>
      <c r="AJ6286">
        <v>82.492387951976397</v>
      </c>
      <c r="AK6286">
        <v>87.102047086705994</v>
      </c>
      <c r="AL6286">
        <v>95.770503156838799</v>
      </c>
      <c r="AM6286">
        <v>93.451202599407097</v>
      </c>
      <c r="AN6286">
        <v>0.99999997732393697</v>
      </c>
    </row>
    <row r="6287" spans="1:40" x14ac:dyDescent="0.25">
      <c r="A6287" t="str">
        <f>"20190305135051619"</f>
        <v>20190305135051619</v>
      </c>
      <c r="B6287" t="str">
        <f>"1551765051616211"</f>
        <v>1551765051616211</v>
      </c>
      <c r="C6287" t="s">
        <v>40</v>
      </c>
      <c r="D6287">
        <v>4.4235439999999997</v>
      </c>
      <c r="E6287">
        <v>0.57462609999999903</v>
      </c>
      <c r="F6287" t="s">
        <v>102</v>
      </c>
      <c r="G6287">
        <v>-279.33690000000001</v>
      </c>
      <c r="H6287">
        <v>0.18613840000000001</v>
      </c>
      <c r="I6287">
        <v>4.5582940000000001</v>
      </c>
      <c r="J6287">
        <v>-365.42110000000002</v>
      </c>
      <c r="K6287">
        <v>1.10842</v>
      </c>
      <c r="L6287">
        <v>16.918979999999902</v>
      </c>
      <c r="M6287">
        <v>0.99990100000000004</v>
      </c>
      <c r="N6287">
        <v>-8.8753870000000002E-3</v>
      </c>
      <c r="O6287">
        <v>-1.092862E-2</v>
      </c>
      <c r="P6287">
        <v>0.99278979999999994</v>
      </c>
      <c r="Q6287">
        <v>-0.1094222</v>
      </c>
      <c r="R6287">
        <v>4.8943739999999999E-2</v>
      </c>
      <c r="S6287">
        <v>3.039825</v>
      </c>
      <c r="T6287">
        <v>-3.2512310000000003E-2</v>
      </c>
      <c r="U6287">
        <v>-0.43579099999999998</v>
      </c>
      <c r="V6287">
        <v>-5.9870050000000001E-2</v>
      </c>
      <c r="W6287">
        <v>-0.1005648</v>
      </c>
      <c r="X6287">
        <v>0.99312750000000005</v>
      </c>
      <c r="Y6287">
        <v>0.1310693</v>
      </c>
      <c r="Z6287">
        <v>-1.2622429999999999E-3</v>
      </c>
      <c r="AA6287">
        <v>0.99137240000000004</v>
      </c>
      <c r="AB6287">
        <v>31</v>
      </c>
      <c r="AC6287">
        <v>86.084199999999996</v>
      </c>
      <c r="AD6287">
        <v>-0.92228160000000003</v>
      </c>
      <c r="AE6287">
        <v>-12.3606859999999</v>
      </c>
      <c r="AF6287">
        <v>11.417845201371501</v>
      </c>
      <c r="AG6287">
        <v>-0.92228160000000003</v>
      </c>
      <c r="AH6287">
        <v>86.204454288829197</v>
      </c>
      <c r="AI6287">
        <v>90.607664348510895</v>
      </c>
      <c r="AJ6287">
        <v>82.455046998091106</v>
      </c>
      <c r="AK6287">
        <v>86.962208640460702</v>
      </c>
      <c r="AL6287">
        <v>95.771695283686199</v>
      </c>
      <c r="AM6287">
        <v>93.449863941111403</v>
      </c>
      <c r="AN6287">
        <v>0.99999996657114498</v>
      </c>
    </row>
    <row r="6288" spans="1:40" x14ac:dyDescent="0.25">
      <c r="A6288" t="str">
        <f>"20190305135051631"</f>
        <v>20190305135051631</v>
      </c>
      <c r="B6288" t="str">
        <f>"1551765051625972"</f>
        <v>1551765051625972</v>
      </c>
      <c r="C6288" t="s">
        <v>40</v>
      </c>
      <c r="D6288">
        <v>4.4220739999999896</v>
      </c>
      <c r="E6288">
        <v>0.574797</v>
      </c>
      <c r="F6288" t="s">
        <v>102</v>
      </c>
      <c r="G6288">
        <v>-279.33690000000001</v>
      </c>
      <c r="H6288">
        <v>0.1823333</v>
      </c>
      <c r="I6288">
        <v>4.4906160000000002</v>
      </c>
      <c r="J6288">
        <v>-365.26389999999998</v>
      </c>
      <c r="K6288">
        <v>1.1083940000000001</v>
      </c>
      <c r="L6288">
        <v>16.917079999999999</v>
      </c>
      <c r="M6288">
        <v>0.99989980000000001</v>
      </c>
      <c r="N6288">
        <v>-8.7237789999999992E-3</v>
      </c>
      <c r="O6288">
        <v>-1.1154789999999999E-2</v>
      </c>
      <c r="P6288">
        <v>0.99280539999999995</v>
      </c>
      <c r="Q6288">
        <v>-0.1093489</v>
      </c>
      <c r="R6288">
        <v>4.8786759999999998E-2</v>
      </c>
      <c r="S6288">
        <v>3.039825</v>
      </c>
      <c r="T6288">
        <v>-3.2702210000000002E-2</v>
      </c>
      <c r="U6288">
        <v>-0.43887330000000002</v>
      </c>
      <c r="V6288">
        <v>-5.9941099999999997E-2</v>
      </c>
      <c r="W6288">
        <v>-0.10063999999999999</v>
      </c>
      <c r="X6288">
        <v>0.99311559999999999</v>
      </c>
      <c r="Y6288">
        <v>0.13182969999999999</v>
      </c>
      <c r="Z6288">
        <v>-1.260941E-3</v>
      </c>
      <c r="AA6288">
        <v>0.99127160000000003</v>
      </c>
      <c r="AB6288">
        <v>31</v>
      </c>
      <c r="AC6288">
        <v>85.926999999999893</v>
      </c>
      <c r="AD6288">
        <v>-0.92606069999999996</v>
      </c>
      <c r="AE6288">
        <v>-12.426463999999999</v>
      </c>
      <c r="AF6288">
        <v>11.4658522842388</v>
      </c>
      <c r="AG6288">
        <v>-0.92606069999999996</v>
      </c>
      <c r="AH6288">
        <v>86.050483344139707</v>
      </c>
      <c r="AI6288">
        <v>90.611182350934399</v>
      </c>
      <c r="AJ6288">
        <v>82.410293017004804</v>
      </c>
      <c r="AK6288">
        <v>86.8159492304504</v>
      </c>
      <c r="AL6288">
        <v>95.776025876944502</v>
      </c>
      <c r="AM6288">
        <v>93.453989403234303</v>
      </c>
      <c r="AN6288">
        <v>0.99999997001628405</v>
      </c>
    </row>
    <row r="6289" spans="1:40" x14ac:dyDescent="0.25">
      <c r="A6289" t="str">
        <f>"20190305135051642"</f>
        <v>20190305135051642</v>
      </c>
      <c r="B6289" t="str">
        <f>"1551765051635732"</f>
        <v>1551765051635732</v>
      </c>
      <c r="C6289" t="s">
        <v>40</v>
      </c>
      <c r="D6289">
        <v>4.4544319999999997</v>
      </c>
      <c r="E6289">
        <v>0.57496650000000005</v>
      </c>
      <c r="F6289" t="s">
        <v>102</v>
      </c>
      <c r="G6289">
        <v>-279.33690000000001</v>
      </c>
      <c r="H6289">
        <v>0.1963945</v>
      </c>
      <c r="I6289">
        <v>4.4632379999999996</v>
      </c>
      <c r="J6289">
        <v>-365.08920000000001</v>
      </c>
      <c r="K6289">
        <v>1.108368</v>
      </c>
      <c r="L6289">
        <v>16.91489</v>
      </c>
      <c r="M6289">
        <v>0.99989830000000002</v>
      </c>
      <c r="N6289">
        <v>-8.5583399999999994E-3</v>
      </c>
      <c r="O6289">
        <v>-1.1415929999999999E-2</v>
      </c>
      <c r="P6289">
        <v>0.99285730000000005</v>
      </c>
      <c r="Q6289">
        <v>-0.1091116</v>
      </c>
      <c r="R6289">
        <v>4.8263800000000003E-2</v>
      </c>
      <c r="S6289">
        <v>3.0398559999999999</v>
      </c>
      <c r="T6289">
        <v>-3.2263989999999999E-2</v>
      </c>
      <c r="U6289">
        <v>-0.44058229999999998</v>
      </c>
      <c r="V6289">
        <v>-5.9680629999999998E-2</v>
      </c>
      <c r="W6289">
        <v>-0.1005651</v>
      </c>
      <c r="X6289">
        <v>0.99313890000000005</v>
      </c>
      <c r="Y6289">
        <v>0.1321156</v>
      </c>
      <c r="Z6289">
        <v>-1.2424859999999999E-3</v>
      </c>
      <c r="AA6289">
        <v>0.99123349999999999</v>
      </c>
      <c r="AB6289">
        <v>31</v>
      </c>
      <c r="AC6289">
        <v>85.752299999999906</v>
      </c>
      <c r="AD6289">
        <v>-0.91197349999999999</v>
      </c>
      <c r="AE6289">
        <v>-12.451651999999999</v>
      </c>
      <c r="AF6289">
        <v>11.470591957732999</v>
      </c>
      <c r="AG6289">
        <v>-0.91197349999999999</v>
      </c>
      <c r="AH6289">
        <v>85.879351406271695</v>
      </c>
      <c r="AI6289">
        <v>90.603059698855802</v>
      </c>
      <c r="AJ6289">
        <v>82.392239068516304</v>
      </c>
      <c r="AK6289">
        <v>86.646807058814403</v>
      </c>
      <c r="AL6289">
        <v>95.771712390647195</v>
      </c>
      <c r="AM6289">
        <v>93.438935937378204</v>
      </c>
      <c r="AN6289">
        <v>0.99999999581420795</v>
      </c>
    </row>
    <row r="6290" spans="1:40" x14ac:dyDescent="0.25">
      <c r="A6290" t="str">
        <f>"20190305135051654"</f>
        <v>20190305135051654</v>
      </c>
      <c r="B6290" t="str">
        <f>"1551765051646467"</f>
        <v>1551765051646467</v>
      </c>
      <c r="C6290" t="s">
        <v>40</v>
      </c>
      <c r="D6290">
        <v>4.4618000000000002</v>
      </c>
      <c r="E6290">
        <v>0.57513639999999999</v>
      </c>
      <c r="F6290" t="s">
        <v>102</v>
      </c>
      <c r="G6290">
        <v>-279.33690000000001</v>
      </c>
      <c r="H6290">
        <v>0.21992429999999999</v>
      </c>
      <c r="I6290">
        <v>4.4054200000000003</v>
      </c>
      <c r="J6290">
        <v>-364.93990000000002</v>
      </c>
      <c r="K6290">
        <v>1.1083480000000001</v>
      </c>
      <c r="L6290">
        <v>16.913019999999999</v>
      </c>
      <c r="M6290">
        <v>0.99989680000000003</v>
      </c>
      <c r="N6290">
        <v>-8.4188300000000004E-3</v>
      </c>
      <c r="O6290">
        <v>-1.164105E-2</v>
      </c>
      <c r="P6290">
        <v>0.99286859999999999</v>
      </c>
      <c r="Q6290">
        <v>-0.1092369</v>
      </c>
      <c r="R6290">
        <v>4.774457E-2</v>
      </c>
      <c r="S6290">
        <v>3.0396420000000002</v>
      </c>
      <c r="T6290">
        <v>-3.1492470000000002E-2</v>
      </c>
      <c r="U6290">
        <v>-0.44342039999999999</v>
      </c>
      <c r="V6290">
        <v>-5.9387799999999998E-2</v>
      </c>
      <c r="W6290">
        <v>-0.1008279</v>
      </c>
      <c r="X6290">
        <v>0.99312979999999995</v>
      </c>
      <c r="Y6290">
        <v>0.13280919999999999</v>
      </c>
      <c r="Z6290">
        <v>-1.223949E-3</v>
      </c>
      <c r="AA6290">
        <v>0.99114080000000004</v>
      </c>
      <c r="AB6290">
        <v>31</v>
      </c>
      <c r="AC6290">
        <v>85.602999999999994</v>
      </c>
      <c r="AD6290">
        <v>-0.88842369999999904</v>
      </c>
      <c r="AE6290">
        <v>-12.5076</v>
      </c>
      <c r="AF6290">
        <v>11.5089945744872</v>
      </c>
      <c r="AG6290">
        <v>-0.88842369999999904</v>
      </c>
      <c r="AH6290">
        <v>85.733764451270005</v>
      </c>
      <c r="AI6290">
        <v>90.588433387617798</v>
      </c>
      <c r="AJ6290">
        <v>82.354260194157803</v>
      </c>
      <c r="AK6290">
        <v>86.507367430596005</v>
      </c>
      <c r="AL6290">
        <v>95.786846691951993</v>
      </c>
      <c r="AM6290">
        <v>93.4221338761526</v>
      </c>
      <c r="AN6290">
        <v>0.999999987927644</v>
      </c>
    </row>
    <row r="6291" spans="1:40" x14ac:dyDescent="0.25">
      <c r="A6291" t="str">
        <f>"20190305135051665"</f>
        <v>20190305135051665</v>
      </c>
      <c r="B6291" t="str">
        <f>"1551765051656227"</f>
        <v>1551765051656227</v>
      </c>
      <c r="C6291" t="s">
        <v>40</v>
      </c>
      <c r="D6291">
        <v>4.4232399999999998</v>
      </c>
      <c r="E6291">
        <v>0.57529319999999995</v>
      </c>
      <c r="F6291" t="s">
        <v>102</v>
      </c>
      <c r="G6291">
        <v>-279.33690000000001</v>
      </c>
      <c r="H6291">
        <v>0.22946610000000001</v>
      </c>
      <c r="I6291">
        <v>4.3478579999999996</v>
      </c>
      <c r="J6291">
        <v>-364.77890000000002</v>
      </c>
      <c r="K6291">
        <v>1.1083259999999999</v>
      </c>
      <c r="L6291">
        <v>16.910920000000001</v>
      </c>
      <c r="M6291">
        <v>0.99989519999999998</v>
      </c>
      <c r="N6291">
        <v>-8.2711060000000003E-3</v>
      </c>
      <c r="O6291">
        <v>-1.188699E-2</v>
      </c>
      <c r="P6291">
        <v>0.99290599999999996</v>
      </c>
      <c r="Q6291">
        <v>-0.1090907</v>
      </c>
      <c r="R6291">
        <v>4.7294120000000002E-2</v>
      </c>
      <c r="S6291">
        <v>3.039612</v>
      </c>
      <c r="T6291">
        <v>-3.1207559999999999E-2</v>
      </c>
      <c r="U6291">
        <v>-0.44616699999999998</v>
      </c>
      <c r="V6291">
        <v>-5.918321E-2</v>
      </c>
      <c r="W6291">
        <v>-0.10082720000000001</v>
      </c>
      <c r="X6291">
        <v>0.99314210000000003</v>
      </c>
      <c r="Y6291">
        <v>0.133443899999999</v>
      </c>
      <c r="Z6291">
        <v>-1.2126610000000001E-3</v>
      </c>
      <c r="AA6291">
        <v>0.99105560000000004</v>
      </c>
      <c r="AB6291">
        <v>31</v>
      </c>
      <c r="AC6291">
        <v>85.441999999999993</v>
      </c>
      <c r="AD6291">
        <v>-0.87885989999999903</v>
      </c>
      <c r="AE6291">
        <v>-12.563062</v>
      </c>
      <c r="AF6291">
        <v>11.5452957717355</v>
      </c>
      <c r="AG6291">
        <v>-0.87885989999999903</v>
      </c>
      <c r="AH6291">
        <v>85.576442359180803</v>
      </c>
      <c r="AI6291">
        <v>90.583117723984699</v>
      </c>
      <c r="AJ6291">
        <v>82.316499611858504</v>
      </c>
      <c r="AK6291">
        <v>86.356202649461594</v>
      </c>
      <c r="AL6291">
        <v>95.786806287892304</v>
      </c>
      <c r="AM6291">
        <v>93.4103304167988</v>
      </c>
      <c r="AN6291">
        <v>1.0000000036990699</v>
      </c>
    </row>
    <row r="6292" spans="1:40" x14ac:dyDescent="0.25">
      <c r="A6292" t="str">
        <f>"20190305135051676"</f>
        <v>20190305135051676</v>
      </c>
      <c r="B6292" t="str">
        <f>"1551765051665988"</f>
        <v>1551765051665988</v>
      </c>
      <c r="C6292" t="s">
        <v>40</v>
      </c>
      <c r="D6292">
        <v>4.4143679999999996</v>
      </c>
      <c r="E6292">
        <v>0.57544169999999994</v>
      </c>
      <c r="F6292" t="s">
        <v>102</v>
      </c>
      <c r="G6292">
        <v>-279.33690000000001</v>
      </c>
      <c r="H6292">
        <v>0.2458591</v>
      </c>
      <c r="I6292">
        <v>4.2967000000000004</v>
      </c>
      <c r="J6292">
        <v>-364.62700000000001</v>
      </c>
      <c r="K6292">
        <v>1.108312</v>
      </c>
      <c r="L6292">
        <v>16.908909999999999</v>
      </c>
      <c r="M6292">
        <v>0.99989349999999999</v>
      </c>
      <c r="N6292">
        <v>-8.1348199999999992E-3</v>
      </c>
      <c r="O6292">
        <v>-1.2120570000000001E-2</v>
      </c>
      <c r="P6292">
        <v>0.99291689999999999</v>
      </c>
      <c r="Q6292">
        <v>-0.10901130000000001</v>
      </c>
      <c r="R6292">
        <v>4.7253389999999999E-2</v>
      </c>
      <c r="S6292">
        <v>3.0394589999999999</v>
      </c>
      <c r="T6292">
        <v>-3.0680889999999999E-2</v>
      </c>
      <c r="U6292">
        <v>-0.44873049999999998</v>
      </c>
      <c r="V6292">
        <v>-5.9376579999999998E-2</v>
      </c>
      <c r="W6292">
        <v>-0.100882</v>
      </c>
      <c r="X6292">
        <v>0.99312500000000004</v>
      </c>
      <c r="Y6292">
        <v>0.13403799999999999</v>
      </c>
      <c r="Z6292">
        <v>-1.1974360000000001E-3</v>
      </c>
      <c r="AA6292">
        <v>0.99097550000000001</v>
      </c>
      <c r="AB6292">
        <v>31</v>
      </c>
      <c r="AC6292">
        <v>85.290099999999896</v>
      </c>
      <c r="AD6292">
        <v>-0.86245289999999997</v>
      </c>
      <c r="AE6292">
        <v>-12.612209999999999</v>
      </c>
      <c r="AF6292">
        <v>11.5763263240457</v>
      </c>
      <c r="AG6292">
        <v>-0.86245289999999997</v>
      </c>
      <c r="AH6292">
        <v>85.428158362363703</v>
      </c>
      <c r="AI6292">
        <v>90.573180252057995</v>
      </c>
      <c r="AJ6292">
        <v>82.2828849365998</v>
      </c>
      <c r="AK6292">
        <v>86.213255345976805</v>
      </c>
      <c r="AL6292">
        <v>95.789962146137995</v>
      </c>
      <c r="AM6292">
        <v>93.421505373941002</v>
      </c>
      <c r="AN6292">
        <v>1.0000000109007401</v>
      </c>
    </row>
    <row r="6293" spans="1:40" x14ac:dyDescent="0.25">
      <c r="A6293" t="str">
        <f>"20190305135051688"</f>
        <v>20190305135051688</v>
      </c>
      <c r="B6293" t="str">
        <f>"1551765051675747"</f>
        <v>1551765051675747</v>
      </c>
      <c r="C6293" t="s">
        <v>40</v>
      </c>
      <c r="D6293">
        <v>4.3945970000000001</v>
      </c>
      <c r="E6293">
        <v>0.57553009999999905</v>
      </c>
      <c r="F6293" t="s">
        <v>102</v>
      </c>
      <c r="G6293">
        <v>-279.33690000000001</v>
      </c>
      <c r="H6293">
        <v>0.24735190000000001</v>
      </c>
      <c r="I6293">
        <v>4.2821160000000003</v>
      </c>
      <c r="J6293">
        <v>-364.45979999999997</v>
      </c>
      <c r="K6293">
        <v>1.1082920000000001</v>
      </c>
      <c r="L6293">
        <v>16.906679999999898</v>
      </c>
      <c r="M6293">
        <v>0.99989159999999999</v>
      </c>
      <c r="N6293">
        <v>-7.9865930000000002E-3</v>
      </c>
      <c r="O6293">
        <v>-1.2378429999999999E-2</v>
      </c>
      <c r="P6293">
        <v>0.99292020000000003</v>
      </c>
      <c r="Q6293">
        <v>-0.1091326</v>
      </c>
      <c r="R6293">
        <v>4.690267E-2</v>
      </c>
      <c r="S6293">
        <v>3.0394899999999998</v>
      </c>
      <c r="T6293">
        <v>-3.0682089999999999E-2</v>
      </c>
      <c r="U6293">
        <v>-0.44998169999999998</v>
      </c>
      <c r="V6293">
        <v>-5.9283549999999997E-2</v>
      </c>
      <c r="W6293">
        <v>-0.1011497</v>
      </c>
      <c r="X6293">
        <v>0.99310330000000002</v>
      </c>
      <c r="Y6293">
        <v>0.134180299999999</v>
      </c>
      <c r="Z6293">
        <v>-1.1864200000000001E-3</v>
      </c>
      <c r="AA6293">
        <v>0.99095619999999995</v>
      </c>
      <c r="AB6293">
        <v>31</v>
      </c>
      <c r="AC6293">
        <v>85.122899999999902</v>
      </c>
      <c r="AD6293">
        <v>-0.86094009999999999</v>
      </c>
      <c r="AE6293">
        <v>-12.6245639999999</v>
      </c>
      <c r="AF6293">
        <v>11.56871740219</v>
      </c>
      <c r="AG6293">
        <v>-0.86094009999999999</v>
      </c>
      <c r="AH6293">
        <v>85.264120737267604</v>
      </c>
      <c r="AI6293">
        <v>90.573262556076102</v>
      </c>
      <c r="AJ6293">
        <v>82.273238135652406</v>
      </c>
      <c r="AK6293">
        <v>86.049675916222199</v>
      </c>
      <c r="AL6293">
        <v>95.805379250422405</v>
      </c>
      <c r="AM6293">
        <v>93.4162318041665</v>
      </c>
      <c r="AN6293">
        <v>0.99999998279079105</v>
      </c>
    </row>
    <row r="6294" spans="1:40" x14ac:dyDescent="0.25">
      <c r="A6294" t="str">
        <f>"20190305135051699"</f>
        <v>20190305135051699</v>
      </c>
      <c r="B6294" t="str">
        <f>"1551765051696244"</f>
        <v>1551765051696244</v>
      </c>
      <c r="C6294" t="s">
        <v>40</v>
      </c>
      <c r="D6294">
        <v>4.4194239999999896</v>
      </c>
      <c r="E6294">
        <v>0.57580569999999998</v>
      </c>
      <c r="F6294" t="s">
        <v>102</v>
      </c>
      <c r="G6294">
        <v>-279.33690000000001</v>
      </c>
      <c r="H6294">
        <v>0.22828370000000001</v>
      </c>
      <c r="I6294">
        <v>4.2533379999999896</v>
      </c>
      <c r="J6294">
        <v>-364.3125</v>
      </c>
      <c r="K6294">
        <v>1.1082780000000001</v>
      </c>
      <c r="L6294">
        <v>16.904629999999901</v>
      </c>
      <c r="M6294">
        <v>0.99988980000000005</v>
      </c>
      <c r="N6294">
        <v>-7.8612040000000001E-3</v>
      </c>
      <c r="O6294">
        <v>-1.2605969999999999E-2</v>
      </c>
      <c r="P6294">
        <v>0.99290690000000004</v>
      </c>
      <c r="Q6294">
        <v>-0.1093167</v>
      </c>
      <c r="R6294">
        <v>4.6757069999999998E-2</v>
      </c>
      <c r="S6294">
        <v>3.0392760000000001</v>
      </c>
      <c r="T6294">
        <v>-3.142035E-2</v>
      </c>
      <c r="U6294">
        <v>-0.45178220000000002</v>
      </c>
      <c r="V6294">
        <v>-5.9365029999999999E-2</v>
      </c>
      <c r="W6294">
        <v>-0.1014578</v>
      </c>
      <c r="X6294">
        <v>0.99306700000000003</v>
      </c>
      <c r="Y6294">
        <v>0.13453889999999999</v>
      </c>
      <c r="Z6294">
        <v>-1.192371E-3</v>
      </c>
      <c r="AA6294">
        <v>0.9909076</v>
      </c>
      <c r="AB6294">
        <v>31</v>
      </c>
      <c r="AC6294">
        <v>84.975599999999901</v>
      </c>
      <c r="AD6294">
        <v>-0.87999430000000001</v>
      </c>
      <c r="AE6294">
        <v>-12.6512919999999</v>
      </c>
      <c r="AF6294">
        <v>11.5778391701371</v>
      </c>
      <c r="AG6294">
        <v>-0.87999430000000001</v>
      </c>
      <c r="AH6294">
        <v>85.119403713558995</v>
      </c>
      <c r="AI6294">
        <v>90.586918736311304</v>
      </c>
      <c r="AJ6294">
        <v>82.254231843515598</v>
      </c>
      <c r="AK6294">
        <v>85.907704185186105</v>
      </c>
      <c r="AL6294">
        <v>95.823123385127801</v>
      </c>
      <c r="AM6294">
        <v>93.421040718972407</v>
      </c>
      <c r="AN6294">
        <v>0.99999997922837003</v>
      </c>
    </row>
    <row r="6295" spans="1:40" x14ac:dyDescent="0.25">
      <c r="A6295" t="str">
        <f>"20190305135051710"</f>
        <v>20190305135051710</v>
      </c>
      <c r="B6295" t="str">
        <f>"1551765051706004"</f>
        <v>1551765051706004</v>
      </c>
      <c r="C6295" t="s">
        <v>40</v>
      </c>
      <c r="D6295">
        <v>4.4162019999999904</v>
      </c>
      <c r="E6295">
        <v>0.57594820000000002</v>
      </c>
      <c r="F6295" t="s">
        <v>102</v>
      </c>
      <c r="G6295">
        <v>-279.33690000000001</v>
      </c>
      <c r="H6295">
        <v>0.2128488</v>
      </c>
      <c r="I6295">
        <v>4.2042010000000003</v>
      </c>
      <c r="J6295">
        <v>-364.15550000000002</v>
      </c>
      <c r="K6295">
        <v>1.1082609999999999</v>
      </c>
      <c r="L6295">
        <v>16.902470000000001</v>
      </c>
      <c r="M6295">
        <v>0.99988770000000005</v>
      </c>
      <c r="N6295">
        <v>-7.7288640000000002E-3</v>
      </c>
      <c r="O6295">
        <v>-1.284852E-2</v>
      </c>
      <c r="P6295">
        <v>0.99290480000000003</v>
      </c>
      <c r="Q6295">
        <v>-0.1093083</v>
      </c>
      <c r="R6295">
        <v>4.6818350000000002E-2</v>
      </c>
      <c r="S6295">
        <v>3.039307</v>
      </c>
      <c r="T6295">
        <v>-3.2026649999999997E-2</v>
      </c>
      <c r="U6295">
        <v>-0.4542542</v>
      </c>
      <c r="V6295">
        <v>-5.9668279999999997E-2</v>
      </c>
      <c r="W6295">
        <v>-0.10158</v>
      </c>
      <c r="X6295">
        <v>0.99303629999999998</v>
      </c>
      <c r="Y6295">
        <v>0.13508519999999999</v>
      </c>
      <c r="Z6295">
        <v>-1.1969000000000001E-3</v>
      </c>
      <c r="AA6295">
        <v>0.99083330000000003</v>
      </c>
      <c r="AB6295">
        <v>31</v>
      </c>
      <c r="AC6295">
        <v>84.818600000000004</v>
      </c>
      <c r="AD6295">
        <v>-0.89541219999999999</v>
      </c>
      <c r="AE6295">
        <v>-12.698269</v>
      </c>
      <c r="AF6295">
        <v>11.6061297484005</v>
      </c>
      <c r="AG6295">
        <v>-0.89541219999999999</v>
      </c>
      <c r="AH6295">
        <v>84.965495525823599</v>
      </c>
      <c r="AI6295">
        <v>90.598236404468096</v>
      </c>
      <c r="AJ6295">
        <v>82.221642885322495</v>
      </c>
      <c r="AK6295">
        <v>85.759194496528295</v>
      </c>
      <c r="AL6295">
        <v>95.830161481109997</v>
      </c>
      <c r="AM6295">
        <v>93.438580392583603</v>
      </c>
      <c r="AN6295">
        <v>0.99999994657792202</v>
      </c>
    </row>
    <row r="6296" spans="1:40" x14ac:dyDescent="0.25">
      <c r="A6296" t="str">
        <f>"20190305135051721"</f>
        <v>20190305135051721</v>
      </c>
      <c r="B6296" t="str">
        <f>"1551765051715765"</f>
        <v>1551765051715765</v>
      </c>
      <c r="C6296" t="s">
        <v>40</v>
      </c>
      <c r="D6296">
        <v>4.3999410000000001</v>
      </c>
      <c r="E6296">
        <v>0.5761269</v>
      </c>
      <c r="F6296" t="s">
        <v>102</v>
      </c>
      <c r="G6296">
        <v>-279.33690000000001</v>
      </c>
      <c r="H6296">
        <v>0.2111712</v>
      </c>
      <c r="I6296">
        <v>4.2010500000000004</v>
      </c>
      <c r="J6296">
        <v>-363.99689999999998</v>
      </c>
      <c r="K6296">
        <v>1.1082479999999999</v>
      </c>
      <c r="L6296">
        <v>16.900210000000001</v>
      </c>
      <c r="M6296">
        <v>0.99988549999999998</v>
      </c>
      <c r="N6296">
        <v>-7.6035919999999898E-3</v>
      </c>
      <c r="O6296">
        <v>-1.3093E-2</v>
      </c>
      <c r="P6296">
        <v>0.99289289999999997</v>
      </c>
      <c r="Q6296">
        <v>-0.10944810000000001</v>
      </c>
      <c r="R6296">
        <v>4.6743079999999999E-2</v>
      </c>
      <c r="S6296">
        <v>3.0393680000000001</v>
      </c>
      <c r="T6296">
        <v>-3.2146099999999997E-2</v>
      </c>
      <c r="U6296">
        <v>-0.45513920000000002</v>
      </c>
      <c r="V6296">
        <v>-5.9836649999999998E-2</v>
      </c>
      <c r="W6296">
        <v>-0.10184360000000001</v>
      </c>
      <c r="X6296">
        <v>0.99299919999999997</v>
      </c>
      <c r="Y6296">
        <v>0.1351223</v>
      </c>
      <c r="Z6296">
        <v>-1.188529E-3</v>
      </c>
      <c r="AA6296">
        <v>0.99082820000000005</v>
      </c>
      <c r="AB6296">
        <v>31</v>
      </c>
      <c r="AC6296">
        <v>84.659999999999897</v>
      </c>
      <c r="AD6296">
        <v>-0.89707679999999901</v>
      </c>
      <c r="AE6296">
        <v>-12.699159999999999</v>
      </c>
      <c r="AF6296">
        <v>11.5883136159354</v>
      </c>
      <c r="AG6296">
        <v>-0.89707679999999901</v>
      </c>
      <c r="AH6296">
        <v>84.809704773341707</v>
      </c>
      <c r="AI6296">
        <v>90.600446064139902</v>
      </c>
      <c r="AJ6296">
        <v>82.219345157825202</v>
      </c>
      <c r="AK6296">
        <v>85.602451968315407</v>
      </c>
      <c r="AL6296">
        <v>95.845343203579006</v>
      </c>
      <c r="AM6296">
        <v>93.448388407939404</v>
      </c>
      <c r="AN6296">
        <v>0.99999997737241098</v>
      </c>
    </row>
    <row r="6297" spans="1:40" x14ac:dyDescent="0.25">
      <c r="A6297" t="str">
        <f>"20190305135051734"</f>
        <v>20190305135051734</v>
      </c>
      <c r="B6297" t="str">
        <f>"1551765051726500"</f>
        <v>1551765051726500</v>
      </c>
      <c r="C6297" t="s">
        <v>40</v>
      </c>
      <c r="D6297">
        <v>4.4425829999999999</v>
      </c>
      <c r="E6297">
        <v>0.57622850000000003</v>
      </c>
      <c r="F6297" t="s">
        <v>102</v>
      </c>
      <c r="G6297">
        <v>-279.33690000000001</v>
      </c>
      <c r="H6297">
        <v>0.21159159999999999</v>
      </c>
      <c r="I6297">
        <v>4.1819920000000002</v>
      </c>
      <c r="J6297">
        <v>-363.83049999999997</v>
      </c>
      <c r="K6297">
        <v>1.1082339999999999</v>
      </c>
      <c r="L6297">
        <v>16.897829999999999</v>
      </c>
      <c r="M6297">
        <v>0.99988299999999997</v>
      </c>
      <c r="N6297">
        <v>-7.4761019999999897E-3</v>
      </c>
      <c r="O6297">
        <v>-1.3349150000000001E-2</v>
      </c>
      <c r="P6297">
        <v>0.99290310000000004</v>
      </c>
      <c r="Q6297">
        <v>-0.10935250000000001</v>
      </c>
      <c r="R6297">
        <v>4.6751870000000001E-2</v>
      </c>
      <c r="S6297">
        <v>3.0394290000000002</v>
      </c>
      <c r="T6297">
        <v>-3.2191400000000002E-2</v>
      </c>
      <c r="U6297">
        <v>-0.45660400000000001</v>
      </c>
      <c r="V6297">
        <v>-6.0100679999999997E-2</v>
      </c>
      <c r="W6297">
        <v>-0.1018739</v>
      </c>
      <c r="X6297">
        <v>0.99298019999999998</v>
      </c>
      <c r="Y6297">
        <v>0.1353326</v>
      </c>
      <c r="Z6297">
        <v>-1.180104E-3</v>
      </c>
      <c r="AA6297">
        <v>0.99079950000000006</v>
      </c>
      <c r="AB6297">
        <v>31</v>
      </c>
      <c r="AC6297">
        <v>84.493599999999901</v>
      </c>
      <c r="AD6297">
        <v>-0.89664239999999995</v>
      </c>
      <c r="AE6297">
        <v>-12.7158379999999</v>
      </c>
      <c r="AF6297">
        <v>11.5854799153828</v>
      </c>
      <c r="AG6297">
        <v>-0.89664239999999995</v>
      </c>
      <c r="AH6297">
        <v>84.646500001501593</v>
      </c>
      <c r="AI6297">
        <v>90.601293822808103</v>
      </c>
      <c r="AJ6297">
        <v>82.206410555470896</v>
      </c>
      <c r="AK6297">
        <v>85.440372628912598</v>
      </c>
      <c r="AL6297">
        <v>95.847088031204194</v>
      </c>
      <c r="AM6297">
        <v>93.463633617468204</v>
      </c>
      <c r="AN6297">
        <v>1.00000003041485</v>
      </c>
    </row>
    <row r="6298" spans="1:40" x14ac:dyDescent="0.25">
      <c r="A6298" t="str">
        <f>"20190305135051746"</f>
        <v>20190305135051746</v>
      </c>
      <c r="B6298" t="str">
        <f>"1551765051736260"</f>
        <v>1551765051736260</v>
      </c>
      <c r="C6298" t="s">
        <v>40</v>
      </c>
      <c r="D6298">
        <v>4.4697069999999997</v>
      </c>
      <c r="E6298">
        <v>0.57634390000000002</v>
      </c>
      <c r="F6298" t="s">
        <v>102</v>
      </c>
      <c r="G6298">
        <v>-279.33690000000001</v>
      </c>
      <c r="H6298">
        <v>0.2305683</v>
      </c>
      <c r="I6298">
        <v>4.189476</v>
      </c>
      <c r="J6298">
        <v>-363.64479999999998</v>
      </c>
      <c r="K6298">
        <v>1.1082129999999999</v>
      </c>
      <c r="L6298">
        <v>16.895109999999999</v>
      </c>
      <c r="M6298">
        <v>0.99988010000000005</v>
      </c>
      <c r="N6298">
        <v>-7.342543E-3</v>
      </c>
      <c r="O6298">
        <v>-1.363426E-2</v>
      </c>
      <c r="P6298">
        <v>0.9929171</v>
      </c>
      <c r="Q6298">
        <v>-0.10914169999999999</v>
      </c>
      <c r="R6298">
        <v>4.6945979999999998E-2</v>
      </c>
      <c r="S6298">
        <v>3.0394589999999999</v>
      </c>
      <c r="T6298">
        <v>-3.1571979999999999E-2</v>
      </c>
      <c r="U6298">
        <v>-0.45715329999999899</v>
      </c>
      <c r="V6298">
        <v>-6.0578439999999997E-2</v>
      </c>
      <c r="W6298">
        <v>-0.1017947</v>
      </c>
      <c r="X6298">
        <v>0.99295929999999999</v>
      </c>
      <c r="Y6298">
        <v>0.13522419999999999</v>
      </c>
      <c r="Z6298">
        <v>-1.156406E-3</v>
      </c>
      <c r="AA6298">
        <v>0.99081430000000004</v>
      </c>
      <c r="AB6298">
        <v>31</v>
      </c>
      <c r="AC6298">
        <v>84.307899999999904</v>
      </c>
      <c r="AD6298">
        <v>-0.87764469999999895</v>
      </c>
      <c r="AE6298">
        <v>-12.705634</v>
      </c>
      <c r="AF6298">
        <v>11.553721884766301</v>
      </c>
      <c r="AG6298">
        <v>-0.87764469999999895</v>
      </c>
      <c r="AH6298">
        <v>84.464349714784504</v>
      </c>
      <c r="AI6298">
        <v>90.589830308227505</v>
      </c>
      <c r="AJ6298">
        <v>82.210956696653497</v>
      </c>
      <c r="AK6298">
        <v>85.255411103057796</v>
      </c>
      <c r="AL6298">
        <v>95.842526436269196</v>
      </c>
      <c r="AM6298">
        <v>93.491172646210998</v>
      </c>
      <c r="AN6298">
        <v>1.0000000398986999</v>
      </c>
    </row>
    <row r="6299" spans="1:40" x14ac:dyDescent="0.25">
      <c r="A6299" t="str">
        <f>"20190305135051759"</f>
        <v>20190305135051759</v>
      </c>
      <c r="B6299" t="str">
        <f>"1551765051756755"</f>
        <v>1551765051756755</v>
      </c>
      <c r="C6299" t="s">
        <v>40</v>
      </c>
      <c r="D6299">
        <v>4.3037769999999904</v>
      </c>
      <c r="E6299">
        <v>0.57618840000000004</v>
      </c>
      <c r="F6299" t="s">
        <v>102</v>
      </c>
      <c r="G6299">
        <v>-279.33690000000001</v>
      </c>
      <c r="H6299">
        <v>0.2418776</v>
      </c>
      <c r="I6299">
        <v>4.2026329999999996</v>
      </c>
      <c r="J6299">
        <v>-363.47430000000003</v>
      </c>
      <c r="K6299">
        <v>1.108203</v>
      </c>
      <c r="L6299">
        <v>16.89255</v>
      </c>
      <c r="M6299">
        <v>0.99987740000000003</v>
      </c>
      <c r="N6299">
        <v>-7.2293349999999999E-3</v>
      </c>
      <c r="O6299">
        <v>-1.389106E-2</v>
      </c>
      <c r="P6299">
        <v>0.99290670000000003</v>
      </c>
      <c r="Q6299">
        <v>-0.1091217</v>
      </c>
      <c r="R6299">
        <v>4.7211530000000002E-2</v>
      </c>
      <c r="S6299">
        <v>3.039612</v>
      </c>
      <c r="T6299">
        <v>-3.1234620000000001E-2</v>
      </c>
      <c r="U6299">
        <v>-0.45761109999999999</v>
      </c>
      <c r="V6299">
        <v>-6.1099630000000002E-2</v>
      </c>
      <c r="W6299">
        <v>-0.10188659999999999</v>
      </c>
      <c r="X6299">
        <v>0.99291790000000002</v>
      </c>
      <c r="Y6299">
        <v>0.1351087</v>
      </c>
      <c r="Z6299">
        <v>-1.1394E-3</v>
      </c>
      <c r="AA6299">
        <v>0.99083010000000005</v>
      </c>
      <c r="AB6299">
        <v>31</v>
      </c>
      <c r="AC6299">
        <v>84.1374</v>
      </c>
      <c r="AD6299">
        <v>-0.86632540000000002</v>
      </c>
      <c r="AE6299">
        <v>-12.689916999999999</v>
      </c>
      <c r="AF6299">
        <v>11.518710311913001</v>
      </c>
      <c r="AG6299">
        <v>-0.86632540000000002</v>
      </c>
      <c r="AH6299">
        <v>84.296824251844399</v>
      </c>
      <c r="AI6299">
        <v>90.583391804839806</v>
      </c>
      <c r="AJ6299">
        <v>82.219027434999404</v>
      </c>
      <c r="AK6299">
        <v>85.084580188743899</v>
      </c>
      <c r="AL6299">
        <v>95.847819671556607</v>
      </c>
      <c r="AM6299">
        <v>93.521280341781903</v>
      </c>
      <c r="AN6299">
        <v>1.00000000009305</v>
      </c>
    </row>
    <row r="6300" spans="1:40" x14ac:dyDescent="0.25">
      <c r="A6300" t="str">
        <f>"20190305135051776"</f>
        <v>20190305135051776</v>
      </c>
      <c r="B6300" t="str">
        <f>"1551765051766516"</f>
        <v>1551765051766516</v>
      </c>
      <c r="C6300" t="s">
        <v>40</v>
      </c>
      <c r="D6300">
        <v>4.3116580000000004</v>
      </c>
      <c r="E6300">
        <v>0.57618840000000004</v>
      </c>
      <c r="F6300" t="s">
        <v>102</v>
      </c>
      <c r="G6300">
        <v>-279.33690000000001</v>
      </c>
      <c r="H6300">
        <v>0.239231</v>
      </c>
      <c r="I6300">
        <v>4.2827190000000002</v>
      </c>
      <c r="J6300">
        <v>-363.22859999999997</v>
      </c>
      <c r="K6300">
        <v>1.108201</v>
      </c>
      <c r="L6300">
        <v>16.88879</v>
      </c>
      <c r="M6300">
        <v>0.99987349999999997</v>
      </c>
      <c r="N6300">
        <v>-7.0768130000000004E-3</v>
      </c>
      <c r="O6300">
        <v>-1.425091E-2</v>
      </c>
      <c r="P6300">
        <v>0.99289360000000004</v>
      </c>
      <c r="Q6300">
        <v>-0.1090337</v>
      </c>
      <c r="R6300">
        <v>4.7688750000000002E-2</v>
      </c>
      <c r="S6300">
        <v>3.0397029999999998</v>
      </c>
      <c r="T6300">
        <v>-3.1394119999999998E-2</v>
      </c>
      <c r="U6300">
        <v>-0.45556639999999998</v>
      </c>
      <c r="V6300">
        <v>-6.1932969999999997E-2</v>
      </c>
      <c r="W6300">
        <v>-0.1019499</v>
      </c>
      <c r="X6300">
        <v>0.99285979999999996</v>
      </c>
      <c r="Y6300">
        <v>0.13409589999999999</v>
      </c>
      <c r="Z6300">
        <v>-1.119758E-3</v>
      </c>
      <c r="AA6300">
        <v>0.99096779999999995</v>
      </c>
      <c r="AB6300">
        <v>31</v>
      </c>
      <c r="AC6300">
        <v>83.891699999999901</v>
      </c>
      <c r="AD6300">
        <v>-0.86897000000000002</v>
      </c>
      <c r="AE6300">
        <v>-12.606071</v>
      </c>
      <c r="AF6300">
        <v>11.4080309291903</v>
      </c>
      <c r="AG6300">
        <v>-0.86897000000000002</v>
      </c>
      <c r="AH6300">
        <v>84.054013617420196</v>
      </c>
      <c r="AI6300">
        <v>90.586935224129803</v>
      </c>
      <c r="AJ6300">
        <v>82.270894134946701</v>
      </c>
      <c r="AK6300">
        <v>84.829095738076404</v>
      </c>
      <c r="AL6300">
        <v>95.851465311131903</v>
      </c>
      <c r="AM6300">
        <v>93.569392210339501</v>
      </c>
      <c r="AN6300">
        <v>1.0000000286695301</v>
      </c>
    </row>
    <row r="6301" spans="1:40" x14ac:dyDescent="0.25">
      <c r="A6301" t="str">
        <f>"20190305135051787"</f>
        <v>20190305135051787</v>
      </c>
      <c r="B6301" t="str">
        <f>"1551765051776276"</f>
        <v>1551765051776276</v>
      </c>
      <c r="C6301" t="s">
        <v>40</v>
      </c>
      <c r="D6301">
        <v>4.3726440000000002</v>
      </c>
      <c r="E6301">
        <v>0.53556780000000004</v>
      </c>
      <c r="F6301" t="s">
        <v>102</v>
      </c>
      <c r="G6301">
        <v>-279.33690000000001</v>
      </c>
      <c r="H6301">
        <v>0.26020589999999999</v>
      </c>
      <c r="I6301">
        <v>4.361891</v>
      </c>
      <c r="J6301">
        <v>-363.06889999999999</v>
      </c>
      <c r="K6301">
        <v>1.1082000000000001</v>
      </c>
      <c r="L6301">
        <v>16.886320000000001</v>
      </c>
      <c r="M6301">
        <v>0.99987090000000001</v>
      </c>
      <c r="N6301">
        <v>-6.9844290000000003E-3</v>
      </c>
      <c r="O6301">
        <v>-1.447581E-2</v>
      </c>
      <c r="P6301">
        <v>0.99288200000000004</v>
      </c>
      <c r="Q6301">
        <v>-0.1090211</v>
      </c>
      <c r="R6301">
        <v>4.7958849999999997E-2</v>
      </c>
      <c r="S6301">
        <v>3.0398559999999999</v>
      </c>
      <c r="T6301">
        <v>-3.072751E-2</v>
      </c>
      <c r="U6301">
        <v>-0.4539185</v>
      </c>
      <c r="V6301">
        <v>-6.2424819999999999E-2</v>
      </c>
      <c r="W6301">
        <v>-0.1020296</v>
      </c>
      <c r="X6301">
        <v>0.99282079999999995</v>
      </c>
      <c r="Y6301">
        <v>0.13334079999999901</v>
      </c>
      <c r="Z6301">
        <v>-1.093541E-3</v>
      </c>
      <c r="AA6301">
        <v>0.99106959999999999</v>
      </c>
      <c r="AB6301">
        <v>32</v>
      </c>
      <c r="AC6301">
        <v>83.7319999999999</v>
      </c>
      <c r="AD6301">
        <v>-0.84799409999999997</v>
      </c>
      <c r="AE6301">
        <v>-12.524429</v>
      </c>
      <c r="AF6301">
        <v>11.309864007346199</v>
      </c>
      <c r="AG6301">
        <v>-0.84799409999999997</v>
      </c>
      <c r="AH6301">
        <v>83.896115227801204</v>
      </c>
      <c r="AI6301">
        <v>90.573915902374907</v>
      </c>
      <c r="AJ6301">
        <v>82.322358737575797</v>
      </c>
      <c r="AK6301">
        <v>84.659259789906002</v>
      </c>
      <c r="AL6301">
        <v>95.856055777376099</v>
      </c>
      <c r="AM6301">
        <v>93.597805869576604</v>
      </c>
      <c r="AN6301">
        <v>1.0000000191704099</v>
      </c>
    </row>
    <row r="6302" spans="1:40" x14ac:dyDescent="0.25">
      <c r="A6302" t="str">
        <f>"20190305135051799"</f>
        <v>20190305135051799</v>
      </c>
      <c r="B6302" t="str">
        <f>"1551765051795796"</f>
        <v>1551765051795796</v>
      </c>
      <c r="C6302" t="s">
        <v>40</v>
      </c>
      <c r="D6302">
        <v>4.3135269999999997</v>
      </c>
      <c r="E6302">
        <v>0.53544559999999997</v>
      </c>
      <c r="F6302" t="s">
        <v>42</v>
      </c>
      <c r="G6302">
        <v>-323.91030000000001</v>
      </c>
      <c r="H6302" s="1">
        <v>-3.6453340000000002E-6</v>
      </c>
      <c r="I6302">
        <v>15.183929999999901</v>
      </c>
      <c r="J6302">
        <v>-362.90010000000001</v>
      </c>
      <c r="K6302">
        <v>1.1082050000000001</v>
      </c>
      <c r="L6302">
        <v>16.883669999999999</v>
      </c>
      <c r="M6302">
        <v>0.99986819999999998</v>
      </c>
      <c r="N6302">
        <v>-6.8959160000000002E-3</v>
      </c>
      <c r="O6302">
        <v>-1.4698289999999999E-2</v>
      </c>
      <c r="P6302">
        <v>0.99284229999999996</v>
      </c>
      <c r="Q6302">
        <v>-0.1091771</v>
      </c>
      <c r="R6302">
        <v>4.8423599999999997E-2</v>
      </c>
      <c r="S6302">
        <v>3.0184630000000001</v>
      </c>
      <c r="T6302">
        <v>-8.542371E-2</v>
      </c>
      <c r="U6302">
        <v>-0.1312256</v>
      </c>
      <c r="V6302">
        <v>-6.3107759999999999E-2</v>
      </c>
      <c r="W6302">
        <v>-0.10227459999999999</v>
      </c>
      <c r="X6302">
        <v>0.99275239999999998</v>
      </c>
      <c r="Y6302">
        <v>2.8732890000000001E-2</v>
      </c>
      <c r="Z6302">
        <v>-1.9110899999999999E-4</v>
      </c>
      <c r="AA6302">
        <v>0.99958709999999995</v>
      </c>
      <c r="AB6302">
        <v>32</v>
      </c>
      <c r="AC6302">
        <v>38.989800000000002</v>
      </c>
      <c r="AD6302">
        <v>-1.1082086453340001</v>
      </c>
      <c r="AE6302">
        <v>-1.69974</v>
      </c>
      <c r="AF6302">
        <v>1.1255517909125601</v>
      </c>
      <c r="AG6302">
        <v>-1.1082086453340001</v>
      </c>
      <c r="AH6302">
        <v>38.979141449370701</v>
      </c>
      <c r="AI6302">
        <v>91.627848698550594</v>
      </c>
      <c r="AJ6302">
        <v>88.346001223344203</v>
      </c>
      <c r="AK6302">
        <v>39.011132531184799</v>
      </c>
      <c r="AL6302">
        <v>95.870167143068898</v>
      </c>
      <c r="AM6302">
        <v>93.637311420170505</v>
      </c>
      <c r="AN6302">
        <v>1.0000000054415601</v>
      </c>
    </row>
    <row r="6303" spans="1:40" x14ac:dyDescent="0.25">
      <c r="A6303" t="str">
        <f>"20190305135051812"</f>
        <v>20190305135051812</v>
      </c>
      <c r="B6303" t="str">
        <f>"1551765051806532"</f>
        <v>1551765051806532</v>
      </c>
      <c r="C6303" t="s">
        <v>40</v>
      </c>
      <c r="D6303">
        <v>4.2784610000000001</v>
      </c>
      <c r="E6303">
        <v>0.53667219999999904</v>
      </c>
      <c r="F6303" t="s">
        <v>42</v>
      </c>
      <c r="G6303">
        <v>-326.78640000000001</v>
      </c>
      <c r="H6303" s="1">
        <v>-2.3565140000000002E-6</v>
      </c>
      <c r="I6303">
        <v>15.33846</v>
      </c>
      <c r="J6303">
        <v>-362.72089999999997</v>
      </c>
      <c r="K6303">
        <v>1.1082080000000001</v>
      </c>
      <c r="L6303">
        <v>16.880859999999998</v>
      </c>
      <c r="M6303">
        <v>0.99986560000000002</v>
      </c>
      <c r="N6303">
        <v>-6.8060799999999999E-3</v>
      </c>
      <c r="O6303">
        <v>-1.492538E-2</v>
      </c>
      <c r="P6303">
        <v>0.99286030000000003</v>
      </c>
      <c r="Q6303">
        <v>-0.108916</v>
      </c>
      <c r="R6303">
        <v>4.8643760000000001E-2</v>
      </c>
      <c r="S6303">
        <v>3.0177309999999999</v>
      </c>
      <c r="T6303">
        <v>-9.26038E-2</v>
      </c>
      <c r="U6303">
        <v>-0.12911989999999901</v>
      </c>
      <c r="V6303">
        <v>-6.3549590000000003E-2</v>
      </c>
      <c r="W6303">
        <v>-0.1021044</v>
      </c>
      <c r="X6303">
        <v>0.99274169999999995</v>
      </c>
      <c r="Y6303">
        <v>2.7819389999999999E-2</v>
      </c>
      <c r="Z6303">
        <v>-1.6517539999999999E-4</v>
      </c>
      <c r="AA6303">
        <v>0.99961290000000003</v>
      </c>
      <c r="AB6303">
        <v>32</v>
      </c>
      <c r="AC6303">
        <v>35.9344999999999</v>
      </c>
      <c r="AD6303">
        <v>-1.108210356514</v>
      </c>
      <c r="AE6303">
        <v>-1.5424</v>
      </c>
      <c r="AF6303">
        <v>1.0049257605670601</v>
      </c>
      <c r="AG6303">
        <v>-1.108210356514</v>
      </c>
      <c r="AH6303">
        <v>35.919418775289799</v>
      </c>
      <c r="AI6303">
        <v>91.766477055088998</v>
      </c>
      <c r="AJ6303">
        <v>88.397440960020901</v>
      </c>
      <c r="AK6303">
        <v>35.950558425887898</v>
      </c>
      <c r="AL6303">
        <v>95.860364285036795</v>
      </c>
      <c r="AM6303">
        <v>93.6627472508398</v>
      </c>
      <c r="AN6303">
        <v>0.99999997090370796</v>
      </c>
    </row>
    <row r="6304" spans="1:40" x14ac:dyDescent="0.25">
      <c r="A6304" t="str">
        <f>"20190305135051824"</f>
        <v>20190305135051824</v>
      </c>
      <c r="B6304" t="str">
        <f>"1551765051816291"</f>
        <v>1551765051816291</v>
      </c>
      <c r="C6304" t="s">
        <v>40</v>
      </c>
      <c r="D6304">
        <v>4.2965039999999997</v>
      </c>
      <c r="E6304">
        <v>0.537412</v>
      </c>
      <c r="F6304" t="s">
        <v>42</v>
      </c>
      <c r="G6304">
        <v>-325.90219999999999</v>
      </c>
      <c r="H6304" s="1">
        <v>-2.7345580000000002E-6</v>
      </c>
      <c r="I6304">
        <v>15.193770000000001</v>
      </c>
      <c r="J6304">
        <v>-362.5444</v>
      </c>
      <c r="K6304">
        <v>1.108223</v>
      </c>
      <c r="L6304">
        <v>16.878019999999999</v>
      </c>
      <c r="M6304">
        <v>0.9998631</v>
      </c>
      <c r="N6304">
        <v>-6.7261619999999999E-3</v>
      </c>
      <c r="O6304">
        <v>-1.512469E-2</v>
      </c>
      <c r="P6304">
        <v>0.99285760000000001</v>
      </c>
      <c r="Q6304">
        <v>-0.1088775</v>
      </c>
      <c r="R6304">
        <v>4.878271E-2</v>
      </c>
      <c r="S6304">
        <v>3.0183719999999998</v>
      </c>
      <c r="T6304">
        <v>-9.0850349999999996E-2</v>
      </c>
      <c r="U6304">
        <v>-0.1383057</v>
      </c>
      <c r="V6304">
        <v>-6.3881640000000003E-2</v>
      </c>
      <c r="W6304">
        <v>-0.10214810000000001</v>
      </c>
      <c r="X6304">
        <v>0.99271589999999998</v>
      </c>
      <c r="Y6304">
        <v>3.064602E-2</v>
      </c>
      <c r="Z6304">
        <v>-2.108388E-4</v>
      </c>
      <c r="AA6304">
        <v>0.99953029999999998</v>
      </c>
      <c r="AB6304">
        <v>32</v>
      </c>
      <c r="AC6304">
        <v>36.642200000000003</v>
      </c>
      <c r="AD6304">
        <v>-1.108225734558</v>
      </c>
      <c r="AE6304">
        <v>-1.68425</v>
      </c>
      <c r="AF6304">
        <v>1.12881256328632</v>
      </c>
      <c r="AG6304">
        <v>-1.108225734558</v>
      </c>
      <c r="AH6304">
        <v>36.630046842276997</v>
      </c>
      <c r="AI6304">
        <v>91.732107890775097</v>
      </c>
      <c r="AJ6304">
        <v>88.234898956547198</v>
      </c>
      <c r="AK6304">
        <v>36.664188437072703</v>
      </c>
      <c r="AL6304">
        <v>95.8628812280175</v>
      </c>
      <c r="AM6304">
        <v>93.681928220246803</v>
      </c>
      <c r="AN6304">
        <v>0.99999997818775399</v>
      </c>
    </row>
    <row r="6305" spans="1:40" x14ac:dyDescent="0.25">
      <c r="A6305" t="str">
        <f>"20190305135051834"</f>
        <v>20190305135051834</v>
      </c>
      <c r="B6305" t="str">
        <f>"1551765051826052"</f>
        <v>1551765051826052</v>
      </c>
      <c r="C6305" t="s">
        <v>40</v>
      </c>
      <c r="D6305">
        <v>4.2812320000000001</v>
      </c>
      <c r="E6305">
        <v>0.53803630000000002</v>
      </c>
      <c r="F6305" t="s">
        <v>42</v>
      </c>
      <c r="G6305">
        <v>-326.33659999999998</v>
      </c>
      <c r="H6305" s="1">
        <v>-2.5787660000000001E-6</v>
      </c>
      <c r="I6305">
        <v>15.152369999999999</v>
      </c>
      <c r="J6305">
        <v>-362.39339999999999</v>
      </c>
      <c r="K6305">
        <v>1.1082399999999999</v>
      </c>
      <c r="L6305">
        <v>16.875579999999999</v>
      </c>
      <c r="M6305">
        <v>0.99986109999999995</v>
      </c>
      <c r="N6305">
        <v>-6.6621909999999996E-3</v>
      </c>
      <c r="O6305">
        <v>-1.5279360000000001E-2</v>
      </c>
      <c r="P6305">
        <v>0.99288600000000005</v>
      </c>
      <c r="Q6305">
        <v>-0.1085964</v>
      </c>
      <c r="R6305">
        <v>4.882848E-2</v>
      </c>
      <c r="S6305">
        <v>3.018494</v>
      </c>
      <c r="T6305">
        <v>-9.2388150000000002E-2</v>
      </c>
      <c r="U6305">
        <v>-0.14385990000000001</v>
      </c>
      <c r="V6305">
        <v>-6.4075690000000005E-2</v>
      </c>
      <c r="W6305">
        <v>-0.10193339999999999</v>
      </c>
      <c r="X6305">
        <v>0.99272550000000004</v>
      </c>
      <c r="Y6305">
        <v>3.2323490000000003E-2</v>
      </c>
      <c r="Z6305">
        <v>-2.365387E-4</v>
      </c>
      <c r="AA6305">
        <v>0.99947739999999996</v>
      </c>
      <c r="AB6305">
        <v>32</v>
      </c>
      <c r="AC6305">
        <v>36.056800000000003</v>
      </c>
      <c r="AD6305">
        <v>-1.108242578766</v>
      </c>
      <c r="AE6305">
        <v>-1.7232099999999899</v>
      </c>
      <c r="AF6305">
        <v>1.17096809675919</v>
      </c>
      <c r="AG6305">
        <v>-1.108242578766</v>
      </c>
      <c r="AH6305">
        <v>36.044946636100299</v>
      </c>
      <c r="AI6305">
        <v>91.760140677218899</v>
      </c>
      <c r="AJ6305">
        <v>88.139324672752096</v>
      </c>
      <c r="AK6305">
        <v>36.080985932986003</v>
      </c>
      <c r="AL6305">
        <v>95.850515058909494</v>
      </c>
      <c r="AM6305">
        <v>93.693046105615295</v>
      </c>
      <c r="AN6305">
        <v>1.00000001521739</v>
      </c>
    </row>
    <row r="6306" spans="1:40" x14ac:dyDescent="0.25">
      <c r="A6306" t="str">
        <f>"20190305135051846"</f>
        <v>20190305135051846</v>
      </c>
      <c r="B6306" t="str">
        <f>"1551765051835812"</f>
        <v>1551765051835812</v>
      </c>
      <c r="C6306" t="s">
        <v>40</v>
      </c>
      <c r="D6306">
        <v>4.2631690000000004</v>
      </c>
      <c r="E6306">
        <v>0.53859650000000003</v>
      </c>
      <c r="F6306" t="s">
        <v>42</v>
      </c>
      <c r="G6306">
        <v>-325.4821</v>
      </c>
      <c r="H6306" s="1">
        <v>-2.9320059999999998E-6</v>
      </c>
      <c r="I6306">
        <v>15.05805</v>
      </c>
      <c r="J6306">
        <v>-362.2285</v>
      </c>
      <c r="K6306">
        <v>1.1082609999999999</v>
      </c>
      <c r="L6306">
        <v>16.872920000000001</v>
      </c>
      <c r="M6306">
        <v>0.99985919999999895</v>
      </c>
      <c r="N6306">
        <v>-6.5966990000000001E-3</v>
      </c>
      <c r="O6306">
        <v>-1.5432909999999999E-2</v>
      </c>
      <c r="P6306">
        <v>0.99292789999999997</v>
      </c>
      <c r="Q6306">
        <v>-0.108241</v>
      </c>
      <c r="R6306">
        <v>4.876548E-2</v>
      </c>
      <c r="S6306">
        <v>3.0188899999999999</v>
      </c>
      <c r="T6306">
        <v>-9.0640540000000006E-2</v>
      </c>
      <c r="U6306">
        <v>-0.14865110000000001</v>
      </c>
      <c r="V6306">
        <v>-6.4159939999999999E-2</v>
      </c>
      <c r="W6306">
        <v>-0.1016465</v>
      </c>
      <c r="X6306">
        <v>0.99274949999999995</v>
      </c>
      <c r="Y6306">
        <v>3.3746020000000002E-2</v>
      </c>
      <c r="Z6306">
        <v>-2.564059E-4</v>
      </c>
      <c r="AA6306">
        <v>0.99943040000000005</v>
      </c>
      <c r="AB6306">
        <v>32</v>
      </c>
      <c r="AC6306">
        <v>36.746400000000001</v>
      </c>
      <c r="AD6306">
        <v>-1.1082639320059999</v>
      </c>
      <c r="AE6306">
        <v>-1.81487</v>
      </c>
      <c r="AF6306">
        <v>1.2464066682627799</v>
      </c>
      <c r="AG6306">
        <v>-1.1082639320059999</v>
      </c>
      <c r="AH6306">
        <v>36.736697975001597</v>
      </c>
      <c r="AI6306">
        <v>91.726968236599603</v>
      </c>
      <c r="AJ6306">
        <v>88.056807971079095</v>
      </c>
      <c r="AK6306">
        <v>36.774539516249099</v>
      </c>
      <c r="AL6306">
        <v>95.833990931929094</v>
      </c>
      <c r="AM6306">
        <v>93.697799297990699</v>
      </c>
      <c r="AN6306">
        <v>1.0000000393066499</v>
      </c>
    </row>
    <row r="6307" spans="1:40" x14ac:dyDescent="0.25">
      <c r="A6307" t="str">
        <f>"20190305135051857"</f>
        <v>20190305135051857</v>
      </c>
      <c r="B6307" t="str">
        <f>"1551765051846548"</f>
        <v>1551765051846548</v>
      </c>
      <c r="C6307" t="s">
        <v>40</v>
      </c>
      <c r="D6307">
        <v>4.2596210000000001</v>
      </c>
      <c r="E6307">
        <v>0.53923940000000004</v>
      </c>
      <c r="F6307" t="s">
        <v>42</v>
      </c>
      <c r="G6307">
        <v>-325.00510000000003</v>
      </c>
      <c r="H6307" s="1">
        <v>-3.1635240000000001E-6</v>
      </c>
      <c r="I6307">
        <v>14.98258</v>
      </c>
      <c r="J6307">
        <v>-362.07960000000003</v>
      </c>
      <c r="K6307">
        <v>1.108284</v>
      </c>
      <c r="L6307">
        <v>16.870509999999999</v>
      </c>
      <c r="M6307">
        <v>0.99985789999999997</v>
      </c>
      <c r="N6307">
        <v>-6.5430610000000002E-3</v>
      </c>
      <c r="O6307">
        <v>-1.554466E-2</v>
      </c>
      <c r="P6307">
        <v>0.9929789</v>
      </c>
      <c r="Q6307">
        <v>-0.1078944</v>
      </c>
      <c r="R6307">
        <v>4.8495919999999998E-2</v>
      </c>
      <c r="S6307">
        <v>3.0190730000000001</v>
      </c>
      <c r="T6307">
        <v>-8.988786E-2</v>
      </c>
      <c r="U6307">
        <v>-0.15332029999999999</v>
      </c>
      <c r="V6307">
        <v>-6.3995209999999997E-2</v>
      </c>
      <c r="W6307">
        <v>-0.10135719999999999</v>
      </c>
      <c r="X6307">
        <v>0.9927897</v>
      </c>
      <c r="Y6307">
        <v>3.5172639999999998E-2</v>
      </c>
      <c r="Z6307">
        <v>-2.7760959999999999E-4</v>
      </c>
      <c r="AA6307">
        <v>0.99938119999999997</v>
      </c>
      <c r="AB6307">
        <v>32</v>
      </c>
      <c r="AC6307">
        <v>37.0745</v>
      </c>
      <c r="AD6307">
        <v>-1.1082871635239999</v>
      </c>
      <c r="AE6307">
        <v>-1.8879300000000001</v>
      </c>
      <c r="AF6307">
        <v>1.31021131769738</v>
      </c>
      <c r="AG6307">
        <v>-1.1082871635239999</v>
      </c>
      <c r="AH6307">
        <v>37.066330488174103</v>
      </c>
      <c r="AI6307">
        <v>91.711571251198194</v>
      </c>
      <c r="AJ6307">
        <v>87.975566082670099</v>
      </c>
      <c r="AK6307">
        <v>37.106034684298898</v>
      </c>
      <c r="AL6307">
        <v>95.817329273713199</v>
      </c>
      <c r="AM6307">
        <v>93.688182540452303</v>
      </c>
      <c r="AN6307">
        <v>1.00000002866043</v>
      </c>
    </row>
    <row r="6308" spans="1:40" x14ac:dyDescent="0.25">
      <c r="A6308" t="str">
        <f>"20190305135051868"</f>
        <v>20190305135051868</v>
      </c>
      <c r="B6308" t="str">
        <f>"1551765051856308"</f>
        <v>1551765051856308</v>
      </c>
      <c r="C6308" t="s">
        <v>40</v>
      </c>
      <c r="D6308">
        <v>4.2712199999999996</v>
      </c>
      <c r="E6308">
        <v>0.53970309999999999</v>
      </c>
      <c r="F6308" t="s">
        <v>42</v>
      </c>
      <c r="G6308">
        <v>-324.2783</v>
      </c>
      <c r="H6308" s="1">
        <v>-3.5260019999999998E-6</v>
      </c>
      <c r="I6308">
        <v>14.8761299999999</v>
      </c>
      <c r="J6308">
        <v>-361.9162</v>
      </c>
      <c r="K6308">
        <v>1.108311</v>
      </c>
      <c r="L6308">
        <v>16.86786</v>
      </c>
      <c r="M6308">
        <v>0.99985650000000004</v>
      </c>
      <c r="N6308">
        <v>-6.4865749999999996E-3</v>
      </c>
      <c r="O6308">
        <v>-1.5656010000000001E-2</v>
      </c>
      <c r="P6308">
        <v>0.9930215</v>
      </c>
      <c r="Q6308">
        <v>-0.107735</v>
      </c>
      <c r="R6308">
        <v>4.7976060000000001E-2</v>
      </c>
      <c r="S6308">
        <v>3.0193789999999998</v>
      </c>
      <c r="T6308">
        <v>-8.8524459999999999E-2</v>
      </c>
      <c r="U6308">
        <v>-0.15930179999999999</v>
      </c>
      <c r="V6308">
        <v>-6.3578319999999994E-2</v>
      </c>
      <c r="W6308">
        <v>-0.10125869999999999</v>
      </c>
      <c r="X6308">
        <v>0.99282649999999995</v>
      </c>
      <c r="Y6308">
        <v>3.7030149999999998E-2</v>
      </c>
      <c r="Z6308">
        <v>-3.0550599999999999E-4</v>
      </c>
      <c r="AA6308">
        <v>0.99931409999999998</v>
      </c>
      <c r="AB6308">
        <v>32</v>
      </c>
      <c r="AC6308">
        <v>37.637900000000002</v>
      </c>
      <c r="AD6308">
        <v>-1.108314526002</v>
      </c>
      <c r="AE6308">
        <v>-1.99173</v>
      </c>
      <c r="AF6308">
        <v>1.40100276862665</v>
      </c>
      <c r="AG6308">
        <v>-1.108314526002</v>
      </c>
      <c r="AH6308">
        <v>37.631930015024999</v>
      </c>
      <c r="AI6308">
        <v>91.685788395925897</v>
      </c>
      <c r="AJ6308">
        <v>87.867914536910803</v>
      </c>
      <c r="AK6308">
        <v>37.674305919312999</v>
      </c>
      <c r="AL6308">
        <v>95.811656660954398</v>
      </c>
      <c r="AM6308">
        <v>93.664086490259194</v>
      </c>
      <c r="AN6308">
        <v>0.99999999310098098</v>
      </c>
    </row>
    <row r="6309" spans="1:40" x14ac:dyDescent="0.25">
      <c r="A6309" t="str">
        <f>"20190305135051879"</f>
        <v>20190305135051879</v>
      </c>
      <c r="B6309" t="str">
        <f>"1551765051875827"</f>
        <v>1551765051875827</v>
      </c>
      <c r="C6309" t="s">
        <v>40</v>
      </c>
      <c r="D6309">
        <v>4.2767460000000002</v>
      </c>
      <c r="E6309">
        <v>0.53987249999999998</v>
      </c>
      <c r="F6309" t="s">
        <v>42</v>
      </c>
      <c r="G6309">
        <v>-324.60579999999999</v>
      </c>
      <c r="H6309" s="1">
        <v>-3.3786760000000001E-6</v>
      </c>
      <c r="I6309">
        <v>14.83372</v>
      </c>
      <c r="J6309">
        <v>-361.7561</v>
      </c>
      <c r="K6309">
        <v>1.108341</v>
      </c>
      <c r="L6309">
        <v>16.865300000000001</v>
      </c>
      <c r="M6309">
        <v>0.99985559999999996</v>
      </c>
      <c r="N6309">
        <v>-6.4377829999999999E-3</v>
      </c>
      <c r="O6309">
        <v>-1.5728869999999999E-2</v>
      </c>
      <c r="P6309">
        <v>0.99305710000000003</v>
      </c>
      <c r="Q6309">
        <v>-0.1076477</v>
      </c>
      <c r="R6309">
        <v>4.7429930000000002E-2</v>
      </c>
      <c r="S6309">
        <v>3.0193180000000002</v>
      </c>
      <c r="T6309">
        <v>-8.9689610000000003E-2</v>
      </c>
      <c r="U6309">
        <v>-0.1646118</v>
      </c>
      <c r="V6309">
        <v>-6.3097539999999994E-2</v>
      </c>
      <c r="W6309">
        <v>-0.10122490000000001</v>
      </c>
      <c r="X6309">
        <v>0.99286059999999998</v>
      </c>
      <c r="Y6309">
        <v>3.8709630000000002E-2</v>
      </c>
      <c r="Z6309">
        <v>-3.3358109999999998E-4</v>
      </c>
      <c r="AA6309">
        <v>0.99925050000000004</v>
      </c>
      <c r="AB6309">
        <v>32</v>
      </c>
      <c r="AC6309">
        <v>37.150300000000001</v>
      </c>
      <c r="AD6309">
        <v>-1.1083443786759899</v>
      </c>
      <c r="AE6309">
        <v>-2.0315799999999999</v>
      </c>
      <c r="AF6309">
        <v>1.4457013997135899</v>
      </c>
      <c r="AG6309">
        <v>-1.1083443786759899</v>
      </c>
      <c r="AH6309">
        <v>37.144696348791697</v>
      </c>
      <c r="AI6309">
        <v>91.707824366258095</v>
      </c>
      <c r="AJ6309">
        <v>87.771127266625797</v>
      </c>
      <c r="AK6309">
        <v>37.189339153080098</v>
      </c>
      <c r="AL6309">
        <v>95.809710164378004</v>
      </c>
      <c r="AM6309">
        <v>93.636328696324497</v>
      </c>
      <c r="AN6309">
        <v>0.99999997548320996</v>
      </c>
    </row>
    <row r="6310" spans="1:40" x14ac:dyDescent="0.25">
      <c r="A6310" t="str">
        <f>"20190305135051892"</f>
        <v>20190305135051892</v>
      </c>
      <c r="B6310" t="str">
        <f>"1551765051886565"</f>
        <v>1551765051886565</v>
      </c>
      <c r="C6310" t="s">
        <v>40</v>
      </c>
      <c r="D6310">
        <v>4.2632260000000004</v>
      </c>
      <c r="E6310">
        <v>0.54027060000000005</v>
      </c>
      <c r="F6310" t="s">
        <v>42</v>
      </c>
      <c r="G6310">
        <v>-322.77539999999999</v>
      </c>
      <c r="H6310" s="1">
        <v>-4.2673620000000002E-6</v>
      </c>
      <c r="I6310">
        <v>14.701739999999999</v>
      </c>
      <c r="J6310">
        <v>-361.57229999999998</v>
      </c>
      <c r="K6310">
        <v>1.1083730000000001</v>
      </c>
      <c r="L6310">
        <v>16.862300000000001</v>
      </c>
      <c r="M6310">
        <v>0.99985480000000004</v>
      </c>
      <c r="N6310">
        <v>-6.3843229999999999E-3</v>
      </c>
      <c r="O6310">
        <v>-1.5796669999999999E-2</v>
      </c>
      <c r="P6310">
        <v>0.99310790000000004</v>
      </c>
      <c r="Q6310">
        <v>-0.10752539999999999</v>
      </c>
      <c r="R6310">
        <v>4.6641679999999998E-2</v>
      </c>
      <c r="S6310">
        <v>3.0196839999999998</v>
      </c>
      <c r="T6310">
        <v>-8.5859179999999993E-2</v>
      </c>
      <c r="U6310">
        <v>-0.16760249999999999</v>
      </c>
      <c r="V6310">
        <v>-6.236742E-2</v>
      </c>
      <c r="W6310">
        <v>-0.1011616</v>
      </c>
      <c r="X6310">
        <v>0.99291320000000005</v>
      </c>
      <c r="Y6310">
        <v>3.9622699999999997E-2</v>
      </c>
      <c r="Z6310">
        <v>-3.4148719999999998E-4</v>
      </c>
      <c r="AA6310">
        <v>0.99921459999999995</v>
      </c>
      <c r="AB6310">
        <v>32</v>
      </c>
      <c r="AC6310">
        <v>38.796900000000001</v>
      </c>
      <c r="AD6310">
        <v>-1.108377267362</v>
      </c>
      <c r="AE6310">
        <v>-2.1605599999999998</v>
      </c>
      <c r="AF6310">
        <v>1.5461580342211001</v>
      </c>
      <c r="AG6310">
        <v>-1.108377267362</v>
      </c>
      <c r="AH6310">
        <v>38.794624106598398</v>
      </c>
      <c r="AI6310">
        <v>91.635219696311907</v>
      </c>
      <c r="AJ6310">
        <v>87.717687142804806</v>
      </c>
      <c r="AK6310">
        <v>38.841240510646102</v>
      </c>
      <c r="AL6310">
        <v>95.806064522800497</v>
      </c>
      <c r="AM6310">
        <v>93.594172716666293</v>
      </c>
      <c r="AN6310">
        <v>0.99999999356312796</v>
      </c>
    </row>
    <row r="6311" spans="1:40" x14ac:dyDescent="0.25">
      <c r="A6311" t="str">
        <f>"20190305135051905"</f>
        <v>20190305135051905</v>
      </c>
      <c r="B6311" t="str">
        <f>"1551765051896324"</f>
        <v>1551765051896324</v>
      </c>
      <c r="C6311" t="s">
        <v>40</v>
      </c>
      <c r="D6311">
        <v>4.2502259999999996</v>
      </c>
      <c r="E6311">
        <v>0.54050589999999998</v>
      </c>
      <c r="F6311" t="s">
        <v>42</v>
      </c>
      <c r="G6311">
        <v>-321.97629999999998</v>
      </c>
      <c r="H6311" s="1">
        <v>-4.6643499999999997E-6</v>
      </c>
      <c r="I6311">
        <v>14.59301</v>
      </c>
      <c r="J6311">
        <v>-361.38690000000003</v>
      </c>
      <c r="K6311">
        <v>1.108409</v>
      </c>
      <c r="L6311">
        <v>16.85934</v>
      </c>
      <c r="M6311">
        <v>0.99985469999999999</v>
      </c>
      <c r="N6311">
        <v>-6.3364869999999896E-3</v>
      </c>
      <c r="O6311">
        <v>-1.5824060000000001E-2</v>
      </c>
      <c r="P6311">
        <v>0.99308739999999995</v>
      </c>
      <c r="Q6311">
        <v>-0.10789749999999999</v>
      </c>
      <c r="R6311">
        <v>4.62148E-2</v>
      </c>
      <c r="S6311">
        <v>3.0197449999999999</v>
      </c>
      <c r="T6311">
        <v>-8.4529400000000005E-2</v>
      </c>
      <c r="U6311">
        <v>-0.1730652</v>
      </c>
      <c r="V6311">
        <v>-6.1957529999999997E-2</v>
      </c>
      <c r="W6311">
        <v>-0.1015877</v>
      </c>
      <c r="X6311">
        <v>0.99289539999999998</v>
      </c>
      <c r="Y6311">
        <v>4.1395559999999998E-2</v>
      </c>
      <c r="Z6311">
        <v>-3.6783019999999999E-4</v>
      </c>
      <c r="AA6311">
        <v>0.9991428</v>
      </c>
      <c r="AB6311">
        <v>32</v>
      </c>
      <c r="AC6311">
        <v>39.410600000000002</v>
      </c>
      <c r="AD6311">
        <v>-1.10841366435</v>
      </c>
      <c r="AE6311">
        <v>-2.2663299999999902</v>
      </c>
      <c r="AF6311">
        <v>1.6411041594032401</v>
      </c>
      <c r="AG6311">
        <v>-1.10841366435</v>
      </c>
      <c r="AH6311">
        <v>39.410457523779499</v>
      </c>
      <c r="AI6311">
        <v>91.609616986288103</v>
      </c>
      <c r="AJ6311">
        <v>87.615504715210093</v>
      </c>
      <c r="AK6311">
        <v>39.460182031345902</v>
      </c>
      <c r="AL6311">
        <v>95.830604430537093</v>
      </c>
      <c r="AM6311">
        <v>93.570676319925497</v>
      </c>
      <c r="AN6311">
        <v>1.0000000358280701</v>
      </c>
    </row>
    <row r="6312" spans="1:40" x14ac:dyDescent="0.25">
      <c r="A6312" t="str">
        <f>"20190305135051921"</f>
        <v>20190305135051921</v>
      </c>
      <c r="B6312" t="str">
        <f>"1551765051915844"</f>
        <v>1551765051915844</v>
      </c>
      <c r="C6312" t="s">
        <v>40</v>
      </c>
      <c r="D6312">
        <v>4.2465199999999896</v>
      </c>
      <c r="E6312">
        <v>0.54115279999999999</v>
      </c>
      <c r="F6312" t="s">
        <v>42</v>
      </c>
      <c r="G6312">
        <v>-322.47460000000001</v>
      </c>
      <c r="H6312" s="1">
        <v>-4.4296340000000004E-6</v>
      </c>
      <c r="I6312">
        <v>14.588340000000001</v>
      </c>
      <c r="J6312">
        <v>-361.16759999999999</v>
      </c>
      <c r="K6312">
        <v>1.108449</v>
      </c>
      <c r="L6312">
        <v>16.855869999999999</v>
      </c>
      <c r="M6312">
        <v>0.99985520000000006</v>
      </c>
      <c r="N6312">
        <v>-6.2858019999999896E-3</v>
      </c>
      <c r="O6312">
        <v>-1.5811209999999999E-2</v>
      </c>
      <c r="P6312">
        <v>0.99306479999999997</v>
      </c>
      <c r="Q6312">
        <v>-0.10847660000000001</v>
      </c>
      <c r="R6312">
        <v>4.533951E-2</v>
      </c>
      <c r="S6312">
        <v>3.0197449999999999</v>
      </c>
      <c r="T6312">
        <v>-8.6017250000000003E-2</v>
      </c>
      <c r="U6312">
        <v>-0.17623900000000001</v>
      </c>
      <c r="V6312">
        <v>-6.1056770000000003E-2</v>
      </c>
      <c r="W6312">
        <v>-0.1022251</v>
      </c>
      <c r="X6312">
        <v>0.99288580000000004</v>
      </c>
      <c r="Y6312">
        <v>4.2454069999999997E-2</v>
      </c>
      <c r="Z6312">
        <v>-3.870511E-4</v>
      </c>
      <c r="AA6312">
        <v>0.99909840000000005</v>
      </c>
      <c r="AB6312">
        <v>32</v>
      </c>
      <c r="AC6312">
        <v>38.692999999999898</v>
      </c>
      <c r="AD6312">
        <v>-1.1084534296340001</v>
      </c>
      <c r="AE6312">
        <v>-2.2675299999999998</v>
      </c>
      <c r="AF6312">
        <v>1.65409845096233</v>
      </c>
      <c r="AG6312">
        <v>-1.1084534296340001</v>
      </c>
      <c r="AH6312">
        <v>38.692370991873901</v>
      </c>
      <c r="AI6312">
        <v>91.639455764998502</v>
      </c>
      <c r="AJ6312">
        <v>87.552096536772893</v>
      </c>
      <c r="AK6312">
        <v>38.743570868776999</v>
      </c>
      <c r="AL6312">
        <v>95.867315760846196</v>
      </c>
      <c r="AM6312">
        <v>93.518929929859695</v>
      </c>
      <c r="AN6312">
        <v>1.00000005603724</v>
      </c>
    </row>
    <row r="6313" spans="1:40" x14ac:dyDescent="0.25">
      <c r="A6313" t="str">
        <f>"20190305135051932"</f>
        <v>20190305135051932</v>
      </c>
      <c r="B6313" t="str">
        <f>"1551765051926580"</f>
        <v>1551765051926580</v>
      </c>
      <c r="C6313" t="s">
        <v>40</v>
      </c>
      <c r="D6313">
        <v>4.259099</v>
      </c>
      <c r="E6313">
        <v>0.54130849999999997</v>
      </c>
      <c r="F6313" t="s">
        <v>42</v>
      </c>
      <c r="G6313">
        <v>-322.20620000000002</v>
      </c>
      <c r="H6313" s="1">
        <v>-4.5750180000000003E-6</v>
      </c>
      <c r="I6313">
        <v>14.484109999999999</v>
      </c>
      <c r="J6313">
        <v>-360.9939</v>
      </c>
      <c r="K6313">
        <v>1.1084849999999999</v>
      </c>
      <c r="L6313">
        <v>16.853149999999999</v>
      </c>
      <c r="M6313">
        <v>0.99985610000000003</v>
      </c>
      <c r="N6313">
        <v>-6.2488500000000002E-3</v>
      </c>
      <c r="O6313">
        <v>-1.5773209999999999E-2</v>
      </c>
      <c r="P6313">
        <v>0.99304840000000005</v>
      </c>
      <c r="Q6313">
        <v>-0.10871409999999999</v>
      </c>
      <c r="R6313">
        <v>4.5123499999999997E-2</v>
      </c>
      <c r="S6313">
        <v>3.0199579999999999</v>
      </c>
      <c r="T6313">
        <v>-8.5917950000000007E-2</v>
      </c>
      <c r="U6313">
        <v>-0.1838379</v>
      </c>
      <c r="V6313">
        <v>-6.0792249999999999E-2</v>
      </c>
      <c r="W6313">
        <v>-0.1025056</v>
      </c>
      <c r="X6313">
        <v>0.99287309999999995</v>
      </c>
      <c r="Y6313">
        <v>4.4991650000000001E-2</v>
      </c>
      <c r="Z6313">
        <v>-4.3032349999999999E-4</v>
      </c>
      <c r="AA6313">
        <v>0.99898730000000002</v>
      </c>
      <c r="AB6313">
        <v>32</v>
      </c>
      <c r="AC6313">
        <v>38.787699999999901</v>
      </c>
      <c r="AD6313">
        <v>-1.1084895750179999</v>
      </c>
      <c r="AE6313">
        <v>-2.3690399999999898</v>
      </c>
      <c r="AF6313">
        <v>1.7554983764359799</v>
      </c>
      <c r="AG6313">
        <v>-1.1084895750179999</v>
      </c>
      <c r="AH6313">
        <v>38.7886806322634</v>
      </c>
      <c r="AI6313">
        <v>91.635260585941595</v>
      </c>
      <c r="AJ6313">
        <v>87.408675507933907</v>
      </c>
      <c r="AK6313">
        <v>38.844205087494302</v>
      </c>
      <c r="AL6313">
        <v>95.883472167387694</v>
      </c>
      <c r="AM6313">
        <v>93.503767418738207</v>
      </c>
      <c r="AN6313">
        <v>1.0000000441975101</v>
      </c>
    </row>
    <row r="6314" spans="1:40" x14ac:dyDescent="0.25">
      <c r="A6314" t="str">
        <f>"20190305135051947"</f>
        <v>20190305135051947</v>
      </c>
      <c r="B6314" t="str">
        <f>"1551765051936339"</f>
        <v>1551765051936339</v>
      </c>
      <c r="C6314" t="s">
        <v>40</v>
      </c>
      <c r="D6314">
        <v>4.2555440000000004</v>
      </c>
      <c r="E6314">
        <v>0.54144559999999997</v>
      </c>
      <c r="F6314" t="s">
        <v>42</v>
      </c>
      <c r="G6314">
        <v>-321.91379999999998</v>
      </c>
      <c r="H6314" s="1">
        <v>-4.7191829999999998E-6</v>
      </c>
      <c r="I6314">
        <v>14.450530000000001</v>
      </c>
      <c r="J6314">
        <v>-360.78949999999998</v>
      </c>
      <c r="K6314">
        <v>1.1085290000000001</v>
      </c>
      <c r="L6314">
        <v>16.849979999999999</v>
      </c>
      <c r="M6314">
        <v>0.99985789999999997</v>
      </c>
      <c r="N6314">
        <v>-6.210564E-3</v>
      </c>
      <c r="O6314">
        <v>-1.567696E-2</v>
      </c>
      <c r="P6314">
        <v>0.9930097</v>
      </c>
      <c r="Q6314">
        <v>-0.109041899999999</v>
      </c>
      <c r="R6314">
        <v>4.5187030000000003E-2</v>
      </c>
      <c r="S6314">
        <v>3.0200200000000001</v>
      </c>
      <c r="T6314">
        <v>-8.5661650000000006E-2</v>
      </c>
      <c r="U6314">
        <v>-0.1856689</v>
      </c>
      <c r="V6314">
        <v>-6.0746349999999998E-2</v>
      </c>
      <c r="W6314">
        <v>-0.1028795</v>
      </c>
      <c r="X6314">
        <v>0.99283719999999998</v>
      </c>
      <c r="Y6314">
        <v>4.5689769999999998E-2</v>
      </c>
      <c r="Z6314">
        <v>-4.4247070000000001E-4</v>
      </c>
      <c r="AA6314">
        <v>0.99895560000000005</v>
      </c>
      <c r="AB6314">
        <v>32</v>
      </c>
      <c r="AC6314">
        <v>38.875700000000002</v>
      </c>
      <c r="AD6314">
        <v>-1.108533719183</v>
      </c>
      <c r="AE6314">
        <v>-2.3994499999999999</v>
      </c>
      <c r="AF6314">
        <v>1.78824212508497</v>
      </c>
      <c r="AG6314">
        <v>-1.108533719183</v>
      </c>
      <c r="AH6314">
        <v>38.877048367804598</v>
      </c>
      <c r="AI6314">
        <v>91.631555681994101</v>
      </c>
      <c r="AJ6314">
        <v>87.366400920301402</v>
      </c>
      <c r="AK6314">
        <v>38.933938237701</v>
      </c>
      <c r="AL6314">
        <v>95.905009133946507</v>
      </c>
      <c r="AM6314">
        <v>93.5012548329412</v>
      </c>
      <c r="AN6314">
        <v>1.0000000081311999</v>
      </c>
    </row>
    <row r="6315" spans="1:40" x14ac:dyDescent="0.25">
      <c r="A6315" t="str">
        <f>"20190305135051960"</f>
        <v>20190305135051960</v>
      </c>
      <c r="B6315" t="str">
        <f>"1551765051955860"</f>
        <v>1551765051955860</v>
      </c>
      <c r="C6315" t="s">
        <v>40</v>
      </c>
      <c r="D6315">
        <v>4.2890769999999998</v>
      </c>
      <c r="E6315">
        <v>0.54172679999999995</v>
      </c>
      <c r="F6315" t="s">
        <v>42</v>
      </c>
      <c r="G6315">
        <v>-321.84640000000002</v>
      </c>
      <c r="H6315" s="1">
        <v>-4.7517989999999997E-6</v>
      </c>
      <c r="I6315">
        <v>14.44645</v>
      </c>
      <c r="J6315">
        <v>-360.59800000000001</v>
      </c>
      <c r="K6315">
        <v>1.1085739999999999</v>
      </c>
      <c r="L6315">
        <v>16.847110000000001</v>
      </c>
      <c r="M6315">
        <v>0.99986019999999998</v>
      </c>
      <c r="N6315">
        <v>-6.1787480000000004E-3</v>
      </c>
      <c r="O6315">
        <v>-1.553904E-2</v>
      </c>
      <c r="P6315">
        <v>0.99299769999999998</v>
      </c>
      <c r="Q6315">
        <v>-0.1090092</v>
      </c>
      <c r="R6315">
        <v>4.5524309999999998E-2</v>
      </c>
      <c r="S6315">
        <v>3.0201720000000001</v>
      </c>
      <c r="T6315">
        <v>-8.5970519999999995E-2</v>
      </c>
      <c r="U6315">
        <v>-0.18640139999999999</v>
      </c>
      <c r="V6315">
        <v>-6.0933300000000003E-2</v>
      </c>
      <c r="W6315">
        <v>-0.10288609999999999</v>
      </c>
      <c r="X6315">
        <v>0.99282499999999996</v>
      </c>
      <c r="Y6315">
        <v>4.606553E-2</v>
      </c>
      <c r="Z6315">
        <v>-4.5153849999999998E-4</v>
      </c>
      <c r="AA6315">
        <v>0.99893829999999995</v>
      </c>
      <c r="AB6315">
        <v>32</v>
      </c>
      <c r="AC6315">
        <v>38.751600000000003</v>
      </c>
      <c r="AD6315">
        <v>-1.108578751799</v>
      </c>
      <c r="AE6315">
        <v>-2.4006599999999998</v>
      </c>
      <c r="AF6315">
        <v>1.79673121469368</v>
      </c>
      <c r="AG6315">
        <v>-1.108578751799</v>
      </c>
      <c r="AH6315">
        <v>38.752632641784501</v>
      </c>
      <c r="AI6315">
        <v>91.636829772025294</v>
      </c>
      <c r="AJ6315">
        <v>87.345433358935296</v>
      </c>
      <c r="AK6315">
        <v>38.810098255169301</v>
      </c>
      <c r="AL6315">
        <v>95.905389656129003</v>
      </c>
      <c r="AM6315">
        <v>93.5120462434041</v>
      </c>
      <c r="AN6315">
        <v>0.99999994862354802</v>
      </c>
    </row>
    <row r="6316" spans="1:40" x14ac:dyDescent="0.25">
      <c r="A6316" t="str">
        <f>"20190305135051977"</f>
        <v>20190305135051977</v>
      </c>
      <c r="B6316" t="str">
        <f>"1551765051966596"</f>
        <v>1551765051966596</v>
      </c>
      <c r="C6316" t="s">
        <v>40</v>
      </c>
      <c r="D6316">
        <v>4.2706549999999996</v>
      </c>
      <c r="E6316">
        <v>0.54185410000000001</v>
      </c>
      <c r="F6316" t="s">
        <v>42</v>
      </c>
      <c r="G6316">
        <v>-321.38819999999998</v>
      </c>
      <c r="H6316" s="1">
        <v>-4.9742840000000004E-6</v>
      </c>
      <c r="I6316">
        <v>14.413029999999999</v>
      </c>
      <c r="J6316">
        <v>-360.34300000000002</v>
      </c>
      <c r="K6316">
        <v>1.108646</v>
      </c>
      <c r="L6316">
        <v>16.84329</v>
      </c>
      <c r="M6316">
        <v>0.99986419999999998</v>
      </c>
      <c r="N6316">
        <v>-6.1395989999999999E-3</v>
      </c>
      <c r="O6316">
        <v>-1.529879E-2</v>
      </c>
      <c r="P6316">
        <v>0.99296620000000002</v>
      </c>
      <c r="Q6316">
        <v>-0.1091028</v>
      </c>
      <c r="R6316">
        <v>4.5985869999999998E-2</v>
      </c>
      <c r="S6316">
        <v>3.0203859999999998</v>
      </c>
      <c r="T6316">
        <v>-8.5395570000000004E-2</v>
      </c>
      <c r="U6316">
        <v>-0.1875</v>
      </c>
      <c r="V6316">
        <v>-6.1138310000000001E-2</v>
      </c>
      <c r="W6316">
        <v>-0.1030296</v>
      </c>
      <c r="X6316">
        <v>0.99279759999999995</v>
      </c>
      <c r="Y6316">
        <v>4.6663059999999999E-2</v>
      </c>
      <c r="Z6316">
        <v>-4.6416879999999999E-4</v>
      </c>
      <c r="AA6316">
        <v>0.99891059999999998</v>
      </c>
      <c r="AB6316">
        <v>32</v>
      </c>
      <c r="AC6316">
        <v>38.954799999999999</v>
      </c>
      <c r="AD6316">
        <v>-1.1086509742840001</v>
      </c>
      <c r="AE6316">
        <v>-2.4302600000000001</v>
      </c>
      <c r="AF6316">
        <v>1.8325245488875099</v>
      </c>
      <c r="AG6316">
        <v>-1.1086509742840001</v>
      </c>
      <c r="AH6316">
        <v>38.955990789023502</v>
      </c>
      <c r="AI6316">
        <v>91.628344496452897</v>
      </c>
      <c r="AJ6316">
        <v>87.306740851421196</v>
      </c>
      <c r="AK6316">
        <v>39.014823741233798</v>
      </c>
      <c r="AL6316">
        <v>95.913655027355603</v>
      </c>
      <c r="AM6316">
        <v>93.523929801444496</v>
      </c>
      <c r="AN6316">
        <v>1.0000000329957801</v>
      </c>
    </row>
    <row r="6317" spans="1:40" x14ac:dyDescent="0.25">
      <c r="A6317" t="str">
        <f>"20190305135051989"</f>
        <v>20190305135051989</v>
      </c>
      <c r="B6317" t="str">
        <f>"1551765051976356"</f>
        <v>1551765051976356</v>
      </c>
      <c r="C6317" t="s">
        <v>40</v>
      </c>
      <c r="D6317">
        <v>4.2728159999999997</v>
      </c>
      <c r="E6317">
        <v>0.54199900000000001</v>
      </c>
      <c r="F6317" t="s">
        <v>42</v>
      </c>
      <c r="G6317">
        <v>-320.9658</v>
      </c>
      <c r="H6317" s="1">
        <v>-5.1753549999999999E-6</v>
      </c>
      <c r="I6317">
        <v>14.40536</v>
      </c>
      <c r="J6317">
        <v>-360.1755</v>
      </c>
      <c r="K6317">
        <v>1.10869</v>
      </c>
      <c r="L6317">
        <v>16.840879999999999</v>
      </c>
      <c r="M6317">
        <v>0.99986710000000001</v>
      </c>
      <c r="N6317">
        <v>-6.1152059999999998E-3</v>
      </c>
      <c r="O6317">
        <v>-1.5109320000000001E-2</v>
      </c>
      <c r="P6317">
        <v>0.99297440000000003</v>
      </c>
      <c r="Q6317">
        <v>-0.1087829</v>
      </c>
      <c r="R6317">
        <v>4.6563760000000003E-2</v>
      </c>
      <c r="S6317">
        <v>3.0205989999999998</v>
      </c>
      <c r="T6317">
        <v>-8.504391E-2</v>
      </c>
      <c r="U6317">
        <v>-0.1870117</v>
      </c>
      <c r="V6317">
        <v>-6.1516050000000003E-2</v>
      </c>
      <c r="W6317">
        <v>-0.10274129999999999</v>
      </c>
      <c r="X6317">
        <v>0.99280409999999997</v>
      </c>
      <c r="Y6317">
        <v>4.6687239999999998E-2</v>
      </c>
      <c r="Z6317">
        <v>-4.6685960000000001E-4</v>
      </c>
      <c r="AA6317">
        <v>0.99890950000000001</v>
      </c>
      <c r="AB6317">
        <v>33</v>
      </c>
      <c r="AC6317">
        <v>39.209699999999998</v>
      </c>
      <c r="AD6317">
        <v>-1.1086951753550001</v>
      </c>
      <c r="AE6317">
        <v>-2.4355199999999901</v>
      </c>
      <c r="AF6317">
        <v>1.8413324086828899</v>
      </c>
      <c r="AG6317">
        <v>-1.1086951753550001</v>
      </c>
      <c r="AH6317">
        <v>39.210793803050997</v>
      </c>
      <c r="AI6317">
        <v>91.617839298622897</v>
      </c>
      <c r="AJ6317">
        <v>87.311374826990601</v>
      </c>
      <c r="AK6317">
        <v>39.269658270686598</v>
      </c>
      <c r="AL6317">
        <v>95.897048781544996</v>
      </c>
      <c r="AM6317">
        <v>93.545623698426198</v>
      </c>
      <c r="AN6317">
        <v>0.99999999005505102</v>
      </c>
    </row>
    <row r="6318" spans="1:40" x14ac:dyDescent="0.25">
      <c r="A6318" t="str">
        <f>"20190305135051999"</f>
        <v>20190305135051999</v>
      </c>
      <c r="B6318" t="str">
        <f>"1551765051995876"</f>
        <v>1551765051995876</v>
      </c>
      <c r="C6318" t="s">
        <v>40</v>
      </c>
      <c r="D6318">
        <v>4.2775309999999998</v>
      </c>
      <c r="E6318">
        <v>0.54222219999999999</v>
      </c>
      <c r="F6318" t="s">
        <v>42</v>
      </c>
      <c r="G6318">
        <v>-320.30619999999999</v>
      </c>
      <c r="H6318" s="1">
        <v>-5.4916759999999996E-6</v>
      </c>
      <c r="I6318">
        <v>14.379860000000001</v>
      </c>
      <c r="J6318">
        <v>-360.02289999999999</v>
      </c>
      <c r="K6318">
        <v>1.10873</v>
      </c>
      <c r="L6318">
        <v>16.83878</v>
      </c>
      <c r="M6318">
        <v>0.9998707</v>
      </c>
      <c r="N6318">
        <v>-6.0947049999999997E-3</v>
      </c>
      <c r="O6318">
        <v>-1.4893429999999999E-2</v>
      </c>
      <c r="P6318">
        <v>0.99296530000000005</v>
      </c>
      <c r="Q6318">
        <v>-0.1086437</v>
      </c>
      <c r="R6318">
        <v>4.7084149999999998E-2</v>
      </c>
      <c r="S6318">
        <v>3.0207519999999999</v>
      </c>
      <c r="T6318">
        <v>-8.4001660000000006E-2</v>
      </c>
      <c r="U6318">
        <v>-0.1864624</v>
      </c>
      <c r="V6318">
        <v>-6.1810740000000003E-2</v>
      </c>
      <c r="W6318">
        <v>-0.10262930000000001</v>
      </c>
      <c r="X6318">
        <v>0.99279740000000005</v>
      </c>
      <c r="Y6318">
        <v>4.6719190000000001E-2</v>
      </c>
      <c r="Z6318">
        <v>-4.6844360000000002E-4</v>
      </c>
      <c r="AA6318">
        <v>0.99890789999999996</v>
      </c>
      <c r="AB6318">
        <v>33</v>
      </c>
      <c r="AC6318">
        <v>39.716700000000003</v>
      </c>
      <c r="AD6318">
        <v>-1.1087354916759999</v>
      </c>
      <c r="AE6318">
        <v>-2.4589199999999898</v>
      </c>
      <c r="AF6318">
        <v>1.86567011527347</v>
      </c>
      <c r="AG6318">
        <v>-1.1087354916759999</v>
      </c>
      <c r="AH6318">
        <v>39.718082692414498</v>
      </c>
      <c r="AI6318">
        <v>91.597243717522005</v>
      </c>
      <c r="AJ6318">
        <v>87.310632817442098</v>
      </c>
      <c r="AK6318">
        <v>39.777331636637001</v>
      </c>
      <c r="AL6318">
        <v>95.890597439569206</v>
      </c>
      <c r="AM6318">
        <v>93.562589196573995</v>
      </c>
      <c r="AN6318">
        <v>1.00000000912229</v>
      </c>
    </row>
    <row r="6319" spans="1:40" x14ac:dyDescent="0.25">
      <c r="A6319" t="str">
        <f>"20190305135052010"</f>
        <v>20190305135052010</v>
      </c>
      <c r="B6319" t="str">
        <f>"1551765052006612"</f>
        <v>1551765052006612</v>
      </c>
      <c r="C6319" t="s">
        <v>40</v>
      </c>
      <c r="D6319">
        <v>4.2681459999999998</v>
      </c>
      <c r="E6319">
        <v>0.54228350000000003</v>
      </c>
      <c r="F6319" t="s">
        <v>42</v>
      </c>
      <c r="G6319">
        <v>-320.17680000000001</v>
      </c>
      <c r="H6319" s="1">
        <v>-5.5534720000000004E-6</v>
      </c>
      <c r="I6319">
        <v>14.376110000000001</v>
      </c>
      <c r="J6319">
        <v>-359.86529999999999</v>
      </c>
      <c r="K6319">
        <v>1.1087739999999999</v>
      </c>
      <c r="L6319">
        <v>16.836579999999898</v>
      </c>
      <c r="M6319">
        <v>0.99987420000000005</v>
      </c>
      <c r="N6319">
        <v>-6.0737289999999999E-3</v>
      </c>
      <c r="O6319">
        <v>-1.466466E-2</v>
      </c>
      <c r="P6319">
        <v>0.9929038</v>
      </c>
      <c r="Q6319">
        <v>-0.1088153</v>
      </c>
      <c r="R6319">
        <v>4.7975950000000003E-2</v>
      </c>
      <c r="S6319">
        <v>3.0209350000000001</v>
      </c>
      <c r="T6319">
        <v>-8.4058880000000002E-2</v>
      </c>
      <c r="U6319">
        <v>-0.1867065</v>
      </c>
      <c r="V6319">
        <v>-6.2462719999999999E-2</v>
      </c>
      <c r="W6319">
        <v>-0.1028297</v>
      </c>
      <c r="X6319">
        <v>0.9927359</v>
      </c>
      <c r="Y6319">
        <v>4.7024240000000002E-2</v>
      </c>
      <c r="Z6319">
        <v>-4.7792100000000002E-4</v>
      </c>
      <c r="AA6319">
        <v>0.99889360000000005</v>
      </c>
      <c r="AB6319">
        <v>33</v>
      </c>
      <c r="AC6319">
        <v>39.688499999999898</v>
      </c>
      <c r="AD6319">
        <v>-1.108779553472</v>
      </c>
      <c r="AE6319">
        <v>-2.4604699999999902</v>
      </c>
      <c r="AF6319">
        <v>1.8767172915371899</v>
      </c>
      <c r="AG6319">
        <v>-1.108779553472</v>
      </c>
      <c r="AH6319">
        <v>39.6894565021313</v>
      </c>
      <c r="AI6319">
        <v>91.5984351710173</v>
      </c>
      <c r="AJ6319">
        <v>87.292783593805098</v>
      </c>
      <c r="AK6319">
        <v>39.7492693936018</v>
      </c>
      <c r="AL6319">
        <v>95.902140325552907</v>
      </c>
      <c r="AM6319">
        <v>93.600291529293898</v>
      </c>
      <c r="AN6319">
        <v>1.0000000528703401</v>
      </c>
    </row>
    <row r="6320" spans="1:40" x14ac:dyDescent="0.25">
      <c r="A6320" t="str">
        <f>"20190305135052021"</f>
        <v>20190305135052021</v>
      </c>
      <c r="B6320" t="str">
        <f>"1551765052016372"</f>
        <v>1551765052016372</v>
      </c>
      <c r="C6320" t="s">
        <v>40</v>
      </c>
      <c r="D6320">
        <v>4.2458229999999997</v>
      </c>
      <c r="E6320">
        <v>0.54236949999999995</v>
      </c>
      <c r="F6320" t="s">
        <v>42</v>
      </c>
      <c r="G6320">
        <v>-320.13900000000001</v>
      </c>
      <c r="H6320" s="1">
        <v>-5.5650470000000003E-6</v>
      </c>
      <c r="I6320">
        <v>14.411619999999999</v>
      </c>
      <c r="J6320">
        <v>-359.69940000000003</v>
      </c>
      <c r="K6320">
        <v>1.1088180000000001</v>
      </c>
      <c r="L6320">
        <v>16.834379999999999</v>
      </c>
      <c r="M6320">
        <v>0.9998785</v>
      </c>
      <c r="N6320">
        <v>-6.054378E-3</v>
      </c>
      <c r="O6320">
        <v>-1.4372579999999999E-2</v>
      </c>
      <c r="P6320">
        <v>0.99288019999999999</v>
      </c>
      <c r="Q6320">
        <v>-0.108658199999999</v>
      </c>
      <c r="R6320">
        <v>4.8812969999999997E-2</v>
      </c>
      <c r="S6320">
        <v>3.0211790000000001</v>
      </c>
      <c r="T6320">
        <v>-8.4322690000000006E-2</v>
      </c>
      <c r="U6320">
        <v>-0.18441769999999999</v>
      </c>
      <c r="V6320">
        <v>-6.2997059999999994E-2</v>
      </c>
      <c r="W6320">
        <v>-0.10269979999999999</v>
      </c>
      <c r="X6320">
        <v>0.99271549999999997</v>
      </c>
      <c r="Y6320">
        <v>4.6557229999999998E-2</v>
      </c>
      <c r="Z6320">
        <v>-4.7638550000000002E-4</v>
      </c>
      <c r="AA6320">
        <v>0.99891549999999996</v>
      </c>
      <c r="AB6320">
        <v>33</v>
      </c>
      <c r="AC6320">
        <v>39.560400000000001</v>
      </c>
      <c r="AD6320">
        <v>-1.108823565047</v>
      </c>
      <c r="AE6320">
        <v>-2.42275999999999</v>
      </c>
      <c r="AF6320">
        <v>1.8524645103113599</v>
      </c>
      <c r="AG6320">
        <v>-1.108823565047</v>
      </c>
      <c r="AH6320">
        <v>39.560173076680798</v>
      </c>
      <c r="AI6320">
        <v>91.603754295899705</v>
      </c>
      <c r="AJ6320">
        <v>87.318997504651904</v>
      </c>
      <c r="AK6320">
        <v>39.619040981796999</v>
      </c>
      <c r="AL6320">
        <v>95.894658473410004</v>
      </c>
      <c r="AM6320">
        <v>93.631082745527706</v>
      </c>
      <c r="AN6320">
        <v>0.99999997121446604</v>
      </c>
    </row>
    <row r="6321" spans="1:40" x14ac:dyDescent="0.25">
      <c r="A6321" t="str">
        <f>"20190305135052033"</f>
        <v>20190305135052033</v>
      </c>
      <c r="B6321" t="str">
        <f>"1551765052026133"</f>
        <v>1551765052026133</v>
      </c>
      <c r="C6321" t="s">
        <v>40</v>
      </c>
      <c r="D6321">
        <v>4.2308680000000001</v>
      </c>
      <c r="E6321">
        <v>0.54245509999999997</v>
      </c>
      <c r="F6321" t="s">
        <v>43</v>
      </c>
      <c r="G6321">
        <v>-317.86970000000002</v>
      </c>
      <c r="H6321">
        <v>-0.05</v>
      </c>
      <c r="I6321">
        <v>14.308199999999999</v>
      </c>
      <c r="J6321">
        <v>-359.5179</v>
      </c>
      <c r="K6321">
        <v>1.108867</v>
      </c>
      <c r="L6321">
        <v>16.832059999999998</v>
      </c>
      <c r="M6321">
        <v>0.99988339999999998</v>
      </c>
      <c r="N6321">
        <v>-6.0341600000000002E-3</v>
      </c>
      <c r="O6321">
        <v>-1.403722E-2</v>
      </c>
      <c r="P6321">
        <v>0.99284450000000002</v>
      </c>
      <c r="Q6321">
        <v>-0.1085351</v>
      </c>
      <c r="R6321">
        <v>4.980176E-2</v>
      </c>
      <c r="S6321">
        <v>3.0213320000000001</v>
      </c>
      <c r="T6321">
        <v>-8.3700659999999996E-2</v>
      </c>
      <c r="U6321">
        <v>-0.1824646</v>
      </c>
      <c r="V6321">
        <v>-6.3639550000000003E-2</v>
      </c>
      <c r="W6321">
        <v>-0.1026058</v>
      </c>
      <c r="X6321">
        <v>0.99268420000000002</v>
      </c>
      <c r="Y6321">
        <v>4.6246139999999998E-2</v>
      </c>
      <c r="Z6321">
        <v>-4.7579490000000001E-4</v>
      </c>
      <c r="AA6321">
        <v>0.99892999999999998</v>
      </c>
      <c r="AB6321">
        <v>33</v>
      </c>
      <c r="AC6321">
        <v>41.648199999999903</v>
      </c>
      <c r="AD6321">
        <v>-1.1588670000000001</v>
      </c>
      <c r="AE6321">
        <v>-2.52386</v>
      </c>
      <c r="AF6321">
        <v>1.93748122845198</v>
      </c>
      <c r="AG6321">
        <v>-1.1588670000000001</v>
      </c>
      <c r="AH6321">
        <v>41.647397977761599</v>
      </c>
      <c r="AI6321">
        <v>91.592161447941606</v>
      </c>
      <c r="AJ6321">
        <v>87.3364598055242</v>
      </c>
      <c r="AK6321">
        <v>41.708543064369302</v>
      </c>
      <c r="AL6321">
        <v>95.8892443004016</v>
      </c>
      <c r="AM6321">
        <v>93.668129924913302</v>
      </c>
      <c r="AN6321">
        <v>0.99999993172373902</v>
      </c>
    </row>
    <row r="6322" spans="1:40" x14ac:dyDescent="0.25">
      <c r="A6322" t="str">
        <f>"20190305135052044"</f>
        <v>20190305135052044</v>
      </c>
      <c r="B6322" t="str">
        <f>"1551765052035892"</f>
        <v>1551765052035892</v>
      </c>
      <c r="C6322" t="s">
        <v>40</v>
      </c>
      <c r="D6322">
        <v>4.2148440000000003</v>
      </c>
      <c r="E6322">
        <v>0.5425913</v>
      </c>
      <c r="F6322" t="s">
        <v>43</v>
      </c>
      <c r="G6322">
        <v>-317.38940000000002</v>
      </c>
      <c r="H6322">
        <v>-0.05</v>
      </c>
      <c r="I6322">
        <v>14.32253</v>
      </c>
      <c r="J6322">
        <v>-359.34660000000002</v>
      </c>
      <c r="K6322">
        <v>1.1089119999999999</v>
      </c>
      <c r="L6322">
        <v>16.829929999999901</v>
      </c>
      <c r="M6322">
        <v>0.99988829999999995</v>
      </c>
      <c r="N6322">
        <v>-6.0171490000000003E-3</v>
      </c>
      <c r="O6322">
        <v>-1.368832E-2</v>
      </c>
      <c r="P6322">
        <v>0.99282250000000005</v>
      </c>
      <c r="Q6322">
        <v>-0.1082723</v>
      </c>
      <c r="R6322">
        <v>5.0803389999999997E-2</v>
      </c>
      <c r="S6322">
        <v>3.021576</v>
      </c>
      <c r="T6322">
        <v>-8.3117250000000004E-2</v>
      </c>
      <c r="U6322">
        <v>-0.17999270000000001</v>
      </c>
      <c r="V6322">
        <v>-6.4282980000000003E-2</v>
      </c>
      <c r="W6322">
        <v>-0.102368</v>
      </c>
      <c r="X6322">
        <v>0.99266739999999998</v>
      </c>
      <c r="Y6322">
        <v>4.5775940000000001E-2</v>
      </c>
      <c r="Z6322">
        <v>-4.7300419999999997E-4</v>
      </c>
      <c r="AA6322">
        <v>0.99895160000000005</v>
      </c>
      <c r="AB6322">
        <v>33</v>
      </c>
      <c r="AC6322">
        <v>41.9572</v>
      </c>
      <c r="AD6322">
        <v>-1.1589119999999999</v>
      </c>
      <c r="AE6322">
        <v>-2.5073999999999899</v>
      </c>
      <c r="AF6322">
        <v>1.9313628896714099</v>
      </c>
      <c r="AG6322">
        <v>-1.1589119999999999</v>
      </c>
      <c r="AH6322">
        <v>41.955696036934903</v>
      </c>
      <c r="AI6322">
        <v>91.580564828687898</v>
      </c>
      <c r="AJ6322">
        <v>87.364341742031499</v>
      </c>
      <c r="AK6322">
        <v>42.016112023591802</v>
      </c>
      <c r="AL6322">
        <v>95.875546612661793</v>
      </c>
      <c r="AM6322">
        <v>93.705176427344298</v>
      </c>
      <c r="AN6322">
        <v>1.00000003798221</v>
      </c>
    </row>
    <row r="6323" spans="1:40" x14ac:dyDescent="0.25">
      <c r="A6323" t="str">
        <f>"20190305135052056"</f>
        <v>20190305135052056</v>
      </c>
      <c r="B6323" t="str">
        <f>"1551765052046628"</f>
        <v>1551765052046628</v>
      </c>
      <c r="C6323" t="s">
        <v>40</v>
      </c>
      <c r="D6323">
        <v>4.2334350000000001</v>
      </c>
      <c r="E6323">
        <v>0.54270090000000004</v>
      </c>
      <c r="F6323" t="s">
        <v>43</v>
      </c>
      <c r="G6323">
        <v>-316.70819999999998</v>
      </c>
      <c r="H6323">
        <v>-0.05</v>
      </c>
      <c r="I6323">
        <v>14.318210000000001</v>
      </c>
      <c r="J6323">
        <v>-359.19029999999998</v>
      </c>
      <c r="K6323">
        <v>1.1089519999999999</v>
      </c>
      <c r="L6323">
        <v>16.828060000000001</v>
      </c>
      <c r="M6323">
        <v>0.99989300000000003</v>
      </c>
      <c r="N6323">
        <v>-6.0030709999999996E-3</v>
      </c>
      <c r="O6323">
        <v>-1.3346500000000001E-2</v>
      </c>
      <c r="P6323">
        <v>0.99277219999999999</v>
      </c>
      <c r="Q6323">
        <v>-0.1082704</v>
      </c>
      <c r="R6323">
        <v>5.1780619999999999E-2</v>
      </c>
      <c r="S6323">
        <v>3.0218509999999998</v>
      </c>
      <c r="T6323">
        <v>-8.2133890000000001E-2</v>
      </c>
      <c r="U6323">
        <v>-0.178009</v>
      </c>
      <c r="V6323">
        <v>-6.4909529999999993E-2</v>
      </c>
      <c r="W6323">
        <v>-0.1023877</v>
      </c>
      <c r="X6323">
        <v>0.99262459999999997</v>
      </c>
      <c r="Y6323">
        <v>4.5459020000000003E-2</v>
      </c>
      <c r="Z6323">
        <v>-4.714524E-4</v>
      </c>
      <c r="AA6323">
        <v>0.99896609999999997</v>
      </c>
      <c r="AB6323">
        <v>33</v>
      </c>
      <c r="AC6323">
        <v>42.482100000000003</v>
      </c>
      <c r="AD6323">
        <v>-1.158952</v>
      </c>
      <c r="AE6323">
        <v>-2.5098500000000001</v>
      </c>
      <c r="AF6323">
        <v>1.9411892243786</v>
      </c>
      <c r="AG6323">
        <v>-1.158952</v>
      </c>
      <c r="AH6323">
        <v>42.480308354931203</v>
      </c>
      <c r="AI6323">
        <v>91.561133229570601</v>
      </c>
      <c r="AJ6323">
        <v>87.383619961005905</v>
      </c>
      <c r="AK6323">
        <v>42.540427633877698</v>
      </c>
      <c r="AL6323">
        <v>95.876681275782104</v>
      </c>
      <c r="AM6323">
        <v>93.741348634431603</v>
      </c>
      <c r="AN6323">
        <v>1.0000000423606299</v>
      </c>
    </row>
    <row r="6324" spans="1:40" x14ac:dyDescent="0.25">
      <c r="A6324" t="str">
        <f>"20190305135052066"</f>
        <v>20190305135052066</v>
      </c>
      <c r="B6324" t="str">
        <f>"1551765052056388"</f>
        <v>1551765052056388</v>
      </c>
      <c r="C6324" t="s">
        <v>40</v>
      </c>
      <c r="D6324">
        <v>4.2361469999999999</v>
      </c>
      <c r="E6324">
        <v>0.54282390000000003</v>
      </c>
      <c r="F6324" t="s">
        <v>43</v>
      </c>
      <c r="G6324">
        <v>-316.58839999999998</v>
      </c>
      <c r="H6324">
        <v>-0.05</v>
      </c>
      <c r="I6324">
        <v>14.3475</v>
      </c>
      <c r="J6324">
        <v>-359.03160000000003</v>
      </c>
      <c r="K6324">
        <v>1.1089910000000001</v>
      </c>
      <c r="L6324">
        <v>16.826229999999999</v>
      </c>
      <c r="M6324">
        <v>0.99989779999999995</v>
      </c>
      <c r="N6324">
        <v>-5.9898869999999898E-3</v>
      </c>
      <c r="O6324">
        <v>-1.298181E-2</v>
      </c>
      <c r="P6324">
        <v>0.99270069999999999</v>
      </c>
      <c r="Q6324">
        <v>-0.1085045</v>
      </c>
      <c r="R6324">
        <v>5.2649410000000001E-2</v>
      </c>
      <c r="S6324">
        <v>3.0220639999999999</v>
      </c>
      <c r="T6324">
        <v>-8.2213040000000001E-2</v>
      </c>
      <c r="U6324">
        <v>-0.17596439999999999</v>
      </c>
      <c r="V6324">
        <v>-6.5404799999999999E-2</v>
      </c>
      <c r="W6324">
        <v>-0.1026425</v>
      </c>
      <c r="X6324">
        <v>0.99256580000000005</v>
      </c>
      <c r="Y6324">
        <v>4.5145699999999997E-2</v>
      </c>
      <c r="Z6324">
        <v>-4.7373640000000002E-4</v>
      </c>
      <c r="AA6324">
        <v>0.99898030000000004</v>
      </c>
      <c r="AB6324">
        <v>33</v>
      </c>
      <c r="AC6324">
        <v>42.443199999999997</v>
      </c>
      <c r="AD6324">
        <v>-1.1589909999999899</v>
      </c>
      <c r="AE6324">
        <v>-2.4787299999999899</v>
      </c>
      <c r="AF6324">
        <v>1.92609034172795</v>
      </c>
      <c r="AG6324">
        <v>-1.1589909999999899</v>
      </c>
      <c r="AH6324">
        <v>42.440263619127499</v>
      </c>
      <c r="AI6324">
        <v>91.562680264823996</v>
      </c>
      <c r="AJ6324">
        <v>87.401496468526801</v>
      </c>
      <c r="AK6324">
        <v>42.499753648740302</v>
      </c>
      <c r="AL6324">
        <v>95.891357405099498</v>
      </c>
      <c r="AM6324">
        <v>93.770036392011093</v>
      </c>
      <c r="AN6324">
        <v>1.0000000689994599</v>
      </c>
    </row>
    <row r="6325" spans="1:40" x14ac:dyDescent="0.25">
      <c r="A6325" t="str">
        <f>"20190305135052077"</f>
        <v>20190305135052077</v>
      </c>
      <c r="B6325" t="str">
        <f>"1551765052066148"</f>
        <v>1551765052066148</v>
      </c>
      <c r="C6325" t="s">
        <v>40</v>
      </c>
      <c r="D6325">
        <v>4.2394860000000003</v>
      </c>
      <c r="E6325">
        <v>0.54291080000000003</v>
      </c>
      <c r="F6325" t="s">
        <v>43</v>
      </c>
      <c r="G6325">
        <v>-316.66559999999998</v>
      </c>
      <c r="H6325">
        <v>-0.05</v>
      </c>
      <c r="I6325">
        <v>14.38269</v>
      </c>
      <c r="J6325">
        <v>-358.86989999999997</v>
      </c>
      <c r="K6325">
        <v>1.1090249999999999</v>
      </c>
      <c r="L6325">
        <v>16.824459999999998</v>
      </c>
      <c r="M6325">
        <v>0.99990299999999999</v>
      </c>
      <c r="N6325">
        <v>-5.9809199999999998E-3</v>
      </c>
      <c r="O6325">
        <v>-1.258101E-2</v>
      </c>
      <c r="P6325">
        <v>0.99263670000000004</v>
      </c>
      <c r="Q6325">
        <v>-0.1086748</v>
      </c>
      <c r="R6325">
        <v>5.3503229999999999E-2</v>
      </c>
      <c r="S6325">
        <v>3.022278</v>
      </c>
      <c r="T6325">
        <v>-8.2679269999999999E-2</v>
      </c>
      <c r="U6325">
        <v>-0.17431640000000001</v>
      </c>
      <c r="V6325">
        <v>-6.5849350000000001E-2</v>
      </c>
      <c r="W6325">
        <v>-0.1028293</v>
      </c>
      <c r="X6325">
        <v>0.99251699999999998</v>
      </c>
      <c r="Y6325">
        <v>4.4998959999999998E-2</v>
      </c>
      <c r="Z6325">
        <v>-4.8099059999999998E-4</v>
      </c>
      <c r="AA6325">
        <v>0.99898690000000001</v>
      </c>
      <c r="AB6325">
        <v>33</v>
      </c>
      <c r="AC6325">
        <v>42.204299999999897</v>
      </c>
      <c r="AD6325">
        <v>-1.159025</v>
      </c>
      <c r="AE6325">
        <v>-2.44177</v>
      </c>
      <c r="AF6325">
        <v>1.90915950367663</v>
      </c>
      <c r="AG6325">
        <v>-1.159025</v>
      </c>
      <c r="AH6325">
        <v>42.199960159660201</v>
      </c>
      <c r="AI6325">
        <v>91.571630563443193</v>
      </c>
      <c r="AJ6325">
        <v>87.409659992323796</v>
      </c>
      <c r="AK6325">
        <v>42.259021124938698</v>
      </c>
      <c r="AL6325">
        <v>95.902117606780905</v>
      </c>
      <c r="AM6325">
        <v>93.795772383651993</v>
      </c>
      <c r="AN6325">
        <v>0.99999999856145605</v>
      </c>
    </row>
    <row r="6326" spans="1:40" x14ac:dyDescent="0.25">
      <c r="A6326" t="str">
        <f>"20190305135052089"</f>
        <v>20190305135052089</v>
      </c>
      <c r="B6326" t="str">
        <f>"1551765052086644"</f>
        <v>1551765052086644</v>
      </c>
      <c r="C6326" t="s">
        <v>40</v>
      </c>
      <c r="D6326">
        <v>4.2844889999999998</v>
      </c>
      <c r="E6326">
        <v>0.52782209999999996</v>
      </c>
      <c r="F6326" t="s">
        <v>43</v>
      </c>
      <c r="G6326">
        <v>-317.0136</v>
      </c>
      <c r="H6326">
        <v>-0.05</v>
      </c>
      <c r="I6326">
        <v>14.43661</v>
      </c>
      <c r="J6326">
        <v>-358.69240000000002</v>
      </c>
      <c r="K6326">
        <v>1.109067</v>
      </c>
      <c r="L6326">
        <v>16.822569999999999</v>
      </c>
      <c r="M6326">
        <v>0.99990860000000004</v>
      </c>
      <c r="N6326">
        <v>-5.9731119999999896E-3</v>
      </c>
      <c r="O6326">
        <v>-1.2127870000000001E-2</v>
      </c>
      <c r="P6326">
        <v>0.99258230000000003</v>
      </c>
      <c r="Q6326">
        <v>-0.1087349</v>
      </c>
      <c r="R6326">
        <v>5.4381600000000002E-2</v>
      </c>
      <c r="S6326">
        <v>3.0224000000000002</v>
      </c>
      <c r="T6326">
        <v>-8.3692069999999993E-2</v>
      </c>
      <c r="U6326">
        <v>-0.1724243</v>
      </c>
      <c r="V6326">
        <v>-6.6266249999999999E-2</v>
      </c>
      <c r="W6326">
        <v>-0.1029052</v>
      </c>
      <c r="X6326">
        <v>0.99248139999999996</v>
      </c>
      <c r="Y6326">
        <v>4.482564E-2</v>
      </c>
      <c r="Z6326">
        <v>-4.9094089999999905E-4</v>
      </c>
      <c r="AA6326">
        <v>0.99899470000000001</v>
      </c>
      <c r="AB6326">
        <v>33</v>
      </c>
      <c r="AC6326">
        <v>41.678800000000003</v>
      </c>
      <c r="AD6326">
        <v>-1.1590670000000001</v>
      </c>
      <c r="AE6326">
        <v>-2.3859599999999999</v>
      </c>
      <c r="AF6326">
        <v>1.8788521253960799</v>
      </c>
      <c r="AG6326">
        <v>-1.1590670000000001</v>
      </c>
      <c r="AH6326">
        <v>41.672548760252603</v>
      </c>
      <c r="AI6326">
        <v>91.591579824921794</v>
      </c>
      <c r="AJ6326">
        <v>87.418505780965702</v>
      </c>
      <c r="AK6326">
        <v>41.730981797643203</v>
      </c>
      <c r="AL6326">
        <v>95.906489465327795</v>
      </c>
      <c r="AM6326">
        <v>93.819869554304603</v>
      </c>
      <c r="AN6326">
        <v>1.00000001271103</v>
      </c>
    </row>
    <row r="6327" spans="1:40" x14ac:dyDescent="0.25">
      <c r="A6327" t="str">
        <f>"20190305135052101"</f>
        <v>20190305135052101</v>
      </c>
      <c r="B6327" t="str">
        <f>"1551765052096403"</f>
        <v>1551765052096403</v>
      </c>
      <c r="C6327" t="s">
        <v>40</v>
      </c>
      <c r="D6327">
        <v>4.2778519999999904</v>
      </c>
      <c r="E6327">
        <v>0.52277019999999996</v>
      </c>
      <c r="F6327" t="s">
        <v>42</v>
      </c>
      <c r="G6327">
        <v>-337.089</v>
      </c>
      <c r="H6327" s="1">
        <v>-1.8196450000000001E-6</v>
      </c>
      <c r="I6327">
        <v>16.448179999999901</v>
      </c>
      <c r="J6327">
        <v>-358.52269999999999</v>
      </c>
      <c r="K6327">
        <v>1.109108</v>
      </c>
      <c r="L6327">
        <v>16.82095</v>
      </c>
      <c r="M6327">
        <v>0.99991439999999998</v>
      </c>
      <c r="N6327">
        <v>-5.9714310000000001E-3</v>
      </c>
      <c r="O6327">
        <v>-1.1654609999999999E-2</v>
      </c>
      <c r="P6327">
        <v>0.99252019999999996</v>
      </c>
      <c r="Q6327">
        <v>-0.1088409</v>
      </c>
      <c r="R6327">
        <v>5.5295789999999997E-2</v>
      </c>
      <c r="S6327">
        <v>3.008362</v>
      </c>
      <c r="T6327">
        <v>-0.1544421</v>
      </c>
      <c r="U6327">
        <v>-5.212402E-2</v>
      </c>
      <c r="V6327">
        <v>-6.6699399999999895E-2</v>
      </c>
      <c r="W6327">
        <v>-0.10302070000000001</v>
      </c>
      <c r="X6327">
        <v>0.9924404</v>
      </c>
      <c r="Y6327">
        <v>5.6731749999999999E-3</v>
      </c>
      <c r="Z6327">
        <v>3.6583429999999999E-4</v>
      </c>
      <c r="AA6327">
        <v>0.99998379999999998</v>
      </c>
      <c r="AB6327">
        <v>33</v>
      </c>
      <c r="AC6327">
        <v>21.433699999999899</v>
      </c>
      <c r="AD6327">
        <v>-1.109109819645</v>
      </c>
      <c r="AE6327">
        <v>-0.37277000000000199</v>
      </c>
      <c r="AF6327">
        <v>0.122610640417842</v>
      </c>
      <c r="AG6327">
        <v>-1.109109819645</v>
      </c>
      <c r="AH6327">
        <v>21.379359532816299</v>
      </c>
      <c r="AI6327">
        <v>92.969656470362096</v>
      </c>
      <c r="AJ6327">
        <v>89.671412270731295</v>
      </c>
      <c r="AK6327">
        <v>21.408460290142301</v>
      </c>
      <c r="AL6327">
        <v>95.913142497050998</v>
      </c>
      <c r="AM6327">
        <v>93.844921884199493</v>
      </c>
      <c r="AN6327">
        <v>1.0000000110705001</v>
      </c>
    </row>
    <row r="6328" spans="1:40" x14ac:dyDescent="0.25">
      <c r="A6328" t="str">
        <f>"20190305135052112"</f>
        <v>20190305135052112</v>
      </c>
      <c r="B6328" t="str">
        <f>"1551765052106163"</f>
        <v>1551765052106163</v>
      </c>
      <c r="C6328" t="s">
        <v>40</v>
      </c>
      <c r="D6328">
        <v>4.2724570000000002</v>
      </c>
      <c r="E6328">
        <v>0.52010639999999997</v>
      </c>
      <c r="F6328" t="s">
        <v>42</v>
      </c>
      <c r="G6328">
        <v>-338.59739999999999</v>
      </c>
      <c r="H6328" s="1">
        <v>-1.224075E-6</v>
      </c>
      <c r="I6328">
        <v>16.75733</v>
      </c>
      <c r="J6328">
        <v>-358.3365</v>
      </c>
      <c r="K6328">
        <v>1.109156</v>
      </c>
      <c r="L6328">
        <v>16.819179999999999</v>
      </c>
      <c r="M6328">
        <v>0.99992040000000004</v>
      </c>
      <c r="N6328">
        <v>-5.9715019999999897E-3</v>
      </c>
      <c r="O6328">
        <v>-1.112055E-2</v>
      </c>
      <c r="P6328">
        <v>0.99246040000000002</v>
      </c>
      <c r="Q6328">
        <v>-0.10881739999999999</v>
      </c>
      <c r="R6328">
        <v>5.6402229999999998E-2</v>
      </c>
      <c r="S6328">
        <v>3.0048520000000001</v>
      </c>
      <c r="T6328">
        <v>-0.16725979999999999</v>
      </c>
      <c r="U6328">
        <v>-9.5825200000000006E-3</v>
      </c>
      <c r="V6328">
        <v>-6.7263119999999996E-2</v>
      </c>
      <c r="W6328">
        <v>-0.1030059</v>
      </c>
      <c r="X6328">
        <v>0.99240390000000001</v>
      </c>
      <c r="Y6328">
        <v>-7.904622E-3</v>
      </c>
      <c r="Z6328">
        <v>7.9560039999999996E-4</v>
      </c>
      <c r="AA6328">
        <v>0.99996850000000004</v>
      </c>
      <c r="AB6328">
        <v>33</v>
      </c>
      <c r="AC6328">
        <v>19.739100000000001</v>
      </c>
      <c r="AD6328">
        <v>-1.1091572240750001</v>
      </c>
      <c r="AE6328">
        <v>-6.1849999999999697E-2</v>
      </c>
      <c r="AF6328">
        <v>-0.15717112308498599</v>
      </c>
      <c r="AG6328">
        <v>-1.1091572240750001</v>
      </c>
      <c r="AH6328">
        <v>19.676441142404499</v>
      </c>
      <c r="AI6328">
        <v>93.2262350299019</v>
      </c>
      <c r="AJ6328">
        <v>90.457656464946396</v>
      </c>
      <c r="AK6328">
        <v>19.708304557727899</v>
      </c>
      <c r="AL6328">
        <v>95.912289920824406</v>
      </c>
      <c r="AM6328">
        <v>93.877461283689698</v>
      </c>
      <c r="AN6328">
        <v>1.0000000217410701</v>
      </c>
    </row>
    <row r="6329" spans="1:40" x14ac:dyDescent="0.25">
      <c r="A6329" t="str">
        <f>"20190305135052123"</f>
        <v>20190305135052123</v>
      </c>
      <c r="B6329" t="str">
        <f>"1551765052116900"</f>
        <v>1551765052116900</v>
      </c>
      <c r="C6329" t="s">
        <v>40</v>
      </c>
      <c r="D6329">
        <v>4.2186159999999999</v>
      </c>
      <c r="E6329">
        <v>0.51822290000000004</v>
      </c>
      <c r="F6329" t="s">
        <v>42</v>
      </c>
      <c r="G6329">
        <v>-338.5299</v>
      </c>
      <c r="H6329" s="1">
        <v>-1.2044249999999999E-6</v>
      </c>
      <c r="I6329">
        <v>16.91751</v>
      </c>
      <c r="J6329">
        <v>-358.17079999999999</v>
      </c>
      <c r="K6329">
        <v>1.1092</v>
      </c>
      <c r="L6329">
        <v>16.81775</v>
      </c>
      <c r="M6329">
        <v>0.99992590000000003</v>
      </c>
      <c r="N6329">
        <v>-5.9754469999999896E-3</v>
      </c>
      <c r="O6329">
        <v>-1.0616209999999999E-2</v>
      </c>
      <c r="P6329">
        <v>0.99238579999999998</v>
      </c>
      <c r="Q6329">
        <v>-0.1090551</v>
      </c>
      <c r="R6329">
        <v>5.7249090000000002E-2</v>
      </c>
      <c r="S6329">
        <v>3.0035099999999999</v>
      </c>
      <c r="T6329">
        <v>-0.1681947</v>
      </c>
      <c r="U6329">
        <v>1.49231E-2</v>
      </c>
      <c r="V6329">
        <v>-6.7597870000000004E-2</v>
      </c>
      <c r="W6329">
        <v>-0.10324750000000001</v>
      </c>
      <c r="X6329">
        <v>0.99235600000000002</v>
      </c>
      <c r="Y6329">
        <v>-1.5544250000000001E-2</v>
      </c>
      <c r="Z6329">
        <v>1.012008E-3</v>
      </c>
      <c r="AA6329">
        <v>0.99987859999999995</v>
      </c>
      <c r="AB6329">
        <v>33</v>
      </c>
      <c r="AC6329">
        <v>19.640899999999899</v>
      </c>
      <c r="AD6329">
        <v>-1.1092012044249999</v>
      </c>
      <c r="AE6329">
        <v>9.9759999999999793E-2</v>
      </c>
      <c r="AF6329">
        <v>-0.30728997683012998</v>
      </c>
      <c r="AG6329">
        <v>-1.1092012044249999</v>
      </c>
      <c r="AH6329">
        <v>19.576300586943599</v>
      </c>
      <c r="AI6329">
        <v>93.242536312620899</v>
      </c>
      <c r="AJ6329">
        <v>90.899300296188599</v>
      </c>
      <c r="AK6329">
        <v>19.6101070652898</v>
      </c>
      <c r="AL6329">
        <v>95.926207063320305</v>
      </c>
      <c r="AM6329">
        <v>93.896886546619797</v>
      </c>
      <c r="AN6329">
        <v>0.99999997451039302</v>
      </c>
    </row>
    <row r="6330" spans="1:40" x14ac:dyDescent="0.25">
      <c r="A6330" t="str">
        <f>"20190305135052135"</f>
        <v>20190305135052135</v>
      </c>
      <c r="B6330" t="str">
        <f>"1551765052126660"</f>
        <v>1551765052126660</v>
      </c>
      <c r="C6330" t="s">
        <v>40</v>
      </c>
      <c r="D6330">
        <v>4.1998309999999996</v>
      </c>
      <c r="E6330">
        <v>0.51731850000000001</v>
      </c>
      <c r="F6330" t="s">
        <v>42</v>
      </c>
      <c r="G6330">
        <v>-339.17880000000002</v>
      </c>
      <c r="H6330" s="1">
        <v>-9.5586489999999997E-7</v>
      </c>
      <c r="I6330">
        <v>17.021750000000001</v>
      </c>
      <c r="J6330">
        <v>-358.01319999999998</v>
      </c>
      <c r="K6330">
        <v>1.1092390000000001</v>
      </c>
      <c r="L6330">
        <v>16.816469999999999</v>
      </c>
      <c r="M6330">
        <v>0.99993100000000001</v>
      </c>
      <c r="N6330">
        <v>-5.9818440000000001E-3</v>
      </c>
      <c r="O6330">
        <v>-1.0118439999999999E-2</v>
      </c>
      <c r="P6330">
        <v>0.99234330000000004</v>
      </c>
      <c r="Q6330">
        <v>-0.10893220000000001</v>
      </c>
      <c r="R6330">
        <v>5.8211060000000002E-2</v>
      </c>
      <c r="S6330">
        <v>3.001862</v>
      </c>
      <c r="T6330">
        <v>-0.17531869999999999</v>
      </c>
      <c r="U6330">
        <v>3.225708E-2</v>
      </c>
      <c r="V6330">
        <v>-6.8055829999999998E-2</v>
      </c>
      <c r="W6330">
        <v>-0.103126</v>
      </c>
      <c r="X6330">
        <v>0.99233729999999998</v>
      </c>
      <c r="Y6330">
        <v>-2.0809580000000001E-2</v>
      </c>
      <c r="Z6330">
        <v>1.1993920000000001E-3</v>
      </c>
      <c r="AA6330">
        <v>0.99978270000000002</v>
      </c>
      <c r="AB6330">
        <v>33</v>
      </c>
      <c r="AC6330">
        <v>18.834399999999899</v>
      </c>
      <c r="AD6330">
        <v>-1.10923995586489</v>
      </c>
      <c r="AE6330">
        <v>0.20527999999999799</v>
      </c>
      <c r="AF6330">
        <v>-0.39447952286120203</v>
      </c>
      <c r="AG6330">
        <v>-1.10923995586489</v>
      </c>
      <c r="AH6330">
        <v>18.7662746797767</v>
      </c>
      <c r="AI6330">
        <v>93.381966881691</v>
      </c>
      <c r="AJ6330">
        <v>91.204217885282802</v>
      </c>
      <c r="AK6330">
        <v>18.803167093085001</v>
      </c>
      <c r="AL6330">
        <v>95.919208456964398</v>
      </c>
      <c r="AM6330">
        <v>93.923278588633494</v>
      </c>
      <c r="AN6330">
        <v>0.99999994242213697</v>
      </c>
    </row>
    <row r="6331" spans="1:40" x14ac:dyDescent="0.25">
      <c r="A6331" t="str">
        <f>"20190305135052149"</f>
        <v>20190305135052149</v>
      </c>
      <c r="B6331" t="str">
        <f>"1551765052136420"</f>
        <v>1551765052136420</v>
      </c>
      <c r="C6331" t="s">
        <v>40</v>
      </c>
      <c r="D6331">
        <v>4.2136199999999997</v>
      </c>
      <c r="E6331">
        <v>0.51682729999999999</v>
      </c>
      <c r="F6331" t="s">
        <v>42</v>
      </c>
      <c r="G6331">
        <v>-339.23169999999999</v>
      </c>
      <c r="H6331" s="1">
        <v>-9.2217250000000002E-7</v>
      </c>
      <c r="I6331">
        <v>17.0807</v>
      </c>
      <c r="J6331">
        <v>-357.80880000000002</v>
      </c>
      <c r="K6331">
        <v>1.109291</v>
      </c>
      <c r="L6331">
        <v>16.814910000000001</v>
      </c>
      <c r="M6331">
        <v>0.99993750000000003</v>
      </c>
      <c r="N6331">
        <v>-5.9936240000000003E-3</v>
      </c>
      <c r="O6331">
        <v>-9.4495719999999998E-3</v>
      </c>
      <c r="P6331">
        <v>0.99227799999999999</v>
      </c>
      <c r="Q6331">
        <v>-0.1089653</v>
      </c>
      <c r="R6331">
        <v>5.9254859999999999E-2</v>
      </c>
      <c r="S6331">
        <v>3.0011899999999998</v>
      </c>
      <c r="T6331">
        <v>-0.1772503</v>
      </c>
      <c r="U6331">
        <v>4.2236330000000002E-2</v>
      </c>
      <c r="V6331">
        <v>-6.8422319999999995E-2</v>
      </c>
      <c r="W6331">
        <v>-0.1031569</v>
      </c>
      <c r="X6331">
        <v>0.992309</v>
      </c>
      <c r="Y6331">
        <v>-2.3461650000000001E-2</v>
      </c>
      <c r="Z6331">
        <v>1.2635579999999999E-3</v>
      </c>
      <c r="AA6331">
        <v>0.9997239</v>
      </c>
      <c r="AB6331">
        <v>33</v>
      </c>
      <c r="AC6331">
        <v>18.577100000000002</v>
      </c>
      <c r="AD6331">
        <v>-1.1092919221724999</v>
      </c>
      <c r="AE6331">
        <v>0.26578999999999903</v>
      </c>
      <c r="AF6331">
        <v>-0.439759214004318</v>
      </c>
      <c r="AG6331">
        <v>-1.1092919221724999</v>
      </c>
      <c r="AH6331">
        <v>18.507780560560899</v>
      </c>
      <c r="AI6331">
        <v>93.429040616128901</v>
      </c>
      <c r="AJ6331">
        <v>91.361136023294193</v>
      </c>
      <c r="AK6331">
        <v>18.546208723423099</v>
      </c>
      <c r="AL6331">
        <v>95.920987716537695</v>
      </c>
      <c r="AM6331">
        <v>93.944451607948693</v>
      </c>
      <c r="AN6331">
        <v>1.0000000556863899</v>
      </c>
    </row>
    <row r="6332" spans="1:40" x14ac:dyDescent="0.25">
      <c r="A6332" t="str">
        <f>"20190305135052162"</f>
        <v>20190305135052162</v>
      </c>
      <c r="B6332" t="str">
        <f>"1551765052156916"</f>
        <v>1551765052156916</v>
      </c>
      <c r="C6332" t="s">
        <v>40</v>
      </c>
      <c r="D6332">
        <v>4.2490800000000002</v>
      </c>
      <c r="E6332">
        <v>0.51660850000000003</v>
      </c>
      <c r="F6332" t="s">
        <v>42</v>
      </c>
      <c r="G6332">
        <v>-339.12189999999998</v>
      </c>
      <c r="H6332" s="1">
        <v>-9.4860870000000002E-7</v>
      </c>
      <c r="I6332">
        <v>17.121739999999999</v>
      </c>
      <c r="J6332">
        <v>-357.60660000000001</v>
      </c>
      <c r="K6332">
        <v>1.109343</v>
      </c>
      <c r="L6332">
        <v>16.81363</v>
      </c>
      <c r="M6332">
        <v>0.99994360000000004</v>
      </c>
      <c r="N6332">
        <v>-6.011583E-3</v>
      </c>
      <c r="O6332">
        <v>-8.74507699999999E-3</v>
      </c>
      <c r="P6332">
        <v>0.99221040000000005</v>
      </c>
      <c r="Q6332">
        <v>-0.10897709999999999</v>
      </c>
      <c r="R6332">
        <v>6.0350670000000002E-2</v>
      </c>
      <c r="S6332">
        <v>3.0008539999999999</v>
      </c>
      <c r="T6332">
        <v>-0.17813670000000001</v>
      </c>
      <c r="U6332">
        <v>4.9285889999999999E-2</v>
      </c>
      <c r="V6332">
        <v>-6.8805549999999993E-2</v>
      </c>
      <c r="W6332">
        <v>-0.10316060000000001</v>
      </c>
      <c r="X6332">
        <v>0.992282</v>
      </c>
      <c r="Y6332">
        <v>-2.5104069999999999E-2</v>
      </c>
      <c r="Z6332">
        <v>1.286056E-3</v>
      </c>
      <c r="AA6332">
        <v>0.99968400000000002</v>
      </c>
      <c r="AB6332">
        <v>33</v>
      </c>
      <c r="AC6332">
        <v>18.4847</v>
      </c>
      <c r="AD6332">
        <v>-1.10934394860869</v>
      </c>
      <c r="AE6332">
        <v>0.308109999999999</v>
      </c>
      <c r="AF6332">
        <v>-0.46806591319405899</v>
      </c>
      <c r="AG6332">
        <v>-1.10934394860869</v>
      </c>
      <c r="AH6332">
        <v>18.4149917777806</v>
      </c>
      <c r="AI6332">
        <v>93.446298456533896</v>
      </c>
      <c r="AJ6332">
        <v>91.456010871857899</v>
      </c>
      <c r="AK6332">
        <v>18.454312554824</v>
      </c>
      <c r="AL6332">
        <v>95.921201533574703</v>
      </c>
      <c r="AM6332">
        <v>93.966581544460198</v>
      </c>
      <c r="AN6332">
        <v>0.99999994031357897</v>
      </c>
    </row>
    <row r="6333" spans="1:40" x14ac:dyDescent="0.25">
      <c r="A6333" t="str">
        <f>"20190305135052178"</f>
        <v>20190305135052178</v>
      </c>
      <c r="B6333" t="str">
        <f>"1551765052166676"</f>
        <v>1551765052166676</v>
      </c>
      <c r="C6333" t="s">
        <v>40</v>
      </c>
      <c r="D6333">
        <v>4.2661610000000003</v>
      </c>
      <c r="E6333">
        <v>0.5168085</v>
      </c>
      <c r="F6333" t="s">
        <v>42</v>
      </c>
      <c r="G6333">
        <v>-339.20030000000003</v>
      </c>
      <c r="H6333" s="1">
        <v>-9.1540259999999996E-7</v>
      </c>
      <c r="I6333">
        <v>17.14622</v>
      </c>
      <c r="J6333">
        <v>-357.37</v>
      </c>
      <c r="K6333">
        <v>1.109402</v>
      </c>
      <c r="L6333">
        <v>16.812290000000001</v>
      </c>
      <c r="M6333">
        <v>0.99995069999999997</v>
      </c>
      <c r="N6333">
        <v>-6.0357329999999997E-3</v>
      </c>
      <c r="O6333">
        <v>-7.8864190000000004E-3</v>
      </c>
      <c r="P6333">
        <v>0.99213989999999996</v>
      </c>
      <c r="Q6333">
        <v>-0.1090568</v>
      </c>
      <c r="R6333">
        <v>6.135972E-2</v>
      </c>
      <c r="S6333">
        <v>3.000397</v>
      </c>
      <c r="T6333">
        <v>-0.18083389999999999</v>
      </c>
      <c r="U6333">
        <v>5.4229739999999999E-2</v>
      </c>
      <c r="V6333">
        <v>-6.8947499999999995E-2</v>
      </c>
      <c r="W6333">
        <v>-0.1032271</v>
      </c>
      <c r="X6333">
        <v>0.99226530000000002</v>
      </c>
      <c r="Y6333">
        <v>-2.5892680000000001E-2</v>
      </c>
      <c r="Z6333">
        <v>1.2850229999999999E-3</v>
      </c>
      <c r="AA6333">
        <v>0.99966390000000005</v>
      </c>
      <c r="AB6333">
        <v>34</v>
      </c>
      <c r="AC6333">
        <v>18.169699999999899</v>
      </c>
      <c r="AD6333">
        <v>-1.1094029154025999</v>
      </c>
      <c r="AE6333">
        <v>0.33392999999999801</v>
      </c>
      <c r="AF6333">
        <v>-0.47544420358915801</v>
      </c>
      <c r="AG6333">
        <v>-1.1094029154025999</v>
      </c>
      <c r="AH6333">
        <v>18.099049781475799</v>
      </c>
      <c r="AI6333">
        <v>93.506418193309898</v>
      </c>
      <c r="AJ6333">
        <v>91.504757609310403</v>
      </c>
      <c r="AK6333">
        <v>18.139250949578098</v>
      </c>
      <c r="AL6333">
        <v>95.925031746831095</v>
      </c>
      <c r="AM6333">
        <v>93.974805319887906</v>
      </c>
      <c r="AN6333">
        <v>1.0000000087573699</v>
      </c>
    </row>
    <row r="6334" spans="1:40" x14ac:dyDescent="0.25">
      <c r="A6334" t="str">
        <f>"20190305135052191"</f>
        <v>20190305135052191</v>
      </c>
      <c r="B6334" t="str">
        <f>"1551765052186195"</f>
        <v>1551765052186195</v>
      </c>
      <c r="C6334" t="s">
        <v>40</v>
      </c>
      <c r="D6334">
        <v>4.231115</v>
      </c>
      <c r="E6334">
        <v>0.5171251</v>
      </c>
      <c r="F6334" t="s">
        <v>42</v>
      </c>
      <c r="G6334">
        <v>-338.9864</v>
      </c>
      <c r="H6334" s="1">
        <v>-9.8634669999999998E-7</v>
      </c>
      <c r="I6334">
        <v>17.15325</v>
      </c>
      <c r="J6334">
        <v>-357.18509999999998</v>
      </c>
      <c r="K6334">
        <v>1.1094489999999999</v>
      </c>
      <c r="L6334">
        <v>16.81137</v>
      </c>
      <c r="M6334">
        <v>0.99995590000000001</v>
      </c>
      <c r="N6334">
        <v>-6.0564640000000001E-3</v>
      </c>
      <c r="O6334">
        <v>-7.1914910000000004E-3</v>
      </c>
      <c r="P6334">
        <v>0.99209619999999998</v>
      </c>
      <c r="Q6334">
        <v>-0.1090816</v>
      </c>
      <c r="R6334">
        <v>6.2021560000000003E-2</v>
      </c>
      <c r="S6334">
        <v>3.0004879999999998</v>
      </c>
      <c r="T6334">
        <v>-0.1810715</v>
      </c>
      <c r="U6334">
        <v>5.5664060000000001E-2</v>
      </c>
      <c r="V6334">
        <v>-6.8907670000000004E-2</v>
      </c>
      <c r="W6334">
        <v>-0.1032394</v>
      </c>
      <c r="X6334">
        <v>0.9922668</v>
      </c>
      <c r="Y6334">
        <v>-2.567641E-2</v>
      </c>
      <c r="Z6334">
        <v>1.241865E-3</v>
      </c>
      <c r="AA6334">
        <v>0.99966960000000005</v>
      </c>
      <c r="AB6334">
        <v>34</v>
      </c>
      <c r="AC6334">
        <v>18.198699999999899</v>
      </c>
      <c r="AD6334">
        <v>-1.1094499863467</v>
      </c>
      <c r="AE6334">
        <v>0.34187999999999902</v>
      </c>
      <c r="AF6334">
        <v>-0.47099947910619</v>
      </c>
      <c r="AG6334">
        <v>-1.1094499863467</v>
      </c>
      <c r="AH6334">
        <v>18.128420112980599</v>
      </c>
      <c r="AI6334">
        <v>93.500925889969295</v>
      </c>
      <c r="AJ6334">
        <v>91.488282621546702</v>
      </c>
      <c r="AK6334">
        <v>18.168443399868998</v>
      </c>
      <c r="AL6334">
        <v>95.925740194414303</v>
      </c>
      <c r="AM6334">
        <v>93.972510498597202</v>
      </c>
      <c r="AN6334">
        <v>1.00000002153971</v>
      </c>
    </row>
    <row r="6335" spans="1:40" x14ac:dyDescent="0.25">
      <c r="A6335" t="str">
        <f>"20190305135052201"</f>
        <v>20190305135052201</v>
      </c>
      <c r="B6335" t="str">
        <f>"1551765052196762"</f>
        <v>1551765052196762</v>
      </c>
      <c r="C6335" t="s">
        <v>40</v>
      </c>
      <c r="D6335">
        <v>4.2283239999999997</v>
      </c>
      <c r="E6335">
        <v>0.51722919999999994</v>
      </c>
      <c r="F6335" t="s">
        <v>42</v>
      </c>
      <c r="G6335">
        <v>-338.58850000000001</v>
      </c>
      <c r="H6335" s="1">
        <v>-1.121648E-6</v>
      </c>
      <c r="I6335">
        <v>17.153600000000001</v>
      </c>
      <c r="J6335">
        <v>-357.0025</v>
      </c>
      <c r="K6335">
        <v>1.109494</v>
      </c>
      <c r="L6335">
        <v>16.810669999999998</v>
      </c>
      <c r="M6335">
        <v>0.99996059999999998</v>
      </c>
      <c r="N6335">
        <v>-6.0785530000000004E-3</v>
      </c>
      <c r="O6335">
        <v>-6.4640319999999998E-3</v>
      </c>
      <c r="P6335">
        <v>0.99204199999999998</v>
      </c>
      <c r="Q6335">
        <v>-0.1093611</v>
      </c>
      <c r="R6335">
        <v>6.2394619999999998E-2</v>
      </c>
      <c r="S6335">
        <v>3.0007929999999998</v>
      </c>
      <c r="T6335">
        <v>-0.17902370000000001</v>
      </c>
      <c r="U6335">
        <v>5.5236819999999999E-2</v>
      </c>
      <c r="V6335">
        <v>-6.8546179999999998E-2</v>
      </c>
      <c r="W6335">
        <v>-0.1035041</v>
      </c>
      <c r="X6335">
        <v>0.99226420000000004</v>
      </c>
      <c r="Y6335">
        <v>-2.4809100000000001E-2</v>
      </c>
      <c r="Z6335">
        <v>1.1608110000000001E-3</v>
      </c>
      <c r="AA6335">
        <v>0.99969149999999996</v>
      </c>
      <c r="AB6335">
        <v>34</v>
      </c>
      <c r="AC6335">
        <v>18.413999999999898</v>
      </c>
      <c r="AD6335">
        <v>-1.109495121648</v>
      </c>
      <c r="AE6335">
        <v>0.34292999999999901</v>
      </c>
      <c r="AF6335">
        <v>-0.46028329018448</v>
      </c>
      <c r="AG6335">
        <v>-1.109495121648</v>
      </c>
      <c r="AH6335">
        <v>18.344822568381499</v>
      </c>
      <c r="AI6335">
        <v>93.459947412757302</v>
      </c>
      <c r="AJ6335">
        <v>91.437286065933094</v>
      </c>
      <c r="AK6335">
        <v>18.384106048366402</v>
      </c>
      <c r="AL6335">
        <v>95.940988439634694</v>
      </c>
      <c r="AM6335">
        <v>93.951747209387193</v>
      </c>
      <c r="AN6335">
        <v>0.99999996005552005</v>
      </c>
    </row>
    <row r="6336" spans="1:40" x14ac:dyDescent="0.25">
      <c r="A6336" t="str">
        <f>"20190305135052212"</f>
        <v>20190305135052212</v>
      </c>
      <c r="B6336" t="str">
        <f>"1551765052206499"</f>
        <v>1551765052206499</v>
      </c>
      <c r="C6336" t="s">
        <v>40</v>
      </c>
      <c r="D6336">
        <v>4.2171440000000002</v>
      </c>
      <c r="E6336">
        <v>0.51710089999999997</v>
      </c>
      <c r="F6336" t="s">
        <v>42</v>
      </c>
      <c r="G6336">
        <v>-338.3168</v>
      </c>
      <c r="H6336" s="1">
        <v>-1.213259E-6</v>
      </c>
      <c r="I6336">
        <v>17.15681</v>
      </c>
      <c r="J6336">
        <v>-356.84620000000001</v>
      </c>
      <c r="K6336">
        <v>1.109532</v>
      </c>
      <c r="L6336">
        <v>16.81015</v>
      </c>
      <c r="M6336">
        <v>0.99996439999999998</v>
      </c>
      <c r="N6336">
        <v>-6.0974690000000003E-3</v>
      </c>
      <c r="O6336">
        <v>-5.8320899999999998E-3</v>
      </c>
      <c r="P6336">
        <v>0.99199309999999996</v>
      </c>
      <c r="Q6336">
        <v>-0.1097944</v>
      </c>
      <c r="R6336">
        <v>6.2409970000000002E-2</v>
      </c>
      <c r="S6336">
        <v>3.0009160000000001</v>
      </c>
      <c r="T6336">
        <v>-0.17818439999999999</v>
      </c>
      <c r="U6336">
        <v>5.5603029999999998E-2</v>
      </c>
      <c r="V6336">
        <v>-6.7923349999999993E-2</v>
      </c>
      <c r="W6336">
        <v>-0.1039238</v>
      </c>
      <c r="X6336">
        <v>0.99226320000000001</v>
      </c>
      <c r="Y6336">
        <v>-2.430094E-2</v>
      </c>
      <c r="Z6336">
        <v>1.1053530000000001E-3</v>
      </c>
      <c r="AA6336">
        <v>0.99970409999999998</v>
      </c>
      <c r="AB6336">
        <v>34</v>
      </c>
      <c r="AC6336">
        <v>18.529399999999999</v>
      </c>
      <c r="AD6336">
        <v>-1.1095332132589999</v>
      </c>
      <c r="AE6336">
        <v>0.34666000000000002</v>
      </c>
      <c r="AF6336">
        <v>-0.45309719978706797</v>
      </c>
      <c r="AG6336">
        <v>-1.1095332132589999</v>
      </c>
      <c r="AH6336">
        <v>18.460893453856499</v>
      </c>
      <c r="AI6336">
        <v>93.438410013205498</v>
      </c>
      <c r="AJ6336">
        <v>91.405963715511604</v>
      </c>
      <c r="AK6336">
        <v>18.4997553534749</v>
      </c>
      <c r="AL6336">
        <v>95.965165637829998</v>
      </c>
      <c r="AM6336">
        <v>93.915956673259402</v>
      </c>
      <c r="AN6336">
        <v>0.99999999787795102</v>
      </c>
    </row>
    <row r="6337" spans="1:40" x14ac:dyDescent="0.25">
      <c r="A6337" t="str">
        <f>"20190305135052224"</f>
        <v>20190305135052224</v>
      </c>
      <c r="B6337" t="str">
        <f>"1551765052216259"</f>
        <v>1551765052216259</v>
      </c>
      <c r="C6337" t="s">
        <v>40</v>
      </c>
      <c r="D6337">
        <v>4.2274209999999997</v>
      </c>
      <c r="E6337">
        <v>0.51701189999999997</v>
      </c>
      <c r="F6337" t="s">
        <v>42</v>
      </c>
      <c r="G6337">
        <v>-338.3537</v>
      </c>
      <c r="H6337" s="1">
        <v>-1.2000360000000001E-6</v>
      </c>
      <c r="I6337">
        <v>17.159310000000001</v>
      </c>
      <c r="J6337">
        <v>-356.66680000000002</v>
      </c>
      <c r="K6337">
        <v>1.109575</v>
      </c>
      <c r="L6337">
        <v>16.809719999999999</v>
      </c>
      <c r="M6337">
        <v>0.99996839999999998</v>
      </c>
      <c r="N6337">
        <v>-6.1192750000000004E-3</v>
      </c>
      <c r="O6337">
        <v>-5.0806920000000004E-3</v>
      </c>
      <c r="P6337">
        <v>0.99194709999999997</v>
      </c>
      <c r="Q6337">
        <v>-0.11012329999999999</v>
      </c>
      <c r="R6337">
        <v>6.2560630000000006E-2</v>
      </c>
      <c r="S6337">
        <v>3.0007320000000002</v>
      </c>
      <c r="T6337">
        <v>-0.1800416</v>
      </c>
      <c r="U6337">
        <v>5.6671140000000002E-2</v>
      </c>
      <c r="V6337">
        <v>-6.7316440000000005E-2</v>
      </c>
      <c r="W6337">
        <v>-0.1042367</v>
      </c>
      <c r="X6337">
        <v>0.99227169999999998</v>
      </c>
      <c r="Y6337">
        <v>-2.3907299999999999E-2</v>
      </c>
      <c r="Z6337">
        <v>1.0632059999999999E-3</v>
      </c>
      <c r="AA6337">
        <v>0.99971359999999998</v>
      </c>
      <c r="AB6337">
        <v>34</v>
      </c>
      <c r="AC6337">
        <v>18.313099999999999</v>
      </c>
      <c r="AD6337">
        <v>-1.1095762000360001</v>
      </c>
      <c r="AE6337">
        <v>0.34958999999999901</v>
      </c>
      <c r="AF6337">
        <v>-0.44101205927182302</v>
      </c>
      <c r="AG6337">
        <v>-1.1095762000360001</v>
      </c>
      <c r="AH6337">
        <v>18.244136659446401</v>
      </c>
      <c r="AI6337">
        <v>93.479327458464297</v>
      </c>
      <c r="AJ6337">
        <v>91.384730355234694</v>
      </c>
      <c r="AK6337">
        <v>18.283166395038499</v>
      </c>
      <c r="AL6337">
        <v>95.983191616391807</v>
      </c>
      <c r="AM6337">
        <v>93.881041011454201</v>
      </c>
      <c r="AN6337">
        <v>0.99999995967102595</v>
      </c>
    </row>
    <row r="6338" spans="1:40" x14ac:dyDescent="0.25">
      <c r="A6338" t="str">
        <f>"20190305135052234"</f>
        <v>20190305135052234</v>
      </c>
      <c r="B6338" t="str">
        <f>"1551765052226019"</f>
        <v>1551765052226019</v>
      </c>
      <c r="C6338" t="s">
        <v>40</v>
      </c>
      <c r="D6338">
        <v>4.2112129999999999</v>
      </c>
      <c r="E6338">
        <v>0.51704680000000003</v>
      </c>
      <c r="F6338" t="s">
        <v>42</v>
      </c>
      <c r="G6338">
        <v>-338.3897</v>
      </c>
      <c r="H6338" s="1">
        <v>-1.187136E-6</v>
      </c>
      <c r="I6338">
        <v>17.161729999999999</v>
      </c>
      <c r="J6338">
        <v>-356.51100000000002</v>
      </c>
      <c r="K6338">
        <v>1.10961</v>
      </c>
      <c r="L6338">
        <v>16.809479999999901</v>
      </c>
      <c r="M6338">
        <v>0.99997150000000001</v>
      </c>
      <c r="N6338">
        <v>-6.1380059999999997E-3</v>
      </c>
      <c r="O6338">
        <v>-4.4149150000000002E-3</v>
      </c>
      <c r="P6338">
        <v>0.99187040000000004</v>
      </c>
      <c r="Q6338">
        <v>-0.1107248</v>
      </c>
      <c r="R6338">
        <v>6.2716140000000004E-2</v>
      </c>
      <c r="S6338">
        <v>3.0004879999999998</v>
      </c>
      <c r="T6338">
        <v>-0.18215529999999999</v>
      </c>
      <c r="U6338">
        <v>5.7800289999999997E-2</v>
      </c>
      <c r="V6338">
        <v>-6.6800799999999994E-2</v>
      </c>
      <c r="W6338">
        <v>-0.1048243</v>
      </c>
      <c r="X6338">
        <v>0.99224469999999998</v>
      </c>
      <c r="Y6338">
        <v>-2.3619609999999999E-2</v>
      </c>
      <c r="Z6338">
        <v>1.0294799999999999E-3</v>
      </c>
      <c r="AA6338">
        <v>0.99972050000000001</v>
      </c>
      <c r="AB6338">
        <v>34</v>
      </c>
      <c r="AC6338">
        <v>18.121299999999898</v>
      </c>
      <c r="AD6338">
        <v>-1.1096111871359999</v>
      </c>
      <c r="AE6338">
        <v>0.35225000000000101</v>
      </c>
      <c r="AF6338">
        <v>-0.43063803776223902</v>
      </c>
      <c r="AG6338">
        <v>-1.1096111871359999</v>
      </c>
      <c r="AH6338">
        <v>18.051909755086601</v>
      </c>
      <c r="AI6338">
        <v>93.516422132252103</v>
      </c>
      <c r="AJ6338">
        <v>91.366562512994193</v>
      </c>
      <c r="AK6338">
        <v>18.0911064313926</v>
      </c>
      <c r="AL6338">
        <v>96.0170437525137</v>
      </c>
      <c r="AM6338">
        <v>93.851506763785395</v>
      </c>
      <c r="AN6338">
        <v>1.0000000127146</v>
      </c>
    </row>
    <row r="6339" spans="1:40" x14ac:dyDescent="0.25">
      <c r="A6339" t="str">
        <f>"20190305135052244"</f>
        <v>20190305135052244</v>
      </c>
      <c r="B6339" t="str">
        <f>"1551765052236755"</f>
        <v>1551765052236755</v>
      </c>
      <c r="C6339" t="s">
        <v>40</v>
      </c>
      <c r="D6339">
        <v>4.2341939999999996</v>
      </c>
      <c r="E6339">
        <v>0.51705190000000001</v>
      </c>
      <c r="F6339" t="s">
        <v>42</v>
      </c>
      <c r="G6339">
        <v>-338.35329999999999</v>
      </c>
      <c r="H6339" s="1">
        <v>-1.1997670000000001E-6</v>
      </c>
      <c r="I6339">
        <v>17.16085</v>
      </c>
      <c r="J6339">
        <v>-356.35120000000001</v>
      </c>
      <c r="K6339">
        <v>1.1096459999999999</v>
      </c>
      <c r="L6339">
        <v>16.809329999999999</v>
      </c>
      <c r="M6339">
        <v>0.99997429999999998</v>
      </c>
      <c r="N6339">
        <v>-6.1570039999999998E-3</v>
      </c>
      <c r="O6339">
        <v>-3.7176750000000001E-3</v>
      </c>
      <c r="P6339">
        <v>0.99183949999999999</v>
      </c>
      <c r="Q6339">
        <v>-0.11100739999999901</v>
      </c>
      <c r="R6339">
        <v>6.2703789999999995E-2</v>
      </c>
      <c r="S6339">
        <v>3.0004580000000001</v>
      </c>
      <c r="T6339">
        <v>-0.1833564</v>
      </c>
      <c r="U6339">
        <v>5.807495E-2</v>
      </c>
      <c r="V6339">
        <v>-6.6086839999999994E-2</v>
      </c>
      <c r="W6339">
        <v>-0.10509159999999999</v>
      </c>
      <c r="X6339">
        <v>0.99226420000000004</v>
      </c>
      <c r="Y6339">
        <v>-2.3015790000000001E-2</v>
      </c>
      <c r="Z6339">
        <v>9.775401999999999E-4</v>
      </c>
      <c r="AA6339">
        <v>0.99973460000000003</v>
      </c>
      <c r="AB6339">
        <v>34</v>
      </c>
      <c r="AC6339">
        <v>17.997900000000001</v>
      </c>
      <c r="AD6339">
        <v>-1.1096471997670001</v>
      </c>
      <c r="AE6339">
        <v>0.35152</v>
      </c>
      <c r="AF6339">
        <v>-0.41684524298707298</v>
      </c>
      <c r="AG6339">
        <v>-1.1096471997670001</v>
      </c>
      <c r="AH6339">
        <v>17.9283446653134</v>
      </c>
      <c r="AI6339">
        <v>93.540761357871006</v>
      </c>
      <c r="AJ6339">
        <v>91.331922787030706</v>
      </c>
      <c r="AK6339">
        <v>17.9674878406198</v>
      </c>
      <c r="AL6339">
        <v>96.032444180793505</v>
      </c>
      <c r="AM6339">
        <v>93.810389520723206</v>
      </c>
      <c r="AN6339">
        <v>0.99999997870669199</v>
      </c>
    </row>
    <row r="6340" spans="1:40" x14ac:dyDescent="0.25">
      <c r="A6340" t="str">
        <f>"20190305135052256"</f>
        <v>20190305135052256</v>
      </c>
      <c r="B6340" t="str">
        <f>"1551765052246516"</f>
        <v>1551765052246516</v>
      </c>
      <c r="C6340" t="s">
        <v>40</v>
      </c>
      <c r="D6340">
        <v>4.2090589999999999</v>
      </c>
      <c r="E6340">
        <v>0.51704719999999904</v>
      </c>
      <c r="F6340" t="s">
        <v>42</v>
      </c>
      <c r="G6340">
        <v>-338.33760000000001</v>
      </c>
      <c r="H6340" s="1">
        <v>-1.2059069999999999E-6</v>
      </c>
      <c r="I6340">
        <v>17.157920000000001</v>
      </c>
      <c r="J6340">
        <v>-356.19189999999998</v>
      </c>
      <c r="K6340">
        <v>1.1096779999999999</v>
      </c>
      <c r="L6340">
        <v>16.809329999999999</v>
      </c>
      <c r="M6340">
        <v>0.99997630000000004</v>
      </c>
      <c r="N6340">
        <v>-6.1756270000000004E-3</v>
      </c>
      <c r="O6340">
        <v>-3.010913E-3</v>
      </c>
      <c r="P6340">
        <v>0.99183080000000001</v>
      </c>
      <c r="Q6340">
        <v>-0.1111248</v>
      </c>
      <c r="R6340">
        <v>6.2632519999999997E-2</v>
      </c>
      <c r="S6340">
        <v>3.000305</v>
      </c>
      <c r="T6340">
        <v>-0.18481990000000001</v>
      </c>
      <c r="U6340">
        <v>5.807495E-2</v>
      </c>
      <c r="V6340">
        <v>-6.5306810000000007E-2</v>
      </c>
      <c r="W6340">
        <v>-0.1051931</v>
      </c>
      <c r="X6340">
        <v>0.99230510000000005</v>
      </c>
      <c r="Y6340">
        <v>-2.2311899999999999E-2</v>
      </c>
      <c r="Z6340">
        <v>9.2217480000000005E-4</v>
      </c>
      <c r="AA6340">
        <v>0.99975060000000004</v>
      </c>
      <c r="AB6340">
        <v>34</v>
      </c>
      <c r="AC6340">
        <v>17.854299999999899</v>
      </c>
      <c r="AD6340">
        <v>-1.109679205907</v>
      </c>
      <c r="AE6340">
        <v>0.34859000000000101</v>
      </c>
      <c r="AF6340">
        <v>-0.40079955065232298</v>
      </c>
      <c r="AG6340">
        <v>-1.109679205907</v>
      </c>
      <c r="AH6340">
        <v>17.784496586591601</v>
      </c>
      <c r="AI6340">
        <v>93.569487565155697</v>
      </c>
      <c r="AJ6340">
        <v>91.291025359731506</v>
      </c>
      <c r="AK6340">
        <v>17.823589623258101</v>
      </c>
      <c r="AL6340">
        <v>96.038292050547696</v>
      </c>
      <c r="AM6340">
        <v>93.765390491268306</v>
      </c>
      <c r="AN6340">
        <v>0.99999998960299796</v>
      </c>
    </row>
    <row r="6341" spans="1:40" x14ac:dyDescent="0.25">
      <c r="A6341" t="str">
        <f>"20190305135052266"</f>
        <v>20190305135052266</v>
      </c>
      <c r="B6341" t="str">
        <f>"1551765052256276"</f>
        <v>1551765052256276</v>
      </c>
      <c r="C6341" t="s">
        <v>40</v>
      </c>
      <c r="D6341">
        <v>4.2469239999999999</v>
      </c>
      <c r="E6341">
        <v>0.51704719999999904</v>
      </c>
      <c r="F6341" t="s">
        <v>42</v>
      </c>
      <c r="G6341">
        <v>-338.29599999999999</v>
      </c>
      <c r="H6341" s="1">
        <v>-1.2209029999999999E-6</v>
      </c>
      <c r="I6341">
        <v>17.15474</v>
      </c>
      <c r="J6341">
        <v>-356.03320000000002</v>
      </c>
      <c r="K6341">
        <v>1.109707</v>
      </c>
      <c r="L6341">
        <v>16.809419999999999</v>
      </c>
      <c r="M6341">
        <v>0.99997820000000004</v>
      </c>
      <c r="N6341">
        <v>-6.1939710000000004E-3</v>
      </c>
      <c r="O6341">
        <v>-2.2976060000000002E-3</v>
      </c>
      <c r="P6341">
        <v>0.99183480000000002</v>
      </c>
      <c r="Q6341">
        <v>-0.1109368</v>
      </c>
      <c r="R6341">
        <v>6.2904290000000002E-2</v>
      </c>
      <c r="S6341">
        <v>3.0002439999999999</v>
      </c>
      <c r="T6341">
        <v>-0.1860367</v>
      </c>
      <c r="U6341">
        <v>5.7922359999999999E-2</v>
      </c>
      <c r="V6341">
        <v>-6.4863920000000005E-2</v>
      </c>
      <c r="W6341">
        <v>-0.104989899999999</v>
      </c>
      <c r="X6341">
        <v>0.99235569999999895</v>
      </c>
      <c r="Y6341">
        <v>-2.1550369999999999E-2</v>
      </c>
      <c r="Z6341">
        <v>8.6235539999999903E-4</v>
      </c>
      <c r="AA6341">
        <v>0.99976739999999997</v>
      </c>
      <c r="AB6341">
        <v>34</v>
      </c>
      <c r="AC6341">
        <v>17.737200000000001</v>
      </c>
      <c r="AD6341">
        <v>-1.109708220903</v>
      </c>
      <c r="AE6341">
        <v>0.34531999999999702</v>
      </c>
      <c r="AF6341">
        <v>-0.38456824432477998</v>
      </c>
      <c r="AG6341">
        <v>-1.109708220903</v>
      </c>
      <c r="AH6341">
        <v>17.667232166172099</v>
      </c>
      <c r="AI6341">
        <v>93.593272538984195</v>
      </c>
      <c r="AJ6341">
        <v>91.246978478202294</v>
      </c>
      <c r="AK6341">
        <v>17.706225952571302</v>
      </c>
      <c r="AL6341">
        <v>96.026584527766502</v>
      </c>
      <c r="AM6341">
        <v>93.739737372239205</v>
      </c>
      <c r="AN6341">
        <v>1.00000002127113</v>
      </c>
    </row>
    <row r="6342" spans="1:40" x14ac:dyDescent="0.25">
      <c r="A6342" t="str">
        <f>"20190305135052278"</f>
        <v>20190305135052278</v>
      </c>
      <c r="B6342" t="str">
        <f>"1551765052266035"</f>
        <v>1551765052266035</v>
      </c>
      <c r="C6342" t="s">
        <v>40</v>
      </c>
      <c r="D6342">
        <v>4.2085970000000001</v>
      </c>
      <c r="E6342">
        <v>0.51712829999999999</v>
      </c>
      <c r="F6342" t="s">
        <v>42</v>
      </c>
      <c r="G6342">
        <v>-338.0754</v>
      </c>
      <c r="H6342" s="1">
        <v>-1.2941719999999999E-6</v>
      </c>
      <c r="I6342">
        <v>17.16151</v>
      </c>
      <c r="J6342">
        <v>-355.85509999999999</v>
      </c>
      <c r="K6342">
        <v>1.109731</v>
      </c>
      <c r="L6342">
        <v>16.80969</v>
      </c>
      <c r="M6342">
        <v>0.99997970000000003</v>
      </c>
      <c r="N6342">
        <v>-6.2139569999999896E-3</v>
      </c>
      <c r="O6342">
        <v>-1.4856019999999999E-3</v>
      </c>
      <c r="P6342">
        <v>0.99182820000000005</v>
      </c>
      <c r="Q6342">
        <v>-0.1108209</v>
      </c>
      <c r="R6342">
        <v>6.3213569999999997E-2</v>
      </c>
      <c r="S6342">
        <v>3.0002439999999999</v>
      </c>
      <c r="T6342">
        <v>-0.1854006</v>
      </c>
      <c r="U6342">
        <v>5.8837889999999997E-2</v>
      </c>
      <c r="V6342">
        <v>-6.4361349999999998E-2</v>
      </c>
      <c r="W6342">
        <v>-0.1048567</v>
      </c>
      <c r="X6342">
        <v>0.99240249999999997</v>
      </c>
      <c r="Y6342">
        <v>-2.1046120000000001E-2</v>
      </c>
      <c r="Z6342">
        <v>7.975422E-4</v>
      </c>
      <c r="AA6342">
        <v>0.99977819999999995</v>
      </c>
      <c r="AB6342">
        <v>34</v>
      </c>
      <c r="AC6342">
        <v>17.779699999999899</v>
      </c>
      <c r="AD6342">
        <v>-1.109732294172</v>
      </c>
      <c r="AE6342">
        <v>0.35181999999999902</v>
      </c>
      <c r="AF6342">
        <v>-0.37676647496747701</v>
      </c>
      <c r="AG6342">
        <v>-1.109732294172</v>
      </c>
      <c r="AH6342">
        <v>17.710190787316002</v>
      </c>
      <c r="AI6342">
        <v>93.584694790759201</v>
      </c>
      <c r="AJ6342">
        <v>91.218726176734194</v>
      </c>
      <c r="AK6342">
        <v>17.7489243748606</v>
      </c>
      <c r="AL6342">
        <v>96.018910400262797</v>
      </c>
      <c r="AM6342">
        <v>93.710668404552493</v>
      </c>
      <c r="AN6342">
        <v>1.00000001645748</v>
      </c>
    </row>
    <row r="6343" spans="1:40" x14ac:dyDescent="0.25">
      <c r="A6343" t="str">
        <f>"20190305135052289"</f>
        <v>20190305135052289</v>
      </c>
      <c r="B6343" t="str">
        <f>"1551765052286531"</f>
        <v>1551765052286531</v>
      </c>
      <c r="C6343" t="s">
        <v>40</v>
      </c>
      <c r="D6343">
        <v>4.1774440000000004</v>
      </c>
      <c r="E6343">
        <v>0.51718799999999998</v>
      </c>
      <c r="F6343" t="s">
        <v>42</v>
      </c>
      <c r="G6343">
        <v>-337.89339999999999</v>
      </c>
      <c r="H6343" s="1">
        <v>-1.35542399999999E-6</v>
      </c>
      <c r="I6343">
        <v>17.16405</v>
      </c>
      <c r="J6343">
        <v>-355.6782</v>
      </c>
      <c r="K6343">
        <v>1.109758</v>
      </c>
      <c r="L6343">
        <v>16.81006</v>
      </c>
      <c r="M6343">
        <v>0.99998039999999999</v>
      </c>
      <c r="N6343">
        <v>-6.2335239999999998E-3</v>
      </c>
      <c r="O6343">
        <v>-6.7420289999999905E-4</v>
      </c>
      <c r="P6343">
        <v>0.99178390000000005</v>
      </c>
      <c r="Q6343">
        <v>-0.1109195</v>
      </c>
      <c r="R6343">
        <v>6.3733419999999999E-2</v>
      </c>
      <c r="S6343">
        <v>3.0002439999999999</v>
      </c>
      <c r="T6343">
        <v>-0.185365</v>
      </c>
      <c r="U6343">
        <v>5.9204100000000003E-2</v>
      </c>
      <c r="V6343">
        <v>-6.4070219999999997E-2</v>
      </c>
      <c r="W6343">
        <v>-0.104939</v>
      </c>
      <c r="X6343">
        <v>0.99241259999999998</v>
      </c>
      <c r="Y6343">
        <v>-2.035957E-2</v>
      </c>
      <c r="Z6343">
        <v>7.2922220000000003E-4</v>
      </c>
      <c r="AA6343">
        <v>0.99979249999999997</v>
      </c>
      <c r="AB6343">
        <v>34</v>
      </c>
      <c r="AC6343">
        <v>17.784800000000001</v>
      </c>
      <c r="AD6343">
        <v>-1.1097593554239999</v>
      </c>
      <c r="AE6343">
        <v>0.35398999999999903</v>
      </c>
      <c r="AF6343">
        <v>-0.36456179270540201</v>
      </c>
      <c r="AG6343">
        <v>-1.1097593554239999</v>
      </c>
      <c r="AH6343">
        <v>17.715605803732299</v>
      </c>
      <c r="AI6343">
        <v>93.583741089418297</v>
      </c>
      <c r="AJ6343">
        <v>91.178898681910496</v>
      </c>
      <c r="AK6343">
        <v>17.754074465341301</v>
      </c>
      <c r="AL6343">
        <v>96.023652236421398</v>
      </c>
      <c r="AM6343">
        <v>93.693892777450003</v>
      </c>
      <c r="AN6343">
        <v>0.99999997772530402</v>
      </c>
    </row>
    <row r="6344" spans="1:40" x14ac:dyDescent="0.25">
      <c r="A6344" t="str">
        <f>"20190305135052300"</f>
        <v>20190305135052300</v>
      </c>
      <c r="B6344" t="str">
        <f>"1551765052296292"</f>
        <v>1551765052296292</v>
      </c>
      <c r="C6344" t="s">
        <v>40</v>
      </c>
      <c r="D6344">
        <v>4.2142200000000001</v>
      </c>
      <c r="E6344">
        <v>0.51722159999999995</v>
      </c>
      <c r="F6344" t="s">
        <v>42</v>
      </c>
      <c r="G6344">
        <v>-337.73770000000002</v>
      </c>
      <c r="H6344" s="1">
        <v>-1.4065889999999999E-6</v>
      </c>
      <c r="I6344">
        <v>17.170929999999998</v>
      </c>
      <c r="J6344">
        <v>-355.51780000000002</v>
      </c>
      <c r="K6344">
        <v>1.109777</v>
      </c>
      <c r="L6344">
        <v>16.810579999999899</v>
      </c>
      <c r="M6344">
        <v>0.99998039999999999</v>
      </c>
      <c r="N6344">
        <v>-6.2504419999999897E-3</v>
      </c>
      <c r="O6344" s="1">
        <v>7.1249369999999994E-5</v>
      </c>
      <c r="P6344">
        <v>0.99179519999999999</v>
      </c>
      <c r="Q6344">
        <v>-0.1104871</v>
      </c>
      <c r="R6344">
        <v>6.4303650000000004E-2</v>
      </c>
      <c r="S6344">
        <v>3.0002439999999999</v>
      </c>
      <c r="T6344">
        <v>-0.1855879</v>
      </c>
      <c r="U6344">
        <v>6.0363769999999997E-2</v>
      </c>
      <c r="V6344">
        <v>-6.3897679999999998E-2</v>
      </c>
      <c r="W6344">
        <v>-0.1044918</v>
      </c>
      <c r="X6344">
        <v>0.99247090000000004</v>
      </c>
      <c r="Y6344">
        <v>-2.000234E-2</v>
      </c>
      <c r="Z6344">
        <v>6.7662189999999995E-4</v>
      </c>
      <c r="AA6344">
        <v>0.99979969999999996</v>
      </c>
      <c r="AB6344">
        <v>34</v>
      </c>
      <c r="AC6344">
        <v>17.780100000000001</v>
      </c>
      <c r="AD6344">
        <v>-1.109778406589</v>
      </c>
      <c r="AE6344">
        <v>0.36035</v>
      </c>
      <c r="AF6344">
        <v>-0.35769021193254702</v>
      </c>
      <c r="AG6344">
        <v>-1.109778406589</v>
      </c>
      <c r="AH6344">
        <v>17.711153658276299</v>
      </c>
      <c r="AI6344">
        <v>93.584728873198401</v>
      </c>
      <c r="AJ6344">
        <v>91.156974542014197</v>
      </c>
      <c r="AK6344">
        <v>17.7494933535163</v>
      </c>
      <c r="AL6344">
        <v>95.997887971876807</v>
      </c>
      <c r="AM6344">
        <v>93.683756809508907</v>
      </c>
      <c r="AN6344">
        <v>0.99999996856171502</v>
      </c>
    </row>
    <row r="6345" spans="1:40" x14ac:dyDescent="0.25">
      <c r="A6345" t="str">
        <f>"20190305135052311"</f>
        <v>20190305135052311</v>
      </c>
      <c r="B6345" t="str">
        <f>"1551765052306642"</f>
        <v>1551765052306642</v>
      </c>
      <c r="C6345" t="s">
        <v>40</v>
      </c>
      <c r="D6345">
        <v>4.2072820000000002</v>
      </c>
      <c r="E6345">
        <v>0.51725140000000003</v>
      </c>
      <c r="F6345" t="s">
        <v>42</v>
      </c>
      <c r="G6345">
        <v>-337.42309999999998</v>
      </c>
      <c r="H6345" s="1">
        <v>-1.5192669999999999E-6</v>
      </c>
      <c r="I6345">
        <v>17.18375</v>
      </c>
      <c r="J6345">
        <v>-355.3408</v>
      </c>
      <c r="K6345">
        <v>1.109799</v>
      </c>
      <c r="L6345">
        <v>16.811250000000001</v>
      </c>
      <c r="M6345">
        <v>0.99997999999999998</v>
      </c>
      <c r="N6345">
        <v>-6.2688930000000002E-3</v>
      </c>
      <c r="O6345">
        <v>8.9460560000000002E-4</v>
      </c>
      <c r="P6345">
        <v>0.99175840000000004</v>
      </c>
      <c r="Q6345">
        <v>-0.1103208</v>
      </c>
      <c r="R6345">
        <v>6.5151860000000006E-2</v>
      </c>
      <c r="S6345">
        <v>3.000305</v>
      </c>
      <c r="T6345">
        <v>-0.18401429999999999</v>
      </c>
      <c r="U6345">
        <v>6.1889649999999997E-2</v>
      </c>
      <c r="V6345">
        <v>-6.3924480000000006E-2</v>
      </c>
      <c r="W6345">
        <v>-0.10431020000000001</v>
      </c>
      <c r="X6345">
        <v>0.99248829999999999</v>
      </c>
      <c r="Y6345">
        <v>-1.9689539999999998E-2</v>
      </c>
      <c r="Z6345">
        <v>6.157469E-4</v>
      </c>
      <c r="AA6345">
        <v>0.99980590000000003</v>
      </c>
      <c r="AB6345">
        <v>34</v>
      </c>
      <c r="AC6345">
        <v>17.9177</v>
      </c>
      <c r="AD6345">
        <v>-1.109800519267</v>
      </c>
      <c r="AE6345">
        <v>0.372499999999998</v>
      </c>
      <c r="AF6345">
        <v>-0.35510850774603098</v>
      </c>
      <c r="AG6345">
        <v>-1.109800519267</v>
      </c>
      <c r="AH6345">
        <v>17.849577314674299</v>
      </c>
      <c r="AI6345">
        <v>93.5570930235194</v>
      </c>
      <c r="AJ6345">
        <v>91.139720832374294</v>
      </c>
      <c r="AK6345">
        <v>17.887570253038099</v>
      </c>
      <c r="AL6345">
        <v>95.987425748987803</v>
      </c>
      <c r="AM6345">
        <v>93.685233164395399</v>
      </c>
      <c r="AN6345">
        <v>0.99999999130210004</v>
      </c>
    </row>
    <row r="6346" spans="1:40" x14ac:dyDescent="0.25">
      <c r="A6346" t="str">
        <f>"20190305135052323"</f>
        <v>20190305135052323</v>
      </c>
      <c r="B6346" t="str">
        <f>"1551765052316838"</f>
        <v>1551765052316838</v>
      </c>
      <c r="C6346" t="s">
        <v>40</v>
      </c>
      <c r="D6346">
        <v>4.2371660000000002</v>
      </c>
      <c r="E6346">
        <v>0.51725140000000003</v>
      </c>
      <c r="F6346" t="s">
        <v>42</v>
      </c>
      <c r="G6346">
        <v>-337.19659999999999</v>
      </c>
      <c r="H6346" s="1">
        <v>-1.613587E-6</v>
      </c>
      <c r="I6346">
        <v>17.199839999999998</v>
      </c>
      <c r="J6346">
        <v>-355.15300000000002</v>
      </c>
      <c r="K6346">
        <v>1.109818</v>
      </c>
      <c r="L6346">
        <v>16.812159999999999</v>
      </c>
      <c r="M6346">
        <v>0.9999787</v>
      </c>
      <c r="N6346">
        <v>-6.2875739999999998E-3</v>
      </c>
      <c r="O6346">
        <v>1.7737409999999999E-3</v>
      </c>
      <c r="P6346">
        <v>0.99169090000000004</v>
      </c>
      <c r="Q6346">
        <v>-0.11038530000000001</v>
      </c>
      <c r="R6346">
        <v>6.6063659999999996E-2</v>
      </c>
      <c r="S6346">
        <v>3.0003359999999999</v>
      </c>
      <c r="T6346">
        <v>-0.1835175</v>
      </c>
      <c r="U6346">
        <v>6.4270019999999997E-2</v>
      </c>
      <c r="V6346">
        <v>-6.3960110000000001E-2</v>
      </c>
      <c r="W6346">
        <v>-0.10435899999999999</v>
      </c>
      <c r="X6346">
        <v>0.9924809</v>
      </c>
      <c r="Y6346">
        <v>-1.9604900000000001E-2</v>
      </c>
      <c r="Z6346">
        <v>5.6341400000000004E-4</v>
      </c>
      <c r="AA6346">
        <v>0.99980769999999997</v>
      </c>
      <c r="AB6346">
        <v>34</v>
      </c>
      <c r="AC6346">
        <v>17.956399999999999</v>
      </c>
      <c r="AD6346">
        <v>-1.109819613587</v>
      </c>
      <c r="AE6346">
        <v>0.38767999999999597</v>
      </c>
      <c r="AF6346">
        <v>-0.35447528522649202</v>
      </c>
      <c r="AG6346">
        <v>-1.109819613587</v>
      </c>
      <c r="AH6346">
        <v>17.888755746921099</v>
      </c>
      <c r="AI6346">
        <v>93.549388977051294</v>
      </c>
      <c r="AJ6346">
        <v>91.135198022107801</v>
      </c>
      <c r="AK6346">
        <v>17.9266543023382</v>
      </c>
      <c r="AL6346">
        <v>95.990236974097002</v>
      </c>
      <c r="AM6346">
        <v>93.687308978221196</v>
      </c>
      <c r="AN6346">
        <v>1.0000000167085099</v>
      </c>
    </row>
    <row r="6347" spans="1:40" x14ac:dyDescent="0.25">
      <c r="A6347" t="str">
        <f>"20190305135052334"</f>
        <v>20190305135052334</v>
      </c>
      <c r="B6347" t="str">
        <f>"1551765052326161"</f>
        <v>1551765052326161</v>
      </c>
      <c r="C6347" t="s">
        <v>40</v>
      </c>
      <c r="D6347">
        <v>4.2237689999999999</v>
      </c>
      <c r="E6347">
        <v>0.51731850000000001</v>
      </c>
      <c r="F6347" t="s">
        <v>42</v>
      </c>
      <c r="G6347">
        <v>-337.02749999999997</v>
      </c>
      <c r="H6347" s="1">
        <v>-1.683044E-6</v>
      </c>
      <c r="I6347">
        <v>17.21733</v>
      </c>
      <c r="J6347">
        <v>-354.98520000000002</v>
      </c>
      <c r="K6347">
        <v>1.1098300000000001</v>
      </c>
      <c r="L6347">
        <v>16.813110000000002</v>
      </c>
      <c r="M6347">
        <v>0.99997689999999995</v>
      </c>
      <c r="N6347">
        <v>-6.3038249999999999E-3</v>
      </c>
      <c r="O6347">
        <v>2.5607210000000002E-3</v>
      </c>
      <c r="P6347">
        <v>0.99164870000000005</v>
      </c>
      <c r="Q6347">
        <v>-0.11016579999999999</v>
      </c>
      <c r="R6347">
        <v>6.7054989999999995E-2</v>
      </c>
      <c r="S6347">
        <v>3.0001829999999998</v>
      </c>
      <c r="T6347">
        <v>-0.18369959999999999</v>
      </c>
      <c r="U6347">
        <v>6.7077639999999994E-2</v>
      </c>
      <c r="V6347">
        <v>-6.416848E-2</v>
      </c>
      <c r="W6347">
        <v>-0.1041261</v>
      </c>
      <c r="X6347">
        <v>0.99249189999999998</v>
      </c>
      <c r="Y6347">
        <v>-1.9755129999999999E-2</v>
      </c>
      <c r="Z6347">
        <v>5.2599880000000002E-4</v>
      </c>
      <c r="AA6347">
        <v>0.99980469999999999</v>
      </c>
      <c r="AB6347">
        <v>34</v>
      </c>
      <c r="AC6347">
        <v>17.957699999999999</v>
      </c>
      <c r="AD6347">
        <v>-1.10983168304399</v>
      </c>
      <c r="AE6347">
        <v>0.40421999999999803</v>
      </c>
      <c r="AF6347">
        <v>-0.35687070652234498</v>
      </c>
      <c r="AG6347">
        <v>-1.10983168304399</v>
      </c>
      <c r="AH6347">
        <v>17.890377553218698</v>
      </c>
      <c r="AI6347">
        <v>93.549097243174799</v>
      </c>
      <c r="AJ6347">
        <v>91.142763693412903</v>
      </c>
      <c r="AK6347">
        <v>17.9283209493409</v>
      </c>
      <c r="AL6347">
        <v>95.976819758547407</v>
      </c>
      <c r="AM6347">
        <v>93.699247348672799</v>
      </c>
      <c r="AN6347">
        <v>1.0000000050461599</v>
      </c>
    </row>
    <row r="6348" spans="1:40" x14ac:dyDescent="0.25">
      <c r="A6348" t="str">
        <f>"20190305135052346"</f>
        <v>20190305135052346</v>
      </c>
      <c r="B6348" t="str">
        <f>"1551765052336897"</f>
        <v>1551765052336897</v>
      </c>
      <c r="C6348" t="s">
        <v>40</v>
      </c>
      <c r="D6348">
        <v>4.2301409999999997</v>
      </c>
      <c r="E6348">
        <v>0.51733229999999997</v>
      </c>
      <c r="F6348" t="s">
        <v>42</v>
      </c>
      <c r="G6348">
        <v>-336.78440000000001</v>
      </c>
      <c r="H6348" s="1">
        <v>-1.78419999999999E-6</v>
      </c>
      <c r="I6348">
        <v>17.234950000000001</v>
      </c>
      <c r="J6348">
        <v>-354.8064</v>
      </c>
      <c r="K6348">
        <v>1.1098410000000001</v>
      </c>
      <c r="L6348">
        <v>16.814209999999999</v>
      </c>
      <c r="M6348">
        <v>0.99997429999999998</v>
      </c>
      <c r="N6348">
        <v>-6.3205850000000001E-3</v>
      </c>
      <c r="O6348">
        <v>3.4003869999999999E-3</v>
      </c>
      <c r="P6348">
        <v>0.99155170000000004</v>
      </c>
      <c r="Q6348">
        <v>-0.110358</v>
      </c>
      <c r="R6348">
        <v>6.8164349999999999E-2</v>
      </c>
      <c r="S6348">
        <v>3.0002140000000002</v>
      </c>
      <c r="T6348">
        <v>-0.18294440000000001</v>
      </c>
      <c r="U6348">
        <v>6.9549559999999996E-2</v>
      </c>
      <c r="V6348">
        <v>-6.4441289999999998E-2</v>
      </c>
      <c r="W6348">
        <v>-0.1043048</v>
      </c>
      <c r="X6348">
        <v>0.99245550000000005</v>
      </c>
      <c r="Y6348">
        <v>-1.9740259999999999E-2</v>
      </c>
      <c r="Z6348">
        <v>4.7801970000000001E-4</v>
      </c>
      <c r="AA6348">
        <v>0.99980500000000005</v>
      </c>
      <c r="AB6348">
        <v>34</v>
      </c>
      <c r="AC6348">
        <v>18.021999999999899</v>
      </c>
      <c r="AD6348">
        <v>-1.1098427842</v>
      </c>
      <c r="AE6348">
        <v>0.420740000000002</v>
      </c>
      <c r="AF6348">
        <v>-0.35809725522401997</v>
      </c>
      <c r="AG6348">
        <v>-1.1098427842</v>
      </c>
      <c r="AH6348">
        <v>17.955269599066</v>
      </c>
      <c r="AI6348">
        <v>93.536338626296697</v>
      </c>
      <c r="AJ6348">
        <v>91.142547127586994</v>
      </c>
      <c r="AK6348">
        <v>17.993101206434201</v>
      </c>
      <c r="AL6348">
        <v>95.987114330192199</v>
      </c>
      <c r="AM6348">
        <v>93.715066488831894</v>
      </c>
      <c r="AN6348">
        <v>1.0000000453200699</v>
      </c>
    </row>
    <row r="6349" spans="1:40" x14ac:dyDescent="0.25">
      <c r="A6349" t="str">
        <f>"20190305135052358"</f>
        <v>20190305135052358</v>
      </c>
      <c r="B6349" t="str">
        <f>"1551765052346659"</f>
        <v>1551765052346659</v>
      </c>
      <c r="C6349" t="s">
        <v>40</v>
      </c>
      <c r="D6349">
        <v>4.1908599999999998</v>
      </c>
      <c r="E6349">
        <v>0.51735450000000005</v>
      </c>
      <c r="F6349" t="s">
        <v>42</v>
      </c>
      <c r="G6349">
        <v>-336.7201</v>
      </c>
      <c r="H6349" s="1">
        <v>-1.808632E-6</v>
      </c>
      <c r="I6349">
        <v>17.252739999999999</v>
      </c>
      <c r="J6349">
        <v>-354.62430000000001</v>
      </c>
      <c r="K6349">
        <v>1.1098509999999999</v>
      </c>
      <c r="L6349">
        <v>16.815579999999901</v>
      </c>
      <c r="M6349">
        <v>0.9999709</v>
      </c>
      <c r="N6349">
        <v>-6.3371039999999997E-3</v>
      </c>
      <c r="O6349">
        <v>4.2562030000000001E-3</v>
      </c>
      <c r="P6349">
        <v>0.99146690000000004</v>
      </c>
      <c r="Q6349">
        <v>-0.1103909</v>
      </c>
      <c r="R6349">
        <v>6.9333660000000005E-2</v>
      </c>
      <c r="S6349">
        <v>3.0000610000000001</v>
      </c>
      <c r="T6349">
        <v>-0.1840947</v>
      </c>
      <c r="U6349">
        <v>7.2753910000000005E-2</v>
      </c>
      <c r="V6349">
        <v>-6.4758689999999994E-2</v>
      </c>
      <c r="W6349">
        <v>-0.1043245</v>
      </c>
      <c r="X6349">
        <v>0.99243269999999995</v>
      </c>
      <c r="Y6349">
        <v>-1.9953470000000001E-2</v>
      </c>
      <c r="Z6349">
        <v>4.4090029999999998E-4</v>
      </c>
      <c r="AA6349">
        <v>0.99980080000000005</v>
      </c>
      <c r="AB6349">
        <v>34</v>
      </c>
      <c r="AC6349">
        <v>17.904199999999999</v>
      </c>
      <c r="AD6349">
        <v>-1.1098528086320001</v>
      </c>
      <c r="AE6349">
        <v>0.43716000000000199</v>
      </c>
      <c r="AF6349">
        <v>-0.35956975710457101</v>
      </c>
      <c r="AG6349">
        <v>-1.1098528086320001</v>
      </c>
      <c r="AH6349">
        <v>17.837398024998102</v>
      </c>
      <c r="AI6349">
        <v>93.559664084206403</v>
      </c>
      <c r="AJ6349">
        <v>91.154823121431505</v>
      </c>
      <c r="AK6349">
        <v>17.8755092785984</v>
      </c>
      <c r="AL6349">
        <v>95.988249661558498</v>
      </c>
      <c r="AM6349">
        <v>93.733398631831193</v>
      </c>
      <c r="AN6349">
        <v>0.99999997663002704</v>
      </c>
    </row>
    <row r="6350" spans="1:40" x14ac:dyDescent="0.25">
      <c r="A6350" t="str">
        <f>"20190305135052373"</f>
        <v>20190305135052373</v>
      </c>
      <c r="B6350" t="str">
        <f>"1551765052366177"</f>
        <v>1551765052366177</v>
      </c>
      <c r="C6350" t="s">
        <v>40</v>
      </c>
      <c r="D6350">
        <v>4.2014690000000003</v>
      </c>
      <c r="E6350">
        <v>0.51740739999999996</v>
      </c>
      <c r="F6350" t="s">
        <v>42</v>
      </c>
      <c r="G6350">
        <v>-336.59399999999999</v>
      </c>
      <c r="H6350" s="1">
        <v>-1.8591910000000001E-6</v>
      </c>
      <c r="I6350">
        <v>17.272579999999898</v>
      </c>
      <c r="J6350">
        <v>-354.40120000000002</v>
      </c>
      <c r="K6350">
        <v>1.1098619999999999</v>
      </c>
      <c r="L6350">
        <v>16.817350000000001</v>
      </c>
      <c r="M6350">
        <v>0.99996580000000002</v>
      </c>
      <c r="N6350">
        <v>-6.3568540000000003E-3</v>
      </c>
      <c r="O6350">
        <v>5.3043639999999998E-3</v>
      </c>
      <c r="P6350">
        <v>0.99135830000000003</v>
      </c>
      <c r="Q6350">
        <v>-0.11056100000000001</v>
      </c>
      <c r="R6350">
        <v>7.0605609999999999E-2</v>
      </c>
      <c r="S6350">
        <v>2.999908</v>
      </c>
      <c r="T6350">
        <v>-0.18465909999999999</v>
      </c>
      <c r="U6350">
        <v>7.6049800000000001E-2</v>
      </c>
      <c r="V6350">
        <v>-6.4988110000000002E-2</v>
      </c>
      <c r="W6350">
        <v>-0.1044781</v>
      </c>
      <c r="X6350">
        <v>0.99240150000000005</v>
      </c>
      <c r="Y6350">
        <v>-2.0005760000000001E-2</v>
      </c>
      <c r="Z6350">
        <v>3.862537E-4</v>
      </c>
      <c r="AA6350">
        <v>0.99979980000000002</v>
      </c>
      <c r="AB6350">
        <v>34</v>
      </c>
      <c r="AC6350">
        <v>17.807200000000002</v>
      </c>
      <c r="AD6350">
        <v>-1.1098638591909999</v>
      </c>
      <c r="AE6350">
        <v>0.45522999999999603</v>
      </c>
      <c r="AF6350">
        <v>-0.35937071761118899</v>
      </c>
      <c r="AG6350">
        <v>-1.1098638591909999</v>
      </c>
      <c r="AH6350">
        <v>17.740494221467401</v>
      </c>
      <c r="AI6350">
        <v>93.579086025625301</v>
      </c>
      <c r="AJ6350">
        <v>91.160486816889204</v>
      </c>
      <c r="AK6350">
        <v>17.778809867944901</v>
      </c>
      <c r="AL6350">
        <v>95.997098916554094</v>
      </c>
      <c r="AM6350">
        <v>93.746704756671704</v>
      </c>
      <c r="AN6350">
        <v>0.99999993251161301</v>
      </c>
    </row>
    <row r="6351" spans="1:40" x14ac:dyDescent="0.25">
      <c r="A6351" t="str">
        <f>"20190305135052387"</f>
        <v>20190305135052387</v>
      </c>
      <c r="B6351" t="str">
        <f>"1551765052375937"</f>
        <v>1551765052375937</v>
      </c>
      <c r="C6351" t="s">
        <v>40</v>
      </c>
      <c r="D6351">
        <v>4.1907209999999999</v>
      </c>
      <c r="E6351">
        <v>0.51748749999999999</v>
      </c>
      <c r="F6351" t="s">
        <v>42</v>
      </c>
      <c r="G6351">
        <v>-336.40469999999999</v>
      </c>
      <c r="H6351" s="1">
        <v>-1.9366100000000001E-6</v>
      </c>
      <c r="I6351">
        <v>17.294</v>
      </c>
      <c r="J6351">
        <v>-354.1748</v>
      </c>
      <c r="K6351">
        <v>1.109866</v>
      </c>
      <c r="L6351">
        <v>16.819430000000001</v>
      </c>
      <c r="M6351">
        <v>0.99995959999999995</v>
      </c>
      <c r="N6351">
        <v>-6.3760750000000001E-3</v>
      </c>
      <c r="O6351">
        <v>6.3665279999999998E-3</v>
      </c>
      <c r="P6351">
        <v>0.99122920000000003</v>
      </c>
      <c r="Q6351">
        <v>-0.1107852</v>
      </c>
      <c r="R6351">
        <v>7.2052820000000004E-2</v>
      </c>
      <c r="S6351">
        <v>2.9998779999999998</v>
      </c>
      <c r="T6351">
        <v>-0.1850058</v>
      </c>
      <c r="U6351">
        <v>7.9467769999999993E-2</v>
      </c>
      <c r="V6351">
        <v>-6.5378469999999994E-2</v>
      </c>
      <c r="W6351">
        <v>-0.1046869</v>
      </c>
      <c r="X6351">
        <v>0.99235390000000001</v>
      </c>
      <c r="Y6351">
        <v>-2.0083730000000001E-2</v>
      </c>
      <c r="Z6351">
        <v>3.3107740000000002E-4</v>
      </c>
      <c r="AA6351">
        <v>0.99979819999999997</v>
      </c>
      <c r="AB6351">
        <v>35</v>
      </c>
      <c r="AC6351">
        <v>17.770099999999999</v>
      </c>
      <c r="AD6351">
        <v>-1.1098679366099999</v>
      </c>
      <c r="AE6351">
        <v>0.47456999999999999</v>
      </c>
      <c r="AF6351">
        <v>-0.36002086656596299</v>
      </c>
      <c r="AG6351">
        <v>-1.1098679366099999</v>
      </c>
      <c r="AH6351">
        <v>17.703750241606102</v>
      </c>
      <c r="AI6351">
        <v>93.586502443791701</v>
      </c>
      <c r="AJ6351">
        <v>91.164997986907593</v>
      </c>
      <c r="AK6351">
        <v>17.742158675827699</v>
      </c>
      <c r="AL6351">
        <v>96.009127973426004</v>
      </c>
      <c r="AM6351">
        <v>93.769325446632493</v>
      </c>
      <c r="AN6351">
        <v>0.99999997710818</v>
      </c>
    </row>
    <row r="6352" spans="1:40" x14ac:dyDescent="0.25">
      <c r="A6352" t="str">
        <f>"20190305135052400"</f>
        <v>20190305135052400</v>
      </c>
      <c r="B6352" t="str">
        <f>"1551765052396433"</f>
        <v>1551765052396433</v>
      </c>
      <c r="C6352" t="s">
        <v>40</v>
      </c>
      <c r="D6352">
        <v>4.2237410000000004</v>
      </c>
      <c r="E6352">
        <v>0.51768309999999995</v>
      </c>
      <c r="F6352" t="s">
        <v>42</v>
      </c>
      <c r="G6352">
        <v>-336.28140000000002</v>
      </c>
      <c r="H6352" s="1">
        <v>-1.9857509999999998E-6</v>
      </c>
      <c r="I6352">
        <v>17.31523</v>
      </c>
      <c r="J6352">
        <v>-353.96510000000001</v>
      </c>
      <c r="K6352">
        <v>1.1098699999999999</v>
      </c>
      <c r="L6352">
        <v>16.821619999999999</v>
      </c>
      <c r="M6352">
        <v>0.99995259999999997</v>
      </c>
      <c r="N6352">
        <v>-6.3931539999999999E-3</v>
      </c>
      <c r="O6352">
        <v>7.3486999999999997E-3</v>
      </c>
      <c r="P6352">
        <v>0.99107199999999995</v>
      </c>
      <c r="Q6352">
        <v>-0.1112344</v>
      </c>
      <c r="R6352">
        <v>7.3507139999999999E-2</v>
      </c>
      <c r="S6352">
        <v>2.9996640000000001</v>
      </c>
      <c r="T6352">
        <v>-0.18605910000000001</v>
      </c>
      <c r="U6352">
        <v>8.3129880000000003E-2</v>
      </c>
      <c r="V6352">
        <v>-6.5855720000000006E-2</v>
      </c>
      <c r="W6352">
        <v>-0.1051231</v>
      </c>
      <c r="X6352">
        <v>0.9922763</v>
      </c>
      <c r="Y6352">
        <v>-2.032395E-2</v>
      </c>
      <c r="Z6352">
        <v>2.8629449999999999E-4</v>
      </c>
      <c r="AA6352">
        <v>0.99979340000000005</v>
      </c>
      <c r="AB6352">
        <v>35</v>
      </c>
      <c r="AC6352">
        <v>17.683699999999899</v>
      </c>
      <c r="AD6352">
        <v>-1.109871985751</v>
      </c>
      <c r="AE6352">
        <v>0.493609999999996</v>
      </c>
      <c r="AF6352">
        <v>-0.362216111194409</v>
      </c>
      <c r="AG6352">
        <v>-1.109871985751</v>
      </c>
      <c r="AH6352">
        <v>17.617506460536799</v>
      </c>
      <c r="AI6352">
        <v>93.604010094726405</v>
      </c>
      <c r="AJ6352">
        <v>91.177835862999103</v>
      </c>
      <c r="AK6352">
        <v>17.656147660886202</v>
      </c>
      <c r="AL6352">
        <v>96.034258626279694</v>
      </c>
      <c r="AM6352">
        <v>93.797056647153099</v>
      </c>
      <c r="AN6352">
        <v>1.0000000487759999</v>
      </c>
    </row>
    <row r="6353" spans="1:40" x14ac:dyDescent="0.25">
      <c r="A6353" t="str">
        <f>"20190305135052412"</f>
        <v>20190305135052412</v>
      </c>
      <c r="B6353" t="str">
        <f>"1551765052406762"</f>
        <v>1551765052406762</v>
      </c>
      <c r="C6353" t="s">
        <v>40</v>
      </c>
      <c r="D6353">
        <v>4.1884139999999999</v>
      </c>
      <c r="E6353">
        <v>0.517733</v>
      </c>
      <c r="F6353" t="s">
        <v>42</v>
      </c>
      <c r="G6353">
        <v>-336.1694</v>
      </c>
      <c r="H6353" s="1">
        <v>-2.0308889999999998E-6</v>
      </c>
      <c r="I6353">
        <v>17.33156</v>
      </c>
      <c r="J6353">
        <v>-353.78890000000001</v>
      </c>
      <c r="K6353">
        <v>1.10988</v>
      </c>
      <c r="L6353">
        <v>16.823550000000001</v>
      </c>
      <c r="M6353">
        <v>0.99994620000000001</v>
      </c>
      <c r="N6353">
        <v>-6.4072280000000001E-3</v>
      </c>
      <c r="O6353">
        <v>8.1741100000000001E-3</v>
      </c>
      <c r="P6353">
        <v>0.9910137</v>
      </c>
      <c r="Q6353">
        <v>-0.1112641</v>
      </c>
      <c r="R6353">
        <v>7.4246119999999999E-2</v>
      </c>
      <c r="S6353">
        <v>2.9996640000000001</v>
      </c>
      <c r="T6353">
        <v>-0.18708069999999999</v>
      </c>
      <c r="U6353">
        <v>8.5968020000000006E-2</v>
      </c>
      <c r="V6353">
        <v>-6.577421E-2</v>
      </c>
      <c r="W6353">
        <v>-0.10514</v>
      </c>
      <c r="X6353">
        <v>0.99227989999999999</v>
      </c>
      <c r="Y6353">
        <v>-2.0444569999999999E-2</v>
      </c>
      <c r="Z6353">
        <v>2.455084E-4</v>
      </c>
      <c r="AA6353">
        <v>0.99979099999999999</v>
      </c>
      <c r="AB6353">
        <v>35</v>
      </c>
      <c r="AC6353">
        <v>17.619499999999999</v>
      </c>
      <c r="AD6353">
        <v>-1.1098820308890001</v>
      </c>
      <c r="AE6353">
        <v>0.50800999999999796</v>
      </c>
      <c r="AF6353">
        <v>-0.36252905615661202</v>
      </c>
      <c r="AG6353">
        <v>-1.1098820308890001</v>
      </c>
      <c r="AH6353">
        <v>17.553470461029502</v>
      </c>
      <c r="AI6353">
        <v>93.617148626849598</v>
      </c>
      <c r="AJ6353">
        <v>91.183152493723099</v>
      </c>
      <c r="AK6353">
        <v>17.5922593962596</v>
      </c>
      <c r="AL6353">
        <v>96.035232415628897</v>
      </c>
      <c r="AM6353">
        <v>93.792357012505306</v>
      </c>
      <c r="AN6353">
        <v>1.00000003312256</v>
      </c>
    </row>
    <row r="6354" spans="1:40" x14ac:dyDescent="0.25">
      <c r="A6354" t="str">
        <f>"20190305135052424"</f>
        <v>20190305135052424</v>
      </c>
      <c r="B6354" t="str">
        <f>"1551765052416521"</f>
        <v>1551765052416521</v>
      </c>
      <c r="C6354" t="s">
        <v>40</v>
      </c>
      <c r="D6354">
        <v>4.1650939999999999</v>
      </c>
      <c r="E6354">
        <v>0.51787919999999998</v>
      </c>
      <c r="F6354" t="s">
        <v>42</v>
      </c>
      <c r="G6354">
        <v>-335.98759999999999</v>
      </c>
      <c r="H6354" s="1">
        <v>-2.1066080000000001E-6</v>
      </c>
      <c r="I6354">
        <v>17.344329999999999</v>
      </c>
      <c r="J6354">
        <v>-353.59190000000001</v>
      </c>
      <c r="K6354">
        <v>1.1098859999999999</v>
      </c>
      <c r="L6354">
        <v>16.82593</v>
      </c>
      <c r="M6354">
        <v>0.99993799999999999</v>
      </c>
      <c r="N6354">
        <v>-6.4223800000000001E-3</v>
      </c>
      <c r="O6354">
        <v>9.0956609999999997E-3</v>
      </c>
      <c r="P6354">
        <v>0.99094740000000003</v>
      </c>
      <c r="Q6354">
        <v>-0.1112612</v>
      </c>
      <c r="R6354">
        <v>7.5129370000000001E-2</v>
      </c>
      <c r="S6354">
        <v>2.9996339999999999</v>
      </c>
      <c r="T6354">
        <v>-0.18702269999999999</v>
      </c>
      <c r="U6354">
        <v>8.7768550000000001E-2</v>
      </c>
      <c r="V6354">
        <v>-6.5742159999999994E-2</v>
      </c>
      <c r="W6354">
        <v>-0.10512340000000001</v>
      </c>
      <c r="X6354">
        <v>0.99228380000000005</v>
      </c>
      <c r="Y6354">
        <v>-2.0125199999999999E-2</v>
      </c>
      <c r="Z6354">
        <v>1.8330540000000001E-4</v>
      </c>
      <c r="AA6354">
        <v>0.99979750000000001</v>
      </c>
      <c r="AB6354">
        <v>35</v>
      </c>
      <c r="AC6354">
        <v>17.604299999999999</v>
      </c>
      <c r="AD6354">
        <v>-1.109888106608</v>
      </c>
      <c r="AE6354">
        <v>0.51839999999999897</v>
      </c>
      <c r="AF6354">
        <v>-0.35683536738278698</v>
      </c>
      <c r="AG6354">
        <v>-1.109888106608</v>
      </c>
      <c r="AH6354">
        <v>17.538633971164799</v>
      </c>
      <c r="AI6354">
        <v>93.620242844562895</v>
      </c>
      <c r="AJ6354">
        <v>91.165560567503903</v>
      </c>
      <c r="AK6354">
        <v>17.5773395217564</v>
      </c>
      <c r="AL6354">
        <v>96.034275901638793</v>
      </c>
      <c r="AM6354">
        <v>93.790499633085702</v>
      </c>
      <c r="AN6354">
        <v>1.00000005028573</v>
      </c>
    </row>
    <row r="6355" spans="1:40" x14ac:dyDescent="0.25">
      <c r="A6355" t="str">
        <f>"20190305135052436"</f>
        <v>20190305135052436</v>
      </c>
      <c r="B6355" t="str">
        <f>"1551765052426281"</f>
        <v>1551765052426281</v>
      </c>
      <c r="C6355" t="s">
        <v>40</v>
      </c>
      <c r="D6355">
        <v>4.1922879999999996</v>
      </c>
      <c r="E6355">
        <v>0.51795630000000004</v>
      </c>
      <c r="F6355" t="s">
        <v>42</v>
      </c>
      <c r="G6355">
        <v>-335.73520000000002</v>
      </c>
      <c r="H6355" s="1">
        <v>-2.2125610000000002E-6</v>
      </c>
      <c r="I6355">
        <v>17.357589999999998</v>
      </c>
      <c r="J6355">
        <v>-353.4282</v>
      </c>
      <c r="K6355">
        <v>1.109893</v>
      </c>
      <c r="L6355">
        <v>16.828029999999998</v>
      </c>
      <c r="M6355">
        <v>0.99993080000000001</v>
      </c>
      <c r="N6355">
        <v>-6.43466E-3</v>
      </c>
      <c r="O6355">
        <v>9.8604499999999998E-3</v>
      </c>
      <c r="P6355">
        <v>0.99091459999999998</v>
      </c>
      <c r="Q6355">
        <v>-0.1111138</v>
      </c>
      <c r="R6355">
        <v>7.5779579999999999E-2</v>
      </c>
      <c r="S6355">
        <v>2.9996339999999999</v>
      </c>
      <c r="T6355">
        <v>-0.18644269999999999</v>
      </c>
      <c r="U6355">
        <v>8.932495E-2</v>
      </c>
      <c r="V6355">
        <v>-6.5632999999999997E-2</v>
      </c>
      <c r="W6355">
        <v>-0.1049644</v>
      </c>
      <c r="X6355">
        <v>0.99230779999999996</v>
      </c>
      <c r="Y6355">
        <v>-1.988067E-2</v>
      </c>
      <c r="Z6355">
        <v>1.3241819999999999E-4</v>
      </c>
      <c r="AA6355">
        <v>0.99980239999999998</v>
      </c>
      <c r="AB6355">
        <v>35</v>
      </c>
      <c r="AC6355">
        <v>17.692999999999898</v>
      </c>
      <c r="AD6355">
        <v>-1.109895212561</v>
      </c>
      <c r="AE6355">
        <v>0.52956000000000003</v>
      </c>
      <c r="AF6355">
        <v>-0.35367918716817498</v>
      </c>
      <c r="AG6355">
        <v>-1.109895212561</v>
      </c>
      <c r="AH6355">
        <v>17.628054713683699</v>
      </c>
      <c r="AI6355">
        <v>93.601970610328394</v>
      </c>
      <c r="AJ6355">
        <v>91.149395474285896</v>
      </c>
      <c r="AK6355">
        <v>17.666501332717999</v>
      </c>
      <c r="AL6355">
        <v>96.025115539052194</v>
      </c>
      <c r="AM6355">
        <v>93.784132831619402</v>
      </c>
      <c r="AN6355">
        <v>0.99999999294859998</v>
      </c>
    </row>
    <row r="6356" spans="1:40" x14ac:dyDescent="0.25">
      <c r="A6356" t="str">
        <f>"20190305135052447"</f>
        <v>20190305135052447</v>
      </c>
      <c r="B6356" t="str">
        <f>"1551765052436042"</f>
        <v>1551765052436042</v>
      </c>
      <c r="C6356" t="s">
        <v>40</v>
      </c>
      <c r="D6356">
        <v>4.1976370000000003</v>
      </c>
      <c r="E6356">
        <v>0.51799090000000003</v>
      </c>
      <c r="F6356" t="s">
        <v>42</v>
      </c>
      <c r="G6356">
        <v>-335.48790000000002</v>
      </c>
      <c r="H6356" s="1">
        <v>-2.3163880000000001E-6</v>
      </c>
      <c r="I6356">
        <v>17.37039</v>
      </c>
      <c r="J6356">
        <v>-353.2294</v>
      </c>
      <c r="K6356">
        <v>1.109899</v>
      </c>
      <c r="L6356">
        <v>16.830719999999999</v>
      </c>
      <c r="M6356">
        <v>0.99992110000000001</v>
      </c>
      <c r="N6356">
        <v>-6.4492560000000004E-3</v>
      </c>
      <c r="O6356">
        <v>1.078921E-2</v>
      </c>
      <c r="P6356">
        <v>0.99085840000000003</v>
      </c>
      <c r="Q6356">
        <v>-0.1110936</v>
      </c>
      <c r="R6356">
        <v>7.6539220000000005E-2</v>
      </c>
      <c r="S6356">
        <v>2.9997250000000002</v>
      </c>
      <c r="T6356">
        <v>-0.18558050000000001</v>
      </c>
      <c r="U6356">
        <v>9.0698239999999999E-2</v>
      </c>
      <c r="V6356">
        <v>-6.5469540000000007E-2</v>
      </c>
      <c r="W6356">
        <v>-0.1049305</v>
      </c>
      <c r="X6356">
        <v>0.99232220000000004</v>
      </c>
      <c r="Y6356">
        <v>-1.9411029999999999E-2</v>
      </c>
      <c r="Z6356" s="1">
        <v>6.5258180000000003E-5</v>
      </c>
      <c r="AA6356">
        <v>0.99981160000000002</v>
      </c>
      <c r="AB6356">
        <v>35</v>
      </c>
      <c r="AC6356">
        <v>17.741499999999899</v>
      </c>
      <c r="AD6356">
        <v>-1.109901316388</v>
      </c>
      <c r="AE6356">
        <v>0.53967000000000098</v>
      </c>
      <c r="AF6356">
        <v>-0.34686159773124298</v>
      </c>
      <c r="AG6356">
        <v>-1.109901316388</v>
      </c>
      <c r="AH6356">
        <v>17.677170770277499</v>
      </c>
      <c r="AI6356">
        <v>93.592039836064401</v>
      </c>
      <c r="AJ6356">
        <v>91.124114025922495</v>
      </c>
      <c r="AK6356">
        <v>17.715376381597299</v>
      </c>
      <c r="AL6356">
        <v>96.023162326178394</v>
      </c>
      <c r="AM6356">
        <v>93.774681052605104</v>
      </c>
      <c r="AN6356">
        <v>1.00000000955545</v>
      </c>
    </row>
    <row r="6357" spans="1:40" x14ac:dyDescent="0.25">
      <c r="A6357" t="str">
        <f>"20190305135052460"</f>
        <v>20190305135052460</v>
      </c>
      <c r="B6357" t="str">
        <f>"1551765052456537"</f>
        <v>1551765052456537</v>
      </c>
      <c r="C6357" t="s">
        <v>40</v>
      </c>
      <c r="D6357">
        <v>4.2076029999999998</v>
      </c>
      <c r="E6357">
        <v>0.51808880000000002</v>
      </c>
      <c r="F6357" t="s">
        <v>42</v>
      </c>
      <c r="G6357">
        <v>-335.24160000000001</v>
      </c>
      <c r="H6357" s="1">
        <v>-2.419069E-6</v>
      </c>
      <c r="I6357">
        <v>17.387129999999999</v>
      </c>
      <c r="J6357">
        <v>-353.04989999999998</v>
      </c>
      <c r="K6357">
        <v>1.1099049999999999</v>
      </c>
      <c r="L6357">
        <v>16.833369999999999</v>
      </c>
      <c r="M6357">
        <v>0.99991149999999995</v>
      </c>
      <c r="N6357">
        <v>-6.4619509999999996E-3</v>
      </c>
      <c r="O6357">
        <v>1.162725E-2</v>
      </c>
      <c r="P6357">
        <v>0.99083619999999994</v>
      </c>
      <c r="Q6357">
        <v>-0.1108436</v>
      </c>
      <c r="R6357">
        <v>7.7183550000000004E-2</v>
      </c>
      <c r="S6357">
        <v>2.9997560000000001</v>
      </c>
      <c r="T6357">
        <v>-0.18509349999999999</v>
      </c>
      <c r="U6357">
        <v>9.2803960000000005E-2</v>
      </c>
      <c r="V6357">
        <v>-6.5282549999999995E-2</v>
      </c>
      <c r="W6357">
        <v>-0.1046681</v>
      </c>
      <c r="X6357">
        <v>0.99236219999999997</v>
      </c>
      <c r="Y6357">
        <v>-1.9275589999999999E-2</v>
      </c>
      <c r="Z6357" s="1">
        <v>1.485308E-5</v>
      </c>
      <c r="AA6357">
        <v>0.99981419999999999</v>
      </c>
      <c r="AB6357">
        <v>35</v>
      </c>
      <c r="AC6357">
        <v>17.8082999999999</v>
      </c>
      <c r="AD6357">
        <v>-1.1099074190689999</v>
      </c>
      <c r="AE6357">
        <v>0.55375999999999603</v>
      </c>
      <c r="AF6357">
        <v>-0.34531661471127001</v>
      </c>
      <c r="AG6357">
        <v>-1.1099074190689999</v>
      </c>
      <c r="AH6357">
        <v>17.744673410745399</v>
      </c>
      <c r="AI6357">
        <v>93.578441803318299</v>
      </c>
      <c r="AJ6357">
        <v>91.114852167604795</v>
      </c>
      <c r="AK6357">
        <v>17.782704307762501</v>
      </c>
      <c r="AL6357">
        <v>96.008044849513894</v>
      </c>
      <c r="AM6357">
        <v>93.7637797999231</v>
      </c>
      <c r="AN6357">
        <v>0.99999997924047601</v>
      </c>
    </row>
    <row r="6358" spans="1:40" x14ac:dyDescent="0.25">
      <c r="A6358" t="str">
        <f>"20190305135052472"</f>
        <v>20190305135052472</v>
      </c>
      <c r="B6358" t="str">
        <f>"1551765052466297"</f>
        <v>1551765052466297</v>
      </c>
      <c r="C6358" t="s">
        <v>40</v>
      </c>
      <c r="D6358">
        <v>4.1710820000000002</v>
      </c>
      <c r="E6358">
        <v>0.51814340000000003</v>
      </c>
      <c r="F6358" t="s">
        <v>42</v>
      </c>
      <c r="G6358">
        <v>-334.9434</v>
      </c>
      <c r="H6358" s="1">
        <v>-2.5445719999999998E-6</v>
      </c>
      <c r="I6358">
        <v>17.40081</v>
      </c>
      <c r="J6358">
        <v>-352.85899999999998</v>
      </c>
      <c r="K6358">
        <v>1.109912</v>
      </c>
      <c r="L6358">
        <v>16.836269999999999</v>
      </c>
      <c r="M6358">
        <v>0.99990069999999998</v>
      </c>
      <c r="N6358">
        <v>-6.4752859999999898E-3</v>
      </c>
      <c r="O6358">
        <v>1.2518039999999999E-2</v>
      </c>
      <c r="P6358">
        <v>0.99082190000000003</v>
      </c>
      <c r="Q6358">
        <v>-0.1106511</v>
      </c>
      <c r="R6358">
        <v>7.7643859999999995E-2</v>
      </c>
      <c r="S6358">
        <v>2.9998779999999998</v>
      </c>
      <c r="T6358">
        <v>-0.1838883</v>
      </c>
      <c r="U6358">
        <v>9.4024659999999996E-2</v>
      </c>
      <c r="V6358">
        <v>-6.4858079999999999E-2</v>
      </c>
      <c r="W6358">
        <v>-0.1044616</v>
      </c>
      <c r="X6358">
        <v>0.99241179999999996</v>
      </c>
      <c r="Y6358">
        <v>-1.8792630000000001E-2</v>
      </c>
      <c r="Z6358" s="1">
        <v>-4.9179650000000003E-5</v>
      </c>
      <c r="AA6358">
        <v>0.99982340000000003</v>
      </c>
      <c r="AB6358">
        <v>35</v>
      </c>
      <c r="AC6358">
        <v>17.915600000000001</v>
      </c>
      <c r="AD6358">
        <v>-1.109914544572</v>
      </c>
      <c r="AE6358">
        <v>0.56453999999999704</v>
      </c>
      <c r="AF6358">
        <v>-0.33892333804652502</v>
      </c>
      <c r="AG6358">
        <v>-1.109914544572</v>
      </c>
      <c r="AH6358">
        <v>17.8528103548799</v>
      </c>
      <c r="AI6358">
        <v>93.556877722085602</v>
      </c>
      <c r="AJ6358">
        <v>91.087590361726996</v>
      </c>
      <c r="AK6358">
        <v>17.890489565482401</v>
      </c>
      <c r="AL6358">
        <v>95.996147997061897</v>
      </c>
      <c r="AM6358">
        <v>93.739190836916606</v>
      </c>
      <c r="AN6358">
        <v>0.99999998859754302</v>
      </c>
    </row>
    <row r="6359" spans="1:40" x14ac:dyDescent="0.25">
      <c r="A6359" t="str">
        <f>"20190305135052483"</f>
        <v>20190305135052483</v>
      </c>
      <c r="B6359" t="str">
        <f>"1551765052476057"</f>
        <v>1551765052476057</v>
      </c>
      <c r="C6359" t="s">
        <v>40</v>
      </c>
      <c r="D6359">
        <v>4.2341899999999999</v>
      </c>
      <c r="E6359">
        <v>0.51820159999999904</v>
      </c>
      <c r="F6359" t="s">
        <v>42</v>
      </c>
      <c r="G6359">
        <v>-334.65710000000001</v>
      </c>
      <c r="H6359" s="1">
        <v>-2.6652380000000001E-6</v>
      </c>
      <c r="I6359">
        <v>17.412800000000001</v>
      </c>
      <c r="J6359">
        <v>-352.6635</v>
      </c>
      <c r="K6359">
        <v>1.109923</v>
      </c>
      <c r="L6359">
        <v>16.839510000000001</v>
      </c>
      <c r="M6359">
        <v>0.99988889999999997</v>
      </c>
      <c r="N6359">
        <v>-6.4885669999999998E-3</v>
      </c>
      <c r="O6359">
        <v>1.3428860000000001E-2</v>
      </c>
      <c r="P6359">
        <v>0.99080000000000001</v>
      </c>
      <c r="Q6359">
        <v>-0.11047800000000001</v>
      </c>
      <c r="R6359">
        <v>7.8168189999999999E-2</v>
      </c>
      <c r="S6359">
        <v>2.999908</v>
      </c>
      <c r="T6359">
        <v>-0.18292820000000001</v>
      </c>
      <c r="U6359">
        <v>9.5031740000000003E-2</v>
      </c>
      <c r="V6359">
        <v>-6.4478869999999994E-2</v>
      </c>
      <c r="W6359">
        <v>-0.1042746</v>
      </c>
      <c r="X6359">
        <v>0.99245620000000001</v>
      </c>
      <c r="Y6359">
        <v>-1.8219550000000001E-2</v>
      </c>
      <c r="Z6359">
        <v>-1.1676339999999999E-4</v>
      </c>
      <c r="AA6359">
        <v>0.999834</v>
      </c>
      <c r="AB6359">
        <v>35</v>
      </c>
      <c r="AC6359">
        <v>18.0063999999999</v>
      </c>
      <c r="AD6359">
        <v>-1.1099256652380001</v>
      </c>
      <c r="AE6359">
        <v>0.57328999999999997</v>
      </c>
      <c r="AF6359">
        <v>-0.33017456882402002</v>
      </c>
      <c r="AG6359">
        <v>-1.1099256652380001</v>
      </c>
      <c r="AH6359">
        <v>17.944363314078299</v>
      </c>
      <c r="AI6359">
        <v>93.538850515812001</v>
      </c>
      <c r="AJ6359">
        <v>91.054117914666705</v>
      </c>
      <c r="AK6359">
        <v>17.981688601905301</v>
      </c>
      <c r="AL6359">
        <v>95.985374705180803</v>
      </c>
      <c r="AM6359">
        <v>93.717224304055193</v>
      </c>
      <c r="AN6359">
        <v>1.0000000129000299</v>
      </c>
    </row>
    <row r="6360" spans="1:40" x14ac:dyDescent="0.25">
      <c r="A6360" t="str">
        <f>"20190305135052503"</f>
        <v>20190305135052503</v>
      </c>
      <c r="B6360" t="str">
        <f>"1551765052496553"</f>
        <v>1551765052496553</v>
      </c>
      <c r="C6360" t="s">
        <v>40</v>
      </c>
      <c r="D6360">
        <v>4.2157140000000002</v>
      </c>
      <c r="E6360">
        <v>0.51827679999999998</v>
      </c>
      <c r="F6360" t="s">
        <v>42</v>
      </c>
      <c r="G6360">
        <v>-334.34829999999999</v>
      </c>
      <c r="H6360" s="1">
        <v>-2.7952119999999998E-6</v>
      </c>
      <c r="I6360">
        <v>17.427060000000001</v>
      </c>
      <c r="J6360">
        <v>-352.3716</v>
      </c>
      <c r="K6360">
        <v>1.109931</v>
      </c>
      <c r="L6360">
        <v>16.844570000000001</v>
      </c>
      <c r="M6360">
        <v>0.99986960000000003</v>
      </c>
      <c r="N6360">
        <v>-6.5077379999999999E-3</v>
      </c>
      <c r="O6360">
        <v>1.47864E-2</v>
      </c>
      <c r="P6360">
        <v>0.99083739999999998</v>
      </c>
      <c r="Q6360">
        <v>-0.1098233</v>
      </c>
      <c r="R6360">
        <v>7.8615489999999996E-2</v>
      </c>
      <c r="S6360">
        <v>3</v>
      </c>
      <c r="T6360">
        <v>-0.18180350000000001</v>
      </c>
      <c r="U6360">
        <v>9.6252439999999995E-2</v>
      </c>
      <c r="V6360">
        <v>-6.3579479999999994E-2</v>
      </c>
      <c r="W6360">
        <v>-0.1035981</v>
      </c>
      <c r="X6360">
        <v>0.9925851</v>
      </c>
      <c r="Y6360">
        <v>-1.7271559999999998E-2</v>
      </c>
      <c r="Z6360">
        <v>-2.198166E-4</v>
      </c>
      <c r="AA6360">
        <v>0.99985080000000004</v>
      </c>
      <c r="AB6360">
        <v>35</v>
      </c>
      <c r="AC6360">
        <v>18.023299999999999</v>
      </c>
      <c r="AD6360">
        <v>-1.1099337952120001</v>
      </c>
      <c r="AE6360">
        <v>0.58248999999999995</v>
      </c>
      <c r="AF6360">
        <v>-0.31472861488067799</v>
      </c>
      <c r="AG6360">
        <v>-1.1099337952120001</v>
      </c>
      <c r="AH6360">
        <v>17.961893242429099</v>
      </c>
      <c r="AI6360">
        <v>93.535486952278603</v>
      </c>
      <c r="AJ6360">
        <v>91.003834949692603</v>
      </c>
      <c r="AK6360">
        <v>17.9989059662858</v>
      </c>
      <c r="AL6360">
        <v>95.946402824126594</v>
      </c>
      <c r="AM6360">
        <v>93.665041865815994</v>
      </c>
      <c r="AN6360">
        <v>1.0000000486713401</v>
      </c>
    </row>
    <row r="6361" spans="1:40" x14ac:dyDescent="0.25">
      <c r="A6361" t="str">
        <f>"20190305135052516"</f>
        <v>20190305135052516</v>
      </c>
      <c r="B6361" t="str">
        <f>"1551765052506313"</f>
        <v>1551765052506313</v>
      </c>
      <c r="C6361" t="s">
        <v>40</v>
      </c>
      <c r="D6361">
        <v>4.2010149999999999</v>
      </c>
      <c r="E6361">
        <v>0.5183738</v>
      </c>
      <c r="F6361" t="s">
        <v>42</v>
      </c>
      <c r="G6361">
        <v>-333.82909999999998</v>
      </c>
      <c r="H6361" s="1">
        <v>-3.01485E-6</v>
      </c>
      <c r="I6361">
        <v>17.444479999999999</v>
      </c>
      <c r="J6361">
        <v>-352.17270000000002</v>
      </c>
      <c r="K6361">
        <v>1.109936</v>
      </c>
      <c r="L6361">
        <v>16.848299999999998</v>
      </c>
      <c r="M6361">
        <v>0.99985539999999995</v>
      </c>
      <c r="N6361">
        <v>-6.5203209999999999E-3</v>
      </c>
      <c r="O6361">
        <v>1.5708E-2</v>
      </c>
      <c r="P6361">
        <v>0.99082479999999995</v>
      </c>
      <c r="Q6361">
        <v>-0.1096791</v>
      </c>
      <c r="R6361">
        <v>7.8974429999999998E-2</v>
      </c>
      <c r="S6361">
        <v>3.0001220000000002</v>
      </c>
      <c r="T6361">
        <v>-0.17958389999999999</v>
      </c>
      <c r="U6361">
        <v>9.7076419999999997E-2</v>
      </c>
      <c r="V6361">
        <v>-6.3023919999999997E-2</v>
      </c>
      <c r="W6361">
        <v>-0.1034395</v>
      </c>
      <c r="X6361">
        <v>0.99263699999999999</v>
      </c>
      <c r="Y6361">
        <v>-1.662578E-2</v>
      </c>
      <c r="Z6361">
        <v>-2.8546780000000003E-4</v>
      </c>
      <c r="AA6361">
        <v>0.99986169999999996</v>
      </c>
      <c r="AB6361">
        <v>35</v>
      </c>
      <c r="AC6361">
        <v>18.343599999999999</v>
      </c>
      <c r="AD6361">
        <v>-1.1099390148499999</v>
      </c>
      <c r="AE6361">
        <v>0.59618000000000004</v>
      </c>
      <c r="AF6361">
        <v>-0.30683683798035499</v>
      </c>
      <c r="AG6361">
        <v>-1.1099390148499999</v>
      </c>
      <c r="AH6361">
        <v>18.283830702578999</v>
      </c>
      <c r="AI6361">
        <v>93.4734489518343</v>
      </c>
      <c r="AJ6361">
        <v>90.961439972790401</v>
      </c>
      <c r="AK6361">
        <v>18.320059460121801</v>
      </c>
      <c r="AL6361">
        <v>95.937267043591007</v>
      </c>
      <c r="AM6361">
        <v>93.632913289492905</v>
      </c>
      <c r="AN6361">
        <v>0.99999997921070805</v>
      </c>
    </row>
    <row r="6362" spans="1:40" x14ac:dyDescent="0.25">
      <c r="A6362" t="str">
        <f>"20190305135052527"</f>
        <v>20190305135052527</v>
      </c>
      <c r="B6362" t="str">
        <f>"1551765052516074"</f>
        <v>1551765052516074</v>
      </c>
      <c r="C6362" t="s">
        <v>40</v>
      </c>
      <c r="D6362">
        <v>4.2063350000000002</v>
      </c>
      <c r="E6362">
        <v>0.51847989999999999</v>
      </c>
      <c r="F6362" t="s">
        <v>42</v>
      </c>
      <c r="G6362">
        <v>-333.57889999999998</v>
      </c>
      <c r="H6362" s="1">
        <v>-3.1208729999999999E-6</v>
      </c>
      <c r="I6362">
        <v>17.45194</v>
      </c>
      <c r="J6362">
        <v>-351.97489999999999</v>
      </c>
      <c r="K6362">
        <v>1.1099399999999999</v>
      </c>
      <c r="L6362">
        <v>16.85211</v>
      </c>
      <c r="M6362">
        <v>0.99984059999999997</v>
      </c>
      <c r="N6362">
        <v>-6.5325000000000001E-3</v>
      </c>
      <c r="O6362">
        <v>1.66222E-2</v>
      </c>
      <c r="P6362">
        <v>0.99081859999999999</v>
      </c>
      <c r="Q6362">
        <v>-0.10944180000000001</v>
      </c>
      <c r="R6362">
        <v>7.9379110000000003E-2</v>
      </c>
      <c r="S6362">
        <v>3.0001829999999998</v>
      </c>
      <c r="T6362">
        <v>-0.17909229999999901</v>
      </c>
      <c r="U6362">
        <v>9.7412109999999996E-2</v>
      </c>
      <c r="V6362">
        <v>-6.2521450000000006E-2</v>
      </c>
      <c r="W6362">
        <v>-0.1031884</v>
      </c>
      <c r="X6362">
        <v>0.99269490000000005</v>
      </c>
      <c r="Y6362">
        <v>-1.5825559999999999E-2</v>
      </c>
      <c r="Z6362">
        <v>-3.5896069999999999E-4</v>
      </c>
      <c r="AA6362">
        <v>0.99987470000000001</v>
      </c>
      <c r="AB6362">
        <v>35</v>
      </c>
      <c r="AC6362">
        <v>18.396000000000001</v>
      </c>
      <c r="AD6362">
        <v>-1.109943120873</v>
      </c>
      <c r="AE6362">
        <v>0.59982999999999997</v>
      </c>
      <c r="AF6362">
        <v>-0.29289350851571999</v>
      </c>
      <c r="AG6362">
        <v>-1.109943120873</v>
      </c>
      <c r="AH6362">
        <v>18.336745992589801</v>
      </c>
      <c r="AI6362">
        <v>93.463508413263895</v>
      </c>
      <c r="AJ6362">
        <v>90.915109742255794</v>
      </c>
      <c r="AK6362">
        <v>18.372643085186802</v>
      </c>
      <c r="AL6362">
        <v>95.922802719743601</v>
      </c>
      <c r="AM6362">
        <v>93.603816199556704</v>
      </c>
      <c r="AN6362">
        <v>0.999999971045335</v>
      </c>
    </row>
    <row r="6363" spans="1:40" x14ac:dyDescent="0.25">
      <c r="A6363" t="str">
        <f>"20190305135052541"</f>
        <v>20190305135052541</v>
      </c>
      <c r="B6363" t="str">
        <f>"1551765052536569"</f>
        <v>1551765052536569</v>
      </c>
      <c r="C6363" t="s">
        <v>40</v>
      </c>
      <c r="D6363">
        <v>4.2084409999999997</v>
      </c>
      <c r="E6363">
        <v>0.51866699999999999</v>
      </c>
      <c r="F6363" t="s">
        <v>42</v>
      </c>
      <c r="G6363">
        <v>-333.25380000000001</v>
      </c>
      <c r="H6363" s="1">
        <v>-3.258483E-6</v>
      </c>
      <c r="I6363">
        <v>17.462340000000001</v>
      </c>
      <c r="J6363">
        <v>-351.78280000000001</v>
      </c>
      <c r="K6363">
        <v>1.1099410000000001</v>
      </c>
      <c r="L6363">
        <v>16.85605</v>
      </c>
      <c r="M6363">
        <v>0.99982539999999998</v>
      </c>
      <c r="N6363">
        <v>-6.5439909999999999E-3</v>
      </c>
      <c r="O6363">
        <v>1.7502529999999999E-2</v>
      </c>
      <c r="P6363">
        <v>0.99078820000000001</v>
      </c>
      <c r="Q6363">
        <v>-0.1094822</v>
      </c>
      <c r="R6363">
        <v>7.9701620000000001E-2</v>
      </c>
      <c r="S6363">
        <v>3.0002749999999998</v>
      </c>
      <c r="T6363">
        <v>-0.1778806</v>
      </c>
      <c r="U6363">
        <v>9.7808839999999994E-2</v>
      </c>
      <c r="V6363">
        <v>-6.197076E-2</v>
      </c>
      <c r="W6363">
        <v>-0.10321519999999999</v>
      </c>
      <c r="X6363">
        <v>0.99272669999999996</v>
      </c>
      <c r="Y6363">
        <v>-1.5078960000000001E-2</v>
      </c>
      <c r="Z6363">
        <v>-4.2607209999999998E-4</v>
      </c>
      <c r="AA6363">
        <v>0.99988619999999995</v>
      </c>
      <c r="AB6363">
        <v>35</v>
      </c>
      <c r="AC6363">
        <v>18.529</v>
      </c>
      <c r="AD6363">
        <v>-1.1099442584829999</v>
      </c>
      <c r="AE6363">
        <v>0.60629000000000099</v>
      </c>
      <c r="AF6363">
        <v>-0.28087897777221699</v>
      </c>
      <c r="AG6363">
        <v>-1.1099442584829999</v>
      </c>
      <c r="AH6363">
        <v>18.470564913532002</v>
      </c>
      <c r="AI6363">
        <v>93.438520259288197</v>
      </c>
      <c r="AJ6363">
        <v>90.871220762446598</v>
      </c>
      <c r="AK6363">
        <v>18.506016250995</v>
      </c>
      <c r="AL6363">
        <v>95.924346158542306</v>
      </c>
      <c r="AM6363">
        <v>93.572042149612997</v>
      </c>
      <c r="AN6363">
        <v>1.00000002674945</v>
      </c>
    </row>
    <row r="6364" spans="1:40" x14ac:dyDescent="0.25">
      <c r="A6364" t="str">
        <f>"20190305135052558"</f>
        <v>20190305135052558</v>
      </c>
      <c r="B6364" t="str">
        <f>"1551765052546443"</f>
        <v>1551765052546443</v>
      </c>
      <c r="C6364" t="s">
        <v>40</v>
      </c>
      <c r="D6364">
        <v>4.2025739999999896</v>
      </c>
      <c r="E6364">
        <v>0.51878610000000003</v>
      </c>
      <c r="F6364" t="s">
        <v>42</v>
      </c>
      <c r="G6364">
        <v>-333.00049999999999</v>
      </c>
      <c r="H6364" s="1">
        <v>-3.3665950000000002E-6</v>
      </c>
      <c r="I6364">
        <v>17.46556</v>
      </c>
      <c r="J6364">
        <v>-351.51519999999999</v>
      </c>
      <c r="K6364">
        <v>1.109944</v>
      </c>
      <c r="L6364">
        <v>16.86176</v>
      </c>
      <c r="M6364">
        <v>0.99980340000000001</v>
      </c>
      <c r="N6364">
        <v>-6.5596480000000004E-3</v>
      </c>
      <c r="O6364">
        <v>1.871842E-2</v>
      </c>
      <c r="P6364">
        <v>0.99078140000000003</v>
      </c>
      <c r="Q6364">
        <v>-0.1091119</v>
      </c>
      <c r="R6364">
        <v>8.0292859999999994E-2</v>
      </c>
      <c r="S6364">
        <v>3.0004580000000001</v>
      </c>
      <c r="T6364">
        <v>-0.17731169999999999</v>
      </c>
      <c r="U6364">
        <v>9.7381590000000004E-2</v>
      </c>
      <c r="V6364">
        <v>-6.135786E-2</v>
      </c>
      <c r="W6364">
        <v>-0.102826</v>
      </c>
      <c r="X6364">
        <v>0.9928051</v>
      </c>
      <c r="Y6364">
        <v>-1.3723040000000001E-2</v>
      </c>
      <c r="Z6364">
        <v>-5.3201530000000004E-4</v>
      </c>
      <c r="AA6364">
        <v>0.99990570000000001</v>
      </c>
      <c r="AB6364">
        <v>35</v>
      </c>
      <c r="AC6364">
        <v>18.514700000000001</v>
      </c>
      <c r="AD6364">
        <v>-1.1099473665949999</v>
      </c>
      <c r="AE6364">
        <v>0.603799999999999</v>
      </c>
      <c r="AF6364">
        <v>-0.256201068010739</v>
      </c>
      <c r="AG6364">
        <v>-1.1099473665949999</v>
      </c>
      <c r="AH6364">
        <v>18.456497255000102</v>
      </c>
      <c r="AI6364">
        <v>93.441210604400993</v>
      </c>
      <c r="AJ6364">
        <v>90.795291595875796</v>
      </c>
      <c r="AK6364">
        <v>18.4916173729527</v>
      </c>
      <c r="AL6364">
        <v>95.901927692733494</v>
      </c>
      <c r="AM6364">
        <v>93.5365256588899</v>
      </c>
      <c r="AN6364">
        <v>0.99999996992289397</v>
      </c>
    </row>
    <row r="6365" spans="1:40" x14ac:dyDescent="0.25">
      <c r="A6365" t="str">
        <f>"20190305135052570"</f>
        <v>20190305135052570</v>
      </c>
      <c r="B6365" t="str">
        <f>"1551765052565927"</f>
        <v>1551765052565927</v>
      </c>
      <c r="C6365" t="s">
        <v>40</v>
      </c>
      <c r="D6365">
        <v>4.1924010000000003</v>
      </c>
      <c r="E6365">
        <v>0.51888719999999999</v>
      </c>
      <c r="F6365" t="s">
        <v>42</v>
      </c>
      <c r="G6365">
        <v>-332.55790000000002</v>
      </c>
      <c r="H6365" s="1">
        <v>-3.5534539999999999E-6</v>
      </c>
      <c r="I6365">
        <v>17.482510000000001</v>
      </c>
      <c r="J6365">
        <v>-351.31199999999899</v>
      </c>
      <c r="K6365">
        <v>1.1099410000000001</v>
      </c>
      <c r="L6365">
        <v>16.86627</v>
      </c>
      <c r="M6365">
        <v>0.99978579999999995</v>
      </c>
      <c r="N6365">
        <v>-6.5712569999999996E-3</v>
      </c>
      <c r="O6365">
        <v>1.963206E-2</v>
      </c>
      <c r="P6365">
        <v>0.99076929999999996</v>
      </c>
      <c r="Q6365">
        <v>-0.1089291</v>
      </c>
      <c r="R6365">
        <v>8.0689919999999998E-2</v>
      </c>
      <c r="S6365">
        <v>3.0005799999999998</v>
      </c>
      <c r="T6365">
        <v>-0.17568310000000001</v>
      </c>
      <c r="U6365">
        <v>9.8266599999999996E-2</v>
      </c>
      <c r="V6365">
        <v>-6.0851130000000003E-2</v>
      </c>
      <c r="W6365">
        <v>-0.1026287</v>
      </c>
      <c r="X6365">
        <v>0.99285670000000004</v>
      </c>
      <c r="Y6365">
        <v>-1.3104910000000001E-2</v>
      </c>
      <c r="Z6365">
        <v>-5.9279619999999999E-4</v>
      </c>
      <c r="AA6365">
        <v>0.99991390000000002</v>
      </c>
      <c r="AB6365">
        <v>35</v>
      </c>
      <c r="AC6365">
        <v>18.754099999999902</v>
      </c>
      <c r="AD6365">
        <v>-1.109944553454</v>
      </c>
      <c r="AE6365">
        <v>0.61624000000000101</v>
      </c>
      <c r="AF6365">
        <v>-0.24706722437694201</v>
      </c>
      <c r="AG6365">
        <v>-1.109944553454</v>
      </c>
      <c r="AH6365">
        <v>18.6971627374155</v>
      </c>
      <c r="AI6365">
        <v>93.397042592781602</v>
      </c>
      <c r="AJ6365">
        <v>90.757071303187999</v>
      </c>
      <c r="AK6365">
        <v>18.731708772947002</v>
      </c>
      <c r="AL6365">
        <v>95.890563120279396</v>
      </c>
      <c r="AM6365">
        <v>93.507210293672202</v>
      </c>
      <c r="AN6365">
        <v>0.99999996841042704</v>
      </c>
    </row>
    <row r="6366" spans="1:40" x14ac:dyDescent="0.25">
      <c r="A6366" t="str">
        <f>"20190305135052584"</f>
        <v>20190305135052584</v>
      </c>
      <c r="B6366" t="str">
        <f>"1551765052576664"</f>
        <v>1551765052576664</v>
      </c>
      <c r="C6366" t="s">
        <v>40</v>
      </c>
      <c r="D6366">
        <v>4.2225359999999998</v>
      </c>
      <c r="E6366">
        <v>0.51899450000000003</v>
      </c>
      <c r="F6366" t="s">
        <v>42</v>
      </c>
      <c r="G6366">
        <v>-332.26839999999999</v>
      </c>
      <c r="H6366" s="1">
        <v>-3.6758570000000001E-6</v>
      </c>
      <c r="I6366">
        <v>17.492550000000001</v>
      </c>
      <c r="J6366">
        <v>-351.0813</v>
      </c>
      <c r="K6366">
        <v>1.1099300000000001</v>
      </c>
      <c r="L6366">
        <v>16.871670000000002</v>
      </c>
      <c r="M6366">
        <v>0.99976520000000002</v>
      </c>
      <c r="N6366">
        <v>-6.5840760000000003E-3</v>
      </c>
      <c r="O6366">
        <v>2.06486E-2</v>
      </c>
      <c r="P6366">
        <v>0.99074580000000001</v>
      </c>
      <c r="Q6366">
        <v>-0.108667</v>
      </c>
      <c r="R6366">
        <v>8.1329680000000001E-2</v>
      </c>
      <c r="S6366">
        <v>3.0006710000000001</v>
      </c>
      <c r="T6366">
        <v>-0.17489189999999999</v>
      </c>
      <c r="U6366">
        <v>9.869385E-2</v>
      </c>
      <c r="V6366">
        <v>-6.0485959999999998E-2</v>
      </c>
      <c r="W6366">
        <v>-0.1023505</v>
      </c>
      <c r="X6366">
        <v>0.99290780000000001</v>
      </c>
      <c r="Y6366">
        <v>-1.2232369999999999E-2</v>
      </c>
      <c r="Z6366">
        <v>-6.6974720000000001E-4</v>
      </c>
      <c r="AA6366">
        <v>0.99992499999999995</v>
      </c>
      <c r="AB6366">
        <v>35</v>
      </c>
      <c r="AC6366">
        <v>18.812899999999999</v>
      </c>
      <c r="AD6366">
        <v>-1.10993367585699</v>
      </c>
      <c r="AE6366">
        <v>0.62087999999999899</v>
      </c>
      <c r="AF6366">
        <v>-0.23147433968926201</v>
      </c>
      <c r="AG6366">
        <v>-1.10993367585699</v>
      </c>
      <c r="AH6366">
        <v>18.756492311106602</v>
      </c>
      <c r="AI6366">
        <v>93.386326863293604</v>
      </c>
      <c r="AJ6366">
        <v>90.707052751351497</v>
      </c>
      <c r="AK6366">
        <v>18.7907300803171</v>
      </c>
      <c r="AL6366">
        <v>95.874538643536297</v>
      </c>
      <c r="AM6366">
        <v>93.486036477143898</v>
      </c>
      <c r="AN6366">
        <v>1.0000000377541001</v>
      </c>
    </row>
    <row r="6367" spans="1:40" x14ac:dyDescent="0.25">
      <c r="A6367" t="str">
        <f>"20190305135052598"</f>
        <v>20190305135052598</v>
      </c>
      <c r="B6367" t="str">
        <f>"1551765052586424"</f>
        <v>1551765052586424</v>
      </c>
      <c r="C6367" t="s">
        <v>40</v>
      </c>
      <c r="D6367">
        <v>4.1790440000000002</v>
      </c>
      <c r="E6367">
        <v>0.51910599999999996</v>
      </c>
      <c r="F6367" t="s">
        <v>42</v>
      </c>
      <c r="G6367">
        <v>-331.90980000000002</v>
      </c>
      <c r="H6367" s="1">
        <v>-3.8267199999999998E-6</v>
      </c>
      <c r="I6367">
        <v>17.509350000000001</v>
      </c>
      <c r="J6367">
        <v>-350.87819999999999</v>
      </c>
      <c r="K6367">
        <v>1.109915</v>
      </c>
      <c r="L6367">
        <v>16.87659</v>
      </c>
      <c r="M6367">
        <v>0.99974640000000004</v>
      </c>
      <c r="N6367">
        <v>-6.5950139999999997E-3</v>
      </c>
      <c r="O6367">
        <v>2.1528889999999998E-2</v>
      </c>
      <c r="P6367">
        <v>0.99078730000000004</v>
      </c>
      <c r="Q6367">
        <v>-0.107943</v>
      </c>
      <c r="R6367">
        <v>8.1785659999999996E-2</v>
      </c>
      <c r="S6367">
        <v>3.0007929999999998</v>
      </c>
      <c r="T6367">
        <v>-0.17373089999999999</v>
      </c>
      <c r="U6367">
        <v>9.9822999999999995E-2</v>
      </c>
      <c r="V6367">
        <v>-6.0072939999999998E-2</v>
      </c>
      <c r="W6367">
        <v>-0.1016117</v>
      </c>
      <c r="X6367">
        <v>0.99300869999999997</v>
      </c>
      <c r="Y6367">
        <v>-1.172839E-2</v>
      </c>
      <c r="Z6367">
        <v>-7.2513250000000003E-4</v>
      </c>
      <c r="AA6367">
        <v>0.99993100000000001</v>
      </c>
      <c r="AB6367">
        <v>35</v>
      </c>
      <c r="AC6367">
        <v>18.9683999999999</v>
      </c>
      <c r="AD6367">
        <v>-1.10991882672</v>
      </c>
      <c r="AE6367">
        <v>0.63276000000000099</v>
      </c>
      <c r="AF6367">
        <v>-0.22347153453543001</v>
      </c>
      <c r="AG6367">
        <v>-1.10991882672</v>
      </c>
      <c r="AH6367">
        <v>18.9129423172914</v>
      </c>
      <c r="AI6367">
        <v>93.358355592127296</v>
      </c>
      <c r="AJ6367">
        <v>90.6769639402292</v>
      </c>
      <c r="AK6367">
        <v>18.946800427139301</v>
      </c>
      <c r="AL6367">
        <v>95.831986967677494</v>
      </c>
      <c r="AM6367">
        <v>93.461939714924895</v>
      </c>
      <c r="AN6367">
        <v>0.99999998698641102</v>
      </c>
    </row>
    <row r="6368" spans="1:40" x14ac:dyDescent="0.25">
      <c r="A6368" t="str">
        <f>"20190305135052614"</f>
        <v>20190305135052614</v>
      </c>
      <c r="B6368" t="str">
        <f>"1551765052605943"</f>
        <v>1551765052605943</v>
      </c>
      <c r="C6368" t="s">
        <v>40</v>
      </c>
      <c r="D6368">
        <v>4.2476789999999998</v>
      </c>
      <c r="E6368">
        <v>0.51930469999999995</v>
      </c>
      <c r="F6368" t="s">
        <v>42</v>
      </c>
      <c r="G6368">
        <v>-331.43259999999998</v>
      </c>
      <c r="H6368" s="1">
        <v>-4.0283369999999996E-6</v>
      </c>
      <c r="I6368">
        <v>17.526710000000001</v>
      </c>
      <c r="J6368">
        <v>-350.61619999999999</v>
      </c>
      <c r="K6368">
        <v>1.109899</v>
      </c>
      <c r="L6368">
        <v>16.883150000000001</v>
      </c>
      <c r="M6368">
        <v>0.99972190000000005</v>
      </c>
      <c r="N6368">
        <v>-6.608765E-3</v>
      </c>
      <c r="O6368">
        <v>2.2640110000000001E-2</v>
      </c>
      <c r="P6368">
        <v>0.99078489999999997</v>
      </c>
      <c r="Q6368">
        <v>-0.107433399999999</v>
      </c>
      <c r="R6368">
        <v>8.2483459999999995E-2</v>
      </c>
      <c r="S6368">
        <v>3.0009459999999999</v>
      </c>
      <c r="T6368">
        <v>-0.17128829999999901</v>
      </c>
      <c r="U6368">
        <v>0.10034179999999999</v>
      </c>
      <c r="V6368">
        <v>-5.9674640000000001E-2</v>
      </c>
      <c r="W6368">
        <v>-0.1010834</v>
      </c>
      <c r="X6368">
        <v>0.99308660000000004</v>
      </c>
      <c r="Y6368">
        <v>-1.079071E-2</v>
      </c>
      <c r="Z6368">
        <v>-7.9781950000000002E-4</v>
      </c>
      <c r="AA6368">
        <v>0.99994150000000004</v>
      </c>
      <c r="AB6368">
        <v>36</v>
      </c>
      <c r="AC6368">
        <v>19.183599999999998</v>
      </c>
      <c r="AD6368">
        <v>-1.1099030283369999</v>
      </c>
      <c r="AE6368">
        <v>0.64356000000000002</v>
      </c>
      <c r="AF6368">
        <v>-0.20837004665891101</v>
      </c>
      <c r="AG6368">
        <v>-1.1099030283369999</v>
      </c>
      <c r="AH6368">
        <v>19.1292914929364</v>
      </c>
      <c r="AI6368">
        <v>93.320446169167298</v>
      </c>
      <c r="AJ6368">
        <v>90.624082293192501</v>
      </c>
      <c r="AK6368">
        <v>19.162596270609701</v>
      </c>
      <c r="AL6368">
        <v>95.801561127284003</v>
      </c>
      <c r="AM6368">
        <v>93.438772263693195</v>
      </c>
      <c r="AN6368">
        <v>0.99999995575712297</v>
      </c>
    </row>
    <row r="6369" spans="1:40" x14ac:dyDescent="0.25">
      <c r="A6369" t="str">
        <f>"20190305135052625"</f>
        <v>20190305135052625</v>
      </c>
      <c r="B6369" t="str">
        <f>"1551765052616680"</f>
        <v>1551765052616680</v>
      </c>
      <c r="C6369" t="s">
        <v>40</v>
      </c>
      <c r="D6369">
        <v>4.0534610000000004</v>
      </c>
      <c r="E6369">
        <v>0.51930469999999995</v>
      </c>
      <c r="F6369" t="s">
        <v>42</v>
      </c>
      <c r="G6369">
        <v>-330.95609999999999</v>
      </c>
      <c r="H6369" s="1">
        <v>-4.2297180000000004E-6</v>
      </c>
      <c r="I6369">
        <v>17.544</v>
      </c>
      <c r="J6369">
        <v>-350.43</v>
      </c>
      <c r="K6369">
        <v>1.1098790000000001</v>
      </c>
      <c r="L6369">
        <v>16.887999999999899</v>
      </c>
      <c r="M6369">
        <v>0.99970420000000004</v>
      </c>
      <c r="N6369">
        <v>-6.6183819999999999E-3</v>
      </c>
      <c r="O6369">
        <v>2.3406349999999999E-2</v>
      </c>
      <c r="P6369">
        <v>0.99077440000000006</v>
      </c>
      <c r="Q6369">
        <v>-0.1070603</v>
      </c>
      <c r="R6369">
        <v>8.3091830000000005E-2</v>
      </c>
      <c r="S6369">
        <v>3.00116</v>
      </c>
      <c r="T6369">
        <v>-0.1694283</v>
      </c>
      <c r="U6369">
        <v>0.1008911</v>
      </c>
      <c r="V6369">
        <v>-5.952876E-2</v>
      </c>
      <c r="W6369">
        <v>-0.10069699999999999</v>
      </c>
      <c r="X6369">
        <v>0.99313470000000004</v>
      </c>
      <c r="Y6369">
        <v>-1.0206410000000001E-2</v>
      </c>
      <c r="Z6369">
        <v>-8.4335599999999997E-4</v>
      </c>
      <c r="AA6369">
        <v>0.99994749999999999</v>
      </c>
      <c r="AB6369">
        <v>36</v>
      </c>
      <c r="AC6369">
        <v>19.4739</v>
      </c>
      <c r="AD6369">
        <v>-1.1098832297179999</v>
      </c>
      <c r="AE6369">
        <v>0.65600000000000203</v>
      </c>
      <c r="AF6369">
        <v>-0.199350595948946</v>
      </c>
      <c r="AG6369">
        <v>-1.1098832297179999</v>
      </c>
      <c r="AH6369">
        <v>19.420907128012502</v>
      </c>
      <c r="AI6369">
        <v>93.270660364473898</v>
      </c>
      <c r="AJ6369">
        <v>90.588105724609903</v>
      </c>
      <c r="AK6369">
        <v>19.453617018914599</v>
      </c>
      <c r="AL6369">
        <v>95.779307972727906</v>
      </c>
      <c r="AM6369">
        <v>93.430220230699604</v>
      </c>
      <c r="AN6369">
        <v>1.0000000457101099</v>
      </c>
    </row>
    <row r="6370" spans="1:40" x14ac:dyDescent="0.25">
      <c r="A6370" t="str">
        <f>"20190305135052636"</f>
        <v>20190305135052636</v>
      </c>
      <c r="B6370" t="str">
        <f>"1551765052626440"</f>
        <v>1551765052626440</v>
      </c>
      <c r="C6370" t="s">
        <v>40</v>
      </c>
      <c r="D6370">
        <v>4.2230619999999996</v>
      </c>
      <c r="E6370">
        <v>0.52726309999999998</v>
      </c>
      <c r="F6370" t="s">
        <v>42</v>
      </c>
      <c r="G6370">
        <v>-330.63630000000001</v>
      </c>
      <c r="H6370" s="1">
        <v>-4.3630579999999999E-6</v>
      </c>
      <c r="I6370">
        <v>17.565619999999999</v>
      </c>
      <c r="J6370">
        <v>-350.26330000000002</v>
      </c>
      <c r="K6370">
        <v>1.1098539999999999</v>
      </c>
      <c r="L6370">
        <v>16.892429999999901</v>
      </c>
      <c r="M6370">
        <v>0.99968829999999997</v>
      </c>
      <c r="N6370">
        <v>-6.6278369999999897E-3</v>
      </c>
      <c r="O6370">
        <v>2.407221E-2</v>
      </c>
      <c r="P6370">
        <v>0.99078149999999998</v>
      </c>
      <c r="Q6370">
        <v>-0.10671899999999999</v>
      </c>
      <c r="R6370">
        <v>8.3446690000000004E-2</v>
      </c>
      <c r="S6370">
        <v>3.0011290000000002</v>
      </c>
      <c r="T6370">
        <v>-0.16828119999999999</v>
      </c>
      <c r="U6370">
        <v>0.1027527</v>
      </c>
      <c r="V6370">
        <v>-5.9228759999999998E-2</v>
      </c>
      <c r="W6370">
        <v>-0.10034179999999999</v>
      </c>
      <c r="X6370">
        <v>0.99318859999999998</v>
      </c>
      <c r="Y6370">
        <v>-1.016093E-2</v>
      </c>
      <c r="Z6370">
        <v>-8.7040199999999896E-4</v>
      </c>
      <c r="AA6370">
        <v>0.99994799999999995</v>
      </c>
      <c r="AB6370">
        <v>36</v>
      </c>
      <c r="AC6370">
        <v>19.626999999999999</v>
      </c>
      <c r="AD6370">
        <v>-1.1098583630579999</v>
      </c>
      <c r="AE6370">
        <v>0.67319000000000495</v>
      </c>
      <c r="AF6370">
        <v>-0.199880902825157</v>
      </c>
      <c r="AG6370">
        <v>-1.1098583630579999</v>
      </c>
      <c r="AH6370">
        <v>19.574997896326799</v>
      </c>
      <c r="AI6370">
        <v>93.244898800059204</v>
      </c>
      <c r="AJ6370">
        <v>90.585028626635506</v>
      </c>
      <c r="AK6370">
        <v>19.6074547201457</v>
      </c>
      <c r="AL6370">
        <v>95.758852832976899</v>
      </c>
      <c r="AM6370">
        <v>93.412789542122596</v>
      </c>
      <c r="AN6370">
        <v>1.00000005900416</v>
      </c>
    </row>
    <row r="6371" spans="1:40" x14ac:dyDescent="0.25">
      <c r="A6371" t="str">
        <f>"20190305135052646"</f>
        <v>20190305135052646</v>
      </c>
      <c r="B6371" t="str">
        <f>"1551765052636200"</f>
        <v>1551765052636200</v>
      </c>
      <c r="C6371" t="s">
        <v>40</v>
      </c>
      <c r="D6371">
        <v>4.1928429999999999</v>
      </c>
      <c r="E6371">
        <v>0.52734950000000003</v>
      </c>
      <c r="F6371" t="s">
        <v>42</v>
      </c>
      <c r="G6371">
        <v>-325.25009999999997</v>
      </c>
      <c r="H6371" s="1">
        <v>-2.6469660000000001E-6</v>
      </c>
      <c r="I6371">
        <v>17.241889999999898</v>
      </c>
      <c r="J6371">
        <v>-350.08300000000003</v>
      </c>
      <c r="K6371">
        <v>1.109828</v>
      </c>
      <c r="L6371">
        <v>16.89734</v>
      </c>
      <c r="M6371">
        <v>0.99967099999999998</v>
      </c>
      <c r="N6371">
        <v>-6.6386659999999997E-3</v>
      </c>
      <c r="O6371">
        <v>2.477882E-2</v>
      </c>
      <c r="P6371">
        <v>0.99074899999999999</v>
      </c>
      <c r="Q6371">
        <v>-0.10667740000000001</v>
      </c>
      <c r="R6371">
        <v>8.3885409999999994E-2</v>
      </c>
      <c r="S6371">
        <v>3.0100099999999999</v>
      </c>
      <c r="T6371">
        <v>-0.1335567</v>
      </c>
      <c r="U6371">
        <v>4.2053220000000002E-2</v>
      </c>
      <c r="V6371">
        <v>-5.8972879999999998E-2</v>
      </c>
      <c r="W6371">
        <v>-0.100285</v>
      </c>
      <c r="X6371">
        <v>0.99320949999999997</v>
      </c>
      <c r="Y6371">
        <v>1.078166E-2</v>
      </c>
      <c r="Z6371">
        <v>-1.2091649999999999E-3</v>
      </c>
      <c r="AA6371">
        <v>0.99994119999999997</v>
      </c>
      <c r="AB6371">
        <v>36</v>
      </c>
      <c r="AC6371">
        <v>24.832899999999999</v>
      </c>
      <c r="AD6371">
        <v>-1.109830646966</v>
      </c>
      <c r="AE6371">
        <v>0.34454999999999802</v>
      </c>
      <c r="AF6371">
        <v>0.27035935891373097</v>
      </c>
      <c r="AG6371">
        <v>-1.109830646966</v>
      </c>
      <c r="AH6371">
        <v>24.784318719833902</v>
      </c>
      <c r="AI6371">
        <v>92.5638140620039</v>
      </c>
      <c r="AJ6371">
        <v>89.3750146611779</v>
      </c>
      <c r="AK6371">
        <v>24.810628219660401</v>
      </c>
      <c r="AL6371">
        <v>95.755582295974193</v>
      </c>
      <c r="AM6371">
        <v>93.398008899891394</v>
      </c>
      <c r="AN6371">
        <v>0.99999999634537196</v>
      </c>
    </row>
    <row r="6372" spans="1:40" x14ac:dyDescent="0.25">
      <c r="A6372" t="str">
        <f>"20190305135052657"</f>
        <v>20190305135052657</v>
      </c>
      <c r="B6372" t="str">
        <f>"1551765052645959"</f>
        <v>1551765052645959</v>
      </c>
      <c r="C6372" t="s">
        <v>40</v>
      </c>
      <c r="D6372">
        <v>4.1921010000000001</v>
      </c>
      <c r="E6372">
        <v>0.52715019999999901</v>
      </c>
      <c r="F6372" t="s">
        <v>42</v>
      </c>
      <c r="G6372">
        <v>-325.35969999999998</v>
      </c>
      <c r="H6372" s="1">
        <v>-2.5942320000000001E-6</v>
      </c>
      <c r="I6372">
        <v>17.247029999999999</v>
      </c>
      <c r="J6372">
        <v>-349.9205</v>
      </c>
      <c r="K6372">
        <v>1.1098030000000001</v>
      </c>
      <c r="L6372">
        <v>16.901859999999999</v>
      </c>
      <c r="M6372">
        <v>0.99965570000000004</v>
      </c>
      <c r="N6372">
        <v>-6.662973E-3</v>
      </c>
      <c r="O6372">
        <v>2.5382869999999998E-2</v>
      </c>
      <c r="P6372">
        <v>0.99071220000000004</v>
      </c>
      <c r="Q6372">
        <v>-0.1066385</v>
      </c>
      <c r="R6372">
        <v>8.4366609999999995E-2</v>
      </c>
      <c r="S6372">
        <v>3.009827</v>
      </c>
      <c r="T6372">
        <v>-0.1351115</v>
      </c>
      <c r="U6372">
        <v>4.2572020000000002E-2</v>
      </c>
      <c r="V6372">
        <v>-5.8861520000000001E-2</v>
      </c>
      <c r="W6372">
        <v>-0.1002175</v>
      </c>
      <c r="X6372">
        <v>0.99322299999999997</v>
      </c>
      <c r="Y6372">
        <v>1.121103E-2</v>
      </c>
      <c r="Z6372">
        <v>-1.2584650000000001E-3</v>
      </c>
      <c r="AA6372">
        <v>0.9999363</v>
      </c>
      <c r="AB6372">
        <v>36</v>
      </c>
      <c r="AC6372">
        <v>24.5608</v>
      </c>
      <c r="AD6372">
        <v>-1.109805594232</v>
      </c>
      <c r="AE6372">
        <v>0.34516999999999898</v>
      </c>
      <c r="AF6372">
        <v>0.27781146885602298</v>
      </c>
      <c r="AG6372">
        <v>-1.109805594232</v>
      </c>
      <c r="AH6372">
        <v>24.5116104175193</v>
      </c>
      <c r="AI6372">
        <v>92.592228853924397</v>
      </c>
      <c r="AJ6372">
        <v>89.3506447401559</v>
      </c>
      <c r="AK6372">
        <v>24.538294417694502</v>
      </c>
      <c r="AL6372">
        <v>95.751694784263194</v>
      </c>
      <c r="AM6372">
        <v>93.391561353867701</v>
      </c>
      <c r="AN6372">
        <v>1.00000007678597</v>
      </c>
    </row>
    <row r="6373" spans="1:40" x14ac:dyDescent="0.25">
      <c r="A6373" t="str">
        <f>"20190305135052668"</f>
        <v>20190305135052668</v>
      </c>
      <c r="B6373" t="str">
        <f>"1551765052656696"</f>
        <v>1551765052656696</v>
      </c>
      <c r="C6373" t="s">
        <v>40</v>
      </c>
      <c r="D6373">
        <v>4.2026899999999996</v>
      </c>
      <c r="E6373">
        <v>0.52771400000000002</v>
      </c>
      <c r="F6373" t="s">
        <v>42</v>
      </c>
      <c r="G6373">
        <v>-324.90170000000001</v>
      </c>
      <c r="H6373" s="1">
        <v>-2.804661E-6</v>
      </c>
      <c r="I6373">
        <v>17.28134</v>
      </c>
      <c r="J6373">
        <v>-349.74009999999998</v>
      </c>
      <c r="K6373">
        <v>1.1097760000000001</v>
      </c>
      <c r="L6373">
        <v>16.906949999999998</v>
      </c>
      <c r="M6373">
        <v>0.99963849999999999</v>
      </c>
      <c r="N6373">
        <v>-6.6948900000000002E-3</v>
      </c>
      <c r="O6373">
        <v>2.604213E-2</v>
      </c>
      <c r="P6373">
        <v>0.99064560000000002</v>
      </c>
      <c r="Q6373">
        <v>-0.10686850000000001</v>
      </c>
      <c r="R6373">
        <v>8.485471E-2</v>
      </c>
      <c r="S6373">
        <v>3.0098569999999998</v>
      </c>
      <c r="T6373">
        <v>-0.13351399999999999</v>
      </c>
      <c r="U6373">
        <v>4.5654300000000002E-2</v>
      </c>
      <c r="V6373">
        <v>-5.8704079999999999E-2</v>
      </c>
      <c r="W6373">
        <v>-0.10041079999999999</v>
      </c>
      <c r="X6373">
        <v>0.99321269999999995</v>
      </c>
      <c r="Y6373">
        <v>1.0847620000000001E-2</v>
      </c>
      <c r="Z6373">
        <v>-1.2569180000000001E-3</v>
      </c>
      <c r="AA6373">
        <v>0.99994039999999995</v>
      </c>
      <c r="AB6373">
        <v>36</v>
      </c>
      <c r="AC6373">
        <v>24.838399999999901</v>
      </c>
      <c r="AD6373">
        <v>-1.109778804661</v>
      </c>
      <c r="AE6373">
        <v>0.374390000000001</v>
      </c>
      <c r="AF6373">
        <v>0.27205329680820101</v>
      </c>
      <c r="AG6373">
        <v>-1.109778804661</v>
      </c>
      <c r="AH6373">
        <v>24.790248207200801</v>
      </c>
      <c r="AI6373">
        <v>92.563080238048002</v>
      </c>
      <c r="AJ6373">
        <v>89.371249538383495</v>
      </c>
      <c r="AK6373">
        <v>24.816567614523201</v>
      </c>
      <c r="AL6373">
        <v>95.762826751165406</v>
      </c>
      <c r="AM6373">
        <v>93.382545854274298</v>
      </c>
      <c r="AN6373">
        <v>0.99999998260328804</v>
      </c>
    </row>
    <row r="6374" spans="1:40" x14ac:dyDescent="0.25">
      <c r="A6374" t="str">
        <f>"20190305135052680"</f>
        <v>20190305135052680</v>
      </c>
      <c r="B6374" t="str">
        <f>"1551765052676216"</f>
        <v>1551765052676216</v>
      </c>
      <c r="C6374" t="s">
        <v>40</v>
      </c>
      <c r="D6374">
        <v>4.2469799999999998</v>
      </c>
      <c r="E6374">
        <v>0.55404759999999997</v>
      </c>
      <c r="F6374" t="s">
        <v>42</v>
      </c>
      <c r="G6374">
        <v>-324.1241</v>
      </c>
      <c r="H6374" s="1">
        <v>-3.1740489999999999E-6</v>
      </c>
      <c r="I6374">
        <v>17.271260000000002</v>
      </c>
      <c r="J6374">
        <v>-349.56439999999998</v>
      </c>
      <c r="K6374">
        <v>1.1097549999999901</v>
      </c>
      <c r="L6374">
        <v>16.912019999999998</v>
      </c>
      <c r="M6374">
        <v>0.99962229999999996</v>
      </c>
      <c r="N6374">
        <v>-6.772938E-3</v>
      </c>
      <c r="O6374">
        <v>2.6633560000000001E-2</v>
      </c>
      <c r="P6374">
        <v>0.99060029999999999</v>
      </c>
      <c r="Q6374">
        <v>-0.10710020000000001</v>
      </c>
      <c r="R6374">
        <v>8.5091760000000002E-2</v>
      </c>
      <c r="S6374">
        <v>3.0105900000000001</v>
      </c>
      <c r="T6374">
        <v>-0.1304293</v>
      </c>
      <c r="U6374">
        <v>4.2816159999999999E-2</v>
      </c>
      <c r="V6374">
        <v>-5.8364100000000002E-2</v>
      </c>
      <c r="W6374">
        <v>-0.10055840000000001</v>
      </c>
      <c r="X6374">
        <v>0.99321780000000004</v>
      </c>
      <c r="Y6374">
        <v>1.2384910000000001E-2</v>
      </c>
      <c r="Z6374">
        <v>-1.2828749999999999E-3</v>
      </c>
      <c r="AA6374">
        <v>0.99992250000000005</v>
      </c>
      <c r="AB6374">
        <v>36</v>
      </c>
      <c r="AC6374">
        <v>25.440299999999901</v>
      </c>
      <c r="AD6374">
        <v>-1.1097581740489999</v>
      </c>
      <c r="AE6374">
        <v>0.359239999999999</v>
      </c>
      <c r="AF6374">
        <v>0.31786401441079298</v>
      </c>
      <c r="AG6374">
        <v>-1.1097581740489999</v>
      </c>
      <c r="AH6374">
        <v>25.3925336447723</v>
      </c>
      <c r="AI6374">
        <v>92.502272988481195</v>
      </c>
      <c r="AJ6374">
        <v>89.282808264113996</v>
      </c>
      <c r="AK6374">
        <v>25.418760112118399</v>
      </c>
      <c r="AL6374">
        <v>95.771326649786005</v>
      </c>
      <c r="AM6374">
        <v>93.362983973413293</v>
      </c>
      <c r="AN6374">
        <v>0.99999997910810401</v>
      </c>
    </row>
    <row r="6375" spans="1:40" x14ac:dyDescent="0.25">
      <c r="A6375" t="str">
        <f>"20190305135052691"</f>
        <v>20190305135052691</v>
      </c>
      <c r="B6375" t="str">
        <f>"1551765052685976"</f>
        <v>1551765052685976</v>
      </c>
      <c r="C6375" t="s">
        <v>40</v>
      </c>
      <c r="D6375">
        <v>4.3328009999999999</v>
      </c>
      <c r="E6375">
        <v>0.56139469999999903</v>
      </c>
      <c r="F6375" t="s">
        <v>42</v>
      </c>
      <c r="G6375">
        <v>-321.20519999999999</v>
      </c>
      <c r="H6375" s="1">
        <v>-4.8918000000000003E-6</v>
      </c>
      <c r="I6375">
        <v>15.36585</v>
      </c>
      <c r="J6375">
        <v>-349.36829999999998</v>
      </c>
      <c r="K6375">
        <v>1.1097360000000001</v>
      </c>
      <c r="L6375">
        <v>16.917760000000001</v>
      </c>
      <c r="M6375">
        <v>0.9996043</v>
      </c>
      <c r="N6375">
        <v>-6.8813470000000003E-3</v>
      </c>
      <c r="O6375">
        <v>2.7275009999999999E-2</v>
      </c>
      <c r="P6375">
        <v>0.99054790000000004</v>
      </c>
      <c r="Q6375">
        <v>-0.10717210000000001</v>
      </c>
      <c r="R6375">
        <v>8.5610939999999996E-2</v>
      </c>
      <c r="S6375">
        <v>3.0298769999999999</v>
      </c>
      <c r="T6375">
        <v>-0.1185658</v>
      </c>
      <c r="U6375">
        <v>-0.1651917</v>
      </c>
      <c r="V6375">
        <v>-5.8259209999999999E-2</v>
      </c>
      <c r="W6375">
        <v>-0.1005158</v>
      </c>
      <c r="X6375">
        <v>0.99322829999999995</v>
      </c>
      <c r="Y6375">
        <v>8.1567619999999993E-2</v>
      </c>
      <c r="Z6375">
        <v>-2.7539090000000001E-3</v>
      </c>
      <c r="AA6375">
        <v>0.99666399999999999</v>
      </c>
      <c r="AB6375">
        <v>36</v>
      </c>
      <c r="AC6375">
        <v>28.163099999999901</v>
      </c>
      <c r="AD6375">
        <v>-1.1097408918</v>
      </c>
      <c r="AE6375">
        <v>-1.5519099999999999</v>
      </c>
      <c r="AF6375">
        <v>2.3159146291105901</v>
      </c>
      <c r="AG6375">
        <v>-1.1097408918</v>
      </c>
      <c r="AH6375">
        <v>28.066845625105401</v>
      </c>
      <c r="AI6375">
        <v>92.256589281044896</v>
      </c>
      <c r="AJ6375">
        <v>85.2829679986842</v>
      </c>
      <c r="AK6375">
        <v>28.184087864604699</v>
      </c>
      <c r="AL6375">
        <v>95.768873248131797</v>
      </c>
      <c r="AM6375">
        <v>93.356918558750706</v>
      </c>
      <c r="AN6375">
        <v>1.0000000087601699</v>
      </c>
    </row>
    <row r="6376" spans="1:40" x14ac:dyDescent="0.25">
      <c r="A6376" t="str">
        <f>"20190305135052702"</f>
        <v>20190305135052702</v>
      </c>
      <c r="B6376" t="str">
        <f>"1551765052696712"</f>
        <v>1551765052696712</v>
      </c>
      <c r="C6376" t="s">
        <v>40</v>
      </c>
      <c r="D6376">
        <v>4.5028739999999896</v>
      </c>
      <c r="E6376">
        <v>0.56849240000000001</v>
      </c>
      <c r="F6376" t="s">
        <v>42</v>
      </c>
      <c r="G6376">
        <v>-325.70729999999998</v>
      </c>
      <c r="H6376" s="1">
        <v>-2.8138719999999999E-6</v>
      </c>
      <c r="I6376">
        <v>15.17693</v>
      </c>
      <c r="J6376">
        <v>-349.19880000000001</v>
      </c>
      <c r="K6376">
        <v>1.109728</v>
      </c>
      <c r="L6376">
        <v>16.922820000000002</v>
      </c>
      <c r="M6376">
        <v>0.99958950000000002</v>
      </c>
      <c r="N6376">
        <v>-7.0384269999999999E-3</v>
      </c>
      <c r="O6376">
        <v>2.7779359999999999E-2</v>
      </c>
      <c r="P6376">
        <v>0.99051929999999999</v>
      </c>
      <c r="Q6376">
        <v>-0.10714410000000001</v>
      </c>
      <c r="R6376">
        <v>8.5978139999999995E-2</v>
      </c>
      <c r="S6376">
        <v>3.0325319999999998</v>
      </c>
      <c r="T6376">
        <v>-0.142231</v>
      </c>
      <c r="U6376">
        <v>-0.22311400000000001</v>
      </c>
      <c r="V6376">
        <v>-5.8137189999999998E-2</v>
      </c>
      <c r="W6376">
        <v>-0.1003247</v>
      </c>
      <c r="X6376">
        <v>0.99325479999999999</v>
      </c>
      <c r="Y6376">
        <v>0.1009031</v>
      </c>
      <c r="Z6376">
        <v>-3.8230809999999999E-3</v>
      </c>
      <c r="AA6376">
        <v>0.99488889999999996</v>
      </c>
      <c r="AB6376">
        <v>36</v>
      </c>
      <c r="AC6376">
        <v>23.491499999999998</v>
      </c>
      <c r="AD6376">
        <v>-1.1097308138719999</v>
      </c>
      <c r="AE6376">
        <v>-1.7458899999999999</v>
      </c>
      <c r="AF6376">
        <v>2.3925013146883098</v>
      </c>
      <c r="AG6376">
        <v>-1.1097308138719999</v>
      </c>
      <c r="AH6376">
        <v>23.382040368041501</v>
      </c>
      <c r="AI6376">
        <v>92.703172741809098</v>
      </c>
      <c r="AJ6376">
        <v>84.157703669461299</v>
      </c>
      <c r="AK6376">
        <v>23.5303076221448</v>
      </c>
      <c r="AL6376">
        <v>95.757868227470595</v>
      </c>
      <c r="AM6376">
        <v>93.349814575139504</v>
      </c>
      <c r="AN6376">
        <v>1.0000000380071099</v>
      </c>
    </row>
    <row r="6377" spans="1:40" x14ac:dyDescent="0.25">
      <c r="A6377" t="str">
        <f>"20190305135052714"</f>
        <v>20190305135052714</v>
      </c>
      <c r="B6377" t="str">
        <f>"1551765052706472"</f>
        <v>1551765052706472</v>
      </c>
      <c r="C6377" t="s">
        <v>40</v>
      </c>
      <c r="D6377">
        <v>4.3485800000000001</v>
      </c>
      <c r="E6377">
        <v>0.57194889999999998</v>
      </c>
      <c r="F6377" t="s">
        <v>42</v>
      </c>
      <c r="G6377">
        <v>-324.86239999999998</v>
      </c>
      <c r="H6377" s="1">
        <v>-3.2821420000000002E-6</v>
      </c>
      <c r="I6377">
        <v>14.6942</v>
      </c>
      <c r="J6377">
        <v>-349.00760000000002</v>
      </c>
      <c r="K6377">
        <v>1.1097220000000001</v>
      </c>
      <c r="L6377">
        <v>16.928560000000001</v>
      </c>
      <c r="M6377">
        <v>0.99957260000000003</v>
      </c>
      <c r="N6377">
        <v>-7.2457859999999997E-3</v>
      </c>
      <c r="O6377">
        <v>2.8321900000000001E-2</v>
      </c>
      <c r="P6377">
        <v>0.99047560000000001</v>
      </c>
      <c r="Q6377">
        <v>-0.10713689999999999</v>
      </c>
      <c r="R6377">
        <v>8.6488880000000004E-2</v>
      </c>
      <c r="S6377">
        <v>3.037903</v>
      </c>
      <c r="T6377">
        <v>-0.1385276</v>
      </c>
      <c r="U6377">
        <v>-0.27819820000000001</v>
      </c>
      <c r="V6377">
        <v>-5.8124299999999997E-2</v>
      </c>
      <c r="W6377">
        <v>-0.1001039</v>
      </c>
      <c r="X6377">
        <v>0.99327779999999999</v>
      </c>
      <c r="Y6377">
        <v>0.119199</v>
      </c>
      <c r="Z6377">
        <v>-4.2274039999999997E-3</v>
      </c>
      <c r="AA6377">
        <v>0.99286140000000001</v>
      </c>
      <c r="AB6377">
        <v>36</v>
      </c>
      <c r="AC6377">
        <v>24.145199999999999</v>
      </c>
      <c r="AD6377">
        <v>-1.1097252821419901</v>
      </c>
      <c r="AE6377">
        <v>-2.2343600000000001</v>
      </c>
      <c r="AF6377">
        <v>2.9112221811802601</v>
      </c>
      <c r="AG6377">
        <v>-1.1097252821419901</v>
      </c>
      <c r="AH6377">
        <v>24.021918510420299</v>
      </c>
      <c r="AI6377">
        <v>92.625791057054897</v>
      </c>
      <c r="AJ6377">
        <v>83.090008169743498</v>
      </c>
      <c r="AK6377">
        <v>24.223114451104198</v>
      </c>
      <c r="AL6377">
        <v>95.745153492915406</v>
      </c>
      <c r="AM6377">
        <v>93.348996181778503</v>
      </c>
      <c r="AN6377">
        <v>1.00000000650927</v>
      </c>
    </row>
    <row r="6378" spans="1:40" x14ac:dyDescent="0.25">
      <c r="A6378" t="str">
        <f>"20190305135052725"</f>
        <v>20190305135052725</v>
      </c>
      <c r="B6378" t="str">
        <f>"1551765052716232"</f>
        <v>1551765052716232</v>
      </c>
      <c r="C6378" t="s">
        <v>40</v>
      </c>
      <c r="D6378">
        <v>4.287299</v>
      </c>
      <c r="E6378">
        <v>0.57441709999999901</v>
      </c>
      <c r="F6378" t="s">
        <v>42</v>
      </c>
      <c r="G6378">
        <v>-326.40460000000002</v>
      </c>
      <c r="H6378" s="1">
        <v>-2.6827760000000001E-6</v>
      </c>
      <c r="I6378">
        <v>14.663309999999999</v>
      </c>
      <c r="J6378">
        <v>-348.83300000000003</v>
      </c>
      <c r="K6378">
        <v>1.109726</v>
      </c>
      <c r="L6378">
        <v>16.933900000000001</v>
      </c>
      <c r="M6378">
        <v>0.9995579</v>
      </c>
      <c r="N6378">
        <v>-7.4778500000000003E-3</v>
      </c>
      <c r="O6378">
        <v>2.8780529999999999E-2</v>
      </c>
      <c r="P6378">
        <v>0.99045159999999999</v>
      </c>
      <c r="Q6378">
        <v>-0.1072094</v>
      </c>
      <c r="R6378">
        <v>8.6670960000000005E-2</v>
      </c>
      <c r="S6378">
        <v>3.039307</v>
      </c>
      <c r="T6378">
        <v>-0.14921879999999901</v>
      </c>
      <c r="U6378">
        <v>-0.30459589999999998</v>
      </c>
      <c r="V6378">
        <v>-5.7863810000000002E-2</v>
      </c>
      <c r="W6378">
        <v>-9.9938020000000002E-2</v>
      </c>
      <c r="X6378">
        <v>0.99330969999999996</v>
      </c>
      <c r="Y6378">
        <v>0.128114899999999</v>
      </c>
      <c r="Z6378">
        <v>-4.8102889999999997E-3</v>
      </c>
      <c r="AA6378">
        <v>0.99174770000000001</v>
      </c>
      <c r="AB6378">
        <v>36</v>
      </c>
      <c r="AC6378">
        <v>22.4284</v>
      </c>
      <c r="AD6378">
        <v>-1.109728682776</v>
      </c>
      <c r="AE6378">
        <v>-2.2705899999999999</v>
      </c>
      <c r="AF6378">
        <v>2.9081213052691401</v>
      </c>
      <c r="AG6378">
        <v>-1.109728682776</v>
      </c>
      <c r="AH6378">
        <v>22.299718934059701</v>
      </c>
      <c r="AI6378">
        <v>92.8250488039766</v>
      </c>
      <c r="AJ6378">
        <v>82.569950426147599</v>
      </c>
      <c r="AK6378">
        <v>22.515908416353</v>
      </c>
      <c r="AL6378">
        <v>95.735601438966995</v>
      </c>
      <c r="AM6378">
        <v>93.333914415863205</v>
      </c>
      <c r="AN6378">
        <v>0.99999999423166297</v>
      </c>
    </row>
    <row r="6379" spans="1:40" x14ac:dyDescent="0.25">
      <c r="A6379" t="str">
        <f>"20190305135052736"</f>
        <v>20190305135052736</v>
      </c>
      <c r="B6379" t="str">
        <f>"1551765052725992"</f>
        <v>1551765052725992</v>
      </c>
      <c r="C6379" t="s">
        <v>40</v>
      </c>
      <c r="D6379">
        <v>4.2951629999999996</v>
      </c>
      <c r="E6379">
        <v>0.57594219999999996</v>
      </c>
      <c r="F6379" t="s">
        <v>42</v>
      </c>
      <c r="G6379">
        <v>-326.24740000000003</v>
      </c>
      <c r="H6379" s="1">
        <v>-2.7785379999999999E-6</v>
      </c>
      <c r="I6379">
        <v>14.53026</v>
      </c>
      <c r="J6379">
        <v>-348.66050000000001</v>
      </c>
      <c r="K6379">
        <v>1.1097319999999999</v>
      </c>
      <c r="L6379">
        <v>16.939239999999899</v>
      </c>
      <c r="M6379">
        <v>0.99954379999999998</v>
      </c>
      <c r="N6379">
        <v>-7.74361199999999E-3</v>
      </c>
      <c r="O6379">
        <v>2.9195490000000001E-2</v>
      </c>
      <c r="P6379">
        <v>0.99045050000000001</v>
      </c>
      <c r="Q6379">
        <v>-0.1071988</v>
      </c>
      <c r="R6379">
        <v>8.6697200000000002E-2</v>
      </c>
      <c r="S6379">
        <v>3.0410460000000001</v>
      </c>
      <c r="T6379">
        <v>-0.14941969999999999</v>
      </c>
      <c r="U6379">
        <v>-0.32363890000000001</v>
      </c>
      <c r="V6379">
        <v>-5.7491269999999997E-2</v>
      </c>
      <c r="W6379">
        <v>-9.965504E-2</v>
      </c>
      <c r="X6379">
        <v>0.99335969999999996</v>
      </c>
      <c r="Y6379">
        <v>0.13460229999999901</v>
      </c>
      <c r="Z6379">
        <v>-5.0232410000000003E-3</v>
      </c>
      <c r="AA6379">
        <v>0.99088699999999996</v>
      </c>
      <c r="AB6379">
        <v>36</v>
      </c>
      <c r="AC6379">
        <v>22.413099999999901</v>
      </c>
      <c r="AD6379">
        <v>-1.1097347785379901</v>
      </c>
      <c r="AE6379">
        <v>-2.4089799999999899</v>
      </c>
      <c r="AF6379">
        <v>3.0549303697966499</v>
      </c>
      <c r="AG6379">
        <v>-1.1097347785379901</v>
      </c>
      <c r="AH6379">
        <v>22.279217649028102</v>
      </c>
      <c r="AI6379">
        <v>92.825171647777694</v>
      </c>
      <c r="AJ6379">
        <v>82.192282772163693</v>
      </c>
      <c r="AK6379">
        <v>22.515053850607799</v>
      </c>
      <c r="AL6379">
        <v>95.719306882107702</v>
      </c>
      <c r="AM6379">
        <v>93.312331528830398</v>
      </c>
      <c r="AN6379">
        <v>0.99999993335384896</v>
      </c>
    </row>
    <row r="6380" spans="1:40" x14ac:dyDescent="0.25">
      <c r="A6380" t="str">
        <f>"20190305135052747"</f>
        <v>20190305135052747</v>
      </c>
      <c r="B6380" t="str">
        <f>"1551765052736728"</f>
        <v>1551765052736728</v>
      </c>
      <c r="C6380" t="s">
        <v>40</v>
      </c>
      <c r="D6380">
        <v>4.2743539999999998</v>
      </c>
      <c r="E6380">
        <v>0.57730619999999999</v>
      </c>
      <c r="F6380" t="s">
        <v>42</v>
      </c>
      <c r="G6380">
        <v>-326.56920000000002</v>
      </c>
      <c r="H6380" s="1">
        <v>-2.6630749999999999E-6</v>
      </c>
      <c r="I6380">
        <v>14.49986</v>
      </c>
      <c r="J6380">
        <v>-348.47149999999999</v>
      </c>
      <c r="K6380">
        <v>1.109742</v>
      </c>
      <c r="L6380">
        <v>16.9451</v>
      </c>
      <c r="M6380">
        <v>0.9995288</v>
      </c>
      <c r="N6380">
        <v>-8.0627110000000002E-3</v>
      </c>
      <c r="O6380">
        <v>2.9621020000000001E-2</v>
      </c>
      <c r="P6380">
        <v>0.99042050000000004</v>
      </c>
      <c r="Q6380">
        <v>-0.1074577</v>
      </c>
      <c r="R6380">
        <v>8.6720939999999996E-2</v>
      </c>
      <c r="S6380">
        <v>3.0417480000000001</v>
      </c>
      <c r="T6380">
        <v>-0.15279889999999999</v>
      </c>
      <c r="U6380">
        <v>-0.33587650000000002</v>
      </c>
      <c r="V6380">
        <v>-5.710751E-2</v>
      </c>
      <c r="W6380">
        <v>-9.9587949999999995E-2</v>
      </c>
      <c r="X6380">
        <v>0.99338870000000001</v>
      </c>
      <c r="Y6380">
        <v>0.13892270000000001</v>
      </c>
      <c r="Z6380">
        <v>-5.2838049999999999E-3</v>
      </c>
      <c r="AA6380">
        <v>0.99028919999999998</v>
      </c>
      <c r="AB6380">
        <v>36</v>
      </c>
      <c r="AC6380">
        <v>21.902299999999901</v>
      </c>
      <c r="AD6380">
        <v>-1.1097446630750001</v>
      </c>
      <c r="AE6380">
        <v>-2.4452400000000001</v>
      </c>
      <c r="AF6380">
        <v>3.0851336631841502</v>
      </c>
      <c r="AG6380">
        <v>-1.1097446630750001</v>
      </c>
      <c r="AH6380">
        <v>21.765067525358699</v>
      </c>
      <c r="AI6380">
        <v>92.8899972722634</v>
      </c>
      <c r="AJ6380">
        <v>81.932240038123894</v>
      </c>
      <c r="AK6380">
        <v>22.010628053746199</v>
      </c>
      <c r="AL6380">
        <v>95.715442915851</v>
      </c>
      <c r="AM6380">
        <v>93.290174281195604</v>
      </c>
      <c r="AN6380">
        <v>1.00000006838564</v>
      </c>
    </row>
    <row r="6381" spans="1:40" x14ac:dyDescent="0.25">
      <c r="A6381" t="str">
        <f>"20190305135052759"</f>
        <v>20190305135052759</v>
      </c>
      <c r="B6381" t="str">
        <f>"1551765052756248"</f>
        <v>1551765052756248</v>
      </c>
      <c r="C6381" t="s">
        <v>40</v>
      </c>
      <c r="D6381">
        <v>4.2996040000000004</v>
      </c>
      <c r="E6381">
        <v>0.57929710000000001</v>
      </c>
      <c r="F6381" t="s">
        <v>42</v>
      </c>
      <c r="G6381">
        <v>-326.23970000000003</v>
      </c>
      <c r="H6381" s="1">
        <v>-2.812763E-6</v>
      </c>
      <c r="I6381">
        <v>14.4126799999999</v>
      </c>
      <c r="J6381">
        <v>-348.2944</v>
      </c>
      <c r="K6381">
        <v>1.109748</v>
      </c>
      <c r="L6381">
        <v>16.950710000000001</v>
      </c>
      <c r="M6381">
        <v>0.99951599999999996</v>
      </c>
      <c r="N6381">
        <v>-8.3853369999999997E-3</v>
      </c>
      <c r="O6381">
        <v>2.9962510000000001E-2</v>
      </c>
      <c r="P6381">
        <v>0.99037419999999998</v>
      </c>
      <c r="Q6381">
        <v>-0.1078609</v>
      </c>
      <c r="R6381">
        <v>8.6747299999999999E-2</v>
      </c>
      <c r="S6381">
        <v>3.0429080000000002</v>
      </c>
      <c r="T6381">
        <v>-0.15189349999999999</v>
      </c>
      <c r="U6381">
        <v>-0.3466187</v>
      </c>
      <c r="V6381">
        <v>-5.6810069999999997E-2</v>
      </c>
      <c r="W6381">
        <v>-9.9662070000000005E-2</v>
      </c>
      <c r="X6381">
        <v>0.99339820000000001</v>
      </c>
      <c r="Y6381">
        <v>0.14266789999999999</v>
      </c>
      <c r="Z6381">
        <v>-5.3877949999999999E-3</v>
      </c>
      <c r="AA6381">
        <v>0.98975590000000002</v>
      </c>
      <c r="AB6381">
        <v>36</v>
      </c>
      <c r="AC6381">
        <v>22.054699999999901</v>
      </c>
      <c r="AD6381">
        <v>-1.109750812763</v>
      </c>
      <c r="AE6381">
        <v>-2.53803</v>
      </c>
      <c r="AF6381">
        <v>3.1897570786468998</v>
      </c>
      <c r="AG6381">
        <v>-1.109750812763</v>
      </c>
      <c r="AH6381">
        <v>21.913989732473802</v>
      </c>
      <c r="AI6381">
        <v>92.868869713972103</v>
      </c>
      <c r="AJ6381">
        <v>81.718301123036497</v>
      </c>
      <c r="AK6381">
        <v>22.1727094213173</v>
      </c>
      <c r="AL6381">
        <v>95.7197116026164</v>
      </c>
      <c r="AM6381">
        <v>93.273043787918297</v>
      </c>
      <c r="AN6381">
        <v>0.99999994800666303</v>
      </c>
    </row>
    <row r="6382" spans="1:40" x14ac:dyDescent="0.25">
      <c r="A6382" t="str">
        <f>"20190305135052771"</f>
        <v>20190305135052771</v>
      </c>
      <c r="B6382" t="str">
        <f>"1551765052766008"</f>
        <v>1551765052766008</v>
      </c>
      <c r="C6382" t="s">
        <v>40</v>
      </c>
      <c r="D6382">
        <v>4.3027829999999998</v>
      </c>
      <c r="E6382">
        <v>0.57970290000000002</v>
      </c>
      <c r="F6382" t="s">
        <v>42</v>
      </c>
      <c r="G6382">
        <v>-324.78809999999999</v>
      </c>
      <c r="H6382" s="1">
        <v>-3.4382380000000002E-6</v>
      </c>
      <c r="I6382">
        <v>14.157069999999999</v>
      </c>
      <c r="J6382">
        <v>-348.09190000000001</v>
      </c>
      <c r="K6382">
        <v>1.10975</v>
      </c>
      <c r="L6382">
        <v>16.957090000000001</v>
      </c>
      <c r="M6382">
        <v>0.99950159999999999</v>
      </c>
      <c r="N6382">
        <v>-8.7594830000000002E-3</v>
      </c>
      <c r="O6382">
        <v>3.032781E-2</v>
      </c>
      <c r="P6382">
        <v>0.99031009999999997</v>
      </c>
      <c r="Q6382">
        <v>-0.1083368</v>
      </c>
      <c r="R6382">
        <v>8.6885899999999905E-2</v>
      </c>
      <c r="S6382">
        <v>3.045166</v>
      </c>
      <c r="T6382">
        <v>-0.14376459999999999</v>
      </c>
      <c r="U6382">
        <v>-0.36190800000000001</v>
      </c>
      <c r="V6382">
        <v>-5.6604429999999997E-2</v>
      </c>
      <c r="W6382">
        <v>-9.9756549999999999E-2</v>
      </c>
      <c r="X6382">
        <v>0.99340050000000002</v>
      </c>
      <c r="Y6382">
        <v>0.14786369999999999</v>
      </c>
      <c r="Z6382">
        <v>-5.2884840000000004E-3</v>
      </c>
      <c r="AA6382">
        <v>0.98899360000000003</v>
      </c>
      <c r="AB6382">
        <v>36</v>
      </c>
      <c r="AC6382">
        <v>23.303799999999999</v>
      </c>
      <c r="AD6382">
        <v>-1.1097534382379901</v>
      </c>
      <c r="AE6382">
        <v>-2.80002</v>
      </c>
      <c r="AF6382">
        <v>3.49769316933362</v>
      </c>
      <c r="AG6382">
        <v>-1.1097534382379901</v>
      </c>
      <c r="AH6382">
        <v>23.156391739690299</v>
      </c>
      <c r="AI6382">
        <v>92.7130320986291</v>
      </c>
      <c r="AJ6382">
        <v>81.410599781971001</v>
      </c>
      <c r="AK6382">
        <v>23.4453383128178</v>
      </c>
      <c r="AL6382">
        <v>95.725151766693401</v>
      </c>
      <c r="AM6382">
        <v>93.261214171554897</v>
      </c>
      <c r="AN6382">
        <v>0.99999999208188795</v>
      </c>
    </row>
    <row r="6383" spans="1:40" x14ac:dyDescent="0.25">
      <c r="A6383" t="str">
        <f>"20190305135052784"</f>
        <v>20190305135052784</v>
      </c>
      <c r="B6383" t="str">
        <f>"1551765052776744"</f>
        <v>1551765052776744</v>
      </c>
      <c r="C6383" t="s">
        <v>40</v>
      </c>
      <c r="D6383">
        <v>4.3410279999999997</v>
      </c>
      <c r="E6383">
        <v>0.57956719999999995</v>
      </c>
      <c r="F6383" t="s">
        <v>42</v>
      </c>
      <c r="G6383">
        <v>-325.4452</v>
      </c>
      <c r="H6383" s="1">
        <v>-3.1628820000000002E-6</v>
      </c>
      <c r="I6383">
        <v>14.24352</v>
      </c>
      <c r="J6383">
        <v>-347.88670000000002</v>
      </c>
      <c r="K6383">
        <v>1.109739</v>
      </c>
      <c r="L6383">
        <v>16.963650000000001</v>
      </c>
      <c r="M6383">
        <v>0.99948919999999997</v>
      </c>
      <c r="N6383">
        <v>-9.1356260000000009E-3</v>
      </c>
      <c r="O6383">
        <v>3.062674E-2</v>
      </c>
      <c r="P6383">
        <v>0.99030870000000004</v>
      </c>
      <c r="Q6383">
        <v>-0.1085255</v>
      </c>
      <c r="R6383">
        <v>8.6665980000000004E-2</v>
      </c>
      <c r="S6383">
        <v>3.0450740000000001</v>
      </c>
      <c r="T6383">
        <v>-0.14921779999999901</v>
      </c>
      <c r="U6383">
        <v>-0.36486819999999998</v>
      </c>
      <c r="V6383">
        <v>-5.610627E-2</v>
      </c>
      <c r="W6383">
        <v>-9.9560049999999997E-2</v>
      </c>
      <c r="X6383">
        <v>0.99344849999999996</v>
      </c>
      <c r="Y6383">
        <v>0.14909229999999901</v>
      </c>
      <c r="Z6383">
        <v>-5.5382549999999997E-3</v>
      </c>
      <c r="AA6383">
        <v>0.98880780000000001</v>
      </c>
      <c r="AB6383">
        <v>36</v>
      </c>
      <c r="AC6383">
        <v>22.441500000000001</v>
      </c>
      <c r="AD6383">
        <v>-1.1097421628819999</v>
      </c>
      <c r="AE6383">
        <v>-2.7201299999999899</v>
      </c>
      <c r="AF6383">
        <v>3.3980035005631701</v>
      </c>
      <c r="AG6383">
        <v>-1.1097421628819999</v>
      </c>
      <c r="AH6383">
        <v>22.293932392933801</v>
      </c>
      <c r="AI6383">
        <v>92.817221093866905</v>
      </c>
      <c r="AJ6383">
        <v>81.333772712575893</v>
      </c>
      <c r="AK6383">
        <v>22.578692986942801</v>
      </c>
      <c r="AL6383">
        <v>95.713836659045498</v>
      </c>
      <c r="AM6383">
        <v>93.232418404398899</v>
      </c>
      <c r="AN6383">
        <v>1.0000000196207799</v>
      </c>
    </row>
    <row r="6384" spans="1:40" x14ac:dyDescent="0.25">
      <c r="A6384" t="str">
        <f>"20190305135052798"</f>
        <v>20190305135052798</v>
      </c>
      <c r="B6384" t="str">
        <f>"1551765052786503"</f>
        <v>1551765052786503</v>
      </c>
      <c r="C6384" t="s">
        <v>40</v>
      </c>
      <c r="D6384">
        <v>4.2794369999999997</v>
      </c>
      <c r="E6384">
        <v>0.57957579999999997</v>
      </c>
      <c r="F6384" t="s">
        <v>42</v>
      </c>
      <c r="G6384">
        <v>-326.88440000000003</v>
      </c>
      <c r="H6384" s="1">
        <v>-2.5566459999999998E-6</v>
      </c>
      <c r="I6384">
        <v>14.44487</v>
      </c>
      <c r="J6384">
        <v>-347.6748</v>
      </c>
      <c r="K6384">
        <v>1.1097189999999999</v>
      </c>
      <c r="L6384">
        <v>16.970400000000001</v>
      </c>
      <c r="M6384">
        <v>0.99947779999999997</v>
      </c>
      <c r="N6384">
        <v>-9.5118749999999995E-3</v>
      </c>
      <c r="O6384">
        <v>3.0886719999999999E-2</v>
      </c>
      <c r="P6384">
        <v>0.99028769999999999</v>
      </c>
      <c r="Q6384">
        <v>-0.10884149999999999</v>
      </c>
      <c r="R6384">
        <v>8.6510790000000004E-2</v>
      </c>
      <c r="S6384">
        <v>3.0436399999999999</v>
      </c>
      <c r="T6384">
        <v>-0.1608231</v>
      </c>
      <c r="U6384">
        <v>-0.36502079999999998</v>
      </c>
      <c r="V6384">
        <v>-5.5712999999999999E-2</v>
      </c>
      <c r="W6384">
        <v>-9.9490670000000003E-2</v>
      </c>
      <c r="X6384">
        <v>0.99347759999999996</v>
      </c>
      <c r="Y6384">
        <v>0.14941559999999901</v>
      </c>
      <c r="Z6384">
        <v>-5.9775779999999999E-3</v>
      </c>
      <c r="AA6384">
        <v>0.98875639999999998</v>
      </c>
      <c r="AB6384">
        <v>36</v>
      </c>
      <c r="AC6384">
        <v>20.790399999999899</v>
      </c>
      <c r="AD6384">
        <v>-1.1097215566459999</v>
      </c>
      <c r="AE6384">
        <v>-2.5255299999999998</v>
      </c>
      <c r="AF6384">
        <v>3.1576356588933998</v>
      </c>
      <c r="AG6384">
        <v>-1.1097215566459999</v>
      </c>
      <c r="AH6384">
        <v>20.644508739109501</v>
      </c>
      <c r="AI6384">
        <v>93.041601519047106</v>
      </c>
      <c r="AJ6384">
        <v>81.303845708424902</v>
      </c>
      <c r="AK6384">
        <v>20.914059528622499</v>
      </c>
      <c r="AL6384">
        <v>95.709841544693205</v>
      </c>
      <c r="AM6384">
        <v>93.209714885419004</v>
      </c>
      <c r="AN6384">
        <v>1.0000000367438999</v>
      </c>
    </row>
    <row r="6385" spans="1:40" x14ac:dyDescent="0.25">
      <c r="A6385" t="str">
        <f>"20190305135052814"</f>
        <v>20190305135052814</v>
      </c>
      <c r="B6385" t="str">
        <f>"1551765052806024"</f>
        <v>1551765052806024</v>
      </c>
      <c r="C6385" t="s">
        <v>40</v>
      </c>
      <c r="D6385">
        <v>4.2769740000000001</v>
      </c>
      <c r="E6385">
        <v>0.57954899999999998</v>
      </c>
      <c r="F6385" t="s">
        <v>42</v>
      </c>
      <c r="G6385">
        <v>-327.49979999999999</v>
      </c>
      <c r="H6385" s="1">
        <v>-2.2935519999999999E-6</v>
      </c>
      <c r="I6385">
        <v>14.545439999999999</v>
      </c>
      <c r="J6385">
        <v>-347.40269999999998</v>
      </c>
      <c r="K6385">
        <v>1.1096820000000001</v>
      </c>
      <c r="L6385">
        <v>16.979129999999898</v>
      </c>
      <c r="M6385">
        <v>0.99946500000000005</v>
      </c>
      <c r="N6385">
        <v>-9.9750080000000005E-3</v>
      </c>
      <c r="O6385">
        <v>3.1151209999999999E-2</v>
      </c>
      <c r="P6385">
        <v>0.99039469999999996</v>
      </c>
      <c r="Q6385">
        <v>-0.10853069999999999</v>
      </c>
      <c r="R6385">
        <v>8.5671949999999997E-2</v>
      </c>
      <c r="S6385">
        <v>3.0429689999999998</v>
      </c>
      <c r="T6385">
        <v>-0.16737779999999899</v>
      </c>
      <c r="U6385">
        <v>-0.3657532</v>
      </c>
      <c r="V6385">
        <v>-5.4635280000000001E-2</v>
      </c>
      <c r="W6385">
        <v>-9.8702979999999996E-2</v>
      </c>
      <c r="X6385">
        <v>0.99361600000000005</v>
      </c>
      <c r="Y6385">
        <v>0.14991370000000001</v>
      </c>
      <c r="Z6385">
        <v>-6.2534879999999998E-3</v>
      </c>
      <c r="AA6385">
        <v>0.98867930000000004</v>
      </c>
      <c r="AB6385">
        <v>36</v>
      </c>
      <c r="AC6385">
        <v>19.902899999999899</v>
      </c>
      <c r="AD6385">
        <v>-1.1096842935519999</v>
      </c>
      <c r="AE6385">
        <v>-2.4336899999999901</v>
      </c>
      <c r="AF6385">
        <v>3.0432181676322299</v>
      </c>
      <c r="AG6385">
        <v>-1.1096842935519999</v>
      </c>
      <c r="AH6385">
        <v>19.7569119236631</v>
      </c>
      <c r="AI6385">
        <v>93.177353876023602</v>
      </c>
      <c r="AJ6385">
        <v>81.243375094331299</v>
      </c>
      <c r="AK6385">
        <v>20.0206929152451</v>
      </c>
      <c r="AL6385">
        <v>95.664487061929606</v>
      </c>
      <c r="AM6385">
        <v>93.147314234994397</v>
      </c>
      <c r="AN6385">
        <v>1.0000000237687701</v>
      </c>
    </row>
    <row r="6386" spans="1:40" x14ac:dyDescent="0.25">
      <c r="A6386" t="str">
        <f>"20190305135052825"</f>
        <v>20190305135052825</v>
      </c>
      <c r="B6386" t="str">
        <f>"1551765052816761"</f>
        <v>1551765052816761</v>
      </c>
      <c r="C6386" t="s">
        <v>40</v>
      </c>
      <c r="D6386">
        <v>4.2949250000000001</v>
      </c>
      <c r="E6386">
        <v>0.57958759999999998</v>
      </c>
      <c r="F6386" t="s">
        <v>42</v>
      </c>
      <c r="G6386">
        <v>-328.9751</v>
      </c>
      <c r="H6386" s="1">
        <v>-1.674239E-6</v>
      </c>
      <c r="I6386">
        <v>14.74385</v>
      </c>
      <c r="J6386">
        <v>-347.2165</v>
      </c>
      <c r="K6386">
        <v>1.109648</v>
      </c>
      <c r="L6386">
        <v>16.985109999999999</v>
      </c>
      <c r="M6386">
        <v>0.99945779999999995</v>
      </c>
      <c r="N6386">
        <v>-1.027602E-2</v>
      </c>
      <c r="O6386">
        <v>3.1286349999999997E-2</v>
      </c>
      <c r="P6386">
        <v>0.99041319999999999</v>
      </c>
      <c r="Q6386">
        <v>-0.1087544</v>
      </c>
      <c r="R6386">
        <v>8.517305E-2</v>
      </c>
      <c r="S6386">
        <v>3.040924</v>
      </c>
      <c r="T6386">
        <v>-0.18312</v>
      </c>
      <c r="U6386">
        <v>-0.36886600000000003</v>
      </c>
      <c r="V6386">
        <v>-5.4018370000000003E-2</v>
      </c>
      <c r="W6386">
        <v>-9.8617250000000004E-2</v>
      </c>
      <c r="X6386">
        <v>0.99365820000000005</v>
      </c>
      <c r="Y6386">
        <v>0.15106429999999901</v>
      </c>
      <c r="Z6386">
        <v>-6.8637389999999998E-3</v>
      </c>
      <c r="AA6386">
        <v>0.98850009999999999</v>
      </c>
      <c r="AB6386">
        <v>36</v>
      </c>
      <c r="AC6386">
        <v>18.241399999999999</v>
      </c>
      <c r="AD6386">
        <v>-1.1096496742389901</v>
      </c>
      <c r="AE6386">
        <v>-2.2412599999999898</v>
      </c>
      <c r="AF6386">
        <v>2.8006898632878099</v>
      </c>
      <c r="AG6386">
        <v>-1.1096496742389901</v>
      </c>
      <c r="AH6386">
        <v>18.096375680364201</v>
      </c>
      <c r="AI6386">
        <v>93.467738342081205</v>
      </c>
      <c r="AJ6386">
        <v>81.202402856694107</v>
      </c>
      <c r="AK6386">
        <v>18.345408114150501</v>
      </c>
      <c r="AL6386">
        <v>95.659551247933805</v>
      </c>
      <c r="AM6386">
        <v>93.111714925706394</v>
      </c>
      <c r="AN6386">
        <v>0.99999998236112897</v>
      </c>
    </row>
    <row r="6387" spans="1:40" x14ac:dyDescent="0.25">
      <c r="A6387" t="str">
        <f>"20190305135052836"</f>
        <v>20190305135052836</v>
      </c>
      <c r="B6387" t="str">
        <f>"1551765052826520"</f>
        <v>1551765052826520</v>
      </c>
      <c r="C6387" t="s">
        <v>40</v>
      </c>
      <c r="D6387">
        <v>4.2471319999999997</v>
      </c>
      <c r="E6387">
        <v>0.57986599999999999</v>
      </c>
      <c r="F6387" t="s">
        <v>42</v>
      </c>
      <c r="G6387">
        <v>-329.52</v>
      </c>
      <c r="H6387" s="1">
        <v>-1.44321499999999E-6</v>
      </c>
      <c r="I6387">
        <v>14.825609999999999</v>
      </c>
      <c r="J6387">
        <v>-347.06209999999999</v>
      </c>
      <c r="K6387">
        <v>1.1096189999999999</v>
      </c>
      <c r="L6387">
        <v>16.99005</v>
      </c>
      <c r="M6387">
        <v>0.99945269999999997</v>
      </c>
      <c r="N6387">
        <v>-1.0513440000000001E-2</v>
      </c>
      <c r="O6387">
        <v>3.1368199999999999E-2</v>
      </c>
      <c r="P6387">
        <v>0.99048170000000002</v>
      </c>
      <c r="Q6387">
        <v>-0.10857650000000001</v>
      </c>
      <c r="R6387">
        <v>8.4601579999999996E-2</v>
      </c>
      <c r="S6387">
        <v>3.040009</v>
      </c>
      <c r="T6387">
        <v>-0.19062219999999999</v>
      </c>
      <c r="U6387">
        <v>-0.37097170000000002</v>
      </c>
      <c r="V6387">
        <v>-5.3377639999999997E-2</v>
      </c>
      <c r="W6387">
        <v>-9.819456E-2</v>
      </c>
      <c r="X6387">
        <v>0.99373469999999997</v>
      </c>
      <c r="Y6387">
        <v>0.1518245</v>
      </c>
      <c r="Z6387">
        <v>-7.1700740000000002E-3</v>
      </c>
      <c r="AA6387">
        <v>0.98838139999999997</v>
      </c>
      <c r="AB6387">
        <v>36</v>
      </c>
      <c r="AC6387">
        <v>17.542100000000001</v>
      </c>
      <c r="AD6387">
        <v>-1.1096204432150001</v>
      </c>
      <c r="AE6387">
        <v>-2.1644399999999901</v>
      </c>
      <c r="AF6387">
        <v>2.70301620117846</v>
      </c>
      <c r="AG6387">
        <v>-1.1096204432150001</v>
      </c>
      <c r="AH6387">
        <v>17.397003848418802</v>
      </c>
      <c r="AI6387">
        <v>93.606357424239704</v>
      </c>
      <c r="AJ6387">
        <v>81.168425530123201</v>
      </c>
      <c r="AK6387">
        <v>17.6406716712753</v>
      </c>
      <c r="AL6387">
        <v>95.635214679581296</v>
      </c>
      <c r="AM6387">
        <v>93.074640825905504</v>
      </c>
      <c r="AN6387">
        <v>0.99999999902482595</v>
      </c>
    </row>
    <row r="6388" spans="1:40" x14ac:dyDescent="0.25">
      <c r="A6388" t="str">
        <f>"20190305135052847"</f>
        <v>20190305135052847</v>
      </c>
      <c r="B6388" t="str">
        <f>"1551765052836281"</f>
        <v>1551765052836281</v>
      </c>
      <c r="C6388" t="s">
        <v>40</v>
      </c>
      <c r="D6388">
        <v>4.28125</v>
      </c>
      <c r="E6388">
        <v>0.57991090000000001</v>
      </c>
      <c r="F6388" t="s">
        <v>42</v>
      </c>
      <c r="G6388">
        <v>-329.55919999999998</v>
      </c>
      <c r="H6388" s="1">
        <v>-1.4269249999999999E-6</v>
      </c>
      <c r="I6388">
        <v>14.83024</v>
      </c>
      <c r="J6388">
        <v>-346.88459999999998</v>
      </c>
      <c r="K6388">
        <v>1.109583</v>
      </c>
      <c r="L6388">
        <v>16.995729999999998</v>
      </c>
      <c r="M6388">
        <v>0.99944750000000004</v>
      </c>
      <c r="N6388">
        <v>-1.077872E-2</v>
      </c>
      <c r="O6388">
        <v>3.1443739999999998E-2</v>
      </c>
      <c r="P6388">
        <v>0.99050130000000003</v>
      </c>
      <c r="Q6388">
        <v>-0.1089662</v>
      </c>
      <c r="R6388">
        <v>8.3866999999999997E-2</v>
      </c>
      <c r="S6388">
        <v>3.0397029999999998</v>
      </c>
      <c r="T6388">
        <v>-0.1927065</v>
      </c>
      <c r="U6388">
        <v>-0.37509160000000002</v>
      </c>
      <c r="V6388">
        <v>-5.2583320000000003E-2</v>
      </c>
      <c r="W6388">
        <v>-9.8311529999999994E-2</v>
      </c>
      <c r="X6388">
        <v>0.99376549999999997</v>
      </c>
      <c r="Y6388">
        <v>0.15321850000000001</v>
      </c>
      <c r="Z6388">
        <v>-7.3108409999999898E-3</v>
      </c>
      <c r="AA6388">
        <v>0.98816530000000002</v>
      </c>
      <c r="AB6388">
        <v>36</v>
      </c>
      <c r="AC6388">
        <v>17.325399999999998</v>
      </c>
      <c r="AD6388">
        <v>-1.1095844269249999</v>
      </c>
      <c r="AE6388">
        <v>-2.1654899999999899</v>
      </c>
      <c r="AF6388">
        <v>2.6983288134169801</v>
      </c>
      <c r="AG6388">
        <v>-1.1095844269249999</v>
      </c>
      <c r="AH6388">
        <v>17.179357816650001</v>
      </c>
      <c r="AI6388">
        <v>93.650863858268494</v>
      </c>
      <c r="AJ6388">
        <v>81.073590899755501</v>
      </c>
      <c r="AK6388">
        <v>17.425340483855202</v>
      </c>
      <c r="AL6388">
        <v>95.641949057343993</v>
      </c>
      <c r="AM6388">
        <v>93.028878812222899</v>
      </c>
      <c r="AN6388">
        <v>1.0000000157316999</v>
      </c>
    </row>
    <row r="6389" spans="1:40" x14ac:dyDescent="0.25">
      <c r="A6389" t="str">
        <f>"20190305135052858"</f>
        <v>20190305135052858</v>
      </c>
      <c r="B6389" t="str">
        <f>"1551765052846040"</f>
        <v>1551765052846040</v>
      </c>
      <c r="C6389" t="s">
        <v>40</v>
      </c>
      <c r="D6389">
        <v>4.2643649999999997</v>
      </c>
      <c r="E6389">
        <v>0.57993819999999996</v>
      </c>
      <c r="F6389" t="s">
        <v>42</v>
      </c>
      <c r="G6389">
        <v>-329.99299999999999</v>
      </c>
      <c r="H6389" s="1">
        <v>-5.1128399999999998E-6</v>
      </c>
      <c r="I6389">
        <v>14.8943799999999</v>
      </c>
      <c r="J6389">
        <v>-346.70490000000001</v>
      </c>
      <c r="K6389">
        <v>1.1095429999999999</v>
      </c>
      <c r="L6389">
        <v>17.001460000000002</v>
      </c>
      <c r="M6389">
        <v>0.99944379999999999</v>
      </c>
      <c r="N6389">
        <v>-1.1029509999999999E-2</v>
      </c>
      <c r="O6389">
        <v>3.1473830000000001E-2</v>
      </c>
      <c r="P6389">
        <v>0.9904982</v>
      </c>
      <c r="Q6389">
        <v>-0.109477</v>
      </c>
      <c r="R6389">
        <v>8.3237050000000007E-2</v>
      </c>
      <c r="S6389">
        <v>3.038818</v>
      </c>
      <c r="T6389">
        <v>-0.1996164</v>
      </c>
      <c r="U6389">
        <v>-0.3780212</v>
      </c>
      <c r="V6389">
        <v>-5.1938959999999999E-2</v>
      </c>
      <c r="W6389">
        <v>-9.8564460000000007E-2</v>
      </c>
      <c r="X6389">
        <v>0.9937743</v>
      </c>
      <c r="Y6389">
        <v>0.1541902</v>
      </c>
      <c r="Z6389">
        <v>-7.6068569999999999E-3</v>
      </c>
      <c r="AA6389">
        <v>0.98801190000000005</v>
      </c>
      <c r="AB6389">
        <v>36</v>
      </c>
      <c r="AC6389">
        <v>16.711899999999901</v>
      </c>
      <c r="AD6389">
        <v>-1.10954811284</v>
      </c>
      <c r="AE6389">
        <v>-2.1070799999999998</v>
      </c>
      <c r="AF6389">
        <v>2.6206842442221299</v>
      </c>
      <c r="AG6389">
        <v>-1.10954811284</v>
      </c>
      <c r="AH6389">
        <v>16.5654200317408</v>
      </c>
      <c r="AI6389">
        <v>93.785001657856199</v>
      </c>
      <c r="AJ6389">
        <v>81.010191927291999</v>
      </c>
      <c r="AK6389">
        <v>16.808099944687999</v>
      </c>
      <c r="AL6389">
        <v>95.656511787233995</v>
      </c>
      <c r="AM6389">
        <v>92.991804104718398</v>
      </c>
      <c r="AN6389">
        <v>0.99999998384073097</v>
      </c>
    </row>
    <row r="6390" spans="1:40" x14ac:dyDescent="0.25">
      <c r="A6390" t="str">
        <f>"20190305135052869"</f>
        <v>20190305135052869</v>
      </c>
      <c r="B6390" t="str">
        <f>"1551765052866536"</f>
        <v>1551765052866536</v>
      </c>
      <c r="C6390" t="s">
        <v>40</v>
      </c>
      <c r="D6390">
        <v>4.2578360000000002</v>
      </c>
      <c r="E6390">
        <v>0.58023849999999999</v>
      </c>
      <c r="F6390" t="s">
        <v>42</v>
      </c>
      <c r="G6390">
        <v>-330.35480000000001</v>
      </c>
      <c r="H6390" s="1">
        <v>-4.9470780000000003E-6</v>
      </c>
      <c r="I6390">
        <v>14.954040000000001</v>
      </c>
      <c r="J6390">
        <v>-346.53160000000003</v>
      </c>
      <c r="K6390">
        <v>1.109504</v>
      </c>
      <c r="L6390">
        <v>17.006959999999999</v>
      </c>
      <c r="M6390">
        <v>0.99944069999999996</v>
      </c>
      <c r="N6390">
        <v>-1.1266429999999999E-2</v>
      </c>
      <c r="O6390">
        <v>3.148989E-2</v>
      </c>
      <c r="P6390">
        <v>0.99053729999999995</v>
      </c>
      <c r="Q6390">
        <v>-0.1096401</v>
      </c>
      <c r="R6390">
        <v>8.2553970000000004E-2</v>
      </c>
      <c r="S6390">
        <v>3.037903</v>
      </c>
      <c r="T6390">
        <v>-0.2061568</v>
      </c>
      <c r="U6390">
        <v>-0.38040160000000001</v>
      </c>
      <c r="V6390">
        <v>-5.1254149999999998E-2</v>
      </c>
      <c r="W6390">
        <v>-9.8483580000000001E-2</v>
      </c>
      <c r="X6390">
        <v>0.99381790000000003</v>
      </c>
      <c r="Y6390">
        <v>0.15497439999999901</v>
      </c>
      <c r="Z6390">
        <v>-7.8836440000000004E-3</v>
      </c>
      <c r="AA6390">
        <v>0.98788699999999996</v>
      </c>
      <c r="AB6390">
        <v>36</v>
      </c>
      <c r="AC6390">
        <v>16.1768</v>
      </c>
      <c r="AD6390">
        <v>-1.109508947078</v>
      </c>
      <c r="AE6390">
        <v>-2.0529199999999999</v>
      </c>
      <c r="AF6390">
        <v>2.5495365062597499</v>
      </c>
      <c r="AG6390">
        <v>-1.109508947078</v>
      </c>
      <c r="AH6390">
        <v>16.029914979984198</v>
      </c>
      <c r="AI6390">
        <v>93.910411317410393</v>
      </c>
      <c r="AJ6390">
        <v>80.962878120930895</v>
      </c>
      <c r="AK6390">
        <v>16.2692753608119</v>
      </c>
      <c r="AL6390">
        <v>95.651854894568203</v>
      </c>
      <c r="AM6390">
        <v>92.952298425193007</v>
      </c>
      <c r="AN6390">
        <v>1.00000001089112</v>
      </c>
    </row>
    <row r="6391" spans="1:40" x14ac:dyDescent="0.25">
      <c r="A6391" t="str">
        <f>"20190305135052881"</f>
        <v>20190305135052881</v>
      </c>
      <c r="B6391" t="str">
        <f>"1551765052876296"</f>
        <v>1551765052876296</v>
      </c>
      <c r="C6391" t="s">
        <v>40</v>
      </c>
      <c r="D6391">
        <v>4.29115</v>
      </c>
      <c r="E6391">
        <v>0.58037320000000003</v>
      </c>
      <c r="F6391" t="s">
        <v>42</v>
      </c>
      <c r="G6391">
        <v>-330.78620000000001</v>
      </c>
      <c r="H6391" s="1">
        <v>-4.7520910000000002E-6</v>
      </c>
      <c r="I6391">
        <v>15.0099</v>
      </c>
      <c r="J6391">
        <v>-346.34739999999999</v>
      </c>
      <c r="K6391">
        <v>1.1094580000000001</v>
      </c>
      <c r="L6391">
        <v>17.012789999999999</v>
      </c>
      <c r="M6391">
        <v>0.99943950000000004</v>
      </c>
      <c r="N6391">
        <v>-1.1495470000000001E-2</v>
      </c>
      <c r="O6391">
        <v>3.1443039999999998E-2</v>
      </c>
      <c r="P6391">
        <v>0.99055000000000004</v>
      </c>
      <c r="Q6391">
        <v>-0.1100221</v>
      </c>
      <c r="R6391">
        <v>8.1888450000000002E-2</v>
      </c>
      <c r="S6391">
        <v>3.0371090000000001</v>
      </c>
      <c r="T6391">
        <v>-0.2140108</v>
      </c>
      <c r="U6391">
        <v>-0.3851929</v>
      </c>
      <c r="V6391">
        <v>-5.065157E-2</v>
      </c>
      <c r="W6391">
        <v>-9.862899E-2</v>
      </c>
      <c r="X6391">
        <v>0.99383440000000001</v>
      </c>
      <c r="Y6391">
        <v>0.1564547</v>
      </c>
      <c r="Z6391">
        <v>-8.2331669999999996E-3</v>
      </c>
      <c r="AA6391">
        <v>0.98765080000000005</v>
      </c>
      <c r="AB6391">
        <v>36</v>
      </c>
      <c r="AC6391">
        <v>15.5611999999999</v>
      </c>
      <c r="AD6391">
        <v>-1.1094627520909901</v>
      </c>
      <c r="AE6391">
        <v>-2.0028899999999901</v>
      </c>
      <c r="AF6391">
        <v>2.47882816883974</v>
      </c>
      <c r="AG6391">
        <v>-1.1094627520909901</v>
      </c>
      <c r="AH6391">
        <v>15.413450366467901</v>
      </c>
      <c r="AI6391">
        <v>94.065005016345097</v>
      </c>
      <c r="AJ6391">
        <v>80.863784776112993</v>
      </c>
      <c r="AK6391">
        <v>15.650876936724099</v>
      </c>
      <c r="AL6391">
        <v>95.660226885929106</v>
      </c>
      <c r="AM6391">
        <v>92.917601090827901</v>
      </c>
      <c r="AN6391">
        <v>1.0000000369176201</v>
      </c>
    </row>
    <row r="6392" spans="1:40" x14ac:dyDescent="0.25">
      <c r="A6392" t="str">
        <f>"20190305135052893"</f>
        <v>20190305135052893</v>
      </c>
      <c r="B6392" t="str">
        <f>"1551765052886056"</f>
        <v>1551765052886056</v>
      </c>
      <c r="C6392" t="s">
        <v>40</v>
      </c>
      <c r="D6392">
        <v>4.2962669999999896</v>
      </c>
      <c r="E6392">
        <v>0.58052950000000003</v>
      </c>
      <c r="F6392" t="s">
        <v>42</v>
      </c>
      <c r="G6392">
        <v>-330.92500000000001</v>
      </c>
      <c r="H6392" s="1">
        <v>-4.6872109999999999E-6</v>
      </c>
      <c r="I6392">
        <v>15.03984</v>
      </c>
      <c r="J6392">
        <v>-346.15519999999998</v>
      </c>
      <c r="K6392">
        <v>1.1094059999999999</v>
      </c>
      <c r="L6392">
        <v>17.018829999999902</v>
      </c>
      <c r="M6392">
        <v>0.99943910000000002</v>
      </c>
      <c r="N6392">
        <v>-1.172715E-2</v>
      </c>
      <c r="O6392">
        <v>3.1372150000000001E-2</v>
      </c>
      <c r="P6392">
        <v>0.99063990000000002</v>
      </c>
      <c r="Q6392">
        <v>-0.1098722</v>
      </c>
      <c r="R6392">
        <v>8.0997650000000004E-2</v>
      </c>
      <c r="S6392">
        <v>3.036438</v>
      </c>
      <c r="T6392">
        <v>-0.2184364</v>
      </c>
      <c r="U6392">
        <v>-0.38842769999999999</v>
      </c>
      <c r="V6392">
        <v>-4.9846439999999999E-2</v>
      </c>
      <c r="W6392">
        <v>-9.8238740000000005E-2</v>
      </c>
      <c r="X6392">
        <v>0.99391370000000001</v>
      </c>
      <c r="Y6392">
        <v>0.1574236</v>
      </c>
      <c r="Z6392">
        <v>-8.4402250000000009E-3</v>
      </c>
      <c r="AA6392">
        <v>0.98749509999999996</v>
      </c>
      <c r="AB6392">
        <v>36</v>
      </c>
      <c r="AC6392">
        <v>15.2301999999999</v>
      </c>
      <c r="AD6392">
        <v>-1.1094106872109999</v>
      </c>
      <c r="AE6392">
        <v>-1.97898999999999</v>
      </c>
      <c r="AF6392">
        <v>2.4431046105802499</v>
      </c>
      <c r="AG6392">
        <v>-1.1094106872109999</v>
      </c>
      <c r="AH6392">
        <v>15.0819157513194</v>
      </c>
      <c r="AI6392">
        <v>94.153099732126407</v>
      </c>
      <c r="AJ6392">
        <v>80.798640377223194</v>
      </c>
      <c r="AK6392">
        <v>15.318738033566399</v>
      </c>
      <c r="AL6392">
        <v>95.637758411133902</v>
      </c>
      <c r="AM6392">
        <v>92.871074006692993</v>
      </c>
      <c r="AN6392">
        <v>0.99999998033257498</v>
      </c>
    </row>
    <row r="6393" spans="1:40" x14ac:dyDescent="0.25">
      <c r="A6393" t="str">
        <f>"20190305135052904"</f>
        <v>20190305135052904</v>
      </c>
      <c r="B6393" t="str">
        <f>"1551765052896792"</f>
        <v>1551765052896792</v>
      </c>
      <c r="C6393" t="s">
        <v>40</v>
      </c>
      <c r="D6393">
        <v>4.2415710000000004</v>
      </c>
      <c r="E6393">
        <v>0.58067690000000005</v>
      </c>
      <c r="F6393" t="s">
        <v>42</v>
      </c>
      <c r="G6393">
        <v>-330.90120000000002</v>
      </c>
      <c r="H6393" s="1">
        <v>-4.6962500000000001E-6</v>
      </c>
      <c r="I6393">
        <v>15.046559999999999</v>
      </c>
      <c r="J6393">
        <v>-345.97199999999998</v>
      </c>
      <c r="K6393">
        <v>1.1093489999999999</v>
      </c>
      <c r="L6393">
        <v>17.024539999999998</v>
      </c>
      <c r="M6393">
        <v>0.99944029999999995</v>
      </c>
      <c r="N6393">
        <v>-1.193148E-2</v>
      </c>
      <c r="O6393">
        <v>3.1255440000000002E-2</v>
      </c>
      <c r="P6393">
        <v>0.99073049999999996</v>
      </c>
      <c r="Q6393">
        <v>-0.1095921</v>
      </c>
      <c r="R6393">
        <v>8.0267329999999998E-2</v>
      </c>
      <c r="S6393">
        <v>3.0359500000000001</v>
      </c>
      <c r="T6393">
        <v>-0.22080169999999999</v>
      </c>
      <c r="U6393">
        <v>-0.39251710000000001</v>
      </c>
      <c r="V6393">
        <v>-4.9247409999999998E-2</v>
      </c>
      <c r="W6393">
        <v>-9.774571E-2</v>
      </c>
      <c r="X6393">
        <v>0.99399219999999999</v>
      </c>
      <c r="Y6393">
        <v>0.1586215</v>
      </c>
      <c r="Z6393">
        <v>-8.5793139999999993E-3</v>
      </c>
      <c r="AA6393">
        <v>0.98730220000000002</v>
      </c>
      <c r="AB6393">
        <v>36</v>
      </c>
      <c r="AC6393">
        <v>15.070799999999901</v>
      </c>
      <c r="AD6393">
        <v>-1.1093536962499999</v>
      </c>
      <c r="AE6393">
        <v>-1.9779799999999901</v>
      </c>
      <c r="AF6393">
        <v>2.4351205385337802</v>
      </c>
      <c r="AG6393">
        <v>-1.1093536962499999</v>
      </c>
      <c r="AH6393">
        <v>14.922124556791101</v>
      </c>
      <c r="AI6393">
        <v>94.196404966268702</v>
      </c>
      <c r="AJ6393">
        <v>80.731679391855195</v>
      </c>
      <c r="AK6393">
        <v>15.160154318111699</v>
      </c>
      <c r="AL6393">
        <v>95.609373078816603</v>
      </c>
      <c r="AM6393">
        <v>92.836403890492093</v>
      </c>
      <c r="AN6393">
        <v>1.00000001243797</v>
      </c>
    </row>
    <row r="6394" spans="1:40" x14ac:dyDescent="0.25">
      <c r="A6394" t="str">
        <f>"20190305135052915"</f>
        <v>20190305135052915</v>
      </c>
      <c r="B6394" t="str">
        <f>"1551765052906552"</f>
        <v>1551765052906552</v>
      </c>
      <c r="C6394" t="s">
        <v>40</v>
      </c>
      <c r="D6394">
        <v>4.2758260000000003</v>
      </c>
      <c r="E6394">
        <v>0.58085880000000001</v>
      </c>
      <c r="F6394" t="s">
        <v>42</v>
      </c>
      <c r="G6394">
        <v>-330.81779999999998</v>
      </c>
      <c r="H6394" s="1">
        <v>-4.7318909999999999E-6</v>
      </c>
      <c r="I6394">
        <v>15.04725</v>
      </c>
      <c r="J6394">
        <v>-345.80810000000002</v>
      </c>
      <c r="K6394">
        <v>1.109297</v>
      </c>
      <c r="L6394">
        <v>17.02957</v>
      </c>
      <c r="M6394">
        <v>0.99944239999999995</v>
      </c>
      <c r="N6394">
        <v>-1.21046E-2</v>
      </c>
      <c r="O6394">
        <v>3.1122919999999998E-2</v>
      </c>
      <c r="P6394">
        <v>0.99086669999999999</v>
      </c>
      <c r="Q6394">
        <v>-0.1092027</v>
      </c>
      <c r="R6394">
        <v>7.9109269999999995E-2</v>
      </c>
      <c r="S6394">
        <v>3.0355530000000002</v>
      </c>
      <c r="T6394">
        <v>-0.22221640000000001</v>
      </c>
      <c r="U6394">
        <v>-0.3960571</v>
      </c>
      <c r="V6394">
        <v>-4.8232949999999997E-2</v>
      </c>
      <c r="W6394">
        <v>-9.7175059999999994E-2</v>
      </c>
      <c r="X6394">
        <v>0.99409789999999998</v>
      </c>
      <c r="Y6394">
        <v>0.1596291</v>
      </c>
      <c r="Z6394">
        <v>-8.6741839999999997E-3</v>
      </c>
      <c r="AA6394">
        <v>0.98713890000000004</v>
      </c>
      <c r="AB6394">
        <v>36</v>
      </c>
      <c r="AC6394">
        <v>14.9903</v>
      </c>
      <c r="AD6394">
        <v>-1.1093017318909999</v>
      </c>
      <c r="AE6394">
        <v>-1.9823200000000001</v>
      </c>
      <c r="AF6394">
        <v>2.4348311400800302</v>
      </c>
      <c r="AG6394">
        <v>-1.1093017318909999</v>
      </c>
      <c r="AH6394">
        <v>14.8414591748537</v>
      </c>
      <c r="AI6394">
        <v>94.2183528937435</v>
      </c>
      <c r="AJ6394">
        <v>80.683273909245599</v>
      </c>
      <c r="AK6394">
        <v>15.0807116361241</v>
      </c>
      <c r="AL6394">
        <v>95.576520791022105</v>
      </c>
      <c r="AM6394">
        <v>92.777773648771202</v>
      </c>
      <c r="AN6394">
        <v>1.0000000222680501</v>
      </c>
    </row>
    <row r="6395" spans="1:40" x14ac:dyDescent="0.25">
      <c r="A6395" t="str">
        <f>"20190305135052926"</f>
        <v>20190305135052926</v>
      </c>
      <c r="B6395" t="str">
        <f>"1551765052916312"</f>
        <v>1551765052916312</v>
      </c>
      <c r="C6395" t="s">
        <v>40</v>
      </c>
      <c r="D6395">
        <v>4.2894750000000004</v>
      </c>
      <c r="E6395">
        <v>0.58096020000000004</v>
      </c>
      <c r="F6395" t="s">
        <v>42</v>
      </c>
      <c r="G6395">
        <v>-330.76069999999999</v>
      </c>
      <c r="H6395" s="1">
        <v>-4.7576640000000001E-6</v>
      </c>
      <c r="I6395">
        <v>15.04013</v>
      </c>
      <c r="J6395">
        <v>-345.62529999999998</v>
      </c>
      <c r="K6395">
        <v>1.109235</v>
      </c>
      <c r="L6395">
        <v>17.035160000000001</v>
      </c>
      <c r="M6395">
        <v>0.99944569999999999</v>
      </c>
      <c r="N6395">
        <v>-1.228716E-2</v>
      </c>
      <c r="O6395">
        <v>3.09439E-2</v>
      </c>
      <c r="P6395">
        <v>0.99097610000000003</v>
      </c>
      <c r="Q6395">
        <v>-0.1089546</v>
      </c>
      <c r="R6395">
        <v>7.8073210000000004E-2</v>
      </c>
      <c r="S6395">
        <v>3.0350039999999998</v>
      </c>
      <c r="T6395">
        <v>-0.22374169999999999</v>
      </c>
      <c r="U6395">
        <v>-0.40124510000000002</v>
      </c>
      <c r="V6395">
        <v>-4.7389779999999999E-2</v>
      </c>
      <c r="W6395">
        <v>-9.6735959999999996E-2</v>
      </c>
      <c r="X6395">
        <v>0.99418130000000005</v>
      </c>
      <c r="Y6395">
        <v>0.1611215</v>
      </c>
      <c r="Z6395">
        <v>-8.7922160000000003E-3</v>
      </c>
      <c r="AA6395">
        <v>0.98689539999999998</v>
      </c>
      <c r="AB6395">
        <v>36</v>
      </c>
      <c r="AC6395">
        <v>14.8645999999999</v>
      </c>
      <c r="AD6395">
        <v>-1.1092397576639901</v>
      </c>
      <c r="AE6395">
        <v>-1.9950300000000001</v>
      </c>
      <c r="AF6395">
        <v>2.4407269674090601</v>
      </c>
      <c r="AG6395">
        <v>-1.1092397576639901</v>
      </c>
      <c r="AH6395">
        <v>14.7152488607216</v>
      </c>
      <c r="AI6395">
        <v>94.252933639552396</v>
      </c>
      <c r="AJ6395">
        <v>80.582441695182595</v>
      </c>
      <c r="AK6395">
        <v>14.9574767257846</v>
      </c>
      <c r="AL6395">
        <v>95.551242985290699</v>
      </c>
      <c r="AM6395">
        <v>92.729060289218907</v>
      </c>
      <c r="AN6395">
        <v>1.00000004723762</v>
      </c>
    </row>
    <row r="6396" spans="1:40" x14ac:dyDescent="0.25">
      <c r="A6396" t="str">
        <f>"20190305135052936"</f>
        <v>20190305135052936</v>
      </c>
      <c r="B6396" t="str">
        <f>"1551765052927049"</f>
        <v>1551765052927049</v>
      </c>
      <c r="C6396" t="s">
        <v>40</v>
      </c>
      <c r="D6396">
        <v>4.2820970000000003</v>
      </c>
      <c r="E6396">
        <v>0.58111269999999904</v>
      </c>
      <c r="F6396" t="s">
        <v>42</v>
      </c>
      <c r="G6396">
        <v>-330.75529999999998</v>
      </c>
      <c r="H6396" s="1">
        <v>-4.7585289999999996E-6</v>
      </c>
      <c r="I6396">
        <v>15.04829</v>
      </c>
      <c r="J6396">
        <v>-345.46199999999999</v>
      </c>
      <c r="K6396">
        <v>1.109173</v>
      </c>
      <c r="L6396">
        <v>17.04007</v>
      </c>
      <c r="M6396">
        <v>0.99944980000000005</v>
      </c>
      <c r="N6396">
        <v>-1.243817E-2</v>
      </c>
      <c r="O6396">
        <v>3.0745249999999998E-2</v>
      </c>
      <c r="P6396">
        <v>0.99108240000000003</v>
      </c>
      <c r="Q6396">
        <v>-0.1088865</v>
      </c>
      <c r="R6396">
        <v>7.6809600000000006E-2</v>
      </c>
      <c r="S6396">
        <v>3.0343930000000001</v>
      </c>
      <c r="T6396">
        <v>-0.22635279999999999</v>
      </c>
      <c r="U6396">
        <v>-0.40542600000000001</v>
      </c>
      <c r="V6396">
        <v>-4.6336929999999998E-2</v>
      </c>
      <c r="W6396">
        <v>-9.6509520000000001E-2</v>
      </c>
      <c r="X6396">
        <v>0.9942529</v>
      </c>
      <c r="Y6396">
        <v>0.16227069999999999</v>
      </c>
      <c r="Z6396">
        <v>-8.9335530000000003E-3</v>
      </c>
      <c r="AA6396">
        <v>0.98670579999999997</v>
      </c>
      <c r="AB6396">
        <v>36</v>
      </c>
      <c r="AC6396">
        <v>14.7067</v>
      </c>
      <c r="AD6396">
        <v>-1.1091777585289999</v>
      </c>
      <c r="AE6396">
        <v>-1.9917800000000001</v>
      </c>
      <c r="AF6396">
        <v>2.4294641491027602</v>
      </c>
      <c r="AG6396">
        <v>-1.1091777585289999</v>
      </c>
      <c r="AH6396">
        <v>14.5571916660236</v>
      </c>
      <c r="AI6396">
        <v>94.297986892740497</v>
      </c>
      <c r="AJ6396">
        <v>80.525172761367003</v>
      </c>
      <c r="AK6396">
        <v>14.800148666588999</v>
      </c>
      <c r="AL6396">
        <v>95.538208125102202</v>
      </c>
      <c r="AM6396">
        <v>92.668326002578993</v>
      </c>
      <c r="AN6396">
        <v>1.0000000138454299</v>
      </c>
    </row>
    <row r="6397" spans="1:40" x14ac:dyDescent="0.25">
      <c r="A6397" t="str">
        <f>"20190305135052947"</f>
        <v>20190305135052947</v>
      </c>
      <c r="B6397" t="str">
        <f>"1551765052936808"</f>
        <v>1551765052936808</v>
      </c>
      <c r="C6397" t="s">
        <v>40</v>
      </c>
      <c r="D6397">
        <v>4.3061819999999997</v>
      </c>
      <c r="E6397">
        <v>0.58116869999999998</v>
      </c>
      <c r="F6397" t="s">
        <v>42</v>
      </c>
      <c r="G6397">
        <v>-330.7312</v>
      </c>
      <c r="H6397" s="1">
        <v>-4.769246E-6</v>
      </c>
      <c r="I6397">
        <v>15.046200000000001</v>
      </c>
      <c r="J6397">
        <v>-345.2833</v>
      </c>
      <c r="K6397">
        <v>1.1091089999999999</v>
      </c>
      <c r="L6397">
        <v>17.04541</v>
      </c>
      <c r="M6397">
        <v>0.99945530000000005</v>
      </c>
      <c r="N6397">
        <v>-1.2597209999999999E-2</v>
      </c>
      <c r="O6397">
        <v>3.0507650000000001E-2</v>
      </c>
      <c r="P6397">
        <v>0.99116470000000001</v>
      </c>
      <c r="Q6397">
        <v>-0.1091182</v>
      </c>
      <c r="R6397">
        <v>7.5405849999999996E-2</v>
      </c>
      <c r="S6397">
        <v>3.0337519999999998</v>
      </c>
      <c r="T6397">
        <v>-0.228431</v>
      </c>
      <c r="U6397">
        <v>-0.41061399999999998</v>
      </c>
      <c r="V6397">
        <v>-4.5184559999999999E-2</v>
      </c>
      <c r="W6397">
        <v>-9.6575060000000004E-2</v>
      </c>
      <c r="X6397">
        <v>0.9942995</v>
      </c>
      <c r="Y6397">
        <v>0.16370570000000001</v>
      </c>
      <c r="Z6397">
        <v>-9.0666470000000006E-3</v>
      </c>
      <c r="AA6397">
        <v>0.98646750000000005</v>
      </c>
      <c r="AB6397">
        <v>35</v>
      </c>
      <c r="AC6397">
        <v>14.5520999999999</v>
      </c>
      <c r="AD6397">
        <v>-1.109113769246</v>
      </c>
      <c r="AE6397">
        <v>-1.9992099999999999</v>
      </c>
      <c r="AF6397">
        <v>2.4284194689798602</v>
      </c>
      <c r="AG6397">
        <v>-1.109113769246</v>
      </c>
      <c r="AH6397">
        <v>14.402216801146</v>
      </c>
      <c r="AI6397">
        <v>94.342593052756101</v>
      </c>
      <c r="AJ6397">
        <v>80.429137920654597</v>
      </c>
      <c r="AK6397">
        <v>14.6475664619644</v>
      </c>
      <c r="AL6397">
        <v>95.541981317499193</v>
      </c>
      <c r="AM6397">
        <v>92.601937013352398</v>
      </c>
      <c r="AN6397">
        <v>0.99999994118832103</v>
      </c>
    </row>
    <row r="6398" spans="1:40" x14ac:dyDescent="0.25">
      <c r="A6398" t="str">
        <f>"20190305135052960"</f>
        <v>20190305135052960</v>
      </c>
      <c r="B6398" t="str">
        <f>"1551765052956329"</f>
        <v>1551765052956329</v>
      </c>
      <c r="C6398" t="s">
        <v>40</v>
      </c>
      <c r="D6398">
        <v>4.2632399999999997</v>
      </c>
      <c r="E6398">
        <v>0.58133190000000001</v>
      </c>
      <c r="F6398" t="s">
        <v>42</v>
      </c>
      <c r="G6398">
        <v>-330.83370000000002</v>
      </c>
      <c r="H6398" s="1">
        <v>-4.7218609999999996E-6</v>
      </c>
      <c r="I6398">
        <v>15.0654</v>
      </c>
      <c r="J6398">
        <v>-345.09870000000001</v>
      </c>
      <c r="K6398">
        <v>1.1090450000000001</v>
      </c>
      <c r="L6398">
        <v>17.05078</v>
      </c>
      <c r="M6398">
        <v>0.99946250000000003</v>
      </c>
      <c r="N6398">
        <v>-1.2745869999999999E-2</v>
      </c>
      <c r="O6398">
        <v>3.020513E-2</v>
      </c>
      <c r="P6398">
        <v>0.99123419999999896</v>
      </c>
      <c r="Q6398">
        <v>-0.1094678</v>
      </c>
      <c r="R6398">
        <v>7.3969679999999996E-2</v>
      </c>
      <c r="S6398">
        <v>3.0327449999999998</v>
      </c>
      <c r="T6398">
        <v>-0.2327862</v>
      </c>
      <c r="U6398">
        <v>-0.41555789999999998</v>
      </c>
      <c r="V6398">
        <v>-4.4065260000000002E-2</v>
      </c>
      <c r="W6398">
        <v>-9.6769229999999998E-2</v>
      </c>
      <c r="X6398">
        <v>0.99433090000000002</v>
      </c>
      <c r="Y6398">
        <v>0.16500300000000001</v>
      </c>
      <c r="Z6398">
        <v>-9.2749689999999992E-3</v>
      </c>
      <c r="AA6398">
        <v>0.98624940000000005</v>
      </c>
      <c r="AB6398">
        <v>35</v>
      </c>
      <c r="AC6398">
        <v>14.264999999999899</v>
      </c>
      <c r="AD6398">
        <v>-1.109049721861</v>
      </c>
      <c r="AE6398">
        <v>-1.9853799999999999</v>
      </c>
      <c r="AF6398">
        <v>2.4011472535856799</v>
      </c>
      <c r="AG6398">
        <v>-1.109049721861</v>
      </c>
      <c r="AH6398">
        <v>14.1148211622841</v>
      </c>
      <c r="AI6398">
        <v>94.429319919200296</v>
      </c>
      <c r="AJ6398">
        <v>80.345533303005197</v>
      </c>
      <c r="AK6398">
        <v>14.36049009826</v>
      </c>
      <c r="AL6398">
        <v>95.553158548604898</v>
      </c>
      <c r="AM6398">
        <v>92.537487806937904</v>
      </c>
      <c r="AN6398">
        <v>0.99999998485423502</v>
      </c>
    </row>
    <row r="6399" spans="1:40" x14ac:dyDescent="0.25">
      <c r="A6399" t="str">
        <f>"20190305135052972"</f>
        <v>20190305135052972</v>
      </c>
      <c r="B6399" t="str">
        <f>"1551765052966088"</f>
        <v>1551765052966088</v>
      </c>
      <c r="C6399" t="s">
        <v>40</v>
      </c>
      <c r="D6399">
        <v>4.2772360000000003</v>
      </c>
      <c r="E6399">
        <v>0.58143040000000001</v>
      </c>
      <c r="F6399" t="s">
        <v>42</v>
      </c>
      <c r="G6399">
        <v>-330.96890000000002</v>
      </c>
      <c r="H6399" s="1">
        <v>-4.6600640000000003E-6</v>
      </c>
      <c r="I6399">
        <v>15.086779999999999</v>
      </c>
      <c r="J6399">
        <v>-344.8931</v>
      </c>
      <c r="K6399">
        <v>1.1089690000000001</v>
      </c>
      <c r="L6399">
        <v>17.056699999999999</v>
      </c>
      <c r="M6399">
        <v>0.99947149999999996</v>
      </c>
      <c r="N6399">
        <v>-1.2904209999999999E-2</v>
      </c>
      <c r="O6399">
        <v>2.9839170000000002E-2</v>
      </c>
      <c r="P6399">
        <v>0.99132480000000001</v>
      </c>
      <c r="Q6399">
        <v>-0.1098074</v>
      </c>
      <c r="R6399">
        <v>7.2233629999999993E-2</v>
      </c>
      <c r="S6399">
        <v>3.0317379999999998</v>
      </c>
      <c r="T6399">
        <v>-0.2379618</v>
      </c>
      <c r="U6399">
        <v>-0.4213867</v>
      </c>
      <c r="V6399">
        <v>-4.2711310000000002E-2</v>
      </c>
      <c r="W6399">
        <v>-9.6943340000000003E-2</v>
      </c>
      <c r="X6399">
        <v>0.99437299999999995</v>
      </c>
      <c r="Y6399">
        <v>0.16651450000000001</v>
      </c>
      <c r="Z6399">
        <v>-9.5209270000000002E-3</v>
      </c>
      <c r="AA6399">
        <v>0.98599300000000001</v>
      </c>
      <c r="AB6399">
        <v>35</v>
      </c>
      <c r="AC6399">
        <v>13.9241999999999</v>
      </c>
      <c r="AD6399">
        <v>-1.1089736600640001</v>
      </c>
      <c r="AE6399">
        <v>-1.9699199999999999</v>
      </c>
      <c r="AF6399">
        <v>2.3698267082778601</v>
      </c>
      <c r="AG6399">
        <v>-1.1089736600640001</v>
      </c>
      <c r="AH6399">
        <v>13.77356022831</v>
      </c>
      <c r="AI6399">
        <v>94.536842312896795</v>
      </c>
      <c r="AJ6399">
        <v>80.2374901520582</v>
      </c>
      <c r="AK6399">
        <v>14.019873842829901</v>
      </c>
      <c r="AL6399">
        <v>95.5631815507585</v>
      </c>
      <c r="AM6399">
        <v>92.459514168137702</v>
      </c>
      <c r="AN6399">
        <v>0.99999996515063505</v>
      </c>
    </row>
    <row r="6400" spans="1:40" x14ac:dyDescent="0.25">
      <c r="A6400" t="str">
        <f>"20190305135052985"</f>
        <v>20190305135052985</v>
      </c>
      <c r="B6400" t="str">
        <f>"1551765052976824"</f>
        <v>1551765052976824</v>
      </c>
      <c r="C6400" t="s">
        <v>40</v>
      </c>
      <c r="D6400">
        <v>4.3073100000000002</v>
      </c>
      <c r="E6400">
        <v>0.58149719999999905</v>
      </c>
      <c r="F6400" t="s">
        <v>42</v>
      </c>
      <c r="G6400">
        <v>-330.88979999999998</v>
      </c>
      <c r="H6400" s="1">
        <v>-4.6950150000000001E-6</v>
      </c>
      <c r="I6400">
        <v>15.08109</v>
      </c>
      <c r="J6400">
        <v>-344.69310000000002</v>
      </c>
      <c r="K6400">
        <v>1.1088960000000001</v>
      </c>
      <c r="L6400">
        <v>17.06232</v>
      </c>
      <c r="M6400">
        <v>0.99948190000000003</v>
      </c>
      <c r="N6400">
        <v>-1.3044160000000001E-2</v>
      </c>
      <c r="O6400">
        <v>2.9425130000000001E-2</v>
      </c>
      <c r="P6400">
        <v>0.99139920000000004</v>
      </c>
      <c r="Q6400">
        <v>-0.110211</v>
      </c>
      <c r="R6400">
        <v>7.0579379999999997E-2</v>
      </c>
      <c r="S6400">
        <v>3.030853</v>
      </c>
      <c r="T6400">
        <v>-0.24002499999999999</v>
      </c>
      <c r="U6400">
        <v>-0.42758180000000001</v>
      </c>
      <c r="V6400">
        <v>-4.1485479999999998E-2</v>
      </c>
      <c r="W6400">
        <v>-9.7200679999999998E-2</v>
      </c>
      <c r="X6400">
        <v>0.99439979999999994</v>
      </c>
      <c r="Y6400">
        <v>0.16810539999999999</v>
      </c>
      <c r="Z6400">
        <v>-9.6521539999999996E-3</v>
      </c>
      <c r="AA6400">
        <v>0.98572179999999998</v>
      </c>
      <c r="AB6400">
        <v>35</v>
      </c>
      <c r="AC6400">
        <v>13.8033</v>
      </c>
      <c r="AD6400">
        <v>-1.10890069501499</v>
      </c>
      <c r="AE6400">
        <v>-1.9812299999999901</v>
      </c>
      <c r="AF6400">
        <v>2.3715735603158601</v>
      </c>
      <c r="AG6400">
        <v>-1.10890069501499</v>
      </c>
      <c r="AH6400">
        <v>13.652685193308001</v>
      </c>
      <c r="AI6400">
        <v>94.575276809221904</v>
      </c>
      <c r="AJ6400">
        <v>80.145625517318194</v>
      </c>
      <c r="AK6400">
        <v>13.9014328358973</v>
      </c>
      <c r="AL6400">
        <v>95.577995872964607</v>
      </c>
      <c r="AM6400">
        <v>92.388943906200694</v>
      </c>
      <c r="AN6400">
        <v>0.99999998974166604</v>
      </c>
    </row>
    <row r="6401" spans="1:40" x14ac:dyDescent="0.25">
      <c r="A6401" t="str">
        <f>"20190305135052998"</f>
        <v>20190305135052998</v>
      </c>
      <c r="B6401" t="str">
        <f>"1551765052986583"</f>
        <v>1551765052986583</v>
      </c>
      <c r="C6401" t="s">
        <v>40</v>
      </c>
      <c r="D6401">
        <v>4.3270739999999996</v>
      </c>
      <c r="E6401">
        <v>0.58160940000000005</v>
      </c>
      <c r="F6401" t="s">
        <v>42</v>
      </c>
      <c r="G6401">
        <v>-330.87079999999997</v>
      </c>
      <c r="H6401" s="1">
        <v>-4.7022859999999999E-6</v>
      </c>
      <c r="I6401">
        <v>15.08611</v>
      </c>
      <c r="J6401">
        <v>-344.49290000000002</v>
      </c>
      <c r="K6401">
        <v>1.108824</v>
      </c>
      <c r="L6401">
        <v>17.067810000000001</v>
      </c>
      <c r="M6401">
        <v>0.99949359999999998</v>
      </c>
      <c r="N6401">
        <v>-1.3173529999999999E-2</v>
      </c>
      <c r="O6401">
        <v>2.8966749999999999E-2</v>
      </c>
      <c r="P6401">
        <v>0.99149339999999997</v>
      </c>
      <c r="Q6401">
        <v>-0.1106192</v>
      </c>
      <c r="R6401">
        <v>6.8587460000000003E-2</v>
      </c>
      <c r="S6401">
        <v>3.029846</v>
      </c>
      <c r="T6401">
        <v>-0.24307100000000001</v>
      </c>
      <c r="U6401">
        <v>-0.43316650000000001</v>
      </c>
      <c r="V6401">
        <v>-3.9966080000000001E-2</v>
      </c>
      <c r="W6401">
        <v>-9.7474240000000004E-2</v>
      </c>
      <c r="X6401">
        <v>0.99443530000000002</v>
      </c>
      <c r="Y6401">
        <v>0.16945850000000001</v>
      </c>
      <c r="Z6401">
        <v>-9.8066960000000002E-3</v>
      </c>
      <c r="AA6401">
        <v>0.98548849999999999</v>
      </c>
      <c r="AB6401">
        <v>35</v>
      </c>
      <c r="AC6401">
        <v>13.6221</v>
      </c>
      <c r="AD6401">
        <v>-1.1088287022859999</v>
      </c>
      <c r="AE6401">
        <v>-1.9817</v>
      </c>
      <c r="AF6401">
        <v>2.3601764336399098</v>
      </c>
      <c r="AG6401">
        <v>-1.1088287022859999</v>
      </c>
      <c r="AH6401">
        <v>13.471563972066001</v>
      </c>
      <c r="AI6401">
        <v>94.635060101260294</v>
      </c>
      <c r="AJ6401">
        <v>80.062807777103302</v>
      </c>
      <c r="AK6401">
        <v>13.721624165614999</v>
      </c>
      <c r="AL6401">
        <v>95.593744205397897</v>
      </c>
      <c r="AM6401">
        <v>92.301462965948701</v>
      </c>
      <c r="AN6401">
        <v>1.0000000404501099</v>
      </c>
    </row>
    <row r="6402" spans="1:40" x14ac:dyDescent="0.25">
      <c r="A6402" t="str">
        <f>"20190305135053014"</f>
        <v>20190305135053014</v>
      </c>
      <c r="B6402" t="str">
        <f>"1551765053006104"</f>
        <v>1551765053006104</v>
      </c>
      <c r="C6402" t="s">
        <v>40</v>
      </c>
      <c r="D6402">
        <v>4.3238560000000001</v>
      </c>
      <c r="E6402">
        <v>0.5818854</v>
      </c>
      <c r="F6402" t="s">
        <v>42</v>
      </c>
      <c r="G6402">
        <v>-330.846</v>
      </c>
      <c r="H6402" s="1">
        <v>-4.7132440000000004E-6</v>
      </c>
      <c r="I6402">
        <v>15.08419</v>
      </c>
      <c r="J6402">
        <v>-344.22050000000002</v>
      </c>
      <c r="K6402">
        <v>1.1087279999999999</v>
      </c>
      <c r="L6402">
        <v>17.075099999999999</v>
      </c>
      <c r="M6402">
        <v>0.99951109999999999</v>
      </c>
      <c r="N6402">
        <v>-1.333547E-2</v>
      </c>
      <c r="O6402">
        <v>2.8281339999999999E-2</v>
      </c>
      <c r="P6402">
        <v>0.99159600000000003</v>
      </c>
      <c r="Q6402">
        <v>-0.1115833</v>
      </c>
      <c r="R6402">
        <v>6.5471169999999995E-2</v>
      </c>
      <c r="S6402">
        <v>3.0287169999999999</v>
      </c>
      <c r="T6402">
        <v>-0.2460878</v>
      </c>
      <c r="U6402">
        <v>-0.4402161</v>
      </c>
      <c r="V6402">
        <v>-3.7554160000000003E-2</v>
      </c>
      <c r="W6402">
        <v>-9.8271339999999999E-2</v>
      </c>
      <c r="X6402">
        <v>0.99445079999999997</v>
      </c>
      <c r="Y6402">
        <v>0.1710593</v>
      </c>
      <c r="Z6402">
        <v>-9.9592299999999995E-3</v>
      </c>
      <c r="AA6402">
        <v>0.98521040000000004</v>
      </c>
      <c r="AB6402">
        <v>35</v>
      </c>
      <c r="AC6402">
        <v>13.374499999999999</v>
      </c>
      <c r="AD6402">
        <v>-1.1087327132439999</v>
      </c>
      <c r="AE6402">
        <v>-1.99090999999999</v>
      </c>
      <c r="AF6402">
        <v>2.35257888875655</v>
      </c>
      <c r="AG6402">
        <v>-1.1087327132439999</v>
      </c>
      <c r="AH6402">
        <v>13.223930696573101</v>
      </c>
      <c r="AI6402">
        <v>94.7188841357261</v>
      </c>
      <c r="AJ6402">
        <v>79.912439093770203</v>
      </c>
      <c r="AK6402">
        <v>13.477249672133</v>
      </c>
      <c r="AL6402">
        <v>95.639635323767294</v>
      </c>
      <c r="AM6402">
        <v>92.162674013215295</v>
      </c>
      <c r="AN6402">
        <v>0.99999998240967003</v>
      </c>
    </row>
    <row r="6403" spans="1:40" x14ac:dyDescent="0.25">
      <c r="A6403" t="str">
        <f>"20190305135053025"</f>
        <v>20190305135053025</v>
      </c>
      <c r="B6403" t="str">
        <f>"1551765053016840"</f>
        <v>1551765053016840</v>
      </c>
      <c r="C6403" t="s">
        <v>40</v>
      </c>
      <c r="D6403">
        <v>4.2900619999999998</v>
      </c>
      <c r="E6403">
        <v>0.58202699999999996</v>
      </c>
      <c r="F6403" t="s">
        <v>42</v>
      </c>
      <c r="G6403">
        <v>-330.8168</v>
      </c>
      <c r="H6403" s="1">
        <v>-4.7276850000000003E-6</v>
      </c>
      <c r="I6403">
        <v>15.073370000000001</v>
      </c>
      <c r="J6403">
        <v>-344.04570000000001</v>
      </c>
      <c r="K6403">
        <v>1.1086720000000001</v>
      </c>
      <c r="L6403">
        <v>17.079619999999998</v>
      </c>
      <c r="M6403">
        <v>0.9995233</v>
      </c>
      <c r="N6403">
        <v>-1.343068E-2</v>
      </c>
      <c r="O6403">
        <v>2.7801329999999999E-2</v>
      </c>
      <c r="P6403">
        <v>0.99164929999999996</v>
      </c>
      <c r="Q6403">
        <v>-0.1118546</v>
      </c>
      <c r="R6403">
        <v>6.4191419999999999E-2</v>
      </c>
      <c r="S6403">
        <v>3.0270999999999999</v>
      </c>
      <c r="T6403">
        <v>-0.2503976</v>
      </c>
      <c r="U6403">
        <v>-0.45205689999999998</v>
      </c>
      <c r="V6403">
        <v>-3.6765880000000001E-2</v>
      </c>
      <c r="W6403">
        <v>-9.8443630000000004E-2</v>
      </c>
      <c r="X6403">
        <v>0.99446319999999999</v>
      </c>
      <c r="Y6403">
        <v>0.17439549999999901</v>
      </c>
      <c r="Z6403">
        <v>-1.025445E-2</v>
      </c>
      <c r="AA6403">
        <v>0.98462229999999995</v>
      </c>
      <c r="AB6403">
        <v>35</v>
      </c>
      <c r="AC6403">
        <v>13.228899999999999</v>
      </c>
      <c r="AD6403">
        <v>-1.10867672768499</v>
      </c>
      <c r="AE6403">
        <v>-2.0062500000000001</v>
      </c>
      <c r="AF6403">
        <v>2.35710529335736</v>
      </c>
      <c r="AG6403">
        <v>-1.10867672768499</v>
      </c>
      <c r="AH6403">
        <v>13.0782127326711</v>
      </c>
      <c r="AI6403">
        <v>94.769062862701603</v>
      </c>
      <c r="AJ6403">
        <v>79.783181655933205</v>
      </c>
      <c r="AK6403">
        <v>13.335094965221799</v>
      </c>
      <c r="AL6403">
        <v>95.649554998717207</v>
      </c>
      <c r="AM6403">
        <v>92.117293821242896</v>
      </c>
      <c r="AN6403">
        <v>0.99999996718699502</v>
      </c>
    </row>
    <row r="6404" spans="1:40" x14ac:dyDescent="0.25">
      <c r="A6404" t="str">
        <f>"20190305135053037"</f>
        <v>20190305135053037</v>
      </c>
      <c r="B6404" t="str">
        <f>"1551765053026601"</f>
        <v>1551765053026601</v>
      </c>
      <c r="C6404" t="s">
        <v>40</v>
      </c>
      <c r="D6404">
        <v>4.304443</v>
      </c>
      <c r="E6404">
        <v>0.58210799999999996</v>
      </c>
      <c r="F6404" t="s">
        <v>42</v>
      </c>
      <c r="G6404">
        <v>-330.7022</v>
      </c>
      <c r="H6404" s="1">
        <v>-4.7784599999999998E-6</v>
      </c>
      <c r="I6404">
        <v>15.064399999999999</v>
      </c>
      <c r="J6404">
        <v>-343.87439999999998</v>
      </c>
      <c r="K6404">
        <v>1.1086259999999999</v>
      </c>
      <c r="L6404">
        <v>17.083950000000002</v>
      </c>
      <c r="M6404">
        <v>0.99953610000000004</v>
      </c>
      <c r="N6404">
        <v>-1.351638E-2</v>
      </c>
      <c r="O6404">
        <v>2.729606E-2</v>
      </c>
      <c r="P6404">
        <v>0.99175469999999999</v>
      </c>
      <c r="Q6404">
        <v>-0.1116896</v>
      </c>
      <c r="R6404">
        <v>6.2835779999999994E-2</v>
      </c>
      <c r="S6404">
        <v>3.0264890000000002</v>
      </c>
      <c r="T6404">
        <v>-0.25146350000000001</v>
      </c>
      <c r="U6404">
        <v>-0.45706180000000002</v>
      </c>
      <c r="V6404">
        <v>-3.5923190000000001E-2</v>
      </c>
      <c r="W6404">
        <v>-9.8189090000000007E-2</v>
      </c>
      <c r="X6404">
        <v>0.99451920000000005</v>
      </c>
      <c r="Y6404">
        <v>0.17550929999999901</v>
      </c>
      <c r="Z6404">
        <v>-1.031924E-2</v>
      </c>
      <c r="AA6404">
        <v>0.98442370000000001</v>
      </c>
      <c r="AB6404">
        <v>35</v>
      </c>
      <c r="AC6404">
        <v>13.172199999999901</v>
      </c>
      <c r="AD6404">
        <v>-1.10863077846</v>
      </c>
      <c r="AE6404">
        <v>-2.0195500000000002</v>
      </c>
      <c r="AF6404">
        <v>2.3620318066432202</v>
      </c>
      <c r="AG6404">
        <v>-1.10863077846</v>
      </c>
      <c r="AH6404">
        <v>13.0220352401659</v>
      </c>
      <c r="AI6404">
        <v>94.788379048809901</v>
      </c>
      <c r="AJ6404">
        <v>79.719053071093697</v>
      </c>
      <c r="AK6404">
        <v>13.280875658429499</v>
      </c>
      <c r="AL6404">
        <v>95.634899709933606</v>
      </c>
      <c r="AM6404">
        <v>92.068690796232104</v>
      </c>
      <c r="AN6404">
        <v>1.00000000607172</v>
      </c>
    </row>
    <row r="6405" spans="1:40" x14ac:dyDescent="0.25">
      <c r="A6405" t="str">
        <f>"20190305135053048"</f>
        <v>20190305135053048</v>
      </c>
      <c r="B6405" t="str">
        <f>"1551765053036360"</f>
        <v>1551765053036360</v>
      </c>
      <c r="C6405" t="s">
        <v>40</v>
      </c>
      <c r="D6405">
        <v>4.3050810000000004</v>
      </c>
      <c r="E6405">
        <v>0.58213619999999899</v>
      </c>
      <c r="F6405" t="s">
        <v>42</v>
      </c>
      <c r="G6405">
        <v>-330.59320000000002</v>
      </c>
      <c r="H6405" s="1">
        <v>-4.8266090000000001E-6</v>
      </c>
      <c r="I6405">
        <v>15.056480000000001</v>
      </c>
      <c r="J6405">
        <v>-343.69889999999998</v>
      </c>
      <c r="K6405">
        <v>1.108579</v>
      </c>
      <c r="L6405">
        <v>17.08832</v>
      </c>
      <c r="M6405">
        <v>0.99954940000000003</v>
      </c>
      <c r="N6405">
        <v>-1.360045E-2</v>
      </c>
      <c r="O6405">
        <v>2.6761380000000001E-2</v>
      </c>
      <c r="P6405">
        <v>0.99187570000000003</v>
      </c>
      <c r="Q6405">
        <v>-0.1114231</v>
      </c>
      <c r="R6405">
        <v>6.137985E-2</v>
      </c>
      <c r="S6405">
        <v>3.0257260000000001</v>
      </c>
      <c r="T6405">
        <v>-0.25256960000000001</v>
      </c>
      <c r="U6405">
        <v>-0.4618835</v>
      </c>
      <c r="V6405">
        <v>-3.5009150000000003E-2</v>
      </c>
      <c r="W6405">
        <v>-9.7834889999999994E-2</v>
      </c>
      <c r="X6405">
        <v>0.99458670000000005</v>
      </c>
      <c r="Y6405">
        <v>0.17654300000000001</v>
      </c>
      <c r="Z6405">
        <v>-1.0380260000000001E-2</v>
      </c>
      <c r="AA6405">
        <v>0.98423819999999995</v>
      </c>
      <c r="AB6405">
        <v>35</v>
      </c>
      <c r="AC6405">
        <v>13.105699999999899</v>
      </c>
      <c r="AD6405">
        <v>-1.108583826609</v>
      </c>
      <c r="AE6405">
        <v>-2.0318399999999999</v>
      </c>
      <c r="AF6405">
        <v>2.3653441277267202</v>
      </c>
      <c r="AG6405">
        <v>-1.108583826609</v>
      </c>
      <c r="AH6405">
        <v>12.9560989555104</v>
      </c>
      <c r="AI6405">
        <v>94.811436642553602</v>
      </c>
      <c r="AJ6405">
        <v>79.653679136027407</v>
      </c>
      <c r="AK6405">
        <v>13.216819250037799</v>
      </c>
      <c r="AL6405">
        <v>95.614507366201195</v>
      </c>
      <c r="AM6405">
        <v>92.0159617207796</v>
      </c>
      <c r="AN6405">
        <v>1.0000000050509601</v>
      </c>
    </row>
    <row r="6406" spans="1:40" x14ac:dyDescent="0.25">
      <c r="A6406" t="str">
        <f>"20190305135053059"</f>
        <v>20190305135053059</v>
      </c>
      <c r="B6406" t="str">
        <f>"1551765053056857"</f>
        <v>1551765053056857</v>
      </c>
      <c r="C6406" t="s">
        <v>40</v>
      </c>
      <c r="D6406">
        <v>4.2652390000000002</v>
      </c>
      <c r="E6406">
        <v>0.58229140000000001</v>
      </c>
      <c r="F6406" t="s">
        <v>42</v>
      </c>
      <c r="G6406">
        <v>-330.46179999999998</v>
      </c>
      <c r="H6406" s="1">
        <v>-4.8848530000000002E-6</v>
      </c>
      <c r="I6406">
        <v>15.045959999999999</v>
      </c>
      <c r="J6406">
        <v>-343.52569999999997</v>
      </c>
      <c r="K6406">
        <v>1.108533</v>
      </c>
      <c r="L6406">
        <v>17.092410000000001</v>
      </c>
      <c r="M6406">
        <v>0.9995636</v>
      </c>
      <c r="N6406">
        <v>-1.3674810000000001E-2</v>
      </c>
      <c r="O6406">
        <v>2.6191559999999999E-2</v>
      </c>
      <c r="P6406">
        <v>0.99203520000000001</v>
      </c>
      <c r="Q6406">
        <v>-0.11070919999999999</v>
      </c>
      <c r="R6406">
        <v>6.0082469999999999E-2</v>
      </c>
      <c r="S6406">
        <v>3.0249630000000001</v>
      </c>
      <c r="T6406">
        <v>-0.25333559999999999</v>
      </c>
      <c r="U6406">
        <v>-0.46670529999999999</v>
      </c>
      <c r="V6406">
        <v>-3.428573E-2</v>
      </c>
      <c r="W6406">
        <v>-9.7042580000000003E-2</v>
      </c>
      <c r="X6406">
        <v>0.9946895</v>
      </c>
      <c r="Y6406">
        <v>0.17754410000000001</v>
      </c>
      <c r="Z6406">
        <v>-1.0423999999999999E-2</v>
      </c>
      <c r="AA6406">
        <v>0.98405770000000004</v>
      </c>
      <c r="AB6406">
        <v>35</v>
      </c>
      <c r="AC6406">
        <v>13.063899999999901</v>
      </c>
      <c r="AD6406">
        <v>-1.1085378848530001</v>
      </c>
      <c r="AE6406">
        <v>-2.0464500000000001</v>
      </c>
      <c r="AF6406">
        <v>2.3712785104233798</v>
      </c>
      <c r="AG6406">
        <v>-1.1085378848530001</v>
      </c>
      <c r="AH6406">
        <v>12.915046837057499</v>
      </c>
      <c r="AI6406">
        <v>94.825574437408207</v>
      </c>
      <c r="AJ6406">
        <v>79.596035063295801</v>
      </c>
      <c r="AK6406">
        <v>13.1776421570605</v>
      </c>
      <c r="AL6406">
        <v>95.568894395461299</v>
      </c>
      <c r="AM6406">
        <v>91.974133841847404</v>
      </c>
      <c r="AN6406">
        <v>0.99999998751246899</v>
      </c>
    </row>
    <row r="6407" spans="1:40" x14ac:dyDescent="0.25">
      <c r="A6407" t="str">
        <f>"20190305135053070"</f>
        <v>20190305135053070</v>
      </c>
      <c r="B6407" t="str">
        <f>"1551765053066616"</f>
        <v>1551765053066616</v>
      </c>
      <c r="C6407" t="s">
        <v>40</v>
      </c>
      <c r="D6407">
        <v>4.2403259999999996</v>
      </c>
      <c r="E6407">
        <v>0.58248</v>
      </c>
      <c r="F6407" t="s">
        <v>42</v>
      </c>
      <c r="G6407">
        <v>-330.21440000000001</v>
      </c>
      <c r="H6407" s="1">
        <v>-4.9964089999999998E-6</v>
      </c>
      <c r="I6407">
        <v>15.015510000000001</v>
      </c>
      <c r="J6407">
        <v>-343.34629999999999</v>
      </c>
      <c r="K6407">
        <v>1.108492</v>
      </c>
      <c r="L6407">
        <v>17.096589999999999</v>
      </c>
      <c r="M6407">
        <v>0.99957810000000002</v>
      </c>
      <c r="N6407">
        <v>-1.37497E-2</v>
      </c>
      <c r="O6407">
        <v>2.5590399999999999E-2</v>
      </c>
      <c r="P6407">
        <v>0.99220280000000005</v>
      </c>
      <c r="Q6407">
        <v>-0.1100178</v>
      </c>
      <c r="R6407">
        <v>5.8567840000000003E-2</v>
      </c>
      <c r="S6407">
        <v>3.024597</v>
      </c>
      <c r="T6407">
        <v>-0.25188139999999998</v>
      </c>
      <c r="U6407">
        <v>-0.47189330000000002</v>
      </c>
      <c r="V6407">
        <v>-3.337565E-2</v>
      </c>
      <c r="W6407">
        <v>-9.6272640000000007E-2</v>
      </c>
      <c r="X6407">
        <v>0.99479530000000005</v>
      </c>
      <c r="Y6407">
        <v>0.17862359999999999</v>
      </c>
      <c r="Z6407">
        <v>-1.038474E-2</v>
      </c>
      <c r="AA6407">
        <v>0.98386269999999998</v>
      </c>
      <c r="AB6407">
        <v>35</v>
      </c>
      <c r="AC6407">
        <v>13.1318999999999</v>
      </c>
      <c r="AD6407">
        <v>-1.1084969964089999</v>
      </c>
      <c r="AE6407">
        <v>-2.0810799999999898</v>
      </c>
      <c r="AF6407">
        <v>2.3997998467844202</v>
      </c>
      <c r="AG6407">
        <v>-1.1084969964089999</v>
      </c>
      <c r="AH6407">
        <v>12.984086751723</v>
      </c>
      <c r="AI6407">
        <v>94.798820885062398</v>
      </c>
      <c r="AJ6407">
        <v>79.528408783834493</v>
      </c>
      <c r="AK6407">
        <v>13.250445791442001</v>
      </c>
      <c r="AL6407">
        <v>95.524572361266905</v>
      </c>
      <c r="AM6407">
        <v>91.921568050916207</v>
      </c>
      <c r="AN6407">
        <v>1.0000000220637899</v>
      </c>
    </row>
    <row r="6408" spans="1:40" x14ac:dyDescent="0.25">
      <c r="A6408" t="str">
        <f>"20190305135053082"</f>
        <v>20190305135053082</v>
      </c>
      <c r="B6408" t="str">
        <f>"1551765053076376"</f>
        <v>1551765053076376</v>
      </c>
      <c r="C6408" t="s">
        <v>40</v>
      </c>
      <c r="D6408">
        <v>4.3308540000000004</v>
      </c>
      <c r="E6408">
        <v>0.58251299999999995</v>
      </c>
      <c r="F6408" t="s">
        <v>42</v>
      </c>
      <c r="G6408">
        <v>-329.82859999999999</v>
      </c>
      <c r="H6408" s="1">
        <v>-1.2887770000000001E-6</v>
      </c>
      <c r="I6408">
        <v>14.96062</v>
      </c>
      <c r="J6408">
        <v>-343.16430000000003</v>
      </c>
      <c r="K6408">
        <v>1.108449</v>
      </c>
      <c r="L6408">
        <v>17.100650000000002</v>
      </c>
      <c r="M6408">
        <v>0.99959359999999997</v>
      </c>
      <c r="N6408">
        <v>-1.381689E-2</v>
      </c>
      <c r="O6408">
        <v>2.49394E-2</v>
      </c>
      <c r="P6408">
        <v>0.99237549999999997</v>
      </c>
      <c r="Q6408">
        <v>-0.10943120000000001</v>
      </c>
      <c r="R6408">
        <v>5.6708960000000003E-2</v>
      </c>
      <c r="S6408">
        <v>3.0242610000000001</v>
      </c>
      <c r="T6408">
        <v>-0.24800059999999999</v>
      </c>
      <c r="U6408">
        <v>-0.47787479999999899</v>
      </c>
      <c r="V6408">
        <v>-3.2170909999999997E-2</v>
      </c>
      <c r="W6408">
        <v>-9.5616499999999993E-2</v>
      </c>
      <c r="X6408">
        <v>0.99489830000000001</v>
      </c>
      <c r="Y6408">
        <v>0.17991689999999999</v>
      </c>
      <c r="Z6408">
        <v>-1.026058E-2</v>
      </c>
      <c r="AA6408">
        <v>0.98362830000000001</v>
      </c>
      <c r="AB6408">
        <v>35</v>
      </c>
      <c r="AC6408">
        <v>13.335699999999999</v>
      </c>
      <c r="AD6408">
        <v>-1.108450288777</v>
      </c>
      <c r="AE6408">
        <v>-2.1400299999999999</v>
      </c>
      <c r="AF6408">
        <v>2.4554421161495701</v>
      </c>
      <c r="AG6408">
        <v>-1.108450288777</v>
      </c>
      <c r="AH6408">
        <v>13.189340697793</v>
      </c>
      <c r="AI6408">
        <v>94.7231516262637</v>
      </c>
      <c r="AJ6408">
        <v>79.454050998893194</v>
      </c>
      <c r="AK6408">
        <v>13.461670255614999</v>
      </c>
      <c r="AL6408">
        <v>95.486803890467797</v>
      </c>
      <c r="AM6408">
        <v>91.852064001591899</v>
      </c>
      <c r="AN6408">
        <v>1.00000005493268</v>
      </c>
    </row>
    <row r="6409" spans="1:40" x14ac:dyDescent="0.25">
      <c r="A6409" t="str">
        <f>"20190305135053093"</f>
        <v>20190305135053093</v>
      </c>
      <c r="B6409" t="str">
        <f>"1551765053086136"</f>
        <v>1551765053086136</v>
      </c>
      <c r="C6409" t="s">
        <v>40</v>
      </c>
      <c r="D6409">
        <v>4.2789289999999998</v>
      </c>
      <c r="E6409">
        <v>0.58251299999999995</v>
      </c>
      <c r="F6409" t="s">
        <v>42</v>
      </c>
      <c r="G6409">
        <v>-329.61149999999998</v>
      </c>
      <c r="H6409" s="1">
        <v>-1.379882E-6</v>
      </c>
      <c r="I6409">
        <v>14.931710000000001</v>
      </c>
      <c r="J6409">
        <v>-342.97710000000001</v>
      </c>
      <c r="K6409">
        <v>1.1084050000000001</v>
      </c>
      <c r="L6409">
        <v>17.104710000000001</v>
      </c>
      <c r="M6409">
        <v>0.99960950000000004</v>
      </c>
      <c r="N6409">
        <v>-1.388286E-2</v>
      </c>
      <c r="O6409">
        <v>2.4255559999999999E-2</v>
      </c>
      <c r="P6409">
        <v>0.99252070000000003</v>
      </c>
      <c r="Q6409">
        <v>-0.10901189999999999</v>
      </c>
      <c r="R6409">
        <v>5.4948150000000001E-2</v>
      </c>
      <c r="S6409">
        <v>3.0234380000000001</v>
      </c>
      <c r="T6409">
        <v>-0.24727769999999999</v>
      </c>
      <c r="U6409">
        <v>-0.48385620000000001</v>
      </c>
      <c r="V6409">
        <v>-3.1097349999999999E-2</v>
      </c>
      <c r="W6409">
        <v>-9.5129249999999999E-2</v>
      </c>
      <c r="X6409">
        <v>0.99497910000000001</v>
      </c>
      <c r="Y6409">
        <v>0.1811835</v>
      </c>
      <c r="Z6409">
        <v>-1.025322E-2</v>
      </c>
      <c r="AA6409">
        <v>0.98339589999999999</v>
      </c>
      <c r="AB6409">
        <v>35</v>
      </c>
      <c r="AC6409">
        <v>13.365600000000001</v>
      </c>
      <c r="AD6409">
        <v>-1.1084063798820001</v>
      </c>
      <c r="AE6409">
        <v>-2.173</v>
      </c>
      <c r="AF6409">
        <v>2.4799655092595501</v>
      </c>
      <c r="AG6409">
        <v>-1.1084063798820001</v>
      </c>
      <c r="AH6409">
        <v>13.220374816628</v>
      </c>
      <c r="AI6409">
        <v>94.710727584326406</v>
      </c>
      <c r="AJ6409">
        <v>79.375550047577207</v>
      </c>
      <c r="AK6409">
        <v>13.496558965981301</v>
      </c>
      <c r="AL6409">
        <v>95.458758904264698</v>
      </c>
      <c r="AM6409">
        <v>91.790155285081198</v>
      </c>
      <c r="AN6409">
        <v>1.0000000144096901</v>
      </c>
    </row>
    <row r="6410" spans="1:40" x14ac:dyDescent="0.25">
      <c r="A6410" t="str">
        <f>"20190305135053104"</f>
        <v>20190305135053104</v>
      </c>
      <c r="B6410" t="str">
        <f>"1551765053096872"</f>
        <v>1551765053096872</v>
      </c>
      <c r="C6410" t="s">
        <v>40</v>
      </c>
      <c r="D6410">
        <v>4.21488</v>
      </c>
      <c r="E6410">
        <v>0.582329599999999</v>
      </c>
      <c r="F6410" t="s">
        <v>42</v>
      </c>
      <c r="G6410">
        <v>-329.37150000000003</v>
      </c>
      <c r="H6410" s="1">
        <v>-1.479823E-6</v>
      </c>
      <c r="I6410">
        <v>14.902430000000001</v>
      </c>
      <c r="J6410">
        <v>-342.80380000000002</v>
      </c>
      <c r="K6410">
        <v>1.108368</v>
      </c>
      <c r="L6410">
        <v>17.108339999999998</v>
      </c>
      <c r="M6410">
        <v>0.99962439999999997</v>
      </c>
      <c r="N6410">
        <v>-1.3938910000000001E-2</v>
      </c>
      <c r="O6410">
        <v>2.3600380000000001E-2</v>
      </c>
      <c r="P6410">
        <v>0.99262510000000004</v>
      </c>
      <c r="Q6410">
        <v>-0.1088165</v>
      </c>
      <c r="R6410">
        <v>5.3430329999999998E-2</v>
      </c>
      <c r="S6410">
        <v>3.0226440000000001</v>
      </c>
      <c r="T6410">
        <v>-0.2462443</v>
      </c>
      <c r="U6410">
        <v>-0.48925780000000002</v>
      </c>
      <c r="V6410">
        <v>-3.023791E-2</v>
      </c>
      <c r="W6410">
        <v>-9.4876340000000003E-2</v>
      </c>
      <c r="X6410">
        <v>0.99502970000000002</v>
      </c>
      <c r="Y6410">
        <v>0.18229480000000001</v>
      </c>
      <c r="Z6410">
        <v>-1.0228269999999999E-2</v>
      </c>
      <c r="AA6410">
        <v>0.98319069999999997</v>
      </c>
      <c r="AB6410">
        <v>35</v>
      </c>
      <c r="AC6410">
        <v>13.4322999999999</v>
      </c>
      <c r="AD6410">
        <v>-1.1083694798229999</v>
      </c>
      <c r="AE6410">
        <v>-2.2059099999999998</v>
      </c>
      <c r="AF6410">
        <v>2.5057208020211101</v>
      </c>
      <c r="AG6410">
        <v>-1.1083694798229999</v>
      </c>
      <c r="AH6410">
        <v>13.288391167453</v>
      </c>
      <c r="AI6410">
        <v>94.685739354622697</v>
      </c>
      <c r="AJ6410">
        <v>79.321427965728105</v>
      </c>
      <c r="AK6410">
        <v>13.5679202334303</v>
      </c>
      <c r="AL6410">
        <v>95.444202591426205</v>
      </c>
      <c r="AM6410">
        <v>91.740623022231702</v>
      </c>
      <c r="AN6410">
        <v>0.999999977487526</v>
      </c>
    </row>
    <row r="6411" spans="1:40" x14ac:dyDescent="0.25">
      <c r="A6411" t="str">
        <f>"20190305135053117"</f>
        <v>20190305135053117</v>
      </c>
      <c r="B6411" t="str">
        <f>"1551765053106632"</f>
        <v>1551765053106632</v>
      </c>
      <c r="C6411" t="s">
        <v>40</v>
      </c>
      <c r="D6411">
        <v>4.3561730000000001</v>
      </c>
      <c r="E6411">
        <v>0.58173779999999997</v>
      </c>
      <c r="F6411" t="s">
        <v>42</v>
      </c>
      <c r="G6411">
        <v>-329.04239999999999</v>
      </c>
      <c r="H6411" s="1">
        <v>-1.615769E-6</v>
      </c>
      <c r="I6411">
        <v>14.86642</v>
      </c>
      <c r="J6411">
        <v>-342.61130000000003</v>
      </c>
      <c r="K6411">
        <v>1.10833</v>
      </c>
      <c r="L6411">
        <v>17.112179999999999</v>
      </c>
      <c r="M6411">
        <v>0.99964090000000005</v>
      </c>
      <c r="N6411">
        <v>-1.399629E-2</v>
      </c>
      <c r="O6411">
        <v>2.2853749999999999E-2</v>
      </c>
      <c r="P6411">
        <v>0.9927319</v>
      </c>
      <c r="Q6411">
        <v>-0.10868999999999999</v>
      </c>
      <c r="R6411">
        <v>5.1672389999999999E-2</v>
      </c>
      <c r="S6411">
        <v>3.0220950000000002</v>
      </c>
      <c r="T6411">
        <v>-0.24340510000000001</v>
      </c>
      <c r="U6411">
        <v>-0.4923401</v>
      </c>
      <c r="V6411">
        <v>-2.923017E-2</v>
      </c>
      <c r="W6411">
        <v>-9.4691739999999996E-2</v>
      </c>
      <c r="X6411">
        <v>0.9950774</v>
      </c>
      <c r="Y6411">
        <v>0.18258199999999999</v>
      </c>
      <c r="Z6411">
        <v>-1.0090760000000001E-2</v>
      </c>
      <c r="AA6411">
        <v>0.98313890000000004</v>
      </c>
      <c r="AB6411">
        <v>35</v>
      </c>
      <c r="AC6411">
        <v>13.568899999999999</v>
      </c>
      <c r="AD6411">
        <v>-1.108331615769</v>
      </c>
      <c r="AE6411">
        <v>-2.24575999999999</v>
      </c>
      <c r="AF6411">
        <v>2.53881681630113</v>
      </c>
      <c r="AG6411">
        <v>-1.108331615769</v>
      </c>
      <c r="AH6411">
        <v>13.4268321883256</v>
      </c>
      <c r="AI6411">
        <v>94.6370415568488</v>
      </c>
      <c r="AJ6411">
        <v>79.292622885928495</v>
      </c>
      <c r="AK6411">
        <v>13.709624809260999</v>
      </c>
      <c r="AL6411">
        <v>95.433577941732594</v>
      </c>
      <c r="AM6411">
        <v>91.682566521065993</v>
      </c>
      <c r="AN6411">
        <v>0.99999998022660797</v>
      </c>
    </row>
    <row r="6412" spans="1:40" x14ac:dyDescent="0.25">
      <c r="A6412" t="str">
        <f>"20190305135053130"</f>
        <v>20190305135053130</v>
      </c>
      <c r="B6412" t="str">
        <f>"1551765053126152"</f>
        <v>1551765053126152</v>
      </c>
      <c r="C6412" t="s">
        <v>40</v>
      </c>
      <c r="D6412">
        <v>4.2344489999999997</v>
      </c>
      <c r="E6412">
        <v>0.56477929999999998</v>
      </c>
      <c r="F6412" t="s">
        <v>42</v>
      </c>
      <c r="G6412">
        <v>-329.28899999999999</v>
      </c>
      <c r="H6412" s="1">
        <v>-1.502583E-6</v>
      </c>
      <c r="I6412">
        <v>14.93596</v>
      </c>
      <c r="J6412">
        <v>-342.41390000000001</v>
      </c>
      <c r="K6412">
        <v>1.1082909999999999</v>
      </c>
      <c r="L6412">
        <v>17.116029999999999</v>
      </c>
      <c r="M6412">
        <v>0.99965760000000004</v>
      </c>
      <c r="N6412">
        <v>-1.4051900000000001E-2</v>
      </c>
      <c r="O6412">
        <v>2.2076760000000001E-2</v>
      </c>
      <c r="P6412">
        <v>0.99283239999999995</v>
      </c>
      <c r="Q6412">
        <v>-0.1084135</v>
      </c>
      <c r="R6412">
        <v>5.0304229999999998E-2</v>
      </c>
      <c r="S6412">
        <v>3.0201419999999999</v>
      </c>
      <c r="T6412">
        <v>-0.25125710000000001</v>
      </c>
      <c r="U6412">
        <v>-0.49334719999999999</v>
      </c>
      <c r="V6412">
        <v>-2.864127E-2</v>
      </c>
      <c r="W6412">
        <v>-9.4358029999999996E-2</v>
      </c>
      <c r="X6412">
        <v>0.99512619999999896</v>
      </c>
      <c r="Y6412">
        <v>0.1821953</v>
      </c>
      <c r="Z6412">
        <v>-1.0321779999999999E-2</v>
      </c>
      <c r="AA6412">
        <v>0.98320819999999998</v>
      </c>
      <c r="AB6412">
        <v>35</v>
      </c>
      <c r="AC6412">
        <v>13.1249</v>
      </c>
      <c r="AD6412">
        <v>-1.1082925025829999</v>
      </c>
      <c r="AE6412">
        <v>-2.18006999999999</v>
      </c>
      <c r="AF6412">
        <v>2.4523058668594802</v>
      </c>
      <c r="AG6412">
        <v>-1.1082925025829999</v>
      </c>
      <c r="AH6412">
        <v>12.9834745678373</v>
      </c>
      <c r="AI6412">
        <v>94.794671637782599</v>
      </c>
      <c r="AJ6412">
        <v>79.304035596554598</v>
      </c>
      <c r="AK6412">
        <v>13.259439210977</v>
      </c>
      <c r="AL6412">
        <v>95.414371896894295</v>
      </c>
      <c r="AM6412">
        <v>91.6486059627061</v>
      </c>
      <c r="AN6412">
        <v>0.99999995704956501</v>
      </c>
    </row>
    <row r="6413" spans="1:40" x14ac:dyDescent="0.25">
      <c r="A6413" t="str">
        <f>"20190305135053140"</f>
        <v>20190305135053140</v>
      </c>
      <c r="B6413" t="str">
        <f>"1551765053136889"</f>
        <v>1551765053136889</v>
      </c>
      <c r="C6413" t="s">
        <v>40</v>
      </c>
      <c r="D6413">
        <v>4.2721099999999996</v>
      </c>
      <c r="E6413">
        <v>0.56811109999999998</v>
      </c>
      <c r="F6413" t="s">
        <v>41</v>
      </c>
      <c r="G6413">
        <v>-341.46039999999999</v>
      </c>
      <c r="H6413">
        <v>0.84514020000000001</v>
      </c>
      <c r="I6413">
        <v>16.991420000000002</v>
      </c>
      <c r="J6413">
        <v>-342.245</v>
      </c>
      <c r="K6413">
        <v>1.1082639999999999</v>
      </c>
      <c r="L6413">
        <v>17.11908</v>
      </c>
      <c r="M6413">
        <v>0.9996718</v>
      </c>
      <c r="N6413">
        <v>-1.409351E-2</v>
      </c>
      <c r="O6413">
        <v>2.1393200000000001E-2</v>
      </c>
      <c r="P6413">
        <v>0.9928979</v>
      </c>
      <c r="Q6413">
        <v>-0.1083853</v>
      </c>
      <c r="R6413">
        <v>4.9056200000000001E-2</v>
      </c>
      <c r="S6413">
        <v>2.9521790000000001</v>
      </c>
      <c r="T6413">
        <v>-0.81458430000000004</v>
      </c>
      <c r="U6413">
        <v>-0.38467410000000002</v>
      </c>
      <c r="V6413">
        <v>-2.8077270000000001E-2</v>
      </c>
      <c r="W6413">
        <v>-9.4287860000000001E-2</v>
      </c>
      <c r="X6413">
        <v>0.99514899999999995</v>
      </c>
      <c r="Y6413">
        <v>0.14410249999999999</v>
      </c>
      <c r="Z6413">
        <v>-2.595573E-2</v>
      </c>
      <c r="AA6413">
        <v>0.9892223</v>
      </c>
      <c r="AB6413">
        <v>35</v>
      </c>
      <c r="AC6413">
        <v>0.78460000000001096</v>
      </c>
      <c r="AD6413">
        <v>-0.26312379999999902</v>
      </c>
      <c r="AE6413">
        <v>-0.127659999999998</v>
      </c>
      <c r="AF6413">
        <v>0.13015678890709001</v>
      </c>
      <c r="AG6413">
        <v>-0.26312379999999902</v>
      </c>
      <c r="AH6413">
        <v>0.70449983286553497</v>
      </c>
      <c r="AI6413">
        <v>110.167009451635</v>
      </c>
      <c r="AJ6413">
        <v>79.532597426302402</v>
      </c>
      <c r="AK6413">
        <v>0.76321356010792396</v>
      </c>
      <c r="AL6413">
        <v>95.410333035363095</v>
      </c>
      <c r="AM6413">
        <v>91.616122219644197</v>
      </c>
      <c r="AN6413">
        <v>1.0000000329175101</v>
      </c>
    </row>
    <row r="6414" spans="1:40" x14ac:dyDescent="0.25">
      <c r="A6414" t="str">
        <f>"20190305135053152"</f>
        <v>20190305135053152</v>
      </c>
      <c r="B6414" t="str">
        <f>"1551765053146648"</f>
        <v>1551765053146648</v>
      </c>
      <c r="C6414" t="s">
        <v>40</v>
      </c>
      <c r="D6414">
        <v>4.2795110000000003</v>
      </c>
      <c r="E6414">
        <v>0.5688069</v>
      </c>
      <c r="F6414" t="s">
        <v>41</v>
      </c>
      <c r="G6414">
        <v>-341.44510000000002</v>
      </c>
      <c r="H6414">
        <v>0.88333009999999901</v>
      </c>
      <c r="I6414">
        <v>17.006229999999999</v>
      </c>
      <c r="J6414">
        <v>-342.06830000000002</v>
      </c>
      <c r="K6414">
        <v>1.1082399999999999</v>
      </c>
      <c r="L6414">
        <v>17.122250000000001</v>
      </c>
      <c r="M6414">
        <v>0.99968639999999998</v>
      </c>
      <c r="N6414">
        <v>-1.413589E-2</v>
      </c>
      <c r="O6414">
        <v>2.0675720000000002E-2</v>
      </c>
      <c r="P6414">
        <v>0.99295219999999995</v>
      </c>
      <c r="Q6414">
        <v>-0.1084497</v>
      </c>
      <c r="R6414">
        <v>4.7802900000000002E-2</v>
      </c>
      <c r="S6414">
        <v>2.9513850000000001</v>
      </c>
      <c r="T6414">
        <v>-0.82974340000000002</v>
      </c>
      <c r="U6414">
        <v>-0.41506959999999998</v>
      </c>
      <c r="V6414">
        <v>-2.7543359999999999E-2</v>
      </c>
      <c r="W6414">
        <v>-9.430964E-2</v>
      </c>
      <c r="X6414">
        <v>0.99516179999999999</v>
      </c>
      <c r="Y6414">
        <v>0.1528756</v>
      </c>
      <c r="Z6414">
        <v>-2.7482329999999999E-2</v>
      </c>
      <c r="AA6414">
        <v>0.98786320000000005</v>
      </c>
      <c r="AB6414">
        <v>35</v>
      </c>
      <c r="AC6414">
        <v>0.62319999999999698</v>
      </c>
      <c r="AD6414">
        <v>-0.2249099</v>
      </c>
      <c r="AE6414">
        <v>-0.116020000000002</v>
      </c>
      <c r="AF6414">
        <v>0.114471620731888</v>
      </c>
      <c r="AG6414">
        <v>-0.2249099</v>
      </c>
      <c r="AH6414">
        <v>0.55127222006477705</v>
      </c>
      <c r="AI6414">
        <v>111.774839017638</v>
      </c>
      <c r="AJ6414">
        <v>78.269245231438106</v>
      </c>
      <c r="AK6414">
        <v>0.60629141152266297</v>
      </c>
      <c r="AL6414">
        <v>95.411586829076597</v>
      </c>
      <c r="AM6414">
        <v>91.585385918267704</v>
      </c>
      <c r="AN6414">
        <v>0.999999976528129</v>
      </c>
    </row>
    <row r="6415" spans="1:40" x14ac:dyDescent="0.25">
      <c r="A6415" t="str">
        <f>"20190305135053162"</f>
        <v>20190305135053162</v>
      </c>
      <c r="B6415" t="str">
        <f>"1551765053156408"</f>
        <v>1551765053156408</v>
      </c>
      <c r="C6415" t="s">
        <v>40</v>
      </c>
      <c r="D6415">
        <v>4.2788919999999999</v>
      </c>
      <c r="E6415">
        <v>0.56866130000000004</v>
      </c>
      <c r="F6415" t="s">
        <v>41</v>
      </c>
      <c r="G6415">
        <v>-341.1447</v>
      </c>
      <c r="H6415">
        <v>0.84982849999999999</v>
      </c>
      <c r="I6415">
        <v>16.98978</v>
      </c>
      <c r="J6415">
        <v>-341.89600000000002</v>
      </c>
      <c r="K6415">
        <v>1.108225</v>
      </c>
      <c r="L6415">
        <v>17.12518</v>
      </c>
      <c r="M6415">
        <v>0.99970020000000004</v>
      </c>
      <c r="N6415">
        <v>-1.4172840000000001E-2</v>
      </c>
      <c r="O6415">
        <v>1.9965320000000002E-2</v>
      </c>
      <c r="P6415">
        <v>0.99299349999999997</v>
      </c>
      <c r="Q6415">
        <v>-0.1085641</v>
      </c>
      <c r="R6415">
        <v>4.666559E-2</v>
      </c>
      <c r="S6415">
        <v>2.951508</v>
      </c>
      <c r="T6415">
        <v>-0.82579859999999905</v>
      </c>
      <c r="U6415">
        <v>-0.42382809999999999</v>
      </c>
      <c r="V6415">
        <v>-2.7116560000000001E-2</v>
      </c>
      <c r="W6415">
        <v>-9.4387159999999998E-2</v>
      </c>
      <c r="X6415">
        <v>0.9951662</v>
      </c>
      <c r="Y6415">
        <v>0.1550454</v>
      </c>
      <c r="Z6415">
        <v>-2.748397E-2</v>
      </c>
      <c r="AA6415">
        <v>0.98752499999999999</v>
      </c>
      <c r="AB6415">
        <v>35</v>
      </c>
      <c r="AC6415">
        <v>0.751299999999957</v>
      </c>
      <c r="AD6415">
        <v>-0.25839649999999997</v>
      </c>
      <c r="AE6415">
        <v>-0.13539999999999999</v>
      </c>
      <c r="AF6415">
        <v>0.13491720396793599</v>
      </c>
      <c r="AG6415">
        <v>-0.25839649999999997</v>
      </c>
      <c r="AH6415">
        <v>0.67151250004349505</v>
      </c>
      <c r="AI6415">
        <v>110.66941874191301</v>
      </c>
      <c r="AJ6415">
        <v>78.639644994705193</v>
      </c>
      <c r="AK6415">
        <v>0.73205221183563196</v>
      </c>
      <c r="AL6415">
        <v>95.4160481464627</v>
      </c>
      <c r="AM6415">
        <v>91.560824813534197</v>
      </c>
      <c r="AN6415">
        <v>1.00000000471076</v>
      </c>
    </row>
    <row r="6416" spans="1:40" x14ac:dyDescent="0.25">
      <c r="A6416" t="str">
        <f>"20190305135053173"</f>
        <v>20190305135053173</v>
      </c>
      <c r="B6416" t="str">
        <f>"1551765053166168"</f>
        <v>1551765053166168</v>
      </c>
      <c r="C6416" t="s">
        <v>40</v>
      </c>
      <c r="D6416">
        <v>4.2603150000000003</v>
      </c>
      <c r="E6416">
        <v>0.568802699999999</v>
      </c>
      <c r="F6416" t="s">
        <v>41</v>
      </c>
      <c r="G6416">
        <v>-341.12699999999899</v>
      </c>
      <c r="H6416">
        <v>0.8952563</v>
      </c>
      <c r="I6416">
        <v>17.014469999999999</v>
      </c>
      <c r="J6416">
        <v>-341.73169999999999</v>
      </c>
      <c r="K6416">
        <v>1.1082050000000001</v>
      </c>
      <c r="L6416">
        <v>17.127839999999999</v>
      </c>
      <c r="M6416">
        <v>0.99971310000000002</v>
      </c>
      <c r="N6416">
        <v>-1.4206440000000001E-2</v>
      </c>
      <c r="O6416">
        <v>1.928583E-2</v>
      </c>
      <c r="P6416">
        <v>0.99302570000000001</v>
      </c>
      <c r="Q6416">
        <v>-0.108559199999999</v>
      </c>
      <c r="R6416">
        <v>4.5989799999999997E-2</v>
      </c>
      <c r="S6416">
        <v>2.9517519999999999</v>
      </c>
      <c r="T6416">
        <v>-0.81755809999999995</v>
      </c>
      <c r="U6416">
        <v>-0.42556759999999899</v>
      </c>
      <c r="V6416">
        <v>-2.711999E-2</v>
      </c>
      <c r="W6416">
        <v>-9.4347570000000006E-2</v>
      </c>
      <c r="X6416">
        <v>0.99516990000000005</v>
      </c>
      <c r="Y6416">
        <v>0.15508669999999999</v>
      </c>
      <c r="Z6416">
        <v>-2.7057580000000001E-2</v>
      </c>
      <c r="AA6416">
        <v>0.98753020000000002</v>
      </c>
      <c r="AB6416">
        <v>35</v>
      </c>
      <c r="AC6416">
        <v>0.60470000000003599</v>
      </c>
      <c r="AD6416">
        <v>-0.21294869999999899</v>
      </c>
      <c r="AE6416">
        <v>-0.113369999999996</v>
      </c>
      <c r="AF6416">
        <v>0.111637714492152</v>
      </c>
      <c r="AG6416">
        <v>-0.21294869999999899</v>
      </c>
      <c r="AH6416">
        <v>0.53795261090261404</v>
      </c>
      <c r="AI6416">
        <v>111.185945237697</v>
      </c>
      <c r="AJ6416">
        <v>78.276197779456396</v>
      </c>
      <c r="AK6416">
        <v>0.58923945871407901</v>
      </c>
      <c r="AL6416">
        <v>95.413769426098696</v>
      </c>
      <c r="AM6416">
        <v>91.561016345157299</v>
      </c>
      <c r="AN6416">
        <v>1.00000004384425</v>
      </c>
    </row>
    <row r="6417" spans="1:40" x14ac:dyDescent="0.25">
      <c r="A6417" t="str">
        <f>"20190305135053184"</f>
        <v>20190305135053184</v>
      </c>
      <c r="B6417" t="str">
        <f>"1551765053175930"</f>
        <v>1551765053175930</v>
      </c>
      <c r="C6417" t="s">
        <v>40</v>
      </c>
      <c r="D6417">
        <v>4.2893080000000001</v>
      </c>
      <c r="E6417">
        <v>0.56904299999999997</v>
      </c>
      <c r="F6417" t="s">
        <v>41</v>
      </c>
      <c r="G6417">
        <v>-340.8279</v>
      </c>
      <c r="H6417">
        <v>0.85932509999999995</v>
      </c>
      <c r="I6417">
        <v>16.99663</v>
      </c>
      <c r="J6417">
        <v>-341.54509999999999</v>
      </c>
      <c r="K6417">
        <v>1.108193</v>
      </c>
      <c r="L6417">
        <v>17.130739999999999</v>
      </c>
      <c r="M6417">
        <v>0.99972740000000004</v>
      </c>
      <c r="N6417">
        <v>-1.424125E-2</v>
      </c>
      <c r="O6417">
        <v>1.8508259999999999E-2</v>
      </c>
      <c r="P6417">
        <v>0.9930776</v>
      </c>
      <c r="Q6417">
        <v>-0.10840959999999999</v>
      </c>
      <c r="R6417">
        <v>4.521551E-2</v>
      </c>
      <c r="S6417">
        <v>2.952026</v>
      </c>
      <c r="T6417">
        <v>-0.81278589999999995</v>
      </c>
      <c r="U6417">
        <v>-0.42816159999999998</v>
      </c>
      <c r="V6417">
        <v>-2.712094E-2</v>
      </c>
      <c r="W6417">
        <v>-9.4161910000000001E-2</v>
      </c>
      <c r="X6417">
        <v>0.99518740000000006</v>
      </c>
      <c r="Y6417">
        <v>0.1552521</v>
      </c>
      <c r="Z6417">
        <v>-2.6733150000000001E-2</v>
      </c>
      <c r="AA6417">
        <v>0.98751310000000003</v>
      </c>
      <c r="AB6417">
        <v>35</v>
      </c>
      <c r="AC6417">
        <v>0.71719999999999096</v>
      </c>
      <c r="AD6417">
        <v>-0.248867899999999</v>
      </c>
      <c r="AE6417">
        <v>-0.13410999999999901</v>
      </c>
      <c r="AF6417">
        <v>0.13200495738242299</v>
      </c>
      <c r="AG6417">
        <v>-0.248867899999999</v>
      </c>
      <c r="AH6417">
        <v>0.64012250034502605</v>
      </c>
      <c r="AI6417">
        <v>110.845315628731</v>
      </c>
      <c r="AJ6417">
        <v>78.347903001850497</v>
      </c>
      <c r="AK6417">
        <v>0.69936925573827802</v>
      </c>
      <c r="AL6417">
        <v>95.403084637260406</v>
      </c>
      <c r="AM6417">
        <v>91.561043562470601</v>
      </c>
      <c r="AN6417">
        <v>0.99999998590004502</v>
      </c>
    </row>
    <row r="6418" spans="1:40" x14ac:dyDescent="0.25">
      <c r="A6418" t="str">
        <f>"20190305135053197"</f>
        <v>20190305135053197</v>
      </c>
      <c r="B6418" t="str">
        <f>"1551765053186665"</f>
        <v>1551765053186665</v>
      </c>
      <c r="C6418" t="s">
        <v>40</v>
      </c>
      <c r="D6418">
        <v>4.2437589999999998</v>
      </c>
      <c r="E6418">
        <v>0.56921630000000001</v>
      </c>
      <c r="F6418" t="s">
        <v>41</v>
      </c>
      <c r="G6418">
        <v>-340.80939999999998</v>
      </c>
      <c r="H6418">
        <v>0.90675589999999995</v>
      </c>
      <c r="I6418">
        <v>17.022929999999999</v>
      </c>
      <c r="J6418">
        <v>-341.36110000000002</v>
      </c>
      <c r="K6418">
        <v>1.1081840000000001</v>
      </c>
      <c r="L6418">
        <v>17.133420000000001</v>
      </c>
      <c r="M6418">
        <v>0.99974070000000004</v>
      </c>
      <c r="N6418">
        <v>-1.427279E-2</v>
      </c>
      <c r="O6418">
        <v>1.7738940000000002E-2</v>
      </c>
      <c r="P6418">
        <v>0.99315909999999996</v>
      </c>
      <c r="Q6418">
        <v>-0.10798820000000001</v>
      </c>
      <c r="R6418">
        <v>4.442637E-2</v>
      </c>
      <c r="S6418">
        <v>2.9523619999999999</v>
      </c>
      <c r="T6418">
        <v>-0.80823829999999997</v>
      </c>
      <c r="U6418">
        <v>-0.43209839999999999</v>
      </c>
      <c r="V6418">
        <v>-2.709696E-2</v>
      </c>
      <c r="W6418">
        <v>-9.3707750000000006E-2</v>
      </c>
      <c r="X6418">
        <v>0.99523090000000003</v>
      </c>
      <c r="Y6418">
        <v>0.15584200000000001</v>
      </c>
      <c r="Z6418">
        <v>-2.647828E-2</v>
      </c>
      <c r="AA6418">
        <v>0.9874271</v>
      </c>
      <c r="AB6418">
        <v>35</v>
      </c>
      <c r="AC6418">
        <v>0.55170000000003905</v>
      </c>
      <c r="AD6418">
        <v>-0.2014281</v>
      </c>
      <c r="AE6418">
        <v>-0.110490000000002</v>
      </c>
      <c r="AF6418">
        <v>0.106598436384531</v>
      </c>
      <c r="AG6418">
        <v>-0.2014281</v>
      </c>
      <c r="AH6418">
        <v>0.48721155406073902</v>
      </c>
      <c r="AI6418">
        <v>111.99263027302</v>
      </c>
      <c r="AJ6418">
        <v>77.658566152919505</v>
      </c>
      <c r="AK6418">
        <v>0.53787694179943901</v>
      </c>
      <c r="AL6418">
        <v>95.376947724042793</v>
      </c>
      <c r="AM6418">
        <v>91.559595852261197</v>
      </c>
      <c r="AN6418">
        <v>0.99999996598305596</v>
      </c>
    </row>
    <row r="6419" spans="1:40" x14ac:dyDescent="0.25">
      <c r="A6419" t="str">
        <f>"20190305135053212"</f>
        <v>20190305135053212</v>
      </c>
      <c r="B6419" t="str">
        <f>"1551765053206185"</f>
        <v>1551765053206185</v>
      </c>
      <c r="C6419" t="s">
        <v>40</v>
      </c>
      <c r="D6419">
        <v>4.2881309999999999</v>
      </c>
      <c r="E6419">
        <v>0.57037179999999998</v>
      </c>
      <c r="F6419" t="s">
        <v>41</v>
      </c>
      <c r="G6419">
        <v>-340.50760000000002</v>
      </c>
      <c r="H6419">
        <v>0.87839460000000003</v>
      </c>
      <c r="I6419">
        <v>17.007719999999999</v>
      </c>
      <c r="J6419">
        <v>-341.13869999999997</v>
      </c>
      <c r="K6419">
        <v>1.1081780000000001</v>
      </c>
      <c r="L6419">
        <v>17.13654</v>
      </c>
      <c r="M6419">
        <v>0.99975630000000004</v>
      </c>
      <c r="N6419">
        <v>-1.4308380000000001E-2</v>
      </c>
      <c r="O6419">
        <v>1.680686E-2</v>
      </c>
      <c r="P6419">
        <v>0.99321150000000002</v>
      </c>
      <c r="Q6419">
        <v>-0.10772619999999999</v>
      </c>
      <c r="R6419">
        <v>4.3886210000000002E-2</v>
      </c>
      <c r="S6419">
        <v>2.9536440000000002</v>
      </c>
      <c r="T6419">
        <v>-0.79526189999999997</v>
      </c>
      <c r="U6419">
        <v>-0.43521120000000002</v>
      </c>
      <c r="V6419">
        <v>-2.7484970000000001E-2</v>
      </c>
      <c r="W6419">
        <v>-9.3407879999999999E-2</v>
      </c>
      <c r="X6419">
        <v>0.99524849999999998</v>
      </c>
      <c r="Y6419">
        <v>0.15610479999999999</v>
      </c>
      <c r="Z6419">
        <v>-2.5874899999999999E-2</v>
      </c>
      <c r="AA6419">
        <v>0.98740150000000004</v>
      </c>
      <c r="AB6419">
        <v>35</v>
      </c>
      <c r="AC6419">
        <v>0.63109999999994604</v>
      </c>
      <c r="AD6419">
        <v>-0.2297834</v>
      </c>
      <c r="AE6419">
        <v>-0.12881999999999699</v>
      </c>
      <c r="AF6419">
        <v>0.12367061382718</v>
      </c>
      <c r="AG6419">
        <v>-0.2297834</v>
      </c>
      <c r="AH6419">
        <v>0.55785012146534596</v>
      </c>
      <c r="AI6419">
        <v>111.907290363816</v>
      </c>
      <c r="AJ6419">
        <v>77.500174320532906</v>
      </c>
      <c r="AK6419">
        <v>0.61586653558936999</v>
      </c>
      <c r="AL6419">
        <v>95.359690476398399</v>
      </c>
      <c r="AM6419">
        <v>91.581888974082801</v>
      </c>
      <c r="AN6419">
        <v>1.0000000161871201</v>
      </c>
    </row>
    <row r="6420" spans="1:40" x14ac:dyDescent="0.25">
      <c r="A6420" t="str">
        <f>"20190305135053226"</f>
        <v>20190305135053226</v>
      </c>
      <c r="B6420" t="str">
        <f>"1551765053216921"</f>
        <v>1551765053216921</v>
      </c>
      <c r="C6420" t="s">
        <v>40</v>
      </c>
      <c r="D6420">
        <v>4.2542859999999996</v>
      </c>
      <c r="E6420">
        <v>0.57091239999999999</v>
      </c>
      <c r="F6420" t="s">
        <v>41</v>
      </c>
      <c r="G6420">
        <v>-340.20159999999998</v>
      </c>
      <c r="H6420">
        <v>0.86164300000000005</v>
      </c>
      <c r="I6420">
        <v>16.99532</v>
      </c>
      <c r="J6420">
        <v>-340.89530000000002</v>
      </c>
      <c r="K6420">
        <v>1.1081719999999999</v>
      </c>
      <c r="L6420">
        <v>17.139620000000001</v>
      </c>
      <c r="M6420">
        <v>0.99977260000000001</v>
      </c>
      <c r="N6420">
        <v>-1.4342799999999999E-2</v>
      </c>
      <c r="O6420">
        <v>1.5785739999999999E-2</v>
      </c>
      <c r="P6420">
        <v>0.99326840000000005</v>
      </c>
      <c r="Q6420">
        <v>-0.1075131</v>
      </c>
      <c r="R6420">
        <v>4.3115970000000003E-2</v>
      </c>
      <c r="S6420">
        <v>2.955902</v>
      </c>
      <c r="T6420">
        <v>-0.77761769999999997</v>
      </c>
      <c r="U6420">
        <v>-0.44519039999999999</v>
      </c>
      <c r="V6420">
        <v>-2.7730500000000002E-2</v>
      </c>
      <c r="W6420">
        <v>-9.3158679999999994E-2</v>
      </c>
      <c r="X6420">
        <v>0.99526499999999996</v>
      </c>
      <c r="Y6420">
        <v>0.158473799999999</v>
      </c>
      <c r="Z6420">
        <v>-2.5390610000000001E-2</v>
      </c>
      <c r="AA6420">
        <v>0.98703660000000004</v>
      </c>
      <c r="AB6420">
        <v>35</v>
      </c>
      <c r="AC6420">
        <v>0.69370000000003496</v>
      </c>
      <c r="AD6420">
        <v>-0.246528999999999</v>
      </c>
      <c r="AE6420">
        <v>-0.14430000000000101</v>
      </c>
      <c r="AF6420">
        <v>0.13847064099147699</v>
      </c>
      <c r="AG6420">
        <v>-0.246528999999999</v>
      </c>
      <c r="AH6420">
        <v>0.61668087559221296</v>
      </c>
      <c r="AI6420">
        <v>111.30853643860701</v>
      </c>
      <c r="AJ6420">
        <v>77.344606238563898</v>
      </c>
      <c r="AK6420">
        <v>0.67841430452104201</v>
      </c>
      <c r="AL6420">
        <v>95.345350083762199</v>
      </c>
      <c r="AM6420">
        <v>91.595986655105705</v>
      </c>
      <c r="AN6420">
        <v>0.99999997025729503</v>
      </c>
    </row>
    <row r="6421" spans="1:40" x14ac:dyDescent="0.25">
      <c r="A6421" t="str">
        <f>"20190305135053238"</f>
        <v>20190305135053238</v>
      </c>
      <c r="B6421" t="str">
        <f>"1551765053226680"</f>
        <v>1551765053226680</v>
      </c>
      <c r="C6421" t="s">
        <v>40</v>
      </c>
      <c r="D6421">
        <v>4.2971389999999996</v>
      </c>
      <c r="E6421">
        <v>0.57108429999999999</v>
      </c>
      <c r="F6421" t="s">
        <v>41</v>
      </c>
      <c r="G6421">
        <v>-340.1773</v>
      </c>
      <c r="H6421">
        <v>0.92275799999999997</v>
      </c>
      <c r="I6421">
        <v>17.03003</v>
      </c>
      <c r="J6421">
        <v>-340.71960000000001</v>
      </c>
      <c r="K6421">
        <v>1.108166</v>
      </c>
      <c r="L6421">
        <v>17.141690000000001</v>
      </c>
      <c r="M6421">
        <v>0.99978359999999999</v>
      </c>
      <c r="N6421">
        <v>-1.4365050000000001E-2</v>
      </c>
      <c r="O6421">
        <v>1.5049119999999999E-2</v>
      </c>
      <c r="P6421">
        <v>0.99328950000000005</v>
      </c>
      <c r="Q6421">
        <v>-0.1075314</v>
      </c>
      <c r="R6421">
        <v>4.2578909999999998E-2</v>
      </c>
      <c r="S6421">
        <v>2.957214</v>
      </c>
      <c r="T6421">
        <v>-0.7636406</v>
      </c>
      <c r="U6421">
        <v>-0.4510498</v>
      </c>
      <c r="V6421">
        <v>-2.7926989999999999E-2</v>
      </c>
      <c r="W6421">
        <v>-9.3153879999999994E-2</v>
      </c>
      <c r="X6421">
        <v>0.99526000000000003</v>
      </c>
      <c r="Y6421">
        <v>0.1597856</v>
      </c>
      <c r="Z6421">
        <v>-2.495178E-2</v>
      </c>
      <c r="AA6421">
        <v>0.98683639999999995</v>
      </c>
      <c r="AB6421">
        <v>35</v>
      </c>
      <c r="AC6421">
        <v>0.542300000000011</v>
      </c>
      <c r="AD6421">
        <v>-0.18540799999999999</v>
      </c>
      <c r="AE6421">
        <v>-0.11166</v>
      </c>
      <c r="AF6421">
        <v>0.107729022359494</v>
      </c>
      <c r="AG6421">
        <v>-0.18540799999999999</v>
      </c>
      <c r="AH6421">
        <v>0.48605384598934498</v>
      </c>
      <c r="AI6421">
        <v>110.42623392748099</v>
      </c>
      <c r="AJ6421">
        <v>77.502979868175302</v>
      </c>
      <c r="AK6421">
        <v>0.531253244624036</v>
      </c>
      <c r="AL6421">
        <v>95.3450736237412</v>
      </c>
      <c r="AM6421">
        <v>91.607297496942294</v>
      </c>
      <c r="AN6421">
        <v>1.0000000148647501</v>
      </c>
    </row>
    <row r="6422" spans="1:40" x14ac:dyDescent="0.25">
      <c r="A6422" t="str">
        <f>"20190305135053252"</f>
        <v>20190305135053252</v>
      </c>
      <c r="B6422" t="str">
        <f>"1551765053246201"</f>
        <v>1551765053246201</v>
      </c>
      <c r="C6422" t="s">
        <v>40</v>
      </c>
      <c r="D6422">
        <v>4.2748710000000001</v>
      </c>
      <c r="E6422">
        <v>0.57123950000000001</v>
      </c>
      <c r="F6422" t="s">
        <v>41</v>
      </c>
      <c r="G6422">
        <v>-339.87699999999899</v>
      </c>
      <c r="H6422">
        <v>0.89349559999999995</v>
      </c>
      <c r="I6422">
        <v>17.012560000000001</v>
      </c>
      <c r="J6422">
        <v>-340.52179999999998</v>
      </c>
      <c r="K6422">
        <v>1.1081620000000001</v>
      </c>
      <c r="L6422">
        <v>17.14395</v>
      </c>
      <c r="M6422">
        <v>0.9997954</v>
      </c>
      <c r="N6422">
        <v>-1.438885E-2</v>
      </c>
      <c r="O6422">
        <v>1.4220109999999999E-2</v>
      </c>
      <c r="P6422">
        <v>0.99331219999999998</v>
      </c>
      <c r="Q6422">
        <v>-0.1075801</v>
      </c>
      <c r="R6422">
        <v>4.1924509999999998E-2</v>
      </c>
      <c r="S6422">
        <v>2.9580989999999998</v>
      </c>
      <c r="T6422">
        <v>-0.75368329999999994</v>
      </c>
      <c r="U6422">
        <v>-0.45349119999999998</v>
      </c>
      <c r="V6422">
        <v>-2.8098250000000002E-2</v>
      </c>
      <c r="W6422">
        <v>-9.3177969999999999E-2</v>
      </c>
      <c r="X6422">
        <v>0.9952529</v>
      </c>
      <c r="Y6422">
        <v>0.15988949999999999</v>
      </c>
      <c r="Z6422">
        <v>-2.4460050000000001E-2</v>
      </c>
      <c r="AA6422">
        <v>0.98683180000000004</v>
      </c>
      <c r="AB6422">
        <v>35</v>
      </c>
      <c r="AC6422">
        <v>0.64480000000003201</v>
      </c>
      <c r="AD6422">
        <v>-0.21466640000000001</v>
      </c>
      <c r="AE6422">
        <v>-0.13138999999999901</v>
      </c>
      <c r="AF6422">
        <v>0.12702880216892101</v>
      </c>
      <c r="AG6422">
        <v>-0.21466640000000001</v>
      </c>
      <c r="AH6422">
        <v>0.58103444794358206</v>
      </c>
      <c r="AI6422">
        <v>109.846060746484</v>
      </c>
      <c r="AJ6422">
        <v>77.667734072150495</v>
      </c>
      <c r="AK6422">
        <v>0.63231243034320805</v>
      </c>
      <c r="AL6422">
        <v>95.346460039996998</v>
      </c>
      <c r="AM6422">
        <v>91.617160430885605</v>
      </c>
      <c r="AN6422">
        <v>0.99999999035239595</v>
      </c>
    </row>
    <row r="6423" spans="1:40" x14ac:dyDescent="0.25">
      <c r="A6423" t="str">
        <f>"20190305135053263"</f>
        <v>20190305135053263</v>
      </c>
      <c r="B6423" t="str">
        <f>"1551765053255960"</f>
        <v>1551765053255960</v>
      </c>
      <c r="C6423" t="s">
        <v>40</v>
      </c>
      <c r="D6423">
        <v>4.2502930000000001</v>
      </c>
      <c r="E6423">
        <v>0.57138880000000003</v>
      </c>
      <c r="F6423" t="s">
        <v>41</v>
      </c>
      <c r="G6423">
        <v>-339.57400000000001</v>
      </c>
      <c r="H6423">
        <v>0.87115450000000005</v>
      </c>
      <c r="I6423">
        <v>16.997729999999901</v>
      </c>
      <c r="J6423">
        <v>-340.31049999999999</v>
      </c>
      <c r="K6423">
        <v>1.1081620000000001</v>
      </c>
      <c r="L6423">
        <v>17.146090000000001</v>
      </c>
      <c r="M6423">
        <v>0.99980729999999995</v>
      </c>
      <c r="N6423">
        <v>-1.4411200000000001E-2</v>
      </c>
      <c r="O6423">
        <v>1.333553E-2</v>
      </c>
      <c r="P6423">
        <v>0.99334730000000004</v>
      </c>
      <c r="Q6423">
        <v>-0.10756110000000001</v>
      </c>
      <c r="R6423">
        <v>4.1137090000000001E-2</v>
      </c>
      <c r="S6423">
        <v>2.9592900000000002</v>
      </c>
      <c r="T6423">
        <v>-0.73997309999999905</v>
      </c>
      <c r="U6423">
        <v>-0.45587159999999899</v>
      </c>
      <c r="V6423">
        <v>-2.8190900000000001E-2</v>
      </c>
      <c r="W6423">
        <v>-9.3135949999999995E-2</v>
      </c>
      <c r="X6423">
        <v>0.99525419999999998</v>
      </c>
      <c r="Y6423">
        <v>0.15995719999999999</v>
      </c>
      <c r="Z6423">
        <v>-2.384066E-2</v>
      </c>
      <c r="AA6423">
        <v>0.98683600000000005</v>
      </c>
      <c r="AB6423">
        <v>35</v>
      </c>
      <c r="AC6423">
        <v>0.73649999999997795</v>
      </c>
      <c r="AD6423">
        <v>-0.23700750000000001</v>
      </c>
      <c r="AE6423">
        <v>-0.14836000000000299</v>
      </c>
      <c r="AF6423">
        <v>0.14385336091329201</v>
      </c>
      <c r="AG6423">
        <v>-0.23700750000000001</v>
      </c>
      <c r="AH6423">
        <v>0.66797946821509702</v>
      </c>
      <c r="AI6423">
        <v>109.12963151533999</v>
      </c>
      <c r="AJ6423">
        <v>77.846627251292603</v>
      </c>
      <c r="AK6423">
        <v>0.72323088599645902</v>
      </c>
      <c r="AL6423">
        <v>95.344042025964995</v>
      </c>
      <c r="AM6423">
        <v>91.622487824684498</v>
      </c>
      <c r="AN6423">
        <v>0.99999997732142598</v>
      </c>
    </row>
    <row r="6424" spans="1:40" x14ac:dyDescent="0.25">
      <c r="A6424" t="str">
        <f>"20190305135053275"</f>
        <v>20190305135053275</v>
      </c>
      <c r="B6424" t="str">
        <f>"1551765053266697"</f>
        <v>1551765053266697</v>
      </c>
      <c r="C6424" t="s">
        <v>40</v>
      </c>
      <c r="D6424">
        <v>4.2705760000000001</v>
      </c>
      <c r="E6424">
        <v>0.5716234</v>
      </c>
      <c r="F6424" t="s">
        <v>41</v>
      </c>
      <c r="G6424">
        <v>-339.55470000000003</v>
      </c>
      <c r="H6424">
        <v>0.92051450000000001</v>
      </c>
      <c r="I6424">
        <v>17.028639999999999</v>
      </c>
      <c r="J6424">
        <v>-340.13279999999997</v>
      </c>
      <c r="K6424">
        <v>1.108169</v>
      </c>
      <c r="L6424">
        <v>17.147770000000001</v>
      </c>
      <c r="M6424">
        <v>0.99981660000000006</v>
      </c>
      <c r="N6424">
        <v>-1.442854E-2</v>
      </c>
      <c r="O6424">
        <v>1.259216E-2</v>
      </c>
      <c r="P6424">
        <v>0.99339469999999996</v>
      </c>
      <c r="Q6424">
        <v>-0.1073998</v>
      </c>
      <c r="R6424">
        <v>4.039951E-2</v>
      </c>
      <c r="S6424">
        <v>2.9595950000000002</v>
      </c>
      <c r="T6424">
        <v>-0.73469589999999996</v>
      </c>
      <c r="U6424">
        <v>-0.45904539999999999</v>
      </c>
      <c r="V6424">
        <v>-2.819232E-2</v>
      </c>
      <c r="W6424">
        <v>-9.2956910000000004E-2</v>
      </c>
      <c r="X6424">
        <v>0.99527089999999996</v>
      </c>
      <c r="Y6424">
        <v>0.16032689999999999</v>
      </c>
      <c r="Z6424">
        <v>-2.3556779999999999E-2</v>
      </c>
      <c r="AA6424">
        <v>0.98678279999999996</v>
      </c>
      <c r="AB6424">
        <v>35</v>
      </c>
      <c r="AC6424">
        <v>0.57809999999994899</v>
      </c>
      <c r="AD6424">
        <v>-0.187654499999999</v>
      </c>
      <c r="AE6424">
        <v>-0.119130000000001</v>
      </c>
      <c r="AF6424">
        <v>0.114797504836515</v>
      </c>
      <c r="AG6424">
        <v>-0.187654499999999</v>
      </c>
      <c r="AH6424">
        <v>0.52362744929078797</v>
      </c>
      <c r="AI6424">
        <v>109.29311632209399</v>
      </c>
      <c r="AJ6424">
        <v>77.634391673081893</v>
      </c>
      <c r="AK6424">
        <v>0.56795984377217701</v>
      </c>
      <c r="AL6424">
        <v>95.333739082790004</v>
      </c>
      <c r="AM6424">
        <v>91.622542296001697</v>
      </c>
      <c r="AN6424">
        <v>0.99999997920526995</v>
      </c>
    </row>
    <row r="6425" spans="1:40" x14ac:dyDescent="0.25">
      <c r="A6425" t="str">
        <f>"20190305135053286"</f>
        <v>20190305135053286</v>
      </c>
      <c r="B6425" t="str">
        <f>"1551765053276457"</f>
        <v>1551765053276457</v>
      </c>
      <c r="C6425" t="s">
        <v>40</v>
      </c>
      <c r="D6425">
        <v>4.2571760000000003</v>
      </c>
      <c r="E6425">
        <v>0.57187509999999997</v>
      </c>
      <c r="F6425" t="s">
        <v>41</v>
      </c>
      <c r="G6425">
        <v>-339.255</v>
      </c>
      <c r="H6425">
        <v>0.89124230000000004</v>
      </c>
      <c r="I6425">
        <v>17.010579999999901</v>
      </c>
      <c r="J6425">
        <v>-339.96170000000001</v>
      </c>
      <c r="K6425">
        <v>1.1081719999999999</v>
      </c>
      <c r="L6425">
        <v>17.149260000000002</v>
      </c>
      <c r="M6425">
        <v>0.99982519999999997</v>
      </c>
      <c r="N6425">
        <v>-1.444397E-2</v>
      </c>
      <c r="O6425">
        <v>1.1877739999999999E-2</v>
      </c>
      <c r="P6425">
        <v>0.99346509999999999</v>
      </c>
      <c r="Q6425">
        <v>-0.10699930000000001</v>
      </c>
      <c r="R6425">
        <v>3.9728149999999997E-2</v>
      </c>
      <c r="S6425">
        <v>2.9597169999999999</v>
      </c>
      <c r="T6425">
        <v>-0.73149619999999904</v>
      </c>
      <c r="U6425">
        <v>-0.46295170000000002</v>
      </c>
      <c r="V6425">
        <v>-2.822997E-2</v>
      </c>
      <c r="W6425">
        <v>-9.2540070000000002E-2</v>
      </c>
      <c r="X6425">
        <v>0.99530870000000005</v>
      </c>
      <c r="Y6425">
        <v>0.16093379999999999</v>
      </c>
      <c r="Z6425">
        <v>-2.3374389999999998E-2</v>
      </c>
      <c r="AA6425">
        <v>0.98668840000000002</v>
      </c>
      <c r="AB6425">
        <v>35</v>
      </c>
      <c r="AC6425">
        <v>0.70670000000001199</v>
      </c>
      <c r="AD6425">
        <v>-0.216929699999999</v>
      </c>
      <c r="AE6425">
        <v>-0.13868000000000399</v>
      </c>
      <c r="AF6425">
        <v>0.134831623002926</v>
      </c>
      <c r="AG6425">
        <v>-0.216929699999999</v>
      </c>
      <c r="AH6425">
        <v>0.64635779278528604</v>
      </c>
      <c r="AI6425">
        <v>108.187751215893</v>
      </c>
      <c r="AJ6425">
        <v>78.216950675208594</v>
      </c>
      <c r="AK6425">
        <v>0.69499385435984995</v>
      </c>
      <c r="AL6425">
        <v>95.309752395403194</v>
      </c>
      <c r="AM6425">
        <v>91.624646321732101</v>
      </c>
      <c r="AN6425">
        <v>1.0000000020287401</v>
      </c>
    </row>
    <row r="6426" spans="1:40" x14ac:dyDescent="0.25">
      <c r="A6426" t="str">
        <f>"20190305135053297"</f>
        <v>20190305135053297</v>
      </c>
      <c r="B6426" t="str">
        <f>"1551765053286217"</f>
        <v>1551765053286217</v>
      </c>
      <c r="C6426" t="s">
        <v>40</v>
      </c>
      <c r="D6426">
        <v>4.2831789999999996</v>
      </c>
      <c r="E6426">
        <v>0.57207129999999995</v>
      </c>
      <c r="F6426" t="s">
        <v>41</v>
      </c>
      <c r="G6426">
        <v>-339.23910000000001</v>
      </c>
      <c r="H6426">
        <v>0.93037959999999997</v>
      </c>
      <c r="I6426">
        <v>17.035409999999999</v>
      </c>
      <c r="J6426">
        <v>-339.7894</v>
      </c>
      <c r="K6426">
        <v>1.108177</v>
      </c>
      <c r="L6426">
        <v>17.15063</v>
      </c>
      <c r="M6426">
        <v>0.99983319999999998</v>
      </c>
      <c r="N6426">
        <v>-1.445806E-2</v>
      </c>
      <c r="O6426">
        <v>1.1158390000000001E-2</v>
      </c>
      <c r="P6426">
        <v>0.99355689999999997</v>
      </c>
      <c r="Q6426">
        <v>-0.106507199999999</v>
      </c>
      <c r="R6426">
        <v>3.8743050000000001E-2</v>
      </c>
      <c r="S6426">
        <v>2.9599609999999998</v>
      </c>
      <c r="T6426">
        <v>-0.72835349999999999</v>
      </c>
      <c r="U6426">
        <v>-0.46679690000000001</v>
      </c>
      <c r="V6426">
        <v>-2.7957920000000001E-2</v>
      </c>
      <c r="W6426">
        <v>-9.2033859999999995E-2</v>
      </c>
      <c r="X6426">
        <v>0.99536329999999995</v>
      </c>
      <c r="Y6426">
        <v>0.1615095</v>
      </c>
      <c r="Z6426">
        <v>-2.3188529999999999E-2</v>
      </c>
      <c r="AA6426">
        <v>0.98659870000000005</v>
      </c>
      <c r="AB6426">
        <v>35</v>
      </c>
      <c r="AC6426">
        <v>0.55029999999999202</v>
      </c>
      <c r="AD6426">
        <v>-0.17779739999999999</v>
      </c>
      <c r="AE6426">
        <v>-0.11522</v>
      </c>
      <c r="AF6426">
        <v>0.110321328218232</v>
      </c>
      <c r="AG6426">
        <v>-0.17779739999999999</v>
      </c>
      <c r="AH6426">
        <v>0.49907073698486798</v>
      </c>
      <c r="AI6426">
        <v>109.180703877867</v>
      </c>
      <c r="AJ6426">
        <v>77.535020259842895</v>
      </c>
      <c r="AK6426">
        <v>0.541160153209024</v>
      </c>
      <c r="AL6426">
        <v>95.280624468630506</v>
      </c>
      <c r="AM6426">
        <v>91.608909788876105</v>
      </c>
      <c r="AN6426">
        <v>0.99999998783205701</v>
      </c>
    </row>
    <row r="6427" spans="1:40" x14ac:dyDescent="0.25">
      <c r="A6427" t="str">
        <f>"20190305135053309"</f>
        <v>20190305135053309</v>
      </c>
      <c r="B6427" t="str">
        <f>"1551765053295976"</f>
        <v>1551765053295976</v>
      </c>
      <c r="C6427" t="s">
        <v>40</v>
      </c>
      <c r="D6427">
        <v>4.2848329999999999</v>
      </c>
      <c r="E6427">
        <v>0.57231929999999998</v>
      </c>
      <c r="F6427" t="s">
        <v>41</v>
      </c>
      <c r="G6427">
        <v>-338.94060000000002</v>
      </c>
      <c r="H6427">
        <v>0.90021070000000003</v>
      </c>
      <c r="I6427">
        <v>17.015409999999999</v>
      </c>
      <c r="J6427">
        <v>-339.61</v>
      </c>
      <c r="K6427">
        <v>1.1081890000000001</v>
      </c>
      <c r="L6427">
        <v>17.151979999999998</v>
      </c>
      <c r="M6427">
        <v>0.99984119999999999</v>
      </c>
      <c r="N6427">
        <v>-1.4472189999999999E-2</v>
      </c>
      <c r="O6427">
        <v>1.040925E-2</v>
      </c>
      <c r="P6427">
        <v>0.99365159999999997</v>
      </c>
      <c r="Q6427">
        <v>-0.1059841</v>
      </c>
      <c r="R6427">
        <v>3.7738380000000002E-2</v>
      </c>
      <c r="S6427">
        <v>2.9601139999999999</v>
      </c>
      <c r="T6427">
        <v>-0.72517529999999997</v>
      </c>
      <c r="U6427">
        <v>-0.47106930000000002</v>
      </c>
      <c r="V6427">
        <v>-2.7695879999999999E-2</v>
      </c>
      <c r="W6427">
        <v>-9.1496460000000002E-2</v>
      </c>
      <c r="X6427">
        <v>0.99542019999999998</v>
      </c>
      <c r="Y6427">
        <v>0.16219620000000001</v>
      </c>
      <c r="Z6427">
        <v>-2.301038E-2</v>
      </c>
      <c r="AA6427">
        <v>0.98649019999999998</v>
      </c>
      <c r="AB6427">
        <v>35</v>
      </c>
      <c r="AC6427">
        <v>0.669399999999996</v>
      </c>
      <c r="AD6427">
        <v>-0.20797829999999901</v>
      </c>
      <c r="AE6427">
        <v>-0.136569999999998</v>
      </c>
      <c r="AF6427">
        <v>0.13135792970311899</v>
      </c>
      <c r="AG6427">
        <v>-0.20797829999999901</v>
      </c>
      <c r="AH6427">
        <v>0.61129167232756598</v>
      </c>
      <c r="AI6427">
        <v>108.39890082432299</v>
      </c>
      <c r="AJ6427">
        <v>77.872371401699596</v>
      </c>
      <c r="AK6427">
        <v>0.65892897008995699</v>
      </c>
      <c r="AL6427">
        <v>95.249703083851799</v>
      </c>
      <c r="AM6427">
        <v>91.593746784298304</v>
      </c>
      <c r="AN6427">
        <v>1.00000001926477</v>
      </c>
    </row>
    <row r="6428" spans="1:40" x14ac:dyDescent="0.25">
      <c r="A6428" t="str">
        <f>"20190305135053320"</f>
        <v>20190305135053320</v>
      </c>
      <c r="B6428" t="str">
        <f>"1551765053306755"</f>
        <v>1551765053306755</v>
      </c>
      <c r="C6428" t="s">
        <v>40</v>
      </c>
      <c r="D6428">
        <v>4.2715889999999996</v>
      </c>
      <c r="E6428">
        <v>0.57247799999999904</v>
      </c>
      <c r="F6428" t="s">
        <v>41</v>
      </c>
      <c r="G6428">
        <v>-338.92360000000002</v>
      </c>
      <c r="H6428">
        <v>0.94078410000000001</v>
      </c>
      <c r="I6428">
        <v>17.041499999999999</v>
      </c>
      <c r="J6428">
        <v>-339.44990000000001</v>
      </c>
      <c r="K6428">
        <v>1.1081939999999999</v>
      </c>
      <c r="L6428">
        <v>17.152950000000001</v>
      </c>
      <c r="M6428">
        <v>0.99984770000000001</v>
      </c>
      <c r="N6428">
        <v>-1.44831E-2</v>
      </c>
      <c r="O6428">
        <v>9.740571E-3</v>
      </c>
      <c r="P6428">
        <v>0.99376330000000002</v>
      </c>
      <c r="Q6428">
        <v>-0.10533820000000001</v>
      </c>
      <c r="R6428">
        <v>3.6586300000000002E-2</v>
      </c>
      <c r="S6428">
        <v>2.9602659999999998</v>
      </c>
      <c r="T6428">
        <v>-0.72194930000000002</v>
      </c>
      <c r="U6428">
        <v>-0.47586060000000002</v>
      </c>
      <c r="V6428">
        <v>-2.7205770000000001E-2</v>
      </c>
      <c r="W6428">
        <v>-9.0840169999999998E-2</v>
      </c>
      <c r="X6428">
        <v>0.99549379999999998</v>
      </c>
      <c r="Y6428">
        <v>0.1631213</v>
      </c>
      <c r="Z6428">
        <v>-2.2879500000000001E-2</v>
      </c>
      <c r="AA6428">
        <v>0.98634069999999996</v>
      </c>
      <c r="AB6428">
        <v>35</v>
      </c>
      <c r="AC6428">
        <v>0.526299999999992</v>
      </c>
      <c r="AD6428">
        <v>-0.1674099</v>
      </c>
      <c r="AE6428">
        <v>-0.11145000000000101</v>
      </c>
      <c r="AF6428">
        <v>0.106279816746747</v>
      </c>
      <c r="AG6428">
        <v>-0.1674099</v>
      </c>
      <c r="AH6428">
        <v>0.47882135830400502</v>
      </c>
      <c r="AI6428">
        <v>108.84591699583</v>
      </c>
      <c r="AJ6428">
        <v>77.485438665127106</v>
      </c>
      <c r="AK6428">
        <v>0.51825801222347201</v>
      </c>
      <c r="AL6428">
        <v>95.211943296058493</v>
      </c>
      <c r="AM6428">
        <v>91.565442100860594</v>
      </c>
      <c r="AN6428">
        <v>0.99999999812268003</v>
      </c>
    </row>
    <row r="6429" spans="1:40" x14ac:dyDescent="0.25">
      <c r="A6429" t="str">
        <f>"20190305135053331"</f>
        <v>20190305135053331</v>
      </c>
      <c r="B6429" t="str">
        <f>"1551765053326275"</f>
        <v>1551765053326275</v>
      </c>
      <c r="C6429" t="s">
        <v>40</v>
      </c>
      <c r="D6429">
        <v>4.2116530000000001</v>
      </c>
      <c r="E6429">
        <v>0.57279780000000002</v>
      </c>
      <c r="F6429" t="s">
        <v>41</v>
      </c>
      <c r="G6429">
        <v>-338.62689999999998</v>
      </c>
      <c r="H6429">
        <v>0.9085107</v>
      </c>
      <c r="I6429">
        <v>17.01951</v>
      </c>
      <c r="J6429">
        <v>-339.27789999999999</v>
      </c>
      <c r="K6429">
        <v>1.1082000000000001</v>
      </c>
      <c r="L6429">
        <v>17.154019999999999</v>
      </c>
      <c r="M6429">
        <v>0.99985429999999997</v>
      </c>
      <c r="N6429">
        <v>-1.449459E-2</v>
      </c>
      <c r="O6429">
        <v>9.0225340000000005E-3</v>
      </c>
      <c r="P6429">
        <v>0.9938882</v>
      </c>
      <c r="Q6429">
        <v>-0.1046372</v>
      </c>
      <c r="R6429">
        <v>3.5176180000000001E-2</v>
      </c>
      <c r="S6429">
        <v>2.9603579999999998</v>
      </c>
      <c r="T6429">
        <v>-0.71836610000000001</v>
      </c>
      <c r="U6429">
        <v>-0.48040769999999999</v>
      </c>
      <c r="V6429">
        <v>-2.6505890000000001E-2</v>
      </c>
      <c r="W6429">
        <v>-9.0128659999999999E-2</v>
      </c>
      <c r="X6429">
        <v>0.9955773</v>
      </c>
      <c r="Y6429">
        <v>0.16392999999999999</v>
      </c>
      <c r="Z6429">
        <v>-2.271345E-2</v>
      </c>
      <c r="AA6429">
        <v>0.98621049999999999</v>
      </c>
      <c r="AB6429">
        <v>35</v>
      </c>
      <c r="AC6429">
        <v>0.65100000000001002</v>
      </c>
      <c r="AD6429">
        <v>-0.19968929999999999</v>
      </c>
      <c r="AE6429">
        <v>-0.13451000000000199</v>
      </c>
      <c r="AF6429">
        <v>0.128759733611814</v>
      </c>
      <c r="AG6429">
        <v>-0.19968929999999999</v>
      </c>
      <c r="AH6429">
        <v>0.59597949245469595</v>
      </c>
      <c r="AI6429">
        <v>108.13385379688501</v>
      </c>
      <c r="AJ6429">
        <v>77.808779980783001</v>
      </c>
      <c r="AK6429">
        <v>0.64159679001755698</v>
      </c>
      <c r="AL6429">
        <v>95.171009111822599</v>
      </c>
      <c r="AM6429">
        <v>91.5250618512123</v>
      </c>
      <c r="AN6429">
        <v>0.99999994891668698</v>
      </c>
    </row>
    <row r="6430" spans="1:40" x14ac:dyDescent="0.25">
      <c r="A6430" t="str">
        <f>"20190305135053341"</f>
        <v>20190305135053341</v>
      </c>
      <c r="B6430" t="str">
        <f>"1551765053337011"</f>
        <v>1551765053337011</v>
      </c>
      <c r="C6430" t="s">
        <v>40</v>
      </c>
      <c r="D6430">
        <v>4.1425260000000002</v>
      </c>
      <c r="E6430">
        <v>0.57297469999999995</v>
      </c>
      <c r="F6430" t="s">
        <v>41</v>
      </c>
      <c r="G6430">
        <v>-338.32799999999997</v>
      </c>
      <c r="H6430">
        <v>0.87923410000000002</v>
      </c>
      <c r="I6430">
        <v>16.997579999999999</v>
      </c>
      <c r="J6430">
        <v>-339.10939999999999</v>
      </c>
      <c r="K6430">
        <v>1.108203</v>
      </c>
      <c r="L6430">
        <v>17.15485</v>
      </c>
      <c r="M6430">
        <v>0.99986019999999998</v>
      </c>
      <c r="N6430">
        <v>-1.450424E-2</v>
      </c>
      <c r="O6430">
        <v>8.3190090000000005E-3</v>
      </c>
      <c r="P6430">
        <v>0.99397979999999997</v>
      </c>
      <c r="Q6430">
        <v>-0.1042555</v>
      </c>
      <c r="R6430">
        <v>3.3692600000000003E-2</v>
      </c>
      <c r="S6430">
        <v>2.9605410000000001</v>
      </c>
      <c r="T6430">
        <v>-0.71356019999999998</v>
      </c>
      <c r="U6430">
        <v>-0.48678589999999999</v>
      </c>
      <c r="V6430">
        <v>-2.5720170000000001E-2</v>
      </c>
      <c r="W6430">
        <v>-8.9739020000000003E-2</v>
      </c>
      <c r="X6430">
        <v>0.9956332</v>
      </c>
      <c r="Y6430">
        <v>0.1653404</v>
      </c>
      <c r="Z6430">
        <v>-2.2589379999999999E-2</v>
      </c>
      <c r="AA6430">
        <v>0.98597780000000002</v>
      </c>
      <c r="AB6430">
        <v>35</v>
      </c>
      <c r="AC6430">
        <v>0.78139999999996201</v>
      </c>
      <c r="AD6430">
        <v>-0.2289689</v>
      </c>
      <c r="AE6430">
        <v>-0.15726999999999999</v>
      </c>
      <c r="AF6430">
        <v>0.15128189288372099</v>
      </c>
      <c r="AG6430">
        <v>-0.2289689</v>
      </c>
      <c r="AH6430">
        <v>0.72060035693496505</v>
      </c>
      <c r="AI6430">
        <v>107.274045633803</v>
      </c>
      <c r="AJ6430">
        <v>78.1435855105332</v>
      </c>
      <c r="AK6430">
        <v>0.77108873853564397</v>
      </c>
      <c r="AL6430">
        <v>95.148593059006103</v>
      </c>
      <c r="AM6430">
        <v>91.479791462444695</v>
      </c>
      <c r="AN6430">
        <v>1.0000000438988099</v>
      </c>
    </row>
    <row r="6431" spans="1:40" x14ac:dyDescent="0.25">
      <c r="A6431" t="str">
        <f>"20190305135053352"</f>
        <v>20190305135053352</v>
      </c>
      <c r="B6431" t="str">
        <f>"1551765053346771"</f>
        <v>1551765053346771</v>
      </c>
      <c r="C6431" t="s">
        <v>40</v>
      </c>
      <c r="D6431">
        <v>4.198823</v>
      </c>
      <c r="E6431">
        <v>0.57303630000000005</v>
      </c>
      <c r="F6431" t="s">
        <v>41</v>
      </c>
      <c r="G6431">
        <v>-338.31299999999999</v>
      </c>
      <c r="H6431">
        <v>0.91767849999999995</v>
      </c>
      <c r="I6431">
        <v>17.02215</v>
      </c>
      <c r="J6431">
        <v>-338.9393</v>
      </c>
      <c r="K6431">
        <v>1.108209</v>
      </c>
      <c r="L6431">
        <v>17.155609999999999</v>
      </c>
      <c r="M6431">
        <v>0.99986580000000003</v>
      </c>
      <c r="N6431">
        <v>-1.4513649999999999E-2</v>
      </c>
      <c r="O6431">
        <v>7.6091730000000003E-3</v>
      </c>
      <c r="P6431">
        <v>0.9940795</v>
      </c>
      <c r="Q6431">
        <v>-0.10377020000000001</v>
      </c>
      <c r="R6431">
        <v>3.2219159999999997E-2</v>
      </c>
      <c r="S6431">
        <v>2.9605709999999998</v>
      </c>
      <c r="T6431">
        <v>-0.70817109999999905</v>
      </c>
      <c r="U6431">
        <v>-0.4923401</v>
      </c>
      <c r="V6431">
        <v>-2.495027E-2</v>
      </c>
      <c r="W6431">
        <v>-8.9245950000000004E-2</v>
      </c>
      <c r="X6431">
        <v>0.9956971</v>
      </c>
      <c r="Y6431">
        <v>0.166498799999999</v>
      </c>
      <c r="Z6431">
        <v>-2.2416849999999999E-2</v>
      </c>
      <c r="AA6431">
        <v>0.98578679999999996</v>
      </c>
      <c r="AB6431">
        <v>35</v>
      </c>
      <c r="AC6431">
        <v>0.626299999999957</v>
      </c>
      <c r="AD6431">
        <v>-0.19053049999999999</v>
      </c>
      <c r="AE6431">
        <v>-0.133459999999999</v>
      </c>
      <c r="AF6431">
        <v>0.126980956743904</v>
      </c>
      <c r="AG6431">
        <v>-0.19053049999999999</v>
      </c>
      <c r="AH6431">
        <v>0.57441474204013898</v>
      </c>
      <c r="AI6431">
        <v>107.945883181773</v>
      </c>
      <c r="AJ6431">
        <v>77.534585347415302</v>
      </c>
      <c r="AK6431">
        <v>0.61836747220312904</v>
      </c>
      <c r="AL6431">
        <v>95.1202284611268</v>
      </c>
      <c r="AM6431">
        <v>91.435422553476599</v>
      </c>
      <c r="AN6431">
        <v>1.00000003525644</v>
      </c>
    </row>
    <row r="6432" spans="1:40" x14ac:dyDescent="0.25">
      <c r="A6432" t="str">
        <f>"20190305135053364"</f>
        <v>20190305135053364</v>
      </c>
      <c r="B6432" t="str">
        <f>"1551765053356530"</f>
        <v>1551765053356530</v>
      </c>
      <c r="C6432" t="s">
        <v>40</v>
      </c>
      <c r="D6432">
        <v>4.2203359999999996</v>
      </c>
      <c r="E6432">
        <v>0.57314529999999997</v>
      </c>
      <c r="F6432" t="s">
        <v>41</v>
      </c>
      <c r="G6432">
        <v>-338.01479999999998</v>
      </c>
      <c r="H6432">
        <v>0.8877794</v>
      </c>
      <c r="I6432">
        <v>17.000409999999999</v>
      </c>
      <c r="J6432">
        <v>-338.75979999999998</v>
      </c>
      <c r="K6432">
        <v>1.1082160000000001</v>
      </c>
      <c r="L6432">
        <v>17.15625</v>
      </c>
      <c r="M6432">
        <v>0.99987099999999995</v>
      </c>
      <c r="N6432">
        <v>-1.452261E-2</v>
      </c>
      <c r="O6432">
        <v>6.8594769999999897E-3</v>
      </c>
      <c r="P6432">
        <v>0.99417350000000004</v>
      </c>
      <c r="Q6432">
        <v>-0.10336969999999999</v>
      </c>
      <c r="R6432">
        <v>3.056263E-2</v>
      </c>
      <c r="S6432">
        <v>2.9602970000000002</v>
      </c>
      <c r="T6432">
        <v>-0.70581669999999996</v>
      </c>
      <c r="U6432">
        <v>-0.49700929999999999</v>
      </c>
      <c r="V6432">
        <v>-2.4037659999999999E-2</v>
      </c>
      <c r="W6432">
        <v>-8.8838689999999998E-2</v>
      </c>
      <c r="X6432">
        <v>0.99575590000000003</v>
      </c>
      <c r="Y6432">
        <v>0.16731460000000001</v>
      </c>
      <c r="Z6432">
        <v>-2.228482E-2</v>
      </c>
      <c r="AA6432">
        <v>0.98565170000000002</v>
      </c>
      <c r="AB6432">
        <v>35</v>
      </c>
      <c r="AC6432">
        <v>0.74500000000000399</v>
      </c>
      <c r="AD6432">
        <v>-0.22043660000000001</v>
      </c>
      <c r="AE6432">
        <v>-0.15583999999999701</v>
      </c>
      <c r="AF6432">
        <v>0.148491774485395</v>
      </c>
      <c r="AG6432">
        <v>-0.22043660000000001</v>
      </c>
      <c r="AH6432">
        <v>0.68634328119712396</v>
      </c>
      <c r="AI6432">
        <v>107.427730616246</v>
      </c>
      <c r="AJ6432">
        <v>77.7920964783643</v>
      </c>
      <c r="AK6432">
        <v>0.73600896825637596</v>
      </c>
      <c r="AL6432">
        <v>95.096801473566799</v>
      </c>
      <c r="AM6432">
        <v>91.382858018789904</v>
      </c>
      <c r="AN6432">
        <v>0.99999996716200001</v>
      </c>
    </row>
    <row r="6433" spans="1:40" x14ac:dyDescent="0.25">
      <c r="A6433" t="str">
        <f>"20190305135053377"</f>
        <v>20190305135053377</v>
      </c>
      <c r="B6433" t="str">
        <f>"1551765053366291"</f>
        <v>1551765053366291</v>
      </c>
      <c r="C6433" t="s">
        <v>40</v>
      </c>
      <c r="D6433">
        <v>4.2032179999999997</v>
      </c>
      <c r="E6433">
        <v>0.57323690000000005</v>
      </c>
      <c r="F6433" t="s">
        <v>41</v>
      </c>
      <c r="G6433">
        <v>-337.9991</v>
      </c>
      <c r="H6433">
        <v>0.92725369999999996</v>
      </c>
      <c r="I6433">
        <v>17.027100000000001</v>
      </c>
      <c r="J6433">
        <v>-338.57319999999999</v>
      </c>
      <c r="K6433">
        <v>1.108223</v>
      </c>
      <c r="L6433">
        <v>17.156770000000002</v>
      </c>
      <c r="M6433">
        <v>0.99987599999999999</v>
      </c>
      <c r="N6433">
        <v>-1.453114E-2</v>
      </c>
      <c r="O6433">
        <v>6.0797510000000004E-3</v>
      </c>
      <c r="P6433">
        <v>0.99427259999999995</v>
      </c>
      <c r="Q6433">
        <v>-0.1029397</v>
      </c>
      <c r="R6433">
        <v>2.873173E-2</v>
      </c>
      <c r="S6433">
        <v>2.9598080000000002</v>
      </c>
      <c r="T6433">
        <v>-0.70410839999999997</v>
      </c>
      <c r="U6433">
        <v>-0.50256350000000005</v>
      </c>
      <c r="V6433">
        <v>-2.2979699999999999E-2</v>
      </c>
      <c r="W6433">
        <v>-8.8402709999999995E-2</v>
      </c>
      <c r="X6433">
        <v>0.99581969999999997</v>
      </c>
      <c r="Y6433">
        <v>0.16838259999999999</v>
      </c>
      <c r="Z6433">
        <v>-2.2197720000000001E-2</v>
      </c>
      <c r="AA6433">
        <v>0.98547169999999895</v>
      </c>
      <c r="AB6433">
        <v>35</v>
      </c>
      <c r="AC6433">
        <v>0.57409999999998695</v>
      </c>
      <c r="AD6433">
        <v>-0.180969299999999</v>
      </c>
      <c r="AE6433">
        <v>-0.12967000000000001</v>
      </c>
      <c r="AF6433">
        <v>0.12165667200460201</v>
      </c>
      <c r="AG6433">
        <v>-0.180969299999999</v>
      </c>
      <c r="AH6433">
        <v>0.52378150858828099</v>
      </c>
      <c r="AI6433">
        <v>108.600486436645</v>
      </c>
      <c r="AJ6433">
        <v>76.923983753204098</v>
      </c>
      <c r="AK6433">
        <v>0.56735994053576</v>
      </c>
      <c r="AL6433">
        <v>95.071722868106804</v>
      </c>
      <c r="AM6433">
        <v>91.321932264869702</v>
      </c>
      <c r="AN6433">
        <v>0.99999999032776199</v>
      </c>
    </row>
    <row r="6434" spans="1:40" x14ac:dyDescent="0.25">
      <c r="A6434" t="str">
        <f>"20190305135053388"</f>
        <v>20190305135053388</v>
      </c>
      <c r="B6434" t="str">
        <f>"1551765053376050"</f>
        <v>1551765053376050</v>
      </c>
      <c r="C6434" t="s">
        <v>40</v>
      </c>
      <c r="D6434">
        <v>4.1862440000000003</v>
      </c>
      <c r="E6434">
        <v>0.57331279999999996</v>
      </c>
      <c r="F6434" t="s">
        <v>41</v>
      </c>
      <c r="G6434">
        <v>-337.7002</v>
      </c>
      <c r="H6434">
        <v>0.90102269999999896</v>
      </c>
      <c r="I6434">
        <v>17.006450000000001</v>
      </c>
      <c r="J6434">
        <v>-338.38069999999999</v>
      </c>
      <c r="K6434">
        <v>1.1082289999999999</v>
      </c>
      <c r="L6434">
        <v>17.157229999999998</v>
      </c>
      <c r="M6434">
        <v>0.9998804</v>
      </c>
      <c r="N6434">
        <v>-1.453927E-2</v>
      </c>
      <c r="O6434">
        <v>5.2757159999999997E-3</v>
      </c>
      <c r="P6434">
        <v>0.99433039999999995</v>
      </c>
      <c r="Q6434">
        <v>-0.102859199999999</v>
      </c>
      <c r="R6434">
        <v>2.6963460000000002E-2</v>
      </c>
      <c r="S6434">
        <v>2.9592589999999999</v>
      </c>
      <c r="T6434">
        <v>-0.70225879999999996</v>
      </c>
      <c r="U6434">
        <v>-0.50842290000000001</v>
      </c>
      <c r="V6434">
        <v>-2.2010700000000001E-2</v>
      </c>
      <c r="W6434">
        <v>-8.8316889999999995E-2</v>
      </c>
      <c r="X6434">
        <v>0.99584919999999999</v>
      </c>
      <c r="Y6434">
        <v>0.16952829999999999</v>
      </c>
      <c r="Z6434">
        <v>-2.21113E-2</v>
      </c>
      <c r="AA6434">
        <v>0.98527719999999996</v>
      </c>
      <c r="AB6434">
        <v>35</v>
      </c>
      <c r="AC6434">
        <v>0.680499999999994</v>
      </c>
      <c r="AD6434">
        <v>-0.20720630000000001</v>
      </c>
      <c r="AE6434">
        <v>-0.150779999999997</v>
      </c>
      <c r="AF6434">
        <v>0.14183368886846201</v>
      </c>
      <c r="AG6434">
        <v>-0.20720630000000001</v>
      </c>
      <c r="AH6434">
        <v>0.62450373068726694</v>
      </c>
      <c r="AI6434">
        <v>107.92918754913801</v>
      </c>
      <c r="AJ6434">
        <v>77.204368991469906</v>
      </c>
      <c r="AK6434">
        <v>0.67309446268710305</v>
      </c>
      <c r="AL6434">
        <v>95.066786455169293</v>
      </c>
      <c r="AM6434">
        <v>91.266170534991502</v>
      </c>
      <c r="AN6434">
        <v>0.99999998655720002</v>
      </c>
    </row>
    <row r="6435" spans="1:40" x14ac:dyDescent="0.25">
      <c r="A6435" t="str">
        <f>"20190305135053402"</f>
        <v>20190305135053402</v>
      </c>
      <c r="B6435" t="str">
        <f>"1551765053396546"</f>
        <v>1551765053396546</v>
      </c>
      <c r="C6435" t="s">
        <v>40</v>
      </c>
      <c r="D6435">
        <v>4.1066849999999997</v>
      </c>
      <c r="E6435">
        <v>0.57347890000000001</v>
      </c>
      <c r="F6435" t="s">
        <v>41</v>
      </c>
      <c r="G6435">
        <v>-337.68279999999999</v>
      </c>
      <c r="H6435">
        <v>0.94268700000000005</v>
      </c>
      <c r="I6435">
        <v>17.035629999999902</v>
      </c>
      <c r="J6435">
        <v>-338.17950000000002</v>
      </c>
      <c r="K6435">
        <v>1.1082350000000001</v>
      </c>
      <c r="L6435">
        <v>17.157440000000001</v>
      </c>
      <c r="M6435">
        <v>0.99988440000000001</v>
      </c>
      <c r="N6435">
        <v>-1.454653E-2</v>
      </c>
      <c r="O6435">
        <v>4.434683E-3</v>
      </c>
      <c r="P6435">
        <v>0.99437819999999999</v>
      </c>
      <c r="Q6435">
        <v>-0.1028748</v>
      </c>
      <c r="R6435">
        <v>2.5076190000000002E-2</v>
      </c>
      <c r="S6435">
        <v>2.958466</v>
      </c>
      <c r="T6435">
        <v>-0.70162060000000004</v>
      </c>
      <c r="U6435">
        <v>-0.51406859999999999</v>
      </c>
      <c r="V6435">
        <v>-2.0959330000000002E-2</v>
      </c>
      <c r="W6435">
        <v>-8.8328539999999997E-2</v>
      </c>
      <c r="X6435">
        <v>0.9958709</v>
      </c>
      <c r="Y6435">
        <v>0.170568</v>
      </c>
      <c r="Z6435">
        <v>-2.2040779999999999E-2</v>
      </c>
      <c r="AA6435">
        <v>0.98509939999999996</v>
      </c>
      <c r="AB6435">
        <v>35</v>
      </c>
      <c r="AC6435">
        <v>0.496700000000032</v>
      </c>
      <c r="AD6435">
        <v>-0.165548</v>
      </c>
      <c r="AE6435">
        <v>-0.121810000000003</v>
      </c>
      <c r="AF6435">
        <v>0.11224974911521</v>
      </c>
      <c r="AG6435">
        <v>-0.165548</v>
      </c>
      <c r="AH6435">
        <v>0.44909666342778098</v>
      </c>
      <c r="AI6435">
        <v>109.67820819491899</v>
      </c>
      <c r="AJ6435">
        <v>75.966688418414094</v>
      </c>
      <c r="AK6435">
        <v>0.49162379883646201</v>
      </c>
      <c r="AL6435">
        <v>95.067456313694507</v>
      </c>
      <c r="AM6435">
        <v>91.205682272548401</v>
      </c>
      <c r="AN6435">
        <v>1.00000003697969</v>
      </c>
    </row>
    <row r="6436" spans="1:40" x14ac:dyDescent="0.25">
      <c r="A6436" t="str">
        <f>"20190305135053417"</f>
        <v>20190305135053417</v>
      </c>
      <c r="B6436" t="str">
        <f>"1551765053406307"</f>
        <v>1551765053406307</v>
      </c>
      <c r="C6436" t="s">
        <v>40</v>
      </c>
      <c r="D6436">
        <v>4.1001640000000004</v>
      </c>
      <c r="E6436">
        <v>0.57352139999999996</v>
      </c>
      <c r="F6436" t="s">
        <v>41</v>
      </c>
      <c r="G6436">
        <v>-337.38380000000001</v>
      </c>
      <c r="H6436">
        <v>0.91983079999999995</v>
      </c>
      <c r="I6436">
        <v>17.01718</v>
      </c>
      <c r="J6436">
        <v>-337.9402</v>
      </c>
      <c r="K6436">
        <v>1.108239</v>
      </c>
      <c r="L6436">
        <v>17.157499999999999</v>
      </c>
      <c r="M6436">
        <v>0.9998882</v>
      </c>
      <c r="N6436">
        <v>-1.4554330000000001E-2</v>
      </c>
      <c r="O6436">
        <v>3.4340989999999999E-3</v>
      </c>
      <c r="P6436">
        <v>0.99446250000000003</v>
      </c>
      <c r="Q6436">
        <v>-0.1027525</v>
      </c>
      <c r="R6436">
        <v>2.204445E-2</v>
      </c>
      <c r="S6436">
        <v>2.9576419999999999</v>
      </c>
      <c r="T6436">
        <v>-0.70026369999999905</v>
      </c>
      <c r="U6436">
        <v>-0.52093509999999998</v>
      </c>
      <c r="V6436">
        <v>-1.8922310000000001E-2</v>
      </c>
      <c r="W6436">
        <v>-8.8204450000000004E-2</v>
      </c>
      <c r="X6436">
        <v>0.99592259999999999</v>
      </c>
      <c r="Y6436">
        <v>0.17185320000000001</v>
      </c>
      <c r="Z6436">
        <v>-2.1944780000000001E-2</v>
      </c>
      <c r="AA6436">
        <v>0.98487809999999998</v>
      </c>
      <c r="AB6436">
        <v>35</v>
      </c>
      <c r="AC6436">
        <v>0.55639999999999601</v>
      </c>
      <c r="AD6436">
        <v>-0.188408199999999</v>
      </c>
      <c r="AE6436">
        <v>-0.140319999999999</v>
      </c>
      <c r="AF6436">
        <v>0.12838889819454699</v>
      </c>
      <c r="AG6436">
        <v>-0.188408199999999</v>
      </c>
      <c r="AH6436">
        <v>0.50181560881560405</v>
      </c>
      <c r="AI6436">
        <v>109.98819337983301</v>
      </c>
      <c r="AJ6436">
        <v>75.648796525885203</v>
      </c>
      <c r="AK6436">
        <v>0.551180790900613</v>
      </c>
      <c r="AL6436">
        <v>95.060319052648794</v>
      </c>
      <c r="AM6436">
        <v>91.088476224259907</v>
      </c>
      <c r="AN6436">
        <v>0.99999995200314795</v>
      </c>
    </row>
    <row r="6437" spans="1:40" x14ac:dyDescent="0.25">
      <c r="A6437" t="str">
        <f>"20190305135053429"</f>
        <v>20190305135053429</v>
      </c>
      <c r="B6437" t="str">
        <f>"1551765053426802"</f>
        <v>1551765053426802</v>
      </c>
      <c r="C6437" t="s">
        <v>40</v>
      </c>
      <c r="D6437">
        <v>4.0745690000000003</v>
      </c>
      <c r="E6437">
        <v>0.57355389999999995</v>
      </c>
      <c r="F6437" t="s">
        <v>41</v>
      </c>
      <c r="G6437">
        <v>-337.08089999999999</v>
      </c>
      <c r="H6437">
        <v>0.90480210000000005</v>
      </c>
      <c r="I6437">
        <v>17.003339999999898</v>
      </c>
      <c r="J6437">
        <v>-337.74930000000001</v>
      </c>
      <c r="K6437">
        <v>1.1082449999999999</v>
      </c>
      <c r="L6437">
        <v>17.157440000000001</v>
      </c>
      <c r="M6437">
        <v>0.99989059999999996</v>
      </c>
      <c r="N6437">
        <v>-1.455996E-2</v>
      </c>
      <c r="O6437">
        <v>2.6355829999999999E-3</v>
      </c>
      <c r="P6437">
        <v>0.99453040000000004</v>
      </c>
      <c r="Q6437">
        <v>-0.1024494</v>
      </c>
      <c r="R6437">
        <v>2.0345249999999999E-2</v>
      </c>
      <c r="S6437">
        <v>2.9561459999999999</v>
      </c>
      <c r="T6437">
        <v>-0.69978319999999905</v>
      </c>
      <c r="U6437">
        <v>-0.52990719999999902</v>
      </c>
      <c r="V6437">
        <v>-1.8016219999999999E-2</v>
      </c>
      <c r="W6437">
        <v>-8.7898130000000005E-2</v>
      </c>
      <c r="X6437">
        <v>0.99596660000000004</v>
      </c>
      <c r="Y6437">
        <v>0.17401169999999999</v>
      </c>
      <c r="Z6437">
        <v>-2.2029010000000002E-2</v>
      </c>
      <c r="AA6437">
        <v>0.98449710000000001</v>
      </c>
      <c r="AB6437">
        <v>35</v>
      </c>
      <c r="AC6437">
        <v>0.66840000000001898</v>
      </c>
      <c r="AD6437">
        <v>-0.20344290000000001</v>
      </c>
      <c r="AE6437">
        <v>-0.15410000000000301</v>
      </c>
      <c r="AF6437">
        <v>0.14325917455818801</v>
      </c>
      <c r="AG6437">
        <v>-0.20344290000000001</v>
      </c>
      <c r="AH6437">
        <v>0.613981309515792</v>
      </c>
      <c r="AI6437">
        <v>107.88400588119001</v>
      </c>
      <c r="AJ6437">
        <v>76.866254787341902</v>
      </c>
      <c r="AK6437">
        <v>0.66248415308611697</v>
      </c>
      <c r="AL6437">
        <v>95.042699193473098</v>
      </c>
      <c r="AM6437">
        <v>91.036320695986404</v>
      </c>
      <c r="AN6437">
        <v>1.00000006687807</v>
      </c>
    </row>
    <row r="6438" spans="1:40" x14ac:dyDescent="0.25">
      <c r="A6438" t="str">
        <f>"20190305135053441"</f>
        <v>20190305135053441</v>
      </c>
      <c r="B6438" t="str">
        <f>"1551765053436563"</f>
        <v>1551765053436563</v>
      </c>
      <c r="C6438" t="s">
        <v>40</v>
      </c>
      <c r="D6438">
        <v>4.0698019999999904</v>
      </c>
      <c r="E6438">
        <v>0.57358710000000002</v>
      </c>
      <c r="F6438" t="s">
        <v>41</v>
      </c>
      <c r="G6438">
        <v>-337.06330000000003</v>
      </c>
      <c r="H6438">
        <v>0.94650520000000005</v>
      </c>
      <c r="I6438">
        <v>17.03313</v>
      </c>
      <c r="J6438">
        <v>-337.58109999999999</v>
      </c>
      <c r="K6438">
        <v>1.108257</v>
      </c>
      <c r="L6438">
        <v>17.157170000000001</v>
      </c>
      <c r="M6438">
        <v>0.99989209999999995</v>
      </c>
      <c r="N6438">
        <v>-1.45641E-2</v>
      </c>
      <c r="O6438">
        <v>1.9320889999999999E-3</v>
      </c>
      <c r="P6438">
        <v>0.99455079999999996</v>
      </c>
      <c r="Q6438">
        <v>-0.1025422</v>
      </c>
      <c r="R6438">
        <v>1.8813730000000001E-2</v>
      </c>
      <c r="S6438">
        <v>2.9556269999999998</v>
      </c>
      <c r="T6438">
        <v>-0.69684699999999999</v>
      </c>
      <c r="U6438">
        <v>-0.53509519999999899</v>
      </c>
      <c r="V6438">
        <v>-1.7184029999999999E-2</v>
      </c>
      <c r="W6438">
        <v>-8.7989570000000003E-2</v>
      </c>
      <c r="X6438">
        <v>0.9959732</v>
      </c>
      <c r="Y6438">
        <v>0.17505079999999901</v>
      </c>
      <c r="Z6438">
        <v>-2.1920269999999999E-2</v>
      </c>
      <c r="AA6438">
        <v>0.9843153</v>
      </c>
      <c r="AB6438">
        <v>35</v>
      </c>
      <c r="AC6438">
        <v>0.51779999999996495</v>
      </c>
      <c r="AD6438">
        <v>-0.1617518</v>
      </c>
      <c r="AE6438">
        <v>-0.12404</v>
      </c>
      <c r="AF6438">
        <v>0.11447568261193899</v>
      </c>
      <c r="AG6438">
        <v>-0.1617518</v>
      </c>
      <c r="AH6438">
        <v>0.47383087876178498</v>
      </c>
      <c r="AI6438">
        <v>108.35706258744899</v>
      </c>
      <c r="AJ6438">
        <v>76.417830037855197</v>
      </c>
      <c r="AK6438">
        <v>0.513599093049116</v>
      </c>
      <c r="AL6438">
        <v>95.0479588577371</v>
      </c>
      <c r="AM6438">
        <v>90.988455025187406</v>
      </c>
      <c r="AN6438">
        <v>1.00000003521703</v>
      </c>
    </row>
    <row r="6439" spans="1:40" x14ac:dyDescent="0.25">
      <c r="A6439" t="str">
        <f>"20190305135053452"</f>
        <v>20190305135053452</v>
      </c>
      <c r="B6439" t="str">
        <f>"1551765053446323"</f>
        <v>1551765053446323</v>
      </c>
      <c r="C6439" t="s">
        <v>40</v>
      </c>
      <c r="D6439">
        <v>4.0729930000000003</v>
      </c>
      <c r="E6439">
        <v>0.57362409999999997</v>
      </c>
      <c r="F6439" t="s">
        <v>41</v>
      </c>
      <c r="G6439">
        <v>-336.76799999999997</v>
      </c>
      <c r="H6439">
        <v>0.91658640000000002</v>
      </c>
      <c r="I6439">
        <v>17.008420000000001</v>
      </c>
      <c r="J6439">
        <v>-337.4051</v>
      </c>
      <c r="K6439">
        <v>1.1082620000000001</v>
      </c>
      <c r="L6439">
        <v>17.156860000000002</v>
      </c>
      <c r="M6439">
        <v>0.99989320000000004</v>
      </c>
      <c r="N6439">
        <v>-1.4568269999999999E-2</v>
      </c>
      <c r="O6439">
        <v>1.195993E-3</v>
      </c>
      <c r="P6439">
        <v>0.99461069999999996</v>
      </c>
      <c r="Q6439">
        <v>-0.1022573</v>
      </c>
      <c r="R6439">
        <v>1.7122579999999998E-2</v>
      </c>
      <c r="S6439">
        <v>2.954834</v>
      </c>
      <c r="T6439">
        <v>-0.69654110000000002</v>
      </c>
      <c r="U6439">
        <v>-0.53982540000000001</v>
      </c>
      <c r="V6439">
        <v>-1.622415E-2</v>
      </c>
      <c r="W6439">
        <v>-8.7703059999999999E-2</v>
      </c>
      <c r="X6439">
        <v>0.99601450000000002</v>
      </c>
      <c r="Y6439">
        <v>0.17589489999999999</v>
      </c>
      <c r="Z6439">
        <v>-2.1858789999999999E-2</v>
      </c>
      <c r="AA6439">
        <v>0.98416630000000005</v>
      </c>
      <c r="AB6439">
        <v>34</v>
      </c>
      <c r="AC6439">
        <v>0.63709999999997502</v>
      </c>
      <c r="AD6439">
        <v>-0.1916756</v>
      </c>
      <c r="AE6439">
        <v>-0.14843999999999999</v>
      </c>
      <c r="AF6439">
        <v>0.13740517078842501</v>
      </c>
      <c r="AG6439">
        <v>-0.1916756</v>
      </c>
      <c r="AH6439">
        <v>0.58656324486099598</v>
      </c>
      <c r="AI6439">
        <v>107.64921231392699</v>
      </c>
      <c r="AJ6439">
        <v>76.8159256569744</v>
      </c>
      <c r="AK6439">
        <v>0.63219945967757496</v>
      </c>
      <c r="AL6439">
        <v>95.031479679443905</v>
      </c>
      <c r="AM6439">
        <v>90.933212436520407</v>
      </c>
      <c r="AN6439">
        <v>0.99999996699341698</v>
      </c>
    </row>
    <row r="6440" spans="1:40" x14ac:dyDescent="0.25">
      <c r="A6440" t="str">
        <f>"20190305135053462"</f>
        <v>20190305135053462</v>
      </c>
      <c r="B6440" t="str">
        <f>"1551765053456083"</f>
        <v>1551765053456083</v>
      </c>
      <c r="C6440" t="s">
        <v>40</v>
      </c>
      <c r="D6440">
        <v>4.08127</v>
      </c>
      <c r="E6440">
        <v>0.57362409999999997</v>
      </c>
      <c r="F6440" t="s">
        <v>41</v>
      </c>
      <c r="G6440">
        <v>-336.47089999999997</v>
      </c>
      <c r="H6440">
        <v>0.88843749999999999</v>
      </c>
      <c r="I6440">
        <v>16.984449999999999</v>
      </c>
      <c r="J6440">
        <v>-337.23739999999998</v>
      </c>
      <c r="K6440">
        <v>1.1082700000000001</v>
      </c>
      <c r="L6440">
        <v>17.15634</v>
      </c>
      <c r="M6440">
        <v>0.9998939</v>
      </c>
      <c r="N6440">
        <v>-1.457168E-2</v>
      </c>
      <c r="O6440">
        <v>4.9399679999999997E-4</v>
      </c>
      <c r="P6440">
        <v>0.99466759999999999</v>
      </c>
      <c r="Q6440">
        <v>-0.10192560000000001</v>
      </c>
      <c r="R6440">
        <v>1.5743549999999999E-2</v>
      </c>
      <c r="S6440">
        <v>2.9541930000000001</v>
      </c>
      <c r="T6440">
        <v>-0.69515609999999906</v>
      </c>
      <c r="U6440">
        <v>-0.54498290000000005</v>
      </c>
      <c r="V6440">
        <v>-1.5541640000000001E-2</v>
      </c>
      <c r="W6440">
        <v>-8.7369710000000003E-2</v>
      </c>
      <c r="X6440">
        <v>0.99605469999999896</v>
      </c>
      <c r="Y6440">
        <v>0.17691080000000001</v>
      </c>
      <c r="Z6440">
        <v>-2.179348E-2</v>
      </c>
      <c r="AA6440">
        <v>0.98398560000000002</v>
      </c>
      <c r="AB6440">
        <v>34</v>
      </c>
      <c r="AC6440">
        <v>0.76650000000000695</v>
      </c>
      <c r="AD6440">
        <v>-0.21983249999999999</v>
      </c>
      <c r="AE6440">
        <v>-0.17189000000000099</v>
      </c>
      <c r="AF6440">
        <v>0.15975712902932601</v>
      </c>
      <c r="AG6440">
        <v>-0.21983249999999999</v>
      </c>
      <c r="AH6440">
        <v>0.71075175292916903</v>
      </c>
      <c r="AI6440">
        <v>106.792064458086</v>
      </c>
      <c r="AJ6440">
        <v>77.332048319208894</v>
      </c>
      <c r="AK6440">
        <v>0.76093148352780704</v>
      </c>
      <c r="AL6440">
        <v>95.012306430075</v>
      </c>
      <c r="AM6440">
        <v>90.893924926690701</v>
      </c>
      <c r="AN6440">
        <v>0.99999998709573101</v>
      </c>
    </row>
    <row r="6441" spans="1:40" x14ac:dyDescent="0.25">
      <c r="A6441" t="str">
        <f>"20190305135053474"</f>
        <v>20190305135053474</v>
      </c>
      <c r="B6441" t="str">
        <f>"1551765053466819"</f>
        <v>1551765053466819</v>
      </c>
      <c r="C6441" t="s">
        <v>40</v>
      </c>
      <c r="D6441">
        <v>4.0246240000000002</v>
      </c>
      <c r="E6441">
        <v>0.5736308</v>
      </c>
      <c r="F6441" t="s">
        <v>41</v>
      </c>
      <c r="G6441">
        <v>-336.45670000000001</v>
      </c>
      <c r="H6441">
        <v>0.92470529999999995</v>
      </c>
      <c r="I6441">
        <v>17.01118</v>
      </c>
      <c r="J6441">
        <v>-337.05090000000001</v>
      </c>
      <c r="K6441">
        <v>1.1082749999999999</v>
      </c>
      <c r="L6441">
        <v>17.1557</v>
      </c>
      <c r="M6441">
        <v>0.99989380000000005</v>
      </c>
      <c r="N6441">
        <v>-1.457517E-2</v>
      </c>
      <c r="O6441">
        <v>-2.8607479999999999E-4</v>
      </c>
      <c r="P6441">
        <v>0.99471779999999999</v>
      </c>
      <c r="Q6441">
        <v>-0.1016049</v>
      </c>
      <c r="R6441">
        <v>1.459596E-2</v>
      </c>
      <c r="S6441">
        <v>2.9536129999999998</v>
      </c>
      <c r="T6441">
        <v>-0.69447959999999997</v>
      </c>
      <c r="U6441">
        <v>-0.54891969999999901</v>
      </c>
      <c r="V6441">
        <v>-1.5169230000000001E-2</v>
      </c>
      <c r="W6441">
        <v>-8.7046209999999999E-2</v>
      </c>
      <c r="X6441">
        <v>0.9960888</v>
      </c>
      <c r="Y6441">
        <v>0.1774578</v>
      </c>
      <c r="Z6441">
        <v>-2.167465E-2</v>
      </c>
      <c r="AA6441">
        <v>0.98388969999999998</v>
      </c>
      <c r="AB6441">
        <v>34</v>
      </c>
      <c r="AC6441">
        <v>0.59419999999999995</v>
      </c>
      <c r="AD6441">
        <v>-0.183569699999999</v>
      </c>
      <c r="AE6441">
        <v>-0.14451999999999901</v>
      </c>
      <c r="AF6441">
        <v>0.13241771375730299</v>
      </c>
      <c r="AG6441">
        <v>-0.183569699999999</v>
      </c>
      <c r="AH6441">
        <v>0.54512007432653398</v>
      </c>
      <c r="AI6441">
        <v>108.119889790426</v>
      </c>
      <c r="AJ6441">
        <v>76.346463376048504</v>
      </c>
      <c r="AK6441">
        <v>0.59024417075356805</v>
      </c>
      <c r="AL6441">
        <v>94.993700179333402</v>
      </c>
      <c r="AM6441">
        <v>90.872478114569205</v>
      </c>
      <c r="AN6441">
        <v>1.0000000228497901</v>
      </c>
    </row>
    <row r="6442" spans="1:40" x14ac:dyDescent="0.25">
      <c r="A6442" t="str">
        <f>"20190305135053485"</f>
        <v>20190305135053485</v>
      </c>
      <c r="B6442" t="str">
        <f>"1551765053476579"</f>
        <v>1551765053476579</v>
      </c>
      <c r="C6442" t="s">
        <v>40</v>
      </c>
      <c r="D6442">
        <v>3.9826299999999999</v>
      </c>
      <c r="E6442">
        <v>0.57362119999999905</v>
      </c>
      <c r="F6442" t="s">
        <v>41</v>
      </c>
      <c r="G6442">
        <v>-336.15929999999997</v>
      </c>
      <c r="H6442">
        <v>0.89900480000000005</v>
      </c>
      <c r="I6442">
        <v>16.98883</v>
      </c>
      <c r="J6442">
        <v>-336.8811</v>
      </c>
      <c r="K6442">
        <v>1.108282</v>
      </c>
      <c r="L6442">
        <v>17.155000000000001</v>
      </c>
      <c r="M6442">
        <v>0.99989320000000004</v>
      </c>
      <c r="N6442">
        <v>-1.4577970000000001E-2</v>
      </c>
      <c r="O6442">
        <v>-9.9724189999999993E-4</v>
      </c>
      <c r="P6442">
        <v>0.99475579999999997</v>
      </c>
      <c r="Q6442">
        <v>-0.10135660000000001</v>
      </c>
      <c r="R6442">
        <v>1.370595E-2</v>
      </c>
      <c r="S6442">
        <v>2.9532780000000001</v>
      </c>
      <c r="T6442">
        <v>-0.69308599999999998</v>
      </c>
      <c r="U6442">
        <v>-0.55230709999999905</v>
      </c>
      <c r="V6442">
        <v>-1.498528E-2</v>
      </c>
      <c r="W6442">
        <v>-8.6795419999999998E-2</v>
      </c>
      <c r="X6442">
        <v>0.99611340000000004</v>
      </c>
      <c r="Y6442">
        <v>0.17789279999999999</v>
      </c>
      <c r="Z6442">
        <v>-2.1535410000000001E-2</v>
      </c>
      <c r="AA6442">
        <v>0.98381419999999997</v>
      </c>
      <c r="AB6442">
        <v>34</v>
      </c>
      <c r="AC6442">
        <v>0.72180000000002997</v>
      </c>
      <c r="AD6442">
        <v>-0.209277199999999</v>
      </c>
      <c r="AE6442">
        <v>-0.16617000000000101</v>
      </c>
      <c r="AF6442">
        <v>0.15321817944802299</v>
      </c>
      <c r="AG6442">
        <v>-0.209277199999999</v>
      </c>
      <c r="AH6442">
        <v>0.66858989736805496</v>
      </c>
      <c r="AI6442">
        <v>106.96714330499999</v>
      </c>
      <c r="AJ6442">
        <v>77.092618905751294</v>
      </c>
      <c r="AK6442">
        <v>0.71713681248129502</v>
      </c>
      <c r="AL6442">
        <v>94.979276720898</v>
      </c>
      <c r="AM6442">
        <v>90.861878313196101</v>
      </c>
      <c r="AN6442">
        <v>0.999999954604606</v>
      </c>
    </row>
    <row r="6443" spans="1:40" x14ac:dyDescent="0.25">
      <c r="A6443" t="str">
        <f>"20190305135053498"</f>
        <v>20190305135053498</v>
      </c>
      <c r="B6443" t="str">
        <f>"1551765053486342"</f>
        <v>1551765053486342</v>
      </c>
      <c r="C6443" t="s">
        <v>40</v>
      </c>
      <c r="D6443">
        <v>3.9723329999999999</v>
      </c>
      <c r="E6443">
        <v>0.57350570000000001</v>
      </c>
      <c r="F6443" t="s">
        <v>41</v>
      </c>
      <c r="G6443">
        <v>-336.14440000000002</v>
      </c>
      <c r="H6443">
        <v>0.93558629999999998</v>
      </c>
      <c r="I6443">
        <v>17.016479999999898</v>
      </c>
      <c r="J6443">
        <v>-336.69729999999998</v>
      </c>
      <c r="K6443">
        <v>1.108293</v>
      </c>
      <c r="L6443">
        <v>17.154050000000002</v>
      </c>
      <c r="M6443">
        <v>0.99989220000000001</v>
      </c>
      <c r="N6443">
        <v>-1.4580589999999999E-2</v>
      </c>
      <c r="O6443">
        <v>-1.76657299999999E-3</v>
      </c>
      <c r="P6443">
        <v>0.99483270000000001</v>
      </c>
      <c r="Q6443">
        <v>-0.10078819999999999</v>
      </c>
      <c r="R6443">
        <v>1.2240529999999999E-2</v>
      </c>
      <c r="S6443">
        <v>2.9529420000000002</v>
      </c>
      <c r="T6443">
        <v>-0.69213939999999996</v>
      </c>
      <c r="U6443">
        <v>-0.55477909999999997</v>
      </c>
      <c r="V6443">
        <v>-1.4283000000000001E-2</v>
      </c>
      <c r="W6443">
        <v>-8.6225889999999999E-2</v>
      </c>
      <c r="X6443">
        <v>0.99617319999999998</v>
      </c>
      <c r="Y6443">
        <v>0.17798029999999901</v>
      </c>
      <c r="Z6443">
        <v>-2.1354789999999998E-2</v>
      </c>
      <c r="AA6443">
        <v>0.98380230000000002</v>
      </c>
      <c r="AB6443">
        <v>34</v>
      </c>
      <c r="AC6443">
        <v>0.55289999999996498</v>
      </c>
      <c r="AD6443">
        <v>-0.17270669999999899</v>
      </c>
      <c r="AE6443">
        <v>-0.137570000000003</v>
      </c>
      <c r="AF6443">
        <v>0.12509845101354899</v>
      </c>
      <c r="AG6443">
        <v>-0.17270669999999899</v>
      </c>
      <c r="AH6443">
        <v>0.50659448087488701</v>
      </c>
      <c r="AI6443">
        <v>108.31325539611299</v>
      </c>
      <c r="AJ6443">
        <v>76.128885757986694</v>
      </c>
      <c r="AK6443">
        <v>0.54965006569978303</v>
      </c>
      <c r="AL6443">
        <v>94.946522147143099</v>
      </c>
      <c r="AM6443">
        <v>90.821443046278304</v>
      </c>
      <c r="AN6443">
        <v>0.99999997629676496</v>
      </c>
    </row>
    <row r="6444" spans="1:40" x14ac:dyDescent="0.25">
      <c r="A6444" t="str">
        <f>"20190305135053512"</f>
        <v>20190305135053512</v>
      </c>
      <c r="B6444" t="str">
        <f>"1551765053506835"</f>
        <v>1551765053506835</v>
      </c>
      <c r="C6444" t="s">
        <v>40</v>
      </c>
      <c r="D6444">
        <v>3.897831</v>
      </c>
      <c r="E6444">
        <v>0.54973640000000001</v>
      </c>
      <c r="F6444" t="s">
        <v>41</v>
      </c>
      <c r="G6444">
        <v>-335.84800000000001</v>
      </c>
      <c r="H6444">
        <v>0.9096746</v>
      </c>
      <c r="I6444">
        <v>16.993189999999998</v>
      </c>
      <c r="J6444">
        <v>-336.48379999999997</v>
      </c>
      <c r="K6444">
        <v>1.1083000000000001</v>
      </c>
      <c r="L6444">
        <v>17.15286</v>
      </c>
      <c r="M6444">
        <v>0.9998901</v>
      </c>
      <c r="N6444">
        <v>-1.458332E-2</v>
      </c>
      <c r="O6444">
        <v>-2.659626E-3</v>
      </c>
      <c r="P6444">
        <v>0.99490429999999996</v>
      </c>
      <c r="Q6444">
        <v>-0.1001731</v>
      </c>
      <c r="R6444">
        <v>1.1446970000000001E-2</v>
      </c>
      <c r="S6444">
        <v>2.9524840000000001</v>
      </c>
      <c r="T6444">
        <v>-0.69031419999999999</v>
      </c>
      <c r="U6444">
        <v>-0.55798340000000002</v>
      </c>
      <c r="V6444">
        <v>-1.437593E-2</v>
      </c>
      <c r="W6444">
        <v>-8.5606929999999998E-2</v>
      </c>
      <c r="X6444">
        <v>0.99622529999999998</v>
      </c>
      <c r="Y6444">
        <v>0.1782001</v>
      </c>
      <c r="Z6444">
        <v>-2.1139999999999999E-2</v>
      </c>
      <c r="AA6444">
        <v>0.98376719999999895</v>
      </c>
      <c r="AB6444">
        <v>34</v>
      </c>
      <c r="AC6444">
        <v>0.63579999999995995</v>
      </c>
      <c r="AD6444">
        <v>-0.19862540000000001</v>
      </c>
      <c r="AE6444">
        <v>-0.15967000000000101</v>
      </c>
      <c r="AF6444">
        <v>0.144694541483397</v>
      </c>
      <c r="AG6444">
        <v>-0.19862540000000001</v>
      </c>
      <c r="AH6444">
        <v>0.58272520507912196</v>
      </c>
      <c r="AI6444">
        <v>108.304747645029</v>
      </c>
      <c r="AJ6444">
        <v>76.055107686012093</v>
      </c>
      <c r="AK6444">
        <v>0.632421714123381</v>
      </c>
      <c r="AL6444">
        <v>94.910926460831007</v>
      </c>
      <c r="AM6444">
        <v>90.8267436585963</v>
      </c>
      <c r="AN6444">
        <v>1.00000003109373</v>
      </c>
    </row>
    <row r="6445" spans="1:40" x14ac:dyDescent="0.25">
      <c r="A6445" t="str">
        <f>"20190305135053525"</f>
        <v>20190305135053525</v>
      </c>
      <c r="B6445" t="str">
        <f>"1551765053516595"</f>
        <v>1551765053516595</v>
      </c>
      <c r="C6445" t="s">
        <v>40</v>
      </c>
      <c r="D6445">
        <v>3.9876529999999999</v>
      </c>
      <c r="E6445">
        <v>0.54816899999999902</v>
      </c>
      <c r="F6445" t="s">
        <v>41</v>
      </c>
      <c r="G6445">
        <v>-335.5308</v>
      </c>
      <c r="H6445">
        <v>0.93651549999999995</v>
      </c>
      <c r="I6445">
        <v>17.034749999999999</v>
      </c>
      <c r="J6445">
        <v>-336.27569999999997</v>
      </c>
      <c r="K6445">
        <v>1.108311</v>
      </c>
      <c r="L6445">
        <v>17.15146</v>
      </c>
      <c r="M6445">
        <v>0.99988750000000004</v>
      </c>
      <c r="N6445">
        <v>-1.458546E-2</v>
      </c>
      <c r="O6445">
        <v>-3.5268919999999998E-3</v>
      </c>
      <c r="P6445">
        <v>0.99497780000000002</v>
      </c>
      <c r="Q6445">
        <v>-9.954876E-2</v>
      </c>
      <c r="R6445">
        <v>1.046473E-2</v>
      </c>
      <c r="S6445">
        <v>2.9657589999999998</v>
      </c>
      <c r="T6445">
        <v>-0.53454799999999902</v>
      </c>
      <c r="U6445">
        <v>-0.3673401</v>
      </c>
      <c r="V6445">
        <v>-1.425413E-2</v>
      </c>
      <c r="W6445">
        <v>-8.4980150000000004E-2</v>
      </c>
      <c r="X6445">
        <v>0.99628070000000002</v>
      </c>
      <c r="Y6445">
        <v>0.117448</v>
      </c>
      <c r="Z6445">
        <v>-1.0750569999999999E-2</v>
      </c>
      <c r="AA6445">
        <v>0.99302080000000004</v>
      </c>
      <c r="AB6445">
        <v>34</v>
      </c>
      <c r="AC6445">
        <v>0.74489999999997203</v>
      </c>
      <c r="AD6445">
        <v>-0.17179549999999999</v>
      </c>
      <c r="AE6445">
        <v>-0.11671000000000099</v>
      </c>
      <c r="AF6445">
        <v>0.108451521619479</v>
      </c>
      <c r="AG6445">
        <v>-0.17179549999999999</v>
      </c>
      <c r="AH6445">
        <v>0.708523820008929</v>
      </c>
      <c r="AI6445">
        <v>103.478293482472</v>
      </c>
      <c r="AJ6445">
        <v>81.297460295544298</v>
      </c>
      <c r="AK6445">
        <v>0.73707627141421095</v>
      </c>
      <c r="AL6445">
        <v>94.874883322344104</v>
      </c>
      <c r="AM6445">
        <v>90.819694459793695</v>
      </c>
      <c r="AN6445">
        <v>1.00000001965428</v>
      </c>
    </row>
    <row r="6446" spans="1:40" x14ac:dyDescent="0.25">
      <c r="A6446" t="str">
        <f>"20190305135053540"</f>
        <v>20190305135053540</v>
      </c>
      <c r="B6446" t="str">
        <f>"1551765053536115"</f>
        <v>1551765053536115</v>
      </c>
      <c r="C6446" t="s">
        <v>40</v>
      </c>
      <c r="D6446">
        <v>3.9443899999999998</v>
      </c>
      <c r="E6446">
        <v>0.55061729999999998</v>
      </c>
      <c r="F6446" t="s">
        <v>41</v>
      </c>
      <c r="G6446">
        <v>-335.50659999999999</v>
      </c>
      <c r="H6446">
        <v>0.98694190000000004</v>
      </c>
      <c r="I6446">
        <v>17.059190000000001</v>
      </c>
      <c r="J6446">
        <v>-336.0444</v>
      </c>
      <c r="K6446">
        <v>1.1083259999999999</v>
      </c>
      <c r="L6446">
        <v>17.14969</v>
      </c>
      <c r="M6446">
        <v>0.99988370000000004</v>
      </c>
      <c r="N6446">
        <v>-1.458738E-2</v>
      </c>
      <c r="O6446">
        <v>-4.4840879999999998E-3</v>
      </c>
      <c r="P6446">
        <v>0.99514519999999995</v>
      </c>
      <c r="Q6446">
        <v>-9.7935640000000004E-2</v>
      </c>
      <c r="R6446">
        <v>9.738366E-3</v>
      </c>
      <c r="S6446">
        <v>2.9719850000000001</v>
      </c>
      <c r="T6446">
        <v>-0.46894479999999999</v>
      </c>
      <c r="U6446">
        <v>-0.35626219999999997</v>
      </c>
      <c r="V6446">
        <v>-1.447417E-2</v>
      </c>
      <c r="W6446">
        <v>-8.3362500000000006E-2</v>
      </c>
      <c r="X6446">
        <v>0.99641420000000003</v>
      </c>
      <c r="Y6446">
        <v>0.11310249999999999</v>
      </c>
      <c r="Z6446">
        <v>-9.0347650000000002E-3</v>
      </c>
      <c r="AA6446">
        <v>0.99354229999999999</v>
      </c>
      <c r="AB6446">
        <v>34</v>
      </c>
      <c r="AC6446">
        <v>0.53780000000000405</v>
      </c>
      <c r="AD6446">
        <v>-0.121384099999999</v>
      </c>
      <c r="AE6446">
        <v>-9.0499999999998595E-2</v>
      </c>
      <c r="AF6446">
        <v>8.3929438646944604E-2</v>
      </c>
      <c r="AG6446">
        <v>-0.121384099999999</v>
      </c>
      <c r="AH6446">
        <v>0.51279657517893396</v>
      </c>
      <c r="AI6446">
        <v>103.14861314157601</v>
      </c>
      <c r="AJ6446">
        <v>80.704811924967601</v>
      </c>
      <c r="AK6446">
        <v>0.53360901221741497</v>
      </c>
      <c r="AL6446">
        <v>94.781868650990106</v>
      </c>
      <c r="AM6446">
        <v>90.832234756305397</v>
      </c>
      <c r="AN6446">
        <v>1.00000003298253</v>
      </c>
    </row>
    <row r="6447" spans="1:40" x14ac:dyDescent="0.25">
      <c r="A6447" t="str">
        <f>"20190305135053551"</f>
        <v>20190305135053551</v>
      </c>
      <c r="B6447" t="str">
        <f>"1551765053546851"</f>
        <v>1551765053546851</v>
      </c>
      <c r="C6447" t="s">
        <v>40</v>
      </c>
      <c r="D6447">
        <v>3.982208</v>
      </c>
      <c r="E6447">
        <v>0.55221549999999997</v>
      </c>
      <c r="F6447" t="s">
        <v>41</v>
      </c>
      <c r="G6447">
        <v>-335.1866</v>
      </c>
      <c r="H6447">
        <v>1.014054</v>
      </c>
      <c r="I6447">
        <v>17.041589999999999</v>
      </c>
      <c r="J6447">
        <v>-335.86799999999999</v>
      </c>
      <c r="K6447">
        <v>1.108339</v>
      </c>
      <c r="L6447">
        <v>17.148219999999998</v>
      </c>
      <c r="M6447">
        <v>0.99987999999999999</v>
      </c>
      <c r="N6447">
        <v>-1.458861E-2</v>
      </c>
      <c r="O6447">
        <v>-5.2073830000000003E-3</v>
      </c>
      <c r="P6447">
        <v>0.99523620000000002</v>
      </c>
      <c r="Q6447">
        <v>-9.7084219999999999E-2</v>
      </c>
      <c r="R6447">
        <v>8.9205080000000006E-3</v>
      </c>
      <c r="S6447">
        <v>2.9860229999999999</v>
      </c>
      <c r="T6447">
        <v>-0.32800879999999999</v>
      </c>
      <c r="U6447">
        <v>-0.37518309999999999</v>
      </c>
      <c r="V6447">
        <v>-1.4372569999999999E-2</v>
      </c>
      <c r="W6447">
        <v>-8.2509260000000001E-2</v>
      </c>
      <c r="X6447">
        <v>0.99648669999999995</v>
      </c>
      <c r="Y6447">
        <v>0.1187223</v>
      </c>
      <c r="Z6447">
        <v>-6.8557039999999998E-3</v>
      </c>
      <c r="AA6447">
        <v>0.9929038</v>
      </c>
      <c r="AB6447">
        <v>34</v>
      </c>
      <c r="AC6447">
        <v>0.68140000000005296</v>
      </c>
      <c r="AD6447">
        <v>-9.4284999999999897E-2</v>
      </c>
      <c r="AE6447">
        <v>-0.106630000000002</v>
      </c>
      <c r="AF6447">
        <v>0.10118880028851</v>
      </c>
      <c r="AG6447">
        <v>-9.4284999999999897E-2</v>
      </c>
      <c r="AH6447">
        <v>0.66943535053994496</v>
      </c>
      <c r="AI6447">
        <v>97.928058905124203</v>
      </c>
      <c r="AJ6447">
        <v>81.404499873125701</v>
      </c>
      <c r="AK6447">
        <v>0.683573348720799</v>
      </c>
      <c r="AL6447">
        <v>94.732812534629403</v>
      </c>
      <c r="AM6447">
        <v>90.826333663583199</v>
      </c>
      <c r="AN6447">
        <v>1.0000000460155201</v>
      </c>
    </row>
    <row r="6448" spans="1:40" x14ac:dyDescent="0.25">
      <c r="A6448" t="str">
        <f>"20190305135053564"</f>
        <v>20190305135053564</v>
      </c>
      <c r="B6448" t="str">
        <f>"1551765053556612"</f>
        <v>1551765053556612</v>
      </c>
      <c r="C6448" t="s">
        <v>40</v>
      </c>
      <c r="D6448">
        <v>3.9256570000000002</v>
      </c>
      <c r="E6448">
        <v>0.55341419999999997</v>
      </c>
      <c r="F6448" t="s">
        <v>41</v>
      </c>
      <c r="G6448">
        <v>-334.87880000000001</v>
      </c>
      <c r="H6448">
        <v>1.0170490000000001</v>
      </c>
      <c r="I6448">
        <v>17.01942</v>
      </c>
      <c r="J6448">
        <v>-335.67660000000001</v>
      </c>
      <c r="K6448">
        <v>1.1083590000000001</v>
      </c>
      <c r="L6448">
        <v>17.14648</v>
      </c>
      <c r="M6448">
        <v>0.99987570000000003</v>
      </c>
      <c r="N6448">
        <v>-1.458952E-2</v>
      </c>
      <c r="O6448">
        <v>-5.9747330000000003E-3</v>
      </c>
      <c r="P6448">
        <v>0.99529279999999998</v>
      </c>
      <c r="Q6448">
        <v>-9.6563369999999996E-2</v>
      </c>
      <c r="R6448">
        <v>8.2285109999999904E-3</v>
      </c>
      <c r="S6448">
        <v>2.990936</v>
      </c>
      <c r="T6448">
        <v>-0.27602660000000001</v>
      </c>
      <c r="U6448">
        <v>-0.38943480000000003</v>
      </c>
      <c r="V6448">
        <v>-1.444019E-2</v>
      </c>
      <c r="W6448">
        <v>-8.1987180000000007E-2</v>
      </c>
      <c r="X6448">
        <v>0.99652870000000005</v>
      </c>
      <c r="Y6448">
        <v>0.12261039999999999</v>
      </c>
      <c r="Z6448">
        <v>-6.0613209999999997E-3</v>
      </c>
      <c r="AA6448">
        <v>0.99243630000000005</v>
      </c>
      <c r="AB6448">
        <v>34</v>
      </c>
      <c r="AC6448">
        <v>0.79779999999999496</v>
      </c>
      <c r="AD6448">
        <v>-9.1310000000000197E-2</v>
      </c>
      <c r="AE6448">
        <v>-0.12706000000000001</v>
      </c>
      <c r="AF6448">
        <v>0.120747993355725</v>
      </c>
      <c r="AG6448">
        <v>-9.1310000000000197E-2</v>
      </c>
      <c r="AH6448">
        <v>0.788472040282716</v>
      </c>
      <c r="AI6448">
        <v>96.530321662802805</v>
      </c>
      <c r="AJ6448">
        <v>81.293267733432799</v>
      </c>
      <c r="AK6448">
        <v>0.80287343479967199</v>
      </c>
      <c r="AL6448">
        <v>94.7027983926953</v>
      </c>
      <c r="AM6448">
        <v>90.830185865601607</v>
      </c>
      <c r="AN6448">
        <v>0.99999993334763604</v>
      </c>
    </row>
    <row r="6449" spans="1:40" x14ac:dyDescent="0.25">
      <c r="A6449" t="str">
        <f>"20190305135053574"</f>
        <v>20190305135053574</v>
      </c>
      <c r="B6449" t="str">
        <f>"1551765053566371"</f>
        <v>1551765053566371</v>
      </c>
      <c r="C6449" t="s">
        <v>40</v>
      </c>
      <c r="D6449">
        <v>3.9233220000000002</v>
      </c>
      <c r="E6449">
        <v>0.55464139999999995</v>
      </c>
      <c r="F6449" t="s">
        <v>41</v>
      </c>
      <c r="G6449">
        <v>-334.86520000000002</v>
      </c>
      <c r="H6449">
        <v>1.0422640000000001</v>
      </c>
      <c r="I6449">
        <v>17.037929999999999</v>
      </c>
      <c r="J6449">
        <v>-335.52179999999998</v>
      </c>
      <c r="K6449">
        <v>1.108385</v>
      </c>
      <c r="L6449">
        <v>17.144960000000001</v>
      </c>
      <c r="M6449">
        <v>0.99987199999999998</v>
      </c>
      <c r="N6449">
        <v>-1.459004E-2</v>
      </c>
      <c r="O6449">
        <v>-6.5819559999999999E-3</v>
      </c>
      <c r="P6449">
        <v>0.99532430000000005</v>
      </c>
      <c r="Q6449">
        <v>-9.627587E-2</v>
      </c>
      <c r="R6449">
        <v>7.7794839999999997E-3</v>
      </c>
      <c r="S6449">
        <v>2.9938349999999998</v>
      </c>
      <c r="T6449">
        <v>-0.24385519999999999</v>
      </c>
      <c r="U6449">
        <v>-0.40054319999999999</v>
      </c>
      <c r="V6449">
        <v>-1.4591170000000001E-2</v>
      </c>
      <c r="W6449">
        <v>-8.1698889999999996E-2</v>
      </c>
      <c r="X6449">
        <v>0.9965503</v>
      </c>
      <c r="Y6449">
        <v>0.12561169999999999</v>
      </c>
      <c r="Z6449">
        <v>-5.5695930000000003E-3</v>
      </c>
      <c r="AA6449">
        <v>0.9920639</v>
      </c>
      <c r="AB6449">
        <v>34</v>
      </c>
      <c r="AC6449">
        <v>0.65659999999996899</v>
      </c>
      <c r="AD6449">
        <v>-6.6121000000000096E-2</v>
      </c>
      <c r="AE6449">
        <v>-0.107030000000001</v>
      </c>
      <c r="AF6449">
        <v>0.101700864050686</v>
      </c>
      <c r="AG6449">
        <v>-6.6121000000000096E-2</v>
      </c>
      <c r="AH6449">
        <v>0.650860830967112</v>
      </c>
      <c r="AI6449">
        <v>95.731702442597296</v>
      </c>
      <c r="AJ6449">
        <v>81.119009216878993</v>
      </c>
      <c r="AK6449">
        <v>0.66206863214991196</v>
      </c>
      <c r="AL6449">
        <v>94.686224416912694</v>
      </c>
      <c r="AM6449">
        <v>90.838846494483903</v>
      </c>
      <c r="AN6449">
        <v>1.00000005564964</v>
      </c>
    </row>
    <row r="6450" spans="1:40" x14ac:dyDescent="0.25">
      <c r="A6450" t="str">
        <f>"20190305135053584"</f>
        <v>20190305135053584</v>
      </c>
      <c r="B6450" t="str">
        <f>"1551765053576131"</f>
        <v>1551765053576131</v>
      </c>
      <c r="C6450" t="s">
        <v>40</v>
      </c>
      <c r="D6450">
        <v>3.9148339999999999</v>
      </c>
      <c r="E6450">
        <v>0.55540389999999995</v>
      </c>
      <c r="F6450" t="s">
        <v>41</v>
      </c>
      <c r="G6450">
        <v>-334.56139999999999</v>
      </c>
      <c r="H6450">
        <v>1.0378080000000001</v>
      </c>
      <c r="I6450">
        <v>17.01285</v>
      </c>
      <c r="J6450">
        <v>-335.35230000000001</v>
      </c>
      <c r="K6450">
        <v>1.1084099999999999</v>
      </c>
      <c r="L6450">
        <v>17.143249999999998</v>
      </c>
      <c r="M6450">
        <v>0.99986739999999996</v>
      </c>
      <c r="N6450">
        <v>-1.459034E-2</v>
      </c>
      <c r="O6450">
        <v>-7.2307509999999997E-3</v>
      </c>
      <c r="P6450">
        <v>0.99537089999999995</v>
      </c>
      <c r="Q6450">
        <v>-9.5850679999999994E-2</v>
      </c>
      <c r="R6450">
        <v>7.0144860000000003E-3</v>
      </c>
      <c r="S6450">
        <v>2.9960019999999998</v>
      </c>
      <c r="T6450">
        <v>-0.2200965</v>
      </c>
      <c r="U6450">
        <v>-0.41128540000000002</v>
      </c>
      <c r="V6450">
        <v>-1.446622E-2</v>
      </c>
      <c r="W6450">
        <v>-8.1274029999999997E-2</v>
      </c>
      <c r="X6450">
        <v>0.99658679999999999</v>
      </c>
      <c r="Y6450">
        <v>0.12843860000000001</v>
      </c>
      <c r="Z6450">
        <v>-5.2093799999999996E-3</v>
      </c>
      <c r="AA6450">
        <v>0.99170380000000002</v>
      </c>
      <c r="AB6450">
        <v>34</v>
      </c>
      <c r="AC6450">
        <v>0.79090000000002103</v>
      </c>
      <c r="AD6450">
        <v>-7.0601999999999998E-2</v>
      </c>
      <c r="AE6450">
        <v>-0.13039999999999799</v>
      </c>
      <c r="AF6450">
        <v>0.12371739669523001</v>
      </c>
      <c r="AG6450">
        <v>-7.0601999999999998E-2</v>
      </c>
      <c r="AH6450">
        <v>0.785726742032264</v>
      </c>
      <c r="AI6450">
        <v>95.072399724293007</v>
      </c>
      <c r="AJ6450">
        <v>81.051900867552405</v>
      </c>
      <c r="AK6450">
        <v>0.79853437608764299</v>
      </c>
      <c r="AL6450">
        <v>94.661800794997305</v>
      </c>
      <c r="AM6450">
        <v>90.831633675739297</v>
      </c>
      <c r="AN6450">
        <v>0.99999999470388401</v>
      </c>
    </row>
    <row r="6451" spans="1:40" x14ac:dyDescent="0.25">
      <c r="A6451" t="str">
        <f>"20190305135053598"</f>
        <v>20190305135053598</v>
      </c>
      <c r="B6451" t="str">
        <f>"1551765053586869"</f>
        <v>1551765053586869</v>
      </c>
      <c r="C6451" t="s">
        <v>40</v>
      </c>
      <c r="D6451">
        <v>3.9577170000000002</v>
      </c>
      <c r="E6451">
        <v>0.55577809999999905</v>
      </c>
      <c r="F6451" t="s">
        <v>43</v>
      </c>
      <c r="G6451">
        <v>-318.37939999999998</v>
      </c>
      <c r="H6451">
        <v>-0.05</v>
      </c>
      <c r="I6451">
        <v>14.7684</v>
      </c>
      <c r="J6451">
        <v>-335.15780000000001</v>
      </c>
      <c r="K6451">
        <v>1.1084540000000001</v>
      </c>
      <c r="L6451">
        <v>17.141110000000001</v>
      </c>
      <c r="M6451">
        <v>0.99986209999999998</v>
      </c>
      <c r="N6451">
        <v>-1.4590290000000001E-2</v>
      </c>
      <c r="O6451">
        <v>-7.935358E-3</v>
      </c>
      <c r="P6451">
        <v>0.99539040000000001</v>
      </c>
      <c r="Q6451">
        <v>-9.5691180000000001E-2</v>
      </c>
      <c r="R6451">
        <v>6.420996E-3</v>
      </c>
      <c r="S6451">
        <v>2.997223</v>
      </c>
      <c r="T6451">
        <v>-0.20456240000000001</v>
      </c>
      <c r="U6451">
        <v>-0.41937259999999998</v>
      </c>
      <c r="V6451">
        <v>-1.456621E-2</v>
      </c>
      <c r="W6451">
        <v>-8.1115450000000006E-2</v>
      </c>
      <c r="X6451">
        <v>0.99659819999999999</v>
      </c>
      <c r="Y6451">
        <v>0.13035559999999999</v>
      </c>
      <c r="Z6451">
        <v>-4.9556060000000004E-3</v>
      </c>
      <c r="AA6451">
        <v>0.99145490000000003</v>
      </c>
      <c r="AB6451">
        <v>34</v>
      </c>
      <c r="AC6451">
        <v>16.778400000000001</v>
      </c>
      <c r="AD6451">
        <v>-1.1584540000000001</v>
      </c>
      <c r="AE6451">
        <v>-2.3727100000000001</v>
      </c>
      <c r="AF6451">
        <v>2.22906062598463</v>
      </c>
      <c r="AG6451">
        <v>-1.1584540000000001</v>
      </c>
      <c r="AH6451">
        <v>16.718565024900698</v>
      </c>
      <c r="AI6451">
        <v>93.929114576399002</v>
      </c>
      <c r="AJ6451">
        <v>82.405630646455606</v>
      </c>
      <c r="AK6451">
        <v>16.906245693123701</v>
      </c>
      <c r="AL6451">
        <v>94.652685026160896</v>
      </c>
      <c r="AM6451">
        <v>90.837371505167198</v>
      </c>
      <c r="AN6451">
        <v>0.99999993147285005</v>
      </c>
    </row>
    <row r="6452" spans="1:40" x14ac:dyDescent="0.25">
      <c r="A6452" t="str">
        <f>"20190305135053614"</f>
        <v>20190305135053614</v>
      </c>
      <c r="B6452" t="str">
        <f>"1551765053606387"</f>
        <v>1551765053606387</v>
      </c>
      <c r="C6452" t="s">
        <v>40</v>
      </c>
      <c r="D6452">
        <v>3.9200360000000001</v>
      </c>
      <c r="E6452">
        <v>0.55655350000000003</v>
      </c>
      <c r="F6452" t="s">
        <v>43</v>
      </c>
      <c r="G6452">
        <v>-317.14150000000001</v>
      </c>
      <c r="H6452">
        <v>-0.05</v>
      </c>
      <c r="I6452">
        <v>14.593170000000001</v>
      </c>
      <c r="J6452">
        <v>-334.92779999999999</v>
      </c>
      <c r="K6452">
        <v>1.1085119999999999</v>
      </c>
      <c r="L6452">
        <v>17.13852</v>
      </c>
      <c r="M6452">
        <v>0.99985550000000001</v>
      </c>
      <c r="N6452">
        <v>-1.458988E-2</v>
      </c>
      <c r="O6452">
        <v>-8.7203469999999998E-3</v>
      </c>
      <c r="P6452">
        <v>0.99543680000000001</v>
      </c>
      <c r="Q6452">
        <v>-9.5268320000000004E-2</v>
      </c>
      <c r="R6452">
        <v>5.4609219999999896E-3</v>
      </c>
      <c r="S6452">
        <v>2.998138</v>
      </c>
      <c r="T6452">
        <v>-0.19278139999999999</v>
      </c>
      <c r="U6452">
        <v>-0.42401119999999998</v>
      </c>
      <c r="V6452">
        <v>-1.4375189999999999E-2</v>
      </c>
      <c r="W6452">
        <v>-8.0695000000000003E-2</v>
      </c>
      <c r="X6452">
        <v>0.99663520000000005</v>
      </c>
      <c r="Y6452">
        <v>0.13107469999999999</v>
      </c>
      <c r="Z6452">
        <v>-4.7203480000000001E-3</v>
      </c>
      <c r="AA6452">
        <v>0.9913613</v>
      </c>
      <c r="AB6452">
        <v>34</v>
      </c>
      <c r="AC6452">
        <v>17.786299999999901</v>
      </c>
      <c r="AD6452">
        <v>-1.158512</v>
      </c>
      <c r="AE6452">
        <v>-2.5453499999999898</v>
      </c>
      <c r="AF6452">
        <v>2.3802382877407799</v>
      </c>
      <c r="AG6452">
        <v>-1.158512</v>
      </c>
      <c r="AH6452">
        <v>17.7340939235789</v>
      </c>
      <c r="AI6452">
        <v>93.704515460146595</v>
      </c>
      <c r="AJ6452">
        <v>82.355548477187398</v>
      </c>
      <c r="AK6452">
        <v>17.930582022089698</v>
      </c>
      <c r="AL6452">
        <v>94.628515346044793</v>
      </c>
      <c r="AM6452">
        <v>90.8263611462433</v>
      </c>
      <c r="AN6452">
        <v>1.0000000254957799</v>
      </c>
    </row>
    <row r="6453" spans="1:40" x14ac:dyDescent="0.25">
      <c r="A6453" t="str">
        <f>"20190305135053624"</f>
        <v>20190305135053624</v>
      </c>
      <c r="B6453" t="str">
        <f>"1551765053616148"</f>
        <v>1551765053616148</v>
      </c>
      <c r="C6453" t="s">
        <v>40</v>
      </c>
      <c r="D6453">
        <v>3.950844</v>
      </c>
      <c r="E6453">
        <v>0.55692959999999903</v>
      </c>
      <c r="F6453" t="s">
        <v>43</v>
      </c>
      <c r="G6453">
        <v>-315.51420000000002</v>
      </c>
      <c r="H6453">
        <v>-0.05</v>
      </c>
      <c r="I6453">
        <v>14.33644</v>
      </c>
      <c r="J6453">
        <v>-334.74630000000002</v>
      </c>
      <c r="K6453">
        <v>1.1085799999999999</v>
      </c>
      <c r="L6453">
        <v>17.13635</v>
      </c>
      <c r="M6453">
        <v>0.99985060000000003</v>
      </c>
      <c r="N6453">
        <v>-1.458918E-2</v>
      </c>
      <c r="O6453">
        <v>-9.2776999999999998E-3</v>
      </c>
      <c r="P6453">
        <v>0.99546650000000003</v>
      </c>
      <c r="Q6453">
        <v>-9.4985249999999993E-2</v>
      </c>
      <c r="R6453">
        <v>4.9824709999999996E-3</v>
      </c>
      <c r="S6453">
        <v>2.998993</v>
      </c>
      <c r="T6453">
        <v>-0.1789654</v>
      </c>
      <c r="U6453">
        <v>-0.4328613</v>
      </c>
      <c r="V6453">
        <v>-1.443872E-2</v>
      </c>
      <c r="W6453">
        <v>-8.0414289999999999E-2</v>
      </c>
      <c r="X6453">
        <v>0.99665700000000002</v>
      </c>
      <c r="Y6453">
        <v>0.13338449999999999</v>
      </c>
      <c r="Z6453">
        <v>-4.5193869999999997E-3</v>
      </c>
      <c r="AA6453">
        <v>0.99105410000000005</v>
      </c>
      <c r="AB6453">
        <v>34</v>
      </c>
      <c r="AC6453">
        <v>19.232099999999999</v>
      </c>
      <c r="AD6453">
        <v>-1.1585799999999999</v>
      </c>
      <c r="AE6453">
        <v>-2.7999100000000001</v>
      </c>
      <c r="AF6453">
        <v>2.6120581691934799</v>
      </c>
      <c r="AG6453">
        <v>-1.1585799999999999</v>
      </c>
      <c r="AH6453">
        <v>19.1890579907957</v>
      </c>
      <c r="AI6453">
        <v>93.423662325184495</v>
      </c>
      <c r="AJ6453">
        <v>82.248411126113496</v>
      </c>
      <c r="AK6453">
        <v>19.400646949773801</v>
      </c>
      <c r="AL6453">
        <v>94.6123792723522</v>
      </c>
      <c r="AM6453">
        <v>90.8299945208731</v>
      </c>
      <c r="AN6453">
        <v>1.00000005516021</v>
      </c>
    </row>
    <row r="6454" spans="1:40" x14ac:dyDescent="0.25">
      <c r="A6454" t="str">
        <f>"20190305135053640"</f>
        <v>20190305135053640</v>
      </c>
      <c r="B6454" t="str">
        <f>"1551765053636643"</f>
        <v>1551765053636643</v>
      </c>
      <c r="C6454" t="s">
        <v>40</v>
      </c>
      <c r="D6454">
        <v>3.928102</v>
      </c>
      <c r="E6454">
        <v>0.55745109999999998</v>
      </c>
      <c r="F6454" t="s">
        <v>43</v>
      </c>
      <c r="G6454">
        <v>-314.60300000000001</v>
      </c>
      <c r="H6454">
        <v>-0.05</v>
      </c>
      <c r="I6454">
        <v>14.200010000000001</v>
      </c>
      <c r="J6454">
        <v>-334.51799999999997</v>
      </c>
      <c r="K6454">
        <v>1.1086800000000001</v>
      </c>
      <c r="L6454">
        <v>17.133579999999998</v>
      </c>
      <c r="M6454">
        <v>0.99984470000000003</v>
      </c>
      <c r="N6454">
        <v>-1.45881E-2</v>
      </c>
      <c r="O6454">
        <v>-9.8935039999999991E-3</v>
      </c>
      <c r="P6454">
        <v>0.99558659999999999</v>
      </c>
      <c r="Q6454">
        <v>-9.3778769999999997E-2</v>
      </c>
      <c r="R6454">
        <v>3.5682299999999999E-3</v>
      </c>
      <c r="S6454">
        <v>2.9993590000000001</v>
      </c>
      <c r="T6454">
        <v>-0.17251369999999999</v>
      </c>
      <c r="U6454">
        <v>-0.43722529999999998</v>
      </c>
      <c r="V6454">
        <v>-1.3616430000000001E-2</v>
      </c>
      <c r="W6454">
        <v>-7.9212599999999994E-2</v>
      </c>
      <c r="X6454">
        <v>0.99676469999999995</v>
      </c>
      <c r="Y6454">
        <v>0.1341859</v>
      </c>
      <c r="Z6454">
        <v>-4.3985589999999998E-3</v>
      </c>
      <c r="AA6454">
        <v>0.99094640000000001</v>
      </c>
      <c r="AB6454">
        <v>34</v>
      </c>
      <c r="AC6454">
        <v>19.914999999999999</v>
      </c>
      <c r="AD6454">
        <v>-1.1586799999999999</v>
      </c>
      <c r="AE6454">
        <v>-2.9335699999999898</v>
      </c>
      <c r="AF6454">
        <v>2.7273401670388302</v>
      </c>
      <c r="AG6454">
        <v>-1.1586799999999999</v>
      </c>
      <c r="AH6454">
        <v>19.8771949818636</v>
      </c>
      <c r="AI6454">
        <v>93.305208205417898</v>
      </c>
      <c r="AJ6454">
        <v>82.187259193906698</v>
      </c>
      <c r="AK6454">
        <v>20.096860552737301</v>
      </c>
      <c r="AL6454">
        <v>94.543307609300697</v>
      </c>
      <c r="AM6454">
        <v>90.782647546571695</v>
      </c>
      <c r="AN6454">
        <v>0.99999995516539597</v>
      </c>
    </row>
    <row r="6455" spans="1:40" x14ac:dyDescent="0.25">
      <c r="A6455" t="str">
        <f>"20190305135053652"</f>
        <v>20190305135053652</v>
      </c>
      <c r="B6455" t="str">
        <f>"1551765053646403"</f>
        <v>1551765053646403</v>
      </c>
      <c r="C6455" t="s">
        <v>40</v>
      </c>
      <c r="D6455">
        <v>3.90984</v>
      </c>
      <c r="E6455">
        <v>0.5576894</v>
      </c>
      <c r="F6455" t="s">
        <v>43</v>
      </c>
      <c r="G6455">
        <v>-313.09530000000001</v>
      </c>
      <c r="H6455">
        <v>-0.05</v>
      </c>
      <c r="I6455">
        <v>13.950810000000001</v>
      </c>
      <c r="J6455">
        <v>-334.34070000000003</v>
      </c>
      <c r="K6455">
        <v>1.1087659999999999</v>
      </c>
      <c r="L6455">
        <v>17.13138</v>
      </c>
      <c r="M6455">
        <v>0.99984039999999996</v>
      </c>
      <c r="N6455">
        <v>-1.458718E-2</v>
      </c>
      <c r="O6455">
        <v>-1.032197E-2</v>
      </c>
      <c r="P6455">
        <v>0.99560320000000002</v>
      </c>
      <c r="Q6455">
        <v>-9.3632279999999998E-2</v>
      </c>
      <c r="R6455">
        <v>2.7091400000000001E-3</v>
      </c>
      <c r="S6455">
        <v>2.999603</v>
      </c>
      <c r="T6455">
        <v>-0.16223789999999999</v>
      </c>
      <c r="U6455">
        <v>-0.44564819999999999</v>
      </c>
      <c r="V6455">
        <v>-1.3167430000000001E-2</v>
      </c>
      <c r="W6455">
        <v>-7.9070500000000002E-2</v>
      </c>
      <c r="X6455">
        <v>0.9967821</v>
      </c>
      <c r="Y6455">
        <v>0.13649629999999999</v>
      </c>
      <c r="Z6455">
        <v>-4.2654449999999997E-3</v>
      </c>
      <c r="AA6455">
        <v>0.99063140000000005</v>
      </c>
      <c r="AB6455">
        <v>34</v>
      </c>
      <c r="AC6455">
        <v>21.2454</v>
      </c>
      <c r="AD6455">
        <v>-1.158766</v>
      </c>
      <c r="AE6455">
        <v>-3.1805699999999901</v>
      </c>
      <c r="AF6455">
        <v>2.95249220625759</v>
      </c>
      <c r="AG6455">
        <v>-1.158766</v>
      </c>
      <c r="AH6455">
        <v>21.2153725969997</v>
      </c>
      <c r="AI6455">
        <v>93.096557634920202</v>
      </c>
      <c r="AJ6455">
        <v>82.077171880618906</v>
      </c>
      <c r="AK6455">
        <v>21.451153425871901</v>
      </c>
      <c r="AL6455">
        <v>94.535139875170799</v>
      </c>
      <c r="AM6455">
        <v>90.756829689110404</v>
      </c>
      <c r="AN6455">
        <v>1.0000000400317299</v>
      </c>
    </row>
    <row r="6456" spans="1:40" x14ac:dyDescent="0.25">
      <c r="A6456" t="str">
        <f>"20190305135053662"</f>
        <v>20190305135053662</v>
      </c>
      <c r="B6456" t="str">
        <f>"1551765053656163"</f>
        <v>1551765053656163</v>
      </c>
      <c r="C6456" t="s">
        <v>40</v>
      </c>
      <c r="D6456">
        <v>3.9294220000000002</v>
      </c>
      <c r="E6456">
        <v>0.55793110000000001</v>
      </c>
      <c r="F6456" t="s">
        <v>43</v>
      </c>
      <c r="G6456">
        <v>-312.46159999999998</v>
      </c>
      <c r="H6456">
        <v>-0.05</v>
      </c>
      <c r="I6456">
        <v>13.848039999999999</v>
      </c>
      <c r="J6456">
        <v>-334.1705</v>
      </c>
      <c r="K6456">
        <v>1.1088639999999901</v>
      </c>
      <c r="L6456">
        <v>17.129270000000002</v>
      </c>
      <c r="M6456">
        <v>0.99983699999999998</v>
      </c>
      <c r="N6456">
        <v>-1.4586089999999999E-2</v>
      </c>
      <c r="O6456">
        <v>-1.06397E-2</v>
      </c>
      <c r="P6456">
        <v>0.99562759999999995</v>
      </c>
      <c r="Q6456">
        <v>-9.339327E-2</v>
      </c>
      <c r="R6456">
        <v>1.8532310000000001E-3</v>
      </c>
      <c r="S6456">
        <v>2.9995419999999999</v>
      </c>
      <c r="T6456">
        <v>-0.15886210000000001</v>
      </c>
      <c r="U6456">
        <v>-0.45013429999999999</v>
      </c>
      <c r="V6456">
        <v>-1.260966E-2</v>
      </c>
      <c r="W6456">
        <v>-7.8836349999999999E-2</v>
      </c>
      <c r="X6456">
        <v>0.99680780000000002</v>
      </c>
      <c r="Y6456">
        <v>0.1376406</v>
      </c>
      <c r="Z6456">
        <v>-4.2268549999999998E-3</v>
      </c>
      <c r="AA6456">
        <v>0.99047320000000005</v>
      </c>
      <c r="AB6456">
        <v>34</v>
      </c>
      <c r="AC6456">
        <v>21.7089</v>
      </c>
      <c r="AD6456">
        <v>-1.1588639999999999</v>
      </c>
      <c r="AE6456">
        <v>-3.2812299999999999</v>
      </c>
      <c r="AF6456">
        <v>3.0415696941600201</v>
      </c>
      <c r="AG6456">
        <v>-1.1588639999999999</v>
      </c>
      <c r="AH6456">
        <v>21.682179657248401</v>
      </c>
      <c r="AI6456">
        <v>93.029810628758497</v>
      </c>
      <c r="AJ6456">
        <v>82.014672549857707</v>
      </c>
      <c r="AK6456">
        <v>21.925123184696702</v>
      </c>
      <c r="AL6456">
        <v>94.521682321236199</v>
      </c>
      <c r="AM6456">
        <v>90.724755328801393</v>
      </c>
      <c r="AN6456">
        <v>0.99999998187373895</v>
      </c>
    </row>
    <row r="6457" spans="1:40" x14ac:dyDescent="0.25">
      <c r="A6457" t="str">
        <f>"20190305135053674"</f>
        <v>20190305135053674</v>
      </c>
      <c r="B6457" t="str">
        <f>"1551765053665923"</f>
        <v>1551765053665923</v>
      </c>
      <c r="C6457" t="s">
        <v>40</v>
      </c>
      <c r="D6457">
        <v>3.9467530000000002</v>
      </c>
      <c r="E6457">
        <v>0.55817169999999905</v>
      </c>
      <c r="F6457" t="s">
        <v>43</v>
      </c>
      <c r="G6457">
        <v>-311.83440000000002</v>
      </c>
      <c r="H6457">
        <v>-0.05</v>
      </c>
      <c r="I6457">
        <v>13.7438</v>
      </c>
      <c r="J6457">
        <v>-334</v>
      </c>
      <c r="K6457">
        <v>1.108968</v>
      </c>
      <c r="L6457">
        <v>17.127140000000001</v>
      </c>
      <c r="M6457">
        <v>0.99983420000000001</v>
      </c>
      <c r="N6457">
        <v>-1.458505E-2</v>
      </c>
      <c r="O6457">
        <v>-1.09044E-2</v>
      </c>
      <c r="P6457">
        <v>0.99562249999999997</v>
      </c>
      <c r="Q6457">
        <v>-9.3462480000000001E-2</v>
      </c>
      <c r="R6457">
        <v>8.8997209999999998E-4</v>
      </c>
      <c r="S6457">
        <v>2.9994200000000002</v>
      </c>
      <c r="T6457">
        <v>-0.15561839999999999</v>
      </c>
      <c r="U6457">
        <v>-0.45462039999999998</v>
      </c>
      <c r="V6457">
        <v>-1.189043E-2</v>
      </c>
      <c r="W6457">
        <v>-7.8910980000000006E-2</v>
      </c>
      <c r="X6457">
        <v>0.99681070000000005</v>
      </c>
      <c r="Y6457">
        <v>0.13883909999999999</v>
      </c>
      <c r="Z6457">
        <v>-4.194077E-3</v>
      </c>
      <c r="AA6457">
        <v>0.99030609999999997</v>
      </c>
      <c r="AB6457">
        <v>34</v>
      </c>
      <c r="AC6457">
        <v>22.165599999999898</v>
      </c>
      <c r="AD6457">
        <v>-1.158968</v>
      </c>
      <c r="AE6457">
        <v>-3.38334</v>
      </c>
      <c r="AF6457">
        <v>3.13304010449498</v>
      </c>
      <c r="AG6457">
        <v>-1.158968</v>
      </c>
      <c r="AH6457">
        <v>22.142023090260398</v>
      </c>
      <c r="AI6457">
        <v>92.966768970145097</v>
      </c>
      <c r="AJ6457">
        <v>81.946257945919299</v>
      </c>
      <c r="AK6457">
        <v>22.392595509476401</v>
      </c>
      <c r="AL6457">
        <v>94.525971820275601</v>
      </c>
      <c r="AM6457">
        <v>90.683418773488498</v>
      </c>
      <c r="AN6457">
        <v>0.99999994836231598</v>
      </c>
    </row>
    <row r="6458" spans="1:40" x14ac:dyDescent="0.25">
      <c r="A6458" t="str">
        <f>"20190305135053684"</f>
        <v>20190305135053684</v>
      </c>
      <c r="B6458" t="str">
        <f>"1551765053676659"</f>
        <v>1551765053676659</v>
      </c>
      <c r="C6458" t="s">
        <v>40</v>
      </c>
      <c r="D6458">
        <v>3.955559</v>
      </c>
      <c r="E6458">
        <v>0.55842999999999998</v>
      </c>
      <c r="F6458" t="s">
        <v>43</v>
      </c>
      <c r="G6458">
        <v>-311.33980000000003</v>
      </c>
      <c r="H6458">
        <v>-0.05</v>
      </c>
      <c r="I6458">
        <v>13.655620000000001</v>
      </c>
      <c r="J6458">
        <v>-333.83629999999999</v>
      </c>
      <c r="K6458">
        <v>1.109075</v>
      </c>
      <c r="L6458">
        <v>17.125119999999999</v>
      </c>
      <c r="M6458">
        <v>0.99983230000000001</v>
      </c>
      <c r="N6458">
        <v>-1.4584079999999999E-2</v>
      </c>
      <c r="O6458">
        <v>-1.1085009999999999E-2</v>
      </c>
      <c r="P6458">
        <v>0.99562320000000004</v>
      </c>
      <c r="Q6458">
        <v>-9.3460520000000005E-2</v>
      </c>
      <c r="R6458" s="1">
        <v>-5.0249510000000003E-6</v>
      </c>
      <c r="S6458">
        <v>2.9992070000000002</v>
      </c>
      <c r="T6458">
        <v>-0.153396</v>
      </c>
      <c r="U6458">
        <v>-0.45947270000000001</v>
      </c>
      <c r="V6458">
        <v>-1.1155109999999999E-2</v>
      </c>
      <c r="W6458">
        <v>-7.8914070000000003E-2</v>
      </c>
      <c r="X6458">
        <v>0.99681900000000001</v>
      </c>
      <c r="Y6458">
        <v>0.1402398</v>
      </c>
      <c r="Z6458">
        <v>-4.1902220000000004E-3</v>
      </c>
      <c r="AA6458">
        <v>0.99010869999999995</v>
      </c>
      <c r="AB6458">
        <v>34</v>
      </c>
      <c r="AC6458">
        <v>22.496499999999902</v>
      </c>
      <c r="AD6458">
        <v>-1.1590750000000001</v>
      </c>
      <c r="AE6458">
        <v>-3.4695</v>
      </c>
      <c r="AF6458">
        <v>3.2115591343208498</v>
      </c>
      <c r="AG6458">
        <v>-1.1590750000000001</v>
      </c>
      <c r="AH6458">
        <v>22.475305003550801</v>
      </c>
      <c r="AI6458">
        <v>92.922554130821396</v>
      </c>
      <c r="AJ6458">
        <v>81.867895833123697</v>
      </c>
      <c r="AK6458">
        <v>22.733167441680902</v>
      </c>
      <c r="AL6458">
        <v>94.526149216332698</v>
      </c>
      <c r="AM6458">
        <v>90.641153554187497</v>
      </c>
      <c r="AN6458">
        <v>0.999999992842038</v>
      </c>
    </row>
    <row r="6459" spans="1:40" x14ac:dyDescent="0.25">
      <c r="A6459" t="str">
        <f>"20190305135053696"</f>
        <v>20190305135053696</v>
      </c>
      <c r="B6459" t="str">
        <f>"1551765053686419"</f>
        <v>1551765053686419</v>
      </c>
      <c r="C6459" t="s">
        <v>40</v>
      </c>
      <c r="D6459">
        <v>3.9329320000000001</v>
      </c>
      <c r="E6459">
        <v>0.55865310000000001</v>
      </c>
      <c r="F6459" t="s">
        <v>43</v>
      </c>
      <c r="G6459">
        <v>-310.82780000000002</v>
      </c>
      <c r="H6459">
        <v>-0.05</v>
      </c>
      <c r="I6459">
        <v>13.56352</v>
      </c>
      <c r="J6459">
        <v>-333.67450000000002</v>
      </c>
      <c r="K6459">
        <v>1.1091899999999999</v>
      </c>
      <c r="L6459">
        <v>17.123169999999998</v>
      </c>
      <c r="M6459">
        <v>0.99983129999999998</v>
      </c>
      <c r="N6459">
        <v>-1.4583209999999999E-2</v>
      </c>
      <c r="O6459">
        <v>-1.1177629999999999E-2</v>
      </c>
      <c r="P6459">
        <v>0.99563630000000003</v>
      </c>
      <c r="Q6459">
        <v>-9.3311870000000005E-2</v>
      </c>
      <c r="R6459">
        <v>-1.093491E-3</v>
      </c>
      <c r="S6459">
        <v>2.9990230000000002</v>
      </c>
      <c r="T6459">
        <v>-0.15107880000000001</v>
      </c>
      <c r="U6459">
        <v>-0.46423340000000002</v>
      </c>
      <c r="V6459">
        <v>-1.013613E-2</v>
      </c>
      <c r="W6459">
        <v>-7.8770370000000006E-2</v>
      </c>
      <c r="X6459">
        <v>0.99684130000000004</v>
      </c>
      <c r="Y6459">
        <v>0.14169590000000001</v>
      </c>
      <c r="Z6459">
        <v>-4.1886340000000001E-3</v>
      </c>
      <c r="AA6459">
        <v>0.98990140000000004</v>
      </c>
      <c r="AB6459">
        <v>34</v>
      </c>
      <c r="AC6459">
        <v>22.846699999999998</v>
      </c>
      <c r="AD6459">
        <v>-1.1591899999999999</v>
      </c>
      <c r="AE6459">
        <v>-3.55965</v>
      </c>
      <c r="AF6459">
        <v>3.2957452679719599</v>
      </c>
      <c r="AG6459">
        <v>-1.1591899999999999</v>
      </c>
      <c r="AH6459">
        <v>22.827692107106699</v>
      </c>
      <c r="AI6459">
        <v>92.877201442593005</v>
      </c>
      <c r="AJ6459">
        <v>81.784695178724803</v>
      </c>
      <c r="AK6459">
        <v>23.0934879406365</v>
      </c>
      <c r="AL6459">
        <v>94.517889867544696</v>
      </c>
      <c r="AM6459">
        <v>90.582577643367003</v>
      </c>
      <c r="AN6459">
        <v>1.0000000448535</v>
      </c>
    </row>
    <row r="6460" spans="1:40" x14ac:dyDescent="0.25">
      <c r="A6460" t="str">
        <f>"20190305135053706"</f>
        <v>20190305135053706</v>
      </c>
      <c r="B6460" t="str">
        <f>"1551765053696179"</f>
        <v>1551765053696179</v>
      </c>
      <c r="C6460" t="s">
        <v>40</v>
      </c>
      <c r="D6460">
        <v>3.9204530000000002</v>
      </c>
      <c r="E6460">
        <v>0.55882109999999996</v>
      </c>
      <c r="F6460" t="s">
        <v>43</v>
      </c>
      <c r="G6460">
        <v>-310.2679</v>
      </c>
      <c r="H6460">
        <v>-0.05</v>
      </c>
      <c r="I6460">
        <v>13.46031</v>
      </c>
      <c r="J6460">
        <v>-333.5009</v>
      </c>
      <c r="K6460">
        <v>1.1093249999999999</v>
      </c>
      <c r="L6460">
        <v>17.121120000000001</v>
      </c>
      <c r="M6460">
        <v>0.99983100000000003</v>
      </c>
      <c r="N6460">
        <v>-1.4582350000000001E-2</v>
      </c>
      <c r="O6460">
        <v>-1.120762E-2</v>
      </c>
      <c r="P6460">
        <v>0.995614</v>
      </c>
      <c r="Q6460">
        <v>-9.3533729999999995E-2</v>
      </c>
      <c r="R6460">
        <v>-2.129859E-3</v>
      </c>
      <c r="S6460">
        <v>2.9987490000000001</v>
      </c>
      <c r="T6460">
        <v>-0.14850969999999999</v>
      </c>
      <c r="U6460">
        <v>-0.46926879999999999</v>
      </c>
      <c r="V6460">
        <v>-9.1044960000000001E-3</v>
      </c>
      <c r="W6460">
        <v>-7.8997440000000002E-2</v>
      </c>
      <c r="X6460">
        <v>0.99683330000000003</v>
      </c>
      <c r="Y6460">
        <v>0.14330660000000001</v>
      </c>
      <c r="Z6460">
        <v>-4.1882259999999998E-3</v>
      </c>
      <c r="AA6460">
        <v>0.98966949999999998</v>
      </c>
      <c r="AB6460">
        <v>34</v>
      </c>
      <c r="AC6460">
        <v>23.233000000000001</v>
      </c>
      <c r="AD6460">
        <v>-1.1593249999999999</v>
      </c>
      <c r="AE6460">
        <v>-3.6608100000000001</v>
      </c>
      <c r="AF6460">
        <v>3.3919244521634999</v>
      </c>
      <c r="AG6460">
        <v>-1.1593249999999999</v>
      </c>
      <c r="AH6460">
        <v>23.2161659954633</v>
      </c>
      <c r="AI6460">
        <v>92.828771522267004</v>
      </c>
      <c r="AJ6460">
        <v>81.687791963274606</v>
      </c>
      <c r="AK6460">
        <v>23.491265386813801</v>
      </c>
      <c r="AL6460">
        <v>94.530940630241105</v>
      </c>
      <c r="AM6460">
        <v>90.523291799049403</v>
      </c>
      <c r="AN6460">
        <v>1.0000000576814201</v>
      </c>
    </row>
    <row r="6461" spans="1:40" x14ac:dyDescent="0.25">
      <c r="A6461" t="str">
        <f>"20190305135053717"</f>
        <v>20190305135053717</v>
      </c>
      <c r="B6461" t="str">
        <f>"1551765053705940"</f>
        <v>1551765053705940</v>
      </c>
      <c r="C6461" t="s">
        <v>40</v>
      </c>
      <c r="D6461">
        <v>3.9176449999999998</v>
      </c>
      <c r="E6461">
        <v>0.55895340000000004</v>
      </c>
      <c r="F6461" t="s">
        <v>43</v>
      </c>
      <c r="G6461">
        <v>-309.9171</v>
      </c>
      <c r="H6461">
        <v>-0.05</v>
      </c>
      <c r="I6461">
        <v>13.394740000000001</v>
      </c>
      <c r="J6461">
        <v>-333.34289999999999</v>
      </c>
      <c r="K6461">
        <v>1.1094550000000001</v>
      </c>
      <c r="L6461">
        <v>17.11938</v>
      </c>
      <c r="M6461">
        <v>0.9998321</v>
      </c>
      <c r="N6461">
        <v>-1.458187E-2</v>
      </c>
      <c r="O6461">
        <v>-1.1109259999999999E-2</v>
      </c>
      <c r="P6461">
        <v>0.99560329999999997</v>
      </c>
      <c r="Q6461">
        <v>-9.3618140000000002E-2</v>
      </c>
      <c r="R6461">
        <v>-3.1768859999999999E-3</v>
      </c>
      <c r="S6461">
        <v>2.9983219999999999</v>
      </c>
      <c r="T6461">
        <v>-0.1473902</v>
      </c>
      <c r="U6461">
        <v>-0.47375489999999998</v>
      </c>
      <c r="V6461">
        <v>-7.9337039999999998E-3</v>
      </c>
      <c r="W6461">
        <v>-7.9085970000000005E-2</v>
      </c>
      <c r="X6461">
        <v>0.99683619999999995</v>
      </c>
      <c r="Y6461">
        <v>0.14487069999999999</v>
      </c>
      <c r="Z6461">
        <v>-4.219006E-3</v>
      </c>
      <c r="AA6461">
        <v>0.98944160000000003</v>
      </c>
      <c r="AB6461">
        <v>34</v>
      </c>
      <c r="AC6461">
        <v>23.425799999999899</v>
      </c>
      <c r="AD6461">
        <v>-1.1594549999999999</v>
      </c>
      <c r="AE6461">
        <v>-3.72464</v>
      </c>
      <c r="AF6461">
        <v>3.4558819181848399</v>
      </c>
      <c r="AG6461">
        <v>-1.1594549999999999</v>
      </c>
      <c r="AH6461">
        <v>23.409802705864699</v>
      </c>
      <c r="AI6461">
        <v>92.805111146581098</v>
      </c>
      <c r="AJ6461">
        <v>81.602340181633707</v>
      </c>
      <c r="AK6461">
        <v>23.6919040698921</v>
      </c>
      <c r="AL6461">
        <v>94.5360293346708</v>
      </c>
      <c r="AM6461">
        <v>90.456000852947</v>
      </c>
      <c r="AN6461">
        <v>0.99999997197021895</v>
      </c>
    </row>
    <row r="6462" spans="1:40" x14ac:dyDescent="0.25">
      <c r="A6462" t="str">
        <f>"20190305135053729"</f>
        <v>20190305135053729</v>
      </c>
      <c r="B6462" t="str">
        <f>"1551765053726442"</f>
        <v>1551765053726442</v>
      </c>
      <c r="C6462" t="s">
        <v>40</v>
      </c>
      <c r="D6462">
        <v>3.9722140000000001</v>
      </c>
      <c r="E6462">
        <v>0.55918029999999996</v>
      </c>
      <c r="F6462" t="s">
        <v>43</v>
      </c>
      <c r="G6462">
        <v>-309.58109999999999</v>
      </c>
      <c r="H6462">
        <v>-0.05</v>
      </c>
      <c r="I6462">
        <v>13.33075</v>
      </c>
      <c r="J6462">
        <v>-333.16919999999999</v>
      </c>
      <c r="K6462">
        <v>1.1096060000000001</v>
      </c>
      <c r="L6462">
        <v>17.11749</v>
      </c>
      <c r="M6462">
        <v>0.99983379999999999</v>
      </c>
      <c r="N6462">
        <v>-1.458141E-2</v>
      </c>
      <c r="O6462">
        <v>-1.0957949999999999E-2</v>
      </c>
      <c r="P6462">
        <v>0.99556109999999998</v>
      </c>
      <c r="Q6462">
        <v>-9.4022629999999996E-2</v>
      </c>
      <c r="R6462">
        <v>-4.2611589999999996E-3</v>
      </c>
      <c r="S6462">
        <v>2.997925</v>
      </c>
      <c r="T6462">
        <v>-0.14628389999999999</v>
      </c>
      <c r="U6462">
        <v>-0.4779968</v>
      </c>
      <c r="V6462">
        <v>-6.66863E-3</v>
      </c>
      <c r="W6462">
        <v>-7.9494529999999994E-2</v>
      </c>
      <c r="X6462">
        <v>0.99681299999999995</v>
      </c>
      <c r="Y6462">
        <v>0.14640639999999999</v>
      </c>
      <c r="Z6462">
        <v>-4.2502920000000001E-3</v>
      </c>
      <c r="AA6462">
        <v>0.98921539999999997</v>
      </c>
      <c r="AB6462">
        <v>34</v>
      </c>
      <c r="AC6462">
        <v>23.588100000000001</v>
      </c>
      <c r="AD6462">
        <v>-1.1596059999999999</v>
      </c>
      <c r="AE6462">
        <v>-3.78674</v>
      </c>
      <c r="AF6462">
        <v>3.5197153138264401</v>
      </c>
      <c r="AG6462">
        <v>-1.1596059999999999</v>
      </c>
      <c r="AH6462">
        <v>23.572644486013601</v>
      </c>
      <c r="AI6462">
        <v>92.785443981833694</v>
      </c>
      <c r="AJ6462">
        <v>81.507703281860003</v>
      </c>
      <c r="AK6462">
        <v>23.862159374826199</v>
      </c>
      <c r="AL6462">
        <v>94.559511886654903</v>
      </c>
      <c r="AM6462">
        <v>90.383300232008594</v>
      </c>
      <c r="AN6462">
        <v>1.0000000039474899</v>
      </c>
    </row>
    <row r="6463" spans="1:40" x14ac:dyDescent="0.25">
      <c r="A6463" t="str">
        <f>"20190305135053741"</f>
        <v>20190305135053741</v>
      </c>
      <c r="B6463" t="str">
        <f>"1551765053736202"</f>
        <v>1551765053736202</v>
      </c>
      <c r="C6463" t="s">
        <v>40</v>
      </c>
      <c r="D6463">
        <v>4.0123110000000004</v>
      </c>
      <c r="E6463">
        <v>0.55910550000000003</v>
      </c>
      <c r="F6463" t="s">
        <v>43</v>
      </c>
      <c r="G6463">
        <v>-309.18920000000003</v>
      </c>
      <c r="H6463">
        <v>-0.05</v>
      </c>
      <c r="I6463">
        <v>13.252879999999999</v>
      </c>
      <c r="J6463">
        <v>-332.99169999999998</v>
      </c>
      <c r="K6463">
        <v>1.1097779999999999</v>
      </c>
      <c r="L6463">
        <v>17.115779999999901</v>
      </c>
      <c r="M6463">
        <v>0.99983750000000005</v>
      </c>
      <c r="N6463">
        <v>-1.458169E-2</v>
      </c>
      <c r="O6463">
        <v>-1.0620310000000001E-2</v>
      </c>
      <c r="P6463">
        <v>0.99551469999999997</v>
      </c>
      <c r="Q6463">
        <v>-9.4457050000000001E-2</v>
      </c>
      <c r="R6463">
        <v>-5.3776830000000003E-3</v>
      </c>
      <c r="S6463">
        <v>2.99762</v>
      </c>
      <c r="T6463">
        <v>-0.14495669999999999</v>
      </c>
      <c r="U6463">
        <v>-0.4830933</v>
      </c>
      <c r="V6463">
        <v>-5.1830740000000002E-3</v>
      </c>
      <c r="W6463">
        <v>-7.9931580000000002E-2</v>
      </c>
      <c r="X6463">
        <v>0.99678690000000003</v>
      </c>
      <c r="Y6463">
        <v>0.14839569999999999</v>
      </c>
      <c r="Z6463">
        <v>-4.2966769999999996E-3</v>
      </c>
      <c r="AA6463">
        <v>0.98891870000000004</v>
      </c>
      <c r="AB6463">
        <v>34</v>
      </c>
      <c r="AC6463">
        <v>23.802499999999899</v>
      </c>
      <c r="AD6463">
        <v>-1.159778</v>
      </c>
      <c r="AE6463">
        <v>-3.86289999999999</v>
      </c>
      <c r="AF6463">
        <v>3.6015342570383999</v>
      </c>
      <c r="AG6463">
        <v>-1.159778</v>
      </c>
      <c r="AH6463">
        <v>23.787162279344599</v>
      </c>
      <c r="AI6463">
        <v>92.759923866573004</v>
      </c>
      <c r="AJ6463">
        <v>81.390429778427901</v>
      </c>
      <c r="AK6463">
        <v>24.086204003906001</v>
      </c>
      <c r="AL6463">
        <v>94.584632859181298</v>
      </c>
      <c r="AM6463">
        <v>90.297922844590403</v>
      </c>
      <c r="AN6463">
        <v>1.0000000228744901</v>
      </c>
    </row>
    <row r="6464" spans="1:40" x14ac:dyDescent="0.25">
      <c r="A6464" t="str">
        <f>"20190305135053751"</f>
        <v>20190305135053751</v>
      </c>
      <c r="B6464" t="str">
        <f>"1551765053745961"</f>
        <v>1551765053745961</v>
      </c>
      <c r="C6464" t="s">
        <v>40</v>
      </c>
      <c r="D6464">
        <v>3.9217930000000001</v>
      </c>
      <c r="E6464">
        <v>0.55923990000000001</v>
      </c>
      <c r="F6464" t="s">
        <v>43</v>
      </c>
      <c r="G6464">
        <v>-308.9196</v>
      </c>
      <c r="H6464">
        <v>-0.05</v>
      </c>
      <c r="I6464">
        <v>13.214219999999999</v>
      </c>
      <c r="J6464">
        <v>-332.82940000000002</v>
      </c>
      <c r="K6464">
        <v>1.109939</v>
      </c>
      <c r="L6464">
        <v>17.11429</v>
      </c>
      <c r="M6464">
        <v>0.99984090000000003</v>
      </c>
      <c r="N6464">
        <v>-1.4582029999999999E-2</v>
      </c>
      <c r="O6464">
        <v>-1.027226E-2</v>
      </c>
      <c r="P6464">
        <v>0.99548349999999997</v>
      </c>
      <c r="Q6464">
        <v>-9.4725439999999994E-2</v>
      </c>
      <c r="R6464">
        <v>-6.3278259999999999E-3</v>
      </c>
      <c r="S6464">
        <v>2.9971920000000001</v>
      </c>
      <c r="T6464">
        <v>-0.14440269999999999</v>
      </c>
      <c r="U6464">
        <v>-0.48577880000000001</v>
      </c>
      <c r="V6464">
        <v>-3.8549840000000001E-3</v>
      </c>
      <c r="W6464">
        <v>-8.0201179999999997E-2</v>
      </c>
      <c r="X6464">
        <v>0.99677119999999997</v>
      </c>
      <c r="Y6464">
        <v>0.14962490000000001</v>
      </c>
      <c r="Z6464">
        <v>-4.3353559999999899E-3</v>
      </c>
      <c r="AA6464">
        <v>0.98873339999999998</v>
      </c>
      <c r="AB6464">
        <v>34</v>
      </c>
      <c r="AC6464">
        <v>23.909800000000001</v>
      </c>
      <c r="AD6464">
        <v>-1.1599389999999901</v>
      </c>
      <c r="AE6464">
        <v>-3.9000699999999999</v>
      </c>
      <c r="AF6464">
        <v>3.6458721265479501</v>
      </c>
      <c r="AG6464">
        <v>-1.1599389999999901</v>
      </c>
      <c r="AH6464">
        <v>23.893827797271701</v>
      </c>
      <c r="AI6464">
        <v>92.747522081900001</v>
      </c>
      <c r="AJ6464">
        <v>81.324363198869904</v>
      </c>
      <c r="AK6464">
        <v>24.198199289462298</v>
      </c>
      <c r="AL6464">
        <v>94.600129853271298</v>
      </c>
      <c r="AM6464">
        <v>90.221588677592194</v>
      </c>
      <c r="AN6464">
        <v>0.99999995766223504</v>
      </c>
    </row>
    <row r="6465" spans="1:40" x14ac:dyDescent="0.25">
      <c r="A6465" t="str">
        <f>"20190305135053763"</f>
        <v>20190305135053763</v>
      </c>
      <c r="B6465" t="str">
        <f>"1551765053756709"</f>
        <v>1551765053756709</v>
      </c>
      <c r="C6465" t="s">
        <v>40</v>
      </c>
      <c r="D6465">
        <v>3.9097949999999999</v>
      </c>
      <c r="E6465">
        <v>0.55950749999999905</v>
      </c>
      <c r="F6465" t="s">
        <v>43</v>
      </c>
      <c r="G6465">
        <v>-308.60899999999998</v>
      </c>
      <c r="H6465">
        <v>-0.05</v>
      </c>
      <c r="I6465">
        <v>13.1562</v>
      </c>
      <c r="J6465">
        <v>-332.6497</v>
      </c>
      <c r="K6465">
        <v>1.1101190000000001</v>
      </c>
      <c r="L6465">
        <v>17.112850000000002</v>
      </c>
      <c r="M6465">
        <v>0.99984640000000002</v>
      </c>
      <c r="N6465">
        <v>-1.458309E-2</v>
      </c>
      <c r="O6465">
        <v>-9.7311689999999996E-3</v>
      </c>
      <c r="P6465">
        <v>0.99547989999999997</v>
      </c>
      <c r="Q6465">
        <v>-9.4709550000000003E-2</v>
      </c>
      <c r="R6465">
        <v>-7.0839919999999999E-3</v>
      </c>
      <c r="S6465">
        <v>2.9968569999999999</v>
      </c>
      <c r="T6465">
        <v>-0.1435227</v>
      </c>
      <c r="U6465">
        <v>-0.48974609999999902</v>
      </c>
      <c r="V6465">
        <v>-2.5251010000000001E-3</v>
      </c>
      <c r="W6465">
        <v>-8.0184539999999999E-2</v>
      </c>
      <c r="X6465">
        <v>0.99677680000000002</v>
      </c>
      <c r="Y6465">
        <v>0.15145169999999999</v>
      </c>
      <c r="Z6465">
        <v>-4.3914849999999997E-3</v>
      </c>
      <c r="AA6465">
        <v>0.98845490000000003</v>
      </c>
      <c r="AB6465">
        <v>34</v>
      </c>
      <c r="AC6465">
        <v>24.040699999999902</v>
      </c>
      <c r="AD6465">
        <v>-1.1601189999999999</v>
      </c>
      <c r="AE6465">
        <v>-3.9566499999999998</v>
      </c>
      <c r="AF6465">
        <v>3.7140728307834401</v>
      </c>
      <c r="AG6465">
        <v>-1.1601189999999999</v>
      </c>
      <c r="AH6465">
        <v>24.023600340864</v>
      </c>
      <c r="AI6465">
        <v>92.732301419623795</v>
      </c>
      <c r="AJ6465">
        <v>81.211592574153897</v>
      </c>
      <c r="AK6465">
        <v>24.336671638169602</v>
      </c>
      <c r="AL6465">
        <v>94.599173347281095</v>
      </c>
      <c r="AM6465">
        <v>90.145145152514402</v>
      </c>
      <c r="AN6465">
        <v>0.99999996280415504</v>
      </c>
    </row>
    <row r="6466" spans="1:40" x14ac:dyDescent="0.25">
      <c r="A6466" t="str">
        <f>"20190305135053774"</f>
        <v>20190305135053774</v>
      </c>
      <c r="B6466" t="str">
        <f>"1551765053766457"</f>
        <v>1551765053766457</v>
      </c>
      <c r="C6466" t="s">
        <v>40</v>
      </c>
      <c r="D6466">
        <v>3.9312969999999998</v>
      </c>
      <c r="E6466">
        <v>0.55949939999999998</v>
      </c>
      <c r="F6466" t="s">
        <v>43</v>
      </c>
      <c r="G6466">
        <v>-307.99779999999998</v>
      </c>
      <c r="H6466">
        <v>-0.05</v>
      </c>
      <c r="I6466">
        <v>13.048030000000001</v>
      </c>
      <c r="J6466">
        <v>-332.48390000000001</v>
      </c>
      <c r="K6466">
        <v>1.110287</v>
      </c>
      <c r="L6466">
        <v>17.111719999999998</v>
      </c>
      <c r="M6466">
        <v>0.99985179999999996</v>
      </c>
      <c r="N6466">
        <v>-1.458423E-2</v>
      </c>
      <c r="O6466">
        <v>-9.1638699999999993E-3</v>
      </c>
      <c r="P6466">
        <v>0.99545450000000002</v>
      </c>
      <c r="Q6466">
        <v>-9.4926730000000001E-2</v>
      </c>
      <c r="R6466">
        <v>-7.7237069999999998E-3</v>
      </c>
      <c r="S6466">
        <v>2.9966430000000002</v>
      </c>
      <c r="T6466">
        <v>-0.1410217</v>
      </c>
      <c r="U6466">
        <v>-0.4941101</v>
      </c>
      <c r="V6466">
        <v>-1.2878709999999999E-3</v>
      </c>
      <c r="W6466">
        <v>-8.0400120000000005E-2</v>
      </c>
      <c r="X6466">
        <v>0.99676189999999998</v>
      </c>
      <c r="Y6466">
        <v>0.1534285</v>
      </c>
      <c r="Z6466">
        <v>-4.4158820000000003E-3</v>
      </c>
      <c r="AA6466">
        <v>0.98814990000000003</v>
      </c>
      <c r="AB6466">
        <v>34</v>
      </c>
      <c r="AC6466">
        <v>24.4861</v>
      </c>
      <c r="AD6466">
        <v>-1.1602870000000001</v>
      </c>
      <c r="AE6466">
        <v>-4.0636900000000002</v>
      </c>
      <c r="AF6466">
        <v>3.8307371221404201</v>
      </c>
      <c r="AG6466">
        <v>-1.1602870000000001</v>
      </c>
      <c r="AH6466">
        <v>24.468845310570899</v>
      </c>
      <c r="AI6466">
        <v>92.682249210629706</v>
      </c>
      <c r="AJ6466">
        <v>81.102243947538</v>
      </c>
      <c r="AK6466">
        <v>24.794055812915399</v>
      </c>
      <c r="AL6466">
        <v>94.611564724110906</v>
      </c>
      <c r="AM6466">
        <v>90.074029245896895</v>
      </c>
      <c r="AN6466">
        <v>1.00000006159966</v>
      </c>
    </row>
    <row r="6467" spans="1:40" x14ac:dyDescent="0.25">
      <c r="A6467" t="str">
        <f>"20190305135053785"</f>
        <v>20190305135053785</v>
      </c>
      <c r="B6467" t="str">
        <f>"1551765053776218"</f>
        <v>1551765053776218</v>
      </c>
      <c r="C6467" t="s">
        <v>40</v>
      </c>
      <c r="D6467">
        <v>3.9517850000000001</v>
      </c>
      <c r="E6467">
        <v>0.55945509999999998</v>
      </c>
      <c r="F6467" t="s">
        <v>43</v>
      </c>
      <c r="G6467">
        <v>-307.9178</v>
      </c>
      <c r="H6467">
        <v>-0.05</v>
      </c>
      <c r="I6467">
        <v>13.04623</v>
      </c>
      <c r="J6467">
        <v>-332.31240000000003</v>
      </c>
      <c r="K6467">
        <v>1.110455</v>
      </c>
      <c r="L6467">
        <v>17.110659999999999</v>
      </c>
      <c r="M6467">
        <v>0.99985769999999996</v>
      </c>
      <c r="N6467">
        <v>-1.458563E-2</v>
      </c>
      <c r="O6467">
        <v>-8.4875679999999992E-3</v>
      </c>
      <c r="P6467">
        <v>0.99547209999999997</v>
      </c>
      <c r="Q6467">
        <v>-9.4723450000000001E-2</v>
      </c>
      <c r="R6467">
        <v>-7.9561179999999999E-3</v>
      </c>
      <c r="S6467">
        <v>2.9963989999999998</v>
      </c>
      <c r="T6467">
        <v>-0.1415235</v>
      </c>
      <c r="U6467">
        <v>-0.49588009999999899</v>
      </c>
      <c r="V6467">
        <v>-3.5107349999999999E-4</v>
      </c>
      <c r="W6467">
        <v>-8.0194070000000006E-2</v>
      </c>
      <c r="X6467">
        <v>0.99677919999999998</v>
      </c>
      <c r="Y6467">
        <v>0.15467439999999999</v>
      </c>
      <c r="Z6467">
        <v>-4.4876359999999997E-3</v>
      </c>
      <c r="AA6467">
        <v>0.98795529999999998</v>
      </c>
      <c r="AB6467">
        <v>34</v>
      </c>
      <c r="AC6467">
        <v>24.394600000000001</v>
      </c>
      <c r="AD6467">
        <v>-1.160455</v>
      </c>
      <c r="AE6467">
        <v>-4.0644299999999998</v>
      </c>
      <c r="AF6467">
        <v>3.8487365897256098</v>
      </c>
      <c r="AG6467">
        <v>-1.160455</v>
      </c>
      <c r="AH6467">
        <v>24.374554038758099</v>
      </c>
      <c r="AI6467">
        <v>92.692444860557003</v>
      </c>
      <c r="AJ6467">
        <v>81.027091761721906</v>
      </c>
      <c r="AK6467">
        <v>24.703811724761302</v>
      </c>
      <c r="AL6467">
        <v>94.599721001736398</v>
      </c>
      <c r="AM6467">
        <v>90.020180024841096</v>
      </c>
      <c r="AN6467">
        <v>0.99999999283420304</v>
      </c>
    </row>
    <row r="6468" spans="1:40" x14ac:dyDescent="0.25">
      <c r="A6468" t="str">
        <f>"20190305135053798"</f>
        <v>20190305135053798</v>
      </c>
      <c r="B6468" t="str">
        <f>"1551765053796713"</f>
        <v>1551765053796713</v>
      </c>
      <c r="C6468" t="s">
        <v>40</v>
      </c>
      <c r="D6468">
        <v>3.97567</v>
      </c>
      <c r="E6468">
        <v>0.55937760000000003</v>
      </c>
      <c r="F6468" t="s">
        <v>43</v>
      </c>
      <c r="G6468">
        <v>-307.69909999999999</v>
      </c>
      <c r="H6468">
        <v>-0.05</v>
      </c>
      <c r="I6468">
        <v>13.0349</v>
      </c>
      <c r="J6468">
        <v>-332.12529999999998</v>
      </c>
      <c r="K6468">
        <v>1.1106279999999999</v>
      </c>
      <c r="L6468">
        <v>17.109829999999999</v>
      </c>
      <c r="M6468">
        <v>0.99986459999999999</v>
      </c>
      <c r="N6468">
        <v>-1.4586999999999999E-2</v>
      </c>
      <c r="O6468">
        <v>-7.644189E-3</v>
      </c>
      <c r="P6468">
        <v>0.99551520000000004</v>
      </c>
      <c r="Q6468">
        <v>-9.4267649999999995E-2</v>
      </c>
      <c r="R6468">
        <v>-7.9700150000000004E-3</v>
      </c>
      <c r="S6468">
        <v>2.9962460000000002</v>
      </c>
      <c r="T6468">
        <v>-0.14126529999999901</v>
      </c>
      <c r="U6468">
        <v>-0.49615480000000001</v>
      </c>
      <c r="V6468">
        <v>5.3341339999999997E-4</v>
      </c>
      <c r="W6468">
        <v>-7.9734559999999996E-2</v>
      </c>
      <c r="X6468">
        <v>0.99681600000000004</v>
      </c>
      <c r="Y6468">
        <v>0.15560280000000001</v>
      </c>
      <c r="Z6468">
        <v>-4.5378019999999996E-3</v>
      </c>
      <c r="AA6468">
        <v>0.9878093</v>
      </c>
      <c r="AB6468">
        <v>34</v>
      </c>
      <c r="AC6468">
        <v>24.426199999999898</v>
      </c>
      <c r="AD6468">
        <v>-1.160628</v>
      </c>
      <c r="AE6468">
        <v>-4.0749299999999904</v>
      </c>
      <c r="AF6468">
        <v>3.87955074702937</v>
      </c>
      <c r="AG6468">
        <v>-1.160628</v>
      </c>
      <c r="AH6468">
        <v>24.4030351223136</v>
      </c>
      <c r="AI6468">
        <v>92.689259794074403</v>
      </c>
      <c r="AJ6468">
        <v>80.966815310775004</v>
      </c>
      <c r="AK6468">
        <v>24.736735729154599</v>
      </c>
      <c r="AL6468">
        <v>94.573308353147596</v>
      </c>
      <c r="AM6468">
        <v>89.969340045064897</v>
      </c>
      <c r="AN6468">
        <v>1.0000000112221199</v>
      </c>
    </row>
    <row r="6469" spans="1:40" x14ac:dyDescent="0.25">
      <c r="A6469" t="str">
        <f>"20190305135053811"</f>
        <v>20190305135053811</v>
      </c>
      <c r="B6469" t="str">
        <f>"1551765053806475"</f>
        <v>1551765053806475</v>
      </c>
      <c r="C6469" t="s">
        <v>40</v>
      </c>
      <c r="D6469">
        <v>3.9550779999999999</v>
      </c>
      <c r="E6469">
        <v>0.55939329999999998</v>
      </c>
      <c r="F6469" t="s">
        <v>43</v>
      </c>
      <c r="G6469">
        <v>-307.28919999999999</v>
      </c>
      <c r="H6469">
        <v>-0.05</v>
      </c>
      <c r="I6469">
        <v>13.00201</v>
      </c>
      <c r="J6469">
        <v>-331.94060000000002</v>
      </c>
      <c r="K6469">
        <v>1.1107880000000001</v>
      </c>
      <c r="L6469">
        <v>17.10913</v>
      </c>
      <c r="M6469">
        <v>0.99987079999999995</v>
      </c>
      <c r="N6469">
        <v>-1.458807E-2</v>
      </c>
      <c r="O6469">
        <v>-6.756443E-3</v>
      </c>
      <c r="P6469">
        <v>0.99557300000000004</v>
      </c>
      <c r="Q6469">
        <v>-9.3675060000000004E-2</v>
      </c>
      <c r="R6469">
        <v>-7.7291669999999899E-3</v>
      </c>
      <c r="S6469">
        <v>2.9962770000000001</v>
      </c>
      <c r="T6469">
        <v>-0.1400206</v>
      </c>
      <c r="U6469">
        <v>-0.49557499999999999</v>
      </c>
      <c r="V6469">
        <v>1.204674E-3</v>
      </c>
      <c r="W6469">
        <v>-7.9138349999999996E-2</v>
      </c>
      <c r="X6469">
        <v>0.9968629</v>
      </c>
      <c r="Y6469">
        <v>0.15629399999999999</v>
      </c>
      <c r="Z6469">
        <v>-4.5584040000000003E-3</v>
      </c>
      <c r="AA6469">
        <v>0.98770000000000002</v>
      </c>
      <c r="AB6469">
        <v>34</v>
      </c>
      <c r="AC6469">
        <v>24.651399999999999</v>
      </c>
      <c r="AD6469">
        <v>-1.1607879999999999</v>
      </c>
      <c r="AE6469">
        <v>-4.1071200000000001</v>
      </c>
      <c r="AF6469">
        <v>3.9319698855932801</v>
      </c>
      <c r="AG6469">
        <v>-1.1607879999999999</v>
      </c>
      <c r="AH6469">
        <v>24.6254625893956</v>
      </c>
      <c r="AI6469">
        <v>92.665084863348</v>
      </c>
      <c r="AJ6469">
        <v>80.928109146051696</v>
      </c>
      <c r="AK6469">
        <v>24.964399125632401</v>
      </c>
      <c r="AL6469">
        <v>94.539039861996898</v>
      </c>
      <c r="AM6469">
        <v>89.930760085174001</v>
      </c>
      <c r="AN6469">
        <v>0.99999998553828895</v>
      </c>
    </row>
    <row r="6470" spans="1:40" x14ac:dyDescent="0.25">
      <c r="A6470" t="str">
        <f>"20190305135053822"</f>
        <v>20190305135053822</v>
      </c>
      <c r="B6470" t="str">
        <f>"1551765053816233"</f>
        <v>1551765053816233</v>
      </c>
      <c r="C6470" t="s">
        <v>40</v>
      </c>
      <c r="D6470">
        <v>3.9542079999999999</v>
      </c>
      <c r="E6470">
        <v>0.55934459999999997</v>
      </c>
      <c r="F6470" t="s">
        <v>43</v>
      </c>
      <c r="G6470">
        <v>-306.79629999999997</v>
      </c>
      <c r="H6470">
        <v>-0.05</v>
      </c>
      <c r="I6470">
        <v>12.95627</v>
      </c>
      <c r="J6470">
        <v>-331.76260000000002</v>
      </c>
      <c r="K6470">
        <v>1.1109209999999901</v>
      </c>
      <c r="L6470">
        <v>17.108829999999902</v>
      </c>
      <c r="M6470">
        <v>0.99987680000000001</v>
      </c>
      <c r="N6470">
        <v>-1.45886E-2</v>
      </c>
      <c r="O6470">
        <v>-5.7911849999999999E-3</v>
      </c>
      <c r="P6470">
        <v>0.99564649999999999</v>
      </c>
      <c r="Q6470">
        <v>-9.2911720000000003E-2</v>
      </c>
      <c r="R6470">
        <v>-7.4502500000000003E-3</v>
      </c>
      <c r="S6470">
        <v>2.9964900000000001</v>
      </c>
      <c r="T6470">
        <v>-0.13833280000000001</v>
      </c>
      <c r="U6470">
        <v>-0.4949036</v>
      </c>
      <c r="V6470">
        <v>1.9093789999999999E-3</v>
      </c>
      <c r="W6470">
        <v>-7.8371200000000002E-2</v>
      </c>
      <c r="X6470">
        <v>0.99692239999999999</v>
      </c>
      <c r="Y6470">
        <v>0.15702369999999999</v>
      </c>
      <c r="Z6470">
        <v>-4.5706879999999998E-3</v>
      </c>
      <c r="AA6470">
        <v>0.98758420000000002</v>
      </c>
      <c r="AB6470">
        <v>34</v>
      </c>
      <c r="AC6470">
        <v>24.9663</v>
      </c>
      <c r="AD6470">
        <v>-1.1609210000000001</v>
      </c>
      <c r="AE6470">
        <v>-4.1525599999999896</v>
      </c>
      <c r="AF6470">
        <v>3.9994756050515399</v>
      </c>
      <c r="AG6470">
        <v>-1.1609210000000001</v>
      </c>
      <c r="AH6470">
        <v>24.9374636462159</v>
      </c>
      <c r="AI6470">
        <v>92.631798505899695</v>
      </c>
      <c r="AJ6470">
        <v>80.888483787846695</v>
      </c>
      <c r="AK6470">
        <v>25.282813051359302</v>
      </c>
      <c r="AL6470">
        <v>94.4949484756131</v>
      </c>
      <c r="AM6470">
        <v>89.890263049137701</v>
      </c>
      <c r="AN6470">
        <v>0.99999998116968203</v>
      </c>
    </row>
    <row r="6471" spans="1:40" x14ac:dyDescent="0.25">
      <c r="A6471" t="str">
        <f>"20190305135053833"</f>
        <v>20190305135053833</v>
      </c>
      <c r="B6471" t="str">
        <f>"1551765053825996"</f>
        <v>1551765053825996</v>
      </c>
      <c r="C6471" t="s">
        <v>40</v>
      </c>
      <c r="D6471">
        <v>3.9988679999999999</v>
      </c>
      <c r="E6471">
        <v>0.55931589999999998</v>
      </c>
      <c r="F6471" t="s">
        <v>43</v>
      </c>
      <c r="G6471">
        <v>-306.2414</v>
      </c>
      <c r="H6471">
        <v>-0.05</v>
      </c>
      <c r="I6471">
        <v>12.904170000000001</v>
      </c>
      <c r="J6471">
        <v>-331.58949999999999</v>
      </c>
      <c r="K6471">
        <v>1.1110439999999999</v>
      </c>
      <c r="L6471">
        <v>17.10867</v>
      </c>
      <c r="M6471">
        <v>0.99988200000000005</v>
      </c>
      <c r="N6471">
        <v>-1.4588780000000001E-2</v>
      </c>
      <c r="O6471">
        <v>-4.8212709999999898E-3</v>
      </c>
      <c r="P6471">
        <v>0.99573029999999996</v>
      </c>
      <c r="Q6471">
        <v>-9.2056399999999997E-2</v>
      </c>
      <c r="R6471">
        <v>-6.8695500000000003E-3</v>
      </c>
      <c r="S6471">
        <v>2.9967039999999998</v>
      </c>
      <c r="T6471">
        <v>-0.13631550000000001</v>
      </c>
      <c r="U6471">
        <v>-0.49371340000000002</v>
      </c>
      <c r="V6471">
        <v>2.31343E-3</v>
      </c>
      <c r="W6471">
        <v>-7.7512880000000006E-2</v>
      </c>
      <c r="X6471">
        <v>0.99698869999999895</v>
      </c>
      <c r="Y6471">
        <v>0.1575927</v>
      </c>
      <c r="Z6471">
        <v>-4.568735E-3</v>
      </c>
      <c r="AA6471">
        <v>0.98749359999999997</v>
      </c>
      <c r="AB6471">
        <v>34</v>
      </c>
      <c r="AC6471">
        <v>25.348099999999899</v>
      </c>
      <c r="AD6471">
        <v>-1.161044</v>
      </c>
      <c r="AE6471">
        <v>-4.2045000000000003</v>
      </c>
      <c r="AF6471">
        <v>4.0739098379404401</v>
      </c>
      <c r="AG6471">
        <v>-1.161044</v>
      </c>
      <c r="AH6471">
        <v>25.316386808253601</v>
      </c>
      <c r="AI6471">
        <v>92.592516672788506</v>
      </c>
      <c r="AJ6471">
        <v>80.858340997419504</v>
      </c>
      <c r="AK6471">
        <v>25.668350269596999</v>
      </c>
      <c r="AL6471">
        <v>94.4456200661308</v>
      </c>
      <c r="AM6471">
        <v>89.867050110696098</v>
      </c>
      <c r="AN6471">
        <v>1.00000003322597</v>
      </c>
    </row>
    <row r="6472" spans="1:40" x14ac:dyDescent="0.25">
      <c r="A6472" t="str">
        <f>"20190305135053844"</f>
        <v>20190305135053844</v>
      </c>
      <c r="B6472" t="str">
        <f>"1551765053836730"</f>
        <v>1551765053836730</v>
      </c>
      <c r="C6472" t="s">
        <v>40</v>
      </c>
      <c r="D6472">
        <v>3.9541119999999998</v>
      </c>
      <c r="E6472">
        <v>0.55930550000000001</v>
      </c>
      <c r="F6472" t="s">
        <v>43</v>
      </c>
      <c r="G6472">
        <v>-305.70850000000002</v>
      </c>
      <c r="H6472">
        <v>-0.05</v>
      </c>
      <c r="I6472">
        <v>12.861219999999999</v>
      </c>
      <c r="J6472">
        <v>-331.42790000000002</v>
      </c>
      <c r="K6472">
        <v>1.111148</v>
      </c>
      <c r="L6472">
        <v>17.108729999999898</v>
      </c>
      <c r="M6472">
        <v>0.99988619999999995</v>
      </c>
      <c r="N6472">
        <v>-1.458864E-2</v>
      </c>
      <c r="O6472">
        <v>-3.8652930000000001E-3</v>
      </c>
      <c r="P6472">
        <v>0.99582250000000005</v>
      </c>
      <c r="Q6472">
        <v>-9.1064740000000005E-2</v>
      </c>
      <c r="R6472">
        <v>-6.6991489999999997E-3</v>
      </c>
      <c r="S6472">
        <v>2.9970089999999998</v>
      </c>
      <c r="T6472">
        <v>-0.13444819999999999</v>
      </c>
      <c r="U6472">
        <v>-0.49185180000000001</v>
      </c>
      <c r="V6472">
        <v>3.108956E-3</v>
      </c>
      <c r="W6472">
        <v>-7.6516979999999998E-2</v>
      </c>
      <c r="X6472">
        <v>0.99706349999999999</v>
      </c>
      <c r="Y6472">
        <v>0.1579275</v>
      </c>
      <c r="Z6472">
        <v>-4.561402E-3</v>
      </c>
      <c r="AA6472">
        <v>0.98744019999999999</v>
      </c>
      <c r="AB6472">
        <v>34</v>
      </c>
      <c r="AC6472">
        <v>25.7194</v>
      </c>
      <c r="AD6472">
        <v>-1.1611479999999901</v>
      </c>
      <c r="AE6472">
        <v>-4.2475099999999903</v>
      </c>
      <c r="AF6472">
        <v>4.1398407471319203</v>
      </c>
      <c r="AG6472">
        <v>-1.1611479999999901</v>
      </c>
      <c r="AH6472">
        <v>25.6846660667048</v>
      </c>
      <c r="AI6472">
        <v>92.555518132413496</v>
      </c>
      <c r="AJ6472">
        <v>80.843843661550693</v>
      </c>
      <c r="AK6472">
        <v>26.042054777756199</v>
      </c>
      <c r="AL6472">
        <v>94.388389064929399</v>
      </c>
      <c r="AM6472">
        <v>89.821345902043305</v>
      </c>
      <c r="AN6472">
        <v>1.00000006843398</v>
      </c>
    </row>
    <row r="6473" spans="1:40" x14ac:dyDescent="0.25">
      <c r="A6473" t="str">
        <f>"20190305135053854"</f>
        <v>20190305135053854</v>
      </c>
      <c r="B6473" t="str">
        <f>"1551765053846489"</f>
        <v>1551765053846489</v>
      </c>
      <c r="C6473" t="s">
        <v>40</v>
      </c>
      <c r="D6473">
        <v>3.9840599999999999</v>
      </c>
      <c r="E6473">
        <v>0.5592123</v>
      </c>
      <c r="F6473" t="s">
        <v>43</v>
      </c>
      <c r="G6473">
        <v>-304.90839999999997</v>
      </c>
      <c r="H6473">
        <v>-0.05</v>
      </c>
      <c r="I6473">
        <v>12.76262</v>
      </c>
      <c r="J6473">
        <v>-331.27820000000003</v>
      </c>
      <c r="K6473">
        <v>1.111229</v>
      </c>
      <c r="L6473">
        <v>17.108920000000001</v>
      </c>
      <c r="M6473">
        <v>0.99988920000000003</v>
      </c>
      <c r="N6473">
        <v>-1.458827E-2</v>
      </c>
      <c r="O6473">
        <v>-2.9542790000000002E-3</v>
      </c>
      <c r="P6473">
        <v>0.99592729999999996</v>
      </c>
      <c r="Q6473">
        <v>-8.9952859999999996E-2</v>
      </c>
      <c r="R6473">
        <v>-6.1016459999999996E-3</v>
      </c>
      <c r="S6473">
        <v>2.9973139999999998</v>
      </c>
      <c r="T6473">
        <v>-0.1312362</v>
      </c>
      <c r="U6473">
        <v>-0.49121090000000001</v>
      </c>
      <c r="V6473">
        <v>3.4283849999999999E-3</v>
      </c>
      <c r="W6473">
        <v>-7.5402469999999999E-2</v>
      </c>
      <c r="X6473">
        <v>0.99714729999999996</v>
      </c>
      <c r="Y6473">
        <v>0.1586127</v>
      </c>
      <c r="Z6473">
        <v>-4.5275410000000004E-3</v>
      </c>
      <c r="AA6473">
        <v>0.9873305</v>
      </c>
      <c r="AB6473">
        <v>34</v>
      </c>
      <c r="AC6473">
        <v>26.369800000000001</v>
      </c>
      <c r="AD6473">
        <v>-1.1612290000000001</v>
      </c>
      <c r="AE6473">
        <v>-4.3463000000000003</v>
      </c>
      <c r="AF6473">
        <v>4.2603258755612901</v>
      </c>
      <c r="AG6473">
        <v>-1.1612290000000001</v>
      </c>
      <c r="AH6473">
        <v>26.3328124528872</v>
      </c>
      <c r="AI6473">
        <v>92.492633208785406</v>
      </c>
      <c r="AJ6473">
        <v>80.809878542969898</v>
      </c>
      <c r="AK6473">
        <v>26.700483910134501</v>
      </c>
      <c r="AL6473">
        <v>94.324347566927102</v>
      </c>
      <c r="AM6473">
        <v>89.803006820524203</v>
      </c>
      <c r="AN6473">
        <v>1.00000001210154</v>
      </c>
    </row>
    <row r="6474" spans="1:40" x14ac:dyDescent="0.25">
      <c r="A6474" t="str">
        <f>"20190305135053864"</f>
        <v>20190305135053864</v>
      </c>
      <c r="B6474" t="str">
        <f>"1551765053856250"</f>
        <v>1551765053856250</v>
      </c>
      <c r="C6474" t="s">
        <v>40</v>
      </c>
      <c r="D6474">
        <v>3.9658500000000001</v>
      </c>
      <c r="E6474">
        <v>0.55913780000000002</v>
      </c>
      <c r="F6474" t="s">
        <v>43</v>
      </c>
      <c r="G6474">
        <v>-304.20350000000002</v>
      </c>
      <c r="H6474">
        <v>-0.05</v>
      </c>
      <c r="I6474">
        <v>12.69519</v>
      </c>
      <c r="J6474">
        <v>-331.12549999999999</v>
      </c>
      <c r="K6474">
        <v>1.1113010000000001</v>
      </c>
      <c r="L6474">
        <v>17.109310000000001</v>
      </c>
      <c r="M6474">
        <v>0.99989170000000005</v>
      </c>
      <c r="N6474">
        <v>-1.458768E-2</v>
      </c>
      <c r="O6474">
        <v>-1.9997769999999999E-3</v>
      </c>
      <c r="P6474">
        <v>0.99601600000000001</v>
      </c>
      <c r="Q6474">
        <v>-8.8999880000000003E-2</v>
      </c>
      <c r="R6474">
        <v>-5.610355E-3</v>
      </c>
      <c r="S6474">
        <v>2.9976500000000001</v>
      </c>
      <c r="T6474">
        <v>-0.1285685</v>
      </c>
      <c r="U6474">
        <v>-0.488678</v>
      </c>
      <c r="V6474">
        <v>3.895983E-3</v>
      </c>
      <c r="W6474">
        <v>-7.4446689999999996E-2</v>
      </c>
      <c r="X6474">
        <v>0.99721740000000003</v>
      </c>
      <c r="Y6474">
        <v>0.15873129999999999</v>
      </c>
      <c r="Z6474">
        <v>-4.4900560000000001E-3</v>
      </c>
      <c r="AA6474">
        <v>0.98731159999999996</v>
      </c>
      <c r="AB6474">
        <v>34</v>
      </c>
      <c r="AC6474">
        <v>26.921999999999901</v>
      </c>
      <c r="AD6474">
        <v>-1.1613009999999999</v>
      </c>
      <c r="AE6474">
        <v>-4.4141199999999996</v>
      </c>
      <c r="AF6474">
        <v>4.3523810117270703</v>
      </c>
      <c r="AG6474">
        <v>-1.1613009999999999</v>
      </c>
      <c r="AH6474">
        <v>26.882064508436301</v>
      </c>
      <c r="AI6474">
        <v>92.441871749998</v>
      </c>
      <c r="AJ6474">
        <v>80.803246995216597</v>
      </c>
      <c r="AK6474">
        <v>27.256874962467201</v>
      </c>
      <c r="AL6474">
        <v>94.269431031186798</v>
      </c>
      <c r="AM6474">
        <v>89.776154881331706</v>
      </c>
      <c r="AN6474">
        <v>1.00000001559912</v>
      </c>
    </row>
    <row r="6475" spans="1:40" x14ac:dyDescent="0.25">
      <c r="A6475" t="str">
        <f>"20190305135053875"</f>
        <v>20190305135053875</v>
      </c>
      <c r="B6475" t="str">
        <f>"1551765053866009"</f>
        <v>1551765053866009</v>
      </c>
      <c r="C6475" t="s">
        <v>40</v>
      </c>
      <c r="D6475">
        <v>3.9632710000000002</v>
      </c>
      <c r="E6475">
        <v>0.55909259999999905</v>
      </c>
      <c r="F6475" t="s">
        <v>43</v>
      </c>
      <c r="G6475">
        <v>-303.63220000000001</v>
      </c>
      <c r="H6475">
        <v>-0.05</v>
      </c>
      <c r="I6475">
        <v>12.64568</v>
      </c>
      <c r="J6475">
        <v>-330.97230000000002</v>
      </c>
      <c r="K6475">
        <v>1.1113550000000001</v>
      </c>
      <c r="L6475">
        <v>17.109860000000001</v>
      </c>
      <c r="M6475">
        <v>0.99989309999999998</v>
      </c>
      <c r="N6475">
        <v>-1.45868E-2</v>
      </c>
      <c r="O6475">
        <v>-1.0270639999999901E-3</v>
      </c>
      <c r="P6475">
        <v>0.99610109999999996</v>
      </c>
      <c r="Q6475">
        <v>-8.8068350000000004E-2</v>
      </c>
      <c r="R6475">
        <v>-5.1853530000000002E-3</v>
      </c>
      <c r="S6475">
        <v>2.997925</v>
      </c>
      <c r="T6475">
        <v>-0.12663050000000001</v>
      </c>
      <c r="U6475">
        <v>-0.48672490000000002</v>
      </c>
      <c r="V6475">
        <v>4.4462900000000003E-3</v>
      </c>
      <c r="W6475">
        <v>-7.3512339999999995E-2</v>
      </c>
      <c r="X6475">
        <v>0.99728439999999996</v>
      </c>
      <c r="Y6475">
        <v>0.159055</v>
      </c>
      <c r="Z6475">
        <v>-4.476028E-3</v>
      </c>
      <c r="AA6475">
        <v>0.98725960000000001</v>
      </c>
      <c r="AB6475">
        <v>34</v>
      </c>
      <c r="AC6475">
        <v>27.3401</v>
      </c>
      <c r="AD6475">
        <v>-1.1613549999999999</v>
      </c>
      <c r="AE6475">
        <v>-4.4641799999999998</v>
      </c>
      <c r="AF6475">
        <v>4.4283117380207599</v>
      </c>
      <c r="AG6475">
        <v>-1.1613549999999999</v>
      </c>
      <c r="AH6475">
        <v>27.296696322296299</v>
      </c>
      <c r="AI6475">
        <v>92.404813461149402</v>
      </c>
      <c r="AJ6475">
        <v>80.785250296096194</v>
      </c>
      <c r="AK6475">
        <v>27.677939236814201</v>
      </c>
      <c r="AL6475">
        <v>94.215749667314</v>
      </c>
      <c r="AM6475">
        <v>89.744554348215402</v>
      </c>
      <c r="AN6475">
        <v>1.00000000405519</v>
      </c>
    </row>
    <row r="6476" spans="1:40" x14ac:dyDescent="0.25">
      <c r="A6476" t="str">
        <f>"20190305135053885"</f>
        <v>20190305135053885</v>
      </c>
      <c r="B6476" t="str">
        <f>"1551765053876746"</f>
        <v>1551765053876746</v>
      </c>
      <c r="C6476" t="s">
        <v>40</v>
      </c>
      <c r="D6476">
        <v>3.9556689999999999</v>
      </c>
      <c r="E6476">
        <v>0.55901040000000002</v>
      </c>
      <c r="F6476" t="s">
        <v>43</v>
      </c>
      <c r="G6476">
        <v>-302.90879999999999</v>
      </c>
      <c r="H6476">
        <v>-0.05</v>
      </c>
      <c r="I6476">
        <v>12.57016</v>
      </c>
      <c r="J6476">
        <v>-330.81709999999998</v>
      </c>
      <c r="K6476">
        <v>1.1114040000000001</v>
      </c>
      <c r="L6476">
        <v>17.110569999999999</v>
      </c>
      <c r="M6476">
        <v>0.99989360000000005</v>
      </c>
      <c r="N6476">
        <v>-1.458565E-2</v>
      </c>
      <c r="O6476" s="1">
        <v>-2.8959430000000001E-5</v>
      </c>
      <c r="P6476">
        <v>0.99616369999999999</v>
      </c>
      <c r="Q6476">
        <v>-8.7386110000000003E-2</v>
      </c>
      <c r="R6476">
        <v>-4.6499439999999996E-3</v>
      </c>
      <c r="S6476">
        <v>2.9982600000000001</v>
      </c>
      <c r="T6476">
        <v>-0.1240777</v>
      </c>
      <c r="U6476">
        <v>-0.4850159</v>
      </c>
      <c r="V6476">
        <v>4.9108700000000003E-3</v>
      </c>
      <c r="W6476">
        <v>-7.2828169999999998E-2</v>
      </c>
      <c r="X6476">
        <v>0.99733240000000001</v>
      </c>
      <c r="Y6476">
        <v>0.15948029999999999</v>
      </c>
      <c r="Z6476">
        <v>-4.4477429999999997E-3</v>
      </c>
      <c r="AA6476">
        <v>0.98719109999999999</v>
      </c>
      <c r="AB6476">
        <v>34</v>
      </c>
      <c r="AC6476">
        <v>27.908300000000001</v>
      </c>
      <c r="AD6476">
        <v>-1.1614040000000001</v>
      </c>
      <c r="AE6476">
        <v>-4.5404099999999996</v>
      </c>
      <c r="AF6476">
        <v>4.5319556024112302</v>
      </c>
      <c r="AG6476">
        <v>-1.1614040000000001</v>
      </c>
      <c r="AH6476">
        <v>27.861425010978898</v>
      </c>
      <c r="AI6476">
        <v>92.356063811704601</v>
      </c>
      <c r="AJ6476">
        <v>80.761150028563605</v>
      </c>
      <c r="AK6476">
        <v>28.251486411795099</v>
      </c>
      <c r="AL6476">
        <v>94.176444322755401</v>
      </c>
      <c r="AM6476">
        <v>89.717877559440396</v>
      </c>
      <c r="AN6476">
        <v>0.99999998753973196</v>
      </c>
    </row>
    <row r="6477" spans="1:40" x14ac:dyDescent="0.25">
      <c r="A6477" t="str">
        <f>"20190305135053896"</f>
        <v>20190305135053896</v>
      </c>
      <c r="B6477" t="str">
        <f>"1551765053886506"</f>
        <v>1551765053886506</v>
      </c>
      <c r="C6477" t="s">
        <v>40</v>
      </c>
      <c r="D6477">
        <v>3.9564349999999999</v>
      </c>
      <c r="E6477">
        <v>0.55897929999999996</v>
      </c>
      <c r="F6477" t="s">
        <v>43</v>
      </c>
      <c r="G6477">
        <v>-302.38959999999997</v>
      </c>
      <c r="H6477">
        <v>-0.05</v>
      </c>
      <c r="I6477">
        <v>12.533799999999999</v>
      </c>
      <c r="J6477">
        <v>-330.65410000000003</v>
      </c>
      <c r="K6477">
        <v>1.11144</v>
      </c>
      <c r="L6477">
        <v>17.111539999999898</v>
      </c>
      <c r="M6477">
        <v>0.99989320000000004</v>
      </c>
      <c r="N6477">
        <v>-1.4584150000000001E-2</v>
      </c>
      <c r="O6477">
        <v>1.022186E-3</v>
      </c>
      <c r="P6477">
        <v>0.99620200000000003</v>
      </c>
      <c r="Q6477">
        <v>-8.6968870000000004E-2</v>
      </c>
      <c r="R6477">
        <v>-4.289462E-3</v>
      </c>
      <c r="S6477">
        <v>2.998535</v>
      </c>
      <c r="T6477">
        <v>-0.12250510000000001</v>
      </c>
      <c r="U6477">
        <v>-0.48275760000000001</v>
      </c>
      <c r="V6477">
        <v>5.6025629999999996E-3</v>
      </c>
      <c r="W6477">
        <v>-7.2408710000000001E-2</v>
      </c>
      <c r="X6477">
        <v>0.99735929999999995</v>
      </c>
      <c r="Y6477">
        <v>0.15978249999999999</v>
      </c>
      <c r="Z6477">
        <v>-4.4417249999999997E-3</v>
      </c>
      <c r="AA6477">
        <v>0.98714230000000003</v>
      </c>
      <c r="AB6477">
        <v>34</v>
      </c>
      <c r="AC6477">
        <v>28.264500000000002</v>
      </c>
      <c r="AD6477">
        <v>-1.16144</v>
      </c>
      <c r="AE6477">
        <v>-4.5777399999999897</v>
      </c>
      <c r="AF6477">
        <v>4.5990650544182499</v>
      </c>
      <c r="AG6477">
        <v>-1.16144</v>
      </c>
      <c r="AH6477">
        <v>28.213383749927701</v>
      </c>
      <c r="AI6477">
        <v>92.326647890785196</v>
      </c>
      <c r="AJ6477">
        <v>80.741644262467503</v>
      </c>
      <c r="AK6477">
        <v>28.609357994702599</v>
      </c>
      <c r="AL6477">
        <v>94.152347396756795</v>
      </c>
      <c r="AM6477">
        <v>89.678150253388594</v>
      </c>
      <c r="AN6477">
        <v>0.99999999164626097</v>
      </c>
    </row>
    <row r="6478" spans="1:40" x14ac:dyDescent="0.25">
      <c r="A6478" t="str">
        <f>"20190305135053907"</f>
        <v>20190305135053907</v>
      </c>
      <c r="B6478" t="str">
        <f>"1551765053896266"</f>
        <v>1551765053896266</v>
      </c>
      <c r="C6478" t="s">
        <v>40</v>
      </c>
      <c r="D6478">
        <v>4.0733769999999998</v>
      </c>
      <c r="E6478">
        <v>0.55919249999999998</v>
      </c>
      <c r="F6478" t="s">
        <v>43</v>
      </c>
      <c r="G6478">
        <v>-301.97039999999998</v>
      </c>
      <c r="H6478">
        <v>-0.05</v>
      </c>
      <c r="I6478">
        <v>12.506740000000001</v>
      </c>
      <c r="J6478">
        <v>-330.47579999999999</v>
      </c>
      <c r="K6478">
        <v>1.111477</v>
      </c>
      <c r="L6478">
        <v>17.1127</v>
      </c>
      <c r="M6478">
        <v>0.99989130000000004</v>
      </c>
      <c r="N6478">
        <v>-1.4582289999999999E-2</v>
      </c>
      <c r="O6478">
        <v>2.1744160000000002E-3</v>
      </c>
      <c r="P6478">
        <v>0.99618700000000004</v>
      </c>
      <c r="Q6478">
        <v>-8.7153499999999995E-2</v>
      </c>
      <c r="R6478">
        <v>-3.9706430000000003E-3</v>
      </c>
      <c r="S6478">
        <v>2.9987789999999999</v>
      </c>
      <c r="T6478">
        <v>-0.1214244</v>
      </c>
      <c r="U6478">
        <v>-0.48141479999999998</v>
      </c>
      <c r="V6478">
        <v>6.4382099999999998E-3</v>
      </c>
      <c r="W6478">
        <v>-7.2591619999999996E-2</v>
      </c>
      <c r="X6478">
        <v>0.99734100000000003</v>
      </c>
      <c r="Y6478">
        <v>0.16047809999999901</v>
      </c>
      <c r="Z6478">
        <v>-4.4611859999999998E-3</v>
      </c>
      <c r="AA6478">
        <v>0.9870293</v>
      </c>
      <c r="AB6478">
        <v>34</v>
      </c>
      <c r="AC6478">
        <v>28.505400000000002</v>
      </c>
      <c r="AD6478">
        <v>-1.1614770000000001</v>
      </c>
      <c r="AE6478">
        <v>-4.6059599999999996</v>
      </c>
      <c r="AF6478">
        <v>4.6603978608458796</v>
      </c>
      <c r="AG6478">
        <v>-1.1614770000000001</v>
      </c>
      <c r="AH6478">
        <v>28.449285840430498</v>
      </c>
      <c r="AI6478">
        <v>92.307154637981</v>
      </c>
      <c r="AJ6478">
        <v>80.696766443028693</v>
      </c>
      <c r="AK6478">
        <v>28.8518665232152</v>
      </c>
      <c r="AL6478">
        <v>94.1628548512072</v>
      </c>
      <c r="AM6478">
        <v>89.630139403931807</v>
      </c>
      <c r="AN6478">
        <v>1.00000003206161</v>
      </c>
    </row>
    <row r="6479" spans="1:40" x14ac:dyDescent="0.25">
      <c r="A6479" t="str">
        <f>"20190305135053919"</f>
        <v>20190305135053919</v>
      </c>
      <c r="B6479" t="str">
        <f>"1551765053916761"</f>
        <v>1551765053916761</v>
      </c>
      <c r="C6479" t="s">
        <v>40</v>
      </c>
      <c r="D6479">
        <v>4.3768599999999998</v>
      </c>
      <c r="E6479">
        <v>0.5986494</v>
      </c>
      <c r="F6479" t="s">
        <v>43</v>
      </c>
      <c r="G6479">
        <v>-301.67570000000001</v>
      </c>
      <c r="H6479">
        <v>-0.05</v>
      </c>
      <c r="I6479">
        <v>12.482799999999999</v>
      </c>
      <c r="J6479">
        <v>-330.30939999999998</v>
      </c>
      <c r="K6479">
        <v>1.1114889999999999</v>
      </c>
      <c r="L6479">
        <v>17.114070000000002</v>
      </c>
      <c r="M6479">
        <v>0.99988840000000001</v>
      </c>
      <c r="N6479">
        <v>-1.4585209999999999E-2</v>
      </c>
      <c r="O6479">
        <v>3.2333539999999999E-3</v>
      </c>
      <c r="P6479">
        <v>0.99615229999999999</v>
      </c>
      <c r="Q6479">
        <v>-8.7541289999999994E-2</v>
      </c>
      <c r="R6479">
        <v>-4.1267250000000004E-3</v>
      </c>
      <c r="S6479">
        <v>2.998993</v>
      </c>
      <c r="T6479">
        <v>-0.120946</v>
      </c>
      <c r="U6479">
        <v>-0.48211670000000001</v>
      </c>
      <c r="V6479">
        <v>7.6535010000000001E-3</v>
      </c>
      <c r="W6479">
        <v>-7.297178E-2</v>
      </c>
      <c r="X6479">
        <v>0.99730459999999999</v>
      </c>
      <c r="Y6479">
        <v>0.16173689999999999</v>
      </c>
      <c r="Z6479">
        <v>-4.5096279999999999E-3</v>
      </c>
      <c r="AA6479">
        <v>0.98682360000000002</v>
      </c>
      <c r="AB6479">
        <v>34</v>
      </c>
      <c r="AC6479">
        <v>28.633699999999902</v>
      </c>
      <c r="AD6479">
        <v>-1.161489</v>
      </c>
      <c r="AE6479">
        <v>-4.6312699999999998</v>
      </c>
      <c r="AF6479">
        <v>4.7162761310486099</v>
      </c>
      <c r="AG6479">
        <v>-1.161489</v>
      </c>
      <c r="AH6479">
        <v>28.572758691119599</v>
      </c>
      <c r="AI6479">
        <v>92.296760640056405</v>
      </c>
      <c r="AJ6479">
        <v>80.627157849843599</v>
      </c>
      <c r="AK6479">
        <v>28.982664757788701</v>
      </c>
      <c r="AL6479">
        <v>94.1846946328142</v>
      </c>
      <c r="AM6479">
        <v>89.560310162382095</v>
      </c>
      <c r="AN6479">
        <v>0.99999996096754196</v>
      </c>
    </row>
    <row r="6480" spans="1:40" x14ac:dyDescent="0.25">
      <c r="A6480" t="str">
        <f>"20190305135053931"</f>
        <v>20190305135053931</v>
      </c>
      <c r="B6480" t="str">
        <f>"1551765053926522"</f>
        <v>1551765053926522</v>
      </c>
      <c r="C6480" t="s">
        <v>40</v>
      </c>
      <c r="D6480">
        <v>4.1566809999999998</v>
      </c>
      <c r="E6480">
        <v>0.61247050000000003</v>
      </c>
      <c r="F6480" t="s">
        <v>43</v>
      </c>
      <c r="G6480">
        <v>-315.44990000000001</v>
      </c>
      <c r="H6480">
        <v>-0.05</v>
      </c>
      <c r="I6480">
        <v>13.1412</v>
      </c>
      <c r="J6480">
        <v>-330.14670000000001</v>
      </c>
      <c r="K6480">
        <v>1.111497</v>
      </c>
      <c r="L6480">
        <v>17.115449999999999</v>
      </c>
      <c r="M6480">
        <v>0.99988449999999995</v>
      </c>
      <c r="N6480">
        <v>-1.4589710000000001E-2</v>
      </c>
      <c r="O6480">
        <v>4.2632119999999997E-3</v>
      </c>
      <c r="P6480">
        <v>0.99607270000000003</v>
      </c>
      <c r="Q6480">
        <v>-8.8417309999999999E-2</v>
      </c>
      <c r="R6480">
        <v>-4.6672179999999999E-3</v>
      </c>
      <c r="S6480">
        <v>2.9877009999999999</v>
      </c>
      <c r="T6480">
        <v>-0.2335323</v>
      </c>
      <c r="U6480">
        <v>-0.7987976</v>
      </c>
      <c r="V6480">
        <v>9.22509E-3</v>
      </c>
      <c r="W6480">
        <v>-7.3837680000000003E-2</v>
      </c>
      <c r="X6480">
        <v>0.99722759999999999</v>
      </c>
      <c r="Y6480">
        <v>0.26150630000000002</v>
      </c>
      <c r="Z6480">
        <v>-1.223928E-2</v>
      </c>
      <c r="AA6480">
        <v>0.96512419999999999</v>
      </c>
      <c r="AB6480">
        <v>34</v>
      </c>
      <c r="AC6480">
        <v>14.6967999999999</v>
      </c>
      <c r="AD6480">
        <v>-1.161497</v>
      </c>
      <c r="AE6480">
        <v>-3.9742500000000001</v>
      </c>
      <c r="AF6480">
        <v>4.0135165166668196</v>
      </c>
      <c r="AG6480">
        <v>-1.161497</v>
      </c>
      <c r="AH6480">
        <v>14.5947765391966</v>
      </c>
      <c r="AI6480">
        <v>94.387962976931703</v>
      </c>
      <c r="AJ6480">
        <v>74.623920405407503</v>
      </c>
      <c r="AK6480">
        <v>15.181070197441599</v>
      </c>
      <c r="AL6480">
        <v>94.234441109083505</v>
      </c>
      <c r="AM6480">
        <v>89.469986945742605</v>
      </c>
      <c r="AN6480">
        <v>0.99999999573752496</v>
      </c>
    </row>
    <row r="6481" spans="1:40" x14ac:dyDescent="0.25">
      <c r="A6481" t="str">
        <f>"20190305135053942"</f>
        <v>20190305135053942</v>
      </c>
      <c r="B6481" t="str">
        <f>"1551765053936282"</f>
        <v>1551765053936282</v>
      </c>
      <c r="C6481" t="s">
        <v>40</v>
      </c>
      <c r="D6481">
        <v>4.1610389999999997</v>
      </c>
      <c r="E6481">
        <v>0.62282760000000004</v>
      </c>
      <c r="F6481" t="s">
        <v>43</v>
      </c>
      <c r="G6481">
        <v>-315.39609999999999</v>
      </c>
      <c r="H6481">
        <v>-0.05</v>
      </c>
      <c r="I6481">
        <v>12.61844</v>
      </c>
      <c r="J6481">
        <v>-329.96980000000002</v>
      </c>
      <c r="K6481">
        <v>1.1114919999999999</v>
      </c>
      <c r="L6481">
        <v>17.117249999999999</v>
      </c>
      <c r="M6481">
        <v>0.99987910000000002</v>
      </c>
      <c r="N6481">
        <v>-1.461142E-2</v>
      </c>
      <c r="O6481">
        <v>5.3408529999999996E-3</v>
      </c>
      <c r="P6481">
        <v>0.99599219999999999</v>
      </c>
      <c r="Q6481">
        <v>-8.9286199999999996E-2</v>
      </c>
      <c r="R6481">
        <v>-5.2663279999999998E-3</v>
      </c>
      <c r="S6481">
        <v>2.986694</v>
      </c>
      <c r="T6481">
        <v>-0.2351791</v>
      </c>
      <c r="U6481">
        <v>-0.91055299999999995</v>
      </c>
      <c r="V6481">
        <v>1.089974E-2</v>
      </c>
      <c r="W6481">
        <v>-7.4679339999999997E-2</v>
      </c>
      <c r="X6481">
        <v>0.99714800000000003</v>
      </c>
      <c r="Y6481">
        <v>0.29570839999999998</v>
      </c>
      <c r="Z6481">
        <v>-1.391392E-2</v>
      </c>
      <c r="AA6481">
        <v>0.9551769</v>
      </c>
      <c r="AB6481">
        <v>33</v>
      </c>
      <c r="AC6481">
        <v>14.573700000000001</v>
      </c>
      <c r="AD6481">
        <v>-1.161492</v>
      </c>
      <c r="AE6481">
        <v>-4.49880999999999</v>
      </c>
      <c r="AF6481">
        <v>4.5502028882286201</v>
      </c>
      <c r="AG6481">
        <v>-1.161492</v>
      </c>
      <c r="AH6481">
        <v>14.4655742877022</v>
      </c>
      <c r="AI6481">
        <v>94.379940780758304</v>
      </c>
      <c r="AJ6481">
        <v>72.538827784345997</v>
      </c>
      <c r="AK6481">
        <v>15.2087556842478</v>
      </c>
      <c r="AL6481">
        <v>94.282798295219607</v>
      </c>
      <c r="AM6481">
        <v>89.373729648520793</v>
      </c>
      <c r="AN6481">
        <v>0.99999997102945104</v>
      </c>
    </row>
    <row r="6482" spans="1:40" x14ac:dyDescent="0.25">
      <c r="A6482" t="str">
        <f>"20190305135053953"</f>
        <v>20190305135053953</v>
      </c>
      <c r="B6482" t="str">
        <f>"1551765053946042"</f>
        <v>1551765053946042</v>
      </c>
      <c r="C6482" t="s">
        <v>40</v>
      </c>
      <c r="D6482">
        <v>4.1512289999999998</v>
      </c>
      <c r="E6482">
        <v>0.62904640000000001</v>
      </c>
      <c r="F6482" t="s">
        <v>43</v>
      </c>
      <c r="G6482">
        <v>-314.02780000000001</v>
      </c>
      <c r="H6482">
        <v>-0.05</v>
      </c>
      <c r="I6482">
        <v>11.80832</v>
      </c>
      <c r="J6482">
        <v>-329.803</v>
      </c>
      <c r="K6482">
        <v>1.1114850000000001</v>
      </c>
      <c r="L6482">
        <v>17.119019999999999</v>
      </c>
      <c r="M6482">
        <v>0.99987269999999995</v>
      </c>
      <c r="N6482">
        <v>-1.4644239999999999E-2</v>
      </c>
      <c r="O6482">
        <v>6.3386199999999997E-3</v>
      </c>
      <c r="P6482">
        <v>0.99590699999999999</v>
      </c>
      <c r="Q6482">
        <v>-9.0178949999999994E-2</v>
      </c>
      <c r="R6482">
        <v>-6.1008219999999997E-3</v>
      </c>
      <c r="S6482">
        <v>2.9873050000000001</v>
      </c>
      <c r="T6482">
        <v>-0.21764610000000001</v>
      </c>
      <c r="U6482">
        <v>-0.99481200000000003</v>
      </c>
      <c r="V6482">
        <v>1.272891E-2</v>
      </c>
      <c r="W6482">
        <v>-7.5533450000000002E-2</v>
      </c>
      <c r="X6482">
        <v>0.997062</v>
      </c>
      <c r="Y6482">
        <v>0.32101869999999999</v>
      </c>
      <c r="Z6482">
        <v>-1.4147750000000001E-2</v>
      </c>
      <c r="AA6482">
        <v>0.94696720000000001</v>
      </c>
      <c r="AB6482">
        <v>33</v>
      </c>
      <c r="AC6482">
        <v>15.7752</v>
      </c>
      <c r="AD6482">
        <v>-1.1614850000000001</v>
      </c>
      <c r="AE6482">
        <v>-5.3106999999999998</v>
      </c>
      <c r="AF6482">
        <v>5.3843796869562199</v>
      </c>
      <c r="AG6482">
        <v>-1.1614850000000001</v>
      </c>
      <c r="AH6482">
        <v>15.6649420383196</v>
      </c>
      <c r="AI6482">
        <v>94.010958937362801</v>
      </c>
      <c r="AJ6482">
        <v>71.031045007895202</v>
      </c>
      <c r="AK6482">
        <v>16.6051498361937</v>
      </c>
      <c r="AL6482">
        <v>94.331873772025205</v>
      </c>
      <c r="AM6482">
        <v>89.268577878611495</v>
      </c>
      <c r="AN6482">
        <v>0.99999997953134501</v>
      </c>
    </row>
    <row r="6483" spans="1:40" x14ac:dyDescent="0.25">
      <c r="A6483" t="str">
        <f>"20190305135053963"</f>
        <v>20190305135053963</v>
      </c>
      <c r="B6483" t="str">
        <f>"1551765053956778"</f>
        <v>1551765053956778</v>
      </c>
      <c r="C6483" t="s">
        <v>40</v>
      </c>
      <c r="D6483">
        <v>4.1047379999999896</v>
      </c>
      <c r="E6483">
        <v>0.63283389999999995</v>
      </c>
      <c r="F6483" t="s">
        <v>43</v>
      </c>
      <c r="G6483">
        <v>-312.53579999999999</v>
      </c>
      <c r="H6483">
        <v>-0.05</v>
      </c>
      <c r="I6483">
        <v>11.070449999999999</v>
      </c>
      <c r="J6483">
        <v>-329.64120000000003</v>
      </c>
      <c r="K6483">
        <v>1.1114740000000001</v>
      </c>
      <c r="L6483">
        <v>17.120940000000001</v>
      </c>
      <c r="M6483">
        <v>0.99986569999999997</v>
      </c>
      <c r="N6483">
        <v>-1.469987E-2</v>
      </c>
      <c r="O6483">
        <v>7.2704469999999898E-3</v>
      </c>
      <c r="P6483">
        <v>0.99581370000000002</v>
      </c>
      <c r="Q6483">
        <v>-9.1141429999999996E-2</v>
      </c>
      <c r="R6483">
        <v>-6.9697049999999997E-3</v>
      </c>
      <c r="S6483">
        <v>2.9877009999999999</v>
      </c>
      <c r="T6483">
        <v>-0.2009696</v>
      </c>
      <c r="U6483">
        <v>-1.04657</v>
      </c>
      <c r="V6483">
        <v>1.45249E-2</v>
      </c>
      <c r="W6483">
        <v>-7.6435279999999994E-2</v>
      </c>
      <c r="X6483">
        <v>0.99696870000000004</v>
      </c>
      <c r="Y6483">
        <v>0.33660030000000002</v>
      </c>
      <c r="Z6483">
        <v>-1.390164E-2</v>
      </c>
      <c r="AA6483">
        <v>0.94154499999999997</v>
      </c>
      <c r="AB6483">
        <v>33</v>
      </c>
      <c r="AC6483">
        <v>17.105399999999999</v>
      </c>
      <c r="AD6483">
        <v>-1.1614739999999999</v>
      </c>
      <c r="AE6483">
        <v>-6.0504899999999999</v>
      </c>
      <c r="AF6483">
        <v>6.14950767137009</v>
      </c>
      <c r="AG6483">
        <v>-1.1614739999999999</v>
      </c>
      <c r="AH6483">
        <v>16.9913255566365</v>
      </c>
      <c r="AI6483">
        <v>93.677724114803695</v>
      </c>
      <c r="AJ6483">
        <v>70.103775453171295</v>
      </c>
      <c r="AK6483">
        <v>18.1071977573705</v>
      </c>
      <c r="AL6483">
        <v>94.383694741373802</v>
      </c>
      <c r="AM6483">
        <v>89.165313219969804</v>
      </c>
      <c r="AN6483">
        <v>0.99999995676418796</v>
      </c>
    </row>
    <row r="6484" spans="1:40" x14ac:dyDescent="0.25">
      <c r="A6484" t="str">
        <f>"20190305135053982"</f>
        <v>20190305135053982</v>
      </c>
      <c r="B6484" t="str">
        <f>"1551765053976298"</f>
        <v>1551765053976298</v>
      </c>
      <c r="C6484" t="s">
        <v>40</v>
      </c>
      <c r="D6484">
        <v>4.131475</v>
      </c>
      <c r="E6484">
        <v>0.63699410000000001</v>
      </c>
      <c r="F6484" t="s">
        <v>43</v>
      </c>
      <c r="G6484">
        <v>-312.10019999999997</v>
      </c>
      <c r="H6484">
        <v>-0.05</v>
      </c>
      <c r="I6484">
        <v>10.78224</v>
      </c>
      <c r="J6484">
        <v>-329.38600000000002</v>
      </c>
      <c r="K6484">
        <v>1.1114470000000001</v>
      </c>
      <c r="L6484">
        <v>17.124210000000001</v>
      </c>
      <c r="M6484">
        <v>0.99985250000000003</v>
      </c>
      <c r="N6484">
        <v>-1.4831520000000001E-2</v>
      </c>
      <c r="O6484">
        <v>8.6654309999999995E-3</v>
      </c>
      <c r="P6484">
        <v>0.99571860000000001</v>
      </c>
      <c r="Q6484">
        <v>-9.2161090000000001E-2</v>
      </c>
      <c r="R6484">
        <v>-7.1380910000000001E-3</v>
      </c>
      <c r="S6484">
        <v>2.9869379999999999</v>
      </c>
      <c r="T6484">
        <v>-0.19777980000000001</v>
      </c>
      <c r="U6484">
        <v>-1.0793759999999999</v>
      </c>
      <c r="V6484">
        <v>1.607515E-2</v>
      </c>
      <c r="W6484">
        <v>-7.7321000000000001E-2</v>
      </c>
      <c r="X6484">
        <v>0.99687669999999995</v>
      </c>
      <c r="Y6484">
        <v>0.34714410000000001</v>
      </c>
      <c r="Z6484">
        <v>-1.421737E-2</v>
      </c>
      <c r="AA6484">
        <v>0.93770399999999998</v>
      </c>
      <c r="AB6484">
        <v>33</v>
      </c>
      <c r="AC6484">
        <v>17.285799999999899</v>
      </c>
      <c r="AD6484">
        <v>-1.1614469999999999</v>
      </c>
      <c r="AE6484">
        <v>-6.3419699999999999</v>
      </c>
      <c r="AF6484">
        <v>6.46580974321631</v>
      </c>
      <c r="AG6484">
        <v>-1.1614469999999999</v>
      </c>
      <c r="AH6484">
        <v>17.1619016645786</v>
      </c>
      <c r="AI6484">
        <v>93.623720855806894</v>
      </c>
      <c r="AJ6484">
        <v>69.355914506868302</v>
      </c>
      <c r="AK6484">
        <v>18.376248896713001</v>
      </c>
      <c r="AL6484">
        <v>94.434592978037898</v>
      </c>
      <c r="AM6484">
        <v>89.076156129154697</v>
      </c>
      <c r="AN6484">
        <v>1.0000000512456999</v>
      </c>
    </row>
    <row r="6485" spans="1:40" x14ac:dyDescent="0.25">
      <c r="A6485" t="str">
        <f>"20190305135053993"</f>
        <v>20190305135053993</v>
      </c>
      <c r="B6485" t="str">
        <f>"1551765053986058"</f>
        <v>1551765053986058</v>
      </c>
      <c r="C6485" t="s">
        <v>40</v>
      </c>
      <c r="D6485">
        <v>4.131799</v>
      </c>
      <c r="E6485">
        <v>0.63857559999999902</v>
      </c>
      <c r="F6485" t="s">
        <v>43</v>
      </c>
      <c r="G6485">
        <v>-311.72829999999999</v>
      </c>
      <c r="H6485">
        <v>-0.05</v>
      </c>
      <c r="I6485">
        <v>10.54477</v>
      </c>
      <c r="J6485">
        <v>-329.20979999999997</v>
      </c>
      <c r="K6485">
        <v>1.111423</v>
      </c>
      <c r="L6485">
        <v>17.12659</v>
      </c>
      <c r="M6485">
        <v>0.99984229999999996</v>
      </c>
      <c r="N6485">
        <v>-1.495168E-2</v>
      </c>
      <c r="O6485">
        <v>9.5760010000000007E-3</v>
      </c>
      <c r="P6485">
        <v>0.9956353</v>
      </c>
      <c r="Q6485">
        <v>-9.3010229999999999E-2</v>
      </c>
      <c r="R6485">
        <v>-7.7217010000000001E-3</v>
      </c>
      <c r="S6485">
        <v>2.9867249999999999</v>
      </c>
      <c r="T6485">
        <v>-0.19645399999999999</v>
      </c>
      <c r="U6485">
        <v>-1.1128849999999999</v>
      </c>
      <c r="V6485">
        <v>1.755808E-2</v>
      </c>
      <c r="W6485">
        <v>-7.8048000000000006E-2</v>
      </c>
      <c r="X6485">
        <v>0.99679499999999999</v>
      </c>
      <c r="Y6485">
        <v>0.35725689999999999</v>
      </c>
      <c r="Z6485">
        <v>-1.4588149999999999E-2</v>
      </c>
      <c r="AA6485">
        <v>0.93389230000000001</v>
      </c>
      <c r="AB6485">
        <v>33</v>
      </c>
      <c r="AC6485">
        <v>17.481499999999901</v>
      </c>
      <c r="AD6485">
        <v>-1.1614229999999901</v>
      </c>
      <c r="AE6485">
        <v>-6.5818199999999996</v>
      </c>
      <c r="AF6485">
        <v>6.7229494629366799</v>
      </c>
      <c r="AG6485">
        <v>-1.1614229999999901</v>
      </c>
      <c r="AH6485">
        <v>17.350588014569698</v>
      </c>
      <c r="AI6485">
        <v>93.571583470872397</v>
      </c>
      <c r="AJ6485">
        <v>68.819808698338093</v>
      </c>
      <c r="AK6485">
        <v>18.6437618874909</v>
      </c>
      <c r="AL6485">
        <v>94.476373389952997</v>
      </c>
      <c r="AM6485">
        <v>88.990865870283997</v>
      </c>
      <c r="AN6485">
        <v>1.00000002425114</v>
      </c>
    </row>
    <row r="6486" spans="1:40" x14ac:dyDescent="0.25">
      <c r="A6486" t="str">
        <f>"20190305135054006"</f>
        <v>20190305135054006</v>
      </c>
      <c r="B6486" t="str">
        <f>"1551765053996793"</f>
        <v>1551765053996793</v>
      </c>
      <c r="C6486" t="s">
        <v>40</v>
      </c>
      <c r="D6486">
        <v>4.1289199999999999</v>
      </c>
      <c r="E6486">
        <v>0.63993029999999995</v>
      </c>
      <c r="F6486" t="s">
        <v>43</v>
      </c>
      <c r="G6486">
        <v>-311.05860000000001</v>
      </c>
      <c r="H6486">
        <v>-0.05</v>
      </c>
      <c r="I6486">
        <v>10.2766</v>
      </c>
      <c r="J6486">
        <v>-329.01760000000002</v>
      </c>
      <c r="K6486">
        <v>1.1113900000000001</v>
      </c>
      <c r="L6486">
        <v>17.12933</v>
      </c>
      <c r="M6486">
        <v>0.99983069999999996</v>
      </c>
      <c r="N6486">
        <v>-1.511997E-2</v>
      </c>
      <c r="O6486">
        <v>1.0497070000000001E-2</v>
      </c>
      <c r="P6486">
        <v>0.99557779999999996</v>
      </c>
      <c r="Q6486">
        <v>-9.3584139999999996E-2</v>
      </c>
      <c r="R6486">
        <v>-8.1909349999999999E-3</v>
      </c>
      <c r="S6486">
        <v>2.986542</v>
      </c>
      <c r="T6486">
        <v>-0.1910965</v>
      </c>
      <c r="U6486">
        <v>-1.127075</v>
      </c>
      <c r="V6486">
        <v>1.8931980000000001E-2</v>
      </c>
      <c r="W6486">
        <v>-7.8453090000000003E-2</v>
      </c>
      <c r="X6486">
        <v>0.99673800000000001</v>
      </c>
      <c r="Y6486">
        <v>0.36205080000000001</v>
      </c>
      <c r="Z6486">
        <v>-1.451451E-2</v>
      </c>
      <c r="AA6486">
        <v>0.93204540000000002</v>
      </c>
      <c r="AB6486">
        <v>33</v>
      </c>
      <c r="AC6486">
        <v>17.959</v>
      </c>
      <c r="AD6486">
        <v>-1.1613899999999999</v>
      </c>
      <c r="AE6486">
        <v>-6.8527299999999904</v>
      </c>
      <c r="AF6486">
        <v>7.0152811126255203</v>
      </c>
      <c r="AG6486">
        <v>-1.1613899999999999</v>
      </c>
      <c r="AH6486">
        <v>17.8210119582453</v>
      </c>
      <c r="AI6486">
        <v>93.4701879684213</v>
      </c>
      <c r="AJ6486">
        <v>68.512809974698797</v>
      </c>
      <c r="AK6486">
        <v>19.187273465429602</v>
      </c>
      <c r="AL6486">
        <v>94.499654950779004</v>
      </c>
      <c r="AM6486">
        <v>88.911858346878304</v>
      </c>
      <c r="AN6486">
        <v>0.999999973920633</v>
      </c>
    </row>
    <row r="6487" spans="1:40" x14ac:dyDescent="0.25">
      <c r="A6487" t="str">
        <f>"20190305135054022"</f>
        <v>20190305135054022</v>
      </c>
      <c r="B6487" t="str">
        <f>"1551765054016314"</f>
        <v>1551765054016314</v>
      </c>
      <c r="C6487" t="s">
        <v>40</v>
      </c>
      <c r="D6487">
        <v>4.1002939999999999</v>
      </c>
      <c r="E6487">
        <v>0.64192130000000003</v>
      </c>
      <c r="F6487" t="s">
        <v>43</v>
      </c>
      <c r="G6487">
        <v>-310.39589999999998</v>
      </c>
      <c r="H6487">
        <v>-0.05</v>
      </c>
      <c r="I6487">
        <v>10.026400000000001</v>
      </c>
      <c r="J6487">
        <v>-328.80520000000001</v>
      </c>
      <c r="K6487">
        <v>1.1113500000000001</v>
      </c>
      <c r="L6487">
        <v>17.132539999999999</v>
      </c>
      <c r="M6487">
        <v>0.99981699999999996</v>
      </c>
      <c r="N6487">
        <v>-1.53559E-2</v>
      </c>
      <c r="O6487">
        <v>1.1414580000000001E-2</v>
      </c>
      <c r="P6487">
        <v>0.99554379999999998</v>
      </c>
      <c r="Q6487">
        <v>-9.3720999999999999E-2</v>
      </c>
      <c r="R6487">
        <v>-1.0445879999999999E-2</v>
      </c>
      <c r="S6487">
        <v>2.98645</v>
      </c>
      <c r="T6487">
        <v>-0.18625739999999999</v>
      </c>
      <c r="U6487">
        <v>-1.13913</v>
      </c>
      <c r="V6487">
        <v>2.2081650000000001E-2</v>
      </c>
      <c r="W6487">
        <v>-7.8349340000000003E-2</v>
      </c>
      <c r="X6487">
        <v>0.99668140000000005</v>
      </c>
      <c r="Y6487">
        <v>0.3662263</v>
      </c>
      <c r="Z6487">
        <v>-1.445186E-2</v>
      </c>
      <c r="AA6487">
        <v>0.93041359999999995</v>
      </c>
      <c r="AB6487">
        <v>33</v>
      </c>
      <c r="AC6487">
        <v>18.409300000000002</v>
      </c>
      <c r="AD6487">
        <v>-1.1613500000000001</v>
      </c>
      <c r="AE6487">
        <v>-7.1061399999999901</v>
      </c>
      <c r="AF6487">
        <v>7.2905842842750301</v>
      </c>
      <c r="AG6487">
        <v>-1.1613500000000001</v>
      </c>
      <c r="AH6487">
        <v>18.2637185539695</v>
      </c>
      <c r="AI6487">
        <v>93.379757479059194</v>
      </c>
      <c r="AJ6487">
        <v>68.238906314071599</v>
      </c>
      <c r="AK6487">
        <v>19.699359594850499</v>
      </c>
      <c r="AL6487">
        <v>94.493691971107495</v>
      </c>
      <c r="AM6487">
        <v>88.730809660454199</v>
      </c>
      <c r="AN6487">
        <v>1.00000001572555</v>
      </c>
    </row>
    <row r="6488" spans="1:40" x14ac:dyDescent="0.25">
      <c r="A6488" t="str">
        <f>"20190305135054034"</f>
        <v>20190305135054034</v>
      </c>
      <c r="B6488" t="str">
        <f>"1551765054026073"</f>
        <v>1551765054026073</v>
      </c>
      <c r="C6488" t="s">
        <v>40</v>
      </c>
      <c r="D6488">
        <v>4.1170280000000004</v>
      </c>
      <c r="E6488">
        <v>0.64292669999999996</v>
      </c>
      <c r="F6488" t="s">
        <v>43</v>
      </c>
      <c r="G6488">
        <v>-309.34289999999999</v>
      </c>
      <c r="H6488">
        <v>-0.05</v>
      </c>
      <c r="I6488">
        <v>9.5577699999999997</v>
      </c>
      <c r="J6488">
        <v>-328.60849999999999</v>
      </c>
      <c r="K6488">
        <v>1.111305</v>
      </c>
      <c r="L6488">
        <v>17.135560000000002</v>
      </c>
      <c r="M6488">
        <v>0.99980409999999997</v>
      </c>
      <c r="N6488">
        <v>-1.560389E-2</v>
      </c>
      <c r="O6488">
        <v>1.218778E-2</v>
      </c>
      <c r="P6488">
        <v>0.99555850000000001</v>
      </c>
      <c r="Q6488">
        <v>-9.3457819999999997E-2</v>
      </c>
      <c r="R6488">
        <v>-1.1368970000000001E-2</v>
      </c>
      <c r="S6488">
        <v>2.984467</v>
      </c>
      <c r="T6488">
        <v>-0.17808850000000001</v>
      </c>
      <c r="U6488">
        <v>-1.1615599999999999</v>
      </c>
      <c r="V6488">
        <v>2.3754210000000001E-2</v>
      </c>
      <c r="W6488">
        <v>-7.7839060000000002E-2</v>
      </c>
      <c r="X6488">
        <v>0.99668290000000004</v>
      </c>
      <c r="Y6488">
        <v>0.37327490000000002</v>
      </c>
      <c r="Z6488">
        <v>-1.4272079999999999E-2</v>
      </c>
      <c r="AA6488">
        <v>0.92761099999999996</v>
      </c>
      <c r="AB6488">
        <v>33</v>
      </c>
      <c r="AC6488">
        <v>19.265599999999999</v>
      </c>
      <c r="AD6488">
        <v>-1.161305</v>
      </c>
      <c r="AE6488">
        <v>-7.5777900000000002</v>
      </c>
      <c r="AF6488">
        <v>7.7875554407620697</v>
      </c>
      <c r="AG6488">
        <v>-1.161305</v>
      </c>
      <c r="AH6488">
        <v>19.111662519427899</v>
      </c>
      <c r="AI6488">
        <v>93.220746072430103</v>
      </c>
      <c r="AJ6488">
        <v>67.830253711717504</v>
      </c>
      <c r="AK6488">
        <v>20.670033703467201</v>
      </c>
      <c r="AL6488">
        <v>94.464365621536004</v>
      </c>
      <c r="AM6488">
        <v>88.634712836357394</v>
      </c>
      <c r="AN6488">
        <v>0.99999999245340798</v>
      </c>
    </row>
    <row r="6489" spans="1:40" x14ac:dyDescent="0.25">
      <c r="A6489" t="str">
        <f>"20190305135054045"</f>
        <v>20190305135054045</v>
      </c>
      <c r="B6489" t="str">
        <f>"1551765054035834"</f>
        <v>1551765054035834</v>
      </c>
      <c r="C6489" t="s">
        <v>40</v>
      </c>
      <c r="D6489">
        <v>4.15726</v>
      </c>
      <c r="E6489">
        <v>0.64384039999999998</v>
      </c>
      <c r="F6489" t="s">
        <v>43</v>
      </c>
      <c r="G6489">
        <v>-308.5204</v>
      </c>
      <c r="H6489">
        <v>-0.05</v>
      </c>
      <c r="I6489">
        <v>9.2436070000000008</v>
      </c>
      <c r="J6489">
        <v>-328.4316</v>
      </c>
      <c r="K6489">
        <v>1.111256</v>
      </c>
      <c r="L6489">
        <v>17.138369999999998</v>
      </c>
      <c r="M6489">
        <v>0.99979249999999997</v>
      </c>
      <c r="N6489">
        <v>-1.5855069999999999E-2</v>
      </c>
      <c r="O6489">
        <v>1.279604E-2</v>
      </c>
      <c r="P6489">
        <v>0.99557640000000003</v>
      </c>
      <c r="Q6489">
        <v>-9.3091610000000005E-2</v>
      </c>
      <c r="R6489">
        <v>-1.271721E-2</v>
      </c>
      <c r="S6489">
        <v>2.9837950000000002</v>
      </c>
      <c r="T6489">
        <v>-0.17249579999999901</v>
      </c>
      <c r="U6489">
        <v>-1.1722410000000001</v>
      </c>
      <c r="V6489">
        <v>2.568691E-2</v>
      </c>
      <c r="W6489">
        <v>-7.7222789999999999E-2</v>
      </c>
      <c r="X6489">
        <v>0.99668290000000004</v>
      </c>
      <c r="Y6489">
        <v>0.37681969999999998</v>
      </c>
      <c r="Z6489">
        <v>-1.410875E-2</v>
      </c>
      <c r="AA6489">
        <v>0.92617919999999998</v>
      </c>
      <c r="AB6489">
        <v>33</v>
      </c>
      <c r="AC6489">
        <v>19.911200000000001</v>
      </c>
      <c r="AD6489">
        <v>-1.1612559999999901</v>
      </c>
      <c r="AE6489">
        <v>-7.8947630000000002</v>
      </c>
      <c r="AF6489">
        <v>8.1250507811603594</v>
      </c>
      <c r="AG6489">
        <v>-1.1612559999999901</v>
      </c>
      <c r="AH6489">
        <v>19.750481812902901</v>
      </c>
      <c r="AI6489">
        <v>93.112390338586806</v>
      </c>
      <c r="AJ6489">
        <v>67.638471994961094</v>
      </c>
      <c r="AK6489">
        <v>21.387998913778201</v>
      </c>
      <c r="AL6489">
        <v>94.428949357156995</v>
      </c>
      <c r="AM6489">
        <v>88.523677081638397</v>
      </c>
      <c r="AN6489">
        <v>0.99999998989657102</v>
      </c>
    </row>
    <row r="6490" spans="1:40" x14ac:dyDescent="0.25">
      <c r="A6490" t="str">
        <f>"20190305135054056"</f>
        <v>20190305135054056</v>
      </c>
      <c r="B6490" t="str">
        <f>"1551765054046570"</f>
        <v>1551765054046570</v>
      </c>
      <c r="C6490" t="s">
        <v>40</v>
      </c>
      <c r="D6490">
        <v>4.1057620000000004</v>
      </c>
      <c r="E6490">
        <v>0.6446634</v>
      </c>
      <c r="F6490" t="s">
        <v>43</v>
      </c>
      <c r="G6490">
        <v>-307.7758</v>
      </c>
      <c r="H6490">
        <v>-0.05</v>
      </c>
      <c r="I6490">
        <v>8.9417570000000008</v>
      </c>
      <c r="J6490">
        <v>-328.27640000000002</v>
      </c>
      <c r="K6490">
        <v>1.111205</v>
      </c>
      <c r="L6490">
        <v>17.14087</v>
      </c>
      <c r="M6490">
        <v>0.99978290000000003</v>
      </c>
      <c r="N6490">
        <v>-1.6087110000000002E-2</v>
      </c>
      <c r="O6490">
        <v>1.32471E-2</v>
      </c>
      <c r="P6490">
        <v>0.99558369999999996</v>
      </c>
      <c r="Q6490">
        <v>-9.2786679999999996E-2</v>
      </c>
      <c r="R6490">
        <v>-1.4275319999999999E-2</v>
      </c>
      <c r="S6490">
        <v>2.9825439999999999</v>
      </c>
      <c r="T6490">
        <v>-0.1676772</v>
      </c>
      <c r="U6490">
        <v>-1.1835329999999999</v>
      </c>
      <c r="V6490">
        <v>2.7674509999999999E-2</v>
      </c>
      <c r="W6490">
        <v>-7.6687619999999998E-2</v>
      </c>
      <c r="X6490">
        <v>0.99667099999999997</v>
      </c>
      <c r="Y6490">
        <v>0.38042680000000001</v>
      </c>
      <c r="Z6490">
        <v>-1.39828E-2</v>
      </c>
      <c r="AA6490">
        <v>0.92470529999999995</v>
      </c>
      <c r="AB6490">
        <v>33</v>
      </c>
      <c r="AC6490">
        <v>20.500599999999999</v>
      </c>
      <c r="AD6490">
        <v>-1.1612049999999901</v>
      </c>
      <c r="AE6490">
        <v>-8.1991129999999899</v>
      </c>
      <c r="AF6490">
        <v>8.4466390807118703</v>
      </c>
      <c r="AG6490">
        <v>-1.1612049999999901</v>
      </c>
      <c r="AH6490">
        <v>20.333929677447401</v>
      </c>
      <c r="AI6490">
        <v>93.018850635336506</v>
      </c>
      <c r="AJ6490">
        <v>67.442182577366694</v>
      </c>
      <c r="AK6490">
        <v>22.049099866870101</v>
      </c>
      <c r="AL6490">
        <v>94.398195235863398</v>
      </c>
      <c r="AM6490">
        <v>88.409479856265904</v>
      </c>
      <c r="AN6490">
        <v>0.99999997590300105</v>
      </c>
    </row>
    <row r="6491" spans="1:40" x14ac:dyDescent="0.25">
      <c r="A6491" t="str">
        <f>"20190305135054067"</f>
        <v>20190305135054067</v>
      </c>
      <c r="B6491" t="str">
        <f>"1551765054056330"</f>
        <v>1551765054056330</v>
      </c>
      <c r="C6491" t="s">
        <v>40</v>
      </c>
      <c r="D6491">
        <v>4.1163230000000004</v>
      </c>
      <c r="E6491">
        <v>0.64531269999999996</v>
      </c>
      <c r="F6491" t="s">
        <v>43</v>
      </c>
      <c r="G6491">
        <v>-306.65440000000001</v>
      </c>
      <c r="H6491">
        <v>-0.05</v>
      </c>
      <c r="I6491">
        <v>8.4767759999999992</v>
      </c>
      <c r="J6491">
        <v>-328.125</v>
      </c>
      <c r="K6491">
        <v>1.1111489999999999</v>
      </c>
      <c r="L6491">
        <v>17.143279999999901</v>
      </c>
      <c r="M6491">
        <v>0.99977369999999999</v>
      </c>
      <c r="N6491">
        <v>-1.6319219999999999E-2</v>
      </c>
      <c r="O6491">
        <v>1.364722E-2</v>
      </c>
      <c r="P6491">
        <v>0.99559350000000002</v>
      </c>
      <c r="Q6491">
        <v>-9.2513769999999995E-2</v>
      </c>
      <c r="R6491">
        <v>-1.533581E-2</v>
      </c>
      <c r="S6491">
        <v>2.9812620000000001</v>
      </c>
      <c r="T6491">
        <v>-0.16010769999999999</v>
      </c>
      <c r="U6491">
        <v>-1.1946110000000001</v>
      </c>
      <c r="V6491">
        <v>2.9113409999999999E-2</v>
      </c>
      <c r="W6491">
        <v>-7.6186669999999998E-2</v>
      </c>
      <c r="X6491">
        <v>0.99666849999999996</v>
      </c>
      <c r="Y6491">
        <v>0.38394129999999999</v>
      </c>
      <c r="Z6491">
        <v>-1.3663389999999999E-2</v>
      </c>
      <c r="AA6491">
        <v>0.92325639999999998</v>
      </c>
      <c r="AB6491">
        <v>33</v>
      </c>
      <c r="AC6491">
        <v>21.470599999999902</v>
      </c>
      <c r="AD6491">
        <v>-1.161149</v>
      </c>
      <c r="AE6491">
        <v>-8.6665039999999909</v>
      </c>
      <c r="AF6491">
        <v>8.9362751834125103</v>
      </c>
      <c r="AG6491">
        <v>-1.161149</v>
      </c>
      <c r="AH6491">
        <v>21.296749666755801</v>
      </c>
      <c r="AI6491">
        <v>92.878160976204896</v>
      </c>
      <c r="AJ6491">
        <v>67.236715006167799</v>
      </c>
      <c r="AK6491">
        <v>23.124809783484402</v>
      </c>
      <c r="AL6491">
        <v>94.369408375774697</v>
      </c>
      <c r="AM6491">
        <v>88.326824490456801</v>
      </c>
      <c r="AN6491">
        <v>1.0000000491098799</v>
      </c>
    </row>
    <row r="6492" spans="1:40" x14ac:dyDescent="0.25">
      <c r="A6492" t="str">
        <f>"20190305135054077"</f>
        <v>20190305135054077</v>
      </c>
      <c r="B6492" t="str">
        <f>"1551765054066090"</f>
        <v>1551765054066090</v>
      </c>
      <c r="C6492" t="s">
        <v>40</v>
      </c>
      <c r="D6492">
        <v>4.1247569999999998</v>
      </c>
      <c r="E6492">
        <v>0.64608750000000004</v>
      </c>
      <c r="F6492" t="s">
        <v>43</v>
      </c>
      <c r="G6492">
        <v>-305.62490000000003</v>
      </c>
      <c r="H6492">
        <v>-0.05</v>
      </c>
      <c r="I6492">
        <v>8.0625</v>
      </c>
      <c r="J6492">
        <v>-327.9744</v>
      </c>
      <c r="K6492">
        <v>1.111075</v>
      </c>
      <c r="L6492">
        <v>17.14575</v>
      </c>
      <c r="M6492">
        <v>0.99976589999999999</v>
      </c>
      <c r="N6492">
        <v>-1.6550019999999999E-2</v>
      </c>
      <c r="O6492">
        <v>1.395011E-2</v>
      </c>
      <c r="P6492">
        <v>0.99553550000000002</v>
      </c>
      <c r="Q6492">
        <v>-9.2904109999999998E-2</v>
      </c>
      <c r="R6492">
        <v>-1.6681890000000001E-2</v>
      </c>
      <c r="S6492">
        <v>2.9804689999999998</v>
      </c>
      <c r="T6492">
        <v>-0.153811</v>
      </c>
      <c r="U6492">
        <v>-1.2028810000000001</v>
      </c>
      <c r="V6492">
        <v>3.0740940000000001E-2</v>
      </c>
      <c r="W6492">
        <v>-7.6352100000000006E-2</v>
      </c>
      <c r="X6492">
        <v>0.99660689999999996</v>
      </c>
      <c r="Y6492">
        <v>0.38654739999999999</v>
      </c>
      <c r="Z6492">
        <v>-1.338525E-2</v>
      </c>
      <c r="AA6492">
        <v>0.9221724</v>
      </c>
      <c r="AB6492">
        <v>33</v>
      </c>
      <c r="AC6492">
        <v>22.3494999999999</v>
      </c>
      <c r="AD6492">
        <v>-1.1610750000000001</v>
      </c>
      <c r="AE6492">
        <v>-9.0832499999999996</v>
      </c>
      <c r="AF6492">
        <v>9.3724771252677801</v>
      </c>
      <c r="AG6492">
        <v>-1.1610750000000001</v>
      </c>
      <c r="AH6492">
        <v>22.1692445053481</v>
      </c>
      <c r="AI6492">
        <v>92.761770510674395</v>
      </c>
      <c r="AJ6492">
        <v>67.082848315662503</v>
      </c>
      <c r="AK6492">
        <v>24.097029372045</v>
      </c>
      <c r="AL6492">
        <v>94.378914804616301</v>
      </c>
      <c r="AM6492">
        <v>88.233237364029506</v>
      </c>
      <c r="AN6492">
        <v>0.999999980847051</v>
      </c>
    </row>
    <row r="6493" spans="1:40" x14ac:dyDescent="0.25">
      <c r="A6493" t="str">
        <f>"20190305135054087"</f>
        <v>20190305135054087</v>
      </c>
      <c r="B6493" t="str">
        <f>"1551765054076825"</f>
        <v>1551765054076825</v>
      </c>
      <c r="C6493" t="s">
        <v>40</v>
      </c>
      <c r="D6493">
        <v>4.1376569999999999</v>
      </c>
      <c r="E6493">
        <v>0.6464704</v>
      </c>
      <c r="F6493" t="s">
        <v>43</v>
      </c>
      <c r="G6493">
        <v>-305.17099999999999</v>
      </c>
      <c r="H6493">
        <v>-0.05</v>
      </c>
      <c r="I6493">
        <v>7.8595889999999997</v>
      </c>
      <c r="J6493">
        <v>-327.82429999999999</v>
      </c>
      <c r="K6493">
        <v>1.111005</v>
      </c>
      <c r="L6493">
        <v>17.148160000000001</v>
      </c>
      <c r="M6493">
        <v>0.99975809999999998</v>
      </c>
      <c r="N6493">
        <v>-1.6780170000000001E-2</v>
      </c>
      <c r="O6493">
        <v>1.42212E-2</v>
      </c>
      <c r="P6493">
        <v>0.99548590000000003</v>
      </c>
      <c r="Q6493">
        <v>-9.3249310000000002E-2</v>
      </c>
      <c r="R6493">
        <v>-1.768045E-2</v>
      </c>
      <c r="S6493">
        <v>2.9789430000000001</v>
      </c>
      <c r="T6493">
        <v>-0.15167800000000001</v>
      </c>
      <c r="U6493">
        <v>-1.213104</v>
      </c>
      <c r="V6493">
        <v>3.1988759999999998E-2</v>
      </c>
      <c r="W6493">
        <v>-7.6474589999999995E-2</v>
      </c>
      <c r="X6493">
        <v>0.99655819999999995</v>
      </c>
      <c r="Y6493">
        <v>0.38968469999999999</v>
      </c>
      <c r="Z6493">
        <v>-1.3399619999999999E-2</v>
      </c>
      <c r="AA6493">
        <v>0.92085079999999997</v>
      </c>
      <c r="AB6493">
        <v>33</v>
      </c>
      <c r="AC6493">
        <v>22.653300000000002</v>
      </c>
      <c r="AD6493">
        <v>-1.1610049999999901</v>
      </c>
      <c r="AE6493">
        <v>-9.2885709999999992</v>
      </c>
      <c r="AF6493">
        <v>9.5882735215883894</v>
      </c>
      <c r="AG6493">
        <v>-1.1610049999999901</v>
      </c>
      <c r="AH6493">
        <v>22.468372516386701</v>
      </c>
      <c r="AI6493">
        <v>92.721004133700305</v>
      </c>
      <c r="AJ6493">
        <v>66.889859269345095</v>
      </c>
      <c r="AK6493">
        <v>24.4563015452038</v>
      </c>
      <c r="AL6493">
        <v>94.385953702730404</v>
      </c>
      <c r="AM6493">
        <v>88.161480343481401</v>
      </c>
      <c r="AN6493">
        <v>0.99999994483462096</v>
      </c>
    </row>
    <row r="6494" spans="1:40" x14ac:dyDescent="0.25">
      <c r="A6494" t="str">
        <f>"20190305135054097"</f>
        <v>20190305135054097</v>
      </c>
      <c r="B6494" t="str">
        <f>"1551765054086585"</f>
        <v>1551765054086585</v>
      </c>
      <c r="C6494" t="s">
        <v>40</v>
      </c>
      <c r="D6494">
        <v>4.1552369999999996</v>
      </c>
      <c r="E6494">
        <v>0.64699659999999903</v>
      </c>
      <c r="F6494" t="s">
        <v>43</v>
      </c>
      <c r="G6494">
        <v>-305.416</v>
      </c>
      <c r="H6494">
        <v>-0.05</v>
      </c>
      <c r="I6494">
        <v>7.9739380000000004</v>
      </c>
      <c r="J6494">
        <v>-327.68329999999997</v>
      </c>
      <c r="K6494">
        <v>1.1109279999999999</v>
      </c>
      <c r="L6494">
        <v>17.15042</v>
      </c>
      <c r="M6494">
        <v>0.99975250000000004</v>
      </c>
      <c r="N6494">
        <v>-1.698914E-2</v>
      </c>
      <c r="O6494">
        <v>1.4373230000000001E-2</v>
      </c>
      <c r="P6494">
        <v>0.99544639999999995</v>
      </c>
      <c r="Q6494">
        <v>-9.3436909999999998E-2</v>
      </c>
      <c r="R6494">
        <v>-1.887115E-2</v>
      </c>
      <c r="S6494">
        <v>2.977509</v>
      </c>
      <c r="T6494">
        <v>-0.1542685</v>
      </c>
      <c r="U6494">
        <v>-1.219025</v>
      </c>
      <c r="V6494">
        <v>3.3309900000000003E-2</v>
      </c>
      <c r="W6494">
        <v>-7.6461080000000001E-2</v>
      </c>
      <c r="X6494">
        <v>0.99651599999999996</v>
      </c>
      <c r="Y6494">
        <v>0.39152510000000001</v>
      </c>
      <c r="Z6494">
        <v>-1.36831E-2</v>
      </c>
      <c r="AA6494">
        <v>0.92006569999999999</v>
      </c>
      <c r="AB6494">
        <v>33</v>
      </c>
      <c r="AC6494">
        <v>22.267299999999899</v>
      </c>
      <c r="AD6494">
        <v>-1.160928</v>
      </c>
      <c r="AE6494">
        <v>-9.176482</v>
      </c>
      <c r="AF6494">
        <v>9.4736205281495405</v>
      </c>
      <c r="AG6494">
        <v>-1.160928</v>
      </c>
      <c r="AH6494">
        <v>22.0817762722344</v>
      </c>
      <c r="AI6494">
        <v>92.766107873587899</v>
      </c>
      <c r="AJ6494">
        <v>66.779487606971998</v>
      </c>
      <c r="AK6494">
        <v>24.056227531963</v>
      </c>
      <c r="AL6494">
        <v>94.385177155403795</v>
      </c>
      <c r="AM6494">
        <v>88.085523610943198</v>
      </c>
      <c r="AN6494">
        <v>0.99999999222438796</v>
      </c>
    </row>
    <row r="6495" spans="1:40" x14ac:dyDescent="0.25">
      <c r="A6495" t="str">
        <f>"20190305135054109"</f>
        <v>20190305135054109</v>
      </c>
      <c r="B6495" t="str">
        <f>"1551765054106106"</f>
        <v>1551765054106106</v>
      </c>
      <c r="C6495" t="s">
        <v>40</v>
      </c>
      <c r="D6495">
        <v>4.1627320000000001</v>
      </c>
      <c r="E6495">
        <v>0.64810570000000001</v>
      </c>
      <c r="F6495" t="s">
        <v>43</v>
      </c>
      <c r="G6495">
        <v>-305.32330000000002</v>
      </c>
      <c r="H6495">
        <v>-0.05</v>
      </c>
      <c r="I6495">
        <v>7.9337770000000001</v>
      </c>
      <c r="J6495">
        <v>-327.51519999999999</v>
      </c>
      <c r="K6495">
        <v>1.110832</v>
      </c>
      <c r="L6495">
        <v>17.153079999999999</v>
      </c>
      <c r="M6495">
        <v>0.99974600000000002</v>
      </c>
      <c r="N6495">
        <v>-1.7236479999999998E-2</v>
      </c>
      <c r="O6495">
        <v>1.4525110000000001E-2</v>
      </c>
      <c r="P6495">
        <v>0.99540090000000003</v>
      </c>
      <c r="Q6495">
        <v>-9.3746070000000001E-2</v>
      </c>
      <c r="R6495">
        <v>-1.97244E-2</v>
      </c>
      <c r="S6495">
        <v>2.9759220000000002</v>
      </c>
      <c r="T6495">
        <v>-0.15450910000000001</v>
      </c>
      <c r="U6495">
        <v>-1.2266539999999999</v>
      </c>
      <c r="V6495">
        <v>3.4289050000000001E-2</v>
      </c>
      <c r="W6495">
        <v>-7.6534060000000001E-2</v>
      </c>
      <c r="X6495">
        <v>0.99647719999999995</v>
      </c>
      <c r="Y6495">
        <v>0.39384590000000003</v>
      </c>
      <c r="Z6495">
        <v>-1.38321E-2</v>
      </c>
      <c r="AA6495">
        <v>0.91907240000000001</v>
      </c>
      <c r="AB6495">
        <v>33</v>
      </c>
      <c r="AC6495">
        <v>22.191899999999901</v>
      </c>
      <c r="AD6495">
        <v>-1.1608319999999901</v>
      </c>
      <c r="AE6495">
        <v>-9.219303</v>
      </c>
      <c r="AF6495">
        <v>9.5185064982710408</v>
      </c>
      <c r="AG6495">
        <v>-1.1608319999999901</v>
      </c>
      <c r="AH6495">
        <v>22.004280257590899</v>
      </c>
      <c r="AI6495">
        <v>92.772032018570698</v>
      </c>
      <c r="AJ6495">
        <v>66.607886744222</v>
      </c>
      <c r="AK6495">
        <v>24.002871631212301</v>
      </c>
      <c r="AL6495">
        <v>94.389370830755695</v>
      </c>
      <c r="AM6495">
        <v>88.029214330178405</v>
      </c>
      <c r="AN6495">
        <v>1.0000000057049101</v>
      </c>
    </row>
    <row r="6496" spans="1:40" x14ac:dyDescent="0.25">
      <c r="A6496" t="str">
        <f>"20190305135054120"</f>
        <v>20190305135054120</v>
      </c>
      <c r="B6496" t="str">
        <f>"1551765054116841"</f>
        <v>1551765054116841</v>
      </c>
      <c r="C6496" t="s">
        <v>40</v>
      </c>
      <c r="D6496">
        <v>4.1567460000000001</v>
      </c>
      <c r="E6496">
        <v>0.64838949999999995</v>
      </c>
      <c r="F6496" t="s">
        <v>43</v>
      </c>
      <c r="G6496">
        <v>-305.00319999999999</v>
      </c>
      <c r="H6496">
        <v>-0.05</v>
      </c>
      <c r="I6496">
        <v>7.7842859999999998</v>
      </c>
      <c r="J6496">
        <v>-327.35770000000002</v>
      </c>
      <c r="K6496">
        <v>1.110725</v>
      </c>
      <c r="L6496">
        <v>17.15549</v>
      </c>
      <c r="M6496">
        <v>0.99974220000000003</v>
      </c>
      <c r="N6496">
        <v>-1.7458810000000002E-2</v>
      </c>
      <c r="O6496">
        <v>1.452696E-2</v>
      </c>
      <c r="P6496">
        <v>0.99537830000000005</v>
      </c>
      <c r="Q6496">
        <v>-9.3668260000000003E-2</v>
      </c>
      <c r="R6496">
        <v>-2.1178880000000001E-2</v>
      </c>
      <c r="S6496">
        <v>2.9749150000000002</v>
      </c>
      <c r="T6496">
        <v>-0.15340190000000001</v>
      </c>
      <c r="U6496">
        <v>-1.2380679999999999</v>
      </c>
      <c r="V6496">
        <v>3.5719679999999997E-2</v>
      </c>
      <c r="W6496">
        <v>-7.6245129999999994E-2</v>
      </c>
      <c r="X6496">
        <v>0.99644909999999998</v>
      </c>
      <c r="Y6496">
        <v>0.39696579999999998</v>
      </c>
      <c r="Z6496">
        <v>-1.390315E-2</v>
      </c>
      <c r="AA6496">
        <v>0.91772810000000005</v>
      </c>
      <c r="AB6496">
        <v>33</v>
      </c>
      <c r="AC6496">
        <v>22.354500000000002</v>
      </c>
      <c r="AD6496">
        <v>-1.160725</v>
      </c>
      <c r="AE6496">
        <v>-9.3712039999999899</v>
      </c>
      <c r="AF6496">
        <v>9.6728266620910208</v>
      </c>
      <c r="AG6496">
        <v>-1.160725</v>
      </c>
      <c r="AH6496">
        <v>22.165158108867299</v>
      </c>
      <c r="AI6496">
        <v>92.7478541356286</v>
      </c>
      <c r="AJ6496">
        <v>66.423648562071904</v>
      </c>
      <c r="AK6496">
        <v>24.2116726425823</v>
      </c>
      <c r="AL6496">
        <v>94.372767819873701</v>
      </c>
      <c r="AM6496">
        <v>87.946999039000104</v>
      </c>
      <c r="AN6496">
        <v>1.0000000121394099</v>
      </c>
    </row>
    <row r="6497" spans="1:40" x14ac:dyDescent="0.25">
      <c r="A6497" t="str">
        <f>"20190305135054132"</f>
        <v>20190305135054132</v>
      </c>
      <c r="B6497" t="str">
        <f>"1551765054126602"</f>
        <v>1551765054126602</v>
      </c>
      <c r="C6497" t="s">
        <v>40</v>
      </c>
      <c r="D6497">
        <v>4.174671</v>
      </c>
      <c r="E6497">
        <v>0.64868530000000002</v>
      </c>
      <c r="F6497" t="s">
        <v>43</v>
      </c>
      <c r="G6497">
        <v>-305.14109999999999</v>
      </c>
      <c r="H6497">
        <v>-0.05</v>
      </c>
      <c r="I6497">
        <v>7.8531190000000004</v>
      </c>
      <c r="J6497">
        <v>-327.18819999999999</v>
      </c>
      <c r="K6497">
        <v>1.110608</v>
      </c>
      <c r="L6497">
        <v>17.158049999999999</v>
      </c>
      <c r="M6497">
        <v>0.99973840000000003</v>
      </c>
      <c r="N6497">
        <v>-1.769513E-2</v>
      </c>
      <c r="O6497">
        <v>1.449102E-2</v>
      </c>
      <c r="P6497">
        <v>0.99533050000000001</v>
      </c>
      <c r="Q6497">
        <v>-9.3885940000000001E-2</v>
      </c>
      <c r="R6497">
        <v>-2.2424220000000002E-2</v>
      </c>
      <c r="S6497">
        <v>2.9728089999999998</v>
      </c>
      <c r="T6497">
        <v>-0.15531679999999901</v>
      </c>
      <c r="U6497">
        <v>-1.2447509999999999</v>
      </c>
      <c r="V6497">
        <v>3.6900929999999998E-2</v>
      </c>
      <c r="W6497">
        <v>-7.6240409999999995E-2</v>
      </c>
      <c r="X6497">
        <v>0.99640640000000003</v>
      </c>
      <c r="Y6497">
        <v>0.39889989999999997</v>
      </c>
      <c r="Z6497">
        <v>-1.4149500000000001E-2</v>
      </c>
      <c r="AA6497">
        <v>0.91688530000000001</v>
      </c>
      <c r="AB6497">
        <v>32</v>
      </c>
      <c r="AC6497">
        <v>22.0471</v>
      </c>
      <c r="AD6497">
        <v>-1.1606080000000001</v>
      </c>
      <c r="AE6497">
        <v>-9.3049309999999998</v>
      </c>
      <c r="AF6497">
        <v>9.6009052795810597</v>
      </c>
      <c r="AG6497">
        <v>-1.1606080000000001</v>
      </c>
      <c r="AH6497">
        <v>21.8585093483536</v>
      </c>
      <c r="AI6497">
        <v>92.783169976074802</v>
      </c>
      <c r="AJ6497">
        <v>66.287495016920204</v>
      </c>
      <c r="AK6497">
        <v>23.9022765453254</v>
      </c>
      <c r="AL6497">
        <v>94.372496663482593</v>
      </c>
      <c r="AM6497">
        <v>87.879076491079701</v>
      </c>
      <c r="AN6497">
        <v>0.99999999635639603</v>
      </c>
    </row>
    <row r="6498" spans="1:40" x14ac:dyDescent="0.25">
      <c r="A6498" t="str">
        <f>"20190305135054143"</f>
        <v>20190305135054143</v>
      </c>
      <c r="B6498" t="str">
        <f>"1551765054136362"</f>
        <v>1551765054136362</v>
      </c>
      <c r="C6498" t="s">
        <v>40</v>
      </c>
      <c r="D6498">
        <v>4.1675940000000002</v>
      </c>
      <c r="E6498">
        <v>0.64906260000000005</v>
      </c>
      <c r="F6498" t="s">
        <v>43</v>
      </c>
      <c r="G6498">
        <v>-305.5539</v>
      </c>
      <c r="H6498">
        <v>-0.05</v>
      </c>
      <c r="I6498">
        <v>8.0496369999999899</v>
      </c>
      <c r="J6498">
        <v>-327.02080000000001</v>
      </c>
      <c r="K6498">
        <v>1.110479</v>
      </c>
      <c r="L6498">
        <v>17.160429999999899</v>
      </c>
      <c r="M6498">
        <v>0.99973699999999999</v>
      </c>
      <c r="N6498">
        <v>-1.7918110000000001E-2</v>
      </c>
      <c r="O6498">
        <v>1.431874E-2</v>
      </c>
      <c r="P6498">
        <v>0.99529080000000003</v>
      </c>
      <c r="Q6498">
        <v>-9.3877970000000005E-2</v>
      </c>
      <c r="R6498">
        <v>-2.415614E-2</v>
      </c>
      <c r="S6498">
        <v>2.9708860000000001</v>
      </c>
      <c r="T6498">
        <v>-0.15937789999999999</v>
      </c>
      <c r="U6498">
        <v>-1.250793</v>
      </c>
      <c r="V6498">
        <v>3.843133E-2</v>
      </c>
      <c r="W6498">
        <v>-7.6024919999999996E-2</v>
      </c>
      <c r="X6498">
        <v>0.99636499999999995</v>
      </c>
      <c r="Y6498">
        <v>0.4005031</v>
      </c>
      <c r="Z6498">
        <v>-1.452707E-2</v>
      </c>
      <c r="AA6498">
        <v>0.91618029999999995</v>
      </c>
      <c r="AB6498">
        <v>32</v>
      </c>
      <c r="AC6498">
        <v>21.466899999999999</v>
      </c>
      <c r="AD6498">
        <v>-1.160479</v>
      </c>
      <c r="AE6498">
        <v>-9.1107929999999993</v>
      </c>
      <c r="AF6498">
        <v>9.3940242941451402</v>
      </c>
      <c r="AG6498">
        <v>-1.160479</v>
      </c>
      <c r="AH6498">
        <v>21.281522525485698</v>
      </c>
      <c r="AI6498">
        <v>92.855885909052404</v>
      </c>
      <c r="AJ6498">
        <v>66.182524971057205</v>
      </c>
      <c r="AK6498">
        <v>23.291577983279399</v>
      </c>
      <c r="AL6498">
        <v>94.360114110018699</v>
      </c>
      <c r="AM6498">
        <v>87.791108691386697</v>
      </c>
      <c r="AN6498">
        <v>0.99999998440578697</v>
      </c>
    </row>
    <row r="6499" spans="1:40" x14ac:dyDescent="0.25">
      <c r="A6499" t="str">
        <f>"20190305135054154"</f>
        <v>20190305135054154</v>
      </c>
      <c r="B6499" t="str">
        <f>"1551765054146202"</f>
        <v>1551765054146202</v>
      </c>
      <c r="C6499" t="s">
        <v>40</v>
      </c>
      <c r="D6499">
        <v>4.1565070000000004</v>
      </c>
      <c r="E6499">
        <v>0.64940109999999995</v>
      </c>
      <c r="F6499" t="s">
        <v>43</v>
      </c>
      <c r="G6499">
        <v>-305.44490000000002</v>
      </c>
      <c r="H6499">
        <v>-0.05</v>
      </c>
      <c r="I6499">
        <v>8.0104059999999997</v>
      </c>
      <c r="J6499">
        <v>-326.86759999999998</v>
      </c>
      <c r="K6499">
        <v>1.1103559999999999</v>
      </c>
      <c r="L6499">
        <v>17.162510000000001</v>
      </c>
      <c r="M6499">
        <v>0.99973650000000003</v>
      </c>
      <c r="N6499">
        <v>-1.8117640000000001E-2</v>
      </c>
      <c r="O6499">
        <v>1.410285E-2</v>
      </c>
      <c r="P6499">
        <v>0.99525870000000005</v>
      </c>
      <c r="Q6499">
        <v>-9.3728779999999998E-2</v>
      </c>
      <c r="R6499">
        <v>-2.5993599999999999E-2</v>
      </c>
      <c r="S6499">
        <v>2.9685969999999999</v>
      </c>
      <c r="T6499">
        <v>-0.15966900000000001</v>
      </c>
      <c r="U6499">
        <v>-1.258942</v>
      </c>
      <c r="V6499">
        <v>4.0026489999999998E-2</v>
      </c>
      <c r="W6499">
        <v>-7.5691460000000002E-2</v>
      </c>
      <c r="X6499">
        <v>0.99632759999999998</v>
      </c>
      <c r="Y6499">
        <v>0.40268229999999999</v>
      </c>
      <c r="Z6499">
        <v>-1.4659760000000001E-2</v>
      </c>
      <c r="AA6499">
        <v>0.91522239999999999</v>
      </c>
      <c r="AB6499">
        <v>32</v>
      </c>
      <c r="AC6499">
        <v>21.422699999999899</v>
      </c>
      <c r="AD6499">
        <v>-1.1603559999999999</v>
      </c>
      <c r="AE6499">
        <v>-9.1521039999999996</v>
      </c>
      <c r="AF6499">
        <v>9.4299683842727404</v>
      </c>
      <c r="AG6499">
        <v>-1.1603559999999999</v>
      </c>
      <c r="AH6499">
        <v>21.238783287394501</v>
      </c>
      <c r="AI6499">
        <v>92.858593077362997</v>
      </c>
      <c r="AJ6499">
        <v>66.058894762903904</v>
      </c>
      <c r="AK6499">
        <v>23.267072125732199</v>
      </c>
      <c r="AL6499">
        <v>94.340952973099704</v>
      </c>
      <c r="AM6499">
        <v>87.699435051435898</v>
      </c>
      <c r="AN6499">
        <v>1.0000000017702</v>
      </c>
    </row>
    <row r="6500" spans="1:40" x14ac:dyDescent="0.25">
      <c r="A6500" t="str">
        <f>"20190305135054165"</f>
        <v>20190305135054165</v>
      </c>
      <c r="B6500" t="str">
        <f>"1551765054156406"</f>
        <v>1551765054156406</v>
      </c>
      <c r="C6500" t="s">
        <v>40</v>
      </c>
      <c r="D6500">
        <v>4.1400959999999998</v>
      </c>
      <c r="E6500">
        <v>0.64975890000000003</v>
      </c>
      <c r="F6500" t="s">
        <v>43</v>
      </c>
      <c r="G6500">
        <v>-305.30110000000002</v>
      </c>
      <c r="H6500">
        <v>-0.05</v>
      </c>
      <c r="I6500">
        <v>7.9501189999999999</v>
      </c>
      <c r="J6500">
        <v>-326.70830000000001</v>
      </c>
      <c r="K6500">
        <v>1.1102259999999999</v>
      </c>
      <c r="L6500">
        <v>17.164579999999901</v>
      </c>
      <c r="M6500">
        <v>0.99973710000000005</v>
      </c>
      <c r="N6500">
        <v>-1.831876E-2</v>
      </c>
      <c r="O6500">
        <v>1.379209E-2</v>
      </c>
      <c r="P6500">
        <v>0.99520980000000003</v>
      </c>
      <c r="Q6500">
        <v>-9.3690880000000004E-2</v>
      </c>
      <c r="R6500">
        <v>-2.7918700000000001E-2</v>
      </c>
      <c r="S6500">
        <v>2.9661559999999998</v>
      </c>
      <c r="T6500">
        <v>-0.15958989999999901</v>
      </c>
      <c r="U6500">
        <v>-1.267029</v>
      </c>
      <c r="V6500">
        <v>4.1613780000000003E-2</v>
      </c>
      <c r="W6500">
        <v>-7.5469839999999996E-2</v>
      </c>
      <c r="X6500">
        <v>0.99627940000000004</v>
      </c>
      <c r="Y6500">
        <v>0.40477479999999999</v>
      </c>
      <c r="Z6500">
        <v>-1.4761989999999999E-2</v>
      </c>
      <c r="AA6500">
        <v>0.91429729999999998</v>
      </c>
      <c r="AB6500">
        <v>32</v>
      </c>
      <c r="AC6500">
        <v>21.4071999999999</v>
      </c>
      <c r="AD6500">
        <v>-1.160226</v>
      </c>
      <c r="AE6500">
        <v>-9.2144609999999894</v>
      </c>
      <c r="AF6500">
        <v>9.4853766673638091</v>
      </c>
      <c r="AG6500">
        <v>-1.160226</v>
      </c>
      <c r="AH6500">
        <v>21.225453098644401</v>
      </c>
      <c r="AI6500">
        <v>92.857000672580497</v>
      </c>
      <c r="AJ6500">
        <v>65.920758513232201</v>
      </c>
      <c r="AK6500">
        <v>23.277421552560298</v>
      </c>
      <c r="AL6500">
        <v>94.328218565665097</v>
      </c>
      <c r="AM6500">
        <v>87.6081922247471</v>
      </c>
      <c r="AN6500">
        <v>1.00000002314993</v>
      </c>
    </row>
    <row r="6501" spans="1:40" x14ac:dyDescent="0.25">
      <c r="A6501" t="str">
        <f>"20190305135054175"</f>
        <v>20190305135054175</v>
      </c>
      <c r="B6501" t="str">
        <f>"1551765054166157"</f>
        <v>1551765054166157</v>
      </c>
      <c r="C6501" t="s">
        <v>40</v>
      </c>
      <c r="D6501">
        <v>4.1055970000000004</v>
      </c>
      <c r="E6501">
        <v>0.65011350000000001</v>
      </c>
      <c r="F6501" t="s">
        <v>43</v>
      </c>
      <c r="G6501">
        <v>-305.26499999999999</v>
      </c>
      <c r="H6501">
        <v>-0.05</v>
      </c>
      <c r="I6501">
        <v>7.9342959999999998</v>
      </c>
      <c r="J6501">
        <v>-326.5557</v>
      </c>
      <c r="K6501">
        <v>1.1101000000000001</v>
      </c>
      <c r="L6501">
        <v>17.16638</v>
      </c>
      <c r="M6501">
        <v>0.99973889999999999</v>
      </c>
      <c r="N6501">
        <v>-1.8504039999999999E-2</v>
      </c>
      <c r="O6501">
        <v>1.3404839999999999E-2</v>
      </c>
      <c r="P6501">
        <v>0.99516769999999999</v>
      </c>
      <c r="Q6501">
        <v>-9.3551140000000005E-2</v>
      </c>
      <c r="R6501">
        <v>-2.9822620000000001E-2</v>
      </c>
      <c r="S6501">
        <v>2.963562</v>
      </c>
      <c r="T6501">
        <v>-0.1603484</v>
      </c>
      <c r="U6501">
        <v>-1.275665</v>
      </c>
      <c r="V6501">
        <v>4.310452E-2</v>
      </c>
      <c r="W6501">
        <v>-7.5162670000000001E-2</v>
      </c>
      <c r="X6501">
        <v>0.99623919999999999</v>
      </c>
      <c r="Y6501">
        <v>0.40694750000000002</v>
      </c>
      <c r="Z6501">
        <v>-1.492078E-2</v>
      </c>
      <c r="AA6501">
        <v>0.91332970000000002</v>
      </c>
      <c r="AB6501">
        <v>32</v>
      </c>
      <c r="AC6501">
        <v>21.290700000000001</v>
      </c>
      <c r="AD6501">
        <v>-1.1600999999999999</v>
      </c>
      <c r="AE6501">
        <v>-9.2320840000000004</v>
      </c>
      <c r="AF6501">
        <v>9.4929775673988104</v>
      </c>
      <c r="AG6501">
        <v>-1.1600999999999999</v>
      </c>
      <c r="AH6501">
        <v>21.1122488374236</v>
      </c>
      <c r="AI6501">
        <v>92.869034740671907</v>
      </c>
      <c r="AJ6501">
        <v>65.789260998634006</v>
      </c>
      <c r="AK6501">
        <v>23.177348987285601</v>
      </c>
      <c r="AL6501">
        <v>94.310569055268999</v>
      </c>
      <c r="AM6501">
        <v>87.522515013452093</v>
      </c>
      <c r="AN6501">
        <v>0.99999998511129895</v>
      </c>
    </row>
    <row r="6502" spans="1:40" x14ac:dyDescent="0.25">
      <c r="A6502" t="str">
        <f>"20190305135054186"</f>
        <v>20190305135054186</v>
      </c>
      <c r="B6502" t="str">
        <f>"1551765054176893"</f>
        <v>1551765054176893</v>
      </c>
      <c r="C6502" t="s">
        <v>40</v>
      </c>
      <c r="D6502">
        <v>4.1565989999999999</v>
      </c>
      <c r="E6502">
        <v>0.65055019999999997</v>
      </c>
      <c r="F6502" t="s">
        <v>43</v>
      </c>
      <c r="G6502">
        <v>-305.2303</v>
      </c>
      <c r="H6502">
        <v>-0.05</v>
      </c>
      <c r="I6502">
        <v>7.9167789999999902</v>
      </c>
      <c r="J6502">
        <v>-326.3997</v>
      </c>
      <c r="K6502">
        <v>1.1099680000000001</v>
      </c>
      <c r="L6502">
        <v>17.168119999999998</v>
      </c>
      <c r="M6502">
        <v>0.99974160000000001</v>
      </c>
      <c r="N6502">
        <v>-1.8687800000000001E-2</v>
      </c>
      <c r="O6502">
        <v>1.294357E-2</v>
      </c>
      <c r="P6502">
        <v>0.99511000000000005</v>
      </c>
      <c r="Q6502">
        <v>-9.3450279999999997E-2</v>
      </c>
      <c r="R6502">
        <v>-3.1984520000000002E-2</v>
      </c>
      <c r="S6502">
        <v>2.9609380000000001</v>
      </c>
      <c r="T6502">
        <v>-0.16107539999999901</v>
      </c>
      <c r="U6502">
        <v>-1.2842709999999999</v>
      </c>
      <c r="V6502">
        <v>4.4779069999999997E-2</v>
      </c>
      <c r="W6502">
        <v>-7.4897920000000007E-2</v>
      </c>
      <c r="X6502">
        <v>0.99618530000000005</v>
      </c>
      <c r="Y6502">
        <v>0.40904459999999998</v>
      </c>
      <c r="Z6502">
        <v>-1.507291E-2</v>
      </c>
      <c r="AA6502">
        <v>0.91238989999999998</v>
      </c>
      <c r="AB6502">
        <v>32</v>
      </c>
      <c r="AC6502">
        <v>21.1694</v>
      </c>
      <c r="AD6502">
        <v>-1.1599680000000001</v>
      </c>
      <c r="AE6502">
        <v>-9.251341</v>
      </c>
      <c r="AF6502">
        <v>9.5006701765074801</v>
      </c>
      <c r="AG6502">
        <v>-1.1599680000000001</v>
      </c>
      <c r="AH6502">
        <v>20.994931849722001</v>
      </c>
      <c r="AI6502">
        <v>92.881605912564495</v>
      </c>
      <c r="AJ6502">
        <v>65.652198195081496</v>
      </c>
      <c r="AK6502">
        <v>23.0736954764137</v>
      </c>
      <c r="AL6502">
        <v>94.295357021445</v>
      </c>
      <c r="AM6502">
        <v>87.426256136168504</v>
      </c>
      <c r="AN6502">
        <v>1.00000000773324</v>
      </c>
    </row>
    <row r="6503" spans="1:40" x14ac:dyDescent="0.25">
      <c r="A6503" t="str">
        <f>"20190305135054199"</f>
        <v>20190305135054199</v>
      </c>
      <c r="B6503" t="str">
        <f>"1551765054186653"</f>
        <v>1551765054186653</v>
      </c>
      <c r="C6503" t="s">
        <v>40</v>
      </c>
      <c r="D6503">
        <v>4.1425470000000004</v>
      </c>
      <c r="E6503">
        <v>0.65085519999999997</v>
      </c>
      <c r="F6503" t="s">
        <v>43</v>
      </c>
      <c r="G6503">
        <v>-305.1001</v>
      </c>
      <c r="H6503">
        <v>-0.05</v>
      </c>
      <c r="I6503">
        <v>7.8498839999999896</v>
      </c>
      <c r="J6503">
        <v>-326.23770000000002</v>
      </c>
      <c r="K6503">
        <v>1.1098239999999999</v>
      </c>
      <c r="L6503">
        <v>17.16968</v>
      </c>
      <c r="M6503">
        <v>0.99974600000000002</v>
      </c>
      <c r="N6503">
        <v>-1.88668E-2</v>
      </c>
      <c r="O6503">
        <v>1.233215E-2</v>
      </c>
      <c r="P6503">
        <v>0.99505960000000004</v>
      </c>
      <c r="Q6503">
        <v>-9.3247280000000002E-2</v>
      </c>
      <c r="R6503">
        <v>-3.4081849999999997E-2</v>
      </c>
      <c r="S6503">
        <v>2.9579770000000001</v>
      </c>
      <c r="T6503">
        <v>-0.16109029999999999</v>
      </c>
      <c r="U6503">
        <v>-1.2940670000000001</v>
      </c>
      <c r="V6503">
        <v>4.6238389999999997E-2</v>
      </c>
      <c r="W6503">
        <v>-7.4537430000000002E-2</v>
      </c>
      <c r="X6503">
        <v>0.99614570000000002</v>
      </c>
      <c r="Y6503">
        <v>0.41135189999999999</v>
      </c>
      <c r="Z6503">
        <v>-1.5177950000000001E-2</v>
      </c>
      <c r="AA6503">
        <v>0.91135029999999995</v>
      </c>
      <c r="AB6503">
        <v>32</v>
      </c>
      <c r="AC6503">
        <v>21.137599999999999</v>
      </c>
      <c r="AD6503">
        <v>-1.159824</v>
      </c>
      <c r="AE6503">
        <v>-9.3197960000000002</v>
      </c>
      <c r="AF6503">
        <v>9.5557183249894706</v>
      </c>
      <c r="AG6503">
        <v>-1.159824</v>
      </c>
      <c r="AH6503">
        <v>20.968183839562801</v>
      </c>
      <c r="AI6503">
        <v>92.881447622052505</v>
      </c>
      <c r="AJ6503">
        <v>65.500075981597206</v>
      </c>
      <c r="AK6503">
        <v>23.072097389427299</v>
      </c>
      <c r="AL6503">
        <v>94.274644446203098</v>
      </c>
      <c r="AM6503">
        <v>87.342392399934994</v>
      </c>
      <c r="AN6503">
        <v>1.00000003640464</v>
      </c>
    </row>
    <row r="6504" spans="1:40" x14ac:dyDescent="0.25">
      <c r="A6504" t="str">
        <f>"20190305135054211"</f>
        <v>20190305135054211</v>
      </c>
      <c r="B6504" t="str">
        <f>"1551765054206175"</f>
        <v>1551765054206175</v>
      </c>
      <c r="C6504" t="s">
        <v>40</v>
      </c>
      <c r="D6504">
        <v>4.1679510000000004</v>
      </c>
      <c r="E6504">
        <v>0.65163530000000003</v>
      </c>
      <c r="F6504" t="s">
        <v>43</v>
      </c>
      <c r="G6504">
        <v>-304.87959999999998</v>
      </c>
      <c r="H6504">
        <v>-0.05</v>
      </c>
      <c r="I6504">
        <v>7.7534479999999997</v>
      </c>
      <c r="J6504">
        <v>-326.06450000000001</v>
      </c>
      <c r="K6504">
        <v>1.1096699999999999</v>
      </c>
      <c r="L6504">
        <v>17.171229999999898</v>
      </c>
      <c r="M6504">
        <v>0.99975099999999995</v>
      </c>
      <c r="N6504">
        <v>-1.9053190000000001E-2</v>
      </c>
      <c r="O6504">
        <v>1.161974E-2</v>
      </c>
      <c r="P6504">
        <v>0.99501320000000004</v>
      </c>
      <c r="Q6504">
        <v>-9.2756320000000003E-2</v>
      </c>
      <c r="R6504">
        <v>-3.6676159999999999E-2</v>
      </c>
      <c r="S6504">
        <v>2.9552309999999999</v>
      </c>
      <c r="T6504">
        <v>-0.1604805</v>
      </c>
      <c r="U6504">
        <v>-1.3028869999999999</v>
      </c>
      <c r="V6504">
        <v>4.8093120000000003E-2</v>
      </c>
      <c r="W6504">
        <v>-7.388496E-2</v>
      </c>
      <c r="X6504">
        <v>0.99610639999999995</v>
      </c>
      <c r="Y6504">
        <v>0.41329189999999999</v>
      </c>
      <c r="Z6504">
        <v>-1.522422E-2</v>
      </c>
      <c r="AA6504">
        <v>0.91047129999999998</v>
      </c>
      <c r="AB6504">
        <v>32</v>
      </c>
      <c r="AC6504">
        <v>21.184899999999999</v>
      </c>
      <c r="AD6504">
        <v>-1.15967</v>
      </c>
      <c r="AE6504">
        <v>-9.4177820000000008</v>
      </c>
      <c r="AF6504">
        <v>9.6392358909913796</v>
      </c>
      <c r="AG6504">
        <v>-1.15967</v>
      </c>
      <c r="AH6504">
        <v>21.021420721712101</v>
      </c>
      <c r="AI6504">
        <v>92.870725317391603</v>
      </c>
      <c r="AJ6504">
        <v>65.366484658291199</v>
      </c>
      <c r="AK6504">
        <v>23.155125398716901</v>
      </c>
      <c r="AL6504">
        <v>94.237157676672794</v>
      </c>
      <c r="AM6504">
        <v>87.235842797223398</v>
      </c>
      <c r="AN6504">
        <v>0.99999994781324597</v>
      </c>
    </row>
    <row r="6505" spans="1:40" x14ac:dyDescent="0.25">
      <c r="A6505" t="str">
        <f>"20190305135054222"</f>
        <v>20190305135054222</v>
      </c>
      <c r="B6505" t="str">
        <f>"1551765054215933"</f>
        <v>1551765054215933</v>
      </c>
      <c r="C6505" t="s">
        <v>40</v>
      </c>
      <c r="D6505">
        <v>4.1443960000000004</v>
      </c>
      <c r="E6505">
        <v>0.65206679999999995</v>
      </c>
      <c r="F6505" t="s">
        <v>43</v>
      </c>
      <c r="G6505">
        <v>-304.58179999999999</v>
      </c>
      <c r="H6505">
        <v>-0.05</v>
      </c>
      <c r="I6505">
        <v>7.5882719999999999</v>
      </c>
      <c r="J6505">
        <v>-325.88780000000003</v>
      </c>
      <c r="K6505">
        <v>1.1095079999999999</v>
      </c>
      <c r="L6505">
        <v>17.172419999999999</v>
      </c>
      <c r="M6505">
        <v>0.99975769999999997</v>
      </c>
      <c r="N6505">
        <v>-1.9236030000000001E-2</v>
      </c>
      <c r="O6505">
        <v>1.0715189999999999E-2</v>
      </c>
      <c r="P6505">
        <v>0.99493860000000001</v>
      </c>
      <c r="Q6505">
        <v>-9.2467279999999999E-2</v>
      </c>
      <c r="R6505">
        <v>-3.9339390000000002E-2</v>
      </c>
      <c r="S6505">
        <v>2.9516909999999998</v>
      </c>
      <c r="T6505">
        <v>-0.15933629999999999</v>
      </c>
      <c r="U6505">
        <v>-1.316681</v>
      </c>
      <c r="V6505">
        <v>4.9824189999999997E-2</v>
      </c>
      <c r="W6505">
        <v>-7.3440240000000004E-2</v>
      </c>
      <c r="X6505">
        <v>0.9960542</v>
      </c>
      <c r="Y6505">
        <v>0.4164254</v>
      </c>
      <c r="Z6505">
        <v>-1.5269420000000001E-2</v>
      </c>
      <c r="AA6505">
        <v>0.90904160000000001</v>
      </c>
      <c r="AB6505">
        <v>32</v>
      </c>
      <c r="AC6505">
        <v>21.306000000000001</v>
      </c>
      <c r="AD6505">
        <v>-1.159508</v>
      </c>
      <c r="AE6505">
        <v>-9.5841480000000008</v>
      </c>
      <c r="AF6505">
        <v>9.7878275283418894</v>
      </c>
      <c r="AG6505">
        <v>-1.159508</v>
      </c>
      <c r="AH6505">
        <v>21.1499632703716</v>
      </c>
      <c r="AI6505">
        <v>92.848324780264207</v>
      </c>
      <c r="AJ6505">
        <v>65.166138172535099</v>
      </c>
      <c r="AK6505">
        <v>23.333816080202102</v>
      </c>
      <c r="AL6505">
        <v>94.211607698230594</v>
      </c>
      <c r="AM6505">
        <v>87.136362267752702</v>
      </c>
      <c r="AN6505">
        <v>0.99999994404902504</v>
      </c>
    </row>
    <row r="6506" spans="1:40" x14ac:dyDescent="0.25">
      <c r="A6506" t="str">
        <f>"20190305135054235"</f>
        <v>20190305135054235</v>
      </c>
      <c r="B6506" t="str">
        <f>"1551765054226669"</f>
        <v>1551765054226669</v>
      </c>
      <c r="C6506" t="s">
        <v>40</v>
      </c>
      <c r="D6506">
        <v>4.1303729999999996</v>
      </c>
      <c r="E6506">
        <v>0.65244150000000001</v>
      </c>
      <c r="F6506" t="s">
        <v>43</v>
      </c>
      <c r="G6506">
        <v>-304.36759999999998</v>
      </c>
      <c r="H6506">
        <v>-0.05</v>
      </c>
      <c r="I6506">
        <v>7.4780879999999996</v>
      </c>
      <c r="J6506">
        <v>-325.72160000000002</v>
      </c>
      <c r="K6506">
        <v>1.109361</v>
      </c>
      <c r="L6506">
        <v>17.173400000000001</v>
      </c>
      <c r="M6506">
        <v>0.99976370000000003</v>
      </c>
      <c r="N6506">
        <v>-1.94082E-2</v>
      </c>
      <c r="O6506">
        <v>9.7980919999999996E-3</v>
      </c>
      <c r="P6506">
        <v>0.99487159999999997</v>
      </c>
      <c r="Q6506">
        <v>-9.1813519999999996E-2</v>
      </c>
      <c r="R6506">
        <v>-4.2435899999999999E-2</v>
      </c>
      <c r="S6506">
        <v>2.9480590000000002</v>
      </c>
      <c r="T6506">
        <v>-0.15884179999999901</v>
      </c>
      <c r="U6506">
        <v>-1.328033</v>
      </c>
      <c r="V6506">
        <v>5.1980650000000003E-2</v>
      </c>
      <c r="W6506">
        <v>-7.2642209999999999E-2</v>
      </c>
      <c r="X6506">
        <v>0.99600259999999996</v>
      </c>
      <c r="Y6506">
        <v>0.41891869999999998</v>
      </c>
      <c r="Z6506">
        <v>-1.533706E-2</v>
      </c>
      <c r="AA6506">
        <v>0.90789419999999998</v>
      </c>
      <c r="AB6506">
        <v>32</v>
      </c>
      <c r="AC6506">
        <v>21.353999999999999</v>
      </c>
      <c r="AD6506">
        <v>-1.1593610000000001</v>
      </c>
      <c r="AE6506">
        <v>-9.6953119999999995</v>
      </c>
      <c r="AF6506">
        <v>9.8799687817514492</v>
      </c>
      <c r="AG6506">
        <v>-1.1593610000000001</v>
      </c>
      <c r="AH6506">
        <v>21.206135772130601</v>
      </c>
      <c r="AI6506">
        <v>92.837055994809504</v>
      </c>
      <c r="AJ6506">
        <v>65.019121488011905</v>
      </c>
      <c r="AK6506">
        <v>23.423451825952998</v>
      </c>
      <c r="AL6506">
        <v>94.165761130492697</v>
      </c>
      <c r="AM6506">
        <v>87.012485430466398</v>
      </c>
      <c r="AN6506">
        <v>1.00000002892743</v>
      </c>
    </row>
    <row r="6507" spans="1:40" x14ac:dyDescent="0.25">
      <c r="A6507" t="str">
        <f>"20190305135054247"</f>
        <v>20190305135054247</v>
      </c>
      <c r="B6507" t="str">
        <f>"1551765054236429"</f>
        <v>1551765054236429</v>
      </c>
      <c r="C6507" t="s">
        <v>40</v>
      </c>
      <c r="D6507">
        <v>4.0983910000000003</v>
      </c>
      <c r="E6507">
        <v>0.65279379999999998</v>
      </c>
      <c r="F6507" t="s">
        <v>43</v>
      </c>
      <c r="G6507">
        <v>-304.13069999999999</v>
      </c>
      <c r="H6507">
        <v>-0.05</v>
      </c>
      <c r="I6507">
        <v>7.3425449999999897</v>
      </c>
      <c r="J6507">
        <v>-325.5462</v>
      </c>
      <c r="K6507">
        <v>1.1092070000000001</v>
      </c>
      <c r="L6507">
        <v>17.174129999999899</v>
      </c>
      <c r="M6507">
        <v>0.99976989999999999</v>
      </c>
      <c r="N6507">
        <v>-1.9590570000000002E-2</v>
      </c>
      <c r="O6507">
        <v>8.7369240000000001E-3</v>
      </c>
      <c r="P6507">
        <v>0.99476830000000005</v>
      </c>
      <c r="Q6507">
        <v>-9.1250849999999994E-2</v>
      </c>
      <c r="R6507">
        <v>-4.5927919999999997E-2</v>
      </c>
      <c r="S6507">
        <v>2.943695</v>
      </c>
      <c r="T6507">
        <v>-0.15806629999999899</v>
      </c>
      <c r="U6507">
        <v>-1.3403320000000001</v>
      </c>
      <c r="V6507">
        <v>5.438863E-2</v>
      </c>
      <c r="W6507">
        <v>-7.192867E-2</v>
      </c>
      <c r="X6507">
        <v>0.99592579999999997</v>
      </c>
      <c r="Y6507">
        <v>0.42160340000000002</v>
      </c>
      <c r="Z6507">
        <v>-1.539192E-2</v>
      </c>
      <c r="AA6507">
        <v>0.9066497</v>
      </c>
      <c r="AB6507">
        <v>31</v>
      </c>
      <c r="AC6507">
        <v>21.415500000000002</v>
      </c>
      <c r="AD6507">
        <v>-1.1592069999999901</v>
      </c>
      <c r="AE6507">
        <v>-9.8315850000000005</v>
      </c>
      <c r="AF6507">
        <v>9.9941657019525501</v>
      </c>
      <c r="AG6507">
        <v>-1.1592069999999901</v>
      </c>
      <c r="AH6507">
        <v>21.277277978668899</v>
      </c>
      <c r="AI6507">
        <v>92.823086692550504</v>
      </c>
      <c r="AJ6507">
        <v>64.840052331668304</v>
      </c>
      <c r="AK6507">
        <v>23.536135348193501</v>
      </c>
      <c r="AL6507">
        <v>94.124771074056795</v>
      </c>
      <c r="AM6507">
        <v>86.874117978444005</v>
      </c>
      <c r="AN6507">
        <v>1.00000002787344</v>
      </c>
    </row>
    <row r="6508" spans="1:40" x14ac:dyDescent="0.25">
      <c r="A6508" t="str">
        <f>"20190305135054257"</f>
        <v>20190305135054257</v>
      </c>
      <c r="B6508" t="str">
        <f>"1551765054246189"</f>
        <v>1551765054246189</v>
      </c>
      <c r="C6508" t="s">
        <v>40</v>
      </c>
      <c r="D6508">
        <v>4.1290399999999998</v>
      </c>
      <c r="E6508">
        <v>0.65318719999999997</v>
      </c>
      <c r="F6508" t="s">
        <v>43</v>
      </c>
      <c r="G6508">
        <v>-303.78030000000001</v>
      </c>
      <c r="H6508">
        <v>-0.05</v>
      </c>
      <c r="I6508">
        <v>7.1492610000000001</v>
      </c>
      <c r="J6508">
        <v>-325.40269999999998</v>
      </c>
      <c r="K6508">
        <v>1.1090949999999999</v>
      </c>
      <c r="L6508">
        <v>17.174440000000001</v>
      </c>
      <c r="M6508">
        <v>0.99977499999999997</v>
      </c>
      <c r="N6508">
        <v>-1.973958E-2</v>
      </c>
      <c r="O6508">
        <v>7.7767039999999997E-3</v>
      </c>
      <c r="P6508">
        <v>0.99463080000000004</v>
      </c>
      <c r="Q6508">
        <v>-9.1001869999999999E-2</v>
      </c>
      <c r="R6508">
        <v>-4.9279290000000003E-2</v>
      </c>
      <c r="S6508">
        <v>2.9389340000000002</v>
      </c>
      <c r="T6508">
        <v>-0.15652160000000001</v>
      </c>
      <c r="U6508">
        <v>-1.353607</v>
      </c>
      <c r="V6508">
        <v>5.6763099999999997E-2</v>
      </c>
      <c r="W6508">
        <v>-7.1558650000000001E-2</v>
      </c>
      <c r="X6508">
        <v>0.99581989999999998</v>
      </c>
      <c r="Y6508">
        <v>0.42467359999999998</v>
      </c>
      <c r="Z6508">
        <v>-1.540358E-2</v>
      </c>
      <c r="AA6508">
        <v>0.90521549999999995</v>
      </c>
      <c r="AB6508">
        <v>31</v>
      </c>
      <c r="AC6508">
        <v>21.622399999999899</v>
      </c>
      <c r="AD6508">
        <v>-1.159095</v>
      </c>
      <c r="AE6508">
        <v>-10.025179</v>
      </c>
      <c r="AF6508">
        <v>10.1690079131738</v>
      </c>
      <c r="AG6508">
        <v>-1.159095</v>
      </c>
      <c r="AH6508">
        <v>21.492933124054801</v>
      </c>
      <c r="AI6508">
        <v>92.790855960971797</v>
      </c>
      <c r="AJ6508">
        <v>64.6796413940165</v>
      </c>
      <c r="AK6508">
        <v>23.805427898534099</v>
      </c>
      <c r="AL6508">
        <v>94.103515907653104</v>
      </c>
      <c r="AM6508">
        <v>86.737592291766902</v>
      </c>
      <c r="AN6508">
        <v>0.99999998157372105</v>
      </c>
    </row>
    <row r="6509" spans="1:40" x14ac:dyDescent="0.25">
      <c r="A6509" t="str">
        <f>"20190305135054267"</f>
        <v>20190305135054267</v>
      </c>
      <c r="B6509" t="str">
        <f>"1551765054255950"</f>
        <v>1551765054255950</v>
      </c>
      <c r="C6509" t="s">
        <v>40</v>
      </c>
      <c r="D6509">
        <v>4.1293369999999996</v>
      </c>
      <c r="E6509">
        <v>0.65358159999999998</v>
      </c>
      <c r="F6509" t="s">
        <v>43</v>
      </c>
      <c r="G6509">
        <v>-303.64330000000001</v>
      </c>
      <c r="H6509">
        <v>-0.05</v>
      </c>
      <c r="I6509">
        <v>7.0410459999999997</v>
      </c>
      <c r="J6509">
        <v>-325.25459999999998</v>
      </c>
      <c r="K6509">
        <v>1.108984</v>
      </c>
      <c r="L6509">
        <v>17.174679999999999</v>
      </c>
      <c r="M6509">
        <v>0.99977950000000004</v>
      </c>
      <c r="N6509">
        <v>-1.989318E-2</v>
      </c>
      <c r="O6509">
        <v>6.7568890000000003E-3</v>
      </c>
      <c r="P6509">
        <v>0.99444650000000001</v>
      </c>
      <c r="Q6509">
        <v>-9.1138780000000003E-2</v>
      </c>
      <c r="R6509">
        <v>-5.2634189999999997E-2</v>
      </c>
      <c r="S6509">
        <v>2.9341740000000001</v>
      </c>
      <c r="T6509">
        <v>-0.1563002</v>
      </c>
      <c r="U6509">
        <v>-1.366455</v>
      </c>
      <c r="V6509">
        <v>5.9080380000000002E-2</v>
      </c>
      <c r="W6509">
        <v>-7.1572010000000005E-2</v>
      </c>
      <c r="X6509">
        <v>0.99568409999999996</v>
      </c>
      <c r="Y6509">
        <v>0.42756379999999999</v>
      </c>
      <c r="Z6509">
        <v>-1.5502770000000001E-2</v>
      </c>
      <c r="AA6509">
        <v>0.90385219999999999</v>
      </c>
      <c r="AB6509">
        <v>31</v>
      </c>
      <c r="AC6509">
        <v>21.6112999999999</v>
      </c>
      <c r="AD6509">
        <v>-1.158984</v>
      </c>
      <c r="AE6509">
        <v>-10.133633999999899</v>
      </c>
      <c r="AF6509">
        <v>10.2552782610913</v>
      </c>
      <c r="AG6509">
        <v>-1.158984</v>
      </c>
      <c r="AH6509">
        <v>21.491651323530998</v>
      </c>
      <c r="AI6509">
        <v>92.786392606664293</v>
      </c>
      <c r="AJ6509">
        <v>64.490691265192396</v>
      </c>
      <c r="AK6509">
        <v>23.841246878821199</v>
      </c>
      <c r="AL6509">
        <v>94.104283536672298</v>
      </c>
      <c r="AM6509">
        <v>86.604252215893794</v>
      </c>
      <c r="AN6509">
        <v>0.99999993545459498</v>
      </c>
    </row>
    <row r="6510" spans="1:40" x14ac:dyDescent="0.25">
      <c r="A6510" t="str">
        <f>"20190305135054278"</f>
        <v>20190305135054278</v>
      </c>
      <c r="B6510" t="str">
        <f>"1551765054266685"</f>
        <v>1551765054266685</v>
      </c>
      <c r="C6510" t="s">
        <v>40</v>
      </c>
      <c r="D6510">
        <v>4.1348520000000004</v>
      </c>
      <c r="E6510">
        <v>0.65396759999999998</v>
      </c>
      <c r="F6510" t="s">
        <v>43</v>
      </c>
      <c r="G6510">
        <v>-303.52379999999999</v>
      </c>
      <c r="H6510">
        <v>-0.05</v>
      </c>
      <c r="I6510">
        <v>6.941147</v>
      </c>
      <c r="J6510">
        <v>-325.12380000000002</v>
      </c>
      <c r="K6510">
        <v>1.1089</v>
      </c>
      <c r="L6510">
        <v>17.17456</v>
      </c>
      <c r="M6510">
        <v>0.99978270000000002</v>
      </c>
      <c r="N6510">
        <v>-2.0029829999999998E-2</v>
      </c>
      <c r="O6510">
        <v>5.7808850000000004E-3</v>
      </c>
      <c r="P6510">
        <v>0.99424389999999996</v>
      </c>
      <c r="Q6510">
        <v>-9.1618340000000006E-2</v>
      </c>
      <c r="R6510">
        <v>-5.5546070000000003E-2</v>
      </c>
      <c r="S6510">
        <v>2.9293819999999999</v>
      </c>
      <c r="T6510">
        <v>-0.15623499999999901</v>
      </c>
      <c r="U6510">
        <v>-1.3795170000000001</v>
      </c>
      <c r="V6510">
        <v>6.1002510000000003E-2</v>
      </c>
      <c r="W6510">
        <v>-7.1940249999999997E-2</v>
      </c>
      <c r="X6510">
        <v>0.99554169999999997</v>
      </c>
      <c r="Y6510">
        <v>0.43054290000000001</v>
      </c>
      <c r="Z6510">
        <v>-1.561472E-2</v>
      </c>
      <c r="AA6510">
        <v>0.90243510000000005</v>
      </c>
      <c r="AB6510">
        <v>31</v>
      </c>
      <c r="AC6510">
        <v>21.6</v>
      </c>
      <c r="AD6510">
        <v>-1.1589</v>
      </c>
      <c r="AE6510">
        <v>-10.233413000000001</v>
      </c>
      <c r="AF6510">
        <v>10.333839907294299</v>
      </c>
      <c r="AG6510">
        <v>-1.1589</v>
      </c>
      <c r="AH6510">
        <v>21.489947385764602</v>
      </c>
      <c r="AI6510">
        <v>92.782410848541701</v>
      </c>
      <c r="AJ6510">
        <v>64.318562148007004</v>
      </c>
      <c r="AK6510">
        <v>23.873607500386701</v>
      </c>
      <c r="AL6510">
        <v>94.125436434376198</v>
      </c>
      <c r="AM6510">
        <v>86.493545453807499</v>
      </c>
      <c r="AN6510">
        <v>0.99999999111762605</v>
      </c>
    </row>
    <row r="6511" spans="1:40" x14ac:dyDescent="0.25">
      <c r="A6511" t="str">
        <f>"20190305135054288"</f>
        <v>20190305135054288</v>
      </c>
      <c r="B6511" t="str">
        <f>"1551765054276446"</f>
        <v>1551765054276446</v>
      </c>
      <c r="C6511" t="s">
        <v>40</v>
      </c>
      <c r="D6511">
        <v>3.290667</v>
      </c>
      <c r="E6511">
        <v>0.65432969999999901</v>
      </c>
      <c r="F6511" t="s">
        <v>43</v>
      </c>
      <c r="G6511">
        <v>-303.48590000000002</v>
      </c>
      <c r="H6511">
        <v>-0.05</v>
      </c>
      <c r="I6511">
        <v>6.8861080000000001</v>
      </c>
      <c r="J6511">
        <v>-324.97969999999998</v>
      </c>
      <c r="K6511">
        <v>1.1088100000000001</v>
      </c>
      <c r="L6511">
        <v>17.17435</v>
      </c>
      <c r="M6511">
        <v>0.99978540000000005</v>
      </c>
      <c r="N6511">
        <v>-2.0180380000000001E-2</v>
      </c>
      <c r="O6511">
        <v>4.6896669999999998E-3</v>
      </c>
      <c r="P6511">
        <v>0.99404669999999895</v>
      </c>
      <c r="Q6511">
        <v>-9.2187820000000004E-2</v>
      </c>
      <c r="R6511">
        <v>-5.8072539999999999E-2</v>
      </c>
      <c r="S6511">
        <v>2.9252319999999998</v>
      </c>
      <c r="T6511">
        <v>-0.15667220000000001</v>
      </c>
      <c r="U6511">
        <v>-1.3909</v>
      </c>
      <c r="V6511">
        <v>6.2423619999999999E-2</v>
      </c>
      <c r="W6511">
        <v>-7.2383939999999994E-2</v>
      </c>
      <c r="X6511">
        <v>0.99542149999999996</v>
      </c>
      <c r="Y6511">
        <v>0.4329093</v>
      </c>
      <c r="Z6511">
        <v>-1.5739360000000001E-2</v>
      </c>
      <c r="AA6511">
        <v>0.90130010000000005</v>
      </c>
      <c r="AB6511">
        <v>31</v>
      </c>
      <c r="AC6511">
        <v>21.493799999999901</v>
      </c>
      <c r="AD6511">
        <v>-1.1588099999999999</v>
      </c>
      <c r="AE6511">
        <v>-10.288242</v>
      </c>
      <c r="AF6511">
        <v>10.36443768547</v>
      </c>
      <c r="AG6511">
        <v>-1.1588099999999999</v>
      </c>
      <c r="AH6511">
        <v>21.394709838040601</v>
      </c>
      <c r="AI6511">
        <v>92.790663008304904</v>
      </c>
      <c r="AJ6511">
        <v>64.152629749530306</v>
      </c>
      <c r="AK6511">
        <v>23.801218838665498</v>
      </c>
      <c r="AL6511">
        <v>94.150924191748899</v>
      </c>
      <c r="AM6511">
        <v>86.411638188551905</v>
      </c>
      <c r="AN6511">
        <v>1.00000005288303</v>
      </c>
    </row>
    <row r="6512" spans="1:40" x14ac:dyDescent="0.25">
      <c r="A6512" t="str">
        <f>"20190305135054298"</f>
        <v>20190305135054298</v>
      </c>
      <c r="B6512" t="str">
        <f>"1551765054286206"</f>
        <v>1551765054286206</v>
      </c>
      <c r="C6512" t="s">
        <v>40</v>
      </c>
      <c r="D6512">
        <v>4.1219440000000001</v>
      </c>
      <c r="E6512">
        <v>0.65470649999999997</v>
      </c>
      <c r="F6512" t="s">
        <v>43</v>
      </c>
      <c r="G6512">
        <v>-302.95670000000001</v>
      </c>
      <c r="H6512">
        <v>-0.05</v>
      </c>
      <c r="I6512">
        <v>6.6128689999999999</v>
      </c>
      <c r="J6512">
        <v>-324.83620000000002</v>
      </c>
      <c r="K6512">
        <v>1.1087419999999999</v>
      </c>
      <c r="L6512">
        <v>17.173829999999999</v>
      </c>
      <c r="M6512">
        <v>0.99978719999999999</v>
      </c>
      <c r="N6512">
        <v>-2.0326779999999999E-2</v>
      </c>
      <c r="O6512">
        <v>3.5421459999999999E-3</v>
      </c>
      <c r="P6512">
        <v>0.99384340000000004</v>
      </c>
      <c r="Q6512">
        <v>-9.2756459999999999E-2</v>
      </c>
      <c r="R6512">
        <v>-6.059515E-2</v>
      </c>
      <c r="S6512">
        <v>2.9218440000000001</v>
      </c>
      <c r="T6512">
        <v>-0.15374199999999999</v>
      </c>
      <c r="U6512">
        <v>-1.4012150000000001</v>
      </c>
      <c r="V6512">
        <v>6.3788410000000004E-2</v>
      </c>
      <c r="W6512">
        <v>-7.2828080000000003E-2</v>
      </c>
      <c r="X6512">
        <v>0.99530249999999998</v>
      </c>
      <c r="Y6512">
        <v>0.43488789999999999</v>
      </c>
      <c r="Z6512">
        <v>-1.560456E-2</v>
      </c>
      <c r="AA6512">
        <v>0.90034939999999997</v>
      </c>
      <c r="AB6512">
        <v>31</v>
      </c>
      <c r="AC6512">
        <v>21.8795</v>
      </c>
      <c r="AD6512">
        <v>-1.1587419999999999</v>
      </c>
      <c r="AE6512">
        <v>-10.560961000000001</v>
      </c>
      <c r="AF6512">
        <v>10.614265950949701</v>
      </c>
      <c r="AG6512">
        <v>-1.1587419999999999</v>
      </c>
      <c r="AH6512">
        <v>21.792373551293</v>
      </c>
      <c r="AI6512">
        <v>92.736837575717999</v>
      </c>
      <c r="AJ6512">
        <v>64.030985164529795</v>
      </c>
      <c r="AK6512">
        <v>24.267527061881399</v>
      </c>
      <c r="AL6512">
        <v>94.176439190240799</v>
      </c>
      <c r="AM6512">
        <v>86.332959095337401</v>
      </c>
      <c r="AN6512">
        <v>0.99999997849653199</v>
      </c>
    </row>
    <row r="6513" spans="1:40" x14ac:dyDescent="0.25">
      <c r="A6513" t="str">
        <f>"20190305135054309"</f>
        <v>20190305135054309</v>
      </c>
      <c r="B6513" t="str">
        <f>"1551765054306701"</f>
        <v>1551765054306701</v>
      </c>
      <c r="C6513" t="s">
        <v>40</v>
      </c>
      <c r="D6513">
        <v>4.1666049999999997</v>
      </c>
      <c r="E6513">
        <v>0.65548450000000003</v>
      </c>
      <c r="F6513" t="s">
        <v>43</v>
      </c>
      <c r="G6513">
        <v>-302.4212</v>
      </c>
      <c r="H6513">
        <v>-0.05</v>
      </c>
      <c r="I6513">
        <v>6.3344569999999996</v>
      </c>
      <c r="J6513">
        <v>-324.67939999999999</v>
      </c>
      <c r="K6513">
        <v>1.108668</v>
      </c>
      <c r="L6513">
        <v>17.173189999999899</v>
      </c>
      <c r="M6513">
        <v>0.9997876</v>
      </c>
      <c r="N6513">
        <v>-2.0485819999999998E-2</v>
      </c>
      <c r="O6513">
        <v>2.2744039999999998E-3</v>
      </c>
      <c r="P6513">
        <v>0.99361840000000001</v>
      </c>
      <c r="Q6513">
        <v>-9.3382370000000006E-2</v>
      </c>
      <c r="R6513">
        <v>-6.3266020000000006E-2</v>
      </c>
      <c r="S6513">
        <v>2.918488</v>
      </c>
      <c r="T6513">
        <v>-0.15087139999999999</v>
      </c>
      <c r="U6513">
        <v>-1.411316</v>
      </c>
      <c r="V6513">
        <v>6.518177E-2</v>
      </c>
      <c r="W6513">
        <v>-7.3318240000000007E-2</v>
      </c>
      <c r="X6513">
        <v>0.99517630000000001</v>
      </c>
      <c r="Y6513">
        <v>0.43669619999999998</v>
      </c>
      <c r="Z6513">
        <v>-1.546814E-2</v>
      </c>
      <c r="AA6513">
        <v>0.8994761</v>
      </c>
      <c r="AB6513">
        <v>31</v>
      </c>
      <c r="AC6513">
        <v>22.258199999999899</v>
      </c>
      <c r="AD6513">
        <v>-1.158668</v>
      </c>
      <c r="AE6513">
        <v>-10.8387329999999</v>
      </c>
      <c r="AF6513">
        <v>10.8655397837965</v>
      </c>
      <c r="AG6513">
        <v>-1.158668</v>
      </c>
      <c r="AH6513">
        <v>22.184891675672802</v>
      </c>
      <c r="AI6513">
        <v>92.6854490054032</v>
      </c>
      <c r="AJ6513">
        <v>63.905679000261003</v>
      </c>
      <c r="AK6513">
        <v>24.729979478132002</v>
      </c>
      <c r="AL6513">
        <v>94.204598280401399</v>
      </c>
      <c r="AM6513">
        <v>86.2526101628617</v>
      </c>
      <c r="AN6513">
        <v>1.00000004776935</v>
      </c>
    </row>
    <row r="6514" spans="1:40" x14ac:dyDescent="0.25">
      <c r="A6514" t="str">
        <f>"20190305135054321"</f>
        <v>20190305135054321</v>
      </c>
      <c r="B6514" t="str">
        <f>"1551765054316461"</f>
        <v>1551765054316461</v>
      </c>
      <c r="C6514" t="s">
        <v>40</v>
      </c>
      <c r="D6514">
        <v>4.1688400000000003</v>
      </c>
      <c r="E6514">
        <v>0.65590000000000004</v>
      </c>
      <c r="F6514" t="s">
        <v>43</v>
      </c>
      <c r="G6514">
        <v>-301.33819999999997</v>
      </c>
      <c r="H6514">
        <v>-0.05</v>
      </c>
      <c r="I6514">
        <v>5.7624659999999999</v>
      </c>
      <c r="J6514">
        <v>-324.51889999999997</v>
      </c>
      <c r="K6514">
        <v>1.1086199999999999</v>
      </c>
      <c r="L6514">
        <v>17.172090000000001</v>
      </c>
      <c r="M6514">
        <v>0.99978650000000002</v>
      </c>
      <c r="N6514">
        <v>-2.0642400000000002E-2</v>
      </c>
      <c r="O6514">
        <v>9.2473930000000005E-4</v>
      </c>
      <c r="P6514">
        <v>0.99342540000000001</v>
      </c>
      <c r="Q6514">
        <v>-9.3591659999999993E-2</v>
      </c>
      <c r="R6514">
        <v>-6.5929760000000004E-2</v>
      </c>
      <c r="S6514">
        <v>2.9149479999999999</v>
      </c>
      <c r="T6514">
        <v>-0.1446993</v>
      </c>
      <c r="U6514">
        <v>-1.4250179999999999</v>
      </c>
      <c r="V6514">
        <v>6.6493389999999999E-2</v>
      </c>
      <c r="W6514">
        <v>-7.3389689999999994E-2</v>
      </c>
      <c r="X6514">
        <v>0.99508419999999997</v>
      </c>
      <c r="Y6514">
        <v>0.43936900000000001</v>
      </c>
      <c r="Z6514">
        <v>-1.5122989999999999E-2</v>
      </c>
      <c r="AA6514">
        <v>0.89817939999999996</v>
      </c>
      <c r="AB6514">
        <v>31</v>
      </c>
      <c r="AC6514">
        <v>23.180700000000002</v>
      </c>
      <c r="AD6514">
        <v>-1.15862</v>
      </c>
      <c r="AE6514">
        <v>-11.409624000000001</v>
      </c>
      <c r="AF6514">
        <v>11.408117916814099</v>
      </c>
      <c r="AG6514">
        <v>-1.15862</v>
      </c>
      <c r="AH6514">
        <v>23.123634973584299</v>
      </c>
      <c r="AI6514">
        <v>92.572826759702494</v>
      </c>
      <c r="AJ6514">
        <v>63.740427757520898</v>
      </c>
      <c r="AK6514">
        <v>25.8106576650016</v>
      </c>
      <c r="AL6514">
        <v>94.208703360310693</v>
      </c>
      <c r="AM6514">
        <v>86.177071939318196</v>
      </c>
      <c r="AN6514">
        <v>0.99999999130081396</v>
      </c>
    </row>
    <row r="6515" spans="1:40" x14ac:dyDescent="0.25">
      <c r="A6515" t="str">
        <f>"20190305135054334"</f>
        <v>20190305135054334</v>
      </c>
      <c r="B6515" t="str">
        <f>"1551765054326221"</f>
        <v>1551765054326221</v>
      </c>
      <c r="C6515" t="s">
        <v>40</v>
      </c>
      <c r="D6515">
        <v>4.1531029999999998</v>
      </c>
      <c r="E6515">
        <v>0.65629249999999995</v>
      </c>
      <c r="F6515" t="s">
        <v>43</v>
      </c>
      <c r="G6515">
        <v>-300.68060000000003</v>
      </c>
      <c r="H6515">
        <v>-0.05</v>
      </c>
      <c r="I6515">
        <v>5.4134830000000003</v>
      </c>
      <c r="J6515">
        <v>-324.35219999999998</v>
      </c>
      <c r="K6515">
        <v>1.1085780000000001</v>
      </c>
      <c r="L6515">
        <v>17.170809999999999</v>
      </c>
      <c r="M6515">
        <v>0.99978339999999999</v>
      </c>
      <c r="N6515">
        <v>-2.0803370000000002E-2</v>
      </c>
      <c r="O6515">
        <v>-4.87436E-4</v>
      </c>
      <c r="P6515">
        <v>0.99322790000000005</v>
      </c>
      <c r="Q6515">
        <v>-9.3800469999999997E-2</v>
      </c>
      <c r="R6515">
        <v>-6.855232E-2</v>
      </c>
      <c r="S6515">
        <v>2.9112239999999998</v>
      </c>
      <c r="T6515">
        <v>-0.14149500000000001</v>
      </c>
      <c r="U6515">
        <v>-1.436005</v>
      </c>
      <c r="V6515">
        <v>6.7703180000000002E-2</v>
      </c>
      <c r="W6515">
        <v>-7.3455110000000004E-2</v>
      </c>
      <c r="X6515">
        <v>0.99499780000000004</v>
      </c>
      <c r="Y6515">
        <v>0.44130239999999998</v>
      </c>
      <c r="Z6515">
        <v>-1.4967029999999999E-2</v>
      </c>
      <c r="AA6515">
        <v>0.89723359999999996</v>
      </c>
      <c r="AB6515">
        <v>31</v>
      </c>
      <c r="AC6515">
        <v>23.671599999999899</v>
      </c>
      <c r="AD6515">
        <v>-1.1585780000000001</v>
      </c>
      <c r="AE6515">
        <v>-11.757327</v>
      </c>
      <c r="AF6515">
        <v>11.7232587629618</v>
      </c>
      <c r="AG6515">
        <v>-1.1585780000000001</v>
      </c>
      <c r="AH6515">
        <v>23.631921220823099</v>
      </c>
      <c r="AI6515">
        <v>92.514749403103707</v>
      </c>
      <c r="AJ6515">
        <v>63.615035893236097</v>
      </c>
      <c r="AK6515">
        <v>26.405393380759101</v>
      </c>
      <c r="AL6515">
        <v>94.212461766715194</v>
      </c>
      <c r="AM6515">
        <v>86.107392003308703</v>
      </c>
      <c r="AN6515">
        <v>0.999999997886032</v>
      </c>
    </row>
    <row r="6516" spans="1:40" x14ac:dyDescent="0.25">
      <c r="A6516" t="str">
        <f>"20190305135054344"</f>
        <v>20190305135054344</v>
      </c>
      <c r="B6516" t="str">
        <f>"1551765054335981"</f>
        <v>1551765054335981</v>
      </c>
      <c r="C6516" t="s">
        <v>40</v>
      </c>
      <c r="D6516">
        <v>4.1830400000000001</v>
      </c>
      <c r="E6516">
        <v>0.65629249999999995</v>
      </c>
      <c r="F6516" t="s">
        <v>43</v>
      </c>
      <c r="G6516">
        <v>-300.12040000000002</v>
      </c>
      <c r="H6516">
        <v>-0.05</v>
      </c>
      <c r="I6516">
        <v>5.111847</v>
      </c>
      <c r="J6516">
        <v>-324.19549999999998</v>
      </c>
      <c r="K6516">
        <v>1.1085510000000001</v>
      </c>
      <c r="L6516">
        <v>17.169309999999999</v>
      </c>
      <c r="M6516">
        <v>0.99977890000000003</v>
      </c>
      <c r="N6516">
        <v>-2.0951560000000001E-2</v>
      </c>
      <c r="O6516">
        <v>-1.835716E-3</v>
      </c>
      <c r="P6516">
        <v>0.99297329999999995</v>
      </c>
      <c r="Q6516">
        <v>-9.4418829999999995E-2</v>
      </c>
      <c r="R6516">
        <v>-7.1341870000000002E-2</v>
      </c>
      <c r="S6516">
        <v>2.90741</v>
      </c>
      <c r="T6516">
        <v>-0.13900950000000001</v>
      </c>
      <c r="U6516">
        <v>-1.446869</v>
      </c>
      <c r="V6516">
        <v>6.9144670000000005E-2</v>
      </c>
      <c r="W6516">
        <v>-7.3942300000000002E-2</v>
      </c>
      <c r="X6516">
        <v>0.99486260000000004</v>
      </c>
      <c r="Y6516">
        <v>0.44326369999999998</v>
      </c>
      <c r="Z6516">
        <v>-1.486373E-2</v>
      </c>
      <c r="AA6516">
        <v>0.89626810000000001</v>
      </c>
      <c r="AB6516">
        <v>31</v>
      </c>
      <c r="AC6516">
        <v>24.0750999999999</v>
      </c>
      <c r="AD6516">
        <v>-1.1585510000000001</v>
      </c>
      <c r="AE6516">
        <v>-12.057462999999901</v>
      </c>
      <c r="AF6516">
        <v>11.991037909824099</v>
      </c>
      <c r="AG6516">
        <v>-1.1585510000000001</v>
      </c>
      <c r="AH6516">
        <v>24.052667620468501</v>
      </c>
      <c r="AI6516">
        <v>92.468342586550307</v>
      </c>
      <c r="AJ6516">
        <v>63.502250894294001</v>
      </c>
      <c r="AK6516">
        <v>26.900893112221599</v>
      </c>
      <c r="AL6516">
        <v>94.240451717150904</v>
      </c>
      <c r="AM6516">
        <v>86.024237708138401</v>
      </c>
      <c r="AN6516">
        <v>1.0000000209987201</v>
      </c>
    </row>
    <row r="6517" spans="1:40" x14ac:dyDescent="0.25">
      <c r="A6517" t="str">
        <f>"20190305135054355"</f>
        <v>20190305135054355</v>
      </c>
      <c r="B6517" t="str">
        <f>"1551765054346717"</f>
        <v>1551765054346717</v>
      </c>
      <c r="C6517" t="s">
        <v>40</v>
      </c>
      <c r="D6517">
        <v>4.162185</v>
      </c>
      <c r="E6517">
        <v>0.65667869999999995</v>
      </c>
      <c r="F6517" t="s">
        <v>43</v>
      </c>
      <c r="G6517">
        <v>-300.32859999999999</v>
      </c>
      <c r="H6517">
        <v>-0.05</v>
      </c>
      <c r="I6517">
        <v>5.2054749999999999</v>
      </c>
      <c r="J6517">
        <v>-324.06459999999998</v>
      </c>
      <c r="K6517">
        <v>1.1085389999999999</v>
      </c>
      <c r="L6517">
        <v>17.167909999999999</v>
      </c>
      <c r="M6517">
        <v>0.99977349999999998</v>
      </c>
      <c r="N6517">
        <v>-2.1073850000000002E-2</v>
      </c>
      <c r="O6517">
        <v>-2.966434E-3</v>
      </c>
      <c r="P6517">
        <v>0.99277309999999996</v>
      </c>
      <c r="Q6517">
        <v>-9.4898640000000006E-2</v>
      </c>
      <c r="R6517">
        <v>-7.3456030000000005E-2</v>
      </c>
      <c r="S6517">
        <v>2.9032589999999998</v>
      </c>
      <c r="T6517">
        <v>-0.14093029999999901</v>
      </c>
      <c r="U6517">
        <v>-1.455322</v>
      </c>
      <c r="V6517">
        <v>7.0130650000000003E-2</v>
      </c>
      <c r="W6517">
        <v>-7.4311489999999994E-2</v>
      </c>
      <c r="X6517">
        <v>0.99476609999999999</v>
      </c>
      <c r="Y6517">
        <v>0.44483040000000001</v>
      </c>
      <c r="Z6517">
        <v>-1.5063719999999999E-2</v>
      </c>
      <c r="AA6517">
        <v>0.89548809999999901</v>
      </c>
      <c r="AB6517">
        <v>31</v>
      </c>
      <c r="AC6517">
        <v>23.735999999999901</v>
      </c>
      <c r="AD6517">
        <v>-1.158539</v>
      </c>
      <c r="AE6517">
        <v>-11.962434999999999</v>
      </c>
      <c r="AF6517">
        <v>11.869405783049899</v>
      </c>
      <c r="AG6517">
        <v>-1.158539</v>
      </c>
      <c r="AH6517">
        <v>23.726313636574901</v>
      </c>
      <c r="AI6517">
        <v>92.500497429159907</v>
      </c>
      <c r="AJ6517">
        <v>63.422877783428802</v>
      </c>
      <c r="AK6517">
        <v>26.5549047265913</v>
      </c>
      <c r="AL6517">
        <v>94.2616629796822</v>
      </c>
      <c r="AM6517">
        <v>85.967340490274594</v>
      </c>
      <c r="AN6517">
        <v>1.00000004966232</v>
      </c>
    </row>
    <row r="6518" spans="1:40" x14ac:dyDescent="0.25">
      <c r="A6518" t="str">
        <f>"20190305135054365"</f>
        <v>20190305135054365</v>
      </c>
      <c r="B6518" t="str">
        <f>"1551765054356477"</f>
        <v>1551765054356477</v>
      </c>
      <c r="C6518" t="s">
        <v>40</v>
      </c>
      <c r="D6518">
        <v>4.1758290000000002</v>
      </c>
      <c r="E6518">
        <v>0.65707419999999905</v>
      </c>
      <c r="F6518" t="s">
        <v>43</v>
      </c>
      <c r="G6518">
        <v>-300.4973</v>
      </c>
      <c r="H6518">
        <v>-0.05</v>
      </c>
      <c r="I6518">
        <v>5.2676699999999999</v>
      </c>
      <c r="J6518">
        <v>-323.91140000000001</v>
      </c>
      <c r="K6518">
        <v>1.108535</v>
      </c>
      <c r="L6518">
        <v>17.166049999999998</v>
      </c>
      <c r="M6518">
        <v>0.99976580000000004</v>
      </c>
      <c r="N6518">
        <v>-2.1215419999999999E-2</v>
      </c>
      <c r="O6518">
        <v>-4.2956089999999997E-3</v>
      </c>
      <c r="P6518">
        <v>0.99257620000000002</v>
      </c>
      <c r="Q6518">
        <v>-9.5570269999999999E-2</v>
      </c>
      <c r="R6518">
        <v>-7.5227760000000005E-2</v>
      </c>
      <c r="S6518">
        <v>2.899902</v>
      </c>
      <c r="T6518">
        <v>-0.1425554</v>
      </c>
      <c r="U6518">
        <v>-1.464294</v>
      </c>
      <c r="V6518">
        <v>7.0576990000000006E-2</v>
      </c>
      <c r="W6518">
        <v>-7.4849360000000004E-2</v>
      </c>
      <c r="X6518">
        <v>0.99469419999999997</v>
      </c>
      <c r="Y6518">
        <v>0.44624950000000002</v>
      </c>
      <c r="Z6518">
        <v>-1.5234360000000001E-2</v>
      </c>
      <c r="AA6518">
        <v>0.89477890000000004</v>
      </c>
      <c r="AB6518">
        <v>30</v>
      </c>
      <c r="AC6518">
        <v>23.414100000000001</v>
      </c>
      <c r="AD6518">
        <v>-1.1585350000000001</v>
      </c>
      <c r="AE6518">
        <v>-11.89838</v>
      </c>
      <c r="AF6518">
        <v>11.7747582790739</v>
      </c>
      <c r="AG6518">
        <v>-1.1585350000000001</v>
      </c>
      <c r="AH6518">
        <v>23.419436392706601</v>
      </c>
      <c r="AI6518">
        <v>92.530664391409999</v>
      </c>
      <c r="AJ6518">
        <v>63.3077935502168</v>
      </c>
      <c r="AK6518">
        <v>26.238466739290899</v>
      </c>
      <c r="AL6518">
        <v>94.292566746967793</v>
      </c>
      <c r="AM6518">
        <v>85.941468124150703</v>
      </c>
      <c r="AN6518">
        <v>1.0000000448617501</v>
      </c>
    </row>
    <row r="6519" spans="1:40" x14ac:dyDescent="0.25">
      <c r="A6519" t="str">
        <f>"20190305135054376"</f>
        <v>20190305135054376</v>
      </c>
      <c r="B6519" t="str">
        <f>"1551765054366239"</f>
        <v>1551765054366239</v>
      </c>
      <c r="C6519" t="s">
        <v>40</v>
      </c>
      <c r="D6519">
        <v>4.2030729999999998</v>
      </c>
      <c r="E6519">
        <v>0.65743819999999997</v>
      </c>
      <c r="F6519" t="s">
        <v>43</v>
      </c>
      <c r="G6519">
        <v>-300.65190000000001</v>
      </c>
      <c r="H6519">
        <v>-0.05</v>
      </c>
      <c r="I6519">
        <v>5.3428339999999999</v>
      </c>
      <c r="J6519">
        <v>-323.76620000000003</v>
      </c>
      <c r="K6519">
        <v>1.108541</v>
      </c>
      <c r="L6519">
        <v>17.164059999999999</v>
      </c>
      <c r="M6519">
        <v>0.9997568</v>
      </c>
      <c r="N6519">
        <v>-2.1348140000000002E-2</v>
      </c>
      <c r="O6519">
        <v>-5.5573150000000002E-3</v>
      </c>
      <c r="P6519">
        <v>0.99233360000000004</v>
      </c>
      <c r="Q6519">
        <v>-9.6491610000000005E-2</v>
      </c>
      <c r="R6519">
        <v>-7.7225879999999997E-2</v>
      </c>
      <c r="S6519">
        <v>2.8969420000000001</v>
      </c>
      <c r="T6519">
        <v>-0.144293899999999</v>
      </c>
      <c r="U6519">
        <v>-1.4725649999999999</v>
      </c>
      <c r="V6519">
        <v>7.1317699999999998E-2</v>
      </c>
      <c r="W6519">
        <v>-7.5646859999999996E-2</v>
      </c>
      <c r="X6519">
        <v>0.99458100000000005</v>
      </c>
      <c r="Y6519">
        <v>0.4475037</v>
      </c>
      <c r="Z6519">
        <v>-1.540597E-2</v>
      </c>
      <c r="AA6519">
        <v>0.89414939999999998</v>
      </c>
      <c r="AB6519">
        <v>30</v>
      </c>
      <c r="AC6519">
        <v>23.1143</v>
      </c>
      <c r="AD6519">
        <v>-1.158541</v>
      </c>
      <c r="AE6519">
        <v>-11.821225999999999</v>
      </c>
      <c r="AF6519">
        <v>11.6693225619494</v>
      </c>
      <c r="AG6519">
        <v>-1.158541</v>
      </c>
      <c r="AH6519">
        <v>23.1335842975753</v>
      </c>
      <c r="AI6519">
        <v>92.560206239379397</v>
      </c>
      <c r="AJ6519">
        <v>63.232156582737304</v>
      </c>
      <c r="AK6519">
        <v>25.9360372600852</v>
      </c>
      <c r="AL6519">
        <v>94.338390182225197</v>
      </c>
      <c r="AM6519">
        <v>85.898552983221506</v>
      </c>
      <c r="AN6519">
        <v>1.0000000136610701</v>
      </c>
    </row>
    <row r="6520" spans="1:40" x14ac:dyDescent="0.25">
      <c r="A6520" t="str">
        <f>"20190305135054387"</f>
        <v>20190305135054387</v>
      </c>
      <c r="B6520" t="str">
        <f>"1551765054375998"</f>
        <v>1551765054375998</v>
      </c>
      <c r="C6520" t="s">
        <v>40</v>
      </c>
      <c r="D6520">
        <v>4.2225989999999998</v>
      </c>
      <c r="E6520">
        <v>0.65779140000000003</v>
      </c>
      <c r="F6520" t="s">
        <v>43</v>
      </c>
      <c r="G6520">
        <v>-301.1857</v>
      </c>
      <c r="H6520">
        <v>-0.05</v>
      </c>
      <c r="I6520">
        <v>5.6024019999999997</v>
      </c>
      <c r="J6520">
        <v>-323.61680000000001</v>
      </c>
      <c r="K6520">
        <v>1.108552</v>
      </c>
      <c r="L6520">
        <v>17.161899999999999</v>
      </c>
      <c r="M6520">
        <v>0.99974580000000002</v>
      </c>
      <c r="N6520">
        <v>-2.148388E-2</v>
      </c>
      <c r="O6520">
        <v>-6.856259E-3</v>
      </c>
      <c r="P6520">
        <v>0.99207889999999999</v>
      </c>
      <c r="Q6520">
        <v>-9.7325889999999998E-2</v>
      </c>
      <c r="R6520">
        <v>-7.9418959999999997E-2</v>
      </c>
      <c r="S6520">
        <v>2.8934630000000001</v>
      </c>
      <c r="T6520">
        <v>-0.1484549</v>
      </c>
      <c r="U6520">
        <v>-1.481506</v>
      </c>
      <c r="V6520">
        <v>7.2217989999999996E-2</v>
      </c>
      <c r="W6520">
        <v>-7.6354699999999998E-2</v>
      </c>
      <c r="X6520">
        <v>0.99446199999999996</v>
      </c>
      <c r="Y6520">
        <v>0.448932</v>
      </c>
      <c r="Z6520">
        <v>-1.575611E-2</v>
      </c>
      <c r="AA6520">
        <v>0.89342699999999997</v>
      </c>
      <c r="AB6520">
        <v>30</v>
      </c>
      <c r="AC6520">
        <v>22.431100000000001</v>
      </c>
      <c r="AD6520">
        <v>-1.158552</v>
      </c>
      <c r="AE6520">
        <v>-11.559498</v>
      </c>
      <c r="AF6520">
        <v>11.3814067100007</v>
      </c>
      <c r="AG6520">
        <v>-1.158552</v>
      </c>
      <c r="AH6520">
        <v>22.462497659098901</v>
      </c>
      <c r="AI6520">
        <v>92.634226164375093</v>
      </c>
      <c r="AJ6520">
        <v>63.129359017117999</v>
      </c>
      <c r="AK6520">
        <v>25.207984102664302</v>
      </c>
      <c r="AL6520">
        <v>94.379063801647703</v>
      </c>
      <c r="AM6520">
        <v>85.8464625452673</v>
      </c>
      <c r="AN6520">
        <v>1.0000000738678601</v>
      </c>
    </row>
    <row r="6521" spans="1:40" x14ac:dyDescent="0.25">
      <c r="A6521" t="str">
        <f>"20190305135054399"</f>
        <v>20190305135054399</v>
      </c>
      <c r="B6521" t="str">
        <f>"1551765054396508"</f>
        <v>1551765054396508</v>
      </c>
      <c r="C6521" t="s">
        <v>40</v>
      </c>
      <c r="D6521">
        <v>4.2416489999999998</v>
      </c>
      <c r="E6521">
        <v>0.65851719999999903</v>
      </c>
      <c r="F6521" t="s">
        <v>43</v>
      </c>
      <c r="G6521">
        <v>-301.55990000000003</v>
      </c>
      <c r="H6521">
        <v>-0.05</v>
      </c>
      <c r="I6521">
        <v>5.7827299999999999</v>
      </c>
      <c r="J6521">
        <v>-323.47120000000001</v>
      </c>
      <c r="K6521">
        <v>1.108563</v>
      </c>
      <c r="L6521">
        <v>17.159479999999999</v>
      </c>
      <c r="M6521">
        <v>0.99973339999999999</v>
      </c>
      <c r="N6521">
        <v>-2.1611100000000001E-2</v>
      </c>
      <c r="O6521">
        <v>-8.1251689999999998E-3</v>
      </c>
      <c r="P6521">
        <v>0.99184499999999998</v>
      </c>
      <c r="Q6521">
        <v>-9.7741099999999997E-2</v>
      </c>
      <c r="R6521">
        <v>-8.1791909999999995E-2</v>
      </c>
      <c r="S6521">
        <v>2.8896790000000001</v>
      </c>
      <c r="T6521">
        <v>-0.15178169999999999</v>
      </c>
      <c r="U6521">
        <v>-1.4907840000000001</v>
      </c>
      <c r="V6521">
        <v>7.3331099999999996E-2</v>
      </c>
      <c r="W6521">
        <v>-7.6651960000000005E-2</v>
      </c>
      <c r="X6521">
        <v>0.99435759999999995</v>
      </c>
      <c r="Y6521">
        <v>0.45051010000000002</v>
      </c>
      <c r="Z6521">
        <v>-1.6051639999999999E-2</v>
      </c>
      <c r="AA6521">
        <v>0.89262710000000001</v>
      </c>
      <c r="AB6521">
        <v>30</v>
      </c>
      <c r="AC6521">
        <v>21.911299999999901</v>
      </c>
      <c r="AD6521">
        <v>-1.158563</v>
      </c>
      <c r="AE6521">
        <v>-11.3767499999999</v>
      </c>
      <c r="AF6521">
        <v>11.173693894264</v>
      </c>
      <c r="AG6521">
        <v>-1.158563</v>
      </c>
      <c r="AH6521">
        <v>21.954689205000602</v>
      </c>
      <c r="AI6521">
        <v>92.692639481298301</v>
      </c>
      <c r="AJ6521">
        <v>63.026482313413297</v>
      </c>
      <c r="AK6521">
        <v>24.661753416086398</v>
      </c>
      <c r="AL6521">
        <v>94.396145908684602</v>
      </c>
      <c r="AM6521">
        <v>85.782231309834899</v>
      </c>
      <c r="AN6521">
        <v>1.0000000049383999</v>
      </c>
    </row>
    <row r="6522" spans="1:40" x14ac:dyDescent="0.25">
      <c r="A6522" t="str">
        <f>"20190305135054411"</f>
        <v>20190305135054411</v>
      </c>
      <c r="B6522" t="str">
        <f>"1551765054406255"</f>
        <v>1551765054406255</v>
      </c>
      <c r="C6522" t="s">
        <v>40</v>
      </c>
      <c r="D6522">
        <v>4.3389610000000003</v>
      </c>
      <c r="E6522">
        <v>0.65895959999999998</v>
      </c>
      <c r="F6522" t="s">
        <v>43</v>
      </c>
      <c r="G6522">
        <v>-301.75290000000001</v>
      </c>
      <c r="H6522">
        <v>-0.05</v>
      </c>
      <c r="I6522">
        <v>5.8433840000000004</v>
      </c>
      <c r="J6522">
        <v>-323.3091</v>
      </c>
      <c r="K6522">
        <v>1.108584</v>
      </c>
      <c r="L6522">
        <v>17.156679999999898</v>
      </c>
      <c r="M6522">
        <v>0.999718</v>
      </c>
      <c r="N6522">
        <v>-2.1750579999999999E-2</v>
      </c>
      <c r="O6522">
        <v>-9.5395340000000006E-3</v>
      </c>
      <c r="P6522">
        <v>0.99154739999999997</v>
      </c>
      <c r="Q6522">
        <v>-9.8522020000000002E-2</v>
      </c>
      <c r="R6522">
        <v>-8.4423369999999998E-2</v>
      </c>
      <c r="S6522">
        <v>2.885529</v>
      </c>
      <c r="T6522">
        <v>-0.15392879999999901</v>
      </c>
      <c r="U6522">
        <v>-1.503479</v>
      </c>
      <c r="V6522">
        <v>7.4557470000000001E-2</v>
      </c>
      <c r="W6522">
        <v>-7.7304199999999906E-2</v>
      </c>
      <c r="X6522">
        <v>0.99421590000000004</v>
      </c>
      <c r="Y6522">
        <v>0.45284049999999998</v>
      </c>
      <c r="Z6522">
        <v>-1.6289580000000001E-2</v>
      </c>
      <c r="AA6522">
        <v>0.89144269999999903</v>
      </c>
      <c r="AB6522">
        <v>30</v>
      </c>
      <c r="AC6522">
        <v>21.556199999999901</v>
      </c>
      <c r="AD6522">
        <v>-1.1585840000000001</v>
      </c>
      <c r="AE6522">
        <v>-11.3132959999999</v>
      </c>
      <c r="AF6522">
        <v>11.0819966103545</v>
      </c>
      <c r="AG6522">
        <v>-1.1585840000000001</v>
      </c>
      <c r="AH6522">
        <v>21.6142137344556</v>
      </c>
      <c r="AI6522">
        <v>92.730867795934401</v>
      </c>
      <c r="AJ6522">
        <v>62.8549686652578</v>
      </c>
      <c r="AK6522">
        <v>24.317220258814402</v>
      </c>
      <c r="AL6522">
        <v>94.433627721430398</v>
      </c>
      <c r="AM6522">
        <v>85.711346529735394</v>
      </c>
      <c r="AN6522">
        <v>1.0000000057416201</v>
      </c>
    </row>
    <row r="6523" spans="1:40" x14ac:dyDescent="0.25">
      <c r="A6523" t="str">
        <f>"20190305135054422"</f>
        <v>20190305135054422</v>
      </c>
      <c r="B6523" t="str">
        <f>"1551765054416013"</f>
        <v>1551765054416013</v>
      </c>
      <c r="C6523" t="s">
        <v>40</v>
      </c>
      <c r="D6523">
        <v>4.2141270000000004</v>
      </c>
      <c r="E6523">
        <v>0.65927780000000002</v>
      </c>
      <c r="F6523" t="s">
        <v>43</v>
      </c>
      <c r="G6523">
        <v>-302.26389999999998</v>
      </c>
      <c r="H6523">
        <v>-0.05</v>
      </c>
      <c r="I6523">
        <v>6.0907289999999996</v>
      </c>
      <c r="J6523">
        <v>-323.15019999999998</v>
      </c>
      <c r="K6523">
        <v>1.108595</v>
      </c>
      <c r="L6523">
        <v>17.15363</v>
      </c>
      <c r="M6523">
        <v>0.9997009</v>
      </c>
      <c r="N6523">
        <v>-2.1877899999999999E-2</v>
      </c>
      <c r="O6523">
        <v>-1.0937870000000001E-2</v>
      </c>
      <c r="P6523">
        <v>0.99126820000000004</v>
      </c>
      <c r="Q6523">
        <v>-9.9007139999999993E-2</v>
      </c>
      <c r="R6523">
        <v>-8.7094050000000006E-2</v>
      </c>
      <c r="S6523">
        <v>2.8808289999999999</v>
      </c>
      <c r="T6523">
        <v>-0.1585965</v>
      </c>
      <c r="U6523">
        <v>-1.5148010000000001</v>
      </c>
      <c r="V6523">
        <v>7.5840130000000006E-2</v>
      </c>
      <c r="W6523">
        <v>-7.7673210000000006E-2</v>
      </c>
      <c r="X6523">
        <v>0.99409009999999998</v>
      </c>
      <c r="Y6523">
        <v>0.45489390000000002</v>
      </c>
      <c r="Z6523">
        <v>-1.6695479999999999E-2</v>
      </c>
      <c r="AA6523">
        <v>0.89038909999999905</v>
      </c>
      <c r="AB6523">
        <v>30</v>
      </c>
      <c r="AC6523">
        <v>20.886299999999999</v>
      </c>
      <c r="AD6523">
        <v>-1.158595</v>
      </c>
      <c r="AE6523">
        <v>-11.062901</v>
      </c>
      <c r="AF6523">
        <v>10.8077621992385</v>
      </c>
      <c r="AG6523">
        <v>-1.158595</v>
      </c>
      <c r="AH6523">
        <v>20.955728178980799</v>
      </c>
      <c r="AI6523">
        <v>92.813112762607901</v>
      </c>
      <c r="AJ6523">
        <v>62.7179130590713</v>
      </c>
      <c r="AK6523">
        <v>23.6070457626668</v>
      </c>
      <c r="AL6523">
        <v>94.454834270774498</v>
      </c>
      <c r="AM6523">
        <v>85.637298564167907</v>
      </c>
      <c r="AN6523">
        <v>0.99999998989406502</v>
      </c>
    </row>
    <row r="6524" spans="1:40" x14ac:dyDescent="0.25">
      <c r="A6524" t="str">
        <f>"20190305135054433"</f>
        <v>20190305135054433</v>
      </c>
      <c r="B6524" t="str">
        <f>"1551765054426749"</f>
        <v>1551765054426749</v>
      </c>
      <c r="C6524" t="s">
        <v>40</v>
      </c>
      <c r="D6524">
        <v>4.2174069999999997</v>
      </c>
      <c r="E6524">
        <v>0.65961009999999998</v>
      </c>
      <c r="F6524" t="s">
        <v>43</v>
      </c>
      <c r="G6524">
        <v>-302.39870000000002</v>
      </c>
      <c r="H6524">
        <v>-0.05</v>
      </c>
      <c r="I6524">
        <v>6.1511690000000003</v>
      </c>
      <c r="J6524">
        <v>-323.00560000000002</v>
      </c>
      <c r="K6524">
        <v>1.1086009999999999</v>
      </c>
      <c r="L6524">
        <v>17.150670000000002</v>
      </c>
      <c r="M6524">
        <v>0.99968360000000001</v>
      </c>
      <c r="N6524">
        <v>-2.199017E-2</v>
      </c>
      <c r="O6524">
        <v>-1.2218430000000001E-2</v>
      </c>
      <c r="P6524">
        <v>0.99104510000000001</v>
      </c>
      <c r="Q6524">
        <v>-9.8963289999999995E-2</v>
      </c>
      <c r="R6524">
        <v>-8.9644799999999997E-2</v>
      </c>
      <c r="S6524">
        <v>2.8764340000000002</v>
      </c>
      <c r="T6524">
        <v>-0.16059660000000001</v>
      </c>
      <c r="U6524">
        <v>-1.525085</v>
      </c>
      <c r="V6524">
        <v>7.7121990000000001E-2</v>
      </c>
      <c r="W6524">
        <v>-7.7527600000000002E-2</v>
      </c>
      <c r="X6524">
        <v>0.99400290000000002</v>
      </c>
      <c r="Y6524">
        <v>0.45677970000000001</v>
      </c>
      <c r="Z6524">
        <v>-1.690639E-2</v>
      </c>
      <c r="AA6524">
        <v>0.88941909999999902</v>
      </c>
      <c r="AB6524">
        <v>30</v>
      </c>
      <c r="AC6524">
        <v>20.6069</v>
      </c>
      <c r="AD6524">
        <v>-1.158601</v>
      </c>
      <c r="AE6524">
        <v>-10.999501</v>
      </c>
      <c r="AF6524">
        <v>10.720460406905699</v>
      </c>
      <c r="AG6524">
        <v>-1.158601</v>
      </c>
      <c r="AH6524">
        <v>20.688891726823002</v>
      </c>
      <c r="AI6524">
        <v>92.846529500909199</v>
      </c>
      <c r="AJ6524">
        <v>62.607951648643102</v>
      </c>
      <c r="AK6524">
        <v>23.330256503035699</v>
      </c>
      <c r="AL6524">
        <v>94.446465941305206</v>
      </c>
      <c r="AM6524">
        <v>85.563463900790794</v>
      </c>
      <c r="AN6524">
        <v>1.0000000476558599</v>
      </c>
    </row>
    <row r="6525" spans="1:40" x14ac:dyDescent="0.25">
      <c r="A6525" t="str">
        <f>"20190305135054445"</f>
        <v>20190305135054445</v>
      </c>
      <c r="B6525" t="str">
        <f>"1551765054436509"</f>
        <v>1551765054436509</v>
      </c>
      <c r="C6525" t="s">
        <v>40</v>
      </c>
      <c r="D6525">
        <v>4.2044139999999999</v>
      </c>
      <c r="E6525">
        <v>0.65997439999999996</v>
      </c>
      <c r="F6525" t="s">
        <v>43</v>
      </c>
      <c r="G6525">
        <v>-302.17380000000003</v>
      </c>
      <c r="H6525">
        <v>-0.05</v>
      </c>
      <c r="I6525">
        <v>6.0164030000000004</v>
      </c>
      <c r="J6525">
        <v>-322.85199999999998</v>
      </c>
      <c r="K6525">
        <v>1.1085959999999999</v>
      </c>
      <c r="L6525">
        <v>17.14725</v>
      </c>
      <c r="M6525">
        <v>0.99966339999999998</v>
      </c>
      <c r="N6525">
        <v>-2.2102610000000002E-2</v>
      </c>
      <c r="O6525">
        <v>-1.3595090000000001E-2</v>
      </c>
      <c r="P6525">
        <v>0.99081669999999999</v>
      </c>
      <c r="Q6525">
        <v>-9.9082809999999993E-2</v>
      </c>
      <c r="R6525">
        <v>-9.2004849999999999E-2</v>
      </c>
      <c r="S6525">
        <v>2.8722840000000001</v>
      </c>
      <c r="T6525">
        <v>-0.15974749999999999</v>
      </c>
      <c r="U6525">
        <v>-1.5351870000000001</v>
      </c>
      <c r="V6525">
        <v>7.8117049999999993E-2</v>
      </c>
      <c r="W6525">
        <v>-7.754453E-2</v>
      </c>
      <c r="X6525">
        <v>0.99392380000000002</v>
      </c>
      <c r="Y6525">
        <v>0.45852510000000002</v>
      </c>
      <c r="Z6525">
        <v>-1.6908019999999999E-2</v>
      </c>
      <c r="AA6525">
        <v>0.88852059999999999</v>
      </c>
      <c r="AB6525">
        <v>30</v>
      </c>
      <c r="AC6525">
        <v>20.6782</v>
      </c>
      <c r="AD6525">
        <v>-1.158596</v>
      </c>
      <c r="AE6525">
        <v>-11.130846999999999</v>
      </c>
      <c r="AF6525">
        <v>10.822285070678999</v>
      </c>
      <c r="AG6525">
        <v>-1.158596</v>
      </c>
      <c r="AH6525">
        <v>20.777077199961099</v>
      </c>
      <c r="AI6525">
        <v>92.831329528858106</v>
      </c>
      <c r="AJ6525">
        <v>62.486065305470099</v>
      </c>
      <c r="AK6525">
        <v>23.455300804197801</v>
      </c>
      <c r="AL6525">
        <v>94.447439216410501</v>
      </c>
      <c r="AM6525">
        <v>85.506098670287898</v>
      </c>
      <c r="AN6525">
        <v>0.99999997392003104</v>
      </c>
    </row>
    <row r="6526" spans="1:40" x14ac:dyDescent="0.25">
      <c r="A6526" t="str">
        <f>"20190305135054457"</f>
        <v>20190305135054457</v>
      </c>
      <c r="B6526" t="str">
        <f>"1551765054446269"</f>
        <v>1551765054446269</v>
      </c>
      <c r="C6526" t="s">
        <v>40</v>
      </c>
      <c r="D6526">
        <v>4.2305419999999998</v>
      </c>
      <c r="E6526">
        <v>0.66037299999999999</v>
      </c>
      <c r="F6526" t="s">
        <v>43</v>
      </c>
      <c r="G6526">
        <v>-301.8535</v>
      </c>
      <c r="H6526">
        <v>-0.05</v>
      </c>
      <c r="I6526">
        <v>5.8390959999999996</v>
      </c>
      <c r="J6526">
        <v>-322.71190000000001</v>
      </c>
      <c r="K6526">
        <v>1.1085879999999999</v>
      </c>
      <c r="L6526">
        <v>17.14395</v>
      </c>
      <c r="M6526">
        <v>0.99964280000000005</v>
      </c>
      <c r="N6526">
        <v>-2.219954E-2</v>
      </c>
      <c r="O6526">
        <v>-1.48804E-2</v>
      </c>
      <c r="P6526">
        <v>0.99059839999999999</v>
      </c>
      <c r="Q6526">
        <v>-9.8857429999999996E-2</v>
      </c>
      <c r="R6526">
        <v>-9.4562560000000004E-2</v>
      </c>
      <c r="S6526">
        <v>2.8685299999999998</v>
      </c>
      <c r="T6526">
        <v>-0.158272</v>
      </c>
      <c r="U6526">
        <v>-1.5447690000000001</v>
      </c>
      <c r="V6526">
        <v>7.9400070000000003E-2</v>
      </c>
      <c r="W6526">
        <v>-7.7234910000000004E-2</v>
      </c>
      <c r="X6526">
        <v>0.99384620000000001</v>
      </c>
      <c r="Y6526">
        <v>0.46017780000000003</v>
      </c>
      <c r="Z6526">
        <v>-1.6860529999999999E-2</v>
      </c>
      <c r="AA6526">
        <v>0.88766669999999903</v>
      </c>
      <c r="AB6526">
        <v>30</v>
      </c>
      <c r="AC6526">
        <v>20.8584</v>
      </c>
      <c r="AD6526">
        <v>-1.158588</v>
      </c>
      <c r="AE6526">
        <v>-11.304853999999899</v>
      </c>
      <c r="AF6526">
        <v>10.9669900317448</v>
      </c>
      <c r="AG6526">
        <v>-1.158588</v>
      </c>
      <c r="AH6526">
        <v>20.974332524823499</v>
      </c>
      <c r="AI6526">
        <v>92.802428598062406</v>
      </c>
      <c r="AJ6526">
        <v>62.3959797889149</v>
      </c>
      <c r="AK6526">
        <v>23.6968314627083</v>
      </c>
      <c r="AL6526">
        <v>94.429646102099497</v>
      </c>
      <c r="AM6526">
        <v>85.432244033645503</v>
      </c>
      <c r="AN6526">
        <v>0.99999993584657398</v>
      </c>
    </row>
    <row r="6527" spans="1:40" x14ac:dyDescent="0.25">
      <c r="A6527" t="str">
        <f>"20190305135054466"</f>
        <v>20190305135054466</v>
      </c>
      <c r="B6527" t="str">
        <f>"1551765054457006"</f>
        <v>1551765054457006</v>
      </c>
      <c r="C6527" t="s">
        <v>40</v>
      </c>
      <c r="D6527">
        <v>4.221088</v>
      </c>
      <c r="E6527">
        <v>0.66068260000000001</v>
      </c>
      <c r="F6527" t="s">
        <v>43</v>
      </c>
      <c r="G6527">
        <v>-301.47649999999999</v>
      </c>
      <c r="H6527">
        <v>-0.05</v>
      </c>
      <c r="I6527">
        <v>5.6142580000000004</v>
      </c>
      <c r="J6527">
        <v>-322.56330000000003</v>
      </c>
      <c r="K6527">
        <v>1.1085719999999999</v>
      </c>
      <c r="L6527">
        <v>17.14029</v>
      </c>
      <c r="M6527">
        <v>0.99961909999999998</v>
      </c>
      <c r="N6527">
        <v>-2.2297979999999998E-2</v>
      </c>
      <c r="O6527">
        <v>-1.626696E-2</v>
      </c>
      <c r="P6527">
        <v>0.99039540000000004</v>
      </c>
      <c r="Q6527">
        <v>-9.8209420000000006E-2</v>
      </c>
      <c r="R6527">
        <v>-9.732296E-2</v>
      </c>
      <c r="S6527">
        <v>2.8643800000000001</v>
      </c>
      <c r="T6527">
        <v>-0.15627839999999901</v>
      </c>
      <c r="U6527">
        <v>-1.5552060000000001</v>
      </c>
      <c r="V6527">
        <v>8.0786540000000004E-2</v>
      </c>
      <c r="W6527">
        <v>-7.6502810000000004E-2</v>
      </c>
      <c r="X6527">
        <v>0.99379119999999999</v>
      </c>
      <c r="Y6527">
        <v>0.46199659999999898</v>
      </c>
      <c r="Z6527">
        <v>-1.678205E-2</v>
      </c>
      <c r="AA6527">
        <v>0.88672289999999998</v>
      </c>
      <c r="AB6527">
        <v>29</v>
      </c>
      <c r="AC6527">
        <v>21.0868</v>
      </c>
      <c r="AD6527">
        <v>-1.1585719999999999</v>
      </c>
      <c r="AE6527">
        <v>-11.526032000000001</v>
      </c>
      <c r="AF6527">
        <v>11.1554740884336</v>
      </c>
      <c r="AG6527">
        <v>-1.1585719999999999</v>
      </c>
      <c r="AH6527">
        <v>21.2222218048367</v>
      </c>
      <c r="AI6527">
        <v>92.766554732298701</v>
      </c>
      <c r="AJ6527">
        <v>62.271311785629599</v>
      </c>
      <c r="AK6527">
        <v>24.0035328556149</v>
      </c>
      <c r="AL6527">
        <v>94.3875748908562</v>
      </c>
      <c r="AM6527">
        <v>85.352572994666303</v>
      </c>
      <c r="AN6527">
        <v>1.0000000470902499</v>
      </c>
    </row>
    <row r="6528" spans="1:40" x14ac:dyDescent="0.25">
      <c r="A6528" t="str">
        <f>"20190305135054477"</f>
        <v>20190305135054477</v>
      </c>
      <c r="B6528" t="str">
        <f>"1551765054466766"</f>
        <v>1551765054466766</v>
      </c>
      <c r="C6528" t="s">
        <v>40</v>
      </c>
      <c r="D6528">
        <v>4.2320080000000004</v>
      </c>
      <c r="E6528">
        <v>0.66104350000000001</v>
      </c>
      <c r="F6528" t="s">
        <v>43</v>
      </c>
      <c r="G6528">
        <v>-300.98399999999998</v>
      </c>
      <c r="H6528">
        <v>-0.05</v>
      </c>
      <c r="I6528">
        <v>5.3273619999999999</v>
      </c>
      <c r="J6528">
        <v>-322.4325</v>
      </c>
      <c r="K6528">
        <v>1.1085370000000001</v>
      </c>
      <c r="L6528">
        <v>17.13672</v>
      </c>
      <c r="M6528">
        <v>0.99959549999999997</v>
      </c>
      <c r="N6528">
        <v>-2.2378640000000002E-2</v>
      </c>
      <c r="O6528">
        <v>-1.755669E-2</v>
      </c>
      <c r="P6528">
        <v>0.99018430000000002</v>
      </c>
      <c r="Q6528">
        <v>-9.7779420000000006E-2</v>
      </c>
      <c r="R6528">
        <v>-9.9870669999999995E-2</v>
      </c>
      <c r="S6528">
        <v>2.8600460000000001</v>
      </c>
      <c r="T6528">
        <v>-0.15355279999999999</v>
      </c>
      <c r="U6528">
        <v>-1.5656429999999999</v>
      </c>
      <c r="V6528">
        <v>8.2052639999999996E-2</v>
      </c>
      <c r="W6528">
        <v>-7.6009430000000003E-2</v>
      </c>
      <c r="X6528">
        <v>0.99372530000000003</v>
      </c>
      <c r="Y6528">
        <v>0.46392660000000002</v>
      </c>
      <c r="Z6528">
        <v>-1.665616E-2</v>
      </c>
      <c r="AA6528">
        <v>0.88571699999999998</v>
      </c>
      <c r="AB6528">
        <v>29</v>
      </c>
      <c r="AC6528">
        <v>21.4484999999999</v>
      </c>
      <c r="AD6528">
        <v>-1.1585369999999999</v>
      </c>
      <c r="AE6528">
        <v>-11.809358</v>
      </c>
      <c r="AF6528">
        <v>11.405342728990799</v>
      </c>
      <c r="AG6528">
        <v>-1.1585369999999999</v>
      </c>
      <c r="AH6528">
        <v>21.604208344594198</v>
      </c>
      <c r="AI6528">
        <v>92.715090293082199</v>
      </c>
      <c r="AJ6528">
        <v>62.169428817844</v>
      </c>
      <c r="AK6528">
        <v>24.4574297288727</v>
      </c>
      <c r="AL6528">
        <v>94.359223865186195</v>
      </c>
      <c r="AM6528">
        <v>85.279752706266393</v>
      </c>
      <c r="AN6528">
        <v>1.0000000205199899</v>
      </c>
    </row>
    <row r="6529" spans="1:40" x14ac:dyDescent="0.25">
      <c r="A6529" t="str">
        <f>"20190305135054489"</f>
        <v>20190305135054489</v>
      </c>
      <c r="B6529" t="str">
        <f>"1551765054476525"</f>
        <v>1551765054476525</v>
      </c>
      <c r="C6529" t="s">
        <v>40</v>
      </c>
      <c r="D6529">
        <v>4.2747849999999996</v>
      </c>
      <c r="E6529">
        <v>0.66133339999999996</v>
      </c>
      <c r="F6529" t="s">
        <v>43</v>
      </c>
      <c r="G6529">
        <v>-300.47660000000002</v>
      </c>
      <c r="H6529">
        <v>-0.05</v>
      </c>
      <c r="I6529">
        <v>5.021973</v>
      </c>
      <c r="J6529">
        <v>-322.27940000000001</v>
      </c>
      <c r="K6529">
        <v>1.1084909999999999</v>
      </c>
      <c r="L6529">
        <v>17.132449999999999</v>
      </c>
      <c r="M6529">
        <v>0.99956540000000005</v>
      </c>
      <c r="N6529">
        <v>-2.2470400000000001E-2</v>
      </c>
      <c r="O6529">
        <v>-1.909143E-2</v>
      </c>
      <c r="P6529">
        <v>0.98985809999999996</v>
      </c>
      <c r="Q6529">
        <v>-9.7736400000000001E-2</v>
      </c>
      <c r="R6529">
        <v>-0.103098</v>
      </c>
      <c r="S6529">
        <v>2.8559269999999999</v>
      </c>
      <c r="T6529">
        <v>-0.15069779999999999</v>
      </c>
      <c r="U6529">
        <v>-1.575836</v>
      </c>
      <c r="V6529">
        <v>8.3752690000000005E-2</v>
      </c>
      <c r="W6529">
        <v>-7.5899270000000005E-2</v>
      </c>
      <c r="X6529">
        <v>0.99359180000000002</v>
      </c>
      <c r="Y6529">
        <v>0.46555079999999999</v>
      </c>
      <c r="Z6529">
        <v>-1.650621E-2</v>
      </c>
      <c r="AA6529">
        <v>0.88486730000000002</v>
      </c>
      <c r="AB6529">
        <v>29</v>
      </c>
      <c r="AC6529">
        <v>21.802799999999898</v>
      </c>
      <c r="AD6529">
        <v>-1.1584909999999999</v>
      </c>
      <c r="AE6529">
        <v>-12.110476999999999</v>
      </c>
      <c r="AF6529">
        <v>11.666744463217199</v>
      </c>
      <c r="AG6529">
        <v>-1.1584909999999999</v>
      </c>
      <c r="AH6529">
        <v>21.9826584878486</v>
      </c>
      <c r="AI6529">
        <v>92.665224220257798</v>
      </c>
      <c r="AJ6529">
        <v>62.043994119961603</v>
      </c>
      <c r="AK6529">
        <v>24.913697075313301</v>
      </c>
      <c r="AL6529">
        <v>94.352894233846797</v>
      </c>
      <c r="AM6529">
        <v>85.181765240564701</v>
      </c>
      <c r="AN6529">
        <v>0.99999993864800196</v>
      </c>
    </row>
    <row r="6530" spans="1:40" x14ac:dyDescent="0.25">
      <c r="A6530" t="str">
        <f>"20190305135054500"</f>
        <v>20190305135054500</v>
      </c>
      <c r="B6530" t="str">
        <f>"1551765054497022"</f>
        <v>1551765054497022</v>
      </c>
      <c r="C6530" t="s">
        <v>40</v>
      </c>
      <c r="D6530">
        <v>4.2843939999999998</v>
      </c>
      <c r="E6530">
        <v>0.66190300000000002</v>
      </c>
      <c r="F6530" t="s">
        <v>43</v>
      </c>
      <c r="G6530">
        <v>-299.99669999999998</v>
      </c>
      <c r="H6530">
        <v>-0.05</v>
      </c>
      <c r="I6530">
        <v>4.725403</v>
      </c>
      <c r="J6530">
        <v>-322.13490000000002</v>
      </c>
      <c r="K6530">
        <v>1.1084080000000001</v>
      </c>
      <c r="L6530">
        <v>17.127929999999999</v>
      </c>
      <c r="M6530">
        <v>0.99953210000000003</v>
      </c>
      <c r="N6530">
        <v>-2.2542010000000001E-2</v>
      </c>
      <c r="O6530">
        <v>-2.0677069999999999E-2</v>
      </c>
      <c r="P6530">
        <v>0.98951920000000004</v>
      </c>
      <c r="Q6530">
        <v>-9.7853590000000004E-2</v>
      </c>
      <c r="R6530">
        <v>-0.10619199999999999</v>
      </c>
      <c r="S6530">
        <v>2.8507690000000001</v>
      </c>
      <c r="T6530">
        <v>-0.14821289999999901</v>
      </c>
      <c r="U6530">
        <v>-1.5873109999999999</v>
      </c>
      <c r="V6530">
        <v>8.5263069999999996E-2</v>
      </c>
      <c r="W6530">
        <v>-7.5975399999999901E-2</v>
      </c>
      <c r="X6530">
        <v>0.99345760000000005</v>
      </c>
      <c r="Y6530">
        <v>0.46756219999999998</v>
      </c>
      <c r="Z6530">
        <v>-1.6393700000000001E-2</v>
      </c>
      <c r="AA6530">
        <v>0.88380809999999999</v>
      </c>
      <c r="AB6530">
        <v>29</v>
      </c>
      <c r="AC6530">
        <v>22.138200000000001</v>
      </c>
      <c r="AD6530">
        <v>-1.1584079999999899</v>
      </c>
      <c r="AE6530">
        <v>-12.402526999999999</v>
      </c>
      <c r="AF6530">
        <v>11.9171697302064</v>
      </c>
      <c r="AG6530">
        <v>-1.1584079999999899</v>
      </c>
      <c r="AH6530">
        <v>22.3434148881427</v>
      </c>
      <c r="AI6530">
        <v>92.619200814525996</v>
      </c>
      <c r="AJ6530">
        <v>61.926151924151497</v>
      </c>
      <c r="AK6530">
        <v>25.3493398797028</v>
      </c>
      <c r="AL6530">
        <v>94.357268403937695</v>
      </c>
      <c r="AM6530">
        <v>85.094634942738494</v>
      </c>
      <c r="AN6530">
        <v>1.0000000277543699</v>
      </c>
    </row>
    <row r="6531" spans="1:40" x14ac:dyDescent="0.25">
      <c r="A6531" t="str">
        <f>"20190305135054511"</f>
        <v>20190305135054511</v>
      </c>
      <c r="B6531" t="str">
        <f>"1551765054506782"</f>
        <v>1551765054506782</v>
      </c>
      <c r="C6531" t="s">
        <v>40</v>
      </c>
      <c r="D6531">
        <v>4.2529409999999999</v>
      </c>
      <c r="E6531">
        <v>0.66223240000000005</v>
      </c>
      <c r="F6531" t="s">
        <v>43</v>
      </c>
      <c r="G6531">
        <v>-299.75150000000002</v>
      </c>
      <c r="H6531">
        <v>-0.05</v>
      </c>
      <c r="I6531">
        <v>4.5355220000000003</v>
      </c>
      <c r="J6531">
        <v>-321.99079999999998</v>
      </c>
      <c r="K6531">
        <v>1.1083229999999999</v>
      </c>
      <c r="L6531">
        <v>17.123290000000001</v>
      </c>
      <c r="M6531">
        <v>0.99949569999999999</v>
      </c>
      <c r="N6531">
        <v>-2.2610269999999998E-2</v>
      </c>
      <c r="O6531">
        <v>-2.2294439999999999E-2</v>
      </c>
      <c r="P6531">
        <v>0.98915330000000001</v>
      </c>
      <c r="Q6531">
        <v>-9.79738E-2</v>
      </c>
      <c r="R6531">
        <v>-0.10944</v>
      </c>
      <c r="S6531">
        <v>2.8454280000000001</v>
      </c>
      <c r="T6531">
        <v>-0.1472588</v>
      </c>
      <c r="U6531">
        <v>-1.6007690000000001</v>
      </c>
      <c r="V6531">
        <v>8.6895810000000004E-2</v>
      </c>
      <c r="W6531">
        <v>-7.6061139999999999E-2</v>
      </c>
      <c r="X6531">
        <v>0.99330960000000001</v>
      </c>
      <c r="Y6531">
        <v>0.47001989999999999</v>
      </c>
      <c r="Z6531">
        <v>-1.6402690000000001E-2</v>
      </c>
      <c r="AA6531">
        <v>0.88250339999999905</v>
      </c>
      <c r="AB6531">
        <v>29</v>
      </c>
      <c r="AC6531">
        <v>22.239299999999901</v>
      </c>
      <c r="AD6531">
        <v>-1.158323</v>
      </c>
      <c r="AE6531">
        <v>-12.587767999999899</v>
      </c>
      <c r="AF6531">
        <v>12.0639120061753</v>
      </c>
      <c r="AG6531">
        <v>-1.158323</v>
      </c>
      <c r="AH6531">
        <v>22.468315864724399</v>
      </c>
      <c r="AI6531">
        <v>92.600614320708004</v>
      </c>
      <c r="AJ6531">
        <v>61.767316276301798</v>
      </c>
      <c r="AK6531">
        <v>25.5285115676981</v>
      </c>
      <c r="AL6531">
        <v>94.362195014770407</v>
      </c>
      <c r="AM6531">
        <v>85.000430435693204</v>
      </c>
      <c r="AN6531">
        <v>1.0000000701328999</v>
      </c>
    </row>
    <row r="6532" spans="1:40" x14ac:dyDescent="0.25">
      <c r="A6532" t="str">
        <f>"20190305135054523"</f>
        <v>20190305135054523</v>
      </c>
      <c r="B6532" t="str">
        <f>"1551765054516541"</f>
        <v>1551765054516541</v>
      </c>
      <c r="C6532" t="s">
        <v>40</v>
      </c>
      <c r="D6532">
        <v>4.2359799999999996</v>
      </c>
      <c r="E6532">
        <v>0.66249769999999997</v>
      </c>
      <c r="F6532" t="s">
        <v>43</v>
      </c>
      <c r="G6532">
        <v>-299.3956</v>
      </c>
      <c r="H6532">
        <v>-0.05</v>
      </c>
      <c r="I6532">
        <v>4.2940519999999998</v>
      </c>
      <c r="J6532">
        <v>-321.83179999999999</v>
      </c>
      <c r="K6532">
        <v>1.1081890000000001</v>
      </c>
      <c r="L6532">
        <v>17.117609999999999</v>
      </c>
      <c r="M6532">
        <v>0.99944889999999997</v>
      </c>
      <c r="N6532">
        <v>-2.2672350000000001E-2</v>
      </c>
      <c r="O6532">
        <v>-2.4247919999999999E-2</v>
      </c>
      <c r="P6532">
        <v>0.9886952</v>
      </c>
      <c r="Q6532">
        <v>-9.8518090000000003E-2</v>
      </c>
      <c r="R6532">
        <v>-0.11303249999999999</v>
      </c>
      <c r="S6532">
        <v>2.8400569999999998</v>
      </c>
      <c r="T6532">
        <v>-0.14559339999999901</v>
      </c>
      <c r="U6532">
        <v>-1.612549</v>
      </c>
      <c r="V6532">
        <v>8.8531490000000004E-2</v>
      </c>
      <c r="W6532">
        <v>-7.6588500000000004E-2</v>
      </c>
      <c r="X6532">
        <v>0.99312449999999997</v>
      </c>
      <c r="Y6532">
        <v>0.47178999999999999</v>
      </c>
      <c r="Z6532">
        <v>-1.6328390000000002E-2</v>
      </c>
      <c r="AA6532">
        <v>0.88155969999999995</v>
      </c>
      <c r="AB6532">
        <v>29</v>
      </c>
      <c r="AC6532">
        <v>22.4361999999999</v>
      </c>
      <c r="AD6532">
        <v>-1.1581889999999999</v>
      </c>
      <c r="AE6532">
        <v>-12.823557999999901</v>
      </c>
      <c r="AF6532">
        <v>12.2510071266324</v>
      </c>
      <c r="AG6532">
        <v>-1.1581889999999999</v>
      </c>
      <c r="AH6532">
        <v>22.695038941116799</v>
      </c>
      <c r="AI6532">
        <v>92.571283351378597</v>
      </c>
      <c r="AJ6532">
        <v>61.639386440837299</v>
      </c>
      <c r="AK6532">
        <v>25.816532879442299</v>
      </c>
      <c r="AL6532">
        <v>94.392499450054501</v>
      </c>
      <c r="AM6532">
        <v>84.905867391376603</v>
      </c>
      <c r="AN6532">
        <v>0.99999994777705803</v>
      </c>
    </row>
    <row r="6533" spans="1:40" x14ac:dyDescent="0.25">
      <c r="A6533" t="str">
        <f>"20190305135054537"</f>
        <v>20190305135054537</v>
      </c>
      <c r="B6533" t="str">
        <f>"1551765054526301"</f>
        <v>1551765054526301</v>
      </c>
      <c r="C6533" t="s">
        <v>40</v>
      </c>
      <c r="D6533">
        <v>4.2792469999999998</v>
      </c>
      <c r="E6533">
        <v>0.6628309</v>
      </c>
      <c r="F6533" t="s">
        <v>43</v>
      </c>
      <c r="G6533">
        <v>-299.33190000000002</v>
      </c>
      <c r="H6533">
        <v>-0.05</v>
      </c>
      <c r="I6533">
        <v>4.2176210000000003</v>
      </c>
      <c r="J6533">
        <v>-321.66570000000002</v>
      </c>
      <c r="K6533">
        <v>1.108034</v>
      </c>
      <c r="L6533">
        <v>17.1113</v>
      </c>
      <c r="M6533">
        <v>0.99939299999999998</v>
      </c>
      <c r="N6533">
        <v>-2.2729989999999999E-2</v>
      </c>
      <c r="O6533">
        <v>-2.64018E-2</v>
      </c>
      <c r="P6533">
        <v>0.98825689999999999</v>
      </c>
      <c r="Q6533">
        <v>-9.8561529999999994E-2</v>
      </c>
      <c r="R6533">
        <v>-0.1167661</v>
      </c>
      <c r="S6533">
        <v>2.8339840000000001</v>
      </c>
      <c r="T6533">
        <v>-0.1458796</v>
      </c>
      <c r="U6533">
        <v>-1.624817</v>
      </c>
      <c r="V6533">
        <v>9.0109850000000005E-2</v>
      </c>
      <c r="W6533">
        <v>-7.6622880000000004E-2</v>
      </c>
      <c r="X6533">
        <v>0.99297990000000003</v>
      </c>
      <c r="Y6533">
        <v>0.47357169999999998</v>
      </c>
      <c r="Z6533">
        <v>-1.6385920000000002E-2</v>
      </c>
      <c r="AA6533">
        <v>0.88060280000000002</v>
      </c>
      <c r="AB6533">
        <v>29</v>
      </c>
      <c r="AC6533">
        <v>22.3338</v>
      </c>
      <c r="AD6533">
        <v>-1.158034</v>
      </c>
      <c r="AE6533">
        <v>-12.893679000000001</v>
      </c>
      <c r="AF6533">
        <v>12.274625827982</v>
      </c>
      <c r="AG6533">
        <v>-1.158034</v>
      </c>
      <c r="AH6533">
        <v>22.620900659304901</v>
      </c>
      <c r="AI6533">
        <v>92.576322703713799</v>
      </c>
      <c r="AJ6533">
        <v>61.514714739529097</v>
      </c>
      <c r="AK6533">
        <v>25.762620763428998</v>
      </c>
      <c r="AL6533">
        <v>94.394475002943807</v>
      </c>
      <c r="AM6533">
        <v>84.8147877782433</v>
      </c>
      <c r="AN6533">
        <v>0.999999966305262</v>
      </c>
    </row>
    <row r="6534" spans="1:40" x14ac:dyDescent="0.25">
      <c r="A6534" t="str">
        <f>"20190305135054547"</f>
        <v>20190305135054547</v>
      </c>
      <c r="B6534" t="str">
        <f>"1551765054536062"</f>
        <v>1551765054536062</v>
      </c>
      <c r="C6534" t="s">
        <v>40</v>
      </c>
      <c r="D6534">
        <v>4.2694879999999999</v>
      </c>
      <c r="E6534">
        <v>0.66315869999999999</v>
      </c>
      <c r="F6534" t="s">
        <v>43</v>
      </c>
      <c r="G6534">
        <v>-299.02809999999999</v>
      </c>
      <c r="H6534">
        <v>-0.05</v>
      </c>
      <c r="I6534">
        <v>3.9967350000000001</v>
      </c>
      <c r="J6534">
        <v>-321.52179999999998</v>
      </c>
      <c r="K6534">
        <v>1.107888</v>
      </c>
      <c r="L6534">
        <v>17.105529999999899</v>
      </c>
      <c r="M6534">
        <v>0.99933839999999996</v>
      </c>
      <c r="N6534">
        <v>-2.2774039999999999E-2</v>
      </c>
      <c r="O6534">
        <v>-2.835559E-2</v>
      </c>
      <c r="P6534">
        <v>0.9878091</v>
      </c>
      <c r="Q6534">
        <v>-9.8449099999999998E-2</v>
      </c>
      <c r="R6534">
        <v>-0.12058820000000001</v>
      </c>
      <c r="S6534">
        <v>2.8276370000000002</v>
      </c>
      <c r="T6534">
        <v>-0.14464839999999901</v>
      </c>
      <c r="U6534">
        <v>-1.638123</v>
      </c>
      <c r="V6534">
        <v>9.1979340000000007E-2</v>
      </c>
      <c r="W6534">
        <v>-7.6515730000000004E-2</v>
      </c>
      <c r="X6534">
        <v>0.9928167</v>
      </c>
      <c r="Y6534">
        <v>0.47581580000000001</v>
      </c>
      <c r="Z6534">
        <v>-1.6357859999999998E-2</v>
      </c>
      <c r="AA6534">
        <v>0.87939290000000003</v>
      </c>
      <c r="AB6534">
        <v>29</v>
      </c>
      <c r="AC6534">
        <v>22.493699999999901</v>
      </c>
      <c r="AD6534">
        <v>-1.157888</v>
      </c>
      <c r="AE6534">
        <v>-13.108795000000001</v>
      </c>
      <c r="AF6534">
        <v>12.4409253917339</v>
      </c>
      <c r="AG6534">
        <v>-1.157888</v>
      </c>
      <c r="AH6534">
        <v>22.811333740550001</v>
      </c>
      <c r="AI6534">
        <v>92.551567731697602</v>
      </c>
      <c r="AJ6534">
        <v>61.3926769549361</v>
      </c>
      <c r="AK6534">
        <v>26.009119097847002</v>
      </c>
      <c r="AL6534">
        <v>94.388317852712305</v>
      </c>
      <c r="AM6534">
        <v>84.706950946919804</v>
      </c>
      <c r="AN6534">
        <v>0.99999992786157599</v>
      </c>
    </row>
    <row r="6535" spans="1:40" x14ac:dyDescent="0.25">
      <c r="A6535" t="str">
        <f>"20190305135054560"</f>
        <v>20190305135054560</v>
      </c>
      <c r="B6535" t="str">
        <f>"1551765054556557"</f>
        <v>1551765054556557</v>
      </c>
      <c r="C6535" t="s">
        <v>40</v>
      </c>
      <c r="D6535">
        <v>4.2784069999999996</v>
      </c>
      <c r="E6535">
        <v>0.66380150000000004</v>
      </c>
      <c r="F6535" t="s">
        <v>43</v>
      </c>
      <c r="G6535">
        <v>-298.58240000000001</v>
      </c>
      <c r="H6535">
        <v>-0.05</v>
      </c>
      <c r="I6535">
        <v>3.6772459999999998</v>
      </c>
      <c r="J6535">
        <v>-321.37529999999998</v>
      </c>
      <c r="K6535">
        <v>1.1077349999999999</v>
      </c>
      <c r="L6535">
        <v>17.098970000000001</v>
      </c>
      <c r="M6535">
        <v>0.999274</v>
      </c>
      <c r="N6535">
        <v>-2.2807939999999999E-2</v>
      </c>
      <c r="O6535">
        <v>-3.0519810000000001E-2</v>
      </c>
      <c r="P6535">
        <v>0.98727379999999998</v>
      </c>
      <c r="Q6535">
        <v>-9.8291489999999995E-2</v>
      </c>
      <c r="R6535">
        <v>-0.12501909999999999</v>
      </c>
      <c r="S6535">
        <v>2.8212280000000001</v>
      </c>
      <c r="T6535">
        <v>-0.142403799999999</v>
      </c>
      <c r="U6535">
        <v>-1.651489</v>
      </c>
      <c r="V6535">
        <v>9.4251070000000006E-2</v>
      </c>
      <c r="W6535">
        <v>-7.6380900000000002E-2</v>
      </c>
      <c r="X6535">
        <v>0.99261410000000005</v>
      </c>
      <c r="Y6535">
        <v>0.47789979999999999</v>
      </c>
      <c r="Z6535">
        <v>-1.6247339999999999E-2</v>
      </c>
      <c r="AA6535">
        <v>0.87826409999999999</v>
      </c>
      <c r="AB6535">
        <v>29</v>
      </c>
      <c r="AC6535">
        <v>22.7928999999999</v>
      </c>
      <c r="AD6535">
        <v>-1.157735</v>
      </c>
      <c r="AE6535">
        <v>-13.421723999999999</v>
      </c>
      <c r="AF6535">
        <v>12.695331785761599</v>
      </c>
      <c r="AG6535">
        <v>-1.157735</v>
      </c>
      <c r="AH6535">
        <v>23.147667254126301</v>
      </c>
      <c r="AI6535">
        <v>92.510970574059698</v>
      </c>
      <c r="AJ6535">
        <v>61.2574459834943</v>
      </c>
      <c r="AK6535">
        <v>26.425864201356699</v>
      </c>
      <c r="AL6535">
        <v>94.380569545390799</v>
      </c>
      <c r="AM6535">
        <v>84.575891604372103</v>
      </c>
      <c r="AN6535">
        <v>1.00000002879988</v>
      </c>
    </row>
    <row r="6536" spans="1:40" x14ac:dyDescent="0.25">
      <c r="A6536" t="str">
        <f>"20190305135054571"</f>
        <v>20190305135054571</v>
      </c>
      <c r="B6536" t="str">
        <f>"1551765054566317"</f>
        <v>1551765054566317</v>
      </c>
      <c r="C6536" t="s">
        <v>40</v>
      </c>
      <c r="D6536">
        <v>4.2381659999999997</v>
      </c>
      <c r="E6536">
        <v>0.66380150000000004</v>
      </c>
      <c r="F6536" t="s">
        <v>43</v>
      </c>
      <c r="G6536">
        <v>-298.00839999999999</v>
      </c>
      <c r="H6536">
        <v>-0.05</v>
      </c>
      <c r="I6536">
        <v>3.2363590000000002</v>
      </c>
      <c r="J6536">
        <v>-321.22199999999998</v>
      </c>
      <c r="K6536">
        <v>1.107556</v>
      </c>
      <c r="L6536">
        <v>17.091950000000001</v>
      </c>
      <c r="M6536">
        <v>0.99919979999999997</v>
      </c>
      <c r="N6536">
        <v>-2.2769020000000001E-2</v>
      </c>
      <c r="O6536">
        <v>-3.288369E-2</v>
      </c>
      <c r="P6536">
        <v>0.98676589999999997</v>
      </c>
      <c r="Q6536">
        <v>-9.7679420000000003E-2</v>
      </c>
      <c r="R6536">
        <v>-0.12943009999999999</v>
      </c>
      <c r="S6536">
        <v>2.8134459999999999</v>
      </c>
      <c r="T6536">
        <v>-0.1393945</v>
      </c>
      <c r="U6536">
        <v>-1.669098</v>
      </c>
      <c r="V6536">
        <v>9.6306790000000003E-2</v>
      </c>
      <c r="W6536">
        <v>-7.5864539999999994E-2</v>
      </c>
      <c r="X6536">
        <v>0.99245629999999996</v>
      </c>
      <c r="Y6536">
        <v>0.48097440000000002</v>
      </c>
      <c r="Z6536">
        <v>-1.609762E-2</v>
      </c>
      <c r="AA6536">
        <v>0.87658689999999995</v>
      </c>
      <c r="AB6536">
        <v>29</v>
      </c>
      <c r="AC6536">
        <v>23.2135999999999</v>
      </c>
      <c r="AD6536">
        <v>-1.157556</v>
      </c>
      <c r="AE6536">
        <v>-13.855591</v>
      </c>
      <c r="AF6536">
        <v>13.0606017602212</v>
      </c>
      <c r="AG6536">
        <v>-1.157556</v>
      </c>
      <c r="AH6536">
        <v>23.613487432475299</v>
      </c>
      <c r="AI6536">
        <v>92.456293489234895</v>
      </c>
      <c r="AJ6536">
        <v>61.053052333327699</v>
      </c>
      <c r="AK6536">
        <v>27.009554660451201</v>
      </c>
      <c r="AL6536">
        <v>94.350898474698496</v>
      </c>
      <c r="AM6536">
        <v>84.4574388292355</v>
      </c>
      <c r="AN6536">
        <v>0.99999996681960202</v>
      </c>
    </row>
    <row r="6537" spans="1:40" x14ac:dyDescent="0.25">
      <c r="A6537" t="str">
        <f>"20190305135054581"</f>
        <v>20190305135054581</v>
      </c>
      <c r="B6537" t="str">
        <f>"1551765054577054"</f>
        <v>1551765054577054</v>
      </c>
      <c r="C6537" t="s">
        <v>40</v>
      </c>
      <c r="D6537">
        <v>4.310619</v>
      </c>
      <c r="E6537">
        <v>0.69357569999999902</v>
      </c>
      <c r="F6537" t="s">
        <v>43</v>
      </c>
      <c r="G6537">
        <v>-297.54230000000001</v>
      </c>
      <c r="H6537">
        <v>-0.05</v>
      </c>
      <c r="I6537">
        <v>2.9028019999999999</v>
      </c>
      <c r="J6537">
        <v>-321.08249999999998</v>
      </c>
      <c r="K6537">
        <v>1.107286</v>
      </c>
      <c r="L6537">
        <v>17.084869999999999</v>
      </c>
      <c r="M6537">
        <v>0.99912409999999996</v>
      </c>
      <c r="N6537">
        <v>-2.2290569999999999E-2</v>
      </c>
      <c r="O6537">
        <v>-3.5414130000000002E-2</v>
      </c>
      <c r="P6537">
        <v>0.98617429999999995</v>
      </c>
      <c r="Q6537">
        <v>-9.6873909999999994E-2</v>
      </c>
      <c r="R6537">
        <v>-0.1344465</v>
      </c>
      <c r="S6537">
        <v>2.8061219999999998</v>
      </c>
      <c r="T6537">
        <v>-0.13717379999999901</v>
      </c>
      <c r="U6537">
        <v>-1.6814579999999999</v>
      </c>
      <c r="V6537">
        <v>9.8808930000000003E-2</v>
      </c>
      <c r="W6537">
        <v>-7.5592359999999997E-2</v>
      </c>
      <c r="X6537">
        <v>0.99223110000000003</v>
      </c>
      <c r="Y6537">
        <v>0.48262440000000001</v>
      </c>
      <c r="Z6537">
        <v>-1.5820799999999999E-2</v>
      </c>
      <c r="AA6537">
        <v>0.87568459999999904</v>
      </c>
      <c r="AB6537">
        <v>28</v>
      </c>
      <c r="AC6537">
        <v>23.540199999999899</v>
      </c>
      <c r="AD6537">
        <v>-1.157286</v>
      </c>
      <c r="AE6537">
        <v>-14.182067999999999</v>
      </c>
      <c r="AF6537">
        <v>13.315692113820999</v>
      </c>
      <c r="AG6537">
        <v>-1.157286</v>
      </c>
      <c r="AH6537">
        <v>23.985264198599602</v>
      </c>
      <c r="AI6537">
        <v>92.415592334988801</v>
      </c>
      <c r="AJ6537">
        <v>60.962657300675097</v>
      </c>
      <c r="AK6537">
        <v>27.457965438693702</v>
      </c>
      <c r="AL6537">
        <v>94.335258730331802</v>
      </c>
      <c r="AM6537">
        <v>84.313087613527401</v>
      </c>
      <c r="AN6537">
        <v>0.99999998267266199</v>
      </c>
    </row>
    <row r="6538" spans="1:40" x14ac:dyDescent="0.25">
      <c r="A6538" t="str">
        <f>"20190305135054592"</f>
        <v>20190305135054592</v>
      </c>
      <c r="B6538" t="str">
        <f>"1551765054586813"</f>
        <v>1551765054586813</v>
      </c>
      <c r="C6538" t="s">
        <v>40</v>
      </c>
      <c r="D6538">
        <v>4.2832780000000001</v>
      </c>
      <c r="E6538">
        <v>0.69325380000000003</v>
      </c>
      <c r="F6538" t="s">
        <v>102</v>
      </c>
      <c r="G6538">
        <v>-279.02</v>
      </c>
      <c r="H6538">
        <v>3.395505</v>
      </c>
      <c r="I6538">
        <v>-11.9132</v>
      </c>
      <c r="J6538">
        <v>-320.9479</v>
      </c>
      <c r="K6538">
        <v>1.1070120000000001</v>
      </c>
      <c r="L6538">
        <v>17.077850000000002</v>
      </c>
      <c r="M6538">
        <v>0.99904210000000004</v>
      </c>
      <c r="N6538">
        <v>-2.1879289999999999E-2</v>
      </c>
      <c r="O6538">
        <v>-3.789787E-2</v>
      </c>
      <c r="P6538">
        <v>0.98551880000000003</v>
      </c>
      <c r="Q6538">
        <v>-9.6571840000000006E-2</v>
      </c>
      <c r="R6538">
        <v>-0.1393797</v>
      </c>
      <c r="S6538">
        <v>2.7943730000000002</v>
      </c>
      <c r="T6538">
        <v>0.15201519999999999</v>
      </c>
      <c r="U6538">
        <v>-1.926453</v>
      </c>
      <c r="V6538">
        <v>0.1012733</v>
      </c>
      <c r="W6538">
        <v>-7.5760599999999997E-2</v>
      </c>
      <c r="X6538">
        <v>0.99196980000000001</v>
      </c>
      <c r="Y6538">
        <v>0.53579089999999996</v>
      </c>
      <c r="Z6538">
        <v>4.1165289999999998E-3</v>
      </c>
      <c r="AA6538">
        <v>0.84434069999999894</v>
      </c>
      <c r="AB6538">
        <v>28</v>
      </c>
      <c r="AC6538">
        <v>41.927900000000001</v>
      </c>
      <c r="AD6538">
        <v>2.2884929999999999</v>
      </c>
      <c r="AE6538">
        <v>-28.991050000000001</v>
      </c>
      <c r="AF6538">
        <v>27.325779065080798</v>
      </c>
      <c r="AG6538">
        <v>2.2884929999999999</v>
      </c>
      <c r="AH6538">
        <v>42.910240721925099</v>
      </c>
      <c r="AI6538">
        <v>87.424281003722598</v>
      </c>
      <c r="AJ6538">
        <v>57.510504946072302</v>
      </c>
      <c r="AK6538">
        <v>50.923709218184598</v>
      </c>
      <c r="AL6538">
        <v>94.344925744529405</v>
      </c>
      <c r="AM6538">
        <v>84.170691621116603</v>
      </c>
      <c r="AN6538">
        <v>1.00000001695864</v>
      </c>
    </row>
    <row r="6539" spans="1:40" x14ac:dyDescent="0.25">
      <c r="A6539" t="str">
        <f>"20190305135054603"</f>
        <v>20190305135054603</v>
      </c>
      <c r="B6539" t="str">
        <f>"1551765054596573"</f>
        <v>1551765054596573</v>
      </c>
      <c r="C6539" t="s">
        <v>40</v>
      </c>
      <c r="D6539">
        <v>4.2749309999999996</v>
      </c>
      <c r="E6539">
        <v>0.69018049999999997</v>
      </c>
      <c r="F6539" t="s">
        <v>102</v>
      </c>
      <c r="G6539">
        <v>-279.02</v>
      </c>
      <c r="H6539">
        <v>3.757946</v>
      </c>
      <c r="I6539">
        <v>-12.05748</v>
      </c>
      <c r="J6539">
        <v>-320.8073</v>
      </c>
      <c r="K6539">
        <v>1.1066940000000001</v>
      </c>
      <c r="L6539">
        <v>17.06992</v>
      </c>
      <c r="M6539">
        <v>0.99894190000000005</v>
      </c>
      <c r="N6539">
        <v>-2.1588639999999999E-2</v>
      </c>
      <c r="O6539">
        <v>-4.0608159999999997E-2</v>
      </c>
      <c r="P6539">
        <v>0.98474039999999996</v>
      </c>
      <c r="Q6539">
        <v>-9.6567970000000003E-2</v>
      </c>
      <c r="R6539">
        <v>-0.1447792</v>
      </c>
      <c r="S6539">
        <v>2.7874150000000002</v>
      </c>
      <c r="T6539">
        <v>0.17623720000000001</v>
      </c>
      <c r="U6539">
        <v>-1.9369510000000001</v>
      </c>
      <c r="V6539">
        <v>0.10397670000000001</v>
      </c>
      <c r="W6539">
        <v>-7.6121480000000005E-2</v>
      </c>
      <c r="X6539">
        <v>0.99166240000000005</v>
      </c>
      <c r="Y6539">
        <v>0.5365143</v>
      </c>
      <c r="Z6539">
        <v>5.8227089999999997E-3</v>
      </c>
      <c r="AA6539">
        <v>0.84387109999999999</v>
      </c>
      <c r="AB6539">
        <v>29</v>
      </c>
      <c r="AC6539">
        <v>41.787300000000002</v>
      </c>
      <c r="AD6539">
        <v>2.6512519999999999</v>
      </c>
      <c r="AE6539">
        <v>-29.127400000000002</v>
      </c>
      <c r="AF6539">
        <v>27.332015339114399</v>
      </c>
      <c r="AG6539">
        <v>2.6512519999999999</v>
      </c>
      <c r="AH6539">
        <v>42.819895593954598</v>
      </c>
      <c r="AI6539">
        <v>87.012410586451196</v>
      </c>
      <c r="AJ6539">
        <v>57.449837654735603</v>
      </c>
      <c r="AK6539">
        <v>50.868572403226203</v>
      </c>
      <c r="AL6539">
        <v>94.365662711374</v>
      </c>
      <c r="AM6539">
        <v>84.014356547115298</v>
      </c>
      <c r="AN6539">
        <v>0.99999997471701996</v>
      </c>
    </row>
    <row r="6540" spans="1:40" x14ac:dyDescent="0.25">
      <c r="A6540" t="str">
        <f>"20190305135054613"</f>
        <v>20190305135054613</v>
      </c>
      <c r="B6540" t="str">
        <f>"1551765054606333"</f>
        <v>1551765054606333</v>
      </c>
      <c r="C6540" t="s">
        <v>40</v>
      </c>
      <c r="D6540">
        <v>4.2561650000000002</v>
      </c>
      <c r="E6540">
        <v>0.68830849999999999</v>
      </c>
      <c r="F6540" t="s">
        <v>102</v>
      </c>
      <c r="G6540">
        <v>-279.02</v>
      </c>
      <c r="H6540">
        <v>2.8469120000000001</v>
      </c>
      <c r="I6540">
        <v>-11.979889999999999</v>
      </c>
      <c r="J6540">
        <v>-320.68560000000002</v>
      </c>
      <c r="K6540">
        <v>1.106433</v>
      </c>
      <c r="L6540">
        <v>17.062809999999999</v>
      </c>
      <c r="M6540">
        <v>0.99884490000000004</v>
      </c>
      <c r="N6540">
        <v>-2.1457710000000001E-2</v>
      </c>
      <c r="O6540">
        <v>-4.2993959999999998E-2</v>
      </c>
      <c r="P6540">
        <v>0.98395750000000004</v>
      </c>
      <c r="Q6540">
        <v>-9.6662890000000001E-2</v>
      </c>
      <c r="R6540">
        <v>-0.1499471</v>
      </c>
      <c r="S6540">
        <v>2.7742610000000001</v>
      </c>
      <c r="T6540">
        <v>0.115533399999999</v>
      </c>
      <c r="U6540">
        <v>-1.9286190000000001</v>
      </c>
      <c r="V6540">
        <v>0.1067796</v>
      </c>
      <c r="W6540">
        <v>-7.6416919999999999E-2</v>
      </c>
      <c r="X6540">
        <v>0.99134180000000005</v>
      </c>
      <c r="Y6540">
        <v>0.53491619999999995</v>
      </c>
      <c r="Z6540">
        <v>1.293163E-3</v>
      </c>
      <c r="AA6540">
        <v>0.84490409999999905</v>
      </c>
      <c r="AB6540">
        <v>29</v>
      </c>
      <c r="AC6540">
        <v>41.665599999999998</v>
      </c>
      <c r="AD6540">
        <v>1.7404790000000001</v>
      </c>
      <c r="AE6540">
        <v>-29.0427</v>
      </c>
      <c r="AF6540">
        <v>27.192117747618799</v>
      </c>
      <c r="AG6540">
        <v>1.7404790000000001</v>
      </c>
      <c r="AH6540">
        <v>42.825710740530603</v>
      </c>
      <c r="AI6540">
        <v>88.034997984595705</v>
      </c>
      <c r="AJ6540">
        <v>57.586558448016198</v>
      </c>
      <c r="AK6540">
        <v>50.759058651450601</v>
      </c>
      <c r="AL6540">
        <v>94.3826395304649</v>
      </c>
      <c r="AM6540">
        <v>83.852248020205806</v>
      </c>
      <c r="AN6540">
        <v>0.99999999653284299</v>
      </c>
    </row>
    <row r="6541" spans="1:40" x14ac:dyDescent="0.25">
      <c r="A6541" t="str">
        <f>"20190305135054624"</f>
        <v>20190305135054624</v>
      </c>
      <c r="B6541" t="str">
        <f>"1551765054616093"</f>
        <v>1551765054616093</v>
      </c>
      <c r="C6541" t="s">
        <v>40</v>
      </c>
      <c r="D6541">
        <v>4.2877179999999999</v>
      </c>
      <c r="E6541">
        <v>0.68715890000000002</v>
      </c>
      <c r="F6541" t="s">
        <v>102</v>
      </c>
      <c r="G6541">
        <v>-279.02</v>
      </c>
      <c r="H6541">
        <v>2.3005640000000001</v>
      </c>
      <c r="I6541">
        <v>-12.02636</v>
      </c>
      <c r="J6541">
        <v>-320.53620000000001</v>
      </c>
      <c r="K6541">
        <v>1.106141</v>
      </c>
      <c r="L6541">
        <v>17.053529999999999</v>
      </c>
      <c r="M6541">
        <v>0.9987085</v>
      </c>
      <c r="N6541">
        <v>-2.156197E-2</v>
      </c>
      <c r="O6541">
        <v>-4.6007649999999997E-2</v>
      </c>
      <c r="P6541">
        <v>0.98297409999999996</v>
      </c>
      <c r="Q6541">
        <v>-9.7112039999999997E-2</v>
      </c>
      <c r="R6541">
        <v>-0.1559856</v>
      </c>
      <c r="S6541">
        <v>2.7627869999999999</v>
      </c>
      <c r="T6541">
        <v>7.9181310000000005E-2</v>
      </c>
      <c r="U6541">
        <v>-1.9288639999999999</v>
      </c>
      <c r="V6541">
        <v>0.1098384</v>
      </c>
      <c r="W6541">
        <v>-7.6841499999999993E-2</v>
      </c>
      <c r="X6541">
        <v>0.99097469999999999</v>
      </c>
      <c r="Y6541">
        <v>0.53413759999999999</v>
      </c>
      <c r="Z6541">
        <v>-1.514409E-3</v>
      </c>
      <c r="AA6541">
        <v>0.84539619999999904</v>
      </c>
      <c r="AB6541">
        <v>28</v>
      </c>
      <c r="AC6541">
        <v>41.516199999999998</v>
      </c>
      <c r="AD6541">
        <v>1.194423</v>
      </c>
      <c r="AE6541">
        <v>-29.079889999999999</v>
      </c>
      <c r="AF6541">
        <v>27.123514767237399</v>
      </c>
      <c r="AG6541">
        <v>1.194423</v>
      </c>
      <c r="AH6541">
        <v>42.786667242570502</v>
      </c>
      <c r="AI6541">
        <v>88.649360272008707</v>
      </c>
      <c r="AJ6541">
        <v>57.628390108862</v>
      </c>
      <c r="AK6541">
        <v>50.673568981846202</v>
      </c>
      <c r="AL6541">
        <v>94.407038015661897</v>
      </c>
      <c r="AM6541">
        <v>83.675223380434701</v>
      </c>
      <c r="AN6541">
        <v>0.99999997313844902</v>
      </c>
    </row>
    <row r="6542" spans="1:40" x14ac:dyDescent="0.25">
      <c r="A6542" t="str">
        <f>"20190305135054637"</f>
        <v>20190305135054637</v>
      </c>
      <c r="B6542" t="str">
        <f>"1551765054626829"</f>
        <v>1551765054626829</v>
      </c>
      <c r="C6542" t="s">
        <v>40</v>
      </c>
      <c r="D6542">
        <v>4.3020610000000001</v>
      </c>
      <c r="E6542">
        <v>0.68653090000000005</v>
      </c>
      <c r="F6542" t="s">
        <v>102</v>
      </c>
      <c r="G6542">
        <v>-279.02</v>
      </c>
      <c r="H6542">
        <v>1.9128229999999999</v>
      </c>
      <c r="I6542">
        <v>-12.19304</v>
      </c>
      <c r="J6542">
        <v>-320.38979999999998</v>
      </c>
      <c r="K6542">
        <v>1.1057809999999999</v>
      </c>
      <c r="L6542">
        <v>17.04391</v>
      </c>
      <c r="M6542">
        <v>0.99855570000000005</v>
      </c>
      <c r="N6542">
        <v>-2.1801629999999999E-2</v>
      </c>
      <c r="O6542">
        <v>-4.9107810000000002E-2</v>
      </c>
      <c r="P6542">
        <v>0.98192919999999995</v>
      </c>
      <c r="Q6542">
        <v>-9.7012550000000003E-2</v>
      </c>
      <c r="R6542">
        <v>-0.16249279999999999</v>
      </c>
      <c r="S6542">
        <v>2.7498469999999999</v>
      </c>
      <c r="T6542">
        <v>5.3431149999999997E-2</v>
      </c>
      <c r="U6542">
        <v>-1.9371640000000001</v>
      </c>
      <c r="V6542">
        <v>0.113288899999999</v>
      </c>
      <c r="W6542">
        <v>-7.6593850000000005E-2</v>
      </c>
      <c r="X6542">
        <v>0.99060539999999997</v>
      </c>
      <c r="Y6542">
        <v>0.53510599999999997</v>
      </c>
      <c r="Z6542">
        <v>-3.5656960000000001E-3</v>
      </c>
      <c r="AA6542">
        <v>0.84477739999999901</v>
      </c>
      <c r="AB6542">
        <v>28</v>
      </c>
      <c r="AC6542">
        <v>41.369799999999998</v>
      </c>
      <c r="AD6542">
        <v>0.80704200000000004</v>
      </c>
      <c r="AE6542">
        <v>-29.23695</v>
      </c>
      <c r="AF6542">
        <v>27.1627015894701</v>
      </c>
      <c r="AG6542">
        <v>0.80704200000000004</v>
      </c>
      <c r="AH6542">
        <v>42.745117871743901</v>
      </c>
      <c r="AI6542">
        <v>89.087060643023406</v>
      </c>
      <c r="AJ6542">
        <v>57.565780089933099</v>
      </c>
      <c r="AK6542">
        <v>50.651838824446003</v>
      </c>
      <c r="AL6542">
        <v>94.392806542958695</v>
      </c>
      <c r="AM6542">
        <v>83.475810410825503</v>
      </c>
      <c r="AN6542">
        <v>1.00000002561509</v>
      </c>
    </row>
    <row r="6543" spans="1:40" x14ac:dyDescent="0.25">
      <c r="A6543" t="str">
        <f>"20190305135054649"</f>
        <v>20190305135054649</v>
      </c>
      <c r="B6543" t="str">
        <f>"1551765054646349"</f>
        <v>1551765054646349</v>
      </c>
      <c r="C6543" t="s">
        <v>40</v>
      </c>
      <c r="D6543">
        <v>4.3157730000000001</v>
      </c>
      <c r="E6543">
        <v>0.68573329999999999</v>
      </c>
      <c r="F6543" t="s">
        <v>102</v>
      </c>
      <c r="G6543">
        <v>-279.02</v>
      </c>
      <c r="H6543">
        <v>1.6614</v>
      </c>
      <c r="I6543">
        <v>-12.449400000000001</v>
      </c>
      <c r="J6543">
        <v>-320.22949999999997</v>
      </c>
      <c r="K6543">
        <v>1.1053299999999999</v>
      </c>
      <c r="L6543">
        <v>17.03302</v>
      </c>
      <c r="M6543">
        <v>0.9983687</v>
      </c>
      <c r="N6543">
        <v>-2.2169379999999999E-2</v>
      </c>
      <c r="O6543">
        <v>-5.2618390000000001E-2</v>
      </c>
      <c r="P6543">
        <v>0.98072179999999998</v>
      </c>
      <c r="Q6543">
        <v>-9.7479700000000002E-2</v>
      </c>
      <c r="R6543">
        <v>-0.16935910000000001</v>
      </c>
      <c r="S6543">
        <v>2.7360229999999999</v>
      </c>
      <c r="T6543">
        <v>3.6746260000000003E-2</v>
      </c>
      <c r="U6543">
        <v>-1.9505619999999999</v>
      </c>
      <c r="V6543">
        <v>0.11669309999999999</v>
      </c>
      <c r="W6543">
        <v>-7.6798619999999998E-2</v>
      </c>
      <c r="X6543">
        <v>0.99019429999999997</v>
      </c>
      <c r="Y6543">
        <v>0.53688800000000003</v>
      </c>
      <c r="Z6543">
        <v>-5.0094040000000003E-3</v>
      </c>
      <c r="AA6543">
        <v>0.84363869999999896</v>
      </c>
      <c r="AB6543">
        <v>28</v>
      </c>
      <c r="AC6543">
        <v>41.209499999999899</v>
      </c>
      <c r="AD6543">
        <v>0.55606999999999995</v>
      </c>
      <c r="AE6543">
        <v>-29.482420000000001</v>
      </c>
      <c r="AF6543">
        <v>27.269363133589</v>
      </c>
      <c r="AG6543">
        <v>0.55606999999999995</v>
      </c>
      <c r="AH6543">
        <v>42.698940239885502</v>
      </c>
      <c r="AI6543">
        <v>89.371164356911606</v>
      </c>
      <c r="AJ6543">
        <v>57.4359640727737</v>
      </c>
      <c r="AK6543">
        <v>50.666822252493397</v>
      </c>
      <c r="AL6543">
        <v>94.404573641451094</v>
      </c>
      <c r="AM6543">
        <v>83.278768621259601</v>
      </c>
      <c r="AN6543">
        <v>1.000000029687</v>
      </c>
    </row>
    <row r="6544" spans="1:40" x14ac:dyDescent="0.25">
      <c r="A6544" t="str">
        <f>"20190305135054661"</f>
        <v>20190305135054661</v>
      </c>
      <c r="B6544" t="str">
        <f>"1551765054657086"</f>
        <v>1551765054657086</v>
      </c>
      <c r="C6544" t="s">
        <v>40</v>
      </c>
      <c r="D6544">
        <v>4.3267150000000001</v>
      </c>
      <c r="E6544">
        <v>0.685469199999999</v>
      </c>
      <c r="F6544" t="s">
        <v>102</v>
      </c>
      <c r="G6544">
        <v>-279.02</v>
      </c>
      <c r="H6544">
        <v>1.2738860000000001</v>
      </c>
      <c r="I6544">
        <v>-12.705550000000001</v>
      </c>
      <c r="J6544">
        <v>-320.08159999999998</v>
      </c>
      <c r="K6544">
        <v>1.1047049999999901</v>
      </c>
      <c r="L6544">
        <v>17.02197</v>
      </c>
      <c r="M6544">
        <v>0.99817279999999997</v>
      </c>
      <c r="N6544">
        <v>-2.2667920000000001E-2</v>
      </c>
      <c r="O6544">
        <v>-5.6010600000000001E-2</v>
      </c>
      <c r="P6544">
        <v>0.97943709999999995</v>
      </c>
      <c r="Q6544">
        <v>-9.8376829999999998E-2</v>
      </c>
      <c r="R6544">
        <v>-0.17613860000000001</v>
      </c>
      <c r="S6544">
        <v>2.7210390000000002</v>
      </c>
      <c r="T6544">
        <v>1.112962E-2</v>
      </c>
      <c r="U6544">
        <v>-1.9636229999999999</v>
      </c>
      <c r="V6544">
        <v>0.120119699999999</v>
      </c>
      <c r="W6544">
        <v>-7.7328439999999998E-2</v>
      </c>
      <c r="X6544">
        <v>0.98974320000000005</v>
      </c>
      <c r="Y6544">
        <v>0.53884980000000005</v>
      </c>
      <c r="Z6544">
        <v>-7.1071609999999999E-3</v>
      </c>
      <c r="AA6544">
        <v>0.84237189999999995</v>
      </c>
      <c r="AB6544">
        <v>28</v>
      </c>
      <c r="AC6544">
        <v>41.061599999999999</v>
      </c>
      <c r="AD6544">
        <v>0.169181</v>
      </c>
      <c r="AE6544">
        <v>-29.727519999999998</v>
      </c>
      <c r="AF6544">
        <v>27.380047993700401</v>
      </c>
      <c r="AG6544">
        <v>0.169181</v>
      </c>
      <c r="AH6544">
        <v>42.662116313046397</v>
      </c>
      <c r="AI6544">
        <v>89.808781707747102</v>
      </c>
      <c r="AJ6544">
        <v>57.308126355330401</v>
      </c>
      <c r="AK6544">
        <v>50.692719582362102</v>
      </c>
      <c r="AL6544">
        <v>94.435020695583304</v>
      </c>
      <c r="AM6544">
        <v>83.080168142475301</v>
      </c>
      <c r="AN6544">
        <v>1.00000001595358</v>
      </c>
    </row>
    <row r="6545" spans="1:40" x14ac:dyDescent="0.25">
      <c r="A6545" t="str">
        <f>"20190305135054673"</f>
        <v>20190305135054673</v>
      </c>
      <c r="B6545" t="str">
        <f>"1551765054666845"</f>
        <v>1551765054666845</v>
      </c>
      <c r="C6545" t="s">
        <v>40</v>
      </c>
      <c r="D6545">
        <v>4.345434</v>
      </c>
      <c r="E6545">
        <v>0.68501190000000001</v>
      </c>
      <c r="F6545" t="s">
        <v>102</v>
      </c>
      <c r="G6545">
        <v>-279.02</v>
      </c>
      <c r="H6545">
        <v>1.134693</v>
      </c>
      <c r="I6545">
        <v>-13.0161</v>
      </c>
      <c r="J6545">
        <v>-319.9273</v>
      </c>
      <c r="K6545">
        <v>1.103982</v>
      </c>
      <c r="L6545">
        <v>17.010100000000001</v>
      </c>
      <c r="M6545">
        <v>0.9979536</v>
      </c>
      <c r="N6545">
        <v>-2.3252189999999999E-2</v>
      </c>
      <c r="O6545">
        <v>-5.9565060000000003E-2</v>
      </c>
      <c r="P6545">
        <v>0.97813859999999997</v>
      </c>
      <c r="Q6545">
        <v>-9.9396940000000003E-2</v>
      </c>
      <c r="R6545">
        <v>-0.1826623</v>
      </c>
      <c r="S6545">
        <v>2.7070620000000001</v>
      </c>
      <c r="T6545">
        <v>1.976967E-3</v>
      </c>
      <c r="U6545">
        <v>-1.980316</v>
      </c>
      <c r="V6545">
        <v>0.12312720000000001</v>
      </c>
      <c r="W6545">
        <v>-7.7906009999999998E-2</v>
      </c>
      <c r="X6545">
        <v>0.98932819999999999</v>
      </c>
      <c r="Y6545">
        <v>0.54128219999999905</v>
      </c>
      <c r="Z6545">
        <v>-8.0733079999999995E-3</v>
      </c>
      <c r="AA6545">
        <v>0.8408023</v>
      </c>
      <c r="AB6545">
        <v>28</v>
      </c>
      <c r="AC6545">
        <v>40.907299999999999</v>
      </c>
      <c r="AD6545">
        <v>3.0710999999999902E-2</v>
      </c>
      <c r="AE6545">
        <v>-30.026199999999999</v>
      </c>
      <c r="AF6545">
        <v>27.5355426043219</v>
      </c>
      <c r="AG6545">
        <v>3.0710999999999902E-2</v>
      </c>
      <c r="AH6545">
        <v>42.623607154786498</v>
      </c>
      <c r="AI6545">
        <v>89.965323937543502</v>
      </c>
      <c r="AJ6545">
        <v>57.1368832739835</v>
      </c>
      <c r="AK6545">
        <v>50.744250280849698</v>
      </c>
      <c r="AL6545">
        <v>94.468213356123897</v>
      </c>
      <c r="AM6545">
        <v>82.905711040909296</v>
      </c>
      <c r="AN6545">
        <v>0.99999997054459899</v>
      </c>
    </row>
    <row r="6546" spans="1:40" x14ac:dyDescent="0.25">
      <c r="A6546" t="str">
        <f>"20190305135054683"</f>
        <v>20190305135054683</v>
      </c>
      <c r="B6546" t="str">
        <f>"1551765054676605"</f>
        <v>1551765054676605</v>
      </c>
      <c r="C6546" t="s">
        <v>40</v>
      </c>
      <c r="D6546">
        <v>4.3111290000000002</v>
      </c>
      <c r="E6546">
        <v>0.68457840000000003</v>
      </c>
      <c r="F6546" t="s">
        <v>102</v>
      </c>
      <c r="G6546">
        <v>-279.02</v>
      </c>
      <c r="H6546">
        <v>0.95320190000000005</v>
      </c>
      <c r="I6546">
        <v>-13.278420000000001</v>
      </c>
      <c r="J6546">
        <v>-319.7903</v>
      </c>
      <c r="K6546">
        <v>1.103208</v>
      </c>
      <c r="L6546">
        <v>16.99878</v>
      </c>
      <c r="M6546">
        <v>0.99774370000000001</v>
      </c>
      <c r="N6546">
        <v>-2.389486E-2</v>
      </c>
      <c r="O6546">
        <v>-6.2744419999999995E-2</v>
      </c>
      <c r="P6546">
        <v>0.97688450000000004</v>
      </c>
      <c r="Q6546">
        <v>-0.10034410000000001</v>
      </c>
      <c r="R6546">
        <v>-0.1887529</v>
      </c>
      <c r="S6546">
        <v>2.6936339999999999</v>
      </c>
      <c r="T6546">
        <v>-9.9284649999999992E-3</v>
      </c>
      <c r="U6546">
        <v>-1.994415</v>
      </c>
      <c r="V6546">
        <v>0.12607479999999999</v>
      </c>
      <c r="W6546">
        <v>-7.8359020000000001E-2</v>
      </c>
      <c r="X6546">
        <v>0.9889211</v>
      </c>
      <c r="Y6546">
        <v>0.54341240000000002</v>
      </c>
      <c r="Z6546">
        <v>-9.2335219999999992E-3</v>
      </c>
      <c r="AA6546">
        <v>0.83941509999999997</v>
      </c>
      <c r="AB6546">
        <v>28</v>
      </c>
      <c r="AC6546">
        <v>40.770299999999999</v>
      </c>
      <c r="AD6546">
        <v>-0.150006099999999</v>
      </c>
      <c r="AE6546">
        <v>-30.277200000000001</v>
      </c>
      <c r="AF6546">
        <v>27.658428192375599</v>
      </c>
      <c r="AG6546">
        <v>-0.150006099999999</v>
      </c>
      <c r="AH6546">
        <v>42.589817430767603</v>
      </c>
      <c r="AI6546">
        <v>90.169244522264194</v>
      </c>
      <c r="AJ6546">
        <v>56.999737552705199</v>
      </c>
      <c r="AK6546">
        <v>50.782907564346502</v>
      </c>
      <c r="AL6546">
        <v>94.4942485258007</v>
      </c>
      <c r="AM6546">
        <v>82.734712185960305</v>
      </c>
      <c r="AN6546">
        <v>0.99999996661780399</v>
      </c>
    </row>
    <row r="6547" spans="1:40" x14ac:dyDescent="0.25">
      <c r="A6547" t="str">
        <f>"20190305135054694"</f>
        <v>20190305135054694</v>
      </c>
      <c r="B6547" t="str">
        <f>"1551765054686365"</f>
        <v>1551765054686365</v>
      </c>
      <c r="C6547" t="s">
        <v>40</v>
      </c>
      <c r="D6547">
        <v>4.3750989999999996</v>
      </c>
      <c r="E6547">
        <v>0.68414350000000002</v>
      </c>
      <c r="F6547" t="s">
        <v>102</v>
      </c>
      <c r="G6547">
        <v>-279.02</v>
      </c>
      <c r="H6547">
        <v>0.84095429999999904</v>
      </c>
      <c r="I6547">
        <v>-13.528700000000001</v>
      </c>
      <c r="J6547">
        <v>-319.66340000000002</v>
      </c>
      <c r="K6547">
        <v>1.102457</v>
      </c>
      <c r="L6547">
        <v>16.987760000000002</v>
      </c>
      <c r="M6547">
        <v>0.99753329999999996</v>
      </c>
      <c r="N6547">
        <v>-2.4576400000000002E-2</v>
      </c>
      <c r="O6547">
        <v>-6.5754999999999994E-2</v>
      </c>
      <c r="P6547">
        <v>0.97555550000000002</v>
      </c>
      <c r="Q6547">
        <v>-0.1022766</v>
      </c>
      <c r="R6547">
        <v>-0.1945028</v>
      </c>
      <c r="S6547">
        <v>2.681244</v>
      </c>
      <c r="T6547">
        <v>-1.7246959999999999E-2</v>
      </c>
      <c r="U6547">
        <v>-2.0076290000000001</v>
      </c>
      <c r="V6547">
        <v>0.1288503</v>
      </c>
      <c r="W6547">
        <v>-7.9753149999999995E-2</v>
      </c>
      <c r="X6547">
        <v>0.98845179999999999</v>
      </c>
      <c r="Y6547">
        <v>0.5453616</v>
      </c>
      <c r="Z6547">
        <v>-1.0079400000000001E-2</v>
      </c>
      <c r="AA6547">
        <v>0.83814029999999995</v>
      </c>
      <c r="AB6547">
        <v>28</v>
      </c>
      <c r="AC6547">
        <v>40.6434</v>
      </c>
      <c r="AD6547">
        <v>-0.26150269999999998</v>
      </c>
      <c r="AE6547">
        <v>-30.516459999999999</v>
      </c>
      <c r="AF6547">
        <v>27.776327274882298</v>
      </c>
      <c r="AG6547">
        <v>-0.26150269999999998</v>
      </c>
      <c r="AH6547">
        <v>42.561475253059498</v>
      </c>
      <c r="AI6547">
        <v>90.294803392618306</v>
      </c>
      <c r="AJ6547">
        <v>56.870864518566101</v>
      </c>
      <c r="AK6547">
        <v>50.823930547137699</v>
      </c>
      <c r="AL6547">
        <v>94.574377106351093</v>
      </c>
      <c r="AM6547">
        <v>82.573048873964197</v>
      </c>
      <c r="AN6547">
        <v>0.99999996283412496</v>
      </c>
    </row>
    <row r="6548" spans="1:40" x14ac:dyDescent="0.25">
      <c r="A6548" t="str">
        <f>"20190305135054704"</f>
        <v>20190305135054704</v>
      </c>
      <c r="B6548" t="str">
        <f>"1551765054696126"</f>
        <v>1551765054696126</v>
      </c>
      <c r="C6548" t="s">
        <v>40</v>
      </c>
      <c r="D6548">
        <v>4.3311890000000002</v>
      </c>
      <c r="E6548">
        <v>0.68401160000000005</v>
      </c>
      <c r="F6548" t="s">
        <v>102</v>
      </c>
      <c r="G6548">
        <v>-279.02</v>
      </c>
      <c r="H6548">
        <v>0.65124859999999996</v>
      </c>
      <c r="I6548">
        <v>-13.764010000000001</v>
      </c>
      <c r="J6548">
        <v>-319.53210000000001</v>
      </c>
      <c r="K6548">
        <v>1.10164</v>
      </c>
      <c r="L6548">
        <v>16.975829999999998</v>
      </c>
      <c r="M6548">
        <v>0.99729789999999996</v>
      </c>
      <c r="N6548">
        <v>-2.5377790000000001E-2</v>
      </c>
      <c r="O6548">
        <v>-6.8940989999999994E-2</v>
      </c>
      <c r="P6548">
        <v>0.97423550000000003</v>
      </c>
      <c r="Q6548">
        <v>-0.1039143</v>
      </c>
      <c r="R6548">
        <v>-0.20016719999999999</v>
      </c>
      <c r="S6548">
        <v>2.6693730000000002</v>
      </c>
      <c r="T6548">
        <v>-2.9634480000000001E-2</v>
      </c>
      <c r="U6548">
        <v>-2.019714</v>
      </c>
      <c r="V6548">
        <v>0.13137480000000001</v>
      </c>
      <c r="W6548">
        <v>-8.0733219999999994E-2</v>
      </c>
      <c r="X6548">
        <v>0.98803989999999997</v>
      </c>
      <c r="Y6548">
        <v>0.54683809999999999</v>
      </c>
      <c r="Z6548">
        <v>-1.1306210000000001E-2</v>
      </c>
      <c r="AA6548">
        <v>0.83716199999999996</v>
      </c>
      <c r="AB6548">
        <v>28</v>
      </c>
      <c r="AC6548">
        <v>40.512099999999997</v>
      </c>
      <c r="AD6548">
        <v>-0.4503914</v>
      </c>
      <c r="AE6548">
        <v>-30.739840000000001</v>
      </c>
      <c r="AF6548">
        <v>27.870624524693302</v>
      </c>
      <c r="AG6548">
        <v>-0.4503914</v>
      </c>
      <c r="AH6548">
        <v>42.5322306156338</v>
      </c>
      <c r="AI6548">
        <v>90.507466130021399</v>
      </c>
      <c r="AJ6548">
        <v>56.763877796452398</v>
      </c>
      <c r="AK6548">
        <v>50.852386423363498</v>
      </c>
      <c r="AL6548">
        <v>94.630712396278298</v>
      </c>
      <c r="AM6548">
        <v>82.426088692334602</v>
      </c>
      <c r="AN6548">
        <v>1.0000000174393</v>
      </c>
    </row>
    <row r="6549" spans="1:40" x14ac:dyDescent="0.25">
      <c r="A6549" t="str">
        <f>"20190305135054715"</f>
        <v>20190305135054715</v>
      </c>
      <c r="B6549" t="str">
        <f>"1551765054706861"</f>
        <v>1551765054706861</v>
      </c>
      <c r="C6549" t="s">
        <v>40</v>
      </c>
      <c r="D6549">
        <v>4.3473300000000004</v>
      </c>
      <c r="E6549">
        <v>0.68352389999999996</v>
      </c>
      <c r="F6549" t="s">
        <v>102</v>
      </c>
      <c r="G6549">
        <v>-279.02</v>
      </c>
      <c r="H6549">
        <v>0.54309430000000003</v>
      </c>
      <c r="I6549">
        <v>-14.02788</v>
      </c>
      <c r="J6549">
        <v>-319.40789999999998</v>
      </c>
      <c r="K6549">
        <v>1.1008309999999999</v>
      </c>
      <c r="L6549">
        <v>16.96387</v>
      </c>
      <c r="M6549">
        <v>0.99705100000000002</v>
      </c>
      <c r="N6549">
        <v>-2.6191720000000002E-2</v>
      </c>
      <c r="O6549">
        <v>-7.2135770000000002E-2</v>
      </c>
      <c r="P6549">
        <v>0.97283109999999995</v>
      </c>
      <c r="Q6549">
        <v>-0.105364899999999</v>
      </c>
      <c r="R6549">
        <v>-0.206151</v>
      </c>
      <c r="S6549">
        <v>2.6575929999999999</v>
      </c>
      <c r="T6549">
        <v>-3.6640640000000002E-2</v>
      </c>
      <c r="U6549">
        <v>-2.0338440000000002</v>
      </c>
      <c r="V6549">
        <v>0.13422519999999999</v>
      </c>
      <c r="W6549">
        <v>-8.1515219999999999E-2</v>
      </c>
      <c r="X6549">
        <v>0.98759249999999998</v>
      </c>
      <c r="Y6549">
        <v>0.54871650000000005</v>
      </c>
      <c r="Z6549">
        <v>-1.217386E-2</v>
      </c>
      <c r="AA6549">
        <v>0.83591990000000005</v>
      </c>
      <c r="AB6549">
        <v>28</v>
      </c>
      <c r="AC6549">
        <v>40.387900000000002</v>
      </c>
      <c r="AD6549">
        <v>-0.55773669999999897</v>
      </c>
      <c r="AE6549">
        <v>-30.99175</v>
      </c>
      <c r="AF6549">
        <v>27.993183867484198</v>
      </c>
      <c r="AG6549">
        <v>-0.55773669999999897</v>
      </c>
      <c r="AH6549">
        <v>42.513887883527197</v>
      </c>
      <c r="AI6549">
        <v>90.6277643697222</v>
      </c>
      <c r="AJ6549">
        <v>56.637174950854302</v>
      </c>
      <c r="AK6549">
        <v>50.905403212610203</v>
      </c>
      <c r="AL6549">
        <v>94.675665753780905</v>
      </c>
      <c r="AM6549">
        <v>82.260266855277393</v>
      </c>
      <c r="AN6549">
        <v>1.00000004073146</v>
      </c>
    </row>
    <row r="6550" spans="1:40" x14ac:dyDescent="0.25">
      <c r="A6550" t="str">
        <f>"20190305135054725"</f>
        <v>20190305135054725</v>
      </c>
      <c r="B6550" t="str">
        <f>"1551765054716621"</f>
        <v>1551765054716621</v>
      </c>
      <c r="C6550" t="s">
        <v>40</v>
      </c>
      <c r="D6550">
        <v>4.3636970000000002</v>
      </c>
      <c r="E6550">
        <v>0.68325080000000005</v>
      </c>
      <c r="F6550" t="s">
        <v>102</v>
      </c>
      <c r="G6550">
        <v>-279.02</v>
      </c>
      <c r="H6550">
        <v>0.43581379999999997</v>
      </c>
      <c r="I6550">
        <v>-14.27237</v>
      </c>
      <c r="J6550">
        <v>-319.28230000000002</v>
      </c>
      <c r="K6550">
        <v>1.099987</v>
      </c>
      <c r="L6550">
        <v>16.95129</v>
      </c>
      <c r="M6550">
        <v>0.99677800000000005</v>
      </c>
      <c r="N6550">
        <v>-2.705869E-2</v>
      </c>
      <c r="O6550">
        <v>-7.5509409999999999E-2</v>
      </c>
      <c r="P6550">
        <v>0.97139889999999995</v>
      </c>
      <c r="Q6550">
        <v>-0.106488</v>
      </c>
      <c r="R6550">
        <v>-0.2122367</v>
      </c>
      <c r="S6550">
        <v>2.645508</v>
      </c>
      <c r="T6550">
        <v>-4.3560149999999999E-2</v>
      </c>
      <c r="U6550">
        <v>-2.0460509999999998</v>
      </c>
      <c r="V6550">
        <v>0.13701259999999901</v>
      </c>
      <c r="W6550">
        <v>-8.1918110000000002E-2</v>
      </c>
      <c r="X6550">
        <v>0.98717619999999895</v>
      </c>
      <c r="Y6550">
        <v>0.55010719999999902</v>
      </c>
      <c r="Z6550">
        <v>-1.304514E-2</v>
      </c>
      <c r="AA6550">
        <v>0.83499219999999896</v>
      </c>
      <c r="AB6550">
        <v>27</v>
      </c>
      <c r="AC6550">
        <v>40.262300000000003</v>
      </c>
      <c r="AD6550">
        <v>-0.66417320000000002</v>
      </c>
      <c r="AE6550">
        <v>-31.223659999999999</v>
      </c>
      <c r="AF6550">
        <v>28.0883851102829</v>
      </c>
      <c r="AG6550">
        <v>-0.66417320000000002</v>
      </c>
      <c r="AH6550">
        <v>42.498592208800602</v>
      </c>
      <c r="AI6550">
        <v>90.746970331551594</v>
      </c>
      <c r="AJ6550">
        <v>56.538284265290798</v>
      </c>
      <c r="AK6550">
        <v>50.9463329776843</v>
      </c>
      <c r="AL6550">
        <v>94.698827586807298</v>
      </c>
      <c r="AM6550">
        <v>82.098258530843594</v>
      </c>
      <c r="AN6550">
        <v>0.99999993957558397</v>
      </c>
    </row>
    <row r="6551" spans="1:40" x14ac:dyDescent="0.25">
      <c r="A6551" t="str">
        <f>"20190305135054735"</f>
        <v>20190305135054735</v>
      </c>
      <c r="B6551" t="str">
        <f>"1551765054726382"</f>
        <v>1551765054726382</v>
      </c>
      <c r="C6551" t="s">
        <v>40</v>
      </c>
      <c r="D6551">
        <v>4.3767180000000003</v>
      </c>
      <c r="E6551">
        <v>0.68292580000000003</v>
      </c>
      <c r="F6551" t="s">
        <v>108</v>
      </c>
      <c r="G6551">
        <v>-284.30149999999998</v>
      </c>
      <c r="H6551">
        <v>0.40892580000000001</v>
      </c>
      <c r="I6551">
        <v>-10.42672</v>
      </c>
      <c r="J6551">
        <v>-319.16410000000002</v>
      </c>
      <c r="K6551">
        <v>1.099137</v>
      </c>
      <c r="L6551">
        <v>16.938749999999999</v>
      </c>
      <c r="M6551">
        <v>0.99649080000000001</v>
      </c>
      <c r="N6551">
        <v>-2.787336E-2</v>
      </c>
      <c r="O6551">
        <v>-7.8925510000000004E-2</v>
      </c>
      <c r="P6551">
        <v>0.96995779999999998</v>
      </c>
      <c r="Q6551">
        <v>-0.1071208</v>
      </c>
      <c r="R6551">
        <v>-0.21841969999999999</v>
      </c>
      <c r="S6551">
        <v>2.6324770000000002</v>
      </c>
      <c r="T6551">
        <v>-5.2005049999999997E-2</v>
      </c>
      <c r="U6551">
        <v>-2.060333</v>
      </c>
      <c r="V6551">
        <v>0.139866299999999</v>
      </c>
      <c r="W6551">
        <v>-8.1886500000000001E-2</v>
      </c>
      <c r="X6551">
        <v>0.98677859999999995</v>
      </c>
      <c r="Y6551">
        <v>0.55200680000000002</v>
      </c>
      <c r="Z6551">
        <v>-1.4009000000000001E-2</v>
      </c>
      <c r="AA6551">
        <v>0.83372190000000002</v>
      </c>
      <c r="AB6551">
        <v>27</v>
      </c>
      <c r="AC6551">
        <v>34.8626</v>
      </c>
      <c r="AD6551">
        <v>-0.69021119999999903</v>
      </c>
      <c r="AE6551">
        <v>-27.365469999999998</v>
      </c>
      <c r="AF6551">
        <v>24.5214723571627</v>
      </c>
      <c r="AG6551">
        <v>-0.69021119999999903</v>
      </c>
      <c r="AH6551">
        <v>36.905484470741598</v>
      </c>
      <c r="AI6551">
        <v>90.892430192886394</v>
      </c>
      <c r="AJ6551">
        <v>56.398355255606702</v>
      </c>
      <c r="AK6551">
        <v>44.314712930175403</v>
      </c>
      <c r="AL6551">
        <v>94.697010109977199</v>
      </c>
      <c r="AM6551">
        <v>81.932617705954797</v>
      </c>
      <c r="AN6551">
        <v>0.99999999308794896</v>
      </c>
    </row>
    <row r="6552" spans="1:40" x14ac:dyDescent="0.25">
      <c r="A6552" t="str">
        <f>"20190305135054744"</f>
        <v>20190305135054744</v>
      </c>
      <c r="B6552" t="str">
        <f>"1551765054736141"</f>
        <v>1551765054736141</v>
      </c>
      <c r="C6552" t="s">
        <v>40</v>
      </c>
      <c r="D6552">
        <v>4.3462809999999896</v>
      </c>
      <c r="E6552">
        <v>0.68260290000000001</v>
      </c>
      <c r="F6552" t="s">
        <v>108</v>
      </c>
      <c r="G6552">
        <v>-284.47109999999998</v>
      </c>
      <c r="H6552">
        <v>0.3309337</v>
      </c>
      <c r="I6552">
        <v>-10.536799999999999</v>
      </c>
      <c r="J6552">
        <v>-319.03890000000001</v>
      </c>
      <c r="K6552">
        <v>1.0981939999999999</v>
      </c>
      <c r="L6552">
        <v>16.924990000000001</v>
      </c>
      <c r="M6552">
        <v>0.99615790000000004</v>
      </c>
      <c r="N6552">
        <v>-2.8734969999999999E-2</v>
      </c>
      <c r="O6552">
        <v>-8.2728789999999996E-2</v>
      </c>
      <c r="P6552">
        <v>0.9684296</v>
      </c>
      <c r="Q6552">
        <v>-0.107257199999999</v>
      </c>
      <c r="R6552">
        <v>-0.22503400000000001</v>
      </c>
      <c r="S6552">
        <v>2.6193849999999999</v>
      </c>
      <c r="T6552">
        <v>-5.8001160000000003E-2</v>
      </c>
      <c r="U6552">
        <v>-2.0744630000000002</v>
      </c>
      <c r="V6552">
        <v>0.1427821</v>
      </c>
      <c r="W6552">
        <v>-8.1325640000000005E-2</v>
      </c>
      <c r="X6552">
        <v>0.98640729999999999</v>
      </c>
      <c r="Y6552">
        <v>0.55357149999999999</v>
      </c>
      <c r="Z6552">
        <v>-1.482079E-2</v>
      </c>
      <c r="AA6552">
        <v>0.83266989999999996</v>
      </c>
      <c r="AB6552">
        <v>27</v>
      </c>
      <c r="AC6552">
        <v>34.567799999999998</v>
      </c>
      <c r="AD6552">
        <v>-0.76726030000000001</v>
      </c>
      <c r="AE6552">
        <v>-27.461790000000001</v>
      </c>
      <c r="AF6552">
        <v>24.499242998765201</v>
      </c>
      <c r="AG6552">
        <v>-0.76726030000000001</v>
      </c>
      <c r="AH6552">
        <v>36.710937822287001</v>
      </c>
      <c r="AI6552">
        <v>90.995950221988807</v>
      </c>
      <c r="AJ6552">
        <v>56.282621212181397</v>
      </c>
      <c r="AK6552">
        <v>44.141755194739602</v>
      </c>
      <c r="AL6552">
        <v>94.664767745175894</v>
      </c>
      <c r="AM6552">
        <v>81.763662546772593</v>
      </c>
      <c r="AN6552">
        <v>0.99999997464755397</v>
      </c>
    </row>
    <row r="6553" spans="1:40" x14ac:dyDescent="0.25">
      <c r="A6553" t="str">
        <f>"20190305135054756"</f>
        <v>20190305135054756</v>
      </c>
      <c r="B6553" t="str">
        <f>"1551765054746878"</f>
        <v>1551765054746878</v>
      </c>
      <c r="C6553" t="s">
        <v>40</v>
      </c>
      <c r="D6553">
        <v>4.3618819999999996</v>
      </c>
      <c r="E6553">
        <v>0.68231509999999995</v>
      </c>
      <c r="F6553" t="s">
        <v>43</v>
      </c>
      <c r="G6553">
        <v>-270.87540000000001</v>
      </c>
      <c r="H6553">
        <v>-0.05</v>
      </c>
      <c r="I6553">
        <v>-21.704190000000001</v>
      </c>
      <c r="J6553">
        <v>-318.91269999999997</v>
      </c>
      <c r="K6553">
        <v>1.0971799999999901</v>
      </c>
      <c r="L6553">
        <v>16.910219999999999</v>
      </c>
      <c r="M6553">
        <v>0.99578509999999998</v>
      </c>
      <c r="N6553">
        <v>-2.9571589999999998E-2</v>
      </c>
      <c r="O6553">
        <v>-8.6819229999999997E-2</v>
      </c>
      <c r="P6553">
        <v>0.96676209999999996</v>
      </c>
      <c r="Q6553">
        <v>-0.10738929999999999</v>
      </c>
      <c r="R6553">
        <v>-0.23203190000000001</v>
      </c>
      <c r="S6553">
        <v>2.6053470000000001</v>
      </c>
      <c r="T6553">
        <v>-6.2110190000000003E-2</v>
      </c>
      <c r="U6553">
        <v>-2.0895999999999999</v>
      </c>
      <c r="V6553">
        <v>0.14580679999999999</v>
      </c>
      <c r="W6553">
        <v>-8.0803860000000005E-2</v>
      </c>
      <c r="X6553">
        <v>0.98600759999999998</v>
      </c>
      <c r="Y6553">
        <v>0.55524819999999997</v>
      </c>
      <c r="Z6553">
        <v>-1.5505430000000001E-2</v>
      </c>
      <c r="AA6553">
        <v>0.83154019999999995</v>
      </c>
      <c r="AB6553">
        <v>27</v>
      </c>
      <c r="AC6553">
        <v>48.037299999999902</v>
      </c>
      <c r="AD6553">
        <v>-1.1471800000000001</v>
      </c>
      <c r="AE6553">
        <v>-38.614409999999999</v>
      </c>
      <c r="AF6553">
        <v>34.284213648536301</v>
      </c>
      <c r="AG6553">
        <v>-1.1471800000000001</v>
      </c>
      <c r="AH6553">
        <v>51.191960977167</v>
      </c>
      <c r="AI6553">
        <v>91.066693219283707</v>
      </c>
      <c r="AJ6553">
        <v>56.189039978072501</v>
      </c>
      <c r="AK6553">
        <v>61.622562395105597</v>
      </c>
      <c r="AL6553">
        <v>94.634773410345801</v>
      </c>
      <c r="AM6553">
        <v>81.588293042325105</v>
      </c>
      <c r="AN6553">
        <v>0.99999993698744705</v>
      </c>
    </row>
    <row r="6554" spans="1:40" x14ac:dyDescent="0.25">
      <c r="A6554" t="str">
        <f>"20190305135054767"</f>
        <v>20190305135054767</v>
      </c>
      <c r="B6554" t="str">
        <f>"1551765054756638"</f>
        <v>1551765054756638</v>
      </c>
      <c r="C6554" t="s">
        <v>40</v>
      </c>
      <c r="D6554">
        <v>4.3840219999999999</v>
      </c>
      <c r="E6554">
        <v>0.68202879999999999</v>
      </c>
      <c r="F6554" t="s">
        <v>43</v>
      </c>
      <c r="G6554">
        <v>-273.82960000000003</v>
      </c>
      <c r="H6554">
        <v>-0.05</v>
      </c>
      <c r="I6554">
        <v>-19.742170000000002</v>
      </c>
      <c r="J6554">
        <v>-318.77789999999999</v>
      </c>
      <c r="K6554">
        <v>1.0960529999999999</v>
      </c>
      <c r="L6554">
        <v>16.893829999999902</v>
      </c>
      <c r="M6554">
        <v>0.99535260000000003</v>
      </c>
      <c r="N6554">
        <v>-3.0441340000000001E-2</v>
      </c>
      <c r="O6554">
        <v>-9.1360469999999999E-2</v>
      </c>
      <c r="P6554">
        <v>0.96491039999999995</v>
      </c>
      <c r="Q6554">
        <v>-0.1073067</v>
      </c>
      <c r="R6554">
        <v>-0.2396528</v>
      </c>
      <c r="S6554">
        <v>2.590363</v>
      </c>
      <c r="T6554">
        <v>-6.5914150000000005E-2</v>
      </c>
      <c r="U6554">
        <v>-2.1059570000000001</v>
      </c>
      <c r="V6554">
        <v>0.14902499999999999</v>
      </c>
      <c r="W6554">
        <v>-8.0059039999999998E-2</v>
      </c>
      <c r="X6554">
        <v>0.9855872</v>
      </c>
      <c r="Y6554">
        <v>0.55693349999999997</v>
      </c>
      <c r="Z6554">
        <v>-1.6188950000000001E-2</v>
      </c>
      <c r="AA6554">
        <v>0.83039929999999995</v>
      </c>
      <c r="AB6554">
        <v>27</v>
      </c>
      <c r="AC6554">
        <v>44.948299999999897</v>
      </c>
      <c r="AD6554">
        <v>-1.146053</v>
      </c>
      <c r="AE6554">
        <v>-36.636000000000003</v>
      </c>
      <c r="AF6554">
        <v>32.3615996345019</v>
      </c>
      <c r="AG6554">
        <v>-1.146053</v>
      </c>
      <c r="AH6554">
        <v>48.089995855115099</v>
      </c>
      <c r="AI6554">
        <v>91.132677390507098</v>
      </c>
      <c r="AJ6554">
        <v>56.061879844454097</v>
      </c>
      <c r="AK6554">
        <v>57.976152595076499</v>
      </c>
      <c r="AL6554">
        <v>94.591959296240802</v>
      </c>
      <c r="AM6554">
        <v>81.4017646883932</v>
      </c>
      <c r="AN6554">
        <v>1.0000000146572801</v>
      </c>
    </row>
    <row r="6555" spans="1:40" x14ac:dyDescent="0.25">
      <c r="A6555" t="str">
        <f>"20190305135054779"</f>
        <v>20190305135054779</v>
      </c>
      <c r="B6555" t="str">
        <f>"1551765054776158"</f>
        <v>1551765054776158</v>
      </c>
      <c r="C6555" t="s">
        <v>40</v>
      </c>
      <c r="D6555">
        <v>4.3721709999999998</v>
      </c>
      <c r="E6555">
        <v>0.68129399999999996</v>
      </c>
      <c r="F6555" t="s">
        <v>43</v>
      </c>
      <c r="G6555">
        <v>-275.65030000000002</v>
      </c>
      <c r="H6555">
        <v>-0.05</v>
      </c>
      <c r="I6555">
        <v>-18.695689999999999</v>
      </c>
      <c r="J6555">
        <v>-318.6422</v>
      </c>
      <c r="K6555">
        <v>1.0948880000000001</v>
      </c>
      <c r="L6555">
        <v>16.87613</v>
      </c>
      <c r="M6555">
        <v>0.99484249999999996</v>
      </c>
      <c r="N6555">
        <v>-3.1155660000000002E-2</v>
      </c>
      <c r="O6555">
        <v>-9.6529599999999993E-2</v>
      </c>
      <c r="P6555">
        <v>0.96278180000000002</v>
      </c>
      <c r="Q6555">
        <v>-0.1074908</v>
      </c>
      <c r="R6555">
        <v>-0.2479865</v>
      </c>
      <c r="S6555">
        <v>2.573944</v>
      </c>
      <c r="T6555">
        <v>-6.8398710000000001E-2</v>
      </c>
      <c r="U6555">
        <v>-2.1240540000000001</v>
      </c>
      <c r="V6555">
        <v>0.15236279999999999</v>
      </c>
      <c r="W6555">
        <v>-7.9735490000000006E-2</v>
      </c>
      <c r="X6555">
        <v>0.98510299999999995</v>
      </c>
      <c r="Y6555">
        <v>0.5586641</v>
      </c>
      <c r="Z6555">
        <v>-1.673641E-2</v>
      </c>
      <c r="AA6555">
        <v>0.8292252</v>
      </c>
      <c r="AB6555">
        <v>27</v>
      </c>
      <c r="AC6555">
        <v>42.991900000000001</v>
      </c>
      <c r="AD6555">
        <v>-1.1448879999999999</v>
      </c>
      <c r="AE6555">
        <v>-35.571820000000002</v>
      </c>
      <c r="AF6555">
        <v>31.2403845103123</v>
      </c>
      <c r="AG6555">
        <v>-1.1448879999999999</v>
      </c>
      <c r="AH6555">
        <v>46.206886248418499</v>
      </c>
      <c r="AI6555">
        <v>91.175904353358803</v>
      </c>
      <c r="AJ6555">
        <v>55.937451974879799</v>
      </c>
      <c r="AK6555">
        <v>55.7884282773677</v>
      </c>
      <c r="AL6555">
        <v>94.573361649490096</v>
      </c>
      <c r="AM6555">
        <v>81.207906956812593</v>
      </c>
      <c r="AN6555">
        <v>1.00000004589918</v>
      </c>
    </row>
    <row r="6556" spans="1:40" x14ac:dyDescent="0.25">
      <c r="A6556" t="str">
        <f>"20190305135054791"</f>
        <v>20190305135054791</v>
      </c>
      <c r="B6556" t="str">
        <f>"1551765054786895"</f>
        <v>1551765054786895</v>
      </c>
      <c r="C6556" t="s">
        <v>40</v>
      </c>
      <c r="D6556">
        <v>4.3935589999999998</v>
      </c>
      <c r="E6556">
        <v>0.68093709999999996</v>
      </c>
      <c r="F6556" t="s">
        <v>43</v>
      </c>
      <c r="G6556">
        <v>-279.87830000000002</v>
      </c>
      <c r="H6556">
        <v>-0.05</v>
      </c>
      <c r="I6556">
        <v>-15.582839999999999</v>
      </c>
      <c r="J6556">
        <v>-318.48829999999998</v>
      </c>
      <c r="K6556">
        <v>1.093556</v>
      </c>
      <c r="L6556">
        <v>16.855409999999999</v>
      </c>
      <c r="M6556">
        <v>0.99420819999999999</v>
      </c>
      <c r="N6556">
        <v>-3.1891379999999997E-2</v>
      </c>
      <c r="O6556">
        <v>-0.102631</v>
      </c>
      <c r="P6556">
        <v>0.96028769999999997</v>
      </c>
      <c r="Q6556">
        <v>-0.1075673</v>
      </c>
      <c r="R6556">
        <v>-0.25744319999999998</v>
      </c>
      <c r="S6556">
        <v>2.5562130000000001</v>
      </c>
      <c r="T6556">
        <v>-7.5497389999999998E-2</v>
      </c>
      <c r="U6556">
        <v>-2.1404420000000002</v>
      </c>
      <c r="V6556">
        <v>0.15593650000000001</v>
      </c>
      <c r="W6556">
        <v>-7.9311010000000001E-2</v>
      </c>
      <c r="X6556">
        <v>0.98457779999999995</v>
      </c>
      <c r="Y6556">
        <v>0.55946929999999995</v>
      </c>
      <c r="Z6556">
        <v>-1.7552849999999998E-2</v>
      </c>
      <c r="AA6556">
        <v>0.82866519999999999</v>
      </c>
      <c r="AB6556">
        <v>27</v>
      </c>
      <c r="AC6556">
        <v>38.6099999999999</v>
      </c>
      <c r="AD6556">
        <v>-1.143556</v>
      </c>
      <c r="AE6556">
        <v>-32.438249999999996</v>
      </c>
      <c r="AF6556">
        <v>28.287638722213199</v>
      </c>
      <c r="AG6556">
        <v>-1.143556</v>
      </c>
      <c r="AH6556">
        <v>41.715323731598502</v>
      </c>
      <c r="AI6556">
        <v>91.299744651950903</v>
      </c>
      <c r="AJ6556">
        <v>55.858354833873101</v>
      </c>
      <c r="AK6556">
        <v>50.4149428129762</v>
      </c>
      <c r="AL6556">
        <v>94.548963968811194</v>
      </c>
      <c r="AM6556">
        <v>81.000301093015807</v>
      </c>
      <c r="AN6556">
        <v>0.99999993629615302</v>
      </c>
    </row>
    <row r="6557" spans="1:40" x14ac:dyDescent="0.25">
      <c r="A6557" t="str">
        <f>"20190305135054801"</f>
        <v>20190305135054801</v>
      </c>
      <c r="B6557" t="str">
        <f>"1551765054796653"</f>
        <v>1551765054796653</v>
      </c>
      <c r="C6557" t="s">
        <v>40</v>
      </c>
      <c r="D6557">
        <v>4.372045</v>
      </c>
      <c r="E6557">
        <v>0.68059740000000002</v>
      </c>
      <c r="F6557" t="s">
        <v>42</v>
      </c>
      <c r="G6557">
        <v>-285.31540000000001</v>
      </c>
      <c r="H6557">
        <v>7.9986710000000003E-2</v>
      </c>
      <c r="I6557">
        <v>-11.43744</v>
      </c>
      <c r="J6557">
        <v>-318.36040000000003</v>
      </c>
      <c r="K6557">
        <v>1.092384</v>
      </c>
      <c r="L6557">
        <v>16.836790000000001</v>
      </c>
      <c r="M6557">
        <v>0.99362110000000003</v>
      </c>
      <c r="N6557">
        <v>-3.2382769999999998E-2</v>
      </c>
      <c r="O6557">
        <v>-0.1080216</v>
      </c>
      <c r="P6557">
        <v>0.957839</v>
      </c>
      <c r="Q6557">
        <v>-0.10769570000000001</v>
      </c>
      <c r="R6557">
        <v>-0.26635769999999998</v>
      </c>
      <c r="S6557">
        <v>2.5356450000000001</v>
      </c>
      <c r="T6557">
        <v>-7.7474470000000004E-2</v>
      </c>
      <c r="U6557">
        <v>-2.1626280000000002</v>
      </c>
      <c r="V6557">
        <v>0.1596765</v>
      </c>
      <c r="W6557">
        <v>-7.9181790000000002E-2</v>
      </c>
      <c r="X6557">
        <v>0.98398859999999999</v>
      </c>
      <c r="Y6557">
        <v>0.56246010000000002</v>
      </c>
      <c r="Z6557">
        <v>-1.8023839999999999E-2</v>
      </c>
      <c r="AA6557">
        <v>0.82662800000000003</v>
      </c>
      <c r="AB6557">
        <v>27</v>
      </c>
      <c r="AC6557">
        <v>33.045000000000002</v>
      </c>
      <c r="AD6557">
        <v>-1.01239729</v>
      </c>
      <c r="AE6557">
        <v>-28.274229999999999</v>
      </c>
      <c r="AF6557">
        <v>24.523874590640801</v>
      </c>
      <c r="AG6557">
        <v>-1.01239729</v>
      </c>
      <c r="AH6557">
        <v>35.887817580054197</v>
      </c>
      <c r="AI6557">
        <v>91.334253060720499</v>
      </c>
      <c r="AJ6557">
        <v>55.653322982005101</v>
      </c>
      <c r="AK6557">
        <v>43.478509908569002</v>
      </c>
      <c r="AL6557">
        <v>94.541536775081099</v>
      </c>
      <c r="AM6557">
        <v>80.782688281482507</v>
      </c>
      <c r="AN6557">
        <v>0.99999995272490505</v>
      </c>
    </row>
    <row r="6558" spans="1:40" x14ac:dyDescent="0.25">
      <c r="A6558" t="str">
        <f>"20190305135054814"</f>
        <v>20190305135054814</v>
      </c>
      <c r="B6558" t="str">
        <f>"1551765054806413"</f>
        <v>1551765054806413</v>
      </c>
      <c r="C6558" t="s">
        <v>40</v>
      </c>
      <c r="D6558">
        <v>4.3887140000000002</v>
      </c>
      <c r="E6558">
        <v>0.68030970000000002</v>
      </c>
      <c r="F6558" t="s">
        <v>42</v>
      </c>
      <c r="G6558">
        <v>-286.35239999999999</v>
      </c>
      <c r="H6558">
        <v>7.9986810000000005E-2</v>
      </c>
      <c r="I6558">
        <v>-10.938560000000001</v>
      </c>
      <c r="J6558">
        <v>-318.2251</v>
      </c>
      <c r="K6558">
        <v>1.0911090000000001</v>
      </c>
      <c r="L6558">
        <v>16.816559999999999</v>
      </c>
      <c r="M6558">
        <v>0.99296340000000005</v>
      </c>
      <c r="N6558">
        <v>-3.2881309999999997E-2</v>
      </c>
      <c r="O6558">
        <v>-0.11376500000000001</v>
      </c>
      <c r="P6558">
        <v>0.9551113</v>
      </c>
      <c r="Q6558">
        <v>-0.1078258</v>
      </c>
      <c r="R6558">
        <v>-0.2759278</v>
      </c>
      <c r="S6558">
        <v>2.5159609999999999</v>
      </c>
      <c r="T6558">
        <v>-7.9578640000000006E-2</v>
      </c>
      <c r="U6558">
        <v>-2.1832579999999999</v>
      </c>
      <c r="V6558">
        <v>0.1637526</v>
      </c>
      <c r="W6558">
        <v>-7.9077750000000002E-2</v>
      </c>
      <c r="X6558">
        <v>0.9833269</v>
      </c>
      <c r="Y6558">
        <v>0.56471769999999999</v>
      </c>
      <c r="Z6558">
        <v>-1.848296E-2</v>
      </c>
      <c r="AA6558">
        <v>0.82507719999999996</v>
      </c>
      <c r="AB6558">
        <v>27</v>
      </c>
      <c r="AC6558">
        <v>31.872699999999998</v>
      </c>
      <c r="AD6558">
        <v>-1.01112219</v>
      </c>
      <c r="AE6558">
        <v>-27.755120000000002</v>
      </c>
      <c r="AF6558">
        <v>23.933071401882099</v>
      </c>
      <c r="AG6558">
        <v>-1.01112219</v>
      </c>
      <c r="AH6558">
        <v>34.804896247169196</v>
      </c>
      <c r="AI6558">
        <v>91.371276063353406</v>
      </c>
      <c r="AJ6558">
        <v>55.486217632554201</v>
      </c>
      <c r="AK6558">
        <v>42.251568936394698</v>
      </c>
      <c r="AL6558">
        <v>94.535556763532895</v>
      </c>
      <c r="AM6558">
        <v>80.545343731634702</v>
      </c>
      <c r="AN6558">
        <v>0.99999999840771603</v>
      </c>
    </row>
    <row r="6559" spans="1:40" x14ac:dyDescent="0.25">
      <c r="A6559" t="str">
        <f>"20190305135054826"</f>
        <v>20190305135054826</v>
      </c>
      <c r="B6559" t="str">
        <f>"1551765054816174"</f>
        <v>1551765054816174</v>
      </c>
      <c r="C6559" t="s">
        <v>40</v>
      </c>
      <c r="D6559">
        <v>4.4013119999999999</v>
      </c>
      <c r="E6559">
        <v>0.67988389999999999</v>
      </c>
      <c r="F6559" t="s">
        <v>42</v>
      </c>
      <c r="G6559">
        <v>-288.1354</v>
      </c>
      <c r="H6559">
        <v>7.998603E-2</v>
      </c>
      <c r="I6559">
        <v>-9.7962919999999993</v>
      </c>
      <c r="J6559">
        <v>-318.06610000000001</v>
      </c>
      <c r="K6559">
        <v>1.0895440000000001</v>
      </c>
      <c r="L6559">
        <v>16.791319999999999</v>
      </c>
      <c r="M6559">
        <v>0.99213549999999995</v>
      </c>
      <c r="N6559">
        <v>-3.3416120000000001E-2</v>
      </c>
      <c r="O6559">
        <v>-0.1206261</v>
      </c>
      <c r="P6559">
        <v>0.95185209999999998</v>
      </c>
      <c r="Q6559">
        <v>-0.1083795</v>
      </c>
      <c r="R6559">
        <v>-0.28676059999999998</v>
      </c>
      <c r="S6559">
        <v>2.4942319999999998</v>
      </c>
      <c r="T6559">
        <v>-8.3815219999999996E-2</v>
      </c>
      <c r="U6559">
        <v>-2.2060240000000002</v>
      </c>
      <c r="V6559">
        <v>0.16802300000000001</v>
      </c>
      <c r="W6559">
        <v>-7.9421039999999998E-2</v>
      </c>
      <c r="X6559">
        <v>0.98257850000000002</v>
      </c>
      <c r="Y6559">
        <v>0.56675940000000002</v>
      </c>
      <c r="Z6559">
        <v>-1.9078129999999999E-2</v>
      </c>
      <c r="AA6559">
        <v>0.82366249999999996</v>
      </c>
      <c r="AB6559">
        <v>27</v>
      </c>
      <c r="AC6559">
        <v>29.930700000000002</v>
      </c>
      <c r="AD6559">
        <v>-1.0095579699999999</v>
      </c>
      <c r="AE6559">
        <v>-26.587612</v>
      </c>
      <c r="AF6559">
        <v>22.7663335869672</v>
      </c>
      <c r="AG6559">
        <v>-1.0095579699999999</v>
      </c>
      <c r="AH6559">
        <v>32.899931572912102</v>
      </c>
      <c r="AI6559">
        <v>91.445457144065998</v>
      </c>
      <c r="AJ6559">
        <v>55.317259198674897</v>
      </c>
      <c r="AK6559">
        <v>40.021627275638899</v>
      </c>
      <c r="AL6559">
        <v>94.555288022193494</v>
      </c>
      <c r="AM6559">
        <v>80.296159815260793</v>
      </c>
      <c r="AN6559">
        <v>0.99999996939296498</v>
      </c>
    </row>
    <row r="6560" spans="1:40" x14ac:dyDescent="0.25">
      <c r="A6560" t="str">
        <f>"20190305135054839"</f>
        <v>20190305135054839</v>
      </c>
      <c r="B6560" t="str">
        <f>"1551765054836669"</f>
        <v>1551765054836669</v>
      </c>
      <c r="C6560" t="s">
        <v>40</v>
      </c>
      <c r="D6560">
        <v>4.410882</v>
      </c>
      <c r="E6560">
        <v>0.67904969999999998</v>
      </c>
      <c r="F6560" t="s">
        <v>42</v>
      </c>
      <c r="G6560">
        <v>-289.64389999999997</v>
      </c>
      <c r="H6560">
        <v>7.9986180000000004E-2</v>
      </c>
      <c r="I6560">
        <v>-8.8833399999999898</v>
      </c>
      <c r="J6560">
        <v>-317.91739999999999</v>
      </c>
      <c r="K6560">
        <v>1.088014</v>
      </c>
      <c r="L6560">
        <v>16.76614</v>
      </c>
      <c r="M6560">
        <v>0.99130229999999997</v>
      </c>
      <c r="N6560">
        <v>-3.385846E-2</v>
      </c>
      <c r="O6560">
        <v>-0.1271748</v>
      </c>
      <c r="P6560">
        <v>0.94861320000000005</v>
      </c>
      <c r="Q6560">
        <v>-0.10844570000000001</v>
      </c>
      <c r="R6560">
        <v>-0.29727550000000003</v>
      </c>
      <c r="S6560">
        <v>2.4696660000000001</v>
      </c>
      <c r="T6560">
        <v>-8.7722540000000002E-2</v>
      </c>
      <c r="U6560">
        <v>-2.2309269999999999</v>
      </c>
      <c r="V6560">
        <v>0.17230760000000001</v>
      </c>
      <c r="W6560">
        <v>-7.9373490000000005E-2</v>
      </c>
      <c r="X6560">
        <v>0.98184009999999999</v>
      </c>
      <c r="Y6560">
        <v>0.56991859999999905</v>
      </c>
      <c r="Z6560">
        <v>-1.9651470000000001E-2</v>
      </c>
      <c r="AA6560">
        <v>0.82146609999999998</v>
      </c>
      <c r="AB6560">
        <v>27</v>
      </c>
      <c r="AC6560">
        <v>28.273499999999999</v>
      </c>
      <c r="AD6560">
        <v>-1.0080278199999999</v>
      </c>
      <c r="AE6560">
        <v>-25.649480000000001</v>
      </c>
      <c r="AF6560">
        <v>21.828015083678601</v>
      </c>
      <c r="AG6560">
        <v>-1.0080278199999999</v>
      </c>
      <c r="AH6560">
        <v>31.285687900485499</v>
      </c>
      <c r="AI6560">
        <v>91.513646025873697</v>
      </c>
      <c r="AJ6560">
        <v>55.096530084886901</v>
      </c>
      <c r="AK6560">
        <v>38.161140312964697</v>
      </c>
      <c r="AL6560">
        <v>94.552554744513301</v>
      </c>
      <c r="AM6560">
        <v>80.046262405801599</v>
      </c>
      <c r="AN6560">
        <v>1.00000002095027</v>
      </c>
    </row>
    <row r="6561" spans="1:40" x14ac:dyDescent="0.25">
      <c r="A6561" t="str">
        <f>"20190305135054852"</f>
        <v>20190305135054852</v>
      </c>
      <c r="B6561" t="str">
        <f>"1551765054846429"</f>
        <v>1551765054846429</v>
      </c>
      <c r="C6561" t="s">
        <v>40</v>
      </c>
      <c r="D6561">
        <v>4.3806129999999897</v>
      </c>
      <c r="E6561">
        <v>0.67862709999999904</v>
      </c>
      <c r="F6561" t="s">
        <v>42</v>
      </c>
      <c r="G6561">
        <v>-289.96300000000002</v>
      </c>
      <c r="H6561" s="1">
        <v>-2.7566649999999999E-6</v>
      </c>
      <c r="I6561">
        <v>-8.9672889999999992</v>
      </c>
      <c r="J6561">
        <v>-317.76729999999998</v>
      </c>
      <c r="K6561">
        <v>1.0864240000000001</v>
      </c>
      <c r="L6561">
        <v>16.739840000000001</v>
      </c>
      <c r="M6561">
        <v>0.99040530000000004</v>
      </c>
      <c r="N6561">
        <v>-3.4260270000000002E-2</v>
      </c>
      <c r="O6561">
        <v>-0.13387939999999901</v>
      </c>
      <c r="P6561">
        <v>0.94512200000000002</v>
      </c>
      <c r="Q6561">
        <v>-0.10849640000000001</v>
      </c>
      <c r="R6561">
        <v>-0.30817719999999998</v>
      </c>
      <c r="S6561">
        <v>2.4460139999999999</v>
      </c>
      <c r="T6561">
        <v>-9.5201610000000006E-2</v>
      </c>
      <c r="U6561">
        <v>-2.2516780000000001</v>
      </c>
      <c r="V6561">
        <v>0.17686399999999999</v>
      </c>
      <c r="W6561">
        <v>-7.9375849999999998E-2</v>
      </c>
      <c r="X6561">
        <v>0.98102929999999999</v>
      </c>
      <c r="Y6561">
        <v>0.57201049999999998</v>
      </c>
      <c r="Z6561">
        <v>-2.0353079999999999E-2</v>
      </c>
      <c r="AA6561">
        <v>0.81999379999999999</v>
      </c>
      <c r="AB6561">
        <v>26</v>
      </c>
      <c r="AC6561">
        <v>27.804300000000001</v>
      </c>
      <c r="AD6561">
        <v>-1.0864267566650001</v>
      </c>
      <c r="AE6561">
        <v>-25.707128999999998</v>
      </c>
      <c r="AF6561">
        <v>21.732932313828101</v>
      </c>
      <c r="AG6561">
        <v>-1.0864267566650001</v>
      </c>
      <c r="AH6561">
        <v>30.971882381628799</v>
      </c>
      <c r="AI6561">
        <v>91.644736333003095</v>
      </c>
      <c r="AJ6561">
        <v>54.942707523985902</v>
      </c>
      <c r="AK6561">
        <v>37.851792141409703</v>
      </c>
      <c r="AL6561">
        <v>94.552690742703305</v>
      </c>
      <c r="AM6561">
        <v>79.780259294637204</v>
      </c>
      <c r="AN6561">
        <v>0.99999994375885404</v>
      </c>
    </row>
    <row r="6562" spans="1:40" x14ac:dyDescent="0.25">
      <c r="A6562" t="str">
        <f>"20190305135054863"</f>
        <v>20190305135054863</v>
      </c>
      <c r="B6562" t="str">
        <f>"1551765054856190"</f>
        <v>1551765054856190</v>
      </c>
      <c r="C6562" t="s">
        <v>40</v>
      </c>
      <c r="D6562">
        <v>4.4330239999999996</v>
      </c>
      <c r="E6562">
        <v>0.67862709999999904</v>
      </c>
      <c r="F6562" t="s">
        <v>42</v>
      </c>
      <c r="G6562">
        <v>-290.90940000000001</v>
      </c>
      <c r="H6562" s="1">
        <v>-2.678598E-6</v>
      </c>
      <c r="I6562">
        <v>-8.5148539999999997</v>
      </c>
      <c r="J6562">
        <v>-317.61720000000003</v>
      </c>
      <c r="K6562">
        <v>1.084765</v>
      </c>
      <c r="L6562">
        <v>16.7117</v>
      </c>
      <c r="M6562">
        <v>0.98942940000000001</v>
      </c>
      <c r="N6562">
        <v>-3.4550820000000003E-2</v>
      </c>
      <c r="O6562">
        <v>-0.1408392</v>
      </c>
      <c r="P6562">
        <v>0.94136900000000001</v>
      </c>
      <c r="Q6562">
        <v>-0.1083124</v>
      </c>
      <c r="R6562">
        <v>-0.31951929999999901</v>
      </c>
      <c r="S6562">
        <v>2.4207459999999998</v>
      </c>
      <c r="T6562">
        <v>-9.7921369999999994E-2</v>
      </c>
      <c r="U6562">
        <v>-2.2762449999999999</v>
      </c>
      <c r="V6562">
        <v>0.18165590000000001</v>
      </c>
      <c r="W6562">
        <v>-7.9276170000000007E-2</v>
      </c>
      <c r="X6562">
        <v>0.98016139999999996</v>
      </c>
      <c r="Y6562">
        <v>0.57489179999999995</v>
      </c>
      <c r="Z6562">
        <v>-2.0769719999999998E-2</v>
      </c>
      <c r="AA6562">
        <v>0.81796579999999997</v>
      </c>
      <c r="AB6562">
        <v>26</v>
      </c>
      <c r="AC6562">
        <v>26.707799999999999</v>
      </c>
      <c r="AD6562">
        <v>-1.0847676785980001</v>
      </c>
      <c r="AE6562">
        <v>-25.226554</v>
      </c>
      <c r="AF6562">
        <v>21.192576762811299</v>
      </c>
      <c r="AG6562">
        <v>-1.0847676785980001</v>
      </c>
      <c r="AH6562">
        <v>29.970150651376599</v>
      </c>
      <c r="AI6562">
        <v>91.692759068978305</v>
      </c>
      <c r="AJ6562">
        <v>54.7349985530415</v>
      </c>
      <c r="AK6562">
        <v>36.722090910382398</v>
      </c>
      <c r="AL6562">
        <v>94.546961308554799</v>
      </c>
      <c r="AM6562">
        <v>79.500354782448397</v>
      </c>
      <c r="AN6562">
        <v>0.99999997359231896</v>
      </c>
    </row>
    <row r="6563" spans="1:40" x14ac:dyDescent="0.25">
      <c r="A6563" t="str">
        <f>"20190305135054879"</f>
        <v>20190305135054879</v>
      </c>
      <c r="B6563" t="str">
        <f>"1551765054876687"</f>
        <v>1551765054876687</v>
      </c>
      <c r="C6563" t="s">
        <v>40</v>
      </c>
      <c r="D6563">
        <v>4.4739709999999997</v>
      </c>
      <c r="E6563">
        <v>0.66557919999999904</v>
      </c>
      <c r="F6563" t="s">
        <v>42</v>
      </c>
      <c r="G6563">
        <v>-290.67160000000001</v>
      </c>
      <c r="H6563" s="1">
        <v>-2.4623850000000001E-6</v>
      </c>
      <c r="I6563">
        <v>-9.242623</v>
      </c>
      <c r="J6563">
        <v>-317.44580000000002</v>
      </c>
      <c r="K6563">
        <v>1.0828199999999999</v>
      </c>
      <c r="L6563">
        <v>16.677889999999898</v>
      </c>
      <c r="M6563">
        <v>0.98821740000000002</v>
      </c>
      <c r="N6563">
        <v>-3.4774810000000003E-2</v>
      </c>
      <c r="O6563">
        <v>-0.14905460000000001</v>
      </c>
      <c r="P6563">
        <v>0.93472730000000004</v>
      </c>
      <c r="Q6563">
        <v>-0.1084396</v>
      </c>
      <c r="R6563">
        <v>-0.33841650000000001</v>
      </c>
      <c r="S6563">
        <v>2.3933110000000002</v>
      </c>
      <c r="T6563">
        <v>-9.6349240000000003E-2</v>
      </c>
      <c r="U6563">
        <v>-2.3052670000000002</v>
      </c>
      <c r="V6563">
        <v>0.19309860000000001</v>
      </c>
      <c r="W6563">
        <v>-7.9820909999999995E-2</v>
      </c>
      <c r="X6563">
        <v>0.97792710000000005</v>
      </c>
      <c r="Y6563">
        <v>0.57792519999999903</v>
      </c>
      <c r="Z6563">
        <v>-2.0942079999999998E-2</v>
      </c>
      <c r="AA6563">
        <v>0.81582109999999997</v>
      </c>
      <c r="AB6563">
        <v>26</v>
      </c>
      <c r="AC6563">
        <v>26.7742</v>
      </c>
      <c r="AD6563">
        <v>-1.082822462385</v>
      </c>
      <c r="AE6563">
        <v>-25.920513</v>
      </c>
      <c r="AF6563">
        <v>21.619116077315699</v>
      </c>
      <c r="AG6563">
        <v>-1.082822462385</v>
      </c>
      <c r="AH6563">
        <v>30.3150549625629</v>
      </c>
      <c r="AI6563">
        <v>91.665769827894493</v>
      </c>
      <c r="AJ6563">
        <v>54.505515229465303</v>
      </c>
      <c r="AK6563">
        <v>37.2499831118446</v>
      </c>
      <c r="AL6563">
        <v>94.578272036184899</v>
      </c>
      <c r="AM6563">
        <v>78.8302322516668</v>
      </c>
      <c r="AN6563">
        <v>0.99999992995479603</v>
      </c>
    </row>
    <row r="6564" spans="1:40" x14ac:dyDescent="0.25">
      <c r="A6564" t="str">
        <f>"20190305135054890"</f>
        <v>20190305135054890</v>
      </c>
      <c r="B6564" t="str">
        <f>"1551765054886446"</f>
        <v>1551765054886446</v>
      </c>
      <c r="C6564" t="s">
        <v>40</v>
      </c>
      <c r="D6564">
        <v>4.6761229999999996</v>
      </c>
      <c r="E6564">
        <v>0.67558739999999995</v>
      </c>
      <c r="F6564" t="s">
        <v>43</v>
      </c>
      <c r="G6564">
        <v>-304.05540000000002</v>
      </c>
      <c r="H6564">
        <v>-0.05</v>
      </c>
      <c r="I6564">
        <v>3.9228360000000002</v>
      </c>
      <c r="J6564">
        <v>-317.31650000000002</v>
      </c>
      <c r="K6564">
        <v>1.081337</v>
      </c>
      <c r="L6564">
        <v>16.651579999999999</v>
      </c>
      <c r="M6564">
        <v>0.98723919999999998</v>
      </c>
      <c r="N6564">
        <v>-3.4892960000000001E-2</v>
      </c>
      <c r="O6564">
        <v>-0.15537490000000001</v>
      </c>
      <c r="P6564">
        <v>0.92991610000000002</v>
      </c>
      <c r="Q6564">
        <v>-0.1087712</v>
      </c>
      <c r="R6564">
        <v>-0.35131859999999998</v>
      </c>
      <c r="S6564">
        <v>2.3691710000000001</v>
      </c>
      <c r="T6564">
        <v>-0.20042940000000001</v>
      </c>
      <c r="U6564">
        <v>-2.2567439999999999</v>
      </c>
      <c r="V6564">
        <v>0.20026089999999999</v>
      </c>
      <c r="W6564">
        <v>-8.0485660000000001E-2</v>
      </c>
      <c r="X6564">
        <v>0.9764311</v>
      </c>
      <c r="Y6564">
        <v>0.56706939999999995</v>
      </c>
      <c r="Z6564">
        <v>-2.5461069999999999E-2</v>
      </c>
      <c r="AA6564">
        <v>0.82327640000000002</v>
      </c>
      <c r="AB6564">
        <v>26</v>
      </c>
      <c r="AC6564">
        <v>13.261100000000001</v>
      </c>
      <c r="AD6564">
        <v>-1.131337</v>
      </c>
      <c r="AE6564">
        <v>-12.728744000000001</v>
      </c>
      <c r="AF6564">
        <v>10.4726021993093</v>
      </c>
      <c r="AG6564">
        <v>-1.131337</v>
      </c>
      <c r="AH6564">
        <v>15.021881566614301</v>
      </c>
      <c r="AI6564">
        <v>93.535291885705803</v>
      </c>
      <c r="AJ6564">
        <v>55.1174690362839</v>
      </c>
      <c r="AK6564">
        <v>18.346995558781099</v>
      </c>
      <c r="AL6564">
        <v>94.616481879980896</v>
      </c>
      <c r="AM6564">
        <v>78.409663609391302</v>
      </c>
      <c r="AN6564">
        <v>1.0000000312908199</v>
      </c>
    </row>
    <row r="6565" spans="1:40" x14ac:dyDescent="0.25">
      <c r="A6565" t="str">
        <f>"20190305135054902"</f>
        <v>20190305135054902</v>
      </c>
      <c r="B6565" t="str">
        <f>"1551765054896206"</f>
        <v>1551765054896206</v>
      </c>
      <c r="C6565" t="s">
        <v>40</v>
      </c>
      <c r="D6565">
        <v>4.6314979999999997</v>
      </c>
      <c r="E6565">
        <v>0.68441180000000001</v>
      </c>
      <c r="F6565" t="s">
        <v>43</v>
      </c>
      <c r="G6565">
        <v>-304.5335</v>
      </c>
      <c r="H6565">
        <v>-0.05</v>
      </c>
      <c r="I6565">
        <v>3.5643310000000001</v>
      </c>
      <c r="J6565">
        <v>-317.18169999999998</v>
      </c>
      <c r="K6565">
        <v>1.0797870000000001</v>
      </c>
      <c r="L6565">
        <v>16.622219999999999</v>
      </c>
      <c r="M6565">
        <v>0.98613430000000002</v>
      </c>
      <c r="N6565">
        <v>-3.495529E-2</v>
      </c>
      <c r="O6565">
        <v>-0.1622265</v>
      </c>
      <c r="P6565">
        <v>0.9247725</v>
      </c>
      <c r="Q6565">
        <v>-0.10897370000000001</v>
      </c>
      <c r="R6565">
        <v>-0.3645835</v>
      </c>
      <c r="S6565">
        <v>2.3090519999999999</v>
      </c>
      <c r="T6565">
        <v>-0.20435880000000001</v>
      </c>
      <c r="U6565">
        <v>-2.3640140000000001</v>
      </c>
      <c r="V6565">
        <v>0.2073372</v>
      </c>
      <c r="W6565">
        <v>-8.1078810000000001E-2</v>
      </c>
      <c r="X6565">
        <v>0.97490390000000005</v>
      </c>
      <c r="Y6565">
        <v>0.59066929999999995</v>
      </c>
      <c r="Z6565">
        <v>-2.6887299999999999E-2</v>
      </c>
      <c r="AA6565">
        <v>0.80646569999999995</v>
      </c>
      <c r="AB6565">
        <v>26</v>
      </c>
      <c r="AC6565">
        <v>12.6481999999999</v>
      </c>
      <c r="AD6565">
        <v>-1.1297870000000001</v>
      </c>
      <c r="AE6565">
        <v>-13.057888999999999</v>
      </c>
      <c r="AF6565">
        <v>10.7899041793242</v>
      </c>
      <c r="AG6565">
        <v>-1.1297870000000001</v>
      </c>
      <c r="AH6565">
        <v>14.5439084365401</v>
      </c>
      <c r="AI6565">
        <v>93.5698886891618</v>
      </c>
      <c r="AJ6565">
        <v>53.428843104476101</v>
      </c>
      <c r="AK6565">
        <v>18.144523236360602</v>
      </c>
      <c r="AL6565">
        <v>94.650578213587707</v>
      </c>
      <c r="AM6565">
        <v>77.993534859937398</v>
      </c>
      <c r="AN6565">
        <v>1.00000005108503</v>
      </c>
    </row>
    <row r="6566" spans="1:40" x14ac:dyDescent="0.25">
      <c r="A6566" t="str">
        <f>"20190305135054913"</f>
        <v>20190305135054913</v>
      </c>
      <c r="B6566" t="str">
        <f>"1551765054906942"</f>
        <v>1551765054906942</v>
      </c>
      <c r="C6566" t="s">
        <v>40</v>
      </c>
      <c r="D6566">
        <v>4.6836779999999996</v>
      </c>
      <c r="E6566">
        <v>0.69310660000000002</v>
      </c>
      <c r="F6566" t="s">
        <v>43</v>
      </c>
      <c r="G6566">
        <v>-306.6619</v>
      </c>
      <c r="H6566">
        <v>-0.05</v>
      </c>
      <c r="I6566">
        <v>5.0785519999999904</v>
      </c>
      <c r="J6566">
        <v>-317.05450000000002</v>
      </c>
      <c r="K6566">
        <v>1.078317</v>
      </c>
      <c r="L6566">
        <v>16.59393</v>
      </c>
      <c r="M6566">
        <v>0.98503470000000004</v>
      </c>
      <c r="N6566">
        <v>-3.4992830000000003E-2</v>
      </c>
      <c r="O6566">
        <v>-0.16876749999999999</v>
      </c>
      <c r="P6566">
        <v>0.91923849999999996</v>
      </c>
      <c r="Q6566">
        <v>-0.10900940000000001</v>
      </c>
      <c r="R6566">
        <v>-0.37830900000000001</v>
      </c>
      <c r="S6566">
        <v>2.2445979999999999</v>
      </c>
      <c r="T6566">
        <v>-0.24106240000000001</v>
      </c>
      <c r="U6566">
        <v>-2.4630740000000002</v>
      </c>
      <c r="V6566">
        <v>0.2152723</v>
      </c>
      <c r="W6566">
        <v>-8.1558190000000003E-2</v>
      </c>
      <c r="X6566">
        <v>0.97314239999999996</v>
      </c>
      <c r="Y6566">
        <v>0.61242609999999997</v>
      </c>
      <c r="Z6566">
        <v>-2.9914320000000001E-2</v>
      </c>
      <c r="AA6566">
        <v>0.78996160000000004</v>
      </c>
      <c r="AB6566">
        <v>26</v>
      </c>
      <c r="AC6566">
        <v>10.3926</v>
      </c>
      <c r="AD6566">
        <v>-1.128317</v>
      </c>
      <c r="AE6566">
        <v>-11.515378</v>
      </c>
      <c r="AF6566">
        <v>9.5444874153250208</v>
      </c>
      <c r="AG6566">
        <v>-1.128317</v>
      </c>
      <c r="AH6566">
        <v>12.1238068893124</v>
      </c>
      <c r="AI6566">
        <v>94.182311831662801</v>
      </c>
      <c r="AJ6566">
        <v>51.788350466508803</v>
      </c>
      <c r="AK6566">
        <v>15.4711677892499</v>
      </c>
      <c r="AL6566">
        <v>94.678136093865206</v>
      </c>
      <c r="AM6566">
        <v>77.526276202420604</v>
      </c>
      <c r="AN6566">
        <v>1.00000001609056</v>
      </c>
    </row>
    <row r="6567" spans="1:40" x14ac:dyDescent="0.25">
      <c r="A6567" t="str">
        <f>"20190305135054924"</f>
        <v>20190305135054924</v>
      </c>
      <c r="B6567" t="str">
        <f>"1551765054916701"</f>
        <v>1551765054916701</v>
      </c>
      <c r="C6567" t="s">
        <v>40</v>
      </c>
      <c r="D6567">
        <v>4.650595</v>
      </c>
      <c r="E6567">
        <v>0.69837780000000005</v>
      </c>
      <c r="F6567" t="s">
        <v>43</v>
      </c>
      <c r="G6567">
        <v>-307.84820000000002</v>
      </c>
      <c r="H6567">
        <v>-0.05</v>
      </c>
      <c r="I6567">
        <v>5.7688750000000004</v>
      </c>
      <c r="J6567">
        <v>-316.9237</v>
      </c>
      <c r="K6567">
        <v>1.0768150000000001</v>
      </c>
      <c r="L6567">
        <v>16.563420000000001</v>
      </c>
      <c r="M6567">
        <v>0.98382460000000005</v>
      </c>
      <c r="N6567">
        <v>-3.4989029999999997E-2</v>
      </c>
      <c r="O6567">
        <v>-0.17568410000000001</v>
      </c>
      <c r="P6567">
        <v>0.91347250000000002</v>
      </c>
      <c r="Q6567">
        <v>-0.1095747</v>
      </c>
      <c r="R6567">
        <v>-0.39186919999999997</v>
      </c>
      <c r="S6567">
        <v>2.1779790000000001</v>
      </c>
      <c r="T6567">
        <v>-0.2669318</v>
      </c>
      <c r="U6567">
        <v>-2.5609440000000001</v>
      </c>
      <c r="V6567">
        <v>0.22272690000000001</v>
      </c>
      <c r="W6567">
        <v>-8.2594070000000006E-2</v>
      </c>
      <c r="X6567">
        <v>0.97137580000000001</v>
      </c>
      <c r="Y6567">
        <v>0.63323830000000003</v>
      </c>
      <c r="Z6567">
        <v>-3.2434280000000003E-2</v>
      </c>
      <c r="AA6567">
        <v>0.77327699999999999</v>
      </c>
      <c r="AB6567">
        <v>26</v>
      </c>
      <c r="AC6567">
        <v>9.0754999999999697</v>
      </c>
      <c r="AD6567">
        <v>-1.1268149999999999</v>
      </c>
      <c r="AE6567">
        <v>-10.794544999999999</v>
      </c>
      <c r="AF6567">
        <v>8.9737584171932099</v>
      </c>
      <c r="AG6567">
        <v>-1.1268149999999999</v>
      </c>
      <c r="AH6567">
        <v>10.763050232255599</v>
      </c>
      <c r="AI6567">
        <v>94.597296411151504</v>
      </c>
      <c r="AJ6567">
        <v>50.180137646166202</v>
      </c>
      <c r="AK6567">
        <v>14.058495740171701</v>
      </c>
      <c r="AL6567">
        <v>94.737688657079204</v>
      </c>
      <c r="AM6567">
        <v>77.085869621812193</v>
      </c>
      <c r="AN6567">
        <v>0.99999999860420696</v>
      </c>
    </row>
    <row r="6568" spans="1:40" x14ac:dyDescent="0.25">
      <c r="A6568" t="str">
        <f>"20190305135054935"</f>
        <v>20190305135054935</v>
      </c>
      <c r="B6568" t="str">
        <f>"1551765054926462"</f>
        <v>1551765054926462</v>
      </c>
      <c r="C6568" t="s">
        <v>40</v>
      </c>
      <c r="D6568">
        <v>4.5944370000000001</v>
      </c>
      <c r="E6568">
        <v>0.70215869999999903</v>
      </c>
      <c r="F6568" t="s">
        <v>43</v>
      </c>
      <c r="G6568">
        <v>-308.4599</v>
      </c>
      <c r="H6568">
        <v>-0.05</v>
      </c>
      <c r="I6568">
        <v>6.0622860000000003</v>
      </c>
      <c r="J6568">
        <v>-316.80360000000002</v>
      </c>
      <c r="K6568">
        <v>1.0754490000000001</v>
      </c>
      <c r="L6568">
        <v>16.534389999999998</v>
      </c>
      <c r="M6568">
        <v>0.98264499999999999</v>
      </c>
      <c r="N6568">
        <v>-3.4945289999999997E-2</v>
      </c>
      <c r="O6568">
        <v>-0.182175</v>
      </c>
      <c r="P6568">
        <v>0.90777920000000001</v>
      </c>
      <c r="Q6568">
        <v>-0.1100056</v>
      </c>
      <c r="R6568">
        <v>-0.40476659999999998</v>
      </c>
      <c r="S6568">
        <v>2.1212460000000002</v>
      </c>
      <c r="T6568">
        <v>-0.28240989999999999</v>
      </c>
      <c r="U6568">
        <v>-2.631866</v>
      </c>
      <c r="V6568">
        <v>0.22997480000000001</v>
      </c>
      <c r="W6568">
        <v>-8.3508979999999997E-2</v>
      </c>
      <c r="X6568">
        <v>0.96960710000000006</v>
      </c>
      <c r="Y6568">
        <v>0.64809059999999996</v>
      </c>
      <c r="Z6568">
        <v>-3.4054399999999999E-2</v>
      </c>
      <c r="AA6568">
        <v>0.76080150000000002</v>
      </c>
      <c r="AB6568">
        <v>26</v>
      </c>
      <c r="AC6568">
        <v>8.3437000000000108</v>
      </c>
      <c r="AD6568">
        <v>-1.1254489999999999</v>
      </c>
      <c r="AE6568">
        <v>-10.4721039999999</v>
      </c>
      <c r="AF6568">
        <v>8.7141409148221598</v>
      </c>
      <c r="AG6568">
        <v>-1.1254489999999999</v>
      </c>
      <c r="AH6568">
        <v>10.0418805448355</v>
      </c>
      <c r="AI6568">
        <v>94.838416012885801</v>
      </c>
      <c r="AJ6568">
        <v>49.049216055278997</v>
      </c>
      <c r="AK6568">
        <v>13.3432474387506</v>
      </c>
      <c r="AL6568">
        <v>94.790290652962796</v>
      </c>
      <c r="AM6568">
        <v>76.6569489425261</v>
      </c>
      <c r="AN6568">
        <v>1.00000004337304</v>
      </c>
    </row>
    <row r="6569" spans="1:40" x14ac:dyDescent="0.25">
      <c r="A6569" t="str">
        <f>"20190305135054945"</f>
        <v>20190305135054945</v>
      </c>
      <c r="B6569" t="str">
        <f>"1551765054936222"</f>
        <v>1551765054936222</v>
      </c>
      <c r="C6569" t="s">
        <v>40</v>
      </c>
      <c r="D6569">
        <v>4.6246499999999999</v>
      </c>
      <c r="E6569">
        <v>0.70422039999999997</v>
      </c>
      <c r="F6569" t="s">
        <v>43</v>
      </c>
      <c r="G6569">
        <v>-308.89580000000001</v>
      </c>
      <c r="H6569">
        <v>-0.05</v>
      </c>
      <c r="I6569">
        <v>6.2575379999999896</v>
      </c>
      <c r="J6569">
        <v>-316.67919999999998</v>
      </c>
      <c r="K6569">
        <v>1.0740510000000001</v>
      </c>
      <c r="L6569">
        <v>16.50339</v>
      </c>
      <c r="M6569">
        <v>0.98134880000000002</v>
      </c>
      <c r="N6569">
        <v>-3.4859769999999998E-2</v>
      </c>
      <c r="O6569">
        <v>-0.18904879999999999</v>
      </c>
      <c r="P6569">
        <v>0.90184520000000001</v>
      </c>
      <c r="Q6569">
        <v>-0.1101205</v>
      </c>
      <c r="R6569">
        <v>-0.4177902</v>
      </c>
      <c r="S6569">
        <v>2.0697329999999998</v>
      </c>
      <c r="T6569">
        <v>-0.29456710000000003</v>
      </c>
      <c r="U6569">
        <v>-2.6897890000000002</v>
      </c>
      <c r="V6569">
        <v>0.23705270000000001</v>
      </c>
      <c r="W6569">
        <v>-8.414141E-2</v>
      </c>
      <c r="X6569">
        <v>0.96784619999999999</v>
      </c>
      <c r="Y6569">
        <v>0.65957119999999902</v>
      </c>
      <c r="Z6569">
        <v>-3.5211989999999999E-2</v>
      </c>
      <c r="AA6569">
        <v>0.75081679999999995</v>
      </c>
      <c r="AB6569">
        <v>26</v>
      </c>
      <c r="AC6569">
        <v>7.7833999999999701</v>
      </c>
      <c r="AD6569">
        <v>-1.1240509999999999</v>
      </c>
      <c r="AE6569">
        <v>-10.245851999999999</v>
      </c>
      <c r="AF6569">
        <v>8.5234831764713501</v>
      </c>
      <c r="AG6569">
        <v>-1.1240509999999999</v>
      </c>
      <c r="AH6569">
        <v>9.5084535060037503</v>
      </c>
      <c r="AI6569">
        <v>95.030560186049897</v>
      </c>
      <c r="AJ6569">
        <v>48.126597838617599</v>
      </c>
      <c r="AK6569">
        <v>12.8188901308196</v>
      </c>
      <c r="AL6569">
        <v>94.826654350474897</v>
      </c>
      <c r="AM6569">
        <v>76.237587394385898</v>
      </c>
      <c r="AN6569">
        <v>1.0000000131542499</v>
      </c>
    </row>
    <row r="6570" spans="1:40" x14ac:dyDescent="0.25">
      <c r="A6570" t="str">
        <f>"20190305135054957"</f>
        <v>20190305135054957</v>
      </c>
      <c r="B6570" t="str">
        <f>"1551765054946958"</f>
        <v>1551765054946958</v>
      </c>
      <c r="C6570" t="s">
        <v>40</v>
      </c>
      <c r="D6570">
        <v>4.586932</v>
      </c>
      <c r="E6570">
        <v>0.70519699999999996</v>
      </c>
      <c r="F6570" t="s">
        <v>43</v>
      </c>
      <c r="G6570">
        <v>-308.99169999999998</v>
      </c>
      <c r="H6570">
        <v>-0.05</v>
      </c>
      <c r="I6570">
        <v>6.1159520000000001</v>
      </c>
      <c r="J6570">
        <v>-316.55450000000002</v>
      </c>
      <c r="K6570">
        <v>1.0726869999999999</v>
      </c>
      <c r="L6570">
        <v>16.47092</v>
      </c>
      <c r="M6570">
        <v>0.9799601</v>
      </c>
      <c r="N6570">
        <v>-3.4715410000000002E-2</v>
      </c>
      <c r="O6570">
        <v>-0.19614590000000001</v>
      </c>
      <c r="P6570">
        <v>0.89569370000000004</v>
      </c>
      <c r="Q6570">
        <v>-0.10969130000000001</v>
      </c>
      <c r="R6570">
        <v>-0.43092999999999998</v>
      </c>
      <c r="S6570">
        <v>2.0236510000000001</v>
      </c>
      <c r="T6570">
        <v>-0.29589389999999999</v>
      </c>
      <c r="U6570">
        <v>-2.734375</v>
      </c>
      <c r="V6570">
        <v>0.24411830000000001</v>
      </c>
      <c r="W6570">
        <v>-8.4269289999999997E-2</v>
      </c>
      <c r="X6570">
        <v>0.96607710000000002</v>
      </c>
      <c r="Y6570">
        <v>0.66809619999999903</v>
      </c>
      <c r="Z6570">
        <v>-3.5511380000000002E-2</v>
      </c>
      <c r="AA6570">
        <v>0.74322699999999997</v>
      </c>
      <c r="AB6570">
        <v>26</v>
      </c>
      <c r="AC6570">
        <v>7.5628000000000304</v>
      </c>
      <c r="AD6570">
        <v>-1.122687</v>
      </c>
      <c r="AE6570">
        <v>-10.354968</v>
      </c>
      <c r="AF6570">
        <v>8.6033164440531191</v>
      </c>
      <c r="AG6570">
        <v>-1.122687</v>
      </c>
      <c r="AH6570">
        <v>9.37614490427673</v>
      </c>
      <c r="AI6570">
        <v>95.041917933916295</v>
      </c>
      <c r="AJ6570">
        <v>47.461284441523503</v>
      </c>
      <c r="AK6570">
        <v>12.7745674370006</v>
      </c>
      <c r="AL6570">
        <v>94.834007463170906</v>
      </c>
      <c r="AM6570">
        <v>75.818773689356306</v>
      </c>
      <c r="AN6570">
        <v>1.0000000103882001</v>
      </c>
    </row>
    <row r="6571" spans="1:40" x14ac:dyDescent="0.25">
      <c r="A6571" t="str">
        <f>"20190305135054968"</f>
        <v>20190305135054968</v>
      </c>
      <c r="B6571" t="str">
        <f>"1551765054956718"</f>
        <v>1551765054956718</v>
      </c>
      <c r="C6571" t="s">
        <v>40</v>
      </c>
      <c r="D6571">
        <v>4.5846070000000001</v>
      </c>
      <c r="E6571">
        <v>0.70536860000000001</v>
      </c>
      <c r="F6571" t="s">
        <v>43</v>
      </c>
      <c r="G6571">
        <v>-309.02749999999997</v>
      </c>
      <c r="H6571">
        <v>-0.05</v>
      </c>
      <c r="I6571">
        <v>5.9385680000000001</v>
      </c>
      <c r="J6571">
        <v>-316.43090000000001</v>
      </c>
      <c r="K6571">
        <v>1.0713569999999999</v>
      </c>
      <c r="L6571">
        <v>16.438020000000002</v>
      </c>
      <c r="M6571">
        <v>0.97851089999999996</v>
      </c>
      <c r="N6571">
        <v>-3.4542490000000002E-2</v>
      </c>
      <c r="O6571">
        <v>-0.20328099999999999</v>
      </c>
      <c r="P6571">
        <v>0.88941970000000004</v>
      </c>
      <c r="Q6571">
        <v>-0.1092296</v>
      </c>
      <c r="R6571">
        <v>-0.44384859999999998</v>
      </c>
      <c r="S6571">
        <v>1.9801329999999999</v>
      </c>
      <c r="T6571">
        <v>-0.29534579999999999</v>
      </c>
      <c r="U6571">
        <v>-2.7707519999999999</v>
      </c>
      <c r="V6571">
        <v>0.2509866</v>
      </c>
      <c r="W6571">
        <v>-8.4378560000000005E-2</v>
      </c>
      <c r="X6571">
        <v>0.96430590000000005</v>
      </c>
      <c r="Y6571">
        <v>0.67498950000000002</v>
      </c>
      <c r="Z6571">
        <v>-3.5562080000000003E-2</v>
      </c>
      <c r="AA6571">
        <v>0.73696989999999996</v>
      </c>
      <c r="AB6571">
        <v>25</v>
      </c>
      <c r="AC6571">
        <v>7.4034000000000297</v>
      </c>
      <c r="AD6571">
        <v>-1.1213569999999999</v>
      </c>
      <c r="AE6571">
        <v>-10.499452</v>
      </c>
      <c r="AF6571">
        <v>8.7077531754932895</v>
      </c>
      <c r="AG6571">
        <v>-1.1213569999999999</v>
      </c>
      <c r="AH6571">
        <v>9.3132929787691197</v>
      </c>
      <c r="AI6571">
        <v>95.026207937880699</v>
      </c>
      <c r="AJ6571">
        <v>46.924517911629003</v>
      </c>
      <c r="AK6571">
        <v>12.799212202129899</v>
      </c>
      <c r="AL6571">
        <v>94.840290883729807</v>
      </c>
      <c r="AM6571">
        <v>75.410921415698397</v>
      </c>
      <c r="AN6571">
        <v>0.99999994177102003</v>
      </c>
    </row>
    <row r="6572" spans="1:40" x14ac:dyDescent="0.25">
      <c r="A6572" t="str">
        <f>"20190305135054980"</f>
        <v>20190305135054980</v>
      </c>
      <c r="B6572" t="str">
        <f>"1551765054976238"</f>
        <v>1551765054976238</v>
      </c>
      <c r="C6572" t="s">
        <v>40</v>
      </c>
      <c r="D6572">
        <v>4.5566599999999999</v>
      </c>
      <c r="E6572">
        <v>0.70472869999999999</v>
      </c>
      <c r="F6572" t="s">
        <v>43</v>
      </c>
      <c r="G6572">
        <v>-309.04250000000002</v>
      </c>
      <c r="H6572">
        <v>-0.05</v>
      </c>
      <c r="I6572">
        <v>5.7703550000000003</v>
      </c>
      <c r="J6572">
        <v>-316.30540000000002</v>
      </c>
      <c r="K6572">
        <v>1.0700829999999999</v>
      </c>
      <c r="L6572">
        <v>16.402829999999899</v>
      </c>
      <c r="M6572">
        <v>0.97692480000000004</v>
      </c>
      <c r="N6572">
        <v>-3.4304050000000003E-2</v>
      </c>
      <c r="O6572">
        <v>-0.21081079999999999</v>
      </c>
      <c r="P6572">
        <v>0.88275740000000003</v>
      </c>
      <c r="Q6572">
        <v>-0.1085021</v>
      </c>
      <c r="R6572">
        <v>-0.45712849999999999</v>
      </c>
      <c r="S6572">
        <v>1.9394229999999999</v>
      </c>
      <c r="T6572">
        <v>-0.29435359999999899</v>
      </c>
      <c r="U6572">
        <v>-2.8002319999999998</v>
      </c>
      <c r="V6572">
        <v>0.25795000000000001</v>
      </c>
      <c r="W6572">
        <v>-8.4256739999999997E-2</v>
      </c>
      <c r="X6572">
        <v>0.96247729999999998</v>
      </c>
      <c r="Y6572">
        <v>0.68017539999999999</v>
      </c>
      <c r="Z6572">
        <v>-3.5381129999999997E-2</v>
      </c>
      <c r="AA6572">
        <v>0.73219509999999999</v>
      </c>
      <c r="AB6572">
        <v>25</v>
      </c>
      <c r="AC6572">
        <v>7.2629000000000001</v>
      </c>
      <c r="AD6572">
        <v>-1.1200829999999999</v>
      </c>
      <c r="AE6572">
        <v>-10.6324749999999</v>
      </c>
      <c r="AF6572">
        <v>8.7946974100440496</v>
      </c>
      <c r="AG6572">
        <v>-1.1200829999999999</v>
      </c>
      <c r="AH6572">
        <v>9.2720850929955994</v>
      </c>
      <c r="AI6572">
        <v>95.008954460998694</v>
      </c>
      <c r="AJ6572">
        <v>46.513603004844001</v>
      </c>
      <c r="AK6572">
        <v>12.828595029576499</v>
      </c>
      <c r="AL6572">
        <v>94.833285997071002</v>
      </c>
      <c r="AM6572">
        <v>74.996946094455296</v>
      </c>
      <c r="AN6572">
        <v>0.99999997687535802</v>
      </c>
    </row>
    <row r="6573" spans="1:40" x14ac:dyDescent="0.25">
      <c r="A6573" t="str">
        <f>"20190305135054990"</f>
        <v>20190305135054990</v>
      </c>
      <c r="B6573" t="str">
        <f>"1551765054986975"</f>
        <v>1551765054986975</v>
      </c>
      <c r="C6573" t="s">
        <v>40</v>
      </c>
      <c r="D6573">
        <v>4.6003800000000004</v>
      </c>
      <c r="E6573">
        <v>0.70396669999999995</v>
      </c>
      <c r="F6573" t="s">
        <v>43</v>
      </c>
      <c r="G6573">
        <v>-309.11559999999997</v>
      </c>
      <c r="H6573">
        <v>-0.05</v>
      </c>
      <c r="I6573">
        <v>5.709473</v>
      </c>
      <c r="J6573">
        <v>-316.18110000000001</v>
      </c>
      <c r="K6573">
        <v>1.068838</v>
      </c>
      <c r="L6573">
        <v>16.367460000000001</v>
      </c>
      <c r="M6573">
        <v>0.97528009999999998</v>
      </c>
      <c r="N6573">
        <v>-3.4052109999999997E-2</v>
      </c>
      <c r="O6573">
        <v>-0.21833320000000001</v>
      </c>
      <c r="P6573">
        <v>0.8759884</v>
      </c>
      <c r="Q6573">
        <v>-0.10756350000000001</v>
      </c>
      <c r="R6573">
        <v>-0.4701861</v>
      </c>
      <c r="S6573">
        <v>1.899292</v>
      </c>
      <c r="T6573">
        <v>-0.29588520000000001</v>
      </c>
      <c r="U6573">
        <v>-2.8247990000000001</v>
      </c>
      <c r="V6573">
        <v>0.26476650000000002</v>
      </c>
      <c r="W6573">
        <v>-8.3923440000000002E-2</v>
      </c>
      <c r="X6573">
        <v>0.96065370000000005</v>
      </c>
      <c r="Y6573">
        <v>0.68459060000000005</v>
      </c>
      <c r="Z6573">
        <v>-3.525561E-2</v>
      </c>
      <c r="AA6573">
        <v>0.72807460000000002</v>
      </c>
      <c r="AB6573">
        <v>25</v>
      </c>
      <c r="AC6573">
        <v>7.0655000000000401</v>
      </c>
      <c r="AD6573">
        <v>-1.118838</v>
      </c>
      <c r="AE6573">
        <v>-10.657987</v>
      </c>
      <c r="AF6573">
        <v>8.7897343080464907</v>
      </c>
      <c r="AG6573">
        <v>-1.118838</v>
      </c>
      <c r="AH6573">
        <v>9.1531093154342607</v>
      </c>
      <c r="AI6573">
        <v>95.038520165761895</v>
      </c>
      <c r="AJ6573">
        <v>46.1601844790681</v>
      </c>
      <c r="AK6573">
        <v>12.7393342768208</v>
      </c>
      <c r="AL6573">
        <v>94.814121384966597</v>
      </c>
      <c r="AM6573">
        <v>74.591220016274903</v>
      </c>
      <c r="AN6573">
        <v>0.999999987313686</v>
      </c>
    </row>
    <row r="6574" spans="1:40" x14ac:dyDescent="0.25">
      <c r="A6574" t="str">
        <f>"20190305135055002"</f>
        <v>20190305135055002</v>
      </c>
      <c r="B6574" t="str">
        <f>"1551765054996744"</f>
        <v>1551765054996744</v>
      </c>
      <c r="C6574" t="s">
        <v>40</v>
      </c>
      <c r="D6574">
        <v>4.5395539999999999</v>
      </c>
      <c r="E6574">
        <v>0.70318099999999994</v>
      </c>
      <c r="F6574" t="s">
        <v>43</v>
      </c>
      <c r="G6574">
        <v>-308.85399999999998</v>
      </c>
      <c r="H6574">
        <v>-0.05</v>
      </c>
      <c r="I6574">
        <v>5.1620179999999998</v>
      </c>
      <c r="J6574">
        <v>-316.0478</v>
      </c>
      <c r="K6574">
        <v>1.0675889999999999</v>
      </c>
      <c r="L6574">
        <v>16.327479999999898</v>
      </c>
      <c r="M6574">
        <v>0.97338009999999997</v>
      </c>
      <c r="N6574">
        <v>-3.3732770000000002E-2</v>
      </c>
      <c r="O6574">
        <v>-0.22670119999999999</v>
      </c>
      <c r="P6574">
        <v>0.86871399999999999</v>
      </c>
      <c r="Q6574">
        <v>-0.1070478</v>
      </c>
      <c r="R6574">
        <v>-0.4836085</v>
      </c>
      <c r="S6574">
        <v>1.8616330000000001</v>
      </c>
      <c r="T6574">
        <v>-0.284271</v>
      </c>
      <c r="U6574">
        <v>-2.8470460000000002</v>
      </c>
      <c r="V6574">
        <v>0.27124799999999999</v>
      </c>
      <c r="W6574">
        <v>-8.4031590000000003E-2</v>
      </c>
      <c r="X6574">
        <v>0.95883430000000003</v>
      </c>
      <c r="Y6574">
        <v>0.68787349999999903</v>
      </c>
      <c r="Z6574">
        <v>-3.4289E-2</v>
      </c>
      <c r="AA6574">
        <v>0.72502029999999995</v>
      </c>
      <c r="AB6574">
        <v>25</v>
      </c>
      <c r="AC6574">
        <v>7.1937999999999498</v>
      </c>
      <c r="AD6574">
        <v>-1.1175889999999999</v>
      </c>
      <c r="AE6574">
        <v>-11.1654619999999</v>
      </c>
      <c r="AF6574">
        <v>9.1776787502444002</v>
      </c>
      <c r="AG6574">
        <v>-1.1175889999999999</v>
      </c>
      <c r="AH6574">
        <v>9.4718943406990892</v>
      </c>
      <c r="AI6574">
        <v>94.843514097086697</v>
      </c>
      <c r="AJ6574">
        <v>45.903823011525098</v>
      </c>
      <c r="AK6574">
        <v>13.236146524460001</v>
      </c>
      <c r="AL6574">
        <v>94.820339827086698</v>
      </c>
      <c r="AM6574">
        <v>74.204136130323405</v>
      </c>
      <c r="AN6574">
        <v>1.0000000002392</v>
      </c>
    </row>
    <row r="6575" spans="1:40" x14ac:dyDescent="0.25">
      <c r="A6575" t="str">
        <f>"20190305135055013"</f>
        <v>20190305135055013</v>
      </c>
      <c r="B6575" t="str">
        <f>"1551765055006494"</f>
        <v>1551765055006494</v>
      </c>
      <c r="C6575" t="s">
        <v>40</v>
      </c>
      <c r="D6575">
        <v>4.5650029999999999</v>
      </c>
      <c r="E6575">
        <v>0.70241030000000004</v>
      </c>
      <c r="F6575" t="s">
        <v>43</v>
      </c>
      <c r="G6575">
        <v>-308.9151</v>
      </c>
      <c r="H6575">
        <v>-0.05</v>
      </c>
      <c r="I6575">
        <v>5.0838619999999999</v>
      </c>
      <c r="J6575">
        <v>-315.93349999999998</v>
      </c>
      <c r="K6575">
        <v>1.066551</v>
      </c>
      <c r="L6575">
        <v>16.292479999999902</v>
      </c>
      <c r="M6575">
        <v>0.97166889999999995</v>
      </c>
      <c r="N6575">
        <v>-3.3446820000000002E-2</v>
      </c>
      <c r="O6575">
        <v>-0.2339678</v>
      </c>
      <c r="P6575">
        <v>0.86210789999999904</v>
      </c>
      <c r="Q6575">
        <v>-0.10696600000000001</v>
      </c>
      <c r="R6575">
        <v>-0.49530629999999998</v>
      </c>
      <c r="S6575">
        <v>1.8206180000000001</v>
      </c>
      <c r="T6575">
        <v>-0.28526119999999999</v>
      </c>
      <c r="U6575">
        <v>-2.869904</v>
      </c>
      <c r="V6575">
        <v>0.27700279999999999</v>
      </c>
      <c r="W6575">
        <v>-8.4495940000000005E-2</v>
      </c>
      <c r="X6575">
        <v>0.95714679999999996</v>
      </c>
      <c r="Y6575">
        <v>0.69240979999999996</v>
      </c>
      <c r="Z6575">
        <v>-3.41401E-2</v>
      </c>
      <c r="AA6575">
        <v>0.72069629999999996</v>
      </c>
      <c r="AB6575">
        <v>25</v>
      </c>
      <c r="AC6575">
        <v>7.0183999999999802</v>
      </c>
      <c r="AD6575">
        <v>-1.1165510000000001</v>
      </c>
      <c r="AE6575">
        <v>-11.2086179999999</v>
      </c>
      <c r="AF6575">
        <v>9.18866321211501</v>
      </c>
      <c r="AG6575">
        <v>-1.1165510000000001</v>
      </c>
      <c r="AH6575">
        <v>9.3804350354739192</v>
      </c>
      <c r="AI6575">
        <v>94.860251993476695</v>
      </c>
      <c r="AJ6575">
        <v>45.5916994648206</v>
      </c>
      <c r="AK6575">
        <v>13.1784209682352</v>
      </c>
      <c r="AL6575">
        <v>94.847039811894106</v>
      </c>
      <c r="AM6575">
        <v>73.859307231994805</v>
      </c>
      <c r="AN6575">
        <v>1.0000000559172799</v>
      </c>
    </row>
    <row r="6576" spans="1:40" x14ac:dyDescent="0.25">
      <c r="A6576" t="str">
        <f>"20190305135055024"</f>
        <v>20190305135055024</v>
      </c>
      <c r="B6576" t="str">
        <f>"1551765055016254"</f>
        <v>1551765055016254</v>
      </c>
      <c r="C6576" t="s">
        <v>40</v>
      </c>
      <c r="D6576">
        <v>4.3282790000000002</v>
      </c>
      <c r="E6576">
        <v>0.70231690000000002</v>
      </c>
      <c r="F6576" t="s">
        <v>43</v>
      </c>
      <c r="G6576">
        <v>-308.98340000000002</v>
      </c>
      <c r="H6576">
        <v>-0.05</v>
      </c>
      <c r="I6576">
        <v>5.0414729999999999</v>
      </c>
      <c r="J6576">
        <v>-315.8109</v>
      </c>
      <c r="K6576">
        <v>1.0654939999999999</v>
      </c>
      <c r="L6576">
        <v>16.253509999999999</v>
      </c>
      <c r="M6576">
        <v>0.96972599999999998</v>
      </c>
      <c r="N6576">
        <v>-3.311799E-2</v>
      </c>
      <c r="O6576">
        <v>-0.24193999999999999</v>
      </c>
      <c r="P6576">
        <v>0.85521909999999901</v>
      </c>
      <c r="Q6576">
        <v>-0.1063972</v>
      </c>
      <c r="R6576">
        <v>-0.50722840000000002</v>
      </c>
      <c r="S6576">
        <v>1.784546</v>
      </c>
      <c r="T6576">
        <v>-0.28669349999999999</v>
      </c>
      <c r="U6576">
        <v>-2.8888850000000001</v>
      </c>
      <c r="V6576">
        <v>0.28239969999999998</v>
      </c>
      <c r="W6576">
        <v>-8.4474179999999996E-2</v>
      </c>
      <c r="X6576">
        <v>0.95557029999999998</v>
      </c>
      <c r="Y6576">
        <v>0.69509799999999999</v>
      </c>
      <c r="Z6576">
        <v>-3.3758200000000002E-2</v>
      </c>
      <c r="AA6576">
        <v>0.71812209999999999</v>
      </c>
      <c r="AB6576">
        <v>25</v>
      </c>
      <c r="AC6576">
        <v>6.8274999999999801</v>
      </c>
      <c r="AD6576">
        <v>-1.115494</v>
      </c>
      <c r="AE6576">
        <v>-11.212037</v>
      </c>
      <c r="AF6576">
        <v>9.1596774697036398</v>
      </c>
      <c r="AG6576">
        <v>-1.115494</v>
      </c>
      <c r="AH6576">
        <v>9.2716170595855392</v>
      </c>
      <c r="AI6576">
        <v>94.891971273245403</v>
      </c>
      <c r="AJ6576">
        <v>45.347972693676198</v>
      </c>
      <c r="AK6576">
        <v>13.0807836581999</v>
      </c>
      <c r="AL6576">
        <v>94.845788669639603</v>
      </c>
      <c r="AM6576">
        <v>73.536008623341303</v>
      </c>
      <c r="AN6576">
        <v>1.0000000379444201</v>
      </c>
    </row>
    <row r="6577" spans="1:40" x14ac:dyDescent="0.25">
      <c r="A6577" t="str">
        <f>"20190305135055036"</f>
        <v>20190305135055036</v>
      </c>
      <c r="B6577" t="str">
        <f>"1551765055026990"</f>
        <v>1551765055026990</v>
      </c>
      <c r="C6577" t="s">
        <v>40</v>
      </c>
      <c r="D6577">
        <v>4.3235049999999999</v>
      </c>
      <c r="E6577">
        <v>0.70196440000000004</v>
      </c>
      <c r="F6577" t="s">
        <v>43</v>
      </c>
      <c r="G6577">
        <v>-307.96870000000001</v>
      </c>
      <c r="H6577">
        <v>-0.05</v>
      </c>
      <c r="I6577">
        <v>3.1970670000000001</v>
      </c>
      <c r="J6577">
        <v>-315.6891</v>
      </c>
      <c r="K6577">
        <v>1.0644880000000001</v>
      </c>
      <c r="L6577">
        <v>16.213650000000001</v>
      </c>
      <c r="M6577">
        <v>0.96769419999999995</v>
      </c>
      <c r="N6577">
        <v>-3.2777470000000003E-2</v>
      </c>
      <c r="O6577">
        <v>-0.24998719999999999</v>
      </c>
      <c r="P6577">
        <v>0.84829059999999901</v>
      </c>
      <c r="Q6577">
        <v>-0.10562580000000001</v>
      </c>
      <c r="R6577">
        <v>-0.5188895</v>
      </c>
      <c r="S6577">
        <v>1.74942</v>
      </c>
      <c r="T6577">
        <v>-0.24884129999999999</v>
      </c>
      <c r="U6577">
        <v>-2.912598</v>
      </c>
      <c r="V6577">
        <v>0.28751900000000002</v>
      </c>
      <c r="W6577">
        <v>-8.4233169999999996E-2</v>
      </c>
      <c r="X6577">
        <v>0.95406369999999896</v>
      </c>
      <c r="Y6577">
        <v>0.69865980000000005</v>
      </c>
      <c r="Z6577">
        <v>-3.1736460000000001E-2</v>
      </c>
      <c r="AA6577">
        <v>0.71474979999999999</v>
      </c>
      <c r="AB6577">
        <v>25</v>
      </c>
      <c r="AC6577">
        <v>7.7203999999999802</v>
      </c>
      <c r="AD6577">
        <v>-1.1144879999999999</v>
      </c>
      <c r="AE6577">
        <v>-13.016583000000001</v>
      </c>
      <c r="AF6577">
        <v>10.614242759788899</v>
      </c>
      <c r="AG6577">
        <v>-1.1144879999999999</v>
      </c>
      <c r="AH6577">
        <v>10.672851327335501</v>
      </c>
      <c r="AI6577">
        <v>94.234511034537206</v>
      </c>
      <c r="AJ6577">
        <v>45.157748871923097</v>
      </c>
      <c r="AK6577">
        <v>15.093508151562499</v>
      </c>
      <c r="AL6577">
        <v>94.831930736497995</v>
      </c>
      <c r="AM6577">
        <v>73.229164125909094</v>
      </c>
      <c r="AN6577">
        <v>0.99999997297346899</v>
      </c>
    </row>
    <row r="6578" spans="1:40" x14ac:dyDescent="0.25">
      <c r="A6578" t="str">
        <f>"20190305135055051"</f>
        <v>20190305135055051</v>
      </c>
      <c r="B6578" t="str">
        <f>"1551765055046510"</f>
        <v>1551765055046510</v>
      </c>
      <c r="C6578" t="s">
        <v>40</v>
      </c>
      <c r="D6578">
        <v>4.3450350000000002</v>
      </c>
      <c r="E6578">
        <v>0.69020139999999996</v>
      </c>
      <c r="F6578" t="s">
        <v>43</v>
      </c>
      <c r="G6578">
        <v>-307.04570000000001</v>
      </c>
      <c r="H6578">
        <v>-0.05</v>
      </c>
      <c r="I6578">
        <v>1.4242859999999999</v>
      </c>
      <c r="J6578">
        <v>-315.52780000000001</v>
      </c>
      <c r="K6578">
        <v>1.063205</v>
      </c>
      <c r="L6578">
        <v>16.15924</v>
      </c>
      <c r="M6578">
        <v>0.96484530000000002</v>
      </c>
      <c r="N6578">
        <v>-3.231001E-2</v>
      </c>
      <c r="O6578">
        <v>-0.26082529999999998</v>
      </c>
      <c r="P6578">
        <v>0.83991759999999904</v>
      </c>
      <c r="Q6578">
        <v>-0.1045233</v>
      </c>
      <c r="R6578">
        <v>-0.53255410000000003</v>
      </c>
      <c r="S6578">
        <v>1.7145079999999999</v>
      </c>
      <c r="T6578">
        <v>-0.2210703</v>
      </c>
      <c r="U6578">
        <v>-2.933624</v>
      </c>
      <c r="V6578">
        <v>0.29224319999999998</v>
      </c>
      <c r="W6578">
        <v>-8.3737800000000001E-2</v>
      </c>
      <c r="X6578">
        <v>0.95267089999999999</v>
      </c>
      <c r="Y6578">
        <v>0.69963169999999897</v>
      </c>
      <c r="Z6578">
        <v>-2.985467E-2</v>
      </c>
      <c r="AA6578">
        <v>0.71387970000000001</v>
      </c>
      <c r="AB6578">
        <v>25</v>
      </c>
      <c r="AC6578">
        <v>8.4821000000000009</v>
      </c>
      <c r="AD6578">
        <v>-1.113205</v>
      </c>
      <c r="AE6578">
        <v>-14.734954</v>
      </c>
      <c r="AF6578">
        <v>11.959603413200799</v>
      </c>
      <c r="AG6578">
        <v>-1.113205</v>
      </c>
      <c r="AH6578">
        <v>11.982077130602899</v>
      </c>
      <c r="AI6578">
        <v>93.762124675502704</v>
      </c>
      <c r="AJ6578">
        <v>45.053782723253498</v>
      </c>
      <c r="AK6578">
        <v>16.965892594755701</v>
      </c>
      <c r="AL6578">
        <v>94.803447481517694</v>
      </c>
      <c r="AM6578">
        <v>72.945978179579498</v>
      </c>
      <c r="AN6578">
        <v>0.99999997540094399</v>
      </c>
    </row>
    <row r="6579" spans="1:40" x14ac:dyDescent="0.25">
      <c r="A6579" t="str">
        <f>"20190305135055063"</f>
        <v>20190305135055063</v>
      </c>
      <c r="B6579" t="str">
        <f>"1551765055056269"</f>
        <v>1551765055056269</v>
      </c>
      <c r="C6579" t="s">
        <v>40</v>
      </c>
      <c r="D6579">
        <v>4.3330460000000004</v>
      </c>
      <c r="E6579">
        <v>0.68707819999999997</v>
      </c>
      <c r="F6579" t="s">
        <v>84</v>
      </c>
      <c r="G6579">
        <v>-251.36340000000001</v>
      </c>
      <c r="H6579">
        <v>6.6740880000000002</v>
      </c>
      <c r="I6579">
        <v>-88.517669999999995</v>
      </c>
      <c r="J6579">
        <v>-315.39870000000002</v>
      </c>
      <c r="K6579">
        <v>1.062249</v>
      </c>
      <c r="L6579">
        <v>16.113529999999901</v>
      </c>
      <c r="M6579">
        <v>0.96240110000000001</v>
      </c>
      <c r="N6579">
        <v>-3.192391E-2</v>
      </c>
      <c r="O6579">
        <v>-0.26975009999999999</v>
      </c>
      <c r="P6579">
        <v>0.8324125</v>
      </c>
      <c r="Q6579">
        <v>-0.1034794</v>
      </c>
      <c r="R6579">
        <v>-0.54440929999999998</v>
      </c>
      <c r="S6579">
        <v>1.7651669999999999</v>
      </c>
      <c r="T6579">
        <v>0.1543561</v>
      </c>
      <c r="U6579">
        <v>-2.8796689999999998</v>
      </c>
      <c r="V6579">
        <v>0.29691269999999997</v>
      </c>
      <c r="W6579">
        <v>-8.3207290000000003E-2</v>
      </c>
      <c r="X6579">
        <v>0.95127249999999997</v>
      </c>
      <c r="Y6579">
        <v>0.68021940000000003</v>
      </c>
      <c r="Z6579">
        <v>-1.573401E-2</v>
      </c>
      <c r="AA6579">
        <v>0.73283980000000004</v>
      </c>
      <c r="AB6579">
        <v>25</v>
      </c>
      <c r="AC6579">
        <v>64.035300000000007</v>
      </c>
      <c r="AD6579">
        <v>5.6118389999999998</v>
      </c>
      <c r="AE6579">
        <v>-104.63120000000001</v>
      </c>
      <c r="AF6579">
        <v>83.291878119583501</v>
      </c>
      <c r="AG6579">
        <v>5.6118389999999998</v>
      </c>
      <c r="AH6579">
        <v>89.709990512092901</v>
      </c>
      <c r="AI6579">
        <v>87.3752410227128</v>
      </c>
      <c r="AJ6579">
        <v>47.124613982642998</v>
      </c>
      <c r="AK6579">
        <v>122.543511029059</v>
      </c>
      <c r="AL6579">
        <v>94.772944990285296</v>
      </c>
      <c r="AM6579">
        <v>72.665729035156204</v>
      </c>
      <c r="AN6579">
        <v>0.99999998689334102</v>
      </c>
    </row>
    <row r="6580" spans="1:40" x14ac:dyDescent="0.25">
      <c r="A6580" t="str">
        <f>"20190305135055074"</f>
        <v>20190305135055074</v>
      </c>
      <c r="B6580" t="str">
        <f>"1551765055067006"</f>
        <v>1551765055067006</v>
      </c>
      <c r="C6580" t="s">
        <v>40</v>
      </c>
      <c r="D6580">
        <v>4.3429039999999999</v>
      </c>
      <c r="E6580">
        <v>0.68501009999999996</v>
      </c>
      <c r="F6580" t="s">
        <v>84</v>
      </c>
      <c r="G6580">
        <v>-250.64429999999999</v>
      </c>
      <c r="H6580">
        <v>5.8459760000000003</v>
      </c>
      <c r="I6580">
        <v>-91.564989999999995</v>
      </c>
      <c r="J6580">
        <v>-315.2704</v>
      </c>
      <c r="K6580">
        <v>1.061329</v>
      </c>
      <c r="L6580">
        <v>16.066960000000002</v>
      </c>
      <c r="M6580">
        <v>0.95985200000000004</v>
      </c>
      <c r="N6580">
        <v>-3.1541380000000001E-2</v>
      </c>
      <c r="O6580">
        <v>-0.27872829999999998</v>
      </c>
      <c r="P6580">
        <v>0.82485319999999995</v>
      </c>
      <c r="Q6580">
        <v>-0.10238750000000001</v>
      </c>
      <c r="R6580">
        <v>-0.55599869999999996</v>
      </c>
      <c r="S6580">
        <v>1.73407</v>
      </c>
      <c r="T6580">
        <v>0.12810489999999999</v>
      </c>
      <c r="U6580">
        <v>-2.8835449999999998</v>
      </c>
      <c r="V6580">
        <v>0.30131930000000001</v>
      </c>
      <c r="W6580">
        <v>-8.2603369999999995E-2</v>
      </c>
      <c r="X6580">
        <v>0.94993859999999997</v>
      </c>
      <c r="Y6580">
        <v>0.67957939999999994</v>
      </c>
      <c r="Z6580">
        <v>-1.6945769999999999E-2</v>
      </c>
      <c r="AA6580">
        <v>0.73340620000000001</v>
      </c>
      <c r="AB6580">
        <v>25</v>
      </c>
      <c r="AC6580">
        <v>64.626099999999994</v>
      </c>
      <c r="AD6580">
        <v>4.7846469999999997</v>
      </c>
      <c r="AE6580">
        <v>-107.63195</v>
      </c>
      <c r="AF6580">
        <v>85.216297458921801</v>
      </c>
      <c r="AG6580">
        <v>4.7846469999999997</v>
      </c>
      <c r="AH6580">
        <v>91.943819679304397</v>
      </c>
      <c r="AI6580">
        <v>87.814262937452298</v>
      </c>
      <c r="AJ6580">
        <v>47.174719194553099</v>
      </c>
      <c r="AK6580">
        <v>125.45268501208901</v>
      </c>
      <c r="AL6580">
        <v>94.738223373233794</v>
      </c>
      <c r="AM6580">
        <v>72.401039800164696</v>
      </c>
      <c r="AN6580">
        <v>0.99999999052890298</v>
      </c>
    </row>
    <row r="6581" spans="1:40" x14ac:dyDescent="0.25">
      <c r="A6581" t="str">
        <f>"20190305135055085"</f>
        <v>20190305135055085</v>
      </c>
      <c r="B6581" t="str">
        <f>"1551765055076766"</f>
        <v>1551765055076766</v>
      </c>
      <c r="C6581" t="s">
        <v>40</v>
      </c>
      <c r="D6581">
        <v>4.366333</v>
      </c>
      <c r="E6581">
        <v>0.68299889999999996</v>
      </c>
      <c r="F6581" t="s">
        <v>84</v>
      </c>
      <c r="G6581">
        <v>-252.04079999999999</v>
      </c>
      <c r="H6581">
        <v>5.1349580000000001</v>
      </c>
      <c r="I6581">
        <v>-91.564989999999995</v>
      </c>
      <c r="J6581">
        <v>-315.15769999999998</v>
      </c>
      <c r="K6581">
        <v>1.0605599999999999</v>
      </c>
      <c r="L6581">
        <v>16.02487</v>
      </c>
      <c r="M6581">
        <v>0.95750060000000004</v>
      </c>
      <c r="N6581">
        <v>-3.120653E-2</v>
      </c>
      <c r="O6581">
        <v>-0.2867384</v>
      </c>
      <c r="P6581">
        <v>0.81758790000000003</v>
      </c>
      <c r="Q6581">
        <v>-0.1014507</v>
      </c>
      <c r="R6581">
        <v>-0.56679630000000003</v>
      </c>
      <c r="S6581">
        <v>1.7000120000000001</v>
      </c>
      <c r="T6581">
        <v>0.10952539999999999</v>
      </c>
      <c r="U6581">
        <v>-2.8938290000000002</v>
      </c>
      <c r="V6581">
        <v>0.30586029999999997</v>
      </c>
      <c r="W6581">
        <v>-8.2112480000000002E-2</v>
      </c>
      <c r="X6581">
        <v>0.94852890000000001</v>
      </c>
      <c r="Y6581">
        <v>0.68096459999999903</v>
      </c>
      <c r="Z6581">
        <v>-1.7769239999999999E-2</v>
      </c>
      <c r="AA6581">
        <v>0.7321008</v>
      </c>
      <c r="AB6581">
        <v>25</v>
      </c>
      <c r="AC6581">
        <v>63.116900000000001</v>
      </c>
      <c r="AD6581">
        <v>4.0743980000000004</v>
      </c>
      <c r="AE6581">
        <v>-107.58986</v>
      </c>
      <c r="AF6581">
        <v>84.870138820018099</v>
      </c>
      <c r="AG6581">
        <v>4.0743980000000004</v>
      </c>
      <c r="AH6581">
        <v>91.231749950021694</v>
      </c>
      <c r="AI6581">
        <v>88.127166520016203</v>
      </c>
      <c r="AJ6581">
        <v>47.068887745269002</v>
      </c>
      <c r="AK6581">
        <v>124.670659665114</v>
      </c>
      <c r="AL6581">
        <v>94.710001394453798</v>
      </c>
      <c r="AM6581">
        <v>72.127692017018504</v>
      </c>
      <c r="AN6581">
        <v>1.00000002831152</v>
      </c>
    </row>
    <row r="6582" spans="1:40" x14ac:dyDescent="0.25">
      <c r="A6582" t="str">
        <f>"20190305135055096"</f>
        <v>20190305135055096</v>
      </c>
      <c r="B6582" t="str">
        <f>"1551765055086526"</f>
        <v>1551765055086526</v>
      </c>
      <c r="C6582" t="s">
        <v>40</v>
      </c>
      <c r="D6582">
        <v>4.357615</v>
      </c>
      <c r="E6582">
        <v>0.68138209999999999</v>
      </c>
      <c r="F6582" t="s">
        <v>84</v>
      </c>
      <c r="G6582">
        <v>-253.34899999999999</v>
      </c>
      <c r="H6582">
        <v>4.3462259999999997</v>
      </c>
      <c r="I6582">
        <v>-91.564989999999995</v>
      </c>
      <c r="J6582">
        <v>-315.04829999999998</v>
      </c>
      <c r="K6582">
        <v>1.0598449999999999</v>
      </c>
      <c r="L6582">
        <v>15.982699999999999</v>
      </c>
      <c r="M6582">
        <v>0.95510249999999997</v>
      </c>
      <c r="N6582">
        <v>-3.08849E-2</v>
      </c>
      <c r="O6582">
        <v>-0.29466170000000003</v>
      </c>
      <c r="P6582">
        <v>0.81028610000000001</v>
      </c>
      <c r="Q6582">
        <v>-0.100523</v>
      </c>
      <c r="R6582">
        <v>-0.577349</v>
      </c>
      <c r="S6582">
        <v>1.6677550000000001</v>
      </c>
      <c r="T6582">
        <v>8.8655709999999999E-2</v>
      </c>
      <c r="U6582">
        <v>-2.9030459999999998</v>
      </c>
      <c r="V6582">
        <v>0.31028679999999997</v>
      </c>
      <c r="W6582">
        <v>-8.1611610000000001E-2</v>
      </c>
      <c r="X6582">
        <v>0.94713340000000001</v>
      </c>
      <c r="Y6582">
        <v>0.68196109999999999</v>
      </c>
      <c r="Z6582">
        <v>-1.8562970000000002E-2</v>
      </c>
      <c r="AA6582">
        <v>0.73115289999999999</v>
      </c>
      <c r="AB6582">
        <v>25</v>
      </c>
      <c r="AC6582">
        <v>61.699299999999901</v>
      </c>
      <c r="AD6582">
        <v>3.286381</v>
      </c>
      <c r="AE6582">
        <v>-107.54768999999899</v>
      </c>
      <c r="AF6582">
        <v>84.519609895916005</v>
      </c>
      <c r="AG6582">
        <v>3.286381</v>
      </c>
      <c r="AH6582">
        <v>90.598934481607998</v>
      </c>
      <c r="AI6582">
        <v>88.480642242189205</v>
      </c>
      <c r="AJ6582">
        <v>46.988252105884101</v>
      </c>
      <c r="AK6582">
        <v>123.945680385553</v>
      </c>
      <c r="AL6582">
        <v>94.681207075640899</v>
      </c>
      <c r="AM6582">
        <v>71.860881928881994</v>
      </c>
      <c r="AN6582">
        <v>1.00000001526829</v>
      </c>
    </row>
    <row r="6583" spans="1:40" x14ac:dyDescent="0.25">
      <c r="A6583" t="str">
        <f>"20190305135055107"</f>
        <v>20190305135055107</v>
      </c>
      <c r="B6583" t="str">
        <f>"1551765055096286"</f>
        <v>1551765055096286</v>
      </c>
      <c r="C6583" t="s">
        <v>40</v>
      </c>
      <c r="D6583">
        <v>4.3866579999999997</v>
      </c>
      <c r="E6583">
        <v>0.67944569999999904</v>
      </c>
      <c r="F6583" t="s">
        <v>84</v>
      </c>
      <c r="G6583">
        <v>-254.7039</v>
      </c>
      <c r="H6583">
        <v>3.685343</v>
      </c>
      <c r="I6583">
        <v>-91.564989999999995</v>
      </c>
      <c r="J6583">
        <v>-314.93610000000001</v>
      </c>
      <c r="K6583">
        <v>1.059129</v>
      </c>
      <c r="L6583">
        <v>15.9386299999999</v>
      </c>
      <c r="M6583">
        <v>0.95254700000000003</v>
      </c>
      <c r="N6583">
        <v>-3.0558390000000001E-2</v>
      </c>
      <c r="O6583">
        <v>-0.30285390000000001</v>
      </c>
      <c r="P6583">
        <v>0.80298269999999905</v>
      </c>
      <c r="Q6583">
        <v>-9.9484649999999994E-2</v>
      </c>
      <c r="R6583">
        <v>-0.58764090000000002</v>
      </c>
      <c r="S6583">
        <v>1.634979</v>
      </c>
      <c r="T6583">
        <v>7.1136000000000005E-2</v>
      </c>
      <c r="U6583">
        <v>-2.91391</v>
      </c>
      <c r="V6583">
        <v>0.31422660000000002</v>
      </c>
      <c r="W6583">
        <v>-8.0978540000000002E-2</v>
      </c>
      <c r="X6583">
        <v>0.94588799999999995</v>
      </c>
      <c r="Y6583">
        <v>0.6830389</v>
      </c>
      <c r="Z6583">
        <v>-1.9191690000000001E-2</v>
      </c>
      <c r="AA6583">
        <v>0.73012980000000005</v>
      </c>
      <c r="AB6583">
        <v>24</v>
      </c>
      <c r="AC6583">
        <v>60.232199999999999</v>
      </c>
      <c r="AD6583">
        <v>2.626214</v>
      </c>
      <c r="AE6583">
        <v>-107.50362</v>
      </c>
      <c r="AF6583">
        <v>84.161786912746607</v>
      </c>
      <c r="AG6583">
        <v>2.626214</v>
      </c>
      <c r="AH6583">
        <v>89.933059804560997</v>
      </c>
      <c r="AI6583">
        <v>88.778544841099105</v>
      </c>
      <c r="AJ6583">
        <v>46.8986692438273</v>
      </c>
      <c r="AK6583">
        <v>123.19926388632</v>
      </c>
      <c r="AL6583">
        <v>94.644814476972797</v>
      </c>
      <c r="AM6583">
        <v>71.623370541447102</v>
      </c>
      <c r="AN6583">
        <v>0.99999999431604503</v>
      </c>
    </row>
    <row r="6584" spans="1:40" x14ac:dyDescent="0.25">
      <c r="A6584" t="str">
        <f>"20190305135055116"</f>
        <v>20190305135055116</v>
      </c>
      <c r="B6584" t="str">
        <f>"1551765055107022"</f>
        <v>1551765055107022</v>
      </c>
      <c r="C6584" t="s">
        <v>40</v>
      </c>
      <c r="D6584">
        <v>4.3812689999999996</v>
      </c>
      <c r="E6584">
        <v>0.67741700000000005</v>
      </c>
      <c r="F6584" t="s">
        <v>84</v>
      </c>
      <c r="G6584">
        <v>-255.86680000000001</v>
      </c>
      <c r="H6584">
        <v>3.267801</v>
      </c>
      <c r="I6584">
        <v>-91.564989999999995</v>
      </c>
      <c r="J6584">
        <v>-314.84030000000001</v>
      </c>
      <c r="K6584">
        <v>1.0585420000000001</v>
      </c>
      <c r="L6584">
        <v>15.899629999999901</v>
      </c>
      <c r="M6584">
        <v>0.95026120000000003</v>
      </c>
      <c r="N6584">
        <v>-3.0281579999999999E-2</v>
      </c>
      <c r="O6584">
        <v>-0.3099787</v>
      </c>
      <c r="P6584">
        <v>0.79653260000000004</v>
      </c>
      <c r="Q6584">
        <v>-9.7841029999999996E-2</v>
      </c>
      <c r="R6584">
        <v>-0.59662649999999995</v>
      </c>
      <c r="S6584">
        <v>1.6053470000000001</v>
      </c>
      <c r="T6584">
        <v>6.0026290000000003E-2</v>
      </c>
      <c r="U6584">
        <v>-2.9216609999999998</v>
      </c>
      <c r="V6584">
        <v>0.31775520000000002</v>
      </c>
      <c r="W6584">
        <v>-7.968952E-2</v>
      </c>
      <c r="X6584">
        <v>0.94481809999999999</v>
      </c>
      <c r="Y6584">
        <v>0.68402790000000002</v>
      </c>
      <c r="Z6584">
        <v>-1.9587190000000001E-2</v>
      </c>
      <c r="AA6584">
        <v>0.72919290000000003</v>
      </c>
      <c r="AB6584">
        <v>24</v>
      </c>
      <c r="AC6584">
        <v>58.973500000000001</v>
      </c>
      <c r="AD6584">
        <v>2.2092589999999999</v>
      </c>
      <c r="AE6584">
        <v>-107.46462</v>
      </c>
      <c r="AF6584">
        <v>83.850154797427294</v>
      </c>
      <c r="AG6584">
        <v>2.2092589999999999</v>
      </c>
      <c r="AH6584">
        <v>89.363935106997801</v>
      </c>
      <c r="AI6584">
        <v>88.967157547756898</v>
      </c>
      <c r="AJ6584">
        <v>46.823233325060002</v>
      </c>
      <c r="AK6584">
        <v>122.562809133477</v>
      </c>
      <c r="AL6584">
        <v>94.570719498819997</v>
      </c>
      <c r="AM6584">
        <v>71.411506516171897</v>
      </c>
      <c r="AN6584">
        <v>1.00000001440624</v>
      </c>
    </row>
    <row r="6585" spans="1:40" x14ac:dyDescent="0.25">
      <c r="A6585" t="str">
        <f>"20190305135055126"</f>
        <v>20190305135055126</v>
      </c>
      <c r="B6585" t="str">
        <f>"1551765055116782"</f>
        <v>1551765055116782</v>
      </c>
      <c r="C6585" t="s">
        <v>40</v>
      </c>
      <c r="D6585">
        <v>4.4089470000000004</v>
      </c>
      <c r="E6585">
        <v>0.67574109999999998</v>
      </c>
      <c r="F6585" t="s">
        <v>84</v>
      </c>
      <c r="G6585">
        <v>-256.80399999999997</v>
      </c>
      <c r="H6585">
        <v>2.8549899999999999</v>
      </c>
      <c r="I6585">
        <v>-91.564989999999995</v>
      </c>
      <c r="J6585">
        <v>-314.7312</v>
      </c>
      <c r="K6585">
        <v>1.057884</v>
      </c>
      <c r="L6585">
        <v>15.854520000000001</v>
      </c>
      <c r="M6585">
        <v>0.94756899999999999</v>
      </c>
      <c r="N6585">
        <v>-2.996768E-2</v>
      </c>
      <c r="O6585">
        <v>-0.31814340000000002</v>
      </c>
      <c r="P6585">
        <v>0.78919980000000001</v>
      </c>
      <c r="Q6585">
        <v>-9.6359189999999997E-2</v>
      </c>
      <c r="R6585">
        <v>-0.60653020000000002</v>
      </c>
      <c r="S6585">
        <v>1.5803830000000001</v>
      </c>
      <c r="T6585">
        <v>4.8919320000000002E-2</v>
      </c>
      <c r="U6585">
        <v>-2.926361</v>
      </c>
      <c r="V6585">
        <v>0.32141130000000001</v>
      </c>
      <c r="W6585">
        <v>-7.8597360000000005E-2</v>
      </c>
      <c r="X6585">
        <v>0.94367219999999996</v>
      </c>
      <c r="Y6585">
        <v>0.68300869999999902</v>
      </c>
      <c r="Z6585">
        <v>-1.9927029999999998E-2</v>
      </c>
      <c r="AA6585">
        <v>0.73013839999999997</v>
      </c>
      <c r="AB6585">
        <v>24</v>
      </c>
      <c r="AC6585">
        <v>57.9271999999999</v>
      </c>
      <c r="AD6585">
        <v>1.7971060000000001</v>
      </c>
      <c r="AE6585">
        <v>-107.41951</v>
      </c>
      <c r="AF6585">
        <v>83.3776058356096</v>
      </c>
      <c r="AG6585">
        <v>1.7971060000000001</v>
      </c>
      <c r="AH6585">
        <v>89.085517307071797</v>
      </c>
      <c r="AI6585">
        <v>89.156187507483693</v>
      </c>
      <c r="AJ6585">
        <v>46.895593096336398</v>
      </c>
      <c r="AK6585">
        <v>122.02984937597</v>
      </c>
      <c r="AL6585">
        <v>94.507946521911194</v>
      </c>
      <c r="AM6585">
        <v>71.191344954188807</v>
      </c>
      <c r="AN6585">
        <v>0.999999994909749</v>
      </c>
    </row>
    <row r="6586" spans="1:40" x14ac:dyDescent="0.25">
      <c r="A6586" t="str">
        <f>"20190305135055137"</f>
        <v>20190305135055137</v>
      </c>
      <c r="B6586" t="str">
        <f>"1551765055126543"</f>
        <v>1551765055126543</v>
      </c>
      <c r="C6586" t="s">
        <v>40</v>
      </c>
      <c r="D6586">
        <v>4.3930030000000002</v>
      </c>
      <c r="E6586">
        <v>0.67574109999999998</v>
      </c>
      <c r="F6586" t="s">
        <v>84</v>
      </c>
      <c r="G6586">
        <v>-258.29910000000001</v>
      </c>
      <c r="H6586">
        <v>2.4756369999999999</v>
      </c>
      <c r="I6586">
        <v>-90.976820000000004</v>
      </c>
      <c r="J6586">
        <v>-314.6336</v>
      </c>
      <c r="K6586">
        <v>1.0573140000000001</v>
      </c>
      <c r="L6586">
        <v>15.81277</v>
      </c>
      <c r="M6586">
        <v>0.94505870000000003</v>
      </c>
      <c r="N6586">
        <v>-2.9689489999999999E-2</v>
      </c>
      <c r="O6586">
        <v>-0.3255498</v>
      </c>
      <c r="P6586">
        <v>0.78223219999999904</v>
      </c>
      <c r="Q6586">
        <v>-9.5020030000000005E-2</v>
      </c>
      <c r="R6586">
        <v>-0.61569849999999904</v>
      </c>
      <c r="S6586">
        <v>1.5503849999999999</v>
      </c>
      <c r="T6586">
        <v>3.895092E-2</v>
      </c>
      <c r="U6586">
        <v>-2.935028</v>
      </c>
      <c r="V6586">
        <v>0.3250171</v>
      </c>
      <c r="W6586">
        <v>-7.7628520000000006E-2</v>
      </c>
      <c r="X6586">
        <v>0.94251669999999999</v>
      </c>
      <c r="Y6586">
        <v>0.68396849999999998</v>
      </c>
      <c r="Z6586">
        <v>-2.020363E-2</v>
      </c>
      <c r="AA6586">
        <v>0.72923169999999904</v>
      </c>
      <c r="AB6586">
        <v>24</v>
      </c>
      <c r="AC6586">
        <v>56.334499999999899</v>
      </c>
      <c r="AD6586">
        <v>1.418323</v>
      </c>
      <c r="AE6586">
        <v>-106.78959</v>
      </c>
      <c r="AF6586">
        <v>82.607763920570406</v>
      </c>
      <c r="AG6586">
        <v>1.418323</v>
      </c>
      <c r="AH6586">
        <v>88.031399597158199</v>
      </c>
      <c r="AI6586">
        <v>89.326876393530299</v>
      </c>
      <c r="AJ6586">
        <v>46.820489778482099</v>
      </c>
      <c r="AK6586">
        <v>120.72937345618701</v>
      </c>
      <c r="AL6586">
        <v>94.452265850775504</v>
      </c>
      <c r="AM6586">
        <v>70.973777787229693</v>
      </c>
      <c r="AN6586">
        <v>1.0000000160943401</v>
      </c>
    </row>
    <row r="6587" spans="1:40" x14ac:dyDescent="0.25">
      <c r="A6587" t="str">
        <f>"20190305135055148"</f>
        <v>20190305135055148</v>
      </c>
      <c r="B6587" t="str">
        <f>"1551765055136303"</f>
        <v>1551765055136303</v>
      </c>
      <c r="C6587" t="s">
        <v>40</v>
      </c>
      <c r="D6587">
        <v>4.436439</v>
      </c>
      <c r="E6587">
        <v>0.67366769999999998</v>
      </c>
      <c r="F6587" t="s">
        <v>84</v>
      </c>
      <c r="G6587">
        <v>-259.7946</v>
      </c>
      <c r="H6587">
        <v>2.5935860000000002</v>
      </c>
      <c r="I6587">
        <v>-90.976820000000004</v>
      </c>
      <c r="J6587">
        <v>-314.52260000000001</v>
      </c>
      <c r="K6587">
        <v>1.0566739999999999</v>
      </c>
      <c r="L6587">
        <v>15.764620000000001</v>
      </c>
      <c r="M6587">
        <v>0.94211339999999999</v>
      </c>
      <c r="N6587">
        <v>-2.9374629999999999E-2</v>
      </c>
      <c r="O6587">
        <v>-0.33400540000000001</v>
      </c>
      <c r="P6587">
        <v>0.77447569999999999</v>
      </c>
      <c r="Q6587">
        <v>-9.3969239999999996E-2</v>
      </c>
      <c r="R6587">
        <v>-0.62558619999999898</v>
      </c>
      <c r="S6587">
        <v>1.5162659999999999</v>
      </c>
      <c r="T6587">
        <v>4.247737E-2</v>
      </c>
      <c r="U6587">
        <v>-2.9526669999999999</v>
      </c>
      <c r="V6587">
        <v>0.32852579999999998</v>
      </c>
      <c r="W6587">
        <v>-7.6976749999999997E-2</v>
      </c>
      <c r="X6587">
        <v>0.941353</v>
      </c>
      <c r="Y6587">
        <v>0.68588389999999999</v>
      </c>
      <c r="Z6587">
        <v>-2.0292649999999999E-2</v>
      </c>
      <c r="AA6587">
        <v>0.72742799999999996</v>
      </c>
      <c r="AB6587">
        <v>24</v>
      </c>
      <c r="AC6587">
        <v>54.728000000000002</v>
      </c>
      <c r="AD6587">
        <v>1.5369120000000001</v>
      </c>
      <c r="AE6587">
        <v>-106.741439999999</v>
      </c>
      <c r="AF6587">
        <v>82.305099324353293</v>
      </c>
      <c r="AG6587">
        <v>1.5369120000000001</v>
      </c>
      <c r="AH6587">
        <v>87.235523661701194</v>
      </c>
      <c r="AI6587">
        <v>89.265814977793397</v>
      </c>
      <c r="AJ6587">
        <v>46.665753644447904</v>
      </c>
      <c r="AK6587">
        <v>119.943853789256</v>
      </c>
      <c r="AL6587">
        <v>94.414809968584294</v>
      </c>
      <c r="AM6587">
        <v>70.761359779957999</v>
      </c>
      <c r="AN6587">
        <v>1.0000000459575999</v>
      </c>
    </row>
    <row r="6588" spans="1:40" x14ac:dyDescent="0.25">
      <c r="A6588" t="str">
        <f>"20190305135055157"</f>
        <v>20190305135055157</v>
      </c>
      <c r="B6588" t="str">
        <f>"1551765055146062"</f>
        <v>1551765055146062</v>
      </c>
      <c r="C6588" t="s">
        <v>40</v>
      </c>
      <c r="D6588">
        <v>4.3901059999999896</v>
      </c>
      <c r="E6588">
        <v>0.67474449999999997</v>
      </c>
      <c r="F6588" t="s">
        <v>84</v>
      </c>
      <c r="G6588">
        <v>-260.80119999999999</v>
      </c>
      <c r="H6588">
        <v>2.7880280000000002</v>
      </c>
      <c r="I6588">
        <v>-90.976820000000004</v>
      </c>
      <c r="J6588">
        <v>-314.42290000000003</v>
      </c>
      <c r="K6588">
        <v>1.0561229999999999</v>
      </c>
      <c r="L6588">
        <v>15.719729999999901</v>
      </c>
      <c r="M6588">
        <v>0.93935670000000004</v>
      </c>
      <c r="N6588">
        <v>-2.9096480000000001E-2</v>
      </c>
      <c r="O6588">
        <v>-0.34170499999999998</v>
      </c>
      <c r="P6588">
        <v>0.766903</v>
      </c>
      <c r="Q6588">
        <v>-9.2870739999999993E-2</v>
      </c>
      <c r="R6588">
        <v>-0.63500780000000001</v>
      </c>
      <c r="S6588">
        <v>1.4892270000000001</v>
      </c>
      <c r="T6588">
        <v>4.799581E-2</v>
      </c>
      <c r="U6588">
        <v>-2.959015</v>
      </c>
      <c r="V6588">
        <v>0.33230599999999999</v>
      </c>
      <c r="W6588">
        <v>-7.6266860000000006E-2</v>
      </c>
      <c r="X6588">
        <v>0.940083</v>
      </c>
      <c r="Y6588">
        <v>0.68587030000000004</v>
      </c>
      <c r="Z6588">
        <v>-2.0346650000000001E-2</v>
      </c>
      <c r="AA6588">
        <v>0.72743930000000001</v>
      </c>
      <c r="AB6588">
        <v>24</v>
      </c>
      <c r="AC6588">
        <v>53.621699999999997</v>
      </c>
      <c r="AD6588">
        <v>1.73190499999999</v>
      </c>
      <c r="AE6588">
        <v>-106.69655</v>
      </c>
      <c r="AF6588">
        <v>81.920779062608801</v>
      </c>
      <c r="AG6588">
        <v>1.73190499999999</v>
      </c>
      <c r="AH6588">
        <v>86.847160880617395</v>
      </c>
      <c r="AI6588">
        <v>89.168894150033907</v>
      </c>
      <c r="AJ6588">
        <v>46.672004520774699</v>
      </c>
      <c r="AK6588">
        <v>119.400347110792</v>
      </c>
      <c r="AL6588">
        <v>94.374016637171295</v>
      </c>
      <c r="AM6588">
        <v>70.532221329088003</v>
      </c>
      <c r="AN6588">
        <v>0.99999997922962902</v>
      </c>
    </row>
    <row r="6589" spans="1:40" x14ac:dyDescent="0.25">
      <c r="A6589" t="str">
        <f>"20190305135055168"</f>
        <v>20190305135055168</v>
      </c>
      <c r="B6589" t="str">
        <f>"1551765055166558"</f>
        <v>1551765055166558</v>
      </c>
      <c r="C6589" t="s">
        <v>40</v>
      </c>
      <c r="D6589">
        <v>4.5588129999999998</v>
      </c>
      <c r="E6589">
        <v>0.70732919999999999</v>
      </c>
      <c r="F6589" t="s">
        <v>84</v>
      </c>
      <c r="G6589">
        <v>-262.3159</v>
      </c>
      <c r="H6589">
        <v>3.2203409999999999</v>
      </c>
      <c r="I6589">
        <v>-91.564989999999995</v>
      </c>
      <c r="J6589">
        <v>-314.30939999999998</v>
      </c>
      <c r="K6589">
        <v>1.0555060000000001</v>
      </c>
      <c r="L6589">
        <v>15.668089999999999</v>
      </c>
      <c r="M6589">
        <v>0.93612759999999995</v>
      </c>
      <c r="N6589">
        <v>-2.878176E-2</v>
      </c>
      <c r="O6589">
        <v>-0.35048079999999998</v>
      </c>
      <c r="P6589">
        <v>0.75850600000000001</v>
      </c>
      <c r="Q6589">
        <v>-9.2222109999999996E-2</v>
      </c>
      <c r="R6589">
        <v>-0.64510749999999994</v>
      </c>
      <c r="S6589">
        <v>1.448944</v>
      </c>
      <c r="T6589">
        <v>6.0181020000000002E-2</v>
      </c>
      <c r="U6589">
        <v>-2.983276</v>
      </c>
      <c r="V6589">
        <v>0.33593709999999999</v>
      </c>
      <c r="W6589">
        <v>-7.6033169999999997E-2</v>
      </c>
      <c r="X6589">
        <v>0.93881049999999999</v>
      </c>
      <c r="Y6589">
        <v>0.68938239999999995</v>
      </c>
      <c r="Z6589">
        <v>-2.0432120000000002E-2</v>
      </c>
      <c r="AA6589">
        <v>0.72410940000000001</v>
      </c>
      <c r="AB6589">
        <v>24</v>
      </c>
      <c r="AC6589">
        <v>51.993499999999898</v>
      </c>
      <c r="AD6589">
        <v>2.1648350000000001</v>
      </c>
      <c r="AE6589">
        <v>-107.23308</v>
      </c>
      <c r="AF6589">
        <v>82.168057467877901</v>
      </c>
      <c r="AG6589">
        <v>2.1648350000000001</v>
      </c>
      <c r="AH6589">
        <v>86.262966774337698</v>
      </c>
      <c r="AI6589">
        <v>88.958967629931493</v>
      </c>
      <c r="AJ6589">
        <v>46.392705481622201</v>
      </c>
      <c r="AK6589">
        <v>119.15357995180899</v>
      </c>
      <c r="AL6589">
        <v>94.360588250547195</v>
      </c>
      <c r="AM6589">
        <v>70.311129466910103</v>
      </c>
      <c r="AN6589">
        <v>0.99999996650345302</v>
      </c>
    </row>
    <row r="6590" spans="1:40" x14ac:dyDescent="0.25">
      <c r="A6590" t="str">
        <f>"20190305135055180"</f>
        <v>20190305135055180</v>
      </c>
      <c r="B6590" t="str">
        <f>"1551765055176318"</f>
        <v>1551765055176318</v>
      </c>
      <c r="C6590" t="s">
        <v>40</v>
      </c>
      <c r="D6590">
        <v>4.6297980000000001</v>
      </c>
      <c r="E6590">
        <v>0.70558449999999995</v>
      </c>
      <c r="F6590" t="s">
        <v>43</v>
      </c>
      <c r="G6590">
        <v>-310.06360000000001</v>
      </c>
      <c r="H6590">
        <v>-0.05</v>
      </c>
      <c r="I6590">
        <v>4.3345029999999998</v>
      </c>
      <c r="J6590">
        <v>-314.19979999999998</v>
      </c>
      <c r="K6590">
        <v>1.0549539999999999</v>
      </c>
      <c r="L6590">
        <v>15.616</v>
      </c>
      <c r="M6590">
        <v>0.93286780000000002</v>
      </c>
      <c r="N6590">
        <v>-2.848641E-2</v>
      </c>
      <c r="O6590">
        <v>-0.35909089999999999</v>
      </c>
      <c r="P6590">
        <v>0.74997499999999995</v>
      </c>
      <c r="Q6590">
        <v>-9.2057730000000004E-2</v>
      </c>
      <c r="R6590">
        <v>-0.65502910000000003</v>
      </c>
      <c r="S6590">
        <v>1.1978150000000001</v>
      </c>
      <c r="T6590">
        <v>-0.31188070000000001</v>
      </c>
      <c r="U6590">
        <v>-3.1973880000000001</v>
      </c>
      <c r="V6590">
        <v>0.33962049999999999</v>
      </c>
      <c r="W6590">
        <v>-7.6274480000000006E-2</v>
      </c>
      <c r="X6590">
        <v>0.93746470000000004</v>
      </c>
      <c r="Y6590">
        <v>0.74478069999999996</v>
      </c>
      <c r="Z6590">
        <v>-2.7427819999999999E-2</v>
      </c>
      <c r="AA6590">
        <v>0.66674540000000004</v>
      </c>
      <c r="AB6590">
        <v>24</v>
      </c>
      <c r="AC6590">
        <v>4.1361999999999703</v>
      </c>
      <c r="AD6590">
        <v>-1.104954</v>
      </c>
      <c r="AE6590">
        <v>-11.281497</v>
      </c>
      <c r="AF6590">
        <v>8.9667175266984902</v>
      </c>
      <c r="AG6590">
        <v>-1.104954</v>
      </c>
      <c r="AH6590">
        <v>7.8464694622260298</v>
      </c>
      <c r="AI6590">
        <v>95.298214728618206</v>
      </c>
      <c r="AJ6590">
        <v>41.188066201824498</v>
      </c>
      <c r="AK6590">
        <v>11.966203640560501</v>
      </c>
      <c r="AL6590">
        <v>94.374454538011307</v>
      </c>
      <c r="AM6590">
        <v>70.085788728486506</v>
      </c>
      <c r="AN6590">
        <v>0.999999972032804</v>
      </c>
    </row>
    <row r="6591" spans="1:40" x14ac:dyDescent="0.25">
      <c r="A6591" t="str">
        <f>"20190305135055191"</f>
        <v>20190305135055191</v>
      </c>
      <c r="B6591" t="str">
        <f>"1551765055186078"</f>
        <v>1551765055186078</v>
      </c>
      <c r="C6591" t="s">
        <v>40</v>
      </c>
      <c r="D6591">
        <v>4.5185079999999997</v>
      </c>
      <c r="E6591">
        <v>0.70497089999999996</v>
      </c>
      <c r="F6591" t="s">
        <v>43</v>
      </c>
      <c r="G6591">
        <v>-310.27379999999999</v>
      </c>
      <c r="H6591">
        <v>-0.05</v>
      </c>
      <c r="I6591">
        <v>4.8084720000000001</v>
      </c>
      <c r="J6591">
        <v>-314.08179999999999</v>
      </c>
      <c r="K6591">
        <v>1.054373</v>
      </c>
      <c r="L6591">
        <v>15.55917</v>
      </c>
      <c r="M6591">
        <v>0.92925179999999996</v>
      </c>
      <c r="N6591">
        <v>-2.8172470000000002E-2</v>
      </c>
      <c r="O6591">
        <v>-0.36837120000000001</v>
      </c>
      <c r="P6591">
        <v>0.74101419999999996</v>
      </c>
      <c r="Q6591">
        <v>-9.2239109999999999E-2</v>
      </c>
      <c r="R6591">
        <v>-0.6651241</v>
      </c>
      <c r="S6591">
        <v>1.163208</v>
      </c>
      <c r="T6591">
        <v>-0.32738240000000002</v>
      </c>
      <c r="U6591">
        <v>-3.202118</v>
      </c>
      <c r="V6591">
        <v>0.3429606</v>
      </c>
      <c r="W6591">
        <v>-7.6861959999999993E-2</v>
      </c>
      <c r="X6591">
        <v>0.93619989999999997</v>
      </c>
      <c r="Y6591">
        <v>0.74463100000000004</v>
      </c>
      <c r="Z6591">
        <v>-2.6611180000000002E-2</v>
      </c>
      <c r="AA6591">
        <v>0.66694560000000003</v>
      </c>
      <c r="AB6591">
        <v>24</v>
      </c>
      <c r="AC6591">
        <v>3.8079999999999901</v>
      </c>
      <c r="AD6591">
        <v>-1.104373</v>
      </c>
      <c r="AE6591">
        <v>-10.750698</v>
      </c>
      <c r="AF6591">
        <v>8.5109577078374095</v>
      </c>
      <c r="AG6591">
        <v>-1.104373</v>
      </c>
      <c r="AH6591">
        <v>7.4321311711624798</v>
      </c>
      <c r="AI6591">
        <v>95.5822810719648</v>
      </c>
      <c r="AJ6591">
        <v>41.128847876285</v>
      </c>
      <c r="AK6591">
        <v>11.353088327547299</v>
      </c>
      <c r="AL6591">
        <v>94.408213675071394</v>
      </c>
      <c r="AM6591">
        <v>69.880567576020795</v>
      </c>
      <c r="AN6591">
        <v>0.99999999340370505</v>
      </c>
    </row>
    <row r="6592" spans="1:40" x14ac:dyDescent="0.25">
      <c r="A6592" t="str">
        <f>"20190305135055202"</f>
        <v>20190305135055202</v>
      </c>
      <c r="B6592" t="str">
        <f>"1551765055196817"</f>
        <v>1551765055196817</v>
      </c>
      <c r="C6592" t="s">
        <v>40</v>
      </c>
      <c r="D6592">
        <v>4.4890919999999896</v>
      </c>
      <c r="E6592">
        <v>0.7034127</v>
      </c>
      <c r="F6592" t="s">
        <v>43</v>
      </c>
      <c r="G6592">
        <v>-310.31400000000002</v>
      </c>
      <c r="H6592">
        <v>-0.05</v>
      </c>
      <c r="I6592">
        <v>4.773193</v>
      </c>
      <c r="J6592">
        <v>-313.97669999999999</v>
      </c>
      <c r="K6592">
        <v>1.0538940000000001</v>
      </c>
      <c r="L6592">
        <v>15.506769999999999</v>
      </c>
      <c r="M6592">
        <v>0.92589969999999999</v>
      </c>
      <c r="N6592">
        <v>-2.7902449999999999E-2</v>
      </c>
      <c r="O6592">
        <v>-0.37673800000000002</v>
      </c>
      <c r="P6592">
        <v>0.73258369999999995</v>
      </c>
      <c r="Q6592">
        <v>-9.2442910000000003E-2</v>
      </c>
      <c r="R6592">
        <v>-0.6743709</v>
      </c>
      <c r="S6592">
        <v>1.122711</v>
      </c>
      <c r="T6592">
        <v>-0.32907609999999998</v>
      </c>
      <c r="U6592">
        <v>-3.213959</v>
      </c>
      <c r="V6592">
        <v>0.34625640000000002</v>
      </c>
      <c r="W6592">
        <v>-7.7430460000000007E-2</v>
      </c>
      <c r="X6592">
        <v>0.93493910000000002</v>
      </c>
      <c r="Y6592">
        <v>0.74686490000000005</v>
      </c>
      <c r="Z6592">
        <v>-2.589501E-2</v>
      </c>
      <c r="AA6592">
        <v>0.66447140000000005</v>
      </c>
      <c r="AB6592">
        <v>24</v>
      </c>
      <c r="AC6592">
        <v>3.6626999999999699</v>
      </c>
      <c r="AD6592">
        <v>-1.1038939999999999</v>
      </c>
      <c r="AE6592">
        <v>-10.733577</v>
      </c>
      <c r="AF6592">
        <v>8.4813183157900092</v>
      </c>
      <c r="AG6592">
        <v>-1.1038939999999999</v>
      </c>
      <c r="AH6592">
        <v>7.3681289372290601</v>
      </c>
      <c r="AI6592">
        <v>95.611649601110202</v>
      </c>
      <c r="AJ6592">
        <v>40.982416011849899</v>
      </c>
      <c r="AK6592">
        <v>11.2889621477186</v>
      </c>
      <c r="AL6592">
        <v>94.440883457208599</v>
      </c>
      <c r="AM6592">
        <v>69.677797677374102</v>
      </c>
      <c r="AN6592">
        <v>1.00000004569278</v>
      </c>
    </row>
    <row r="6593" spans="1:40" x14ac:dyDescent="0.25">
      <c r="A6593" t="str">
        <f>"20190305135055214"</f>
        <v>20190305135055214</v>
      </c>
      <c r="B6593" t="str">
        <f>"1551765055206574"</f>
        <v>1551765055206574</v>
      </c>
      <c r="C6593" t="s">
        <v>40</v>
      </c>
      <c r="D6593">
        <v>4.2585790000000001</v>
      </c>
      <c r="E6593">
        <v>0.7027485</v>
      </c>
      <c r="F6593" t="s">
        <v>43</v>
      </c>
      <c r="G6593">
        <v>-310.30889999999999</v>
      </c>
      <c r="H6593">
        <v>-0.05</v>
      </c>
      <c r="I6593">
        <v>4.6842189999999997</v>
      </c>
      <c r="J6593">
        <v>-313.86950000000002</v>
      </c>
      <c r="K6593">
        <v>1.0534319999999999</v>
      </c>
      <c r="L6593">
        <v>15.452299999999999</v>
      </c>
      <c r="M6593">
        <v>0.92236949999999995</v>
      </c>
      <c r="N6593">
        <v>-2.7632609999999998E-2</v>
      </c>
      <c r="O6593">
        <v>-0.38531979999999999</v>
      </c>
      <c r="P6593">
        <v>0.72387049999999997</v>
      </c>
      <c r="Q6593">
        <v>-9.2637839999999999E-2</v>
      </c>
      <c r="R6593">
        <v>-0.68368899999999999</v>
      </c>
      <c r="S6593">
        <v>1.0908199999999999</v>
      </c>
      <c r="T6593">
        <v>-0.3282986</v>
      </c>
      <c r="U6593">
        <v>-3.2186279999999998</v>
      </c>
      <c r="V6593">
        <v>0.34952949999999999</v>
      </c>
      <c r="W6593">
        <v>-7.7984559999999994E-2</v>
      </c>
      <c r="X6593">
        <v>0.93367420000000001</v>
      </c>
      <c r="Y6593">
        <v>0.74694039999999995</v>
      </c>
      <c r="Z6593">
        <v>-2.4895810000000001E-2</v>
      </c>
      <c r="AA6593">
        <v>0.66442480000000004</v>
      </c>
      <c r="AB6593">
        <v>24</v>
      </c>
      <c r="AC6593">
        <v>3.56060000000002</v>
      </c>
      <c r="AD6593">
        <v>-1.103432</v>
      </c>
      <c r="AE6593">
        <v>-10.768081</v>
      </c>
      <c r="AF6593">
        <v>8.4831494762103805</v>
      </c>
      <c r="AG6593">
        <v>-1.103432</v>
      </c>
      <c r="AH6593">
        <v>7.36645336679421</v>
      </c>
      <c r="AI6593">
        <v>95.609175241087001</v>
      </c>
      <c r="AJ6593">
        <v>40.969841029316498</v>
      </c>
      <c r="AK6593">
        <v>11.2891993701726</v>
      </c>
      <c r="AL6593">
        <v>94.472727598575901</v>
      </c>
      <c r="AM6593">
        <v>69.4761516019325</v>
      </c>
      <c r="AN6593">
        <v>0.99999998735714102</v>
      </c>
    </row>
    <row r="6594" spans="1:40" x14ac:dyDescent="0.25">
      <c r="A6594" t="str">
        <f>"20190305135055226"</f>
        <v>20190305135055226</v>
      </c>
      <c r="B6594" t="str">
        <f>"1551765055216334"</f>
        <v>1551765055216334</v>
      </c>
      <c r="C6594" t="s">
        <v>40</v>
      </c>
      <c r="D6594">
        <v>4.2978740000000002</v>
      </c>
      <c r="E6594">
        <v>0.70176709999999998</v>
      </c>
      <c r="F6594" t="s">
        <v>43</v>
      </c>
      <c r="G6594">
        <v>-309.0154</v>
      </c>
      <c r="H6594">
        <v>-0.05</v>
      </c>
      <c r="I6594">
        <v>0.70330809999999999</v>
      </c>
      <c r="J6594">
        <v>-313.75029999999998</v>
      </c>
      <c r="K6594">
        <v>1.0529599999999999</v>
      </c>
      <c r="L6594">
        <v>15.390140000000001</v>
      </c>
      <c r="M6594">
        <v>0.91830160000000005</v>
      </c>
      <c r="N6594">
        <v>-2.7342959999999999E-2</v>
      </c>
      <c r="O6594">
        <v>-0.39493640000000002</v>
      </c>
      <c r="P6594">
        <v>0.71414919999999904</v>
      </c>
      <c r="Q6594">
        <v>-9.2639120000000005E-2</v>
      </c>
      <c r="R6594">
        <v>-0.69383669999999997</v>
      </c>
      <c r="S6594">
        <v>1.0629580000000001</v>
      </c>
      <c r="T6594">
        <v>-0.24163209999999999</v>
      </c>
      <c r="U6594">
        <v>-3.2297669999999998</v>
      </c>
      <c r="V6594">
        <v>0.35294150000000002</v>
      </c>
      <c r="W6594">
        <v>-7.8359429999999994E-2</v>
      </c>
      <c r="X6594">
        <v>0.93235840000000003</v>
      </c>
      <c r="Y6594">
        <v>0.74699879999999996</v>
      </c>
      <c r="Z6594">
        <v>-2.332685E-2</v>
      </c>
      <c r="AA6594">
        <v>0.66441600000000001</v>
      </c>
      <c r="AB6594">
        <v>23</v>
      </c>
      <c r="AC6594">
        <v>4.7348999999999801</v>
      </c>
      <c r="AD6594">
        <v>-1.1029599999999999</v>
      </c>
      <c r="AE6594">
        <v>-14.6868319</v>
      </c>
      <c r="AF6594">
        <v>11.5622314292313</v>
      </c>
      <c r="AG6594">
        <v>-1.1029599999999999</v>
      </c>
      <c r="AH6594">
        <v>10.100623289247</v>
      </c>
      <c r="AI6594">
        <v>94.109130599514202</v>
      </c>
      <c r="AJ6594">
        <v>41.140063303097101</v>
      </c>
      <c r="AK6594">
        <v>15.392345734682101</v>
      </c>
      <c r="AL6594">
        <v>94.494271739360997</v>
      </c>
      <c r="AM6594">
        <v>69.265988946726196</v>
      </c>
      <c r="AN6594">
        <v>1.0000000443713599</v>
      </c>
    </row>
    <row r="6595" spans="1:40" x14ac:dyDescent="0.25">
      <c r="A6595" t="str">
        <f>"20190305135055238"</f>
        <v>20190305135055238</v>
      </c>
      <c r="B6595" t="str">
        <f>"1551765055226095"</f>
        <v>1551765055226095</v>
      </c>
      <c r="C6595" t="s">
        <v>40</v>
      </c>
      <c r="D6595">
        <v>4.3022970000000003</v>
      </c>
      <c r="E6595">
        <v>0.70084449999999998</v>
      </c>
      <c r="F6595" t="s">
        <v>42</v>
      </c>
      <c r="G6595">
        <v>-307.85739999999998</v>
      </c>
      <c r="H6595" s="1">
        <v>-4.6166879999999999E-6</v>
      </c>
      <c r="I6595">
        <v>-3.1571009999999999</v>
      </c>
      <c r="J6595">
        <v>-313.63889999999998</v>
      </c>
      <c r="K6595">
        <v>1.0525629999999999</v>
      </c>
      <c r="L6595">
        <v>15.330080000000001</v>
      </c>
      <c r="M6595">
        <v>0.91434070000000001</v>
      </c>
      <c r="N6595">
        <v>-2.708385E-2</v>
      </c>
      <c r="O6595">
        <v>-0.40403939999999999</v>
      </c>
      <c r="P6595">
        <v>0.70471539999999999</v>
      </c>
      <c r="Q6595">
        <v>-9.3004959999999998E-2</v>
      </c>
      <c r="R6595">
        <v>-0.7033682</v>
      </c>
      <c r="S6595">
        <v>1.029358</v>
      </c>
      <c r="T6595">
        <v>-0.18392710000000001</v>
      </c>
      <c r="U6595">
        <v>-3.2397459999999998</v>
      </c>
      <c r="V6595">
        <v>0.3562051</v>
      </c>
      <c r="W6595">
        <v>-7.9061809999999996E-2</v>
      </c>
      <c r="X6595">
        <v>0.93105700000000002</v>
      </c>
      <c r="Y6595">
        <v>0.74787360000000003</v>
      </c>
      <c r="Z6595">
        <v>-2.2486829999999999E-2</v>
      </c>
      <c r="AA6595">
        <v>0.6634601</v>
      </c>
      <c r="AB6595">
        <v>23</v>
      </c>
      <c r="AC6595">
        <v>5.7814999999999896</v>
      </c>
      <c r="AD6595">
        <v>-1.05256761668799</v>
      </c>
      <c r="AE6595">
        <v>-18.487181</v>
      </c>
      <c r="AF6595">
        <v>14.5300674925836</v>
      </c>
      <c r="AG6595">
        <v>-1.05256761668799</v>
      </c>
      <c r="AH6595">
        <v>12.7229210798083</v>
      </c>
      <c r="AI6595">
        <v>93.119545714414102</v>
      </c>
      <c r="AJ6595">
        <v>41.2062691685651</v>
      </c>
      <c r="AK6595">
        <v>19.341754851351201</v>
      </c>
      <c r="AL6595">
        <v>94.534640637864698</v>
      </c>
      <c r="AM6595">
        <v>69.064078448837407</v>
      </c>
      <c r="AN6595">
        <v>0.99999999015774299</v>
      </c>
    </row>
    <row r="6596" spans="1:40" x14ac:dyDescent="0.25">
      <c r="A6596" t="str">
        <f>"20190305135055252"</f>
        <v>20190305135055252</v>
      </c>
      <c r="B6596" t="str">
        <f>"1551765055246590"</f>
        <v>1551765055246590</v>
      </c>
      <c r="C6596" t="s">
        <v>40</v>
      </c>
      <c r="D6596">
        <v>4.2747820000000001</v>
      </c>
      <c r="E6596">
        <v>0.69026790000000005</v>
      </c>
      <c r="F6596" t="s">
        <v>42</v>
      </c>
      <c r="G6596">
        <v>-306.3734</v>
      </c>
      <c r="H6596" s="1">
        <v>-2.2036570000000001E-6</v>
      </c>
      <c r="I6596">
        <v>-8.3883080000000003</v>
      </c>
      <c r="J6596">
        <v>-313.51280000000003</v>
      </c>
      <c r="K6596">
        <v>1.0521430000000001</v>
      </c>
      <c r="L6596">
        <v>15.26089</v>
      </c>
      <c r="M6596">
        <v>0.9097094</v>
      </c>
      <c r="N6596">
        <v>-2.6799570000000002E-2</v>
      </c>
      <c r="O6596">
        <v>-0.41437990000000002</v>
      </c>
      <c r="P6596">
        <v>0.69435480000000005</v>
      </c>
      <c r="Q6596">
        <v>-9.3273540000000002E-2</v>
      </c>
      <c r="R6596">
        <v>-0.71356260000000005</v>
      </c>
      <c r="S6596">
        <v>0.99523930000000005</v>
      </c>
      <c r="T6596">
        <v>-0.14418259999999999</v>
      </c>
      <c r="U6596">
        <v>-3.248993</v>
      </c>
      <c r="V6596">
        <v>0.3592187</v>
      </c>
      <c r="W6596">
        <v>-7.9669379999999998E-2</v>
      </c>
      <c r="X6596">
        <v>0.92984659999999997</v>
      </c>
      <c r="Y6596">
        <v>0.74762680000000004</v>
      </c>
      <c r="Z6596">
        <v>-2.184763E-2</v>
      </c>
      <c r="AA6596">
        <v>0.66375960000000001</v>
      </c>
      <c r="AB6596">
        <v>23</v>
      </c>
      <c r="AC6596">
        <v>7.1394000000000197</v>
      </c>
      <c r="AD6596">
        <v>-1.052145203657</v>
      </c>
      <c r="AE6596">
        <v>-23.649197999999998</v>
      </c>
      <c r="AF6596">
        <v>18.5285289243783</v>
      </c>
      <c r="AG6596">
        <v>-1.052145203657</v>
      </c>
      <c r="AH6596">
        <v>16.270869831766099</v>
      </c>
      <c r="AI6596">
        <v>92.443240259295607</v>
      </c>
      <c r="AJ6596">
        <v>41.288059064945699</v>
      </c>
      <c r="AK6596">
        <v>24.6810574877451</v>
      </c>
      <c r="AL6596">
        <v>94.569561983678497</v>
      </c>
      <c r="AM6596">
        <v>68.877436941136594</v>
      </c>
      <c r="AN6596">
        <v>0.99999999203541701</v>
      </c>
    </row>
    <row r="6597" spans="1:40" x14ac:dyDescent="0.25">
      <c r="A6597" t="str">
        <f>"20190305135055265"</f>
        <v>20190305135055265</v>
      </c>
      <c r="B6597" t="str">
        <f>"1551765055256352"</f>
        <v>1551765055256352</v>
      </c>
      <c r="C6597" t="s">
        <v>40</v>
      </c>
      <c r="D6597">
        <v>4.3191769999999998</v>
      </c>
      <c r="E6597">
        <v>0.68891480000000005</v>
      </c>
      <c r="F6597" t="s">
        <v>84</v>
      </c>
      <c r="G6597">
        <v>-277.17500000000001</v>
      </c>
      <c r="H6597">
        <v>5.1003629999999998</v>
      </c>
      <c r="I6597">
        <v>-97.132639999999995</v>
      </c>
      <c r="J6597">
        <v>-313.38780000000003</v>
      </c>
      <c r="K6597">
        <v>1.0517780000000001</v>
      </c>
      <c r="L6597">
        <v>15.18988</v>
      </c>
      <c r="M6597">
        <v>0.90491549999999998</v>
      </c>
      <c r="N6597">
        <v>-2.653463E-2</v>
      </c>
      <c r="O6597">
        <v>-0.42476320000000001</v>
      </c>
      <c r="P6597">
        <v>0.6841043</v>
      </c>
      <c r="Q6597">
        <v>-9.3265399999999998E-2</v>
      </c>
      <c r="R6597">
        <v>-0.72339690000000001</v>
      </c>
      <c r="S6597">
        <v>1.0376890000000001</v>
      </c>
      <c r="T6597">
        <v>0.11560429999999999</v>
      </c>
      <c r="U6597">
        <v>-3.2095950000000002</v>
      </c>
      <c r="V6597">
        <v>0.36184260000000001</v>
      </c>
      <c r="W6597">
        <v>-7.9960450000000002E-2</v>
      </c>
      <c r="X6597">
        <v>0.92880370000000001</v>
      </c>
      <c r="Y6597">
        <v>0.73086070000000003</v>
      </c>
      <c r="Z6597">
        <v>-2.2783049999999999E-2</v>
      </c>
      <c r="AA6597">
        <v>0.68214629999999998</v>
      </c>
      <c r="AB6597">
        <v>23</v>
      </c>
      <c r="AC6597">
        <v>36.212800000000001</v>
      </c>
      <c r="AD6597">
        <v>4.0485849999999903</v>
      </c>
      <c r="AE6597">
        <v>-112.32252</v>
      </c>
      <c r="AF6597">
        <v>86.189477891134899</v>
      </c>
      <c r="AG6597">
        <v>4.0485849999999903</v>
      </c>
      <c r="AH6597">
        <v>80.413711407262596</v>
      </c>
      <c r="AI6597">
        <v>88.032901644647595</v>
      </c>
      <c r="AJ6597">
        <v>43.014476407792699</v>
      </c>
      <c r="AK6597">
        <v>117.946522296925</v>
      </c>
      <c r="AL6597">
        <v>94.586292281175602</v>
      </c>
      <c r="AM6597">
        <v>68.715146549775994</v>
      </c>
      <c r="AN6597">
        <v>1.0000000269363201</v>
      </c>
    </row>
    <row r="6598" spans="1:40" x14ac:dyDescent="0.25">
      <c r="A6598" t="str">
        <f>"20190305135055276"</f>
        <v>20190305135055276</v>
      </c>
      <c r="B6598" t="str">
        <f>"1551765055266110"</f>
        <v>1551765055266110</v>
      </c>
      <c r="C6598" t="s">
        <v>40</v>
      </c>
      <c r="D6598">
        <v>4.347607</v>
      </c>
      <c r="E6598">
        <v>0.68691659999999999</v>
      </c>
      <c r="F6598" t="s">
        <v>84</v>
      </c>
      <c r="G6598">
        <v>-277.17500000000001</v>
      </c>
      <c r="H6598">
        <v>5.0721720000000001</v>
      </c>
      <c r="I6598">
        <v>-101.39960000000001</v>
      </c>
      <c r="J6598">
        <v>-313.27589999999998</v>
      </c>
      <c r="K6598">
        <v>1.0514709999999901</v>
      </c>
      <c r="L6598">
        <v>15.12457</v>
      </c>
      <c r="M6598">
        <v>0.90045929999999996</v>
      </c>
      <c r="N6598">
        <v>-2.6308310000000001E-2</v>
      </c>
      <c r="O6598">
        <v>-0.43414409999999998</v>
      </c>
      <c r="P6598">
        <v>0.67429589999999995</v>
      </c>
      <c r="Q6598">
        <v>-9.3305639999999995E-2</v>
      </c>
      <c r="R6598">
        <v>-0.7325431</v>
      </c>
      <c r="S6598">
        <v>0.99908450000000004</v>
      </c>
      <c r="T6598">
        <v>0.110919699999999</v>
      </c>
      <c r="U6598">
        <v>-3.2166139999999999</v>
      </c>
      <c r="V6598">
        <v>0.36469590000000002</v>
      </c>
      <c r="W6598">
        <v>-8.0276749999999994E-2</v>
      </c>
      <c r="X6598">
        <v>0.92765969999999998</v>
      </c>
      <c r="Y6598">
        <v>0.73163859999999903</v>
      </c>
      <c r="Z6598">
        <v>-2.3120330000000001E-2</v>
      </c>
      <c r="AA6598">
        <v>0.68130059999999903</v>
      </c>
      <c r="AB6598">
        <v>23</v>
      </c>
      <c r="AC6598">
        <v>36.100899999999903</v>
      </c>
      <c r="AD6598">
        <v>4.0207009999999999</v>
      </c>
      <c r="AE6598">
        <v>-116.52417</v>
      </c>
      <c r="AF6598">
        <v>89.186288006813399</v>
      </c>
      <c r="AG6598">
        <v>4.0207009999999999</v>
      </c>
      <c r="AH6598">
        <v>83.034232355457306</v>
      </c>
      <c r="AI6598">
        <v>88.110181642972293</v>
      </c>
      <c r="AJ6598">
        <v>42.954151997773202</v>
      </c>
      <c r="AK6598">
        <v>121.922285689802</v>
      </c>
      <c r="AL6598">
        <v>94.604473563727097</v>
      </c>
      <c r="AM6598">
        <v>68.538451867819106</v>
      </c>
      <c r="AN6598">
        <v>0.99999998753573105</v>
      </c>
    </row>
    <row r="6599" spans="1:40" x14ac:dyDescent="0.25">
      <c r="A6599" t="str">
        <f>"20190305135055293"</f>
        <v>20190305135055293</v>
      </c>
      <c r="B6599" t="str">
        <f>"1551765055286609"</f>
        <v>1551765055286609</v>
      </c>
      <c r="C6599" t="s">
        <v>40</v>
      </c>
      <c r="D6599">
        <v>4.3472280000000003</v>
      </c>
      <c r="E6599">
        <v>0.68404259999999995</v>
      </c>
      <c r="F6599" t="s">
        <v>84</v>
      </c>
      <c r="G6599">
        <v>-277.17500000000001</v>
      </c>
      <c r="H6599">
        <v>5.3558479999999999</v>
      </c>
      <c r="I6599">
        <v>-104.95180000000001</v>
      </c>
      <c r="J6599">
        <v>-313.13560000000001</v>
      </c>
      <c r="K6599">
        <v>1.051129</v>
      </c>
      <c r="L6599">
        <v>15.04074</v>
      </c>
      <c r="M6599">
        <v>0.8946653</v>
      </c>
      <c r="N6599">
        <v>-2.6037629999999999E-2</v>
      </c>
      <c r="O6599">
        <v>-0.44597740000000002</v>
      </c>
      <c r="P6599">
        <v>0.66149329999999995</v>
      </c>
      <c r="Q6599">
        <v>-9.3397499999999994E-2</v>
      </c>
      <c r="R6599">
        <v>-0.74411240000000001</v>
      </c>
      <c r="S6599">
        <v>0.96783450000000004</v>
      </c>
      <c r="T6599">
        <v>0.1153971</v>
      </c>
      <c r="U6599">
        <v>-3.219147</v>
      </c>
      <c r="V6599">
        <v>0.36853259999999899</v>
      </c>
      <c r="W6599">
        <v>-8.0710669999999998E-2</v>
      </c>
      <c r="X6599">
        <v>0.9261045</v>
      </c>
      <c r="Y6599">
        <v>0.72885929999999999</v>
      </c>
      <c r="Z6599">
        <v>-2.3708070000000001E-2</v>
      </c>
      <c r="AA6599">
        <v>0.68425290000000005</v>
      </c>
      <c r="AB6599">
        <v>23</v>
      </c>
      <c r="AC6599">
        <v>35.960599999999999</v>
      </c>
      <c r="AD6599">
        <v>4.3047190000000004</v>
      </c>
      <c r="AE6599">
        <v>-119.992539999999</v>
      </c>
      <c r="AF6599">
        <v>91.238778203923701</v>
      </c>
      <c r="AG6599">
        <v>4.3047190000000004</v>
      </c>
      <c r="AH6599">
        <v>85.614625479698702</v>
      </c>
      <c r="AI6599">
        <v>88.029491801979404</v>
      </c>
      <c r="AJ6599">
        <v>43.1785385829386</v>
      </c>
      <c r="AK6599">
        <v>125.19149072458001</v>
      </c>
      <c r="AL6599">
        <v>94.629416147396995</v>
      </c>
      <c r="AM6599">
        <v>68.300488231051006</v>
      </c>
      <c r="AN6599">
        <v>1.0000000172174199</v>
      </c>
    </row>
    <row r="6600" spans="1:40" x14ac:dyDescent="0.25">
      <c r="A6600" t="str">
        <f>"20190305135055303"</f>
        <v>20190305135055303</v>
      </c>
      <c r="B6600" t="str">
        <f>"1551765055296366"</f>
        <v>1551765055296366</v>
      </c>
      <c r="C6600" t="s">
        <v>40</v>
      </c>
      <c r="D6600">
        <v>4.3668380000000004</v>
      </c>
      <c r="E6600">
        <v>0.68227769999999899</v>
      </c>
      <c r="F6600" t="s">
        <v>109</v>
      </c>
      <c r="G6600">
        <v>-285.69979999999998</v>
      </c>
      <c r="H6600">
        <v>3.3894000000000002</v>
      </c>
      <c r="I6600">
        <v>-80.464519999999993</v>
      </c>
      <c r="J6600">
        <v>-313.036</v>
      </c>
      <c r="K6600">
        <v>1.0509230000000001</v>
      </c>
      <c r="L6600">
        <v>14.979279999999999</v>
      </c>
      <c r="M6600">
        <v>0.89038639999999902</v>
      </c>
      <c r="N6600">
        <v>-2.5857430000000001E-2</v>
      </c>
      <c r="O6600">
        <v>-0.45447070000000001</v>
      </c>
      <c r="P6600">
        <v>0.65293140000000005</v>
      </c>
      <c r="Q6600">
        <v>-9.3356380000000003E-2</v>
      </c>
      <c r="R6600">
        <v>-0.75164200000000003</v>
      </c>
      <c r="S6600">
        <v>0.92483519999999997</v>
      </c>
      <c r="T6600">
        <v>7.8821420000000003E-2</v>
      </c>
      <c r="U6600">
        <v>-3.2193909999999999</v>
      </c>
      <c r="V6600">
        <v>0.37032959999999998</v>
      </c>
      <c r="W6600">
        <v>-8.0862539999999997E-2</v>
      </c>
      <c r="X6600">
        <v>0.92537420000000004</v>
      </c>
      <c r="Y6600">
        <v>0.73068559999999905</v>
      </c>
      <c r="Z6600">
        <v>-2.3345669999999999E-2</v>
      </c>
      <c r="AA6600">
        <v>0.68231489999999995</v>
      </c>
      <c r="AB6600">
        <v>23</v>
      </c>
      <c r="AC6600">
        <v>27.336200000000002</v>
      </c>
      <c r="AD6600">
        <v>2.3384770000000001</v>
      </c>
      <c r="AE6600">
        <v>-95.443799999999996</v>
      </c>
      <c r="AF6600">
        <v>72.542376219452606</v>
      </c>
      <c r="AG6600">
        <v>2.3384770000000001</v>
      </c>
      <c r="AH6600">
        <v>67.701274632313996</v>
      </c>
      <c r="AI6600">
        <v>88.649954062502104</v>
      </c>
      <c r="AJ6600">
        <v>43.022979328565597</v>
      </c>
      <c r="AK6600">
        <v>99.253853371464402</v>
      </c>
      <c r="AL6600">
        <v>94.638145870002901</v>
      </c>
      <c r="AM6600">
        <v>68.188987720399297</v>
      </c>
      <c r="AN6600">
        <v>1.0000000865185199</v>
      </c>
    </row>
    <row r="6601" spans="1:40" x14ac:dyDescent="0.25">
      <c r="A6601" t="str">
        <f>"20190305135055314"</f>
        <v>20190305135055314</v>
      </c>
      <c r="B6601" t="str">
        <f>"1551765055306127"</f>
        <v>1551765055306127</v>
      </c>
      <c r="C6601" t="s">
        <v>40</v>
      </c>
      <c r="D6601">
        <v>4.3723999999999998</v>
      </c>
      <c r="E6601">
        <v>0.68081099999999894</v>
      </c>
      <c r="F6601" t="s">
        <v>109</v>
      </c>
      <c r="G6601">
        <v>-286.46190000000001</v>
      </c>
      <c r="H6601">
        <v>2.8882539999999999</v>
      </c>
      <c r="I6601">
        <v>-80.464519999999993</v>
      </c>
      <c r="J6601">
        <v>-312.9366</v>
      </c>
      <c r="K6601">
        <v>1.050726</v>
      </c>
      <c r="L6601">
        <v>14.916779999999999</v>
      </c>
      <c r="M6601">
        <v>0.88599589999999995</v>
      </c>
      <c r="N6601">
        <v>-2.5684160000000001E-2</v>
      </c>
      <c r="O6601">
        <v>-0.46298149999999899</v>
      </c>
      <c r="P6601">
        <v>0.64462489999999995</v>
      </c>
      <c r="Q6601">
        <v>-9.2903379999999994E-2</v>
      </c>
      <c r="R6601">
        <v>-0.75883350000000005</v>
      </c>
      <c r="S6601">
        <v>0.89657589999999998</v>
      </c>
      <c r="T6601">
        <v>6.1989669999999997E-2</v>
      </c>
      <c r="U6601">
        <v>-3.220154</v>
      </c>
      <c r="V6601">
        <v>0.3717068</v>
      </c>
      <c r="W6601">
        <v>-8.057752E-2</v>
      </c>
      <c r="X6601">
        <v>0.92484659999999996</v>
      </c>
      <c r="Y6601">
        <v>0.72968339999999998</v>
      </c>
      <c r="Z6601">
        <v>-2.3221220000000001E-2</v>
      </c>
      <c r="AA6601">
        <v>0.68339069999999902</v>
      </c>
      <c r="AB6601">
        <v>23</v>
      </c>
      <c r="AC6601">
        <v>26.474699999999899</v>
      </c>
      <c r="AD6601">
        <v>1.8375280000000001</v>
      </c>
      <c r="AE6601">
        <v>-95.381299999999996</v>
      </c>
      <c r="AF6601">
        <v>72.249080298063902</v>
      </c>
      <c r="AG6601">
        <v>1.8375280000000001</v>
      </c>
      <c r="AH6601">
        <v>67.615257128386901</v>
      </c>
      <c r="AI6601">
        <v>88.936159622163203</v>
      </c>
      <c r="AJ6601">
        <v>43.102436705966603</v>
      </c>
      <c r="AK6601">
        <v>98.970344596776798</v>
      </c>
      <c r="AL6601">
        <v>94.621762561164104</v>
      </c>
      <c r="AM6601">
        <v>68.104221396747803</v>
      </c>
      <c r="AN6601">
        <v>0.99999995771357397</v>
      </c>
    </row>
    <row r="6602" spans="1:40" x14ac:dyDescent="0.25">
      <c r="A6602" t="str">
        <f>"20190305135055326"</f>
        <v>20190305135055326</v>
      </c>
      <c r="B6602" t="str">
        <f>"1551765055316494"</f>
        <v>1551765055316494</v>
      </c>
      <c r="C6602" t="s">
        <v>40</v>
      </c>
      <c r="D6602">
        <v>4.3948429999999998</v>
      </c>
      <c r="E6602">
        <v>0.67926560000000002</v>
      </c>
      <c r="F6602" t="s">
        <v>109</v>
      </c>
      <c r="G6602">
        <v>-287.226</v>
      </c>
      <c r="H6602">
        <v>2.470129</v>
      </c>
      <c r="I6602">
        <v>-80.464519999999993</v>
      </c>
      <c r="J6602">
        <v>-312.83519999999999</v>
      </c>
      <c r="K6602">
        <v>1.0505409999999999</v>
      </c>
      <c r="L6602">
        <v>14.85162</v>
      </c>
      <c r="M6602">
        <v>0.88137929999999998</v>
      </c>
      <c r="N6602">
        <v>-2.551492E-2</v>
      </c>
      <c r="O6602">
        <v>-0.47171990000000003</v>
      </c>
      <c r="P6602">
        <v>0.63591690000000001</v>
      </c>
      <c r="Q6602">
        <v>-9.2499200000000004E-2</v>
      </c>
      <c r="R6602">
        <v>-0.7661945</v>
      </c>
      <c r="S6602">
        <v>0.86840819999999996</v>
      </c>
      <c r="T6602">
        <v>4.7942520000000002E-2</v>
      </c>
      <c r="U6602">
        <v>-3.221619</v>
      </c>
      <c r="V6602">
        <v>0.37318190000000001</v>
      </c>
      <c r="W6602">
        <v>-8.0340969999999998E-2</v>
      </c>
      <c r="X6602">
        <v>0.92427300000000001</v>
      </c>
      <c r="Y6602">
        <v>0.72851589999999999</v>
      </c>
      <c r="Z6602">
        <v>-2.3065889999999999E-2</v>
      </c>
      <c r="AA6602">
        <v>0.68464049999999999</v>
      </c>
      <c r="AB6602">
        <v>23</v>
      </c>
      <c r="AC6602">
        <v>25.609199999999898</v>
      </c>
      <c r="AD6602">
        <v>1.4195879999999901</v>
      </c>
      <c r="AE6602">
        <v>-95.316140000000004</v>
      </c>
      <c r="AF6602">
        <v>71.937840479157501</v>
      </c>
      <c r="AG6602">
        <v>1.4195879999999901</v>
      </c>
      <c r="AH6602">
        <v>67.541954121498705</v>
      </c>
      <c r="AI6602">
        <v>89.175780070477799</v>
      </c>
      <c r="AJ6602">
        <v>43.1948468228316</v>
      </c>
      <c r="AK6602">
        <v>98.686289267785796</v>
      </c>
      <c r="AL6602">
        <v>94.608165009562299</v>
      </c>
      <c r="AM6602">
        <v>68.013251083389207</v>
      </c>
      <c r="AN6602">
        <v>0.999999990238575</v>
      </c>
    </row>
    <row r="6603" spans="1:40" x14ac:dyDescent="0.25">
      <c r="A6603" t="str">
        <f>"20190305135055336"</f>
        <v>20190305135055336</v>
      </c>
      <c r="B6603" t="str">
        <f>"1551765055326235"</f>
        <v>1551765055326235</v>
      </c>
      <c r="C6603" t="s">
        <v>40</v>
      </c>
      <c r="D6603">
        <v>4.3697939999999997</v>
      </c>
      <c r="E6603">
        <v>0.67791259999999998</v>
      </c>
      <c r="F6603" t="s">
        <v>109</v>
      </c>
      <c r="G6603">
        <v>-288.00560000000002</v>
      </c>
      <c r="H6603">
        <v>2.1737540000000002</v>
      </c>
      <c r="I6603">
        <v>-80.464519999999993</v>
      </c>
      <c r="J6603">
        <v>-312.74279999999999</v>
      </c>
      <c r="K6603">
        <v>1.0503929999999999</v>
      </c>
      <c r="L6603">
        <v>14.79059</v>
      </c>
      <c r="M6603">
        <v>0.8770346</v>
      </c>
      <c r="N6603">
        <v>-2.536826E-2</v>
      </c>
      <c r="O6603">
        <v>-0.4797573</v>
      </c>
      <c r="P6603">
        <v>0.62827509999999998</v>
      </c>
      <c r="Q6603">
        <v>-9.2080980000000007E-2</v>
      </c>
      <c r="R6603">
        <v>-0.77252310000000002</v>
      </c>
      <c r="S6603">
        <v>0.83963009999999905</v>
      </c>
      <c r="T6603">
        <v>3.7982580000000002E-2</v>
      </c>
      <c r="U6603">
        <v>-3.2231749999999999</v>
      </c>
      <c r="V6603">
        <v>0.37397439999999998</v>
      </c>
      <c r="W6603">
        <v>-8.0046350000000002E-2</v>
      </c>
      <c r="X6603">
        <v>0.92397819999999997</v>
      </c>
      <c r="Y6603">
        <v>0.72801579999999999</v>
      </c>
      <c r="Z6603">
        <v>-2.2937240000000001E-2</v>
      </c>
      <c r="AA6603">
        <v>0.68517649999999997</v>
      </c>
      <c r="AB6603">
        <v>23</v>
      </c>
      <c r="AC6603">
        <v>24.737199999999898</v>
      </c>
      <c r="AD6603">
        <v>1.1233610000000001</v>
      </c>
      <c r="AE6603">
        <v>-95.255110000000002</v>
      </c>
      <c r="AF6603">
        <v>71.687897746438793</v>
      </c>
      <c r="AG6603">
        <v>1.1233610000000001</v>
      </c>
      <c r="AH6603">
        <v>67.407618078021798</v>
      </c>
      <c r="AI6603">
        <v>89.345937196470501</v>
      </c>
      <c r="AJ6603">
        <v>43.237437104886297</v>
      </c>
      <c r="AK6603">
        <v>98.408351262444398</v>
      </c>
      <c r="AL6603">
        <v>94.591229975885298</v>
      </c>
      <c r="AM6603">
        <v>67.964666913940803</v>
      </c>
      <c r="AN6603">
        <v>0.99999999203946099</v>
      </c>
    </row>
    <row r="6604" spans="1:40" x14ac:dyDescent="0.25">
      <c r="A6604" t="str">
        <f>"20190305135055347"</f>
        <v>20190305135055347</v>
      </c>
      <c r="B6604" t="str">
        <f>"1551765055336971"</f>
        <v>1551765055336971</v>
      </c>
      <c r="C6604" t="s">
        <v>40</v>
      </c>
      <c r="D6604">
        <v>4.3874440000000003</v>
      </c>
      <c r="E6604">
        <v>0.67654709999999996</v>
      </c>
      <c r="F6604" t="s">
        <v>109</v>
      </c>
      <c r="G6604">
        <v>-288.13979999999998</v>
      </c>
      <c r="H6604">
        <v>2.0069810000000001</v>
      </c>
      <c r="I6604">
        <v>-82.491509999999906</v>
      </c>
      <c r="J6604">
        <v>-312.64789999999999</v>
      </c>
      <c r="K6604">
        <v>1.0502499999999999</v>
      </c>
      <c r="L6604">
        <v>14.727169999999999</v>
      </c>
      <c r="M6604">
        <v>0.87247219999999903</v>
      </c>
      <c r="N6604">
        <v>-2.5222140000000001E-2</v>
      </c>
      <c r="O6604">
        <v>-0.48801270000000002</v>
      </c>
      <c r="P6604">
        <v>0.62051239999999996</v>
      </c>
      <c r="Q6604">
        <v>-9.1496010000000003E-2</v>
      </c>
      <c r="R6604">
        <v>-0.77884109999999995</v>
      </c>
      <c r="S6604">
        <v>0.81536869999999995</v>
      </c>
      <c r="T6604">
        <v>3.1702760000000003E-2</v>
      </c>
      <c r="U6604">
        <v>-3.22403</v>
      </c>
      <c r="V6604">
        <v>0.3745851</v>
      </c>
      <c r="W6604">
        <v>-7.9575430000000003E-2</v>
      </c>
      <c r="X6604">
        <v>0.92377149999999997</v>
      </c>
      <c r="Y6604">
        <v>0.72640559999999998</v>
      </c>
      <c r="Z6604">
        <v>-2.2860599999999998E-2</v>
      </c>
      <c r="AA6604">
        <v>0.68688609999999894</v>
      </c>
      <c r="AB6604">
        <v>23</v>
      </c>
      <c r="AC6604">
        <v>24.508099999999999</v>
      </c>
      <c r="AD6604">
        <v>0.956731</v>
      </c>
      <c r="AE6604">
        <v>-97.218680000000006</v>
      </c>
      <c r="AF6604">
        <v>72.876871200458595</v>
      </c>
      <c r="AG6604">
        <v>0.956731</v>
      </c>
      <c r="AH6604">
        <v>68.842210395867497</v>
      </c>
      <c r="AI6604">
        <v>89.453223255513393</v>
      </c>
      <c r="AJ6604">
        <v>43.369262566315101</v>
      </c>
      <c r="AK6604">
        <v>100.255691221812</v>
      </c>
      <c r="AL6604">
        <v>94.564161794420698</v>
      </c>
      <c r="AM6604">
        <v>67.927671776587701</v>
      </c>
      <c r="AN6604">
        <v>1.0000000152069699</v>
      </c>
    </row>
    <row r="6605" spans="1:40" x14ac:dyDescent="0.25">
      <c r="A6605" t="str">
        <f>"20190305135055359"</f>
        <v>20190305135055359</v>
      </c>
      <c r="B6605" t="str">
        <f>"1551765055356490"</f>
        <v>1551765055356490</v>
      </c>
      <c r="C6605" t="s">
        <v>40</v>
      </c>
      <c r="D6605">
        <v>4.3549680000000004</v>
      </c>
      <c r="E6605">
        <v>0.65727199999999997</v>
      </c>
      <c r="F6605" t="s">
        <v>109</v>
      </c>
      <c r="G6605">
        <v>-286.61059999999998</v>
      </c>
      <c r="H6605">
        <v>1.6580549999999901</v>
      </c>
      <c r="I6605">
        <v>-91.564989999999995</v>
      </c>
      <c r="J6605">
        <v>-312.553</v>
      </c>
      <c r="K6605">
        <v>1.050127</v>
      </c>
      <c r="L6605">
        <v>14.66165</v>
      </c>
      <c r="M6605">
        <v>0.86775059999999904</v>
      </c>
      <c r="N6605">
        <v>-2.508444E-2</v>
      </c>
      <c r="O6605">
        <v>-0.49636659999999999</v>
      </c>
      <c r="P6605">
        <v>0.61276379999999997</v>
      </c>
      <c r="Q6605">
        <v>-9.0743980000000002E-2</v>
      </c>
      <c r="R6605">
        <v>-0.78503919999999905</v>
      </c>
      <c r="S6605">
        <v>0.78991699999999998</v>
      </c>
      <c r="T6605">
        <v>1.843989E-2</v>
      </c>
      <c r="U6605">
        <v>-3.2246700000000001</v>
      </c>
      <c r="V6605">
        <v>0.37497520000000001</v>
      </c>
      <c r="W6605">
        <v>-7.8920679999999993E-2</v>
      </c>
      <c r="X6605">
        <v>0.92366939999999997</v>
      </c>
      <c r="Y6605">
        <v>0.72489519999999996</v>
      </c>
      <c r="Z6605">
        <v>-2.249017E-2</v>
      </c>
      <c r="AA6605">
        <v>0.68849189999999905</v>
      </c>
      <c r="AB6605">
        <v>23</v>
      </c>
      <c r="AC6605">
        <v>25.942399999999999</v>
      </c>
      <c r="AD6605">
        <v>0.60792799999999902</v>
      </c>
      <c r="AE6605">
        <v>-106.22663999999899</v>
      </c>
      <c r="AF6605">
        <v>79.323793713302095</v>
      </c>
      <c r="AG6605">
        <v>0.60792799999999902</v>
      </c>
      <c r="AH6605">
        <v>75.260240470918504</v>
      </c>
      <c r="AI6605">
        <v>89.6814550923186</v>
      </c>
      <c r="AJ6605">
        <v>43.4942116029722</v>
      </c>
      <c r="AK6605">
        <v>109.346868365144</v>
      </c>
      <c r="AL6605">
        <v>94.526529014824405</v>
      </c>
      <c r="AM6605">
        <v>67.904688856602803</v>
      </c>
      <c r="AN6605">
        <v>1.00000001742153</v>
      </c>
    </row>
    <row r="6606" spans="1:40" x14ac:dyDescent="0.25">
      <c r="A6606" t="str">
        <f>"20190305135055372"</f>
        <v>20190305135055372</v>
      </c>
      <c r="B6606" t="str">
        <f>"1551765055366250"</f>
        <v>1551765055366250</v>
      </c>
      <c r="C6606" t="s">
        <v>40</v>
      </c>
      <c r="D6606">
        <v>4.4110050000000003</v>
      </c>
      <c r="E6606">
        <v>0.65652169999999999</v>
      </c>
      <c r="F6606" t="s">
        <v>42</v>
      </c>
      <c r="G6606">
        <v>-304.23790000000002</v>
      </c>
      <c r="H6606" s="1">
        <v>-3.2484889999999998E-6</v>
      </c>
      <c r="I6606">
        <v>-15.46707</v>
      </c>
      <c r="J6606">
        <v>-312.44639999999998</v>
      </c>
      <c r="K6606">
        <v>1.049992</v>
      </c>
      <c r="L6606">
        <v>14.587160000000001</v>
      </c>
      <c r="M6606">
        <v>0.86231829999999998</v>
      </c>
      <c r="N6606">
        <v>-2.4933489999999999E-2</v>
      </c>
      <c r="O6606">
        <v>-0.5057526</v>
      </c>
      <c r="P6606">
        <v>0.60365210000000002</v>
      </c>
      <c r="Q6606">
        <v>-9.0029910000000005E-2</v>
      </c>
      <c r="R6606">
        <v>-0.79214859999999998</v>
      </c>
      <c r="S6606">
        <v>0.86486819999999898</v>
      </c>
      <c r="T6606">
        <v>-0.1092265</v>
      </c>
      <c r="U6606">
        <v>-3.133759</v>
      </c>
      <c r="V6606">
        <v>0.375724</v>
      </c>
      <c r="W6606">
        <v>-7.8324909999999998E-2</v>
      </c>
      <c r="X6606">
        <v>0.92341580000000001</v>
      </c>
      <c r="Y6606">
        <v>0.6962083</v>
      </c>
      <c r="Z6606">
        <v>-1.609068E-2</v>
      </c>
      <c r="AA6606">
        <v>0.71765950000000001</v>
      </c>
      <c r="AB6606">
        <v>23</v>
      </c>
      <c r="AC6606">
        <v>8.2084999999999493</v>
      </c>
      <c r="AD6606">
        <v>-1.0499952484890001</v>
      </c>
      <c r="AE6606">
        <v>-30.05423</v>
      </c>
      <c r="AF6606">
        <v>21.746907350589801</v>
      </c>
      <c r="AG6606">
        <v>-1.0499952484890001</v>
      </c>
      <c r="AH6606">
        <v>22.259986632257299</v>
      </c>
      <c r="AI6606">
        <v>91.932457755347897</v>
      </c>
      <c r="AJ6606">
        <v>45.667985009057098</v>
      </c>
      <c r="AK6606">
        <v>31.137396715288599</v>
      </c>
      <c r="AL6606">
        <v>94.492287866598502</v>
      </c>
      <c r="AM6606">
        <v>67.859331742709301</v>
      </c>
      <c r="AN6606">
        <v>1.0000000276960701</v>
      </c>
    </row>
    <row r="6607" spans="1:40" x14ac:dyDescent="0.25">
      <c r="A6607" t="str">
        <f>"20190305135055382"</f>
        <v>20190305135055382</v>
      </c>
      <c r="B6607" t="str">
        <f>"1551765055376988"</f>
        <v>1551765055376988</v>
      </c>
      <c r="C6607" t="s">
        <v>40</v>
      </c>
      <c r="D6607">
        <v>4.418196</v>
      </c>
      <c r="E6607">
        <v>0.65584480000000001</v>
      </c>
      <c r="F6607" t="s">
        <v>42</v>
      </c>
      <c r="G6607">
        <v>-304.6395</v>
      </c>
      <c r="H6607" s="1">
        <v>-3.6076809999999999E-6</v>
      </c>
      <c r="I6607">
        <v>-14.83018</v>
      </c>
      <c r="J6607">
        <v>-312.34800000000001</v>
      </c>
      <c r="K6607">
        <v>1.0498879999999999</v>
      </c>
      <c r="L6607">
        <v>14.51605</v>
      </c>
      <c r="M6607">
        <v>0.85712279999999996</v>
      </c>
      <c r="N6607">
        <v>-2.4799249999999998E-2</v>
      </c>
      <c r="O6607">
        <v>-0.51451480000000005</v>
      </c>
      <c r="P6607">
        <v>0.59526089999999998</v>
      </c>
      <c r="Q6607">
        <v>-8.9641929999999995E-2</v>
      </c>
      <c r="R6607">
        <v>-0.79851689999999997</v>
      </c>
      <c r="S6607">
        <v>0.83319089999999996</v>
      </c>
      <c r="T6607">
        <v>-0.1120594</v>
      </c>
      <c r="U6607">
        <v>-3.139526</v>
      </c>
      <c r="V6607">
        <v>0.37611070000000002</v>
      </c>
      <c r="W6607">
        <v>-7.8029580000000001E-2</v>
      </c>
      <c r="X6607">
        <v>0.92328330000000003</v>
      </c>
      <c r="Y6607">
        <v>0.69597010000000004</v>
      </c>
      <c r="Z6607">
        <v>-1.561534E-2</v>
      </c>
      <c r="AA6607">
        <v>0.71790100000000001</v>
      </c>
      <c r="AB6607">
        <v>22</v>
      </c>
      <c r="AC6607">
        <v>7.7085000000000097</v>
      </c>
      <c r="AD6607">
        <v>-1.0498916076810001</v>
      </c>
      <c r="AE6607">
        <v>-29.346229999999998</v>
      </c>
      <c r="AF6607">
        <v>21.168358697295801</v>
      </c>
      <c r="AG6607">
        <v>-1.0498916076810001</v>
      </c>
      <c r="AH6607">
        <v>21.686912775492399</v>
      </c>
      <c r="AI6607">
        <v>91.984140396498105</v>
      </c>
      <c r="AJ6607">
        <v>45.693252176752502</v>
      </c>
      <c r="AK6607">
        <v>30.323651957788201</v>
      </c>
      <c r="AL6607">
        <v>94.475315047805296</v>
      </c>
      <c r="AM6607">
        <v>67.835876553125999</v>
      </c>
      <c r="AN6607">
        <v>0.99999996303417704</v>
      </c>
    </row>
    <row r="6608" spans="1:40" x14ac:dyDescent="0.25">
      <c r="A6608" t="str">
        <f>"20190305135055393"</f>
        <v>20190305135055393</v>
      </c>
      <c r="B6608" t="str">
        <f>"1551765055386746"</f>
        <v>1551765055386746</v>
      </c>
      <c r="C6608" t="s">
        <v>40</v>
      </c>
      <c r="D6608">
        <v>4.3917640000000002</v>
      </c>
      <c r="E6608">
        <v>0.65451099999999995</v>
      </c>
      <c r="F6608" t="s">
        <v>42</v>
      </c>
      <c r="G6608">
        <v>-304.5523</v>
      </c>
      <c r="H6608" s="1">
        <v>-3.1176180000000001E-6</v>
      </c>
      <c r="I6608">
        <v>-15.967079999999999</v>
      </c>
      <c r="J6608">
        <v>-312.26089999999999</v>
      </c>
      <c r="K6608">
        <v>1.049803</v>
      </c>
      <c r="L6608">
        <v>14.45227</v>
      </c>
      <c r="M6608">
        <v>0.85241809999999996</v>
      </c>
      <c r="N6608">
        <v>-2.4682340000000001E-2</v>
      </c>
      <c r="O6608">
        <v>-0.52227809999999997</v>
      </c>
      <c r="P6608">
        <v>0.58752629999999995</v>
      </c>
      <c r="Q6608">
        <v>-8.9545700000000006E-2</v>
      </c>
      <c r="R6608">
        <v>-0.80423559999999905</v>
      </c>
      <c r="S6608">
        <v>0.80435179999999995</v>
      </c>
      <c r="T6608">
        <v>-0.10832609999999999</v>
      </c>
      <c r="U6608">
        <v>-3.145203</v>
      </c>
      <c r="V6608">
        <v>0.37665409999999999</v>
      </c>
      <c r="W6608">
        <v>-7.8021220000000002E-2</v>
      </c>
      <c r="X6608">
        <v>0.92306250000000001</v>
      </c>
      <c r="Y6608">
        <v>0.69596559999999996</v>
      </c>
      <c r="Z6608">
        <v>-1.552502E-2</v>
      </c>
      <c r="AA6608">
        <v>0.71790730000000003</v>
      </c>
      <c r="AB6608">
        <v>22</v>
      </c>
      <c r="AC6608">
        <v>7.7085999999999899</v>
      </c>
      <c r="AD6608">
        <v>-1.049806117618</v>
      </c>
      <c r="AE6608">
        <v>-30.419350000000001</v>
      </c>
      <c r="AF6608">
        <v>21.886150164179799</v>
      </c>
      <c r="AG6608">
        <v>-1.049806117618</v>
      </c>
      <c r="AH6608">
        <v>22.440038063925101</v>
      </c>
      <c r="AI6608">
        <v>91.9181834619326</v>
      </c>
      <c r="AJ6608">
        <v>45.715915097704503</v>
      </c>
      <c r="AK6608">
        <v>31.363369879590799</v>
      </c>
      <c r="AL6608">
        <v>94.474834422959503</v>
      </c>
      <c r="AM6608">
        <v>67.802167198293304</v>
      </c>
      <c r="AN6608">
        <v>1.00000000036167</v>
      </c>
    </row>
    <row r="6609" spans="1:40" x14ac:dyDescent="0.25">
      <c r="A6609" t="str">
        <f>"20190305135055404"</f>
        <v>20190305135055404</v>
      </c>
      <c r="B6609" t="str">
        <f>"1551765055396506"</f>
        <v>1551765055396506</v>
      </c>
      <c r="C6609" t="s">
        <v>40</v>
      </c>
      <c r="D6609">
        <v>4.4131629999999999</v>
      </c>
      <c r="E6609">
        <v>0.65310199999999996</v>
      </c>
      <c r="F6609" t="s">
        <v>42</v>
      </c>
      <c r="G6609">
        <v>-305.24770000000001</v>
      </c>
      <c r="H6609" s="1">
        <v>-4.0742279999999998E-6</v>
      </c>
      <c r="I6609">
        <v>-13.776260000000001</v>
      </c>
      <c r="J6609">
        <v>-312.17070000000001</v>
      </c>
      <c r="K6609">
        <v>1.049728</v>
      </c>
      <c r="L6609">
        <v>14.38461</v>
      </c>
      <c r="M6609">
        <v>0.84741230000000001</v>
      </c>
      <c r="N6609">
        <v>-2.4563809999999998E-2</v>
      </c>
      <c r="O6609">
        <v>-0.53036700000000003</v>
      </c>
      <c r="P6609">
        <v>0.57976280000000002</v>
      </c>
      <c r="Q6609">
        <v>-8.9521530000000002E-2</v>
      </c>
      <c r="R6609">
        <v>-0.80985280000000004</v>
      </c>
      <c r="S6609">
        <v>0.78164669999999903</v>
      </c>
      <c r="T6609">
        <v>-0.1170051</v>
      </c>
      <c r="U6609">
        <v>-3.1461790000000001</v>
      </c>
      <c r="V6609">
        <v>0.3767588</v>
      </c>
      <c r="W6609">
        <v>-7.8066099999999999E-2</v>
      </c>
      <c r="X6609">
        <v>0.92301599999999995</v>
      </c>
      <c r="Y6609">
        <v>0.69401330000000006</v>
      </c>
      <c r="Z6609">
        <v>-1.464266E-2</v>
      </c>
      <c r="AA6609">
        <v>0.71981329999999999</v>
      </c>
      <c r="AB6609">
        <v>22</v>
      </c>
      <c r="AC6609">
        <v>6.923</v>
      </c>
      <c r="AD6609">
        <v>-1.0497320742280001</v>
      </c>
      <c r="AE6609">
        <v>-28.160869999999999</v>
      </c>
      <c r="AF6609">
        <v>20.1717982875549</v>
      </c>
      <c r="AG6609">
        <v>-1.0497320742280001</v>
      </c>
      <c r="AH6609">
        <v>20.781278384480601</v>
      </c>
      <c r="AI6609">
        <v>92.075828137409005</v>
      </c>
      <c r="AJ6609">
        <v>45.8526358039204</v>
      </c>
      <c r="AK6609">
        <v>28.980422958865599</v>
      </c>
      <c r="AL6609">
        <v>94.477413623885894</v>
      </c>
      <c r="AM6609">
        <v>67.795586283007694</v>
      </c>
      <c r="AN6609">
        <v>1.0000000228013199</v>
      </c>
    </row>
    <row r="6610" spans="1:40" x14ac:dyDescent="0.25">
      <c r="A6610" t="str">
        <f>"20190305135055416"</f>
        <v>20190305135055416</v>
      </c>
      <c r="B6610" t="str">
        <f>"1551765055406266"</f>
        <v>1551765055406266</v>
      </c>
      <c r="C6610" t="s">
        <v>40</v>
      </c>
      <c r="D6610">
        <v>4.397964</v>
      </c>
      <c r="E6610">
        <v>0.65207919999999997</v>
      </c>
      <c r="F6610" t="s">
        <v>42</v>
      </c>
      <c r="G6610">
        <v>-305.56639999999999</v>
      </c>
      <c r="H6610" s="1">
        <v>-4.4074999999999997E-6</v>
      </c>
      <c r="I6610">
        <v>-12.96306</v>
      </c>
      <c r="J6610">
        <v>-312.08159999999998</v>
      </c>
      <c r="K6610">
        <v>1.0496650000000001</v>
      </c>
      <c r="L6610">
        <v>14.316380000000001</v>
      </c>
      <c r="M6610">
        <v>0.84233709999999995</v>
      </c>
      <c r="N6610">
        <v>-2.4449140000000001E-2</v>
      </c>
      <c r="O6610">
        <v>-0.53839609999999904</v>
      </c>
      <c r="P6610">
        <v>0.57206029999999997</v>
      </c>
      <c r="Q6610">
        <v>-8.9435459999999994E-2</v>
      </c>
      <c r="R6610">
        <v>-0.81532099999999996</v>
      </c>
      <c r="S6610">
        <v>0.75997919999999997</v>
      </c>
      <c r="T6610">
        <v>-0.1207968</v>
      </c>
      <c r="U6610">
        <v>-3.1470030000000002</v>
      </c>
      <c r="V6610">
        <v>0.3767549</v>
      </c>
      <c r="W6610">
        <v>-7.8038549999999998E-2</v>
      </c>
      <c r="X6610">
        <v>0.9230199</v>
      </c>
      <c r="Y6610">
        <v>0.69187779999999999</v>
      </c>
      <c r="Z6610">
        <v>-1.39932999999999E-2</v>
      </c>
      <c r="AA6610">
        <v>0.7218791</v>
      </c>
      <c r="AB6610">
        <v>22</v>
      </c>
      <c r="AC6610">
        <v>6.5151999999999903</v>
      </c>
      <c r="AD6610">
        <v>-1.0496694074999999</v>
      </c>
      <c r="AE6610">
        <v>-27.279440000000001</v>
      </c>
      <c r="AF6610">
        <v>19.449306523548099</v>
      </c>
      <c r="AG6610">
        <v>-1.0496694074999999</v>
      </c>
      <c r="AH6610">
        <v>20.152944276586801</v>
      </c>
      <c r="AI6610">
        <v>92.146340125303496</v>
      </c>
      <c r="AJ6610">
        <v>46.017902547690497</v>
      </c>
      <c r="AK6610">
        <v>28.027102831494801</v>
      </c>
      <c r="AL6610">
        <v>94.475830384232296</v>
      </c>
      <c r="AM6610">
        <v>67.7958785025303</v>
      </c>
      <c r="AN6610">
        <v>1.00000000287806</v>
      </c>
    </row>
    <row r="6611" spans="1:40" x14ac:dyDescent="0.25">
      <c r="A6611" t="str">
        <f>"20190305135055427"</f>
        <v>20190305135055427</v>
      </c>
      <c r="B6611" t="str">
        <f>"1551765055416629"</f>
        <v>1551765055416629</v>
      </c>
      <c r="C6611" t="s">
        <v>40</v>
      </c>
      <c r="D6611">
        <v>4.3865720000000001</v>
      </c>
      <c r="E6611">
        <v>0.65207919999999997</v>
      </c>
      <c r="F6611" t="s">
        <v>42</v>
      </c>
      <c r="G6611">
        <v>-305.81639999999999</v>
      </c>
      <c r="H6611" s="1">
        <v>-4.616455E-6</v>
      </c>
      <c r="I6611">
        <v>-12.479340000000001</v>
      </c>
      <c r="J6611">
        <v>-311.98849999999999</v>
      </c>
      <c r="K6611">
        <v>1.049606</v>
      </c>
      <c r="L6611">
        <v>14.243840000000001</v>
      </c>
      <c r="M6611">
        <v>0.83690739999999997</v>
      </c>
      <c r="N6611">
        <v>-2.4331990000000001E-2</v>
      </c>
      <c r="O6611">
        <v>-0.54680340000000005</v>
      </c>
      <c r="P6611">
        <v>0.56440819999999903</v>
      </c>
      <c r="Q6611">
        <v>-8.9135480000000003E-2</v>
      </c>
      <c r="R6611">
        <v>-0.82066939999999999</v>
      </c>
      <c r="S6611">
        <v>0.73635859999999997</v>
      </c>
      <c r="T6611">
        <v>-0.123369699999999</v>
      </c>
      <c r="U6611">
        <v>-3.1493530000000001</v>
      </c>
      <c r="V6611">
        <v>0.37619409999999998</v>
      </c>
      <c r="W6611">
        <v>-7.7772019999999997E-2</v>
      </c>
      <c r="X6611">
        <v>0.92327110000000001</v>
      </c>
      <c r="Y6611">
        <v>0.68989149999999999</v>
      </c>
      <c r="Z6611">
        <v>-1.338812E-2</v>
      </c>
      <c r="AA6611">
        <v>0.72378900000000002</v>
      </c>
      <c r="AB6611">
        <v>22</v>
      </c>
      <c r="AC6611">
        <v>6.1721000000000004</v>
      </c>
      <c r="AD6611">
        <v>-1.0496106164550001</v>
      </c>
      <c r="AE6611">
        <v>-26.723179999999999</v>
      </c>
      <c r="AF6611">
        <v>18.967746203529298</v>
      </c>
      <c r="AG6611">
        <v>-1.0496106164550001</v>
      </c>
      <c r="AH6611">
        <v>19.754726974123798</v>
      </c>
      <c r="AI6611">
        <v>92.1948284403841</v>
      </c>
      <c r="AJ6611">
        <v>46.164297275580502</v>
      </c>
      <c r="AK6611">
        <v>27.406683788993</v>
      </c>
      <c r="AL6611">
        <v>94.460512772235305</v>
      </c>
      <c r="AM6611">
        <v>67.831173226299995</v>
      </c>
      <c r="AN6611">
        <v>1.0000000060324501</v>
      </c>
    </row>
    <row r="6612" spans="1:40" x14ac:dyDescent="0.25">
      <c r="A6612" t="str">
        <f>"20190305135055438"</f>
        <v>20190305135055438</v>
      </c>
      <c r="B6612" t="str">
        <f>"1551765055426368"</f>
        <v>1551765055426368</v>
      </c>
      <c r="C6612" t="s">
        <v>40</v>
      </c>
      <c r="D6612">
        <v>4.3821760000000003</v>
      </c>
      <c r="E6612">
        <v>0.64233339999999906</v>
      </c>
      <c r="F6612" t="s">
        <v>42</v>
      </c>
      <c r="G6612">
        <v>-305.90309999999999</v>
      </c>
      <c r="H6612" s="1">
        <v>-4.4808880000000003E-6</v>
      </c>
      <c r="I6612">
        <v>-12.922879999999999</v>
      </c>
      <c r="J6612">
        <v>-311.90460000000002</v>
      </c>
      <c r="K6612">
        <v>1.049569</v>
      </c>
      <c r="L6612">
        <v>14.176729999999999</v>
      </c>
      <c r="M6612">
        <v>0.83188069999999903</v>
      </c>
      <c r="N6612">
        <v>-2.4229850000000001E-2</v>
      </c>
      <c r="O6612">
        <v>-0.55442550000000002</v>
      </c>
      <c r="P6612">
        <v>0.55742539999999996</v>
      </c>
      <c r="Q6612">
        <v>-8.8941060000000002E-2</v>
      </c>
      <c r="R6612">
        <v>-0.82544919999999999</v>
      </c>
      <c r="S6612">
        <v>0.70697019999999899</v>
      </c>
      <c r="T6612">
        <v>-0.12193859999999999</v>
      </c>
      <c r="U6612">
        <v>-3.1560969999999999</v>
      </c>
      <c r="V6612">
        <v>0.3756274</v>
      </c>
      <c r="W6612">
        <v>-7.7597589999999994E-2</v>
      </c>
      <c r="X6612">
        <v>0.92351649999999996</v>
      </c>
      <c r="Y6612">
        <v>0.69004339999999997</v>
      </c>
      <c r="Z6612">
        <v>-1.317047E-2</v>
      </c>
      <c r="AA6612">
        <v>0.72364810000000002</v>
      </c>
      <c r="AB6612">
        <v>22</v>
      </c>
      <c r="AC6612">
        <v>6.0015000000000196</v>
      </c>
      <c r="AD6612">
        <v>-1.049573480888</v>
      </c>
      <c r="AE6612">
        <v>-27.099609999999998</v>
      </c>
      <c r="AF6612">
        <v>19.194452923594501</v>
      </c>
      <c r="AG6612">
        <v>-1.049573480888</v>
      </c>
      <c r="AH6612">
        <v>19.994532976308101</v>
      </c>
      <c r="AI6612">
        <v>92.168645177705898</v>
      </c>
      <c r="AJ6612">
        <v>46.169584815672401</v>
      </c>
      <c r="AK6612">
        <v>27.736437703290999</v>
      </c>
      <c r="AL6612">
        <v>94.450488278852703</v>
      </c>
      <c r="AM6612">
        <v>67.866654958810599</v>
      </c>
      <c r="AN6612">
        <v>1.0000000276884</v>
      </c>
    </row>
    <row r="6613" spans="1:40" x14ac:dyDescent="0.25">
      <c r="A6613" t="str">
        <f>"20190305135055452"</f>
        <v>20190305135055452</v>
      </c>
      <c r="B6613" t="str">
        <f>"1551765055446864"</f>
        <v>1551765055446864</v>
      </c>
      <c r="C6613" t="s">
        <v>40</v>
      </c>
      <c r="D6613">
        <v>4.403321</v>
      </c>
      <c r="E6613">
        <v>0.64008989999999999</v>
      </c>
      <c r="F6613" t="s">
        <v>42</v>
      </c>
      <c r="G6613">
        <v>-308.16770000000002</v>
      </c>
      <c r="H6613" s="1">
        <v>-5.2523940000000001E-6</v>
      </c>
      <c r="I6613">
        <v>-1.6450480000000001</v>
      </c>
      <c r="J6613">
        <v>-311.79109999999997</v>
      </c>
      <c r="K6613">
        <v>1.049533</v>
      </c>
      <c r="L6613">
        <v>14.084440000000001</v>
      </c>
      <c r="M6613">
        <v>0.82491179999999997</v>
      </c>
      <c r="N6613">
        <v>-2.4094290000000001E-2</v>
      </c>
      <c r="O6613">
        <v>-0.56474809999999998</v>
      </c>
      <c r="P6613">
        <v>0.54806750000000004</v>
      </c>
      <c r="Q6613">
        <v>-8.8390189999999993E-2</v>
      </c>
      <c r="R6613">
        <v>-0.83175100000000002</v>
      </c>
      <c r="S6613">
        <v>0.73577879999999996</v>
      </c>
      <c r="T6613">
        <v>-0.20665620000000001</v>
      </c>
      <c r="U6613">
        <v>-3.1152340000000001</v>
      </c>
      <c r="V6613">
        <v>0.37463079999999999</v>
      </c>
      <c r="W6613">
        <v>-7.7057990000000007E-2</v>
      </c>
      <c r="X6613">
        <v>0.92396630000000002</v>
      </c>
      <c r="Y6613">
        <v>0.671965699999999</v>
      </c>
      <c r="Z6613">
        <v>-5.4036369999999898E-3</v>
      </c>
      <c r="AA6613">
        <v>0.74056259999999996</v>
      </c>
      <c r="AB6613">
        <v>22</v>
      </c>
      <c r="AC6613">
        <v>3.6233999999999398</v>
      </c>
      <c r="AD6613">
        <v>-1.049538252394</v>
      </c>
      <c r="AE6613">
        <v>-15.729488</v>
      </c>
      <c r="AF6613">
        <v>10.886278603151201</v>
      </c>
      <c r="AG6613">
        <v>-1.049538252394</v>
      </c>
      <c r="AH6613">
        <v>11.8256327584134</v>
      </c>
      <c r="AI6613">
        <v>93.7358978921404</v>
      </c>
      <c r="AJ6613">
        <v>47.368377113384597</v>
      </c>
      <c r="AK6613">
        <v>16.107705687202198</v>
      </c>
      <c r="AL6613">
        <v>94.419478983277102</v>
      </c>
      <c r="AM6613">
        <v>67.929444660283593</v>
      </c>
      <c r="AN6613">
        <v>0.99999994683358295</v>
      </c>
    </row>
    <row r="6614" spans="1:40" x14ac:dyDescent="0.25">
      <c r="A6614" t="str">
        <f>"20190305135055472"</f>
        <v>20190305135055472</v>
      </c>
      <c r="B6614" t="str">
        <f>"1551765055466384"</f>
        <v>1551765055466384</v>
      </c>
      <c r="C6614" t="s">
        <v>40</v>
      </c>
      <c r="D6614">
        <v>4.3804460000000001</v>
      </c>
      <c r="E6614">
        <v>0.63894300000000004</v>
      </c>
      <c r="F6614" t="s">
        <v>42</v>
      </c>
      <c r="G6614">
        <v>-307.8365</v>
      </c>
      <c r="H6614" s="1">
        <v>-4.6375339999999997E-6</v>
      </c>
      <c r="I6614">
        <v>-3.093172</v>
      </c>
      <c r="J6614">
        <v>-311.64260000000002</v>
      </c>
      <c r="K6614">
        <v>1.0495139999999901</v>
      </c>
      <c r="L6614">
        <v>13.95966</v>
      </c>
      <c r="M6614">
        <v>0.81544289999999997</v>
      </c>
      <c r="N6614">
        <v>-2.3918709999999999E-2</v>
      </c>
      <c r="O6614">
        <v>-0.57834300000000005</v>
      </c>
      <c r="P6614">
        <v>0.53607969999999905</v>
      </c>
      <c r="Q6614">
        <v>-8.7701269999999998E-2</v>
      </c>
      <c r="R6614">
        <v>-0.83959930000000005</v>
      </c>
      <c r="S6614">
        <v>0.71694950000000002</v>
      </c>
      <c r="T6614">
        <v>-0.19027469999999999</v>
      </c>
      <c r="U6614">
        <v>-3.1141969999999999</v>
      </c>
      <c r="V6614">
        <v>0.37267319999999998</v>
      </c>
      <c r="W6614">
        <v>-7.6348219999999994E-2</v>
      </c>
      <c r="X6614">
        <v>0.92481650000000004</v>
      </c>
      <c r="Y6614">
        <v>0.66400269999999995</v>
      </c>
      <c r="Z6614">
        <v>-5.2751359999999997E-3</v>
      </c>
      <c r="AA6614">
        <v>0.74771149999999997</v>
      </c>
      <c r="AB6614">
        <v>22</v>
      </c>
      <c r="AC6614">
        <v>3.80610000000001</v>
      </c>
      <c r="AD6614">
        <v>-1.04951863753399</v>
      </c>
      <c r="AE6614">
        <v>-17.052831999999999</v>
      </c>
      <c r="AF6614">
        <v>11.6656394800704</v>
      </c>
      <c r="AG6614">
        <v>-1.04951863753399</v>
      </c>
      <c r="AH6614">
        <v>12.9231272856491</v>
      </c>
      <c r="AI6614">
        <v>93.449837095759904</v>
      </c>
      <c r="AJ6614">
        <v>47.927598264974101</v>
      </c>
      <c r="AK6614">
        <v>17.441211330942501</v>
      </c>
      <c r="AL6614">
        <v>94.378691930260302</v>
      </c>
      <c r="AM6614">
        <v>68.052049561339501</v>
      </c>
      <c r="AN6614">
        <v>0.99999996168382799</v>
      </c>
    </row>
    <row r="6615" spans="1:40" x14ac:dyDescent="0.25">
      <c r="A6615" t="str">
        <f>"20190305135055485"</f>
        <v>20190305135055485</v>
      </c>
      <c r="B6615" t="str">
        <f>"1551765055477120"</f>
        <v>1551765055477120</v>
      </c>
      <c r="C6615" t="s">
        <v>40</v>
      </c>
      <c r="D6615">
        <v>4.4502129999999998</v>
      </c>
      <c r="E6615">
        <v>0.63744840000000003</v>
      </c>
      <c r="F6615" t="s">
        <v>42</v>
      </c>
      <c r="G6615">
        <v>-307.9255</v>
      </c>
      <c r="H6615" s="1">
        <v>-4.6499789999999996E-6</v>
      </c>
      <c r="I6615">
        <v>-3.1018669999999999</v>
      </c>
      <c r="J6615">
        <v>-311.53359999999998</v>
      </c>
      <c r="K6615">
        <v>1.04952</v>
      </c>
      <c r="L6615">
        <v>13.86505</v>
      </c>
      <c r="M6615">
        <v>0.80824169999999995</v>
      </c>
      <c r="N6615">
        <v>-2.378974E-2</v>
      </c>
      <c r="O6615">
        <v>-0.58837030000000001</v>
      </c>
      <c r="P6615">
        <v>0.52655450000000004</v>
      </c>
      <c r="Q6615">
        <v>-8.7066229999999994E-2</v>
      </c>
      <c r="R6615">
        <v>-0.84567169999999903</v>
      </c>
      <c r="S6615">
        <v>0.67956539999999999</v>
      </c>
      <c r="T6615">
        <v>-0.19187380000000001</v>
      </c>
      <c r="U6615">
        <v>-3.119202</v>
      </c>
      <c r="V6615">
        <v>0.37179440000000002</v>
      </c>
      <c r="W6615">
        <v>-7.5714130000000004E-2</v>
      </c>
      <c r="X6615">
        <v>0.92522230000000005</v>
      </c>
      <c r="Y6615">
        <v>0.66357330000000003</v>
      </c>
      <c r="Z6615">
        <v>-4.3938420000000002E-3</v>
      </c>
      <c r="AA6615">
        <v>0.74809840000000005</v>
      </c>
      <c r="AB6615">
        <v>22</v>
      </c>
      <c r="AC6615">
        <v>3.6080999999999701</v>
      </c>
      <c r="AD6615">
        <v>-1.0495246499789901</v>
      </c>
      <c r="AE6615">
        <v>-16.966916999999999</v>
      </c>
      <c r="AF6615">
        <v>11.551463881330299</v>
      </c>
      <c r="AG6615">
        <v>-1.0495246499789901</v>
      </c>
      <c r="AH6615">
        <v>12.855635905145499</v>
      </c>
      <c r="AI6615">
        <v>93.475057502770198</v>
      </c>
      <c r="AJ6615">
        <v>48.058641047995103</v>
      </c>
      <c r="AK6615">
        <v>17.314883606835501</v>
      </c>
      <c r="AL6615">
        <v>94.342255592869606</v>
      </c>
      <c r="AM6615">
        <v>68.107601521302399</v>
      </c>
      <c r="AN6615">
        <v>1.0000000048851501</v>
      </c>
    </row>
    <row r="6616" spans="1:40" x14ac:dyDescent="0.25">
      <c r="A6616" t="str">
        <f>"20190305135055499"</f>
        <v>20190305135055499</v>
      </c>
      <c r="B6616" t="str">
        <f>"1551765055496641"</f>
        <v>1551765055496641</v>
      </c>
      <c r="C6616" t="s">
        <v>40</v>
      </c>
      <c r="D6616">
        <v>4.3947629999999904</v>
      </c>
      <c r="E6616">
        <v>0.63549009999999995</v>
      </c>
      <c r="F6616" t="s">
        <v>42</v>
      </c>
      <c r="G6616">
        <v>-308.12779999999998</v>
      </c>
      <c r="H6616" s="1">
        <v>-4.9528350000000002E-6</v>
      </c>
      <c r="I6616">
        <v>-2.4066770000000002</v>
      </c>
      <c r="J6616">
        <v>-311.43439999999998</v>
      </c>
      <c r="K6616">
        <v>1.0495369999999999</v>
      </c>
      <c r="L6616">
        <v>13.776730000000001</v>
      </c>
      <c r="M6616">
        <v>0.80149329999999996</v>
      </c>
      <c r="N6616">
        <v>-2.3673610000000001E-2</v>
      </c>
      <c r="O6616">
        <v>-0.59753469999999997</v>
      </c>
      <c r="P6616">
        <v>0.51780459999999995</v>
      </c>
      <c r="Q6616">
        <v>-8.6680850000000004E-2</v>
      </c>
      <c r="R6616">
        <v>-0.85109609999999902</v>
      </c>
      <c r="S6616">
        <v>0.6530762</v>
      </c>
      <c r="T6616">
        <v>-0.20124909999999999</v>
      </c>
      <c r="U6616">
        <v>-3.1201479999999999</v>
      </c>
      <c r="V6616">
        <v>0.37086170000000002</v>
      </c>
      <c r="W6616">
        <v>-7.532047E-2</v>
      </c>
      <c r="X6616">
        <v>0.92562869999999997</v>
      </c>
      <c r="Y6616">
        <v>0.66114010000000001</v>
      </c>
      <c r="Z6616">
        <v>-2.7259150000000002E-3</v>
      </c>
      <c r="AA6616">
        <v>0.75025759999999997</v>
      </c>
      <c r="AB6616">
        <v>22</v>
      </c>
      <c r="AC6616">
        <v>3.3066</v>
      </c>
      <c r="AD6616">
        <v>-1.0495419528350001</v>
      </c>
      <c r="AE6616">
        <v>-16.183406999999999</v>
      </c>
      <c r="AF6616">
        <v>10.9539431939035</v>
      </c>
      <c r="AG6616">
        <v>-1.0495419528350001</v>
      </c>
      <c r="AH6616">
        <v>12.2742652745989</v>
      </c>
      <c r="AI6616">
        <v>93.650338174942803</v>
      </c>
      <c r="AJ6616">
        <v>48.253267175944899</v>
      </c>
      <c r="AK6616">
        <v>16.484780794334199</v>
      </c>
      <c r="AL6616">
        <v>94.319635828348297</v>
      </c>
      <c r="AM6616">
        <v>68.166035678059899</v>
      </c>
      <c r="AN6616">
        <v>1.0000000319958</v>
      </c>
    </row>
    <row r="6617" spans="1:40" x14ac:dyDescent="0.25">
      <c r="A6617" t="str">
        <f>"20190305135055515"</f>
        <v>20190305135055515</v>
      </c>
      <c r="B6617" t="str">
        <f>"1551765055506401"</f>
        <v>1551765055506401</v>
      </c>
      <c r="C6617" t="s">
        <v>40</v>
      </c>
      <c r="D6617">
        <v>4.3983660000000002</v>
      </c>
      <c r="E6617">
        <v>0.63425410000000004</v>
      </c>
      <c r="F6617" t="s">
        <v>42</v>
      </c>
      <c r="G6617">
        <v>-308.26080000000002</v>
      </c>
      <c r="H6617" s="1">
        <v>-5.1898489999999997E-6</v>
      </c>
      <c r="I6617">
        <v>-1.850924</v>
      </c>
      <c r="J6617">
        <v>-311.31349999999998</v>
      </c>
      <c r="K6617">
        <v>1.0495669999999999</v>
      </c>
      <c r="L6617">
        <v>13.66672</v>
      </c>
      <c r="M6617">
        <v>0.79304069999999904</v>
      </c>
      <c r="N6617">
        <v>-2.3533310000000002E-2</v>
      </c>
      <c r="O6617">
        <v>-0.60871399999999998</v>
      </c>
      <c r="P6617">
        <v>0.50736649999999905</v>
      </c>
      <c r="Q6617">
        <v>-8.6391990000000002E-2</v>
      </c>
      <c r="R6617">
        <v>-0.85738919999999996</v>
      </c>
      <c r="S6617">
        <v>0.63323969999999996</v>
      </c>
      <c r="T6617">
        <v>-0.20942189999999999</v>
      </c>
      <c r="U6617">
        <v>-3.1182859999999999</v>
      </c>
      <c r="V6617">
        <v>0.3692473</v>
      </c>
      <c r="W6617">
        <v>-7.4999999999999997E-2</v>
      </c>
      <c r="X6617">
        <v>0.92629989999999995</v>
      </c>
      <c r="Y6617">
        <v>0.65507919999999997</v>
      </c>
      <c r="Z6617">
        <v>-7.2709839999999897E-4</v>
      </c>
      <c r="AA6617">
        <v>0.75555989999999995</v>
      </c>
      <c r="AB6617">
        <v>22</v>
      </c>
      <c r="AC6617">
        <v>3.05269999999995</v>
      </c>
      <c r="AD6617">
        <v>-1.049572189849</v>
      </c>
      <c r="AE6617">
        <v>-15.517644000000001</v>
      </c>
      <c r="AF6617">
        <v>10.4049685931095</v>
      </c>
      <c r="AG6617">
        <v>-1.049572189849</v>
      </c>
      <c r="AH6617">
        <v>11.8179587135019</v>
      </c>
      <c r="AI6617">
        <v>93.813560051670805</v>
      </c>
      <c r="AJ6617">
        <v>48.638113705265397</v>
      </c>
      <c r="AK6617">
        <v>15.7806565566625</v>
      </c>
      <c r="AL6617">
        <v>94.301222146739505</v>
      </c>
      <c r="AM6617">
        <v>68.2664844547472</v>
      </c>
      <c r="AN6617">
        <v>1.0000000366486399</v>
      </c>
    </row>
    <row r="6618" spans="1:40" x14ac:dyDescent="0.25">
      <c r="A6618" t="str">
        <f>"20190305135055531"</f>
        <v>20190305135055531</v>
      </c>
      <c r="B6618" t="str">
        <f>"1551765055526546"</f>
        <v>1551765055526546</v>
      </c>
      <c r="C6618" t="s">
        <v>40</v>
      </c>
      <c r="D6618">
        <v>4.4129120000000004</v>
      </c>
      <c r="E6618">
        <v>0.63226850000000001</v>
      </c>
      <c r="F6618" t="s">
        <v>42</v>
      </c>
      <c r="G6618">
        <v>-308.2611</v>
      </c>
      <c r="H6618" s="1">
        <v>-5.0912789999999999E-6</v>
      </c>
      <c r="I6618">
        <v>-2.1077170000000001</v>
      </c>
      <c r="J6618">
        <v>-311.20249999999999</v>
      </c>
      <c r="K6618">
        <v>1.049607</v>
      </c>
      <c r="L6618">
        <v>13.563079999999999</v>
      </c>
      <c r="M6618">
        <v>0.78504399999999996</v>
      </c>
      <c r="N6618">
        <v>-2.3404319999999999E-2</v>
      </c>
      <c r="O6618">
        <v>-0.61899759999999904</v>
      </c>
      <c r="P6618">
        <v>0.4971584</v>
      </c>
      <c r="Q6618">
        <v>-8.6214330000000006E-2</v>
      </c>
      <c r="R6618">
        <v>-0.86336569999999901</v>
      </c>
      <c r="S6618">
        <v>0.60388180000000002</v>
      </c>
      <c r="T6618">
        <v>-0.20764160000000001</v>
      </c>
      <c r="U6618">
        <v>-3.1207280000000002</v>
      </c>
      <c r="V6618">
        <v>0.36820429999999998</v>
      </c>
      <c r="W6618">
        <v>-7.4808280000000005E-2</v>
      </c>
      <c r="X6618">
        <v>0.92673050000000001</v>
      </c>
      <c r="Y6618">
        <v>0.65222199999999997</v>
      </c>
      <c r="Z6618" s="1">
        <v>8.1462790000000001E-5</v>
      </c>
      <c r="AA6618">
        <v>0.75802799999999904</v>
      </c>
      <c r="AB6618">
        <v>21</v>
      </c>
      <c r="AC6618">
        <v>2.9413999999999798</v>
      </c>
      <c r="AD6618">
        <v>-1.0496120912789999</v>
      </c>
      <c r="AE6618">
        <v>-15.670797</v>
      </c>
      <c r="AF6618">
        <v>10.439180041290999</v>
      </c>
      <c r="AG6618">
        <v>-1.0496120912789999</v>
      </c>
      <c r="AH6618">
        <v>11.9607734570014</v>
      </c>
      <c r="AI6618">
        <v>93.782579600989493</v>
      </c>
      <c r="AJ6618">
        <v>48.8860419439021</v>
      </c>
      <c r="AK6618">
        <v>15.9103195180473</v>
      </c>
      <c r="AL6618">
        <v>94.290206386350704</v>
      </c>
      <c r="AM6618">
        <v>68.331313319060698</v>
      </c>
      <c r="AN6618">
        <v>1.00000005246264</v>
      </c>
    </row>
    <row r="6619" spans="1:40" x14ac:dyDescent="0.25">
      <c r="A6619" t="str">
        <f>"20190305135055545"</f>
        <v>20190305135055545</v>
      </c>
      <c r="B6619" t="str">
        <f>"1551765055536307"</f>
        <v>1551765055536307</v>
      </c>
      <c r="C6619" t="s">
        <v>40</v>
      </c>
      <c r="D6619">
        <v>4.4015230000000001</v>
      </c>
      <c r="E6619">
        <v>0.63133640000000002</v>
      </c>
      <c r="F6619" t="s">
        <v>42</v>
      </c>
      <c r="G6619">
        <v>-308.28559999999999</v>
      </c>
      <c r="H6619" s="1">
        <v>-5.0938920000000003E-6</v>
      </c>
      <c r="I6619">
        <v>-2.112266</v>
      </c>
      <c r="J6619">
        <v>-311.10129999999998</v>
      </c>
      <c r="K6619">
        <v>1.04965</v>
      </c>
      <c r="L6619">
        <v>13.46552</v>
      </c>
      <c r="M6619">
        <v>0.77751479999999995</v>
      </c>
      <c r="N6619">
        <v>-2.328086E-2</v>
      </c>
      <c r="O6619">
        <v>-0.62843359999999904</v>
      </c>
      <c r="P6619">
        <v>0.48768400000000001</v>
      </c>
      <c r="Q6619">
        <v>-8.609936E-2</v>
      </c>
      <c r="R6619">
        <v>-0.86876409999999904</v>
      </c>
      <c r="S6619">
        <v>0.58050539999999995</v>
      </c>
      <c r="T6619">
        <v>-0.20889060000000001</v>
      </c>
      <c r="U6619">
        <v>-3.119659</v>
      </c>
      <c r="V6619">
        <v>0.36718060000000002</v>
      </c>
      <c r="W6619">
        <v>-7.4683550000000001E-2</v>
      </c>
      <c r="X6619">
        <v>0.92714660000000004</v>
      </c>
      <c r="Y6619">
        <v>0.64851639999999999</v>
      </c>
      <c r="Z6619">
        <v>1.2010059999999999E-3</v>
      </c>
      <c r="AA6619">
        <v>0.76119979999999998</v>
      </c>
      <c r="AB6619">
        <v>21</v>
      </c>
      <c r="AC6619">
        <v>2.8156999999999899</v>
      </c>
      <c r="AD6619">
        <v>-1.049655093892</v>
      </c>
      <c r="AE6619">
        <v>-15.5777859999999</v>
      </c>
      <c r="AF6619">
        <v>10.2999970854947</v>
      </c>
      <c r="AG6619">
        <v>-1.049655093892</v>
      </c>
      <c r="AH6619">
        <v>11.929649581267901</v>
      </c>
      <c r="AI6619">
        <v>93.810192650819005</v>
      </c>
      <c r="AJ6619">
        <v>49.192845597557401</v>
      </c>
      <c r="AK6619">
        <v>15.795830301354201</v>
      </c>
      <c r="AL6619">
        <v>94.283039968204505</v>
      </c>
      <c r="AM6619">
        <v>68.394802476816594</v>
      </c>
      <c r="AN6619">
        <v>1.00000002177426</v>
      </c>
    </row>
    <row r="6620" spans="1:40" x14ac:dyDescent="0.25">
      <c r="A6620" t="str">
        <f>"20190305135055558"</f>
        <v>20190305135055558</v>
      </c>
      <c r="B6620" t="str">
        <f>"1551765055556802"</f>
        <v>1551765055556802</v>
      </c>
      <c r="C6620" t="s">
        <v>40</v>
      </c>
      <c r="D6620">
        <v>4.3880819999999998</v>
      </c>
      <c r="E6620">
        <v>0.61784189999999894</v>
      </c>
      <c r="F6620" t="s">
        <v>42</v>
      </c>
      <c r="G6620">
        <v>-308.28269999999998</v>
      </c>
      <c r="H6620" s="1">
        <v>-4.9616400000000003E-6</v>
      </c>
      <c r="I6620">
        <v>-2.4553090000000002</v>
      </c>
      <c r="J6620">
        <v>-311.00099999999998</v>
      </c>
      <c r="K6620">
        <v>1.0496970000000001</v>
      </c>
      <c r="L6620">
        <v>13.36652</v>
      </c>
      <c r="M6620">
        <v>0.76985029999999999</v>
      </c>
      <c r="N6620">
        <v>-2.3156240000000002E-2</v>
      </c>
      <c r="O6620">
        <v>-0.63780439999999905</v>
      </c>
      <c r="P6620">
        <v>0.47835230000000001</v>
      </c>
      <c r="Q6620">
        <v>-8.5807830000000002E-2</v>
      </c>
      <c r="R6620">
        <v>-0.87396600000000002</v>
      </c>
      <c r="S6620">
        <v>0.55279540000000005</v>
      </c>
      <c r="T6620">
        <v>-0.2058613</v>
      </c>
      <c r="U6620">
        <v>-3.1224370000000001</v>
      </c>
      <c r="V6620">
        <v>0.36592980000000003</v>
      </c>
      <c r="W6620">
        <v>-7.4375720000000006E-2</v>
      </c>
      <c r="X6620">
        <v>0.92766570000000004</v>
      </c>
      <c r="Y6620">
        <v>0.64599830000000003</v>
      </c>
      <c r="Z6620">
        <v>1.771325E-3</v>
      </c>
      <c r="AA6620">
        <v>0.76333680000000004</v>
      </c>
      <c r="AB6620">
        <v>21</v>
      </c>
      <c r="AC6620">
        <v>2.7183000000000002</v>
      </c>
      <c r="AD6620">
        <v>-1.0497019616399901</v>
      </c>
      <c r="AE6620">
        <v>-15.821828999999999</v>
      </c>
      <c r="AF6620">
        <v>10.4050108574282</v>
      </c>
      <c r="AG6620">
        <v>-1.0497019616399901</v>
      </c>
      <c r="AH6620">
        <v>12.135298983494801</v>
      </c>
      <c r="AI6620">
        <v>93.757031545687497</v>
      </c>
      <c r="AJ6620">
        <v>49.389653978690703</v>
      </c>
      <c r="AK6620">
        <v>16.019725546034799</v>
      </c>
      <c r="AL6620">
        <v>94.265353475142504</v>
      </c>
      <c r="AM6620">
        <v>68.472599893238595</v>
      </c>
      <c r="AN6620">
        <v>1.00000000860502</v>
      </c>
    </row>
    <row r="6621" spans="1:40" x14ac:dyDescent="0.25">
      <c r="A6621" t="str">
        <f>"20190305135055571"</f>
        <v>20190305135055571</v>
      </c>
      <c r="B6621" t="str">
        <f>"1551765055566562"</f>
        <v>1551765055566562</v>
      </c>
      <c r="C6621" t="s">
        <v>40</v>
      </c>
      <c r="D6621">
        <v>4.4421999999999997</v>
      </c>
      <c r="E6621">
        <v>0.61770890000000001</v>
      </c>
      <c r="F6621" t="s">
        <v>42</v>
      </c>
      <c r="G6621">
        <v>-307.61180000000002</v>
      </c>
      <c r="H6621" s="1">
        <v>-4.4129469999999999E-6</v>
      </c>
      <c r="I6621">
        <v>-3.5742479999999999</v>
      </c>
      <c r="J6621">
        <v>-310.91570000000002</v>
      </c>
      <c r="K6621">
        <v>1.0497459999999901</v>
      </c>
      <c r="L6621">
        <v>13.28101</v>
      </c>
      <c r="M6621">
        <v>0.76319689999999996</v>
      </c>
      <c r="N6621">
        <v>-2.3049500000000001E-2</v>
      </c>
      <c r="O6621">
        <v>-0.64575459999999996</v>
      </c>
      <c r="P6621">
        <v>0.47222320000000001</v>
      </c>
      <c r="Q6621">
        <v>-8.4975579999999995E-2</v>
      </c>
      <c r="R6621">
        <v>-0.87737369999999903</v>
      </c>
      <c r="S6621">
        <v>0.61557010000000001</v>
      </c>
      <c r="T6621">
        <v>-0.1906582</v>
      </c>
      <c r="U6621">
        <v>-3.076965</v>
      </c>
      <c r="V6621">
        <v>0.36290539999999999</v>
      </c>
      <c r="W6621">
        <v>-7.3458250000000003E-2</v>
      </c>
      <c r="X6621">
        <v>0.92892609999999998</v>
      </c>
      <c r="Y6621">
        <v>0.62093469999999995</v>
      </c>
      <c r="Z6621">
        <v>2.0639730000000002E-3</v>
      </c>
      <c r="AA6621">
        <v>0.78385959999999999</v>
      </c>
      <c r="AB6621">
        <v>21</v>
      </c>
      <c r="AC6621">
        <v>3.3038999999999898</v>
      </c>
      <c r="AD6621">
        <v>-1.0497504129470001</v>
      </c>
      <c r="AE6621">
        <v>-16.855257999999999</v>
      </c>
      <c r="AF6621">
        <v>10.6932819194255</v>
      </c>
      <c r="AG6621">
        <v>-1.0497504129470001</v>
      </c>
      <c r="AH6621">
        <v>13.3595484525983</v>
      </c>
      <c r="AI6621">
        <v>93.510440267187803</v>
      </c>
      <c r="AJ6621">
        <v>51.325437409646497</v>
      </c>
      <c r="AK6621">
        <v>17.144264026056</v>
      </c>
      <c r="AL6621">
        <v>94.212641851932204</v>
      </c>
      <c r="AM6621">
        <v>68.660805277358406</v>
      </c>
      <c r="AN6621">
        <v>1.0000000715517099</v>
      </c>
    </row>
    <row r="6622" spans="1:40" x14ac:dyDescent="0.25">
      <c r="A6622" t="str">
        <f>"20190305135055583"</f>
        <v>20190305135055583</v>
      </c>
      <c r="B6622" t="str">
        <f>"1551765055576322"</f>
        <v>1551765055576322</v>
      </c>
      <c r="C6622" t="s">
        <v>40</v>
      </c>
      <c r="D6622">
        <v>4.424334</v>
      </c>
      <c r="E6622">
        <v>0.61716969999999904</v>
      </c>
      <c r="F6622" t="s">
        <v>42</v>
      </c>
      <c r="G6622">
        <v>-307.58710000000002</v>
      </c>
      <c r="H6622" s="1">
        <v>-4.2591200000000001E-6</v>
      </c>
      <c r="I6622">
        <v>-3.9633790000000002</v>
      </c>
      <c r="J6622">
        <v>-310.83550000000002</v>
      </c>
      <c r="K6622">
        <v>1.0497939999999999</v>
      </c>
      <c r="L6622">
        <v>13.19815</v>
      </c>
      <c r="M6622">
        <v>0.75676209999999999</v>
      </c>
      <c r="N6622">
        <v>-2.294566E-2</v>
      </c>
      <c r="O6622">
        <v>-0.65328759999999997</v>
      </c>
      <c r="P6622">
        <v>0.4654683</v>
      </c>
      <c r="Q6622">
        <v>-8.43275E-2</v>
      </c>
      <c r="R6622">
        <v>-0.8810384</v>
      </c>
      <c r="S6622">
        <v>0.59472659999999999</v>
      </c>
      <c r="T6622">
        <v>-0.1875571</v>
      </c>
      <c r="U6622">
        <v>-3.0810240000000002</v>
      </c>
      <c r="V6622">
        <v>0.36091689999999998</v>
      </c>
      <c r="W6622">
        <v>-7.2765640000000006E-2</v>
      </c>
      <c r="X6622">
        <v>0.92975490000000005</v>
      </c>
      <c r="Y6622">
        <v>0.61850179999999999</v>
      </c>
      <c r="Z6622">
        <v>2.355191E-3</v>
      </c>
      <c r="AA6622">
        <v>0.78577980000000003</v>
      </c>
      <c r="AB6622">
        <v>21</v>
      </c>
      <c r="AC6622">
        <v>3.2484000000000002</v>
      </c>
      <c r="AD6622">
        <v>-1.0497982591199999</v>
      </c>
      <c r="AE6622">
        <v>-17.161529000000002</v>
      </c>
      <c r="AF6622">
        <v>10.8287968950136</v>
      </c>
      <c r="AG6622">
        <v>-1.0497982591199999</v>
      </c>
      <c r="AH6622">
        <v>13.624062235922</v>
      </c>
      <c r="AI6622">
        <v>93.451983835933504</v>
      </c>
      <c r="AJ6622">
        <v>51.521311768880601</v>
      </c>
      <c r="AK6622">
        <v>17.435021949701799</v>
      </c>
      <c r="AL6622">
        <v>94.172851990363199</v>
      </c>
      <c r="AM6622">
        <v>68.784534971546506</v>
      </c>
      <c r="AN6622">
        <v>1.0000000105721101</v>
      </c>
    </row>
    <row r="6623" spans="1:40" x14ac:dyDescent="0.25">
      <c r="A6623" t="str">
        <f>"20190305135055594"</f>
        <v>20190305135055594</v>
      </c>
      <c r="B6623" t="str">
        <f>"1551765055586082"</f>
        <v>1551765055586082</v>
      </c>
      <c r="C6623" t="s">
        <v>40</v>
      </c>
      <c r="D6623">
        <v>4.387473</v>
      </c>
      <c r="E6623">
        <v>0.61636499999999905</v>
      </c>
      <c r="F6623" t="s">
        <v>42</v>
      </c>
      <c r="G6623">
        <v>-307.57729999999998</v>
      </c>
      <c r="H6623" s="1">
        <v>-4.1374600000000004E-6</v>
      </c>
      <c r="I6623">
        <v>-4.2756809999999996</v>
      </c>
      <c r="J6623">
        <v>-310.7552</v>
      </c>
      <c r="K6623">
        <v>1.049841</v>
      </c>
      <c r="L6623">
        <v>13.11392</v>
      </c>
      <c r="M6623">
        <v>0.75019769999999997</v>
      </c>
      <c r="N6623">
        <v>-2.284011E-2</v>
      </c>
      <c r="O6623">
        <v>-0.66081899999999905</v>
      </c>
      <c r="P6623">
        <v>0.45883059999999998</v>
      </c>
      <c r="Q6623">
        <v>-8.3313079999999998E-2</v>
      </c>
      <c r="R6623">
        <v>-0.88460919999999899</v>
      </c>
      <c r="S6623">
        <v>0.57498169999999904</v>
      </c>
      <c r="T6623">
        <v>-0.1852586</v>
      </c>
      <c r="U6623">
        <v>-3.083618</v>
      </c>
      <c r="V6623">
        <v>0.35873100000000002</v>
      </c>
      <c r="W6623">
        <v>-7.1701260000000003E-2</v>
      </c>
      <c r="X6623">
        <v>0.93068309999999999</v>
      </c>
      <c r="Y6623">
        <v>0.61565449999999999</v>
      </c>
      <c r="Z6623">
        <v>2.7573279999999999E-3</v>
      </c>
      <c r="AA6623">
        <v>0.78801140000000003</v>
      </c>
      <c r="AB6623">
        <v>21</v>
      </c>
      <c r="AC6623">
        <v>3.1779000000000202</v>
      </c>
      <c r="AD6623">
        <v>-1.04984513746</v>
      </c>
      <c r="AE6623">
        <v>-17.389600999999999</v>
      </c>
      <c r="AF6623">
        <v>10.909998580864</v>
      </c>
      <c r="AG6623">
        <v>-1.04984513746</v>
      </c>
      <c r="AH6623">
        <v>13.8302733222006</v>
      </c>
      <c r="AI6623">
        <v>93.410675595982894</v>
      </c>
      <c r="AJ6623">
        <v>51.731889380884702</v>
      </c>
      <c r="AK6623">
        <v>17.646719355559501</v>
      </c>
      <c r="AL6623">
        <v>94.111707756665396</v>
      </c>
      <c r="AM6623">
        <v>68.920885979747993</v>
      </c>
      <c r="AN6623">
        <v>1.0000000168360901</v>
      </c>
    </row>
    <row r="6624" spans="1:40" x14ac:dyDescent="0.25">
      <c r="A6624" t="str">
        <f>"20190305135055608"</f>
        <v>20190305135055608</v>
      </c>
      <c r="B6624" t="str">
        <f>"1551765055596820"</f>
        <v>1551765055596820</v>
      </c>
      <c r="C6624" t="s">
        <v>40</v>
      </c>
      <c r="D6624">
        <v>4.3854430000000004</v>
      </c>
      <c r="E6624">
        <v>0.61523909999999904</v>
      </c>
      <c r="F6624" t="s">
        <v>42</v>
      </c>
      <c r="G6624">
        <v>-307.59710000000001</v>
      </c>
      <c r="H6624" s="1">
        <v>-4.1036139999999999E-6</v>
      </c>
      <c r="I6624">
        <v>-4.3729760000000004</v>
      </c>
      <c r="J6624">
        <v>-310.66750000000002</v>
      </c>
      <c r="K6624">
        <v>1.049901</v>
      </c>
      <c r="L6624">
        <v>13.02008</v>
      </c>
      <c r="M6624">
        <v>0.74286039999999998</v>
      </c>
      <c r="N6624">
        <v>-2.2721910000000001E-2</v>
      </c>
      <c r="O6624">
        <v>-0.66906080000000001</v>
      </c>
      <c r="P6624">
        <v>0.45119910000000002</v>
      </c>
      <c r="Q6624">
        <v>-8.2537949999999999E-2</v>
      </c>
      <c r="R6624">
        <v>-0.88859840000000001</v>
      </c>
      <c r="S6624">
        <v>0.55712890000000004</v>
      </c>
      <c r="T6624">
        <v>-0.18520529999999999</v>
      </c>
      <c r="U6624">
        <v>-3.0849000000000002</v>
      </c>
      <c r="V6624">
        <v>0.35656009999999999</v>
      </c>
      <c r="W6624">
        <v>-7.0883909999999994E-2</v>
      </c>
      <c r="X6624">
        <v>0.9315795</v>
      </c>
      <c r="Y6624">
        <v>0.61144169999999998</v>
      </c>
      <c r="Z6624">
        <v>3.5611079999999999E-3</v>
      </c>
      <c r="AA6624">
        <v>0.79128149999999997</v>
      </c>
      <c r="AB6624">
        <v>21</v>
      </c>
      <c r="AC6624">
        <v>3.0703999999999998</v>
      </c>
      <c r="AD6624">
        <v>-1.0499051036139999</v>
      </c>
      <c r="AE6624">
        <v>-17.393056000000001</v>
      </c>
      <c r="AF6624">
        <v>10.8308609964512</v>
      </c>
      <c r="AG6624">
        <v>-1.0499051036139999</v>
      </c>
      <c r="AH6624">
        <v>13.872463096191099</v>
      </c>
      <c r="AI6624">
        <v>93.413899225400399</v>
      </c>
      <c r="AJ6624">
        <v>52.019227386380102</v>
      </c>
      <c r="AK6624">
        <v>17.631082865389399</v>
      </c>
      <c r="AL6624">
        <v>94.064757655252706</v>
      </c>
      <c r="AM6624">
        <v>69.055757563963695</v>
      </c>
      <c r="AN6624">
        <v>0.99999999921457405</v>
      </c>
    </row>
    <row r="6625" spans="1:40" x14ac:dyDescent="0.25">
      <c r="A6625" t="str">
        <f>"20190305135055620"</f>
        <v>20190305135055620</v>
      </c>
      <c r="B6625" t="str">
        <f>"1551765055617003"</f>
        <v>1551765055617003</v>
      </c>
      <c r="C6625" t="s">
        <v>40</v>
      </c>
      <c r="D6625">
        <v>4.2849729999999999</v>
      </c>
      <c r="E6625">
        <v>0.63889969999999996</v>
      </c>
      <c r="F6625" t="s">
        <v>42</v>
      </c>
      <c r="G6625">
        <v>-307.61630000000002</v>
      </c>
      <c r="H6625" s="1">
        <v>-4.068022E-6</v>
      </c>
      <c r="I6625">
        <v>-4.4745330000000001</v>
      </c>
      <c r="J6625">
        <v>-310.58859999999999</v>
      </c>
      <c r="K6625">
        <v>1.0499540000000001</v>
      </c>
      <c r="L6625">
        <v>12.933350000000001</v>
      </c>
      <c r="M6625">
        <v>0.73608989999999996</v>
      </c>
      <c r="N6625">
        <v>-2.261237E-2</v>
      </c>
      <c r="O6625">
        <v>-0.6765061</v>
      </c>
      <c r="P6625">
        <v>0.4441368</v>
      </c>
      <c r="Q6625">
        <v>-8.1801979999999996E-2</v>
      </c>
      <c r="R6625">
        <v>-0.89221689999999998</v>
      </c>
      <c r="S6625">
        <v>0.53814700000000004</v>
      </c>
      <c r="T6625">
        <v>-0.18517819999999999</v>
      </c>
      <c r="U6625">
        <v>-3.0856319999999999</v>
      </c>
      <c r="V6625">
        <v>0.35465560000000002</v>
      </c>
      <c r="W6625">
        <v>-7.011415E-2</v>
      </c>
      <c r="X6625">
        <v>0.93236439999999998</v>
      </c>
      <c r="Y6625">
        <v>0.60824219999999996</v>
      </c>
      <c r="Z6625">
        <v>4.2747330000000002E-3</v>
      </c>
      <c r="AA6625">
        <v>0.79374</v>
      </c>
      <c r="AB6625">
        <v>21</v>
      </c>
      <c r="AC6625">
        <v>2.9722999999999602</v>
      </c>
      <c r="AD6625">
        <v>-1.049958068022</v>
      </c>
      <c r="AE6625">
        <v>-17.407882999999899</v>
      </c>
      <c r="AF6625">
        <v>10.767687611215999</v>
      </c>
      <c r="AG6625">
        <v>-1.049958068022</v>
      </c>
      <c r="AH6625">
        <v>13.918788495988601</v>
      </c>
      <c r="AI6625">
        <v>93.414494526789497</v>
      </c>
      <c r="AJ6625">
        <v>52.274173339187101</v>
      </c>
      <c r="AK6625">
        <v>17.628901883935001</v>
      </c>
      <c r="AL6625">
        <v>94.020543714965996</v>
      </c>
      <c r="AM6625">
        <v>69.174034323720207</v>
      </c>
      <c r="AN6625">
        <v>0.999999981514471</v>
      </c>
    </row>
    <row r="6626" spans="1:40" x14ac:dyDescent="0.25">
      <c r="A6626" t="str">
        <f>"20190305135055634"</f>
        <v>20190305135055634</v>
      </c>
      <c r="B6626" t="str">
        <f>"1551765055626740"</f>
        <v>1551765055626740</v>
      </c>
      <c r="C6626" t="s">
        <v>40</v>
      </c>
      <c r="D6626">
        <v>4.407133</v>
      </c>
      <c r="E6626">
        <v>0.64665680000000003</v>
      </c>
      <c r="F6626" t="s">
        <v>109</v>
      </c>
      <c r="G6626">
        <v>-298.6755</v>
      </c>
      <c r="H6626">
        <v>0.92394829999999994</v>
      </c>
      <c r="I6626">
        <v>-91.564989999999995</v>
      </c>
      <c r="J6626">
        <v>-310.49950000000001</v>
      </c>
      <c r="K6626">
        <v>1.0500179999999999</v>
      </c>
      <c r="L6626">
        <v>12.833769999999999</v>
      </c>
      <c r="M6626">
        <v>0.72828909999999902</v>
      </c>
      <c r="N6626">
        <v>-2.248905E-2</v>
      </c>
      <c r="O6626">
        <v>-0.68490079999999998</v>
      </c>
      <c r="P6626">
        <v>0.43587740000000003</v>
      </c>
      <c r="Q6626">
        <v>-8.1247449999999999E-2</v>
      </c>
      <c r="R6626">
        <v>-0.89633130000000005</v>
      </c>
      <c r="S6626">
        <v>0.36270140000000001</v>
      </c>
      <c r="T6626">
        <v>-3.8359169999999999E-3</v>
      </c>
      <c r="U6626">
        <v>-3.1815190000000002</v>
      </c>
      <c r="V6626">
        <v>0.35264699999999999</v>
      </c>
      <c r="W6626">
        <v>-6.9525589999999998E-2</v>
      </c>
      <c r="X6626">
        <v>0.93317000000000005</v>
      </c>
      <c r="Y6626">
        <v>0.64604410000000001</v>
      </c>
      <c r="Z6626">
        <v>-2.0910120000000001E-2</v>
      </c>
      <c r="AA6626">
        <v>0.76301359999999996</v>
      </c>
      <c r="AB6626">
        <v>21</v>
      </c>
      <c r="AC6626">
        <v>11.824</v>
      </c>
      <c r="AD6626">
        <v>-0.12606970000000001</v>
      </c>
      <c r="AE6626">
        <v>-104.39876</v>
      </c>
      <c r="AF6626">
        <v>67.951303902719104</v>
      </c>
      <c r="AG6626">
        <v>-0.12606970000000001</v>
      </c>
      <c r="AH6626">
        <v>80.134240973431901</v>
      </c>
      <c r="AI6626">
        <v>90.068749684647003</v>
      </c>
      <c r="AJ6626">
        <v>49.703108715255198</v>
      </c>
      <c r="AK6626">
        <v>105.066132374029</v>
      </c>
      <c r="AL6626">
        <v>93.986739213570999</v>
      </c>
      <c r="AM6626">
        <v>69.298310776387595</v>
      </c>
      <c r="AN6626">
        <v>0.99999998158692305</v>
      </c>
    </row>
    <row r="6627" spans="1:40" x14ac:dyDescent="0.25">
      <c r="A6627" t="str">
        <f>"20190305135055647"</f>
        <v>20190305135055647</v>
      </c>
      <c r="B6627" t="str">
        <f>"1551765055636499"</f>
        <v>1551765055636499</v>
      </c>
      <c r="C6627" t="s">
        <v>40</v>
      </c>
      <c r="D6627">
        <v>4.3699209999999997</v>
      </c>
      <c r="E6627">
        <v>0.65049780000000001</v>
      </c>
      <c r="F6627" t="s">
        <v>109</v>
      </c>
      <c r="G6627">
        <v>-301.43400000000003</v>
      </c>
      <c r="H6627">
        <v>2.038116</v>
      </c>
      <c r="I6627">
        <v>-90.976820000000004</v>
      </c>
      <c r="J6627">
        <v>-310.41129999999998</v>
      </c>
      <c r="K6627">
        <v>1.050084</v>
      </c>
      <c r="L6627">
        <v>12.732939999999999</v>
      </c>
      <c r="M6627">
        <v>0.72038250000000004</v>
      </c>
      <c r="N6627">
        <v>-2.236755E-2</v>
      </c>
      <c r="O6627">
        <v>-0.69321630000000001</v>
      </c>
      <c r="P6627">
        <v>0.4273554</v>
      </c>
      <c r="Q6627">
        <v>-8.0747219999999995E-2</v>
      </c>
      <c r="R6627">
        <v>-0.90047089999999996</v>
      </c>
      <c r="S6627">
        <v>0.2806091</v>
      </c>
      <c r="T6627">
        <v>3.058541E-2</v>
      </c>
      <c r="U6627">
        <v>-3.2132869999999998</v>
      </c>
      <c r="V6627">
        <v>0.35085060000000001</v>
      </c>
      <c r="W6627">
        <v>-6.8994990000000006E-2</v>
      </c>
      <c r="X6627">
        <v>0.93388629999999995</v>
      </c>
      <c r="Y6627">
        <v>0.65745869999999995</v>
      </c>
      <c r="Z6627">
        <v>-2.5563929999999999E-2</v>
      </c>
      <c r="AA6627">
        <v>0.75305690000000003</v>
      </c>
      <c r="AB6627">
        <v>21</v>
      </c>
      <c r="AC6627">
        <v>8.9772999999999499</v>
      </c>
      <c r="AD6627">
        <v>0.98803200000000002</v>
      </c>
      <c r="AE6627">
        <v>-103.70976</v>
      </c>
      <c r="AF6627">
        <v>68.498450359210096</v>
      </c>
      <c r="AG6627">
        <v>0.98803200000000002</v>
      </c>
      <c r="AH6627">
        <v>78.372931438517696</v>
      </c>
      <c r="AI6627">
        <v>89.456150057062899</v>
      </c>
      <c r="AJ6627">
        <v>48.8463309628318</v>
      </c>
      <c r="AK6627">
        <v>104.092892606137</v>
      </c>
      <c r="AL6627">
        <v>93.956264673120202</v>
      </c>
      <c r="AM6627">
        <v>69.409364131365606</v>
      </c>
      <c r="AN6627">
        <v>1.00000003674657</v>
      </c>
    </row>
    <row r="6628" spans="1:40" x14ac:dyDescent="0.25">
      <c r="A6628" t="str">
        <f>"20190305135055661"</f>
        <v>20190305135055661</v>
      </c>
      <c r="B6628" t="str">
        <f>"1551765055656996"</f>
        <v>1551765055656996</v>
      </c>
      <c r="C6628" t="s">
        <v>40</v>
      </c>
      <c r="D6628">
        <v>4.3312439999999999</v>
      </c>
      <c r="E6628">
        <v>0.65263780000000005</v>
      </c>
      <c r="F6628" t="s">
        <v>109</v>
      </c>
      <c r="G6628">
        <v>-303.1644</v>
      </c>
      <c r="H6628">
        <v>2.7945099999999998</v>
      </c>
      <c r="I6628">
        <v>-91.564989999999995</v>
      </c>
      <c r="J6628">
        <v>-310.32940000000002</v>
      </c>
      <c r="K6628">
        <v>1.050163</v>
      </c>
      <c r="L6628">
        <v>12.6366</v>
      </c>
      <c r="M6628">
        <v>0.71284009999999998</v>
      </c>
      <c r="N6628">
        <v>-2.2252439999999998E-2</v>
      </c>
      <c r="O6628">
        <v>-0.70097339999999997</v>
      </c>
      <c r="P6628">
        <v>0.42106749999999998</v>
      </c>
      <c r="Q6628">
        <v>-7.9576610000000006E-2</v>
      </c>
      <c r="R6628">
        <v>-0.90353150000000004</v>
      </c>
      <c r="S6628">
        <v>0.2244263</v>
      </c>
      <c r="T6628">
        <v>5.4022189999999998E-2</v>
      </c>
      <c r="U6628">
        <v>-3.2299190000000002</v>
      </c>
      <c r="V6628">
        <v>0.34737659999999998</v>
      </c>
      <c r="W6628">
        <v>-6.7731390000000002E-2</v>
      </c>
      <c r="X6628">
        <v>0.93527640000000001</v>
      </c>
      <c r="Y6628">
        <v>0.66270469999999904</v>
      </c>
      <c r="Z6628">
        <v>-2.8799490000000001E-2</v>
      </c>
      <c r="AA6628">
        <v>0.74832679999999996</v>
      </c>
      <c r="AB6628">
        <v>21</v>
      </c>
      <c r="AC6628">
        <v>7.1650000000000196</v>
      </c>
      <c r="AD6628">
        <v>1.7443470000000001</v>
      </c>
      <c r="AE6628">
        <v>-104.20159</v>
      </c>
      <c r="AF6628">
        <v>69.254438698278094</v>
      </c>
      <c r="AG6628">
        <v>1.7443470000000001</v>
      </c>
      <c r="AH6628">
        <v>78.147606209266499</v>
      </c>
      <c r="AI6628">
        <v>89.042943403812799</v>
      </c>
      <c r="AJ6628">
        <v>48.4526255213406</v>
      </c>
      <c r="AK6628">
        <v>104.43308088009501</v>
      </c>
      <c r="AL6628">
        <v>93.883696116027494</v>
      </c>
      <c r="AM6628">
        <v>69.6241987984872</v>
      </c>
      <c r="AN6628">
        <v>0.99999999390792504</v>
      </c>
    </row>
    <row r="6629" spans="1:40" x14ac:dyDescent="0.25">
      <c r="A6629" t="str">
        <f>"20190305135055684"</f>
        <v>20190305135055684</v>
      </c>
      <c r="B6629" t="str">
        <f>"1551765055676517"</f>
        <v>1551765055676517</v>
      </c>
      <c r="C6629" t="s">
        <v>40</v>
      </c>
      <c r="D6629">
        <v>4.3474719999999998</v>
      </c>
      <c r="E6629">
        <v>0.65165589999999995</v>
      </c>
      <c r="F6629" t="s">
        <v>109</v>
      </c>
      <c r="G6629">
        <v>-304.29050000000001</v>
      </c>
      <c r="H6629">
        <v>3.3066650000000002</v>
      </c>
      <c r="I6629">
        <v>-91.564989999999995</v>
      </c>
      <c r="J6629">
        <v>-310.19069999999999</v>
      </c>
      <c r="K6629">
        <v>1.050303</v>
      </c>
      <c r="L6629">
        <v>12.46918</v>
      </c>
      <c r="M6629">
        <v>0.6997101</v>
      </c>
      <c r="N6629">
        <v>-2.205474E-2</v>
      </c>
      <c r="O6629">
        <v>-0.71408640000000001</v>
      </c>
      <c r="P6629">
        <v>0.40768110000000002</v>
      </c>
      <c r="Q6629">
        <v>-7.8766619999999996E-2</v>
      </c>
      <c r="R6629">
        <v>-0.9097208</v>
      </c>
      <c r="S6629">
        <v>0.18771360000000001</v>
      </c>
      <c r="T6629">
        <v>7.0141789999999996E-2</v>
      </c>
      <c r="U6629">
        <v>-3.2390140000000001</v>
      </c>
      <c r="V6629">
        <v>0.34392450000000002</v>
      </c>
      <c r="W6629">
        <v>-6.6845459999999995E-2</v>
      </c>
      <c r="X6629">
        <v>0.93661499999999998</v>
      </c>
      <c r="Y6629">
        <v>0.65742</v>
      </c>
      <c r="Z6629">
        <v>-3.1299059999999997E-2</v>
      </c>
      <c r="AA6629">
        <v>0.75287399999999904</v>
      </c>
      <c r="AB6629">
        <v>21</v>
      </c>
      <c r="AC6629">
        <v>5.9001999999999803</v>
      </c>
      <c r="AD6629">
        <v>2.25636199999999</v>
      </c>
      <c r="AE6629">
        <v>-104.03416999999899</v>
      </c>
      <c r="AF6629">
        <v>68.565041959698107</v>
      </c>
      <c r="AG6629">
        <v>2.25636199999999</v>
      </c>
      <c r="AH6629">
        <v>78.400132186513702</v>
      </c>
      <c r="AI6629">
        <v>88.758937272099203</v>
      </c>
      <c r="AJ6629">
        <v>48.828595458318198</v>
      </c>
      <c r="AK6629">
        <v>104.17694982707501</v>
      </c>
      <c r="AL6629">
        <v>93.8328206670014</v>
      </c>
      <c r="AM6629">
        <v>69.836793366402603</v>
      </c>
      <c r="AN6629">
        <v>1.0000000177239301</v>
      </c>
    </row>
    <row r="6630" spans="1:40" x14ac:dyDescent="0.25">
      <c r="A6630" t="str">
        <f>"20190305135055697"</f>
        <v>20190305135055697</v>
      </c>
      <c r="B6630" t="str">
        <f>"1551765055686276"</f>
        <v>1551765055686276</v>
      </c>
      <c r="C6630" t="s">
        <v>40</v>
      </c>
      <c r="D6630">
        <v>4.3559340000000004</v>
      </c>
      <c r="E6630">
        <v>0.65088000000000001</v>
      </c>
      <c r="F6630" t="s">
        <v>109</v>
      </c>
      <c r="G6630">
        <v>-305.56779999999998</v>
      </c>
      <c r="H6630">
        <v>2.3500640000000002</v>
      </c>
      <c r="I6630">
        <v>-91.564989999999995</v>
      </c>
      <c r="J6630">
        <v>-310.10770000000002</v>
      </c>
      <c r="K6630">
        <v>1.050397</v>
      </c>
      <c r="L6630">
        <v>12.36581</v>
      </c>
      <c r="M6630">
        <v>0.69161649999999997</v>
      </c>
      <c r="N6630">
        <v>-2.1934189999999999E-2</v>
      </c>
      <c r="O6630">
        <v>-0.72193189999999996</v>
      </c>
      <c r="P6630">
        <v>0.3991787</v>
      </c>
      <c r="Q6630">
        <v>-7.8803380000000006E-2</v>
      </c>
      <c r="R6630">
        <v>-0.91348050000000003</v>
      </c>
      <c r="S6630">
        <v>0.14382929999999999</v>
      </c>
      <c r="T6630">
        <v>4.0439129999999997E-2</v>
      </c>
      <c r="U6630">
        <v>-3.236755</v>
      </c>
      <c r="V6630">
        <v>0.34211540000000001</v>
      </c>
      <c r="W6630">
        <v>-6.6841609999999996E-2</v>
      </c>
      <c r="X6630">
        <v>0.93727760000000004</v>
      </c>
      <c r="Y6630">
        <v>0.65900449999999999</v>
      </c>
      <c r="Z6630">
        <v>-2.7307979999999999E-2</v>
      </c>
      <c r="AA6630">
        <v>0.75164310000000001</v>
      </c>
      <c r="AB6630">
        <v>21</v>
      </c>
      <c r="AC6630">
        <v>4.5399000000000402</v>
      </c>
      <c r="AD6630">
        <v>1.2996669999999999</v>
      </c>
      <c r="AE6630">
        <v>-103.9308</v>
      </c>
      <c r="AF6630">
        <v>68.6085522266862</v>
      </c>
      <c r="AG6630">
        <v>1.2996669999999999</v>
      </c>
      <c r="AH6630">
        <v>78.177432575794299</v>
      </c>
      <c r="AI6630">
        <v>89.284117598313699</v>
      </c>
      <c r="AJ6630">
        <v>48.7297961460755</v>
      </c>
      <c r="AK6630">
        <v>104.021793567961</v>
      </c>
      <c r="AL6630">
        <v>93.832599561228605</v>
      </c>
      <c r="AM6630">
        <v>69.947428265207293</v>
      </c>
      <c r="AN6630">
        <v>1.0000000236031501</v>
      </c>
    </row>
    <row r="6631" spans="1:40" x14ac:dyDescent="0.25">
      <c r="A6631" t="str">
        <f>"20190305135055710"</f>
        <v>20190305135055710</v>
      </c>
      <c r="B6631" t="str">
        <f>"1551765055706772"</f>
        <v>1551765055706772</v>
      </c>
      <c r="C6631" t="s">
        <v>40</v>
      </c>
      <c r="D6631">
        <v>4.3577279999999998</v>
      </c>
      <c r="E6631">
        <v>0.64976009999999995</v>
      </c>
      <c r="F6631" t="s">
        <v>109</v>
      </c>
      <c r="G6631">
        <v>-306.34039999999999</v>
      </c>
      <c r="H6631">
        <v>1.692758</v>
      </c>
      <c r="I6631">
        <v>-91.564989999999995</v>
      </c>
      <c r="J6631">
        <v>-310.03210000000001</v>
      </c>
      <c r="K6631">
        <v>1.050486</v>
      </c>
      <c r="L6631">
        <v>12.27023</v>
      </c>
      <c r="M6631">
        <v>0.68412079999999997</v>
      </c>
      <c r="N6631">
        <v>-2.1824650000000001E-2</v>
      </c>
      <c r="O6631">
        <v>-0.72904219999999997</v>
      </c>
      <c r="P6631">
        <v>0.39194319999999999</v>
      </c>
      <c r="Q6631">
        <v>-7.9390779999999994E-2</v>
      </c>
      <c r="R6631">
        <v>-0.91655739999999997</v>
      </c>
      <c r="S6631">
        <v>0.11724850000000001</v>
      </c>
      <c r="T6631">
        <v>1.9992469999999998E-2</v>
      </c>
      <c r="U6631">
        <v>-3.2346189999999999</v>
      </c>
      <c r="V6631">
        <v>0.33981</v>
      </c>
      <c r="W6631">
        <v>-6.7367860000000002E-2</v>
      </c>
      <c r="X6631">
        <v>0.93807819999999997</v>
      </c>
      <c r="Y6631">
        <v>0.65732559999999995</v>
      </c>
      <c r="Z6631">
        <v>-2.4432450000000001E-2</v>
      </c>
      <c r="AA6631">
        <v>0.75321059999999995</v>
      </c>
      <c r="AB6631">
        <v>21</v>
      </c>
      <c r="AC6631">
        <v>3.69170000000002</v>
      </c>
      <c r="AD6631">
        <v>0.64227199999999995</v>
      </c>
      <c r="AE6631">
        <v>-103.835219999999</v>
      </c>
      <c r="AF6631">
        <v>68.358095262254395</v>
      </c>
      <c r="AG6631">
        <v>0.64227199999999995</v>
      </c>
      <c r="AH6631">
        <v>78.241468506780095</v>
      </c>
      <c r="AI6631">
        <v>89.645812128083904</v>
      </c>
      <c r="AJ6631">
        <v>48.856900813829199</v>
      </c>
      <c r="AK6631">
        <v>103.89884068315099</v>
      </c>
      <c r="AL6631">
        <v>93.862819724324794</v>
      </c>
      <c r="AM6631">
        <v>70.087557303605195</v>
      </c>
      <c r="AN6631">
        <v>0.99999998698810899</v>
      </c>
    </row>
    <row r="6632" spans="1:40" x14ac:dyDescent="0.25">
      <c r="A6632" t="str">
        <f>"20190305135055722"</f>
        <v>20190305135055722</v>
      </c>
      <c r="B6632" t="str">
        <f>"1551765055716531"</f>
        <v>1551765055716531</v>
      </c>
      <c r="C6632" t="s">
        <v>40</v>
      </c>
      <c r="D6632">
        <v>4.3624340000000004</v>
      </c>
      <c r="E6632">
        <v>0.6489606</v>
      </c>
      <c r="F6632" t="s">
        <v>109</v>
      </c>
      <c r="G6632">
        <v>-306.89760000000001</v>
      </c>
      <c r="H6632">
        <v>0.87966679999999997</v>
      </c>
      <c r="I6632">
        <v>-91.564989999999995</v>
      </c>
      <c r="J6632">
        <v>-309.96019999999999</v>
      </c>
      <c r="K6632">
        <v>1.0505880000000001</v>
      </c>
      <c r="L6632">
        <v>12.17639</v>
      </c>
      <c r="M6632">
        <v>0.67682069999999905</v>
      </c>
      <c r="N6632">
        <v>-2.1719019999999999E-2</v>
      </c>
      <c r="O6632">
        <v>-0.73582749999999997</v>
      </c>
      <c r="P6632">
        <v>0.38473180000000001</v>
      </c>
      <c r="Q6632">
        <v>-7.9670379999999999E-2</v>
      </c>
      <c r="R6632">
        <v>-0.91958390000000001</v>
      </c>
      <c r="S6632">
        <v>9.7534179999999998E-2</v>
      </c>
      <c r="T6632">
        <v>-5.3148269999999899E-3</v>
      </c>
      <c r="U6632">
        <v>-3.2309570000000001</v>
      </c>
      <c r="V6632">
        <v>0.3378234</v>
      </c>
      <c r="W6632">
        <v>-6.7587549999999996E-2</v>
      </c>
      <c r="X6632">
        <v>0.93877969999999999</v>
      </c>
      <c r="Y6632">
        <v>0.65430369999999904</v>
      </c>
      <c r="Z6632">
        <v>-2.0669710000000001E-2</v>
      </c>
      <c r="AA6632">
        <v>0.75594939999999999</v>
      </c>
      <c r="AB6632">
        <v>20</v>
      </c>
      <c r="AC6632">
        <v>3.06259999999997</v>
      </c>
      <c r="AD6632">
        <v>-0.170921199999999</v>
      </c>
      <c r="AE6632">
        <v>-103.74138000000001</v>
      </c>
      <c r="AF6632">
        <v>67.976615617697405</v>
      </c>
      <c r="AG6632">
        <v>-0.170921199999999</v>
      </c>
      <c r="AH6632">
        <v>78.426875140812996</v>
      </c>
      <c r="AI6632">
        <v>90.094357877816094</v>
      </c>
      <c r="AJ6632">
        <v>49.082839530334702</v>
      </c>
      <c r="AK6632">
        <v>103.786435670782</v>
      </c>
      <c r="AL6632">
        <v>93.875435638365005</v>
      </c>
      <c r="AM6632">
        <v>70.208541865835201</v>
      </c>
      <c r="AN6632">
        <v>1.0000000258173201</v>
      </c>
    </row>
    <row r="6633" spans="1:40" x14ac:dyDescent="0.25">
      <c r="A6633" t="str">
        <f>"20190305135055739"</f>
        <v>20190305135055739</v>
      </c>
      <c r="B6633" t="str">
        <f>"1551765055726846"</f>
        <v>1551765055726846</v>
      </c>
      <c r="C6633" t="s">
        <v>40</v>
      </c>
      <c r="D6633">
        <v>4.3272399999999998</v>
      </c>
      <c r="E6633">
        <v>0.64820659999999997</v>
      </c>
      <c r="F6633" t="s">
        <v>109</v>
      </c>
      <c r="G6633">
        <v>-307.49009999999998</v>
      </c>
      <c r="H6633">
        <v>0.4507699</v>
      </c>
      <c r="I6633">
        <v>-91.564989999999995</v>
      </c>
      <c r="J6633">
        <v>-309.8723</v>
      </c>
      <c r="K6633">
        <v>1.0507249999999999</v>
      </c>
      <c r="L6633">
        <v>12.059659999999999</v>
      </c>
      <c r="M6633">
        <v>0.66774889999999998</v>
      </c>
      <c r="N6633">
        <v>-2.1590689999999999E-2</v>
      </c>
      <c r="O6633">
        <v>-0.74407369999999995</v>
      </c>
      <c r="P6633">
        <v>0.3777761</v>
      </c>
      <c r="Q6633">
        <v>-8.0108639999999995E-2</v>
      </c>
      <c r="R6633">
        <v>-0.92242539999999995</v>
      </c>
      <c r="S6633">
        <v>7.6873780000000003E-2</v>
      </c>
      <c r="T6633">
        <v>-1.8666740000000001E-2</v>
      </c>
      <c r="U6633">
        <v>-3.228577</v>
      </c>
      <c r="V6633">
        <v>0.33339269999999999</v>
      </c>
      <c r="W6633">
        <v>-6.7882440000000002E-2</v>
      </c>
      <c r="X6633">
        <v>0.94034110000000004</v>
      </c>
      <c r="Y6633">
        <v>0.64980419999999905</v>
      </c>
      <c r="Z6633">
        <v>-1.851887E-2</v>
      </c>
      <c r="AA6633">
        <v>0.75987609999999906</v>
      </c>
      <c r="AB6633">
        <v>20</v>
      </c>
      <c r="AC6633">
        <v>2.3822000000000099</v>
      </c>
      <c r="AD6633">
        <v>-0.59995509999999896</v>
      </c>
      <c r="AE6633">
        <v>-103.62465</v>
      </c>
      <c r="AF6633">
        <v>67.436160440544498</v>
      </c>
      <c r="AG6633">
        <v>-0.59995509999999896</v>
      </c>
      <c r="AH6633">
        <v>78.710783082317604</v>
      </c>
      <c r="AI6633">
        <v>90.331644864474001</v>
      </c>
      <c r="AJ6633">
        <v>49.411391074647597</v>
      </c>
      <c r="AK6633">
        <v>103.65029211013599</v>
      </c>
      <c r="AL6633">
        <v>93.892370384862303</v>
      </c>
      <c r="AM6633">
        <v>70.478321833591806</v>
      </c>
      <c r="AN6633">
        <v>1.00000005121142</v>
      </c>
    </row>
    <row r="6634" spans="1:40" x14ac:dyDescent="0.25">
      <c r="A6634" t="str">
        <f>"20190305135055753"</f>
        <v>20190305135055753</v>
      </c>
      <c r="B6634" t="str">
        <f>"1551765055746366"</f>
        <v>1551765055746366</v>
      </c>
      <c r="C6634" t="s">
        <v>40</v>
      </c>
      <c r="D6634">
        <v>4.3493069999999996</v>
      </c>
      <c r="E6634">
        <v>0.64641709999999997</v>
      </c>
      <c r="F6634" t="s">
        <v>47</v>
      </c>
      <c r="G6634">
        <v>0</v>
      </c>
      <c r="H6634">
        <v>0</v>
      </c>
      <c r="I6634">
        <v>0</v>
      </c>
      <c r="J6634">
        <v>-309.79289999999997</v>
      </c>
      <c r="K6634">
        <v>1.050859</v>
      </c>
      <c r="L6634">
        <v>11.95209</v>
      </c>
      <c r="M6634">
        <v>0.65940889999999996</v>
      </c>
      <c r="N6634">
        <v>-2.147518E-2</v>
      </c>
      <c r="O6634">
        <v>-0.75147799999999998</v>
      </c>
      <c r="P6634">
        <v>0.36977070000000001</v>
      </c>
      <c r="Q6634">
        <v>-7.9795019999999994E-2</v>
      </c>
      <c r="R6634">
        <v>-0.92569040000000002</v>
      </c>
      <c r="S6634">
        <v>5.706787E-2</v>
      </c>
      <c r="T6634">
        <v>-3.1358240000000003E-2</v>
      </c>
      <c r="U6634">
        <v>-3.2262270000000002</v>
      </c>
      <c r="V6634">
        <v>0.3310999</v>
      </c>
      <c r="W6634">
        <v>-6.7486359999999995E-2</v>
      </c>
      <c r="X6634">
        <v>0.94117930000000005</v>
      </c>
      <c r="Y6634">
        <v>0.64593610000000001</v>
      </c>
      <c r="Z6634">
        <v>-1.6376660000000001E-2</v>
      </c>
      <c r="AA6634">
        <v>0.7632158</v>
      </c>
      <c r="AB6634">
        <v>20</v>
      </c>
      <c r="AC6634">
        <v>5.706787E-2</v>
      </c>
      <c r="AD6634">
        <v>-3.1358240000000003E-2</v>
      </c>
      <c r="AE6634">
        <v>-3.2262270000000002</v>
      </c>
      <c r="AF6634">
        <v>2.0848010034629199</v>
      </c>
      <c r="AG6634">
        <v>-3.1358240000000003E-2</v>
      </c>
      <c r="AH6634">
        <v>2.46240446990782</v>
      </c>
      <c r="AI6634">
        <v>90.556850736434797</v>
      </c>
      <c r="AJ6634">
        <v>49.746994530991401</v>
      </c>
      <c r="AK6634">
        <v>3.2265793553975901</v>
      </c>
      <c r="AL6634">
        <v>93.8696246578169</v>
      </c>
      <c r="AM6634">
        <v>70.618505976695701</v>
      </c>
      <c r="AN6634">
        <v>1.00000001365727</v>
      </c>
    </row>
    <row r="6635" spans="1:40" x14ac:dyDescent="0.25">
      <c r="A6635" t="str">
        <f>"20190305135055766"</f>
        <v>20190305135055766</v>
      </c>
      <c r="B6635" t="str">
        <f>"1551765055756125"</f>
        <v>1551765055756125</v>
      </c>
      <c r="C6635" t="s">
        <v>40</v>
      </c>
      <c r="D6635">
        <v>4.315868</v>
      </c>
      <c r="E6635">
        <v>0.64567430000000003</v>
      </c>
      <c r="F6635" t="s">
        <v>85</v>
      </c>
      <c r="G6635">
        <v>-308.89150000000001</v>
      </c>
      <c r="H6635" s="1">
        <v>-1.0297110000000001E-5</v>
      </c>
      <c r="I6635">
        <v>-59.731839999999998</v>
      </c>
      <c r="J6635">
        <v>-309.71640000000002</v>
      </c>
      <c r="K6635">
        <v>1.0510060000000001</v>
      </c>
      <c r="L6635">
        <v>11.84595</v>
      </c>
      <c r="M6635">
        <v>0.65123949999999997</v>
      </c>
      <c r="N6635">
        <v>-2.1362740000000002E-2</v>
      </c>
      <c r="O6635">
        <v>-0.75857140000000001</v>
      </c>
      <c r="P6635">
        <v>0.36207600000000001</v>
      </c>
      <c r="Q6635">
        <v>-7.9799149999999999E-2</v>
      </c>
      <c r="R6635">
        <v>-0.92872659999999996</v>
      </c>
      <c r="S6635">
        <v>4.0496829999999998E-2</v>
      </c>
      <c r="T6635">
        <v>-4.7212959999999998E-2</v>
      </c>
      <c r="U6635">
        <v>-3.2205810000000001</v>
      </c>
      <c r="V6635">
        <v>0.32875130000000002</v>
      </c>
      <c r="W6635">
        <v>-6.7399379999999995E-2</v>
      </c>
      <c r="X6635">
        <v>0.94200839999999997</v>
      </c>
      <c r="Y6635">
        <v>0.64152749999999903</v>
      </c>
      <c r="Z6635">
        <v>-1.3608759999999999E-2</v>
      </c>
      <c r="AA6635">
        <v>0.76697930000000003</v>
      </c>
      <c r="AB6635">
        <v>20</v>
      </c>
      <c r="AC6635">
        <v>0.82490000000001296</v>
      </c>
      <c r="AD6635">
        <v>-1.0510162971100001</v>
      </c>
      <c r="AE6635">
        <v>-71.577789999999993</v>
      </c>
      <c r="AF6635">
        <v>45.989125882850502</v>
      </c>
      <c r="AG6635">
        <v>-1.0510162971100001</v>
      </c>
      <c r="AH6635">
        <v>54.834772047598499</v>
      </c>
      <c r="AI6635">
        <v>90.841370643163501</v>
      </c>
      <c r="AJ6635">
        <v>50.013928412083899</v>
      </c>
      <c r="AK6635">
        <v>71.574831891088294</v>
      </c>
      <c r="AL6635">
        <v>93.864629907090702</v>
      </c>
      <c r="AM6635">
        <v>70.761534916396499</v>
      </c>
      <c r="AN6635">
        <v>0.99999995967331601</v>
      </c>
    </row>
    <row r="6636" spans="1:40" x14ac:dyDescent="0.25">
      <c r="A6636" t="str">
        <f>"20190305135055780"</f>
        <v>20190305135055780</v>
      </c>
      <c r="B6636" t="str">
        <f>"1551765055776621"</f>
        <v>1551765055776621</v>
      </c>
      <c r="C6636" t="s">
        <v>40</v>
      </c>
      <c r="D6636">
        <v>4.376652</v>
      </c>
      <c r="E6636">
        <v>0.64442010000000005</v>
      </c>
      <c r="F6636" t="s">
        <v>85</v>
      </c>
      <c r="G6636">
        <v>-309.33769999999998</v>
      </c>
      <c r="H6636" s="1">
        <v>-7.342424E-6</v>
      </c>
      <c r="I6636">
        <v>-52.882480000000001</v>
      </c>
      <c r="J6636">
        <v>-309.64330000000001</v>
      </c>
      <c r="K6636">
        <v>1.0511619999999999</v>
      </c>
      <c r="L6636">
        <v>11.74194</v>
      </c>
      <c r="M6636">
        <v>0.64329789999999998</v>
      </c>
      <c r="N6636">
        <v>-2.1253270000000001E-2</v>
      </c>
      <c r="O6636">
        <v>-0.76532109999999998</v>
      </c>
      <c r="P6636">
        <v>0.354823</v>
      </c>
      <c r="Q6636">
        <v>-7.9664509999999994E-2</v>
      </c>
      <c r="R6636">
        <v>-0.93153359999999996</v>
      </c>
      <c r="S6636">
        <v>1.8829350000000002E-2</v>
      </c>
      <c r="T6636">
        <v>-5.2257779999999997E-2</v>
      </c>
      <c r="U6636">
        <v>-3.2183839999999999</v>
      </c>
      <c r="V6636">
        <v>0.32631450000000001</v>
      </c>
      <c r="W6636">
        <v>-6.7166429999999999E-2</v>
      </c>
      <c r="X6636">
        <v>0.94287189999999999</v>
      </c>
      <c r="Y6636">
        <v>0.63867369999999901</v>
      </c>
      <c r="Z6636">
        <v>-1.255058E-2</v>
      </c>
      <c r="AA6636">
        <v>0.76937540000000004</v>
      </c>
      <c r="AB6636">
        <v>20</v>
      </c>
      <c r="AC6636">
        <v>0.30560000000002602</v>
      </c>
      <c r="AD6636">
        <v>-1.0511693424240001</v>
      </c>
      <c r="AE6636">
        <v>-64.624420000000001</v>
      </c>
      <c r="AF6636">
        <v>41.337268777212003</v>
      </c>
      <c r="AG6636">
        <v>-1.0511693424240001</v>
      </c>
      <c r="AH6636">
        <v>49.653098840592897</v>
      </c>
      <c r="AI6636">
        <v>90.9321168834704</v>
      </c>
      <c r="AJ6636">
        <v>50.221893542522899</v>
      </c>
      <c r="AK6636">
        <v>64.616599813202797</v>
      </c>
      <c r="AL6636">
        <v>93.851252574116501</v>
      </c>
      <c r="AM6636">
        <v>70.909993771934595</v>
      </c>
      <c r="AN6636">
        <v>0.99999995101940098</v>
      </c>
    </row>
    <row r="6637" spans="1:40" x14ac:dyDescent="0.25">
      <c r="A6637" t="str">
        <f>"20190305135055795"</f>
        <v>20190305135055795</v>
      </c>
      <c r="B6637" t="str">
        <f>"1551765055786381"</f>
        <v>1551765055786381</v>
      </c>
      <c r="C6637" t="s">
        <v>40</v>
      </c>
      <c r="D6637">
        <v>4.239916</v>
      </c>
      <c r="E6637">
        <v>0.64373279999999999</v>
      </c>
      <c r="F6637" t="s">
        <v>85</v>
      </c>
      <c r="G6637">
        <v>-309.6087</v>
      </c>
      <c r="H6637" s="1">
        <v>-3.7557930000000001E-6</v>
      </c>
      <c r="I6637">
        <v>-43.497909999999997</v>
      </c>
      <c r="J6637">
        <v>-309.56689999999998</v>
      </c>
      <c r="K6637">
        <v>1.051331</v>
      </c>
      <c r="L6637">
        <v>11.631349999999999</v>
      </c>
      <c r="M6637">
        <v>0.63489689999999999</v>
      </c>
      <c r="N6637">
        <v>-2.1138190000000001E-2</v>
      </c>
      <c r="O6637">
        <v>-0.77230790000000005</v>
      </c>
      <c r="P6637">
        <v>0.34721790000000002</v>
      </c>
      <c r="Q6637">
        <v>-7.9523369999999996E-2</v>
      </c>
      <c r="R6637">
        <v>-0.93440670000000003</v>
      </c>
      <c r="S6637">
        <v>2.0141600000000001E-3</v>
      </c>
      <c r="T6637">
        <v>-6.1169269999999998E-2</v>
      </c>
      <c r="U6637">
        <v>-3.2145079999999999</v>
      </c>
      <c r="V6637">
        <v>0.32373659999999999</v>
      </c>
      <c r="W6637">
        <v>-6.6916199999999995E-2</v>
      </c>
      <c r="X6637">
        <v>0.94377789999999995</v>
      </c>
      <c r="Y6637">
        <v>0.63425410000000004</v>
      </c>
      <c r="Z6637">
        <v>-1.075745E-2</v>
      </c>
      <c r="AA6637">
        <v>0.77304980000000001</v>
      </c>
      <c r="AB6637">
        <v>20</v>
      </c>
      <c r="AC6637">
        <v>-4.1800000000023298E-2</v>
      </c>
      <c r="AD6637">
        <v>-1.051334755793</v>
      </c>
      <c r="AE6637">
        <v>-55.129260000000002</v>
      </c>
      <c r="AF6637">
        <v>35.028762271913003</v>
      </c>
      <c r="AG6637">
        <v>-1.051334755793</v>
      </c>
      <c r="AH6637">
        <v>42.544253018353999</v>
      </c>
      <c r="AI6637">
        <v>91.092915545678196</v>
      </c>
      <c r="AJ6637">
        <v>50.533704911215899</v>
      </c>
      <c r="AK6637">
        <v>55.119261206593301</v>
      </c>
      <c r="AL6637">
        <v>93.836883148029699</v>
      </c>
      <c r="AM6637">
        <v>71.0669030087994</v>
      </c>
      <c r="AN6637">
        <v>0.999999944265203</v>
      </c>
    </row>
    <row r="6638" spans="1:40" x14ac:dyDescent="0.25">
      <c r="A6638" t="str">
        <f>"20190305135055805"</f>
        <v>20190305135055805</v>
      </c>
      <c r="B6638" t="str">
        <f>"1551765055796141"</f>
        <v>1551765055796141</v>
      </c>
      <c r="C6638" t="s">
        <v>40</v>
      </c>
      <c r="D6638">
        <v>4.3366339999999903</v>
      </c>
      <c r="E6638">
        <v>0.64305630000000003</v>
      </c>
      <c r="F6638" t="s">
        <v>85</v>
      </c>
      <c r="G6638">
        <v>-309.8895</v>
      </c>
      <c r="H6638" s="1">
        <v>-3.9278979999999996E-6</v>
      </c>
      <c r="I6638">
        <v>-43.752920000000003</v>
      </c>
      <c r="J6638">
        <v>-309.50650000000002</v>
      </c>
      <c r="K6638">
        <v>1.0514760000000001</v>
      </c>
      <c r="L6638">
        <v>11.54208</v>
      </c>
      <c r="M6638">
        <v>0.62817149999999999</v>
      </c>
      <c r="N6638">
        <v>-2.104557E-2</v>
      </c>
      <c r="O6638">
        <v>-0.77779030000000005</v>
      </c>
      <c r="P6638">
        <v>0.34467690000000001</v>
      </c>
      <c r="Q6638">
        <v>-8.0032240000000004E-2</v>
      </c>
      <c r="R6638">
        <v>-0.93530369999999996</v>
      </c>
      <c r="S6638">
        <v>-1.870728E-2</v>
      </c>
      <c r="T6638">
        <v>-6.0978409999999997E-2</v>
      </c>
      <c r="U6638">
        <v>-3.2123409999999999</v>
      </c>
      <c r="V6638">
        <v>0.3181001</v>
      </c>
      <c r="W6638">
        <v>-6.7228819999999995E-2</v>
      </c>
      <c r="X6638">
        <v>0.94567040000000002</v>
      </c>
      <c r="Y6638">
        <v>0.63253369999999998</v>
      </c>
      <c r="Z6638">
        <v>-1.0573809999999999E-2</v>
      </c>
      <c r="AA6638">
        <v>0.7744607</v>
      </c>
      <c r="AB6638">
        <v>20</v>
      </c>
      <c r="AC6638">
        <v>-0.38299999999998102</v>
      </c>
      <c r="AD6638">
        <v>-1.051479927898</v>
      </c>
      <c r="AE6638">
        <v>-55.295000000000002</v>
      </c>
      <c r="AF6638">
        <v>35.027730384214003</v>
      </c>
      <c r="AG6638">
        <v>-1.051479927898</v>
      </c>
      <c r="AH6638">
        <v>42.7613353017489</v>
      </c>
      <c r="AI6638">
        <v>91.089762778815697</v>
      </c>
      <c r="AJ6638">
        <v>50.677554530503897</v>
      </c>
      <c r="AK6638">
        <v>55.2863392050564</v>
      </c>
      <c r="AL6638">
        <v>93.854835373071495</v>
      </c>
      <c r="AM6638">
        <v>71.408335433151294</v>
      </c>
      <c r="AN6638">
        <v>0.99999994664737901</v>
      </c>
    </row>
    <row r="6639" spans="1:40" x14ac:dyDescent="0.25">
      <c r="A6639" t="str">
        <f>"20190305135055820"</f>
        <v>20190305135055820</v>
      </c>
      <c r="B6639" t="str">
        <f>"1551765055816637"</f>
        <v>1551765055816637</v>
      </c>
      <c r="C6639" t="s">
        <v>40</v>
      </c>
      <c r="D6639">
        <v>4.3561170000000002</v>
      </c>
      <c r="E6639">
        <v>0.64169900000000002</v>
      </c>
      <c r="F6639" t="s">
        <v>85</v>
      </c>
      <c r="G6639">
        <v>-309.88440000000003</v>
      </c>
      <c r="H6639" s="1">
        <v>-3.4957050000000002E-6</v>
      </c>
      <c r="I6639">
        <v>-42.624920000000003</v>
      </c>
      <c r="J6639">
        <v>-309.43520000000001</v>
      </c>
      <c r="K6639">
        <v>1.0516529999999999</v>
      </c>
      <c r="L6639">
        <v>11.434480000000001</v>
      </c>
      <c r="M6639">
        <v>0.62016389999999999</v>
      </c>
      <c r="N6639">
        <v>-2.0929489999999999E-2</v>
      </c>
      <c r="O6639">
        <v>-0.78419309999999998</v>
      </c>
      <c r="P6639">
        <v>0.33829419999999999</v>
      </c>
      <c r="Q6639">
        <v>-8.0401E-2</v>
      </c>
      <c r="R6639">
        <v>-0.93759939999999997</v>
      </c>
      <c r="S6639">
        <v>-2.23999E-2</v>
      </c>
      <c r="T6639">
        <v>-6.2320590000000002E-2</v>
      </c>
      <c r="U6639">
        <v>-3.2104490000000001</v>
      </c>
      <c r="V6639">
        <v>0.31485269999999999</v>
      </c>
      <c r="W6639">
        <v>-6.7468769999999997E-2</v>
      </c>
      <c r="X6639">
        <v>0.94673960000000001</v>
      </c>
      <c r="Y6639">
        <v>0.6254632</v>
      </c>
      <c r="Z6639">
        <v>-9.9862270000000003E-3</v>
      </c>
      <c r="AA6639">
        <v>0.78018969999999999</v>
      </c>
      <c r="AB6639">
        <v>20</v>
      </c>
      <c r="AC6639">
        <v>-0.44920000000001797</v>
      </c>
      <c r="AD6639">
        <v>-1.0516564957050001</v>
      </c>
      <c r="AE6639">
        <v>-54.059399999999997</v>
      </c>
      <c r="AF6639">
        <v>33.872550123725702</v>
      </c>
      <c r="AG6639">
        <v>-1.0516564957050001</v>
      </c>
      <c r="AH6639">
        <v>42.107720780074999</v>
      </c>
      <c r="AI6639">
        <v>91.114858701470297</v>
      </c>
      <c r="AJ6639">
        <v>51.185892609630301</v>
      </c>
      <c r="AK6639">
        <v>54.051047932135702</v>
      </c>
      <c r="AL6639">
        <v>93.868614328035605</v>
      </c>
      <c r="AM6639">
        <v>71.604666990250394</v>
      </c>
      <c r="AN6639">
        <v>1.0000000639153701</v>
      </c>
    </row>
    <row r="6640" spans="1:40" x14ac:dyDescent="0.25">
      <c r="A6640" t="str">
        <f>"20190305135055834"</f>
        <v>20190305135055834</v>
      </c>
      <c r="B6640" t="str">
        <f>"1551765055826397"</f>
        <v>1551765055826397</v>
      </c>
      <c r="C6640" t="s">
        <v>40</v>
      </c>
      <c r="D6640">
        <v>4.3200580000000004</v>
      </c>
      <c r="E6640">
        <v>0.64095919999999995</v>
      </c>
      <c r="F6640" t="s">
        <v>42</v>
      </c>
      <c r="G6640">
        <v>-309.95479999999998</v>
      </c>
      <c r="H6640" s="1">
        <v>-4.1123480000000001E-6</v>
      </c>
      <c r="I6640">
        <v>-36.117800000000003</v>
      </c>
      <c r="J6640">
        <v>-309.36509999999998</v>
      </c>
      <c r="K6640">
        <v>1.0518320000000001</v>
      </c>
      <c r="L6640">
        <v>11.326969999999999</v>
      </c>
      <c r="M6640">
        <v>0.61222119999999902</v>
      </c>
      <c r="N6640">
        <v>-2.08081E-2</v>
      </c>
      <c r="O6640">
        <v>-0.79041280000000003</v>
      </c>
      <c r="P6640">
        <v>0.33184669999999999</v>
      </c>
      <c r="Q6640">
        <v>-8.0794530000000003E-2</v>
      </c>
      <c r="R6640">
        <v>-0.93986720000000001</v>
      </c>
      <c r="S6640">
        <v>-3.5034179999999998E-2</v>
      </c>
      <c r="T6640">
        <v>-7.0907830000000005E-2</v>
      </c>
      <c r="U6640">
        <v>-3.206207</v>
      </c>
      <c r="V6640">
        <v>0.31180629999999998</v>
      </c>
      <c r="W6640">
        <v>-6.7744609999999997E-2</v>
      </c>
      <c r="X6640">
        <v>0.9477276</v>
      </c>
      <c r="Y6640">
        <v>0.62064359999999996</v>
      </c>
      <c r="Z6640">
        <v>-8.1148799999999997E-3</v>
      </c>
      <c r="AA6640">
        <v>0.7840509</v>
      </c>
      <c r="AB6640">
        <v>20</v>
      </c>
      <c r="AC6640">
        <v>-0.58969999999999301</v>
      </c>
      <c r="AD6640">
        <v>-1.05183611234799</v>
      </c>
      <c r="AE6640">
        <v>-47.444769999999998</v>
      </c>
      <c r="AF6640">
        <v>29.504690031574398</v>
      </c>
      <c r="AG6640">
        <v>-1.05183611234799</v>
      </c>
      <c r="AH6640">
        <v>37.129720227339497</v>
      </c>
      <c r="AI6640">
        <v>91.270547757463405</v>
      </c>
      <c r="AJ6640">
        <v>51.528008363197699</v>
      </c>
      <c r="AK6640">
        <v>47.436791810018399</v>
      </c>
      <c r="AL6640">
        <v>93.884455082621798</v>
      </c>
      <c r="AM6640">
        <v>71.788580628672506</v>
      </c>
      <c r="AN6640">
        <v>1.0000000523527399</v>
      </c>
    </row>
    <row r="6641" spans="1:40" x14ac:dyDescent="0.25">
      <c r="A6641" t="str">
        <f>"20190305135055847"</f>
        <v>20190305135055847</v>
      </c>
      <c r="B6641" t="str">
        <f>"1551765055836158"</f>
        <v>1551765055836158</v>
      </c>
      <c r="C6641" t="s">
        <v>40</v>
      </c>
      <c r="D6641">
        <v>4.362069</v>
      </c>
      <c r="E6641">
        <v>0.64035109999999995</v>
      </c>
      <c r="F6641" t="s">
        <v>42</v>
      </c>
      <c r="G6641">
        <v>-310.03930000000003</v>
      </c>
      <c r="H6641">
        <v>7.9985429999999996E-2</v>
      </c>
      <c r="I6641">
        <v>-30.67502</v>
      </c>
      <c r="J6641">
        <v>-309.2971</v>
      </c>
      <c r="K6641">
        <v>1.0520080000000001</v>
      </c>
      <c r="L6641">
        <v>11.22073</v>
      </c>
      <c r="M6641">
        <v>0.60445559999999998</v>
      </c>
      <c r="N6641">
        <v>-2.0678200000000001E-2</v>
      </c>
      <c r="O6641">
        <v>-0.79637060000000004</v>
      </c>
      <c r="P6641">
        <v>0.32575989999999999</v>
      </c>
      <c r="Q6641">
        <v>-8.1287129999999999E-2</v>
      </c>
      <c r="R6641">
        <v>-0.94195220000000002</v>
      </c>
      <c r="S6641">
        <v>-5.1422120000000002E-2</v>
      </c>
      <c r="T6641">
        <v>-7.4128390000000002E-2</v>
      </c>
      <c r="U6641">
        <v>-3.203735</v>
      </c>
      <c r="V6641">
        <v>0.30865670000000001</v>
      </c>
      <c r="W6641">
        <v>-6.8126599999999995E-2</v>
      </c>
      <c r="X6641">
        <v>0.94873059999999998</v>
      </c>
      <c r="Y6641">
        <v>0.6169753</v>
      </c>
      <c r="Z6641">
        <v>-7.1927880000000003E-3</v>
      </c>
      <c r="AA6641">
        <v>0.78694960000000003</v>
      </c>
      <c r="AB6641">
        <v>20</v>
      </c>
      <c r="AC6641">
        <v>-0.74220000000002495</v>
      </c>
      <c r="AD6641">
        <v>-0.97202257000000003</v>
      </c>
      <c r="AE6641">
        <v>-41.89575</v>
      </c>
      <c r="AF6641">
        <v>25.906784580140499</v>
      </c>
      <c r="AG6641">
        <v>-0.97202257000000003</v>
      </c>
      <c r="AH6641">
        <v>32.905244415699102</v>
      </c>
      <c r="AI6641">
        <v>91.329586346339696</v>
      </c>
      <c r="AJ6641">
        <v>51.786119459958499</v>
      </c>
      <c r="AK6641">
        <v>41.891066174248799</v>
      </c>
      <c r="AL6641">
        <v>93.906392492951198</v>
      </c>
      <c r="AM6641">
        <v>71.978401601116801</v>
      </c>
      <c r="AN6641">
        <v>0.99999997172940402</v>
      </c>
    </row>
    <row r="6642" spans="1:40" x14ac:dyDescent="0.25">
      <c r="A6642" t="str">
        <f>"20190305135055863"</f>
        <v>20190305135055863</v>
      </c>
      <c r="B6642" t="str">
        <f>"1551765055856653"</f>
        <v>1551765055856653</v>
      </c>
      <c r="C6642" t="s">
        <v>40</v>
      </c>
      <c r="D6642">
        <v>4.3449109999999997</v>
      </c>
      <c r="E6642">
        <v>0.63932659999999997</v>
      </c>
      <c r="F6642" t="s">
        <v>42</v>
      </c>
      <c r="G6642">
        <v>-310.1336</v>
      </c>
      <c r="H6642">
        <v>7.9986180000000004E-2</v>
      </c>
      <c r="I6642">
        <v>-28.223189999999999</v>
      </c>
      <c r="J6642">
        <v>-309.2276</v>
      </c>
      <c r="K6642">
        <v>1.052182</v>
      </c>
      <c r="L6642">
        <v>11.109500000000001</v>
      </c>
      <c r="M6642">
        <v>0.59646199999999905</v>
      </c>
      <c r="N6642">
        <v>-2.0506509999999999E-2</v>
      </c>
      <c r="O6642">
        <v>-0.80237950000000002</v>
      </c>
      <c r="P6642">
        <v>0.32206760000000001</v>
      </c>
      <c r="Q6642">
        <v>-8.1459539999999997E-2</v>
      </c>
      <c r="R6642">
        <v>-0.94320610000000005</v>
      </c>
      <c r="S6642">
        <v>-6.7901610000000001E-2</v>
      </c>
      <c r="T6642">
        <v>-7.8896640000000004E-2</v>
      </c>
      <c r="U6642">
        <v>-3.2015690000000001</v>
      </c>
      <c r="V6642">
        <v>0.302905599999999</v>
      </c>
      <c r="W6642">
        <v>-6.8157690000000007E-2</v>
      </c>
      <c r="X6642">
        <v>0.95058019999999999</v>
      </c>
      <c r="Y6642">
        <v>0.61314930000000001</v>
      </c>
      <c r="Z6642">
        <v>-5.9147189999999997E-3</v>
      </c>
      <c r="AA6642">
        <v>0.78994489999999995</v>
      </c>
      <c r="AB6642">
        <v>20</v>
      </c>
      <c r="AC6642">
        <v>-0.90600000000000602</v>
      </c>
      <c r="AD6642">
        <v>-0.97219582000000004</v>
      </c>
      <c r="AE6642">
        <v>-39.332689999999999</v>
      </c>
      <c r="AF6642">
        <v>24.1777310297181</v>
      </c>
      <c r="AG6642">
        <v>-0.97219582000000004</v>
      </c>
      <c r="AH6642">
        <v>31.0069356993234</v>
      </c>
      <c r="AI6642">
        <v>91.4163943194566</v>
      </c>
      <c r="AJ6642">
        <v>52.054592121717697</v>
      </c>
      <c r="AK6642">
        <v>39.3311314853742</v>
      </c>
      <c r="AL6642">
        <v>93.908177878114302</v>
      </c>
      <c r="AM6642">
        <v>72.325344154037694</v>
      </c>
      <c r="AN6642">
        <v>0.99999999492476799</v>
      </c>
    </row>
    <row r="6643" spans="1:40" x14ac:dyDescent="0.25">
      <c r="A6643" t="str">
        <f>"20190305135055883"</f>
        <v>20190305135055883</v>
      </c>
      <c r="B6643" t="str">
        <f>"1551765055876173"</f>
        <v>1551765055876173</v>
      </c>
      <c r="C6643" t="s">
        <v>40</v>
      </c>
      <c r="D6643">
        <v>4.3357409999999996</v>
      </c>
      <c r="E6643">
        <v>0.62484640000000002</v>
      </c>
      <c r="F6643" t="s">
        <v>42</v>
      </c>
      <c r="G6643">
        <v>-310.07490000000001</v>
      </c>
      <c r="H6643">
        <v>7.9985529999999999E-2</v>
      </c>
      <c r="I6643">
        <v>-25.983139999999999</v>
      </c>
      <c r="J6643">
        <v>-309.1241</v>
      </c>
      <c r="K6643">
        <v>1.0524359999999999</v>
      </c>
      <c r="L6643">
        <v>10.94009</v>
      </c>
      <c r="M6643">
        <v>0.58446049999999905</v>
      </c>
      <c r="N6643">
        <v>-2.0187429999999999E-2</v>
      </c>
      <c r="O6643">
        <v>-0.81117099999999998</v>
      </c>
      <c r="P6643">
        <v>0.31364320000000001</v>
      </c>
      <c r="Q6643">
        <v>-8.1177559999999996E-2</v>
      </c>
      <c r="R6643">
        <v>-0.94606480000000004</v>
      </c>
      <c r="S6643">
        <v>-7.3059079999999998E-2</v>
      </c>
      <c r="T6643">
        <v>-8.382821E-2</v>
      </c>
      <c r="U6643">
        <v>-3.198334</v>
      </c>
      <c r="V6643">
        <v>0.29730620000000002</v>
      </c>
      <c r="W6643">
        <v>-6.7812899999999995E-2</v>
      </c>
      <c r="X6643">
        <v>0.95237090000000002</v>
      </c>
      <c r="Y6643">
        <v>0.60263529999999998</v>
      </c>
      <c r="Z6643">
        <v>-4.2133559999999997E-3</v>
      </c>
      <c r="AA6643">
        <v>0.79800559999999998</v>
      </c>
      <c r="AB6643">
        <v>20</v>
      </c>
      <c r="AC6643">
        <v>-0.95080000000001497</v>
      </c>
      <c r="AD6643">
        <v>-0.97245046999999996</v>
      </c>
      <c r="AE6643">
        <v>-36.923229999999997</v>
      </c>
      <c r="AF6643">
        <v>22.340500667319699</v>
      </c>
      <c r="AG6643">
        <v>-0.97245046999999996</v>
      </c>
      <c r="AH6643">
        <v>29.380973590105999</v>
      </c>
      <c r="AI6643">
        <v>91.509200632354904</v>
      </c>
      <c r="AJ6643">
        <v>52.751619698425202</v>
      </c>
      <c r="AK6643">
        <v>36.922692738824203</v>
      </c>
      <c r="AL6643">
        <v>93.888377233926704</v>
      </c>
      <c r="AM6643">
        <v>72.662951557663106</v>
      </c>
      <c r="AN6643">
        <v>0.99999994856582797</v>
      </c>
    </row>
    <row r="6644" spans="1:40" x14ac:dyDescent="0.25">
      <c r="A6644" t="str">
        <f>"20190305135055906"</f>
        <v>20190305135055906</v>
      </c>
      <c r="B6644" t="str">
        <f>"1551765055896669"</f>
        <v>1551765055896669</v>
      </c>
      <c r="C6644" t="s">
        <v>40</v>
      </c>
      <c r="D6644">
        <v>4.3139620000000001</v>
      </c>
      <c r="E6644">
        <v>0.62274200000000002</v>
      </c>
      <c r="F6644" t="s">
        <v>42</v>
      </c>
      <c r="G6644">
        <v>-309.12979999999999</v>
      </c>
      <c r="H6644" s="1">
        <v>-3.3755410000000002E-6</v>
      </c>
      <c r="I6644">
        <v>-6.9768860000000004</v>
      </c>
      <c r="J6644">
        <v>-309.02249999999998</v>
      </c>
      <c r="K6644">
        <v>1.052665</v>
      </c>
      <c r="L6644">
        <v>10.769170000000001</v>
      </c>
      <c r="M6644">
        <v>0.57262360000000001</v>
      </c>
      <c r="N6644">
        <v>-1.977752E-2</v>
      </c>
      <c r="O6644">
        <v>-0.81957999999999998</v>
      </c>
      <c r="P6644">
        <v>0.30508600000000002</v>
      </c>
      <c r="Q6644">
        <v>-8.104546E-2</v>
      </c>
      <c r="R6644">
        <v>-0.94887030000000006</v>
      </c>
      <c r="S6644">
        <v>-1.00708E-3</v>
      </c>
      <c r="T6644">
        <v>-0.18535270000000001</v>
      </c>
      <c r="U6644">
        <v>-3.1554869999999999</v>
      </c>
      <c r="V6644">
        <v>0.29213119999999998</v>
      </c>
      <c r="W6644">
        <v>-6.7729650000000002E-2</v>
      </c>
      <c r="X6644">
        <v>0.95397699999999996</v>
      </c>
      <c r="Y6644">
        <v>0.57242209999999905</v>
      </c>
      <c r="Z6644">
        <v>1.7757499999999999E-2</v>
      </c>
      <c r="AA6644">
        <v>0.81976680000000002</v>
      </c>
      <c r="AB6644">
        <v>20</v>
      </c>
      <c r="AC6644">
        <v>-0.107300000000009</v>
      </c>
      <c r="AD6644">
        <v>-1.052668375541</v>
      </c>
      <c r="AE6644">
        <v>-17.746055999999999</v>
      </c>
      <c r="AF6644">
        <v>10.2158101547989</v>
      </c>
      <c r="AG6644">
        <v>-1.052668375541</v>
      </c>
      <c r="AH6644">
        <v>14.434911170465</v>
      </c>
      <c r="AI6644">
        <v>93.406572682920199</v>
      </c>
      <c r="AJ6644">
        <v>54.712366228916899</v>
      </c>
      <c r="AK6644">
        <v>17.7154607144994</v>
      </c>
      <c r="AL6644">
        <v>93.883596051466498</v>
      </c>
      <c r="AM6644">
        <v>72.974124584226701</v>
      </c>
      <c r="AN6644">
        <v>1.0000000300157801</v>
      </c>
    </row>
    <row r="6645" spans="1:40" x14ac:dyDescent="0.25">
      <c r="A6645" t="str">
        <f>"20190305135055922"</f>
        <v>20190305135055922</v>
      </c>
      <c r="B6645" t="str">
        <f>"1551765055916189"</f>
        <v>1551765055916189</v>
      </c>
      <c r="C6645" t="s">
        <v>40</v>
      </c>
      <c r="D6645">
        <v>4.363683</v>
      </c>
      <c r="E6645">
        <v>0.62126040000000005</v>
      </c>
      <c r="F6645" t="s">
        <v>42</v>
      </c>
      <c r="G6645">
        <v>-309.09730000000002</v>
      </c>
      <c r="H6645" s="1">
        <v>-2.728501E-6</v>
      </c>
      <c r="I6645">
        <v>-8.64682</v>
      </c>
      <c r="J6645">
        <v>-308.9504</v>
      </c>
      <c r="K6645">
        <v>1.0528280000000001</v>
      </c>
      <c r="L6645">
        <v>10.644679999999999</v>
      </c>
      <c r="M6645">
        <v>0.56421330000000003</v>
      </c>
      <c r="N6645">
        <v>-1.943597E-2</v>
      </c>
      <c r="O6645">
        <v>-0.82540020000000003</v>
      </c>
      <c r="P6645">
        <v>0.2981357</v>
      </c>
      <c r="Q6645">
        <v>-8.0889520000000006E-2</v>
      </c>
      <c r="R6645">
        <v>-0.95108999999999999</v>
      </c>
      <c r="S6645">
        <v>-1.2146000000000001E-2</v>
      </c>
      <c r="T6645">
        <v>-0.17083480000000001</v>
      </c>
      <c r="U6645">
        <v>-3.15097</v>
      </c>
      <c r="V6645">
        <v>0.2893944</v>
      </c>
      <c r="W6645">
        <v>-6.7682010000000001E-2</v>
      </c>
      <c r="X6645">
        <v>0.9548141</v>
      </c>
      <c r="Y6645">
        <v>0.56698329999999997</v>
      </c>
      <c r="Z6645">
        <v>1.5761399999999998E-2</v>
      </c>
      <c r="AA6645">
        <v>0.82357849999999999</v>
      </c>
      <c r="AB6645">
        <v>20</v>
      </c>
      <c r="AC6645">
        <v>-0.14690000000001599</v>
      </c>
      <c r="AD6645">
        <v>-1.0528307285009999</v>
      </c>
      <c r="AE6645">
        <v>-19.291499999999999</v>
      </c>
      <c r="AF6645">
        <v>10.975165392705399</v>
      </c>
      <c r="AG6645">
        <v>-1.0528307285009999</v>
      </c>
      <c r="AH6645">
        <v>15.796273481863199</v>
      </c>
      <c r="AI6645">
        <v>93.133004029583404</v>
      </c>
      <c r="AJ6645">
        <v>55.208636059468802</v>
      </c>
      <c r="AK6645">
        <v>19.263565709751902</v>
      </c>
      <c r="AL6645">
        <v>93.880860438361196</v>
      </c>
      <c r="AM6645">
        <v>73.138479866534794</v>
      </c>
      <c r="AN6645">
        <v>0.99999996939390401</v>
      </c>
    </row>
    <row r="6646" spans="1:40" x14ac:dyDescent="0.25">
      <c r="A6646" t="str">
        <f>"20190305135055939"</f>
        <v>20190305135055939</v>
      </c>
      <c r="B6646" t="str">
        <f>"1551765055936685"</f>
        <v>1551765055936685</v>
      </c>
      <c r="C6646" t="s">
        <v>40</v>
      </c>
      <c r="D6646">
        <v>4.2938390000000002</v>
      </c>
      <c r="E6646">
        <v>0.62039549999999999</v>
      </c>
      <c r="F6646" t="s">
        <v>42</v>
      </c>
      <c r="G6646">
        <v>-309.10149999999999</v>
      </c>
      <c r="H6646" s="1">
        <v>-2.310869E-6</v>
      </c>
      <c r="I6646">
        <v>-9.6970939999999999</v>
      </c>
      <c r="J6646">
        <v>-308.87090000000001</v>
      </c>
      <c r="K6646">
        <v>1.053005</v>
      </c>
      <c r="L6646">
        <v>10.50461</v>
      </c>
      <c r="M6646">
        <v>0.55492719999999995</v>
      </c>
      <c r="N6646">
        <v>-1.9041780000000001E-2</v>
      </c>
      <c r="O6646">
        <v>-0.83168109999999995</v>
      </c>
      <c r="P6646">
        <v>0.29217700000000002</v>
      </c>
      <c r="Q6646">
        <v>-8.0779749999999997E-2</v>
      </c>
      <c r="R6646">
        <v>-0.95294639999999997</v>
      </c>
      <c r="S6646">
        <v>-2.3376460000000002E-2</v>
      </c>
      <c r="T6646">
        <v>-0.16291900000000001</v>
      </c>
      <c r="U6646">
        <v>-3.1477659999999998</v>
      </c>
      <c r="V6646">
        <v>0.2847093</v>
      </c>
      <c r="W6646">
        <v>-6.7666309999999993E-2</v>
      </c>
      <c r="X6646">
        <v>0.95622269999999998</v>
      </c>
      <c r="Y6646">
        <v>0.560716199999999</v>
      </c>
      <c r="Z6646">
        <v>1.513274E-2</v>
      </c>
      <c r="AA6646">
        <v>0.82786979999999999</v>
      </c>
      <c r="AB6646">
        <v>20</v>
      </c>
      <c r="AC6646">
        <v>-0.23059999999998099</v>
      </c>
      <c r="AD6646">
        <v>-1.0530073108689999</v>
      </c>
      <c r="AE6646">
        <v>-20.201703999999999</v>
      </c>
      <c r="AF6646">
        <v>11.3734296890363</v>
      </c>
      <c r="AG6646">
        <v>-1.0530073108689999</v>
      </c>
      <c r="AH6646">
        <v>16.631249903331401</v>
      </c>
      <c r="AI6646">
        <v>92.991720348737203</v>
      </c>
      <c r="AJ6646">
        <v>55.633376747413003</v>
      </c>
      <c r="AK6646">
        <v>20.1757825284487</v>
      </c>
      <c r="AL6646">
        <v>93.879958772795305</v>
      </c>
      <c r="AM6646">
        <v>73.419430716760601</v>
      </c>
      <c r="AN6646">
        <v>0.99999998350539698</v>
      </c>
    </row>
    <row r="6647" spans="1:40" x14ac:dyDescent="0.25">
      <c r="A6647" t="str">
        <f>"20190305135055957"</f>
        <v>20190305135055957</v>
      </c>
      <c r="B6647" t="str">
        <f>"1551765055946445"</f>
        <v>1551765055946445</v>
      </c>
      <c r="C6647" t="s">
        <v>40</v>
      </c>
      <c r="D6647">
        <v>4.290368</v>
      </c>
      <c r="E6647">
        <v>0.61979139999999999</v>
      </c>
      <c r="F6647" t="s">
        <v>42</v>
      </c>
      <c r="G6647">
        <v>-309.1087</v>
      </c>
      <c r="H6647" s="1">
        <v>-2.1978759999999999E-6</v>
      </c>
      <c r="I6647">
        <v>-9.9401960000000003</v>
      </c>
      <c r="J6647">
        <v>-308.79579999999999</v>
      </c>
      <c r="K6647">
        <v>1.053194</v>
      </c>
      <c r="L6647">
        <v>10.3696</v>
      </c>
      <c r="M6647">
        <v>0.54615469999999999</v>
      </c>
      <c r="N6647">
        <v>-1.8670019999999999E-2</v>
      </c>
      <c r="O6647">
        <v>-0.83747629999999995</v>
      </c>
      <c r="P6647">
        <v>0.28444419999999998</v>
      </c>
      <c r="Q6647">
        <v>-8.1178159999999999E-2</v>
      </c>
      <c r="R6647">
        <v>-0.95524940000000003</v>
      </c>
      <c r="S6647">
        <v>-3.6590579999999998E-2</v>
      </c>
      <c r="T6647">
        <v>-0.16201360000000001</v>
      </c>
      <c r="U6647">
        <v>-3.1455989999999998</v>
      </c>
      <c r="V6647">
        <v>0.2824139</v>
      </c>
      <c r="W6647">
        <v>-6.8204909999999994E-2</v>
      </c>
      <c r="X6647">
        <v>0.95686499999999997</v>
      </c>
      <c r="Y6647">
        <v>0.55550089999999996</v>
      </c>
      <c r="Z6647">
        <v>1.5847480000000001E-2</v>
      </c>
      <c r="AA6647">
        <v>0.83136489999999996</v>
      </c>
      <c r="AB6647">
        <v>20</v>
      </c>
      <c r="AC6647">
        <v>-0.312900000000013</v>
      </c>
      <c r="AD6647">
        <v>-1.0531961978760001</v>
      </c>
      <c r="AE6647">
        <v>-20.309795999999999</v>
      </c>
      <c r="AF6647">
        <v>11.3258666377822</v>
      </c>
      <c r="AG6647">
        <v>-1.0531961978760001</v>
      </c>
      <c r="AH6647">
        <v>16.7958606437948</v>
      </c>
      <c r="AI6647">
        <v>92.9761170261785</v>
      </c>
      <c r="AJ6647">
        <v>56.007232333716203</v>
      </c>
      <c r="AK6647">
        <v>20.2851032063882</v>
      </c>
      <c r="AL6647">
        <v>93.910889383906394</v>
      </c>
      <c r="AM6647">
        <v>73.556299425673004</v>
      </c>
      <c r="AN6647">
        <v>1.0000000744431501</v>
      </c>
    </row>
    <row r="6648" spans="1:40" x14ac:dyDescent="0.25">
      <c r="A6648" t="str">
        <f>"20190305135055973"</f>
        <v>20190305135055973</v>
      </c>
      <c r="B6648" t="str">
        <f>"1551765055966941"</f>
        <v>1551765055966941</v>
      </c>
      <c r="C6648" t="s">
        <v>40</v>
      </c>
      <c r="D6648">
        <v>4.279738</v>
      </c>
      <c r="E6648">
        <v>0.61882389999999998</v>
      </c>
      <c r="F6648" t="s">
        <v>42</v>
      </c>
      <c r="G6648">
        <v>-309.17520000000002</v>
      </c>
      <c r="H6648" s="1">
        <v>-5.8553800000000002E-6</v>
      </c>
      <c r="I6648">
        <v>-10.58947</v>
      </c>
      <c r="J6648">
        <v>-308.72089999999997</v>
      </c>
      <c r="K6648">
        <v>1.0533920000000001</v>
      </c>
      <c r="L6648">
        <v>10.2323</v>
      </c>
      <c r="M6648">
        <v>0.53739300000000001</v>
      </c>
      <c r="N6648">
        <v>-1.8310940000000001E-2</v>
      </c>
      <c r="O6648">
        <v>-0.84313320000000003</v>
      </c>
      <c r="P6648">
        <v>0.27889199999999997</v>
      </c>
      <c r="Q6648">
        <v>-8.1949569999999999E-2</v>
      </c>
      <c r="R6648">
        <v>-0.95681959999999999</v>
      </c>
      <c r="S6648">
        <v>-5.6915279999999999E-2</v>
      </c>
      <c r="T6648">
        <v>-0.15798909999999999</v>
      </c>
      <c r="U6648">
        <v>-3.1440429999999999</v>
      </c>
      <c r="V6648">
        <v>0.27797820000000001</v>
      </c>
      <c r="W6648">
        <v>-6.9064449999999999E-2</v>
      </c>
      <c r="X6648">
        <v>0.95810139999999999</v>
      </c>
      <c r="Y6648">
        <v>0.55222689999999997</v>
      </c>
      <c r="Z6648">
        <v>1.5804800000000001E-2</v>
      </c>
      <c r="AA6648">
        <v>0.83354399999999995</v>
      </c>
      <c r="AB6648">
        <v>20</v>
      </c>
      <c r="AC6648">
        <v>-0.454300000000046</v>
      </c>
      <c r="AD6648">
        <v>-1.0533978553799901</v>
      </c>
      <c r="AE6648">
        <v>-20.821770000000001</v>
      </c>
      <c r="AF6648">
        <v>11.544913959682701</v>
      </c>
      <c r="AG6648">
        <v>-1.0533978553799901</v>
      </c>
      <c r="AH6648">
        <v>17.270108549402298</v>
      </c>
      <c r="AI6648">
        <v>92.902898538492593</v>
      </c>
      <c r="AJ6648">
        <v>56.2376246370643</v>
      </c>
      <c r="AK6648">
        <v>20.800272466636901</v>
      </c>
      <c r="AL6648">
        <v>93.960253959550101</v>
      </c>
      <c r="AM6648">
        <v>73.820736675494899</v>
      </c>
      <c r="AN6648">
        <v>1.0000000353055001</v>
      </c>
    </row>
    <row r="6649" spans="1:40" x14ac:dyDescent="0.25">
      <c r="A6649" t="str">
        <f>"20190305135055995"</f>
        <v>20190305135055995</v>
      </c>
      <c r="B6649" t="str">
        <f>"1551765055986461"</f>
        <v>1551765055986461</v>
      </c>
      <c r="C6649" t="s">
        <v>40</v>
      </c>
      <c r="D6649">
        <v>4.2840949999999998</v>
      </c>
      <c r="E6649">
        <v>0.61784530000000004</v>
      </c>
      <c r="F6649" t="s">
        <v>42</v>
      </c>
      <c r="G6649">
        <v>-309.17680000000001</v>
      </c>
      <c r="H6649" s="1">
        <v>-5.6975790000000004E-6</v>
      </c>
      <c r="I6649">
        <v>-11.05401</v>
      </c>
      <c r="J6649">
        <v>-308.63049999999998</v>
      </c>
      <c r="K6649">
        <v>1.0536160000000001</v>
      </c>
      <c r="L6649">
        <v>10.06259</v>
      </c>
      <c r="M6649">
        <v>0.52679219999999904</v>
      </c>
      <c r="N6649">
        <v>-1.789731E-2</v>
      </c>
      <c r="O6649">
        <v>-0.84980579999999994</v>
      </c>
      <c r="P6649">
        <v>0.27169270000000001</v>
      </c>
      <c r="Q6649">
        <v>-8.1300129999999998E-2</v>
      </c>
      <c r="R6649">
        <v>-0.95894380000000001</v>
      </c>
      <c r="S6649">
        <v>-6.7291260000000006E-2</v>
      </c>
      <c r="T6649">
        <v>-0.15547320000000001</v>
      </c>
      <c r="U6649">
        <v>-3.1416930000000001</v>
      </c>
      <c r="V6649">
        <v>0.27325630000000001</v>
      </c>
      <c r="W6649">
        <v>-6.8536799999999995E-2</v>
      </c>
      <c r="X6649">
        <v>0.95949660000000003</v>
      </c>
      <c r="Y6649">
        <v>0.54454990000000003</v>
      </c>
      <c r="Z6649">
        <v>1.6301969999999999E-2</v>
      </c>
      <c r="AA6649">
        <v>0.83857000000000004</v>
      </c>
      <c r="AB6649">
        <v>20</v>
      </c>
      <c r="AC6649">
        <v>-0.54630000000002998</v>
      </c>
      <c r="AD6649">
        <v>-1.05362169757899</v>
      </c>
      <c r="AE6649">
        <v>-21.116599999999998</v>
      </c>
      <c r="AF6649">
        <v>11.5614006474063</v>
      </c>
      <c r="AG6649">
        <v>-1.05362169757899</v>
      </c>
      <c r="AH6649">
        <v>17.616221930675302</v>
      </c>
      <c r="AI6649">
        <v>92.862566810115894</v>
      </c>
      <c r="AJ6649">
        <v>56.723395634112499</v>
      </c>
      <c r="AK6649">
        <v>21.097568076019101</v>
      </c>
      <c r="AL6649">
        <v>93.929950126939005</v>
      </c>
      <c r="AM6649">
        <v>74.103507132017199</v>
      </c>
      <c r="AN6649">
        <v>1.0000000119277399</v>
      </c>
    </row>
    <row r="6650" spans="1:40" x14ac:dyDescent="0.25">
      <c r="A6650" t="str">
        <f>"20190305135056017"</f>
        <v>20190305135056017</v>
      </c>
      <c r="B6650" t="str">
        <f>"1551765056006957"</f>
        <v>1551765056006957</v>
      </c>
      <c r="C6650" t="s">
        <v>40</v>
      </c>
      <c r="D6650">
        <v>4.3090060000000001</v>
      </c>
      <c r="E6650">
        <v>0.61646529999999999</v>
      </c>
      <c r="F6650" t="s">
        <v>42</v>
      </c>
      <c r="G6650">
        <v>-309.22120000000001</v>
      </c>
      <c r="H6650" s="1">
        <v>-5.2889279999999901E-6</v>
      </c>
      <c r="I6650">
        <v>-12.277979999999999</v>
      </c>
      <c r="J6650">
        <v>-308.5367</v>
      </c>
      <c r="K6650">
        <v>1.05382</v>
      </c>
      <c r="L6650">
        <v>9.8817749999999993</v>
      </c>
      <c r="M6650">
        <v>0.51575990000000005</v>
      </c>
      <c r="N6650">
        <v>-1.7489029999999999E-2</v>
      </c>
      <c r="O6650">
        <v>-0.85655479999999995</v>
      </c>
      <c r="P6650">
        <v>0.26459929999999998</v>
      </c>
      <c r="Q6650">
        <v>-8.0139589999999997E-2</v>
      </c>
      <c r="R6650">
        <v>-0.96102299999999996</v>
      </c>
      <c r="S6650">
        <v>-8.3007810000000001E-2</v>
      </c>
      <c r="T6650">
        <v>-0.14805979999999999</v>
      </c>
      <c r="U6650">
        <v>-3.1394039999999999</v>
      </c>
      <c r="V6650">
        <v>0.26803929999999998</v>
      </c>
      <c r="W6650">
        <v>-6.7508899999999997E-2</v>
      </c>
      <c r="X6650">
        <v>0.9610398</v>
      </c>
      <c r="Y6650">
        <v>0.53792980000000001</v>
      </c>
      <c r="Z6650">
        <v>1.5652329999999999E-2</v>
      </c>
      <c r="AA6650">
        <v>0.84284429999999999</v>
      </c>
      <c r="AB6650">
        <v>20</v>
      </c>
      <c r="AC6650">
        <v>-0.68450000000001399</v>
      </c>
      <c r="AD6650">
        <v>-1.053825288928</v>
      </c>
      <c r="AE6650">
        <v>-22.159755000000001</v>
      </c>
      <c r="AF6650">
        <v>11.990170569860799</v>
      </c>
      <c r="AG6650">
        <v>-1.053825288928</v>
      </c>
      <c r="AH6650">
        <v>18.588854215319898</v>
      </c>
      <c r="AI6650">
        <v>92.727539829746902</v>
      </c>
      <c r="AJ6650">
        <v>57.177201186286702</v>
      </c>
      <c r="AK6650">
        <v>22.145433819917699</v>
      </c>
      <c r="AL6650">
        <v>93.870919080292495</v>
      </c>
      <c r="AM6650">
        <v>74.415920453422302</v>
      </c>
      <c r="AN6650">
        <v>1.00000000755387</v>
      </c>
    </row>
    <row r="6651" spans="1:40" x14ac:dyDescent="0.25">
      <c r="A6651" t="str">
        <f>"20190305135056042"</f>
        <v>20190305135056042</v>
      </c>
      <c r="B6651" t="str">
        <f>"1551765056036237"</f>
        <v>1551765056036237</v>
      </c>
      <c r="C6651" t="s">
        <v>40</v>
      </c>
      <c r="D6651">
        <v>4.2596800000000004</v>
      </c>
      <c r="E6651">
        <v>0.6146914</v>
      </c>
      <c r="F6651" t="s">
        <v>42</v>
      </c>
      <c r="G6651">
        <v>-309.22609999999997</v>
      </c>
      <c r="H6651" s="1">
        <v>-5.1452719999999998E-6</v>
      </c>
      <c r="I6651">
        <v>-12.7027</v>
      </c>
      <c r="J6651">
        <v>-308.43979999999999</v>
      </c>
      <c r="K6651">
        <v>1.053993</v>
      </c>
      <c r="L6651">
        <v>9.6900940000000002</v>
      </c>
      <c r="M6651">
        <v>0.50437019999999999</v>
      </c>
      <c r="N6651">
        <v>-1.7091450000000001E-2</v>
      </c>
      <c r="O6651">
        <v>-0.86331840000000004</v>
      </c>
      <c r="P6651">
        <v>0.25706089999999998</v>
      </c>
      <c r="Q6651">
        <v>-7.9201259999999996E-2</v>
      </c>
      <c r="R6651">
        <v>-0.96314469999999996</v>
      </c>
      <c r="S6651">
        <v>-9.5733639999999995E-2</v>
      </c>
      <c r="T6651">
        <v>-0.1463227</v>
      </c>
      <c r="U6651">
        <v>-3.135834</v>
      </c>
      <c r="V6651">
        <v>0.26292130000000002</v>
      </c>
      <c r="W6651">
        <v>-6.6719520000000004E-2</v>
      </c>
      <c r="X6651">
        <v>0.96250760000000002</v>
      </c>
      <c r="Y6651">
        <v>0.53020429999999996</v>
      </c>
      <c r="Z6651">
        <v>1.626673E-2</v>
      </c>
      <c r="AA6651">
        <v>0.84771390000000002</v>
      </c>
      <c r="AB6651">
        <v>20</v>
      </c>
      <c r="AC6651">
        <v>-0.78629999999998201</v>
      </c>
      <c r="AD6651">
        <v>-1.053998145272</v>
      </c>
      <c r="AE6651">
        <v>-22.392793999999999</v>
      </c>
      <c r="AF6651">
        <v>11.948395403165399</v>
      </c>
      <c r="AG6651">
        <v>-1.053998145272</v>
      </c>
      <c r="AH6651">
        <v>18.896477625912699</v>
      </c>
      <c r="AI6651">
        <v>92.6991380493496</v>
      </c>
      <c r="AJ6651">
        <v>57.694501901433199</v>
      </c>
      <c r="AK6651">
        <v>22.381955488009499</v>
      </c>
      <c r="AL6651">
        <v>93.8255887894734</v>
      </c>
      <c r="AM6651">
        <v>74.721655962734303</v>
      </c>
      <c r="AN6651">
        <v>0.99999999220024005</v>
      </c>
    </row>
    <row r="6652" spans="1:40" x14ac:dyDescent="0.25">
      <c r="A6652" t="str">
        <f>"20190305135056063"</f>
        <v>20190305135056063</v>
      </c>
      <c r="B6652" t="str">
        <f>"1551765056056732"</f>
        <v>1551765056056732</v>
      </c>
      <c r="C6652" t="s">
        <v>40</v>
      </c>
      <c r="D6652">
        <v>4.2428249999999998</v>
      </c>
      <c r="E6652">
        <v>0.613444199999999</v>
      </c>
      <c r="F6652" t="s">
        <v>42</v>
      </c>
      <c r="G6652">
        <v>-309.2287</v>
      </c>
      <c r="H6652" s="1">
        <v>-4.8811139999999997E-6</v>
      </c>
      <c r="I6652">
        <v>-13.4803</v>
      </c>
      <c r="J6652">
        <v>-308.3553</v>
      </c>
      <c r="K6652">
        <v>1.054152</v>
      </c>
      <c r="L6652">
        <v>9.518402</v>
      </c>
      <c r="M6652">
        <v>0.4944557</v>
      </c>
      <c r="N6652">
        <v>-1.6766449999999999E-2</v>
      </c>
      <c r="O6652">
        <v>-0.86904119999999996</v>
      </c>
      <c r="P6652">
        <v>0.25123879999999998</v>
      </c>
      <c r="Q6652">
        <v>-7.8534980000000004E-2</v>
      </c>
      <c r="R6652">
        <v>-0.96473379999999997</v>
      </c>
      <c r="S6652">
        <v>-0.106628399999999</v>
      </c>
      <c r="T6652">
        <v>-0.1424502</v>
      </c>
      <c r="U6652">
        <v>-3.1315309999999998</v>
      </c>
      <c r="V6652">
        <v>0.2577778</v>
      </c>
      <c r="W6652">
        <v>-6.6158759999999997E-2</v>
      </c>
      <c r="X6652">
        <v>0.96393660000000003</v>
      </c>
      <c r="Y6652">
        <v>0.52348509999999904</v>
      </c>
      <c r="Z6652">
        <v>1.6222259999999999E-2</v>
      </c>
      <c r="AA6652">
        <v>0.85188039999999998</v>
      </c>
      <c r="AB6652">
        <v>20</v>
      </c>
      <c r="AC6652">
        <v>-0.87340000000000295</v>
      </c>
      <c r="AD6652">
        <v>-1.0541568811139901</v>
      </c>
      <c r="AE6652">
        <v>-22.998701999999899</v>
      </c>
      <c r="AF6652">
        <v>12.107165120248901</v>
      </c>
      <c r="AG6652">
        <v>-1.0541568811139901</v>
      </c>
      <c r="AH6652">
        <v>19.516765991530001</v>
      </c>
      <c r="AI6652">
        <v>92.627949753728799</v>
      </c>
      <c r="AJ6652">
        <v>58.186732692394799</v>
      </c>
      <c r="AK6652">
        <v>22.991277666696</v>
      </c>
      <c r="AL6652">
        <v>93.793388156044102</v>
      </c>
      <c r="AM6652">
        <v>75.028189166922303</v>
      </c>
      <c r="AN6652">
        <v>1.00000007225856</v>
      </c>
    </row>
    <row r="6653" spans="1:40" x14ac:dyDescent="0.25">
      <c r="A6653" t="str">
        <f>"20190305135056085"</f>
        <v>20190305135056085</v>
      </c>
      <c r="B6653" t="str">
        <f>"1551765056076253"</f>
        <v>1551765056076253</v>
      </c>
      <c r="C6653" t="s">
        <v>40</v>
      </c>
      <c r="D6653">
        <v>4.2414339999999999</v>
      </c>
      <c r="E6653">
        <v>0.61237750000000002</v>
      </c>
      <c r="F6653" t="s">
        <v>42</v>
      </c>
      <c r="G6653">
        <v>-309.21980000000002</v>
      </c>
      <c r="H6653" s="1">
        <v>-4.788624E-6</v>
      </c>
      <c r="I6653">
        <v>-13.74742</v>
      </c>
      <c r="J6653">
        <v>-308.26920000000001</v>
      </c>
      <c r="K6653">
        <v>1.0543359999999999</v>
      </c>
      <c r="L6653">
        <v>9.3390810000000002</v>
      </c>
      <c r="M6653">
        <v>0.48439520000000003</v>
      </c>
      <c r="N6653">
        <v>-1.645576E-2</v>
      </c>
      <c r="O6653">
        <v>-0.87469459999999999</v>
      </c>
      <c r="P6653">
        <v>0.24532090000000001</v>
      </c>
      <c r="Q6653">
        <v>-7.8266920000000004E-2</v>
      </c>
      <c r="R6653">
        <v>-0.96627770000000002</v>
      </c>
      <c r="S6653">
        <v>-0.1162415</v>
      </c>
      <c r="T6653">
        <v>-0.14174629999999999</v>
      </c>
      <c r="U6653">
        <v>-3.1284179999999999</v>
      </c>
      <c r="V6653">
        <v>0.25260450000000001</v>
      </c>
      <c r="W6653">
        <v>-6.5974749999999999E-2</v>
      </c>
      <c r="X6653">
        <v>0.96531769999999995</v>
      </c>
      <c r="Y6653">
        <v>0.51629150000000001</v>
      </c>
      <c r="Z6653">
        <v>1.6875040000000001E-2</v>
      </c>
      <c r="AA6653">
        <v>0.85624669999999903</v>
      </c>
      <c r="AB6653">
        <v>20</v>
      </c>
      <c r="AC6653">
        <v>-0.95060000000000799</v>
      </c>
      <c r="AD6653">
        <v>-1.0543407886239999</v>
      </c>
      <c r="AE6653">
        <v>-23.086500999999998</v>
      </c>
      <c r="AF6653">
        <v>11.991133897516001</v>
      </c>
      <c r="AG6653">
        <v>-1.0543407886239999</v>
      </c>
      <c r="AH6653">
        <v>19.694835164307801</v>
      </c>
      <c r="AI6653">
        <v>92.618053984299607</v>
      </c>
      <c r="AJ6653">
        <v>58.664996008122301</v>
      </c>
      <c r="AK6653">
        <v>23.0821458880229</v>
      </c>
      <c r="AL6653">
        <v>93.782822419529396</v>
      </c>
      <c r="AM6653">
        <v>75.335649664298103</v>
      </c>
      <c r="AN6653">
        <v>0.99999998149555103</v>
      </c>
    </row>
    <row r="6654" spans="1:40" x14ac:dyDescent="0.25">
      <c r="A6654" t="str">
        <f>"20190305135056107"</f>
        <v>20190305135056107</v>
      </c>
      <c r="B6654" t="str">
        <f>"1551765056096749"</f>
        <v>1551765056096749</v>
      </c>
      <c r="C6654" t="s">
        <v>40</v>
      </c>
      <c r="D6654">
        <v>4.2500280000000004</v>
      </c>
      <c r="E6654">
        <v>0.61134730000000004</v>
      </c>
      <c r="F6654" t="s">
        <v>42</v>
      </c>
      <c r="G6654">
        <v>-309.23360000000002</v>
      </c>
      <c r="H6654" s="1">
        <v>-4.5516319999999998E-6</v>
      </c>
      <c r="I6654">
        <v>-14.45102</v>
      </c>
      <c r="J6654">
        <v>-308.18680000000001</v>
      </c>
      <c r="K6654">
        <v>1.0545389999999999</v>
      </c>
      <c r="L6654">
        <v>9.1633910000000007</v>
      </c>
      <c r="M6654">
        <v>0.47484199999999999</v>
      </c>
      <c r="N6654">
        <v>-1.6176920000000001E-2</v>
      </c>
      <c r="O6654">
        <v>-0.8799226</v>
      </c>
      <c r="P6654">
        <v>0.24023929999999999</v>
      </c>
      <c r="Q6654">
        <v>-7.7782530000000003E-2</v>
      </c>
      <c r="R6654">
        <v>-0.96759269999999997</v>
      </c>
      <c r="S6654">
        <v>-0.12670899999999999</v>
      </c>
      <c r="T6654">
        <v>-0.1385236</v>
      </c>
      <c r="U6654">
        <v>-3.1256409999999999</v>
      </c>
      <c r="V6654">
        <v>0.247223</v>
      </c>
      <c r="W6654">
        <v>-6.5530840000000007E-2</v>
      </c>
      <c r="X6654">
        <v>0.96674009999999999</v>
      </c>
      <c r="Y6654">
        <v>0.50985970000000003</v>
      </c>
      <c r="Z6654">
        <v>1.6843739999999999E-2</v>
      </c>
      <c r="AA6654">
        <v>0.86009259999999998</v>
      </c>
      <c r="AB6654">
        <v>20</v>
      </c>
      <c r="AC6654">
        <v>-1.0468000000000099</v>
      </c>
      <c r="AD6654">
        <v>-1.0545435516320001</v>
      </c>
      <c r="AE6654">
        <v>-23.614411</v>
      </c>
      <c r="AF6654">
        <v>12.111696615149199</v>
      </c>
      <c r="AG6654">
        <v>-1.0545435516320001</v>
      </c>
      <c r="AH6654">
        <v>20.2441473148554</v>
      </c>
      <c r="AI6654">
        <v>92.559518351992494</v>
      </c>
      <c r="AJ6654">
        <v>59.108702075738101</v>
      </c>
      <c r="AK6654">
        <v>23.6142066880358</v>
      </c>
      <c r="AL6654">
        <v>93.757333162987607</v>
      </c>
      <c r="AM6654">
        <v>75.655263207876004</v>
      </c>
      <c r="AN6654">
        <v>0.99999996183405704</v>
      </c>
    </row>
    <row r="6655" spans="1:40" x14ac:dyDescent="0.25">
      <c r="A6655" t="str">
        <f>"20190305135056129"</f>
        <v>20190305135056129</v>
      </c>
      <c r="B6655" t="str">
        <f>"1551765056126029"</f>
        <v>1551765056126029</v>
      </c>
      <c r="C6655" t="s">
        <v>40</v>
      </c>
      <c r="D6655">
        <v>4.300122</v>
      </c>
      <c r="E6655">
        <v>0.61036290000000004</v>
      </c>
      <c r="F6655" t="s">
        <v>42</v>
      </c>
      <c r="G6655">
        <v>-309.23989999999998</v>
      </c>
      <c r="H6655" s="1">
        <v>-4.3060349999999998E-6</v>
      </c>
      <c r="I6655">
        <v>-15.175999999999901</v>
      </c>
      <c r="J6655">
        <v>-308.10379999999998</v>
      </c>
      <c r="K6655">
        <v>1.0547799999999901</v>
      </c>
      <c r="L6655">
        <v>8.9824219999999997</v>
      </c>
      <c r="M6655">
        <v>0.46532449999999997</v>
      </c>
      <c r="N6655">
        <v>-1.5913719999999999E-2</v>
      </c>
      <c r="O6655">
        <v>-0.88499709999999998</v>
      </c>
      <c r="P6655">
        <v>0.2385246</v>
      </c>
      <c r="Q6655">
        <v>-7.6976580000000003E-2</v>
      </c>
      <c r="R6655">
        <v>-0.96808110000000003</v>
      </c>
      <c r="S6655">
        <v>-0.1351318</v>
      </c>
      <c r="T6655">
        <v>-0.1353164</v>
      </c>
      <c r="U6655">
        <v>-3.1231689999999999</v>
      </c>
      <c r="V6655">
        <v>0.23858579999999999</v>
      </c>
      <c r="W6655">
        <v>-6.4680139999999997E-2</v>
      </c>
      <c r="X6655">
        <v>0.96896510000000002</v>
      </c>
      <c r="Y6655">
        <v>0.5029247</v>
      </c>
      <c r="Z6655">
        <v>1.6776010000000001E-2</v>
      </c>
      <c r="AA6655">
        <v>0.86416749999999998</v>
      </c>
      <c r="AB6655">
        <v>20</v>
      </c>
      <c r="AC6655">
        <v>-1.1360999999999899</v>
      </c>
      <c r="AD6655">
        <v>-1.05478430603499</v>
      </c>
      <c r="AE6655">
        <v>-24.158422000000002</v>
      </c>
      <c r="AF6655">
        <v>12.225248355153299</v>
      </c>
      <c r="AG6655">
        <v>-1.05478430603499</v>
      </c>
      <c r="AH6655">
        <v>20.814527909327701</v>
      </c>
      <c r="AI6655">
        <v>92.501999013034506</v>
      </c>
      <c r="AJ6655">
        <v>59.572490689298697</v>
      </c>
      <c r="AK6655">
        <v>24.162239949260002</v>
      </c>
      <c r="AL6655">
        <v>93.708487738710701</v>
      </c>
      <c r="AM6655">
        <v>76.167373152850899</v>
      </c>
      <c r="AN6655">
        <v>1.00000003474503</v>
      </c>
    </row>
    <row r="6656" spans="1:40" x14ac:dyDescent="0.25">
      <c r="A6656" t="str">
        <f>"20190305135056152"</f>
        <v>20190305135056152</v>
      </c>
      <c r="B6656" t="str">
        <f>"1551765056146525"</f>
        <v>1551765056146525</v>
      </c>
      <c r="C6656" t="s">
        <v>40</v>
      </c>
      <c r="D6656">
        <v>4.2022740000000001</v>
      </c>
      <c r="E6656">
        <v>0.60827019999999998</v>
      </c>
      <c r="F6656" t="s">
        <v>42</v>
      </c>
      <c r="G6656">
        <v>-309.16419999999999</v>
      </c>
      <c r="H6656" s="1">
        <v>-4.0644259999999999E-6</v>
      </c>
      <c r="I6656">
        <v>-15.84651</v>
      </c>
      <c r="J6656">
        <v>-308.0204</v>
      </c>
      <c r="K6656">
        <v>1.05505</v>
      </c>
      <c r="L6656">
        <v>8.7962340000000001</v>
      </c>
      <c r="M6656">
        <v>0.45593689999999998</v>
      </c>
      <c r="N6656">
        <v>-1.5668370000000001E-2</v>
      </c>
      <c r="O6656">
        <v>-0.88987439999999995</v>
      </c>
      <c r="P6656">
        <v>0.2349234</v>
      </c>
      <c r="Q6656">
        <v>-7.6915720000000007E-2</v>
      </c>
      <c r="R6656">
        <v>-0.9689662</v>
      </c>
      <c r="S6656">
        <v>-0.133300799999999</v>
      </c>
      <c r="T6656">
        <v>-0.13259570000000001</v>
      </c>
      <c r="U6656">
        <v>-3.121216</v>
      </c>
      <c r="V6656">
        <v>0.2319831</v>
      </c>
      <c r="W6656">
        <v>-6.4587989999999998E-2</v>
      </c>
      <c r="X6656">
        <v>0.97057309999999997</v>
      </c>
      <c r="Y6656">
        <v>0.49328430000000001</v>
      </c>
      <c r="Z6656">
        <v>1.6820060000000001E-2</v>
      </c>
      <c r="AA6656">
        <v>0.86970550000000002</v>
      </c>
      <c r="AB6656">
        <v>20</v>
      </c>
      <c r="AC6656">
        <v>-1.1437999999999899</v>
      </c>
      <c r="AD6656">
        <v>-1.055054064426</v>
      </c>
      <c r="AE6656">
        <v>-24.642744</v>
      </c>
      <c r="AF6656">
        <v>12.2325021153289</v>
      </c>
      <c r="AG6656">
        <v>-1.055054064426</v>
      </c>
      <c r="AH6656">
        <v>21.370980730535699</v>
      </c>
      <c r="AI6656">
        <v>92.453403957366007</v>
      </c>
      <c r="AJ6656">
        <v>60.213677424055199</v>
      </c>
      <c r="AK6656">
        <v>24.646826661161001</v>
      </c>
      <c r="AL6656">
        <v>93.703197166276794</v>
      </c>
      <c r="AM6656">
        <v>76.557553587079298</v>
      </c>
      <c r="AN6656">
        <v>0.99999995479072901</v>
      </c>
    </row>
    <row r="6657" spans="1:40" x14ac:dyDescent="0.25">
      <c r="A6657" t="str">
        <f>"20190305135056174"</f>
        <v>20190305135056174</v>
      </c>
      <c r="B6657" t="str">
        <f>"1551765056166045"</f>
        <v>1551765056166045</v>
      </c>
      <c r="C6657" t="s">
        <v>40</v>
      </c>
      <c r="D6657">
        <v>4.2245699999999999</v>
      </c>
      <c r="E6657">
        <v>0.52554889999999999</v>
      </c>
      <c r="F6657" t="s">
        <v>42</v>
      </c>
      <c r="G6657">
        <v>-309.11320000000001</v>
      </c>
      <c r="H6657" s="1">
        <v>-3.3706899999999999E-6</v>
      </c>
      <c r="I6657">
        <v>-17.858539999999898</v>
      </c>
      <c r="J6657">
        <v>-307.94150000000002</v>
      </c>
      <c r="K6657">
        <v>1.0553129999999999</v>
      </c>
      <c r="L6657">
        <v>8.6163329999999991</v>
      </c>
      <c r="M6657">
        <v>0.4472352</v>
      </c>
      <c r="N6657">
        <v>-1.5452840000000001E-2</v>
      </c>
      <c r="O6657">
        <v>-0.89428280000000004</v>
      </c>
      <c r="P6657">
        <v>0.2325033</v>
      </c>
      <c r="Q6657">
        <v>-7.7002150000000005E-2</v>
      </c>
      <c r="R6657">
        <v>-0.96954280000000004</v>
      </c>
      <c r="S6657">
        <v>-0.12780759999999999</v>
      </c>
      <c r="T6657">
        <v>-0.1233886</v>
      </c>
      <c r="U6657">
        <v>-3.1172789999999999</v>
      </c>
      <c r="V6657">
        <v>0.22497549999999999</v>
      </c>
      <c r="W6657">
        <v>-6.4624879999999996E-2</v>
      </c>
      <c r="X6657">
        <v>0.9722189</v>
      </c>
      <c r="Y6657">
        <v>0.48331109999999999</v>
      </c>
      <c r="Z6657">
        <v>1.5195989999999999E-2</v>
      </c>
      <c r="AA6657">
        <v>0.87531680000000001</v>
      </c>
      <c r="AB6657">
        <v>19</v>
      </c>
      <c r="AC6657">
        <v>-1.17169999999998</v>
      </c>
      <c r="AD6657">
        <v>-1.0553163706899999</v>
      </c>
      <c r="AE6657">
        <v>-26.474872999999999</v>
      </c>
      <c r="AF6657">
        <v>12.869458027455</v>
      </c>
      <c r="AG6657">
        <v>-1.0553163706899999</v>
      </c>
      <c r="AH6657">
        <v>23.118104012746699</v>
      </c>
      <c r="AI6657">
        <v>92.284044360607297</v>
      </c>
      <c r="AJ6657">
        <v>60.896052262715997</v>
      </c>
      <c r="AK6657">
        <v>26.4798673657337</v>
      </c>
      <c r="AL6657">
        <v>93.705315175831799</v>
      </c>
      <c r="AM6657">
        <v>76.970848509062805</v>
      </c>
      <c r="AN6657">
        <v>0.99999997011623598</v>
      </c>
    </row>
    <row r="6658" spans="1:40" x14ac:dyDescent="0.25">
      <c r="A6658" t="str">
        <f>"20190305135056196"</f>
        <v>20190305135056196</v>
      </c>
      <c r="B6658" t="str">
        <f>"1551765056186541"</f>
        <v>1551765056186541</v>
      </c>
      <c r="C6658" t="s">
        <v>40</v>
      </c>
      <c r="D6658">
        <v>4.1884350000000001</v>
      </c>
      <c r="E6658">
        <v>0.52580799999999905</v>
      </c>
      <c r="F6658" t="s">
        <v>85</v>
      </c>
      <c r="G6658">
        <v>-296.31689999999998</v>
      </c>
      <c r="H6658" s="1">
        <v>-7.6542399999999998E-6</v>
      </c>
      <c r="I6658">
        <v>-58.69905</v>
      </c>
      <c r="J6658">
        <v>-307.86500000000001</v>
      </c>
      <c r="K6658">
        <v>1.0555270000000001</v>
      </c>
      <c r="L6658">
        <v>8.438599</v>
      </c>
      <c r="M6658">
        <v>0.43894119999999998</v>
      </c>
      <c r="N6658">
        <v>-1.526159E-2</v>
      </c>
      <c r="O6658">
        <v>-0.89838619999999902</v>
      </c>
      <c r="P6658">
        <v>0.22989329999999999</v>
      </c>
      <c r="Q6658">
        <v>-7.6661270000000004E-2</v>
      </c>
      <c r="R6658">
        <v>-0.97019169999999999</v>
      </c>
      <c r="S6658">
        <v>0.51248170000000004</v>
      </c>
      <c r="T6658">
        <v>-4.6524639999999999E-2</v>
      </c>
      <c r="U6658">
        <v>-2.967651</v>
      </c>
      <c r="V6658">
        <v>0.2186457</v>
      </c>
      <c r="W6658">
        <v>-6.4254270000000002E-2</v>
      </c>
      <c r="X6658">
        <v>0.97368650000000001</v>
      </c>
      <c r="Y6658">
        <v>0.27962429999999999</v>
      </c>
      <c r="Z6658">
        <v>-1.7568519999999999E-3</v>
      </c>
      <c r="AA6658">
        <v>0.96010790000000001</v>
      </c>
      <c r="AB6658">
        <v>19</v>
      </c>
      <c r="AC6658">
        <v>11.5481</v>
      </c>
      <c r="AD6658">
        <v>-1.0555346542399999</v>
      </c>
      <c r="AE6658">
        <v>-67.137648999999996</v>
      </c>
      <c r="AF6658">
        <v>19.092466470028899</v>
      </c>
      <c r="AG6658">
        <v>-1.0555346542399999</v>
      </c>
      <c r="AH6658">
        <v>65.376392882488403</v>
      </c>
      <c r="AI6658">
        <v>90.887906288953502</v>
      </c>
      <c r="AJ6658">
        <v>73.7201285176601</v>
      </c>
      <c r="AK6658">
        <v>68.115410705955199</v>
      </c>
      <c r="AL6658">
        <v>93.684036536279606</v>
      </c>
      <c r="AM6658">
        <v>77.343913313046997</v>
      </c>
      <c r="AN6658">
        <v>0.99999997681198605</v>
      </c>
    </row>
    <row r="6659" spans="1:40" x14ac:dyDescent="0.25">
      <c r="A6659" t="str">
        <f>"20190305135056218"</f>
        <v>20190305135056218</v>
      </c>
      <c r="B6659" t="str">
        <f>"1551765056216797"</f>
        <v>1551765056216797</v>
      </c>
      <c r="C6659" t="s">
        <v>40</v>
      </c>
      <c r="D6659">
        <v>4.1304489999999996</v>
      </c>
      <c r="E6659">
        <v>0.52686709999999903</v>
      </c>
      <c r="F6659" t="s">
        <v>85</v>
      </c>
      <c r="G6659">
        <v>-299.00720000000001</v>
      </c>
      <c r="H6659" s="1">
        <v>-2.5556900000000001E-6</v>
      </c>
      <c r="I6659">
        <v>-44.008949999999999</v>
      </c>
      <c r="J6659">
        <v>-307.78809999999999</v>
      </c>
      <c r="K6659">
        <v>1.055688</v>
      </c>
      <c r="L6659">
        <v>8.2561339999999994</v>
      </c>
      <c r="M6659">
        <v>0.43074240000000003</v>
      </c>
      <c r="N6659">
        <v>-1.5086520000000001E-2</v>
      </c>
      <c r="O6659">
        <v>-0.90234879999999995</v>
      </c>
      <c r="P6659">
        <v>0.22735269999999999</v>
      </c>
      <c r="Q6659">
        <v>-7.7437399999999906E-2</v>
      </c>
      <c r="R6659">
        <v>-0.97072899999999995</v>
      </c>
      <c r="S6659">
        <v>0.50137330000000002</v>
      </c>
      <c r="T6659">
        <v>-5.9745550000000001E-2</v>
      </c>
      <c r="U6659">
        <v>-2.968658</v>
      </c>
      <c r="V6659">
        <v>0.21232309999999999</v>
      </c>
      <c r="W6659">
        <v>-6.5011369999999999E-2</v>
      </c>
      <c r="X6659">
        <v>0.97503459999999997</v>
      </c>
      <c r="Y6659">
        <v>0.2744143</v>
      </c>
      <c r="Z6659">
        <v>2.1859990000000001E-3</v>
      </c>
      <c r="AA6659">
        <v>0.96160909999999999</v>
      </c>
      <c r="AB6659">
        <v>19</v>
      </c>
      <c r="AC6659">
        <v>8.7808999999999706</v>
      </c>
      <c r="AD6659">
        <v>-1.05569055568999</v>
      </c>
      <c r="AE6659">
        <v>-52.265084000000002</v>
      </c>
      <c r="AF6659">
        <v>14.585226617490299</v>
      </c>
      <c r="AG6659">
        <v>-1.05569055568999</v>
      </c>
      <c r="AH6659">
        <v>50.929232624313201</v>
      </c>
      <c r="AI6659">
        <v>91.141610786804605</v>
      </c>
      <c r="AJ6659">
        <v>74.019228905139798</v>
      </c>
      <c r="AK6659">
        <v>52.9870744024836</v>
      </c>
      <c r="AL6659">
        <v>93.727505886310894</v>
      </c>
      <c r="AM6659">
        <v>77.715080769037399</v>
      </c>
      <c r="AN6659">
        <v>1.00000002411002</v>
      </c>
    </row>
    <row r="6660" spans="1:40" x14ac:dyDescent="0.25">
      <c r="A6660" t="str">
        <f>"20190305135056241"</f>
        <v>20190305135056241</v>
      </c>
      <c r="B6660" t="str">
        <f>"1551765056236320"</f>
        <v>1551765056236320</v>
      </c>
      <c r="C6660" t="s">
        <v>40</v>
      </c>
      <c r="D6660">
        <v>4.1526170000000002</v>
      </c>
      <c r="E6660">
        <v>0.52740589999999998</v>
      </c>
      <c r="F6660" t="s">
        <v>42</v>
      </c>
      <c r="G6660">
        <v>-301.4237</v>
      </c>
      <c r="H6660" s="1">
        <v>-4.4067199999999901E-6</v>
      </c>
      <c r="I6660">
        <v>-30.805959999999999</v>
      </c>
      <c r="J6660">
        <v>-307.71089999999998</v>
      </c>
      <c r="K6660">
        <v>1.055847</v>
      </c>
      <c r="L6660">
        <v>8.0696110000000001</v>
      </c>
      <c r="M6660">
        <v>0.42269990000000002</v>
      </c>
      <c r="N6660">
        <v>-1.492535E-2</v>
      </c>
      <c r="O6660">
        <v>-0.90614689999999998</v>
      </c>
      <c r="P6660">
        <v>0.22458030000000001</v>
      </c>
      <c r="Q6660">
        <v>-7.863175E-2</v>
      </c>
      <c r="R6660">
        <v>-0.97127810000000003</v>
      </c>
      <c r="S6660">
        <v>0.48400880000000002</v>
      </c>
      <c r="T6660">
        <v>-8.0285430000000005E-2</v>
      </c>
      <c r="U6660">
        <v>-2.9706730000000001</v>
      </c>
      <c r="V6660">
        <v>0.20641029999999999</v>
      </c>
      <c r="W6660">
        <v>-6.6192340000000002E-2</v>
      </c>
      <c r="X6660">
        <v>0.97622399999999998</v>
      </c>
      <c r="Y6660">
        <v>0.27142860000000002</v>
      </c>
      <c r="Z6660">
        <v>8.2094239999999999E-3</v>
      </c>
      <c r="AA6660">
        <v>0.96242360000000005</v>
      </c>
      <c r="AB6660">
        <v>19</v>
      </c>
      <c r="AC6660">
        <v>6.2871999999999799</v>
      </c>
      <c r="AD6660">
        <v>-1.05585140672</v>
      </c>
      <c r="AE6660">
        <v>-38.875571000000001</v>
      </c>
      <c r="AF6660">
        <v>10.729055607428901</v>
      </c>
      <c r="AG6660">
        <v>-1.05585140672</v>
      </c>
      <c r="AH6660">
        <v>37.861577194745699</v>
      </c>
      <c r="AI6660">
        <v>91.536915501825604</v>
      </c>
      <c r="AJ6660">
        <v>74.178552496695403</v>
      </c>
      <c r="AK6660">
        <v>39.366565561324499</v>
      </c>
      <c r="AL6660">
        <v>93.795316771124305</v>
      </c>
      <c r="AM6660">
        <v>78.061363309744493</v>
      </c>
      <c r="AN6660">
        <v>0.99999996799838198</v>
      </c>
    </row>
    <row r="6661" spans="1:40" x14ac:dyDescent="0.25">
      <c r="A6661" t="str">
        <f>"20190305135056264"</f>
        <v>20190305135056264</v>
      </c>
      <c r="B6661" t="str">
        <f>"1551765056256813"</f>
        <v>1551765056256813</v>
      </c>
      <c r="C6661" t="s">
        <v>40</v>
      </c>
      <c r="D6661">
        <v>4.1340399999999997</v>
      </c>
      <c r="E6661">
        <v>0.52794300000000005</v>
      </c>
      <c r="F6661" t="s">
        <v>42</v>
      </c>
      <c r="G6661">
        <v>-302.065</v>
      </c>
      <c r="H6661" s="1">
        <v>-1.7680449999999901E-6</v>
      </c>
      <c r="I6661">
        <v>-27.570309999999999</v>
      </c>
      <c r="J6661">
        <v>-307.63600000000002</v>
      </c>
      <c r="K6661">
        <v>1.056009</v>
      </c>
      <c r="L6661">
        <v>7.8847050000000003</v>
      </c>
      <c r="M6661">
        <v>0.41506510000000002</v>
      </c>
      <c r="N6661">
        <v>-1.477871E-2</v>
      </c>
      <c r="O6661">
        <v>-0.90967180000000003</v>
      </c>
      <c r="P6661">
        <v>0.22194949999999999</v>
      </c>
      <c r="Q6661">
        <v>-8.0500630000000004E-2</v>
      </c>
      <c r="R6661">
        <v>-0.97172959999999997</v>
      </c>
      <c r="S6661">
        <v>0.47091670000000002</v>
      </c>
      <c r="T6661">
        <v>-8.806717E-2</v>
      </c>
      <c r="U6661">
        <v>-2.9726870000000001</v>
      </c>
      <c r="V6661">
        <v>0.2007929</v>
      </c>
      <c r="W6661">
        <v>-6.8041149999999995E-2</v>
      </c>
      <c r="X6661">
        <v>0.97726789999999997</v>
      </c>
      <c r="Y6661">
        <v>0.26756829999999998</v>
      </c>
      <c r="Z6661">
        <v>1.06766E-2</v>
      </c>
      <c r="AA6661">
        <v>0.9634798</v>
      </c>
      <c r="AB6661">
        <v>19</v>
      </c>
      <c r="AC6661">
        <v>5.5709999999999598</v>
      </c>
      <c r="AD6661">
        <v>-1.0560107680449999</v>
      </c>
      <c r="AE6661">
        <v>-35.455015000000003</v>
      </c>
      <c r="AF6661">
        <v>9.6410637702231501</v>
      </c>
      <c r="AG6661">
        <v>-1.0560107680449999</v>
      </c>
      <c r="AH6661">
        <v>34.538624676264902</v>
      </c>
      <c r="AI6661">
        <v>91.686815194210993</v>
      </c>
      <c r="AJ6661">
        <v>74.403529597794005</v>
      </c>
      <c r="AK6661">
        <v>35.874529458818401</v>
      </c>
      <c r="AL6661">
        <v>93.901485197755406</v>
      </c>
      <c r="AM6661">
        <v>78.389389590849007</v>
      </c>
      <c r="AN6661">
        <v>0.99999996757706999</v>
      </c>
    </row>
    <row r="6662" spans="1:40" x14ac:dyDescent="0.25">
      <c r="A6662" t="str">
        <f>"20190305135056286"</f>
        <v>20190305135056286</v>
      </c>
      <c r="B6662" t="str">
        <f>"1551765056276333"</f>
        <v>1551765056276333</v>
      </c>
      <c r="C6662" t="s">
        <v>40</v>
      </c>
      <c r="D6662">
        <v>4.1511930000000001</v>
      </c>
      <c r="E6662">
        <v>0.52864940000000005</v>
      </c>
      <c r="F6662" t="s">
        <v>42</v>
      </c>
      <c r="G6662">
        <v>-302.64010000000002</v>
      </c>
      <c r="H6662" s="1">
        <v>-3.2221750000000002E-6</v>
      </c>
      <c r="I6662">
        <v>-24.537389999999998</v>
      </c>
      <c r="J6662">
        <v>-307.56479999999999</v>
      </c>
      <c r="K6662">
        <v>1.0561929999999999</v>
      </c>
      <c r="L6662">
        <v>7.7059939999999996</v>
      </c>
      <c r="M6662">
        <v>0.407999</v>
      </c>
      <c r="N6662">
        <v>-1.46477999999999E-2</v>
      </c>
      <c r="O6662">
        <v>-0.91286500000000004</v>
      </c>
      <c r="P6662">
        <v>0.219282</v>
      </c>
      <c r="Q6662">
        <v>-8.1701460000000004E-2</v>
      </c>
      <c r="R6662">
        <v>-0.97223479999999995</v>
      </c>
      <c r="S6662">
        <v>0.45834350000000001</v>
      </c>
      <c r="T6662">
        <v>-9.6884250000000005E-2</v>
      </c>
      <c r="U6662">
        <v>-2.9745789999999999</v>
      </c>
      <c r="V6662">
        <v>0.1958792</v>
      </c>
      <c r="W6662">
        <v>-6.9212759999999998E-2</v>
      </c>
      <c r="X6662">
        <v>0.97818249999999995</v>
      </c>
      <c r="Y6662">
        <v>0.26416610000000001</v>
      </c>
      <c r="Z6662">
        <v>1.3436160000000001E-2</v>
      </c>
      <c r="AA6662">
        <v>0.96438360000000001</v>
      </c>
      <c r="AB6662">
        <v>19</v>
      </c>
      <c r="AC6662">
        <v>4.9246999999999703</v>
      </c>
      <c r="AD6662">
        <v>-1.0561962221750001</v>
      </c>
      <c r="AE6662">
        <v>-32.243383999999999</v>
      </c>
      <c r="AF6662">
        <v>8.6515385772346196</v>
      </c>
      <c r="AG6662">
        <v>-1.0561962221750001</v>
      </c>
      <c r="AH6662">
        <v>31.413560216128001</v>
      </c>
      <c r="AI6662">
        <v>91.856616859570096</v>
      </c>
      <c r="AJ6662">
        <v>74.6020301389119</v>
      </c>
      <c r="AK6662">
        <v>32.600252079783303</v>
      </c>
      <c r="AL6662">
        <v>93.968771879484805</v>
      </c>
      <c r="AM6662">
        <v>78.676399101711397</v>
      </c>
      <c r="AN6662">
        <v>1.00000003522285</v>
      </c>
    </row>
    <row r="6663" spans="1:40" x14ac:dyDescent="0.25">
      <c r="A6663" t="str">
        <f>"20190305135056308"</f>
        <v>20190305135056308</v>
      </c>
      <c r="B6663" t="str">
        <f>"1551765056296828"</f>
        <v>1551765056296828</v>
      </c>
      <c r="C6663" t="s">
        <v>40</v>
      </c>
      <c r="D6663">
        <v>4.1305899999999998</v>
      </c>
      <c r="E6663">
        <v>0.52903109999999998</v>
      </c>
      <c r="F6663" t="s">
        <v>42</v>
      </c>
      <c r="G6663">
        <v>-302.89760000000001</v>
      </c>
      <c r="H6663" s="1">
        <v>-3.7152520000000002E-6</v>
      </c>
      <c r="I6663">
        <v>-23.547730000000001</v>
      </c>
      <c r="J6663">
        <v>-307.49439999999998</v>
      </c>
      <c r="K6663">
        <v>1.0564089999999999</v>
      </c>
      <c r="L6663">
        <v>7.5262449999999896</v>
      </c>
      <c r="M6663">
        <v>0.40119250000000001</v>
      </c>
      <c r="N6663">
        <v>-1.4527450000000001E-2</v>
      </c>
      <c r="O6663">
        <v>-0.91587859999999999</v>
      </c>
      <c r="P6663">
        <v>0.21670010000000001</v>
      </c>
      <c r="Q6663">
        <v>-8.2783839999999997E-2</v>
      </c>
      <c r="R6663">
        <v>-0.97272219999999998</v>
      </c>
      <c r="S6663">
        <v>0.44454959999999999</v>
      </c>
      <c r="T6663">
        <v>-0.1006042</v>
      </c>
      <c r="U6663">
        <v>-2.9769589999999999</v>
      </c>
      <c r="V6663">
        <v>0.1911871</v>
      </c>
      <c r="W6663">
        <v>-7.0253570000000001E-2</v>
      </c>
      <c r="X6663">
        <v>0.97903620000000002</v>
      </c>
      <c r="Y6663">
        <v>0.26147150000000002</v>
      </c>
      <c r="Z6663">
        <v>1.4737419999999999E-2</v>
      </c>
      <c r="AA6663">
        <v>0.96509869999999998</v>
      </c>
      <c r="AB6663">
        <v>19</v>
      </c>
      <c r="AC6663">
        <v>4.5967999999999698</v>
      </c>
      <c r="AD6663">
        <v>-1.056412715252</v>
      </c>
      <c r="AE6663">
        <v>-31.073975000000001</v>
      </c>
      <c r="AF6663">
        <v>8.2480772551677397</v>
      </c>
      <c r="AG6663">
        <v>-1.056412715252</v>
      </c>
      <c r="AH6663">
        <v>30.273147829048401</v>
      </c>
      <c r="AI6663">
        <v>91.928348995145498</v>
      </c>
      <c r="AJ6663">
        <v>74.7593904569476</v>
      </c>
      <c r="AK6663">
        <v>31.394430488728101</v>
      </c>
      <c r="AL6663">
        <v>94.028551661481501</v>
      </c>
      <c r="AM6663">
        <v>78.950285325296093</v>
      </c>
      <c r="AN6663">
        <v>0.99999997610729696</v>
      </c>
    </row>
    <row r="6664" spans="1:40" x14ac:dyDescent="0.25">
      <c r="A6664" t="str">
        <f>"20190305135056331"</f>
        <v>20190305135056331</v>
      </c>
      <c r="B6664" t="str">
        <f>"1551765056326109"</f>
        <v>1551765056326109</v>
      </c>
      <c r="C6664" t="s">
        <v>40</v>
      </c>
      <c r="D6664">
        <v>4.0949229999999996</v>
      </c>
      <c r="E6664">
        <v>0.52952129999999997</v>
      </c>
      <c r="F6664" t="s">
        <v>42</v>
      </c>
      <c r="G6664">
        <v>-303.1739</v>
      </c>
      <c r="H6664" s="1">
        <v>-4.262605E-6</v>
      </c>
      <c r="I6664">
        <v>-22.141719999999999</v>
      </c>
      <c r="J6664">
        <v>-307.42239999999998</v>
      </c>
      <c r="K6664">
        <v>1.0566390000000001</v>
      </c>
      <c r="L6664">
        <v>7.3399049999999999</v>
      </c>
      <c r="M6664">
        <v>0.39446690000000001</v>
      </c>
      <c r="N6664">
        <v>-1.441509E-2</v>
      </c>
      <c r="O6664">
        <v>-0.91879710000000003</v>
      </c>
      <c r="P6664">
        <v>0.21413479999999999</v>
      </c>
      <c r="Q6664">
        <v>-8.2497150000000005E-2</v>
      </c>
      <c r="R6664">
        <v>-0.97331429999999997</v>
      </c>
      <c r="S6664">
        <v>0.43374629999999997</v>
      </c>
      <c r="T6664">
        <v>-0.1060565</v>
      </c>
      <c r="U6664">
        <v>-2.9784549999999999</v>
      </c>
      <c r="V6664">
        <v>0.18664439999999999</v>
      </c>
      <c r="W6664">
        <v>-6.9916370000000005E-2</v>
      </c>
      <c r="X6664">
        <v>0.97993649999999999</v>
      </c>
      <c r="Y6664">
        <v>0.25789230000000002</v>
      </c>
      <c r="Z6664">
        <v>1.654986E-2</v>
      </c>
      <c r="AA6664">
        <v>0.96603190000000005</v>
      </c>
      <c r="AB6664">
        <v>19</v>
      </c>
      <c r="AC6664">
        <v>4.2484999999999697</v>
      </c>
      <c r="AD6664">
        <v>-1.056643262605</v>
      </c>
      <c r="AE6664">
        <v>-29.481625000000001</v>
      </c>
      <c r="AF6664">
        <v>7.7171070187045299</v>
      </c>
      <c r="AG6664">
        <v>-1.056643262605</v>
      </c>
      <c r="AH6664">
        <v>28.730357502105399</v>
      </c>
      <c r="AI6664">
        <v>92.034229721699603</v>
      </c>
      <c r="AJ6664">
        <v>74.964967618280895</v>
      </c>
      <c r="AK6664">
        <v>29.7674936452723</v>
      </c>
      <c r="AL6664">
        <v>94.009183853728999</v>
      </c>
      <c r="AM6664">
        <v>79.216276024039502</v>
      </c>
      <c r="AN6664">
        <v>0.99999998743879304</v>
      </c>
    </row>
    <row r="6665" spans="1:40" x14ac:dyDescent="0.25">
      <c r="A6665" t="str">
        <f>"20190305135056353"</f>
        <v>20190305135056353</v>
      </c>
      <c r="B6665" t="str">
        <f>"1551765056346608"</f>
        <v>1551765056346608</v>
      </c>
      <c r="C6665" t="s">
        <v>40</v>
      </c>
      <c r="D6665">
        <v>4.0727799999999998</v>
      </c>
      <c r="E6665">
        <v>0.52984399999999998</v>
      </c>
      <c r="F6665" t="s">
        <v>42</v>
      </c>
      <c r="G6665">
        <v>-303.25229999999999</v>
      </c>
      <c r="H6665" s="1">
        <v>-4.2919649999999998E-6</v>
      </c>
      <c r="I6665">
        <v>-22.096309999999999</v>
      </c>
      <c r="J6665">
        <v>-307.3535</v>
      </c>
      <c r="K6665">
        <v>1.05684</v>
      </c>
      <c r="L6665">
        <v>7.158722</v>
      </c>
      <c r="M6665">
        <v>0.3882639</v>
      </c>
      <c r="N6665">
        <v>-1.4316890000000001E-2</v>
      </c>
      <c r="O6665">
        <v>-0.92143699999999995</v>
      </c>
      <c r="P6665">
        <v>0.21229899999999999</v>
      </c>
      <c r="Q6665">
        <v>-8.2744189999999995E-2</v>
      </c>
      <c r="R6665">
        <v>-0.97369519999999998</v>
      </c>
      <c r="S6665">
        <v>0.42221069999999999</v>
      </c>
      <c r="T6665">
        <v>-0.10698149999999999</v>
      </c>
      <c r="U6665">
        <v>-2.9803160000000002</v>
      </c>
      <c r="V6665">
        <v>0.1819144</v>
      </c>
      <c r="W6665">
        <v>-7.0112800000000003E-2</v>
      </c>
      <c r="X6665">
        <v>0.98081160000000001</v>
      </c>
      <c r="Y6665">
        <v>0.25512960000000001</v>
      </c>
      <c r="Z6665">
        <v>1.7033880000000001E-2</v>
      </c>
      <c r="AA6665">
        <v>0.96675679999999997</v>
      </c>
      <c r="AB6665">
        <v>19</v>
      </c>
      <c r="AC6665">
        <v>4.1012000000000004</v>
      </c>
      <c r="AD6665">
        <v>-1.0568442919650001</v>
      </c>
      <c r="AE6665">
        <v>-29.255032</v>
      </c>
      <c r="AF6665">
        <v>7.5707627733362699</v>
      </c>
      <c r="AG6665">
        <v>-1.0568442919650001</v>
      </c>
      <c r="AH6665">
        <v>28.515447240628099</v>
      </c>
      <c r="AI6665">
        <v>92.051524814598295</v>
      </c>
      <c r="AJ6665">
        <v>75.1311742125297</v>
      </c>
      <c r="AK6665">
        <v>29.522264482262202</v>
      </c>
      <c r="AL6665">
        <v>94.020466003048995</v>
      </c>
      <c r="AM6665">
        <v>79.492561362374701</v>
      </c>
      <c r="AN6665">
        <v>1.0000000241728699</v>
      </c>
    </row>
    <row r="6666" spans="1:40" x14ac:dyDescent="0.25">
      <c r="A6666" t="str">
        <f>"20190305135056374"</f>
        <v>20190305135056374</v>
      </c>
      <c r="B6666" t="str">
        <f>"1551765056366125"</f>
        <v>1551765056366125</v>
      </c>
      <c r="C6666" t="s">
        <v>40</v>
      </c>
      <c r="D6666">
        <v>4.1056030000000003</v>
      </c>
      <c r="E6666">
        <v>0.53002289999999996</v>
      </c>
      <c r="F6666" t="s">
        <v>42</v>
      </c>
      <c r="G6666">
        <v>-303.2645</v>
      </c>
      <c r="H6666" s="1">
        <v>-4.2255779999999996E-6</v>
      </c>
      <c r="I6666">
        <v>-22.297779999999999</v>
      </c>
      <c r="J6666">
        <v>-307.286</v>
      </c>
      <c r="K6666">
        <v>1.0569959999999901</v>
      </c>
      <c r="L6666">
        <v>6.9784550000000003</v>
      </c>
      <c r="M6666">
        <v>0.38235530000000001</v>
      </c>
      <c r="N6666">
        <v>-1.422941E-2</v>
      </c>
      <c r="O6666">
        <v>-0.9239058</v>
      </c>
      <c r="P6666">
        <v>0.21058099999999999</v>
      </c>
      <c r="Q6666">
        <v>-8.3177669999999995E-2</v>
      </c>
      <c r="R6666">
        <v>-0.97403150000000005</v>
      </c>
      <c r="S6666">
        <v>0.4139099</v>
      </c>
      <c r="T6666">
        <v>-0.1069785</v>
      </c>
      <c r="U6666">
        <v>-2.9817200000000001</v>
      </c>
      <c r="V6666">
        <v>0.17737739999999999</v>
      </c>
      <c r="W6666">
        <v>-7.0513019999999996E-2</v>
      </c>
      <c r="X6666">
        <v>0.98161359999999998</v>
      </c>
      <c r="Y6666">
        <v>0.251641</v>
      </c>
      <c r="Z6666">
        <v>1.724111E-2</v>
      </c>
      <c r="AA6666">
        <v>0.96766700000000005</v>
      </c>
      <c r="AB6666">
        <v>19</v>
      </c>
      <c r="AC6666">
        <v>4.0214999999999996</v>
      </c>
      <c r="AD6666">
        <v>-1.05700022557799</v>
      </c>
      <c r="AE6666">
        <v>-29.2762349999999</v>
      </c>
      <c r="AF6666">
        <v>7.4696371927135701</v>
      </c>
      <c r="AG6666">
        <v>-1.05700022557799</v>
      </c>
      <c r="AH6666">
        <v>28.552490261896999</v>
      </c>
      <c r="AI6666">
        <v>92.051129292256903</v>
      </c>
      <c r="AJ6666">
        <v>75.339374553258395</v>
      </c>
      <c r="AK6666">
        <v>29.532311616657498</v>
      </c>
      <c r="AL6666">
        <v>94.043453734968097</v>
      </c>
      <c r="AM6666">
        <v>79.757192700108504</v>
      </c>
      <c r="AN6666">
        <v>1.00000004386261</v>
      </c>
    </row>
    <row r="6667" spans="1:40" x14ac:dyDescent="0.25">
      <c r="A6667" t="str">
        <f>"20190305135056397"</f>
        <v>20190305135056397</v>
      </c>
      <c r="B6667" t="str">
        <f>"1551765056386622"</f>
        <v>1551765056386622</v>
      </c>
      <c r="C6667" t="s">
        <v>40</v>
      </c>
      <c r="D6667">
        <v>4.0843439999999998</v>
      </c>
      <c r="E6667">
        <v>0.53030429999999995</v>
      </c>
      <c r="F6667" t="s">
        <v>42</v>
      </c>
      <c r="G6667">
        <v>-303.34199999999998</v>
      </c>
      <c r="H6667" s="1">
        <v>-4.3789300000000001E-6</v>
      </c>
      <c r="I6667">
        <v>-21.887560000000001</v>
      </c>
      <c r="J6667">
        <v>-307.21949999999998</v>
      </c>
      <c r="K6667">
        <v>1.057115</v>
      </c>
      <c r="L6667">
        <v>6.7985229999999897</v>
      </c>
      <c r="M6667">
        <v>0.37671090000000002</v>
      </c>
      <c r="N6667">
        <v>-1.4151479999999999E-2</v>
      </c>
      <c r="O6667">
        <v>-0.92622289999999996</v>
      </c>
      <c r="P6667">
        <v>0.2097666</v>
      </c>
      <c r="Q6667">
        <v>-8.4298819999999997E-2</v>
      </c>
      <c r="R6667">
        <v>-0.9741109</v>
      </c>
      <c r="S6667">
        <v>0.40750120000000001</v>
      </c>
      <c r="T6667">
        <v>-0.1092132</v>
      </c>
      <c r="U6667">
        <v>-2.9825439999999999</v>
      </c>
      <c r="V6667">
        <v>0.17218910000000001</v>
      </c>
      <c r="W6667">
        <v>-7.1606539999999996E-2</v>
      </c>
      <c r="X6667">
        <v>0.98245780000000005</v>
      </c>
      <c r="Y6667">
        <v>0.24781320000000001</v>
      </c>
      <c r="Z6667">
        <v>1.8091989999999999E-2</v>
      </c>
      <c r="AA6667">
        <v>0.96863889999999997</v>
      </c>
      <c r="AB6667">
        <v>19</v>
      </c>
      <c r="AC6667">
        <v>3.8774999999999902</v>
      </c>
      <c r="AD6667">
        <v>-1.05711937893</v>
      </c>
      <c r="AE6667">
        <v>-28.686083</v>
      </c>
      <c r="AF6667">
        <v>7.2060422398624304</v>
      </c>
      <c r="AG6667">
        <v>-1.05711937893</v>
      </c>
      <c r="AH6667">
        <v>27.9958707623294</v>
      </c>
      <c r="AI6667">
        <v>92.094252688314</v>
      </c>
      <c r="AJ6667">
        <v>75.565590444958204</v>
      </c>
      <c r="AK6667">
        <v>28.9277259024114</v>
      </c>
      <c r="AL6667">
        <v>94.106266965868997</v>
      </c>
      <c r="AM6667">
        <v>80.059100256139999</v>
      </c>
      <c r="AN6667">
        <v>0.99999995575520995</v>
      </c>
    </row>
    <row r="6668" spans="1:40" x14ac:dyDescent="0.25">
      <c r="A6668" t="str">
        <f>"20190305135056419"</f>
        <v>20190305135056419</v>
      </c>
      <c r="B6668" t="str">
        <f>"1551765056416878"</f>
        <v>1551765056416878</v>
      </c>
      <c r="C6668" t="s">
        <v>40</v>
      </c>
      <c r="D6668">
        <v>4.0512509999999997</v>
      </c>
      <c r="E6668">
        <v>0.53062519999999902</v>
      </c>
      <c r="F6668" t="s">
        <v>42</v>
      </c>
      <c r="G6668">
        <v>-303.43259999999998</v>
      </c>
      <c r="H6668" s="1">
        <v>-4.6087049999999999E-6</v>
      </c>
      <c r="I6668">
        <v>-21.259550000000001</v>
      </c>
      <c r="J6668">
        <v>-307.15280000000001</v>
      </c>
      <c r="K6668">
        <v>1.0572269999999999</v>
      </c>
      <c r="L6668">
        <v>6.6153559999999896</v>
      </c>
      <c r="M6668">
        <v>0.3712201</v>
      </c>
      <c r="N6668">
        <v>-1.408014E-2</v>
      </c>
      <c r="O6668">
        <v>-0.92843810000000004</v>
      </c>
      <c r="P6668">
        <v>0.2087396</v>
      </c>
      <c r="Q6668">
        <v>-8.4267430000000004E-2</v>
      </c>
      <c r="R6668">
        <v>-0.97433380000000003</v>
      </c>
      <c r="S6668">
        <v>0.40264889999999998</v>
      </c>
      <c r="T6668">
        <v>-0.1123995</v>
      </c>
      <c r="U6668">
        <v>-2.9833069999999999</v>
      </c>
      <c r="V6668">
        <v>0.167431</v>
      </c>
      <c r="W6668">
        <v>-7.1554179999999995E-2</v>
      </c>
      <c r="X6668">
        <v>0.98328369999999998</v>
      </c>
      <c r="Y6668">
        <v>0.2436577</v>
      </c>
      <c r="Z6668">
        <v>1.9217709999999999E-2</v>
      </c>
      <c r="AA6668">
        <v>0.9696709</v>
      </c>
      <c r="AB6668">
        <v>19</v>
      </c>
      <c r="AC6668">
        <v>3.7202000000000299</v>
      </c>
      <c r="AD6668">
        <v>-1.057231608705</v>
      </c>
      <c r="AE6668">
        <v>-27.874905999999999</v>
      </c>
      <c r="AF6668">
        <v>6.8847032877175396</v>
      </c>
      <c r="AG6668">
        <v>-1.057231608705</v>
      </c>
      <c r="AH6668">
        <v>27.225362920488099</v>
      </c>
      <c r="AI6668">
        <v>92.156025803229298</v>
      </c>
      <c r="AJ6668">
        <v>75.808648769659698</v>
      </c>
      <c r="AK6668">
        <v>28.1022643960703</v>
      </c>
      <c r="AL6668">
        <v>94.103259112687297</v>
      </c>
      <c r="AM6668">
        <v>80.3365075146408</v>
      </c>
      <c r="AN6668">
        <v>0.99999998756108099</v>
      </c>
    </row>
    <row r="6669" spans="1:40" x14ac:dyDescent="0.25">
      <c r="A6669" t="str">
        <f>"20190305135056442"</f>
        <v>20190305135056442</v>
      </c>
      <c r="B6669" t="str">
        <f>"1551765056436401"</f>
        <v>1551765056436401</v>
      </c>
      <c r="C6669" t="s">
        <v>40</v>
      </c>
      <c r="D6669">
        <v>4.0765690000000001</v>
      </c>
      <c r="E6669">
        <v>0.53079460000000001</v>
      </c>
      <c r="F6669" t="s">
        <v>42</v>
      </c>
      <c r="G6669">
        <v>-303.36869999999999</v>
      </c>
      <c r="H6669" s="1">
        <v>-4.4076500000000001E-6</v>
      </c>
      <c r="I6669">
        <v>-21.817070000000001</v>
      </c>
      <c r="J6669">
        <v>-307.08600000000001</v>
      </c>
      <c r="K6669">
        <v>1.0573429999999999</v>
      </c>
      <c r="L6669">
        <v>6.429443</v>
      </c>
      <c r="M6669">
        <v>0.36589189999999999</v>
      </c>
      <c r="N6669">
        <v>-1.401408E-2</v>
      </c>
      <c r="O6669">
        <v>-0.93055209999999999</v>
      </c>
      <c r="P6669">
        <v>0.20786669999999999</v>
      </c>
      <c r="Q6669">
        <v>-8.3315319999999998E-2</v>
      </c>
      <c r="R6669">
        <v>-0.97460279999999999</v>
      </c>
      <c r="S6669">
        <v>0.39718629999999999</v>
      </c>
      <c r="T6669">
        <v>-0.110969899999999</v>
      </c>
      <c r="U6669">
        <v>-2.9843440000000001</v>
      </c>
      <c r="V6669">
        <v>0.1627344</v>
      </c>
      <c r="W6669">
        <v>-7.0576920000000001E-2</v>
      </c>
      <c r="X6669">
        <v>0.98414250000000003</v>
      </c>
      <c r="Y6669">
        <v>0.23988660000000001</v>
      </c>
      <c r="Z6669">
        <v>1.8978740000000001E-2</v>
      </c>
      <c r="AA6669">
        <v>0.97061540000000002</v>
      </c>
      <c r="AB6669">
        <v>19</v>
      </c>
      <c r="AC6669">
        <v>3.7173000000000198</v>
      </c>
      <c r="AD6669">
        <v>-1.05734740765</v>
      </c>
      <c r="AE6669">
        <v>-28.246513</v>
      </c>
      <c r="AF6669">
        <v>6.8672439275603896</v>
      </c>
      <c r="AG6669">
        <v>-1.05734740765</v>
      </c>
      <c r="AH6669">
        <v>27.609661730036301</v>
      </c>
      <c r="AI6669">
        <v>92.128358782088</v>
      </c>
      <c r="AJ6669">
        <v>76.0324718476284</v>
      </c>
      <c r="AK6669">
        <v>28.4705188492959</v>
      </c>
      <c r="AL6669">
        <v>94.047124162191906</v>
      </c>
      <c r="AM6669">
        <v>80.610729149027605</v>
      </c>
      <c r="AN6669">
        <v>1.0000000234431401</v>
      </c>
    </row>
    <row r="6670" spans="1:40" x14ac:dyDescent="0.25">
      <c r="A6670" t="str">
        <f>"20190305135056465"</f>
        <v>20190305135056465</v>
      </c>
      <c r="B6670" t="str">
        <f>"1551765056456893"</f>
        <v>1551765056456893</v>
      </c>
      <c r="C6670" t="s">
        <v>40</v>
      </c>
      <c r="D6670">
        <v>4.0274260000000002</v>
      </c>
      <c r="E6670">
        <v>0.53082399999999996</v>
      </c>
      <c r="F6670" t="s">
        <v>42</v>
      </c>
      <c r="G6670">
        <v>-303.25240000000002</v>
      </c>
      <c r="H6670" s="1">
        <v>-4.0976179999999996E-6</v>
      </c>
      <c r="I6670">
        <v>-22.667490000000001</v>
      </c>
      <c r="J6670">
        <v>-307.0213</v>
      </c>
      <c r="K6670">
        <v>1.0574589999999999</v>
      </c>
      <c r="L6670">
        <v>6.2468260000000004</v>
      </c>
      <c r="M6670">
        <v>0.36088300000000001</v>
      </c>
      <c r="N6670">
        <v>-1.3954660000000001E-2</v>
      </c>
      <c r="O6670">
        <v>-0.93250679999999997</v>
      </c>
      <c r="P6670">
        <v>0.20711950000000001</v>
      </c>
      <c r="Q6670">
        <v>-8.2990789999999995E-2</v>
      </c>
      <c r="R6670">
        <v>-0.97478949999999998</v>
      </c>
      <c r="S6670">
        <v>0.39328000000000002</v>
      </c>
      <c r="T6670">
        <v>-0.1084719</v>
      </c>
      <c r="U6670">
        <v>-2.9850159999999999</v>
      </c>
      <c r="V6670">
        <v>0.15823389999999901</v>
      </c>
      <c r="W6670">
        <v>-7.0221569999999997E-2</v>
      </c>
      <c r="X6670">
        <v>0.98490149999999999</v>
      </c>
      <c r="Y6670">
        <v>0.2359435</v>
      </c>
      <c r="Z6670">
        <v>1.8411589999999999E-2</v>
      </c>
      <c r="AA6670">
        <v>0.97159240000000002</v>
      </c>
      <c r="AB6670">
        <v>19</v>
      </c>
      <c r="AC6670">
        <v>3.7688999999999702</v>
      </c>
      <c r="AD6670">
        <v>-1.0574630976179999</v>
      </c>
      <c r="AE6670">
        <v>-28.9143159999999</v>
      </c>
      <c r="AF6670">
        <v>6.9117431643613596</v>
      </c>
      <c r="AG6670">
        <v>-1.0574630976179999</v>
      </c>
      <c r="AH6670">
        <v>28.288478773131899</v>
      </c>
      <c r="AI6670">
        <v>92.079680040043698</v>
      </c>
      <c r="AJ6670">
        <v>76.269882727885602</v>
      </c>
      <c r="AK6670">
        <v>29.139808734287399</v>
      </c>
      <c r="AL6670">
        <v>94.026713559370293</v>
      </c>
      <c r="AM6670">
        <v>80.872876837137596</v>
      </c>
      <c r="AN6670">
        <v>1.0000000003523599</v>
      </c>
    </row>
    <row r="6671" spans="1:40" x14ac:dyDescent="0.25">
      <c r="A6671" t="str">
        <f>"20190305135056488"</f>
        <v>20190305135056488</v>
      </c>
      <c r="B6671" t="str">
        <f>"1551765056476413"</f>
        <v>1551765056476413</v>
      </c>
      <c r="C6671" t="s">
        <v>40</v>
      </c>
      <c r="D6671">
        <v>4.0284709999999997</v>
      </c>
      <c r="E6671">
        <v>0.53080749999999999</v>
      </c>
      <c r="F6671" t="s">
        <v>42</v>
      </c>
      <c r="G6671">
        <v>-303.24329999999998</v>
      </c>
      <c r="H6671" s="1">
        <v>-4.0970029999999998E-6</v>
      </c>
      <c r="I6671">
        <v>-22.664570000000001</v>
      </c>
      <c r="J6671">
        <v>-306.95690000000002</v>
      </c>
      <c r="K6671">
        <v>1.0575950000000001</v>
      </c>
      <c r="L6671">
        <v>6.0629879999999998</v>
      </c>
      <c r="M6671">
        <v>0.3560565</v>
      </c>
      <c r="N6671">
        <v>-1.3900330000000001E-2</v>
      </c>
      <c r="O6671">
        <v>-0.934361</v>
      </c>
      <c r="P6671">
        <v>0.20734089999999999</v>
      </c>
      <c r="Q6671">
        <v>-8.2972370000000004E-2</v>
      </c>
      <c r="R6671">
        <v>-0.97474360000000004</v>
      </c>
      <c r="S6671">
        <v>0.39010620000000001</v>
      </c>
      <c r="T6671">
        <v>-0.10919329999999999</v>
      </c>
      <c r="U6671">
        <v>-2.985382</v>
      </c>
      <c r="V6671">
        <v>0.15294579999999999</v>
      </c>
      <c r="W6671">
        <v>-7.0158999999999999E-2</v>
      </c>
      <c r="X6671">
        <v>0.98574099999999998</v>
      </c>
      <c r="Y6671">
        <v>0.23194999999999999</v>
      </c>
      <c r="Z6671">
        <v>1.8785509999999998E-2</v>
      </c>
      <c r="AA6671">
        <v>0.97254629999999997</v>
      </c>
      <c r="AB6671">
        <v>19</v>
      </c>
      <c r="AC6671">
        <v>3.71360000000004</v>
      </c>
      <c r="AD6671">
        <v>-1.057599097003</v>
      </c>
      <c r="AE6671">
        <v>-28.727557999999998</v>
      </c>
      <c r="AF6671">
        <v>6.75044534490661</v>
      </c>
      <c r="AG6671">
        <v>-1.057599097003</v>
      </c>
      <c r="AH6671">
        <v>28.1293856088901</v>
      </c>
      <c r="AI6671">
        <v>92.093782093832502</v>
      </c>
      <c r="AJ6671">
        <v>76.505436153191297</v>
      </c>
      <c r="AK6671">
        <v>28.947355024910099</v>
      </c>
      <c r="AL6671">
        <v>94.023119655514094</v>
      </c>
      <c r="AM6671">
        <v>81.180415647907495</v>
      </c>
      <c r="AN6671">
        <v>1.0000000110498199</v>
      </c>
    </row>
    <row r="6672" spans="1:40" x14ac:dyDescent="0.25">
      <c r="A6672" t="str">
        <f>"20190305135056510"</f>
        <v>20190305135056510</v>
      </c>
      <c r="B6672" t="str">
        <f>"1551765056506670"</f>
        <v>1551765056506670</v>
      </c>
      <c r="C6672" t="s">
        <v>40</v>
      </c>
      <c r="D6672">
        <v>4.0884729999999996</v>
      </c>
      <c r="E6672">
        <v>0.53096160000000003</v>
      </c>
      <c r="F6672" t="s">
        <v>42</v>
      </c>
      <c r="G6672">
        <v>-303.21859999999998</v>
      </c>
      <c r="H6672" s="1">
        <v>-4.1560219999999999E-6</v>
      </c>
      <c r="I6672">
        <v>-22.47823</v>
      </c>
      <c r="J6672">
        <v>-306.8947</v>
      </c>
      <c r="K6672">
        <v>1.0577379999999901</v>
      </c>
      <c r="L6672">
        <v>5.8834839999999904</v>
      </c>
      <c r="M6672">
        <v>0.35156870000000001</v>
      </c>
      <c r="N6672">
        <v>-1.385227E-2</v>
      </c>
      <c r="O6672">
        <v>-0.9360598</v>
      </c>
      <c r="P6672">
        <v>0.20749989999999999</v>
      </c>
      <c r="Q6672">
        <v>-8.3102809999999999E-2</v>
      </c>
      <c r="R6672">
        <v>-0.97469899999999998</v>
      </c>
      <c r="S6672">
        <v>0.39099119999999998</v>
      </c>
      <c r="T6672">
        <v>-0.1106148</v>
      </c>
      <c r="U6672">
        <v>-2.9851380000000001</v>
      </c>
      <c r="V6672">
        <v>0.14807879999999901</v>
      </c>
      <c r="W6672">
        <v>-7.0244409999999993E-2</v>
      </c>
      <c r="X6672">
        <v>0.98647779999999996</v>
      </c>
      <c r="Y6672">
        <v>0.2269883</v>
      </c>
      <c r="Z6672">
        <v>1.9366040000000001E-2</v>
      </c>
      <c r="AA6672">
        <v>0.97370489999999998</v>
      </c>
      <c r="AB6672">
        <v>19</v>
      </c>
      <c r="AC6672">
        <v>3.6761000000000199</v>
      </c>
      <c r="AD6672">
        <v>-1.0577421560219999</v>
      </c>
      <c r="AE6672">
        <v>-28.361713999999999</v>
      </c>
      <c r="AF6672">
        <v>6.5217456370962497</v>
      </c>
      <c r="AG6672">
        <v>-1.0577421560219999</v>
      </c>
      <c r="AH6672">
        <v>27.805292879624702</v>
      </c>
      <c r="AI6672">
        <v>92.121032983840394</v>
      </c>
      <c r="AJ6672">
        <v>76.799857282743204</v>
      </c>
      <c r="AK6672">
        <v>28.579473346185399</v>
      </c>
      <c r="AL6672">
        <v>94.028025318837607</v>
      </c>
      <c r="AM6672">
        <v>81.463149171452898</v>
      </c>
      <c r="AN6672">
        <v>1.0000000290192601</v>
      </c>
    </row>
    <row r="6673" spans="1:40" x14ac:dyDescent="0.25">
      <c r="A6673" t="str">
        <f>"20190305135056533"</f>
        <v>20190305135056533</v>
      </c>
      <c r="B6673" t="str">
        <f>"1551765056526189"</f>
        <v>1551765056526189</v>
      </c>
      <c r="C6673" t="s">
        <v>40</v>
      </c>
      <c r="D6673">
        <v>4.0630509999999997</v>
      </c>
      <c r="E6673">
        <v>0.53111889999999995</v>
      </c>
      <c r="F6673" t="s">
        <v>42</v>
      </c>
      <c r="G6673">
        <v>-303.21280000000002</v>
      </c>
      <c r="H6673" s="1">
        <v>-4.2207040000000002E-6</v>
      </c>
      <c r="I6673">
        <v>-22.285160000000001</v>
      </c>
      <c r="J6673">
        <v>-306.8313</v>
      </c>
      <c r="K6673">
        <v>1.0578989999999999</v>
      </c>
      <c r="L6673">
        <v>5.6985169999999998</v>
      </c>
      <c r="M6673">
        <v>0.34721829999999998</v>
      </c>
      <c r="N6673">
        <v>-1.3807120000000001E-2</v>
      </c>
      <c r="O6673">
        <v>-0.93768289999999999</v>
      </c>
      <c r="P6673">
        <v>0.20764569999999999</v>
      </c>
      <c r="Q6673">
        <v>-8.2850720000000003E-2</v>
      </c>
      <c r="R6673">
        <v>-0.97468949999999999</v>
      </c>
      <c r="S6673">
        <v>0.39019779999999998</v>
      </c>
      <c r="T6673">
        <v>-0.1120975</v>
      </c>
      <c r="U6673">
        <v>-2.9852599999999998</v>
      </c>
      <c r="V6673">
        <v>0.14338870000000001</v>
      </c>
      <c r="W6673">
        <v>-6.9947239999999994E-2</v>
      </c>
      <c r="X6673">
        <v>0.9871915</v>
      </c>
      <c r="Y6673">
        <v>0.22272600000000001</v>
      </c>
      <c r="Z6673">
        <v>1.995311E-2</v>
      </c>
      <c r="AA6673">
        <v>0.97467689999999996</v>
      </c>
      <c r="AB6673">
        <v>19</v>
      </c>
      <c r="AC6673">
        <v>3.6184999999999801</v>
      </c>
      <c r="AD6673">
        <v>-1.057903220704</v>
      </c>
      <c r="AE6673">
        <v>-27.983677</v>
      </c>
      <c r="AF6673">
        <v>6.31516374266588</v>
      </c>
      <c r="AG6673">
        <v>-1.057903220704</v>
      </c>
      <c r="AH6673">
        <v>27.460240708930002</v>
      </c>
      <c r="AI6673">
        <v>92.150151790085403</v>
      </c>
      <c r="AJ6673">
        <v>77.048606057009394</v>
      </c>
      <c r="AK6673">
        <v>28.196901817636601</v>
      </c>
      <c r="AL6673">
        <v>94.010956878225997</v>
      </c>
      <c r="AM6673">
        <v>81.735633471888406</v>
      </c>
      <c r="AN6673">
        <v>0.99999999667177797</v>
      </c>
    </row>
    <row r="6674" spans="1:40" x14ac:dyDescent="0.25">
      <c r="A6674" t="str">
        <f>"20190305135056554"</f>
        <v>20190305135056554</v>
      </c>
      <c r="B6674" t="str">
        <f>"1551765056546686"</f>
        <v>1551765056546686</v>
      </c>
      <c r="C6674" t="s">
        <v>40</v>
      </c>
      <c r="D6674">
        <v>4.0964260000000001</v>
      </c>
      <c r="E6674">
        <v>0.53125619999999996</v>
      </c>
      <c r="F6674" t="s">
        <v>42</v>
      </c>
      <c r="G6674">
        <v>-303.14690000000002</v>
      </c>
      <c r="H6674" s="1">
        <v>-4.1215430000000004E-6</v>
      </c>
      <c r="I6674">
        <v>-22.542159999999999</v>
      </c>
      <c r="J6674">
        <v>-306.77030000000002</v>
      </c>
      <c r="K6674">
        <v>1.0580510000000001</v>
      </c>
      <c r="L6674">
        <v>5.5188600000000001</v>
      </c>
      <c r="M6674">
        <v>0.34323959999999998</v>
      </c>
      <c r="N6674">
        <v>-1.3766799999999999E-2</v>
      </c>
      <c r="O6674">
        <v>-0.93914690000000001</v>
      </c>
      <c r="P6674">
        <v>0.20742920000000001</v>
      </c>
      <c r="Q6674">
        <v>-8.2144919999999996E-2</v>
      </c>
      <c r="R6674">
        <v>-0.97479490000000002</v>
      </c>
      <c r="S6674">
        <v>0.3894958</v>
      </c>
      <c r="T6674">
        <v>-0.1118343</v>
      </c>
      <c r="U6674">
        <v>-2.9854129999999999</v>
      </c>
      <c r="V6674">
        <v>0.13947319999999999</v>
      </c>
      <c r="W6674">
        <v>-6.9204840000000004E-2</v>
      </c>
      <c r="X6674">
        <v>0.98780460000000003</v>
      </c>
      <c r="Y6674">
        <v>0.21882470000000001</v>
      </c>
      <c r="Z6674">
        <v>2.0005769999999999E-2</v>
      </c>
      <c r="AA6674">
        <v>0.97555910000000001</v>
      </c>
      <c r="AB6674">
        <v>19</v>
      </c>
      <c r="AC6674">
        <v>3.6234000000000002</v>
      </c>
      <c r="AD6674">
        <v>-1.0580551215430001</v>
      </c>
      <c r="AE6674">
        <v>-28.061019999999999</v>
      </c>
      <c r="AF6674">
        <v>6.2206403338442504</v>
      </c>
      <c r="AG6674">
        <v>-1.0580551215430001</v>
      </c>
      <c r="AH6674">
        <v>27.5611906714133</v>
      </c>
      <c r="AI6674">
        <v>92.144572525840402</v>
      </c>
      <c r="AJ6674">
        <v>77.281290317614705</v>
      </c>
      <c r="AK6674">
        <v>28.274282979932</v>
      </c>
      <c r="AL6674">
        <v>93.968317124013595</v>
      </c>
      <c r="AM6674">
        <v>81.963241016468899</v>
      </c>
      <c r="AN6674">
        <v>1.00000000558941</v>
      </c>
    </row>
    <row r="6675" spans="1:40" x14ac:dyDescent="0.25">
      <c r="A6675" t="str">
        <f>"20190305135056575"</f>
        <v>20190305135056575</v>
      </c>
      <c r="B6675" t="str">
        <f>"1551765056566205"</f>
        <v>1551765056566205</v>
      </c>
      <c r="C6675" t="s">
        <v>40</v>
      </c>
      <c r="D6675">
        <v>4.0461819999999999</v>
      </c>
      <c r="E6675">
        <v>0.53148479999999998</v>
      </c>
      <c r="F6675" t="s">
        <v>42</v>
      </c>
      <c r="G6675">
        <v>-303.06330000000003</v>
      </c>
      <c r="H6675" s="1">
        <v>-3.9344720000000003E-6</v>
      </c>
      <c r="I6675">
        <v>-23.04832</v>
      </c>
      <c r="J6675">
        <v>-306.71039999999999</v>
      </c>
      <c r="K6675">
        <v>1.058165</v>
      </c>
      <c r="L6675">
        <v>5.3407900000000001</v>
      </c>
      <c r="M6675">
        <v>0.33949400000000002</v>
      </c>
      <c r="N6675">
        <v>-1.373074E-2</v>
      </c>
      <c r="O6675">
        <v>-0.94050809999999996</v>
      </c>
      <c r="P6675">
        <v>0.2069076</v>
      </c>
      <c r="Q6675">
        <v>-8.1759940000000003E-2</v>
      </c>
      <c r="R6675">
        <v>-0.97493850000000004</v>
      </c>
      <c r="S6675">
        <v>0.3874512</v>
      </c>
      <c r="T6675">
        <v>-0.1105868</v>
      </c>
      <c r="U6675">
        <v>-2.9858090000000002</v>
      </c>
      <c r="V6675">
        <v>0.1360992</v>
      </c>
      <c r="W6675">
        <v>-6.8795259999999997E-2</v>
      </c>
      <c r="X6675">
        <v>0.98830370000000001</v>
      </c>
      <c r="Y6675">
        <v>0.21560960000000001</v>
      </c>
      <c r="Z6675">
        <v>1.974745E-2</v>
      </c>
      <c r="AA6675">
        <v>0.97627989999999998</v>
      </c>
      <c r="AB6675">
        <v>19</v>
      </c>
      <c r="AC6675">
        <v>3.64709999999996</v>
      </c>
      <c r="AD6675">
        <v>-1.058168934472</v>
      </c>
      <c r="AE6675">
        <v>-28.389109999999999</v>
      </c>
      <c r="AF6675">
        <v>6.1999161873275597</v>
      </c>
      <c r="AG6675">
        <v>-1.058168934472</v>
      </c>
      <c r="AH6675">
        <v>27.902850824907102</v>
      </c>
      <c r="AI6675">
        <v>92.120148050049906</v>
      </c>
      <c r="AJ6675">
        <v>77.472595948166102</v>
      </c>
      <c r="AK6675">
        <v>28.602932828309498</v>
      </c>
      <c r="AL6675">
        <v>93.944793909305105</v>
      </c>
      <c r="AM6675">
        <v>82.159120805436601</v>
      </c>
      <c r="AN6675">
        <v>0.99999999173639798</v>
      </c>
    </row>
    <row r="6676" spans="1:40" x14ac:dyDescent="0.25">
      <c r="A6676" t="str">
        <f>"20190305135056598"</f>
        <v>20190305135056598</v>
      </c>
      <c r="B6676" t="str">
        <f>"1551765056586702"</f>
        <v>1551765056586702</v>
      </c>
      <c r="C6676" t="s">
        <v>40</v>
      </c>
      <c r="D6676">
        <v>4.0923230000000004</v>
      </c>
      <c r="E6676">
        <v>0.53159049999999997</v>
      </c>
      <c r="F6676" t="s">
        <v>42</v>
      </c>
      <c r="G6676">
        <v>-303.01990000000001</v>
      </c>
      <c r="H6676" s="1">
        <v>-3.8206479999999999E-6</v>
      </c>
      <c r="I6676">
        <v>-23.36017</v>
      </c>
      <c r="J6676">
        <v>-306.65039999999999</v>
      </c>
      <c r="K6676">
        <v>1.0582560000000001</v>
      </c>
      <c r="L6676">
        <v>5.1608890000000001</v>
      </c>
      <c r="M6676">
        <v>0.33590370000000003</v>
      </c>
      <c r="N6676">
        <v>-1.369827E-2</v>
      </c>
      <c r="O6676">
        <v>-0.94179669999999904</v>
      </c>
      <c r="P6676">
        <v>0.2066752</v>
      </c>
      <c r="Q6676">
        <v>-8.2091529999999996E-2</v>
      </c>
      <c r="R6676">
        <v>-0.97495960000000004</v>
      </c>
      <c r="S6676">
        <v>0.38400269999999997</v>
      </c>
      <c r="T6676">
        <v>-0.11010440000000001</v>
      </c>
      <c r="U6676">
        <v>-2.986389</v>
      </c>
      <c r="V6676">
        <v>0.13257189999999999</v>
      </c>
      <c r="W6676">
        <v>-6.9107199999999994E-2</v>
      </c>
      <c r="X6676">
        <v>0.98876129999999995</v>
      </c>
      <c r="Y6676">
        <v>0.21301819999999999</v>
      </c>
      <c r="Z6676">
        <v>1.9704969999999999E-2</v>
      </c>
      <c r="AA6676">
        <v>0.97684950000000004</v>
      </c>
      <c r="AB6676">
        <v>19</v>
      </c>
      <c r="AC6676">
        <v>3.6304999999999801</v>
      </c>
      <c r="AD6676">
        <v>-1.0582598206479901</v>
      </c>
      <c r="AE6676">
        <v>-28.521059000000001</v>
      </c>
      <c r="AF6676">
        <v>6.1533780199565902</v>
      </c>
      <c r="AG6676">
        <v>-1.0582598206479901</v>
      </c>
      <c r="AH6676">
        <v>28.045177687491101</v>
      </c>
      <c r="AI6676">
        <v>92.110816331259898</v>
      </c>
      <c r="AJ6676">
        <v>77.6248574664572</v>
      </c>
      <c r="AK6676">
        <v>28.731793651414002</v>
      </c>
      <c r="AL6676">
        <v>93.962709316536305</v>
      </c>
      <c r="AM6676">
        <v>82.363396333366893</v>
      </c>
      <c r="AN6676">
        <v>1.0000000110695699</v>
      </c>
    </row>
    <row r="6677" spans="1:40" x14ac:dyDescent="0.25">
      <c r="A6677" t="str">
        <f>"20190305135056621"</f>
        <v>20190305135056621</v>
      </c>
      <c r="B6677" t="str">
        <f>"1551765056616957"</f>
        <v>1551765056616957</v>
      </c>
      <c r="C6677" t="s">
        <v>40</v>
      </c>
      <c r="D6677">
        <v>4.0980280000000002</v>
      </c>
      <c r="E6677">
        <v>0.53166969999999902</v>
      </c>
      <c r="F6677" t="s">
        <v>42</v>
      </c>
      <c r="G6677">
        <v>-303.02940000000001</v>
      </c>
      <c r="H6677" s="1">
        <v>-3.9079219999999996E-6</v>
      </c>
      <c r="I6677">
        <v>-23.10866</v>
      </c>
      <c r="J6677">
        <v>-306.58940000000001</v>
      </c>
      <c r="K6677">
        <v>1.058349</v>
      </c>
      <c r="L6677">
        <v>4.9765629999999996</v>
      </c>
      <c r="M6677">
        <v>0.33243440000000002</v>
      </c>
      <c r="N6677">
        <v>-1.3668090000000001E-2</v>
      </c>
      <c r="O6677">
        <v>-0.94302750000000002</v>
      </c>
      <c r="P6677">
        <v>0.2068017</v>
      </c>
      <c r="Q6677">
        <v>-8.1270510000000004E-2</v>
      </c>
      <c r="R6677">
        <v>-0.97500209999999998</v>
      </c>
      <c r="S6677">
        <v>0.38253779999999998</v>
      </c>
      <c r="T6677">
        <v>-0.1118001</v>
      </c>
      <c r="U6677">
        <v>-2.986542</v>
      </c>
      <c r="V6677">
        <v>0.12884780000000001</v>
      </c>
      <c r="W6677">
        <v>-6.8264399999999906E-2</v>
      </c>
      <c r="X6677">
        <v>0.98931199999999997</v>
      </c>
      <c r="Y6677">
        <v>0.2098999</v>
      </c>
      <c r="Z6677">
        <v>2.0319170000000001E-2</v>
      </c>
      <c r="AA6677">
        <v>0.97751169999999998</v>
      </c>
      <c r="AB6677">
        <v>19</v>
      </c>
      <c r="AC6677">
        <v>3.56</v>
      </c>
      <c r="AD6677">
        <v>-1.058352907922</v>
      </c>
      <c r="AE6677">
        <v>-28.085222999999999</v>
      </c>
      <c r="AF6677">
        <v>5.9715282125037596</v>
      </c>
      <c r="AG6677">
        <v>-1.058352907922</v>
      </c>
      <c r="AH6677">
        <v>27.632565347335898</v>
      </c>
      <c r="AI6677">
        <v>92.143965513238697</v>
      </c>
      <c r="AJ6677">
        <v>77.805633543498104</v>
      </c>
      <c r="AK6677">
        <v>28.290244391754999</v>
      </c>
      <c r="AL6677">
        <v>93.914306130485599</v>
      </c>
      <c r="AM6677">
        <v>82.579576927260305</v>
      </c>
      <c r="AN6677">
        <v>1.00000000860809</v>
      </c>
    </row>
    <row r="6678" spans="1:40" x14ac:dyDescent="0.25">
      <c r="A6678" t="str">
        <f>"20190305135056644"</f>
        <v>20190305135056644</v>
      </c>
      <c r="B6678" t="str">
        <f>"1551765056636481"</f>
        <v>1551765056636481</v>
      </c>
      <c r="C6678" t="s">
        <v>40</v>
      </c>
      <c r="D6678">
        <v>4.1195089999999999</v>
      </c>
      <c r="E6678">
        <v>0.53178549999999902</v>
      </c>
      <c r="F6678" t="s">
        <v>42</v>
      </c>
      <c r="G6678">
        <v>-302.9479</v>
      </c>
      <c r="H6678" s="1">
        <v>-3.7599990000000002E-6</v>
      </c>
      <c r="I6678">
        <v>-23.47458</v>
      </c>
      <c r="J6678">
        <v>-306.52960000000002</v>
      </c>
      <c r="K6678">
        <v>1.058457</v>
      </c>
      <c r="L6678">
        <v>4.7940060000000004</v>
      </c>
      <c r="M6678">
        <v>0.32921230000000001</v>
      </c>
      <c r="N6678">
        <v>-1.3640029999999999E-2</v>
      </c>
      <c r="O6678">
        <v>-0.94415749999999998</v>
      </c>
      <c r="P6678">
        <v>0.20878150000000001</v>
      </c>
      <c r="Q6678">
        <v>-7.9964880000000002E-2</v>
      </c>
      <c r="R6678">
        <v>-0.97468770000000005</v>
      </c>
      <c r="S6678">
        <v>0.38226320000000003</v>
      </c>
      <c r="T6678">
        <v>-0.1110973</v>
      </c>
      <c r="U6678">
        <v>-2.9865719999999998</v>
      </c>
      <c r="V6678">
        <v>0.1235213</v>
      </c>
      <c r="W6678">
        <v>-6.6923830000000004E-2</v>
      </c>
      <c r="X6678">
        <v>0.99008269999999998</v>
      </c>
      <c r="Y6678">
        <v>0.20665130000000001</v>
      </c>
      <c r="Z6678">
        <v>2.020657E-2</v>
      </c>
      <c r="AA6678">
        <v>0.97820600000000002</v>
      </c>
      <c r="AB6678">
        <v>19</v>
      </c>
      <c r="AC6678">
        <v>3.5817000000000099</v>
      </c>
      <c r="AD6678">
        <v>-1.0584607599989999</v>
      </c>
      <c r="AE6678">
        <v>-28.268585999999999</v>
      </c>
      <c r="AF6678">
        <v>5.9170634772361703</v>
      </c>
      <c r="AG6678">
        <v>-1.0584607599989999</v>
      </c>
      <c r="AH6678">
        <v>27.8333224729192</v>
      </c>
      <c r="AI6678">
        <v>92.130265201966395</v>
      </c>
      <c r="AJ6678">
        <v>77.998211362676599</v>
      </c>
      <c r="AK6678">
        <v>28.475003410985</v>
      </c>
      <c r="AL6678">
        <v>93.837320960984997</v>
      </c>
      <c r="AM6678">
        <v>82.888604265952495</v>
      </c>
      <c r="AN6678">
        <v>1.00000003170742</v>
      </c>
    </row>
    <row r="6679" spans="1:40" x14ac:dyDescent="0.25">
      <c r="A6679" t="str">
        <f>"20190305135056678"</f>
        <v>20190305135056678</v>
      </c>
      <c r="B6679" t="str">
        <f>"1551765056666733"</f>
        <v>1551765056666733</v>
      </c>
      <c r="C6679" t="s">
        <v>40</v>
      </c>
      <c r="D6679">
        <v>4.0994449999999896</v>
      </c>
      <c r="E6679">
        <v>0.53193809999999997</v>
      </c>
      <c r="F6679" t="s">
        <v>42</v>
      </c>
      <c r="G6679">
        <v>-302.7407</v>
      </c>
      <c r="H6679" s="1">
        <v>-3.297034E-6</v>
      </c>
      <c r="I6679">
        <v>-24.425280000000001</v>
      </c>
      <c r="J6679">
        <v>-306.44220000000001</v>
      </c>
      <c r="K6679">
        <v>1.0586500000000001</v>
      </c>
      <c r="L6679">
        <v>4.5250849999999998</v>
      </c>
      <c r="M6679">
        <v>0.32487559999999999</v>
      </c>
      <c r="N6679">
        <v>-1.360166E-2</v>
      </c>
      <c r="O6679">
        <v>-0.94565920000000003</v>
      </c>
      <c r="P6679">
        <v>0.2082833</v>
      </c>
      <c r="Q6679">
        <v>-7.9249130000000001E-2</v>
      </c>
      <c r="R6679">
        <v>-0.97485299999999997</v>
      </c>
      <c r="S6679">
        <v>0.38720700000000002</v>
      </c>
      <c r="T6679">
        <v>-0.10817</v>
      </c>
      <c r="U6679">
        <v>-2.986084</v>
      </c>
      <c r="V6679">
        <v>0.11953900000000001</v>
      </c>
      <c r="W6679">
        <v>-6.6167169999999997E-2</v>
      </c>
      <c r="X6679">
        <v>0.99062220000000001</v>
      </c>
      <c r="Y6679">
        <v>0.20054549999999999</v>
      </c>
      <c r="Z6679">
        <v>1.946583E-2</v>
      </c>
      <c r="AA6679">
        <v>0.979491</v>
      </c>
      <c r="AB6679">
        <v>19</v>
      </c>
      <c r="AC6679">
        <v>3.7014999999999998</v>
      </c>
      <c r="AD6679">
        <v>-1.0586532970339999</v>
      </c>
      <c r="AE6679">
        <v>-28.950365000000001</v>
      </c>
      <c r="AF6679">
        <v>5.89769493487458</v>
      </c>
      <c r="AG6679">
        <v>-1.0586532970339999</v>
      </c>
      <c r="AH6679">
        <v>28.5447867865178</v>
      </c>
      <c r="AI6679">
        <v>92.080086664182602</v>
      </c>
      <c r="AJ6679">
        <v>78.326267136117494</v>
      </c>
      <c r="AK6679">
        <v>29.166905990110202</v>
      </c>
      <c r="AL6679">
        <v>93.793871327133402</v>
      </c>
      <c r="AM6679">
        <v>83.119351067099004</v>
      </c>
      <c r="AN6679">
        <v>1.0000000050198199</v>
      </c>
    </row>
    <row r="6680" spans="1:40" x14ac:dyDescent="0.25">
      <c r="A6680" t="str">
        <f>"20190305135056698"</f>
        <v>20190305135056698</v>
      </c>
      <c r="B6680" t="str">
        <f>"1551765056696015"</f>
        <v>1551765056696015</v>
      </c>
      <c r="C6680" t="s">
        <v>40</v>
      </c>
      <c r="D6680">
        <v>4.1433160000000004</v>
      </c>
      <c r="E6680">
        <v>0.53201759999999998</v>
      </c>
      <c r="F6680" t="s">
        <v>42</v>
      </c>
      <c r="G6680">
        <v>-302.67270000000002</v>
      </c>
      <c r="H6680" s="1">
        <v>-3.1278130000000001E-6</v>
      </c>
      <c r="I6680">
        <v>-24.777550000000002</v>
      </c>
      <c r="J6680">
        <v>-306.3852</v>
      </c>
      <c r="K6680">
        <v>1.0587819999999999</v>
      </c>
      <c r="L6680">
        <v>4.3488769999999999</v>
      </c>
      <c r="M6680">
        <v>0.32228519999999999</v>
      </c>
      <c r="N6680">
        <v>-1.357916E-2</v>
      </c>
      <c r="O6680">
        <v>-0.94654530000000003</v>
      </c>
      <c r="P6680">
        <v>0.20824319999999999</v>
      </c>
      <c r="Q6680">
        <v>-7.9369449999999994E-2</v>
      </c>
      <c r="R6680">
        <v>-0.97485169999999999</v>
      </c>
      <c r="S6680">
        <v>0.38418580000000002</v>
      </c>
      <c r="T6680">
        <v>-0.10789849999999999</v>
      </c>
      <c r="U6680">
        <v>-2.986542</v>
      </c>
      <c r="V6680">
        <v>0.1168886</v>
      </c>
      <c r="W6680">
        <v>-6.6257360000000001E-2</v>
      </c>
      <c r="X6680">
        <v>0.99093240000000005</v>
      </c>
      <c r="Y6680">
        <v>0.19885739999999999</v>
      </c>
      <c r="Z6680">
        <v>1.9451420000000001E-2</v>
      </c>
      <c r="AA6680">
        <v>0.97983540000000002</v>
      </c>
      <c r="AB6680">
        <v>19</v>
      </c>
      <c r="AC6680">
        <v>3.7124999999999702</v>
      </c>
      <c r="AD6680">
        <v>-1.0587851278129901</v>
      </c>
      <c r="AE6680">
        <v>-29.126427</v>
      </c>
      <c r="AF6680">
        <v>5.8658806509736596</v>
      </c>
      <c r="AG6680">
        <v>-1.0587851278129901</v>
      </c>
      <c r="AH6680">
        <v>28.731257608364501</v>
      </c>
      <c r="AI6680">
        <v>92.0678520170582</v>
      </c>
      <c r="AJ6680">
        <v>78.460863799432104</v>
      </c>
      <c r="AK6680">
        <v>29.343052764096502</v>
      </c>
      <c r="AL6680">
        <v>93.799050209799205</v>
      </c>
      <c r="AM6680">
        <v>83.272580251366804</v>
      </c>
      <c r="AN6680">
        <v>1.0000000019669399</v>
      </c>
    </row>
    <row r="6681" spans="1:40" x14ac:dyDescent="0.25">
      <c r="A6681" t="str">
        <f>"20190305135056722"</f>
        <v>20190305135056722</v>
      </c>
      <c r="B6681" t="str">
        <f>"1551765056716513"</f>
        <v>1551765056716513</v>
      </c>
      <c r="C6681" t="s">
        <v>40</v>
      </c>
      <c r="D6681">
        <v>4.1103480000000001</v>
      </c>
      <c r="E6681">
        <v>0.53258289999999997</v>
      </c>
      <c r="F6681" t="s">
        <v>42</v>
      </c>
      <c r="G6681">
        <v>-302.66219999999998</v>
      </c>
      <c r="H6681" s="1">
        <v>-3.1814749999999999E-6</v>
      </c>
      <c r="I6681">
        <v>-24.645980000000002</v>
      </c>
      <c r="J6681">
        <v>-306.32679999999999</v>
      </c>
      <c r="K6681">
        <v>1.058897</v>
      </c>
      <c r="L6681">
        <v>4.1672669999999998</v>
      </c>
      <c r="M6681">
        <v>0.31980750000000002</v>
      </c>
      <c r="N6681">
        <v>-1.3558539999999999E-2</v>
      </c>
      <c r="O6681">
        <v>-0.9473857</v>
      </c>
      <c r="P6681">
        <v>0.208152</v>
      </c>
      <c r="Q6681">
        <v>-8.0294729999999995E-2</v>
      </c>
      <c r="R6681">
        <v>-0.97479539999999998</v>
      </c>
      <c r="S6681">
        <v>0.38348389999999999</v>
      </c>
      <c r="T6681">
        <v>-0.1090597</v>
      </c>
      <c r="U6681">
        <v>-2.9866030000000001</v>
      </c>
      <c r="V6681">
        <v>0.1143845</v>
      </c>
      <c r="W6681">
        <v>-6.7157140000000004E-2</v>
      </c>
      <c r="X6681">
        <v>0.99116400000000004</v>
      </c>
      <c r="Y6681">
        <v>0.19652320000000001</v>
      </c>
      <c r="Z6681">
        <v>1.9874510000000001E-2</v>
      </c>
      <c r="AA6681">
        <v>0.98029770000000005</v>
      </c>
      <c r="AB6681">
        <v>19</v>
      </c>
      <c r="AC6681">
        <v>3.6646000000000001</v>
      </c>
      <c r="AD6681">
        <v>-1.0589001814750001</v>
      </c>
      <c r="AE6681">
        <v>-28.813247</v>
      </c>
      <c r="AF6681">
        <v>5.7358063886878199</v>
      </c>
      <c r="AG6681">
        <v>-1.0589001814750001</v>
      </c>
      <c r="AH6681">
        <v>28.434045520202599</v>
      </c>
      <c r="AI6681">
        <v>92.090667819760895</v>
      </c>
      <c r="AJ6681">
        <v>78.595164871408599</v>
      </c>
      <c r="AK6681">
        <v>29.0261208081237</v>
      </c>
      <c r="AL6681">
        <v>93.850718960335897</v>
      </c>
      <c r="AM6681">
        <v>83.416947317936902</v>
      </c>
      <c r="AN6681">
        <v>0.99999998509461396</v>
      </c>
    </row>
    <row r="6682" spans="1:40" x14ac:dyDescent="0.25">
      <c r="A6682" t="str">
        <f>"20190305135056743"</f>
        <v>20190305135056743</v>
      </c>
      <c r="B6682" t="str">
        <f>"1551765056737005"</f>
        <v>1551765056737005</v>
      </c>
      <c r="C6682" t="s">
        <v>40</v>
      </c>
      <c r="D6682">
        <v>4.0964879999999999</v>
      </c>
      <c r="E6682">
        <v>0.56468419999999997</v>
      </c>
      <c r="F6682" t="s">
        <v>42</v>
      </c>
      <c r="G6682">
        <v>-302.71969999999999</v>
      </c>
      <c r="H6682" s="1">
        <v>-3.3578089999999999E-6</v>
      </c>
      <c r="I6682">
        <v>-24.270589999999999</v>
      </c>
      <c r="J6682">
        <v>-306.2704</v>
      </c>
      <c r="K6682">
        <v>1.058994</v>
      </c>
      <c r="L6682">
        <v>3.9910890000000001</v>
      </c>
      <c r="M6682">
        <v>0.31760899999999997</v>
      </c>
      <c r="N6682">
        <v>-1.354033E-2</v>
      </c>
      <c r="O6682">
        <v>-0.94812510000000005</v>
      </c>
      <c r="P6682">
        <v>0.2082772</v>
      </c>
      <c r="Q6682">
        <v>-8.0464899999999895E-2</v>
      </c>
      <c r="R6682">
        <v>-0.97475449999999997</v>
      </c>
      <c r="S6682">
        <v>0.37893680000000002</v>
      </c>
      <c r="T6682">
        <v>-0.1112409</v>
      </c>
      <c r="U6682">
        <v>-2.9874879999999999</v>
      </c>
      <c r="V6682">
        <v>0.1119728</v>
      </c>
      <c r="W6682">
        <v>-6.7306119999999997E-2</v>
      </c>
      <c r="X6682">
        <v>0.99142929999999996</v>
      </c>
      <c r="Y6682">
        <v>0.19575480000000001</v>
      </c>
      <c r="Z6682">
        <v>2.0585900000000001E-2</v>
      </c>
      <c r="AA6682">
        <v>0.9804368</v>
      </c>
      <c r="AB6682">
        <v>19</v>
      </c>
      <c r="AC6682">
        <v>3.5507</v>
      </c>
      <c r="AD6682">
        <v>-1.058997357809</v>
      </c>
      <c r="AE6682">
        <v>-28.261679000000001</v>
      </c>
      <c r="AF6682">
        <v>5.6024260048874197</v>
      </c>
      <c r="AG6682">
        <v>-1.058997357809</v>
      </c>
      <c r="AH6682">
        <v>27.887353485465699</v>
      </c>
      <c r="AI6682">
        <v>92.132151740985805</v>
      </c>
      <c r="AJ6682">
        <v>78.640776247309404</v>
      </c>
      <c r="AK6682">
        <v>28.464243130064101</v>
      </c>
      <c r="AL6682">
        <v>93.859274033370994</v>
      </c>
      <c r="AM6682">
        <v>83.556275207459905</v>
      </c>
      <c r="AN6682">
        <v>1.0000000393138899</v>
      </c>
    </row>
    <row r="6683" spans="1:40" x14ac:dyDescent="0.25">
      <c r="A6683" t="str">
        <f>"20190305135056777"</f>
        <v>20190305135056777</v>
      </c>
      <c r="B6683" t="str">
        <f>"1551765056766285"</f>
        <v>1551765056766285</v>
      </c>
      <c r="C6683" t="s">
        <v>40</v>
      </c>
      <c r="D6683">
        <v>4.0932399999999998</v>
      </c>
      <c r="E6683">
        <v>0.56423480000000004</v>
      </c>
      <c r="F6683" t="s">
        <v>85</v>
      </c>
      <c r="G6683">
        <v>-304.04020000000003</v>
      </c>
      <c r="H6683" s="1">
        <v>-4.440397E-6</v>
      </c>
      <c r="I6683">
        <v>-47.386890000000001</v>
      </c>
      <c r="J6683">
        <v>-306.18430000000001</v>
      </c>
      <c r="K6683">
        <v>1.059123</v>
      </c>
      <c r="L6683">
        <v>3.7214360000000002</v>
      </c>
      <c r="M6683">
        <v>0.31463160000000001</v>
      </c>
      <c r="N6683">
        <v>-1.3515050000000001E-2</v>
      </c>
      <c r="O6683">
        <v>-0.94911789999999996</v>
      </c>
      <c r="P6683">
        <v>0.2080448</v>
      </c>
      <c r="Q6683">
        <v>-8.1580180000000002E-2</v>
      </c>
      <c r="R6683">
        <v>-0.97471140000000001</v>
      </c>
      <c r="S6683">
        <v>0.13214110000000001</v>
      </c>
      <c r="T6683">
        <v>-6.2748429999999994E-2</v>
      </c>
      <c r="U6683">
        <v>-3.0442809999999998</v>
      </c>
      <c r="V6683">
        <v>0.1090906</v>
      </c>
      <c r="W6683">
        <v>-6.8400240000000001E-2</v>
      </c>
      <c r="X6683">
        <v>0.99167570000000005</v>
      </c>
      <c r="Y6683">
        <v>0.27313690000000002</v>
      </c>
      <c r="Z6683">
        <v>5.2209270000000002E-3</v>
      </c>
      <c r="AA6683">
        <v>0.96196099999999996</v>
      </c>
      <c r="AB6683">
        <v>19</v>
      </c>
      <c r="AC6683">
        <v>2.1440999999999799</v>
      </c>
      <c r="AD6683">
        <v>-1.0591274403969999</v>
      </c>
      <c r="AE6683">
        <v>-51.108325999999998</v>
      </c>
      <c r="AF6683">
        <v>14.0405510423036</v>
      </c>
      <c r="AG6683">
        <v>-1.0591274403969999</v>
      </c>
      <c r="AH6683">
        <v>49.165831811706802</v>
      </c>
      <c r="AI6683">
        <v>91.186646593355704</v>
      </c>
      <c r="AJ6683">
        <v>74.061962487776299</v>
      </c>
      <c r="AK6683">
        <v>51.142329261029701</v>
      </c>
      <c r="AL6683">
        <v>93.922107367573204</v>
      </c>
      <c r="AM6683">
        <v>83.722343410234103</v>
      </c>
      <c r="AN6683">
        <v>1.00000002290545</v>
      </c>
    </row>
    <row r="6684" spans="1:40" x14ac:dyDescent="0.25">
      <c r="A6684" t="str">
        <f>"20190305135056799"</f>
        <v>20190305135056799</v>
      </c>
      <c r="B6684" t="str">
        <f>"1551765056796542"</f>
        <v>1551765056796542</v>
      </c>
      <c r="C6684" t="s">
        <v>40</v>
      </c>
      <c r="D6684">
        <v>4.1186230000000004</v>
      </c>
      <c r="E6684">
        <v>0.56337869999999901</v>
      </c>
      <c r="F6684" t="s">
        <v>85</v>
      </c>
      <c r="G6684">
        <v>-303.98849999999999</v>
      </c>
      <c r="H6684" s="1">
        <v>-3.9146179999999998E-6</v>
      </c>
      <c r="I6684">
        <v>-45.893050000000002</v>
      </c>
      <c r="J6684">
        <v>-306.12700000000001</v>
      </c>
      <c r="K6684">
        <v>1.059186</v>
      </c>
      <c r="L6684">
        <v>3.5406490000000002</v>
      </c>
      <c r="M6684">
        <v>0.31283719999999998</v>
      </c>
      <c r="N6684">
        <v>-1.3500109999999999E-2</v>
      </c>
      <c r="O6684">
        <v>-0.94971079999999997</v>
      </c>
      <c r="P6684">
        <v>0.20795359999999999</v>
      </c>
      <c r="Q6684">
        <v>-8.1815689999999996E-2</v>
      </c>
      <c r="R6684">
        <v>-0.97471099999999999</v>
      </c>
      <c r="S6684">
        <v>0.13470460000000001</v>
      </c>
      <c r="T6684">
        <v>-6.4973000000000003E-2</v>
      </c>
      <c r="U6684">
        <v>-3.0436399999999999</v>
      </c>
      <c r="V6684">
        <v>0.1073157</v>
      </c>
      <c r="W6684">
        <v>-6.8626259999999994E-2</v>
      </c>
      <c r="X6684">
        <v>0.99185369999999995</v>
      </c>
      <c r="Y6684">
        <v>0.27049980000000001</v>
      </c>
      <c r="Z6684">
        <v>5.9283560000000001E-3</v>
      </c>
      <c r="AA6684">
        <v>0.96270180000000005</v>
      </c>
      <c r="AB6684">
        <v>19</v>
      </c>
      <c r="AC6684">
        <v>2.1385000000000201</v>
      </c>
      <c r="AD6684">
        <v>-1.0591899146179999</v>
      </c>
      <c r="AE6684">
        <v>-49.433698999999997</v>
      </c>
      <c r="AF6684">
        <v>13.4288144017604</v>
      </c>
      <c r="AG6684">
        <v>-1.0591899146179999</v>
      </c>
      <c r="AH6684">
        <v>47.599248918510199</v>
      </c>
      <c r="AI6684">
        <v>91.226873950215406</v>
      </c>
      <c r="AJ6684">
        <v>74.245051854427302</v>
      </c>
      <c r="AK6684">
        <v>49.468610624500599</v>
      </c>
      <c r="AL6684">
        <v>93.935087980247104</v>
      </c>
      <c r="AM6684">
        <v>83.824784652262593</v>
      </c>
      <c r="AN6684">
        <v>0.99999999261588302</v>
      </c>
    </row>
    <row r="6685" spans="1:40" x14ac:dyDescent="0.25">
      <c r="A6685" t="str">
        <f>"20190305135056821"</f>
        <v>20190305135056821</v>
      </c>
      <c r="B6685" t="str">
        <f>"1551765056817037"</f>
        <v>1551765056817037</v>
      </c>
      <c r="C6685" t="s">
        <v>40</v>
      </c>
      <c r="D6685">
        <v>4.0924339999999999</v>
      </c>
      <c r="E6685">
        <v>0.56260149999999998</v>
      </c>
      <c r="F6685" t="s">
        <v>85</v>
      </c>
      <c r="G6685">
        <v>-303.97829999999999</v>
      </c>
      <c r="H6685" s="1">
        <v>-2.1310730000000001E-6</v>
      </c>
      <c r="I6685">
        <v>-42.858139999999999</v>
      </c>
      <c r="J6685">
        <v>-306.07049999999998</v>
      </c>
      <c r="K6685">
        <v>1.0592280000000001</v>
      </c>
      <c r="L6685">
        <v>3.3621219999999998</v>
      </c>
      <c r="M6685">
        <v>0.31116339999999998</v>
      </c>
      <c r="N6685">
        <v>-1.3487280000000001E-2</v>
      </c>
      <c r="O6685">
        <v>-0.95026089999999996</v>
      </c>
      <c r="P6685">
        <v>0.20752860000000001</v>
      </c>
      <c r="Q6685">
        <v>-8.2226060000000004E-2</v>
      </c>
      <c r="R6685">
        <v>-0.9747671</v>
      </c>
      <c r="S6685">
        <v>0.1408691</v>
      </c>
      <c r="T6685">
        <v>-6.9441680000000006E-2</v>
      </c>
      <c r="U6685">
        <v>-3.0419619999999998</v>
      </c>
      <c r="V6685">
        <v>0.1059981</v>
      </c>
      <c r="W6685">
        <v>-6.9033410000000003E-2</v>
      </c>
      <c r="X6685">
        <v>0.99196709999999999</v>
      </c>
      <c r="Y6685">
        <v>0.2668297</v>
      </c>
      <c r="Z6685">
        <v>7.3152249999999999E-3</v>
      </c>
      <c r="AA6685">
        <v>0.96371589999999996</v>
      </c>
      <c r="AB6685">
        <v>19</v>
      </c>
      <c r="AC6685">
        <v>2.0921999999999898</v>
      </c>
      <c r="AD6685">
        <v>-1.0592301310729999</v>
      </c>
      <c r="AE6685">
        <v>-46.220261999999998</v>
      </c>
      <c r="AF6685">
        <v>12.3885502641192</v>
      </c>
      <c r="AG6685">
        <v>-1.0592301310729999</v>
      </c>
      <c r="AH6685">
        <v>44.553019746046601</v>
      </c>
      <c r="AI6685">
        <v>91.312162740732006</v>
      </c>
      <c r="AJ6685">
        <v>74.460714025706693</v>
      </c>
      <c r="AK6685">
        <v>46.255483076158697</v>
      </c>
      <c r="AL6685">
        <v>93.958471509857503</v>
      </c>
      <c r="AM6685">
        <v>83.900719623834604</v>
      </c>
      <c r="AN6685">
        <v>0.99999996819112302</v>
      </c>
    </row>
    <row r="6686" spans="1:40" x14ac:dyDescent="0.25">
      <c r="A6686" t="str">
        <f>"20190305135056844"</f>
        <v>20190305135056844</v>
      </c>
      <c r="B6686" t="str">
        <f>"1551765056836561"</f>
        <v>1551765056836561</v>
      </c>
      <c r="C6686" t="s">
        <v>40</v>
      </c>
      <c r="D6686">
        <v>4.1304100000000004</v>
      </c>
      <c r="E6686">
        <v>0.56224099999999999</v>
      </c>
      <c r="F6686" t="s">
        <v>85</v>
      </c>
      <c r="G6686">
        <v>-303.95740000000001</v>
      </c>
      <c r="H6686" s="1">
        <v>-1.2045409999999999E-6</v>
      </c>
      <c r="I6686">
        <v>-40.755209999999998</v>
      </c>
      <c r="J6686">
        <v>-306.01479999999998</v>
      </c>
      <c r="K6686">
        <v>1.0592490000000001</v>
      </c>
      <c r="L6686">
        <v>3.1855769999999999</v>
      </c>
      <c r="M6686">
        <v>0.3095772</v>
      </c>
      <c r="N6686">
        <v>-1.3476439999999999E-2</v>
      </c>
      <c r="O6686">
        <v>-0.95077889999999998</v>
      </c>
      <c r="P6686">
        <v>0.2070872</v>
      </c>
      <c r="Q6686">
        <v>-8.2781300000000002E-2</v>
      </c>
      <c r="R6686">
        <v>-0.97481379999999995</v>
      </c>
      <c r="S6686">
        <v>0.14562990000000001</v>
      </c>
      <c r="T6686">
        <v>-7.3000430000000005E-2</v>
      </c>
      <c r="U6686">
        <v>-3.0404969999999998</v>
      </c>
      <c r="V6686">
        <v>0.1047816</v>
      </c>
      <c r="W6686">
        <v>-6.9590050000000001E-2</v>
      </c>
      <c r="X6686">
        <v>0.99205750000000004</v>
      </c>
      <c r="Y6686">
        <v>0.26369199999999998</v>
      </c>
      <c r="Z6686">
        <v>8.4281700000000005E-3</v>
      </c>
      <c r="AA6686">
        <v>0.96457009999999999</v>
      </c>
      <c r="AB6686">
        <v>19</v>
      </c>
      <c r="AC6686">
        <v>2.0573999999999701</v>
      </c>
      <c r="AD6686">
        <v>-1.0592502045409999</v>
      </c>
      <c r="AE6686">
        <v>-43.940787</v>
      </c>
      <c r="AF6686">
        <v>11.641239962237901</v>
      </c>
      <c r="AG6686">
        <v>-1.0592502045409999</v>
      </c>
      <c r="AH6686">
        <v>42.394163718039898</v>
      </c>
      <c r="AI6686">
        <v>91.380211232733004</v>
      </c>
      <c r="AJ6686">
        <v>74.645305975027199</v>
      </c>
      <c r="AK6686">
        <v>43.976193516562901</v>
      </c>
      <c r="AL6686">
        <v>93.9904413090769</v>
      </c>
      <c r="AM6686">
        <v>83.970745501194799</v>
      </c>
      <c r="AN6686">
        <v>1.0000000210319</v>
      </c>
    </row>
    <row r="6687" spans="1:40" x14ac:dyDescent="0.25">
      <c r="A6687" t="str">
        <f>"20190305135056866"</f>
        <v>20190305135056866</v>
      </c>
      <c r="B6687" t="str">
        <f>"1551765056857055"</f>
        <v>1551765056857055</v>
      </c>
      <c r="C6687" t="s">
        <v>40</v>
      </c>
      <c r="D6687">
        <v>4.1035690000000002</v>
      </c>
      <c r="E6687">
        <v>0.56285659999999904</v>
      </c>
      <c r="F6687" t="s">
        <v>42</v>
      </c>
      <c r="G6687">
        <v>-303.94529999999997</v>
      </c>
      <c r="H6687" s="1">
        <v>-1.400494E-6</v>
      </c>
      <c r="I6687">
        <v>-39.593260000000001</v>
      </c>
      <c r="J6687">
        <v>-305.9579</v>
      </c>
      <c r="K6687">
        <v>1.0592509999999999</v>
      </c>
      <c r="L6687">
        <v>3.0042719999999998</v>
      </c>
      <c r="M6687">
        <v>0.30799100000000001</v>
      </c>
      <c r="N6687">
        <v>-1.346146E-2</v>
      </c>
      <c r="O6687">
        <v>-0.95129410000000003</v>
      </c>
      <c r="P6687">
        <v>0.2072698</v>
      </c>
      <c r="Q6687">
        <v>-8.4066349999999998E-2</v>
      </c>
      <c r="R6687">
        <v>-0.97466520000000001</v>
      </c>
      <c r="S6687">
        <v>0.14706420000000001</v>
      </c>
      <c r="T6687">
        <v>-7.5270889999999993E-2</v>
      </c>
      <c r="U6687">
        <v>-3.0398860000000001</v>
      </c>
      <c r="V6687">
        <v>0.1029072</v>
      </c>
      <c r="W6687">
        <v>-7.0884929999999999E-2</v>
      </c>
      <c r="X6687">
        <v>0.99216199999999999</v>
      </c>
      <c r="Y6687">
        <v>0.26161879999999998</v>
      </c>
      <c r="Z6687">
        <v>9.1516410000000003E-3</v>
      </c>
      <c r="AA6687">
        <v>0.96512790000000004</v>
      </c>
      <c r="AB6687">
        <v>19</v>
      </c>
      <c r="AC6687">
        <v>2.0126000000000199</v>
      </c>
      <c r="AD6687">
        <v>-1.059252400494</v>
      </c>
      <c r="AE6687">
        <v>-42.597532000000001</v>
      </c>
      <c r="AF6687">
        <v>11.1991870896872</v>
      </c>
      <c r="AG6687">
        <v>-1.059252400494</v>
      </c>
      <c r="AH6687">
        <v>41.1209988146786</v>
      </c>
      <c r="AI6687">
        <v>91.423744050674998</v>
      </c>
      <c r="AJ6687">
        <v>74.765154539940795</v>
      </c>
      <c r="AK6687">
        <v>42.631917041514399</v>
      </c>
      <c r="AL6687">
        <v>94.064816242437701</v>
      </c>
      <c r="AM6687">
        <v>84.0784465226197</v>
      </c>
      <c r="AN6687">
        <v>0.99999999967847197</v>
      </c>
    </row>
    <row r="6688" spans="1:40" x14ac:dyDescent="0.25">
      <c r="A6688" t="str">
        <f>"20190305135056889"</f>
        <v>20190305135056889</v>
      </c>
      <c r="B6688" t="str">
        <f>"1551765056886333"</f>
        <v>1551765056886333</v>
      </c>
      <c r="C6688" t="s">
        <v>40</v>
      </c>
      <c r="D6688">
        <v>4.0753719999999998</v>
      </c>
      <c r="E6688">
        <v>0.56549159999999998</v>
      </c>
      <c r="F6688" t="s">
        <v>85</v>
      </c>
      <c r="G6688">
        <v>-303.84679999999997</v>
      </c>
      <c r="H6688" s="1">
        <v>-1.5438290000000001E-6</v>
      </c>
      <c r="I6688">
        <v>-41.72054</v>
      </c>
      <c r="J6688">
        <v>-305.90219999999999</v>
      </c>
      <c r="K6688">
        <v>1.0592269999999999</v>
      </c>
      <c r="L6688">
        <v>2.8257140000000001</v>
      </c>
      <c r="M6688">
        <v>0.30644310000000002</v>
      </c>
      <c r="N6688">
        <v>-1.344011E-2</v>
      </c>
      <c r="O6688">
        <v>-0.95179429999999998</v>
      </c>
      <c r="P6688">
        <v>0.2067174</v>
      </c>
      <c r="Q6688">
        <v>-8.3924310000000002E-2</v>
      </c>
      <c r="R6688">
        <v>-0.97479470000000001</v>
      </c>
      <c r="S6688">
        <v>0.14355470000000001</v>
      </c>
      <c r="T6688">
        <v>-7.2028519999999999E-2</v>
      </c>
      <c r="U6688">
        <v>-3.0412599999999999</v>
      </c>
      <c r="V6688">
        <v>0.1018574</v>
      </c>
      <c r="W6688">
        <v>-7.0765110000000006E-2</v>
      </c>
      <c r="X6688">
        <v>0.99227889999999996</v>
      </c>
      <c r="Y6688">
        <v>0.26118279999999999</v>
      </c>
      <c r="Z6688">
        <v>8.2103839999999994E-3</v>
      </c>
      <c r="AA6688">
        <v>0.96525439999999996</v>
      </c>
      <c r="AB6688">
        <v>19</v>
      </c>
      <c r="AC6688">
        <v>2.0554000000000201</v>
      </c>
      <c r="AD6688">
        <v>-1.0592285438289999</v>
      </c>
      <c r="AE6688">
        <v>-44.546253999999998</v>
      </c>
      <c r="AF6688">
        <v>11.6890332479071</v>
      </c>
      <c r="AG6688">
        <v>-1.0592285438289999</v>
      </c>
      <c r="AH6688">
        <v>43.008346675005598</v>
      </c>
      <c r="AI6688">
        <v>91.361452585235497</v>
      </c>
      <c r="AJ6688">
        <v>74.795131817214696</v>
      </c>
      <c r="AK6688">
        <v>44.581087325189799</v>
      </c>
      <c r="AL6688">
        <v>94.057933683551695</v>
      </c>
      <c r="AM6688">
        <v>84.139117791299498</v>
      </c>
      <c r="AN6688">
        <v>1.0000000230566399</v>
      </c>
    </row>
    <row r="6689" spans="1:40" x14ac:dyDescent="0.25">
      <c r="A6689" t="str">
        <f>"20190305135056911"</f>
        <v>20190305135056911</v>
      </c>
      <c r="B6689" t="str">
        <f>"1551765056906830"</f>
        <v>1551765056906830</v>
      </c>
      <c r="C6689" t="s">
        <v>40</v>
      </c>
      <c r="D6689">
        <v>4.1143460000000003</v>
      </c>
      <c r="E6689">
        <v>0.59380109999999997</v>
      </c>
      <c r="F6689" t="s">
        <v>85</v>
      </c>
      <c r="G6689">
        <v>-303.55849999999998</v>
      </c>
      <c r="H6689" s="1">
        <v>-7.9683800000000001E-6</v>
      </c>
      <c r="I6689">
        <v>-55.38035</v>
      </c>
      <c r="J6689">
        <v>-305.84739999999999</v>
      </c>
      <c r="K6689">
        <v>1.0591999999999999</v>
      </c>
      <c r="L6689">
        <v>2.6490480000000001</v>
      </c>
      <c r="M6689">
        <v>0.30489490000000002</v>
      </c>
      <c r="N6689">
        <v>-1.34185E-2</v>
      </c>
      <c r="O6689">
        <v>-0.95229180000000002</v>
      </c>
      <c r="P6689">
        <v>0.2056653</v>
      </c>
      <c r="Q6689">
        <v>-8.3163619999999994E-2</v>
      </c>
      <c r="R6689">
        <v>-0.97508269999999997</v>
      </c>
      <c r="S6689">
        <v>0.1226807</v>
      </c>
      <c r="T6689">
        <v>-5.5445429999999997E-2</v>
      </c>
      <c r="U6689">
        <v>-3.046783</v>
      </c>
      <c r="V6689">
        <v>0.1013307</v>
      </c>
      <c r="W6689">
        <v>-7.0031469999999998E-2</v>
      </c>
      <c r="X6689">
        <v>0.99238490000000001</v>
      </c>
      <c r="Y6689">
        <v>0.26630029999999999</v>
      </c>
      <c r="Z6689">
        <v>3.2290959999999999E-3</v>
      </c>
      <c r="AA6689">
        <v>0.96388470000000004</v>
      </c>
      <c r="AB6689">
        <v>19</v>
      </c>
      <c r="AC6689">
        <v>2.2889000000000101</v>
      </c>
      <c r="AD6689">
        <v>-1.05920796838</v>
      </c>
      <c r="AE6689">
        <v>-58.029398</v>
      </c>
      <c r="AF6689">
        <v>15.5093994864928</v>
      </c>
      <c r="AG6689">
        <v>-1.05920796838</v>
      </c>
      <c r="AH6689">
        <v>55.945204433578198</v>
      </c>
      <c r="AI6689">
        <v>91.045236319880601</v>
      </c>
      <c r="AJ6689">
        <v>74.505305602628397</v>
      </c>
      <c r="AK6689">
        <v>58.064871420392898</v>
      </c>
      <c r="AL6689">
        <v>94.015794536327704</v>
      </c>
      <c r="AM6689">
        <v>84.169833316280503</v>
      </c>
      <c r="AN6689">
        <v>1.0000000536504201</v>
      </c>
    </row>
    <row r="6690" spans="1:40" x14ac:dyDescent="0.25">
      <c r="A6690" t="str">
        <f>"20190305135056956"</f>
        <v>20190305135056956</v>
      </c>
      <c r="B6690" t="str">
        <f>"1551765056946846"</f>
        <v>1551765056946846</v>
      </c>
      <c r="C6690" t="s">
        <v>40</v>
      </c>
      <c r="D6690">
        <v>4.0060739999999999</v>
      </c>
      <c r="E6690">
        <v>0.59835969999999905</v>
      </c>
      <c r="F6690" t="s">
        <v>109</v>
      </c>
      <c r="G6690">
        <v>-308.5994</v>
      </c>
      <c r="H6690">
        <v>4.3407689999999999</v>
      </c>
      <c r="I6690">
        <v>-91.564989999999995</v>
      </c>
      <c r="J6690">
        <v>-305.73880000000003</v>
      </c>
      <c r="K6690">
        <v>1.0591029999999999</v>
      </c>
      <c r="L6690">
        <v>2.2955930000000002</v>
      </c>
      <c r="M6690">
        <v>0.3016664</v>
      </c>
      <c r="N6690">
        <v>-1.338699E-2</v>
      </c>
      <c r="O6690">
        <v>-0.95331949999999999</v>
      </c>
      <c r="P6690">
        <v>0.20454530000000001</v>
      </c>
      <c r="Q6690">
        <v>-8.3667279999999997E-2</v>
      </c>
      <c r="R6690">
        <v>-0.97527489999999994</v>
      </c>
      <c r="S6690">
        <v>-9.0698239999999999E-2</v>
      </c>
      <c r="T6690">
        <v>0.1081522</v>
      </c>
      <c r="U6690">
        <v>-3.1050420000000001</v>
      </c>
      <c r="V6690">
        <v>9.9080950000000001E-2</v>
      </c>
      <c r="W6690">
        <v>-7.0580959999999998E-2</v>
      </c>
      <c r="X6690">
        <v>0.99257309999999999</v>
      </c>
      <c r="Y6690">
        <v>0.32941510000000002</v>
      </c>
      <c r="Z6690">
        <v>-4.4832110000000001E-2</v>
      </c>
      <c r="AA6690">
        <v>0.94312019999999996</v>
      </c>
      <c r="AB6690">
        <v>19</v>
      </c>
      <c r="AC6690">
        <v>-2.8605999999999701</v>
      </c>
      <c r="AD6690">
        <v>3.2816659999999902</v>
      </c>
      <c r="AE6690">
        <v>-93.860582999999906</v>
      </c>
      <c r="AF6690">
        <v>31.0065653832159</v>
      </c>
      <c r="AG6690">
        <v>3.2816659999999902</v>
      </c>
      <c r="AH6690">
        <v>88.516019490401902</v>
      </c>
      <c r="AI6690">
        <v>87.996058238234099</v>
      </c>
      <c r="AJ6690">
        <v>70.694986072532004</v>
      </c>
      <c r="AK6690">
        <v>93.847014523768394</v>
      </c>
      <c r="AL6690">
        <v>94.047356178281206</v>
      </c>
      <c r="AM6690">
        <v>84.299486536434401</v>
      </c>
      <c r="AN6690">
        <v>1.0000000327055101</v>
      </c>
    </row>
    <row r="6691" spans="1:40" x14ac:dyDescent="0.25">
      <c r="A6691" t="str">
        <f>"20190305135056978"</f>
        <v>20190305135056978</v>
      </c>
      <c r="B6691" t="str">
        <f>"1551765056966366"</f>
        <v>1551765056966366</v>
      </c>
      <c r="C6691" t="s">
        <v>40</v>
      </c>
      <c r="D6691">
        <v>4.0833000000000004</v>
      </c>
      <c r="E6691">
        <v>0.60040539999999998</v>
      </c>
      <c r="F6691" t="s">
        <v>109</v>
      </c>
      <c r="G6691">
        <v>-309.74149999999997</v>
      </c>
      <c r="H6691">
        <v>3.4833090000000002</v>
      </c>
      <c r="I6691">
        <v>-91.564989999999995</v>
      </c>
      <c r="J6691">
        <v>-305.68509999999998</v>
      </c>
      <c r="K6691">
        <v>1.0590459999999999</v>
      </c>
      <c r="L6691">
        <v>2.119202</v>
      </c>
      <c r="M6691">
        <v>0.29997089999999998</v>
      </c>
      <c r="N6691">
        <v>-1.3373360000000001E-2</v>
      </c>
      <c r="O6691">
        <v>-0.9538548</v>
      </c>
      <c r="P6691">
        <v>0.20527409999999999</v>
      </c>
      <c r="Q6691">
        <v>-8.6314899999999903E-2</v>
      </c>
      <c r="R6691">
        <v>-0.97489110000000001</v>
      </c>
      <c r="S6691">
        <v>-0.1326599</v>
      </c>
      <c r="T6691">
        <v>8.0344799999999994E-2</v>
      </c>
      <c r="U6691">
        <v>-3.110779</v>
      </c>
      <c r="V6691">
        <v>9.6493330000000002E-2</v>
      </c>
      <c r="W6691">
        <v>-7.3247939999999997E-2</v>
      </c>
      <c r="X6691">
        <v>0.99263480000000004</v>
      </c>
      <c r="Y6691">
        <v>0.3403659</v>
      </c>
      <c r="Z6691">
        <v>-3.6704800000000003E-2</v>
      </c>
      <c r="AA6691">
        <v>0.93957639999999998</v>
      </c>
      <c r="AB6691">
        <v>19</v>
      </c>
      <c r="AC6691">
        <v>-4.0563999999999902</v>
      </c>
      <c r="AD6691">
        <v>2.4242629999999998</v>
      </c>
      <c r="AE6691">
        <v>-93.684191999999996</v>
      </c>
      <c r="AF6691">
        <v>31.953245120584299</v>
      </c>
      <c r="AG6691">
        <v>2.4242629999999998</v>
      </c>
      <c r="AH6691">
        <v>88.093302862789997</v>
      </c>
      <c r="AI6691">
        <v>88.518087223595003</v>
      </c>
      <c r="AJ6691">
        <v>70.063254744739695</v>
      </c>
      <c r="AK6691">
        <v>93.740689852937095</v>
      </c>
      <c r="AL6691">
        <v>94.200559582348205</v>
      </c>
      <c r="AM6691">
        <v>84.447762656288106</v>
      </c>
      <c r="AN6691">
        <v>1.0000000348098801</v>
      </c>
    </row>
    <row r="6692" spans="1:40" x14ac:dyDescent="0.25">
      <c r="A6692" t="str">
        <f>"20190305135057001"</f>
        <v>20190305135057001</v>
      </c>
      <c r="B6692" t="str">
        <f>"1551765056996625"</f>
        <v>1551765056996625</v>
      </c>
      <c r="C6692" t="s">
        <v>40</v>
      </c>
      <c r="D6692">
        <v>4.0788390000000003</v>
      </c>
      <c r="E6692">
        <v>0.60250530000000002</v>
      </c>
      <c r="F6692" t="s">
        <v>109</v>
      </c>
      <c r="G6692">
        <v>-310.0573</v>
      </c>
      <c r="H6692">
        <v>3.3198340000000002</v>
      </c>
      <c r="I6692">
        <v>-91.564989999999995</v>
      </c>
      <c r="J6692">
        <v>-305.63080000000002</v>
      </c>
      <c r="K6692">
        <v>1.0589789999999999</v>
      </c>
      <c r="L6692">
        <v>1.939209</v>
      </c>
      <c r="M6692">
        <v>0.29816579999999998</v>
      </c>
      <c r="N6692">
        <v>-1.3359909999999999E-2</v>
      </c>
      <c r="O6692">
        <v>-0.95442059999999995</v>
      </c>
      <c r="P6692">
        <v>0.20538049999999999</v>
      </c>
      <c r="Q6692">
        <v>-8.7080959999999999E-2</v>
      </c>
      <c r="R6692">
        <v>-0.97480069999999996</v>
      </c>
      <c r="S6692">
        <v>-0.14535519999999999</v>
      </c>
      <c r="T6692">
        <v>7.5160379999999999E-2</v>
      </c>
      <c r="U6692">
        <v>-3.1145320000000001</v>
      </c>
      <c r="V6692">
        <v>9.4476679999999993E-2</v>
      </c>
      <c r="W6692">
        <v>-7.4034600000000006E-2</v>
      </c>
      <c r="X6692">
        <v>0.99277040000000005</v>
      </c>
      <c r="Y6692">
        <v>0.34235959999999899</v>
      </c>
      <c r="Z6692">
        <v>-3.5183600000000002E-2</v>
      </c>
      <c r="AA6692">
        <v>0.93891000000000002</v>
      </c>
      <c r="AB6692">
        <v>19</v>
      </c>
      <c r="AC6692">
        <v>-4.4264999999999697</v>
      </c>
      <c r="AD6692">
        <v>2.2608549999999901</v>
      </c>
      <c r="AE6692">
        <v>-93.504199</v>
      </c>
      <c r="AF6692">
        <v>32.0886442511475</v>
      </c>
      <c r="AG6692">
        <v>2.2608549999999901</v>
      </c>
      <c r="AH6692">
        <v>87.879087673550501</v>
      </c>
      <c r="AI6692">
        <v>88.615646938074903</v>
      </c>
      <c r="AJ6692">
        <v>69.940566996324904</v>
      </c>
      <c r="AK6692">
        <v>93.581657420368998</v>
      </c>
      <c r="AL6692">
        <v>94.2457546731995</v>
      </c>
      <c r="AM6692">
        <v>84.563836423958094</v>
      </c>
      <c r="AN6692">
        <v>1.00000001608857</v>
      </c>
    </row>
    <row r="6693" spans="1:40" x14ac:dyDescent="0.25">
      <c r="A6693" t="str">
        <f>"20190305135057022"</f>
        <v>20190305135057022</v>
      </c>
      <c r="B6693" t="str">
        <f>"1551765057017118"</f>
        <v>1551765057017118</v>
      </c>
      <c r="C6693" t="s">
        <v>40</v>
      </c>
      <c r="D6693">
        <v>4.065588</v>
      </c>
      <c r="E6693">
        <v>0.60350400000000004</v>
      </c>
      <c r="F6693" t="s">
        <v>109</v>
      </c>
      <c r="G6693">
        <v>-310.4436</v>
      </c>
      <c r="H6693">
        <v>3.4944670000000002</v>
      </c>
      <c r="I6693">
        <v>-91.564989999999995</v>
      </c>
      <c r="J6693">
        <v>-305.57769999999999</v>
      </c>
      <c r="K6693">
        <v>1.0589040000000001</v>
      </c>
      <c r="L6693">
        <v>1.7616879999999999</v>
      </c>
      <c r="M6693">
        <v>0.29629480000000002</v>
      </c>
      <c r="N6693">
        <v>-1.334859E-2</v>
      </c>
      <c r="O6693">
        <v>-0.95500350000000001</v>
      </c>
      <c r="P6693">
        <v>0.2057486</v>
      </c>
      <c r="Q6693">
        <v>-8.6542320000000006E-2</v>
      </c>
      <c r="R6693">
        <v>-0.97477100000000005</v>
      </c>
      <c r="S6693">
        <v>-0.16052249999999901</v>
      </c>
      <c r="T6693">
        <v>8.1230640000000007E-2</v>
      </c>
      <c r="U6693">
        <v>-3.1186219999999998</v>
      </c>
      <c r="V6693">
        <v>9.2161530000000005E-2</v>
      </c>
      <c r="W6693">
        <v>-7.3513980000000007E-2</v>
      </c>
      <c r="X6693">
        <v>0.99302670000000004</v>
      </c>
      <c r="Y6693">
        <v>0.34501579999999998</v>
      </c>
      <c r="Z6693">
        <v>-3.6910949999999998E-2</v>
      </c>
      <c r="AA6693">
        <v>0.93787089999999995</v>
      </c>
      <c r="AB6693">
        <v>18</v>
      </c>
      <c r="AC6693">
        <v>-4.8659000000000097</v>
      </c>
      <c r="AD6693">
        <v>2.4355630000000001</v>
      </c>
      <c r="AE6693">
        <v>-93.326678000000001</v>
      </c>
      <c r="AF6693">
        <v>32.280106015129299</v>
      </c>
      <c r="AG6693">
        <v>2.4355630000000001</v>
      </c>
      <c r="AH6693">
        <v>87.633833118572198</v>
      </c>
      <c r="AI6693">
        <v>88.506094426693195</v>
      </c>
      <c r="AJ6693">
        <v>69.778619441475797</v>
      </c>
      <c r="AK6693">
        <v>93.421763623519396</v>
      </c>
      <c r="AL6693">
        <v>94.2158437359804</v>
      </c>
      <c r="AM6693">
        <v>84.697641511300205</v>
      </c>
      <c r="AN6693">
        <v>1.0000000398901301</v>
      </c>
    </row>
    <row r="6694" spans="1:40" x14ac:dyDescent="0.25">
      <c r="A6694" t="str">
        <f>"20190305135057046"</f>
        <v>20190305135057046</v>
      </c>
      <c r="B6694" t="str">
        <f>"1551765057036276"</f>
        <v>1551765057036276</v>
      </c>
      <c r="C6694" t="s">
        <v>40</v>
      </c>
      <c r="D6694">
        <v>4.0826129999999896</v>
      </c>
      <c r="E6694">
        <v>0.60353610000000002</v>
      </c>
      <c r="F6694" t="s">
        <v>109</v>
      </c>
      <c r="G6694">
        <v>-310.56349999999998</v>
      </c>
      <c r="H6694">
        <v>3.7035450000000001</v>
      </c>
      <c r="I6694">
        <v>-91.564989999999995</v>
      </c>
      <c r="J6694">
        <v>-305.5249</v>
      </c>
      <c r="K6694">
        <v>1.058819</v>
      </c>
      <c r="L6694">
        <v>1.583466</v>
      </c>
      <c r="M6694">
        <v>0.29430410000000001</v>
      </c>
      <c r="N6694">
        <v>-1.333997E-2</v>
      </c>
      <c r="O6694">
        <v>-0.95561870000000004</v>
      </c>
      <c r="P6694">
        <v>0.2054425</v>
      </c>
      <c r="Q6694">
        <v>-8.6891869999999996E-2</v>
      </c>
      <c r="R6694">
        <v>-0.97480420000000001</v>
      </c>
      <c r="S6694">
        <v>-0.16671749999999999</v>
      </c>
      <c r="T6694">
        <v>8.8432189999999994E-2</v>
      </c>
      <c r="U6694">
        <v>-3.1206670000000001</v>
      </c>
      <c r="V6694">
        <v>9.038061E-2</v>
      </c>
      <c r="W6694">
        <v>-7.3884720000000001E-2</v>
      </c>
      <c r="X6694">
        <v>0.99316280000000001</v>
      </c>
      <c r="Y6694">
        <v>0.34488560000000001</v>
      </c>
      <c r="Z6694">
        <v>-3.8991829999999998E-2</v>
      </c>
      <c r="AA6694">
        <v>0.93783450000000002</v>
      </c>
      <c r="AB6694">
        <v>18</v>
      </c>
      <c r="AC6694">
        <v>-5.0385999999999704</v>
      </c>
      <c r="AD6694">
        <v>2.6447259999999901</v>
      </c>
      <c r="AE6694">
        <v>-93.148455999999996</v>
      </c>
      <c r="AF6694">
        <v>32.205934878105502</v>
      </c>
      <c r="AG6694">
        <v>2.6447259999999901</v>
      </c>
      <c r="AH6694">
        <v>87.469010517654795</v>
      </c>
      <c r="AI6694">
        <v>88.374729496172506</v>
      </c>
      <c r="AJ6694">
        <v>69.786382374975801</v>
      </c>
      <c r="AK6694">
        <v>93.247223111068905</v>
      </c>
      <c r="AL6694">
        <v>94.237143764490895</v>
      </c>
      <c r="AM6694">
        <v>84.800245190447697</v>
      </c>
      <c r="AN6694">
        <v>0.99999997690864495</v>
      </c>
    </row>
    <row r="6695" spans="1:40" x14ac:dyDescent="0.25">
      <c r="A6695" t="str">
        <f>"20190305135057068"</f>
        <v>20190305135057068</v>
      </c>
      <c r="B6695" t="str">
        <f>"1551765057056772"</f>
        <v>1551765057056772</v>
      </c>
      <c r="C6695" t="s">
        <v>40</v>
      </c>
      <c r="D6695">
        <v>4.0736569999999999</v>
      </c>
      <c r="E6695">
        <v>0.60349580000000003</v>
      </c>
      <c r="F6695" t="s">
        <v>109</v>
      </c>
      <c r="G6695">
        <v>-310.54680000000002</v>
      </c>
      <c r="H6695">
        <v>3.6272579999999999</v>
      </c>
      <c r="I6695">
        <v>-91.564989999999995</v>
      </c>
      <c r="J6695">
        <v>-305.47359999999998</v>
      </c>
      <c r="K6695">
        <v>1.0587120000000001</v>
      </c>
      <c r="L6695">
        <v>1.408569</v>
      </c>
      <c r="M6695">
        <v>0.29222039999999999</v>
      </c>
      <c r="N6695">
        <v>-1.3333879999999999E-2</v>
      </c>
      <c r="O6695">
        <v>-0.95625819999999995</v>
      </c>
      <c r="P6695">
        <v>0.20511180000000001</v>
      </c>
      <c r="Q6695">
        <v>-8.7914759999999995E-2</v>
      </c>
      <c r="R6695">
        <v>-0.97478220000000004</v>
      </c>
      <c r="S6695">
        <v>-0.16824339999999999</v>
      </c>
      <c r="T6695">
        <v>8.6048479999999997E-2</v>
      </c>
      <c r="U6695">
        <v>-3.1206670000000001</v>
      </c>
      <c r="V6695">
        <v>8.8507290000000002E-2</v>
      </c>
      <c r="W6695">
        <v>-7.4928629999999996E-2</v>
      </c>
      <c r="X6695">
        <v>0.99325339999999995</v>
      </c>
      <c r="Y6695">
        <v>0.34329589999999999</v>
      </c>
      <c r="Z6695">
        <v>-3.8332150000000002E-2</v>
      </c>
      <c r="AA6695">
        <v>0.93844470000000002</v>
      </c>
      <c r="AB6695">
        <v>18</v>
      </c>
      <c r="AC6695">
        <v>-5.0732000000000399</v>
      </c>
      <c r="AD6695">
        <v>2.568546</v>
      </c>
      <c r="AE6695">
        <v>-92.973558999999995</v>
      </c>
      <c r="AF6695">
        <v>31.998551969073699</v>
      </c>
      <c r="AG6695">
        <v>2.568546</v>
      </c>
      <c r="AH6695">
        <v>87.365513173723699</v>
      </c>
      <c r="AI6695">
        <v>88.418660919619995</v>
      </c>
      <c r="AJ6695">
        <v>69.884204025940306</v>
      </c>
      <c r="AK6695">
        <v>93.076515022747401</v>
      </c>
      <c r="AL6695">
        <v>94.297121229225993</v>
      </c>
      <c r="AM6695">
        <v>84.907909983269406</v>
      </c>
      <c r="AN6695">
        <v>1.00000007829418</v>
      </c>
    </row>
    <row r="6696" spans="1:40" x14ac:dyDescent="0.25">
      <c r="A6696" t="str">
        <f>"20190305135057091"</f>
        <v>20190305135057091</v>
      </c>
      <c r="B6696" t="str">
        <f>"1551765057087028"</f>
        <v>1551765057087028</v>
      </c>
      <c r="C6696" t="s">
        <v>40</v>
      </c>
      <c r="D6696">
        <v>4.1063910000000003</v>
      </c>
      <c r="E6696">
        <v>0.60362130000000003</v>
      </c>
      <c r="F6696" t="s">
        <v>109</v>
      </c>
      <c r="G6696">
        <v>-310.49709999999999</v>
      </c>
      <c r="H6696">
        <v>3.5354610000000002</v>
      </c>
      <c r="I6696">
        <v>-91.564989999999995</v>
      </c>
      <c r="J6696">
        <v>-305.42039999999997</v>
      </c>
      <c r="K6696">
        <v>1.0586139999999999</v>
      </c>
      <c r="L6696">
        <v>1.2248840000000001</v>
      </c>
      <c r="M6696">
        <v>0.28982350000000001</v>
      </c>
      <c r="N6696">
        <v>-1.335509E-2</v>
      </c>
      <c r="O6696">
        <v>-0.95698680000000003</v>
      </c>
      <c r="P6696">
        <v>0.2041057</v>
      </c>
      <c r="Q6696">
        <v>-8.8874679999999998E-2</v>
      </c>
      <c r="R6696">
        <v>-0.97490619999999995</v>
      </c>
      <c r="S6696">
        <v>-0.1686096</v>
      </c>
      <c r="T6696">
        <v>8.313036E-2</v>
      </c>
      <c r="U6696">
        <v>-3.1205750000000001</v>
      </c>
      <c r="V6696">
        <v>8.6998439999999996E-2</v>
      </c>
      <c r="W6696">
        <v>-7.5884339999999995E-2</v>
      </c>
      <c r="X6696">
        <v>0.99331409999999998</v>
      </c>
      <c r="Y6696">
        <v>0.34105269999999999</v>
      </c>
      <c r="Z6696">
        <v>-3.7550199999999902E-2</v>
      </c>
      <c r="AA6696">
        <v>0.93929390000000001</v>
      </c>
      <c r="AB6696">
        <v>18</v>
      </c>
      <c r="AC6696">
        <v>-5.0767000000000104</v>
      </c>
      <c r="AD6696">
        <v>2.4768469999999998</v>
      </c>
      <c r="AE6696">
        <v>-92.789873999999998</v>
      </c>
      <c r="AF6696">
        <v>31.731315008540399</v>
      </c>
      <c r="AG6696">
        <v>2.4768469999999998</v>
      </c>
      <c r="AH6696">
        <v>87.273138865676998</v>
      </c>
      <c r="AI6696">
        <v>88.472160793687493</v>
      </c>
      <c r="AJ6696">
        <v>70.019428485600102</v>
      </c>
      <c r="AK6696">
        <v>92.8957043716252</v>
      </c>
      <c r="AL6696">
        <v>94.352035929062694</v>
      </c>
      <c r="AM6696">
        <v>84.994578137515205</v>
      </c>
      <c r="AN6696">
        <v>1.0000000314392301</v>
      </c>
    </row>
    <row r="6697" spans="1:40" x14ac:dyDescent="0.25">
      <c r="A6697" t="str">
        <f>"20190305135057113"</f>
        <v>20190305135057113</v>
      </c>
      <c r="B6697" t="str">
        <f>"1551765057106549"</f>
        <v>1551765057106549</v>
      </c>
      <c r="C6697" t="s">
        <v>40</v>
      </c>
      <c r="D6697">
        <v>4.063205</v>
      </c>
      <c r="E6697">
        <v>0.60393419999999998</v>
      </c>
      <c r="F6697" t="s">
        <v>109</v>
      </c>
      <c r="G6697">
        <v>-310.55919999999998</v>
      </c>
      <c r="H6697">
        <v>3.4092519999999902</v>
      </c>
      <c r="I6697">
        <v>-91.564989999999995</v>
      </c>
      <c r="J6697">
        <v>-305.37060000000002</v>
      </c>
      <c r="K6697">
        <v>1.058775</v>
      </c>
      <c r="L6697">
        <v>1.051758</v>
      </c>
      <c r="M6697">
        <v>0.28634359999999998</v>
      </c>
      <c r="N6697">
        <v>-1.382451E-2</v>
      </c>
      <c r="O6697">
        <v>-0.95802739999999997</v>
      </c>
      <c r="P6697">
        <v>0.20172689999999999</v>
      </c>
      <c r="Q6697">
        <v>-8.9823199999999895E-2</v>
      </c>
      <c r="R6697">
        <v>-0.97531460000000003</v>
      </c>
      <c r="S6697">
        <v>-0.172821</v>
      </c>
      <c r="T6697">
        <v>7.9054470000000002E-2</v>
      </c>
      <c r="U6697">
        <v>-3.1206049999999999</v>
      </c>
      <c r="V6697">
        <v>8.5789560000000001E-2</v>
      </c>
      <c r="W6697">
        <v>-7.6361020000000002E-2</v>
      </c>
      <c r="X6697">
        <v>0.99338269999999995</v>
      </c>
      <c r="Y6697">
        <v>0.33889900000000001</v>
      </c>
      <c r="Z6697">
        <v>-3.6892939999999999E-2</v>
      </c>
      <c r="AA6697">
        <v>0.94009909999999997</v>
      </c>
      <c r="AB6697">
        <v>18</v>
      </c>
      <c r="AC6697">
        <v>-5.1885999999999504</v>
      </c>
      <c r="AD6697">
        <v>2.3504770000000001</v>
      </c>
      <c r="AE6697">
        <v>-92.616748000000001</v>
      </c>
      <c r="AF6697">
        <v>31.4738314485638</v>
      </c>
      <c r="AG6697">
        <v>2.3504770000000001</v>
      </c>
      <c r="AH6697">
        <v>87.196001411795706</v>
      </c>
      <c r="AI6697">
        <v>88.547572800541502</v>
      </c>
      <c r="AJ6697">
        <v>70.152699430762894</v>
      </c>
      <c r="AK6697">
        <v>92.732246119599694</v>
      </c>
      <c r="AL6697">
        <v>94.379427201808696</v>
      </c>
      <c r="AM6697">
        <v>85.064123726188299</v>
      </c>
      <c r="AN6697">
        <v>1.0000000213198601</v>
      </c>
    </row>
    <row r="6698" spans="1:40" x14ac:dyDescent="0.25">
      <c r="A6698" t="str">
        <f>"20190305135057134"</f>
        <v>20190305135057134</v>
      </c>
      <c r="B6698" t="str">
        <f>"1551765057126678"</f>
        <v>1551765057126678</v>
      </c>
      <c r="C6698" t="s">
        <v>40</v>
      </c>
      <c r="D6698">
        <v>4.1254019999999896</v>
      </c>
      <c r="E6698">
        <v>0.60413269999999997</v>
      </c>
      <c r="F6698" t="s">
        <v>109</v>
      </c>
      <c r="G6698">
        <v>-310.79020000000003</v>
      </c>
      <c r="H6698">
        <v>3.3537279999999998</v>
      </c>
      <c r="I6698">
        <v>-91.564989999999995</v>
      </c>
      <c r="J6698">
        <v>-305.32190000000003</v>
      </c>
      <c r="K6698">
        <v>1.0587580000000001</v>
      </c>
      <c r="L6698">
        <v>0.88195800000000002</v>
      </c>
      <c r="M6698">
        <v>0.28200069999999999</v>
      </c>
      <c r="N6698">
        <v>-1.4152069999999999E-2</v>
      </c>
      <c r="O6698">
        <v>-0.95930979999999999</v>
      </c>
      <c r="P6698">
        <v>0.19921929999999999</v>
      </c>
      <c r="Q6698">
        <v>-9.0079660000000006E-2</v>
      </c>
      <c r="R6698">
        <v>-0.97580610000000001</v>
      </c>
      <c r="S6698">
        <v>-0.18261720000000001</v>
      </c>
      <c r="T6698">
        <v>7.7331300000000006E-2</v>
      </c>
      <c r="U6698">
        <v>-3.120819</v>
      </c>
      <c r="V6698">
        <v>8.3780010000000002E-2</v>
      </c>
      <c r="W6698">
        <v>-7.6349559999999997E-2</v>
      </c>
      <c r="X6698">
        <v>0.99355510000000002</v>
      </c>
      <c r="Y6698">
        <v>0.33757480000000001</v>
      </c>
      <c r="Z6698">
        <v>-3.6777659999999997E-2</v>
      </c>
      <c r="AA6698">
        <v>0.94057999999999997</v>
      </c>
      <c r="AB6698">
        <v>18</v>
      </c>
      <c r="AC6698">
        <v>-5.4682999999999904</v>
      </c>
      <c r="AD6698">
        <v>2.2949700000000002</v>
      </c>
      <c r="AE6698">
        <v>-92.446947999999907</v>
      </c>
      <c r="AF6698">
        <v>31.2998130007634</v>
      </c>
      <c r="AG6698">
        <v>2.2949700000000002</v>
      </c>
      <c r="AH6698">
        <v>87.0984392882891</v>
      </c>
      <c r="AI6698">
        <v>88.579548938385201</v>
      </c>
      <c r="AJ6698">
        <v>70.233523799373103</v>
      </c>
      <c r="AK6698">
        <v>92.580145320902602</v>
      </c>
      <c r="AL6698">
        <v>94.3787685831049</v>
      </c>
      <c r="AM6698">
        <v>85.180023747409905</v>
      </c>
      <c r="AN6698">
        <v>1.0000000410619001</v>
      </c>
    </row>
    <row r="6699" spans="1:40" x14ac:dyDescent="0.25">
      <c r="A6699" t="str">
        <f>"20190305135057156"</f>
        <v>20190305135057156</v>
      </c>
      <c r="B6699" t="str">
        <f>"1551765057146181"</f>
        <v>1551765057146181</v>
      </c>
      <c r="C6699" t="s">
        <v>40</v>
      </c>
      <c r="D6699">
        <v>4.3359459999999999</v>
      </c>
      <c r="E6699">
        <v>0.60157479999999997</v>
      </c>
      <c r="F6699" t="s">
        <v>109</v>
      </c>
      <c r="G6699">
        <v>-311.0111</v>
      </c>
      <c r="H6699">
        <v>3.3281489999999998</v>
      </c>
      <c r="I6699">
        <v>-91.564989999999995</v>
      </c>
      <c r="J6699">
        <v>-305.2731</v>
      </c>
      <c r="K6699">
        <v>1.0580879999999999</v>
      </c>
      <c r="L6699">
        <v>0.70904540000000005</v>
      </c>
      <c r="M6699">
        <v>0.27876770000000001</v>
      </c>
      <c r="N6699">
        <v>-1.3913780000000001E-2</v>
      </c>
      <c r="O6699">
        <v>-0.9602579</v>
      </c>
      <c r="P6699">
        <v>0.19746920000000001</v>
      </c>
      <c r="Q6699">
        <v>-8.9276809999999998E-2</v>
      </c>
      <c r="R6699">
        <v>-0.97623559999999998</v>
      </c>
      <c r="S6699">
        <v>-0.1920471</v>
      </c>
      <c r="T6699">
        <v>7.6605919999999994E-2</v>
      </c>
      <c r="U6699">
        <v>-3.1206360000000002</v>
      </c>
      <c r="V6699">
        <v>8.2046820000000006E-2</v>
      </c>
      <c r="W6699">
        <v>-7.598212E-2</v>
      </c>
      <c r="X6699">
        <v>0.9937279</v>
      </c>
      <c r="Y6699">
        <v>0.33723880000000001</v>
      </c>
      <c r="Z6699">
        <v>-3.6366610000000001E-2</v>
      </c>
      <c r="AA6699">
        <v>0.94071640000000001</v>
      </c>
      <c r="AB6699">
        <v>18</v>
      </c>
      <c r="AC6699">
        <v>-5.7380000000000004</v>
      </c>
      <c r="AD6699">
        <v>2.2700610000000001</v>
      </c>
      <c r="AE6699">
        <v>-92.274035400000002</v>
      </c>
      <c r="AF6699">
        <v>31.217179495171099</v>
      </c>
      <c r="AG6699">
        <v>2.2700610000000001</v>
      </c>
      <c r="AH6699">
        <v>86.963284876021802</v>
      </c>
      <c r="AI6699">
        <v>88.592601854995905</v>
      </c>
      <c r="AJ6699">
        <v>70.253402657005495</v>
      </c>
      <c r="AK6699">
        <v>92.4244469229088</v>
      </c>
      <c r="AL6699">
        <v>94.357654445219893</v>
      </c>
      <c r="AM6699">
        <v>85.280098294505706</v>
      </c>
      <c r="AN6699">
        <v>1.0000000512350999</v>
      </c>
    </row>
    <row r="6700" spans="1:40" x14ac:dyDescent="0.25">
      <c r="A6700" t="str">
        <f>"20190305135057179"</f>
        <v>20190305135057179</v>
      </c>
      <c r="B6700" t="str">
        <f>"1551765057176437"</f>
        <v>1551765057176437</v>
      </c>
      <c r="C6700" t="s">
        <v>40</v>
      </c>
      <c r="D6700">
        <v>4.2813470000000002</v>
      </c>
      <c r="E6700">
        <v>0.59866799999999998</v>
      </c>
      <c r="F6700" t="s">
        <v>109</v>
      </c>
      <c r="G6700">
        <v>-310.56619999999998</v>
      </c>
      <c r="H6700">
        <v>2.7450040000000002</v>
      </c>
      <c r="I6700">
        <v>-91.564989999999995</v>
      </c>
      <c r="J6700">
        <v>-305.22609999999997</v>
      </c>
      <c r="K6700">
        <v>1.0573969999999999</v>
      </c>
      <c r="L6700">
        <v>0.53643799999999997</v>
      </c>
      <c r="M6700">
        <v>0.27876030000000002</v>
      </c>
      <c r="N6700">
        <v>-1.3378859999999999E-2</v>
      </c>
      <c r="O6700">
        <v>-0.96026750000000005</v>
      </c>
      <c r="P6700">
        <v>0.19793669999999999</v>
      </c>
      <c r="Q6700">
        <v>-8.8530990000000004E-2</v>
      </c>
      <c r="R6700">
        <v>-0.97620870000000004</v>
      </c>
      <c r="S6700">
        <v>-0.1786499</v>
      </c>
      <c r="T6700">
        <v>5.6936260000000002E-2</v>
      </c>
      <c r="U6700">
        <v>-3.1143800000000001</v>
      </c>
      <c r="V6700">
        <v>8.1347630000000004E-2</v>
      </c>
      <c r="W6700">
        <v>-7.6015280000000005E-2</v>
      </c>
      <c r="X6700">
        <v>0.99378279999999997</v>
      </c>
      <c r="Y6700">
        <v>0.33330929999999998</v>
      </c>
      <c r="Z6700">
        <v>-3.0136969999999999E-2</v>
      </c>
      <c r="AA6700">
        <v>0.94233579999999995</v>
      </c>
      <c r="AB6700">
        <v>18</v>
      </c>
      <c r="AC6700">
        <v>-5.3400999999999996</v>
      </c>
      <c r="AD6700">
        <v>1.6876070000000001</v>
      </c>
      <c r="AE6700">
        <v>-92.101427999999999</v>
      </c>
      <c r="AF6700">
        <v>30.794599202116299</v>
      </c>
      <c r="AG6700">
        <v>1.6876070000000001</v>
      </c>
      <c r="AH6700">
        <v>86.9320952847456</v>
      </c>
      <c r="AI6700">
        <v>88.951675711590596</v>
      </c>
      <c r="AJ6700">
        <v>70.493950665564498</v>
      </c>
      <c r="AK6700">
        <v>92.2406881370771</v>
      </c>
      <c r="AL6700">
        <v>94.359560078657793</v>
      </c>
      <c r="AM6700">
        <v>85.320398514773899</v>
      </c>
      <c r="AN6700">
        <v>1.00000000663796</v>
      </c>
    </row>
    <row r="6701" spans="1:40" x14ac:dyDescent="0.25">
      <c r="A6701" t="str">
        <f>"20190305135057201"</f>
        <v>20190305135057201</v>
      </c>
      <c r="B6701" t="str">
        <f>"1551765057196934"</f>
        <v>1551765057196934</v>
      </c>
      <c r="C6701" t="s">
        <v>40</v>
      </c>
      <c r="D6701">
        <v>4.2824600000000004</v>
      </c>
      <c r="E6701">
        <v>0.59693059999999998</v>
      </c>
      <c r="F6701" t="s">
        <v>109</v>
      </c>
      <c r="G6701">
        <v>-309.85309999999998</v>
      </c>
      <c r="H6701">
        <v>2.0236480000000001</v>
      </c>
      <c r="I6701">
        <v>-91.564989999999995</v>
      </c>
      <c r="J6701">
        <v>-305.18029999999999</v>
      </c>
      <c r="K6701">
        <v>1.0578149999999999</v>
      </c>
      <c r="L6701">
        <v>0.3633728</v>
      </c>
      <c r="M6701">
        <v>0.2798716</v>
      </c>
      <c r="N6701">
        <v>-1.243214E-2</v>
      </c>
      <c r="O6701">
        <v>-0.95995719999999995</v>
      </c>
      <c r="P6701">
        <v>0.19898589999999999</v>
      </c>
      <c r="Q6701">
        <v>-8.7256239999999999E-2</v>
      </c>
      <c r="R6701">
        <v>-0.97611049999999999</v>
      </c>
      <c r="S6701">
        <v>-0.15612789999999999</v>
      </c>
      <c r="T6701">
        <v>3.2604099999999997E-2</v>
      </c>
      <c r="U6701">
        <v>-3.1077270000000001</v>
      </c>
      <c r="V6701">
        <v>8.137788E-2</v>
      </c>
      <c r="W6701">
        <v>-7.5771019999999994E-2</v>
      </c>
      <c r="X6701">
        <v>0.99379899999999999</v>
      </c>
      <c r="Y6701">
        <v>0.32769389999999998</v>
      </c>
      <c r="Z6701">
        <v>-2.2084739999999999E-2</v>
      </c>
      <c r="AA6701">
        <v>0.94452579999999997</v>
      </c>
      <c r="AB6701">
        <v>18</v>
      </c>
      <c r="AC6701">
        <v>-4.6727999999999899</v>
      </c>
      <c r="AD6701">
        <v>0.96583300000000005</v>
      </c>
      <c r="AE6701">
        <v>-91.928362800000002</v>
      </c>
      <c r="AF6701">
        <v>30.212827242174299</v>
      </c>
      <c r="AG6701">
        <v>0.96583300000000005</v>
      </c>
      <c r="AH6701">
        <v>86.9366358807534</v>
      </c>
      <c r="AI6701">
        <v>89.398761639888605</v>
      </c>
      <c r="AJ6701">
        <v>70.836280948236194</v>
      </c>
      <c r="AK6701">
        <v>92.041981843135403</v>
      </c>
      <c r="AL6701">
        <v>94.345524432448897</v>
      </c>
      <c r="AM6701">
        <v>85.318742058494493</v>
      </c>
      <c r="AN6701">
        <v>1.00000002961306</v>
      </c>
    </row>
    <row r="6702" spans="1:40" x14ac:dyDescent="0.25">
      <c r="A6702" t="str">
        <f>"20190305135057224"</f>
        <v>20190305135057224</v>
      </c>
      <c r="B6702" t="str">
        <f>"1551765057216456"</f>
        <v>1551765057216456</v>
      </c>
      <c r="C6702" t="s">
        <v>40</v>
      </c>
      <c r="D6702">
        <v>4.229425</v>
      </c>
      <c r="E6702">
        <v>0.59569280000000002</v>
      </c>
      <c r="F6702" t="s">
        <v>109</v>
      </c>
      <c r="G6702">
        <v>-309.34609999999998</v>
      </c>
      <c r="H6702">
        <v>1.6554930000000001</v>
      </c>
      <c r="I6702">
        <v>-91.564989999999995</v>
      </c>
      <c r="J6702">
        <v>-305.13339999999999</v>
      </c>
      <c r="K6702">
        <v>1.0595479999999999</v>
      </c>
      <c r="L6702">
        <v>0.1856689</v>
      </c>
      <c r="M6702">
        <v>0.2789143</v>
      </c>
      <c r="N6702">
        <v>-1.085884E-2</v>
      </c>
      <c r="O6702">
        <v>-0.96025459999999996</v>
      </c>
      <c r="P6702">
        <v>0.1982797</v>
      </c>
      <c r="Q6702">
        <v>-8.6325540000000006E-2</v>
      </c>
      <c r="R6702">
        <v>-0.97633639999999999</v>
      </c>
      <c r="S6702">
        <v>-0.14065549999999999</v>
      </c>
      <c r="T6702">
        <v>2.0180699999999999E-2</v>
      </c>
      <c r="U6702">
        <v>-3.1039119999999998</v>
      </c>
      <c r="V6702">
        <v>8.1236379999999997E-2</v>
      </c>
      <c r="W6702">
        <v>-7.6273530000000006E-2</v>
      </c>
      <c r="X6702">
        <v>0.99377210000000005</v>
      </c>
      <c r="Y6702">
        <v>0.32210299999999997</v>
      </c>
      <c r="Z6702">
        <v>-1.686582E-2</v>
      </c>
      <c r="AA6702">
        <v>0.94655440000000002</v>
      </c>
      <c r="AB6702">
        <v>18</v>
      </c>
      <c r="AC6702">
        <v>-4.2126999999999803</v>
      </c>
      <c r="AD6702">
        <v>0.59594499999999995</v>
      </c>
      <c r="AE6702">
        <v>-91.750658900000005</v>
      </c>
      <c r="AF6702">
        <v>29.6363351037018</v>
      </c>
      <c r="AG6702">
        <v>0.59594499999999995</v>
      </c>
      <c r="AH6702">
        <v>86.930475872744907</v>
      </c>
      <c r="AI6702">
        <v>89.628229854841607</v>
      </c>
      <c r="AJ6702">
        <v>71.174731629946905</v>
      </c>
      <c r="AK6702">
        <v>91.845387169328305</v>
      </c>
      <c r="AL6702">
        <v>94.374399852692804</v>
      </c>
      <c r="AM6702">
        <v>85.326719820332897</v>
      </c>
      <c r="AN6702">
        <v>0.99999999377628701</v>
      </c>
    </row>
    <row r="6703" spans="1:40" x14ac:dyDescent="0.25">
      <c r="A6703" t="str">
        <f>"20190305135057246"</f>
        <v>20190305135057246</v>
      </c>
      <c r="B6703" t="str">
        <f>"1551765057236949"</f>
        <v>1551765057236949</v>
      </c>
      <c r="C6703" t="s">
        <v>40</v>
      </c>
      <c r="D6703">
        <v>4.3893409999999999</v>
      </c>
      <c r="E6703">
        <v>0.59509499999999904</v>
      </c>
      <c r="F6703" t="s">
        <v>109</v>
      </c>
      <c r="G6703">
        <v>-309.11739999999998</v>
      </c>
      <c r="H6703">
        <v>1.312649</v>
      </c>
      <c r="I6703">
        <v>-91.564989999999995</v>
      </c>
      <c r="J6703">
        <v>-305.08710000000002</v>
      </c>
      <c r="K6703">
        <v>1.0618909999999999</v>
      </c>
      <c r="L6703">
        <v>1.3092039999999999E-2</v>
      </c>
      <c r="M6703">
        <v>0.27512399999999998</v>
      </c>
      <c r="N6703">
        <v>-9.1424950000000005E-3</v>
      </c>
      <c r="O6703">
        <v>-0.96136529999999998</v>
      </c>
      <c r="P6703">
        <v>0.19506660000000001</v>
      </c>
      <c r="Q6703">
        <v>-8.6383420000000002E-2</v>
      </c>
      <c r="R6703">
        <v>-0.97697849999999997</v>
      </c>
      <c r="S6703">
        <v>-0.1346436</v>
      </c>
      <c r="T6703">
        <v>8.5542199999999995E-3</v>
      </c>
      <c r="U6703">
        <v>-3.1008</v>
      </c>
      <c r="V6703">
        <v>8.0765719999999999E-2</v>
      </c>
      <c r="W6703">
        <v>-7.7821639999999997E-2</v>
      </c>
      <c r="X6703">
        <v>0.99369039999999997</v>
      </c>
      <c r="Y6703">
        <v>0.3165713</v>
      </c>
      <c r="Z6703">
        <v>-1.1724719999999999E-2</v>
      </c>
      <c r="AA6703">
        <v>0.94849629999999996</v>
      </c>
      <c r="AB6703">
        <v>18</v>
      </c>
      <c r="AC6703">
        <v>-4.0302999999999498</v>
      </c>
      <c r="AD6703">
        <v>0.25075799999999998</v>
      </c>
      <c r="AE6703">
        <v>-91.578082039999998</v>
      </c>
      <c r="AF6703">
        <v>29.070915662051199</v>
      </c>
      <c r="AG6703">
        <v>0.25075799999999998</v>
      </c>
      <c r="AH6703">
        <v>86.934139053925904</v>
      </c>
      <c r="AI6703">
        <v>89.843264316556599</v>
      </c>
      <c r="AJ6703">
        <v>71.509982110929101</v>
      </c>
      <c r="AK6703">
        <v>91.6663817877198</v>
      </c>
      <c r="AL6703">
        <v>94.463364636868604</v>
      </c>
      <c r="AM6703">
        <v>85.353296216954305</v>
      </c>
      <c r="AN6703">
        <v>0.99999996011578296</v>
      </c>
    </row>
    <row r="6704" spans="1:40" x14ac:dyDescent="0.25">
      <c r="A6704" t="str">
        <f>"20190305135057270"</f>
        <v>20190305135057270</v>
      </c>
      <c r="B6704" t="str">
        <f>"1551765057267205"</f>
        <v>1551765057267205</v>
      </c>
      <c r="C6704" t="s">
        <v>40</v>
      </c>
      <c r="D6704">
        <v>4.2849729999999999</v>
      </c>
      <c r="E6704">
        <v>0.50311450000000002</v>
      </c>
      <c r="F6704" t="s">
        <v>109</v>
      </c>
      <c r="G6704">
        <v>-309.26069999999999</v>
      </c>
      <c r="H6704">
        <v>1.0857479999999999</v>
      </c>
      <c r="I6704">
        <v>-91.564989999999995</v>
      </c>
      <c r="J6704">
        <v>-305.0376</v>
      </c>
      <c r="K6704">
        <v>1.0642860000000001</v>
      </c>
      <c r="L6704">
        <v>-0.1692505</v>
      </c>
      <c r="M6704">
        <v>0.26973130000000001</v>
      </c>
      <c r="N6704">
        <v>-7.4949730000000003E-3</v>
      </c>
      <c r="O6704">
        <v>-0.9629067</v>
      </c>
      <c r="P6704">
        <v>0.19077830000000001</v>
      </c>
      <c r="Q6704">
        <v>-8.5181919999999994E-2</v>
      </c>
      <c r="R6704">
        <v>-0.97793059999999998</v>
      </c>
      <c r="S6704">
        <v>-0.14123540000000001</v>
      </c>
      <c r="T6704">
        <v>8.0776209999999999E-4</v>
      </c>
      <c r="U6704">
        <v>-3.0989689999999999</v>
      </c>
      <c r="V6704">
        <v>7.973566E-2</v>
      </c>
      <c r="W6704">
        <v>-7.8088089999999999E-2</v>
      </c>
      <c r="X6704">
        <v>0.99375270000000004</v>
      </c>
      <c r="Y6704">
        <v>0.3132894</v>
      </c>
      <c r="Z6704">
        <v>-7.7814729999999997E-3</v>
      </c>
      <c r="AA6704">
        <v>0.94962579999999996</v>
      </c>
      <c r="AB6704">
        <v>18</v>
      </c>
      <c r="AC6704">
        <v>-4.2230999999999801</v>
      </c>
      <c r="AD6704">
        <v>2.1461999999999801E-2</v>
      </c>
      <c r="AE6704">
        <v>-91.395739500000005</v>
      </c>
      <c r="AF6704">
        <v>28.7195413698553</v>
      </c>
      <c r="AG6704">
        <v>2.1461999999999801E-2</v>
      </c>
      <c r="AH6704">
        <v>86.868882775319506</v>
      </c>
      <c r="AI6704">
        <v>89.9865598610468</v>
      </c>
      <c r="AJ6704">
        <v>71.705704680328594</v>
      </c>
      <c r="AK6704">
        <v>91.493252820874602</v>
      </c>
      <c r="AL6704">
        <v>94.478677621470695</v>
      </c>
      <c r="AM6704">
        <v>85.412590567243498</v>
      </c>
      <c r="AN6704">
        <v>0.99999997701638599</v>
      </c>
    </row>
    <row r="6705" spans="1:40" x14ac:dyDescent="0.25">
      <c r="A6705" t="str">
        <f>"20190305135057292"</f>
        <v>20190305135057292</v>
      </c>
      <c r="B6705" t="str">
        <f>"1551765057286724"</f>
        <v>1551765057286724</v>
      </c>
      <c r="C6705" t="s">
        <v>40</v>
      </c>
      <c r="D6705">
        <v>4.3040690000000001</v>
      </c>
      <c r="E6705">
        <v>0.48693340000000002</v>
      </c>
      <c r="F6705" t="s">
        <v>42</v>
      </c>
      <c r="G6705">
        <v>-300.70710000000003</v>
      </c>
      <c r="H6705" s="1">
        <v>-3.3176129999999999E-6</v>
      </c>
      <c r="I6705">
        <v>-23.116009999999999</v>
      </c>
      <c r="J6705">
        <v>-304.9914</v>
      </c>
      <c r="K6705">
        <v>1.065995</v>
      </c>
      <c r="L6705">
        <v>-0.34176640000000003</v>
      </c>
      <c r="M6705">
        <v>0.26541510000000001</v>
      </c>
      <c r="N6705">
        <v>-6.0497469999999899E-3</v>
      </c>
      <c r="O6705">
        <v>-0.96411559999999996</v>
      </c>
      <c r="P6705">
        <v>0.18769430000000001</v>
      </c>
      <c r="Q6705">
        <v>-8.3724969999999996E-2</v>
      </c>
      <c r="R6705">
        <v>-0.97865290000000005</v>
      </c>
      <c r="S6705">
        <v>0.55621339999999997</v>
      </c>
      <c r="T6705">
        <v>-0.13669799999999999</v>
      </c>
      <c r="U6705">
        <v>-2.9472960000000001</v>
      </c>
      <c r="V6705">
        <v>7.8470129999999999E-2</v>
      </c>
      <c r="W6705">
        <v>-7.8038479999999993E-2</v>
      </c>
      <c r="X6705">
        <v>0.99385730000000005</v>
      </c>
      <c r="Y6705">
        <v>8.2143010000000002E-2</v>
      </c>
      <c r="Z6705">
        <v>3.750655E-2</v>
      </c>
      <c r="AA6705">
        <v>0.99591450000000004</v>
      </c>
      <c r="AB6705">
        <v>18</v>
      </c>
      <c r="AC6705">
        <v>4.2842999999999698</v>
      </c>
      <c r="AD6705">
        <v>-1.0659983176129999</v>
      </c>
      <c r="AE6705">
        <v>-22.774243599999998</v>
      </c>
      <c r="AF6705">
        <v>1.91006032744097</v>
      </c>
      <c r="AG6705">
        <v>-1.0659983176129999</v>
      </c>
      <c r="AH6705">
        <v>23.045770894544798</v>
      </c>
      <c r="AI6705">
        <v>92.639332000505505</v>
      </c>
      <c r="AJ6705">
        <v>85.262087967373503</v>
      </c>
      <c r="AK6705">
        <v>23.149346405275999</v>
      </c>
      <c r="AL6705">
        <v>94.475826601943893</v>
      </c>
      <c r="AM6705">
        <v>85.485569724183193</v>
      </c>
      <c r="AN6705">
        <v>0.99999994921310698</v>
      </c>
    </row>
    <row r="6706" spans="1:40" x14ac:dyDescent="0.25">
      <c r="A6706" t="str">
        <f>"20190305135057314"</f>
        <v>20190305135057314</v>
      </c>
      <c r="B6706" t="str">
        <f>"1551765057306245"</f>
        <v>1551765057306245</v>
      </c>
      <c r="C6706" t="s">
        <v>40</v>
      </c>
      <c r="D6706">
        <v>4.2282209999999996</v>
      </c>
      <c r="E6706">
        <v>0.4825314</v>
      </c>
      <c r="F6706" t="s">
        <v>42</v>
      </c>
      <c r="G6706">
        <v>-299.6703</v>
      </c>
      <c r="H6706" s="1">
        <v>-3.0270890000000001E-6</v>
      </c>
      <c r="I6706">
        <v>-23.447330000000001</v>
      </c>
      <c r="J6706">
        <v>-304.94630000000001</v>
      </c>
      <c r="K6706">
        <v>1.067286</v>
      </c>
      <c r="L6706">
        <v>-0.51504519999999998</v>
      </c>
      <c r="M6706">
        <v>0.2625111</v>
      </c>
      <c r="N6706">
        <v>-4.5968659999999998E-3</v>
      </c>
      <c r="O6706">
        <v>-0.96491830000000001</v>
      </c>
      <c r="P6706">
        <v>0.186364</v>
      </c>
      <c r="Q6706">
        <v>-8.176775E-2</v>
      </c>
      <c r="R6706">
        <v>-0.97907270000000002</v>
      </c>
      <c r="S6706">
        <v>0.67355350000000003</v>
      </c>
      <c r="T6706">
        <v>-0.13493450000000001</v>
      </c>
      <c r="U6706">
        <v>-2.9247130000000001</v>
      </c>
      <c r="V6706">
        <v>7.6818520000000001E-2</v>
      </c>
      <c r="W6706">
        <v>-7.757095E-2</v>
      </c>
      <c r="X6706">
        <v>0.99402299999999999</v>
      </c>
      <c r="Y6706">
        <v>3.9434869999999997E-2</v>
      </c>
      <c r="Z6706">
        <v>3.865184E-2</v>
      </c>
      <c r="AA6706">
        <v>0.99847430000000004</v>
      </c>
      <c r="AB6706">
        <v>18</v>
      </c>
      <c r="AC6706">
        <v>5.2760000000000096</v>
      </c>
      <c r="AD6706">
        <v>-1.0672890270890001</v>
      </c>
      <c r="AE6706">
        <v>-22.932284800000001</v>
      </c>
      <c r="AF6706">
        <v>0.92717257794865704</v>
      </c>
      <c r="AG6706">
        <v>-1.0672890270890001</v>
      </c>
      <c r="AH6706">
        <v>23.464761072296699</v>
      </c>
      <c r="AI6706">
        <v>92.602261919154401</v>
      </c>
      <c r="AJ6706">
        <v>87.737225871435498</v>
      </c>
      <c r="AK6706">
        <v>23.5073130543798</v>
      </c>
      <c r="AL6706">
        <v>94.448957290284</v>
      </c>
      <c r="AM6706">
        <v>85.580941098137302</v>
      </c>
      <c r="AN6706">
        <v>1.0000000309139401</v>
      </c>
    </row>
    <row r="6707" spans="1:40" x14ac:dyDescent="0.25">
      <c r="A6707" t="str">
        <f>"20190305135057335"</f>
        <v>20190305135057335</v>
      </c>
      <c r="B6707" t="str">
        <f>"1551765057326741"</f>
        <v>1551765057326741</v>
      </c>
      <c r="C6707" t="s">
        <v>40</v>
      </c>
      <c r="D6707">
        <v>4.3967890000000001</v>
      </c>
      <c r="E6707">
        <v>0.4834582</v>
      </c>
      <c r="F6707" t="s">
        <v>42</v>
      </c>
      <c r="G6707">
        <v>-299.53800000000001</v>
      </c>
      <c r="H6707" s="1">
        <v>-3.2641210000000002E-6</v>
      </c>
      <c r="I6707">
        <v>-22.949480000000001</v>
      </c>
      <c r="J6707">
        <v>-304.90300000000002</v>
      </c>
      <c r="K6707">
        <v>1.068449</v>
      </c>
      <c r="L6707">
        <v>-0.68582149999999997</v>
      </c>
      <c r="M6707">
        <v>0.26041399999999998</v>
      </c>
      <c r="N6707">
        <v>-3.1741439999999998E-3</v>
      </c>
      <c r="O6707">
        <v>-0.96549180000000001</v>
      </c>
      <c r="P6707">
        <v>0.1858619</v>
      </c>
      <c r="Q6707">
        <v>-8.0443700000000007E-2</v>
      </c>
      <c r="R6707">
        <v>-0.97927739999999996</v>
      </c>
      <c r="S6707">
        <v>0.70358279999999995</v>
      </c>
      <c r="T6707">
        <v>-0.138849</v>
      </c>
      <c r="U6707">
        <v>-2.9186100000000001</v>
      </c>
      <c r="V6707">
        <v>7.5135339999999995E-2</v>
      </c>
      <c r="W6707">
        <v>-7.7710989999999994E-2</v>
      </c>
      <c r="X6707">
        <v>0.99414069999999999</v>
      </c>
      <c r="Y6707">
        <v>2.710036E-2</v>
      </c>
      <c r="Z6707">
        <v>4.1370999999999998E-2</v>
      </c>
      <c r="AA6707">
        <v>0.99877629999999995</v>
      </c>
      <c r="AB6707">
        <v>18</v>
      </c>
      <c r="AC6707">
        <v>5.3650000000000002</v>
      </c>
      <c r="AD6707">
        <v>-1.0684522641209999</v>
      </c>
      <c r="AE6707">
        <v>-22.263658499999998</v>
      </c>
      <c r="AF6707">
        <v>0.61656589527302497</v>
      </c>
      <c r="AG6707">
        <v>-1.0684522641209999</v>
      </c>
      <c r="AH6707">
        <v>22.842894169051501</v>
      </c>
      <c r="AI6707">
        <v>92.677024202573307</v>
      </c>
      <c r="AJ6707">
        <v>88.4538715602812</v>
      </c>
      <c r="AK6707">
        <v>22.876178827820102</v>
      </c>
      <c r="AL6707">
        <v>94.457005314169294</v>
      </c>
      <c r="AM6707">
        <v>85.677906393395702</v>
      </c>
      <c r="AN6707">
        <v>1.0000000243400899</v>
      </c>
    </row>
    <row r="6708" spans="1:40" x14ac:dyDescent="0.25">
      <c r="A6708" t="str">
        <f>"20190305135057357"</f>
        <v>20190305135057357</v>
      </c>
      <c r="B6708" t="str">
        <f>"1551765057347237"</f>
        <v>1551765057347237</v>
      </c>
      <c r="C6708" t="s">
        <v>40</v>
      </c>
      <c r="D6708">
        <v>4.2670589999999997</v>
      </c>
      <c r="E6708">
        <v>0.4829696</v>
      </c>
      <c r="F6708" t="s">
        <v>42</v>
      </c>
      <c r="G6708">
        <v>-299.88459999999998</v>
      </c>
      <c r="H6708" s="1">
        <v>-3.695268E-6</v>
      </c>
      <c r="I6708">
        <v>-21.801169999999999</v>
      </c>
      <c r="J6708">
        <v>-304.86</v>
      </c>
      <c r="K6708">
        <v>1.0697509999999999</v>
      </c>
      <c r="L6708">
        <v>-0.86019899999999905</v>
      </c>
      <c r="M6708">
        <v>0.25823629999999997</v>
      </c>
      <c r="N6708">
        <v>-1.8201129999999999E-3</v>
      </c>
      <c r="O6708">
        <v>-0.9660801</v>
      </c>
      <c r="P6708">
        <v>0.1858272</v>
      </c>
      <c r="Q6708">
        <v>-7.9512239999999998E-2</v>
      </c>
      <c r="R6708">
        <v>-0.97936020000000001</v>
      </c>
      <c r="S6708">
        <v>0.69390869999999905</v>
      </c>
      <c r="T6708">
        <v>-0.14773629999999999</v>
      </c>
      <c r="U6708">
        <v>-2.9196469999999999</v>
      </c>
      <c r="V6708">
        <v>7.2923500000000002E-2</v>
      </c>
      <c r="W6708">
        <v>-7.8133579999999994E-2</v>
      </c>
      <c r="X6708">
        <v>0.99427220000000005</v>
      </c>
      <c r="Y6708">
        <v>2.8100759999999999E-2</v>
      </c>
      <c r="Z6708">
        <v>4.5562520000000002E-2</v>
      </c>
      <c r="AA6708">
        <v>0.99856619999999996</v>
      </c>
      <c r="AB6708">
        <v>18</v>
      </c>
      <c r="AC6708">
        <v>4.9754000000000298</v>
      </c>
      <c r="AD6708">
        <v>-1.0697546952679999</v>
      </c>
      <c r="AE6708">
        <v>-20.940970999999902</v>
      </c>
      <c r="AF6708">
        <v>0.59960379767077299</v>
      </c>
      <c r="AG6708">
        <v>-1.0697546952679999</v>
      </c>
      <c r="AH6708">
        <v>21.4625033300612</v>
      </c>
      <c r="AI6708">
        <v>92.852318816799098</v>
      </c>
      <c r="AJ6708">
        <v>88.3997284577013</v>
      </c>
      <c r="AK6708">
        <v>21.497510298058199</v>
      </c>
      <c r="AL6708">
        <v>94.481292113648905</v>
      </c>
      <c r="AM6708">
        <v>85.805232266756704</v>
      </c>
      <c r="AN6708">
        <v>0.99999995043435097</v>
      </c>
    </row>
    <row r="6709" spans="1:40" x14ac:dyDescent="0.25">
      <c r="A6709" t="str">
        <f>"20190305135057380"</f>
        <v>20190305135057380</v>
      </c>
      <c r="B6709" t="str">
        <f>"1551765057376520"</f>
        <v>1551765057376520</v>
      </c>
      <c r="C6709" t="s">
        <v>40</v>
      </c>
      <c r="D6709">
        <v>4.2282460000000004</v>
      </c>
      <c r="E6709">
        <v>0.48149999999999998</v>
      </c>
      <c r="F6709" t="s">
        <v>42</v>
      </c>
      <c r="G6709">
        <v>-299.94009999999997</v>
      </c>
      <c r="H6709" s="1">
        <v>-3.8360360000000004E-6</v>
      </c>
      <c r="I6709">
        <v>-21.450099999999999</v>
      </c>
      <c r="J6709">
        <v>-304.8175</v>
      </c>
      <c r="K6709">
        <v>1.071221</v>
      </c>
      <c r="L6709">
        <v>-1.0349120000000001</v>
      </c>
      <c r="M6709">
        <v>0.25566450000000002</v>
      </c>
      <c r="N6709">
        <v>-6.4370210000000005E-4</v>
      </c>
      <c r="O6709">
        <v>-0.96676550000000006</v>
      </c>
      <c r="P6709">
        <v>0.18549470000000001</v>
      </c>
      <c r="Q6709">
        <v>-7.8888609999999998E-2</v>
      </c>
      <c r="R6709">
        <v>-0.9794735</v>
      </c>
      <c r="S6709">
        <v>0.69738769999999894</v>
      </c>
      <c r="T6709">
        <v>-0.15163579999999999</v>
      </c>
      <c r="U6709">
        <v>-2.9185789999999998</v>
      </c>
      <c r="V6709">
        <v>7.0650240000000003E-2</v>
      </c>
      <c r="W6709">
        <v>-7.8642970000000006E-2</v>
      </c>
      <c r="X6709">
        <v>0.99439619999999995</v>
      </c>
      <c r="Y6709">
        <v>2.4259820000000001E-2</v>
      </c>
      <c r="Z6709">
        <v>4.8012930000000002E-2</v>
      </c>
      <c r="AA6709">
        <v>0.99855210000000005</v>
      </c>
      <c r="AB6709">
        <v>18</v>
      </c>
      <c r="AC6709">
        <v>4.8774000000000202</v>
      </c>
      <c r="AD6709">
        <v>-1.0712248360359999</v>
      </c>
      <c r="AE6709">
        <v>-20.415188000000001</v>
      </c>
      <c r="AF6709">
        <v>0.50282713312442595</v>
      </c>
      <c r="AG6709">
        <v>-1.0712248360359999</v>
      </c>
      <c r="AH6709">
        <v>20.929165941717098</v>
      </c>
      <c r="AI6709">
        <v>92.929189329272106</v>
      </c>
      <c r="AJ6709">
        <v>88.623722921405502</v>
      </c>
      <c r="AK6709">
        <v>20.962593942331601</v>
      </c>
      <c r="AL6709">
        <v>94.510567928386607</v>
      </c>
      <c r="AM6709">
        <v>85.936056541113004</v>
      </c>
      <c r="AN6709">
        <v>0.99999998785845901</v>
      </c>
    </row>
    <row r="6710" spans="1:40" x14ac:dyDescent="0.25">
      <c r="A6710" t="str">
        <f>"20190305135057402"</f>
        <v>20190305135057402</v>
      </c>
      <c r="B6710" t="str">
        <f>"1551765057397013"</f>
        <v>1551765057397013</v>
      </c>
      <c r="C6710" t="s">
        <v>40</v>
      </c>
      <c r="D6710">
        <v>4.1994109999999996</v>
      </c>
      <c r="E6710">
        <v>0.48094330000000002</v>
      </c>
      <c r="F6710" t="s">
        <v>42</v>
      </c>
      <c r="G6710">
        <v>-299.59429999999998</v>
      </c>
      <c r="H6710" s="1">
        <v>-3.422835E-6</v>
      </c>
      <c r="I6710">
        <v>-22.556270000000001</v>
      </c>
      <c r="J6710">
        <v>-304.77449999999999</v>
      </c>
      <c r="K6710">
        <v>1.072767</v>
      </c>
      <c r="L6710">
        <v>-1.2133179999999999</v>
      </c>
      <c r="M6710">
        <v>0.25277159999999999</v>
      </c>
      <c r="N6710">
        <v>3.7720439999999999E-4</v>
      </c>
      <c r="O6710">
        <v>-0.967526</v>
      </c>
      <c r="P6710">
        <v>0.18493660000000001</v>
      </c>
      <c r="Q6710">
        <v>-7.8811270000000003E-2</v>
      </c>
      <c r="R6710">
        <v>-0.97958529999999999</v>
      </c>
      <c r="S6710">
        <v>0.70797730000000003</v>
      </c>
      <c r="T6710">
        <v>-0.14519760000000001</v>
      </c>
      <c r="U6710">
        <v>-2.917084</v>
      </c>
      <c r="V6710">
        <v>6.8293619999999999E-2</v>
      </c>
      <c r="W6710">
        <v>-7.9520229999999997E-2</v>
      </c>
      <c r="X6710">
        <v>0.99449109999999996</v>
      </c>
      <c r="Y6710">
        <v>1.7715789999999999E-2</v>
      </c>
      <c r="Z6710">
        <v>4.700414E-2</v>
      </c>
      <c r="AA6710">
        <v>0.9987376</v>
      </c>
      <c r="AB6710">
        <v>18</v>
      </c>
      <c r="AC6710">
        <v>5.1802000000000099</v>
      </c>
      <c r="AD6710">
        <v>-1.0727704228349999</v>
      </c>
      <c r="AE6710">
        <v>-21.342952</v>
      </c>
      <c r="AF6710">
        <v>0.38200252605162899</v>
      </c>
      <c r="AG6710">
        <v>-1.0727704228349999</v>
      </c>
      <c r="AH6710">
        <v>21.907000810661401</v>
      </c>
      <c r="AI6710">
        <v>92.803069093880296</v>
      </c>
      <c r="AJ6710">
        <v>89.001008183247194</v>
      </c>
      <c r="AK6710">
        <v>21.936577828556999</v>
      </c>
      <c r="AL6710">
        <v>94.560989006022396</v>
      </c>
      <c r="AM6710">
        <v>86.071555973984601</v>
      </c>
      <c r="AN6710">
        <v>1.00000001674558</v>
      </c>
    </row>
    <row r="6711" spans="1:40" x14ac:dyDescent="0.25">
      <c r="A6711" t="str">
        <f>"20190305135057425"</f>
        <v>20190305135057425</v>
      </c>
      <c r="B6711" t="str">
        <f>"1551765057416532"</f>
        <v>1551765057416532</v>
      </c>
      <c r="C6711" t="s">
        <v>40</v>
      </c>
      <c r="D6711">
        <v>4.2103010000000003</v>
      </c>
      <c r="E6711">
        <v>0.48116239999999999</v>
      </c>
      <c r="F6711" t="s">
        <v>42</v>
      </c>
      <c r="G6711">
        <v>-299.41669999999999</v>
      </c>
      <c r="H6711" s="1">
        <v>-3.1783659999999998E-6</v>
      </c>
      <c r="I6711">
        <v>-23.199570000000001</v>
      </c>
      <c r="J6711">
        <v>-304.73320000000001</v>
      </c>
      <c r="K6711">
        <v>1.0742560000000001</v>
      </c>
      <c r="L6711">
        <v>-1.385254</v>
      </c>
      <c r="M6711">
        <v>0.2494285</v>
      </c>
      <c r="N6711">
        <v>9.9991329999999995E-4</v>
      </c>
      <c r="O6711">
        <v>-0.9683927</v>
      </c>
      <c r="P6711">
        <v>0.1838389</v>
      </c>
      <c r="Q6711">
        <v>-7.9163860000000003E-2</v>
      </c>
      <c r="R6711">
        <v>-0.97976359999999996</v>
      </c>
      <c r="S6711">
        <v>0.71081539999999999</v>
      </c>
      <c r="T6711">
        <v>-0.14232220000000001</v>
      </c>
      <c r="U6711">
        <v>-2.9168699999999999</v>
      </c>
      <c r="V6711">
        <v>6.6024159999999998E-2</v>
      </c>
      <c r="W6711">
        <v>-8.0429260000000002E-2</v>
      </c>
      <c r="X6711">
        <v>0.99457119999999999</v>
      </c>
      <c r="Y6711">
        <v>1.332525E-2</v>
      </c>
      <c r="Z6711">
        <v>4.6747400000000001E-2</v>
      </c>
      <c r="AA6711">
        <v>0.99881790000000004</v>
      </c>
      <c r="AB6711">
        <v>18</v>
      </c>
      <c r="AC6711">
        <v>5.3165000000000102</v>
      </c>
      <c r="AD6711">
        <v>-1.0742591783659901</v>
      </c>
      <c r="AE6711">
        <v>-21.814316000000002</v>
      </c>
      <c r="AF6711">
        <v>0.29198407744911598</v>
      </c>
      <c r="AG6711">
        <v>-1.0742591783659901</v>
      </c>
      <c r="AH6711">
        <v>22.399645883478001</v>
      </c>
      <c r="AI6711">
        <v>92.7454976830292</v>
      </c>
      <c r="AJ6711">
        <v>89.253179806118794</v>
      </c>
      <c r="AK6711">
        <v>22.427291927225699</v>
      </c>
      <c r="AL6711">
        <v>94.613240200121595</v>
      </c>
      <c r="AM6711">
        <v>86.202018127593306</v>
      </c>
      <c r="AN6711">
        <v>0.99999996371864597</v>
      </c>
    </row>
    <row r="6712" spans="1:40" x14ac:dyDescent="0.25">
      <c r="A6712" t="str">
        <f>"20190305135057447"</f>
        <v>20190305135057447</v>
      </c>
      <c r="B6712" t="str">
        <f>"1551765057436376"</f>
        <v>1551765057436376</v>
      </c>
      <c r="C6712" t="s">
        <v>40</v>
      </c>
      <c r="D6712">
        <v>4.233727</v>
      </c>
      <c r="E6712">
        <v>0.48089870000000001</v>
      </c>
      <c r="F6712" t="s">
        <v>42</v>
      </c>
      <c r="G6712">
        <v>-299.63119999999998</v>
      </c>
      <c r="H6712" s="1">
        <v>-3.4459130000000001E-6</v>
      </c>
      <c r="I6712">
        <v>-22.487189999999998</v>
      </c>
      <c r="J6712">
        <v>-304.69170000000003</v>
      </c>
      <c r="K6712">
        <v>1.075653</v>
      </c>
      <c r="L6712">
        <v>-1.5579529999999999</v>
      </c>
      <c r="M6712">
        <v>0.24545710000000001</v>
      </c>
      <c r="N6712">
        <v>1.1457640000000001E-3</v>
      </c>
      <c r="O6712">
        <v>-0.96940680000000001</v>
      </c>
      <c r="P6712">
        <v>0.18258250000000001</v>
      </c>
      <c r="Q6712">
        <v>-8.0069650000000006E-2</v>
      </c>
      <c r="R6712">
        <v>-0.97992489999999999</v>
      </c>
      <c r="S6712">
        <v>0.70541379999999998</v>
      </c>
      <c r="T6712">
        <v>-0.14852950000000001</v>
      </c>
      <c r="U6712">
        <v>-2.9176030000000002</v>
      </c>
      <c r="V6712">
        <v>6.3219910000000004E-2</v>
      </c>
      <c r="W6712">
        <v>-8.1453199999999906E-2</v>
      </c>
      <c r="X6712">
        <v>0.9946701</v>
      </c>
      <c r="Y6712">
        <v>1.1056109999999999E-2</v>
      </c>
      <c r="Z6712">
        <v>4.8955489999999997E-2</v>
      </c>
      <c r="AA6712">
        <v>0.99873979999999996</v>
      </c>
      <c r="AB6712">
        <v>18</v>
      </c>
      <c r="AC6712">
        <v>5.0605000000000402</v>
      </c>
      <c r="AD6712">
        <v>-1.075656445913</v>
      </c>
      <c r="AE6712">
        <v>-20.929237000000001</v>
      </c>
      <c r="AF6712">
        <v>0.23097045834833799</v>
      </c>
      <c r="AG6712">
        <v>-1.075656445913</v>
      </c>
      <c r="AH6712">
        <v>21.4774959966512</v>
      </c>
      <c r="AI6712">
        <v>92.866980771179499</v>
      </c>
      <c r="AJ6712">
        <v>89.383861026603796</v>
      </c>
      <c r="AK6712">
        <v>21.505655498692299</v>
      </c>
      <c r="AL6712">
        <v>94.6721006309252</v>
      </c>
      <c r="AM6712">
        <v>86.363248249529605</v>
      </c>
      <c r="AN6712">
        <v>0.999999994322329</v>
      </c>
    </row>
    <row r="6713" spans="1:40" x14ac:dyDescent="0.25">
      <c r="A6713" t="str">
        <f>"20190305135057470"</f>
        <v>20190305135057470</v>
      </c>
      <c r="B6713" t="str">
        <f>"1551765057466632"</f>
        <v>1551765057466632</v>
      </c>
      <c r="C6713" t="s">
        <v>40</v>
      </c>
      <c r="D6713">
        <v>4.2482189999999997</v>
      </c>
      <c r="E6713">
        <v>0.4805934</v>
      </c>
      <c r="F6713" t="s">
        <v>42</v>
      </c>
      <c r="G6713">
        <v>-299.59010000000001</v>
      </c>
      <c r="H6713" s="1">
        <v>-3.3588330000000002E-6</v>
      </c>
      <c r="I6713">
        <v>-22.707159999999998</v>
      </c>
      <c r="J6713">
        <v>-304.6497</v>
      </c>
      <c r="K6713">
        <v>1.0765849999999999</v>
      </c>
      <c r="L6713">
        <v>-1.7322390000000001</v>
      </c>
      <c r="M6713">
        <v>0.24182519999999999</v>
      </c>
      <c r="N6713">
        <v>1.1557410000000001E-3</v>
      </c>
      <c r="O6713">
        <v>-0.9703193</v>
      </c>
      <c r="P6713">
        <v>0.181617</v>
      </c>
      <c r="Q6713">
        <v>-8.0419610000000002E-2</v>
      </c>
      <c r="R6713">
        <v>-0.98007599999999995</v>
      </c>
      <c r="S6713">
        <v>0.7039185</v>
      </c>
      <c r="T6713">
        <v>-0.14841969999999999</v>
      </c>
      <c r="U6713">
        <v>-2.9181819999999998</v>
      </c>
      <c r="V6713">
        <v>6.0372059999999998E-2</v>
      </c>
      <c r="W6713">
        <v>-8.1872180000000003E-2</v>
      </c>
      <c r="X6713">
        <v>0.99481260000000005</v>
      </c>
      <c r="Y6713">
        <v>7.8404719999999994E-3</v>
      </c>
      <c r="Z6713">
        <v>4.8992309999999997E-2</v>
      </c>
      <c r="AA6713">
        <v>0.9987684</v>
      </c>
      <c r="AB6713">
        <v>18</v>
      </c>
      <c r="AC6713">
        <v>5.0595999999999801</v>
      </c>
      <c r="AD6713">
        <v>-1.0765883588330001</v>
      </c>
      <c r="AE6713">
        <v>-20.974920999999998</v>
      </c>
      <c r="AF6713">
        <v>0.16243262109059201</v>
      </c>
      <c r="AG6713">
        <v>-1.0765883588330001</v>
      </c>
      <c r="AH6713">
        <v>21.522337742626</v>
      </c>
      <c r="AI6713">
        <v>92.863575807773401</v>
      </c>
      <c r="AJ6713">
        <v>89.5675875428241</v>
      </c>
      <c r="AK6713">
        <v>21.549859599506199</v>
      </c>
      <c r="AL6713">
        <v>94.696186958592307</v>
      </c>
      <c r="AM6713">
        <v>86.527157838876605</v>
      </c>
      <c r="AN6713">
        <v>0.99999997430267695</v>
      </c>
    </row>
    <row r="6714" spans="1:40" x14ac:dyDescent="0.25">
      <c r="A6714" t="str">
        <f>"20190305135057493"</f>
        <v>20190305135057493</v>
      </c>
      <c r="B6714" t="str">
        <f>"1551765057487127"</f>
        <v>1551765057487127</v>
      </c>
      <c r="C6714" t="s">
        <v>40</v>
      </c>
      <c r="D6714">
        <v>4.2211749999999997</v>
      </c>
      <c r="E6714">
        <v>0.48091299999999998</v>
      </c>
      <c r="F6714" t="s">
        <v>42</v>
      </c>
      <c r="G6714">
        <v>-299.49079999999998</v>
      </c>
      <c r="H6714" s="1">
        <v>-3.1969919999999998E-6</v>
      </c>
      <c r="I6714">
        <v>-23.125499999999999</v>
      </c>
      <c r="J6714">
        <v>-304.608</v>
      </c>
      <c r="K6714">
        <v>1.0772790000000001</v>
      </c>
      <c r="L6714">
        <v>-1.908569</v>
      </c>
      <c r="M6714">
        <v>0.24044009999999999</v>
      </c>
      <c r="N6714">
        <v>9.5925809999999998E-4</v>
      </c>
      <c r="O6714">
        <v>-0.97066370000000002</v>
      </c>
      <c r="P6714">
        <v>0.1826844</v>
      </c>
      <c r="Q6714">
        <v>-8.2338869999999995E-2</v>
      </c>
      <c r="R6714">
        <v>-0.97971799999999998</v>
      </c>
      <c r="S6714">
        <v>0.70379639999999999</v>
      </c>
      <c r="T6714">
        <v>-0.14687059999999999</v>
      </c>
      <c r="U6714">
        <v>-2.9185180000000002</v>
      </c>
      <c r="V6714">
        <v>5.7641249999999998E-2</v>
      </c>
      <c r="W6714">
        <v>-8.370756E-2</v>
      </c>
      <c r="X6714">
        <v>0.99482179999999998</v>
      </c>
      <c r="Y6714">
        <v>6.47088E-3</v>
      </c>
      <c r="Z6714">
        <v>4.8323829999999998E-2</v>
      </c>
      <c r="AA6714">
        <v>0.9988108</v>
      </c>
      <c r="AB6714">
        <v>18</v>
      </c>
      <c r="AC6714">
        <v>5.11720000000002</v>
      </c>
      <c r="AD6714">
        <v>-1.0772821969919999</v>
      </c>
      <c r="AE6714">
        <v>-21.216930999999999</v>
      </c>
      <c r="AF6714">
        <v>0.13399430591052799</v>
      </c>
      <c r="AG6714">
        <v>-1.0772821969919999</v>
      </c>
      <c r="AH6714">
        <v>21.771847038929199</v>
      </c>
      <c r="AI6714">
        <v>92.832660809019501</v>
      </c>
      <c r="AJ6714">
        <v>89.647378963147403</v>
      </c>
      <c r="AK6714">
        <v>21.798894808969099</v>
      </c>
      <c r="AL6714">
        <v>94.801708915612195</v>
      </c>
      <c r="AM6714">
        <v>86.683916701136397</v>
      </c>
      <c r="AN6714">
        <v>0.99999994152897598</v>
      </c>
    </row>
    <row r="6715" spans="1:40" x14ac:dyDescent="0.25">
      <c r="A6715" t="str">
        <f>"20190305135057515"</f>
        <v>20190305135057515</v>
      </c>
      <c r="B6715" t="str">
        <f>"1551765057506649"</f>
        <v>1551765057506649</v>
      </c>
      <c r="C6715" t="s">
        <v>40</v>
      </c>
      <c r="D6715">
        <v>4.2562030000000002</v>
      </c>
      <c r="E6715">
        <v>0.48109970000000002</v>
      </c>
      <c r="F6715" t="s">
        <v>42</v>
      </c>
      <c r="G6715">
        <v>-299.77319999999997</v>
      </c>
      <c r="H6715" s="1">
        <v>-3.659329E-6</v>
      </c>
      <c r="I6715">
        <v>-21.93103</v>
      </c>
      <c r="J6715">
        <v>-304.56909999999999</v>
      </c>
      <c r="K6715">
        <v>1.0784800000000001</v>
      </c>
      <c r="L6715">
        <v>-2.077026</v>
      </c>
      <c r="M6715">
        <v>0.2404724</v>
      </c>
      <c r="N6715">
        <v>3.9911260000000001E-4</v>
      </c>
      <c r="O6715">
        <v>-0.97065619999999997</v>
      </c>
      <c r="P6715">
        <v>0.18519360000000001</v>
      </c>
      <c r="Q6715">
        <v>-8.5377129999999996E-2</v>
      </c>
      <c r="R6715">
        <v>-0.97898640000000003</v>
      </c>
      <c r="S6715">
        <v>0.70449830000000002</v>
      </c>
      <c r="T6715">
        <v>-0.15697469999999999</v>
      </c>
      <c r="U6715">
        <v>-2.9175420000000001</v>
      </c>
      <c r="V6715">
        <v>5.4913379999999998E-2</v>
      </c>
      <c r="W6715">
        <v>-8.6253999999999997E-2</v>
      </c>
      <c r="X6715">
        <v>0.9947587</v>
      </c>
      <c r="Y6715">
        <v>6.2334549999999997E-3</v>
      </c>
      <c r="Z6715">
        <v>5.1046609999999999E-2</v>
      </c>
      <c r="AA6715">
        <v>0.99867680000000003</v>
      </c>
      <c r="AB6715">
        <v>18</v>
      </c>
      <c r="AC6715">
        <v>4.7959000000000103</v>
      </c>
      <c r="AD6715">
        <v>-1.0784836593289999</v>
      </c>
      <c r="AE6715">
        <v>-19.854004</v>
      </c>
      <c r="AF6715">
        <v>0.11883856752318001</v>
      </c>
      <c r="AG6715">
        <v>-1.0784836593289999</v>
      </c>
      <c r="AH6715">
        <v>20.367902385345701</v>
      </c>
      <c r="AI6715">
        <v>93.030938545004105</v>
      </c>
      <c r="AJ6715">
        <v>89.665705826228802</v>
      </c>
      <c r="AK6715">
        <v>20.396781539927801</v>
      </c>
      <c r="AL6715">
        <v>94.948138381227494</v>
      </c>
      <c r="AM6715">
        <v>86.840324401903501</v>
      </c>
      <c r="AN6715">
        <v>1.0000000515223499</v>
      </c>
    </row>
    <row r="6716" spans="1:40" x14ac:dyDescent="0.25">
      <c r="A6716" t="str">
        <f>"20190305135057536"</f>
        <v>20190305135057536</v>
      </c>
      <c r="B6716" t="str">
        <f>"1551765057527144"</f>
        <v>1551765057527144</v>
      </c>
      <c r="C6716" t="s">
        <v>40</v>
      </c>
      <c r="D6716">
        <v>4.1775209999999996</v>
      </c>
      <c r="E6716">
        <v>0.47959839999999998</v>
      </c>
      <c r="F6716" t="s">
        <v>42</v>
      </c>
      <c r="G6716">
        <v>-300.07670000000002</v>
      </c>
      <c r="H6716" s="1">
        <v>-4.2655750000000002E-6</v>
      </c>
      <c r="I6716">
        <v>-20.515270000000001</v>
      </c>
      <c r="J6716">
        <v>-304.53050000000002</v>
      </c>
      <c r="K6716">
        <v>1.080514</v>
      </c>
      <c r="L6716">
        <v>-2.2474059999999998</v>
      </c>
      <c r="M6716">
        <v>0.23996870000000001</v>
      </c>
      <c r="N6716">
        <v>-2.8300949999999998E-4</v>
      </c>
      <c r="O6716">
        <v>-0.9707808</v>
      </c>
      <c r="P6716">
        <v>0.18734429999999999</v>
      </c>
      <c r="Q6716">
        <v>-8.8341030000000001E-2</v>
      </c>
      <c r="R6716">
        <v>-0.97831429999999997</v>
      </c>
      <c r="S6716">
        <v>0.71026610000000001</v>
      </c>
      <c r="T6716">
        <v>-0.17051269999999999</v>
      </c>
      <c r="U6716">
        <v>-2.9151609999999999</v>
      </c>
      <c r="V6716">
        <v>5.2117950000000003E-2</v>
      </c>
      <c r="W6716">
        <v>-8.8521310000000006E-2</v>
      </c>
      <c r="X6716">
        <v>0.99470979999999998</v>
      </c>
      <c r="Y6716">
        <v>3.710536E-3</v>
      </c>
      <c r="Z6716">
        <v>5.4782669999999999E-2</v>
      </c>
      <c r="AA6716">
        <v>0.99849140000000003</v>
      </c>
      <c r="AB6716">
        <v>18</v>
      </c>
      <c r="AC6716">
        <v>4.4538000000000002</v>
      </c>
      <c r="AD6716">
        <v>-1.0805182655750001</v>
      </c>
      <c r="AE6716">
        <v>-18.267863999999999</v>
      </c>
      <c r="AF6716">
        <v>5.9854383612491603E-2</v>
      </c>
      <c r="AG6716">
        <v>-1.0805182655750001</v>
      </c>
      <c r="AH6716">
        <v>18.7409733800501</v>
      </c>
      <c r="AI6716">
        <v>93.299741082769003</v>
      </c>
      <c r="AJ6716">
        <v>89.817011003819999</v>
      </c>
      <c r="AK6716">
        <v>18.772191813989799</v>
      </c>
      <c r="AL6716">
        <v>95.078545125732504</v>
      </c>
      <c r="AM6716">
        <v>87.000722724709505</v>
      </c>
      <c r="AN6716">
        <v>0.99999994462617703</v>
      </c>
    </row>
    <row r="6717" spans="1:40" x14ac:dyDescent="0.25">
      <c r="A6717" t="str">
        <f>"20190305135057559"</f>
        <v>20190305135057559</v>
      </c>
      <c r="B6717" t="str">
        <f>"1551765057556424"</f>
        <v>1551765057556424</v>
      </c>
      <c r="C6717" t="s">
        <v>40</v>
      </c>
      <c r="D6717">
        <v>4.1409229999999999</v>
      </c>
      <c r="E6717">
        <v>0.44679390000000002</v>
      </c>
      <c r="F6717" t="s">
        <v>42</v>
      </c>
      <c r="G6717">
        <v>-299.86739999999998</v>
      </c>
      <c r="H6717" s="1">
        <v>-4.1042959999999997E-6</v>
      </c>
      <c r="I6717">
        <v>-20.85483</v>
      </c>
      <c r="J6717">
        <v>-304.49149999999997</v>
      </c>
      <c r="K6717">
        <v>1.083148</v>
      </c>
      <c r="L6717">
        <v>-2.4203800000000002</v>
      </c>
      <c r="M6717">
        <v>0.23761860000000001</v>
      </c>
      <c r="N6717">
        <v>-9.47101E-4</v>
      </c>
      <c r="O6717">
        <v>-0.9713581</v>
      </c>
      <c r="P6717">
        <v>0.18823390000000001</v>
      </c>
      <c r="Q6717">
        <v>-9.1087070000000006E-2</v>
      </c>
      <c r="R6717">
        <v>-0.97789130000000002</v>
      </c>
      <c r="S6717">
        <v>0.72964479999999998</v>
      </c>
      <c r="T6717">
        <v>-0.1690701</v>
      </c>
      <c r="U6717">
        <v>-2.91153</v>
      </c>
      <c r="V6717">
        <v>4.8821240000000002E-2</v>
      </c>
      <c r="W6717">
        <v>-9.0526809999999999E-2</v>
      </c>
      <c r="X6717">
        <v>0.99469660000000004</v>
      </c>
      <c r="Y6717">
        <v>-5.2728139999999998E-3</v>
      </c>
      <c r="Z6717">
        <v>5.3747169999999997E-2</v>
      </c>
      <c r="AA6717">
        <v>0.9985406</v>
      </c>
      <c r="AB6717">
        <v>18</v>
      </c>
      <c r="AC6717">
        <v>4.6240999999999897</v>
      </c>
      <c r="AD6717">
        <v>-1.083152104296</v>
      </c>
      <c r="AE6717">
        <v>-18.434449999999998</v>
      </c>
      <c r="AF6717">
        <v>-0.110928539089858</v>
      </c>
      <c r="AG6717">
        <v>-1.083152104296</v>
      </c>
      <c r="AH6717">
        <v>18.9437031249238</v>
      </c>
      <c r="AI6717">
        <v>93.272405901875103</v>
      </c>
      <c r="AJ6717">
        <v>90.335502748997399</v>
      </c>
      <c r="AK6717">
        <v>18.974968029145</v>
      </c>
      <c r="AL6717">
        <v>95.193914947893404</v>
      </c>
      <c r="AM6717">
        <v>87.1900898691527</v>
      </c>
      <c r="AN6717">
        <v>0.999999971427736</v>
      </c>
    </row>
    <row r="6718" spans="1:40" x14ac:dyDescent="0.25">
      <c r="A6718" t="str">
        <f>"20190305135057582"</f>
        <v>20190305135057582</v>
      </c>
      <c r="B6718" t="str">
        <f>"1551765057576920"</f>
        <v>1551765057576920</v>
      </c>
      <c r="C6718" t="s">
        <v>40</v>
      </c>
      <c r="D6718">
        <v>4.1936920000000004</v>
      </c>
      <c r="E6718">
        <v>0.44819920000000002</v>
      </c>
      <c r="F6718" t="s">
        <v>85</v>
      </c>
      <c r="G6718">
        <v>-290.733</v>
      </c>
      <c r="H6718" s="1">
        <v>-3.3457500000000001E-6</v>
      </c>
      <c r="I6718">
        <v>-41.953290000000003</v>
      </c>
      <c r="J6718">
        <v>-304.45139999999998</v>
      </c>
      <c r="K6718">
        <v>1.0860590000000001</v>
      </c>
      <c r="L6718">
        <v>-2.5982059999999998</v>
      </c>
      <c r="M6718">
        <v>0.23373079999999999</v>
      </c>
      <c r="N6718">
        <v>-1.7538499999999999E-3</v>
      </c>
      <c r="O6718">
        <v>-0.97229989999999999</v>
      </c>
      <c r="P6718">
        <v>0.1882383</v>
      </c>
      <c r="Q6718">
        <v>-9.2946879999999996E-2</v>
      </c>
      <c r="R6718">
        <v>-0.97771569999999997</v>
      </c>
      <c r="S6718">
        <v>0.9982605</v>
      </c>
      <c r="T6718">
        <v>-7.8589080000000006E-2</v>
      </c>
      <c r="U6718">
        <v>-2.868347</v>
      </c>
      <c r="V6718">
        <v>4.4915249999999997E-2</v>
      </c>
      <c r="W6718">
        <v>-9.1490790000000002E-2</v>
      </c>
      <c r="X6718">
        <v>0.99479249999999997</v>
      </c>
      <c r="Y6718">
        <v>-9.874289E-2</v>
      </c>
      <c r="Z6718">
        <v>2.3766289999999999E-2</v>
      </c>
      <c r="AA6718">
        <v>0.99482910000000002</v>
      </c>
      <c r="AB6718">
        <v>18</v>
      </c>
      <c r="AC6718">
        <v>13.7183999999999</v>
      </c>
      <c r="AD6718">
        <v>-1.08606234575</v>
      </c>
      <c r="AE6718">
        <v>-39.355083999999998</v>
      </c>
      <c r="AF6718">
        <v>-4.1371001915202896</v>
      </c>
      <c r="AG6718">
        <v>-1.08606234575</v>
      </c>
      <c r="AH6718">
        <v>41.4432729776928</v>
      </c>
      <c r="AI6718">
        <v>91.493728749926305</v>
      </c>
      <c r="AJ6718">
        <v>95.700700339395297</v>
      </c>
      <c r="AK6718">
        <v>41.663413260522702</v>
      </c>
      <c r="AL6718">
        <v>95.249376785635107</v>
      </c>
      <c r="AM6718">
        <v>87.414830041041895</v>
      </c>
      <c r="AN6718">
        <v>1.00000003119681</v>
      </c>
    </row>
    <row r="6719" spans="1:40" x14ac:dyDescent="0.25">
      <c r="A6719" t="str">
        <f>"20190305135057604"</f>
        <v>20190305135057604</v>
      </c>
      <c r="B6719" t="str">
        <f>"1551765057596440"</f>
        <v>1551765057596440</v>
      </c>
      <c r="C6719" t="s">
        <v>40</v>
      </c>
      <c r="D6719">
        <v>4.1493000000000002</v>
      </c>
      <c r="E6719">
        <v>0.44944299999999998</v>
      </c>
      <c r="F6719" t="s">
        <v>42</v>
      </c>
      <c r="G6719">
        <v>-291.54939999999999</v>
      </c>
      <c r="H6719" s="1">
        <v>-2.3343860000000001E-6</v>
      </c>
      <c r="I6719">
        <v>-40.099510000000002</v>
      </c>
      <c r="J6719">
        <v>-304.41269999999997</v>
      </c>
      <c r="K6719">
        <v>1.08873</v>
      </c>
      <c r="L6719">
        <v>-2.771118</v>
      </c>
      <c r="M6719">
        <v>0.2297139</v>
      </c>
      <c r="N6719">
        <v>-2.6734200000000001E-3</v>
      </c>
      <c r="O6719">
        <v>-0.97325459999999997</v>
      </c>
      <c r="P6719">
        <v>0.1883242</v>
      </c>
      <c r="Q6719">
        <v>-9.3544639999999998E-2</v>
      </c>
      <c r="R6719">
        <v>-0.97764180000000001</v>
      </c>
      <c r="S6719">
        <v>0.98751829999999996</v>
      </c>
      <c r="T6719">
        <v>-8.3127499999999993E-2</v>
      </c>
      <c r="U6719">
        <v>-2.8703609999999999</v>
      </c>
      <c r="V6719">
        <v>4.079584E-2</v>
      </c>
      <c r="W6719">
        <v>-9.1108110000000006E-2</v>
      </c>
      <c r="X6719">
        <v>0.99500500000000003</v>
      </c>
      <c r="Y6719">
        <v>-9.9303009999999997E-2</v>
      </c>
      <c r="Z6719">
        <v>2.4385739999999999E-2</v>
      </c>
      <c r="AA6719">
        <v>0.99475840000000004</v>
      </c>
      <c r="AB6719">
        <v>18</v>
      </c>
      <c r="AC6719">
        <v>12.863299999999899</v>
      </c>
      <c r="AD6719">
        <v>-1.088732334386</v>
      </c>
      <c r="AE6719">
        <v>-37.328392000000001</v>
      </c>
      <c r="AF6719">
        <v>-3.94143221863597</v>
      </c>
      <c r="AG6719">
        <v>-1.088732334386</v>
      </c>
      <c r="AH6719">
        <v>39.255196767531501</v>
      </c>
      <c r="AI6719">
        <v>91.580731965511404</v>
      </c>
      <c r="AJ6719">
        <v>95.733587755884301</v>
      </c>
      <c r="AK6719">
        <v>39.4675904925504</v>
      </c>
      <c r="AL6719">
        <v>95.227359204393693</v>
      </c>
      <c r="AM6719">
        <v>87.652151503981102</v>
      </c>
      <c r="AN6719">
        <v>0.99999996914703804</v>
      </c>
    </row>
    <row r="6720" spans="1:40" x14ac:dyDescent="0.25">
      <c r="A6720" t="str">
        <f>"20190305135057625"</f>
        <v>20190305135057625</v>
      </c>
      <c r="B6720" t="str">
        <f>"1551765057616937"</f>
        <v>1551765057616937</v>
      </c>
      <c r="C6720" t="s">
        <v>40</v>
      </c>
      <c r="D6720">
        <v>4.0822580000000004</v>
      </c>
      <c r="E6720">
        <v>0.45022669999999998</v>
      </c>
      <c r="F6720" t="s">
        <v>85</v>
      </c>
      <c r="G6720">
        <v>-291.2706</v>
      </c>
      <c r="H6720" s="1">
        <v>-2.896671E-6</v>
      </c>
      <c r="I6720">
        <v>-41.35013</v>
      </c>
      <c r="J6720">
        <v>-304.37520000000001</v>
      </c>
      <c r="K6720">
        <v>1.091029</v>
      </c>
      <c r="L6720">
        <v>-2.9414980000000002</v>
      </c>
      <c r="M6720">
        <v>0.22645609999999999</v>
      </c>
      <c r="N6720">
        <v>-3.639757E-3</v>
      </c>
      <c r="O6720">
        <v>-0.97401479999999996</v>
      </c>
      <c r="P6720">
        <v>0.18977250000000001</v>
      </c>
      <c r="Q6720">
        <v>-9.4227720000000001E-2</v>
      </c>
      <c r="R6720">
        <v>-0.97729619999999995</v>
      </c>
      <c r="S6720">
        <v>0.9784851</v>
      </c>
      <c r="T6720">
        <v>-8.1060889999999997E-2</v>
      </c>
      <c r="U6720">
        <v>-2.8723749999999999</v>
      </c>
      <c r="V6720">
        <v>3.6007119999999997E-2</v>
      </c>
      <c r="W6720">
        <v>-9.0792399999999995E-2</v>
      </c>
      <c r="X6720">
        <v>0.99521870000000001</v>
      </c>
      <c r="Y6720">
        <v>-9.96277E-2</v>
      </c>
      <c r="Z6720">
        <v>2.2809429999999999E-2</v>
      </c>
      <c r="AA6720">
        <v>0.99476330000000002</v>
      </c>
      <c r="AB6720">
        <v>18</v>
      </c>
      <c r="AC6720">
        <v>13.1046</v>
      </c>
      <c r="AD6720">
        <v>-1.091031896671</v>
      </c>
      <c r="AE6720">
        <v>-38.408631999999997</v>
      </c>
      <c r="AF6720">
        <v>-4.0632945884628002</v>
      </c>
      <c r="AG6720">
        <v>-1.091031896671</v>
      </c>
      <c r="AH6720">
        <v>40.349288316954201</v>
      </c>
      <c r="AI6720">
        <v>91.541091526385401</v>
      </c>
      <c r="AJ6720">
        <v>95.750470778220901</v>
      </c>
      <c r="AK6720">
        <v>40.5680389123862</v>
      </c>
      <c r="AL6720">
        <v>95.209194822359805</v>
      </c>
      <c r="AM6720">
        <v>87.927936307354202</v>
      </c>
      <c r="AN6720">
        <v>1.0000000167090699</v>
      </c>
    </row>
    <row r="6721" spans="1:40" x14ac:dyDescent="0.25">
      <c r="A6721" t="str">
        <f>"20190305135057649"</f>
        <v>20190305135057649</v>
      </c>
      <c r="B6721" t="str">
        <f>"1551765057636456"</f>
        <v>1551765057636456</v>
      </c>
      <c r="C6721" t="s">
        <v>40</v>
      </c>
      <c r="D6721">
        <v>4.0721270000000001</v>
      </c>
      <c r="E6721">
        <v>0.4508511</v>
      </c>
      <c r="F6721" t="s">
        <v>85</v>
      </c>
      <c r="G6721">
        <v>-289.97320000000002</v>
      </c>
      <c r="H6721" s="1">
        <v>-5.3348430000000003E-6</v>
      </c>
      <c r="I6721">
        <v>-45.282040000000002</v>
      </c>
      <c r="J6721">
        <v>-304.3372</v>
      </c>
      <c r="K6721">
        <v>1.0931219999999999</v>
      </c>
      <c r="L6721">
        <v>-3.119202</v>
      </c>
      <c r="M6721">
        <v>0.2238743</v>
      </c>
      <c r="N6721">
        <v>-4.6239669999999997E-3</v>
      </c>
      <c r="O6721">
        <v>-0.97460709999999995</v>
      </c>
      <c r="P6721">
        <v>0.1914865</v>
      </c>
      <c r="Q6721">
        <v>-9.4918390000000005E-2</v>
      </c>
      <c r="R6721">
        <v>-0.97689510000000002</v>
      </c>
      <c r="S6721">
        <v>0.97717290000000001</v>
      </c>
      <c r="T6721">
        <v>-7.4026579999999995E-2</v>
      </c>
      <c r="U6721">
        <v>-2.8728030000000002</v>
      </c>
      <c r="V6721">
        <v>3.1603480000000003E-2</v>
      </c>
      <c r="W6721">
        <v>-9.0483750000000002E-2</v>
      </c>
      <c r="X6721">
        <v>0.99539639999999996</v>
      </c>
      <c r="Y6721">
        <v>-0.10183209999999999</v>
      </c>
      <c r="Z6721">
        <v>1.9595359999999999E-2</v>
      </c>
      <c r="AA6721">
        <v>0.99460859999999995</v>
      </c>
      <c r="AB6721">
        <v>18</v>
      </c>
      <c r="AC6721">
        <v>14.3639999999999</v>
      </c>
      <c r="AD6721">
        <v>-1.093127334843</v>
      </c>
      <c r="AE6721">
        <v>-42.162838000000001</v>
      </c>
      <c r="AF6721">
        <v>-4.5573843135994396</v>
      </c>
      <c r="AG6721">
        <v>-1.093127334843</v>
      </c>
      <c r="AH6721">
        <v>44.281733875008896</v>
      </c>
      <c r="AI6721">
        <v>91.406674289183599</v>
      </c>
      <c r="AJ6721">
        <v>95.876074550856501</v>
      </c>
      <c r="AK6721">
        <v>44.529053820277099</v>
      </c>
      <c r="AL6721">
        <v>95.191437262141704</v>
      </c>
      <c r="AM6721">
        <v>88.181490354027801</v>
      </c>
      <c r="AN6721">
        <v>1.00000004104756</v>
      </c>
    </row>
    <row r="6722" spans="1:40" x14ac:dyDescent="0.25">
      <c r="A6722" t="str">
        <f>"20190305135057671"</f>
        <v>20190305135057671</v>
      </c>
      <c r="B6722" t="str">
        <f>"1551765057666715"</f>
        <v>1551765057666715</v>
      </c>
      <c r="C6722" t="s">
        <v>40</v>
      </c>
      <c r="D6722">
        <v>4.036778</v>
      </c>
      <c r="E6722">
        <v>0.4512061</v>
      </c>
      <c r="F6722" t="s">
        <v>85</v>
      </c>
      <c r="G6722">
        <v>-289.95780000000002</v>
      </c>
      <c r="H6722">
        <v>3.2641919999999998E-2</v>
      </c>
      <c r="I6722">
        <v>-45.372120000000002</v>
      </c>
      <c r="J6722">
        <v>-304.30119999999999</v>
      </c>
      <c r="K6722">
        <v>1.094956</v>
      </c>
      <c r="L6722">
        <v>-3.2914729999999999</v>
      </c>
      <c r="M6722">
        <v>0.22165850000000001</v>
      </c>
      <c r="N6722">
        <v>-5.4835530000000004E-3</v>
      </c>
      <c r="O6722">
        <v>-0.97510889999999995</v>
      </c>
      <c r="P6722">
        <v>0.19314970000000001</v>
      </c>
      <c r="Q6722">
        <v>-9.5834080000000002E-2</v>
      </c>
      <c r="R6722">
        <v>-0.97647790000000001</v>
      </c>
      <c r="S6722">
        <v>0.9775085</v>
      </c>
      <c r="T6722">
        <v>-7.2091219999999998E-2</v>
      </c>
      <c r="U6722">
        <v>-2.8723450000000001</v>
      </c>
      <c r="V6722">
        <v>2.7622210000000001E-2</v>
      </c>
      <c r="W6722">
        <v>-9.052462E-2</v>
      </c>
      <c r="X6722">
        <v>0.99551109999999998</v>
      </c>
      <c r="Y6722">
        <v>-0.10425180000000001</v>
      </c>
      <c r="Z6722">
        <v>1.815547E-2</v>
      </c>
      <c r="AA6722">
        <v>0.99438519999999997</v>
      </c>
      <c r="AB6722">
        <v>18</v>
      </c>
      <c r="AC6722">
        <v>14.3433999999999</v>
      </c>
      <c r="AD6722">
        <v>-1.0623140799999999</v>
      </c>
      <c r="AE6722">
        <v>-42.080646999999999</v>
      </c>
      <c r="AF6722">
        <v>-4.6562555819055902</v>
      </c>
      <c r="AG6722">
        <v>-1.0623140799999999</v>
      </c>
      <c r="AH6722">
        <v>44.187986699786997</v>
      </c>
      <c r="AI6722">
        <v>91.369590675733505</v>
      </c>
      <c r="AJ6722">
        <v>96.015275109196494</v>
      </c>
      <c r="AK6722">
        <v>44.445330416469403</v>
      </c>
      <c r="AL6722">
        <v>95.193788690640105</v>
      </c>
      <c r="AM6722">
        <v>88.410635408056294</v>
      </c>
      <c r="AN6722">
        <v>1.00000002176731</v>
      </c>
    </row>
    <row r="6723" spans="1:40" x14ac:dyDescent="0.25">
      <c r="A6723" t="str">
        <f>"20190305135057694"</f>
        <v>20190305135057694</v>
      </c>
      <c r="B6723" t="str">
        <f>"1551765057686232"</f>
        <v>1551765057686232</v>
      </c>
      <c r="C6723" t="s">
        <v>40</v>
      </c>
      <c r="D6723">
        <v>4.093102</v>
      </c>
      <c r="E6723">
        <v>0.45135360000000002</v>
      </c>
      <c r="F6723" t="s">
        <v>85</v>
      </c>
      <c r="G6723">
        <v>-289.82369999999997</v>
      </c>
      <c r="H6723">
        <v>7.998798E-2</v>
      </c>
      <c r="I6723">
        <v>-45.7072</v>
      </c>
      <c r="J6723">
        <v>-304.26479999999998</v>
      </c>
      <c r="K6723">
        <v>1.0967739999999999</v>
      </c>
      <c r="L6723">
        <v>-3.4696660000000001</v>
      </c>
      <c r="M6723">
        <v>0.21913340000000001</v>
      </c>
      <c r="N6723">
        <v>-6.2513550000000001E-3</v>
      </c>
      <c r="O6723">
        <v>-0.97567490000000001</v>
      </c>
      <c r="P6723">
        <v>0.19362209999999999</v>
      </c>
      <c r="Q6723">
        <v>-9.7256090000000003E-2</v>
      </c>
      <c r="R6723">
        <v>-0.97624370000000005</v>
      </c>
      <c r="S6723">
        <v>0.98016360000000002</v>
      </c>
      <c r="T6723">
        <v>-6.8715689999999996E-2</v>
      </c>
      <c r="U6723">
        <v>-2.8716430000000002</v>
      </c>
      <c r="V6723">
        <v>2.4554449999999998E-2</v>
      </c>
      <c r="W6723">
        <v>-9.1160000000000005E-2</v>
      </c>
      <c r="X6723">
        <v>0.99553349999999996</v>
      </c>
      <c r="Y6723">
        <v>-0.1077318</v>
      </c>
      <c r="Z6723">
        <v>1.6333980000000001E-2</v>
      </c>
      <c r="AA6723">
        <v>0.99404579999999998</v>
      </c>
      <c r="AB6723">
        <v>18</v>
      </c>
      <c r="AC6723">
        <v>14.4411</v>
      </c>
      <c r="AD6723">
        <v>-1.0167860199999901</v>
      </c>
      <c r="AE6723">
        <v>-42.237533999999997</v>
      </c>
      <c r="AF6723">
        <v>-4.8317517418776301</v>
      </c>
      <c r="AG6723">
        <v>-1.0167860199999901</v>
      </c>
      <c r="AH6723">
        <v>44.352482718037798</v>
      </c>
      <c r="AI6723">
        <v>91.305561046211807</v>
      </c>
      <c r="AJ6723">
        <v>96.217274298358106</v>
      </c>
      <c r="AK6723">
        <v>44.626476468117502</v>
      </c>
      <c r="AL6723">
        <v>95.230344501850396</v>
      </c>
      <c r="AM6723">
        <v>88.587108147051694</v>
      </c>
      <c r="AN6723">
        <v>1.0000000081185201</v>
      </c>
    </row>
    <row r="6724" spans="1:40" x14ac:dyDescent="0.25">
      <c r="A6724" t="str">
        <f>"20190305135057715"</f>
        <v>20190305135057715</v>
      </c>
      <c r="B6724" t="str">
        <f>"1551765057706728"</f>
        <v>1551765057706728</v>
      </c>
      <c r="C6724" t="s">
        <v>40</v>
      </c>
      <c r="D6724">
        <v>4.0893660000000001</v>
      </c>
      <c r="E6724">
        <v>0.45192860000000001</v>
      </c>
      <c r="F6724" t="s">
        <v>85</v>
      </c>
      <c r="G6724">
        <v>-289.86360000000002</v>
      </c>
      <c r="H6724">
        <v>7.998798E-2</v>
      </c>
      <c r="I6724">
        <v>-45.619309999999999</v>
      </c>
      <c r="J6724">
        <v>-304.23020000000002</v>
      </c>
      <c r="K6724">
        <v>1.098436</v>
      </c>
      <c r="L6724">
        <v>-3.6405029999999998</v>
      </c>
      <c r="M6724">
        <v>0.216446</v>
      </c>
      <c r="N6724">
        <v>-6.8973810000000002E-3</v>
      </c>
      <c r="O6724">
        <v>-0.97627039999999998</v>
      </c>
      <c r="P6724">
        <v>0.1955836</v>
      </c>
      <c r="Q6724">
        <v>-9.9379129999999996E-2</v>
      </c>
      <c r="R6724">
        <v>-0.97563869999999997</v>
      </c>
      <c r="S6724">
        <v>0.98110960000000003</v>
      </c>
      <c r="T6724">
        <v>-6.9270369999999998E-2</v>
      </c>
      <c r="U6724">
        <v>-2.871521</v>
      </c>
      <c r="V6724">
        <v>1.980604E-2</v>
      </c>
      <c r="W6724">
        <v>-9.2606880000000003E-2</v>
      </c>
      <c r="X6724">
        <v>0.9955058</v>
      </c>
      <c r="Y6724">
        <v>-0.11077480000000001</v>
      </c>
      <c r="Z6724">
        <v>1.590548E-2</v>
      </c>
      <c r="AA6724">
        <v>0.99371830000000005</v>
      </c>
      <c r="AB6724">
        <v>18</v>
      </c>
      <c r="AC6724">
        <v>14.3666</v>
      </c>
      <c r="AD6724">
        <v>-1.0184480199999999</v>
      </c>
      <c r="AE6724">
        <v>-41.978807000000003</v>
      </c>
      <c r="AF6724">
        <v>-4.9370568708751401</v>
      </c>
      <c r="AG6724">
        <v>-1.0184480199999999</v>
      </c>
      <c r="AH6724">
        <v>44.070081322598497</v>
      </c>
      <c r="AI6724">
        <v>91.315627801663297</v>
      </c>
      <c r="AJ6724">
        <v>96.392046076781398</v>
      </c>
      <c r="AK6724">
        <v>44.357455232419902</v>
      </c>
      <c r="AL6724">
        <v>95.313596549321204</v>
      </c>
      <c r="AM6724">
        <v>88.8602248152296</v>
      </c>
      <c r="AN6724">
        <v>1.0000000556387201</v>
      </c>
    </row>
    <row r="6725" spans="1:40" x14ac:dyDescent="0.25">
      <c r="A6725" t="str">
        <f>"20190305135057749"</f>
        <v>20190305135057749</v>
      </c>
      <c r="B6725" t="str">
        <f>"1551765057736984"</f>
        <v>1551765057736984</v>
      </c>
      <c r="C6725" t="s">
        <v>40</v>
      </c>
      <c r="D6725">
        <v>4.0709519999999904</v>
      </c>
      <c r="E6725">
        <v>0.45266529999999999</v>
      </c>
      <c r="F6725" t="s">
        <v>85</v>
      </c>
      <c r="G6725">
        <v>-289.95780000000002</v>
      </c>
      <c r="H6725">
        <v>3.7650419999999997E-2</v>
      </c>
      <c r="I6725">
        <v>-45.323639999999997</v>
      </c>
      <c r="J6725">
        <v>-304.17770000000002</v>
      </c>
      <c r="K6725">
        <v>1.1006800000000001</v>
      </c>
      <c r="L6725">
        <v>-3.903076</v>
      </c>
      <c r="M6725">
        <v>0.2122288</v>
      </c>
      <c r="N6725">
        <v>-7.6975219999999896E-3</v>
      </c>
      <c r="O6725">
        <v>-0.97718970000000005</v>
      </c>
      <c r="P6725">
        <v>0.19537189999999999</v>
      </c>
      <c r="Q6725">
        <v>-0.10057720000000001</v>
      </c>
      <c r="R6725">
        <v>-0.97555829999999999</v>
      </c>
      <c r="S6725">
        <v>0.98284910000000003</v>
      </c>
      <c r="T6725">
        <v>-7.3049550000000005E-2</v>
      </c>
      <c r="U6725">
        <v>-2.8704529999999999</v>
      </c>
      <c r="V6725">
        <v>1.577044E-2</v>
      </c>
      <c r="W6725">
        <v>-9.2977820000000003E-2</v>
      </c>
      <c r="X6725">
        <v>0.99554330000000002</v>
      </c>
      <c r="Y6725">
        <v>-0.1157101</v>
      </c>
      <c r="Z6725">
        <v>1.6392049999999998E-2</v>
      </c>
      <c r="AA6725">
        <v>0.99314769999999997</v>
      </c>
      <c r="AB6725">
        <v>18</v>
      </c>
      <c r="AC6725">
        <v>14.2198999999999</v>
      </c>
      <c r="AD6725">
        <v>-1.06302957999999</v>
      </c>
      <c r="AE6725">
        <v>-41.420563999999999</v>
      </c>
      <c r="AF6725">
        <v>-5.1020482121412796</v>
      </c>
      <c r="AG6725">
        <v>-1.06302957999999</v>
      </c>
      <c r="AH6725">
        <v>43.469296224706198</v>
      </c>
      <c r="AI6725">
        <v>91.391326281929594</v>
      </c>
      <c r="AJ6725">
        <v>96.694252715326698</v>
      </c>
      <c r="AK6725">
        <v>43.780596639587102</v>
      </c>
      <c r="AL6725">
        <v>95.334942119846403</v>
      </c>
      <c r="AM6725">
        <v>89.092451243994006</v>
      </c>
      <c r="AN6725">
        <v>1.00000002198231</v>
      </c>
    </row>
    <row r="6726" spans="1:40" x14ac:dyDescent="0.25">
      <c r="A6726" t="str">
        <f>"20190305135057772"</f>
        <v>20190305135057772</v>
      </c>
      <c r="B6726" t="str">
        <f>"1551765057766264"</f>
        <v>1551765057766264</v>
      </c>
      <c r="C6726" t="s">
        <v>40</v>
      </c>
      <c r="D6726">
        <v>4.0925320000000003</v>
      </c>
      <c r="E6726">
        <v>0.45348240000000001</v>
      </c>
      <c r="F6726" t="s">
        <v>85</v>
      </c>
      <c r="G6726">
        <v>-289.95760000000001</v>
      </c>
      <c r="H6726">
        <v>3.5537909999999999E-2</v>
      </c>
      <c r="I6726">
        <v>-45.728279999999998</v>
      </c>
      <c r="J6726">
        <v>-304.14280000000002</v>
      </c>
      <c r="K6726">
        <v>1.1018950000000001</v>
      </c>
      <c r="L6726">
        <v>-4.0798030000000001</v>
      </c>
      <c r="M6726">
        <v>0.2095727</v>
      </c>
      <c r="N6726">
        <v>-8.0610990000000004E-3</v>
      </c>
      <c r="O6726">
        <v>-0.97776010000000002</v>
      </c>
      <c r="P6726">
        <v>0.19426869999999999</v>
      </c>
      <c r="Q6726">
        <v>-0.1007509</v>
      </c>
      <c r="R6726">
        <v>-0.97576110000000005</v>
      </c>
      <c r="S6726">
        <v>0.97647090000000003</v>
      </c>
      <c r="T6726">
        <v>-7.3141570000000003E-2</v>
      </c>
      <c r="U6726">
        <v>-2.8720699999999999</v>
      </c>
      <c r="V6726">
        <v>1.422208E-2</v>
      </c>
      <c r="W6726">
        <v>-9.2778529999999998E-2</v>
      </c>
      <c r="X6726">
        <v>0.99558519999999995</v>
      </c>
      <c r="Y6726">
        <v>-0.1162623</v>
      </c>
      <c r="Z6726">
        <v>1.608153E-2</v>
      </c>
      <c r="AA6726">
        <v>0.99308839999999998</v>
      </c>
      <c r="AB6726">
        <v>18</v>
      </c>
      <c r="AC6726">
        <v>14.1852</v>
      </c>
      <c r="AD6726">
        <v>-1.0663570899999999</v>
      </c>
      <c r="AE6726">
        <v>-41.648477</v>
      </c>
      <c r="AF6726">
        <v>-5.1384861362407799</v>
      </c>
      <c r="AG6726">
        <v>-1.0663570899999999</v>
      </c>
      <c r="AH6726">
        <v>43.670805615360997</v>
      </c>
      <c r="AI6726">
        <v>91.389195050413406</v>
      </c>
      <c r="AJ6726">
        <v>96.710799989648805</v>
      </c>
      <c r="AK6726">
        <v>43.985002220192897</v>
      </c>
      <c r="AL6726">
        <v>95.323474154252096</v>
      </c>
      <c r="AM6726">
        <v>89.181577088441301</v>
      </c>
      <c r="AN6726">
        <v>1.00000000682376</v>
      </c>
    </row>
    <row r="6727" spans="1:40" x14ac:dyDescent="0.25">
      <c r="A6727" t="str">
        <f>"20190305135057793"</f>
        <v>20190305135057793</v>
      </c>
      <c r="B6727" t="str">
        <f>"1551765057786765"</f>
        <v>1551765057786765</v>
      </c>
      <c r="C6727" t="s">
        <v>40</v>
      </c>
      <c r="D6727">
        <v>4.0364820000000003</v>
      </c>
      <c r="E6727">
        <v>0.45395210000000003</v>
      </c>
      <c r="F6727" t="s">
        <v>85</v>
      </c>
      <c r="G6727">
        <v>-289.93049999999999</v>
      </c>
      <c r="H6727">
        <v>7.6728439999999995E-2</v>
      </c>
      <c r="I6727">
        <v>-46.335560000000001</v>
      </c>
      <c r="J6727">
        <v>-304.10910000000001</v>
      </c>
      <c r="K6727">
        <v>1.102873</v>
      </c>
      <c r="L6727">
        <v>-4.2527160000000004</v>
      </c>
      <c r="M6727">
        <v>0.20707510000000001</v>
      </c>
      <c r="N6727">
        <v>-8.3154939999999997E-3</v>
      </c>
      <c r="O6727">
        <v>-0.97828979999999999</v>
      </c>
      <c r="P6727">
        <v>0.1927654</v>
      </c>
      <c r="Q6727">
        <v>-0.10061929999999999</v>
      </c>
      <c r="R6727">
        <v>-0.97607290000000002</v>
      </c>
      <c r="S6727">
        <v>0.96691890000000003</v>
      </c>
      <c r="T6727">
        <v>-6.97459E-2</v>
      </c>
      <c r="U6727">
        <v>-2.8748170000000002</v>
      </c>
      <c r="V6727">
        <v>1.3239590000000001E-2</v>
      </c>
      <c r="W6727">
        <v>-9.2386880000000005E-2</v>
      </c>
      <c r="X6727">
        <v>0.99563520000000005</v>
      </c>
      <c r="Y6727">
        <v>-0.1155543</v>
      </c>
      <c r="Z6727">
        <v>1.4732790000000001E-2</v>
      </c>
      <c r="AA6727">
        <v>0.99319190000000002</v>
      </c>
      <c r="AB6727">
        <v>18</v>
      </c>
      <c r="AC6727">
        <v>14.178599999999999</v>
      </c>
      <c r="AD6727">
        <v>-1.0261445600000001</v>
      </c>
      <c r="AE6727">
        <v>-42.082844000000001</v>
      </c>
      <c r="AF6727">
        <v>-5.1538964732768999</v>
      </c>
      <c r="AG6727">
        <v>-1.0261445600000001</v>
      </c>
      <c r="AH6727">
        <v>44.083234323921801</v>
      </c>
      <c r="AI6727">
        <v>91.324440234445007</v>
      </c>
      <c r="AJ6727">
        <v>96.668340393361106</v>
      </c>
      <c r="AK6727">
        <v>44.395350769794199</v>
      </c>
      <c r="AL6727">
        <v>95.300937307154001</v>
      </c>
      <c r="AM6727">
        <v>89.2381467407087</v>
      </c>
      <c r="AN6727">
        <v>1.0000000369092701</v>
      </c>
    </row>
    <row r="6728" spans="1:40" x14ac:dyDescent="0.25">
      <c r="A6728" t="str">
        <f>"20190305135057816"</f>
        <v>20190305135057816</v>
      </c>
      <c r="B6728" t="str">
        <f>"1551765057806281"</f>
        <v>1551765057806281</v>
      </c>
      <c r="C6728" t="s">
        <v>40</v>
      </c>
      <c r="D6728">
        <v>4.0257800000000001</v>
      </c>
      <c r="E6728">
        <v>0.45441209999999999</v>
      </c>
      <c r="F6728" t="s">
        <v>85</v>
      </c>
      <c r="G6728">
        <v>-289.56209999999999</v>
      </c>
      <c r="H6728">
        <v>7.9987509999999998E-2</v>
      </c>
      <c r="I6728">
        <v>-47.89723</v>
      </c>
      <c r="J6728">
        <v>-304.0761</v>
      </c>
      <c r="K6728">
        <v>1.103688</v>
      </c>
      <c r="L6728">
        <v>-4.4233089999999997</v>
      </c>
      <c r="M6728">
        <v>0.204621</v>
      </c>
      <c r="N6728">
        <v>-8.5140619999999993E-3</v>
      </c>
      <c r="O6728">
        <v>-0.97880429999999996</v>
      </c>
      <c r="P6728">
        <v>0.1893601</v>
      </c>
      <c r="Q6728">
        <v>-0.1009438</v>
      </c>
      <c r="R6728">
        <v>-0.97670539999999995</v>
      </c>
      <c r="S6728">
        <v>0.95898439999999996</v>
      </c>
      <c r="T6728">
        <v>-6.743217E-2</v>
      </c>
      <c r="U6728">
        <v>-2.8771969999999998</v>
      </c>
      <c r="V6728">
        <v>1.4220440000000001E-2</v>
      </c>
      <c r="W6728">
        <v>-9.2515200000000006E-2</v>
      </c>
      <c r="X6728">
        <v>0.99560970000000004</v>
      </c>
      <c r="Y6728">
        <v>-0.1153381</v>
      </c>
      <c r="Z6728">
        <v>1.3789839999999999E-2</v>
      </c>
      <c r="AA6728">
        <v>0.99323059999999996</v>
      </c>
      <c r="AB6728">
        <v>18</v>
      </c>
      <c r="AC6728">
        <v>14.513999999999999</v>
      </c>
      <c r="AD6728">
        <v>-1.02370049</v>
      </c>
      <c r="AE6728">
        <v>-43.473920999999997</v>
      </c>
      <c r="AF6728">
        <v>-5.30823248656439</v>
      </c>
      <c r="AG6728">
        <v>-1.02370049</v>
      </c>
      <c r="AH6728">
        <v>45.501278146567003</v>
      </c>
      <c r="AI6728">
        <v>91.280160032526993</v>
      </c>
      <c r="AJ6728">
        <v>96.654114514846796</v>
      </c>
      <c r="AK6728">
        <v>45.821300808640302</v>
      </c>
      <c r="AL6728">
        <v>95.308321433098399</v>
      </c>
      <c r="AM6728">
        <v>89.181691585663003</v>
      </c>
      <c r="AN6728">
        <v>0.99999997893946102</v>
      </c>
    </row>
    <row r="6729" spans="1:40" x14ac:dyDescent="0.25">
      <c r="A6729" t="str">
        <f>"20190305135057838"</f>
        <v>20190305135057838</v>
      </c>
      <c r="B6729" t="str">
        <f>"1551765057826776"</f>
        <v>1551765057826776</v>
      </c>
      <c r="C6729" t="s">
        <v>40</v>
      </c>
      <c r="D6729">
        <v>4.0248549999999996</v>
      </c>
      <c r="E6729">
        <v>0.45484580000000002</v>
      </c>
      <c r="F6729" t="s">
        <v>85</v>
      </c>
      <c r="G6729">
        <v>-288.49919999999997</v>
      </c>
      <c r="H6729" s="1">
        <v>-3.5627300000000002E-6</v>
      </c>
      <c r="I6729">
        <v>-51.889539999999997</v>
      </c>
      <c r="J6729">
        <v>-304.0421</v>
      </c>
      <c r="K6729">
        <v>1.104406</v>
      </c>
      <c r="L6729">
        <v>-4.6016849999999998</v>
      </c>
      <c r="M6729">
        <v>0.2020256</v>
      </c>
      <c r="N6729">
        <v>-8.6876409999999994E-3</v>
      </c>
      <c r="O6729">
        <v>-0.97934189999999999</v>
      </c>
      <c r="P6729">
        <v>0.18519830000000001</v>
      </c>
      <c r="Q6729">
        <v>-0.1022498</v>
      </c>
      <c r="R6729">
        <v>-0.9773676</v>
      </c>
      <c r="S6729">
        <v>0.94555659999999997</v>
      </c>
      <c r="T6729">
        <v>-6.6996810000000004E-2</v>
      </c>
      <c r="U6729">
        <v>-2.8813170000000001</v>
      </c>
      <c r="V6729">
        <v>1.5797930000000002E-2</v>
      </c>
      <c r="W6729">
        <v>-9.3653189999999997E-2</v>
      </c>
      <c r="X6729">
        <v>0.99547949999999996</v>
      </c>
      <c r="Y6729">
        <v>-0.113373</v>
      </c>
      <c r="Z6729">
        <v>1.3478499999999999E-2</v>
      </c>
      <c r="AA6729">
        <v>0.99346109999999999</v>
      </c>
      <c r="AB6729">
        <v>18</v>
      </c>
      <c r="AC6729">
        <v>15.542899999999999</v>
      </c>
      <c r="AD6729">
        <v>-1.1044095627299999</v>
      </c>
      <c r="AE6729">
        <v>-47.287855</v>
      </c>
      <c r="AF6729">
        <v>-5.6658796309654198</v>
      </c>
      <c r="AG6729">
        <v>-1.1044095627299999</v>
      </c>
      <c r="AH6729">
        <v>49.4285660128348</v>
      </c>
      <c r="AI6729">
        <v>91.271653637268699</v>
      </c>
      <c r="AJ6729">
        <v>96.539139049013002</v>
      </c>
      <c r="AK6729">
        <v>49.764495883712101</v>
      </c>
      <c r="AL6729">
        <v>95.373807864682703</v>
      </c>
      <c r="AM6729">
        <v>89.090811273487304</v>
      </c>
      <c r="AN6729">
        <v>0.99999996475485398</v>
      </c>
    </row>
    <row r="6730" spans="1:40" x14ac:dyDescent="0.25">
      <c r="A6730" t="str">
        <f>"20190305135057860"</f>
        <v>20190305135057860</v>
      </c>
      <c r="B6730" t="str">
        <f>"1551765057857032"</f>
        <v>1551765057857032</v>
      </c>
      <c r="C6730" t="s">
        <v>40</v>
      </c>
      <c r="D6730">
        <v>4.0297010000000002</v>
      </c>
      <c r="E6730">
        <v>0.45539299999999999</v>
      </c>
      <c r="F6730" t="s">
        <v>85</v>
      </c>
      <c r="G6730">
        <v>-289.31330000000003</v>
      </c>
      <c r="H6730" s="1">
        <v>-6.994303E-6</v>
      </c>
      <c r="I6730">
        <v>-50.284179999999999</v>
      </c>
      <c r="J6730">
        <v>-304.00880000000001</v>
      </c>
      <c r="K6730">
        <v>1.1049899999999999</v>
      </c>
      <c r="L6730">
        <v>-4.7785640000000003</v>
      </c>
      <c r="M6730">
        <v>0.19943449999999999</v>
      </c>
      <c r="N6730">
        <v>-8.8243709999999993E-3</v>
      </c>
      <c r="O6730">
        <v>-0.97987150000000001</v>
      </c>
      <c r="P6730">
        <v>0.1805234</v>
      </c>
      <c r="Q6730">
        <v>-0.1027658</v>
      </c>
      <c r="R6730">
        <v>-0.97818760000000005</v>
      </c>
      <c r="S6730">
        <v>0.93045040000000001</v>
      </c>
      <c r="T6730">
        <v>-6.9768189999999994E-2</v>
      </c>
      <c r="U6730">
        <v>-2.8858640000000002</v>
      </c>
      <c r="V6730">
        <v>1.7913419999999999E-2</v>
      </c>
      <c r="W6730">
        <v>-9.403968E-2</v>
      </c>
      <c r="X6730">
        <v>0.99540729999999999</v>
      </c>
      <c r="Y6730">
        <v>-0.110829399999999</v>
      </c>
      <c r="Z6730">
        <v>1.4248480000000001E-2</v>
      </c>
      <c r="AA6730">
        <v>0.99373730000000005</v>
      </c>
      <c r="AB6730">
        <v>18</v>
      </c>
      <c r="AC6730">
        <v>14.6954999999999</v>
      </c>
      <c r="AD6730">
        <v>-1.104996994303</v>
      </c>
      <c r="AE6730">
        <v>-45.505616000000003</v>
      </c>
      <c r="AF6730">
        <v>-5.3216772113840296</v>
      </c>
      <c r="AG6730">
        <v>-1.104996994303</v>
      </c>
      <c r="AH6730">
        <v>47.496931240543603</v>
      </c>
      <c r="AI6730">
        <v>91.324438565431095</v>
      </c>
      <c r="AJ6730">
        <v>96.392902938463095</v>
      </c>
      <c r="AK6730">
        <v>47.806900589439003</v>
      </c>
      <c r="AL6730">
        <v>95.396049961890199</v>
      </c>
      <c r="AM6730">
        <v>88.969012397921702</v>
      </c>
      <c r="AN6730">
        <v>1.0000000224619401</v>
      </c>
    </row>
    <row r="6731" spans="1:40" x14ac:dyDescent="0.25">
      <c r="A6731" t="str">
        <f>"20190305135057883"</f>
        <v>20190305135057883</v>
      </c>
      <c r="B6731" t="str">
        <f>"1551765057876552"</f>
        <v>1551765057876552</v>
      </c>
      <c r="C6731" t="s">
        <v>40</v>
      </c>
      <c r="D6731">
        <v>3.9997050000000001</v>
      </c>
      <c r="E6731">
        <v>0.45544109999999999</v>
      </c>
      <c r="F6731" t="s">
        <v>85</v>
      </c>
      <c r="G6731">
        <v>-289.54759999999999</v>
      </c>
      <c r="H6731" s="1">
        <v>-3.268648E-6</v>
      </c>
      <c r="I6731">
        <v>-50.577829999999999</v>
      </c>
      <c r="J6731">
        <v>-303.97480000000002</v>
      </c>
      <c r="K6731">
        <v>1.1054839999999999</v>
      </c>
      <c r="L6731">
        <v>-4.9613040000000002</v>
      </c>
      <c r="M6731">
        <v>0.19677239999999999</v>
      </c>
      <c r="N6731">
        <v>-8.9303999999999998E-3</v>
      </c>
      <c r="O6731">
        <v>-0.98040870000000002</v>
      </c>
      <c r="P6731">
        <v>0.17628489999999999</v>
      </c>
      <c r="Q6731">
        <v>-0.1032933</v>
      </c>
      <c r="R6731">
        <v>-0.97890489999999997</v>
      </c>
      <c r="S6731">
        <v>0.91287229999999997</v>
      </c>
      <c r="T6731">
        <v>-6.9753529999999994E-2</v>
      </c>
      <c r="U6731">
        <v>-2.8911129999999998</v>
      </c>
      <c r="V6731">
        <v>1.9506510000000001E-2</v>
      </c>
      <c r="W6731">
        <v>-9.4467529999999994E-2</v>
      </c>
      <c r="X6731">
        <v>0.99533680000000002</v>
      </c>
      <c r="Y6731">
        <v>-0.107517</v>
      </c>
      <c r="Z6731">
        <v>1.41359E-2</v>
      </c>
      <c r="AA6731">
        <v>0.99410279999999995</v>
      </c>
      <c r="AB6731">
        <v>18</v>
      </c>
      <c r="AC6731">
        <v>14.427199999999999</v>
      </c>
      <c r="AD6731">
        <v>-1.105487268648</v>
      </c>
      <c r="AE6731">
        <v>-45.616526</v>
      </c>
      <c r="AF6731">
        <v>-5.1659262206189904</v>
      </c>
      <c r="AG6731">
        <v>-1.105487268648</v>
      </c>
      <c r="AH6731">
        <v>47.538221488356903</v>
      </c>
      <c r="AI6731">
        <v>91.324362391921994</v>
      </c>
      <c r="AJ6731">
        <v>96.201932989075701</v>
      </c>
      <c r="AK6731">
        <v>47.830862401739097</v>
      </c>
      <c r="AL6731">
        <v>95.420673800827203</v>
      </c>
      <c r="AM6731">
        <v>88.877266828615006</v>
      </c>
      <c r="AN6731">
        <v>0.99999998179546001</v>
      </c>
    </row>
    <row r="6732" spans="1:40" x14ac:dyDescent="0.25">
      <c r="A6732" t="str">
        <f>"20190305135057905"</f>
        <v>20190305135057905</v>
      </c>
      <c r="B6732" t="str">
        <f>"1551765057897049"</f>
        <v>1551765057897049</v>
      </c>
      <c r="C6732" t="s">
        <v>40</v>
      </c>
      <c r="D6732">
        <v>3.9912209999999999</v>
      </c>
      <c r="E6732">
        <v>0.45539679999999999</v>
      </c>
      <c r="F6732" t="s">
        <v>85</v>
      </c>
      <c r="G6732">
        <v>-289.52350000000001</v>
      </c>
      <c r="H6732" s="1">
        <v>-3.1163539999999999E-6</v>
      </c>
      <c r="I6732">
        <v>-51.451839999999997</v>
      </c>
      <c r="J6732">
        <v>-303.9425</v>
      </c>
      <c r="K6732">
        <v>1.1058749999999999</v>
      </c>
      <c r="L6732">
        <v>-5.1374820000000003</v>
      </c>
      <c r="M6732">
        <v>0.19423080000000001</v>
      </c>
      <c r="N6732">
        <v>-9.0098299999999999E-3</v>
      </c>
      <c r="O6732">
        <v>-0.98091470000000003</v>
      </c>
      <c r="P6732">
        <v>0.1726376</v>
      </c>
      <c r="Q6732">
        <v>-0.1042169</v>
      </c>
      <c r="R6732">
        <v>-0.97945680000000002</v>
      </c>
      <c r="S6732">
        <v>0.89999390000000001</v>
      </c>
      <c r="T6732">
        <v>-6.8847179999999994E-2</v>
      </c>
      <c r="U6732">
        <v>-2.8953250000000001</v>
      </c>
      <c r="V6732">
        <v>2.0608129999999999E-2</v>
      </c>
      <c r="W6732">
        <v>-9.5317200000000005E-2</v>
      </c>
      <c r="X6732">
        <v>0.99523360000000005</v>
      </c>
      <c r="Y6732">
        <v>-0.10565289999999999</v>
      </c>
      <c r="Z6732">
        <v>1.3758319999999999E-2</v>
      </c>
      <c r="AA6732">
        <v>0.99430790000000002</v>
      </c>
      <c r="AB6732">
        <v>18</v>
      </c>
      <c r="AC6732">
        <v>14.418999999999899</v>
      </c>
      <c r="AD6732">
        <v>-1.1058781163539999</v>
      </c>
      <c r="AE6732">
        <v>-46.314357999999999</v>
      </c>
      <c r="AF6732">
        <v>-5.1456675842878203</v>
      </c>
      <c r="AG6732">
        <v>-1.1058781163539999</v>
      </c>
      <c r="AH6732">
        <v>48.207939137531703</v>
      </c>
      <c r="AI6732">
        <v>91.306700350677005</v>
      </c>
      <c r="AJ6732">
        <v>96.092626327368706</v>
      </c>
      <c r="AK6732">
        <v>48.494394079977702</v>
      </c>
      <c r="AL6732">
        <v>95.469576930880393</v>
      </c>
      <c r="AM6732">
        <v>88.813755728294893</v>
      </c>
      <c r="AN6732">
        <v>0.99999999110344795</v>
      </c>
    </row>
    <row r="6733" spans="1:40" x14ac:dyDescent="0.25">
      <c r="A6733" t="str">
        <f>"20190305135057927"</f>
        <v>20190305135057927</v>
      </c>
      <c r="B6733" t="str">
        <f>"1551765057916568"</f>
        <v>1551765057916568</v>
      </c>
      <c r="C6733" t="s">
        <v>40</v>
      </c>
      <c r="D6733">
        <v>3.9866109999999999</v>
      </c>
      <c r="E6733">
        <v>0.45540069999999999</v>
      </c>
      <c r="F6733" t="s">
        <v>85</v>
      </c>
      <c r="G6733">
        <v>-289.76080000000002</v>
      </c>
      <c r="H6733" s="1">
        <v>-3.0002730000000002E-6</v>
      </c>
      <c r="I6733">
        <v>-51.342149999999997</v>
      </c>
      <c r="J6733">
        <v>-303.91140000000001</v>
      </c>
      <c r="K6733">
        <v>1.106206</v>
      </c>
      <c r="L6733">
        <v>-5.3098450000000001</v>
      </c>
      <c r="M6733">
        <v>0.1917529</v>
      </c>
      <c r="N6733">
        <v>-9.0761809999999991E-3</v>
      </c>
      <c r="O6733">
        <v>-0.98140150000000004</v>
      </c>
      <c r="P6733">
        <v>0.169508399999999</v>
      </c>
      <c r="Q6733">
        <v>-0.105555</v>
      </c>
      <c r="R6733">
        <v>-0.97985990000000001</v>
      </c>
      <c r="S6733">
        <v>0.88970949999999904</v>
      </c>
      <c r="T6733">
        <v>-6.937873E-2</v>
      </c>
      <c r="U6733">
        <v>-2.8987120000000002</v>
      </c>
      <c r="V6733">
        <v>2.1238199999999999E-2</v>
      </c>
      <c r="W6733">
        <v>-9.6593280000000004E-2</v>
      </c>
      <c r="X6733">
        <v>0.99509729999999996</v>
      </c>
      <c r="Y6733">
        <v>-0.10461330000000001</v>
      </c>
      <c r="Z6733">
        <v>1.386541E-2</v>
      </c>
      <c r="AA6733">
        <v>0.99441630000000003</v>
      </c>
      <c r="AB6733">
        <v>18</v>
      </c>
      <c r="AC6733">
        <v>14.150599999999899</v>
      </c>
      <c r="AD6733">
        <v>-1.1062090002730001</v>
      </c>
      <c r="AE6733">
        <v>-46.032305000000001</v>
      </c>
      <c r="AF6733">
        <v>-5.0581305378771901</v>
      </c>
      <c r="AG6733">
        <v>-1.1062090002730001</v>
      </c>
      <c r="AH6733">
        <v>47.866297520987104</v>
      </c>
      <c r="AI6733">
        <v>91.316564629066207</v>
      </c>
      <c r="AJ6733">
        <v>96.032176910169397</v>
      </c>
      <c r="AK6733">
        <v>48.145517146024602</v>
      </c>
      <c r="AL6733">
        <v>95.543029936150404</v>
      </c>
      <c r="AM6733">
        <v>88.777331112881896</v>
      </c>
      <c r="AN6733">
        <v>0.99999997967384302</v>
      </c>
    </row>
    <row r="6734" spans="1:40" x14ac:dyDescent="0.25">
      <c r="A6734" t="str">
        <f>"20190305135057950"</f>
        <v>20190305135057950</v>
      </c>
      <c r="B6734" t="str">
        <f>"1551765057946825"</f>
        <v>1551765057946825</v>
      </c>
      <c r="C6734" t="s">
        <v>40</v>
      </c>
      <c r="D6734">
        <v>3.9944299999999999</v>
      </c>
      <c r="E6734">
        <v>0.45514569999999999</v>
      </c>
      <c r="F6734" t="s">
        <v>85</v>
      </c>
      <c r="G6734">
        <v>-290.21960000000001</v>
      </c>
      <c r="H6734" s="1">
        <v>-1.069951E-5</v>
      </c>
      <c r="I6734">
        <v>-50.43338</v>
      </c>
      <c r="J6734">
        <v>-303.87950000000001</v>
      </c>
      <c r="K6734">
        <v>1.1065020000000001</v>
      </c>
      <c r="L6734">
        <v>-5.489166</v>
      </c>
      <c r="M6734">
        <v>0.189169</v>
      </c>
      <c r="N6734">
        <v>-9.1374490000000006E-3</v>
      </c>
      <c r="O6734">
        <v>-0.98190200000000005</v>
      </c>
      <c r="P6734">
        <v>0.1673461</v>
      </c>
      <c r="Q6734">
        <v>-0.1061637</v>
      </c>
      <c r="R6734">
        <v>-0.98016570000000003</v>
      </c>
      <c r="S6734">
        <v>0.88046259999999998</v>
      </c>
      <c r="T6734">
        <v>-7.1136119999999997E-2</v>
      </c>
      <c r="U6734">
        <v>-2.9017029999999999</v>
      </c>
      <c r="V6734">
        <v>2.0797949999999999E-2</v>
      </c>
      <c r="W6734">
        <v>-9.7140749999999998E-2</v>
      </c>
      <c r="X6734">
        <v>0.99505339999999998</v>
      </c>
      <c r="Y6734">
        <v>-0.1040418</v>
      </c>
      <c r="Z6734">
        <v>1.4379940000000001E-2</v>
      </c>
      <c r="AA6734">
        <v>0.99446900000000005</v>
      </c>
      <c r="AB6734">
        <v>18</v>
      </c>
      <c r="AC6734">
        <v>13.659899999999899</v>
      </c>
      <c r="AD6734">
        <v>-1.1065126995100001</v>
      </c>
      <c r="AE6734">
        <v>-44.944214000000002</v>
      </c>
      <c r="AF6734">
        <v>-4.9081128883271203</v>
      </c>
      <c r="AG6734">
        <v>-1.1065126995100001</v>
      </c>
      <c r="AH6734">
        <v>46.690887374951799</v>
      </c>
      <c r="AI6734">
        <v>91.350144278976302</v>
      </c>
      <c r="AJ6734">
        <v>96.000853095787704</v>
      </c>
      <c r="AK6734">
        <v>46.961185103648901</v>
      </c>
      <c r="AL6734">
        <v>95.574545336562196</v>
      </c>
      <c r="AM6734">
        <v>88.802615744297199</v>
      </c>
      <c r="AN6734">
        <v>1.0000000744431501</v>
      </c>
    </row>
    <row r="6735" spans="1:40" x14ac:dyDescent="0.25">
      <c r="A6735" t="str">
        <f>"20190305135057973"</f>
        <v>20190305135057973</v>
      </c>
      <c r="B6735" t="str">
        <f>"1551765057966358"</f>
        <v>1551765057966358</v>
      </c>
      <c r="C6735" t="s">
        <v>40</v>
      </c>
      <c r="D6735">
        <v>3.9460289999999998</v>
      </c>
      <c r="E6735">
        <v>0.45494220000000002</v>
      </c>
      <c r="F6735" t="s">
        <v>85</v>
      </c>
      <c r="G6735">
        <v>-290.15359999999998</v>
      </c>
      <c r="H6735" s="1">
        <v>-1.066557E-5</v>
      </c>
      <c r="I6735">
        <v>-50.986800000000002</v>
      </c>
      <c r="J6735">
        <v>-303.84730000000002</v>
      </c>
      <c r="K6735">
        <v>1.1067560000000001</v>
      </c>
      <c r="L6735">
        <v>-5.6734309999999999</v>
      </c>
      <c r="M6735">
        <v>0.18650059999999999</v>
      </c>
      <c r="N6735">
        <v>-9.1914839999999998E-3</v>
      </c>
      <c r="O6735">
        <v>-0.9824119</v>
      </c>
      <c r="P6735">
        <v>0.16532479999999999</v>
      </c>
      <c r="Q6735">
        <v>-0.1059615</v>
      </c>
      <c r="R6735">
        <v>-0.98053060000000003</v>
      </c>
      <c r="S6735">
        <v>0.875945999999999</v>
      </c>
      <c r="T6735">
        <v>-7.0613860000000001E-2</v>
      </c>
      <c r="U6735">
        <v>-2.9035030000000002</v>
      </c>
      <c r="V6735">
        <v>2.014991E-2</v>
      </c>
      <c r="W6735">
        <v>-9.6882830000000003E-2</v>
      </c>
      <c r="X6735">
        <v>0.99509179999999997</v>
      </c>
      <c r="Y6735">
        <v>-0.1051559</v>
      </c>
      <c r="Z6735">
        <v>1.415961E-2</v>
      </c>
      <c r="AA6735">
        <v>0.99435499999999999</v>
      </c>
      <c r="AB6735">
        <v>18</v>
      </c>
      <c r="AC6735">
        <v>13.6937</v>
      </c>
      <c r="AD6735">
        <v>-1.1067666655699999</v>
      </c>
      <c r="AE6735">
        <v>-45.313369000000002</v>
      </c>
      <c r="AF6735">
        <v>-4.9993615076067002</v>
      </c>
      <c r="AG6735">
        <v>-1.1067666655699999</v>
      </c>
      <c r="AH6735">
        <v>47.0465445785226</v>
      </c>
      <c r="AI6735">
        <v>91.340088460075293</v>
      </c>
      <c r="AJ6735">
        <v>96.065724656165003</v>
      </c>
      <c r="AK6735">
        <v>47.324369036625001</v>
      </c>
      <c r="AL6735">
        <v>95.559698014102494</v>
      </c>
      <c r="AM6735">
        <v>88.839959244011098</v>
      </c>
      <c r="AN6735">
        <v>0.99999999602452805</v>
      </c>
    </row>
    <row r="6736" spans="1:40" x14ac:dyDescent="0.25">
      <c r="A6736" t="str">
        <f>"20190305135057994"</f>
        <v>20190305135057994</v>
      </c>
      <c r="B6736" t="str">
        <f>"1551765057986840"</f>
        <v>1551765057986840</v>
      </c>
      <c r="C6736" t="s">
        <v>40</v>
      </c>
      <c r="D6736">
        <v>4.271344</v>
      </c>
      <c r="E6736">
        <v>0.45496389999999998</v>
      </c>
      <c r="F6736" t="s">
        <v>85</v>
      </c>
      <c r="G6736">
        <v>-289.80040000000002</v>
      </c>
      <c r="H6736" s="1">
        <v>-2.720852E-6</v>
      </c>
      <c r="I6736">
        <v>-52.493340000000003</v>
      </c>
      <c r="J6736">
        <v>-303.81729999999999</v>
      </c>
      <c r="K6736">
        <v>1.106959</v>
      </c>
      <c r="L6736">
        <v>-5.8475339999999996</v>
      </c>
      <c r="M6736">
        <v>0.183973</v>
      </c>
      <c r="N6736">
        <v>-9.2357140000000008E-3</v>
      </c>
      <c r="O6736">
        <v>-0.98288799999999998</v>
      </c>
      <c r="P6736">
        <v>0.162748</v>
      </c>
      <c r="Q6736">
        <v>-0.1054418</v>
      </c>
      <c r="R6736">
        <v>-0.98101740000000004</v>
      </c>
      <c r="S6736">
        <v>0.87161250000000001</v>
      </c>
      <c r="T6736">
        <v>-6.8674559999999996E-2</v>
      </c>
      <c r="U6736">
        <v>-2.9051819999999999</v>
      </c>
      <c r="V6736">
        <v>2.0215090000000002E-2</v>
      </c>
      <c r="W6736">
        <v>-9.6319210000000002E-2</v>
      </c>
      <c r="X6736">
        <v>0.99514519999999995</v>
      </c>
      <c r="Y6736">
        <v>-0.1061974</v>
      </c>
      <c r="Z6736">
        <v>1.348502E-2</v>
      </c>
      <c r="AA6736">
        <v>0.99425359999999996</v>
      </c>
      <c r="AB6736">
        <v>18</v>
      </c>
      <c r="AC6736">
        <v>14.0168999999999</v>
      </c>
      <c r="AD6736">
        <v>-1.106961720852</v>
      </c>
      <c r="AE6736">
        <v>-46.645806</v>
      </c>
      <c r="AF6736">
        <v>-5.1930127179190499</v>
      </c>
      <c r="AG6736">
        <v>-1.106961720852</v>
      </c>
      <c r="AH6736">
        <v>48.4033933821799</v>
      </c>
      <c r="AI6736">
        <v>91.302625071151596</v>
      </c>
      <c r="AJ6736">
        <v>96.123619164226696</v>
      </c>
      <c r="AK6736">
        <v>48.693749457707199</v>
      </c>
      <c r="AL6736">
        <v>95.527253180582903</v>
      </c>
      <c r="AM6736">
        <v>88.836270260526206</v>
      </c>
      <c r="AN6736">
        <v>1.0000000045808799</v>
      </c>
    </row>
    <row r="6737" spans="1:40" x14ac:dyDescent="0.25">
      <c r="A6737" t="str">
        <f>"20190305135058017"</f>
        <v>20190305135058017</v>
      </c>
      <c r="B6737" t="str">
        <f>"1551765058006361"</f>
        <v>1551765058006361</v>
      </c>
      <c r="C6737" t="s">
        <v>40</v>
      </c>
      <c r="D6737">
        <v>4.20777</v>
      </c>
      <c r="E6737">
        <v>0.50338490000000002</v>
      </c>
      <c r="F6737" t="s">
        <v>85</v>
      </c>
      <c r="G6737">
        <v>-289.78199999999998</v>
      </c>
      <c r="H6737" s="1">
        <v>-2.587683E-6</v>
      </c>
      <c r="I6737">
        <v>-53.141260000000003</v>
      </c>
      <c r="J6737">
        <v>-303.78680000000003</v>
      </c>
      <c r="K6737">
        <v>1.107132</v>
      </c>
      <c r="L6737">
        <v>-6.027679</v>
      </c>
      <c r="M6737">
        <v>0.18135809999999999</v>
      </c>
      <c r="N6737">
        <v>-9.2760810000000003E-3</v>
      </c>
      <c r="O6737">
        <v>-0.98337339999999995</v>
      </c>
      <c r="P6737">
        <v>0.1601069</v>
      </c>
      <c r="Q6737">
        <v>-0.1054725</v>
      </c>
      <c r="R6737">
        <v>-0.9814486</v>
      </c>
      <c r="S6737">
        <v>0.86288449999999906</v>
      </c>
      <c r="T6737">
        <v>-6.8055389999999993E-2</v>
      </c>
      <c r="U6737">
        <v>-2.9075929999999999</v>
      </c>
      <c r="V6737">
        <v>2.0244330000000001E-2</v>
      </c>
      <c r="W6737">
        <v>-9.6310240000000005E-2</v>
      </c>
      <c r="X6737">
        <v>0.99514539999999996</v>
      </c>
      <c r="Y6737">
        <v>-0.10587539999999999</v>
      </c>
      <c r="Z6737">
        <v>1.324561E-2</v>
      </c>
      <c r="AA6737">
        <v>0.99429120000000004</v>
      </c>
      <c r="AB6737">
        <v>18</v>
      </c>
      <c r="AC6737">
        <v>14.004799999999999</v>
      </c>
      <c r="AD6737">
        <v>-1.1071345876829899</v>
      </c>
      <c r="AE6737">
        <v>-47.113581000000003</v>
      </c>
      <c r="AF6737">
        <v>-5.22509192395521</v>
      </c>
      <c r="AG6737">
        <v>-1.1071345876829899</v>
      </c>
      <c r="AH6737">
        <v>48.847443357722597</v>
      </c>
      <c r="AI6737">
        <v>91.291032570752506</v>
      </c>
      <c r="AJ6737">
        <v>96.105573696591705</v>
      </c>
      <c r="AK6737">
        <v>49.138580109674898</v>
      </c>
      <c r="AL6737">
        <v>95.526737243835697</v>
      </c>
      <c r="AM6737">
        <v>88.8345876884338</v>
      </c>
      <c r="AN6737">
        <v>0.99999993118357999</v>
      </c>
    </row>
    <row r="6738" spans="1:40" x14ac:dyDescent="0.25">
      <c r="A6738" t="str">
        <f>"20190305135058039"</f>
        <v>20190305135058039</v>
      </c>
      <c r="B6738" t="str">
        <f>"1551765058036617"</f>
        <v>1551765058036617</v>
      </c>
      <c r="C6738" t="s">
        <v>40</v>
      </c>
      <c r="D6738">
        <v>4.0845880000000001</v>
      </c>
      <c r="E6738">
        <v>0.54883210000000004</v>
      </c>
      <c r="F6738" t="s">
        <v>41</v>
      </c>
      <c r="G6738">
        <v>-303.6574</v>
      </c>
      <c r="H6738">
        <v>1.0464580000000001</v>
      </c>
      <c r="I6738">
        <v>-6.8580629999999996</v>
      </c>
      <c r="J6738">
        <v>-303.75639999999999</v>
      </c>
      <c r="K6738">
        <v>1.10727</v>
      </c>
      <c r="L6738">
        <v>-6.2100220000000004</v>
      </c>
      <c r="M6738">
        <v>0.17871379999999901</v>
      </c>
      <c r="N6738">
        <v>-9.3126240000000002E-3</v>
      </c>
      <c r="O6738">
        <v>-0.98385699999999998</v>
      </c>
      <c r="P6738">
        <v>0.15784219999999999</v>
      </c>
      <c r="Q6738">
        <v>-0.10609200000000001</v>
      </c>
      <c r="R6738">
        <v>-0.98174870000000003</v>
      </c>
      <c r="S6738">
        <v>0.46163939999999998</v>
      </c>
      <c r="T6738">
        <v>-0.215894</v>
      </c>
      <c r="U6738">
        <v>-2.9581909999999998</v>
      </c>
      <c r="V6738">
        <v>1.9849260000000001E-2</v>
      </c>
      <c r="W6738">
        <v>-9.6893119999999999E-2</v>
      </c>
      <c r="X6738">
        <v>0.99509689999999995</v>
      </c>
      <c r="Y6738">
        <v>2.516494E-2</v>
      </c>
      <c r="Z6738">
        <v>6.144194E-2</v>
      </c>
      <c r="AA6738">
        <v>0.99779340000000005</v>
      </c>
      <c r="AB6738">
        <v>18</v>
      </c>
      <c r="AC6738">
        <v>9.8999999999989499E-2</v>
      </c>
      <c r="AD6738">
        <v>-6.0811999999999998E-2</v>
      </c>
      <c r="AE6738">
        <v>-0.64804099999999998</v>
      </c>
      <c r="AF6738">
        <v>1.8255733739685299E-2</v>
      </c>
      <c r="AG6738">
        <v>-6.0811999999999998E-2</v>
      </c>
      <c r="AH6738">
        <v>0.64970997431728295</v>
      </c>
      <c r="AI6738">
        <v>95.345133428430302</v>
      </c>
      <c r="AJ6738">
        <v>88.390510541577399</v>
      </c>
      <c r="AK6738">
        <v>0.65280504125331196</v>
      </c>
      <c r="AL6738">
        <v>95.560290045003399</v>
      </c>
      <c r="AM6738">
        <v>88.857269050935599</v>
      </c>
      <c r="AN6738">
        <v>1.0000000551077399</v>
      </c>
    </row>
    <row r="6739" spans="1:40" x14ac:dyDescent="0.25">
      <c r="A6739" t="str">
        <f>"20190305135058061"</f>
        <v>20190305135058061</v>
      </c>
      <c r="B6739" t="str">
        <f>"1551765058056136"</f>
        <v>1551765058056136</v>
      </c>
      <c r="C6739" t="s">
        <v>40</v>
      </c>
      <c r="D6739">
        <v>4.0597709999999996</v>
      </c>
      <c r="E6739">
        <v>0.54618599999999995</v>
      </c>
      <c r="F6739" t="s">
        <v>42</v>
      </c>
      <c r="G6739">
        <v>-303.00479999999999</v>
      </c>
      <c r="H6739" s="1">
        <v>-1.6212790000000001E-6</v>
      </c>
      <c r="I6739">
        <v>-28.49531</v>
      </c>
      <c r="J6739">
        <v>-303.72570000000002</v>
      </c>
      <c r="K6739">
        <v>1.1073850000000001</v>
      </c>
      <c r="L6739">
        <v>-6.3973079999999998</v>
      </c>
      <c r="M6739">
        <v>0.1759975</v>
      </c>
      <c r="N6739">
        <v>-9.3461369999999992E-3</v>
      </c>
      <c r="O6739">
        <v>-0.98434639999999995</v>
      </c>
      <c r="P6739">
        <v>0.15558469999999999</v>
      </c>
      <c r="Q6739">
        <v>-0.1063403</v>
      </c>
      <c r="R6739">
        <v>-0.98208209999999996</v>
      </c>
      <c r="S6739">
        <v>0.1019592</v>
      </c>
      <c r="T6739">
        <v>-0.1502095</v>
      </c>
      <c r="U6739">
        <v>-3.0231629999999998</v>
      </c>
      <c r="V6739">
        <v>1.9383020000000001E-2</v>
      </c>
      <c r="W6739">
        <v>-9.7107219999999994E-2</v>
      </c>
      <c r="X6739">
        <v>0.9950852</v>
      </c>
      <c r="Y6739">
        <v>0.14270969999999999</v>
      </c>
      <c r="Z6739">
        <v>3.8888150000000003E-2</v>
      </c>
      <c r="AA6739">
        <v>0.98900030000000005</v>
      </c>
      <c r="AB6739">
        <v>18</v>
      </c>
      <c r="AC6739">
        <v>0.72090000000002796</v>
      </c>
      <c r="AD6739">
        <v>-1.107386621279</v>
      </c>
      <c r="AE6739">
        <v>-22.098002000000001</v>
      </c>
      <c r="AF6739">
        <v>3.1717595186408101</v>
      </c>
      <c r="AG6739">
        <v>-1.107386621279</v>
      </c>
      <c r="AH6739">
        <v>21.8251670929887</v>
      </c>
      <c r="AI6739">
        <v>92.874494236581697</v>
      </c>
      <c r="AJ6739">
        <v>81.731331941701995</v>
      </c>
      <c r="AK6739">
        <v>22.0822164243075</v>
      </c>
      <c r="AL6739">
        <v>95.572615307116493</v>
      </c>
      <c r="AM6739">
        <v>88.884090714436695</v>
      </c>
      <c r="AN6739">
        <v>1.0000000344497399</v>
      </c>
    </row>
    <row r="6740" spans="1:40" x14ac:dyDescent="0.25">
      <c r="A6740" t="str">
        <f>"20190305135058084"</f>
        <v>20190305135058084</v>
      </c>
      <c r="B6740" t="str">
        <f>"1551765058076632"</f>
        <v>1551765058076632</v>
      </c>
      <c r="C6740" t="s">
        <v>40</v>
      </c>
      <c r="D6740">
        <v>4.0644429999999998</v>
      </c>
      <c r="E6740">
        <v>0.54422910000000002</v>
      </c>
      <c r="F6740" t="s">
        <v>42</v>
      </c>
      <c r="G6740">
        <v>-302.88310000000001</v>
      </c>
      <c r="H6740" s="1">
        <v>-1.64053E-6</v>
      </c>
      <c r="I6740">
        <v>-28.374919999999999</v>
      </c>
      <c r="J6740">
        <v>-303.69709999999998</v>
      </c>
      <c r="K6740">
        <v>1.107477</v>
      </c>
      <c r="L6740">
        <v>-6.574249</v>
      </c>
      <c r="M6740">
        <v>0.173429</v>
      </c>
      <c r="N6740">
        <v>-9.3743760000000002E-3</v>
      </c>
      <c r="O6740">
        <v>-0.9848017</v>
      </c>
      <c r="P6740">
        <v>0.15365219999999999</v>
      </c>
      <c r="Q6740">
        <v>-0.10675750000000001</v>
      </c>
      <c r="R6740">
        <v>-0.98234120000000003</v>
      </c>
      <c r="S6740">
        <v>0.1157837</v>
      </c>
      <c r="T6740">
        <v>-0.152165299999999</v>
      </c>
      <c r="U6740">
        <v>-3.0199280000000002</v>
      </c>
      <c r="V6740">
        <v>1.8734540000000001E-2</v>
      </c>
      <c r="W6740">
        <v>-9.7494940000000002E-2</v>
      </c>
      <c r="X6740">
        <v>0.99505969999999999</v>
      </c>
      <c r="Y6740">
        <v>0.13556949999999901</v>
      </c>
      <c r="Z6740">
        <v>3.9597460000000001E-2</v>
      </c>
      <c r="AA6740">
        <v>0.98997619999999997</v>
      </c>
      <c r="AB6740">
        <v>18</v>
      </c>
      <c r="AC6740">
        <v>0.81399999999996397</v>
      </c>
      <c r="AD6740">
        <v>-1.1074786405299999</v>
      </c>
      <c r="AE6740">
        <v>-21.800671000000001</v>
      </c>
      <c r="AF6740">
        <v>2.9717127657101701</v>
      </c>
      <c r="AG6740">
        <v>-1.1074786405299999</v>
      </c>
      <c r="AH6740">
        <v>21.5559088726148</v>
      </c>
      <c r="AI6740">
        <v>92.9135924208787</v>
      </c>
      <c r="AJ6740">
        <v>82.150641160822602</v>
      </c>
      <c r="AK6740">
        <v>21.7879506384972</v>
      </c>
      <c r="AL6740">
        <v>95.594935982644202</v>
      </c>
      <c r="AM6740">
        <v>88.921388066358801</v>
      </c>
      <c r="AN6740">
        <v>1.00000002643935</v>
      </c>
    </row>
    <row r="6741" spans="1:40" x14ac:dyDescent="0.25">
      <c r="A6741" t="str">
        <f>"20190305135058106"</f>
        <v>20190305135058106</v>
      </c>
      <c r="B6741" t="str">
        <f>"1551765058096153"</f>
        <v>1551765058096153</v>
      </c>
      <c r="C6741" t="s">
        <v>40</v>
      </c>
      <c r="D6741">
        <v>4.0736990000000004</v>
      </c>
      <c r="E6741">
        <v>0.54288159999999996</v>
      </c>
      <c r="F6741" t="s">
        <v>42</v>
      </c>
      <c r="G6741">
        <v>-302.82330000000002</v>
      </c>
      <c r="H6741" s="1">
        <v>-1.917713E-6</v>
      </c>
      <c r="I6741">
        <v>-27.691749999999999</v>
      </c>
      <c r="J6741">
        <v>-303.66800000000001</v>
      </c>
      <c r="K6741">
        <v>1.1075520000000001</v>
      </c>
      <c r="L6741">
        <v>-6.7581479999999896</v>
      </c>
      <c r="M6741">
        <v>0.17075770000000001</v>
      </c>
      <c r="N6741">
        <v>-9.4007640000000007E-3</v>
      </c>
      <c r="O6741">
        <v>-0.98526840000000004</v>
      </c>
      <c r="P6741">
        <v>0.15224019999999999</v>
      </c>
      <c r="Q6741">
        <v>-0.10733719999999999</v>
      </c>
      <c r="R6741">
        <v>-0.98249790000000004</v>
      </c>
      <c r="S6741">
        <v>0.1248474</v>
      </c>
      <c r="T6741">
        <v>-0.1582336</v>
      </c>
      <c r="U6741">
        <v>-3.0172119999999998</v>
      </c>
      <c r="V6741">
        <v>1.745296E-2</v>
      </c>
      <c r="W6741">
        <v>-9.8044839999999994E-2</v>
      </c>
      <c r="X6741">
        <v>0.99502900000000005</v>
      </c>
      <c r="Y6741">
        <v>0.12988079999999999</v>
      </c>
      <c r="Z6741">
        <v>4.1619419999999997E-2</v>
      </c>
      <c r="AA6741">
        <v>0.99065570000000003</v>
      </c>
      <c r="AB6741">
        <v>18</v>
      </c>
      <c r="AC6741">
        <v>0.84469999999998802</v>
      </c>
      <c r="AD6741">
        <v>-1.107553917713</v>
      </c>
      <c r="AE6741">
        <v>-20.933602</v>
      </c>
      <c r="AF6741">
        <v>2.7347952324540601</v>
      </c>
      <c r="AG6741">
        <v>-1.107553917713</v>
      </c>
      <c r="AH6741">
        <v>20.712484178470799</v>
      </c>
      <c r="AI6741">
        <v>93.034561572427194</v>
      </c>
      <c r="AJ6741">
        <v>82.478397815855402</v>
      </c>
      <c r="AK6741">
        <v>20.921586495471601</v>
      </c>
      <c r="AL6741">
        <v>95.626594452716304</v>
      </c>
      <c r="AM6741">
        <v>88.9951263565397</v>
      </c>
      <c r="AN6741">
        <v>1.00000005365219</v>
      </c>
    </row>
    <row r="6742" spans="1:40" x14ac:dyDescent="0.25">
      <c r="A6742" t="str">
        <f>"20190305135058129"</f>
        <v>20190305135058129</v>
      </c>
      <c r="B6742" t="str">
        <f>"1551765058116649"</f>
        <v>1551765058116649</v>
      </c>
      <c r="C6742" t="s">
        <v>40</v>
      </c>
      <c r="D6742">
        <v>4.1170339999999896</v>
      </c>
      <c r="E6742">
        <v>0.54191080000000003</v>
      </c>
      <c r="F6742" t="s">
        <v>42</v>
      </c>
      <c r="G6742">
        <v>-302.75909999999999</v>
      </c>
      <c r="H6742" s="1">
        <v>-1.9294250000000002E-6</v>
      </c>
      <c r="I6742">
        <v>-27.62463</v>
      </c>
      <c r="J6742">
        <v>-303.64</v>
      </c>
      <c r="K6742">
        <v>1.107613</v>
      </c>
      <c r="L6742">
        <v>-6.9375920000000004</v>
      </c>
      <c r="M6742">
        <v>0.16814999999999999</v>
      </c>
      <c r="N6742">
        <v>-9.4240179999999993E-3</v>
      </c>
      <c r="O6742">
        <v>-0.98571660000000005</v>
      </c>
      <c r="P6742">
        <v>0.1511112</v>
      </c>
      <c r="Q6742">
        <v>-0.10785019999999999</v>
      </c>
      <c r="R6742">
        <v>-0.98261589999999999</v>
      </c>
      <c r="S6742">
        <v>0.13134770000000001</v>
      </c>
      <c r="T6742">
        <v>-0.16006210000000001</v>
      </c>
      <c r="U6742">
        <v>-3.0155940000000001</v>
      </c>
      <c r="V6742">
        <v>1.59522E-2</v>
      </c>
      <c r="W6742">
        <v>-9.8530389999999995E-2</v>
      </c>
      <c r="X6742">
        <v>0.99500619999999995</v>
      </c>
      <c r="Y6742">
        <v>0.12510439999999901</v>
      </c>
      <c r="Z6742">
        <v>4.2262269999999998E-2</v>
      </c>
      <c r="AA6742">
        <v>0.99124310000000004</v>
      </c>
      <c r="AB6742">
        <v>18</v>
      </c>
      <c r="AC6742">
        <v>0.88089999999999602</v>
      </c>
      <c r="AD6742">
        <v>-1.1076149294249999</v>
      </c>
      <c r="AE6742">
        <v>-20.687038000000001</v>
      </c>
      <c r="AF6742">
        <v>2.6028748816437699</v>
      </c>
      <c r="AG6742">
        <v>-1.1076149294249999</v>
      </c>
      <c r="AH6742">
        <v>20.481978377115102</v>
      </c>
      <c r="AI6742">
        <v>93.070750959863204</v>
      </c>
      <c r="AJ6742">
        <v>82.757603076186797</v>
      </c>
      <c r="AK6742">
        <v>20.676392497773602</v>
      </c>
      <c r="AL6742">
        <v>95.654549942371105</v>
      </c>
      <c r="AM6742">
        <v>89.081497746401794</v>
      </c>
      <c r="AN6742">
        <v>1.0000000242384099</v>
      </c>
    </row>
    <row r="6743" spans="1:40" x14ac:dyDescent="0.25">
      <c r="A6743" t="str">
        <f>"20190305135058151"</f>
        <v>20190305135058151</v>
      </c>
      <c r="B6743" t="str">
        <f>"1551765058146905"</f>
        <v>1551765058146905</v>
      </c>
      <c r="C6743" t="s">
        <v>40</v>
      </c>
      <c r="D6743">
        <v>4.0979970000000003</v>
      </c>
      <c r="E6743">
        <v>0.54119799999999996</v>
      </c>
      <c r="F6743" t="s">
        <v>42</v>
      </c>
      <c r="G6743">
        <v>-302.71660000000003</v>
      </c>
      <c r="H6743" s="1">
        <v>-1.9814359999999999E-6</v>
      </c>
      <c r="I6743">
        <v>-27.477</v>
      </c>
      <c r="J6743">
        <v>-303.61149999999998</v>
      </c>
      <c r="K6743">
        <v>1.107661</v>
      </c>
      <c r="L6743">
        <v>-7.1236569999999997</v>
      </c>
      <c r="M6743">
        <v>0.16544529999999999</v>
      </c>
      <c r="N6743">
        <v>-9.4455519999999994E-3</v>
      </c>
      <c r="O6743">
        <v>-0.98617390000000005</v>
      </c>
      <c r="P6743">
        <v>0.1500898</v>
      </c>
      <c r="Q6743">
        <v>-0.107409</v>
      </c>
      <c r="R6743">
        <v>-0.98282099999999994</v>
      </c>
      <c r="S6743">
        <v>0.1355286</v>
      </c>
      <c r="T6743">
        <v>-0.16255410000000001</v>
      </c>
      <c r="U6743">
        <v>-3.0143740000000001</v>
      </c>
      <c r="V6743">
        <v>1.426644E-2</v>
      </c>
      <c r="W6743">
        <v>-9.8061809999999999E-2</v>
      </c>
      <c r="X6743">
        <v>0.99507809999999997</v>
      </c>
      <c r="Y6743">
        <v>0.1209944</v>
      </c>
      <c r="Z6743">
        <v>4.3113650000000003E-2</v>
      </c>
      <c r="AA6743">
        <v>0.9917165</v>
      </c>
      <c r="AB6743">
        <v>18</v>
      </c>
      <c r="AC6743">
        <v>0.89489999999994996</v>
      </c>
      <c r="AD6743">
        <v>-1.1076629814359999</v>
      </c>
      <c r="AE6743">
        <v>-20.353342999999899</v>
      </c>
      <c r="AF6743">
        <v>2.4776244957665501</v>
      </c>
      <c r="AG6743">
        <v>-1.1076629814359999</v>
      </c>
      <c r="AH6743">
        <v>20.161294531220701</v>
      </c>
      <c r="AI6743">
        <v>93.121239649457493</v>
      </c>
      <c r="AJ6743">
        <v>82.994040156545097</v>
      </c>
      <c r="AK6743">
        <v>20.343139816584198</v>
      </c>
      <c r="AL6743">
        <v>95.627571561348702</v>
      </c>
      <c r="AM6743">
        <v>89.1786063810775</v>
      </c>
      <c r="AN6743">
        <v>1.0000000374951701</v>
      </c>
    </row>
    <row r="6744" spans="1:40" x14ac:dyDescent="0.25">
      <c r="A6744" t="str">
        <f>"20190305135058173"</f>
        <v>20190305135058173</v>
      </c>
      <c r="B6744" t="str">
        <f>"1551765058166424"</f>
        <v>1551765058166424</v>
      </c>
      <c r="C6744" t="s">
        <v>40</v>
      </c>
      <c r="D6744">
        <v>4.0834820000000001</v>
      </c>
      <c r="E6744">
        <v>0.54080090000000003</v>
      </c>
      <c r="F6744" t="s">
        <v>42</v>
      </c>
      <c r="G6744">
        <v>-302.65899999999999</v>
      </c>
      <c r="H6744" s="1">
        <v>-1.77511E-6</v>
      </c>
      <c r="I6744">
        <v>-27.922229999999999</v>
      </c>
      <c r="J6744">
        <v>-303.58420000000001</v>
      </c>
      <c r="K6744">
        <v>1.1076979999999901</v>
      </c>
      <c r="L6744">
        <v>-7.3055729999999999</v>
      </c>
      <c r="M6744">
        <v>0.16280039999999901</v>
      </c>
      <c r="N6744">
        <v>-9.4644429999999995E-3</v>
      </c>
      <c r="O6744">
        <v>-0.98661379999999999</v>
      </c>
      <c r="P6744">
        <v>0.1490976</v>
      </c>
      <c r="Q6744">
        <v>-0.1074903</v>
      </c>
      <c r="R6744">
        <v>-0.98296300000000003</v>
      </c>
      <c r="S6744">
        <v>0.13803099999999999</v>
      </c>
      <c r="T6744">
        <v>-0.16050619999999999</v>
      </c>
      <c r="U6744">
        <v>-3.0138240000000001</v>
      </c>
      <c r="V6744">
        <v>1.260096E-2</v>
      </c>
      <c r="W6744">
        <v>-9.8118910000000004E-2</v>
      </c>
      <c r="X6744">
        <v>0.9950949</v>
      </c>
      <c r="Y6744">
        <v>0.1175023</v>
      </c>
      <c r="Z6744">
        <v>4.2489539999999999E-2</v>
      </c>
      <c r="AA6744">
        <v>0.99216320000000002</v>
      </c>
      <c r="AB6744">
        <v>18</v>
      </c>
      <c r="AC6744">
        <v>0.92520000000001701</v>
      </c>
      <c r="AD6744">
        <v>-1.10769977511</v>
      </c>
      <c r="AE6744">
        <v>-20.616657</v>
      </c>
      <c r="AF6744">
        <v>2.4366740511000402</v>
      </c>
      <c r="AG6744">
        <v>-1.10769977511</v>
      </c>
      <c r="AH6744">
        <v>20.433348404354099</v>
      </c>
      <c r="AI6744">
        <v>93.081200940985497</v>
      </c>
      <c r="AJ6744">
        <v>83.199599755030604</v>
      </c>
      <c r="AK6744">
        <v>20.607913679865899</v>
      </c>
      <c r="AL6744">
        <v>95.630859315408799</v>
      </c>
      <c r="AM6744">
        <v>89.274498101868801</v>
      </c>
      <c r="AN6744">
        <v>0.99999998234925902</v>
      </c>
    </row>
    <row r="6745" spans="1:40" x14ac:dyDescent="0.25">
      <c r="A6745" t="str">
        <f>"20190305135058195"</f>
        <v>20190305135058195</v>
      </c>
      <c r="B6745" t="str">
        <f>"1551765058186921"</f>
        <v>1551765058186921</v>
      </c>
      <c r="C6745" t="s">
        <v>40</v>
      </c>
      <c r="D6745">
        <v>4.0690200000000001</v>
      </c>
      <c r="E6745">
        <v>0.54042080000000003</v>
      </c>
      <c r="F6745" t="s">
        <v>42</v>
      </c>
      <c r="G6745">
        <v>-302.62819999999999</v>
      </c>
      <c r="H6745" s="1">
        <v>-1.665453E-6</v>
      </c>
      <c r="I6745">
        <v>-28.158770000000001</v>
      </c>
      <c r="J6745">
        <v>-303.55739999999997</v>
      </c>
      <c r="K6745">
        <v>1.1077239999999999</v>
      </c>
      <c r="L6745">
        <v>-7.4874879999999999</v>
      </c>
      <c r="M6745">
        <v>0.16015279999999901</v>
      </c>
      <c r="N6745">
        <v>-9.4801690000000001E-3</v>
      </c>
      <c r="O6745">
        <v>-0.9870468</v>
      </c>
      <c r="P6745">
        <v>0.14783760000000001</v>
      </c>
      <c r="Q6745">
        <v>-0.1073235</v>
      </c>
      <c r="R6745">
        <v>-0.98317129999999997</v>
      </c>
      <c r="S6745">
        <v>0.1381531</v>
      </c>
      <c r="T6745">
        <v>-0.16007660000000001</v>
      </c>
      <c r="U6745">
        <v>-3.01355</v>
      </c>
      <c r="V6745">
        <v>1.120965E-2</v>
      </c>
      <c r="W6745">
        <v>-9.7931760000000007E-2</v>
      </c>
      <c r="X6745">
        <v>0.99512999999999996</v>
      </c>
      <c r="Y6745">
        <v>0.11479399999999999</v>
      </c>
      <c r="Z6745">
        <v>4.2382120000000002E-2</v>
      </c>
      <c r="AA6745">
        <v>0.99248479999999994</v>
      </c>
      <c r="AB6745">
        <v>18</v>
      </c>
      <c r="AC6745">
        <v>0.92919999999998004</v>
      </c>
      <c r="AD6745">
        <v>-1.1077256654530001</v>
      </c>
      <c r="AE6745">
        <v>-20.671282000000001</v>
      </c>
      <c r="AF6745">
        <v>2.3866673281591302</v>
      </c>
      <c r="AG6745">
        <v>-1.1077256654530001</v>
      </c>
      <c r="AH6745">
        <v>20.494524352255102</v>
      </c>
      <c r="AI6745">
        <v>93.073089559035395</v>
      </c>
      <c r="AJ6745">
        <v>83.357602073740495</v>
      </c>
      <c r="AK6745">
        <v>20.662738577216299</v>
      </c>
      <c r="AL6745">
        <v>95.620084410446694</v>
      </c>
      <c r="AM6745">
        <v>89.354618520821703</v>
      </c>
      <c r="AN6745">
        <v>1.00000000138491</v>
      </c>
    </row>
    <row r="6746" spans="1:40" x14ac:dyDescent="0.25">
      <c r="A6746" t="str">
        <f>"20190305135058218"</f>
        <v>20190305135058218</v>
      </c>
      <c r="B6746" t="str">
        <f>"1551765058206441"</f>
        <v>1551765058206441</v>
      </c>
      <c r="C6746" t="s">
        <v>40</v>
      </c>
      <c r="D6746">
        <v>4.1221730000000001</v>
      </c>
      <c r="E6746">
        <v>0.54024919999999899</v>
      </c>
      <c r="F6746" t="s">
        <v>42</v>
      </c>
      <c r="G6746">
        <v>-302.6035</v>
      </c>
      <c r="H6746" s="1">
        <v>-1.5533640000000001E-6</v>
      </c>
      <c r="I6746">
        <v>-28.404669999999999</v>
      </c>
      <c r="J6746">
        <v>-303.53030000000001</v>
      </c>
      <c r="K6746">
        <v>1.1077410000000001</v>
      </c>
      <c r="L6746">
        <v>-7.6746829999999999</v>
      </c>
      <c r="M6746">
        <v>0.15742229999999999</v>
      </c>
      <c r="N6746">
        <v>-9.4871090000000005E-3</v>
      </c>
      <c r="O6746">
        <v>-0.98748599999999997</v>
      </c>
      <c r="P6746">
        <v>0.14687790000000001</v>
      </c>
      <c r="Q6746">
        <v>-0.107945</v>
      </c>
      <c r="R6746">
        <v>-0.9832476</v>
      </c>
      <c r="S6746">
        <v>0.13742070000000001</v>
      </c>
      <c r="T6746">
        <v>-0.1595761</v>
      </c>
      <c r="U6746">
        <v>-3.0132750000000001</v>
      </c>
      <c r="V6746">
        <v>9.415306E-3</v>
      </c>
      <c r="W6746">
        <v>-9.8541069999999994E-2</v>
      </c>
      <c r="X6746">
        <v>0.99508850000000004</v>
      </c>
      <c r="Y6746">
        <v>0.11228339999999901</v>
      </c>
      <c r="Z6746">
        <v>4.2260079999999998E-2</v>
      </c>
      <c r="AA6746">
        <v>0.99277720000000003</v>
      </c>
      <c r="AB6746">
        <v>19</v>
      </c>
      <c r="AC6746">
        <v>0.92680000000001395</v>
      </c>
      <c r="AD6746">
        <v>-1.107742553364</v>
      </c>
      <c r="AE6746">
        <v>-20.729987000000001</v>
      </c>
      <c r="AF6746">
        <v>2.3415923953014799</v>
      </c>
      <c r="AG6746">
        <v>-1.107742553364</v>
      </c>
      <c r="AH6746">
        <v>20.558806588190102</v>
      </c>
      <c r="AI6746">
        <v>93.064434435494405</v>
      </c>
      <c r="AJ6746">
        <v>83.502167243288497</v>
      </c>
      <c r="AK6746">
        <v>20.721357987373199</v>
      </c>
      <c r="AL6746">
        <v>95.6551646698599</v>
      </c>
      <c r="AM6746">
        <v>89.457896258330805</v>
      </c>
      <c r="AN6746">
        <v>1.00000005664803</v>
      </c>
    </row>
    <row r="6747" spans="1:40" x14ac:dyDescent="0.25">
      <c r="A6747" t="str">
        <f>"20190305135058240"</f>
        <v>20190305135058240</v>
      </c>
      <c r="B6747" t="str">
        <f>"1551765058236700"</f>
        <v>1551765058236700</v>
      </c>
      <c r="C6747" t="s">
        <v>40</v>
      </c>
      <c r="D6747">
        <v>4.102455</v>
      </c>
      <c r="E6747">
        <v>0.54006730000000003</v>
      </c>
      <c r="F6747" t="s">
        <v>42</v>
      </c>
      <c r="G6747">
        <v>-302.59309999999999</v>
      </c>
      <c r="H6747" s="1">
        <v>-1.5428390000000001E-6</v>
      </c>
      <c r="I6747">
        <v>-28.422779999999999</v>
      </c>
      <c r="J6747">
        <v>-303.50409999999999</v>
      </c>
      <c r="K6747">
        <v>1.107747</v>
      </c>
      <c r="L6747">
        <v>-7.8594669999999898</v>
      </c>
      <c r="M6747">
        <v>0.1547152</v>
      </c>
      <c r="N6747">
        <v>-9.4762760000000005E-3</v>
      </c>
      <c r="O6747">
        <v>-0.98791370000000001</v>
      </c>
      <c r="P6747">
        <v>0.1463981</v>
      </c>
      <c r="Q6747">
        <v>-0.1081627</v>
      </c>
      <c r="R6747">
        <v>-0.98329480000000002</v>
      </c>
      <c r="S6747">
        <v>0.13610839999999999</v>
      </c>
      <c r="T6747">
        <v>-0.16087079999999901</v>
      </c>
      <c r="U6747">
        <v>-3.0131230000000002</v>
      </c>
      <c r="V6747">
        <v>7.1679269999999897E-3</v>
      </c>
      <c r="W6747">
        <v>-9.8762299999999997E-2</v>
      </c>
      <c r="X6747">
        <v>0.9950852</v>
      </c>
      <c r="Y6747">
        <v>0.1099902</v>
      </c>
      <c r="Z6747">
        <v>4.2732529999999998E-2</v>
      </c>
      <c r="AA6747">
        <v>0.99301360000000005</v>
      </c>
      <c r="AB6747">
        <v>19</v>
      </c>
      <c r="AC6747">
        <v>0.91100000000000103</v>
      </c>
      <c r="AD6747">
        <v>-1.1077485428389999</v>
      </c>
      <c r="AE6747">
        <v>-20.563313000000001</v>
      </c>
      <c r="AF6747">
        <v>2.27498102130716</v>
      </c>
      <c r="AG6747">
        <v>-1.1077485428389999</v>
      </c>
      <c r="AH6747">
        <v>20.397564350429398</v>
      </c>
      <c r="AI6747">
        <v>93.089440303006896</v>
      </c>
      <c r="AJ6747">
        <v>83.635988635225402</v>
      </c>
      <c r="AK6747">
        <v>20.5539114747383</v>
      </c>
      <c r="AL6747">
        <v>95.667902880104506</v>
      </c>
      <c r="AM6747">
        <v>89.587286734989107</v>
      </c>
      <c r="AN6747">
        <v>0.99999996316890305</v>
      </c>
    </row>
    <row r="6748" spans="1:40" x14ac:dyDescent="0.25">
      <c r="A6748" t="str">
        <f>"20190305135058263"</f>
        <v>20190305135058263</v>
      </c>
      <c r="B6748" t="str">
        <f>"1551765058256217"</f>
        <v>1551765058256217</v>
      </c>
      <c r="C6748" t="s">
        <v>40</v>
      </c>
      <c r="D6748">
        <v>4.0932180000000002</v>
      </c>
      <c r="E6748">
        <v>0.53986259999999997</v>
      </c>
      <c r="F6748" t="s">
        <v>42</v>
      </c>
      <c r="G6748">
        <v>-302.5616</v>
      </c>
      <c r="H6748" s="1">
        <v>-1.4212780000000001E-6</v>
      </c>
      <c r="I6748">
        <v>-28.686599999999999</v>
      </c>
      <c r="J6748">
        <v>-303.47789999999998</v>
      </c>
      <c r="K6748">
        <v>1.1077399999999999</v>
      </c>
      <c r="L6748">
        <v>-8.0476679999999998</v>
      </c>
      <c r="M6748">
        <v>0.1519402</v>
      </c>
      <c r="N6748">
        <v>-9.4388319999999994E-3</v>
      </c>
      <c r="O6748">
        <v>-0.98834480000000002</v>
      </c>
      <c r="P6748">
        <v>0.14615520000000001</v>
      </c>
      <c r="Q6748">
        <v>-0.1068544</v>
      </c>
      <c r="R6748">
        <v>-0.98347430000000002</v>
      </c>
      <c r="S6748">
        <v>0.13635249999999999</v>
      </c>
      <c r="T6748">
        <v>-0.16025639999999999</v>
      </c>
      <c r="U6748">
        <v>-3.0130309999999998</v>
      </c>
      <c r="V6748">
        <v>4.64351E-3</v>
      </c>
      <c r="W6748">
        <v>-9.7481499999999999E-2</v>
      </c>
      <c r="X6748">
        <v>0.99522650000000001</v>
      </c>
      <c r="Y6748">
        <v>0.1071177</v>
      </c>
      <c r="Z6748">
        <v>4.2614529999999998E-2</v>
      </c>
      <c r="AA6748">
        <v>0.99333269999999996</v>
      </c>
      <c r="AB6748">
        <v>19</v>
      </c>
      <c r="AC6748">
        <v>0.91629999999997802</v>
      </c>
      <c r="AD6748">
        <v>-1.1077414212779999</v>
      </c>
      <c r="AE6748">
        <v>-20.638932</v>
      </c>
      <c r="AF6748">
        <v>2.22396802468865</v>
      </c>
      <c r="AG6748">
        <v>-1.1077414212779999</v>
      </c>
      <c r="AH6748">
        <v>20.479634942140599</v>
      </c>
      <c r="AI6748">
        <v>93.0780450272552</v>
      </c>
      <c r="AJ6748">
        <v>83.802301348438306</v>
      </c>
      <c r="AK6748">
        <v>20.629798161751399</v>
      </c>
      <c r="AL6748">
        <v>95.594162414519005</v>
      </c>
      <c r="AM6748">
        <v>89.732672316771499</v>
      </c>
      <c r="AN6748">
        <v>0.99999999566481002</v>
      </c>
    </row>
    <row r="6749" spans="1:40" x14ac:dyDescent="0.25">
      <c r="A6749" t="str">
        <f>"20190305135058285"</f>
        <v>20190305135058285</v>
      </c>
      <c r="B6749" t="str">
        <f>"1551765058276713"</f>
        <v>1551765058276713</v>
      </c>
      <c r="C6749" t="s">
        <v>40</v>
      </c>
      <c r="D6749">
        <v>4.1273799999999996</v>
      </c>
      <c r="E6749">
        <v>0.53971729999999996</v>
      </c>
      <c r="F6749" t="s">
        <v>42</v>
      </c>
      <c r="G6749">
        <v>-302.50659999999999</v>
      </c>
      <c r="H6749" s="1">
        <v>-1.1124539999999999E-6</v>
      </c>
      <c r="I6749">
        <v>-29.37238</v>
      </c>
      <c r="J6749">
        <v>-303.4529</v>
      </c>
      <c r="K6749">
        <v>1.1077349999999999</v>
      </c>
      <c r="L6749">
        <v>-8.2316889999999994</v>
      </c>
      <c r="M6749">
        <v>0.1492049</v>
      </c>
      <c r="N6749">
        <v>-9.3782580000000004E-3</v>
      </c>
      <c r="O6749">
        <v>-0.98876189999999997</v>
      </c>
      <c r="P6749">
        <v>0.1454638</v>
      </c>
      <c r="Q6749">
        <v>-0.1058716</v>
      </c>
      <c r="R6749">
        <v>-0.98368279999999997</v>
      </c>
      <c r="S6749">
        <v>0.13723750000000001</v>
      </c>
      <c r="T6749">
        <v>-0.1565144</v>
      </c>
      <c r="U6749">
        <v>-3.0129999999999999</v>
      </c>
      <c r="V6749">
        <v>2.6052689999999999E-3</v>
      </c>
      <c r="W6749">
        <v>-9.6551139999999994E-2</v>
      </c>
      <c r="X6749">
        <v>0.9953246</v>
      </c>
      <c r="Y6749">
        <v>0.1040741</v>
      </c>
      <c r="Z6749">
        <v>4.1503659999999998E-2</v>
      </c>
      <c r="AA6749">
        <v>0.99370320000000001</v>
      </c>
      <c r="AB6749">
        <v>19</v>
      </c>
      <c r="AC6749">
        <v>0.94630000000000802</v>
      </c>
      <c r="AD6749">
        <v>-1.1077361124539999</v>
      </c>
      <c r="AE6749">
        <v>-21.140691</v>
      </c>
      <c r="AF6749">
        <v>2.2126638081029699</v>
      </c>
      <c r="AG6749">
        <v>-1.1077361124539999</v>
      </c>
      <c r="AH6749">
        <v>20.987718078206701</v>
      </c>
      <c r="AI6749">
        <v>93.004658561734402</v>
      </c>
      <c r="AJ6749">
        <v>83.981732149216299</v>
      </c>
      <c r="AK6749">
        <v>21.1330847382205</v>
      </c>
      <c r="AL6749">
        <v>95.540604125788803</v>
      </c>
      <c r="AM6749">
        <v>89.850028244759898</v>
      </c>
      <c r="AN6749">
        <v>0.99999998471351004</v>
      </c>
    </row>
    <row r="6750" spans="1:40" x14ac:dyDescent="0.25">
      <c r="A6750" t="str">
        <f>"20190305135058307"</f>
        <v>20190305135058307</v>
      </c>
      <c r="B6750" t="str">
        <f>"1551765058296232"</f>
        <v>1551765058296232</v>
      </c>
      <c r="C6750" t="s">
        <v>40</v>
      </c>
      <c r="D6750">
        <v>4.1093440000000001</v>
      </c>
      <c r="E6750">
        <v>0.53949049999999998</v>
      </c>
      <c r="F6750" t="s">
        <v>42</v>
      </c>
      <c r="G6750">
        <v>-302.47379999999998</v>
      </c>
      <c r="H6750" s="1">
        <v>-8.7298119999999898E-7</v>
      </c>
      <c r="I6750">
        <v>-29.910270000000001</v>
      </c>
      <c r="J6750">
        <v>-303.42770000000002</v>
      </c>
      <c r="K6750">
        <v>1.10771</v>
      </c>
      <c r="L6750">
        <v>-8.4203799999999998</v>
      </c>
      <c r="M6750">
        <v>0.14638010000000001</v>
      </c>
      <c r="N6750">
        <v>-9.2977779999999996E-3</v>
      </c>
      <c r="O6750">
        <v>-0.98918499999999998</v>
      </c>
      <c r="P6750">
        <v>0.14410619999999999</v>
      </c>
      <c r="Q6750">
        <v>-0.1049025</v>
      </c>
      <c r="R6750">
        <v>-0.98398640000000004</v>
      </c>
      <c r="S6750">
        <v>0.1360779</v>
      </c>
      <c r="T6750">
        <v>-0.15396199999999999</v>
      </c>
      <c r="U6750">
        <v>-3.0130620000000001</v>
      </c>
      <c r="V6750">
        <v>1.150077E-3</v>
      </c>
      <c r="W6750">
        <v>-9.5656199999999997E-2</v>
      </c>
      <c r="X6750">
        <v>0.99541380000000002</v>
      </c>
      <c r="Y6750">
        <v>0.1016155</v>
      </c>
      <c r="Z6750">
        <v>4.079377E-2</v>
      </c>
      <c r="AA6750">
        <v>0.99398699999999995</v>
      </c>
      <c r="AB6750">
        <v>19</v>
      </c>
      <c r="AC6750">
        <v>0.95390000000003194</v>
      </c>
      <c r="AD6750">
        <v>-1.1077108729812</v>
      </c>
      <c r="AE6750">
        <v>-21.489889999999999</v>
      </c>
      <c r="AF6750">
        <v>2.1963790565094099</v>
      </c>
      <c r="AG6750">
        <v>-1.1077108729812</v>
      </c>
      <c r="AH6750">
        <v>21.341436140019699</v>
      </c>
      <c r="AI6750">
        <v>92.955643615649706</v>
      </c>
      <c r="AJ6750">
        <v>84.124024642619304</v>
      </c>
      <c r="AK6750">
        <v>21.482737275694902</v>
      </c>
      <c r="AL6750">
        <v>95.489089131860396</v>
      </c>
      <c r="AM6750">
        <v>89.933801873256698</v>
      </c>
      <c r="AN6750">
        <v>1.0000000322529901</v>
      </c>
    </row>
    <row r="6751" spans="1:40" x14ac:dyDescent="0.25">
      <c r="A6751" t="str">
        <f>"20190305135058331"</f>
        <v>20190305135058331</v>
      </c>
      <c r="B6751" t="str">
        <f>"1551765058326489"</f>
        <v>1551765058326489</v>
      </c>
      <c r="C6751" t="s">
        <v>40</v>
      </c>
      <c r="D6751">
        <v>4.0758869999999998</v>
      </c>
      <c r="E6751">
        <v>0.53923920000000003</v>
      </c>
      <c r="F6751" t="s">
        <v>42</v>
      </c>
      <c r="G6751">
        <v>-302.4554</v>
      </c>
      <c r="H6751" s="1">
        <v>-6.7629319999999904E-7</v>
      </c>
      <c r="I6751">
        <v>-30.35736</v>
      </c>
      <c r="J6751">
        <v>-303.40280000000001</v>
      </c>
      <c r="K6751">
        <v>1.1076870000000001</v>
      </c>
      <c r="L6751">
        <v>-8.6116639999999993</v>
      </c>
      <c r="M6751">
        <v>0.14349700000000001</v>
      </c>
      <c r="N6751">
        <v>-9.2086170000000005E-3</v>
      </c>
      <c r="O6751">
        <v>-0.98960800000000004</v>
      </c>
      <c r="P6751">
        <v>0.14225170000000001</v>
      </c>
      <c r="Q6751">
        <v>-0.1050821</v>
      </c>
      <c r="R6751">
        <v>-0.98423689999999997</v>
      </c>
      <c r="S6751">
        <v>0.13354489999999999</v>
      </c>
      <c r="T6751">
        <v>-0.152145</v>
      </c>
      <c r="U6751">
        <v>-3.0130620000000001</v>
      </c>
      <c r="V6751">
        <v>1.1727679999999999E-4</v>
      </c>
      <c r="W6751">
        <v>-9.5921099999999995E-2</v>
      </c>
      <c r="X6751">
        <v>0.99538890000000002</v>
      </c>
      <c r="Y6751">
        <v>9.955058E-2</v>
      </c>
      <c r="Z6751">
        <v>4.0329999999999998E-2</v>
      </c>
      <c r="AA6751">
        <v>0.99421479999999995</v>
      </c>
      <c r="AB6751">
        <v>19</v>
      </c>
      <c r="AC6751">
        <v>0.94740000000001501</v>
      </c>
      <c r="AD6751">
        <v>-1.1076876762932</v>
      </c>
      <c r="AE6751">
        <v>-21.745695999999899</v>
      </c>
      <c r="AF6751">
        <v>2.17734102567018</v>
      </c>
      <c r="AG6751">
        <v>-1.1076876762932</v>
      </c>
      <c r="AH6751">
        <v>21.600638957041799</v>
      </c>
      <c r="AI6751">
        <v>92.920799283940099</v>
      </c>
      <c r="AJ6751">
        <v>84.244036549162004</v>
      </c>
      <c r="AK6751">
        <v>21.738339156493701</v>
      </c>
      <c r="AL6751">
        <v>95.504337259158902</v>
      </c>
      <c r="AM6751">
        <v>89.993249406695497</v>
      </c>
      <c r="AN6751">
        <v>0.999999966711133</v>
      </c>
    </row>
    <row r="6752" spans="1:40" x14ac:dyDescent="0.25">
      <c r="A6752" t="str">
        <f>"20190305135058351"</f>
        <v>20190305135058351</v>
      </c>
      <c r="B6752" t="str">
        <f>"1551765058346984"</f>
        <v>1551765058346984</v>
      </c>
      <c r="C6752" t="s">
        <v>40</v>
      </c>
      <c r="D6752">
        <v>4.1000909999999999</v>
      </c>
      <c r="E6752">
        <v>0.53900090000000001</v>
      </c>
      <c r="F6752" t="s">
        <v>42</v>
      </c>
      <c r="G6752">
        <v>-302.47199999999998</v>
      </c>
      <c r="H6752" s="1">
        <v>-7.4061070000000001E-7</v>
      </c>
      <c r="I6752">
        <v>-30.21773</v>
      </c>
      <c r="J6752">
        <v>-303.37939999999998</v>
      </c>
      <c r="K6752">
        <v>1.1076760000000001</v>
      </c>
      <c r="L6752">
        <v>-8.7965699999999991</v>
      </c>
      <c r="M6752">
        <v>0.14069429999999999</v>
      </c>
      <c r="N6752">
        <v>-9.1215900000000006E-3</v>
      </c>
      <c r="O6752">
        <v>-0.99001119999999998</v>
      </c>
      <c r="P6752">
        <v>0.14021259999999999</v>
      </c>
      <c r="Q6752">
        <v>-0.1044558</v>
      </c>
      <c r="R6752">
        <v>-0.98459620000000003</v>
      </c>
      <c r="S6752">
        <v>0.1297913</v>
      </c>
      <c r="T6752">
        <v>-0.15445789999999901</v>
      </c>
      <c r="U6752">
        <v>-3.0127869999999999</v>
      </c>
      <c r="V6752">
        <v>-6.3160250000000005E-4</v>
      </c>
      <c r="W6752">
        <v>-9.5378069999999995E-2</v>
      </c>
      <c r="X6752">
        <v>0.99544089999999996</v>
      </c>
      <c r="Y6752">
        <v>9.7967150000000003E-2</v>
      </c>
      <c r="Z6752">
        <v>4.1206930000000003E-2</v>
      </c>
      <c r="AA6752">
        <v>0.9943362</v>
      </c>
      <c r="AB6752">
        <v>19</v>
      </c>
      <c r="AC6752">
        <v>0.90739999999999499</v>
      </c>
      <c r="AD6752">
        <v>-1.1076767406107</v>
      </c>
      <c r="AE6752">
        <v>-21.42116</v>
      </c>
      <c r="AF6752">
        <v>2.1099550435603698</v>
      </c>
      <c r="AG6752">
        <v>-1.1076767406107</v>
      </c>
      <c r="AH6752">
        <v>21.278943919121701</v>
      </c>
      <c r="AI6752">
        <v>92.965329852862297</v>
      </c>
      <c r="AJ6752">
        <v>84.337236160143505</v>
      </c>
      <c r="AK6752">
        <v>21.4119665692029</v>
      </c>
      <c r="AL6752">
        <v>95.473080546529602</v>
      </c>
      <c r="AM6752">
        <v>90.036353893760605</v>
      </c>
      <c r="AN6752">
        <v>0.99999998027572601</v>
      </c>
    </row>
    <row r="6753" spans="1:40" x14ac:dyDescent="0.25">
      <c r="A6753" t="str">
        <f>"20190305135058374"</f>
        <v>20190305135058374</v>
      </c>
      <c r="B6753" t="str">
        <f>"1551765058366505"</f>
        <v>1551765058366505</v>
      </c>
      <c r="C6753" t="s">
        <v>40</v>
      </c>
      <c r="D6753">
        <v>4.0637129999999999</v>
      </c>
      <c r="E6753">
        <v>0.53898919999999995</v>
      </c>
      <c r="F6753" t="s">
        <v>42</v>
      </c>
      <c r="G6753">
        <v>-302.47750000000002</v>
      </c>
      <c r="H6753" s="1">
        <v>-4.700793E-6</v>
      </c>
      <c r="I6753">
        <v>-30.491099999999999</v>
      </c>
      <c r="J6753">
        <v>-303.35599999999999</v>
      </c>
      <c r="K6753">
        <v>1.1076619999999999</v>
      </c>
      <c r="L6753">
        <v>-8.9845279999999992</v>
      </c>
      <c r="M6753">
        <v>0.1378364</v>
      </c>
      <c r="N6753">
        <v>-9.0342300000000007E-3</v>
      </c>
      <c r="O6753">
        <v>-0.99041409999999996</v>
      </c>
      <c r="P6753">
        <v>0.13819400000000001</v>
      </c>
      <c r="Q6753">
        <v>-0.1034868</v>
      </c>
      <c r="R6753">
        <v>-0.98498419999999998</v>
      </c>
      <c r="S6753">
        <v>0.1252441</v>
      </c>
      <c r="T6753">
        <v>-0.15382709999999999</v>
      </c>
      <c r="U6753">
        <v>-3.0127869999999999</v>
      </c>
      <c r="V6753">
        <v>-1.449096E-3</v>
      </c>
      <c r="W6753">
        <v>-9.4492149999999997E-2</v>
      </c>
      <c r="X6753">
        <v>0.99552450000000003</v>
      </c>
      <c r="Y6753">
        <v>9.6593300000000007E-2</v>
      </c>
      <c r="Z6753">
        <v>4.1123159999999999E-2</v>
      </c>
      <c r="AA6753">
        <v>0.99447410000000003</v>
      </c>
      <c r="AB6753">
        <v>19</v>
      </c>
      <c r="AC6753">
        <v>0.87849999999997397</v>
      </c>
      <c r="AD6753">
        <v>-1.1076667007929999</v>
      </c>
      <c r="AE6753">
        <v>-21.506571999999998</v>
      </c>
      <c r="AF6753">
        <v>2.0888627986819501</v>
      </c>
      <c r="AG6753">
        <v>-1.1076667007929999</v>
      </c>
      <c r="AH6753">
        <v>21.365788442274201</v>
      </c>
      <c r="AI6753">
        <v>92.953671170496605</v>
      </c>
      <c r="AJ6753">
        <v>84.416125971936694</v>
      </c>
      <c r="AK6753">
        <v>21.496213365888</v>
      </c>
      <c r="AL6753">
        <v>95.422090944055398</v>
      </c>
      <c r="AM6753">
        <v>90.083400284242103</v>
      </c>
      <c r="AN6753">
        <v>0.99999994819554305</v>
      </c>
    </row>
    <row r="6754" spans="1:40" x14ac:dyDescent="0.25">
      <c r="A6754" t="str">
        <f>"20190305135058396"</f>
        <v>20190305135058396</v>
      </c>
      <c r="B6754" t="str">
        <f>"1551765058387002"</f>
        <v>1551765058387002</v>
      </c>
      <c r="C6754" t="s">
        <v>40</v>
      </c>
      <c r="D6754">
        <v>4.0563770000000003</v>
      </c>
      <c r="E6754">
        <v>0.55133639999999995</v>
      </c>
      <c r="F6754" t="s">
        <v>42</v>
      </c>
      <c r="G6754">
        <v>-302.48540000000003</v>
      </c>
      <c r="H6754" s="1">
        <v>-4.5200239999999997E-6</v>
      </c>
      <c r="I6754">
        <v>-31.026409999999998</v>
      </c>
      <c r="J6754">
        <v>-303.33330000000001</v>
      </c>
      <c r="K6754">
        <v>1.10765</v>
      </c>
      <c r="L6754">
        <v>-9.1723330000000001</v>
      </c>
      <c r="M6754">
        <v>0.13497529999999999</v>
      </c>
      <c r="N6754">
        <v>-8.9449419999999905E-3</v>
      </c>
      <c r="O6754">
        <v>-0.99080849999999998</v>
      </c>
      <c r="P6754">
        <v>0.136742</v>
      </c>
      <c r="Q6754">
        <v>-0.1021326</v>
      </c>
      <c r="R6754">
        <v>-0.98532739999999996</v>
      </c>
      <c r="S6754">
        <v>0.1190186</v>
      </c>
      <c r="T6754">
        <v>-0.15141789999999999</v>
      </c>
      <c r="U6754">
        <v>-3.0131230000000002</v>
      </c>
      <c r="V6754">
        <v>-2.8346180000000001E-3</v>
      </c>
      <c r="W6754">
        <v>-9.3220520000000001E-2</v>
      </c>
      <c r="X6754">
        <v>0.99564149999999996</v>
      </c>
      <c r="Y6754">
        <v>9.5774239999999997E-2</v>
      </c>
      <c r="Z6754">
        <v>4.0455110000000002E-2</v>
      </c>
      <c r="AA6754">
        <v>0.99458060000000004</v>
      </c>
      <c r="AB6754">
        <v>19</v>
      </c>
      <c r="AC6754">
        <v>0.847899999999981</v>
      </c>
      <c r="AD6754">
        <v>-1.107654520024</v>
      </c>
      <c r="AE6754">
        <v>-21.854077</v>
      </c>
      <c r="AF6754">
        <v>2.1043409852489701</v>
      </c>
      <c r="AG6754">
        <v>-1.107654520024</v>
      </c>
      <c r="AH6754">
        <v>21.712829772836901</v>
      </c>
      <c r="AI6754">
        <v>92.906749404777798</v>
      </c>
      <c r="AJ6754">
        <v>84.464357167257305</v>
      </c>
      <c r="AK6754">
        <v>21.842667562871501</v>
      </c>
      <c r="AL6754">
        <v>95.348908321247194</v>
      </c>
      <c r="AM6754">
        <v>90.163122177130404</v>
      </c>
      <c r="AN6754">
        <v>1.00000004846526</v>
      </c>
    </row>
    <row r="6755" spans="1:40" x14ac:dyDescent="0.25">
      <c r="A6755" t="str">
        <f>"20190305135058621"</f>
        <v>20190305135058621</v>
      </c>
      <c r="B6755" t="str">
        <f>"1551765058616364"</f>
        <v>1551765058616364</v>
      </c>
      <c r="C6755" t="s">
        <v>40</v>
      </c>
      <c r="D6755">
        <v>4.0461090000000004</v>
      </c>
      <c r="E6755">
        <v>0.54889100000000002</v>
      </c>
      <c r="F6755" t="s">
        <v>42</v>
      </c>
      <c r="G6755">
        <v>-303.16500000000002</v>
      </c>
      <c r="H6755" s="1">
        <v>-2.7385569999999998E-6</v>
      </c>
      <c r="I6755">
        <v>-35.990250000000003</v>
      </c>
      <c r="J6755">
        <v>-303.12810000000002</v>
      </c>
      <c r="K6755">
        <v>1.107397</v>
      </c>
      <c r="L6755">
        <v>-11.12946</v>
      </c>
      <c r="M6755">
        <v>0.10535360000000001</v>
      </c>
      <c r="N6755">
        <v>-7.5676859999999997E-3</v>
      </c>
      <c r="O6755">
        <v>-0.99440600000000001</v>
      </c>
      <c r="P6755">
        <v>0.1237448</v>
      </c>
      <c r="Q6755">
        <v>-9.4483239999999996E-2</v>
      </c>
      <c r="R6755">
        <v>-0.98780570000000001</v>
      </c>
      <c r="S6755">
        <v>1.901245E-2</v>
      </c>
      <c r="T6755">
        <v>-0.1251081</v>
      </c>
      <c r="U6755">
        <v>-3.0290530000000002</v>
      </c>
      <c r="V6755">
        <v>-1.932729E-2</v>
      </c>
      <c r="W6755">
        <v>-8.6872500000000005E-2</v>
      </c>
      <c r="X6755">
        <v>0.99603189999999997</v>
      </c>
      <c r="Y6755">
        <v>9.9097829999999998E-2</v>
      </c>
      <c r="Z6755">
        <v>3.3261289999999999E-2</v>
      </c>
      <c r="AA6755">
        <v>0.99452169999999895</v>
      </c>
      <c r="AB6755">
        <v>20</v>
      </c>
      <c r="AC6755">
        <v>-3.6900000000002799E-2</v>
      </c>
      <c r="AD6755">
        <v>-1.107399738557</v>
      </c>
      <c r="AE6755">
        <v>-24.860789999999898</v>
      </c>
      <c r="AF6755">
        <v>2.65068403789336</v>
      </c>
      <c r="AG6755">
        <v>-1.107399738557</v>
      </c>
      <c r="AH6755">
        <v>24.669591145608301</v>
      </c>
      <c r="AI6755">
        <v>92.555549952603499</v>
      </c>
      <c r="AJ6755">
        <v>83.867244603495706</v>
      </c>
      <c r="AK6755">
        <v>24.836287712562299</v>
      </c>
      <c r="AL6755">
        <v>94.983709794527201</v>
      </c>
      <c r="AM6755">
        <v>91.111644308648195</v>
      </c>
      <c r="AN6755">
        <v>0.99999996060630103</v>
      </c>
    </row>
    <row r="6756" spans="1:40" x14ac:dyDescent="0.25">
      <c r="A6756" t="str">
        <f>"20190305135058642"</f>
        <v>20190305135058642</v>
      </c>
      <c r="B6756" t="str">
        <f>"1551765058636970"</f>
        <v>1551765058636970</v>
      </c>
      <c r="C6756" t="s">
        <v>40</v>
      </c>
      <c r="D6756">
        <v>4.0399929999999999</v>
      </c>
      <c r="E6756">
        <v>0.54618619999999996</v>
      </c>
      <c r="F6756" t="s">
        <v>41</v>
      </c>
      <c r="G6756">
        <v>-303.13729999999998</v>
      </c>
      <c r="H6756">
        <v>0.97486090000000003</v>
      </c>
      <c r="I6756">
        <v>-11.91386</v>
      </c>
      <c r="J6756">
        <v>-303.11020000000002</v>
      </c>
      <c r="K6756">
        <v>1.10734</v>
      </c>
      <c r="L6756">
        <v>-11.33154</v>
      </c>
      <c r="M6756">
        <v>0.1023027</v>
      </c>
      <c r="N6756">
        <v>-7.3349050000000001E-3</v>
      </c>
      <c r="O6756">
        <v>-0.9947262</v>
      </c>
      <c r="P6756">
        <v>0.12216630000000001</v>
      </c>
      <c r="Q6756">
        <v>-9.4206209999999999E-2</v>
      </c>
      <c r="R6756">
        <v>-0.98802880000000004</v>
      </c>
      <c r="S6756">
        <v>-3.4362789999999997E-2</v>
      </c>
      <c r="T6756">
        <v>-0.50549650000000002</v>
      </c>
      <c r="U6756">
        <v>-2.9929809999999999</v>
      </c>
      <c r="V6756">
        <v>-2.0791150000000001E-2</v>
      </c>
      <c r="W6756">
        <v>-8.6820729999999999E-2</v>
      </c>
      <c r="X6756">
        <v>0.99600699999999998</v>
      </c>
      <c r="Y6756">
        <v>0.1134971</v>
      </c>
      <c r="Z6756">
        <v>0.15744549999999999</v>
      </c>
      <c r="AA6756">
        <v>0.98098390000000002</v>
      </c>
      <c r="AB6756">
        <v>20</v>
      </c>
      <c r="AC6756">
        <v>-2.70999999999617E-2</v>
      </c>
      <c r="AD6756">
        <v>-0.13247909999999899</v>
      </c>
      <c r="AE6756">
        <v>-0.58232000000000195</v>
      </c>
      <c r="AF6756">
        <v>8.2282793445050795E-2</v>
      </c>
      <c r="AG6756">
        <v>-0.13247909999999899</v>
      </c>
      <c r="AH6756">
        <v>0.54818106943923905</v>
      </c>
      <c r="AI6756">
        <v>103.441167159199</v>
      </c>
      <c r="AJ6756">
        <v>81.463547674280093</v>
      </c>
      <c r="AK6756">
        <v>0.56993302670180301</v>
      </c>
      <c r="AL6756">
        <v>94.980732007846797</v>
      </c>
      <c r="AM6756">
        <v>91.195847182943794</v>
      </c>
      <c r="AN6756">
        <v>1.00000002756252</v>
      </c>
    </row>
    <row r="6757" spans="1:40" x14ac:dyDescent="0.25">
      <c r="A6757" t="str">
        <f>"20190305135058665"</f>
        <v>20190305135058665</v>
      </c>
      <c r="B6757" t="str">
        <f>"1551765058656470"</f>
        <v>1551765058656470</v>
      </c>
      <c r="C6757" t="s">
        <v>40</v>
      </c>
      <c r="D6757">
        <v>4.081378</v>
      </c>
      <c r="E6757">
        <v>0.54316880000000001</v>
      </c>
      <c r="F6757" t="s">
        <v>41</v>
      </c>
      <c r="G6757">
        <v>-303.11489999999998</v>
      </c>
      <c r="H6757">
        <v>0.97793529999999995</v>
      </c>
      <c r="I6757">
        <v>-12.094989999999999</v>
      </c>
      <c r="J6757">
        <v>-303.0933</v>
      </c>
      <c r="K6757">
        <v>1.107281</v>
      </c>
      <c r="L6757">
        <v>-11.529450000000001</v>
      </c>
      <c r="M6757">
        <v>9.9316539999999995E-2</v>
      </c>
      <c r="N6757">
        <v>-7.0984309999999997E-3</v>
      </c>
      <c r="O6757">
        <v>-0.99503070000000005</v>
      </c>
      <c r="P6757">
        <v>0.1210987</v>
      </c>
      <c r="Q6757">
        <v>-9.4181340000000002E-2</v>
      </c>
      <c r="R6757">
        <v>-0.98816250000000005</v>
      </c>
      <c r="S6757">
        <v>-1.7822270000000001E-2</v>
      </c>
      <c r="T6757">
        <v>-0.5066811</v>
      </c>
      <c r="U6757">
        <v>-2.9902340000000001</v>
      </c>
      <c r="V6757">
        <v>-2.2707049999999999E-2</v>
      </c>
      <c r="W6757">
        <v>-8.7023139999999999E-2</v>
      </c>
      <c r="X6757">
        <v>0.99594749999999999</v>
      </c>
      <c r="Y6757">
        <v>0.10510269999999999</v>
      </c>
      <c r="Z6757">
        <v>0.15836129999999901</v>
      </c>
      <c r="AA6757">
        <v>0.98177139999999996</v>
      </c>
      <c r="AB6757">
        <v>20</v>
      </c>
      <c r="AC6757">
        <v>-2.1599999999978001E-2</v>
      </c>
      <c r="AD6757">
        <v>-0.12934569999999901</v>
      </c>
      <c r="AE6757">
        <v>-0.56553999999999804</v>
      </c>
      <c r="AF6757">
        <v>7.3806934417900497E-2</v>
      </c>
      <c r="AG6757">
        <v>-0.12934569999999901</v>
      </c>
      <c r="AH6757">
        <v>0.53277032889661902</v>
      </c>
      <c r="AI6757">
        <v>103.52188620005499</v>
      </c>
      <c r="AJ6757">
        <v>82.112773398272594</v>
      </c>
      <c r="AK6757">
        <v>0.553192549687059</v>
      </c>
      <c r="AL6757">
        <v>94.992373295500002</v>
      </c>
      <c r="AM6757">
        <v>91.306085683265394</v>
      </c>
      <c r="AN6757">
        <v>1.0000000298856999</v>
      </c>
    </row>
    <row r="6758" spans="1:40" x14ac:dyDescent="0.25">
      <c r="A6758" t="str">
        <f>"20190305135058687"</f>
        <v>20190305135058687</v>
      </c>
      <c r="B6758" t="str">
        <f>"1551765058676969"</f>
        <v>1551765058676969</v>
      </c>
      <c r="C6758" t="s">
        <v>40</v>
      </c>
      <c r="D6758">
        <v>4.0634259999999998</v>
      </c>
      <c r="E6758">
        <v>0.54140390000000005</v>
      </c>
      <c r="F6758" t="s">
        <v>41</v>
      </c>
      <c r="G6758">
        <v>-303.09249999999997</v>
      </c>
      <c r="H6758">
        <v>0.98323150000000004</v>
      </c>
      <c r="I6758">
        <v>-12.27839</v>
      </c>
      <c r="J6758">
        <v>-303.07619999999997</v>
      </c>
      <c r="K6758">
        <v>1.1072219999999999</v>
      </c>
      <c r="L6758">
        <v>-11.73584</v>
      </c>
      <c r="M6758">
        <v>9.6206390000000003E-2</v>
      </c>
      <c r="N6758">
        <v>-6.8499629999999997E-3</v>
      </c>
      <c r="O6758">
        <v>-0.99533799999999995</v>
      </c>
      <c r="P6758">
        <v>0.1189974</v>
      </c>
      <c r="Q6758">
        <v>-9.4481350000000006E-2</v>
      </c>
      <c r="R6758">
        <v>-0.98838950000000003</v>
      </c>
      <c r="S6758">
        <v>4.1198729999999996E-3</v>
      </c>
      <c r="T6758">
        <v>-0.49465680000000001</v>
      </c>
      <c r="U6758">
        <v>-2.9882810000000002</v>
      </c>
      <c r="V6758">
        <v>-2.371034E-2</v>
      </c>
      <c r="W6758">
        <v>-8.7565889999999993E-2</v>
      </c>
      <c r="X6758">
        <v>0.99587650000000005</v>
      </c>
      <c r="Y6758">
        <v>9.4794349999999999E-2</v>
      </c>
      <c r="Z6758">
        <v>0.15504960000000001</v>
      </c>
      <c r="AA6758">
        <v>0.98334820000000001</v>
      </c>
      <c r="AB6758">
        <v>20</v>
      </c>
      <c r="AC6758">
        <v>-1.6300000000001001E-2</v>
      </c>
      <c r="AD6758">
        <v>-0.123990499999999</v>
      </c>
      <c r="AE6758">
        <v>-0.54254999999999998</v>
      </c>
      <c r="AF6758">
        <v>6.5029148559553399E-2</v>
      </c>
      <c r="AG6758">
        <v>-0.123990499999999</v>
      </c>
      <c r="AH6758">
        <v>0.51176122657233702</v>
      </c>
      <c r="AI6758">
        <v>103.51465474505</v>
      </c>
      <c r="AJ6758">
        <v>82.758274560907594</v>
      </c>
      <c r="AK6758">
        <v>0.53056760858108698</v>
      </c>
      <c r="AL6758">
        <v>95.023589976288093</v>
      </c>
      <c r="AM6758">
        <v>91.363869729988494</v>
      </c>
      <c r="AN6758">
        <v>0.99999998428332804</v>
      </c>
    </row>
    <row r="6759" spans="1:40" x14ac:dyDescent="0.25">
      <c r="A6759" t="str">
        <f>"20190305135058711"</f>
        <v>20190305135058711</v>
      </c>
      <c r="B6759" t="str">
        <f>"1551765058706245"</f>
        <v>1551765058706245</v>
      </c>
      <c r="C6759" t="s">
        <v>40</v>
      </c>
      <c r="D6759">
        <v>4.0290819999999998</v>
      </c>
      <c r="E6759">
        <v>0.53966579999999997</v>
      </c>
      <c r="F6759" t="s">
        <v>41</v>
      </c>
      <c r="G6759">
        <v>-303.07350000000002</v>
      </c>
      <c r="H6759">
        <v>0.98506839999999996</v>
      </c>
      <c r="I6759">
        <v>-12.461550000000001</v>
      </c>
      <c r="J6759">
        <v>-303.05970000000002</v>
      </c>
      <c r="K6759">
        <v>1.107162</v>
      </c>
      <c r="L6759">
        <v>-11.9422</v>
      </c>
      <c r="M6759">
        <v>9.3102710000000005E-2</v>
      </c>
      <c r="N6759">
        <v>-6.6068799999999999E-3</v>
      </c>
      <c r="O6759">
        <v>-0.99563480000000004</v>
      </c>
      <c r="P6759">
        <v>0.1168942</v>
      </c>
      <c r="Q6759">
        <v>-9.453773E-2</v>
      </c>
      <c r="R6759">
        <v>-0.98863500000000004</v>
      </c>
      <c r="S6759">
        <v>1.1169429999999999E-2</v>
      </c>
      <c r="T6759">
        <v>-0.50252770000000002</v>
      </c>
      <c r="U6759">
        <v>-2.9858699999999998</v>
      </c>
      <c r="V6759">
        <v>-2.4701689999999998E-2</v>
      </c>
      <c r="W6759">
        <v>-8.7859450000000006E-2</v>
      </c>
      <c r="X6759">
        <v>0.99582649999999995</v>
      </c>
      <c r="Y6759">
        <v>8.9372809999999997E-2</v>
      </c>
      <c r="Z6759">
        <v>0.158041299999999</v>
      </c>
      <c r="AA6759">
        <v>0.98337960000000002</v>
      </c>
      <c r="AB6759">
        <v>20</v>
      </c>
      <c r="AC6759">
        <v>-1.3800000000003299E-2</v>
      </c>
      <c r="AD6759">
        <v>-0.122093599999999</v>
      </c>
      <c r="AE6759">
        <v>-0.51935000000000098</v>
      </c>
      <c r="AF6759">
        <v>5.8844152388352902E-2</v>
      </c>
      <c r="AG6759">
        <v>-0.122093599999999</v>
      </c>
      <c r="AH6759">
        <v>0.48881311442147501</v>
      </c>
      <c r="AI6759">
        <v>103.92754393154</v>
      </c>
      <c r="AJ6759">
        <v>83.135668368474597</v>
      </c>
      <c r="AK6759">
        <v>0.50725510570292498</v>
      </c>
      <c r="AL6759">
        <v>95.040475040441507</v>
      </c>
      <c r="AM6759">
        <v>91.420942717456995</v>
      </c>
      <c r="AN6759">
        <v>0.99999993727270198</v>
      </c>
    </row>
    <row r="6760" spans="1:40" x14ac:dyDescent="0.25">
      <c r="A6760" t="str">
        <f>"20190305135058733"</f>
        <v>20190305135058733</v>
      </c>
      <c r="B6760" t="str">
        <f>"1551765058726742"</f>
        <v>1551765058726742</v>
      </c>
      <c r="C6760" t="s">
        <v>40</v>
      </c>
      <c r="D6760">
        <v>4.027819</v>
      </c>
      <c r="E6760">
        <v>0.53920299999999999</v>
      </c>
      <c r="F6760" t="s">
        <v>41</v>
      </c>
      <c r="G6760">
        <v>-303.05439999999999</v>
      </c>
      <c r="H6760">
        <v>0.95826699999999998</v>
      </c>
      <c r="I6760">
        <v>-12.81812</v>
      </c>
      <c r="J6760">
        <v>-303.04340000000002</v>
      </c>
      <c r="K6760">
        <v>1.10711</v>
      </c>
      <c r="L6760">
        <v>-12.15701</v>
      </c>
      <c r="M6760">
        <v>8.9883350000000001E-2</v>
      </c>
      <c r="N6760">
        <v>-6.3734730000000002E-3</v>
      </c>
      <c r="O6760">
        <v>-0.99593209999999999</v>
      </c>
      <c r="P6760">
        <v>0.1145255</v>
      </c>
      <c r="Q6760">
        <v>-9.4773899999999994E-2</v>
      </c>
      <c r="R6760">
        <v>-0.98888960000000004</v>
      </c>
      <c r="S6760">
        <v>1.824951E-2</v>
      </c>
      <c r="T6760">
        <v>-0.50722500000000004</v>
      </c>
      <c r="U6760">
        <v>-2.9838260000000001</v>
      </c>
      <c r="V6760">
        <v>-2.554348E-2</v>
      </c>
      <c r="W6760">
        <v>-8.8323719999999994E-2</v>
      </c>
      <c r="X6760">
        <v>0.99576430000000005</v>
      </c>
      <c r="Y6760">
        <v>8.3822209999999994E-2</v>
      </c>
      <c r="Z6760">
        <v>0.15999360000000001</v>
      </c>
      <c r="AA6760">
        <v>0.98355269999999995</v>
      </c>
      <c r="AB6760">
        <v>21</v>
      </c>
      <c r="AC6760">
        <v>-1.0999999999967199E-2</v>
      </c>
      <c r="AD6760">
        <v>-0.148843</v>
      </c>
      <c r="AE6760">
        <v>-0.66110999999999898</v>
      </c>
      <c r="AF6760">
        <v>6.6985020522284694E-2</v>
      </c>
      <c r="AG6760">
        <v>-0.148843</v>
      </c>
      <c r="AH6760">
        <v>0.62573632746019403</v>
      </c>
      <c r="AI6760">
        <v>103.306903888123</v>
      </c>
      <c r="AJ6760">
        <v>83.889761253918095</v>
      </c>
      <c r="AK6760">
        <v>0.64667393880281199</v>
      </c>
      <c r="AL6760">
        <v>95.067179023601994</v>
      </c>
      <c r="AM6760">
        <v>91.469436800896702</v>
      </c>
      <c r="AN6760">
        <v>1.0000000450198101</v>
      </c>
    </row>
    <row r="6761" spans="1:40" x14ac:dyDescent="0.25">
      <c r="A6761" t="str">
        <f>"20190305135058753"</f>
        <v>20190305135058753</v>
      </c>
      <c r="B6761" t="str">
        <f>"1551765058746844"</f>
        <v>1551765058746844</v>
      </c>
      <c r="C6761" t="s">
        <v>40</v>
      </c>
      <c r="D6761">
        <v>3.967209</v>
      </c>
      <c r="E6761">
        <v>0.53874619999999995</v>
      </c>
      <c r="F6761" t="s">
        <v>41</v>
      </c>
      <c r="G6761">
        <v>-303.03930000000003</v>
      </c>
      <c r="H6761">
        <v>0.96359410000000001</v>
      </c>
      <c r="I6761">
        <v>-13.006640000000001</v>
      </c>
      <c r="J6761">
        <v>-303.02890000000002</v>
      </c>
      <c r="K6761">
        <v>1.1070679999999999</v>
      </c>
      <c r="L6761">
        <v>-12.35379</v>
      </c>
      <c r="M6761">
        <v>8.6943190000000004E-2</v>
      </c>
      <c r="N6761">
        <v>-6.1787480000000004E-3</v>
      </c>
      <c r="O6761">
        <v>-0.99619420000000003</v>
      </c>
      <c r="P6761">
        <v>0.1116629</v>
      </c>
      <c r="Q6761">
        <v>-9.4796580000000005E-2</v>
      </c>
      <c r="R6761">
        <v>-0.98921440000000005</v>
      </c>
      <c r="S6761">
        <v>1.498413E-2</v>
      </c>
      <c r="T6761">
        <v>-0.50374010000000002</v>
      </c>
      <c r="U6761">
        <v>-2.9837039999999999</v>
      </c>
      <c r="V6761">
        <v>-2.560519E-2</v>
      </c>
      <c r="W6761">
        <v>-8.8539030000000005E-2</v>
      </c>
      <c r="X6761">
        <v>0.99574359999999995</v>
      </c>
      <c r="Y6761">
        <v>8.1958980000000001E-2</v>
      </c>
      <c r="Z6761">
        <v>0.1591582</v>
      </c>
      <c r="AA6761">
        <v>0.98384519999999998</v>
      </c>
      <c r="AB6761">
        <v>21</v>
      </c>
      <c r="AC6761">
        <v>-1.04000000000041E-2</v>
      </c>
      <c r="AD6761">
        <v>-0.14347389999999999</v>
      </c>
      <c r="AE6761">
        <v>-0.65284999999999904</v>
      </c>
      <c r="AF6761">
        <v>6.4030851376189205E-2</v>
      </c>
      <c r="AG6761">
        <v>-0.14347389999999999</v>
      </c>
      <c r="AH6761">
        <v>0.61955837460270902</v>
      </c>
      <c r="AI6761">
        <v>102.971676103101</v>
      </c>
      <c r="AJ6761">
        <v>84.099476472242401</v>
      </c>
      <c r="AK6761">
        <v>0.63916921816489303</v>
      </c>
      <c r="AL6761">
        <v>95.079563866122697</v>
      </c>
      <c r="AM6761">
        <v>91.473015830433596</v>
      </c>
      <c r="AN6761">
        <v>1.0000000512646099</v>
      </c>
    </row>
    <row r="6762" spans="1:40" x14ac:dyDescent="0.25">
      <c r="A6762" t="str">
        <f>"20190305135058776"</f>
        <v>20190305135058776</v>
      </c>
      <c r="B6762" t="str">
        <f>"1551765058766364"</f>
        <v>1551765058766364</v>
      </c>
      <c r="C6762" t="s">
        <v>40</v>
      </c>
      <c r="D6762">
        <v>3.9972490000000001</v>
      </c>
      <c r="E6762">
        <v>0.53789469999999995</v>
      </c>
      <c r="F6762" t="s">
        <v>41</v>
      </c>
      <c r="G6762">
        <v>-303.02609999999999</v>
      </c>
      <c r="H6762">
        <v>0.96511829999999998</v>
      </c>
      <c r="I6762">
        <v>-13.194610000000001</v>
      </c>
      <c r="J6762">
        <v>-303.01420000000002</v>
      </c>
      <c r="K6762">
        <v>1.1070279999999999</v>
      </c>
      <c r="L6762">
        <v>-12.56204</v>
      </c>
      <c r="M6762">
        <v>8.3841490000000005E-2</v>
      </c>
      <c r="N6762">
        <v>-5.9894060000000001E-3</v>
      </c>
      <c r="O6762">
        <v>-0.99646109999999999</v>
      </c>
      <c r="P6762">
        <v>0.10883080000000001</v>
      </c>
      <c r="Q6762">
        <v>-9.4957849999999996E-2</v>
      </c>
      <c r="R6762">
        <v>-0.98951480000000003</v>
      </c>
      <c r="S6762">
        <v>1.025391E-2</v>
      </c>
      <c r="T6762">
        <v>-0.5035229</v>
      </c>
      <c r="U6762">
        <v>-2.9833069999999999</v>
      </c>
      <c r="V6762">
        <v>-2.586126E-2</v>
      </c>
      <c r="W6762">
        <v>-8.8886820000000005E-2</v>
      </c>
      <c r="X6762">
        <v>0.99570599999999998</v>
      </c>
      <c r="Y6762">
        <v>8.0417840000000004E-2</v>
      </c>
      <c r="Z6762">
        <v>0.1593736</v>
      </c>
      <c r="AA6762">
        <v>0.98393750000000002</v>
      </c>
      <c r="AB6762">
        <v>21</v>
      </c>
      <c r="AC6762">
        <v>-1.18999999999687E-2</v>
      </c>
      <c r="AD6762">
        <v>-0.1419097</v>
      </c>
      <c r="AE6762">
        <v>-0.63257000000000096</v>
      </c>
      <c r="AF6762">
        <v>6.1786205838084897E-2</v>
      </c>
      <c r="AG6762">
        <v>-0.1419097</v>
      </c>
      <c r="AH6762">
        <v>0.59919932668027198</v>
      </c>
      <c r="AI6762">
        <v>103.25620709027</v>
      </c>
      <c r="AJ6762">
        <v>84.112774664710003</v>
      </c>
      <c r="AK6762">
        <v>0.61886648905886599</v>
      </c>
      <c r="AL6762">
        <v>95.0995696233784</v>
      </c>
      <c r="AM6762">
        <v>91.487796597177393</v>
      </c>
      <c r="AN6762">
        <v>1.0000000549872401</v>
      </c>
    </row>
    <row r="6763" spans="1:40" x14ac:dyDescent="0.25">
      <c r="A6763" t="str">
        <f>"20190305135058798"</f>
        <v>20190305135058798</v>
      </c>
      <c r="B6763" t="str">
        <f>"1551765058786860"</f>
        <v>1551765058786860</v>
      </c>
      <c r="C6763" t="s">
        <v>40</v>
      </c>
      <c r="D6763">
        <v>3.959908</v>
      </c>
      <c r="E6763">
        <v>0.53763000000000005</v>
      </c>
      <c r="F6763" t="s">
        <v>41</v>
      </c>
      <c r="G6763">
        <v>-303.01229999999998</v>
      </c>
      <c r="H6763">
        <v>0.96646290000000001</v>
      </c>
      <c r="I6763">
        <v>-13.383559999999999</v>
      </c>
      <c r="J6763">
        <v>-302.99990000000003</v>
      </c>
      <c r="K6763">
        <v>1.1069990000000001</v>
      </c>
      <c r="L6763">
        <v>-12.77426</v>
      </c>
      <c r="M6763">
        <v>8.0694109999999999E-2</v>
      </c>
      <c r="N6763">
        <v>-5.8127580000000003E-3</v>
      </c>
      <c r="O6763">
        <v>-0.996722</v>
      </c>
      <c r="P6763">
        <v>0.1063624</v>
      </c>
      <c r="Q6763">
        <v>-9.5031229999999994E-2</v>
      </c>
      <c r="R6763">
        <v>-0.98977579999999998</v>
      </c>
      <c r="S6763">
        <v>7.8125E-3</v>
      </c>
      <c r="T6763">
        <v>-0.50988909999999998</v>
      </c>
      <c r="U6763">
        <v>-2.981995</v>
      </c>
      <c r="V6763">
        <v>-2.6527269999999999E-2</v>
      </c>
      <c r="W6763">
        <v>-8.9132409999999995E-2</v>
      </c>
      <c r="X6763">
        <v>0.99566639999999995</v>
      </c>
      <c r="Y6763">
        <v>7.8076789999999993E-2</v>
      </c>
      <c r="Z6763">
        <v>0.161733399999999</v>
      </c>
      <c r="AA6763">
        <v>0.98374099999999998</v>
      </c>
      <c r="AB6763">
        <v>21</v>
      </c>
      <c r="AC6763">
        <v>-1.23999999999568E-2</v>
      </c>
      <c r="AD6763">
        <v>-0.140536099999999</v>
      </c>
      <c r="AE6763">
        <v>-0.60930000000000095</v>
      </c>
      <c r="AF6763">
        <v>5.8420608643558497E-2</v>
      </c>
      <c r="AG6763">
        <v>-0.140536099999999</v>
      </c>
      <c r="AH6763">
        <v>0.57569776022437802</v>
      </c>
      <c r="AI6763">
        <v>103.650957069309</v>
      </c>
      <c r="AJ6763">
        <v>84.205579269426096</v>
      </c>
      <c r="AK6763">
        <v>0.59547567040548299</v>
      </c>
      <c r="AL6763">
        <v>95.113697601893094</v>
      </c>
      <c r="AM6763">
        <v>91.526154884680096</v>
      </c>
      <c r="AN6763">
        <v>0.99999993132750797</v>
      </c>
    </row>
    <row r="6764" spans="1:40" x14ac:dyDescent="0.25">
      <c r="A6764" t="str">
        <f>"20190305135058821"</f>
        <v>20190305135058821</v>
      </c>
      <c r="B6764" t="str">
        <f>"1551765058816139"</f>
        <v>1551765058816139</v>
      </c>
      <c r="C6764" t="s">
        <v>40</v>
      </c>
      <c r="D6764">
        <v>4.0600719999999999</v>
      </c>
      <c r="E6764">
        <v>0.53734669999999995</v>
      </c>
      <c r="F6764" t="s">
        <v>41</v>
      </c>
      <c r="G6764">
        <v>-302.99950000000001</v>
      </c>
      <c r="H6764">
        <v>0.9693408</v>
      </c>
      <c r="I6764">
        <v>-13.574439999999999</v>
      </c>
      <c r="J6764">
        <v>-302.98610000000002</v>
      </c>
      <c r="K6764">
        <v>1.1069789999999999</v>
      </c>
      <c r="L6764">
        <v>-12.989380000000001</v>
      </c>
      <c r="M6764">
        <v>7.7519409999999997E-2</v>
      </c>
      <c r="N6764">
        <v>-5.6521829999999999E-3</v>
      </c>
      <c r="O6764">
        <v>-0.9969749</v>
      </c>
      <c r="P6764">
        <v>0.10335129999999999</v>
      </c>
      <c r="Q6764">
        <v>-9.4159160000000006E-2</v>
      </c>
      <c r="R6764">
        <v>-0.99017829999999996</v>
      </c>
      <c r="S6764">
        <v>2.1972659999999998E-3</v>
      </c>
      <c r="T6764">
        <v>-0.5128549</v>
      </c>
      <c r="U6764">
        <v>-2.981506</v>
      </c>
      <c r="V6764">
        <v>-2.666286E-2</v>
      </c>
      <c r="W6764">
        <v>-8.8418319999999995E-2</v>
      </c>
      <c r="X6764">
        <v>0.99572649999999996</v>
      </c>
      <c r="Y6764">
        <v>7.6755749999999998E-2</v>
      </c>
      <c r="Z6764">
        <v>0.162938</v>
      </c>
      <c r="AA6764">
        <v>0.98364620000000003</v>
      </c>
      <c r="AB6764">
        <v>21</v>
      </c>
      <c r="AC6764">
        <v>-1.339999999999E-2</v>
      </c>
      <c r="AD6764">
        <v>-0.13763819999999999</v>
      </c>
      <c r="AE6764">
        <v>-0.58505999999999803</v>
      </c>
      <c r="AF6764">
        <v>5.5636333259217401E-2</v>
      </c>
      <c r="AG6764">
        <v>-0.13763819999999999</v>
      </c>
      <c r="AH6764">
        <v>0.551740641192496</v>
      </c>
      <c r="AI6764">
        <v>103.93930229674</v>
      </c>
      <c r="AJ6764">
        <v>84.2418815413141</v>
      </c>
      <c r="AK6764">
        <v>0.57136451659276</v>
      </c>
      <c r="AL6764">
        <v>95.072620797856004</v>
      </c>
      <c r="AM6764">
        <v>91.533859327692696</v>
      </c>
      <c r="AN6764">
        <v>0.99999998510862498</v>
      </c>
    </row>
    <row r="6765" spans="1:40" x14ac:dyDescent="0.25">
      <c r="A6765" t="str">
        <f>"20190305135058844"</f>
        <v>20190305135058844</v>
      </c>
      <c r="B6765" t="str">
        <f>"1551765058836635"</f>
        <v>1551765058836635</v>
      </c>
      <c r="C6765" t="s">
        <v>40</v>
      </c>
      <c r="D6765">
        <v>4.4327239999999897</v>
      </c>
      <c r="E6765">
        <v>0.53709359999999995</v>
      </c>
      <c r="F6765" t="s">
        <v>41</v>
      </c>
      <c r="G6765">
        <v>-302.98770000000002</v>
      </c>
      <c r="H6765">
        <v>0.97286459999999997</v>
      </c>
      <c r="I6765">
        <v>-13.766830000000001</v>
      </c>
      <c r="J6765">
        <v>-302.97280000000001</v>
      </c>
      <c r="K6765">
        <v>1.106959</v>
      </c>
      <c r="L6765">
        <v>-13.206329999999999</v>
      </c>
      <c r="M6765">
        <v>7.4337159999999999E-2</v>
      </c>
      <c r="N6765">
        <v>-5.509618E-3</v>
      </c>
      <c r="O6765">
        <v>-0.99721800000000005</v>
      </c>
      <c r="P6765">
        <v>0.1004285</v>
      </c>
      <c r="Q6765">
        <v>-9.3355289999999994E-2</v>
      </c>
      <c r="R6765">
        <v>-0.99055499999999996</v>
      </c>
      <c r="S6765">
        <v>-5.065918E-3</v>
      </c>
      <c r="T6765">
        <v>-0.51389609999999997</v>
      </c>
      <c r="U6765">
        <v>-2.9814150000000001</v>
      </c>
      <c r="V6765">
        <v>-2.6896150000000001E-2</v>
      </c>
      <c r="W6765">
        <v>-8.7754319999999997E-2</v>
      </c>
      <c r="X6765">
        <v>0.99577899999999997</v>
      </c>
      <c r="Y6765">
        <v>7.59711E-2</v>
      </c>
      <c r="Z6765">
        <v>0.16348199999999999</v>
      </c>
      <c r="AA6765">
        <v>0.98361679999999996</v>
      </c>
      <c r="AB6765">
        <v>21</v>
      </c>
      <c r="AC6765">
        <v>-1.4900000000011401E-2</v>
      </c>
      <c r="AD6765">
        <v>-0.134094399999999</v>
      </c>
      <c r="AE6765">
        <v>-0.560499999999999</v>
      </c>
      <c r="AF6765">
        <v>5.3467283451588E-2</v>
      </c>
      <c r="AG6765">
        <v>-0.134094399999999</v>
      </c>
      <c r="AH6765">
        <v>0.52766153972527396</v>
      </c>
      <c r="AI6765">
        <v>104.189013965806</v>
      </c>
      <c r="AJ6765">
        <v>84.2140389193018</v>
      </c>
      <c r="AK6765">
        <v>0.547052793628092</v>
      </c>
      <c r="AL6765">
        <v>95.034427760271498</v>
      </c>
      <c r="AM6765">
        <v>91.547191987893498</v>
      </c>
      <c r="AN6765">
        <v>1.0000000202022401</v>
      </c>
    </row>
    <row r="6766" spans="1:40" x14ac:dyDescent="0.25">
      <c r="A6766" t="str">
        <f>"20190305135058865"</f>
        <v>20190305135058865</v>
      </c>
      <c r="B6766" t="str">
        <f>"1551765058856157"</f>
        <v>1551765058856157</v>
      </c>
      <c r="C6766" t="s">
        <v>40</v>
      </c>
      <c r="D6766">
        <v>3.98468</v>
      </c>
      <c r="E6766">
        <v>0.53692810000000002</v>
      </c>
      <c r="F6766" t="s">
        <v>41</v>
      </c>
      <c r="G6766">
        <v>-302.976</v>
      </c>
      <c r="H6766">
        <v>0.97715160000000001</v>
      </c>
      <c r="I6766">
        <v>-13.96072</v>
      </c>
      <c r="J6766">
        <v>-302.96069999999997</v>
      </c>
      <c r="K6766">
        <v>1.106941</v>
      </c>
      <c r="L6766">
        <v>-13.414829999999901</v>
      </c>
      <c r="M6766">
        <v>7.1300970000000005E-2</v>
      </c>
      <c r="N6766">
        <v>-5.3895339999999996E-3</v>
      </c>
      <c r="O6766">
        <v>-0.99744029999999995</v>
      </c>
      <c r="P6766">
        <v>9.8164000000000001E-2</v>
      </c>
      <c r="Q6766">
        <v>-9.2846880000000007E-2</v>
      </c>
      <c r="R6766">
        <v>-0.99082969999999904</v>
      </c>
      <c r="S6766">
        <v>-1.208496E-2</v>
      </c>
      <c r="T6766">
        <v>-0.512799</v>
      </c>
      <c r="U6766">
        <v>-2.981506</v>
      </c>
      <c r="V6766">
        <v>-2.764732E-2</v>
      </c>
      <c r="W6766">
        <v>-8.7361510000000003E-2</v>
      </c>
      <c r="X6766">
        <v>0.99579289999999998</v>
      </c>
      <c r="Y6766">
        <v>7.5252559999999996E-2</v>
      </c>
      <c r="Z6766">
        <v>0.16330449999999999</v>
      </c>
      <c r="AA6766">
        <v>0.98370150000000001</v>
      </c>
      <c r="AB6766">
        <v>21</v>
      </c>
      <c r="AC6766">
        <v>-1.53000000000247E-2</v>
      </c>
      <c r="AD6766">
        <v>-0.129789399999999</v>
      </c>
      <c r="AE6766">
        <v>-0.54589000000000298</v>
      </c>
      <c r="AF6766">
        <v>5.1287192188762903E-2</v>
      </c>
      <c r="AG6766">
        <v>-0.129789399999999</v>
      </c>
      <c r="AH6766">
        <v>0.51435663147509703</v>
      </c>
      <c r="AI6766">
        <v>104.09491898446799</v>
      </c>
      <c r="AJ6766">
        <v>84.305782221446407</v>
      </c>
      <c r="AK6766">
        <v>0.53295253895386996</v>
      </c>
      <c r="AL6766">
        <v>95.011834969061198</v>
      </c>
      <c r="AM6766">
        <v>91.590358710855199</v>
      </c>
      <c r="AN6766">
        <v>0.99999995371153505</v>
      </c>
    </row>
    <row r="6767" spans="1:40" x14ac:dyDescent="0.25">
      <c r="A6767" t="str">
        <f>"20190305135058888"</f>
        <v>20190305135058888</v>
      </c>
      <c r="B6767" t="str">
        <f>"1551765058876652"</f>
        <v>1551765058876652</v>
      </c>
      <c r="C6767" t="s">
        <v>40</v>
      </c>
      <c r="D6767">
        <v>4.0766119999999999</v>
      </c>
      <c r="E6767">
        <v>0.53688319999999901</v>
      </c>
      <c r="F6767" t="s">
        <v>41</v>
      </c>
      <c r="G6767">
        <v>-302.96550000000002</v>
      </c>
      <c r="H6767">
        <v>0.97956869999999996</v>
      </c>
      <c r="I6767">
        <v>-14.154870000000001</v>
      </c>
      <c r="J6767">
        <v>-302.9486</v>
      </c>
      <c r="K6767">
        <v>1.106924</v>
      </c>
      <c r="L6767">
        <v>-13.63226</v>
      </c>
      <c r="M6767">
        <v>6.8160310000000002E-2</v>
      </c>
      <c r="N6767">
        <v>-5.2793639999999999E-3</v>
      </c>
      <c r="O6767">
        <v>-0.99766049999999995</v>
      </c>
      <c r="P6767">
        <v>9.6317310000000003E-2</v>
      </c>
      <c r="Q6767">
        <v>-9.2580319999999994E-2</v>
      </c>
      <c r="R6767">
        <v>-0.99103589999999997</v>
      </c>
      <c r="S6767">
        <v>-1.7822270000000001E-2</v>
      </c>
      <c r="T6767">
        <v>-0.51271080000000002</v>
      </c>
      <c r="U6767">
        <v>-2.9814759999999998</v>
      </c>
      <c r="V6767">
        <v>-2.8924999999999999E-2</v>
      </c>
      <c r="W6767">
        <v>-8.7198739999999997E-2</v>
      </c>
      <c r="X6767">
        <v>0.99577090000000001</v>
      </c>
      <c r="Y6767">
        <v>7.4007290000000003E-2</v>
      </c>
      <c r="Z6767">
        <v>0.16344890000000001</v>
      </c>
      <c r="AA6767">
        <v>0.98377199999999998</v>
      </c>
      <c r="AB6767">
        <v>21</v>
      </c>
      <c r="AC6767">
        <v>-1.6900000000020999E-2</v>
      </c>
      <c r="AD6767">
        <v>-0.1273553</v>
      </c>
      <c r="AE6767">
        <v>-0.52261000000000002</v>
      </c>
      <c r="AF6767">
        <v>4.9543376410491197E-2</v>
      </c>
      <c r="AG6767">
        <v>-0.1273553</v>
      </c>
      <c r="AH6767">
        <v>0.49110851256237498</v>
      </c>
      <c r="AI6767">
        <v>104.467502845011</v>
      </c>
      <c r="AJ6767">
        <v>84.239449766173095</v>
      </c>
      <c r="AK6767">
        <v>0.50976611273746897</v>
      </c>
      <c r="AL6767">
        <v>95.002473073534901</v>
      </c>
      <c r="AM6767">
        <v>91.663851125813906</v>
      </c>
      <c r="AN6767">
        <v>0.99999998058469797</v>
      </c>
    </row>
    <row r="6768" spans="1:40" x14ac:dyDescent="0.25">
      <c r="A6768" t="str">
        <f>"20190305135058911"</f>
        <v>20190305135058911</v>
      </c>
      <c r="B6768" t="str">
        <f>"1551765058906908"</f>
        <v>1551765058906908</v>
      </c>
      <c r="C6768" t="s">
        <v>40</v>
      </c>
      <c r="D6768">
        <v>3.9804879999999998</v>
      </c>
      <c r="E6768">
        <v>0.5367944</v>
      </c>
      <c r="F6768" t="s">
        <v>41</v>
      </c>
      <c r="G6768">
        <v>-302.95440000000002</v>
      </c>
      <c r="H6768">
        <v>0.98322679999999996</v>
      </c>
      <c r="I6768">
        <v>-14.350709999999999</v>
      </c>
      <c r="J6768">
        <v>-302.93689999999998</v>
      </c>
      <c r="K6768">
        <v>1.1069150000000001</v>
      </c>
      <c r="L6768">
        <v>-13.85745</v>
      </c>
      <c r="M6768">
        <v>6.4941970000000002E-2</v>
      </c>
      <c r="N6768">
        <v>-5.1802389999999997E-3</v>
      </c>
      <c r="O6768">
        <v>-0.99787590000000004</v>
      </c>
      <c r="P6768">
        <v>9.443646E-2</v>
      </c>
      <c r="Q6768">
        <v>-9.2128370000000001E-2</v>
      </c>
      <c r="R6768">
        <v>-0.99125929999999995</v>
      </c>
      <c r="S6768">
        <v>-2.3223879999999999E-2</v>
      </c>
      <c r="T6768">
        <v>-0.51308869999999995</v>
      </c>
      <c r="U6768">
        <v>-2.9814449999999999</v>
      </c>
      <c r="V6768">
        <v>-3.024309E-2</v>
      </c>
      <c r="W6768">
        <v>-8.6839459999999993E-2</v>
      </c>
      <c r="X6768">
        <v>0.99576319999999996</v>
      </c>
      <c r="Y6768">
        <v>7.2573879999999993E-2</v>
      </c>
      <c r="Z6768">
        <v>0.16373119999999999</v>
      </c>
      <c r="AA6768">
        <v>0.98383189999999998</v>
      </c>
      <c r="AB6768">
        <v>22</v>
      </c>
      <c r="AC6768">
        <v>-1.75000000000409E-2</v>
      </c>
      <c r="AD6768">
        <v>-0.123688199999999</v>
      </c>
      <c r="AE6768">
        <v>-0.49326000000000098</v>
      </c>
      <c r="AF6768">
        <v>4.6572037661274199E-2</v>
      </c>
      <c r="AG6768">
        <v>-0.123688199999999</v>
      </c>
      <c r="AH6768">
        <v>0.46206464330878999</v>
      </c>
      <c r="AI6768">
        <v>104.913754621462</v>
      </c>
      <c r="AJ6768">
        <v>84.244528302000404</v>
      </c>
      <c r="AK6768">
        <v>0.48059490229011298</v>
      </c>
      <c r="AL6768">
        <v>94.981809147226997</v>
      </c>
      <c r="AM6768">
        <v>91.739639411089101</v>
      </c>
      <c r="AN6768">
        <v>1.00000004339003</v>
      </c>
    </row>
    <row r="6769" spans="1:40" x14ac:dyDescent="0.25">
      <c r="A6769" t="str">
        <f>"20190305135058934"</f>
        <v>20190305135058934</v>
      </c>
      <c r="B6769" t="str">
        <f>"1551765058926428"</f>
        <v>1551765058926428</v>
      </c>
      <c r="C6769" t="s">
        <v>40</v>
      </c>
      <c r="D6769">
        <v>4.0014839999999996</v>
      </c>
      <c r="E6769">
        <v>0.53671599999999997</v>
      </c>
      <c r="F6769" t="s">
        <v>41</v>
      </c>
      <c r="G6769">
        <v>-302.9452</v>
      </c>
      <c r="H6769">
        <v>0.95640550000000002</v>
      </c>
      <c r="I6769">
        <v>-14.72993</v>
      </c>
      <c r="J6769">
        <v>-302.92590000000001</v>
      </c>
      <c r="K6769">
        <v>1.106905</v>
      </c>
      <c r="L6769">
        <v>-14.0817</v>
      </c>
      <c r="M6769">
        <v>6.1776400000000002E-2</v>
      </c>
      <c r="N6769">
        <v>-5.0953750000000001E-3</v>
      </c>
      <c r="O6769">
        <v>-0.99807699999999999</v>
      </c>
      <c r="P6769">
        <v>9.2486680000000002E-2</v>
      </c>
      <c r="Q6769">
        <v>-9.1665570000000002E-2</v>
      </c>
      <c r="R6769">
        <v>-0.99148570000000003</v>
      </c>
      <c r="S6769">
        <v>-2.844238E-2</v>
      </c>
      <c r="T6769">
        <v>-0.51428209999999996</v>
      </c>
      <c r="U6769">
        <v>-2.9813540000000001</v>
      </c>
      <c r="V6769">
        <v>-3.1438279999999999E-2</v>
      </c>
      <c r="W6769">
        <v>-8.6455859999999995E-2</v>
      </c>
      <c r="X6769">
        <v>0.99575950000000002</v>
      </c>
      <c r="Y6769">
        <v>7.1132790000000001E-2</v>
      </c>
      <c r="Z6769">
        <v>0.16425999999999999</v>
      </c>
      <c r="AA6769">
        <v>0.98384899999999997</v>
      </c>
      <c r="AB6769">
        <v>22</v>
      </c>
      <c r="AC6769">
        <v>-1.9299999999986901E-2</v>
      </c>
      <c r="AD6769">
        <v>-0.15049949999999901</v>
      </c>
      <c r="AE6769">
        <v>-0.64822999999999897</v>
      </c>
      <c r="AF6769">
        <v>5.6278107651064599E-2</v>
      </c>
      <c r="AG6769">
        <v>-0.15049949999999901</v>
      </c>
      <c r="AH6769">
        <v>0.61279728254496202</v>
      </c>
      <c r="AI6769">
        <v>103.74279002791801</v>
      </c>
      <c r="AJ6769">
        <v>84.752786350789194</v>
      </c>
      <c r="AK6769">
        <v>0.63351230011383797</v>
      </c>
      <c r="AL6769">
        <v>94.9597478213268</v>
      </c>
      <c r="AM6769">
        <v>91.808350922545301</v>
      </c>
      <c r="AN6769">
        <v>0.99999998150897296</v>
      </c>
    </row>
    <row r="6770" spans="1:40" x14ac:dyDescent="0.25">
      <c r="A6770" t="str">
        <f>"20190305135058955"</f>
        <v>20190305135058955</v>
      </c>
      <c r="B6770" t="str">
        <f>"1551765058946925"</f>
        <v>1551765058946925</v>
      </c>
      <c r="C6770" t="s">
        <v>40</v>
      </c>
      <c r="D6770">
        <v>4.0161300000000004</v>
      </c>
      <c r="E6770">
        <v>0.53671539999999995</v>
      </c>
      <c r="F6770" t="s">
        <v>41</v>
      </c>
      <c r="G6770">
        <v>-302.93579999999997</v>
      </c>
      <c r="H6770">
        <v>0.96066309999999999</v>
      </c>
      <c r="I6770">
        <v>-14.929449999999999</v>
      </c>
      <c r="J6770">
        <v>-302.9162</v>
      </c>
      <c r="K6770">
        <v>1.106897</v>
      </c>
      <c r="L6770">
        <v>-14.291689999999999</v>
      </c>
      <c r="M6770">
        <v>5.8841669999999999E-2</v>
      </c>
      <c r="N6770">
        <v>-5.0261129999999996E-3</v>
      </c>
      <c r="O6770">
        <v>-0.99825489999999995</v>
      </c>
      <c r="P6770">
        <v>9.0670630000000002E-2</v>
      </c>
      <c r="Q6770">
        <v>-9.1509289999999993E-2</v>
      </c>
      <c r="R6770">
        <v>-0.99166790000000005</v>
      </c>
      <c r="S6770">
        <v>-3.363037E-2</v>
      </c>
      <c r="T6770">
        <v>-0.51398659999999996</v>
      </c>
      <c r="U6770">
        <v>-2.9813839999999998</v>
      </c>
      <c r="V6770">
        <v>-3.2540560000000003E-2</v>
      </c>
      <c r="W6770">
        <v>-8.6363789999999996E-2</v>
      </c>
      <c r="X6770">
        <v>0.99573210000000001</v>
      </c>
      <c r="Y6770">
        <v>6.9912890000000005E-2</v>
      </c>
      <c r="Z6770">
        <v>0.1642827</v>
      </c>
      <c r="AA6770">
        <v>0.98393260000000005</v>
      </c>
      <c r="AB6770">
        <v>22</v>
      </c>
      <c r="AC6770">
        <v>-1.95999999999685E-2</v>
      </c>
      <c r="AD6770">
        <v>-0.1462339</v>
      </c>
      <c r="AE6770">
        <v>-0.63775999999999999</v>
      </c>
      <c r="AF6770">
        <v>5.4244157265485801E-2</v>
      </c>
      <c r="AG6770">
        <v>-0.1462339</v>
      </c>
      <c r="AH6770">
        <v>0.603787301659794</v>
      </c>
      <c r="AI6770">
        <v>103.56196432336</v>
      </c>
      <c r="AJ6770">
        <v>84.866338078637995</v>
      </c>
      <c r="AK6770">
        <v>0.62360715819517998</v>
      </c>
      <c r="AL6770">
        <v>94.954452683869604</v>
      </c>
      <c r="AM6770">
        <v>91.871761938786605</v>
      </c>
      <c r="AN6770">
        <v>1.0000000036193399</v>
      </c>
    </row>
    <row r="6771" spans="1:40" x14ac:dyDescent="0.25">
      <c r="A6771" t="str">
        <f>"20190305135058977"</f>
        <v>20190305135058977</v>
      </c>
      <c r="B6771" t="str">
        <f>"1551765058966443"</f>
        <v>1551765058966443</v>
      </c>
      <c r="C6771" t="s">
        <v>40</v>
      </c>
      <c r="D6771">
        <v>4.0083799999999998</v>
      </c>
      <c r="E6771">
        <v>0.53667449999999906</v>
      </c>
      <c r="F6771" t="s">
        <v>41</v>
      </c>
      <c r="G6771">
        <v>-302.9273</v>
      </c>
      <c r="H6771">
        <v>0.9623678</v>
      </c>
      <c r="I6771">
        <v>-15.128880000000001</v>
      </c>
      <c r="J6771">
        <v>-302.90660000000003</v>
      </c>
      <c r="K6771">
        <v>1.106895</v>
      </c>
      <c r="L6771">
        <v>-14.51343</v>
      </c>
      <c r="M6771">
        <v>5.5779950000000002E-2</v>
      </c>
      <c r="N6771">
        <v>-4.9627909999999898E-3</v>
      </c>
      <c r="O6771">
        <v>-0.99843079999999995</v>
      </c>
      <c r="P6771">
        <v>8.8825399999999902E-2</v>
      </c>
      <c r="Q6771">
        <v>-9.1576660000000004E-2</v>
      </c>
      <c r="R6771">
        <v>-0.99182890000000001</v>
      </c>
      <c r="S6771">
        <v>-3.9459229999999998E-2</v>
      </c>
      <c r="T6771">
        <v>-0.51467689999999999</v>
      </c>
      <c r="U6771">
        <v>-2.9813230000000002</v>
      </c>
      <c r="V6771">
        <v>-3.374191E-2</v>
      </c>
      <c r="W6771">
        <v>-8.6489250000000004E-2</v>
      </c>
      <c r="X6771">
        <v>0.99568120000000004</v>
      </c>
      <c r="Y6771">
        <v>6.8777459999999999E-2</v>
      </c>
      <c r="Z6771">
        <v>0.1646186</v>
      </c>
      <c r="AA6771">
        <v>0.98395650000000001</v>
      </c>
      <c r="AB6771">
        <v>22</v>
      </c>
      <c r="AC6771">
        <v>-2.0699999999976602E-2</v>
      </c>
      <c r="AD6771">
        <v>-0.144527199999999</v>
      </c>
      <c r="AE6771">
        <v>-0.61544999999999905</v>
      </c>
      <c r="AF6771">
        <v>5.2126637658946401E-2</v>
      </c>
      <c r="AG6771">
        <v>-0.144527199999999</v>
      </c>
      <c r="AH6771">
        <v>0.58131610914408705</v>
      </c>
      <c r="AI6771">
        <v>103.908213207194</v>
      </c>
      <c r="AJ6771">
        <v>84.875989514278103</v>
      </c>
      <c r="AK6771">
        <v>0.60127673881823096</v>
      </c>
      <c r="AL6771">
        <v>94.9616681307009</v>
      </c>
      <c r="AM6771">
        <v>91.940911890700704</v>
      </c>
      <c r="AN6771">
        <v>0.99999997944472496</v>
      </c>
    </row>
    <row r="6772" spans="1:40" x14ac:dyDescent="0.25">
      <c r="A6772" t="str">
        <f>"20190305135059000"</f>
        <v>20190305135059000</v>
      </c>
      <c r="B6772" t="str">
        <f>"1551765058996700"</f>
        <v>1551765058996700</v>
      </c>
      <c r="C6772" t="s">
        <v>40</v>
      </c>
      <c r="D6772">
        <v>4.0175099999999997</v>
      </c>
      <c r="E6772">
        <v>0.53665799999999997</v>
      </c>
      <c r="F6772" t="s">
        <v>41</v>
      </c>
      <c r="G6772">
        <v>-302.91899999999998</v>
      </c>
      <c r="H6772">
        <v>0.96549680000000004</v>
      </c>
      <c r="I6772">
        <v>-15.330109999999999</v>
      </c>
      <c r="J6772">
        <v>-302.8972</v>
      </c>
      <c r="K6772">
        <v>1.1068929999999999</v>
      </c>
      <c r="L6772">
        <v>-14.74197</v>
      </c>
      <c r="M6772">
        <v>5.2670260000000003E-2</v>
      </c>
      <c r="N6772">
        <v>-4.9064209999999898E-3</v>
      </c>
      <c r="O6772">
        <v>-0.99859989999999998</v>
      </c>
      <c r="P6772">
        <v>8.7171470000000001E-2</v>
      </c>
      <c r="Q6772">
        <v>-9.0852769999999999E-2</v>
      </c>
      <c r="R6772">
        <v>-0.99204179999999997</v>
      </c>
      <c r="S6772">
        <v>-4.4769290000000003E-2</v>
      </c>
      <c r="T6772">
        <v>-0.51592349999999998</v>
      </c>
      <c r="U6772">
        <v>-2.9810789999999998</v>
      </c>
      <c r="V6772">
        <v>-3.517443E-2</v>
      </c>
      <c r="W6772">
        <v>-8.581548E-2</v>
      </c>
      <c r="X6772">
        <v>0.99568990000000002</v>
      </c>
      <c r="Y6772">
        <v>6.7423570000000002E-2</v>
      </c>
      <c r="Z6772">
        <v>0.16513529999999901</v>
      </c>
      <c r="AA6772">
        <v>0.98396360000000005</v>
      </c>
      <c r="AB6772">
        <v>22</v>
      </c>
      <c r="AC6772">
        <v>-2.1800000000041501E-2</v>
      </c>
      <c r="AD6772">
        <v>-0.1413962</v>
      </c>
      <c r="AE6772">
        <v>-0.588139999999999</v>
      </c>
      <c r="AF6772">
        <v>4.9869205779540703E-2</v>
      </c>
      <c r="AG6772">
        <v>-0.1413962</v>
      </c>
      <c r="AH6772">
        <v>0.55418827419848904</v>
      </c>
      <c r="AI6772">
        <v>104.257894306186</v>
      </c>
      <c r="AJ6772">
        <v>84.858029114679098</v>
      </c>
      <c r="AK6772">
        <v>0.57411189355266101</v>
      </c>
      <c r="AL6772">
        <v>94.922919995298301</v>
      </c>
      <c r="AM6772">
        <v>92.023228964742898</v>
      </c>
      <c r="AN6772">
        <v>0.99999995704773104</v>
      </c>
    </row>
    <row r="6773" spans="1:40" x14ac:dyDescent="0.25">
      <c r="A6773" t="str">
        <f>"20190305135059023"</f>
        <v>20190305135059023</v>
      </c>
      <c r="B6773" t="str">
        <f>"1551765059016220"</f>
        <v>1551765059016220</v>
      </c>
      <c r="C6773" t="s">
        <v>40</v>
      </c>
      <c r="D6773">
        <v>3.9911430000000001</v>
      </c>
      <c r="E6773">
        <v>0.53669929999999999</v>
      </c>
      <c r="F6773" t="s">
        <v>41</v>
      </c>
      <c r="G6773">
        <v>-302.91070000000002</v>
      </c>
      <c r="H6773">
        <v>0.96997460000000002</v>
      </c>
      <c r="I6773">
        <v>-15.533099999999999</v>
      </c>
      <c r="J6773">
        <v>-302.88869999999997</v>
      </c>
      <c r="K6773">
        <v>1.1069009999999999</v>
      </c>
      <c r="L6773">
        <v>-14.968019999999999</v>
      </c>
      <c r="M6773">
        <v>4.9650199999999999E-2</v>
      </c>
      <c r="N6773">
        <v>-4.8582460000000001E-3</v>
      </c>
      <c r="O6773">
        <v>-0.9987549</v>
      </c>
      <c r="P6773">
        <v>8.5266110000000006E-2</v>
      </c>
      <c r="Q6773">
        <v>-9.0204140000000002E-2</v>
      </c>
      <c r="R6773">
        <v>-0.99226669999999995</v>
      </c>
      <c r="S6773">
        <v>-4.9926760000000001E-2</v>
      </c>
      <c r="T6773">
        <v>-0.51573400000000003</v>
      </c>
      <c r="U6773">
        <v>-2.9812319999999999</v>
      </c>
      <c r="V6773">
        <v>-3.6264970000000001E-2</v>
      </c>
      <c r="W6773">
        <v>-8.5210869999999994E-2</v>
      </c>
      <c r="X6773">
        <v>0.99570270000000005</v>
      </c>
      <c r="Y6773">
        <v>6.6108319999999998E-2</v>
      </c>
      <c r="Z6773">
        <v>0.16515820000000001</v>
      </c>
      <c r="AA6773">
        <v>0.98404899999999995</v>
      </c>
      <c r="AB6773">
        <v>22</v>
      </c>
      <c r="AC6773">
        <v>-2.20000000000482E-2</v>
      </c>
      <c r="AD6773">
        <v>-0.136926399999999</v>
      </c>
      <c r="AE6773">
        <v>-0.56507999999999803</v>
      </c>
      <c r="AF6773">
        <v>4.7258889937045398E-2</v>
      </c>
      <c r="AG6773">
        <v>-0.136926399999999</v>
      </c>
      <c r="AH6773">
        <v>0.53209563248104896</v>
      </c>
      <c r="AI6773">
        <v>104.376820893025</v>
      </c>
      <c r="AJ6773">
        <v>84.924505286111</v>
      </c>
      <c r="AK6773">
        <v>0.55145988412617097</v>
      </c>
      <c r="AL6773">
        <v>94.888151051573999</v>
      </c>
      <c r="AM6773">
        <v>92.0858753237505</v>
      </c>
      <c r="AN6773">
        <v>0.99999995360127203</v>
      </c>
    </row>
    <row r="6774" spans="1:40" x14ac:dyDescent="0.25">
      <c r="A6774" t="str">
        <f>"20190305135059044"</f>
        <v>20190305135059044</v>
      </c>
      <c r="B6774" t="str">
        <f>"1551765059036716"</f>
        <v>1551765059036716</v>
      </c>
      <c r="C6774" t="s">
        <v>40</v>
      </c>
      <c r="D6774">
        <v>3.9937100000000001</v>
      </c>
      <c r="E6774">
        <v>0.53676259999999998</v>
      </c>
      <c r="F6774" t="s">
        <v>41</v>
      </c>
      <c r="G6774">
        <v>-302.90320000000003</v>
      </c>
      <c r="H6774">
        <v>0.97402889999999998</v>
      </c>
      <c r="I6774">
        <v>-15.73701</v>
      </c>
      <c r="J6774">
        <v>-302.8809</v>
      </c>
      <c r="K6774">
        <v>1.10691299999999</v>
      </c>
      <c r="L6774">
        <v>-15.18951</v>
      </c>
      <c r="M6774">
        <v>4.6755049999999999E-2</v>
      </c>
      <c r="N6774">
        <v>-4.8173089999999997E-3</v>
      </c>
      <c r="O6774">
        <v>-0.99889479999999997</v>
      </c>
      <c r="P6774">
        <v>8.348303E-2</v>
      </c>
      <c r="Q6774">
        <v>-8.9178830000000001E-2</v>
      </c>
      <c r="R6774">
        <v>-0.99251089999999997</v>
      </c>
      <c r="S6774">
        <v>-5.5786130000000003E-2</v>
      </c>
      <c r="T6774">
        <v>-0.51501799999999998</v>
      </c>
      <c r="U6774">
        <v>-2.9813540000000001</v>
      </c>
      <c r="V6774">
        <v>-3.7349189999999997E-2</v>
      </c>
      <c r="W6774">
        <v>-8.422309E-2</v>
      </c>
      <c r="X6774">
        <v>0.99574669999999998</v>
      </c>
      <c r="Y6774">
        <v>6.5150109999999997E-2</v>
      </c>
      <c r="Z6774">
        <v>0.16500039999999999</v>
      </c>
      <c r="AA6774">
        <v>0.9841394</v>
      </c>
      <c r="AB6774">
        <v>22</v>
      </c>
      <c r="AC6774">
        <v>-2.2300000000029699E-2</v>
      </c>
      <c r="AD6774">
        <v>-0.13288409999999901</v>
      </c>
      <c r="AE6774">
        <v>-0.54749999999999899</v>
      </c>
      <c r="AF6774">
        <v>4.5215153571027303E-2</v>
      </c>
      <c r="AG6774">
        <v>-0.13288409999999901</v>
      </c>
      <c r="AH6774">
        <v>0.51553924945334095</v>
      </c>
      <c r="AI6774">
        <v>104.40083097136301</v>
      </c>
      <c r="AJ6774">
        <v>84.987723075344107</v>
      </c>
      <c r="AK6774">
        <v>0.53430638389614504</v>
      </c>
      <c r="AL6774">
        <v>94.831351049458306</v>
      </c>
      <c r="AM6774">
        <v>92.148084681224205</v>
      </c>
      <c r="AN6774">
        <v>0.99999999072184698</v>
      </c>
    </row>
    <row r="6775" spans="1:40" x14ac:dyDescent="0.25">
      <c r="A6775" t="str">
        <f>"20190305135059066"</f>
        <v>20190305135059066</v>
      </c>
      <c r="B6775" t="str">
        <f>"1551765059056236"</f>
        <v>1551765059056236</v>
      </c>
      <c r="C6775" t="s">
        <v>40</v>
      </c>
      <c r="D6775">
        <v>4.0224529999999996</v>
      </c>
      <c r="E6775">
        <v>0.53680439999999996</v>
      </c>
      <c r="F6775" t="s">
        <v>41</v>
      </c>
      <c r="G6775">
        <v>-302.8965</v>
      </c>
      <c r="H6775">
        <v>0.97738809999999998</v>
      </c>
      <c r="I6775">
        <v>-15.94171</v>
      </c>
      <c r="J6775">
        <v>-302.87349999999998</v>
      </c>
      <c r="K6775">
        <v>1.1069279999999999</v>
      </c>
      <c r="L6775">
        <v>-15.417179999999901</v>
      </c>
      <c r="M6775">
        <v>4.3856140000000002E-2</v>
      </c>
      <c r="N6775">
        <v>-4.7808420000000004E-3</v>
      </c>
      <c r="O6775">
        <v>-0.99902679999999999</v>
      </c>
      <c r="P6775">
        <v>8.13942E-2</v>
      </c>
      <c r="Q6775">
        <v>-8.9671490000000006E-2</v>
      </c>
      <c r="R6775">
        <v>-0.99264010000000003</v>
      </c>
      <c r="S6775">
        <v>-6.149292E-2</v>
      </c>
      <c r="T6775">
        <v>-0.51333399999999996</v>
      </c>
      <c r="U6775">
        <v>-2.9816889999999998</v>
      </c>
      <c r="V6775">
        <v>-3.8141340000000003E-2</v>
      </c>
      <c r="W6775">
        <v>-8.4751690000000005E-2</v>
      </c>
      <c r="X6775">
        <v>0.9956718</v>
      </c>
      <c r="Y6775">
        <v>6.4137650000000004E-2</v>
      </c>
      <c r="Z6775">
        <v>0.1645141</v>
      </c>
      <c r="AA6775">
        <v>0.98428729999999998</v>
      </c>
      <c r="AB6775">
        <v>22</v>
      </c>
      <c r="AC6775">
        <v>-2.3000000000024501E-2</v>
      </c>
      <c r="AD6775">
        <v>-0.12953990000000001</v>
      </c>
      <c r="AE6775">
        <v>-0.52453000000000205</v>
      </c>
      <c r="AF6775">
        <v>4.3343491383027698E-2</v>
      </c>
      <c r="AG6775">
        <v>-0.12953990000000001</v>
      </c>
      <c r="AH6775">
        <v>0.49300537731434502</v>
      </c>
      <c r="AI6775">
        <v>104.667876711901</v>
      </c>
      <c r="AJ6775">
        <v>84.975652651503793</v>
      </c>
      <c r="AK6775">
        <v>0.51157946205661897</v>
      </c>
      <c r="AL6775">
        <v>94.861746366831696</v>
      </c>
      <c r="AM6775">
        <v>92.193764851633503</v>
      </c>
      <c r="AN6775">
        <v>0.99999997204504498</v>
      </c>
    </row>
    <row r="6776" spans="1:40" x14ac:dyDescent="0.25">
      <c r="A6776" t="str">
        <f>"20190305135059089"</f>
        <v>20190305135059089</v>
      </c>
      <c r="B6776" t="str">
        <f>"1551765059086492"</f>
        <v>1551765059086492</v>
      </c>
      <c r="C6776" t="s">
        <v>40</v>
      </c>
      <c r="D6776">
        <v>4.0231110000000001</v>
      </c>
      <c r="E6776">
        <v>0.53684909999999997</v>
      </c>
      <c r="F6776" t="s">
        <v>41</v>
      </c>
      <c r="G6776">
        <v>-302.8904</v>
      </c>
      <c r="H6776">
        <v>0.98029120000000003</v>
      </c>
      <c r="I6776">
        <v>-16.147310000000001</v>
      </c>
      <c r="J6776">
        <v>-302.86649999999997</v>
      </c>
      <c r="K6776">
        <v>1.106957</v>
      </c>
      <c r="L6776">
        <v>-15.646420000000001</v>
      </c>
      <c r="M6776">
        <v>4.1025880000000001E-2</v>
      </c>
      <c r="N6776">
        <v>-4.749189E-3</v>
      </c>
      <c r="O6776">
        <v>-0.99914689999999995</v>
      </c>
      <c r="P6776">
        <v>7.924863E-2</v>
      </c>
      <c r="Q6776">
        <v>-9.0516379999999994E-2</v>
      </c>
      <c r="R6776">
        <v>-0.99273710000000004</v>
      </c>
      <c r="S6776">
        <v>-6.8328860000000005E-2</v>
      </c>
      <c r="T6776">
        <v>-0.51688999999999996</v>
      </c>
      <c r="U6776">
        <v>-2.9811399999999999</v>
      </c>
      <c r="V6776">
        <v>-3.880832E-2</v>
      </c>
      <c r="W6776">
        <v>-8.5629350000000007E-2</v>
      </c>
      <c r="X6776">
        <v>0.99557099999999998</v>
      </c>
      <c r="Y6776">
        <v>6.3565969999999999E-2</v>
      </c>
      <c r="Z6776">
        <v>0.16574459999999999</v>
      </c>
      <c r="AA6776">
        <v>0.98411789999999999</v>
      </c>
      <c r="AB6776">
        <v>23</v>
      </c>
      <c r="AC6776">
        <v>-2.3900000000026001E-2</v>
      </c>
      <c r="AD6776">
        <v>-0.126665799999999</v>
      </c>
      <c r="AE6776">
        <v>-0.50088999999999995</v>
      </c>
      <c r="AF6776">
        <v>4.1764808036740202E-2</v>
      </c>
      <c r="AG6776">
        <v>-0.126665799999999</v>
      </c>
      <c r="AH6776">
        <v>0.46952996954290899</v>
      </c>
      <c r="AI6776">
        <v>105.040692498433</v>
      </c>
      <c r="AJ6776">
        <v>84.916904003574402</v>
      </c>
      <c r="AK6776">
        <v>0.48810543571952902</v>
      </c>
      <c r="AL6776">
        <v>94.912215704576298</v>
      </c>
      <c r="AM6776">
        <v>92.232314652026702</v>
      </c>
      <c r="AN6776">
        <v>1.0000000436618199</v>
      </c>
    </row>
    <row r="6777" spans="1:40" x14ac:dyDescent="0.25">
      <c r="A6777" t="str">
        <f>"20190305135059112"</f>
        <v>20190305135059112</v>
      </c>
      <c r="B6777" t="str">
        <f>"1551765059096252"</f>
        <v>1551765059096252</v>
      </c>
      <c r="C6777" t="s">
        <v>40</v>
      </c>
      <c r="D6777">
        <v>4.0247999999999999</v>
      </c>
      <c r="E6777">
        <v>0.53684909999999997</v>
      </c>
      <c r="F6777" t="s">
        <v>41</v>
      </c>
      <c r="G6777">
        <v>-302.8845</v>
      </c>
      <c r="H6777">
        <v>0.98295770000000005</v>
      </c>
      <c r="I6777">
        <v>-16.353870000000001</v>
      </c>
      <c r="J6777">
        <v>-302.86</v>
      </c>
      <c r="K6777">
        <v>1.1069979999999999</v>
      </c>
      <c r="L6777">
        <v>-15.88406</v>
      </c>
      <c r="M6777">
        <v>3.8206280000000002E-2</v>
      </c>
      <c r="N6777">
        <v>-4.7214220000000003E-3</v>
      </c>
      <c r="O6777">
        <v>-0.99925900000000001</v>
      </c>
      <c r="P6777">
        <v>7.7057609999999999E-2</v>
      </c>
      <c r="Q6777">
        <v>-9.0453309999999995E-2</v>
      </c>
      <c r="R6777">
        <v>-0.99291529999999995</v>
      </c>
      <c r="S6777">
        <v>-7.5744629999999993E-2</v>
      </c>
      <c r="T6777">
        <v>-0.52239060000000004</v>
      </c>
      <c r="U6777">
        <v>-2.9803769999999998</v>
      </c>
      <c r="V6777">
        <v>-3.9409420000000001E-2</v>
      </c>
      <c r="W6777">
        <v>-8.5596179999999994E-2</v>
      </c>
      <c r="X6777">
        <v>0.99555020000000005</v>
      </c>
      <c r="Y6777">
        <v>6.3195029999999999E-2</v>
      </c>
      <c r="Z6777">
        <v>0.167601799999999</v>
      </c>
      <c r="AA6777">
        <v>0.98382720000000001</v>
      </c>
      <c r="AB6777">
        <v>23</v>
      </c>
      <c r="AC6777">
        <v>-2.4499999999988999E-2</v>
      </c>
      <c r="AD6777">
        <v>-0.12404030000000001</v>
      </c>
      <c r="AE6777">
        <v>-0.46981000000000001</v>
      </c>
      <c r="AF6777">
        <v>3.96739196179541E-2</v>
      </c>
      <c r="AG6777">
        <v>-0.12404030000000001</v>
      </c>
      <c r="AH6777">
        <v>0.43807640535326903</v>
      </c>
      <c r="AI6777">
        <v>105.74811062339199</v>
      </c>
      <c r="AJ6777">
        <v>84.825186032246094</v>
      </c>
      <c r="AK6777">
        <v>0.457024017803423</v>
      </c>
      <c r="AL6777">
        <v>94.910308392662401</v>
      </c>
      <c r="AM6777">
        <v>92.266902370735394</v>
      </c>
      <c r="AN6777">
        <v>1.00000000456768</v>
      </c>
    </row>
    <row r="6778" spans="1:40" x14ac:dyDescent="0.25">
      <c r="A6778" t="str">
        <f>"20190305135059135"</f>
        <v>20190305135059135</v>
      </c>
      <c r="B6778" t="str">
        <f>"1551765059126507"</f>
        <v>1551765059126507</v>
      </c>
      <c r="C6778" t="s">
        <v>40</v>
      </c>
      <c r="D6778">
        <v>4.0160619999999998</v>
      </c>
      <c r="E6778">
        <v>0.53756709999999996</v>
      </c>
      <c r="F6778" t="s">
        <v>41</v>
      </c>
      <c r="G6778">
        <v>-302.88409999999999</v>
      </c>
      <c r="H6778">
        <v>0.95453849999999996</v>
      </c>
      <c r="I6778">
        <v>-16.754259999999999</v>
      </c>
      <c r="J6778">
        <v>-302.85399999999998</v>
      </c>
      <c r="K6778">
        <v>1.1070500000000001</v>
      </c>
      <c r="L6778">
        <v>-16.119229999999899</v>
      </c>
      <c r="M6778">
        <v>3.5535320000000002E-2</v>
      </c>
      <c r="N6778">
        <v>-4.6981269999999999E-3</v>
      </c>
      <c r="O6778">
        <v>-0.99935770000000002</v>
      </c>
      <c r="P6778">
        <v>7.5139189999999995E-2</v>
      </c>
      <c r="Q6778">
        <v>-9.066159E-2</v>
      </c>
      <c r="R6778">
        <v>-0.99304369999999997</v>
      </c>
      <c r="S6778">
        <v>-8.2244869999999998E-2</v>
      </c>
      <c r="T6778">
        <v>-0.52207490000000001</v>
      </c>
      <c r="U6778">
        <v>-2.9802249999999999</v>
      </c>
      <c r="V6778">
        <v>-4.0136810000000002E-2</v>
      </c>
      <c r="W6778">
        <v>-8.5830260000000005E-2</v>
      </c>
      <c r="X6778">
        <v>0.99550099999999997</v>
      </c>
      <c r="Y6778">
        <v>6.2673900000000005E-2</v>
      </c>
      <c r="Z6778">
        <v>0.1675556</v>
      </c>
      <c r="AA6778">
        <v>0.98386839999999998</v>
      </c>
      <c r="AB6778">
        <v>23</v>
      </c>
      <c r="AC6778">
        <v>-3.0099999999947599E-2</v>
      </c>
      <c r="AD6778">
        <v>-0.15251149999999999</v>
      </c>
      <c r="AE6778">
        <v>-0.63503000000000398</v>
      </c>
      <c r="AF6778">
        <v>4.9782276607059098E-2</v>
      </c>
      <c r="AG6778">
        <v>-0.15251149999999999</v>
      </c>
      <c r="AH6778">
        <v>0.59908236413695704</v>
      </c>
      <c r="AI6778">
        <v>104.23563405121099</v>
      </c>
      <c r="AJ6778">
        <v>85.249774802085895</v>
      </c>
      <c r="AK6778">
        <v>0.62019167336909398</v>
      </c>
      <c r="AL6778">
        <v>94.923769657073294</v>
      </c>
      <c r="AM6778">
        <v>92.308812294823298</v>
      </c>
      <c r="AN6778">
        <v>1.0000000190248199</v>
      </c>
    </row>
    <row r="6779" spans="1:40" x14ac:dyDescent="0.25">
      <c r="A6779" t="str">
        <f>"20190305135059156"</f>
        <v>20190305135059156</v>
      </c>
      <c r="B6779" t="str">
        <f>"1551765059147005"</f>
        <v>1551765059147005</v>
      </c>
      <c r="C6779" t="s">
        <v>40</v>
      </c>
      <c r="D6779">
        <v>4.0363350000000002</v>
      </c>
      <c r="E6779">
        <v>0.53749099999999905</v>
      </c>
      <c r="F6779" t="s">
        <v>41</v>
      </c>
      <c r="G6779">
        <v>-302.8836</v>
      </c>
      <c r="H6779">
        <v>0.91956709999999997</v>
      </c>
      <c r="I6779">
        <v>-16.946560000000002</v>
      </c>
      <c r="J6779">
        <v>-302.84870000000001</v>
      </c>
      <c r="K6779">
        <v>1.107089</v>
      </c>
      <c r="L6779">
        <v>-16.345949999999998</v>
      </c>
      <c r="M6779">
        <v>3.305661E-2</v>
      </c>
      <c r="N6779">
        <v>-4.6792320000000002E-3</v>
      </c>
      <c r="O6779">
        <v>-0.99944259999999996</v>
      </c>
      <c r="P6779">
        <v>7.3506769999999999E-2</v>
      </c>
      <c r="Q6779">
        <v>-9.0669009999999994E-2</v>
      </c>
      <c r="R6779">
        <v>-0.99316459999999995</v>
      </c>
      <c r="S6779">
        <v>-0.10580440000000001</v>
      </c>
      <c r="T6779">
        <v>-0.67240909999999998</v>
      </c>
      <c r="U6779">
        <v>-2.9676209999999998</v>
      </c>
      <c r="V6779">
        <v>-4.0958870000000001E-2</v>
      </c>
      <c r="W6779">
        <v>-8.585835E-2</v>
      </c>
      <c r="X6779">
        <v>0.99546509999999999</v>
      </c>
      <c r="Y6779">
        <v>6.7768330000000002E-2</v>
      </c>
      <c r="Z6779">
        <v>0.21590989999999999</v>
      </c>
      <c r="AA6779">
        <v>0.97405870000000006</v>
      </c>
      <c r="AB6779">
        <v>23</v>
      </c>
      <c r="AC6779">
        <v>-3.48999999999932E-2</v>
      </c>
      <c r="AD6779">
        <v>-0.18752189999999899</v>
      </c>
      <c r="AE6779">
        <v>-0.60061000000000297</v>
      </c>
      <c r="AF6779">
        <v>4.9888471930390803E-2</v>
      </c>
      <c r="AG6779">
        <v>-0.18752189999999899</v>
      </c>
      <c r="AH6779">
        <v>0.54607535542723595</v>
      </c>
      <c r="AI6779">
        <v>108.87941361914</v>
      </c>
      <c r="AJ6779">
        <v>84.780049908825106</v>
      </c>
      <c r="AK6779">
        <v>0.57952706271246901</v>
      </c>
      <c r="AL6779">
        <v>94.925385027620393</v>
      </c>
      <c r="AM6779">
        <v>92.356132231462396</v>
      </c>
      <c r="AN6779">
        <v>1.0000000253071999</v>
      </c>
    </row>
    <row r="6780" spans="1:40" x14ac:dyDescent="0.25">
      <c r="A6780" t="str">
        <f>"20190305135059178"</f>
        <v>20190305135059178</v>
      </c>
      <c r="B6780" t="str">
        <f>"1551765059166524"</f>
        <v>1551765059166524</v>
      </c>
      <c r="C6780" t="s">
        <v>40</v>
      </c>
      <c r="D6780">
        <v>4.0315099999999999</v>
      </c>
      <c r="E6780">
        <v>0.5373713</v>
      </c>
      <c r="F6780" t="s">
        <v>41</v>
      </c>
      <c r="G6780">
        <v>-302.87909999999999</v>
      </c>
      <c r="H6780">
        <v>0.92022090000000001</v>
      </c>
      <c r="I6780">
        <v>-17.156479999999998</v>
      </c>
      <c r="J6780">
        <v>-302.84379999999999</v>
      </c>
      <c r="K6780">
        <v>1.1071230000000001</v>
      </c>
      <c r="L6780">
        <v>-16.576809999999998</v>
      </c>
      <c r="M6780">
        <v>3.063542E-2</v>
      </c>
      <c r="N6780">
        <v>-4.6632399999999999E-3</v>
      </c>
      <c r="O6780">
        <v>-0.99951979999999996</v>
      </c>
      <c r="P6780">
        <v>7.2097720000000004E-2</v>
      </c>
      <c r="Q6780">
        <v>-9.1331689999999993E-2</v>
      </c>
      <c r="R6780">
        <v>-0.99320750000000002</v>
      </c>
      <c r="S6780">
        <v>-0.1111145</v>
      </c>
      <c r="T6780">
        <v>-0.68385209999999996</v>
      </c>
      <c r="U6780">
        <v>-2.966431</v>
      </c>
      <c r="V6780">
        <v>-4.195223E-2</v>
      </c>
      <c r="W6780">
        <v>-8.6538550000000006E-2</v>
      </c>
      <c r="X6780">
        <v>0.99536480000000005</v>
      </c>
      <c r="Y6780">
        <v>6.7075899999999994E-2</v>
      </c>
      <c r="Z6780">
        <v>0.2196033</v>
      </c>
      <c r="AA6780">
        <v>0.9732807</v>
      </c>
      <c r="AB6780">
        <v>23</v>
      </c>
      <c r="AC6780">
        <v>-3.53000000000065E-2</v>
      </c>
      <c r="AD6780">
        <v>-0.18690209999999899</v>
      </c>
      <c r="AE6780">
        <v>-0.57966999999999602</v>
      </c>
      <c r="AF6780">
        <v>4.8063800420930503E-2</v>
      </c>
      <c r="AG6780">
        <v>-0.18690209999999899</v>
      </c>
      <c r="AH6780">
        <v>0.52403864152047797</v>
      </c>
      <c r="AI6780">
        <v>109.553326772299</v>
      </c>
      <c r="AJ6780">
        <v>84.759604637169005</v>
      </c>
      <c r="AK6780">
        <v>0.55844339167183299</v>
      </c>
      <c r="AL6780">
        <v>94.964503352637095</v>
      </c>
      <c r="AM6780">
        <v>92.413450744068697</v>
      </c>
      <c r="AN6780">
        <v>0.99999999765855696</v>
      </c>
    </row>
    <row r="6781" spans="1:40" x14ac:dyDescent="0.25">
      <c r="A6781" t="str">
        <f>"20190305135059201"</f>
        <v>20190305135059201</v>
      </c>
      <c r="B6781" t="str">
        <f>"1551765059196780"</f>
        <v>1551765059196780</v>
      </c>
      <c r="C6781" t="s">
        <v>40</v>
      </c>
      <c r="D6781">
        <v>4.0209080000000004</v>
      </c>
      <c r="E6781">
        <v>0.53702799999999995</v>
      </c>
      <c r="F6781" t="s">
        <v>41</v>
      </c>
      <c r="G6781">
        <v>-302.87459999999999</v>
      </c>
      <c r="H6781">
        <v>0.92302720000000005</v>
      </c>
      <c r="I6781">
        <v>-17.36843</v>
      </c>
      <c r="J6781">
        <v>-302.83909999999997</v>
      </c>
      <c r="K6781">
        <v>1.107172</v>
      </c>
      <c r="L6781">
        <v>-16.819240000000001</v>
      </c>
      <c r="M6781">
        <v>2.821355E-2</v>
      </c>
      <c r="N6781">
        <v>-4.6493990000000002E-3</v>
      </c>
      <c r="O6781">
        <v>-0.99959109999999995</v>
      </c>
      <c r="P6781">
        <v>7.1093589999999998E-2</v>
      </c>
      <c r="Q6781">
        <v>-9.1785770000000003E-2</v>
      </c>
      <c r="R6781">
        <v>-0.99323760000000005</v>
      </c>
      <c r="S6781">
        <v>-0.1151123</v>
      </c>
      <c r="T6781">
        <v>-0.68949189999999905</v>
      </c>
      <c r="U6781">
        <v>-2.9654850000000001</v>
      </c>
      <c r="V6781">
        <v>-4.3348669999999999E-2</v>
      </c>
      <c r="W6781">
        <v>-8.7007349999999997E-2</v>
      </c>
      <c r="X6781">
        <v>0.99526409999999998</v>
      </c>
      <c r="Y6781">
        <v>6.5964519999999999E-2</v>
      </c>
      <c r="Z6781">
        <v>0.22146850000000001</v>
      </c>
      <c r="AA6781">
        <v>0.97293390000000002</v>
      </c>
      <c r="AB6781">
        <v>23</v>
      </c>
      <c r="AC6781">
        <v>-3.5500000000013097E-2</v>
      </c>
      <c r="AD6781">
        <v>-0.1841448</v>
      </c>
      <c r="AE6781">
        <v>-0.54918999999999896</v>
      </c>
      <c r="AF6781">
        <v>4.5847544875958997E-2</v>
      </c>
      <c r="AG6781">
        <v>-0.1841448</v>
      </c>
      <c r="AH6781">
        <v>0.49279631729579498</v>
      </c>
      <c r="AI6781">
        <v>110.408547299407</v>
      </c>
      <c r="AJ6781">
        <v>84.684759604796596</v>
      </c>
      <c r="AK6781">
        <v>0.52807150564908401</v>
      </c>
      <c r="AL6781">
        <v>94.991465262844102</v>
      </c>
      <c r="AM6781">
        <v>92.493938114278507</v>
      </c>
      <c r="AN6781">
        <v>1.0000000074468001</v>
      </c>
    </row>
    <row r="6782" spans="1:40" x14ac:dyDescent="0.25">
      <c r="A6782" t="str">
        <f>"20190305135059224"</f>
        <v>20190305135059224</v>
      </c>
      <c r="B6782" t="str">
        <f>"1551765059216300"</f>
        <v>1551765059216300</v>
      </c>
      <c r="C6782" t="s">
        <v>40</v>
      </c>
      <c r="D6782">
        <v>4.062481</v>
      </c>
      <c r="E6782">
        <v>0.53703699999999999</v>
      </c>
      <c r="F6782" t="s">
        <v>41</v>
      </c>
      <c r="G6782">
        <v>-302.86900000000003</v>
      </c>
      <c r="H6782">
        <v>0.929199</v>
      </c>
      <c r="I6782">
        <v>-17.583010000000002</v>
      </c>
      <c r="J6782">
        <v>-302.8349</v>
      </c>
      <c r="K6782">
        <v>1.107221</v>
      </c>
      <c r="L6782">
        <v>-17.05603</v>
      </c>
      <c r="M6782">
        <v>2.5974440000000001E-2</v>
      </c>
      <c r="N6782">
        <v>-4.6382439999999997E-3</v>
      </c>
      <c r="O6782">
        <v>-0.99965210000000004</v>
      </c>
      <c r="P6782">
        <v>7.0399779999999995E-2</v>
      </c>
      <c r="Q6782">
        <v>-9.1687489999999996E-2</v>
      </c>
      <c r="R6782">
        <v>-0.99329659999999997</v>
      </c>
      <c r="S6782">
        <v>-0.1155701</v>
      </c>
      <c r="T6782">
        <v>-0.69076490000000002</v>
      </c>
      <c r="U6782">
        <v>-2.964874</v>
      </c>
      <c r="V6782">
        <v>-4.4869029999999997E-2</v>
      </c>
      <c r="W6782">
        <v>-8.6921390000000001E-2</v>
      </c>
      <c r="X6782">
        <v>0.99520419999999998</v>
      </c>
      <c r="Y6782">
        <v>6.3884179999999999E-2</v>
      </c>
      <c r="Z6782">
        <v>0.22195529999999999</v>
      </c>
      <c r="AA6782">
        <v>0.97296179999999999</v>
      </c>
      <c r="AB6782">
        <v>23</v>
      </c>
      <c r="AC6782">
        <v>-3.41000000000235E-2</v>
      </c>
      <c r="AD6782">
        <v>-0.17802200000000001</v>
      </c>
      <c r="AE6782">
        <v>-0.526980000000001</v>
      </c>
      <c r="AF6782">
        <v>4.2901207516105398E-2</v>
      </c>
      <c r="AG6782">
        <v>-0.17802200000000001</v>
      </c>
      <c r="AH6782">
        <v>0.472248508607091</v>
      </c>
      <c r="AI6782">
        <v>110.577181873908</v>
      </c>
      <c r="AJ6782">
        <v>84.809238211426305</v>
      </c>
      <c r="AK6782">
        <v>0.506508637608444</v>
      </c>
      <c r="AL6782">
        <v>94.986521530651302</v>
      </c>
      <c r="AM6782">
        <v>92.581446396664305</v>
      </c>
      <c r="AN6782">
        <v>0.99999997879515601</v>
      </c>
    </row>
    <row r="6783" spans="1:40" x14ac:dyDescent="0.25">
      <c r="A6783" t="str">
        <f>"20190305135059245"</f>
        <v>20190305135059245</v>
      </c>
      <c r="B6783" t="str">
        <f>"1551765059236796"</f>
        <v>1551765059236796</v>
      </c>
      <c r="C6783" t="s">
        <v>40</v>
      </c>
      <c r="D6783">
        <v>4.054519</v>
      </c>
      <c r="E6783">
        <v>0.53733469999999905</v>
      </c>
      <c r="F6783" t="s">
        <v>41</v>
      </c>
      <c r="G6783">
        <v>-302.86470000000003</v>
      </c>
      <c r="H6783">
        <v>0.9339383</v>
      </c>
      <c r="I6783">
        <v>-17.798010000000001</v>
      </c>
      <c r="J6783">
        <v>-302.83109999999999</v>
      </c>
      <c r="K6783">
        <v>1.1072949999999999</v>
      </c>
      <c r="L6783">
        <v>-17.291079999999901</v>
      </c>
      <c r="M6783">
        <v>2.388212E-2</v>
      </c>
      <c r="N6783">
        <v>-4.629195E-3</v>
      </c>
      <c r="O6783">
        <v>-0.99970420000000004</v>
      </c>
      <c r="P6783">
        <v>6.9852139999999993E-2</v>
      </c>
      <c r="Q6783">
        <v>-9.1136239999999993E-2</v>
      </c>
      <c r="R6783">
        <v>-0.99338559999999998</v>
      </c>
      <c r="S6783">
        <v>-0.1181946</v>
      </c>
      <c r="T6783">
        <v>-0.69222240000000002</v>
      </c>
      <c r="U6783">
        <v>-2.9647220000000001</v>
      </c>
      <c r="V6783">
        <v>-4.6385929999999999E-2</v>
      </c>
      <c r="W6783">
        <v>-8.638171E-2</v>
      </c>
      <c r="X6783">
        <v>0.99518169999999995</v>
      </c>
      <c r="Y6783">
        <v>6.2653760000000003E-2</v>
      </c>
      <c r="Z6783">
        <v>0.22245190000000001</v>
      </c>
      <c r="AA6783">
        <v>0.97292840000000003</v>
      </c>
      <c r="AB6783">
        <v>24</v>
      </c>
      <c r="AC6783">
        <v>-3.3600000000035303E-2</v>
      </c>
      <c r="AD6783">
        <v>-0.1733567</v>
      </c>
      <c r="AE6783">
        <v>-0.50693000000000399</v>
      </c>
      <c r="AF6783">
        <v>4.0931294731453301E-2</v>
      </c>
      <c r="AG6783">
        <v>-0.1733567</v>
      </c>
      <c r="AH6783">
        <v>0.45321331882820098</v>
      </c>
      <c r="AI6783">
        <v>110.85460244306699</v>
      </c>
      <c r="AJ6783">
        <v>84.839416326370994</v>
      </c>
      <c r="AK6783">
        <v>0.48696019209639202</v>
      </c>
      <c r="AL6783">
        <v>94.955483118930303</v>
      </c>
      <c r="AM6783">
        <v>92.668654233241895</v>
      </c>
      <c r="AN6783">
        <v>1.0000000351696801</v>
      </c>
    </row>
    <row r="6784" spans="1:40" x14ac:dyDescent="0.25">
      <c r="A6784" t="str">
        <f>"20190305135059268"</f>
        <v>20190305135059268</v>
      </c>
      <c r="B6784" t="str">
        <f>"1551765059256318"</f>
        <v>1551765059256318</v>
      </c>
      <c r="C6784" t="s">
        <v>40</v>
      </c>
      <c r="D6784">
        <v>4.0984720000000001</v>
      </c>
      <c r="E6784">
        <v>0.55936149999999996</v>
      </c>
      <c r="F6784" t="s">
        <v>41</v>
      </c>
      <c r="G6784">
        <v>-302.86099999999999</v>
      </c>
      <c r="H6784">
        <v>0.93935869999999999</v>
      </c>
      <c r="I6784">
        <v>-18.01446</v>
      </c>
      <c r="J6784">
        <v>-302.82769999999999</v>
      </c>
      <c r="K6784">
        <v>1.107369</v>
      </c>
      <c r="L6784">
        <v>-17.529540000000001</v>
      </c>
      <c r="M6784">
        <v>2.1899769999999999E-2</v>
      </c>
      <c r="N6784">
        <v>-4.6219219999999997E-3</v>
      </c>
      <c r="O6784">
        <v>-0.99974960000000002</v>
      </c>
      <c r="P6784">
        <v>6.9012080000000003E-2</v>
      </c>
      <c r="Q6784">
        <v>-9.0080179999999996E-2</v>
      </c>
      <c r="R6784">
        <v>-0.9935406</v>
      </c>
      <c r="S6784">
        <v>-0.1219788</v>
      </c>
      <c r="T6784">
        <v>-0.68837299999999901</v>
      </c>
      <c r="U6784">
        <v>-2.9653930000000002</v>
      </c>
      <c r="V6784">
        <v>-4.7495379999999997E-2</v>
      </c>
      <c r="W6784">
        <v>-8.5338189999999994E-2</v>
      </c>
      <c r="X6784">
        <v>0.99521930000000003</v>
      </c>
      <c r="Y6784">
        <v>6.1917850000000003E-2</v>
      </c>
      <c r="Z6784">
        <v>0.2212268</v>
      </c>
      <c r="AA6784">
        <v>0.97325479999999998</v>
      </c>
      <c r="AB6784">
        <v>24</v>
      </c>
      <c r="AC6784">
        <v>-3.3299999999996999E-2</v>
      </c>
      <c r="AD6784">
        <v>-0.1680103</v>
      </c>
      <c r="AE6784">
        <v>-0.48491999999999802</v>
      </c>
      <c r="AF6784">
        <v>3.9225207706555298E-2</v>
      </c>
      <c r="AG6784">
        <v>-0.1680103</v>
      </c>
      <c r="AH6784">
        <v>0.432410795730307</v>
      </c>
      <c r="AI6784">
        <v>111.15416670920401</v>
      </c>
      <c r="AJ6784">
        <v>84.816723947337593</v>
      </c>
      <c r="AK6784">
        <v>0.46555899098807002</v>
      </c>
      <c r="AL6784">
        <v>94.895472703629494</v>
      </c>
      <c r="AM6784">
        <v>92.732283927786895</v>
      </c>
      <c r="AN6784">
        <v>0.99999993644315299</v>
      </c>
    </row>
    <row r="6785" spans="1:40" x14ac:dyDescent="0.25">
      <c r="A6785" t="str">
        <f>"20190305135059290"</f>
        <v>20190305135059290</v>
      </c>
      <c r="B6785" t="str">
        <f>"1551765059286576"</f>
        <v>1551765059286576</v>
      </c>
      <c r="C6785" t="s">
        <v>40</v>
      </c>
      <c r="D6785">
        <v>4.1714169999999999</v>
      </c>
      <c r="E6785">
        <v>0.56916429999999996</v>
      </c>
      <c r="F6785" t="s">
        <v>41</v>
      </c>
      <c r="G6785">
        <v>-302.89850000000001</v>
      </c>
      <c r="H6785">
        <v>0.95331949999999999</v>
      </c>
      <c r="I6785">
        <v>-18.236640000000001</v>
      </c>
      <c r="J6785">
        <v>-302.8245</v>
      </c>
      <c r="K6785">
        <v>1.1074569999999999</v>
      </c>
      <c r="L6785">
        <v>-17.771729999999899</v>
      </c>
      <c r="M6785">
        <v>2.0046089999999999E-2</v>
      </c>
      <c r="N6785">
        <v>-4.6163690000000004E-3</v>
      </c>
      <c r="O6785">
        <v>-0.99978880000000003</v>
      </c>
      <c r="P6785">
        <v>6.8232280000000006E-2</v>
      </c>
      <c r="Q6785">
        <v>-8.8859099999999996E-2</v>
      </c>
      <c r="R6785">
        <v>-0.99370480000000005</v>
      </c>
      <c r="S6785">
        <v>-0.29727170000000003</v>
      </c>
      <c r="T6785">
        <v>-0.64929409999999999</v>
      </c>
      <c r="U6785">
        <v>-2.981293</v>
      </c>
      <c r="V6785">
        <v>-4.8534420000000002E-2</v>
      </c>
      <c r="W6785">
        <v>-8.4129919999999997E-2</v>
      </c>
      <c r="X6785">
        <v>0.99527209999999999</v>
      </c>
      <c r="Y6785">
        <v>0.1169369</v>
      </c>
      <c r="Z6785">
        <v>0.2069868</v>
      </c>
      <c r="AA6785">
        <v>0.97133009999999997</v>
      </c>
      <c r="AB6785">
        <v>24</v>
      </c>
      <c r="AC6785">
        <v>-7.4000000000012195E-2</v>
      </c>
      <c r="AD6785">
        <v>-0.15413749999999901</v>
      </c>
      <c r="AE6785">
        <v>-0.46490999999999899</v>
      </c>
      <c r="AF6785">
        <v>7.5238905255452196E-2</v>
      </c>
      <c r="AG6785">
        <v>-0.15413749999999901</v>
      </c>
      <c r="AH6785">
        <v>0.41847116675623502</v>
      </c>
      <c r="AI6785">
        <v>109.926692274663</v>
      </c>
      <c r="AJ6785">
        <v>79.807419377168202</v>
      </c>
      <c r="AK6785">
        <v>0.45225808912236498</v>
      </c>
      <c r="AL6785">
        <v>94.825993775963497</v>
      </c>
      <c r="AM6785">
        <v>92.791815709891694</v>
      </c>
      <c r="AN6785">
        <v>0.99999999320117605</v>
      </c>
    </row>
    <row r="6786" spans="1:40" x14ac:dyDescent="0.25">
      <c r="A6786" t="str">
        <f>"20190305135059313"</f>
        <v>20190305135059313</v>
      </c>
      <c r="B6786" t="str">
        <f>"1551765059307068"</f>
        <v>1551765059307068</v>
      </c>
      <c r="C6786" t="s">
        <v>40</v>
      </c>
      <c r="D6786">
        <v>4.0214740000000004</v>
      </c>
      <c r="E6786">
        <v>0.57044879999999998</v>
      </c>
      <c r="F6786" t="s">
        <v>41</v>
      </c>
      <c r="G6786">
        <v>-302.93700000000001</v>
      </c>
      <c r="H6786">
        <v>0.90263649999999995</v>
      </c>
      <c r="I6786">
        <v>-18.648990000000001</v>
      </c>
      <c r="J6786">
        <v>-302.82139999999998</v>
      </c>
      <c r="K6786">
        <v>1.1075539999999999</v>
      </c>
      <c r="L6786">
        <v>-18.023009999999999</v>
      </c>
      <c r="M6786">
        <v>1.8315649999999999E-2</v>
      </c>
      <c r="N6786">
        <v>-4.6125209999999996E-3</v>
      </c>
      <c r="O6786">
        <v>-0.99982170000000004</v>
      </c>
      <c r="P6786">
        <v>6.7559359999999999E-2</v>
      </c>
      <c r="Q6786">
        <v>-8.8393810000000003E-2</v>
      </c>
      <c r="R6786">
        <v>-0.99379209999999996</v>
      </c>
      <c r="S6786">
        <v>-0.38159179999999998</v>
      </c>
      <c r="T6786">
        <v>-0.69629379999999996</v>
      </c>
      <c r="U6786">
        <v>-2.9829409999999998</v>
      </c>
      <c r="V6786">
        <v>-4.9559499999999999E-2</v>
      </c>
      <c r="W6786">
        <v>-8.3678039999999995E-2</v>
      </c>
      <c r="X6786">
        <v>0.99525969999999997</v>
      </c>
      <c r="Y6786">
        <v>0.1418266</v>
      </c>
      <c r="Z6786">
        <v>0.2207353</v>
      </c>
      <c r="AA6786">
        <v>0.96496689999999996</v>
      </c>
      <c r="AB6786">
        <v>24</v>
      </c>
      <c r="AC6786">
        <v>-0.115600000000029</v>
      </c>
      <c r="AD6786">
        <v>-0.2049175</v>
      </c>
      <c r="AE6786">
        <v>-0.62597999999999798</v>
      </c>
      <c r="AF6786">
        <v>0.11511674609747199</v>
      </c>
      <c r="AG6786">
        <v>-0.2049175</v>
      </c>
      <c r="AH6786">
        <v>0.56518880809943595</v>
      </c>
      <c r="AI6786">
        <v>109.55861933336401</v>
      </c>
      <c r="AJ6786">
        <v>78.487561442495704</v>
      </c>
      <c r="AK6786">
        <v>0.61211227388378697</v>
      </c>
      <c r="AL6786">
        <v>94.800011238453806</v>
      </c>
      <c r="AM6786">
        <v>92.850719958706605</v>
      </c>
      <c r="AN6786">
        <v>1.0000000144312899</v>
      </c>
    </row>
    <row r="6787" spans="1:40" x14ac:dyDescent="0.25">
      <c r="A6787" t="str">
        <f>"20190305135059336"</f>
        <v>20190305135059336</v>
      </c>
      <c r="B6787" t="str">
        <f>"1551765059326588"</f>
        <v>1551765059326588</v>
      </c>
      <c r="C6787" t="s">
        <v>40</v>
      </c>
      <c r="D6787">
        <v>4.0266070000000003</v>
      </c>
      <c r="E6787">
        <v>0.57202589999999998</v>
      </c>
      <c r="F6787" t="s">
        <v>41</v>
      </c>
      <c r="G6787">
        <v>-302.93299999999999</v>
      </c>
      <c r="H6787">
        <v>0.91176159999999995</v>
      </c>
      <c r="I6787">
        <v>-18.870640000000002</v>
      </c>
      <c r="J6787">
        <v>-302.81869999999998</v>
      </c>
      <c r="K6787">
        <v>1.1076459999999999</v>
      </c>
      <c r="L6787">
        <v>-18.26596</v>
      </c>
      <c r="M6787">
        <v>1.6788640000000001E-2</v>
      </c>
      <c r="N6787">
        <v>-4.6104420000000002E-3</v>
      </c>
      <c r="O6787">
        <v>-0.99984879999999998</v>
      </c>
      <c r="P6787">
        <v>6.646987E-2</v>
      </c>
      <c r="Q6787">
        <v>-8.9118349999999999E-2</v>
      </c>
      <c r="R6787">
        <v>-0.99380109999999999</v>
      </c>
      <c r="S6787">
        <v>-0.39273069999999999</v>
      </c>
      <c r="T6787">
        <v>-0.68927419999999995</v>
      </c>
      <c r="U6787">
        <v>-2.9841310000000001</v>
      </c>
      <c r="V6787">
        <v>-4.9972589999999997E-2</v>
      </c>
      <c r="W6787">
        <v>-8.4415130000000005E-2</v>
      </c>
      <c r="X6787">
        <v>0.99517679999999997</v>
      </c>
      <c r="Y6787">
        <v>0.143877</v>
      </c>
      <c r="Z6787">
        <v>0.2184208</v>
      </c>
      <c r="AA6787">
        <v>0.96518999999999999</v>
      </c>
      <c r="AB6787">
        <v>24</v>
      </c>
      <c r="AC6787">
        <v>-0.114300000000014</v>
      </c>
      <c r="AD6787">
        <v>-0.19588439999999999</v>
      </c>
      <c r="AE6787">
        <v>-0.604679999999998</v>
      </c>
      <c r="AF6787">
        <v>0.112987668182793</v>
      </c>
      <c r="AG6787">
        <v>-0.19588439999999999</v>
      </c>
      <c r="AH6787">
        <v>0.54722967685992296</v>
      </c>
      <c r="AI6787">
        <v>109.318731887581</v>
      </c>
      <c r="AJ6787">
        <v>78.333953031258005</v>
      </c>
      <c r="AK6787">
        <v>0.59211251511934804</v>
      </c>
      <c r="AL6787">
        <v>94.842393319984296</v>
      </c>
      <c r="AM6787">
        <v>92.874680734078893</v>
      </c>
      <c r="AN6787">
        <v>1.0000000185912301</v>
      </c>
    </row>
    <row r="6788" spans="1:40" x14ac:dyDescent="0.25">
      <c r="A6788" t="str">
        <f>"20190305135059357"</f>
        <v>20190305135059357</v>
      </c>
      <c r="B6788" t="str">
        <f>"1551765059347085"</f>
        <v>1551765059347085</v>
      </c>
      <c r="C6788" t="s">
        <v>40</v>
      </c>
      <c r="D6788">
        <v>4.0125539999999997</v>
      </c>
      <c r="E6788">
        <v>0.57308619999999899</v>
      </c>
      <c r="F6788" t="s">
        <v>41</v>
      </c>
      <c r="G6788">
        <v>-302.93189999999998</v>
      </c>
      <c r="H6788">
        <v>0.91785070000000002</v>
      </c>
      <c r="I6788">
        <v>-19.09226</v>
      </c>
      <c r="J6788">
        <v>-302.81630000000001</v>
      </c>
      <c r="K6788">
        <v>1.1077330000000001</v>
      </c>
      <c r="L6788">
        <v>-18.505400000000002</v>
      </c>
      <c r="M6788">
        <v>1.543341E-2</v>
      </c>
      <c r="N6788">
        <v>-4.6098129999999999E-3</v>
      </c>
      <c r="O6788">
        <v>-0.9998705</v>
      </c>
      <c r="P6788">
        <v>6.6023739999999997E-2</v>
      </c>
      <c r="Q6788">
        <v>-9.0165640000000005E-2</v>
      </c>
      <c r="R6788">
        <v>-0.99373630000000002</v>
      </c>
      <c r="S6788">
        <v>-0.40792850000000003</v>
      </c>
      <c r="T6788">
        <v>-0.68543080000000001</v>
      </c>
      <c r="U6788">
        <v>-2.9845280000000001</v>
      </c>
      <c r="V6788">
        <v>-5.0859620000000001E-2</v>
      </c>
      <c r="W6788">
        <v>-8.5472359999999997E-2</v>
      </c>
      <c r="X6788">
        <v>0.99504159999999997</v>
      </c>
      <c r="Y6788">
        <v>0.14738579999999901</v>
      </c>
      <c r="Z6788">
        <v>0.21709039999999999</v>
      </c>
      <c r="AA6788">
        <v>0.9649607</v>
      </c>
      <c r="AB6788">
        <v>24</v>
      </c>
      <c r="AC6788">
        <v>-0.115599999999972</v>
      </c>
      <c r="AD6788">
        <v>-0.1898823</v>
      </c>
      <c r="AE6788">
        <v>-0.58685999999999705</v>
      </c>
      <c r="AF6788">
        <v>0.113232215397419</v>
      </c>
      <c r="AG6788">
        <v>-0.1898823</v>
      </c>
      <c r="AH6788">
        <v>0.53144754892937496</v>
      </c>
      <c r="AI6788">
        <v>109.261909348698</v>
      </c>
      <c r="AJ6788">
        <v>77.972198499215693</v>
      </c>
      <c r="AK6788">
        <v>0.57559822769023405</v>
      </c>
      <c r="AL6788">
        <v>94.903187929837401</v>
      </c>
      <c r="AM6788">
        <v>92.926016214872107</v>
      </c>
      <c r="AN6788">
        <v>1.00000000550053</v>
      </c>
    </row>
    <row r="6789" spans="1:40" x14ac:dyDescent="0.25">
      <c r="A6789" t="str">
        <f>"20190305135059379"</f>
        <v>20190305135059379</v>
      </c>
      <c r="B6789" t="str">
        <f>"1551765059366604"</f>
        <v>1551765059366604</v>
      </c>
      <c r="C6789" t="s">
        <v>40</v>
      </c>
      <c r="D6789">
        <v>4.14947</v>
      </c>
      <c r="E6789">
        <v>0.57257119999999995</v>
      </c>
      <c r="F6789" t="s">
        <v>41</v>
      </c>
      <c r="G6789">
        <v>-302.92939999999999</v>
      </c>
      <c r="H6789">
        <v>0.9213789</v>
      </c>
      <c r="I6789">
        <v>-19.31381</v>
      </c>
      <c r="J6789">
        <v>-302.81389999999999</v>
      </c>
      <c r="K6789">
        <v>1.1078220000000001</v>
      </c>
      <c r="L6789">
        <v>-18.74905</v>
      </c>
      <c r="M6789">
        <v>1.4226050000000001E-2</v>
      </c>
      <c r="N6789">
        <v>-4.6103740000000004E-3</v>
      </c>
      <c r="O6789">
        <v>-0.99988809999999995</v>
      </c>
      <c r="P6789">
        <v>6.6297049999999996E-2</v>
      </c>
      <c r="Q6789">
        <v>-8.9687639999999999E-2</v>
      </c>
      <c r="R6789">
        <v>-0.99376109999999895</v>
      </c>
      <c r="S6789">
        <v>-0.41748049999999998</v>
      </c>
      <c r="T6789">
        <v>-0.68789699999999998</v>
      </c>
      <c r="U6789">
        <v>-2.9842219999999999</v>
      </c>
      <c r="V6789">
        <v>-5.2313079999999998E-2</v>
      </c>
      <c r="W6789">
        <v>-8.5002809999999998E-2</v>
      </c>
      <c r="X6789">
        <v>0.99500639999999996</v>
      </c>
      <c r="Y6789">
        <v>0.1492127</v>
      </c>
      <c r="Z6789">
        <v>0.2177991</v>
      </c>
      <c r="AA6789">
        <v>0.96452020000000005</v>
      </c>
      <c r="AB6789">
        <v>24</v>
      </c>
      <c r="AC6789">
        <v>-0.11549999999999699</v>
      </c>
      <c r="AD6789">
        <v>-0.186443099999999</v>
      </c>
      <c r="AE6789">
        <v>-0.56475999999999904</v>
      </c>
      <c r="AF6789">
        <v>0.11182479624960701</v>
      </c>
      <c r="AG6789">
        <v>-0.186443099999999</v>
      </c>
      <c r="AH6789">
        <v>0.50973657276587503</v>
      </c>
      <c r="AI6789">
        <v>109.660163752304</v>
      </c>
      <c r="AJ6789">
        <v>77.626599395990993</v>
      </c>
      <c r="AK6789">
        <v>0.55416350313691398</v>
      </c>
      <c r="AL6789">
        <v>94.876186768176794</v>
      </c>
      <c r="AM6789">
        <v>93.009590233023403</v>
      </c>
      <c r="AN6789">
        <v>0.99999993604396897</v>
      </c>
    </row>
    <row r="6790" spans="1:40" x14ac:dyDescent="0.25">
      <c r="A6790" t="str">
        <f>"20190305135059402"</f>
        <v>20190305135059402</v>
      </c>
      <c r="B6790" t="str">
        <f>"1551765059396860"</f>
        <v>1551765059396860</v>
      </c>
      <c r="C6790" t="s">
        <v>40</v>
      </c>
      <c r="D6790">
        <v>4.0989839999999997</v>
      </c>
      <c r="E6790">
        <v>0.57234209999999996</v>
      </c>
      <c r="F6790" t="s">
        <v>41</v>
      </c>
      <c r="G6790">
        <v>-302.92290000000003</v>
      </c>
      <c r="H6790">
        <v>0.92636589999999996</v>
      </c>
      <c r="I6790">
        <v>-19.536940000000001</v>
      </c>
      <c r="J6790">
        <v>-302.8116</v>
      </c>
      <c r="K6790">
        <v>1.1079300000000001</v>
      </c>
      <c r="L6790">
        <v>-19.002870000000001</v>
      </c>
      <c r="M6790">
        <v>1.3166809999999999E-2</v>
      </c>
      <c r="N6790">
        <v>-4.6120909999999996E-3</v>
      </c>
      <c r="O6790">
        <v>-0.99990270000000003</v>
      </c>
      <c r="P6790">
        <v>6.6651199999999994E-2</v>
      </c>
      <c r="Q6790">
        <v>-8.8748049999999995E-2</v>
      </c>
      <c r="R6790">
        <v>-0.99382170000000003</v>
      </c>
      <c r="S6790">
        <v>-0.41238399999999997</v>
      </c>
      <c r="T6790">
        <v>-0.68727669999999996</v>
      </c>
      <c r="U6790">
        <v>-2.9843139999999999</v>
      </c>
      <c r="V6790">
        <v>-5.3695100000000003E-2</v>
      </c>
      <c r="W6790">
        <v>-8.4073540000000002E-2</v>
      </c>
      <c r="X6790">
        <v>0.9950118</v>
      </c>
      <c r="Y6790">
        <v>0.14655079999999901</v>
      </c>
      <c r="Z6790">
        <v>0.21767500000000001</v>
      </c>
      <c r="AA6790">
        <v>0.96495620000000004</v>
      </c>
      <c r="AB6790">
        <v>25</v>
      </c>
      <c r="AC6790">
        <v>-0.111300000000028</v>
      </c>
      <c r="AD6790">
        <v>-0.18156409999999901</v>
      </c>
      <c r="AE6790">
        <v>-0.53406999999999605</v>
      </c>
      <c r="AF6790">
        <v>0.106523423902706</v>
      </c>
      <c r="AG6790">
        <v>-0.18156409999999901</v>
      </c>
      <c r="AH6790">
        <v>0.47945201752458599</v>
      </c>
      <c r="AI6790">
        <v>110.288175221213</v>
      </c>
      <c r="AJ6790">
        <v>77.473637168284</v>
      </c>
      <c r="AK6790">
        <v>0.52362868462027701</v>
      </c>
      <c r="AL6790">
        <v>94.822751907237205</v>
      </c>
      <c r="AM6790">
        <v>93.088929610268394</v>
      </c>
      <c r="AN6790">
        <v>1.0000000030156899</v>
      </c>
    </row>
    <row r="6791" spans="1:40" x14ac:dyDescent="0.25">
      <c r="A6791" t="str">
        <f>"20190305135059424"</f>
        <v>20190305135059424</v>
      </c>
      <c r="B6791" t="str">
        <f>"1551765059416380"</f>
        <v>1551765059416380</v>
      </c>
      <c r="C6791" t="s">
        <v>40</v>
      </c>
      <c r="D6791">
        <v>3.993941</v>
      </c>
      <c r="E6791">
        <v>0.57303440000000005</v>
      </c>
      <c r="F6791" t="s">
        <v>41</v>
      </c>
      <c r="G6791">
        <v>-302.91590000000002</v>
      </c>
      <c r="H6791">
        <v>0.93144990000000005</v>
      </c>
      <c r="I6791">
        <v>-19.761199999999999</v>
      </c>
      <c r="J6791">
        <v>-302.80930000000001</v>
      </c>
      <c r="K6791">
        <v>1.1080620000000001</v>
      </c>
      <c r="L6791">
        <v>-19.248380000000001</v>
      </c>
      <c r="M6791">
        <v>1.2350299999999899E-2</v>
      </c>
      <c r="N6791">
        <v>-4.6147820000000004E-3</v>
      </c>
      <c r="O6791">
        <v>-0.99991319999999995</v>
      </c>
      <c r="P6791">
        <v>6.6936090000000004E-2</v>
      </c>
      <c r="Q6791">
        <v>-8.8389990000000002E-2</v>
      </c>
      <c r="R6791">
        <v>-0.99383469999999996</v>
      </c>
      <c r="S6791">
        <v>-0.41021730000000001</v>
      </c>
      <c r="T6791">
        <v>-0.69444659999999903</v>
      </c>
      <c r="U6791">
        <v>-2.9841310000000001</v>
      </c>
      <c r="V6791">
        <v>-5.4765620000000001E-2</v>
      </c>
      <c r="W6791">
        <v>-8.3728060000000007E-2</v>
      </c>
      <c r="X6791">
        <v>0.99498260000000005</v>
      </c>
      <c r="Y6791">
        <v>0.14499509999999999</v>
      </c>
      <c r="Z6791">
        <v>0.2199284</v>
      </c>
      <c r="AA6791">
        <v>0.96468019999999999</v>
      </c>
      <c r="AB6791">
        <v>25</v>
      </c>
      <c r="AC6791">
        <v>-0.106600000000014</v>
      </c>
      <c r="AD6791">
        <v>-0.17661209999999999</v>
      </c>
      <c r="AE6791">
        <v>-0.51282000000000105</v>
      </c>
      <c r="AF6791">
        <v>0.10139712705176999</v>
      </c>
      <c r="AG6791">
        <v>-0.17661209999999999</v>
      </c>
      <c r="AH6791">
        <v>0.45925014132731701</v>
      </c>
      <c r="AI6791">
        <v>110.582274504618</v>
      </c>
      <c r="AJ6791">
        <v>77.549499253002907</v>
      </c>
      <c r="AK6791">
        <v>0.502378247488805</v>
      </c>
      <c r="AL6791">
        <v>94.802887250125707</v>
      </c>
      <c r="AM6791">
        <v>93.150483072761801</v>
      </c>
      <c r="AN6791">
        <v>1.00000001773405</v>
      </c>
    </row>
    <row r="6792" spans="1:40" x14ac:dyDescent="0.25">
      <c r="A6792" t="str">
        <f>"20190305135059446"</f>
        <v>20190305135059446</v>
      </c>
      <c r="B6792" t="str">
        <f>"1551765059436877"</f>
        <v>1551765059436877</v>
      </c>
      <c r="C6792" t="s">
        <v>40</v>
      </c>
      <c r="D6792">
        <v>4.1072660000000001</v>
      </c>
      <c r="E6792">
        <v>0.57296029999999998</v>
      </c>
      <c r="F6792" t="s">
        <v>41</v>
      </c>
      <c r="G6792">
        <v>-302.9119</v>
      </c>
      <c r="H6792">
        <v>0.93734669999999998</v>
      </c>
      <c r="I6792">
        <v>-19.986989999999999</v>
      </c>
      <c r="J6792">
        <v>-302.80700000000002</v>
      </c>
      <c r="K6792">
        <v>1.1082080000000001</v>
      </c>
      <c r="L6792">
        <v>-19.494109999999999</v>
      </c>
      <c r="M6792">
        <v>1.17515E-2</v>
      </c>
      <c r="N6792">
        <v>-4.6187629999999997E-3</v>
      </c>
      <c r="O6792">
        <v>-0.99992040000000004</v>
      </c>
      <c r="P6792">
        <v>6.7937310000000001E-2</v>
      </c>
      <c r="Q6792">
        <v>-8.7668659999999995E-2</v>
      </c>
      <c r="R6792">
        <v>-0.99383060000000001</v>
      </c>
      <c r="S6792">
        <v>-0.41418460000000001</v>
      </c>
      <c r="T6792">
        <v>-0.68993409999999999</v>
      </c>
      <c r="U6792">
        <v>-2.9851380000000001</v>
      </c>
      <c r="V6792">
        <v>-5.6332189999999997E-2</v>
      </c>
      <c r="W6792">
        <v>-8.3020659999999996E-2</v>
      </c>
      <c r="X6792">
        <v>0.99495440000000002</v>
      </c>
      <c r="Y6792">
        <v>0.14566309999999999</v>
      </c>
      <c r="Z6792">
        <v>0.21843989999999999</v>
      </c>
      <c r="AA6792">
        <v>0.96491780000000005</v>
      </c>
      <c r="AB6792">
        <v>25</v>
      </c>
      <c r="AC6792">
        <v>-0.104899999999986</v>
      </c>
      <c r="AD6792">
        <v>-0.17086129999999999</v>
      </c>
      <c r="AE6792">
        <v>-0.49287999999999899</v>
      </c>
      <c r="AF6792">
        <v>9.9272088711902795E-2</v>
      </c>
      <c r="AG6792">
        <v>-0.17086129999999999</v>
      </c>
      <c r="AH6792">
        <v>0.44092258835250397</v>
      </c>
      <c r="AI6792">
        <v>110.708864803105</v>
      </c>
      <c r="AJ6792">
        <v>77.311638374750103</v>
      </c>
      <c r="AK6792">
        <v>0.48317829044193</v>
      </c>
      <c r="AL6792">
        <v>94.762214681307398</v>
      </c>
      <c r="AM6792">
        <v>93.240504871615897</v>
      </c>
      <c r="AN6792">
        <v>1.00000000184819</v>
      </c>
    </row>
    <row r="6793" spans="1:40" x14ac:dyDescent="0.25">
      <c r="A6793" t="str">
        <f>"20190305135059469"</f>
        <v>20190305135059469</v>
      </c>
      <c r="B6793" t="str">
        <f>"1551765059456397"</f>
        <v>1551765059456397</v>
      </c>
      <c r="C6793" t="s">
        <v>40</v>
      </c>
      <c r="D6793">
        <v>4.0597349999999999</v>
      </c>
      <c r="E6793">
        <v>0.57306489999999999</v>
      </c>
      <c r="F6793" t="s">
        <v>41</v>
      </c>
      <c r="G6793">
        <v>-302.90589999999997</v>
      </c>
      <c r="H6793">
        <v>0.94210179999999999</v>
      </c>
      <c r="I6793">
        <v>-20.21322</v>
      </c>
      <c r="J6793">
        <v>-302.80459999999999</v>
      </c>
      <c r="K6793">
        <v>1.1083670000000001</v>
      </c>
      <c r="L6793">
        <v>-19.752079999999999</v>
      </c>
      <c r="M6793">
        <v>1.135471E-2</v>
      </c>
      <c r="N6793">
        <v>-4.6242799999999997E-3</v>
      </c>
      <c r="O6793">
        <v>-0.99992510000000001</v>
      </c>
      <c r="P6793">
        <v>6.8716589999999994E-2</v>
      </c>
      <c r="Q6793">
        <v>-8.7206240000000004E-2</v>
      </c>
      <c r="R6793">
        <v>-0.99381799999999998</v>
      </c>
      <c r="S6793">
        <v>-0.4104004</v>
      </c>
      <c r="T6793">
        <v>-0.68969460000000005</v>
      </c>
      <c r="U6793">
        <v>-2.98584</v>
      </c>
      <c r="V6793">
        <v>-5.747389E-2</v>
      </c>
      <c r="W6793">
        <v>-8.2574209999999995E-2</v>
      </c>
      <c r="X6793">
        <v>0.99492630000000004</v>
      </c>
      <c r="Y6793">
        <v>0.144043</v>
      </c>
      <c r="Z6793">
        <v>0.2183582</v>
      </c>
      <c r="AA6793">
        <v>0.96517940000000002</v>
      </c>
      <c r="AB6793">
        <v>25</v>
      </c>
      <c r="AC6793">
        <v>-0.10129999999998</v>
      </c>
      <c r="AD6793">
        <v>-0.1662652</v>
      </c>
      <c r="AE6793">
        <v>-0.46113999999999999</v>
      </c>
      <c r="AF6793">
        <v>9.4776099773460298E-2</v>
      </c>
      <c r="AG6793">
        <v>-0.1662652</v>
      </c>
      <c r="AH6793">
        <v>0.40921211666019203</v>
      </c>
      <c r="AI6793">
        <v>111.59504328872001</v>
      </c>
      <c r="AJ6793">
        <v>76.959856599739993</v>
      </c>
      <c r="AK6793">
        <v>0.45175345293735603</v>
      </c>
      <c r="AL6793">
        <v>94.736546640905203</v>
      </c>
      <c r="AM6793">
        <v>93.306130004700194</v>
      </c>
      <c r="AN6793">
        <v>1.00000004531027</v>
      </c>
    </row>
    <row r="6794" spans="1:40" x14ac:dyDescent="0.25">
      <c r="A6794" t="str">
        <f>"20190305135059493"</f>
        <v>20190305135059493</v>
      </c>
      <c r="B6794" t="str">
        <f>"1551765059486652"</f>
        <v>1551765059486652</v>
      </c>
      <c r="C6794" t="s">
        <v>40</v>
      </c>
      <c r="D6794">
        <v>4.0499419999999997</v>
      </c>
      <c r="E6794">
        <v>0.57330729999999996</v>
      </c>
      <c r="F6794" t="s">
        <v>41</v>
      </c>
      <c r="G6794">
        <v>-302.89929999999998</v>
      </c>
      <c r="H6794">
        <v>0.94932190000000005</v>
      </c>
      <c r="I6794">
        <v>-20.441680000000002</v>
      </c>
      <c r="J6794">
        <v>-302.80180000000001</v>
      </c>
      <c r="K6794">
        <v>1.1085339999999999</v>
      </c>
      <c r="L6794">
        <v>-20.023040000000002</v>
      </c>
      <c r="M6794">
        <v>1.1232249999999999E-2</v>
      </c>
      <c r="N6794">
        <v>-4.631474E-3</v>
      </c>
      <c r="O6794">
        <v>-0.99992630000000005</v>
      </c>
      <c r="P6794">
        <v>6.9681649999999998E-2</v>
      </c>
      <c r="Q6794">
        <v>-8.7288279999999996E-2</v>
      </c>
      <c r="R6794">
        <v>-0.9937435</v>
      </c>
      <c r="S6794">
        <v>-0.40801999999999999</v>
      </c>
      <c r="T6794">
        <v>-0.68878269999999997</v>
      </c>
      <c r="U6794">
        <v>-2.98645</v>
      </c>
      <c r="V6794">
        <v>-5.8526099999999998E-2</v>
      </c>
      <c r="W6794">
        <v>-8.2673529999999995E-2</v>
      </c>
      <c r="X6794">
        <v>0.99485670000000004</v>
      </c>
      <c r="Y6794">
        <v>0.1431499</v>
      </c>
      <c r="Z6794">
        <v>0.21805459999999999</v>
      </c>
      <c r="AA6794">
        <v>0.96538089999999999</v>
      </c>
      <c r="AB6794">
        <v>25</v>
      </c>
      <c r="AC6794">
        <v>-9.7499999999968098E-2</v>
      </c>
      <c r="AD6794">
        <v>-0.159212099999999</v>
      </c>
      <c r="AE6794">
        <v>-0.41863999999999901</v>
      </c>
      <c r="AF6794">
        <v>8.9867068528747804E-2</v>
      </c>
      <c r="AG6794">
        <v>-0.159212099999999</v>
      </c>
      <c r="AH6794">
        <v>0.36714838103726199</v>
      </c>
      <c r="AI6794">
        <v>112.84134835530899</v>
      </c>
      <c r="AJ6794">
        <v>76.246108330271198</v>
      </c>
      <c r="AK6794">
        <v>0.41014938314063398</v>
      </c>
      <c r="AL6794">
        <v>94.742256829435405</v>
      </c>
      <c r="AM6794">
        <v>93.366754382502506</v>
      </c>
      <c r="AN6794">
        <v>1.0000000352393701</v>
      </c>
    </row>
    <row r="6795" spans="1:40" x14ac:dyDescent="0.25">
      <c r="A6795" t="str">
        <f>"20190305135059513"</f>
        <v>20190305135059513</v>
      </c>
      <c r="B6795" t="str">
        <f>"1551765059507150"</f>
        <v>1551765059507150</v>
      </c>
      <c r="C6795" t="s">
        <v>40</v>
      </c>
      <c r="D6795">
        <v>3.974618</v>
      </c>
      <c r="E6795">
        <v>0.57346929999999996</v>
      </c>
      <c r="F6795" t="s">
        <v>41</v>
      </c>
      <c r="G6795">
        <v>-302.91860000000003</v>
      </c>
      <c r="H6795">
        <v>0.91090539999999998</v>
      </c>
      <c r="I6795">
        <v>-20.87922</v>
      </c>
      <c r="J6795">
        <v>-302.79910000000001</v>
      </c>
      <c r="K6795">
        <v>1.1086830000000001</v>
      </c>
      <c r="L6795">
        <v>-20.258389999999999</v>
      </c>
      <c r="M6795">
        <v>1.134981E-2</v>
      </c>
      <c r="N6795">
        <v>-4.6385949999999997E-3</v>
      </c>
      <c r="O6795">
        <v>-0.99992510000000001</v>
      </c>
      <c r="P6795">
        <v>7.0653279999999999E-2</v>
      </c>
      <c r="Q6795">
        <v>-8.7485599999999997E-2</v>
      </c>
      <c r="R6795">
        <v>-0.99365749999999997</v>
      </c>
      <c r="S6795">
        <v>-0.40670780000000001</v>
      </c>
      <c r="T6795">
        <v>-0.68945599999999996</v>
      </c>
      <c r="U6795">
        <v>-2.986847</v>
      </c>
      <c r="V6795">
        <v>-5.9351880000000003E-2</v>
      </c>
      <c r="W6795">
        <v>-8.2885819999999999E-2</v>
      </c>
      <c r="X6795">
        <v>0.99479010000000001</v>
      </c>
      <c r="Y6795">
        <v>0.14282700000000001</v>
      </c>
      <c r="Z6795">
        <v>0.2182376</v>
      </c>
      <c r="AA6795">
        <v>0.96538740000000001</v>
      </c>
      <c r="AB6795">
        <v>25</v>
      </c>
      <c r="AC6795">
        <v>-0.119500000000016</v>
      </c>
      <c r="AD6795">
        <v>-0.1977776</v>
      </c>
      <c r="AE6795">
        <v>-0.62083000000000099</v>
      </c>
      <c r="AF6795">
        <v>0.115259304195722</v>
      </c>
      <c r="AG6795">
        <v>-0.1977776</v>
      </c>
      <c r="AH6795">
        <v>0.56421875963132095</v>
      </c>
      <c r="AI6795">
        <v>108.954560029082</v>
      </c>
      <c r="AJ6795">
        <v>78.454400756836705</v>
      </c>
      <c r="AK6795">
        <v>0.60888709543342101</v>
      </c>
      <c r="AL6795">
        <v>94.754462093751997</v>
      </c>
      <c r="AM6795">
        <v>93.414374390457198</v>
      </c>
      <c r="AN6795">
        <v>1.0000000239372999</v>
      </c>
    </row>
    <row r="6796" spans="1:40" x14ac:dyDescent="0.25">
      <c r="A6796" t="str">
        <f>"20190305135059538"</f>
        <v>20190305135059538</v>
      </c>
      <c r="B6796" t="str">
        <f>"1551765059526669"</f>
        <v>1551765059526669</v>
      </c>
      <c r="C6796" t="s">
        <v>40</v>
      </c>
      <c r="D6796">
        <v>4.0516489999999896</v>
      </c>
      <c r="E6796">
        <v>0.57376070000000001</v>
      </c>
      <c r="F6796" t="s">
        <v>41</v>
      </c>
      <c r="G6796">
        <v>-302.91410000000002</v>
      </c>
      <c r="H6796">
        <v>0.91219939999999999</v>
      </c>
      <c r="I6796">
        <v>-21.10801</v>
      </c>
      <c r="J6796">
        <v>-302.79579999999999</v>
      </c>
      <c r="K6796">
        <v>1.10884</v>
      </c>
      <c r="L6796">
        <v>-20.532139999999998</v>
      </c>
      <c r="M6796">
        <v>1.1720090000000001E-2</v>
      </c>
      <c r="N6796">
        <v>-4.6474929999999999E-3</v>
      </c>
      <c r="O6796">
        <v>-0.99992080000000005</v>
      </c>
      <c r="P6796">
        <v>7.1726659999999998E-2</v>
      </c>
      <c r="Q6796">
        <v>-8.7159280000000006E-2</v>
      </c>
      <c r="R6796">
        <v>-0.99360919999999997</v>
      </c>
      <c r="S6796">
        <v>-0.40454099999999998</v>
      </c>
      <c r="T6796">
        <v>-0.69077889999999997</v>
      </c>
      <c r="U6796">
        <v>-2.9870909999999999</v>
      </c>
      <c r="V6796">
        <v>-6.002511E-2</v>
      </c>
      <c r="W6796">
        <v>-8.2574079999999994E-2</v>
      </c>
      <c r="X6796">
        <v>0.99477559999999998</v>
      </c>
      <c r="Y6796">
        <v>0.1424831</v>
      </c>
      <c r="Z6796">
        <v>0.2186324</v>
      </c>
      <c r="AA6796">
        <v>0.96534880000000001</v>
      </c>
      <c r="AB6796">
        <v>25</v>
      </c>
      <c r="AC6796">
        <v>-0.118300000000033</v>
      </c>
      <c r="AD6796">
        <v>-0.196640599999999</v>
      </c>
      <c r="AE6796">
        <v>-0.57587000000000099</v>
      </c>
      <c r="AF6796">
        <v>0.112459419015769</v>
      </c>
      <c r="AG6796">
        <v>-0.196640599999999</v>
      </c>
      <c r="AH6796">
        <v>0.51664279891853904</v>
      </c>
      <c r="AI6796">
        <v>110.40034602324801</v>
      </c>
      <c r="AJ6796">
        <v>77.719791075741099</v>
      </c>
      <c r="AK6796">
        <v>0.564122706658849</v>
      </c>
      <c r="AL6796">
        <v>94.736539413191693</v>
      </c>
      <c r="AM6796">
        <v>93.453060756417798</v>
      </c>
      <c r="AN6796">
        <v>0.99999999343685897</v>
      </c>
    </row>
    <row r="6797" spans="1:40" x14ac:dyDescent="0.25">
      <c r="A6797" t="str">
        <f>"20190305135059560"</f>
        <v>20190305135059560</v>
      </c>
      <c r="B6797" t="str">
        <f>"1551765059547166"</f>
        <v>1551765059547166</v>
      </c>
      <c r="C6797" t="s">
        <v>40</v>
      </c>
      <c r="D6797">
        <v>4.0611750000000004</v>
      </c>
      <c r="E6797">
        <v>0.57399259999999996</v>
      </c>
      <c r="F6797" t="s">
        <v>41</v>
      </c>
      <c r="G6797">
        <v>-302.9051</v>
      </c>
      <c r="H6797">
        <v>0.92196389999999995</v>
      </c>
      <c r="I6797">
        <v>-21.341139999999999</v>
      </c>
      <c r="J6797">
        <v>-302.79230000000001</v>
      </c>
      <c r="K6797">
        <v>1.108975</v>
      </c>
      <c r="L6797">
        <v>-20.79074</v>
      </c>
      <c r="M6797">
        <v>1.2283560000000001E-2</v>
      </c>
      <c r="N6797">
        <v>-4.6564609999999998E-3</v>
      </c>
      <c r="O6797">
        <v>-0.99991390000000002</v>
      </c>
      <c r="P6797">
        <v>7.3235359999999999E-2</v>
      </c>
      <c r="Q6797">
        <v>-8.773446E-2</v>
      </c>
      <c r="R6797">
        <v>-0.99344860000000001</v>
      </c>
      <c r="S6797">
        <v>-0.40319820000000001</v>
      </c>
      <c r="T6797">
        <v>-0.69022830000000002</v>
      </c>
      <c r="U6797">
        <v>-2.987854</v>
      </c>
      <c r="V6797">
        <v>-6.0947550000000003E-2</v>
      </c>
      <c r="W6797">
        <v>-8.3161879999999994E-2</v>
      </c>
      <c r="X6797">
        <v>0.99467059999999996</v>
      </c>
      <c r="Y6797">
        <v>0.14258850000000001</v>
      </c>
      <c r="Z6797">
        <v>0.21840300000000001</v>
      </c>
      <c r="AA6797">
        <v>0.9653853</v>
      </c>
      <c r="AB6797">
        <v>26</v>
      </c>
      <c r="AC6797">
        <v>-0.112799999999992</v>
      </c>
      <c r="AD6797">
        <v>-0.18701110000000001</v>
      </c>
      <c r="AE6797">
        <v>-0.550399999999999</v>
      </c>
      <c r="AF6797">
        <v>0.10762806805412101</v>
      </c>
      <c r="AG6797">
        <v>-0.18701110000000001</v>
      </c>
      <c r="AH6797">
        <v>0.49421737647311598</v>
      </c>
      <c r="AI6797">
        <v>110.290995926733</v>
      </c>
      <c r="AJ6797">
        <v>77.714249272082796</v>
      </c>
      <c r="AK6797">
        <v>0.53926595272114297</v>
      </c>
      <c r="AL6797">
        <v>94.770333827273305</v>
      </c>
      <c r="AM6797">
        <v>93.506363716918301</v>
      </c>
      <c r="AN6797">
        <v>1.0000000523202399</v>
      </c>
    </row>
    <row r="6798" spans="1:40" x14ac:dyDescent="0.25">
      <c r="A6798" t="str">
        <f>"20190305135059581"</f>
        <v>20190305135059581</v>
      </c>
      <c r="B6798" t="str">
        <f>"1551765059576444"</f>
        <v>1551765059576444</v>
      </c>
      <c r="C6798" t="s">
        <v>40</v>
      </c>
      <c r="D6798">
        <v>4.0647669999999998</v>
      </c>
      <c r="E6798">
        <v>0.5743047</v>
      </c>
      <c r="F6798" t="s">
        <v>41</v>
      </c>
      <c r="G6798">
        <v>-302.8974</v>
      </c>
      <c r="H6798">
        <v>0.92766300000000002</v>
      </c>
      <c r="I6798">
        <v>-21.573699999999999</v>
      </c>
      <c r="J6798">
        <v>-302.78870000000001</v>
      </c>
      <c r="K6798">
        <v>1.1090960000000001</v>
      </c>
      <c r="L6798">
        <v>-21.029240000000001</v>
      </c>
      <c r="M6798">
        <v>1.298211E-2</v>
      </c>
      <c r="N6798">
        <v>-4.6653379999999998E-3</v>
      </c>
      <c r="O6798">
        <v>-0.99990509999999999</v>
      </c>
      <c r="P6798">
        <v>7.5599810000000003E-2</v>
      </c>
      <c r="Q6798">
        <v>-8.8239650000000003E-2</v>
      </c>
      <c r="R6798">
        <v>-0.99322659999999996</v>
      </c>
      <c r="S6798">
        <v>-0.40075680000000002</v>
      </c>
      <c r="T6798">
        <v>-0.69204309999999902</v>
      </c>
      <c r="U6798">
        <v>-2.9882200000000001</v>
      </c>
      <c r="V6798">
        <v>-6.2594819999999995E-2</v>
      </c>
      <c r="W6798">
        <v>-8.3679009999999998E-2</v>
      </c>
      <c r="X6798">
        <v>0.99452490000000004</v>
      </c>
      <c r="Y6798">
        <v>0.14247290000000001</v>
      </c>
      <c r="Z6798">
        <v>0.21893589999999999</v>
      </c>
      <c r="AA6798">
        <v>0.96528159999999996</v>
      </c>
      <c r="AB6798">
        <v>26</v>
      </c>
      <c r="AC6798">
        <v>-0.10869999999999801</v>
      </c>
      <c r="AD6798">
        <v>-0.18143300000000001</v>
      </c>
      <c r="AE6798">
        <v>-0.54446000000000006</v>
      </c>
      <c r="AF6798">
        <v>0.10459009302956</v>
      </c>
      <c r="AG6798">
        <v>-0.18143300000000001</v>
      </c>
      <c r="AH6798">
        <v>0.49061112307303001</v>
      </c>
      <c r="AI6798">
        <v>109.884185876567</v>
      </c>
      <c r="AJ6798">
        <v>77.965647770841898</v>
      </c>
      <c r="AK6798">
        <v>0.53343818304646295</v>
      </c>
      <c r="AL6798">
        <v>94.800066924209304</v>
      </c>
      <c r="AM6798">
        <v>93.601412612235094</v>
      </c>
      <c r="AN6798">
        <v>1.0000000324627101</v>
      </c>
    </row>
    <row r="6799" spans="1:40" x14ac:dyDescent="0.25">
      <c r="A6799" t="str">
        <f>"20190305135059603"</f>
        <v>20190305135059603</v>
      </c>
      <c r="B6799" t="str">
        <f>"1551765059596940"</f>
        <v>1551765059596940</v>
      </c>
      <c r="C6799" t="s">
        <v>40</v>
      </c>
      <c r="D6799">
        <v>4.0513859999999999</v>
      </c>
      <c r="E6799">
        <v>0.57442209999999905</v>
      </c>
      <c r="F6799" t="s">
        <v>41</v>
      </c>
      <c r="G6799">
        <v>-302.892</v>
      </c>
      <c r="H6799">
        <v>0.92928659999999996</v>
      </c>
      <c r="I6799">
        <v>-21.805789999999998</v>
      </c>
      <c r="J6799">
        <v>-302.78449999999998</v>
      </c>
      <c r="K6799">
        <v>1.109226</v>
      </c>
      <c r="L6799">
        <v>-21.289000000000001</v>
      </c>
      <c r="M6799">
        <v>1.391912E-2</v>
      </c>
      <c r="N6799">
        <v>-4.675673E-3</v>
      </c>
      <c r="O6799">
        <v>-0.99989220000000001</v>
      </c>
      <c r="P6799">
        <v>7.8619149999999999E-2</v>
      </c>
      <c r="Q6799">
        <v>-8.8092509999999999E-2</v>
      </c>
      <c r="R6799">
        <v>-0.99300509999999997</v>
      </c>
      <c r="S6799">
        <v>-0.39648440000000001</v>
      </c>
      <c r="T6799">
        <v>-0.69222989999999995</v>
      </c>
      <c r="U6799">
        <v>-2.9891359999999998</v>
      </c>
      <c r="V6799">
        <v>-6.4659709999999995E-2</v>
      </c>
      <c r="W6799">
        <v>-8.3544660000000007E-2</v>
      </c>
      <c r="X6799">
        <v>0.99440410000000001</v>
      </c>
      <c r="Y6799">
        <v>0.1420052</v>
      </c>
      <c r="Z6799">
        <v>0.21894159999999999</v>
      </c>
      <c r="AA6799">
        <v>0.96534920000000002</v>
      </c>
      <c r="AB6799">
        <v>26</v>
      </c>
      <c r="AC6799">
        <v>-0.107500000000015</v>
      </c>
      <c r="AD6799">
        <v>-0.1799394</v>
      </c>
      <c r="AE6799">
        <v>-0.51678999999999597</v>
      </c>
      <c r="AF6799">
        <v>0.102743538485804</v>
      </c>
      <c r="AG6799">
        <v>-0.1799394</v>
      </c>
      <c r="AH6799">
        <v>0.46160273108106797</v>
      </c>
      <c r="AI6799">
        <v>110.83196708714</v>
      </c>
      <c r="AJ6799">
        <v>77.451658973345602</v>
      </c>
      <c r="AK6799">
        <v>0.50597579360523204</v>
      </c>
      <c r="AL6799">
        <v>94.792342097512702</v>
      </c>
      <c r="AM6799">
        <v>93.720339060496798</v>
      </c>
      <c r="AN6799">
        <v>1.0000000512042999</v>
      </c>
    </row>
    <row r="6800" spans="1:40" x14ac:dyDescent="0.25">
      <c r="A6800" t="str">
        <f>"20190305135059625"</f>
        <v>20190305135059625</v>
      </c>
      <c r="B6800" t="str">
        <f>"1551765059616461"</f>
        <v>1551765059616461</v>
      </c>
      <c r="C6800" t="s">
        <v>40</v>
      </c>
      <c r="D6800">
        <v>4.0569829999999998</v>
      </c>
      <c r="E6800">
        <v>0.57466450000000002</v>
      </c>
      <c r="F6800" t="s">
        <v>41</v>
      </c>
      <c r="G6800">
        <v>-302.88209999999998</v>
      </c>
      <c r="H6800">
        <v>0.93540789999999996</v>
      </c>
      <c r="I6800">
        <v>-22.040790000000001</v>
      </c>
      <c r="J6800">
        <v>-302.77980000000002</v>
      </c>
      <c r="K6800">
        <v>1.1093519999999999</v>
      </c>
      <c r="L6800">
        <v>-21.547699999999999</v>
      </c>
      <c r="M6800">
        <v>1.500717E-2</v>
      </c>
      <c r="N6800">
        <v>-4.6864480000000002E-3</v>
      </c>
      <c r="O6800">
        <v>-0.9998764</v>
      </c>
      <c r="P6800">
        <v>8.1788609999999998E-2</v>
      </c>
      <c r="Q6800">
        <v>-8.7093740000000003E-2</v>
      </c>
      <c r="R6800">
        <v>-0.99283710000000003</v>
      </c>
      <c r="S6800">
        <v>-0.3887024</v>
      </c>
      <c r="T6800">
        <v>-0.69138159999999904</v>
      </c>
      <c r="U6800">
        <v>-2.99057</v>
      </c>
      <c r="V6800">
        <v>-6.6728199999999904E-2</v>
      </c>
      <c r="W6800">
        <v>-8.2557480000000003E-2</v>
      </c>
      <c r="X6800">
        <v>0.99434979999999995</v>
      </c>
      <c r="Y6800">
        <v>0.14056170000000001</v>
      </c>
      <c r="Z6800">
        <v>0.21862300000000001</v>
      </c>
      <c r="AA6800">
        <v>0.96563259999999995</v>
      </c>
      <c r="AB6800">
        <v>26</v>
      </c>
      <c r="AC6800">
        <v>-0.102299999999956</v>
      </c>
      <c r="AD6800">
        <v>-0.17394409999999999</v>
      </c>
      <c r="AE6800">
        <v>-0.49308999999999797</v>
      </c>
      <c r="AF6800">
        <v>9.7996771451089607E-2</v>
      </c>
      <c r="AG6800">
        <v>-0.17394409999999999</v>
      </c>
      <c r="AH6800">
        <v>0.439110393236473</v>
      </c>
      <c r="AI6800">
        <v>111.137377872606</v>
      </c>
      <c r="AJ6800">
        <v>77.419391722971099</v>
      </c>
      <c r="AK6800">
        <v>0.482366929409488</v>
      </c>
      <c r="AL6800">
        <v>94.735585215380596</v>
      </c>
      <c r="AM6800">
        <v>93.839212814343199</v>
      </c>
      <c r="AN6800">
        <v>0.99999995746961401</v>
      </c>
    </row>
    <row r="6801" spans="1:40" x14ac:dyDescent="0.25">
      <c r="A6801" t="str">
        <f>"20190305135059647"</f>
        <v>20190305135059647</v>
      </c>
      <c r="B6801" t="str">
        <f>"1551765059636957"</f>
        <v>1551765059636957</v>
      </c>
      <c r="C6801" t="s">
        <v>40</v>
      </c>
      <c r="D6801">
        <v>4.0672059999999997</v>
      </c>
      <c r="E6801">
        <v>0.57499089999999997</v>
      </c>
      <c r="F6801" t="s">
        <v>41</v>
      </c>
      <c r="G6801">
        <v>-302.87279999999998</v>
      </c>
      <c r="H6801">
        <v>0.94178779999999995</v>
      </c>
      <c r="I6801">
        <v>-22.276949999999999</v>
      </c>
      <c r="J6801">
        <v>-302.77480000000003</v>
      </c>
      <c r="K6801">
        <v>1.1094619999999999</v>
      </c>
      <c r="L6801">
        <v>-21.8064</v>
      </c>
      <c r="M6801">
        <v>1.6220160000000001E-2</v>
      </c>
      <c r="N6801">
        <v>-4.7005789999999999E-3</v>
      </c>
      <c r="O6801">
        <v>-0.99985760000000001</v>
      </c>
      <c r="P6801">
        <v>8.48521E-2</v>
      </c>
      <c r="Q6801">
        <v>-8.5659189999999996E-2</v>
      </c>
      <c r="R6801">
        <v>-0.99270499999999995</v>
      </c>
      <c r="S6801">
        <v>-0.38079829999999998</v>
      </c>
      <c r="T6801">
        <v>-0.68770279999999995</v>
      </c>
      <c r="U6801">
        <v>-2.9926759999999999</v>
      </c>
      <c r="V6801">
        <v>-6.8570140000000002E-2</v>
      </c>
      <c r="W6801">
        <v>-8.1128980000000003E-2</v>
      </c>
      <c r="X6801">
        <v>0.99434210000000001</v>
      </c>
      <c r="Y6801">
        <v>0.1392022</v>
      </c>
      <c r="Z6801">
        <v>0.21738250000000001</v>
      </c>
      <c r="AA6801">
        <v>0.96610949999999995</v>
      </c>
      <c r="AB6801">
        <v>26</v>
      </c>
      <c r="AC6801">
        <v>-9.7999999999956303E-2</v>
      </c>
      <c r="AD6801">
        <v>-0.1676742</v>
      </c>
      <c r="AE6801">
        <v>-0.47054999999999902</v>
      </c>
      <c r="AF6801">
        <v>9.4160518293973094E-2</v>
      </c>
      <c r="AG6801">
        <v>-0.1676742</v>
      </c>
      <c r="AH6801">
        <v>0.41802593191793602</v>
      </c>
      <c r="AI6801">
        <v>111.37067497721399</v>
      </c>
      <c r="AJ6801">
        <v>77.305960395868794</v>
      </c>
      <c r="AK6801">
        <v>0.46013750152197802</v>
      </c>
      <c r="AL6801">
        <v>94.653462511491</v>
      </c>
      <c r="AM6801">
        <v>93.944889319149993</v>
      </c>
      <c r="AN6801">
        <v>0.99999999366393399</v>
      </c>
    </row>
    <row r="6802" spans="1:40" x14ac:dyDescent="0.25">
      <c r="A6802" t="str">
        <f>"20190305135059670"</f>
        <v>20190305135059670</v>
      </c>
      <c r="B6802" t="str">
        <f>"1551765059656476"</f>
        <v>1551765059656476</v>
      </c>
      <c r="C6802" t="s">
        <v>40</v>
      </c>
      <c r="D6802">
        <v>4.0677300000000001</v>
      </c>
      <c r="E6802">
        <v>0.57529209999999997</v>
      </c>
      <c r="F6802" t="s">
        <v>41</v>
      </c>
      <c r="G6802">
        <v>-302.86329999999998</v>
      </c>
      <c r="H6802">
        <v>0.94798640000000001</v>
      </c>
      <c r="I6802">
        <v>-22.514099999999999</v>
      </c>
      <c r="J6802">
        <v>-302.76909999999998</v>
      </c>
      <c r="K6802">
        <v>1.109561</v>
      </c>
      <c r="L6802">
        <v>-22.07123</v>
      </c>
      <c r="M6802">
        <v>1.755907E-2</v>
      </c>
      <c r="N6802">
        <v>-4.7233850000000001E-3</v>
      </c>
      <c r="O6802">
        <v>-0.99983489999999997</v>
      </c>
      <c r="P6802">
        <v>8.8616730000000005E-2</v>
      </c>
      <c r="Q6802">
        <v>-8.4452699999999895E-2</v>
      </c>
      <c r="R6802">
        <v>-0.99247920000000001</v>
      </c>
      <c r="S6802">
        <v>-0.37396239999999997</v>
      </c>
      <c r="T6802">
        <v>-0.68342400000000003</v>
      </c>
      <c r="U6802">
        <v>-2.9950559999999999</v>
      </c>
      <c r="V6802">
        <v>-7.0994050000000003E-2</v>
      </c>
      <c r="W6802">
        <v>-7.9919260000000006E-2</v>
      </c>
      <c r="X6802">
        <v>0.99426999999999999</v>
      </c>
      <c r="Y6802">
        <v>0.1383017</v>
      </c>
      <c r="Z6802">
        <v>0.2159161</v>
      </c>
      <c r="AA6802">
        <v>0.96656759999999997</v>
      </c>
      <c r="AB6802">
        <v>26</v>
      </c>
      <c r="AC6802">
        <v>-9.42000000000007E-2</v>
      </c>
      <c r="AD6802">
        <v>-0.16157460000000001</v>
      </c>
      <c r="AE6802">
        <v>-0.44286999999999899</v>
      </c>
      <c r="AF6802">
        <v>9.0444443067452404E-2</v>
      </c>
      <c r="AG6802">
        <v>-0.16157460000000001</v>
      </c>
      <c r="AH6802">
        <v>0.39131610960053398</v>
      </c>
      <c r="AI6802">
        <v>111.91466890162199</v>
      </c>
      <c r="AJ6802">
        <v>76.985821801857298</v>
      </c>
      <c r="AK6802">
        <v>0.43291436367928299</v>
      </c>
      <c r="AL6802">
        <v>94.583924639878006</v>
      </c>
      <c r="AM6802">
        <v>94.084169926582405</v>
      </c>
      <c r="AN6802">
        <v>1.0000000380771701</v>
      </c>
    </row>
    <row r="6803" spans="1:40" x14ac:dyDescent="0.25">
      <c r="A6803" t="str">
        <f>"20190305135059692"</f>
        <v>20190305135059692</v>
      </c>
      <c r="B6803" t="str">
        <f>"1551765059686732"</f>
        <v>1551765059686732</v>
      </c>
      <c r="C6803" t="s">
        <v>40</v>
      </c>
      <c r="D6803">
        <v>4.4671709999999996</v>
      </c>
      <c r="E6803">
        <v>0.53557480000000002</v>
      </c>
      <c r="F6803" t="s">
        <v>41</v>
      </c>
      <c r="G6803">
        <v>-302.8784</v>
      </c>
      <c r="H6803">
        <v>0.90578999999999998</v>
      </c>
      <c r="I6803">
        <v>-22.968820000000001</v>
      </c>
      <c r="J6803">
        <v>-302.76310000000001</v>
      </c>
      <c r="K6803">
        <v>1.1096170000000001</v>
      </c>
      <c r="L6803">
        <v>-22.33344</v>
      </c>
      <c r="M6803">
        <v>1.895407E-2</v>
      </c>
      <c r="N6803">
        <v>-4.7520130000000002E-3</v>
      </c>
      <c r="O6803">
        <v>-0.99980919999999895</v>
      </c>
      <c r="P6803">
        <v>9.2728459999999999E-2</v>
      </c>
      <c r="Q6803">
        <v>-8.3484379999999997E-2</v>
      </c>
      <c r="R6803">
        <v>-0.99218569999999995</v>
      </c>
      <c r="S6803">
        <v>-0.36465449999999999</v>
      </c>
      <c r="T6803">
        <v>-0.68047630000000003</v>
      </c>
      <c r="U6803">
        <v>-2.9973749999999999</v>
      </c>
      <c r="V6803">
        <v>-7.3715699999999995E-2</v>
      </c>
      <c r="W6803">
        <v>-7.8938910000000001E-2</v>
      </c>
      <c r="X6803">
        <v>0.99415019999999998</v>
      </c>
      <c r="Y6803">
        <v>0.13666249999999999</v>
      </c>
      <c r="Z6803">
        <v>0.2148777</v>
      </c>
      <c r="AA6803">
        <v>0.967032</v>
      </c>
      <c r="AB6803">
        <v>26</v>
      </c>
      <c r="AC6803">
        <v>-0.11529999999998999</v>
      </c>
      <c r="AD6803">
        <v>-0.20382700000000001</v>
      </c>
      <c r="AE6803">
        <v>-0.63538000000000106</v>
      </c>
      <c r="AF6803">
        <v>0.11578674819172299</v>
      </c>
      <c r="AG6803">
        <v>-0.20382700000000001</v>
      </c>
      <c r="AH6803">
        <v>0.57572187297381705</v>
      </c>
      <c r="AI6803">
        <v>109.141245098875</v>
      </c>
      <c r="AJ6803">
        <v>78.628610590304504</v>
      </c>
      <c r="AK6803">
        <v>0.62161699784215496</v>
      </c>
      <c r="AL6803">
        <v>94.527576918989098</v>
      </c>
      <c r="AM6803">
        <v>94.240690472054993</v>
      </c>
      <c r="AN6803">
        <v>0.99999998804925805</v>
      </c>
    </row>
    <row r="6804" spans="1:40" x14ac:dyDescent="0.25">
      <c r="A6804" t="str">
        <f>"20190305135059715"</f>
        <v>20190305135059715</v>
      </c>
      <c r="B6804" t="str">
        <f>"1551765059707230"</f>
        <v>1551765059707230</v>
      </c>
      <c r="C6804" t="s">
        <v>40</v>
      </c>
      <c r="D6804">
        <v>3.9698410000000002</v>
      </c>
      <c r="E6804">
        <v>0.48361769999999998</v>
      </c>
      <c r="F6804" t="s">
        <v>41</v>
      </c>
      <c r="G6804">
        <v>-302.77260000000001</v>
      </c>
      <c r="H6804">
        <v>0.92775799999999997</v>
      </c>
      <c r="I6804">
        <v>-23.21311</v>
      </c>
      <c r="J6804">
        <v>-302.75659999999999</v>
      </c>
      <c r="K6804">
        <v>1.1096509999999999</v>
      </c>
      <c r="L6804">
        <v>-22.598020000000002</v>
      </c>
      <c r="M6804">
        <v>2.0395960000000001E-2</v>
      </c>
      <c r="N6804">
        <v>-4.7823129999999998E-3</v>
      </c>
      <c r="O6804">
        <v>-0.99978080000000003</v>
      </c>
      <c r="P6804">
        <v>9.6774200000000005E-2</v>
      </c>
      <c r="Q6804">
        <v>-8.3860030000000002E-2</v>
      </c>
      <c r="R6804">
        <v>-0.99176759999999997</v>
      </c>
      <c r="S6804">
        <v>-3.1463619999999998E-2</v>
      </c>
      <c r="T6804">
        <v>-0.61506490000000003</v>
      </c>
      <c r="U6804">
        <v>-2.9748230000000002</v>
      </c>
      <c r="V6804">
        <v>-7.6328579999999993E-2</v>
      </c>
      <c r="W6804">
        <v>-7.9297800000000002E-2</v>
      </c>
      <c r="X6804">
        <v>0.99392440000000004</v>
      </c>
      <c r="Y6804">
        <v>3.0744569999999999E-2</v>
      </c>
      <c r="Z6804">
        <v>0.19767209999999999</v>
      </c>
      <c r="AA6804">
        <v>0.97978600000000005</v>
      </c>
      <c r="AB6804">
        <v>26</v>
      </c>
      <c r="AC6804">
        <v>-1.6000000000019499E-2</v>
      </c>
      <c r="AD6804">
        <v>-0.181893</v>
      </c>
      <c r="AE6804">
        <v>-0.61508999999999803</v>
      </c>
      <c r="AF6804">
        <v>2.62483262342918E-2</v>
      </c>
      <c r="AG6804">
        <v>-0.181893</v>
      </c>
      <c r="AH6804">
        <v>0.56523952400313104</v>
      </c>
      <c r="AI6804">
        <v>107.820089037833</v>
      </c>
      <c r="AJ6804">
        <v>87.341235694404702</v>
      </c>
      <c r="AK6804">
        <v>0.59436500365885303</v>
      </c>
      <c r="AL6804">
        <v>94.548204623740205</v>
      </c>
      <c r="AM6804">
        <v>94.3914191056936</v>
      </c>
      <c r="AN6804">
        <v>0.999999953062507</v>
      </c>
    </row>
    <row r="6805" spans="1:40" x14ac:dyDescent="0.25">
      <c r="A6805" t="str">
        <f>"20190305135059738"</f>
        <v>20190305135059738</v>
      </c>
      <c r="B6805" t="str">
        <f>"1551765059726748"</f>
        <v>1551765059726748</v>
      </c>
      <c r="C6805" t="s">
        <v>40</v>
      </c>
      <c r="D6805">
        <v>3.9635479999999998</v>
      </c>
      <c r="E6805">
        <v>0.47904920000000001</v>
      </c>
      <c r="F6805" t="s">
        <v>42</v>
      </c>
      <c r="G6805">
        <v>-301.21039999999999</v>
      </c>
      <c r="H6805" s="1">
        <v>-3.2584279999999999E-6</v>
      </c>
      <c r="I6805">
        <v>-33.566139999999997</v>
      </c>
      <c r="J6805">
        <v>-302.74950000000001</v>
      </c>
      <c r="K6805">
        <v>1.109667</v>
      </c>
      <c r="L6805">
        <v>-22.8703</v>
      </c>
      <c r="M6805">
        <v>2.189371E-2</v>
      </c>
      <c r="N6805">
        <v>-4.8216800000000001E-3</v>
      </c>
      <c r="O6805">
        <v>-0.99974890000000005</v>
      </c>
      <c r="P6805">
        <v>0.10060810000000001</v>
      </c>
      <c r="Q6805">
        <v>-8.3818110000000001E-2</v>
      </c>
      <c r="R6805">
        <v>-0.99138939999999998</v>
      </c>
      <c r="S6805">
        <v>0.41711429999999999</v>
      </c>
      <c r="T6805">
        <v>-0.2993538</v>
      </c>
      <c r="U6805">
        <v>-2.9588930000000002</v>
      </c>
      <c r="V6805">
        <v>-7.8678620000000005E-2</v>
      </c>
      <c r="W6805">
        <v>-7.922659E-2</v>
      </c>
      <c r="X6805">
        <v>0.99374689999999999</v>
      </c>
      <c r="Y6805">
        <v>-0.11721579999999999</v>
      </c>
      <c r="Z6805">
        <v>9.4994899999999993E-2</v>
      </c>
      <c r="AA6805">
        <v>0.98855269999999995</v>
      </c>
      <c r="AB6805">
        <v>27</v>
      </c>
      <c r="AC6805">
        <v>1.5391000000000099</v>
      </c>
      <c r="AD6805">
        <v>-1.109670258428</v>
      </c>
      <c r="AE6805">
        <v>-10.69584</v>
      </c>
      <c r="AF6805">
        <v>-1.2909434526491099</v>
      </c>
      <c r="AG6805">
        <v>-1.109670258428</v>
      </c>
      <c r="AH6805">
        <v>10.6150348866919</v>
      </c>
      <c r="AI6805">
        <v>95.924549286269894</v>
      </c>
      <c r="AJ6805">
        <v>96.933953684035203</v>
      </c>
      <c r="AK6805">
        <v>10.750668292067401</v>
      </c>
      <c r="AL6805">
        <v>94.544111320225397</v>
      </c>
      <c r="AM6805">
        <v>94.526875810234102</v>
      </c>
      <c r="AN6805">
        <v>1.00000003953387</v>
      </c>
    </row>
    <row r="6806" spans="1:40" x14ac:dyDescent="0.25">
      <c r="A6806" t="str">
        <f>"20190305135059760"</f>
        <v>20190305135059760</v>
      </c>
      <c r="B6806" t="str">
        <f>"1551765059757005"</f>
        <v>1551765059757005</v>
      </c>
      <c r="C6806" t="s">
        <v>40</v>
      </c>
      <c r="D6806">
        <v>3.9415269999999998</v>
      </c>
      <c r="E6806">
        <v>0.48166150000000002</v>
      </c>
      <c r="F6806" t="s">
        <v>42</v>
      </c>
      <c r="G6806">
        <v>-300.15780000000001</v>
      </c>
      <c r="H6806" s="1">
        <v>-5.9507909999999896E-7</v>
      </c>
      <c r="I6806">
        <v>-39.121630000000003</v>
      </c>
      <c r="J6806">
        <v>-302.74180000000001</v>
      </c>
      <c r="K6806">
        <v>1.1096779999999999</v>
      </c>
      <c r="L6806">
        <v>-23.147950000000002</v>
      </c>
      <c r="M6806">
        <v>2.3418379999999999E-2</v>
      </c>
      <c r="N6806">
        <v>-4.8897919999999996E-3</v>
      </c>
      <c r="O6806">
        <v>-0.99971390000000004</v>
      </c>
      <c r="P6806">
        <v>0.1032402</v>
      </c>
      <c r="Q6806">
        <v>-8.3777080000000004E-2</v>
      </c>
      <c r="R6806">
        <v>-0.99112219999999995</v>
      </c>
      <c r="S6806">
        <v>0.47219850000000002</v>
      </c>
      <c r="T6806">
        <v>-0.202184</v>
      </c>
      <c r="U6806">
        <v>-2.9610289999999999</v>
      </c>
      <c r="V6806">
        <v>-7.9799889999999998E-2</v>
      </c>
      <c r="W6806">
        <v>-7.9122479999999995E-2</v>
      </c>
      <c r="X6806">
        <v>0.99366580000000004</v>
      </c>
      <c r="Y6806">
        <v>-0.1339803</v>
      </c>
      <c r="Z6806">
        <v>6.2494149999999998E-2</v>
      </c>
      <c r="AA6806">
        <v>0.98901150000000004</v>
      </c>
      <c r="AB6806">
        <v>27</v>
      </c>
      <c r="AC6806">
        <v>2.5840000000000001</v>
      </c>
      <c r="AD6806">
        <v>-1.1096785950790999</v>
      </c>
      <c r="AE6806">
        <v>-15.9736799999999</v>
      </c>
      <c r="AF6806">
        <v>-2.1988681260024401</v>
      </c>
      <c r="AG6806">
        <v>-1.1096785950790999</v>
      </c>
      <c r="AH6806">
        <v>15.954779205753599</v>
      </c>
      <c r="AI6806">
        <v>93.941462532460207</v>
      </c>
      <c r="AJ6806">
        <v>97.847001297089506</v>
      </c>
      <c r="AK6806">
        <v>16.143772394464499</v>
      </c>
      <c r="AL6806">
        <v>94.5381273987133</v>
      </c>
      <c r="AM6806">
        <v>94.591488760332297</v>
      </c>
      <c r="AN6806">
        <v>1.0000000556874999</v>
      </c>
    </row>
    <row r="6807" spans="1:40" x14ac:dyDescent="0.25">
      <c r="A6807" t="str">
        <f>"20190305135059782"</f>
        <v>20190305135059782</v>
      </c>
      <c r="B6807" t="str">
        <f>"1551765059776524"</f>
        <v>1551765059776524</v>
      </c>
      <c r="C6807" t="s">
        <v>40</v>
      </c>
      <c r="D6807">
        <v>3.9373330000000002</v>
      </c>
      <c r="E6807">
        <v>0.48274</v>
      </c>
      <c r="F6807" t="s">
        <v>85</v>
      </c>
      <c r="G6807">
        <v>-299.58629999999999</v>
      </c>
      <c r="H6807" s="1">
        <v>-2.0077019999999999E-6</v>
      </c>
      <c r="I6807">
        <v>-43.389270000000003</v>
      </c>
      <c r="J6807">
        <v>-302.73399999999998</v>
      </c>
      <c r="K6807">
        <v>1.1096969999999999</v>
      </c>
      <c r="L6807">
        <v>-23.41357</v>
      </c>
      <c r="M6807">
        <v>2.4865169999999999E-2</v>
      </c>
      <c r="N6807">
        <v>-5.0103980000000001E-3</v>
      </c>
      <c r="O6807">
        <v>-0.99967839999999997</v>
      </c>
      <c r="P6807">
        <v>0.1058279</v>
      </c>
      <c r="Q6807">
        <v>-8.4678139999999999E-2</v>
      </c>
      <c r="R6807">
        <v>-0.99077280000000001</v>
      </c>
      <c r="S6807">
        <v>0.4622192</v>
      </c>
      <c r="T6807">
        <v>-0.16254849999999901</v>
      </c>
      <c r="U6807">
        <v>-2.9649960000000002</v>
      </c>
      <c r="V6807">
        <v>-8.0955609999999997E-2</v>
      </c>
      <c r="W6807">
        <v>-7.990804E-2</v>
      </c>
      <c r="X6807">
        <v>0.99350939999999999</v>
      </c>
      <c r="Y6807">
        <v>-0.12920999999999999</v>
      </c>
      <c r="Z6807">
        <v>4.9165489999999999E-2</v>
      </c>
      <c r="AA6807">
        <v>0.99039770000000005</v>
      </c>
      <c r="AB6807">
        <v>27</v>
      </c>
      <c r="AC6807">
        <v>3.1477000000000399</v>
      </c>
      <c r="AD6807">
        <v>-1.1096990077019999</v>
      </c>
      <c r="AE6807">
        <v>-19.9757</v>
      </c>
      <c r="AF6807">
        <v>-2.6420653517260799</v>
      </c>
      <c r="AG6807">
        <v>-1.1096990077019999</v>
      </c>
      <c r="AH6807">
        <v>19.987603979103401</v>
      </c>
      <c r="AI6807">
        <v>93.150414354871003</v>
      </c>
      <c r="AJ6807">
        <v>97.529999310905197</v>
      </c>
      <c r="AK6807">
        <v>20.191984895892599</v>
      </c>
      <c r="AL6807">
        <v>94.583279816539005</v>
      </c>
      <c r="AM6807">
        <v>94.6584255332466</v>
      </c>
      <c r="AN6807">
        <v>1.0000000167677301</v>
      </c>
    </row>
    <row r="6808" spans="1:40" x14ac:dyDescent="0.25">
      <c r="A6808" t="str">
        <f>"20190305135059804"</f>
        <v>20190305135059804</v>
      </c>
      <c r="B6808" t="str">
        <f>"1551765059797021"</f>
        <v>1551765059797021</v>
      </c>
      <c r="C6808" t="s">
        <v>40</v>
      </c>
      <c r="D6808">
        <v>3.942342</v>
      </c>
      <c r="E6808">
        <v>0.48414390000000002</v>
      </c>
      <c r="F6808" t="s">
        <v>85</v>
      </c>
      <c r="G6808">
        <v>-299.4975</v>
      </c>
      <c r="H6808" s="1">
        <v>-2.5451469999999998E-6</v>
      </c>
      <c r="I6808">
        <v>-44.197620000000001</v>
      </c>
      <c r="J6808">
        <v>-302.72609999999997</v>
      </c>
      <c r="K6808">
        <v>1.109742</v>
      </c>
      <c r="L6808">
        <v>-23.67456</v>
      </c>
      <c r="M6808">
        <v>2.6271030000000001E-2</v>
      </c>
      <c r="N6808">
        <v>-5.2252160000000004E-3</v>
      </c>
      <c r="O6808">
        <v>-0.99964120000000001</v>
      </c>
      <c r="P6808">
        <v>0.108238</v>
      </c>
      <c r="Q6808">
        <v>-8.6188899999999902E-2</v>
      </c>
      <c r="R6808">
        <v>-0.99038199999999998</v>
      </c>
      <c r="S6808">
        <v>0.461731</v>
      </c>
      <c r="T6808">
        <v>-0.1583116</v>
      </c>
      <c r="U6808">
        <v>-2.9650880000000002</v>
      </c>
      <c r="V6808">
        <v>-8.1974430000000001E-2</v>
      </c>
      <c r="W6808">
        <v>-8.120964E-2</v>
      </c>
      <c r="X6808">
        <v>0.99332030000000004</v>
      </c>
      <c r="Y6808">
        <v>-0.12766330000000001</v>
      </c>
      <c r="Z6808">
        <v>4.754535E-2</v>
      </c>
      <c r="AA6808">
        <v>0.99067729999999998</v>
      </c>
      <c r="AB6808">
        <v>27</v>
      </c>
      <c r="AC6808">
        <v>3.2285999999999699</v>
      </c>
      <c r="AD6808">
        <v>-1.109744545147</v>
      </c>
      <c r="AE6808">
        <v>-20.523060000000001</v>
      </c>
      <c r="AF6808">
        <v>-2.6806676552705602</v>
      </c>
      <c r="AG6808">
        <v>-1.109744545147</v>
      </c>
      <c r="AH6808">
        <v>20.542183586543601</v>
      </c>
      <c r="AI6808">
        <v>93.066319798009104</v>
      </c>
      <c r="AJ6808">
        <v>97.434842686653894</v>
      </c>
      <c r="AK6808">
        <v>20.746055493436799</v>
      </c>
      <c r="AL6808">
        <v>94.658099186549705</v>
      </c>
      <c r="AM6808">
        <v>94.717682455958595</v>
      </c>
      <c r="AN6808">
        <v>1.00000001559742</v>
      </c>
    </row>
    <row r="6809" spans="1:40" x14ac:dyDescent="0.25">
      <c r="A6809" t="str">
        <f>"20190305135059826"</f>
        <v>20190305135059826</v>
      </c>
      <c r="B6809" t="str">
        <f>"1551765059816541"</f>
        <v>1551765059816541</v>
      </c>
      <c r="C6809" t="s">
        <v>40</v>
      </c>
      <c r="D6809">
        <v>4.1492069999999996</v>
      </c>
      <c r="E6809">
        <v>0.4852998</v>
      </c>
      <c r="F6809" t="s">
        <v>85</v>
      </c>
      <c r="G6809">
        <v>-299.80610000000001</v>
      </c>
      <c r="H6809" s="1">
        <v>-1.450419E-6</v>
      </c>
      <c r="I6809">
        <v>-42.604509999999998</v>
      </c>
      <c r="J6809">
        <v>-302.7176</v>
      </c>
      <c r="K6809">
        <v>1.1098300000000001</v>
      </c>
      <c r="L6809">
        <v>-23.939209999999999</v>
      </c>
      <c r="M6809">
        <v>2.7682930000000001E-2</v>
      </c>
      <c r="N6809">
        <v>-5.6113509999999997E-3</v>
      </c>
      <c r="O6809">
        <v>-0.99960110000000002</v>
      </c>
      <c r="P6809">
        <v>0.1100124</v>
      </c>
      <c r="Q6809">
        <v>-8.7869859999999994E-2</v>
      </c>
      <c r="R6809">
        <v>-0.99003859999999999</v>
      </c>
      <c r="S6809">
        <v>0.45721440000000002</v>
      </c>
      <c r="T6809">
        <v>-0.17376349999999999</v>
      </c>
      <c r="U6809">
        <v>-2.9640499999999999</v>
      </c>
      <c r="V6809">
        <v>-8.2351179999999996E-2</v>
      </c>
      <c r="W6809">
        <v>-8.2509849999999996E-2</v>
      </c>
      <c r="X6809">
        <v>0.99318189999999995</v>
      </c>
      <c r="Y6809">
        <v>-0.1248011</v>
      </c>
      <c r="Z6809">
        <v>5.2328729999999997E-2</v>
      </c>
      <c r="AA6809">
        <v>0.99080089999999998</v>
      </c>
      <c r="AB6809">
        <v>27</v>
      </c>
      <c r="AC6809">
        <v>2.9114999999999802</v>
      </c>
      <c r="AD6809">
        <v>-1.1098314504190001</v>
      </c>
      <c r="AE6809">
        <v>-18.665299999999998</v>
      </c>
      <c r="AF6809">
        <v>-2.3854326244635802</v>
      </c>
      <c r="AG6809">
        <v>-1.1098314504190001</v>
      </c>
      <c r="AH6809">
        <v>18.674292789286</v>
      </c>
      <c r="AI6809">
        <v>93.373793567643801</v>
      </c>
      <c r="AJ6809">
        <v>97.279474046297196</v>
      </c>
      <c r="AK6809">
        <v>18.858717502369402</v>
      </c>
      <c r="AL6809">
        <v>94.732846960821803</v>
      </c>
      <c r="AM6809">
        <v>94.739923536189494</v>
      </c>
      <c r="AN6809">
        <v>0.99999993934100995</v>
      </c>
    </row>
    <row r="6810" spans="1:40" x14ac:dyDescent="0.25">
      <c r="A6810" t="str">
        <f>"20190305135059848"</f>
        <v>20190305135059848</v>
      </c>
      <c r="B6810" t="str">
        <f>"1551765059837037"</f>
        <v>1551765059837037</v>
      </c>
      <c r="C6810" t="s">
        <v>40</v>
      </c>
      <c r="D6810">
        <v>3.9122819999999998</v>
      </c>
      <c r="E6810">
        <v>0.48559809999999998</v>
      </c>
      <c r="F6810" t="s">
        <v>85</v>
      </c>
      <c r="G6810">
        <v>-299.91919999999999</v>
      </c>
      <c r="H6810" s="1">
        <v>-1.1923940000000001E-6</v>
      </c>
      <c r="I6810">
        <v>-42.245939999999997</v>
      </c>
      <c r="J6810">
        <v>-302.70870000000002</v>
      </c>
      <c r="K6810">
        <v>1.1099730000000001</v>
      </c>
      <c r="L6810">
        <v>-24.207059999999998</v>
      </c>
      <c r="M6810">
        <v>2.9087450000000001E-2</v>
      </c>
      <c r="N6810">
        <v>-6.2393529999999996E-3</v>
      </c>
      <c r="O6810">
        <v>-0.99955749999999999</v>
      </c>
      <c r="P6810">
        <v>0.11151759999999999</v>
      </c>
      <c r="Q6810">
        <v>-8.865903E-2</v>
      </c>
      <c r="R6810">
        <v>-0.98979969999999995</v>
      </c>
      <c r="S6810">
        <v>0.45306400000000002</v>
      </c>
      <c r="T6810">
        <v>-0.17968390000000001</v>
      </c>
      <c r="U6810">
        <v>-2.9638979999999999</v>
      </c>
      <c r="V6810">
        <v>-8.2466529999999996E-2</v>
      </c>
      <c r="W6810">
        <v>-8.2676769999999997E-2</v>
      </c>
      <c r="X6810">
        <v>0.99315850000000006</v>
      </c>
      <c r="Y6810">
        <v>-0.12204479999999999</v>
      </c>
      <c r="Z6810">
        <v>5.3686610000000003E-2</v>
      </c>
      <c r="AA6810">
        <v>0.99107149999999999</v>
      </c>
      <c r="AB6810">
        <v>27</v>
      </c>
      <c r="AC6810">
        <v>2.7895000000000301</v>
      </c>
      <c r="AD6810">
        <v>-1.1099741923940001</v>
      </c>
      <c r="AE6810">
        <v>-18.038879999999999</v>
      </c>
      <c r="AF6810">
        <v>-2.2552649333013699</v>
      </c>
      <c r="AG6810">
        <v>-1.1099741923940001</v>
      </c>
      <c r="AH6810">
        <v>18.0456586757217</v>
      </c>
      <c r="AI6810">
        <v>93.492681506847404</v>
      </c>
      <c r="AJ6810">
        <v>97.123633310999196</v>
      </c>
      <c r="AK6810">
        <v>18.219880890604301</v>
      </c>
      <c r="AL6810">
        <v>94.742443313391107</v>
      </c>
      <c r="AM6810">
        <v>94.746643796871297</v>
      </c>
      <c r="AN6810">
        <v>0.99999999149506202</v>
      </c>
    </row>
    <row r="6811" spans="1:40" x14ac:dyDescent="0.25">
      <c r="A6811" t="str">
        <f>"20190305135059871"</f>
        <v>20190305135059871</v>
      </c>
      <c r="B6811" t="str">
        <f>"1551765059867296"</f>
        <v>1551765059867296</v>
      </c>
      <c r="C6811" t="s">
        <v>40</v>
      </c>
      <c r="D6811">
        <v>4.1284390000000002</v>
      </c>
      <c r="E6811">
        <v>0.48656890000000003</v>
      </c>
      <c r="F6811" t="s">
        <v>85</v>
      </c>
      <c r="G6811">
        <v>-299.90800000000002</v>
      </c>
      <c r="H6811" s="1">
        <v>-1.309326E-6</v>
      </c>
      <c r="I6811">
        <v>-42.425199999999997</v>
      </c>
      <c r="J6811">
        <v>-302.69909999999999</v>
      </c>
      <c r="K6811">
        <v>1.110131</v>
      </c>
      <c r="L6811">
        <v>-24.4787</v>
      </c>
      <c r="M6811">
        <v>3.0508199999999999E-2</v>
      </c>
      <c r="N6811">
        <v>-7.0152309999999898E-3</v>
      </c>
      <c r="O6811">
        <v>-0.99951000000000001</v>
      </c>
      <c r="P6811">
        <v>0.11321680000000001</v>
      </c>
      <c r="Q6811">
        <v>-8.8014599999999998E-2</v>
      </c>
      <c r="R6811">
        <v>-0.98966449999999995</v>
      </c>
      <c r="S6811">
        <v>0.45556639999999998</v>
      </c>
      <c r="T6811">
        <v>-0.1805513</v>
      </c>
      <c r="U6811">
        <v>-2.963409</v>
      </c>
      <c r="V6811">
        <v>-8.2761769999999998E-2</v>
      </c>
      <c r="W6811">
        <v>-8.1261520000000004E-2</v>
      </c>
      <c r="X6811">
        <v>0.99325070000000004</v>
      </c>
      <c r="Y6811">
        <v>-0.121476399999999</v>
      </c>
      <c r="Z6811">
        <v>5.3206839999999998E-2</v>
      </c>
      <c r="AA6811">
        <v>0.99116720000000003</v>
      </c>
      <c r="AB6811">
        <v>27</v>
      </c>
      <c r="AC6811">
        <v>2.7910999999999699</v>
      </c>
      <c r="AD6811">
        <v>-1.110132309326</v>
      </c>
      <c r="AE6811">
        <v>-17.946499999999901</v>
      </c>
      <c r="AF6811">
        <v>-2.2339258803090698</v>
      </c>
      <c r="AG6811">
        <v>-1.110132309326</v>
      </c>
      <c r="AH6811">
        <v>17.956214340169499</v>
      </c>
      <c r="AI6811">
        <v>93.510778088089296</v>
      </c>
      <c r="AJ6811">
        <v>97.091708298303899</v>
      </c>
      <c r="AK6811">
        <v>18.128663823156799</v>
      </c>
      <c r="AL6811">
        <v>94.661081858966796</v>
      </c>
      <c r="AM6811">
        <v>94.763119134808406</v>
      </c>
      <c r="AN6811">
        <v>0.99999994912836498</v>
      </c>
    </row>
    <row r="6812" spans="1:40" x14ac:dyDescent="0.25">
      <c r="A6812" t="str">
        <f>"20190305135059893"</f>
        <v>20190305135059893</v>
      </c>
      <c r="B6812" t="str">
        <f>"1551765059886813"</f>
        <v>1551765059886813</v>
      </c>
      <c r="C6812" t="s">
        <v>40</v>
      </c>
      <c r="D6812">
        <v>3.9564149999999998</v>
      </c>
      <c r="E6812">
        <v>0.48685929999999999</v>
      </c>
      <c r="F6812" t="s">
        <v>85</v>
      </c>
      <c r="G6812">
        <v>-299.899</v>
      </c>
      <c r="H6812" s="1">
        <v>-1.549579E-6</v>
      </c>
      <c r="I6812">
        <v>-42.799419999999998</v>
      </c>
      <c r="J6812">
        <v>-302.68920000000003</v>
      </c>
      <c r="K6812">
        <v>1.11026</v>
      </c>
      <c r="L6812">
        <v>-24.750640000000001</v>
      </c>
      <c r="M6812">
        <v>3.1940789999999997E-2</v>
      </c>
      <c r="N6812">
        <v>-7.772958E-3</v>
      </c>
      <c r="O6812">
        <v>-0.9994596</v>
      </c>
      <c r="P6812">
        <v>0.115762</v>
      </c>
      <c r="Q6812">
        <v>-8.7610950000000007E-2</v>
      </c>
      <c r="R6812">
        <v>-0.9894058</v>
      </c>
      <c r="S6812">
        <v>0.45294190000000001</v>
      </c>
      <c r="T6812">
        <v>-0.17957329999999999</v>
      </c>
      <c r="U6812">
        <v>-2.9635310000000001</v>
      </c>
      <c r="V6812">
        <v>-8.389489E-2</v>
      </c>
      <c r="W6812">
        <v>-8.010755E-2</v>
      </c>
      <c r="X6812">
        <v>0.99324939999999995</v>
      </c>
      <c r="Y6812">
        <v>-0.11919540000000001</v>
      </c>
      <c r="Z6812">
        <v>5.2133470000000001E-2</v>
      </c>
      <c r="AA6812">
        <v>0.99150119999999997</v>
      </c>
      <c r="AB6812">
        <v>27</v>
      </c>
      <c r="AC6812">
        <v>2.79020000000002</v>
      </c>
      <c r="AD6812">
        <v>-1.110261549579</v>
      </c>
      <c r="AE6812">
        <v>-18.048780000000001</v>
      </c>
      <c r="AF6812">
        <v>-2.20412078697243</v>
      </c>
      <c r="AG6812">
        <v>-1.110261549579</v>
      </c>
      <c r="AH6812">
        <v>18.061942462643799</v>
      </c>
      <c r="AI6812">
        <v>93.491688896082806</v>
      </c>
      <c r="AJ6812">
        <v>96.957473672006401</v>
      </c>
      <c r="AK6812">
        <v>18.229772205814701</v>
      </c>
      <c r="AL6812">
        <v>94.594747869565495</v>
      </c>
      <c r="AM6812">
        <v>94.828032736218503</v>
      </c>
      <c r="AN6812">
        <v>0.999999971367736</v>
      </c>
    </row>
    <row r="6813" spans="1:40" x14ac:dyDescent="0.25">
      <c r="A6813" t="str">
        <f>"20190305135059916"</f>
        <v>20190305135059916</v>
      </c>
      <c r="B6813" t="str">
        <f>"1551765059907309"</f>
        <v>1551765059907309</v>
      </c>
      <c r="C6813" t="s">
        <v>40</v>
      </c>
      <c r="D6813">
        <v>3.933678</v>
      </c>
      <c r="E6813">
        <v>0.48715079999999999</v>
      </c>
      <c r="F6813" t="s">
        <v>85</v>
      </c>
      <c r="G6813">
        <v>-299.80810000000002</v>
      </c>
      <c r="H6813" s="1">
        <v>-1.9361080000000002E-6</v>
      </c>
      <c r="I6813">
        <v>-43.369489999999999</v>
      </c>
      <c r="J6813">
        <v>-302.67910000000001</v>
      </c>
      <c r="K6813">
        <v>1.110349</v>
      </c>
      <c r="L6813">
        <v>-25.015470000000001</v>
      </c>
      <c r="M6813">
        <v>3.3333040000000001E-2</v>
      </c>
      <c r="N6813">
        <v>-8.4540789999999998E-3</v>
      </c>
      <c r="O6813">
        <v>-0.99940850000000003</v>
      </c>
      <c r="P6813">
        <v>0.11793480000000001</v>
      </c>
      <c r="Q6813">
        <v>-8.8816530000000005E-2</v>
      </c>
      <c r="R6813">
        <v>-0.98904139999999996</v>
      </c>
      <c r="S6813">
        <v>0.45846559999999997</v>
      </c>
      <c r="T6813">
        <v>-0.176676799999999</v>
      </c>
      <c r="U6813">
        <v>-2.9628299999999999</v>
      </c>
      <c r="V6813">
        <v>-8.4694939999999996E-2</v>
      </c>
      <c r="W6813">
        <v>-8.0639740000000001E-2</v>
      </c>
      <c r="X6813">
        <v>0.99313839999999998</v>
      </c>
      <c r="Y6813">
        <v>-0.11966309999999999</v>
      </c>
      <c r="Z6813">
        <v>5.0493009999999998E-2</v>
      </c>
      <c r="AA6813">
        <v>0.99152969999999896</v>
      </c>
      <c r="AB6813">
        <v>27</v>
      </c>
      <c r="AC6813">
        <v>2.87099999999998</v>
      </c>
      <c r="AD6813">
        <v>-1.110350936108</v>
      </c>
      <c r="AE6813">
        <v>-18.354019999999998</v>
      </c>
      <c r="AF6813">
        <v>-2.2495510099310798</v>
      </c>
      <c r="AG6813">
        <v>-1.110350936108</v>
      </c>
      <c r="AH6813">
        <v>18.373883730813802</v>
      </c>
      <c r="AI6813">
        <v>93.432662368227696</v>
      </c>
      <c r="AJ6813">
        <v>96.980097924898104</v>
      </c>
      <c r="AK6813">
        <v>18.5443512235145</v>
      </c>
      <c r="AL6813">
        <v>94.625339220807206</v>
      </c>
      <c r="AM6813">
        <v>94.874395852499802</v>
      </c>
      <c r="AN6813">
        <v>0.99999994104171297</v>
      </c>
    </row>
    <row r="6814" spans="1:40" x14ac:dyDescent="0.25">
      <c r="A6814" t="str">
        <f>"20190305135059939"</f>
        <v>20190305135059939</v>
      </c>
      <c r="B6814" t="str">
        <f>"1551765059926829"</f>
        <v>1551765059926829</v>
      </c>
      <c r="C6814" t="s">
        <v>40</v>
      </c>
      <c r="D6814">
        <v>3.9284859999999999</v>
      </c>
      <c r="E6814">
        <v>0.48726700000000001</v>
      </c>
      <c r="F6814" t="s">
        <v>85</v>
      </c>
      <c r="G6814">
        <v>-299.96899999999999</v>
      </c>
      <c r="H6814" s="1">
        <v>-1.268055E-6</v>
      </c>
      <c r="I6814">
        <v>-42.378660000000004</v>
      </c>
      <c r="J6814">
        <v>-302.66840000000002</v>
      </c>
      <c r="K6814">
        <v>1.110409</v>
      </c>
      <c r="L6814">
        <v>-25.289429999999999</v>
      </c>
      <c r="M6814">
        <v>3.4761599999999997E-2</v>
      </c>
      <c r="N6814">
        <v>-9.1115780000000004E-3</v>
      </c>
      <c r="O6814">
        <v>-0.99935439999999998</v>
      </c>
      <c r="P6814">
        <v>0.1200562</v>
      </c>
      <c r="Q6814">
        <v>-8.9645749999999996E-2</v>
      </c>
      <c r="R6814">
        <v>-0.98871200000000004</v>
      </c>
      <c r="S6814">
        <v>0.46218870000000001</v>
      </c>
      <c r="T6814">
        <v>-0.18935920000000001</v>
      </c>
      <c r="U6814">
        <v>-2.9611209999999999</v>
      </c>
      <c r="V6814">
        <v>-8.5407330000000004E-2</v>
      </c>
      <c r="W6814">
        <v>-8.0818810000000005E-2</v>
      </c>
      <c r="X6814">
        <v>0.99306289999999997</v>
      </c>
      <c r="Y6814">
        <v>-0.1195133</v>
      </c>
      <c r="Z6814">
        <v>5.4079729999999999E-2</v>
      </c>
      <c r="AA6814">
        <v>0.99135859999999998</v>
      </c>
      <c r="AB6814">
        <v>27</v>
      </c>
      <c r="AC6814">
        <v>2.6994000000000198</v>
      </c>
      <c r="AD6814">
        <v>-1.1104102680550001</v>
      </c>
      <c r="AE6814">
        <v>-17.089229999999901</v>
      </c>
      <c r="AF6814">
        <v>-2.0950648699011398</v>
      </c>
      <c r="AG6814">
        <v>-1.1104102680550001</v>
      </c>
      <c r="AH6814">
        <v>17.102291589778901</v>
      </c>
      <c r="AI6814">
        <v>93.6873737937252</v>
      </c>
      <c r="AJ6814">
        <v>96.984050177796405</v>
      </c>
      <c r="AK6814">
        <v>17.265882120364299</v>
      </c>
      <c r="AL6814">
        <v>94.635632464417</v>
      </c>
      <c r="AM6814">
        <v>94.915567429393505</v>
      </c>
      <c r="AN6814">
        <v>1.00000000771197</v>
      </c>
    </row>
    <row r="6815" spans="1:40" x14ac:dyDescent="0.25">
      <c r="A6815" t="str">
        <f>"20190305135059961"</f>
        <v>20190305135059961</v>
      </c>
      <c r="B6815" t="str">
        <f>"1551765059957084"</f>
        <v>1551765059957084</v>
      </c>
      <c r="C6815" t="s">
        <v>40</v>
      </c>
      <c r="D6815">
        <v>4.0079370000000001</v>
      </c>
      <c r="E6815">
        <v>0.48731629999999998</v>
      </c>
      <c r="F6815" t="s">
        <v>85</v>
      </c>
      <c r="G6815">
        <v>-299.95409999999998</v>
      </c>
      <c r="H6815" s="1">
        <v>-1.3293210000000001E-6</v>
      </c>
      <c r="I6815">
        <v>-42.475949999999997</v>
      </c>
      <c r="J6815">
        <v>-302.65699999999998</v>
      </c>
      <c r="K6815">
        <v>1.1104670000000001</v>
      </c>
      <c r="L6815">
        <v>-25.56653</v>
      </c>
      <c r="M6815">
        <v>3.6198519999999998E-2</v>
      </c>
      <c r="N6815">
        <v>-9.7289209999999997E-3</v>
      </c>
      <c r="O6815">
        <v>-0.9992974</v>
      </c>
      <c r="P6815">
        <v>0.1220989</v>
      </c>
      <c r="Q6815">
        <v>-9.0617219999999998E-2</v>
      </c>
      <c r="R6815">
        <v>-0.98837260000000005</v>
      </c>
      <c r="S6815">
        <v>0.46749879999999999</v>
      </c>
      <c r="T6815">
        <v>-0.1912529</v>
      </c>
      <c r="U6815">
        <v>-2.9601440000000001</v>
      </c>
      <c r="V6815">
        <v>-8.6033650000000003E-2</v>
      </c>
      <c r="W6815">
        <v>-8.1179329999999994E-2</v>
      </c>
      <c r="X6815">
        <v>0.99297939999999996</v>
      </c>
      <c r="Y6815">
        <v>-0.1198673</v>
      </c>
      <c r="Z6815">
        <v>5.4101360000000001E-2</v>
      </c>
      <c r="AA6815">
        <v>0.99131469999999999</v>
      </c>
      <c r="AB6815">
        <v>27</v>
      </c>
      <c r="AC6815">
        <v>2.7029000000000001</v>
      </c>
      <c r="AD6815">
        <v>-1.110468329321</v>
      </c>
      <c r="AE6815">
        <v>-16.909419999999901</v>
      </c>
      <c r="AF6815">
        <v>-2.0802554253755599</v>
      </c>
      <c r="AG6815">
        <v>-1.110468329321</v>
      </c>
      <c r="AH6815">
        <v>16.925007566193401</v>
      </c>
      <c r="AI6815">
        <v>93.725900559149807</v>
      </c>
      <c r="AJ6815">
        <v>97.007089434797706</v>
      </c>
      <c r="AK6815">
        <v>17.0884898004749</v>
      </c>
      <c r="AL6815">
        <v>94.656356961527393</v>
      </c>
      <c r="AM6815">
        <v>94.951850639005997</v>
      </c>
      <c r="AN6815">
        <v>0.99999998068796503</v>
      </c>
    </row>
    <row r="6816" spans="1:40" x14ac:dyDescent="0.25">
      <c r="A6816" t="str">
        <f>"20190305135059983"</f>
        <v>20190305135059983</v>
      </c>
      <c r="B6816" t="str">
        <f>"1551765059976605"</f>
        <v>1551765059976605</v>
      </c>
      <c r="C6816" t="s">
        <v>40</v>
      </c>
      <c r="D6816">
        <v>4.0185519999999997</v>
      </c>
      <c r="E6816">
        <v>0.48742479999999999</v>
      </c>
      <c r="F6816" t="s">
        <v>85</v>
      </c>
      <c r="G6816">
        <v>-299.95100000000002</v>
      </c>
      <c r="H6816" s="1">
        <v>-1.3393869999999999E-6</v>
      </c>
      <c r="I6816">
        <v>-42.490479999999998</v>
      </c>
      <c r="J6816">
        <v>-302.6463</v>
      </c>
      <c r="K6816">
        <v>1.1105119999999999</v>
      </c>
      <c r="L6816">
        <v>-25.821110000000001</v>
      </c>
      <c r="M6816">
        <v>3.7519820000000002E-2</v>
      </c>
      <c r="N6816">
        <v>-1.024444E-2</v>
      </c>
      <c r="O6816">
        <v>-0.99924369999999996</v>
      </c>
      <c r="P6816">
        <v>0.123931399999999</v>
      </c>
      <c r="Q6816">
        <v>-9.0091679999999993E-2</v>
      </c>
      <c r="R6816">
        <v>-0.98819299999999999</v>
      </c>
      <c r="S6816">
        <v>0.47314450000000002</v>
      </c>
      <c r="T6816">
        <v>-0.19415830000000001</v>
      </c>
      <c r="U6816">
        <v>-2.9590450000000001</v>
      </c>
      <c r="V6816">
        <v>-8.6564139999999998E-2</v>
      </c>
      <c r="W6816">
        <v>-8.0141229999999994E-2</v>
      </c>
      <c r="X6816">
        <v>0.99301759999999994</v>
      </c>
      <c r="Y6816">
        <v>-0.1204485</v>
      </c>
      <c r="Z6816">
        <v>5.4561999999999999E-2</v>
      </c>
      <c r="AA6816">
        <v>0.99121899999999996</v>
      </c>
      <c r="AB6816">
        <v>27</v>
      </c>
      <c r="AC6816">
        <v>2.6953000000000298</v>
      </c>
      <c r="AD6816">
        <v>-1.1105133393869999</v>
      </c>
      <c r="AE6816">
        <v>-16.669369999999901</v>
      </c>
      <c r="AF6816">
        <v>-2.0590320050892901</v>
      </c>
      <c r="AG6816">
        <v>-1.1105133393869999</v>
      </c>
      <c r="AH6816">
        <v>16.686592096016099</v>
      </c>
      <c r="AI6816">
        <v>93.778913860058395</v>
      </c>
      <c r="AJ6816">
        <v>97.034419662169498</v>
      </c>
      <c r="AK6816">
        <v>16.8497836322537</v>
      </c>
      <c r="AL6816">
        <v>94.596683865876003</v>
      </c>
      <c r="AM6816">
        <v>94.982040212542401</v>
      </c>
      <c r="AN6816">
        <v>0.999999960494805</v>
      </c>
    </row>
    <row r="6817" spans="1:40" x14ac:dyDescent="0.25">
      <c r="A6817" t="str">
        <f>"20190305135100005"</f>
        <v>20190305135100005</v>
      </c>
      <c r="B6817" t="str">
        <f>"1551765059997102"</f>
        <v>1551765059997102</v>
      </c>
      <c r="C6817" t="s">
        <v>40</v>
      </c>
      <c r="D6817">
        <v>4.0256089999999896</v>
      </c>
      <c r="E6817">
        <v>0.48745300000000003</v>
      </c>
      <c r="F6817" t="s">
        <v>85</v>
      </c>
      <c r="G6817">
        <v>-299.8886</v>
      </c>
      <c r="H6817" s="1">
        <v>-1.6111079999999999E-6</v>
      </c>
      <c r="I6817">
        <v>-42.89188</v>
      </c>
      <c r="J6817">
        <v>-302.63459999999998</v>
      </c>
      <c r="K6817">
        <v>1.110538</v>
      </c>
      <c r="L6817">
        <v>-26.08832</v>
      </c>
      <c r="M6817">
        <v>3.8910100000000003E-2</v>
      </c>
      <c r="N6817">
        <v>-1.0728980000000001E-2</v>
      </c>
      <c r="O6817">
        <v>-0.99918510000000005</v>
      </c>
      <c r="P6817">
        <v>0.1257838</v>
      </c>
      <c r="Q6817">
        <v>-8.9660699999999996E-2</v>
      </c>
      <c r="R6817">
        <v>-0.98799780000000004</v>
      </c>
      <c r="S6817">
        <v>0.47790529999999998</v>
      </c>
      <c r="T6817">
        <v>-0.1924527</v>
      </c>
      <c r="U6817">
        <v>-2.9583740000000001</v>
      </c>
      <c r="V6817">
        <v>-8.704684E-2</v>
      </c>
      <c r="W6817">
        <v>-7.9227309999999995E-2</v>
      </c>
      <c r="X6817">
        <v>0.99304879999999995</v>
      </c>
      <c r="Y6817">
        <v>-0.12066399999999999</v>
      </c>
      <c r="Z6817">
        <v>5.3514470000000001E-2</v>
      </c>
      <c r="AA6817">
        <v>0.99124990000000002</v>
      </c>
      <c r="AB6817">
        <v>27</v>
      </c>
      <c r="AC6817">
        <v>2.74599999999998</v>
      </c>
      <c r="AD6817">
        <v>-1.1105396111079999</v>
      </c>
      <c r="AE6817">
        <v>-16.803560000000001</v>
      </c>
      <c r="AF6817">
        <v>-2.0812005331630599</v>
      </c>
      <c r="AG6817">
        <v>-1.1105396111079999</v>
      </c>
      <c r="AH6817">
        <v>16.826104834587099</v>
      </c>
      <c r="AI6817">
        <v>93.747625400803699</v>
      </c>
      <c r="AJ6817">
        <v>97.051033400768702</v>
      </c>
      <c r="AK6817">
        <v>16.9906591335237</v>
      </c>
      <c r="AL6817">
        <v>94.544152796351597</v>
      </c>
      <c r="AM6817">
        <v>95.009523545977402</v>
      </c>
      <c r="AN6817">
        <v>1.0000000190926299</v>
      </c>
    </row>
    <row r="6818" spans="1:40" x14ac:dyDescent="0.25">
      <c r="A6818" t="str">
        <f>"20190305135100027"</f>
        <v>20190305135100027</v>
      </c>
      <c r="B6818" t="str">
        <f>"1551765060016621"</f>
        <v>1551765060016621</v>
      </c>
      <c r="C6818" t="s">
        <v>40</v>
      </c>
      <c r="D6818">
        <v>4.0045000000000002</v>
      </c>
      <c r="E6818">
        <v>0.48747049999999997</v>
      </c>
      <c r="F6818" t="s">
        <v>85</v>
      </c>
      <c r="G6818">
        <v>-299.81529999999998</v>
      </c>
      <c r="H6818" s="1">
        <v>-1.9136990000000002E-6</v>
      </c>
      <c r="I6818">
        <v>-43.337220000000002</v>
      </c>
      <c r="J6818">
        <v>-302.62290000000002</v>
      </c>
      <c r="K6818">
        <v>1.110547</v>
      </c>
      <c r="L6818">
        <v>-26.349519999999998</v>
      </c>
      <c r="M6818">
        <v>4.0265040000000002E-2</v>
      </c>
      <c r="N6818">
        <v>-1.1148740000000001E-2</v>
      </c>
      <c r="O6818">
        <v>-0.99912690000000004</v>
      </c>
      <c r="P6818">
        <v>0.1278706</v>
      </c>
      <c r="Q6818">
        <v>-8.8745169999999998E-2</v>
      </c>
      <c r="R6818">
        <v>-0.98781240000000003</v>
      </c>
      <c r="S6818">
        <v>0.483429</v>
      </c>
      <c r="T6818">
        <v>-0.1904206</v>
      </c>
      <c r="U6818">
        <v>-2.957611</v>
      </c>
      <c r="V6818">
        <v>-8.7800459999999997E-2</v>
      </c>
      <c r="W6818">
        <v>-7.7893160000000003E-2</v>
      </c>
      <c r="X6818">
        <v>0.99308799999999997</v>
      </c>
      <c r="Y6818">
        <v>-0.121169</v>
      </c>
      <c r="Z6818">
        <v>5.2422400000000001E-2</v>
      </c>
      <c r="AA6818">
        <v>0.99124670000000004</v>
      </c>
      <c r="AB6818">
        <v>27</v>
      </c>
      <c r="AC6818">
        <v>2.8076000000000301</v>
      </c>
      <c r="AD6818">
        <v>-1.1105489136990001</v>
      </c>
      <c r="AE6818">
        <v>-16.9877</v>
      </c>
      <c r="AF6818">
        <v>-2.1124818496947202</v>
      </c>
      <c r="AG6818">
        <v>-1.1105489136990001</v>
      </c>
      <c r="AH6818">
        <v>17.0161881429967</v>
      </c>
      <c r="AI6818">
        <v>93.705704002101399</v>
      </c>
      <c r="AJ6818">
        <v>97.076800837233705</v>
      </c>
      <c r="AK6818">
        <v>17.182740100835701</v>
      </c>
      <c r="AL6818">
        <v>94.467474637811705</v>
      </c>
      <c r="AM6818">
        <v>95.052472225500395</v>
      </c>
      <c r="AN6818">
        <v>1.0000000204474899</v>
      </c>
    </row>
    <row r="6819" spans="1:40" x14ac:dyDescent="0.25">
      <c r="A6819" t="str">
        <f>"20190305135100049"</f>
        <v>20190305135100049</v>
      </c>
      <c r="B6819" t="str">
        <f>"1551765060037117"</f>
        <v>1551765060037117</v>
      </c>
      <c r="C6819" t="s">
        <v>40</v>
      </c>
      <c r="D6819">
        <v>4.0037820000000002</v>
      </c>
      <c r="E6819">
        <v>0.4876316</v>
      </c>
      <c r="F6819" t="s">
        <v>85</v>
      </c>
      <c r="G6819">
        <v>-299.71140000000003</v>
      </c>
      <c r="H6819" s="1">
        <v>-2.3167569999999999E-6</v>
      </c>
      <c r="I6819">
        <v>-43.927840000000003</v>
      </c>
      <c r="J6819">
        <v>-302.61070000000001</v>
      </c>
      <c r="K6819">
        <v>1.1105529999999999</v>
      </c>
      <c r="L6819">
        <v>-26.613980000000002</v>
      </c>
      <c r="M6819">
        <v>4.1623090000000001E-2</v>
      </c>
      <c r="N6819">
        <v>-1.152442E-2</v>
      </c>
      <c r="O6819">
        <v>-0.99906709999999999</v>
      </c>
      <c r="P6819">
        <v>0.12984309999999999</v>
      </c>
      <c r="Q6819">
        <v>-8.8939199999999996E-2</v>
      </c>
      <c r="R6819">
        <v>-0.98753789999999997</v>
      </c>
      <c r="S6819">
        <v>0.48974609999999902</v>
      </c>
      <c r="T6819">
        <v>-0.18680540000000001</v>
      </c>
      <c r="U6819">
        <v>-2.9568479999999999</v>
      </c>
      <c r="V6819">
        <v>-8.8437180000000004E-2</v>
      </c>
      <c r="W6819">
        <v>-7.7712509999999999E-2</v>
      </c>
      <c r="X6819">
        <v>0.99304559999999997</v>
      </c>
      <c r="Y6819">
        <v>-0.121934</v>
      </c>
      <c r="Z6819">
        <v>5.0845250000000002E-2</v>
      </c>
      <c r="AA6819">
        <v>0.99123499999999998</v>
      </c>
      <c r="AB6819">
        <v>27</v>
      </c>
      <c r="AC6819">
        <v>2.8992999999999798</v>
      </c>
      <c r="AD6819">
        <v>-1.1105553167569999</v>
      </c>
      <c r="AE6819">
        <v>-17.313859999999998</v>
      </c>
      <c r="AF6819">
        <v>-2.1674089347184</v>
      </c>
      <c r="AG6819">
        <v>-1.1105553167569999</v>
      </c>
      <c r="AH6819">
        <v>17.350103452745099</v>
      </c>
      <c r="AI6819">
        <v>93.634253811574794</v>
      </c>
      <c r="AJ6819">
        <v>97.120613751088896</v>
      </c>
      <c r="AK6819">
        <v>17.520190764453201</v>
      </c>
      <c r="AL6819">
        <v>94.457092926919501</v>
      </c>
      <c r="AM6819">
        <v>95.089136675772295</v>
      </c>
      <c r="AN6819">
        <v>0.99999996634810495</v>
      </c>
    </row>
    <row r="6820" spans="1:40" x14ac:dyDescent="0.25">
      <c r="A6820" t="str">
        <f>"20190305135100072"</f>
        <v>20190305135100072</v>
      </c>
      <c r="B6820" t="str">
        <f>"1551765060067024"</f>
        <v>1551765060067024</v>
      </c>
      <c r="C6820" t="s">
        <v>40</v>
      </c>
      <c r="D6820">
        <v>4.0412929999999996</v>
      </c>
      <c r="E6820">
        <v>0.48758570000000001</v>
      </c>
      <c r="F6820" t="s">
        <v>85</v>
      </c>
      <c r="G6820">
        <v>-299.73439999999999</v>
      </c>
      <c r="H6820" s="1">
        <v>-2.2508800000000002E-6</v>
      </c>
      <c r="I6820">
        <v>-43.833820000000003</v>
      </c>
      <c r="J6820">
        <v>-302.59769999999997</v>
      </c>
      <c r="K6820">
        <v>1.110554</v>
      </c>
      <c r="L6820">
        <v>-26.88794</v>
      </c>
      <c r="M6820">
        <v>4.3001530000000003E-2</v>
      </c>
      <c r="N6820">
        <v>-1.1861399999999999E-2</v>
      </c>
      <c r="O6820">
        <v>-0.99900449999999996</v>
      </c>
      <c r="P6820">
        <v>0.1322506</v>
      </c>
      <c r="Q6820">
        <v>-8.8188719999999998E-2</v>
      </c>
      <c r="R6820">
        <v>-0.98728559999999999</v>
      </c>
      <c r="S6820">
        <v>0.49371340000000002</v>
      </c>
      <c r="T6820">
        <v>-0.1906264</v>
      </c>
      <c r="U6820">
        <v>-2.9557799999999999</v>
      </c>
      <c r="V6820">
        <v>-8.9491169999999995E-2</v>
      </c>
      <c r="W6820">
        <v>-7.6625529999999997E-2</v>
      </c>
      <c r="X6820">
        <v>0.99303569999999997</v>
      </c>
      <c r="Y6820">
        <v>-0.1219061</v>
      </c>
      <c r="Z6820">
        <v>5.1791999999999998E-2</v>
      </c>
      <c r="AA6820">
        <v>0.9911894</v>
      </c>
      <c r="AB6820">
        <v>27</v>
      </c>
      <c r="AC6820">
        <v>2.8632999999999802</v>
      </c>
      <c r="AD6820">
        <v>-1.11055625088</v>
      </c>
      <c r="AE6820">
        <v>-16.945879999999999</v>
      </c>
      <c r="AF6820">
        <v>-2.1230358673762302</v>
      </c>
      <c r="AG6820">
        <v>-1.11055625088</v>
      </c>
      <c r="AH6820">
        <v>16.9824246994852</v>
      </c>
      <c r="AI6820">
        <v>93.712680954705405</v>
      </c>
      <c r="AJ6820">
        <v>97.125789624619003</v>
      </c>
      <c r="AK6820">
        <v>17.150608302746001</v>
      </c>
      <c r="AL6820">
        <v>94.394627041802295</v>
      </c>
      <c r="AM6820">
        <v>95.149515638078896</v>
      </c>
      <c r="AN6820">
        <v>1.0000000214151099</v>
      </c>
    </row>
    <row r="6821" spans="1:40" x14ac:dyDescent="0.25">
      <c r="A6821" t="str">
        <f>"20190305135100094"</f>
        <v>20190305135100094</v>
      </c>
      <c r="B6821" t="str">
        <f>"1551765060086544"</f>
        <v>1551765060086544</v>
      </c>
      <c r="C6821" t="s">
        <v>40</v>
      </c>
      <c r="D6821">
        <v>4.0388489999999999</v>
      </c>
      <c r="E6821">
        <v>0.48755340000000003</v>
      </c>
      <c r="F6821" t="s">
        <v>85</v>
      </c>
      <c r="G6821">
        <v>-299.63240000000002</v>
      </c>
      <c r="H6821" s="1">
        <v>-2.6060359999999998E-6</v>
      </c>
      <c r="I6821">
        <v>-44.349890000000002</v>
      </c>
      <c r="J6821">
        <v>-302.58499999999998</v>
      </c>
      <c r="K6821">
        <v>1.11054599999999</v>
      </c>
      <c r="L6821">
        <v>-27.147189999999998</v>
      </c>
      <c r="M6821">
        <v>4.4276410000000002E-2</v>
      </c>
      <c r="N6821">
        <v>-1.214076E-2</v>
      </c>
      <c r="O6821">
        <v>-0.99894570000000005</v>
      </c>
      <c r="P6821">
        <v>0.13450680000000001</v>
      </c>
      <c r="Q6821">
        <v>-8.7167889999999998E-2</v>
      </c>
      <c r="R6821">
        <v>-0.98707120000000004</v>
      </c>
      <c r="S6821">
        <v>0.5017395</v>
      </c>
      <c r="T6821">
        <v>-0.18791189999999999</v>
      </c>
      <c r="U6821">
        <v>-2.9546510000000001</v>
      </c>
      <c r="V6821">
        <v>-9.0495930000000002E-2</v>
      </c>
      <c r="W6821">
        <v>-7.5324240000000001E-2</v>
      </c>
      <c r="X6821">
        <v>0.99304420000000004</v>
      </c>
      <c r="Y6821">
        <v>-0.1233277</v>
      </c>
      <c r="Z6821">
        <v>5.0612209999999998E-2</v>
      </c>
      <c r="AA6821">
        <v>0.99107449999999997</v>
      </c>
      <c r="AB6821">
        <v>27</v>
      </c>
      <c r="AC6821">
        <v>2.9525999999999599</v>
      </c>
      <c r="AD6821">
        <v>-1.1105486060359999</v>
      </c>
      <c r="AE6821">
        <v>-17.2027</v>
      </c>
      <c r="AF6821">
        <v>-2.1791523268301298</v>
      </c>
      <c r="AG6821">
        <v>-1.1105486060359999</v>
      </c>
      <c r="AH6821">
        <v>17.246747254620701</v>
      </c>
      <c r="AI6821">
        <v>93.655307615081995</v>
      </c>
      <c r="AJ6821">
        <v>97.201247365628006</v>
      </c>
      <c r="AK6821">
        <v>17.419308652603402</v>
      </c>
      <c r="AL6821">
        <v>94.319852505840998</v>
      </c>
      <c r="AM6821">
        <v>95.2069713142361</v>
      </c>
      <c r="AN6821">
        <v>1.00000001881589</v>
      </c>
    </row>
    <row r="6822" spans="1:40" x14ac:dyDescent="0.25">
      <c r="A6822" t="str">
        <f>"20190305135100116"</f>
        <v>20190305135100116</v>
      </c>
      <c r="B6822" t="str">
        <f>"1551765060107040"</f>
        <v>1551765060107040</v>
      </c>
      <c r="C6822" t="s">
        <v>40</v>
      </c>
      <c r="D6822">
        <v>4.0725879999999997</v>
      </c>
      <c r="E6822">
        <v>0.4879984</v>
      </c>
      <c r="F6822" t="s">
        <v>85</v>
      </c>
      <c r="G6822">
        <v>-299.5204</v>
      </c>
      <c r="H6822" s="1">
        <v>-3.0127340000000001E-6</v>
      </c>
      <c r="I6822">
        <v>-44.942830000000001</v>
      </c>
      <c r="J6822">
        <v>-302.572</v>
      </c>
      <c r="K6822">
        <v>1.110536</v>
      </c>
      <c r="L6822">
        <v>-27.40851</v>
      </c>
      <c r="M6822">
        <v>4.553198E-2</v>
      </c>
      <c r="N6822">
        <v>-1.2386619999999999E-2</v>
      </c>
      <c r="O6822">
        <v>-0.99888619999999995</v>
      </c>
      <c r="P6822">
        <v>0.13704639999999901</v>
      </c>
      <c r="Q6822">
        <v>-8.6705119999999997E-2</v>
      </c>
      <c r="R6822">
        <v>-0.98676260000000005</v>
      </c>
      <c r="S6822">
        <v>0.50866699999999998</v>
      </c>
      <c r="T6822">
        <v>-0.18432799999999999</v>
      </c>
      <c r="U6822">
        <v>-2.9537049999999998</v>
      </c>
      <c r="V6822">
        <v>-9.1806260000000001E-2</v>
      </c>
      <c r="W6822">
        <v>-7.4615239999999999E-2</v>
      </c>
      <c r="X6822">
        <v>0.99297740000000001</v>
      </c>
      <c r="Y6822">
        <v>-0.1244022</v>
      </c>
      <c r="Z6822">
        <v>4.9175650000000001E-2</v>
      </c>
      <c r="AA6822">
        <v>0.99101249999999996</v>
      </c>
      <c r="AB6822">
        <v>27</v>
      </c>
      <c r="AC6822">
        <v>3.0516000000000001</v>
      </c>
      <c r="AD6822">
        <v>-1.110539012734</v>
      </c>
      <c r="AE6822">
        <v>-17.534320000000001</v>
      </c>
      <c r="AF6822">
        <v>-2.2412749566234398</v>
      </c>
      <c r="AG6822">
        <v>-1.110539012734</v>
      </c>
      <c r="AH6822">
        <v>17.586616047245201</v>
      </c>
      <c r="AI6822">
        <v>93.584335441616005</v>
      </c>
      <c r="AJ6822">
        <v>97.262743024137393</v>
      </c>
      <c r="AK6822">
        <v>17.7636053300903</v>
      </c>
      <c r="AL6822">
        <v>94.279115363966994</v>
      </c>
      <c r="AM6822">
        <v>95.282295224203594</v>
      </c>
      <c r="AN6822">
        <v>0.99999997016310205</v>
      </c>
    </row>
    <row r="6823" spans="1:40" x14ac:dyDescent="0.25">
      <c r="A6823" t="str">
        <f>"20190305135100139"</f>
        <v>20190305135100139</v>
      </c>
      <c r="B6823" t="str">
        <f>"1551765060126560"</f>
        <v>1551765060126560</v>
      </c>
      <c r="C6823" t="s">
        <v>40</v>
      </c>
      <c r="D6823">
        <v>4.0217330000000002</v>
      </c>
      <c r="E6823">
        <v>0.48797649999999998</v>
      </c>
      <c r="F6823" t="s">
        <v>85</v>
      </c>
      <c r="G6823">
        <v>-299.55270000000002</v>
      </c>
      <c r="H6823" s="1">
        <v>-2.9213450000000001E-6</v>
      </c>
      <c r="I6823">
        <v>-44.812579999999997</v>
      </c>
      <c r="J6823">
        <v>-302.55840000000001</v>
      </c>
      <c r="K6823">
        <v>1.11052</v>
      </c>
      <c r="L6823">
        <v>-27.673400000000001</v>
      </c>
      <c r="M6823">
        <v>4.6762730000000002E-2</v>
      </c>
      <c r="N6823">
        <v>-1.260347E-2</v>
      </c>
      <c r="O6823">
        <v>-0.9988264</v>
      </c>
      <c r="P6823">
        <v>0.13976549999999999</v>
      </c>
      <c r="Q6823">
        <v>-8.596028E-2</v>
      </c>
      <c r="R6823">
        <v>-0.9864465</v>
      </c>
      <c r="S6823">
        <v>0.51220699999999997</v>
      </c>
      <c r="T6823">
        <v>-0.18839939999999999</v>
      </c>
      <c r="U6823">
        <v>-2.9525450000000002</v>
      </c>
      <c r="V6823">
        <v>-9.3322790000000003E-2</v>
      </c>
      <c r="W6823">
        <v>-7.3651980000000006E-2</v>
      </c>
      <c r="X6823">
        <v>0.99290800000000001</v>
      </c>
      <c r="Y6823">
        <v>-0.12438630000000001</v>
      </c>
      <c r="Z6823">
        <v>5.0328089999999999E-2</v>
      </c>
      <c r="AA6823">
        <v>0.99095670000000002</v>
      </c>
      <c r="AB6823">
        <v>27</v>
      </c>
      <c r="AC6823">
        <v>3.0056999999999898</v>
      </c>
      <c r="AD6823">
        <v>-1.1105229213449901</v>
      </c>
      <c r="AE6823">
        <v>-17.1391799999999</v>
      </c>
      <c r="AF6823">
        <v>-2.1919448176560201</v>
      </c>
      <c r="AG6823">
        <v>-1.1105229213449901</v>
      </c>
      <c r="AH6823">
        <v>17.190973420318201</v>
      </c>
      <c r="AI6823">
        <v>93.666522717215699</v>
      </c>
      <c r="AJ6823">
        <v>97.266322324623999</v>
      </c>
      <c r="AK6823">
        <v>17.365697520703598</v>
      </c>
      <c r="AL6823">
        <v>94.223772101175598</v>
      </c>
      <c r="AM6823">
        <v>95.369419717504499</v>
      </c>
      <c r="AN6823">
        <v>1.0000000268776501</v>
      </c>
    </row>
    <row r="6824" spans="1:40" x14ac:dyDescent="0.25">
      <c r="A6824" t="str">
        <f>"20190305135100163"</f>
        <v>20190305135100163</v>
      </c>
      <c r="B6824" t="str">
        <f>"1551765060156414"</f>
        <v>1551765060156414</v>
      </c>
      <c r="C6824" t="s">
        <v>40</v>
      </c>
      <c r="D6824">
        <v>4.0340870000000004</v>
      </c>
      <c r="E6824">
        <v>0.48797109999999999</v>
      </c>
      <c r="F6824" t="s">
        <v>85</v>
      </c>
      <c r="G6824">
        <v>-299.4461</v>
      </c>
      <c r="H6824" s="1">
        <v>-3.249364E-6</v>
      </c>
      <c r="I6824">
        <v>-45.309359999999998</v>
      </c>
      <c r="J6824">
        <v>-302.54360000000003</v>
      </c>
      <c r="K6824">
        <v>1.1104940000000001</v>
      </c>
      <c r="L6824">
        <v>-27.957370000000001</v>
      </c>
      <c r="M6824">
        <v>4.8014880000000003E-2</v>
      </c>
      <c r="N6824">
        <v>-1.28042E-2</v>
      </c>
      <c r="O6824">
        <v>-0.9987646</v>
      </c>
      <c r="P6824">
        <v>0.14326829999999999</v>
      </c>
      <c r="Q6824">
        <v>-8.5187990000000005E-2</v>
      </c>
      <c r="R6824">
        <v>-0.98601099999999997</v>
      </c>
      <c r="S6824">
        <v>0.52081299999999997</v>
      </c>
      <c r="T6824">
        <v>-0.185837</v>
      </c>
      <c r="U6824">
        <v>-2.9512330000000002</v>
      </c>
      <c r="V6824">
        <v>-9.5608609999999997E-2</v>
      </c>
      <c r="W6824">
        <v>-7.2676459999999998E-2</v>
      </c>
      <c r="X6824">
        <v>0.99276240000000004</v>
      </c>
      <c r="Y6824">
        <v>-0.126028</v>
      </c>
      <c r="Z6824">
        <v>4.9278099999999998E-2</v>
      </c>
      <c r="AA6824">
        <v>0.99080199999999996</v>
      </c>
      <c r="AB6824">
        <v>27</v>
      </c>
      <c r="AC6824">
        <v>3.0975000000000201</v>
      </c>
      <c r="AD6824">
        <v>-1.110497249364</v>
      </c>
      <c r="AE6824">
        <v>-17.351989999999901</v>
      </c>
      <c r="AF6824">
        <v>-2.2517669175952602</v>
      </c>
      <c r="AG6824">
        <v>-1.110497249364</v>
      </c>
      <c r="AH6824">
        <v>17.411599817082699</v>
      </c>
      <c r="AI6824">
        <v>93.619274146205896</v>
      </c>
      <c r="AJ6824">
        <v>97.368915038178102</v>
      </c>
      <c r="AK6824">
        <v>17.591687428505999</v>
      </c>
      <c r="AL6824">
        <v>94.167728713348893</v>
      </c>
      <c r="AM6824">
        <v>95.500941431178703</v>
      </c>
      <c r="AN6824">
        <v>1.00000002849901</v>
      </c>
    </row>
    <row r="6825" spans="1:40" x14ac:dyDescent="0.25">
      <c r="A6825" t="str">
        <f>"20190305135100185"</f>
        <v>20190305135100185</v>
      </c>
      <c r="B6825" t="str">
        <f>"1551765060176910"</f>
        <v>1551765060176910</v>
      </c>
      <c r="C6825" t="s">
        <v>40</v>
      </c>
      <c r="D6825">
        <v>3.9688910000000002</v>
      </c>
      <c r="E6825">
        <v>0.4880795</v>
      </c>
      <c r="F6825" t="s">
        <v>85</v>
      </c>
      <c r="G6825">
        <v>-299.34019999999998</v>
      </c>
      <c r="H6825" s="1">
        <v>-3.4989719999999999E-6</v>
      </c>
      <c r="I6825">
        <v>-45.747700000000002</v>
      </c>
      <c r="J6825">
        <v>-302.52969999999999</v>
      </c>
      <c r="K6825">
        <v>1.1104560000000001</v>
      </c>
      <c r="L6825">
        <v>-28.220120000000001</v>
      </c>
      <c r="M6825">
        <v>4.9088300000000001E-2</v>
      </c>
      <c r="N6825">
        <v>-1.296389E-2</v>
      </c>
      <c r="O6825">
        <v>-0.99871049999999995</v>
      </c>
      <c r="P6825">
        <v>0.14717479999999999</v>
      </c>
      <c r="Q6825">
        <v>-8.3966810000000003E-2</v>
      </c>
      <c r="R6825">
        <v>-0.98554019999999998</v>
      </c>
      <c r="S6825">
        <v>0.53109740000000005</v>
      </c>
      <c r="T6825">
        <v>-0.18411159999999999</v>
      </c>
      <c r="U6825">
        <v>-2.9494929999999999</v>
      </c>
      <c r="V6825">
        <v>-9.8480659999999998E-2</v>
      </c>
      <c r="W6825">
        <v>-7.1290870000000006E-2</v>
      </c>
      <c r="X6825">
        <v>0.99258210000000002</v>
      </c>
      <c r="Y6825">
        <v>-0.12841449999999999</v>
      </c>
      <c r="Z6825">
        <v>4.8550320000000001E-2</v>
      </c>
      <c r="AA6825">
        <v>0.99053139999999995</v>
      </c>
      <c r="AB6825">
        <v>26</v>
      </c>
      <c r="AC6825">
        <v>3.1894999999999998</v>
      </c>
      <c r="AD6825">
        <v>-1.11045949897199</v>
      </c>
      <c r="AE6825">
        <v>-17.52758</v>
      </c>
      <c r="AF6825">
        <v>-2.3161841377958701</v>
      </c>
      <c r="AG6825">
        <v>-1.11045949897199</v>
      </c>
      <c r="AH6825">
        <v>17.5946673744739</v>
      </c>
      <c r="AI6825">
        <v>93.580532603778593</v>
      </c>
      <c r="AJ6825">
        <v>97.499366959399197</v>
      </c>
      <c r="AK6825">
        <v>17.7811740129107</v>
      </c>
      <c r="AL6825">
        <v>94.088133772262196</v>
      </c>
      <c r="AM6825">
        <v>95.666150815294202</v>
      </c>
      <c r="AN6825">
        <v>1.0000000268899001</v>
      </c>
    </row>
    <row r="6826" spans="1:40" x14ac:dyDescent="0.25">
      <c r="A6826" t="str">
        <f>"20190305135100206"</f>
        <v>20190305135100206</v>
      </c>
      <c r="B6826" t="str">
        <f>"1551765060196430"</f>
        <v>1551765060196430</v>
      </c>
      <c r="C6826" t="s">
        <v>40</v>
      </c>
      <c r="D6826">
        <v>4.0761940000000001</v>
      </c>
      <c r="E6826">
        <v>0.48813099999999998</v>
      </c>
      <c r="F6826" t="s">
        <v>85</v>
      </c>
      <c r="G6826">
        <v>-299.24459999999999</v>
      </c>
      <c r="H6826" s="1">
        <v>-3.69435E-6</v>
      </c>
      <c r="I6826">
        <v>-46.089509999999997</v>
      </c>
      <c r="J6826">
        <v>-302.51670000000001</v>
      </c>
      <c r="K6826">
        <v>1.1104099999999999</v>
      </c>
      <c r="L6826">
        <v>-28.463290000000001</v>
      </c>
      <c r="M6826">
        <v>4.9985330000000001E-2</v>
      </c>
      <c r="N6826">
        <v>-1.309168E-2</v>
      </c>
      <c r="O6826">
        <v>-0.99866410000000005</v>
      </c>
      <c r="P6826">
        <v>0.1510012</v>
      </c>
      <c r="Q6826">
        <v>-8.266983E-2</v>
      </c>
      <c r="R6826">
        <v>-0.98507060000000002</v>
      </c>
      <c r="S6826">
        <v>0.54187010000000002</v>
      </c>
      <c r="T6826">
        <v>-0.18316569999999999</v>
      </c>
      <c r="U6826">
        <v>-2.947479</v>
      </c>
      <c r="V6826">
        <v>-0.1014501</v>
      </c>
      <c r="W6826">
        <v>-6.9857719999999998E-2</v>
      </c>
      <c r="X6826">
        <v>0.99238490000000001</v>
      </c>
      <c r="Y6826">
        <v>-0.1311474</v>
      </c>
      <c r="Z6826">
        <v>4.8116909999999999E-2</v>
      </c>
      <c r="AA6826">
        <v>0.99019449999999998</v>
      </c>
      <c r="AB6826">
        <v>26</v>
      </c>
      <c r="AC6826">
        <v>3.27210000000002</v>
      </c>
      <c r="AD6826">
        <v>-1.11041369435</v>
      </c>
      <c r="AE6826">
        <v>-17.626219999999901</v>
      </c>
      <c r="AF6826">
        <v>-2.37775873387486</v>
      </c>
      <c r="AG6826">
        <v>-1.11041369435</v>
      </c>
      <c r="AH6826">
        <v>17.6998478917562</v>
      </c>
      <c r="AI6826">
        <v>93.557913144197897</v>
      </c>
      <c r="AJ6826">
        <v>97.651182683731307</v>
      </c>
      <c r="AK6826">
        <v>17.893333131656199</v>
      </c>
      <c r="AL6826">
        <v>94.005815141961094</v>
      </c>
      <c r="AM6826">
        <v>95.836989080511898</v>
      </c>
      <c r="AN6826">
        <v>1.0000000067907999</v>
      </c>
    </row>
    <row r="6827" spans="1:40" x14ac:dyDescent="0.25">
      <c r="A6827" t="str">
        <f>"20190305135100228"</f>
        <v>20190305135100228</v>
      </c>
      <c r="B6827" t="str">
        <f>"1551765060216927"</f>
        <v>1551765060216927</v>
      </c>
      <c r="C6827" t="s">
        <v>40</v>
      </c>
      <c r="D6827">
        <v>4.1016399999999997</v>
      </c>
      <c r="E6827">
        <v>0.48819659999999898</v>
      </c>
      <c r="F6827" t="s">
        <v>85</v>
      </c>
      <c r="G6827">
        <v>-299.11270000000002</v>
      </c>
      <c r="H6827" s="1">
        <v>-3.985538E-6</v>
      </c>
      <c r="I6827">
        <v>-46.6036</v>
      </c>
      <c r="J6827">
        <v>-302.50240000000002</v>
      </c>
      <c r="K6827">
        <v>1.110339</v>
      </c>
      <c r="L6827">
        <v>-28.727810000000002</v>
      </c>
      <c r="M6827">
        <v>5.084437E-2</v>
      </c>
      <c r="N6827">
        <v>-1.321252E-2</v>
      </c>
      <c r="O6827">
        <v>-0.99861929999999999</v>
      </c>
      <c r="P6827">
        <v>0.15479470000000001</v>
      </c>
      <c r="Q6827">
        <v>-8.1158980000000006E-2</v>
      </c>
      <c r="R6827">
        <v>-0.98460760000000003</v>
      </c>
      <c r="S6827">
        <v>0.55273439999999996</v>
      </c>
      <c r="T6827">
        <v>-0.18030869999999999</v>
      </c>
      <c r="U6827">
        <v>-2.9456180000000001</v>
      </c>
      <c r="V6827">
        <v>-0.10442709999999999</v>
      </c>
      <c r="W6827">
        <v>-6.8210969999999996E-2</v>
      </c>
      <c r="X6827">
        <v>0.99219060000000003</v>
      </c>
      <c r="Y6827">
        <v>-0.133943799999999</v>
      </c>
      <c r="Z6827">
        <v>4.7050370000000001E-2</v>
      </c>
      <c r="AA6827">
        <v>0.98987139999999996</v>
      </c>
      <c r="AB6827">
        <v>26</v>
      </c>
      <c r="AC6827">
        <v>3.3896999999999999</v>
      </c>
      <c r="AD6827">
        <v>-1.110342985538</v>
      </c>
      <c r="AE6827">
        <v>-17.875789999999999</v>
      </c>
      <c r="AF6827">
        <v>-2.4671640396504699</v>
      </c>
      <c r="AG6827">
        <v>-1.110342985538</v>
      </c>
      <c r="AH6827">
        <v>17.958146318289099</v>
      </c>
      <c r="AI6827">
        <v>93.505223135593496</v>
      </c>
      <c r="AJ6827">
        <v>97.822559891799798</v>
      </c>
      <c r="AK6827">
        <v>18.160803372460101</v>
      </c>
      <c r="AL6827">
        <v>93.911237811299102</v>
      </c>
      <c r="AM6827">
        <v>96.008205459836205</v>
      </c>
      <c r="AN6827">
        <v>0.99999997118555495</v>
      </c>
    </row>
    <row r="6828" spans="1:40" x14ac:dyDescent="0.25">
      <c r="A6828" t="str">
        <f>"20190305135100251"</f>
        <v>20190305135100251</v>
      </c>
      <c r="B6828" t="str">
        <f>"1551765060246980"</f>
        <v>1551765060246980</v>
      </c>
      <c r="C6828" t="s">
        <v>40</v>
      </c>
      <c r="D6828">
        <v>4.1304540000000003</v>
      </c>
      <c r="E6828">
        <v>0.48830200000000001</v>
      </c>
      <c r="F6828" t="s">
        <v>85</v>
      </c>
      <c r="G6828">
        <v>-298.96690000000001</v>
      </c>
      <c r="H6828" s="1">
        <v>-4.3212110000000003E-6</v>
      </c>
      <c r="I6828">
        <v>-47.19896</v>
      </c>
      <c r="J6828">
        <v>-302.48790000000002</v>
      </c>
      <c r="K6828">
        <v>1.110255</v>
      </c>
      <c r="L6828">
        <v>-28.99567</v>
      </c>
      <c r="M6828">
        <v>5.1568790000000003E-2</v>
      </c>
      <c r="N6828">
        <v>-1.331685E-2</v>
      </c>
      <c r="O6828">
        <v>-0.99858060000000004</v>
      </c>
      <c r="P6828">
        <v>0.15853329999999999</v>
      </c>
      <c r="Q6828">
        <v>-7.9602160000000005E-2</v>
      </c>
      <c r="R6828">
        <v>-0.98413949999999994</v>
      </c>
      <c r="S6828">
        <v>0.563446</v>
      </c>
      <c r="T6828">
        <v>-0.17695420000000001</v>
      </c>
      <c r="U6828">
        <v>-2.9437259999999998</v>
      </c>
      <c r="V6828">
        <v>-0.1074852</v>
      </c>
      <c r="W6828">
        <v>-6.6530850000000002E-2</v>
      </c>
      <c r="X6828">
        <v>0.99197809999999997</v>
      </c>
      <c r="Y6828">
        <v>-0.13682620000000001</v>
      </c>
      <c r="Z6828">
        <v>4.5834720000000002E-2</v>
      </c>
      <c r="AA6828">
        <v>0.98953409999999997</v>
      </c>
      <c r="AB6828">
        <v>26</v>
      </c>
      <c r="AC6828">
        <v>3.5210000000000101</v>
      </c>
      <c r="AD6828">
        <v>-1.1102593212109999</v>
      </c>
      <c r="AE6828">
        <v>-18.203289999999999</v>
      </c>
      <c r="AF6828">
        <v>-2.56829970483943</v>
      </c>
      <c r="AG6828">
        <v>-1.1102593212109999</v>
      </c>
      <c r="AH6828">
        <v>18.295050984679101</v>
      </c>
      <c r="AI6828">
        <v>93.439170261712405</v>
      </c>
      <c r="AJ6828">
        <v>97.991087364045597</v>
      </c>
      <c r="AK6828">
        <v>18.507774843730399</v>
      </c>
      <c r="AL6828">
        <v>93.814754743739996</v>
      </c>
      <c r="AM6828">
        <v>96.184123658740504</v>
      </c>
      <c r="AN6828">
        <v>0.99999998655018596</v>
      </c>
    </row>
    <row r="6829" spans="1:40" x14ac:dyDescent="0.25">
      <c r="A6829" t="str">
        <f>"20190305135100273"</f>
        <v>20190305135100273</v>
      </c>
      <c r="B6829" t="str">
        <f>"1551765060266490"</f>
        <v>1551765060266490</v>
      </c>
      <c r="C6829" t="s">
        <v>40</v>
      </c>
      <c r="D6829">
        <v>4.1206899999999997</v>
      </c>
      <c r="E6829">
        <v>0.48839660000000001</v>
      </c>
      <c r="F6829" t="s">
        <v>85</v>
      </c>
      <c r="G6829">
        <v>-298.82549999999998</v>
      </c>
      <c r="H6829" s="1">
        <v>-4.6480149999999996E-6</v>
      </c>
      <c r="I6829">
        <v>-47.778790000000001</v>
      </c>
      <c r="J6829">
        <v>-302.47379999999998</v>
      </c>
      <c r="K6829">
        <v>1.1101700000000001</v>
      </c>
      <c r="L6829">
        <v>-29.253509999999999</v>
      </c>
      <c r="M6829">
        <v>5.2127949999999999E-2</v>
      </c>
      <c r="N6829">
        <v>-1.3402860000000001E-2</v>
      </c>
      <c r="O6829">
        <v>-0.99855059999999995</v>
      </c>
      <c r="P6829">
        <v>0.16175490000000001</v>
      </c>
      <c r="Q6829">
        <v>-7.8164819999999996E-2</v>
      </c>
      <c r="R6829">
        <v>-0.98373060000000001</v>
      </c>
      <c r="S6829">
        <v>0.57360840000000002</v>
      </c>
      <c r="T6829">
        <v>-0.17389180000000001</v>
      </c>
      <c r="U6829">
        <v>-2.9418639999999998</v>
      </c>
      <c r="V6829">
        <v>-0.1101861</v>
      </c>
      <c r="W6829">
        <v>-6.4987149999999994E-2</v>
      </c>
      <c r="X6829">
        <v>0.99178409999999995</v>
      </c>
      <c r="Y6829">
        <v>-0.13969029999999999</v>
      </c>
      <c r="Z6829">
        <v>4.4734650000000001E-2</v>
      </c>
      <c r="AA6829">
        <v>0.98918419999999896</v>
      </c>
      <c r="AB6829">
        <v>26</v>
      </c>
      <c r="AC6829">
        <v>3.6482999999999999</v>
      </c>
      <c r="AD6829">
        <v>-1.1101746480149901</v>
      </c>
      <c r="AE6829">
        <v>-18.525279999999999</v>
      </c>
      <c r="AF6829">
        <v>-2.6683423768622001</v>
      </c>
      <c r="AG6829">
        <v>-1.1101746480149901</v>
      </c>
      <c r="AH6829">
        <v>18.625890306959199</v>
      </c>
      <c r="AI6829">
        <v>93.376620271810594</v>
      </c>
      <c r="AJ6829">
        <v>98.152713407388802</v>
      </c>
      <c r="AK6829">
        <v>18.848775252416999</v>
      </c>
      <c r="AL6829">
        <v>93.726115318108896</v>
      </c>
      <c r="AM6829">
        <v>96.339499345415305</v>
      </c>
      <c r="AN6829">
        <v>1.0000000036555701</v>
      </c>
    </row>
    <row r="6830" spans="1:40" x14ac:dyDescent="0.25">
      <c r="A6830" t="str">
        <f>"20190305135100295"</f>
        <v>20190305135100295</v>
      </c>
      <c r="B6830" t="str">
        <f>"1551765060286986"</f>
        <v>1551765060286986</v>
      </c>
      <c r="C6830" t="s">
        <v>40</v>
      </c>
      <c r="D6830">
        <v>4.2650889999999997</v>
      </c>
      <c r="E6830">
        <v>0.48836790000000002</v>
      </c>
      <c r="F6830" t="s">
        <v>85</v>
      </c>
      <c r="G6830">
        <v>-298.68299999999999</v>
      </c>
      <c r="H6830" s="1">
        <v>-4.9894540000000003E-6</v>
      </c>
      <c r="I6830">
        <v>-48.386850000000003</v>
      </c>
      <c r="J6830">
        <v>-302.45949999999999</v>
      </c>
      <c r="K6830">
        <v>1.110101</v>
      </c>
      <c r="L6830">
        <v>-29.514620000000001</v>
      </c>
      <c r="M6830">
        <v>5.257949E-2</v>
      </c>
      <c r="N6830">
        <v>-1.3477869999999999E-2</v>
      </c>
      <c r="O6830">
        <v>-0.99852589999999997</v>
      </c>
      <c r="P6830">
        <v>0.16606470000000001</v>
      </c>
      <c r="Q6830">
        <v>-7.6577679999999995E-2</v>
      </c>
      <c r="R6830">
        <v>-0.98313720000000004</v>
      </c>
      <c r="S6830">
        <v>0.58255000000000001</v>
      </c>
      <c r="T6830">
        <v>-0.1706039</v>
      </c>
      <c r="U6830">
        <v>-2.940277</v>
      </c>
      <c r="V6830">
        <v>-0.1140883</v>
      </c>
      <c r="W6830">
        <v>-6.3309309999999994E-2</v>
      </c>
      <c r="X6830">
        <v>0.99145139999999998</v>
      </c>
      <c r="Y6830">
        <v>-0.14224800000000001</v>
      </c>
      <c r="Z6830">
        <v>4.3568099999999998E-2</v>
      </c>
      <c r="AA6830">
        <v>0.98887179999999997</v>
      </c>
      <c r="AB6830">
        <v>26</v>
      </c>
      <c r="AC6830">
        <v>3.7764999999999902</v>
      </c>
      <c r="AD6830">
        <v>-1.110105989454</v>
      </c>
      <c r="AE6830">
        <v>-18.872229999999998</v>
      </c>
      <c r="AF6830">
        <v>-2.7696786667046598</v>
      </c>
      <c r="AG6830">
        <v>-1.110105989454</v>
      </c>
      <c r="AH6830">
        <v>18.9815560973964</v>
      </c>
      <c r="AI6830">
        <v>93.312046356324899</v>
      </c>
      <c r="AJ6830">
        <v>98.301682027509997</v>
      </c>
      <c r="AK6830">
        <v>19.214653967824301</v>
      </c>
      <c r="AL6830">
        <v>93.629783604285507</v>
      </c>
      <c r="AM6830">
        <v>96.564268075086105</v>
      </c>
      <c r="AN6830">
        <v>1.0000000437457599</v>
      </c>
    </row>
    <row r="6831" spans="1:40" x14ac:dyDescent="0.25">
      <c r="A6831" t="str">
        <f>"20190305135100318"</f>
        <v>20190305135100318</v>
      </c>
      <c r="B6831" t="str">
        <f>"1551765060306506"</f>
        <v>1551765060306506</v>
      </c>
      <c r="C6831" t="s">
        <v>40</v>
      </c>
      <c r="D6831">
        <v>4.2569030000000003</v>
      </c>
      <c r="E6831">
        <v>0.43798320000000002</v>
      </c>
      <c r="F6831" t="s">
        <v>85</v>
      </c>
      <c r="G6831">
        <v>-298.53579999999999</v>
      </c>
      <c r="H6831" s="1">
        <v>-5.2743399999999999E-6</v>
      </c>
      <c r="I6831">
        <v>-48.88194</v>
      </c>
      <c r="J6831">
        <v>-302.44540000000001</v>
      </c>
      <c r="K6831">
        <v>1.1100449999999999</v>
      </c>
      <c r="L6831">
        <v>-29.774380000000001</v>
      </c>
      <c r="M6831">
        <v>5.2921540000000003E-2</v>
      </c>
      <c r="N6831">
        <v>-1.3542169999999999E-2</v>
      </c>
      <c r="O6831">
        <v>-0.99850700000000003</v>
      </c>
      <c r="P6831">
        <v>0.17085330000000001</v>
      </c>
      <c r="Q6831">
        <v>-7.5251479999999996E-2</v>
      </c>
      <c r="R6831">
        <v>-0.98241880000000004</v>
      </c>
      <c r="S6831">
        <v>0.5951843</v>
      </c>
      <c r="T6831">
        <v>-0.16839079999999901</v>
      </c>
      <c r="U6831">
        <v>-2.937805</v>
      </c>
      <c r="V6831">
        <v>-0.118581199999999</v>
      </c>
      <c r="W6831">
        <v>-6.1907030000000002E-2</v>
      </c>
      <c r="X6831">
        <v>0.99101260000000002</v>
      </c>
      <c r="Y6831">
        <v>-0.14616009999999999</v>
      </c>
      <c r="Z6831">
        <v>4.2774300000000001E-2</v>
      </c>
      <c r="AA6831">
        <v>0.98833579999999999</v>
      </c>
      <c r="AB6831">
        <v>26</v>
      </c>
      <c r="AC6831">
        <v>3.90960000000001</v>
      </c>
      <c r="AD6831">
        <v>-1.11005027434</v>
      </c>
      <c r="AE6831">
        <v>-19.107559999999999</v>
      </c>
      <c r="AF6831">
        <v>-2.8834855552841399</v>
      </c>
      <c r="AG6831">
        <v>-1.11005027434</v>
      </c>
      <c r="AH6831">
        <v>19.2254215161209</v>
      </c>
      <c r="AI6831">
        <v>93.268041106044606</v>
      </c>
      <c r="AJ6831">
        <v>98.529810564496401</v>
      </c>
      <c r="AK6831">
        <v>19.472121944760399</v>
      </c>
      <c r="AL6831">
        <v>93.549281179969398</v>
      </c>
      <c r="AM6831">
        <v>96.823376656526094</v>
      </c>
      <c r="AN6831">
        <v>0.99999997735780999</v>
      </c>
    </row>
    <row r="6832" spans="1:40" x14ac:dyDescent="0.25">
      <c r="A6832" t="str">
        <f>"20190305135100340"</f>
        <v>20190305135100340</v>
      </c>
      <c r="B6832" t="str">
        <f>"1551765060336762"</f>
        <v>1551765060336762</v>
      </c>
      <c r="C6832" t="s">
        <v>40</v>
      </c>
      <c r="D6832">
        <v>4.1498970000000002</v>
      </c>
      <c r="E6832">
        <v>0.37443890000000002</v>
      </c>
      <c r="F6832" t="s">
        <v>85</v>
      </c>
      <c r="G6832">
        <v>-297.71850000000001</v>
      </c>
      <c r="H6832" s="1">
        <v>-2.444806E-6</v>
      </c>
      <c r="I6832">
        <v>-43.295070000000003</v>
      </c>
      <c r="J6832">
        <v>-302.43110000000001</v>
      </c>
      <c r="K6832">
        <v>1.1100000000000001</v>
      </c>
      <c r="L6832">
        <v>-30.036470000000001</v>
      </c>
      <c r="M6832">
        <v>5.3169910000000001E-2</v>
      </c>
      <c r="N6832">
        <v>-1.3597929999999999E-2</v>
      </c>
      <c r="O6832">
        <v>-0.99849319999999997</v>
      </c>
      <c r="P6832">
        <v>0.17696239999999999</v>
      </c>
      <c r="Q6832">
        <v>-7.4112849999999994E-2</v>
      </c>
      <c r="R6832">
        <v>-0.98142359999999995</v>
      </c>
      <c r="S6832">
        <v>1.0004580000000001</v>
      </c>
      <c r="T6832">
        <v>-0.23494480000000001</v>
      </c>
      <c r="U6832">
        <v>-2.861694</v>
      </c>
      <c r="V6832">
        <v>-0.124499</v>
      </c>
      <c r="W6832">
        <v>-6.0705389999999998E-2</v>
      </c>
      <c r="X6832">
        <v>0.99036100000000005</v>
      </c>
      <c r="Y6832">
        <v>-0.27850530000000001</v>
      </c>
      <c r="Z6832">
        <v>6.4302360000000003E-2</v>
      </c>
      <c r="AA6832">
        <v>0.95827969999999896</v>
      </c>
      <c r="AB6832">
        <v>26</v>
      </c>
      <c r="AC6832">
        <v>4.7126000000000001</v>
      </c>
      <c r="AD6832">
        <v>-1.110002444806</v>
      </c>
      <c r="AE6832">
        <v>-13.258599999999999</v>
      </c>
      <c r="AF6832">
        <v>-3.97616634319114</v>
      </c>
      <c r="AG6832">
        <v>-1.110002444806</v>
      </c>
      <c r="AH6832">
        <v>13.407004702151299</v>
      </c>
      <c r="AI6832">
        <v>94.538366140243696</v>
      </c>
      <c r="AJ6832">
        <v>106.51897690369</v>
      </c>
      <c r="AK6832">
        <v>14.028178046336199</v>
      </c>
      <c r="AL6832">
        <v>93.480302349277807</v>
      </c>
      <c r="AM6832">
        <v>97.165107931645593</v>
      </c>
      <c r="AN6832">
        <v>1.0000000278485199</v>
      </c>
    </row>
    <row r="6833" spans="1:40" x14ac:dyDescent="0.25">
      <c r="A6833" t="str">
        <f>"20190305135100362"</f>
        <v>20190305135100362</v>
      </c>
      <c r="B6833" t="str">
        <f>"1551765060356907"</f>
        <v>1551765060356907</v>
      </c>
      <c r="C6833" t="s">
        <v>40</v>
      </c>
      <c r="D6833">
        <v>4.124174</v>
      </c>
      <c r="E6833">
        <v>0.37371470000000001</v>
      </c>
      <c r="F6833" t="s">
        <v>84</v>
      </c>
      <c r="G6833">
        <v>-274.49369999999999</v>
      </c>
      <c r="H6833">
        <v>1.4609110000000001</v>
      </c>
      <c r="I6833">
        <v>-80.464519999999993</v>
      </c>
      <c r="J6833">
        <v>-302.4169</v>
      </c>
      <c r="K6833">
        <v>1.10996299999999</v>
      </c>
      <c r="L6833">
        <v>-30.297550000000001</v>
      </c>
      <c r="M6833">
        <v>5.334121E-2</v>
      </c>
      <c r="N6833">
        <v>-1.3645549999999999E-2</v>
      </c>
      <c r="O6833">
        <v>-0.99848340000000002</v>
      </c>
      <c r="P6833">
        <v>0.1846274</v>
      </c>
      <c r="Q6833">
        <v>-7.348151E-2</v>
      </c>
      <c r="R6833">
        <v>-0.98005810000000004</v>
      </c>
      <c r="S6833">
        <v>1.540405</v>
      </c>
      <c r="T6833">
        <v>1.934922E-2</v>
      </c>
      <c r="U6833">
        <v>-2.7804869999999999</v>
      </c>
      <c r="V6833">
        <v>-0.13206499999999999</v>
      </c>
      <c r="W6833">
        <v>-6.002416E-2</v>
      </c>
      <c r="X6833">
        <v>0.98942200000000002</v>
      </c>
      <c r="Y6833">
        <v>-0.43713839999999998</v>
      </c>
      <c r="Z6833">
        <v>-1.9610869999999999E-2</v>
      </c>
      <c r="AA6833">
        <v>0.89918039999999999</v>
      </c>
      <c r="AB6833">
        <v>26</v>
      </c>
      <c r="AC6833">
        <v>27.923200000000001</v>
      </c>
      <c r="AD6833">
        <v>0.35094799999999998</v>
      </c>
      <c r="AE6833">
        <v>-50.1669699999999</v>
      </c>
      <c r="AF6833">
        <v>-25.2062825418895</v>
      </c>
      <c r="AG6833">
        <v>0.35094799999999998</v>
      </c>
      <c r="AH6833">
        <v>51.5832044608186</v>
      </c>
      <c r="AI6833">
        <v>89.649769234145595</v>
      </c>
      <c r="AJ6833">
        <v>116.042581516536</v>
      </c>
      <c r="AK6833">
        <v>57.413472517579798</v>
      </c>
      <c r="AL6833">
        <v>93.441199605176195</v>
      </c>
      <c r="AM6833">
        <v>97.602726360127704</v>
      </c>
      <c r="AN6833">
        <v>0.99999997904635196</v>
      </c>
    </row>
    <row r="6834" spans="1:40" x14ac:dyDescent="0.25">
      <c r="A6834" t="str">
        <f>"20190305135100390"</f>
        <v>20190305135100390</v>
      </c>
      <c r="B6834" t="str">
        <f>"1551765060387162"</f>
        <v>1551765060387162</v>
      </c>
      <c r="C6834" t="s">
        <v>40</v>
      </c>
      <c r="D6834">
        <v>4.0897889999999997</v>
      </c>
      <c r="E6834">
        <v>0.37486370000000002</v>
      </c>
      <c r="F6834" t="s">
        <v>84</v>
      </c>
      <c r="G6834">
        <v>-274.00110000000001</v>
      </c>
      <c r="H6834">
        <v>1.4578979999999999</v>
      </c>
      <c r="I6834">
        <v>-80.464519999999993</v>
      </c>
      <c r="J6834">
        <v>-302.40050000000002</v>
      </c>
      <c r="K6834">
        <v>1.1099190000000001</v>
      </c>
      <c r="L6834">
        <v>-30.598600000000001</v>
      </c>
      <c r="M6834">
        <v>5.3475839999999997E-2</v>
      </c>
      <c r="N6834">
        <v>-1.369221E-2</v>
      </c>
      <c r="O6834">
        <v>-0.99847529999999995</v>
      </c>
      <c r="P6834">
        <v>0.19471849999999999</v>
      </c>
      <c r="Q6834">
        <v>-7.2392440000000002E-2</v>
      </c>
      <c r="R6834">
        <v>-0.97818450000000001</v>
      </c>
      <c r="S6834">
        <v>1.5674129999999999</v>
      </c>
      <c r="T6834">
        <v>1.9192810000000001E-2</v>
      </c>
      <c r="U6834">
        <v>-2.7672119999999998</v>
      </c>
      <c r="V6834">
        <v>-0.1421164</v>
      </c>
      <c r="W6834">
        <v>-5.8890730000000002E-2</v>
      </c>
      <c r="X6834">
        <v>0.98809650000000004</v>
      </c>
      <c r="Y6834">
        <v>-0.4454958</v>
      </c>
      <c r="Z6834">
        <v>-1.9601670000000002E-2</v>
      </c>
      <c r="AA6834">
        <v>0.89506939999999902</v>
      </c>
      <c r="AB6834">
        <v>26</v>
      </c>
      <c r="AC6834">
        <v>28.3994</v>
      </c>
      <c r="AD6834">
        <v>0.34797899999999898</v>
      </c>
      <c r="AE6834">
        <v>-49.865919999999903</v>
      </c>
      <c r="AF6834">
        <v>-25.690940382165198</v>
      </c>
      <c r="AG6834">
        <v>0.34797899999999898</v>
      </c>
      <c r="AH6834">
        <v>51.311493007652203</v>
      </c>
      <c r="AI6834">
        <v>89.652558663416599</v>
      </c>
      <c r="AJ6834">
        <v>116.596481288335</v>
      </c>
      <c r="AK6834">
        <v>57.384796085537801</v>
      </c>
      <c r="AL6834">
        <v>93.376143878455693</v>
      </c>
      <c r="AM6834">
        <v>98.184634365401706</v>
      </c>
      <c r="AN6834">
        <v>0.99999994127056901</v>
      </c>
    </row>
    <row r="6835" spans="1:40" x14ac:dyDescent="0.25">
      <c r="A6835" t="str">
        <f>"20190305135100407"</f>
        <v>20190305135100407</v>
      </c>
      <c r="B6835" t="str">
        <f>"1551765060396922"</f>
        <v>1551765060396922</v>
      </c>
      <c r="C6835" t="s">
        <v>40</v>
      </c>
      <c r="D6835">
        <v>4.0682130000000001</v>
      </c>
      <c r="E6835">
        <v>0.37548860000000001</v>
      </c>
      <c r="F6835" t="s">
        <v>84</v>
      </c>
      <c r="G6835">
        <v>-273.6746</v>
      </c>
      <c r="H6835">
        <v>1.041113</v>
      </c>
      <c r="I6835">
        <v>-80.464519999999993</v>
      </c>
      <c r="J6835">
        <v>-302.38850000000002</v>
      </c>
      <c r="K6835">
        <v>1.1099060000000001</v>
      </c>
      <c r="L6835">
        <v>-30.819310000000002</v>
      </c>
      <c r="M6835">
        <v>5.3545580000000002E-2</v>
      </c>
      <c r="N6835">
        <v>-1.3721000000000001E-2</v>
      </c>
      <c r="O6835">
        <v>-0.99847129999999995</v>
      </c>
      <c r="P6835">
        <v>0.2067186</v>
      </c>
      <c r="Q6835">
        <v>-7.1772199999999994E-2</v>
      </c>
      <c r="R6835">
        <v>-0.97576450000000003</v>
      </c>
      <c r="S6835">
        <v>1.5848390000000001</v>
      </c>
      <c r="T6835">
        <v>-3.7953850000000001E-3</v>
      </c>
      <c r="U6835">
        <v>-2.75116</v>
      </c>
      <c r="V6835">
        <v>-0.154164</v>
      </c>
      <c r="W6835">
        <v>-5.8257740000000002E-2</v>
      </c>
      <c r="X6835">
        <v>0.98632629999999999</v>
      </c>
      <c r="Y6835">
        <v>-0.45196320000000001</v>
      </c>
      <c r="Z6835">
        <v>-1.2316789999999999E-2</v>
      </c>
      <c r="AA6835">
        <v>0.89195159999999996</v>
      </c>
      <c r="AB6835">
        <v>26</v>
      </c>
      <c r="AC6835">
        <v>28.713899999999999</v>
      </c>
      <c r="AD6835">
        <v>-6.8793000000000104E-2</v>
      </c>
      <c r="AE6835">
        <v>-49.645209999999899</v>
      </c>
      <c r="AF6835">
        <v>-26.014130655113899</v>
      </c>
      <c r="AG6835">
        <v>-6.8793000000000104E-2</v>
      </c>
      <c r="AH6835">
        <v>51.111549286628801</v>
      </c>
      <c r="AI6835">
        <v>90.068726852226902</v>
      </c>
      <c r="AJ6835">
        <v>116.974626739775</v>
      </c>
      <c r="AK6835">
        <v>57.3509389347522</v>
      </c>
      <c r="AL6835">
        <v>93.339813524772197</v>
      </c>
      <c r="AM6835">
        <v>98.883523650509503</v>
      </c>
      <c r="AN6835">
        <v>1.00000003661879</v>
      </c>
    </row>
    <row r="6836" spans="1:40" x14ac:dyDescent="0.25">
      <c r="A6836" t="str">
        <f>"20190305135100429"</f>
        <v>20190305135100429</v>
      </c>
      <c r="B6836" t="str">
        <f>"1551765060427178"</f>
        <v>1551765060427178</v>
      </c>
      <c r="C6836" t="s">
        <v>40</v>
      </c>
      <c r="D6836">
        <v>4.0514669999999997</v>
      </c>
      <c r="E6836">
        <v>0.3769769</v>
      </c>
      <c r="F6836" t="s">
        <v>84</v>
      </c>
      <c r="G6836">
        <v>-273.06830000000002</v>
      </c>
      <c r="H6836">
        <v>0.90886880000000003</v>
      </c>
      <c r="I6836">
        <v>-80.464519999999993</v>
      </c>
      <c r="J6836">
        <v>-302.37459999999999</v>
      </c>
      <c r="K6836">
        <v>1.1099000000000001</v>
      </c>
      <c r="L6836">
        <v>-31.07602</v>
      </c>
      <c r="M6836">
        <v>5.3611590000000001E-2</v>
      </c>
      <c r="N6836">
        <v>-1.3750149999999999E-2</v>
      </c>
      <c r="O6836">
        <v>-0.99846729999999995</v>
      </c>
      <c r="P6836">
        <v>0.22175520000000001</v>
      </c>
      <c r="Q6836">
        <v>-7.1978539999999994E-2</v>
      </c>
      <c r="R6836">
        <v>-0.97244240000000004</v>
      </c>
      <c r="S6836">
        <v>1.613434</v>
      </c>
      <c r="T6836">
        <v>-1.1061909999999999E-2</v>
      </c>
      <c r="U6836">
        <v>-2.7318730000000002</v>
      </c>
      <c r="V6836">
        <v>-0.16929449999999999</v>
      </c>
      <c r="W6836">
        <v>-5.846324E-2</v>
      </c>
      <c r="X6836">
        <v>0.98382999999999998</v>
      </c>
      <c r="Y6836">
        <v>-0.4615554</v>
      </c>
      <c r="Z6836">
        <v>-1.0022909999999999E-2</v>
      </c>
      <c r="AA6836">
        <v>0.88705480000000003</v>
      </c>
      <c r="AB6836">
        <v>26</v>
      </c>
      <c r="AC6836">
        <v>29.306299999999901</v>
      </c>
      <c r="AD6836">
        <v>-0.20103119999999999</v>
      </c>
      <c r="AE6836">
        <v>-49.388499999999901</v>
      </c>
      <c r="AF6836">
        <v>-26.615773401563299</v>
      </c>
      <c r="AG6836">
        <v>-0.20103119999999999</v>
      </c>
      <c r="AH6836">
        <v>50.888141374739703</v>
      </c>
      <c r="AI6836">
        <v>90.200566707281396</v>
      </c>
      <c r="AJ6836">
        <v>117.610694794694</v>
      </c>
      <c r="AK6836">
        <v>57.428588175944498</v>
      </c>
      <c r="AL6836">
        <v>93.351607953621993</v>
      </c>
      <c r="AM6836">
        <v>99.763665376558393</v>
      </c>
      <c r="AN6836">
        <v>1.00000002353077</v>
      </c>
    </row>
    <row r="6837" spans="1:40" x14ac:dyDescent="0.25">
      <c r="A6837" t="str">
        <f>"20190305135100452"</f>
        <v>20190305135100452</v>
      </c>
      <c r="B6837" t="str">
        <f>"1551765060446701"</f>
        <v>1551765060446701</v>
      </c>
      <c r="C6837" t="s">
        <v>40</v>
      </c>
      <c r="D6837">
        <v>4.0522600000000004</v>
      </c>
      <c r="E6837">
        <v>0.37822289999999997</v>
      </c>
      <c r="F6837" t="s">
        <v>84</v>
      </c>
      <c r="G6837">
        <v>-272.43419999999998</v>
      </c>
      <c r="H6837">
        <v>0.60633280000000001</v>
      </c>
      <c r="I6837">
        <v>-80.464519999999993</v>
      </c>
      <c r="J6837">
        <v>-302.36040000000003</v>
      </c>
      <c r="K6837">
        <v>1.109899</v>
      </c>
      <c r="L6837">
        <v>-31.337620000000001</v>
      </c>
      <c r="M6837">
        <v>5.3670669999999997E-2</v>
      </c>
      <c r="N6837">
        <v>-1.377511E-2</v>
      </c>
      <c r="O6837">
        <v>-0.99846369999999895</v>
      </c>
      <c r="P6837">
        <v>0.23996000000000001</v>
      </c>
      <c r="Q6837">
        <v>-7.2212499999999999E-2</v>
      </c>
      <c r="R6837">
        <v>-0.96809319999999999</v>
      </c>
      <c r="S6837">
        <v>1.6419680000000001</v>
      </c>
      <c r="T6837">
        <v>-2.7615549999999999E-2</v>
      </c>
      <c r="U6837">
        <v>-2.7085270000000001</v>
      </c>
      <c r="V6837">
        <v>-0.18764890000000001</v>
      </c>
      <c r="W6837">
        <v>-5.871726E-2</v>
      </c>
      <c r="X6837">
        <v>0.98047949999999995</v>
      </c>
      <c r="Y6837">
        <v>-0.47168149999999998</v>
      </c>
      <c r="Z6837">
        <v>-4.7467680000000002E-3</v>
      </c>
      <c r="AA6837">
        <v>0.88175619999999999</v>
      </c>
      <c r="AB6837">
        <v>26</v>
      </c>
      <c r="AC6837">
        <v>29.926200000000001</v>
      </c>
      <c r="AD6837">
        <v>-0.50356619999999996</v>
      </c>
      <c r="AE6837">
        <v>-49.1268999999999</v>
      </c>
      <c r="AF6837">
        <v>-27.244047368340802</v>
      </c>
      <c r="AG6837">
        <v>-0.50356619999999996</v>
      </c>
      <c r="AH6837">
        <v>50.658508994019599</v>
      </c>
      <c r="AI6837">
        <v>90.5015925221456</v>
      </c>
      <c r="AJ6837">
        <v>118.271277205028</v>
      </c>
      <c r="AK6837">
        <v>57.521963017819097</v>
      </c>
      <c r="AL6837">
        <v>93.366187560697796</v>
      </c>
      <c r="AM6837">
        <v>100.834527826642</v>
      </c>
      <c r="AN6837">
        <v>0.99999993810668097</v>
      </c>
    </row>
    <row r="6838" spans="1:40" x14ac:dyDescent="0.25">
      <c r="A6838" t="str">
        <f>"20190305135100474"</f>
        <v>20190305135100474</v>
      </c>
      <c r="B6838" t="str">
        <f>"1551765060467194"</f>
        <v>1551765060467194</v>
      </c>
      <c r="C6838" t="s">
        <v>40</v>
      </c>
      <c r="D6838">
        <v>4.0404689999999999</v>
      </c>
      <c r="E6838">
        <v>0.37949939999999999</v>
      </c>
      <c r="F6838" t="s">
        <v>84</v>
      </c>
      <c r="G6838">
        <v>-264.56119999999999</v>
      </c>
      <c r="H6838">
        <v>0.31915900000000003</v>
      </c>
      <c r="I6838">
        <v>-91.564989999999995</v>
      </c>
      <c r="J6838">
        <v>-302.34649999999999</v>
      </c>
      <c r="K6838">
        <v>1.109928</v>
      </c>
      <c r="L6838">
        <v>-31.59357</v>
      </c>
      <c r="M6838">
        <v>5.3729560000000003E-2</v>
      </c>
      <c r="N6838">
        <v>-1.379584E-2</v>
      </c>
      <c r="O6838">
        <v>-0.99846040000000003</v>
      </c>
      <c r="P6838">
        <v>0.25783590000000001</v>
      </c>
      <c r="Q6838">
        <v>-7.1673420000000002E-2</v>
      </c>
      <c r="R6838">
        <v>-0.96352709999999997</v>
      </c>
      <c r="S6838">
        <v>1.6816409999999999</v>
      </c>
      <c r="T6838">
        <v>-3.5178420000000002E-2</v>
      </c>
      <c r="U6838">
        <v>-2.679443</v>
      </c>
      <c r="V6838">
        <v>-0.2056866</v>
      </c>
      <c r="W6838">
        <v>-5.820939E-2</v>
      </c>
      <c r="X6838">
        <v>0.97688520000000001</v>
      </c>
      <c r="Y6838">
        <v>-0.48522700000000002</v>
      </c>
      <c r="Z6838">
        <v>-2.3256399999999999E-3</v>
      </c>
      <c r="AA6838">
        <v>0.87438519999999897</v>
      </c>
      <c r="AB6838">
        <v>26</v>
      </c>
      <c r="AC6838">
        <v>37.785299999999999</v>
      </c>
      <c r="AD6838">
        <v>-0.79076899999999894</v>
      </c>
      <c r="AE6838">
        <v>-59.971420000000002</v>
      </c>
      <c r="AF6838">
        <v>-34.5038712619249</v>
      </c>
      <c r="AG6838">
        <v>-0.79076899999999894</v>
      </c>
      <c r="AH6838">
        <v>61.907451757139199</v>
      </c>
      <c r="AI6838">
        <v>90.639249664915994</v>
      </c>
      <c r="AJ6838">
        <v>119.132935329763</v>
      </c>
      <c r="AK6838">
        <v>70.877888165022</v>
      </c>
      <c r="AL6838">
        <v>93.337038679637004</v>
      </c>
      <c r="AM6838">
        <v>101.890149584141</v>
      </c>
      <c r="AN6838">
        <v>1.00000000224138</v>
      </c>
    </row>
    <row r="6839" spans="1:40" x14ac:dyDescent="0.25">
      <c r="A6839" t="str">
        <f>"20190305135100496"</f>
        <v>20190305135100496</v>
      </c>
      <c r="B6839" t="str">
        <f>"1551765060486714"</f>
        <v>1551765060486714</v>
      </c>
      <c r="C6839" t="s">
        <v>40</v>
      </c>
      <c r="D6839">
        <v>4.0089309999999996</v>
      </c>
      <c r="E6839">
        <v>0.38089899999999999</v>
      </c>
      <c r="F6839" t="s">
        <v>84</v>
      </c>
      <c r="G6839">
        <v>-263.41390000000001</v>
      </c>
      <c r="H6839">
        <v>0.37925340000000002</v>
      </c>
      <c r="I6839">
        <v>-91.564989999999995</v>
      </c>
      <c r="J6839">
        <v>-302.33229999999998</v>
      </c>
      <c r="K6839">
        <v>1.1099650000000001</v>
      </c>
      <c r="L6839">
        <v>-31.853390000000001</v>
      </c>
      <c r="M6839">
        <v>5.3798079999999998E-2</v>
      </c>
      <c r="N6839">
        <v>-1.3813580000000001E-2</v>
      </c>
      <c r="O6839">
        <v>-0.99845629999999996</v>
      </c>
      <c r="P6839">
        <v>0.2749994</v>
      </c>
      <c r="Q6839">
        <v>-6.9094210000000003E-2</v>
      </c>
      <c r="R6839">
        <v>-0.95895850000000005</v>
      </c>
      <c r="S6839">
        <v>1.7207950000000001</v>
      </c>
      <c r="T6839">
        <v>-3.2294509999999998E-2</v>
      </c>
      <c r="U6839">
        <v>-2.6506959999999999</v>
      </c>
      <c r="V6839">
        <v>-0.2230029</v>
      </c>
      <c r="W6839">
        <v>-5.5667330000000001E-2</v>
      </c>
      <c r="X6839">
        <v>0.97322699999999995</v>
      </c>
      <c r="Y6839">
        <v>-0.49851319999999999</v>
      </c>
      <c r="Z6839">
        <v>-3.2446649999999999E-3</v>
      </c>
      <c r="AA6839">
        <v>0.86687610000000004</v>
      </c>
      <c r="AB6839">
        <v>26</v>
      </c>
      <c r="AC6839">
        <v>38.918399999999899</v>
      </c>
      <c r="AD6839">
        <v>-0.73071159999999902</v>
      </c>
      <c r="AE6839">
        <v>-59.711599999999997</v>
      </c>
      <c r="AF6839">
        <v>-35.645606562415402</v>
      </c>
      <c r="AG6839">
        <v>-0.73071159999999902</v>
      </c>
      <c r="AH6839">
        <v>61.7125599482494</v>
      </c>
      <c r="AI6839">
        <v>90.587438222692498</v>
      </c>
      <c r="AJ6839">
        <v>120.011030931574</v>
      </c>
      <c r="AK6839">
        <v>71.271195177372803</v>
      </c>
      <c r="AL6839">
        <v>93.191152764724507</v>
      </c>
      <c r="AM6839">
        <v>102.905826416069</v>
      </c>
      <c r="AN6839">
        <v>0.99999996928336898</v>
      </c>
    </row>
    <row r="6840" spans="1:40" x14ac:dyDescent="0.25">
      <c r="A6840" t="str">
        <f>"20190305135100519"</f>
        <v>20190305135100519</v>
      </c>
      <c r="B6840" t="str">
        <f>"1551765060516971"</f>
        <v>1551765060516971</v>
      </c>
      <c r="C6840" t="s">
        <v>40</v>
      </c>
      <c r="D6840">
        <v>3.986278</v>
      </c>
      <c r="E6840">
        <v>0.39918029999999999</v>
      </c>
      <c r="F6840" t="s">
        <v>84</v>
      </c>
      <c r="G6840">
        <v>-262.3433</v>
      </c>
      <c r="H6840">
        <v>0.54465479999999999</v>
      </c>
      <c r="I6840">
        <v>-91.564989999999995</v>
      </c>
      <c r="J6840">
        <v>-302.31790000000001</v>
      </c>
      <c r="K6840">
        <v>1.110004</v>
      </c>
      <c r="L6840">
        <v>-32.117919999999998</v>
      </c>
      <c r="M6840">
        <v>5.3886249999999997E-2</v>
      </c>
      <c r="N6840">
        <v>-1.3828760000000001E-2</v>
      </c>
      <c r="O6840">
        <v>-0.99845139999999999</v>
      </c>
      <c r="P6840">
        <v>0.2926821</v>
      </c>
      <c r="Q6840">
        <v>-6.5796960000000002E-2</v>
      </c>
      <c r="R6840">
        <v>-0.95394350000000006</v>
      </c>
      <c r="S6840">
        <v>1.756561</v>
      </c>
      <c r="T6840">
        <v>-2.4831180000000001E-2</v>
      </c>
      <c r="U6840">
        <v>-2.6228940000000001</v>
      </c>
      <c r="V6840">
        <v>-0.24084340000000001</v>
      </c>
      <c r="W6840">
        <v>-5.241821E-2</v>
      </c>
      <c r="X6840">
        <v>0.96914739999999999</v>
      </c>
      <c r="Y6840">
        <v>-0.51078080000000003</v>
      </c>
      <c r="Z6840">
        <v>-5.6332040000000002E-3</v>
      </c>
      <c r="AA6840">
        <v>0.85969249999999997</v>
      </c>
      <c r="AB6840">
        <v>26</v>
      </c>
      <c r="AC6840">
        <v>39.974600000000002</v>
      </c>
      <c r="AD6840">
        <v>-0.565349199999999</v>
      </c>
      <c r="AE6840">
        <v>-59.447069999999997</v>
      </c>
      <c r="AF6840">
        <v>-36.710536899597201</v>
      </c>
      <c r="AG6840">
        <v>-0.565349199999999</v>
      </c>
      <c r="AH6840">
        <v>61.511137833450803</v>
      </c>
      <c r="AI6840">
        <v>90.452186287655095</v>
      </c>
      <c r="AJ6840">
        <v>120.829226395684</v>
      </c>
      <c r="AK6840">
        <v>71.635209336892501</v>
      </c>
      <c r="AL6840">
        <v>93.004719428809906</v>
      </c>
      <c r="AM6840">
        <v>103.955898710667</v>
      </c>
      <c r="AN6840">
        <v>0.99999994749496002</v>
      </c>
    </row>
    <row r="6841" spans="1:40" x14ac:dyDescent="0.25">
      <c r="A6841" t="str">
        <f>"20190305135100543"</f>
        <v>20190305135100543</v>
      </c>
      <c r="B6841" t="str">
        <f>"1551765060536490"</f>
        <v>1551765060536490</v>
      </c>
      <c r="C6841" t="s">
        <v>40</v>
      </c>
      <c r="D6841">
        <v>3.9802759999999999</v>
      </c>
      <c r="E6841">
        <v>0.40004859999999998</v>
      </c>
      <c r="F6841" t="s">
        <v>110</v>
      </c>
      <c r="G6841">
        <v>-276.80869999999999</v>
      </c>
      <c r="H6841">
        <v>7.998777E-2</v>
      </c>
      <c r="I6841">
        <v>-72.536419999999893</v>
      </c>
      <c r="J6841">
        <v>-302.30290000000002</v>
      </c>
      <c r="K6841">
        <v>1.1100460000000001</v>
      </c>
      <c r="L6841">
        <v>-32.392359999999996</v>
      </c>
      <c r="M6841">
        <v>5.4014600000000003E-2</v>
      </c>
      <c r="N6841">
        <v>-1.384196E-2</v>
      </c>
      <c r="O6841">
        <v>-0.99844429999999995</v>
      </c>
      <c r="P6841">
        <v>0.31137730000000002</v>
      </c>
      <c r="Q6841">
        <v>-6.3264550000000003E-2</v>
      </c>
      <c r="R6841">
        <v>-0.94817839999999998</v>
      </c>
      <c r="S6841">
        <v>1.6603699999999999</v>
      </c>
      <c r="T6841">
        <v>-6.7042710000000005E-2</v>
      </c>
      <c r="U6841">
        <v>-2.630798</v>
      </c>
      <c r="V6841">
        <v>-0.25969619999999999</v>
      </c>
      <c r="W6841">
        <v>-4.9952509999999999E-2</v>
      </c>
      <c r="X6841">
        <v>0.96439750000000002</v>
      </c>
      <c r="Y6841">
        <v>-0.48713139999999999</v>
      </c>
      <c r="Z6841">
        <v>8.1912930000000005E-3</v>
      </c>
      <c r="AA6841">
        <v>0.87329029999999996</v>
      </c>
      <c r="AB6841">
        <v>26</v>
      </c>
      <c r="AC6841">
        <v>25.494199999999999</v>
      </c>
      <c r="AD6841">
        <v>-1.0300582300000001</v>
      </c>
      <c r="AE6841">
        <v>-40.144060000000003</v>
      </c>
      <c r="AF6841">
        <v>-23.277481154408498</v>
      </c>
      <c r="AG6841">
        <v>-1.0300582300000001</v>
      </c>
      <c r="AH6841">
        <v>41.443191365612897</v>
      </c>
      <c r="AI6841">
        <v>91.241428962239198</v>
      </c>
      <c r="AJ6841">
        <v>119.32170362066699</v>
      </c>
      <c r="AK6841">
        <v>47.544087533760099</v>
      </c>
      <c r="AL6841">
        <v>92.8632597341159</v>
      </c>
      <c r="AM6841">
        <v>105.071297744456</v>
      </c>
      <c r="AN6841">
        <v>0.999999953777993</v>
      </c>
    </row>
    <row r="6842" spans="1:40" x14ac:dyDescent="0.25">
      <c r="A6842" t="str">
        <f>"20190305135100564"</f>
        <v>20190305135100564</v>
      </c>
      <c r="B6842" t="str">
        <f>"1551765060556986"</f>
        <v>1551765060556986</v>
      </c>
      <c r="C6842" t="s">
        <v>40</v>
      </c>
      <c r="D6842">
        <v>3.9965700000000002</v>
      </c>
      <c r="E6842">
        <v>0.38742720000000003</v>
      </c>
      <c r="F6842" t="s">
        <v>43</v>
      </c>
      <c r="G6842">
        <v>-267.46230000000003</v>
      </c>
      <c r="H6842">
        <v>-0.05</v>
      </c>
      <c r="I6842">
        <v>-85.528750000000002</v>
      </c>
      <c r="J6842">
        <v>-302.28930000000003</v>
      </c>
      <c r="K6842">
        <v>1.110093</v>
      </c>
      <c r="L6842">
        <v>-32.638849999999998</v>
      </c>
      <c r="M6842">
        <v>5.4183639999999998E-2</v>
      </c>
      <c r="N6842">
        <v>-1.3851860000000001E-2</v>
      </c>
      <c r="O6842">
        <v>-0.99843510000000002</v>
      </c>
      <c r="P6842">
        <v>0.33063569999999998</v>
      </c>
      <c r="Q6842">
        <v>-6.1004219999999998E-2</v>
      </c>
      <c r="R6842">
        <v>-0.94178510000000004</v>
      </c>
      <c r="S6842">
        <v>1.7049559999999999</v>
      </c>
      <c r="T6842">
        <v>-5.6767940000000003E-2</v>
      </c>
      <c r="U6842">
        <v>-2.6002809999999998</v>
      </c>
      <c r="V6842">
        <v>-0.27910600000000002</v>
      </c>
      <c r="W6842">
        <v>-4.7781440000000001E-2</v>
      </c>
      <c r="X6842">
        <v>0.9590708</v>
      </c>
      <c r="Y6842">
        <v>-0.50209389999999998</v>
      </c>
      <c r="Z6842">
        <v>4.8650719999999998E-3</v>
      </c>
      <c r="AA6842">
        <v>0.8647994</v>
      </c>
      <c r="AB6842">
        <v>26</v>
      </c>
      <c r="AC6842">
        <v>34.826999999999998</v>
      </c>
      <c r="AD6842">
        <v>-1.160093</v>
      </c>
      <c r="AE6842">
        <v>-52.889899999999997</v>
      </c>
      <c r="AF6842">
        <v>-31.899082074046099</v>
      </c>
      <c r="AG6842">
        <v>-1.160093</v>
      </c>
      <c r="AH6842">
        <v>54.6810729287483</v>
      </c>
      <c r="AI6842">
        <v>91.049847477370406</v>
      </c>
      <c r="AJ6842">
        <v>120.25783618422</v>
      </c>
      <c r="AK6842">
        <v>63.3160089517215</v>
      </c>
      <c r="AL6842">
        <v>92.738717604360403</v>
      </c>
      <c r="AM6842">
        <v>106.22589898011</v>
      </c>
      <c r="AN6842">
        <v>1.00000001232855</v>
      </c>
    </row>
    <row r="6843" spans="1:40" x14ac:dyDescent="0.25">
      <c r="A6843" t="str">
        <f>"20190305135100587"</f>
        <v>20190305135100587</v>
      </c>
      <c r="B6843" t="str">
        <f>"1551765060576507"</f>
        <v>1551765060576507</v>
      </c>
      <c r="C6843" t="s">
        <v>40</v>
      </c>
      <c r="D6843">
        <v>3.9594010000000002</v>
      </c>
      <c r="E6843">
        <v>0.37969979999999998</v>
      </c>
      <c r="F6843" t="s">
        <v>84</v>
      </c>
      <c r="G6843">
        <v>-259.56110000000001</v>
      </c>
      <c r="H6843">
        <v>0.54894259999999995</v>
      </c>
      <c r="I6843">
        <v>-90.976820000000004</v>
      </c>
      <c r="J6843">
        <v>-302.27519999999998</v>
      </c>
      <c r="K6843">
        <v>1.1101669999999999</v>
      </c>
      <c r="L6843">
        <v>-32.892969999999998</v>
      </c>
      <c r="M6843">
        <v>5.443858E-2</v>
      </c>
      <c r="N6843">
        <v>-1.386049E-2</v>
      </c>
      <c r="O6843">
        <v>-0.99842129999999996</v>
      </c>
      <c r="P6843">
        <v>0.34836159999999999</v>
      </c>
      <c r="Q6843">
        <v>-5.8894799999999997E-2</v>
      </c>
      <c r="R6843">
        <v>-0.93550840000000002</v>
      </c>
      <c r="S6843">
        <v>1.8549800000000001</v>
      </c>
      <c r="T6843">
        <v>-2.4360900000000001E-2</v>
      </c>
      <c r="U6843">
        <v>-2.532654</v>
      </c>
      <c r="V6843">
        <v>-0.2968964</v>
      </c>
      <c r="W6843">
        <v>-4.5781719999999998E-2</v>
      </c>
      <c r="X6843">
        <v>0.95381159999999998</v>
      </c>
      <c r="Y6843">
        <v>-0.54600479999999996</v>
      </c>
      <c r="Z6843">
        <v>-5.7420079999999998E-3</v>
      </c>
      <c r="AA6843">
        <v>0.83776240000000002</v>
      </c>
      <c r="AB6843">
        <v>26</v>
      </c>
      <c r="AC6843">
        <v>42.714099999999902</v>
      </c>
      <c r="AD6843">
        <v>-0.56122439999999996</v>
      </c>
      <c r="AE6843">
        <v>-58.083849999999899</v>
      </c>
      <c r="AF6843">
        <v>-39.486050595114001</v>
      </c>
      <c r="AG6843">
        <v>-0.56122439999999996</v>
      </c>
      <c r="AH6843">
        <v>60.3195647334136</v>
      </c>
      <c r="AI6843">
        <v>90.446014581761503</v>
      </c>
      <c r="AJ6843">
        <v>123.209332321876</v>
      </c>
      <c r="AK6843">
        <v>72.096553690558196</v>
      </c>
      <c r="AL6843">
        <v>92.624016512757805</v>
      </c>
      <c r="AM6843">
        <v>107.28998793868</v>
      </c>
      <c r="AN6843">
        <v>1.0000000032568299</v>
      </c>
    </row>
    <row r="6844" spans="1:40" x14ac:dyDescent="0.25">
      <c r="A6844" t="str">
        <f>"20190305135100608"</f>
        <v>20190305135100608</v>
      </c>
      <c r="B6844" t="str">
        <f>"1551765060606762"</f>
        <v>1551765060606762</v>
      </c>
      <c r="C6844" t="s">
        <v>40</v>
      </c>
      <c r="D6844">
        <v>3.934596</v>
      </c>
      <c r="E6844">
        <v>0.37698969999999998</v>
      </c>
      <c r="F6844" t="s">
        <v>84</v>
      </c>
      <c r="G6844">
        <v>-255.83580000000001</v>
      </c>
      <c r="H6844">
        <v>0.45749469999999998</v>
      </c>
      <c r="I6844">
        <v>-91.564989999999995</v>
      </c>
      <c r="J6844">
        <v>-302.26080000000002</v>
      </c>
      <c r="K6844">
        <v>1.110266</v>
      </c>
      <c r="L6844">
        <v>-33.149929999999998</v>
      </c>
      <c r="M6844">
        <v>5.4809110000000001E-2</v>
      </c>
      <c r="N6844">
        <v>-1.3867930000000001E-2</v>
      </c>
      <c r="O6844">
        <v>-0.99840079999999998</v>
      </c>
      <c r="P6844">
        <v>0.3652106</v>
      </c>
      <c r="Q6844">
        <v>-5.7830909999999999E-2</v>
      </c>
      <c r="R6844">
        <v>-0.92912729999999999</v>
      </c>
      <c r="S6844">
        <v>1.9593510000000001</v>
      </c>
      <c r="T6844">
        <v>-2.7536749999999999E-2</v>
      </c>
      <c r="U6844">
        <v>-2.4754640000000001</v>
      </c>
      <c r="V6844">
        <v>-0.31370769999999998</v>
      </c>
      <c r="W6844">
        <v>-4.4854350000000001E-2</v>
      </c>
      <c r="X6844">
        <v>0.94845959999999996</v>
      </c>
      <c r="Y6844">
        <v>-0.57662619999999998</v>
      </c>
      <c r="Z6844">
        <v>-4.7451680000000001E-3</v>
      </c>
      <c r="AA6844">
        <v>0.816994199999999</v>
      </c>
      <c r="AB6844">
        <v>26</v>
      </c>
      <c r="AC6844">
        <v>46.424999999999997</v>
      </c>
      <c r="AD6844">
        <v>-0.65277129999999906</v>
      </c>
      <c r="AE6844">
        <v>-58.415059999999997</v>
      </c>
      <c r="AF6844">
        <v>-43.149915936449197</v>
      </c>
      <c r="AG6844">
        <v>-0.65277129999999906</v>
      </c>
      <c r="AH6844">
        <v>60.867335177141499</v>
      </c>
      <c r="AI6844">
        <v>90.501270137470399</v>
      </c>
      <c r="AJ6844">
        <v>125.33349305336399</v>
      </c>
      <c r="AK6844">
        <v>74.613496414919695</v>
      </c>
      <c r="AL6844">
        <v>92.570827426543403</v>
      </c>
      <c r="AM6844">
        <v>108.30188829079999</v>
      </c>
      <c r="AN6844">
        <v>1.00000002329268</v>
      </c>
    </row>
    <row r="6845" spans="1:40" x14ac:dyDescent="0.25">
      <c r="A6845" t="str">
        <f>"20190305135100631"</f>
        <v>20190305135100631</v>
      </c>
      <c r="B6845" t="str">
        <f>"1551765060626282"</f>
        <v>1551765060626282</v>
      </c>
      <c r="C6845" t="s">
        <v>40</v>
      </c>
      <c r="D6845">
        <v>3.964413</v>
      </c>
      <c r="E6845">
        <v>0.37701899999999999</v>
      </c>
      <c r="F6845" t="s">
        <v>84</v>
      </c>
      <c r="G6845">
        <v>-253.67670000000001</v>
      </c>
      <c r="H6845">
        <v>6.6995620000000006E-2</v>
      </c>
      <c r="I6845">
        <v>-91.564989999999995</v>
      </c>
      <c r="J6845">
        <v>-302.24650000000003</v>
      </c>
      <c r="K6845">
        <v>1.110384</v>
      </c>
      <c r="L6845">
        <v>-33.399929999999998</v>
      </c>
      <c r="M6845">
        <v>5.5318770000000003E-2</v>
      </c>
      <c r="N6845">
        <v>-1.3874320000000001E-2</v>
      </c>
      <c r="O6845">
        <v>-0.99837260000000005</v>
      </c>
      <c r="P6845">
        <v>0.38170500000000002</v>
      </c>
      <c r="Q6845">
        <v>-5.7266190000000002E-2</v>
      </c>
      <c r="R6845">
        <v>-0.92250869999999996</v>
      </c>
      <c r="S6845">
        <v>2.022125</v>
      </c>
      <c r="T6845">
        <v>-4.3421630000000003E-2</v>
      </c>
      <c r="U6845">
        <v>-2.431305</v>
      </c>
      <c r="V6845">
        <v>-0.33004790000000001</v>
      </c>
      <c r="W6845">
        <v>-4.4454830000000001E-2</v>
      </c>
      <c r="X6845">
        <v>0.94291689999999995</v>
      </c>
      <c r="Y6845">
        <v>-0.59583030000000003</v>
      </c>
      <c r="Z6845">
        <v>3.6083250000000001E-4</v>
      </c>
      <c r="AA6845">
        <v>0.80311030000000005</v>
      </c>
      <c r="AB6845">
        <v>26</v>
      </c>
      <c r="AC6845">
        <v>48.569800000000001</v>
      </c>
      <c r="AD6845">
        <v>-1.0433883799999999</v>
      </c>
      <c r="AE6845">
        <v>-58.165059999999997</v>
      </c>
      <c r="AF6845">
        <v>-45.268901947605002</v>
      </c>
      <c r="AG6845">
        <v>-1.0433883799999999</v>
      </c>
      <c r="AH6845">
        <v>60.751539023439499</v>
      </c>
      <c r="AI6845">
        <v>90.789013363178199</v>
      </c>
      <c r="AJ6845">
        <v>126.69157202807899</v>
      </c>
      <c r="AK6845">
        <v>75.7701236409833</v>
      </c>
      <c r="AL6845">
        <v>92.547913655958993</v>
      </c>
      <c r="AM6845">
        <v>109.291506987738</v>
      </c>
      <c r="AN6845">
        <v>1.0000000642551701</v>
      </c>
    </row>
    <row r="6846" spans="1:40" x14ac:dyDescent="0.25">
      <c r="A6846" t="str">
        <f>"20190305135100653"</f>
        <v>20190305135100653</v>
      </c>
      <c r="B6846" t="str">
        <f>"1551765060646778"</f>
        <v>1551765060646778</v>
      </c>
      <c r="C6846" t="s">
        <v>40</v>
      </c>
      <c r="D6846">
        <v>3.935492</v>
      </c>
      <c r="E6846">
        <v>0.37798670000000001</v>
      </c>
      <c r="F6846" t="s">
        <v>43</v>
      </c>
      <c r="G6846">
        <v>-256.39240000000001</v>
      </c>
      <c r="H6846">
        <v>-0.05</v>
      </c>
      <c r="I6846">
        <v>-86.599809999999906</v>
      </c>
      <c r="J6846">
        <v>-302.23140000000001</v>
      </c>
      <c r="K6846">
        <v>1.110527</v>
      </c>
      <c r="L6846">
        <v>-33.657499999999999</v>
      </c>
      <c r="M6846">
        <v>5.6031320000000003E-2</v>
      </c>
      <c r="N6846">
        <v>-1.388031E-2</v>
      </c>
      <c r="O6846">
        <v>-0.99833289999999997</v>
      </c>
      <c r="P6846">
        <v>0.39701789999999998</v>
      </c>
      <c r="Q6846">
        <v>-5.5569390000000003E-2</v>
      </c>
      <c r="R6846">
        <v>-0.91612749999999998</v>
      </c>
      <c r="S6846">
        <v>2.0640559999999999</v>
      </c>
      <c r="T6846">
        <v>-5.2232979999999998E-2</v>
      </c>
      <c r="U6846">
        <v>-2.394714</v>
      </c>
      <c r="V6846">
        <v>-0.3450086</v>
      </c>
      <c r="W6846">
        <v>-4.294796E-2</v>
      </c>
      <c r="X6846">
        <v>0.93761640000000002</v>
      </c>
      <c r="Y6846">
        <v>-0.60928919999999998</v>
      </c>
      <c r="Z6846">
        <v>3.2149370000000002E-3</v>
      </c>
      <c r="AA6846">
        <v>0.79294160000000002</v>
      </c>
      <c r="AB6846">
        <v>26</v>
      </c>
      <c r="AC6846">
        <v>45.838999999999999</v>
      </c>
      <c r="AD6846">
        <v>-1.1605270000000001</v>
      </c>
      <c r="AE6846">
        <v>-52.9423099999999</v>
      </c>
      <c r="AF6846">
        <v>-42.788510337749102</v>
      </c>
      <c r="AG6846">
        <v>-1.1605270000000001</v>
      </c>
      <c r="AH6846">
        <v>55.412570375434001</v>
      </c>
      <c r="AI6846">
        <v>90.949680695092198</v>
      </c>
      <c r="AJ6846">
        <v>127.674622575616</v>
      </c>
      <c r="AK6846">
        <v>70.019685770887506</v>
      </c>
      <c r="AL6846">
        <v>92.461493988919699</v>
      </c>
      <c r="AM6846">
        <v>110.20177262641</v>
      </c>
      <c r="AN6846">
        <v>0.99999998744553997</v>
      </c>
    </row>
    <row r="6847" spans="1:40" x14ac:dyDescent="0.25">
      <c r="A6847" t="str">
        <f>"20190305135100676"</f>
        <v>20190305135100676</v>
      </c>
      <c r="B6847" t="str">
        <f>"1551765060666299"</f>
        <v>1551765060666299</v>
      </c>
      <c r="C6847" t="s">
        <v>40</v>
      </c>
      <c r="D6847">
        <v>3.9581689999999998</v>
      </c>
      <c r="E6847">
        <v>0.37937419999999999</v>
      </c>
      <c r="F6847" t="s">
        <v>43</v>
      </c>
      <c r="G6847">
        <v>-256.74779999999998</v>
      </c>
      <c r="H6847">
        <v>-0.05</v>
      </c>
      <c r="I6847">
        <v>-84.944990000000004</v>
      </c>
      <c r="J6847">
        <v>-302.2158</v>
      </c>
      <c r="K6847">
        <v>1.110689</v>
      </c>
      <c r="L6847">
        <v>-33.918059999999997</v>
      </c>
      <c r="M6847">
        <v>5.6925389999999999E-2</v>
      </c>
      <c r="N6847">
        <v>-1.3885929999999999E-2</v>
      </c>
      <c r="O6847">
        <v>-0.99828209999999995</v>
      </c>
      <c r="P6847">
        <v>0.41075060000000002</v>
      </c>
      <c r="Q6847">
        <v>-5.0184840000000001E-2</v>
      </c>
      <c r="R6847">
        <v>-0.9103658</v>
      </c>
      <c r="S6847">
        <v>2.095764</v>
      </c>
      <c r="T6847">
        <v>-5.3473949999999999E-2</v>
      </c>
      <c r="U6847">
        <v>-2.3631899999999999</v>
      </c>
      <c r="V6847">
        <v>-0.35820239999999998</v>
      </c>
      <c r="W6847">
        <v>-3.7753090000000003E-2</v>
      </c>
      <c r="X6847">
        <v>0.9328803</v>
      </c>
      <c r="Y6847">
        <v>-0.61971719999999997</v>
      </c>
      <c r="Z6847">
        <v>3.6465149999999999E-3</v>
      </c>
      <c r="AA6847">
        <v>0.78481669999999903</v>
      </c>
      <c r="AB6847">
        <v>26</v>
      </c>
      <c r="AC6847">
        <v>45.468000000000004</v>
      </c>
      <c r="AD6847">
        <v>-1.1606889999999901</v>
      </c>
      <c r="AE6847">
        <v>-51.02693</v>
      </c>
      <c r="AF6847">
        <v>-42.476998316574203</v>
      </c>
      <c r="AG6847">
        <v>-1.1606889999999901</v>
      </c>
      <c r="AH6847">
        <v>53.517268152695102</v>
      </c>
      <c r="AI6847">
        <v>90.973224443364501</v>
      </c>
      <c r="AJ6847">
        <v>128.43925623509099</v>
      </c>
      <c r="AK6847">
        <v>68.335500111350896</v>
      </c>
      <c r="AL6847">
        <v>92.163606989757696</v>
      </c>
      <c r="AM6847">
        <v>111.005524334333</v>
      </c>
      <c r="AN6847">
        <v>0.999999954649198</v>
      </c>
    </row>
    <row r="6848" spans="1:40" x14ac:dyDescent="0.25">
      <c r="A6848" t="str">
        <f>"20190305135100698"</f>
        <v>20190305135100698</v>
      </c>
      <c r="B6848" t="str">
        <f>"1551765060686794"</f>
        <v>1551765060686794</v>
      </c>
      <c r="C6848" t="s">
        <v>40</v>
      </c>
      <c r="D6848">
        <v>3.9306549999999998</v>
      </c>
      <c r="E6848">
        <v>0.38083869999999997</v>
      </c>
      <c r="F6848" t="s">
        <v>84</v>
      </c>
      <c r="G6848">
        <v>-249.90430000000001</v>
      </c>
      <c r="H6848">
        <v>8.7924959999999996E-2</v>
      </c>
      <c r="I6848">
        <v>-91.564989999999995</v>
      </c>
      <c r="J6848">
        <v>-302.2004</v>
      </c>
      <c r="K6848">
        <v>1.1108559999999901</v>
      </c>
      <c r="L6848">
        <v>-34.166719999999998</v>
      </c>
      <c r="M6848">
        <v>5.7962079999999999E-2</v>
      </c>
      <c r="N6848">
        <v>-1.3890629999999999E-2</v>
      </c>
      <c r="O6848">
        <v>-0.99822219999999995</v>
      </c>
      <c r="P6848">
        <v>0.4236123</v>
      </c>
      <c r="Q6848">
        <v>-4.2665120000000001E-2</v>
      </c>
      <c r="R6848">
        <v>-0.90483820000000004</v>
      </c>
      <c r="S6848">
        <v>2.120209</v>
      </c>
      <c r="T6848">
        <v>-4.1452530000000001E-2</v>
      </c>
      <c r="U6848">
        <v>-2.3364560000000001</v>
      </c>
      <c r="V6848">
        <v>-0.370396</v>
      </c>
      <c r="W6848">
        <v>-3.0422149999999998E-2</v>
      </c>
      <c r="X6848">
        <v>0.92837570000000003</v>
      </c>
      <c r="Y6848">
        <v>-0.62784689999999999</v>
      </c>
      <c r="Z6848">
        <v>-1.9824440000000001E-4</v>
      </c>
      <c r="AA6848">
        <v>0.7783369</v>
      </c>
      <c r="AB6848">
        <v>26</v>
      </c>
      <c r="AC6848">
        <v>52.296100000000003</v>
      </c>
      <c r="AD6848">
        <v>-1.02293103999999</v>
      </c>
      <c r="AE6848">
        <v>-57.398269999999997</v>
      </c>
      <c r="AF6848">
        <v>-48.872436487738803</v>
      </c>
      <c r="AG6848">
        <v>-1.02293103999999</v>
      </c>
      <c r="AH6848">
        <v>60.322766803206299</v>
      </c>
      <c r="AI6848">
        <v>90.754884675280806</v>
      </c>
      <c r="AJ6848">
        <v>129.013778149465</v>
      </c>
      <c r="AK6848">
        <v>77.642756461595795</v>
      </c>
      <c r="AL6848">
        <v>91.743329654089493</v>
      </c>
      <c r="AM6848">
        <v>111.75062038254799</v>
      </c>
      <c r="AN6848">
        <v>1.00000007218855</v>
      </c>
    </row>
    <row r="6849" spans="1:40" x14ac:dyDescent="0.25">
      <c r="A6849" t="str">
        <f>"20190305135100720"</f>
        <v>20190305135100720</v>
      </c>
      <c r="B6849" t="str">
        <f>"1551765060717051"</f>
        <v>1551765060717051</v>
      </c>
      <c r="C6849" t="s">
        <v>40</v>
      </c>
      <c r="D6849">
        <v>3.9527450000000002</v>
      </c>
      <c r="E6849">
        <v>0.38296750000000002</v>
      </c>
      <c r="F6849" t="s">
        <v>84</v>
      </c>
      <c r="G6849">
        <v>-249.02099999999999</v>
      </c>
      <c r="H6849">
        <v>0.64991759999999998</v>
      </c>
      <c r="I6849">
        <v>-91.564989999999995</v>
      </c>
      <c r="J6849">
        <v>-302.18389999999999</v>
      </c>
      <c r="K6849">
        <v>1.1110549999999999</v>
      </c>
      <c r="L6849">
        <v>-34.427059999999997</v>
      </c>
      <c r="M6849">
        <v>5.9275340000000003E-2</v>
      </c>
      <c r="N6849">
        <v>-1.389525E-2</v>
      </c>
      <c r="O6849">
        <v>-0.99814510000000001</v>
      </c>
      <c r="P6849">
        <v>0.43638680000000002</v>
      </c>
      <c r="Q6849">
        <v>-3.5224039999999998E-2</v>
      </c>
      <c r="R6849">
        <v>-0.89906969999999997</v>
      </c>
      <c r="S6849">
        <v>2.141937</v>
      </c>
      <c r="T6849">
        <v>-1.8564939999999999E-2</v>
      </c>
      <c r="U6849">
        <v>-2.3118590000000001</v>
      </c>
      <c r="V6849">
        <v>-0.38227349999999999</v>
      </c>
      <c r="W6849">
        <v>-2.3193760000000001E-2</v>
      </c>
      <c r="X6849">
        <v>0.92375810000000003</v>
      </c>
      <c r="Y6849">
        <v>-0.63485939999999996</v>
      </c>
      <c r="Z6849">
        <v>-7.5704650000000002E-3</v>
      </c>
      <c r="AA6849">
        <v>0.77259060000000002</v>
      </c>
      <c r="AB6849">
        <v>26</v>
      </c>
      <c r="AC6849">
        <v>53.1629</v>
      </c>
      <c r="AD6849">
        <v>-0.46113739999999898</v>
      </c>
      <c r="AE6849">
        <v>-57.137929999999997</v>
      </c>
      <c r="AF6849">
        <v>-49.680472917563002</v>
      </c>
      <c r="AG6849">
        <v>-0.46113739999999898</v>
      </c>
      <c r="AH6849">
        <v>60.186894907856697</v>
      </c>
      <c r="AI6849">
        <v>90.338545829574997</v>
      </c>
      <c r="AJ6849">
        <v>129.53751660059299</v>
      </c>
      <c r="AK6849">
        <v>78.043733609200004</v>
      </c>
      <c r="AL6849">
        <v>91.329023730970405</v>
      </c>
      <c r="AM6849">
        <v>112.480957901125</v>
      </c>
      <c r="AN6849">
        <v>1.00000000331039</v>
      </c>
    </row>
    <row r="6850" spans="1:40" x14ac:dyDescent="0.25">
      <c r="A6850" t="str">
        <f>"20190305135100743"</f>
        <v>20190305135100743</v>
      </c>
      <c r="B6850" t="str">
        <f>"1551765060736572"</f>
        <v>1551765060736572</v>
      </c>
      <c r="C6850" t="s">
        <v>40</v>
      </c>
      <c r="D6850">
        <v>3.9653429999999998</v>
      </c>
      <c r="E6850">
        <v>0.38429600000000003</v>
      </c>
      <c r="F6850" t="s">
        <v>84</v>
      </c>
      <c r="G6850">
        <v>-248.3237</v>
      </c>
      <c r="H6850">
        <v>0.92396160000000005</v>
      </c>
      <c r="I6850">
        <v>-91.564989999999995</v>
      </c>
      <c r="J6850">
        <v>-302.16680000000002</v>
      </c>
      <c r="K6850">
        <v>1.1112550000000001</v>
      </c>
      <c r="L6850">
        <v>-34.685360000000003</v>
      </c>
      <c r="M6850">
        <v>6.0829719999999997E-2</v>
      </c>
      <c r="N6850">
        <v>-1.390036E-2</v>
      </c>
      <c r="O6850">
        <v>-0.99805160000000004</v>
      </c>
      <c r="P6850">
        <v>0.44936409999999999</v>
      </c>
      <c r="Q6850">
        <v>-2.8352200000000001E-2</v>
      </c>
      <c r="R6850">
        <v>-0.892899</v>
      </c>
      <c r="S6850">
        <v>2.1578059999999999</v>
      </c>
      <c r="T6850">
        <v>-7.495046E-3</v>
      </c>
      <c r="U6850">
        <v>-2.2891240000000002</v>
      </c>
      <c r="V6850">
        <v>-0.39417150000000001</v>
      </c>
      <c r="W6850">
        <v>-1.6563999999999999E-2</v>
      </c>
      <c r="X6850">
        <v>0.91888760000000003</v>
      </c>
      <c r="Y6850">
        <v>-0.64028359999999995</v>
      </c>
      <c r="Z6850">
        <v>-1.1137650000000001E-2</v>
      </c>
      <c r="AA6850">
        <v>0.76805789999999996</v>
      </c>
      <c r="AB6850">
        <v>26</v>
      </c>
      <c r="AC6850">
        <v>53.8431</v>
      </c>
      <c r="AD6850">
        <v>-0.187293399999999</v>
      </c>
      <c r="AE6850">
        <v>-56.879629999999999</v>
      </c>
      <c r="AF6850">
        <v>-50.282778836555799</v>
      </c>
      <c r="AG6850">
        <v>-0.187293399999999</v>
      </c>
      <c r="AH6850">
        <v>60.049510589074103</v>
      </c>
      <c r="AI6850">
        <v>90.137012981470605</v>
      </c>
      <c r="AJ6850">
        <v>129.941302368419</v>
      </c>
      <c r="AK6850">
        <v>78.322006156194703</v>
      </c>
      <c r="AL6850">
        <v>90.9490907144327</v>
      </c>
      <c r="AM6850">
        <v>113.217685023657</v>
      </c>
      <c r="AN6850">
        <v>0.99999997947100405</v>
      </c>
    </row>
    <row r="6851" spans="1:40" x14ac:dyDescent="0.25">
      <c r="A6851" t="str">
        <f>"20190305135100767"</f>
        <v>20190305135100767</v>
      </c>
      <c r="B6851" t="str">
        <f>"1551765060757067"</f>
        <v>1551765060757067</v>
      </c>
      <c r="C6851" t="s">
        <v>40</v>
      </c>
      <c r="D6851">
        <v>3.957913</v>
      </c>
      <c r="E6851">
        <v>0.38572849999999997</v>
      </c>
      <c r="F6851" t="s">
        <v>84</v>
      </c>
      <c r="G6851">
        <v>-247.3569</v>
      </c>
      <c r="H6851">
        <v>1.2908219999999999</v>
      </c>
      <c r="I6851">
        <v>-91.564989999999995</v>
      </c>
      <c r="J6851">
        <v>-302.14879999999999</v>
      </c>
      <c r="K6851">
        <v>1.1114679999999999</v>
      </c>
      <c r="L6851">
        <v>-34.948819999999998</v>
      </c>
      <c r="M6851">
        <v>6.2686110000000003E-2</v>
      </c>
      <c r="N6851">
        <v>-1.3906470000000001E-2</v>
      </c>
      <c r="O6851">
        <v>-0.9979365</v>
      </c>
      <c r="P6851">
        <v>0.46178720000000001</v>
      </c>
      <c r="Q6851">
        <v>-2.48834E-2</v>
      </c>
      <c r="R6851">
        <v>-0.88664200000000004</v>
      </c>
      <c r="S6851">
        <v>2.1804199999999998</v>
      </c>
      <c r="T6851">
        <v>7.143974E-3</v>
      </c>
      <c r="U6851">
        <v>-2.262756</v>
      </c>
      <c r="V6851">
        <v>-0.4052558</v>
      </c>
      <c r="W6851">
        <v>-1.336847E-2</v>
      </c>
      <c r="X6851">
        <v>0.91410559999999996</v>
      </c>
      <c r="Y6851">
        <v>-0.64724309999999996</v>
      </c>
      <c r="Z6851">
        <v>-1.5879770000000001E-2</v>
      </c>
      <c r="AA6851">
        <v>0.76211830000000003</v>
      </c>
      <c r="AB6851">
        <v>26</v>
      </c>
      <c r="AC6851">
        <v>54.791899999999998</v>
      </c>
      <c r="AD6851">
        <v>0.17935399999999899</v>
      </c>
      <c r="AE6851">
        <v>-56.616169999999997</v>
      </c>
      <c r="AF6851">
        <v>-51.134464161418997</v>
      </c>
      <c r="AG6851">
        <v>0.17935399999999899</v>
      </c>
      <c r="AH6851">
        <v>59.939513267867703</v>
      </c>
      <c r="AI6851">
        <v>89.869570649708905</v>
      </c>
      <c r="AJ6851">
        <v>130.46753091148199</v>
      </c>
      <c r="AK6851">
        <v>78.787758209773003</v>
      </c>
      <c r="AL6851">
        <v>90.765979715688403</v>
      </c>
      <c r="AM6851">
        <v>113.90942741692599</v>
      </c>
      <c r="AN6851">
        <v>1.00000001368757</v>
      </c>
    </row>
    <row r="6852" spans="1:40" x14ac:dyDescent="0.25">
      <c r="A6852" t="str">
        <f>"20190305135100792"</f>
        <v>20190305135100792</v>
      </c>
      <c r="B6852" t="str">
        <f>"1551765060786346"</f>
        <v>1551765060786346</v>
      </c>
      <c r="C6852" t="s">
        <v>40</v>
      </c>
      <c r="D6852">
        <v>3.9914990000000001</v>
      </c>
      <c r="E6852">
        <v>0.4121686</v>
      </c>
      <c r="F6852" t="s">
        <v>84</v>
      </c>
      <c r="G6852">
        <v>-246.45</v>
      </c>
      <c r="H6852">
        <v>1.472801</v>
      </c>
      <c r="I6852">
        <v>-91.564989999999995</v>
      </c>
      <c r="J6852">
        <v>-302.12889999999999</v>
      </c>
      <c r="K6852">
        <v>1.111685</v>
      </c>
      <c r="L6852">
        <v>-35.22513</v>
      </c>
      <c r="M6852">
        <v>6.4961660000000004E-2</v>
      </c>
      <c r="N6852">
        <v>-1.391391E-2</v>
      </c>
      <c r="O6852">
        <v>-0.99779099999999998</v>
      </c>
      <c r="P6852">
        <v>0.47291139999999998</v>
      </c>
      <c r="Q6852">
        <v>-2.448767E-2</v>
      </c>
      <c r="R6852">
        <v>-0.880770099999999</v>
      </c>
      <c r="S6852">
        <v>2.2012330000000002</v>
      </c>
      <c r="T6852">
        <v>1.4280559999999999E-2</v>
      </c>
      <c r="U6852">
        <v>-2.2374879999999999</v>
      </c>
      <c r="V6852">
        <v>-0.41464649999999997</v>
      </c>
      <c r="W6852">
        <v>-1.327275E-2</v>
      </c>
      <c r="X6852">
        <v>0.90988579999999997</v>
      </c>
      <c r="Y6852">
        <v>-0.65336050000000001</v>
      </c>
      <c r="Z6852">
        <v>-1.8197629999999999E-2</v>
      </c>
      <c r="AA6852">
        <v>0.75682819999999995</v>
      </c>
      <c r="AB6852">
        <v>26</v>
      </c>
      <c r="AC6852">
        <v>55.678899999999999</v>
      </c>
      <c r="AD6852">
        <v>0.36111599999999999</v>
      </c>
      <c r="AE6852">
        <v>-56.339860000000002</v>
      </c>
      <c r="AF6852">
        <v>-51.899907159463702</v>
      </c>
      <c r="AG6852">
        <v>0.36111599999999999</v>
      </c>
      <c r="AH6852">
        <v>59.836933122181797</v>
      </c>
      <c r="AI6852">
        <v>89.738788641419404</v>
      </c>
      <c r="AJ6852">
        <v>130.93692164957801</v>
      </c>
      <c r="AK6852">
        <v>79.209780541261907</v>
      </c>
      <c r="AL6852">
        <v>90.760494866648202</v>
      </c>
      <c r="AM6852">
        <v>114.499356125273</v>
      </c>
      <c r="AN6852">
        <v>1.0000000274482199</v>
      </c>
    </row>
    <row r="6853" spans="1:40" x14ac:dyDescent="0.25">
      <c r="A6853" t="str">
        <f>"20190305135100813"</f>
        <v>20190305135100813</v>
      </c>
      <c r="B6853" t="str">
        <f>"1551765060806843"</f>
        <v>1551765060806843</v>
      </c>
      <c r="C6853" t="s">
        <v>40</v>
      </c>
      <c r="D6853">
        <v>3.9713479999999999</v>
      </c>
      <c r="E6853">
        <v>0.41239540000000002</v>
      </c>
      <c r="F6853" t="s">
        <v>111</v>
      </c>
      <c r="G6853">
        <v>-268.5745</v>
      </c>
      <c r="H6853">
        <v>7.9986909999999994E-2</v>
      </c>
      <c r="I6853">
        <v>-73.269180000000006</v>
      </c>
      <c r="J6853">
        <v>-302.10989999999998</v>
      </c>
      <c r="K6853">
        <v>1.1118859999999999</v>
      </c>
      <c r="L6853">
        <v>-35.476619999999997</v>
      </c>
      <c r="M6853">
        <v>6.7356330000000006E-2</v>
      </c>
      <c r="N6853">
        <v>-1.392184E-2</v>
      </c>
      <c r="O6853">
        <v>-0.99763199999999996</v>
      </c>
      <c r="P6853">
        <v>0.4817883</v>
      </c>
      <c r="Q6853">
        <v>-2.8733379999999999E-2</v>
      </c>
      <c r="R6853">
        <v>-0.875816699999999</v>
      </c>
      <c r="S6853">
        <v>2.0376590000000001</v>
      </c>
      <c r="T6853">
        <v>-6.2651869999999998E-2</v>
      </c>
      <c r="U6853">
        <v>-2.3103030000000002</v>
      </c>
      <c r="V6853">
        <v>-0.42162889999999997</v>
      </c>
      <c r="W6853">
        <v>-1.7794790000000001E-2</v>
      </c>
      <c r="X6853">
        <v>0.90659389999999995</v>
      </c>
      <c r="Y6853">
        <v>-0.60930280000000003</v>
      </c>
      <c r="Z6853">
        <v>7.1836180000000001E-3</v>
      </c>
      <c r="AA6853">
        <v>0.79290519999999998</v>
      </c>
      <c r="AB6853">
        <v>25</v>
      </c>
      <c r="AC6853">
        <v>33.535399999999903</v>
      </c>
      <c r="AD6853">
        <v>-1.03189909</v>
      </c>
      <c r="AE6853">
        <v>-37.792559999999902</v>
      </c>
      <c r="AF6853">
        <v>-30.900522697291802</v>
      </c>
      <c r="AG6853">
        <v>-1.03189909</v>
      </c>
      <c r="AH6853">
        <v>39.949093127983097</v>
      </c>
      <c r="AI6853">
        <v>91.170478905190393</v>
      </c>
      <c r="AJ6853">
        <v>127.721860992218</v>
      </c>
      <c r="AK6853">
        <v>50.515712015629902</v>
      </c>
      <c r="AL6853">
        <v>91.019620137864393</v>
      </c>
      <c r="AM6853">
        <v>114.941687558694</v>
      </c>
      <c r="AN6853">
        <v>1.00000004169178</v>
      </c>
    </row>
    <row r="6854" spans="1:40" x14ac:dyDescent="0.25">
      <c r="A6854" t="str">
        <f>"20190305135100835"</f>
        <v>20190305135100835</v>
      </c>
      <c r="B6854" t="str">
        <f>"1551765060826363"</f>
        <v>1551765060826363</v>
      </c>
      <c r="C6854" t="s">
        <v>40</v>
      </c>
      <c r="D6854">
        <v>4.0794319999999997</v>
      </c>
      <c r="E6854">
        <v>0.41273769999999999</v>
      </c>
      <c r="F6854" t="s">
        <v>110</v>
      </c>
      <c r="G6854">
        <v>-270.69560000000001</v>
      </c>
      <c r="H6854">
        <v>6.5016519999999994E-2</v>
      </c>
      <c r="I6854">
        <v>-70.398700000000005</v>
      </c>
      <c r="J6854">
        <v>-302.09050000000002</v>
      </c>
      <c r="K6854">
        <v>1.1120680000000001</v>
      </c>
      <c r="L6854">
        <v>-35.721620000000001</v>
      </c>
      <c r="M6854">
        <v>6.993154E-2</v>
      </c>
      <c r="N6854">
        <v>-1.392989E-2</v>
      </c>
      <c r="O6854">
        <v>-0.99745459999999997</v>
      </c>
      <c r="P6854">
        <v>0.48995870000000002</v>
      </c>
      <c r="Q6854">
        <v>-3.0488459999999998E-2</v>
      </c>
      <c r="R6854">
        <v>-0.8712124</v>
      </c>
      <c r="S6854">
        <v>2.0599370000000001</v>
      </c>
      <c r="T6854">
        <v>-6.8646429999999994E-2</v>
      </c>
      <c r="U6854">
        <v>-2.2899479999999999</v>
      </c>
      <c r="V6854">
        <v>-0.42774420000000002</v>
      </c>
      <c r="W6854">
        <v>-1.979846E-2</v>
      </c>
      <c r="X6854">
        <v>0.90368300000000001</v>
      </c>
      <c r="Y6854">
        <v>-0.61498759999999997</v>
      </c>
      <c r="Z6854">
        <v>9.2042370000000005E-3</v>
      </c>
      <c r="AA6854">
        <v>0.78848300000000004</v>
      </c>
      <c r="AB6854">
        <v>25</v>
      </c>
      <c r="AC6854">
        <v>31.3949</v>
      </c>
      <c r="AD6854">
        <v>-1.0470514799999999</v>
      </c>
      <c r="AE6854">
        <v>-34.677079999999997</v>
      </c>
      <c r="AF6854">
        <v>-28.878298309287601</v>
      </c>
      <c r="AG6854">
        <v>-1.0470514799999999</v>
      </c>
      <c r="AH6854">
        <v>36.769450951096999</v>
      </c>
      <c r="AI6854">
        <v>91.282915649578797</v>
      </c>
      <c r="AJ6854">
        <v>128.145678131653</v>
      </c>
      <c r="AK6854">
        <v>46.765852427675298</v>
      </c>
      <c r="AL6854">
        <v>91.134442294981397</v>
      </c>
      <c r="AM6854">
        <v>115.329801416622</v>
      </c>
      <c r="AN6854">
        <v>1.0000000220705001</v>
      </c>
    </row>
    <row r="6855" spans="1:40" x14ac:dyDescent="0.25">
      <c r="A6855" t="str">
        <f>"20190305135100854"</f>
        <v>20190305135100854</v>
      </c>
      <c r="B6855" t="str">
        <f>"1551765060846859"</f>
        <v>1551765060846859</v>
      </c>
      <c r="C6855" t="s">
        <v>40</v>
      </c>
      <c r="D6855">
        <v>4.0318769999999997</v>
      </c>
      <c r="E6855">
        <v>0.41443079999999999</v>
      </c>
      <c r="F6855" t="s">
        <v>110</v>
      </c>
      <c r="G6855">
        <v>-270.36900000000003</v>
      </c>
      <c r="H6855">
        <v>6.1574830000000001E-3</v>
      </c>
      <c r="I6855">
        <v>-70.383669999999995</v>
      </c>
      <c r="J6855">
        <v>-302.07240000000002</v>
      </c>
      <c r="K6855">
        <v>1.112223</v>
      </c>
      <c r="L6855">
        <v>-35.940770000000001</v>
      </c>
      <c r="M6855">
        <v>7.2444949999999994E-2</v>
      </c>
      <c r="N6855">
        <v>-1.393668E-2</v>
      </c>
      <c r="O6855">
        <v>-0.99727509999999997</v>
      </c>
      <c r="P6855">
        <v>0.49640659999999998</v>
      </c>
      <c r="Q6855">
        <v>-3.107861E-2</v>
      </c>
      <c r="R6855">
        <v>-0.86753359999999902</v>
      </c>
      <c r="S6855">
        <v>2.0790099999999998</v>
      </c>
      <c r="T6855">
        <v>-7.2480680000000006E-2</v>
      </c>
      <c r="U6855">
        <v>-2.2717290000000001</v>
      </c>
      <c r="V6855">
        <v>-0.43215369999999997</v>
      </c>
      <c r="W6855">
        <v>-2.0592249999999999E-2</v>
      </c>
      <c r="X6855">
        <v>0.90156480000000006</v>
      </c>
      <c r="Y6855">
        <v>-0.61972579999999999</v>
      </c>
      <c r="Z6855">
        <v>1.051381E-2</v>
      </c>
      <c r="AA6855">
        <v>0.78474809999999995</v>
      </c>
      <c r="AB6855">
        <v>25</v>
      </c>
      <c r="AC6855">
        <v>31.703399999999899</v>
      </c>
      <c r="AD6855">
        <v>-1.106065517</v>
      </c>
      <c r="AE6855">
        <v>-34.442899999999902</v>
      </c>
      <c r="AF6855">
        <v>-29.108373946397599</v>
      </c>
      <c r="AG6855">
        <v>-1.106065517</v>
      </c>
      <c r="AH6855">
        <v>36.628906394810102</v>
      </c>
      <c r="AI6855">
        <v>91.354260698219207</v>
      </c>
      <c r="AJ6855">
        <v>128.473573288007</v>
      </c>
      <c r="AK6855">
        <v>46.799546989377703</v>
      </c>
      <c r="AL6855">
        <v>91.179932445236304</v>
      </c>
      <c r="AM6855">
        <v>115.610141290036</v>
      </c>
      <c r="AN6855">
        <v>0.99999997489139503</v>
      </c>
    </row>
    <row r="6856" spans="1:40" x14ac:dyDescent="0.25">
      <c r="A6856" t="str">
        <f>"20190305135100880"</f>
        <v>20190305135100880</v>
      </c>
      <c r="B6856" t="str">
        <f>"1551765060866378"</f>
        <v>1551765060866378</v>
      </c>
      <c r="C6856" t="s">
        <v>40</v>
      </c>
      <c r="D6856">
        <v>4.0025729999999999</v>
      </c>
      <c r="E6856">
        <v>0.41643350000000001</v>
      </c>
      <c r="F6856" t="s">
        <v>110</v>
      </c>
      <c r="G6856">
        <v>-271.88200000000001</v>
      </c>
      <c r="H6856" s="1">
        <v>-1.7929929999999901E-6</v>
      </c>
      <c r="I6856">
        <v>-68.725610000000003</v>
      </c>
      <c r="J6856">
        <v>-302.048</v>
      </c>
      <c r="K6856">
        <v>1.112406</v>
      </c>
      <c r="L6856">
        <v>-36.222050000000003</v>
      </c>
      <c r="M6856">
        <v>7.5989080000000001E-2</v>
      </c>
      <c r="N6856">
        <v>-1.394579E-2</v>
      </c>
      <c r="O6856">
        <v>-0.99701130000000004</v>
      </c>
      <c r="P6856">
        <v>0.50261840000000002</v>
      </c>
      <c r="Q6856">
        <v>-3.1994630000000003E-2</v>
      </c>
      <c r="R6856">
        <v>-0.86391649999999998</v>
      </c>
      <c r="S6856">
        <v>2.0838619999999999</v>
      </c>
      <c r="T6856">
        <v>-7.6770190000000002E-2</v>
      </c>
      <c r="U6856">
        <v>-2.2629389999999998</v>
      </c>
      <c r="V6856">
        <v>-0.43540200000000001</v>
      </c>
      <c r="W6856">
        <v>-2.174005E-2</v>
      </c>
      <c r="X6856">
        <v>0.89997359999999904</v>
      </c>
      <c r="Y6856">
        <v>-0.61934690000000003</v>
      </c>
      <c r="Z6856">
        <v>1.1999070000000001E-2</v>
      </c>
      <c r="AA6856">
        <v>0.7850258</v>
      </c>
      <c r="AB6856">
        <v>25</v>
      </c>
      <c r="AC6856">
        <v>30.166</v>
      </c>
      <c r="AD6856">
        <v>-1.1124077929930001</v>
      </c>
      <c r="AE6856">
        <v>-32.50356</v>
      </c>
      <c r="AF6856">
        <v>-27.5912446789482</v>
      </c>
      <c r="AG6856">
        <v>-1.1124077929930001</v>
      </c>
      <c r="AH6856">
        <v>34.680248235549101</v>
      </c>
      <c r="AI6856">
        <v>91.437888215996693</v>
      </c>
      <c r="AJ6856">
        <v>128.50539254774901</v>
      </c>
      <c r="AK6856">
        <v>44.330958163689701</v>
      </c>
      <c r="AL6856">
        <v>91.245711243729204</v>
      </c>
      <c r="AM6856">
        <v>115.81742744310201</v>
      </c>
      <c r="AN6856">
        <v>1.0000000060374801</v>
      </c>
    </row>
    <row r="6857" spans="1:40" x14ac:dyDescent="0.25">
      <c r="A6857" t="str">
        <f>"20190305135100898"</f>
        <v>20190305135100898</v>
      </c>
      <c r="B6857" t="str">
        <f>"1551765060886875"</f>
        <v>1551765060886875</v>
      </c>
      <c r="C6857" t="s">
        <v>40</v>
      </c>
      <c r="D6857">
        <v>4.0395390000000004</v>
      </c>
      <c r="E6857">
        <v>0.41731580000000001</v>
      </c>
      <c r="F6857" t="s">
        <v>110</v>
      </c>
      <c r="G6857">
        <v>-274.50880000000001</v>
      </c>
      <c r="H6857" s="1">
        <v>-2.322784E-6</v>
      </c>
      <c r="I6857">
        <v>-66.0017</v>
      </c>
      <c r="J6857">
        <v>-302.02870000000001</v>
      </c>
      <c r="K6857">
        <v>1.1125430000000001</v>
      </c>
      <c r="L6857">
        <v>-36.434480000000001</v>
      </c>
      <c r="M6857">
        <v>7.8882300000000002E-2</v>
      </c>
      <c r="N6857">
        <v>-1.3953729999999999E-2</v>
      </c>
      <c r="O6857">
        <v>-0.99678619999999996</v>
      </c>
      <c r="P6857">
        <v>0.50728320000000005</v>
      </c>
      <c r="Q6857">
        <v>-3.4240699999999999E-2</v>
      </c>
      <c r="R6857">
        <v>-0.86109880000000005</v>
      </c>
      <c r="S6857">
        <v>2.0860599999999998</v>
      </c>
      <c r="T6857">
        <v>-8.4263439999999995E-2</v>
      </c>
      <c r="U6857">
        <v>-2.2557680000000002</v>
      </c>
      <c r="V6857">
        <v>-0.43764120000000001</v>
      </c>
      <c r="W6857">
        <v>-2.4161749999999999E-2</v>
      </c>
      <c r="X6857">
        <v>0.89882499999999999</v>
      </c>
      <c r="Y6857">
        <v>-0.61869099999999999</v>
      </c>
      <c r="Z6857">
        <v>1.455409E-2</v>
      </c>
      <c r="AA6857">
        <v>0.78549959999999996</v>
      </c>
      <c r="AB6857">
        <v>25</v>
      </c>
      <c r="AC6857">
        <v>27.5199</v>
      </c>
      <c r="AD6857">
        <v>-1.1125453227840001</v>
      </c>
      <c r="AE6857">
        <v>-29.567219999999999</v>
      </c>
      <c r="AF6857">
        <v>-25.082543509562999</v>
      </c>
      <c r="AG6857">
        <v>-1.1125453227840001</v>
      </c>
      <c r="AH6857">
        <v>31.622123673103498</v>
      </c>
      <c r="AI6857">
        <v>91.578910427520199</v>
      </c>
      <c r="AJ6857">
        <v>128.42131210371099</v>
      </c>
      <c r="AK6857">
        <v>40.377350725393399</v>
      </c>
      <c r="AL6857">
        <v>91.384501039040899</v>
      </c>
      <c r="AM6857">
        <v>115.961621187495</v>
      </c>
      <c r="AN6857">
        <v>0.99999999536275097</v>
      </c>
    </row>
    <row r="6858" spans="1:40" x14ac:dyDescent="0.25">
      <c r="A6858" t="str">
        <f>"20190305135100935"</f>
        <v>20190305135100935</v>
      </c>
      <c r="B6858" t="str">
        <f>"1551765060926893"</f>
        <v>1551765060926893</v>
      </c>
      <c r="C6858" t="s">
        <v>40</v>
      </c>
      <c r="D6858">
        <v>4.0596019999999999</v>
      </c>
      <c r="E6858">
        <v>0.42688350000000003</v>
      </c>
      <c r="F6858" t="s">
        <v>110</v>
      </c>
      <c r="G6858">
        <v>-277.1524</v>
      </c>
      <c r="H6858" s="1">
        <v>-2.8409920000000002E-6</v>
      </c>
      <c r="I6858">
        <v>-63.164540000000002</v>
      </c>
      <c r="J6858">
        <v>-301.9896</v>
      </c>
      <c r="K6858">
        <v>1.1128199999999999</v>
      </c>
      <c r="L6858">
        <v>-36.840179999999997</v>
      </c>
      <c r="M6858">
        <v>8.490955E-2</v>
      </c>
      <c r="N6858">
        <v>-1.3971010000000001E-2</v>
      </c>
      <c r="O6858">
        <v>-0.99629069999999997</v>
      </c>
      <c r="P6858">
        <v>0.51445750000000001</v>
      </c>
      <c r="Q6858">
        <v>-3.6060040000000002E-2</v>
      </c>
      <c r="R6858">
        <v>-0.85675730000000005</v>
      </c>
      <c r="S6858">
        <v>2.0919490000000001</v>
      </c>
      <c r="T6858">
        <v>-9.3558189999999999E-2</v>
      </c>
      <c r="U6858">
        <v>-2.247833</v>
      </c>
      <c r="V6858">
        <v>-0.43968819999999997</v>
      </c>
      <c r="W6858">
        <v>-2.6294540000000002E-2</v>
      </c>
      <c r="X6858">
        <v>0.89776549999999999</v>
      </c>
      <c r="Y6858">
        <v>-0.6163767</v>
      </c>
      <c r="Z6858">
        <v>1.7729809999999999E-2</v>
      </c>
      <c r="AA6858">
        <v>0.78725179999999995</v>
      </c>
      <c r="AB6858">
        <v>25</v>
      </c>
      <c r="AC6858">
        <v>24.837199999999999</v>
      </c>
      <c r="AD6858">
        <v>-1.112822840992</v>
      </c>
      <c r="AE6858">
        <v>-26.324359999999999</v>
      </c>
      <c r="AF6858">
        <v>-22.490815794672098</v>
      </c>
      <c r="AG6858">
        <v>-1.112822840992</v>
      </c>
      <c r="AH6858">
        <v>28.311630061560098</v>
      </c>
      <c r="AI6858">
        <v>91.762827494694506</v>
      </c>
      <c r="AJ6858">
        <v>128.46369955528399</v>
      </c>
      <c r="AK6858">
        <v>36.174902439784702</v>
      </c>
      <c r="AL6858">
        <v>91.506739820813095</v>
      </c>
      <c r="AM6858">
        <v>116.09369067280301</v>
      </c>
      <c r="AN6858">
        <v>1.0000000045216499</v>
      </c>
    </row>
    <row r="6859" spans="1:40" x14ac:dyDescent="0.25">
      <c r="A6859" t="str">
        <f>"20190305135100952"</f>
        <v>20190305135100952</v>
      </c>
      <c r="B6859" t="str">
        <f>"1551765060946411"</f>
        <v>1551765060946411</v>
      </c>
      <c r="C6859" t="s">
        <v>40</v>
      </c>
      <c r="D6859">
        <v>3.9817879999999999</v>
      </c>
      <c r="E6859">
        <v>0.38402029999999998</v>
      </c>
      <c r="F6859" t="s">
        <v>85</v>
      </c>
      <c r="G6859">
        <v>-285.24790000000002</v>
      </c>
      <c r="H6859" s="1">
        <v>-4.5662990000000004E-6</v>
      </c>
      <c r="I6859">
        <v>-55.443080000000002</v>
      </c>
      <c r="J6859">
        <v>-301.97070000000002</v>
      </c>
      <c r="K6859">
        <v>1.112938</v>
      </c>
      <c r="L6859">
        <v>-37.025539999999999</v>
      </c>
      <c r="M6859">
        <v>8.7868489999999994E-2</v>
      </c>
      <c r="N6859">
        <v>-1.397932E-2</v>
      </c>
      <c r="O6859">
        <v>-0.99603390000000003</v>
      </c>
      <c r="P6859">
        <v>0.51869809999999905</v>
      </c>
      <c r="Q6859">
        <v>-3.8290959999999999E-2</v>
      </c>
      <c r="R6859">
        <v>-0.85409950000000001</v>
      </c>
      <c r="S6859">
        <v>2.0424190000000002</v>
      </c>
      <c r="T6859">
        <v>-0.13575960000000001</v>
      </c>
      <c r="U6859">
        <v>-2.2694700000000001</v>
      </c>
      <c r="V6859">
        <v>-0.4414555</v>
      </c>
      <c r="W6859">
        <v>-2.8678800000000001E-2</v>
      </c>
      <c r="X6859">
        <v>0.89682469999999903</v>
      </c>
      <c r="Y6859">
        <v>-0.60048849999999998</v>
      </c>
      <c r="Z6859">
        <v>3.2048840000000002E-2</v>
      </c>
      <c r="AA6859">
        <v>0.7989908</v>
      </c>
      <c r="AB6859">
        <v>25</v>
      </c>
      <c r="AC6859">
        <v>16.722799999999999</v>
      </c>
      <c r="AD6859">
        <v>-1.112942566299</v>
      </c>
      <c r="AE6859">
        <v>-18.417539999999999</v>
      </c>
      <c r="AF6859">
        <v>-15.0095835953351</v>
      </c>
      <c r="AG6859">
        <v>-1.112942566299</v>
      </c>
      <c r="AH6859">
        <v>19.776257357758599</v>
      </c>
      <c r="AI6859">
        <v>92.566715064856993</v>
      </c>
      <c r="AJ6859">
        <v>127.197403041282</v>
      </c>
      <c r="AK6859">
        <v>24.852094397485601</v>
      </c>
      <c r="AL6859">
        <v>91.643399550358495</v>
      </c>
      <c r="AM6859">
        <v>116.20838514761699</v>
      </c>
      <c r="AN6859">
        <v>0.99999998728988904</v>
      </c>
    </row>
    <row r="6860" spans="1:40" x14ac:dyDescent="0.25">
      <c r="A6860" t="str">
        <f>"20190305135100967"</f>
        <v>20190305135100967</v>
      </c>
      <c r="B6860" t="str">
        <f>"1551765060957146"</f>
        <v>1551765060957146</v>
      </c>
      <c r="C6860" t="s">
        <v>40</v>
      </c>
      <c r="D6860">
        <v>3.9255499999999999</v>
      </c>
      <c r="E6860">
        <v>0.38147429999999999</v>
      </c>
      <c r="F6860" t="s">
        <v>85</v>
      </c>
      <c r="G6860">
        <v>-288.90589999999997</v>
      </c>
      <c r="H6860">
        <v>7.9987349999999999E-2</v>
      </c>
      <c r="I6860">
        <v>-48.630760000000002</v>
      </c>
      <c r="J6860">
        <v>-301.95100000000002</v>
      </c>
      <c r="K6860">
        <v>1.113046</v>
      </c>
      <c r="L6860">
        <v>-37.210419999999999</v>
      </c>
      <c r="M6860">
        <v>9.0935420000000003E-2</v>
      </c>
      <c r="N6860">
        <v>-1.398746E-2</v>
      </c>
      <c r="O6860">
        <v>-0.99575860000000005</v>
      </c>
      <c r="P6860">
        <v>0.52335159999999903</v>
      </c>
      <c r="Q6860">
        <v>-4.0795390000000001E-2</v>
      </c>
      <c r="R6860">
        <v>-0.85114000000000001</v>
      </c>
      <c r="S6860">
        <v>2.3430179999999998</v>
      </c>
      <c r="T6860">
        <v>-0.18524850000000001</v>
      </c>
      <c r="U6860">
        <v>-2.0812680000000001</v>
      </c>
      <c r="V6860">
        <v>-0.4435712</v>
      </c>
      <c r="W6860">
        <v>-3.1326140000000002E-2</v>
      </c>
      <c r="X6860">
        <v>0.89569149999999997</v>
      </c>
      <c r="Y6860">
        <v>-0.68302419999999997</v>
      </c>
      <c r="Z6860">
        <v>4.7480649999999999E-2</v>
      </c>
      <c r="AA6860">
        <v>0.72885080000000002</v>
      </c>
      <c r="AB6860">
        <v>25</v>
      </c>
      <c r="AC6860">
        <v>13.0450999999999</v>
      </c>
      <c r="AD6860">
        <v>-1.0330586500000001</v>
      </c>
      <c r="AE6860">
        <v>-11.4203399999999</v>
      </c>
      <c r="AF6860">
        <v>-11.9101415154325</v>
      </c>
      <c r="AG6860">
        <v>-1.0330586500000001</v>
      </c>
      <c r="AH6860">
        <v>12.5149599111682</v>
      </c>
      <c r="AI6860">
        <v>93.421970925218403</v>
      </c>
      <c r="AJ6860">
        <v>133.581522317165</v>
      </c>
      <c r="AK6860">
        <v>17.3073077822669</v>
      </c>
      <c r="AL6860">
        <v>91.7951492971508</v>
      </c>
      <c r="AM6860">
        <v>116.345885630148</v>
      </c>
      <c r="AN6860">
        <v>0.99999999984449495</v>
      </c>
    </row>
    <row r="6861" spans="1:40" x14ac:dyDescent="0.25">
      <c r="A6861" t="str">
        <f>"20190305135100989"</f>
        <v>20190305135100989</v>
      </c>
      <c r="B6861" t="str">
        <f>"1551765060986430"</f>
        <v>1551765060986430</v>
      </c>
      <c r="C6861" t="s">
        <v>40</v>
      </c>
      <c r="D6861">
        <v>3.9497650000000002</v>
      </c>
      <c r="E6861">
        <v>0.3789652</v>
      </c>
      <c r="F6861" t="s">
        <v>85</v>
      </c>
      <c r="G6861">
        <v>-288.77330000000001</v>
      </c>
      <c r="H6861">
        <v>7.9987349999999999E-2</v>
      </c>
      <c r="I6861">
        <v>-48.638910000000003</v>
      </c>
      <c r="J6861">
        <v>-301.92509999999999</v>
      </c>
      <c r="K6861">
        <v>1.1131690000000001</v>
      </c>
      <c r="L6861">
        <v>-37.445399999999999</v>
      </c>
      <c r="M6861">
        <v>9.5011769999999995E-2</v>
      </c>
      <c r="N6861">
        <v>-1.399709E-2</v>
      </c>
      <c r="O6861">
        <v>-0.99537810000000004</v>
      </c>
      <c r="P6861">
        <v>0.52849139999999994</v>
      </c>
      <c r="Q6861">
        <v>-4.3244770000000002E-2</v>
      </c>
      <c r="R6861">
        <v>-0.84783699999999995</v>
      </c>
      <c r="S6861">
        <v>2.3721009999999998</v>
      </c>
      <c r="T6861">
        <v>-0.18595890000000001</v>
      </c>
      <c r="U6861">
        <v>-2.05722</v>
      </c>
      <c r="V6861">
        <v>-0.4453048</v>
      </c>
      <c r="W6861">
        <v>-3.3936500000000001E-2</v>
      </c>
      <c r="X6861">
        <v>0.89473570000000002</v>
      </c>
      <c r="Y6861">
        <v>-0.688662199999999</v>
      </c>
      <c r="Z6861">
        <v>4.7719850000000001E-2</v>
      </c>
      <c r="AA6861">
        <v>0.7235104</v>
      </c>
      <c r="AB6861">
        <v>25</v>
      </c>
      <c r="AC6861">
        <v>13.1517999999999</v>
      </c>
      <c r="AD6861">
        <v>-1.03318165</v>
      </c>
      <c r="AE6861">
        <v>-11.1935099999999</v>
      </c>
      <c r="AF6861">
        <v>-11.9857764482246</v>
      </c>
      <c r="AG6861">
        <v>-1.03318165</v>
      </c>
      <c r="AH6861">
        <v>12.348366301049101</v>
      </c>
      <c r="AI6861">
        <v>93.435809318650001</v>
      </c>
      <c r="AJ6861">
        <v>134.14632986351299</v>
      </c>
      <c r="AK6861">
        <v>17.239734675846801</v>
      </c>
      <c r="AL6861">
        <v>91.944791618415394</v>
      </c>
      <c r="AM6861">
        <v>116.45926526114501</v>
      </c>
      <c r="AN6861">
        <v>1.00000001189489</v>
      </c>
    </row>
    <row r="6862" spans="1:40" x14ac:dyDescent="0.25">
      <c r="A6862" t="str">
        <f>"20190305135101013"</f>
        <v>20190305135101013</v>
      </c>
      <c r="B6862" t="str">
        <f>"1551765061006923"</f>
        <v>1551765061006923</v>
      </c>
      <c r="C6862" t="s">
        <v>40</v>
      </c>
      <c r="D6862">
        <v>3.9613260000000001</v>
      </c>
      <c r="E6862">
        <v>0.37885370000000002</v>
      </c>
      <c r="F6862" t="s">
        <v>85</v>
      </c>
      <c r="G6862">
        <v>-288.10910000000001</v>
      </c>
      <c r="H6862">
        <v>7.9987100000000005E-2</v>
      </c>
      <c r="I6862">
        <v>-49.129559999999998</v>
      </c>
      <c r="J6862">
        <v>-301.89530000000002</v>
      </c>
      <c r="K6862">
        <v>1.113308</v>
      </c>
      <c r="L6862">
        <v>-37.701720000000002</v>
      </c>
      <c r="M6862">
        <v>9.9742520000000001E-2</v>
      </c>
      <c r="N6862">
        <v>-1.400878E-2</v>
      </c>
      <c r="O6862">
        <v>-0.99491470000000004</v>
      </c>
      <c r="P6862">
        <v>0.53574750000000004</v>
      </c>
      <c r="Q6862">
        <v>-4.505754E-2</v>
      </c>
      <c r="R6862">
        <v>-0.84317529999999996</v>
      </c>
      <c r="S6862">
        <v>2.4024049999999999</v>
      </c>
      <c r="T6862">
        <v>-0.17965539999999999</v>
      </c>
      <c r="U6862">
        <v>-2.0317080000000001</v>
      </c>
      <c r="V6862">
        <v>-0.44870690000000002</v>
      </c>
      <c r="W6862">
        <v>-3.5957089999999997E-2</v>
      </c>
      <c r="X6862">
        <v>0.89295530000000001</v>
      </c>
      <c r="Y6862">
        <v>-0.69427539999999999</v>
      </c>
      <c r="Z6862">
        <v>4.5668849999999997E-2</v>
      </c>
      <c r="AA6862">
        <v>0.71825899999999998</v>
      </c>
      <c r="AB6862">
        <v>25</v>
      </c>
      <c r="AC6862">
        <v>13.786199999999999</v>
      </c>
      <c r="AD6862">
        <v>-1.0333209000000001</v>
      </c>
      <c r="AE6862">
        <v>-11.4278399999999</v>
      </c>
      <c r="AF6862">
        <v>-12.535742290323199</v>
      </c>
      <c r="AG6862">
        <v>-1.0333209000000001</v>
      </c>
      <c r="AH6862">
        <v>12.7037442499392</v>
      </c>
      <c r="AI6862">
        <v>93.313585194578806</v>
      </c>
      <c r="AJ6862">
        <v>134.618626905805</v>
      </c>
      <c r="AK6862">
        <v>17.877295791579801</v>
      </c>
      <c r="AL6862">
        <v>92.060633738726906</v>
      </c>
      <c r="AM6862">
        <v>116.67936733811599</v>
      </c>
      <c r="AN6862">
        <v>0.99999998111348298</v>
      </c>
    </row>
    <row r="6863" spans="1:40" x14ac:dyDescent="0.25">
      <c r="A6863" t="str">
        <f>"20190305135101034"</f>
        <v>20190305135101034</v>
      </c>
      <c r="B6863" t="str">
        <f>"1551765061026443"</f>
        <v>1551765061026443</v>
      </c>
      <c r="C6863" t="s">
        <v>40</v>
      </c>
      <c r="D6863">
        <v>3.954612</v>
      </c>
      <c r="E6863">
        <v>0.37885160000000001</v>
      </c>
      <c r="F6863" t="s">
        <v>85</v>
      </c>
      <c r="G6863">
        <v>-287.26589999999999</v>
      </c>
      <c r="H6863">
        <v>7.9986810000000005E-2</v>
      </c>
      <c r="I6863">
        <v>-49.847380000000001</v>
      </c>
      <c r="J6863">
        <v>-301.86590000000001</v>
      </c>
      <c r="K6863">
        <v>1.113456</v>
      </c>
      <c r="L6863">
        <v>-37.942659999999997</v>
      </c>
      <c r="M6863">
        <v>0.1044373</v>
      </c>
      <c r="N6863">
        <v>-1.402252E-2</v>
      </c>
      <c r="O6863">
        <v>-0.99443269999999995</v>
      </c>
      <c r="P6863">
        <v>0.5448887</v>
      </c>
      <c r="Q6863">
        <v>-4.6970329999999998E-2</v>
      </c>
      <c r="R6863">
        <v>-0.83719189999999999</v>
      </c>
      <c r="S6863">
        <v>2.4214169999999999</v>
      </c>
      <c r="T6863">
        <v>-0.1710323</v>
      </c>
      <c r="U6863">
        <v>-2.0103149999999999</v>
      </c>
      <c r="V6863">
        <v>-0.45417649999999998</v>
      </c>
      <c r="W6863">
        <v>-3.8112420000000001E-2</v>
      </c>
      <c r="X6863">
        <v>0.8900962</v>
      </c>
      <c r="Y6863">
        <v>-0.69750710000000005</v>
      </c>
      <c r="Z6863">
        <v>4.2942969999999997E-2</v>
      </c>
      <c r="AA6863">
        <v>0.71528999999999998</v>
      </c>
      <c r="AB6863">
        <v>25</v>
      </c>
      <c r="AC6863">
        <v>14.6</v>
      </c>
      <c r="AD6863">
        <v>-1.0334691899999999</v>
      </c>
      <c r="AE6863">
        <v>-11.904719999999999</v>
      </c>
      <c r="AF6863">
        <v>-13.2368869058693</v>
      </c>
      <c r="AG6863">
        <v>-1.0334691899999999</v>
      </c>
      <c r="AH6863">
        <v>13.3244388611045</v>
      </c>
      <c r="AI6863">
        <v>93.149526870387007</v>
      </c>
      <c r="AJ6863">
        <v>134.811141228433</v>
      </c>
      <c r="AK6863">
        <v>18.8102074546978</v>
      </c>
      <c r="AL6863">
        <v>92.184209708435901</v>
      </c>
      <c r="AM6863">
        <v>117.03319871944601</v>
      </c>
      <c r="AN6863">
        <v>1.00000004748247</v>
      </c>
    </row>
    <row r="6864" spans="1:40" x14ac:dyDescent="0.25">
      <c r="A6864" t="str">
        <f>"20190305135101055"</f>
        <v>20190305135101055</v>
      </c>
      <c r="B6864" t="str">
        <f>"1551765061046939"</f>
        <v>1551765061046939</v>
      </c>
      <c r="C6864" t="s">
        <v>40</v>
      </c>
      <c r="D6864">
        <v>3.9518909999999998</v>
      </c>
      <c r="E6864">
        <v>0.37881369999999998</v>
      </c>
      <c r="F6864" t="s">
        <v>85</v>
      </c>
      <c r="G6864">
        <v>-286.6764</v>
      </c>
      <c r="H6864">
        <v>7.9986959999999996E-2</v>
      </c>
      <c r="I6864">
        <v>-50.272080000000003</v>
      </c>
      <c r="J6864">
        <v>-301.83670000000001</v>
      </c>
      <c r="K6864">
        <v>1.1135919999999999</v>
      </c>
      <c r="L6864">
        <v>-38.172089999999997</v>
      </c>
      <c r="M6864">
        <v>0.1090892</v>
      </c>
      <c r="N6864">
        <v>-1.4036730000000001E-2</v>
      </c>
      <c r="O6864">
        <v>-0.99393279999999995</v>
      </c>
      <c r="P6864">
        <v>0.55469840000000004</v>
      </c>
      <c r="Q6864">
        <v>-4.9795020000000002E-2</v>
      </c>
      <c r="R6864">
        <v>-0.83056039999999998</v>
      </c>
      <c r="S6864">
        <v>2.4437259999999998</v>
      </c>
      <c r="T6864">
        <v>-0.16626659999999999</v>
      </c>
      <c r="U6864">
        <v>-1.983582</v>
      </c>
      <c r="V6864">
        <v>-0.46044679999999999</v>
      </c>
      <c r="W6864">
        <v>-4.1181530000000001E-2</v>
      </c>
      <c r="X6864">
        <v>0.88673159999999895</v>
      </c>
      <c r="Y6864">
        <v>-0.7021075</v>
      </c>
      <c r="Z6864">
        <v>4.1494160000000002E-2</v>
      </c>
      <c r="AA6864">
        <v>0.71086099999999997</v>
      </c>
      <c r="AB6864">
        <v>25</v>
      </c>
      <c r="AC6864">
        <v>15.160299999999999</v>
      </c>
      <c r="AD6864">
        <v>-1.0336050400000001</v>
      </c>
      <c r="AE6864">
        <v>-12.099989999999901</v>
      </c>
      <c r="AF6864">
        <v>-13.7107650708828</v>
      </c>
      <c r="AG6864">
        <v>-1.0336050400000001</v>
      </c>
      <c r="AH6864">
        <v>13.6430114990237</v>
      </c>
      <c r="AI6864">
        <v>93.058868005449099</v>
      </c>
      <c r="AJ6864">
        <v>135.14191772626401</v>
      </c>
      <c r="AK6864">
        <v>19.3696974929953</v>
      </c>
      <c r="AL6864">
        <v>92.360195176803401</v>
      </c>
      <c r="AM6864">
        <v>117.44117683134699</v>
      </c>
      <c r="AN6864">
        <v>1.00000005224096</v>
      </c>
    </row>
    <row r="6865" spans="1:40" x14ac:dyDescent="0.25">
      <c r="A6865" t="str">
        <f>"20190305135101077"</f>
        <v>20190305135101077</v>
      </c>
      <c r="B6865" t="str">
        <f>"1551765061066459"</f>
        <v>1551765061066459</v>
      </c>
      <c r="C6865" t="s">
        <v>40</v>
      </c>
      <c r="D6865">
        <v>3.9578440000000001</v>
      </c>
      <c r="E6865">
        <v>0.37875379999999997</v>
      </c>
      <c r="F6865" t="s">
        <v>85</v>
      </c>
      <c r="G6865">
        <v>-286.4975</v>
      </c>
      <c r="H6865">
        <v>7.9987000000000003E-2</v>
      </c>
      <c r="I6865">
        <v>-50.320219999999999</v>
      </c>
      <c r="J6865">
        <v>-301.80430000000001</v>
      </c>
      <c r="K6865">
        <v>1.1137269999999999</v>
      </c>
      <c r="L6865">
        <v>-38.414400000000001</v>
      </c>
      <c r="M6865">
        <v>0.1142026</v>
      </c>
      <c r="N6865">
        <v>-1.4050750000000001E-2</v>
      </c>
      <c r="O6865">
        <v>-0.99335819999999997</v>
      </c>
      <c r="P6865">
        <v>0.56445990000000001</v>
      </c>
      <c r="Q6865">
        <v>-5.2164000000000002E-2</v>
      </c>
      <c r="R6865">
        <v>-0.8238105</v>
      </c>
      <c r="S6865">
        <v>2.467438</v>
      </c>
      <c r="T6865">
        <v>-0.166264299999999</v>
      </c>
      <c r="U6865">
        <v>-1.954132</v>
      </c>
      <c r="V6865">
        <v>-0.46631430000000001</v>
      </c>
      <c r="W6865">
        <v>-4.3791679999999999E-2</v>
      </c>
      <c r="X6865">
        <v>0.883534499999999</v>
      </c>
      <c r="Y6865">
        <v>-0.70696349999999997</v>
      </c>
      <c r="Z6865">
        <v>4.1627409999999997E-2</v>
      </c>
      <c r="AA6865">
        <v>0.70602390000000004</v>
      </c>
      <c r="AB6865">
        <v>25</v>
      </c>
      <c r="AC6865">
        <v>15.306800000000001</v>
      </c>
      <c r="AD6865">
        <v>-1.0337399999999899</v>
      </c>
      <c r="AE6865">
        <v>-11.90582</v>
      </c>
      <c r="AF6865">
        <v>-13.8075881617462</v>
      </c>
      <c r="AG6865">
        <v>-1.0337399999999899</v>
      </c>
      <c r="AH6865">
        <v>13.537689028469201</v>
      </c>
      <c r="AI6865">
        <v>93.060076318659696</v>
      </c>
      <c r="AJ6865">
        <v>135.565493594885</v>
      </c>
      <c r="AK6865">
        <v>19.3645845156443</v>
      </c>
      <c r="AL6865">
        <v>92.509881145018099</v>
      </c>
      <c r="AM6865">
        <v>117.824320821013</v>
      </c>
      <c r="AN6865">
        <v>0.99999997515598005</v>
      </c>
    </row>
    <row r="6866" spans="1:40" x14ac:dyDescent="0.25">
      <c r="A6866" t="str">
        <f>"20190305135101099"</f>
        <v>20190305135101099</v>
      </c>
      <c r="B6866" t="str">
        <f>"1551765061096715"</f>
        <v>1551765061096715</v>
      </c>
      <c r="C6866" t="s">
        <v>40</v>
      </c>
      <c r="D6866">
        <v>3.904827</v>
      </c>
      <c r="E6866">
        <v>0.37898989999999999</v>
      </c>
      <c r="F6866" t="s">
        <v>85</v>
      </c>
      <c r="G6866">
        <v>-285.1465</v>
      </c>
      <c r="H6866" s="1">
        <v>-5.3581460000000004E-6</v>
      </c>
      <c r="I6866">
        <v>-51.281370000000003</v>
      </c>
      <c r="J6866">
        <v>-301.77</v>
      </c>
      <c r="K6866">
        <v>1.113864</v>
      </c>
      <c r="L6866">
        <v>-38.659759999999999</v>
      </c>
      <c r="M6866">
        <v>0.1196079</v>
      </c>
      <c r="N6866">
        <v>-1.406437E-2</v>
      </c>
      <c r="O6866">
        <v>-0.99272169999999904</v>
      </c>
      <c r="P6866">
        <v>0.5732855</v>
      </c>
      <c r="Q6866">
        <v>-5.3420240000000001E-2</v>
      </c>
      <c r="R6866">
        <v>-0.81761260000000002</v>
      </c>
      <c r="S6866">
        <v>2.4910890000000001</v>
      </c>
      <c r="T6866">
        <v>-0.16655339999999999</v>
      </c>
      <c r="U6866">
        <v>-1.924194</v>
      </c>
      <c r="V6866">
        <v>-0.47097879999999998</v>
      </c>
      <c r="W6866">
        <v>-4.5270949999999997E-2</v>
      </c>
      <c r="X6866">
        <v>0.88098220000000005</v>
      </c>
      <c r="Y6866">
        <v>-0.71165029999999996</v>
      </c>
      <c r="Z6866">
        <v>4.1863150000000002E-2</v>
      </c>
      <c r="AA6866">
        <v>0.70128550000000001</v>
      </c>
      <c r="AB6866">
        <v>25</v>
      </c>
      <c r="AC6866">
        <v>16.6234999999999</v>
      </c>
      <c r="AD6866">
        <v>-1.113869358146</v>
      </c>
      <c r="AE6866">
        <v>-12.62161</v>
      </c>
      <c r="AF6866">
        <v>-14.9517641178599</v>
      </c>
      <c r="AG6866">
        <v>-1.113869358146</v>
      </c>
      <c r="AH6866">
        <v>14.4782489087219</v>
      </c>
      <c r="AI6866">
        <v>93.063452163303893</v>
      </c>
      <c r="AJ6866">
        <v>135.92178288353099</v>
      </c>
      <c r="AK6866">
        <v>20.8426401073867</v>
      </c>
      <c r="AL6866">
        <v>92.594721017322797</v>
      </c>
      <c r="AM6866">
        <v>118.12924908505001</v>
      </c>
      <c r="AN6866">
        <v>1.00000006284008</v>
      </c>
    </row>
    <row r="6867" spans="1:40" x14ac:dyDescent="0.25">
      <c r="A6867" t="str">
        <f>"20190305135101122"</f>
        <v>20190305135101122</v>
      </c>
      <c r="B6867" t="str">
        <f>"1551765061117211"</f>
        <v>1551765061117211</v>
      </c>
      <c r="C6867" t="s">
        <v>40</v>
      </c>
      <c r="D6867">
        <v>3.8972630000000001</v>
      </c>
      <c r="E6867">
        <v>0.37926979999999999</v>
      </c>
      <c r="F6867" t="s">
        <v>85</v>
      </c>
      <c r="G6867">
        <v>-284.78179999999998</v>
      </c>
      <c r="H6867" s="1">
        <v>-5.4951059999999999E-6</v>
      </c>
      <c r="I6867">
        <v>-51.506120000000003</v>
      </c>
      <c r="J6867">
        <v>-301.73399999999998</v>
      </c>
      <c r="K6867">
        <v>1.1140060000000001</v>
      </c>
      <c r="L6867">
        <v>-38.905670000000001</v>
      </c>
      <c r="M6867">
        <v>0.1252692</v>
      </c>
      <c r="N6867">
        <v>-1.407958E-2</v>
      </c>
      <c r="O6867">
        <v>-0.99202290000000004</v>
      </c>
      <c r="P6867">
        <v>0.58214860000000002</v>
      </c>
      <c r="Q6867">
        <v>-5.3696859999999999E-2</v>
      </c>
      <c r="R6867">
        <v>-0.81130749999999996</v>
      </c>
      <c r="S6867">
        <v>2.5103149999999999</v>
      </c>
      <c r="T6867">
        <v>-0.16459470000000001</v>
      </c>
      <c r="U6867">
        <v>-1.898285</v>
      </c>
      <c r="V6867">
        <v>-0.47551359999999898</v>
      </c>
      <c r="W6867">
        <v>-4.5774570000000001E-2</v>
      </c>
      <c r="X6867">
        <v>0.87851669999999904</v>
      </c>
      <c r="Y6867">
        <v>-0.71484510000000001</v>
      </c>
      <c r="Z6867">
        <v>4.1362679999999999E-2</v>
      </c>
      <c r="AA6867">
        <v>0.69805850000000003</v>
      </c>
      <c r="AB6867">
        <v>25</v>
      </c>
      <c r="AC6867">
        <v>16.952200000000001</v>
      </c>
      <c r="AD6867">
        <v>-1.1140114951060001</v>
      </c>
      <c r="AE6867">
        <v>-12.60045</v>
      </c>
      <c r="AF6867">
        <v>-15.1977580261981</v>
      </c>
      <c r="AG6867">
        <v>-1.1140114951060001</v>
      </c>
      <c r="AH6867">
        <v>14.584404366456299</v>
      </c>
      <c r="AI6867">
        <v>93.027433118560296</v>
      </c>
      <c r="AJ6867">
        <v>136.17982060512401</v>
      </c>
      <c r="AK6867">
        <v>21.0930728287371</v>
      </c>
      <c r="AL6867">
        <v>92.623606312056793</v>
      </c>
      <c r="AM6867">
        <v>118.425296763666</v>
      </c>
      <c r="AN6867">
        <v>1.0000000436112599</v>
      </c>
    </row>
    <row r="6868" spans="1:40" x14ac:dyDescent="0.25">
      <c r="A6868" t="str">
        <f>"20190305135101144"</f>
        <v>20190305135101144</v>
      </c>
      <c r="B6868" t="str">
        <f>"1551765061136731"</f>
        <v>1551765061136731</v>
      </c>
      <c r="C6868" t="s">
        <v>40</v>
      </c>
      <c r="D6868">
        <v>3.8861569999999999</v>
      </c>
      <c r="E6868">
        <v>0.3796658</v>
      </c>
      <c r="F6868" t="s">
        <v>85</v>
      </c>
      <c r="G6868">
        <v>-283.95920000000001</v>
      </c>
      <c r="H6868" s="1">
        <v>-5.7581970000000003E-6</v>
      </c>
      <c r="I6868">
        <v>-52.063879999999997</v>
      </c>
      <c r="J6868">
        <v>-301.69670000000002</v>
      </c>
      <c r="K6868">
        <v>1.114158</v>
      </c>
      <c r="L6868">
        <v>-39.148769999999999</v>
      </c>
      <c r="M6868">
        <v>0.1311088</v>
      </c>
      <c r="N6868">
        <v>-1.4096910000000001E-2</v>
      </c>
      <c r="O6868">
        <v>-0.99126800000000004</v>
      </c>
      <c r="P6868">
        <v>0.59055659999999999</v>
      </c>
      <c r="Q6868">
        <v>-5.2906000000000002E-2</v>
      </c>
      <c r="R6868">
        <v>-0.8052608</v>
      </c>
      <c r="S6868">
        <v>2.5292970000000001</v>
      </c>
      <c r="T6868">
        <v>-0.15852069999999999</v>
      </c>
      <c r="U6868">
        <v>-1.8723749999999999</v>
      </c>
      <c r="V6868">
        <v>-0.47945480000000001</v>
      </c>
      <c r="W6868">
        <v>-4.5209220000000001E-2</v>
      </c>
      <c r="X6868">
        <v>0.87640130000000005</v>
      </c>
      <c r="Y6868">
        <v>-0.71791530000000003</v>
      </c>
      <c r="Z6868">
        <v>3.9494509999999997E-2</v>
      </c>
      <c r="AA6868">
        <v>0.69500919999999999</v>
      </c>
      <c r="AB6868">
        <v>25</v>
      </c>
      <c r="AC6868">
        <v>17.737500000000001</v>
      </c>
      <c r="AD6868">
        <v>-1.1141637581970001</v>
      </c>
      <c r="AE6868">
        <v>-12.91511</v>
      </c>
      <c r="AF6868">
        <v>-15.8500366731335</v>
      </c>
      <c r="AG6868">
        <v>-1.1141637581970001</v>
      </c>
      <c r="AH6868">
        <v>15.0904658003438</v>
      </c>
      <c r="AI6868">
        <v>92.914430320410005</v>
      </c>
      <c r="AJ6868">
        <v>136.406294730631</v>
      </c>
      <c r="AK6868">
        <v>21.913173697369899</v>
      </c>
      <c r="AL6868">
        <v>92.591180664425295</v>
      </c>
      <c r="AM6868">
        <v>118.681843943674</v>
      </c>
      <c r="AN6868">
        <v>1.0000000087288601</v>
      </c>
    </row>
    <row r="6869" spans="1:40" x14ac:dyDescent="0.25">
      <c r="A6869" t="str">
        <f>"20190305135101166"</f>
        <v>20190305135101166</v>
      </c>
      <c r="B6869" t="str">
        <f>"1551765061157227"</f>
        <v>1551765061157227</v>
      </c>
      <c r="C6869" t="s">
        <v>40</v>
      </c>
      <c r="D6869">
        <v>3.856322</v>
      </c>
      <c r="E6869">
        <v>0.38001960000000001</v>
      </c>
      <c r="F6869" t="s">
        <v>85</v>
      </c>
      <c r="G6869">
        <v>-283.04239999999999</v>
      </c>
      <c r="H6869" s="1">
        <v>-5.994847E-6</v>
      </c>
      <c r="I6869">
        <v>-52.688389999999998</v>
      </c>
      <c r="J6869">
        <v>-301.65820000000002</v>
      </c>
      <c r="K6869">
        <v>1.1143209999999999</v>
      </c>
      <c r="L6869">
        <v>-39.388759999999998</v>
      </c>
      <c r="M6869">
        <v>0.1371126</v>
      </c>
      <c r="N6869">
        <v>-1.41157E-2</v>
      </c>
      <c r="O6869">
        <v>-0.99045479999999997</v>
      </c>
      <c r="P6869">
        <v>0.59850509999999901</v>
      </c>
      <c r="Q6869">
        <v>-5.1062829999999997E-2</v>
      </c>
      <c r="R6869">
        <v>-0.79948999999999903</v>
      </c>
      <c r="S6869">
        <v>2.5462950000000002</v>
      </c>
      <c r="T6869">
        <v>-0.1520822</v>
      </c>
      <c r="U6869">
        <v>-1.8481449999999999</v>
      </c>
      <c r="V6869">
        <v>-0.4828055</v>
      </c>
      <c r="W6869">
        <v>-4.358824E-2</v>
      </c>
      <c r="X6869">
        <v>0.87464209999999998</v>
      </c>
      <c r="Y6869">
        <v>-0.72030229999999995</v>
      </c>
      <c r="Z6869">
        <v>3.7499249999999998E-2</v>
      </c>
      <c r="AA6869">
        <v>0.69264599999999998</v>
      </c>
      <c r="AB6869">
        <v>25</v>
      </c>
      <c r="AC6869">
        <v>18.6158</v>
      </c>
      <c r="AD6869">
        <v>-1.11432699484699</v>
      </c>
      <c r="AE6869">
        <v>-13.299630000000001</v>
      </c>
      <c r="AF6869">
        <v>-16.576893299564901</v>
      </c>
      <c r="AG6869">
        <v>-1.11432699484699</v>
      </c>
      <c r="AH6869">
        <v>15.689491270933599</v>
      </c>
      <c r="AI6869">
        <v>92.795059724797198</v>
      </c>
      <c r="AJ6869">
        <v>136.57537258142801</v>
      </c>
      <c r="AK6869">
        <v>22.8515919020384</v>
      </c>
      <c r="AL6869">
        <v>92.498213827717393</v>
      </c>
      <c r="AM6869">
        <v>118.898851279857</v>
      </c>
      <c r="AN6869">
        <v>0.99999994429447703</v>
      </c>
    </row>
    <row r="6870" spans="1:40" x14ac:dyDescent="0.25">
      <c r="A6870" t="str">
        <f>"20190305135101191"</f>
        <v>20190305135101191</v>
      </c>
      <c r="B6870" t="str">
        <f>"1551765061186507"</f>
        <v>1551765061186507</v>
      </c>
      <c r="C6870" t="s">
        <v>40</v>
      </c>
      <c r="D6870">
        <v>3.842298</v>
      </c>
      <c r="E6870">
        <v>0.38047890000000001</v>
      </c>
      <c r="F6870" t="s">
        <v>85</v>
      </c>
      <c r="G6870">
        <v>-281.94990000000001</v>
      </c>
      <c r="H6870" s="1">
        <v>-6.2777159999999996E-6</v>
      </c>
      <c r="I6870">
        <v>-53.424999999999997</v>
      </c>
      <c r="J6870">
        <v>-301.61509999999998</v>
      </c>
      <c r="K6870">
        <v>1.1144969999999901</v>
      </c>
      <c r="L6870">
        <v>-39.645940000000003</v>
      </c>
      <c r="M6870">
        <v>0.14380860000000001</v>
      </c>
      <c r="N6870">
        <v>-1.413671E-2</v>
      </c>
      <c r="O6870">
        <v>-0.98950470000000001</v>
      </c>
      <c r="P6870">
        <v>0.60584989999999905</v>
      </c>
      <c r="Q6870">
        <v>-4.9948489999999998E-2</v>
      </c>
      <c r="R6870">
        <v>-0.79400999999999999</v>
      </c>
      <c r="S6870">
        <v>2.5623779999999998</v>
      </c>
      <c r="T6870">
        <v>-0.14487910000000001</v>
      </c>
      <c r="U6870">
        <v>-1.824921</v>
      </c>
      <c r="V6870">
        <v>-0.48493320000000001</v>
      </c>
      <c r="W6870">
        <v>-4.2692500000000001E-2</v>
      </c>
      <c r="X6870">
        <v>0.87350859999999997</v>
      </c>
      <c r="Y6870">
        <v>-0.72190580000000004</v>
      </c>
      <c r="Z6870">
        <v>3.524509E-2</v>
      </c>
      <c r="AA6870">
        <v>0.69109319999999996</v>
      </c>
      <c r="AB6870">
        <v>25</v>
      </c>
      <c r="AC6870">
        <v>19.665199999999899</v>
      </c>
      <c r="AD6870">
        <v>-1.11450327771599</v>
      </c>
      <c r="AE6870">
        <v>-13.7790599999999</v>
      </c>
      <c r="AF6870">
        <v>-17.441430782703499</v>
      </c>
      <c r="AG6870">
        <v>-1.11450327771599</v>
      </c>
      <c r="AH6870">
        <v>16.428720195332101</v>
      </c>
      <c r="AI6870">
        <v>92.663145472931205</v>
      </c>
      <c r="AJ6870">
        <v>136.71262185130701</v>
      </c>
      <c r="AK6870">
        <v>23.986422671177799</v>
      </c>
      <c r="AL6870">
        <v>92.446843578898495</v>
      </c>
      <c r="AM6870">
        <v>119.03709047653</v>
      </c>
      <c r="AN6870">
        <v>1.0000000661462201</v>
      </c>
    </row>
    <row r="6871" spans="1:40" x14ac:dyDescent="0.25">
      <c r="A6871" t="str">
        <f>"20190305135101212"</f>
        <v>20190305135101212</v>
      </c>
      <c r="B6871" t="str">
        <f>"1551765061207002"</f>
        <v>1551765061207002</v>
      </c>
      <c r="C6871" t="s">
        <v>40</v>
      </c>
      <c r="D6871">
        <v>3.7964250000000002</v>
      </c>
      <c r="E6871">
        <v>0.38072590000000001</v>
      </c>
      <c r="F6871" t="s">
        <v>85</v>
      </c>
      <c r="G6871">
        <v>-281.06189999999998</v>
      </c>
      <c r="H6871" s="1">
        <v>-6.506403E-6</v>
      </c>
      <c r="I6871">
        <v>-54.034599999999998</v>
      </c>
      <c r="J6871">
        <v>-301.57319999999999</v>
      </c>
      <c r="K6871">
        <v>1.1146450000000001</v>
      </c>
      <c r="L6871">
        <v>-39.883850000000002</v>
      </c>
      <c r="M6871">
        <v>0.1502674</v>
      </c>
      <c r="N6871">
        <v>-1.415699E-2</v>
      </c>
      <c r="O6871">
        <v>-0.98854399999999998</v>
      </c>
      <c r="P6871">
        <v>0.61225989999999997</v>
      </c>
      <c r="Q6871">
        <v>-4.9057860000000002E-2</v>
      </c>
      <c r="R6871">
        <v>-0.78913330000000004</v>
      </c>
      <c r="S6871">
        <v>2.5763850000000001</v>
      </c>
      <c r="T6871">
        <v>-0.13970529999999901</v>
      </c>
      <c r="U6871">
        <v>-1.80365</v>
      </c>
      <c r="V6871">
        <v>-0.48628660000000001</v>
      </c>
      <c r="W6871">
        <v>-4.198913E-2</v>
      </c>
      <c r="X6871">
        <v>0.87278989999999901</v>
      </c>
      <c r="Y6871">
        <v>-0.72303300000000004</v>
      </c>
      <c r="Z6871">
        <v>3.3654870000000003E-2</v>
      </c>
      <c r="AA6871">
        <v>0.68999330000000003</v>
      </c>
      <c r="AB6871">
        <v>25</v>
      </c>
      <c r="AC6871">
        <v>20.511299999999999</v>
      </c>
      <c r="AD6871">
        <v>-1.114651506403</v>
      </c>
      <c r="AE6871">
        <v>-14.150749999999899</v>
      </c>
      <c r="AF6871">
        <v>-18.115499087686299</v>
      </c>
      <c r="AG6871">
        <v>-1.114651506403</v>
      </c>
      <c r="AH6871">
        <v>17.0384385475834</v>
      </c>
      <c r="AI6871">
        <v>92.566306092822899</v>
      </c>
      <c r="AJ6871">
        <v>136.75490225631799</v>
      </c>
      <c r="AK6871">
        <v>24.894219074244202</v>
      </c>
      <c r="AL6871">
        <v>92.406507490485595</v>
      </c>
      <c r="AM6871">
        <v>119.124952287516</v>
      </c>
      <c r="AN6871">
        <v>0.99999997695986298</v>
      </c>
    </row>
    <row r="6872" spans="1:40" x14ac:dyDescent="0.25">
      <c r="A6872" t="str">
        <f>"20190305135101234"</f>
        <v>20190305135101234</v>
      </c>
      <c r="B6872" t="str">
        <f>"1551765061226523"</f>
        <v>1551765061226523</v>
      </c>
      <c r="C6872" t="s">
        <v>40</v>
      </c>
      <c r="D6872">
        <v>3.7864179999999998</v>
      </c>
      <c r="E6872">
        <v>0.38093280000000002</v>
      </c>
      <c r="F6872" t="s">
        <v>85</v>
      </c>
      <c r="G6872">
        <v>-280.3476</v>
      </c>
      <c r="H6872" s="1">
        <v>-6.6920450000000002E-6</v>
      </c>
      <c r="I6872">
        <v>-54.509839999999997</v>
      </c>
      <c r="J6872">
        <v>-301.53030000000001</v>
      </c>
      <c r="K6872">
        <v>1.114768</v>
      </c>
      <c r="L6872">
        <v>-40.116819999999997</v>
      </c>
      <c r="M6872">
        <v>0.15678310000000001</v>
      </c>
      <c r="N6872">
        <v>-1.4176380000000001E-2</v>
      </c>
      <c r="O6872">
        <v>-0.98753150000000001</v>
      </c>
      <c r="P6872">
        <v>0.61807259999999997</v>
      </c>
      <c r="Q6872">
        <v>-4.9003970000000001E-2</v>
      </c>
      <c r="R6872">
        <v>-0.78459259999999997</v>
      </c>
      <c r="S6872">
        <v>2.5893250000000001</v>
      </c>
      <c r="T6872">
        <v>-0.1359776</v>
      </c>
      <c r="U6872">
        <v>-1.784241</v>
      </c>
      <c r="V6872">
        <v>-0.48696469999999997</v>
      </c>
      <c r="W6872">
        <v>-4.208406E-2</v>
      </c>
      <c r="X6872">
        <v>0.87240720000000005</v>
      </c>
      <c r="Y6872">
        <v>-0.72363250000000001</v>
      </c>
      <c r="Z6872">
        <v>3.2533260000000001E-2</v>
      </c>
      <c r="AA6872">
        <v>0.68941830000000004</v>
      </c>
      <c r="AB6872">
        <v>25</v>
      </c>
      <c r="AC6872">
        <v>21.182700000000001</v>
      </c>
      <c r="AD6872">
        <v>-1.1147746920449999</v>
      </c>
      <c r="AE6872">
        <v>-14.39302</v>
      </c>
      <c r="AF6872">
        <v>-18.628576166912602</v>
      </c>
      <c r="AG6872">
        <v>-1.1147746920449999</v>
      </c>
      <c r="AH6872">
        <v>17.503244128912002</v>
      </c>
      <c r="AI6872">
        <v>92.4971765168806</v>
      </c>
      <c r="AJ6872">
        <v>136.783910690282</v>
      </c>
      <c r="AK6872">
        <v>25.585740709559001</v>
      </c>
      <c r="AL6872">
        <v>92.411951323593598</v>
      </c>
      <c r="AM6872">
        <v>119.16960391529599</v>
      </c>
      <c r="AN6872">
        <v>1.0000000048819999</v>
      </c>
    </row>
    <row r="6873" spans="1:40" x14ac:dyDescent="0.25">
      <c r="A6873" t="str">
        <f>"20190305135101256"</f>
        <v>20190305135101256</v>
      </c>
      <c r="B6873" t="str">
        <f>"1551765061247020"</f>
        <v>1551765061247020</v>
      </c>
      <c r="C6873" t="s">
        <v>40</v>
      </c>
      <c r="D6873">
        <v>3.8208510000000002</v>
      </c>
      <c r="E6873">
        <v>0.38105489999999997</v>
      </c>
      <c r="F6873" t="s">
        <v>110</v>
      </c>
      <c r="G6873">
        <v>-279.90019999999998</v>
      </c>
      <c r="H6873" s="1">
        <v>-4.6356699999999898E-6</v>
      </c>
      <c r="I6873">
        <v>-54.801349999999999</v>
      </c>
      <c r="J6873">
        <v>-301.48450000000003</v>
      </c>
      <c r="K6873">
        <v>1.1148720000000001</v>
      </c>
      <c r="L6873">
        <v>-40.355589999999999</v>
      </c>
      <c r="M6873">
        <v>0.16365859999999999</v>
      </c>
      <c r="N6873">
        <v>-1.419488E-2</v>
      </c>
      <c r="O6873">
        <v>-0.98641500000000004</v>
      </c>
      <c r="P6873">
        <v>0.62307500000000005</v>
      </c>
      <c r="Q6873">
        <v>-4.7174140000000003E-2</v>
      </c>
      <c r="R6873">
        <v>-0.78073840000000005</v>
      </c>
      <c r="S6873">
        <v>2.601318</v>
      </c>
      <c r="T6873">
        <v>-0.1340672</v>
      </c>
      <c r="U6873">
        <v>-1.766022</v>
      </c>
      <c r="V6873">
        <v>-0.48645500000000003</v>
      </c>
      <c r="W6873">
        <v>-4.0362639999999998E-2</v>
      </c>
      <c r="X6873">
        <v>0.87277280000000002</v>
      </c>
      <c r="Y6873">
        <v>-0.72362569999999904</v>
      </c>
      <c r="Z6873">
        <v>3.2017770000000001E-2</v>
      </c>
      <c r="AA6873">
        <v>0.68944949999999905</v>
      </c>
      <c r="AB6873">
        <v>25</v>
      </c>
      <c r="AC6873">
        <v>21.584299999999999</v>
      </c>
      <c r="AD6873">
        <v>-1.1148766356699999</v>
      </c>
      <c r="AE6873">
        <v>-14.44576</v>
      </c>
      <c r="AF6873">
        <v>-18.893995673951899</v>
      </c>
      <c r="AG6873">
        <v>-1.1148766356699999</v>
      </c>
      <c r="AH6873">
        <v>17.751052646615499</v>
      </c>
      <c r="AI6873">
        <v>92.462467437042605</v>
      </c>
      <c r="AJ6873">
        <v>136.786451170193</v>
      </c>
      <c r="AK6873">
        <v>25.948523898345201</v>
      </c>
      <c r="AL6873">
        <v>92.313237345663694</v>
      </c>
      <c r="AM6873">
        <v>119.133865056815</v>
      </c>
      <c r="AN6873">
        <v>0.99999998507630405</v>
      </c>
    </row>
    <row r="6874" spans="1:40" x14ac:dyDescent="0.25">
      <c r="A6874" t="str">
        <f>"20190305135101279"</f>
        <v>20190305135101279</v>
      </c>
      <c r="B6874" t="str">
        <f>"1551765061266539"</f>
        <v>1551765061266539</v>
      </c>
      <c r="C6874" t="s">
        <v>40</v>
      </c>
      <c r="D6874">
        <v>3.802047</v>
      </c>
      <c r="E6874">
        <v>0.3812043</v>
      </c>
      <c r="F6874" t="s">
        <v>110</v>
      </c>
      <c r="G6874">
        <v>-278.61579999999998</v>
      </c>
      <c r="H6874" s="1">
        <v>-3.8899279999999997E-6</v>
      </c>
      <c r="I6874">
        <v>-55.682079999999999</v>
      </c>
      <c r="J6874">
        <v>-301.43709999999999</v>
      </c>
      <c r="K6874">
        <v>1.1149659999999999</v>
      </c>
      <c r="L6874">
        <v>-40.592529999999996</v>
      </c>
      <c r="M6874">
        <v>0.17067829999999901</v>
      </c>
      <c r="N6874">
        <v>-1.421276E-2</v>
      </c>
      <c r="O6874">
        <v>-0.9852244</v>
      </c>
      <c r="P6874">
        <v>0.62848440000000005</v>
      </c>
      <c r="Q6874">
        <v>-4.71028E-2</v>
      </c>
      <c r="R6874">
        <v>-0.77639519999999995</v>
      </c>
      <c r="S6874">
        <v>2.6118160000000001</v>
      </c>
      <c r="T6874">
        <v>-0.1273291</v>
      </c>
      <c r="U6874">
        <v>-1.750427</v>
      </c>
      <c r="V6874">
        <v>-0.48629359999999999</v>
      </c>
      <c r="W6874">
        <v>-4.0398509999999999E-2</v>
      </c>
      <c r="X6874">
        <v>0.87286109999999995</v>
      </c>
      <c r="Y6874">
        <v>-0.72289939999999997</v>
      </c>
      <c r="Z6874">
        <v>2.9868889999999999E-2</v>
      </c>
      <c r="AA6874">
        <v>0.69030729999999996</v>
      </c>
      <c r="AB6874">
        <v>25</v>
      </c>
      <c r="AC6874">
        <v>22.821300000000001</v>
      </c>
      <c r="AD6874">
        <v>-1.1149698899279901</v>
      </c>
      <c r="AE6874">
        <v>-15.089549999999999</v>
      </c>
      <c r="AF6874">
        <v>-19.877638131294301</v>
      </c>
      <c r="AG6874">
        <v>-1.1149698899279901</v>
      </c>
      <c r="AH6874">
        <v>18.732475007779101</v>
      </c>
      <c r="AI6874">
        <v>92.337586538085901</v>
      </c>
      <c r="AJ6874">
        <v>136.698875730075</v>
      </c>
      <c r="AK6874">
        <v>27.336226430347001</v>
      </c>
      <c r="AL6874">
        <v>92.3152941827002</v>
      </c>
      <c r="AM6874">
        <v>119.12331577314499</v>
      </c>
      <c r="AN6874">
        <v>1.00000000245219</v>
      </c>
    </row>
    <row r="6875" spans="1:40" x14ac:dyDescent="0.25">
      <c r="A6875" t="str">
        <f>"20190305135101301"</f>
        <v>20190305135101301</v>
      </c>
      <c r="B6875" t="str">
        <f>"1551765061296798"</f>
        <v>1551765061296798</v>
      </c>
      <c r="C6875" t="s">
        <v>40</v>
      </c>
      <c r="D6875">
        <v>3.7682190000000002</v>
      </c>
      <c r="E6875">
        <v>0.38136419999999999</v>
      </c>
      <c r="F6875" t="s">
        <v>110</v>
      </c>
      <c r="G6875">
        <v>-278.43470000000002</v>
      </c>
      <c r="H6875" s="1">
        <v>-3.7879889999999999E-6</v>
      </c>
      <c r="I6875">
        <v>-55.791699999999999</v>
      </c>
      <c r="J6875">
        <v>-301.38659999999999</v>
      </c>
      <c r="K6875">
        <v>1.1150709999999999</v>
      </c>
      <c r="L6875">
        <v>-40.835360000000001</v>
      </c>
      <c r="M6875">
        <v>0.17807479999999901</v>
      </c>
      <c r="N6875">
        <v>-1.42322E-2</v>
      </c>
      <c r="O6875">
        <v>-0.98391399999999996</v>
      </c>
      <c r="P6875">
        <v>0.63411640000000002</v>
      </c>
      <c r="Q6875">
        <v>-4.8022599999999999E-2</v>
      </c>
      <c r="R6875">
        <v>-0.77174529999999997</v>
      </c>
      <c r="S6875">
        <v>2.6228639999999999</v>
      </c>
      <c r="T6875">
        <v>-0.127135</v>
      </c>
      <c r="U6875">
        <v>-1.733093</v>
      </c>
      <c r="V6875">
        <v>-0.4860758</v>
      </c>
      <c r="W6875">
        <v>-4.1429830000000001E-2</v>
      </c>
      <c r="X6875">
        <v>0.87293399999999999</v>
      </c>
      <c r="Y6875">
        <v>-0.72222319999999995</v>
      </c>
      <c r="Z6875">
        <v>2.99244E-2</v>
      </c>
      <c r="AA6875">
        <v>0.69101239999999997</v>
      </c>
      <c r="AB6875">
        <v>25</v>
      </c>
      <c r="AC6875">
        <v>22.951899999999899</v>
      </c>
      <c r="AD6875">
        <v>-1.1150747879889999</v>
      </c>
      <c r="AE6875">
        <v>-14.956340000000001</v>
      </c>
      <c r="AF6875">
        <v>-19.888415725869699</v>
      </c>
      <c r="AG6875">
        <v>-1.1150747879889999</v>
      </c>
      <c r="AH6875">
        <v>18.773708281881099</v>
      </c>
      <c r="AI6875">
        <v>92.334721127778195</v>
      </c>
      <c r="AJ6875">
        <v>136.65149600190401</v>
      </c>
      <c r="AK6875">
        <v>27.372332646689099</v>
      </c>
      <c r="AL6875">
        <v>92.374434133746405</v>
      </c>
      <c r="AM6875">
        <v>119.110370465584</v>
      </c>
      <c r="AN6875">
        <v>0.99999994125773195</v>
      </c>
    </row>
    <row r="6876" spans="1:40" x14ac:dyDescent="0.25">
      <c r="A6876" t="str">
        <f>"20190305135101323"</f>
        <v>20190305135101323</v>
      </c>
      <c r="B6876" t="str">
        <f>"1551765061316314"</f>
        <v>1551765061316314</v>
      </c>
      <c r="C6876" t="s">
        <v>40</v>
      </c>
      <c r="D6876">
        <v>3.7688109999999999</v>
      </c>
      <c r="E6876">
        <v>0.3813492</v>
      </c>
      <c r="F6876" t="s">
        <v>110</v>
      </c>
      <c r="G6876">
        <v>-278.67959999999999</v>
      </c>
      <c r="H6876" s="1">
        <v>-3.9326640000000003E-6</v>
      </c>
      <c r="I6876">
        <v>-55.612630000000003</v>
      </c>
      <c r="J6876">
        <v>-301.33539999999999</v>
      </c>
      <c r="K6876">
        <v>1.1151759999999999</v>
      </c>
      <c r="L6876">
        <v>-41.071559999999998</v>
      </c>
      <c r="M6876">
        <v>0.1854644</v>
      </c>
      <c r="N6876">
        <v>-1.4252600000000001E-2</v>
      </c>
      <c r="O6876">
        <v>-0.98254779999999997</v>
      </c>
      <c r="P6876">
        <v>0.63933960000000001</v>
      </c>
      <c r="Q6876">
        <v>-4.9310939999999998E-2</v>
      </c>
      <c r="R6876">
        <v>-0.76734209999999903</v>
      </c>
      <c r="S6876">
        <v>2.6345830000000001</v>
      </c>
      <c r="T6876">
        <v>-0.12937689999999999</v>
      </c>
      <c r="U6876">
        <v>-1.714539</v>
      </c>
      <c r="V6876">
        <v>-0.48542780000000002</v>
      </c>
      <c r="W6876">
        <v>-4.2825710000000003E-2</v>
      </c>
      <c r="X6876">
        <v>0.87322730000000004</v>
      </c>
      <c r="Y6876">
        <v>-0.72182729999999995</v>
      </c>
      <c r="Z6876">
        <v>3.0800310000000001E-2</v>
      </c>
      <c r="AA6876">
        <v>0.69138759999999999</v>
      </c>
      <c r="AB6876">
        <v>25</v>
      </c>
      <c r="AC6876">
        <v>22.655799999999999</v>
      </c>
      <c r="AD6876">
        <v>-1.115179932664</v>
      </c>
      <c r="AE6876">
        <v>-14.541069999999999</v>
      </c>
      <c r="AF6876">
        <v>-19.532022682435102</v>
      </c>
      <c r="AG6876">
        <v>-1.115179932664</v>
      </c>
      <c r="AH6876">
        <v>18.4593395138868</v>
      </c>
      <c r="AI6876">
        <v>92.376159474516299</v>
      </c>
      <c r="AJ6876">
        <v>136.61731220775201</v>
      </c>
      <c r="AK6876">
        <v>26.8977833963752</v>
      </c>
      <c r="AL6876">
        <v>92.454482965992796</v>
      </c>
      <c r="AM6876">
        <v>119.06971986432799</v>
      </c>
      <c r="AN6876">
        <v>1.00000005395756</v>
      </c>
    </row>
    <row r="6877" spans="1:40" x14ac:dyDescent="0.25">
      <c r="A6877" t="str">
        <f>"20190305135101346"</f>
        <v>20190305135101346</v>
      </c>
      <c r="B6877" t="str">
        <f>"1551765061336811"</f>
        <v>1551765061336811</v>
      </c>
      <c r="C6877" t="s">
        <v>40</v>
      </c>
      <c r="D6877">
        <v>3.7479360000000002</v>
      </c>
      <c r="E6877">
        <v>0.38135419999999998</v>
      </c>
      <c r="F6877" t="s">
        <v>110</v>
      </c>
      <c r="G6877">
        <v>-279.2749</v>
      </c>
      <c r="H6877" s="1">
        <v>-4.2763199999999997E-6</v>
      </c>
      <c r="I6877">
        <v>-55.213250000000002</v>
      </c>
      <c r="J6877">
        <v>-301.28210000000001</v>
      </c>
      <c r="K6877">
        <v>1.1152879999999901</v>
      </c>
      <c r="L6877">
        <v>-41.30762</v>
      </c>
      <c r="M6877">
        <v>0.19304930000000001</v>
      </c>
      <c r="N6877">
        <v>-1.427411E-2</v>
      </c>
      <c r="O6877">
        <v>-0.9810854</v>
      </c>
      <c r="P6877">
        <v>0.64428169999999996</v>
      </c>
      <c r="Q6877">
        <v>-5.0180759999999998E-2</v>
      </c>
      <c r="R6877">
        <v>-0.76314040000000005</v>
      </c>
      <c r="S6877">
        <v>2.6461489999999999</v>
      </c>
      <c r="T6877">
        <v>-0.133765299999999</v>
      </c>
      <c r="U6877">
        <v>-1.6962889999999999</v>
      </c>
      <c r="V6877">
        <v>-0.48430830000000002</v>
      </c>
      <c r="W6877">
        <v>-4.3803509999999997E-2</v>
      </c>
      <c r="X6877">
        <v>0.87380020000000003</v>
      </c>
      <c r="Y6877">
        <v>-0.72118930000000003</v>
      </c>
      <c r="Z6877">
        <v>3.2399730000000002E-2</v>
      </c>
      <c r="AA6877">
        <v>0.69197989999999998</v>
      </c>
      <c r="AB6877">
        <v>25</v>
      </c>
      <c r="AC6877">
        <v>22.007200000000001</v>
      </c>
      <c r="AD6877">
        <v>-1.1152922763199999</v>
      </c>
      <c r="AE6877">
        <v>-13.90563</v>
      </c>
      <c r="AF6877">
        <v>-18.8737511489418</v>
      </c>
      <c r="AG6877">
        <v>-1.1152922763199999</v>
      </c>
      <c r="AH6877">
        <v>17.860123012024602</v>
      </c>
      <c r="AI6877">
        <v>92.457694155050405</v>
      </c>
      <c r="AJ6877">
        <v>136.58060869103701</v>
      </c>
      <c r="AK6877">
        <v>26.008582300818599</v>
      </c>
      <c r="AL6877">
        <v>92.510559459251894</v>
      </c>
      <c r="AM6877">
        <v>118.997639461725</v>
      </c>
      <c r="AN6877">
        <v>1.0000000332286201</v>
      </c>
    </row>
    <row r="6878" spans="1:40" x14ac:dyDescent="0.25">
      <c r="A6878" t="str">
        <f>"20190305135101368"</f>
        <v>20190305135101368</v>
      </c>
      <c r="B6878" t="str">
        <f>"1551765061356330"</f>
        <v>1551765061356330</v>
      </c>
      <c r="C6878" t="s">
        <v>40</v>
      </c>
      <c r="D6878">
        <v>3.783887</v>
      </c>
      <c r="E6878">
        <v>0.38122820000000002</v>
      </c>
      <c r="F6878" t="s">
        <v>110</v>
      </c>
      <c r="G6878">
        <v>-279.6902</v>
      </c>
      <c r="H6878" s="1">
        <v>-4.5122230000000002E-6</v>
      </c>
      <c r="I6878">
        <v>-54.952170000000002</v>
      </c>
      <c r="J6878">
        <v>-301.22800000000001</v>
      </c>
      <c r="K6878">
        <v>1.1154200000000001</v>
      </c>
      <c r="L6878">
        <v>-41.538330000000002</v>
      </c>
      <c r="M6878">
        <v>0.20067850000000001</v>
      </c>
      <c r="N6878">
        <v>-1.4296420000000001E-2</v>
      </c>
      <c r="O6878">
        <v>-0.97955289999999995</v>
      </c>
      <c r="P6878">
        <v>0.6492637</v>
      </c>
      <c r="Q6878">
        <v>-5.0099299999999999E-2</v>
      </c>
      <c r="R6878">
        <v>-0.75891169999999997</v>
      </c>
      <c r="S6878">
        <v>2.6569210000000001</v>
      </c>
      <c r="T6878">
        <v>-0.13723859999999999</v>
      </c>
      <c r="U6878">
        <v>-1.6789860000000001</v>
      </c>
      <c r="V6878">
        <v>-0.48321520000000001</v>
      </c>
      <c r="W6878">
        <v>-4.383741E-2</v>
      </c>
      <c r="X6878">
        <v>0.8744035</v>
      </c>
      <c r="Y6878">
        <v>-0.72024940000000004</v>
      </c>
      <c r="Z6878">
        <v>3.3689610000000002E-2</v>
      </c>
      <c r="AA6878">
        <v>0.69289669999999903</v>
      </c>
      <c r="AB6878">
        <v>25</v>
      </c>
      <c r="AC6878">
        <v>21.537800000000001</v>
      </c>
      <c r="AD6878">
        <v>-1.115424512223</v>
      </c>
      <c r="AE6878">
        <v>-13.413839999999899</v>
      </c>
      <c r="AF6878">
        <v>-18.371921057512999</v>
      </c>
      <c r="AG6878">
        <v>-1.115424512223</v>
      </c>
      <c r="AH6878">
        <v>17.429839356045701</v>
      </c>
      <c r="AI6878">
        <v>92.521985123083098</v>
      </c>
      <c r="AJ6878">
        <v>136.507323989485</v>
      </c>
      <c r="AK6878">
        <v>25.348983316171001</v>
      </c>
      <c r="AL6878">
        <v>92.512503575245404</v>
      </c>
      <c r="AM6878">
        <v>118.92603496772701</v>
      </c>
      <c r="AN6878">
        <v>1.00000006441939</v>
      </c>
    </row>
    <row r="6879" spans="1:40" x14ac:dyDescent="0.25">
      <c r="A6879" t="str">
        <f>"20190305135101391"</f>
        <v>20190305135101391</v>
      </c>
      <c r="B6879" t="str">
        <f>"1551765061386587"</f>
        <v>1551765061386587</v>
      </c>
      <c r="C6879" t="s">
        <v>40</v>
      </c>
      <c r="D6879">
        <v>3.7715209999999999</v>
      </c>
      <c r="E6879">
        <v>0.38105679999999997</v>
      </c>
      <c r="F6879" t="s">
        <v>110</v>
      </c>
      <c r="G6879">
        <v>-279.62779999999998</v>
      </c>
      <c r="H6879" s="1">
        <v>-4.4787979999999997E-6</v>
      </c>
      <c r="I6879">
        <v>-54.9822699999999</v>
      </c>
      <c r="J6879">
        <v>-301.17020000000002</v>
      </c>
      <c r="K6879">
        <v>1.115567</v>
      </c>
      <c r="L6879">
        <v>-41.775149999999996</v>
      </c>
      <c r="M6879">
        <v>0.20875079999999999</v>
      </c>
      <c r="N6879">
        <v>-1.4321250000000001E-2</v>
      </c>
      <c r="O6879">
        <v>-0.97786399999999996</v>
      </c>
      <c r="P6879">
        <v>0.65415290000000004</v>
      </c>
      <c r="Q6879">
        <v>-5.0250139999999999E-2</v>
      </c>
      <c r="R6879">
        <v>-0.75469149999999996</v>
      </c>
      <c r="S6879">
        <v>2.6685789999999998</v>
      </c>
      <c r="T6879">
        <v>-0.13780419999999999</v>
      </c>
      <c r="U6879">
        <v>-1.66091899999999</v>
      </c>
      <c r="V6879">
        <v>-0.48163719999999999</v>
      </c>
      <c r="W6879">
        <v>-4.4107340000000002E-2</v>
      </c>
      <c r="X6879">
        <v>0.87526009999999999</v>
      </c>
      <c r="Y6879">
        <v>-0.71926210000000002</v>
      </c>
      <c r="Z6879">
        <v>3.399423E-2</v>
      </c>
      <c r="AA6879">
        <v>0.69390659999999904</v>
      </c>
      <c r="AB6879">
        <v>25</v>
      </c>
      <c r="AC6879">
        <v>21.542400000000001</v>
      </c>
      <c r="AD6879">
        <v>-1.115571478798</v>
      </c>
      <c r="AE6879">
        <v>-13.2071199999999</v>
      </c>
      <c r="AF6879">
        <v>-18.2747991818873</v>
      </c>
      <c r="AG6879">
        <v>-1.115571478798</v>
      </c>
      <c r="AH6879">
        <v>17.3796717439504</v>
      </c>
      <c r="AI6879">
        <v>92.532801720108907</v>
      </c>
      <c r="AJ6879">
        <v>136.438143710898</v>
      </c>
      <c r="AK6879">
        <v>25.244123569458399</v>
      </c>
      <c r="AL6879">
        <v>92.527984443864895</v>
      </c>
      <c r="AM6879">
        <v>118.823062609627</v>
      </c>
      <c r="AN6879">
        <v>1.0000000462588601</v>
      </c>
    </row>
    <row r="6880" spans="1:40" x14ac:dyDescent="0.25">
      <c r="A6880" t="str">
        <f>"20190305135101413"</f>
        <v>20190305135101413</v>
      </c>
      <c r="B6880" t="str">
        <f>"1551765061407083"</f>
        <v>1551765061407083</v>
      </c>
      <c r="C6880" t="s">
        <v>40</v>
      </c>
      <c r="D6880">
        <v>3.7454269999999998</v>
      </c>
      <c r="E6880">
        <v>0.38093300000000002</v>
      </c>
      <c r="F6880" t="s">
        <v>110</v>
      </c>
      <c r="G6880">
        <v>-279.84879999999998</v>
      </c>
      <c r="H6880" s="1">
        <v>-4.604236E-6</v>
      </c>
      <c r="I6880">
        <v>-54.843609999999998</v>
      </c>
      <c r="J6880">
        <v>-301.10950000000003</v>
      </c>
      <c r="K6880">
        <v>1.1157159999999999</v>
      </c>
      <c r="L6880">
        <v>-42.013210000000001</v>
      </c>
      <c r="M6880">
        <v>0.2171458</v>
      </c>
      <c r="N6880">
        <v>-1.4349020000000001E-2</v>
      </c>
      <c r="O6880">
        <v>-0.9760337</v>
      </c>
      <c r="P6880">
        <v>0.65979089999999996</v>
      </c>
      <c r="Q6880">
        <v>-4.9998340000000002E-2</v>
      </c>
      <c r="R6880">
        <v>-0.74978369999999905</v>
      </c>
      <c r="S6880">
        <v>2.680145</v>
      </c>
      <c r="T6880">
        <v>-0.14022950000000001</v>
      </c>
      <c r="U6880">
        <v>-1.6427309999999999</v>
      </c>
      <c r="V6880">
        <v>-0.48066019999999998</v>
      </c>
      <c r="W6880">
        <v>-4.3991240000000001E-2</v>
      </c>
      <c r="X6880">
        <v>0.87580279999999999</v>
      </c>
      <c r="Y6880">
        <v>-0.718024</v>
      </c>
      <c r="Z6880">
        <v>3.4927840000000002E-2</v>
      </c>
      <c r="AA6880">
        <v>0.69514149999999997</v>
      </c>
      <c r="AB6880">
        <v>24</v>
      </c>
      <c r="AC6880">
        <v>21.2607</v>
      </c>
      <c r="AD6880">
        <v>-1.1157206042359999</v>
      </c>
      <c r="AE6880">
        <v>-12.8303999999999</v>
      </c>
      <c r="AF6880">
        <v>-17.930744549845201</v>
      </c>
      <c r="AG6880">
        <v>-1.1157206042359999</v>
      </c>
      <c r="AH6880">
        <v>17.106805147798301</v>
      </c>
      <c r="AI6880">
        <v>92.577781728353699</v>
      </c>
      <c r="AJ6880">
        <v>136.34711335672799</v>
      </c>
      <c r="AK6880">
        <v>24.8072411796084</v>
      </c>
      <c r="AL6880">
        <v>92.521326055907394</v>
      </c>
      <c r="AM6880">
        <v>118.758966712706</v>
      </c>
      <c r="AN6880">
        <v>1.0000000007743</v>
      </c>
    </row>
    <row r="6881" spans="1:40" x14ac:dyDescent="0.25">
      <c r="A6881" t="str">
        <f>"20190305135101435"</f>
        <v>20190305135101435</v>
      </c>
      <c r="B6881" t="str">
        <f>"1551765061426603"</f>
        <v>1551765061426603</v>
      </c>
      <c r="C6881" t="s">
        <v>40</v>
      </c>
      <c r="D6881">
        <v>4.0631550000000001</v>
      </c>
      <c r="E6881">
        <v>0.38548169999999998</v>
      </c>
      <c r="F6881" t="s">
        <v>110</v>
      </c>
      <c r="G6881">
        <v>-279.7312</v>
      </c>
      <c r="H6881" s="1">
        <v>-4.5437859999999996E-6</v>
      </c>
      <c r="I6881">
        <v>-54.888890000000004</v>
      </c>
      <c r="J6881">
        <v>-301.05</v>
      </c>
      <c r="K6881">
        <v>1.1158490000000001</v>
      </c>
      <c r="L6881">
        <v>-42.237639999999999</v>
      </c>
      <c r="M6881">
        <v>0.22526660000000001</v>
      </c>
      <c r="N6881">
        <v>-1.437563E-2</v>
      </c>
      <c r="O6881">
        <v>-0.97419129999999998</v>
      </c>
      <c r="P6881">
        <v>0.66492039999999997</v>
      </c>
      <c r="Q6881">
        <v>-4.95489E-2</v>
      </c>
      <c r="R6881">
        <v>-0.74526910000000002</v>
      </c>
      <c r="S6881">
        <v>2.6930239999999999</v>
      </c>
      <c r="T6881">
        <v>-0.14054729999999999</v>
      </c>
      <c r="U6881">
        <v>-1.6219479999999999</v>
      </c>
      <c r="V6881">
        <v>-0.47936230000000002</v>
      </c>
      <c r="W6881">
        <v>-4.3645999999999997E-2</v>
      </c>
      <c r="X6881">
        <v>0.87653110000000001</v>
      </c>
      <c r="Y6881">
        <v>-0.71763159999999904</v>
      </c>
      <c r="Z6881">
        <v>3.5151750000000002E-2</v>
      </c>
      <c r="AA6881">
        <v>0.69553529999999997</v>
      </c>
      <c r="AB6881">
        <v>24</v>
      </c>
      <c r="AC6881">
        <v>21.3188</v>
      </c>
      <c r="AD6881">
        <v>-1.11585354378599</v>
      </c>
      <c r="AE6881">
        <v>-12.651249999999999</v>
      </c>
      <c r="AF6881">
        <v>-17.884298400711199</v>
      </c>
      <c r="AG6881">
        <v>-1.11585354378599</v>
      </c>
      <c r="AH6881">
        <v>17.094283264345801</v>
      </c>
      <c r="AI6881">
        <v>92.582484075819707</v>
      </c>
      <c r="AJ6881">
        <v>136.293844306697</v>
      </c>
      <c r="AK6881">
        <v>24.765051559376101</v>
      </c>
      <c r="AL6881">
        <v>92.501526298693094</v>
      </c>
      <c r="AM6881">
        <v>118.673617194991</v>
      </c>
      <c r="AN6881">
        <v>0.99999997862224899</v>
      </c>
    </row>
    <row r="6882" spans="1:40" x14ac:dyDescent="0.25">
      <c r="A6882" t="str">
        <f>"20190305135101457"</f>
        <v>20190305135101457</v>
      </c>
      <c r="B6882" t="str">
        <f>"1551765061447099"</f>
        <v>1551765061447099</v>
      </c>
      <c r="C6882" t="s">
        <v>40</v>
      </c>
      <c r="D6882">
        <v>4.0518049999999999</v>
      </c>
      <c r="E6882">
        <v>0.38524360000000002</v>
      </c>
      <c r="F6882" t="s">
        <v>85</v>
      </c>
      <c r="G6882">
        <v>-289.63040000000001</v>
      </c>
      <c r="H6882" s="1">
        <v>-6.7185259999999996E-6</v>
      </c>
      <c r="I6882">
        <v>-49.190730000000002</v>
      </c>
      <c r="J6882">
        <v>-300.98630000000003</v>
      </c>
      <c r="K6882">
        <v>1.1159709999999901</v>
      </c>
      <c r="L6882">
        <v>-42.469329999999999</v>
      </c>
      <c r="M6882">
        <v>0.23387569999999999</v>
      </c>
      <c r="N6882">
        <v>-1.4402099999999999E-2</v>
      </c>
      <c r="O6882">
        <v>-0.97216000000000002</v>
      </c>
      <c r="P6882">
        <v>0.67025599999999996</v>
      </c>
      <c r="Q6882">
        <v>-4.9824819999999999E-2</v>
      </c>
      <c r="R6882">
        <v>-0.74045569999999905</v>
      </c>
      <c r="S6882">
        <v>2.670166</v>
      </c>
      <c r="T6882">
        <v>-0.2609127</v>
      </c>
      <c r="U6882">
        <v>-1.625793</v>
      </c>
      <c r="V6882">
        <v>-0.47789179999999998</v>
      </c>
      <c r="W6882">
        <v>-4.4016939999999997E-2</v>
      </c>
      <c r="X6882">
        <v>0.87731519999999996</v>
      </c>
      <c r="Y6882">
        <v>-0.70595779999999997</v>
      </c>
      <c r="Z6882">
        <v>7.6373159999999995E-2</v>
      </c>
      <c r="AA6882">
        <v>0.70412410000000003</v>
      </c>
      <c r="AB6882">
        <v>24</v>
      </c>
      <c r="AC6882">
        <v>11.3559</v>
      </c>
      <c r="AD6882">
        <v>-1.11597771852599</v>
      </c>
      <c r="AE6882">
        <v>-6.7214</v>
      </c>
      <c r="AF6882">
        <v>-9.4015203234785591</v>
      </c>
      <c r="AG6882">
        <v>-1.11597771852599</v>
      </c>
      <c r="AH6882">
        <v>9.1258289906354495</v>
      </c>
      <c r="AI6882">
        <v>94.868384294529406</v>
      </c>
      <c r="AJ6882">
        <v>135.85251181123601</v>
      </c>
      <c r="AK6882">
        <v>13.1497051460232</v>
      </c>
      <c r="AL6882">
        <v>92.522799957244104</v>
      </c>
      <c r="AM6882">
        <v>118.578047124916</v>
      </c>
      <c r="AN6882">
        <v>1.00000001183262</v>
      </c>
    </row>
    <row r="6883" spans="1:40" x14ac:dyDescent="0.25">
      <c r="A6883" t="str">
        <f>"20190305135101479"</f>
        <v>20190305135101479</v>
      </c>
      <c r="B6883" t="str">
        <f>"1551765061476937"</f>
        <v>1551765061476937</v>
      </c>
      <c r="C6883" t="s">
        <v>40</v>
      </c>
      <c r="D6883">
        <v>3.6688420000000002</v>
      </c>
      <c r="E6883">
        <v>0.3796716</v>
      </c>
      <c r="F6883" t="s">
        <v>85</v>
      </c>
      <c r="G6883">
        <v>-289.9477</v>
      </c>
      <c r="H6883" s="1">
        <v>-6.7865689999999997E-6</v>
      </c>
      <c r="I6883">
        <v>-49.073169999999998</v>
      </c>
      <c r="J6883">
        <v>-300.92079999999999</v>
      </c>
      <c r="K6883">
        <v>1.116096</v>
      </c>
      <c r="L6883">
        <v>-42.69876</v>
      </c>
      <c r="M6883">
        <v>0.24264939999999999</v>
      </c>
      <c r="N6883">
        <v>-1.4428899999999901E-2</v>
      </c>
      <c r="O6883">
        <v>-0.97000699999999995</v>
      </c>
      <c r="P6883">
        <v>0.67532700000000001</v>
      </c>
      <c r="Q6883">
        <v>-4.9391400000000002E-2</v>
      </c>
      <c r="R6883">
        <v>-0.73586289999999999</v>
      </c>
      <c r="S6883">
        <v>2.682709</v>
      </c>
      <c r="T6883">
        <v>-0.27121440000000002</v>
      </c>
      <c r="U6883">
        <v>-1.604919</v>
      </c>
      <c r="V6883">
        <v>-0.47597820000000002</v>
      </c>
      <c r="W6883">
        <v>-4.3670430000000003E-2</v>
      </c>
      <c r="X6883">
        <v>0.87837219999999905</v>
      </c>
      <c r="Y6883">
        <v>-0.70480790000000004</v>
      </c>
      <c r="Z6883">
        <v>8.0032870000000006E-2</v>
      </c>
      <c r="AA6883">
        <v>0.70486930000000003</v>
      </c>
      <c r="AB6883">
        <v>24</v>
      </c>
      <c r="AC6883">
        <v>10.973099999999899</v>
      </c>
      <c r="AD6883">
        <v>-1.1161027865690001</v>
      </c>
      <c r="AE6883">
        <v>-6.3744100000000001</v>
      </c>
      <c r="AF6883">
        <v>-9.0283462139282804</v>
      </c>
      <c r="AG6883">
        <v>-1.1161027865690001</v>
      </c>
      <c r="AH6883">
        <v>8.7788513874745799</v>
      </c>
      <c r="AI6883">
        <v>95.064893350551898</v>
      </c>
      <c r="AJ6883">
        <v>135.80271279073</v>
      </c>
      <c r="AK6883">
        <v>12.642189386024199</v>
      </c>
      <c r="AL6883">
        <v>92.502927222961404</v>
      </c>
      <c r="AM6883">
        <v>118.452674221883</v>
      </c>
      <c r="AN6883">
        <v>1.00000003753223</v>
      </c>
    </row>
    <row r="6884" spans="1:40" x14ac:dyDescent="0.25">
      <c r="A6884" t="str">
        <f>"20190305135101503"</f>
        <v>20190305135101503</v>
      </c>
      <c r="B6884" t="str">
        <f>"1551765061496458"</f>
        <v>1551765061496458</v>
      </c>
      <c r="C6884" t="s">
        <v>40</v>
      </c>
      <c r="D6884">
        <v>3.7099679999999999</v>
      </c>
      <c r="E6884">
        <v>0.37755470000000002</v>
      </c>
      <c r="F6884" t="s">
        <v>85</v>
      </c>
      <c r="G6884">
        <v>-289.65179999999998</v>
      </c>
      <c r="H6884" s="1">
        <v>-6.7037989999999998E-6</v>
      </c>
      <c r="I6884">
        <v>-49.131790000000002</v>
      </c>
      <c r="J6884">
        <v>-300.85059999999999</v>
      </c>
      <c r="K6884">
        <v>1.1162559999999999</v>
      </c>
      <c r="L6884">
        <v>-42.935270000000003</v>
      </c>
      <c r="M6884">
        <v>0.25196750000000001</v>
      </c>
      <c r="N6884">
        <v>-1.447186E-2</v>
      </c>
      <c r="O6884">
        <v>-0.96762760000000003</v>
      </c>
      <c r="P6884">
        <v>0.68118449999999997</v>
      </c>
      <c r="Q6884">
        <v>-4.8320750000000003E-2</v>
      </c>
      <c r="R6884">
        <v>-0.73051549999999998</v>
      </c>
      <c r="S6884">
        <v>2.7265630000000001</v>
      </c>
      <c r="T6884">
        <v>-0.27004400000000001</v>
      </c>
      <c r="U6884">
        <v>-1.5564880000000001</v>
      </c>
      <c r="V6884">
        <v>-0.47453060000000002</v>
      </c>
      <c r="W6884">
        <v>-4.2703199999999997E-2</v>
      </c>
      <c r="X6884">
        <v>0.8792025</v>
      </c>
      <c r="Y6884">
        <v>-0.71238710000000005</v>
      </c>
      <c r="Z6884">
        <v>7.9584139999999998E-2</v>
      </c>
      <c r="AA6884">
        <v>0.69725959999999998</v>
      </c>
      <c r="AB6884">
        <v>24</v>
      </c>
      <c r="AC6884">
        <v>11.1988</v>
      </c>
      <c r="AD6884">
        <v>-1.1162627037989901</v>
      </c>
      <c r="AE6884">
        <v>-6.1965199999999996</v>
      </c>
      <c r="AF6884">
        <v>-9.2058908226846494</v>
      </c>
      <c r="AG6884">
        <v>-1.1162627037989901</v>
      </c>
      <c r="AH6884">
        <v>8.7520066130497298</v>
      </c>
      <c r="AI6884">
        <v>95.022218675763497</v>
      </c>
      <c r="AJ6884">
        <v>136.44783731852499</v>
      </c>
      <c r="AK6884">
        <v>12.751160261636899</v>
      </c>
      <c r="AL6884">
        <v>92.447457500435405</v>
      </c>
      <c r="AM6884">
        <v>118.35699875361099</v>
      </c>
      <c r="AN6884">
        <v>0.99999994481642296</v>
      </c>
    </row>
    <row r="6885" spans="1:40" x14ac:dyDescent="0.25">
      <c r="A6885" t="str">
        <f>"20190305135101524"</f>
        <v>20190305135101524</v>
      </c>
      <c r="B6885" t="str">
        <f>"1551765061516954"</f>
        <v>1551765061516954</v>
      </c>
      <c r="C6885" t="s">
        <v>40</v>
      </c>
      <c r="D6885">
        <v>3.6067230000000001</v>
      </c>
      <c r="E6885">
        <v>0.37643110000000002</v>
      </c>
      <c r="F6885" t="s">
        <v>85</v>
      </c>
      <c r="G6885">
        <v>-289.46280000000002</v>
      </c>
      <c r="H6885" s="1">
        <v>-6.6777179999999997E-6</v>
      </c>
      <c r="I6885">
        <v>-49.240079999999999</v>
      </c>
      <c r="J6885">
        <v>-300.78140000000002</v>
      </c>
      <c r="K6885">
        <v>1.1164320000000001</v>
      </c>
      <c r="L6885">
        <v>-43.159480000000002</v>
      </c>
      <c r="M6885">
        <v>0.26106200000000002</v>
      </c>
      <c r="N6885">
        <v>-1.4572389999999999E-2</v>
      </c>
      <c r="O6885">
        <v>-0.96521230000000002</v>
      </c>
      <c r="P6885">
        <v>0.68767080000000003</v>
      </c>
      <c r="Q6885">
        <v>-4.6382949999999999E-2</v>
      </c>
      <c r="R6885">
        <v>-0.72453979999999996</v>
      </c>
      <c r="S6885">
        <v>2.7513730000000001</v>
      </c>
      <c r="T6885">
        <v>-0.26969670000000001</v>
      </c>
      <c r="U6885">
        <v>-1.523285</v>
      </c>
      <c r="V6885">
        <v>-0.4740781</v>
      </c>
      <c r="W6885">
        <v>-4.0846960000000002E-2</v>
      </c>
      <c r="X6885">
        <v>0.87953479999999995</v>
      </c>
      <c r="Y6885">
        <v>-0.71492840000000002</v>
      </c>
      <c r="Z6885">
        <v>7.9492099999999996E-2</v>
      </c>
      <c r="AA6885">
        <v>0.69466419999999995</v>
      </c>
      <c r="AB6885">
        <v>24</v>
      </c>
      <c r="AC6885">
        <v>11.3186</v>
      </c>
      <c r="AD6885">
        <v>-1.11643867771799</v>
      </c>
      <c r="AE6885">
        <v>-6.0805999999999898</v>
      </c>
      <c r="AF6885">
        <v>-9.2684480754102392</v>
      </c>
      <c r="AG6885">
        <v>-1.11643867771799</v>
      </c>
      <c r="AH6885">
        <v>8.7587301155521793</v>
      </c>
      <c r="AI6885">
        <v>95.003400898135496</v>
      </c>
      <c r="AJ6885">
        <v>136.61960504672999</v>
      </c>
      <c r="AK6885">
        <v>12.801012392961701</v>
      </c>
      <c r="AL6885">
        <v>92.341009727021202</v>
      </c>
      <c r="AM6885">
        <v>118.325113802993</v>
      </c>
      <c r="AN6885">
        <v>0.999999991725945</v>
      </c>
    </row>
    <row r="6886" spans="1:40" x14ac:dyDescent="0.25">
      <c r="A6886" t="str">
        <f>"20190305135101547"</f>
        <v>20190305135101547</v>
      </c>
      <c r="B6886" t="str">
        <f>"1551765061536473"</f>
        <v>1551765061536473</v>
      </c>
      <c r="C6886" t="s">
        <v>40</v>
      </c>
      <c r="D6886">
        <v>3.6892149999999999</v>
      </c>
      <c r="E6886">
        <v>0.37580910000000001</v>
      </c>
      <c r="F6886" t="s">
        <v>85</v>
      </c>
      <c r="G6886">
        <v>-288.80250000000001</v>
      </c>
      <c r="H6886">
        <v>1.6719620000000001E-2</v>
      </c>
      <c r="I6886">
        <v>-49.612310000000001</v>
      </c>
      <c r="J6886">
        <v>-300.7099</v>
      </c>
      <c r="K6886">
        <v>1.1166389999999999</v>
      </c>
      <c r="L6886">
        <v>-43.383029999999998</v>
      </c>
      <c r="M6886">
        <v>0.27038509999999999</v>
      </c>
      <c r="N6886">
        <v>-1.4791759999999999E-2</v>
      </c>
      <c r="O6886">
        <v>-0.96263880000000002</v>
      </c>
      <c r="P6886">
        <v>0.69456770000000001</v>
      </c>
      <c r="Q6886">
        <v>-4.5725130000000003E-2</v>
      </c>
      <c r="R6886">
        <v>-0.71797279999999997</v>
      </c>
      <c r="S6886">
        <v>2.7720639999999999</v>
      </c>
      <c r="T6886">
        <v>-0.25448569999999998</v>
      </c>
      <c r="U6886">
        <v>-1.4932559999999999</v>
      </c>
      <c r="V6886">
        <v>-0.47396670000000002</v>
      </c>
      <c r="W6886">
        <v>-4.018091E-2</v>
      </c>
      <c r="X6886">
        <v>0.87962549999999995</v>
      </c>
      <c r="Y6886">
        <v>-0.71656379999999997</v>
      </c>
      <c r="Z6886">
        <v>7.4284699999999995E-2</v>
      </c>
      <c r="AA6886">
        <v>0.69355469999999997</v>
      </c>
      <c r="AB6886">
        <v>24</v>
      </c>
      <c r="AC6886">
        <v>11.9073999999999</v>
      </c>
      <c r="AD6886">
        <v>-1.09991938</v>
      </c>
      <c r="AE6886">
        <v>-6.2292800000000002</v>
      </c>
      <c r="AF6886">
        <v>-9.7142107337135197</v>
      </c>
      <c r="AG6886">
        <v>-1.09991938</v>
      </c>
      <c r="AH6886">
        <v>9.1557996936999899</v>
      </c>
      <c r="AI6886">
        <v>94.710383755683196</v>
      </c>
      <c r="AJ6886">
        <v>136.69503146016299</v>
      </c>
      <c r="AK6886">
        <v>13.394192056733001</v>
      </c>
      <c r="AL6886">
        <v>92.302816543169897</v>
      </c>
      <c r="AM6886">
        <v>118.31702301662401</v>
      </c>
      <c r="AN6886">
        <v>0.99999997924378303</v>
      </c>
    </row>
    <row r="6887" spans="1:40" x14ac:dyDescent="0.25">
      <c r="A6887" t="str">
        <f>"20190305135101568"</f>
        <v>20190305135101568</v>
      </c>
      <c r="B6887" t="str">
        <f>"1551765061556969"</f>
        <v>1551765061556969</v>
      </c>
      <c r="C6887" t="s">
        <v>40</v>
      </c>
      <c r="D6887">
        <v>3.624625</v>
      </c>
      <c r="E6887">
        <v>0.37492789999999998</v>
      </c>
      <c r="F6887" t="s">
        <v>85</v>
      </c>
      <c r="G6887">
        <v>-288.75959999999998</v>
      </c>
      <c r="H6887">
        <v>5.279905E-2</v>
      </c>
      <c r="I6887">
        <v>-49.651220000000002</v>
      </c>
      <c r="J6887">
        <v>-300.63630000000001</v>
      </c>
      <c r="K6887">
        <v>1.116879</v>
      </c>
      <c r="L6887">
        <v>-43.604399999999998</v>
      </c>
      <c r="M6887">
        <v>0.27991830000000001</v>
      </c>
      <c r="N6887">
        <v>-1.513838E-2</v>
      </c>
      <c r="O6887">
        <v>-0.95990450000000005</v>
      </c>
      <c r="P6887">
        <v>0.7016926</v>
      </c>
      <c r="Q6887">
        <v>-4.4923159999999997E-2</v>
      </c>
      <c r="R6887">
        <v>-0.71106219999999998</v>
      </c>
      <c r="S6887">
        <v>2.7900999999999998</v>
      </c>
      <c r="T6887">
        <v>-0.24838080000000001</v>
      </c>
      <c r="U6887">
        <v>-1.46347</v>
      </c>
      <c r="V6887">
        <v>-0.4740008</v>
      </c>
      <c r="W6887">
        <v>-3.9266530000000001E-2</v>
      </c>
      <c r="X6887">
        <v>0.8796484</v>
      </c>
      <c r="Y6887">
        <v>-0.71746549999999998</v>
      </c>
      <c r="Z6887">
        <v>7.2091840000000004E-2</v>
      </c>
      <c r="AA6887">
        <v>0.69285359999999996</v>
      </c>
      <c r="AB6887">
        <v>24</v>
      </c>
      <c r="AC6887">
        <v>11.8767</v>
      </c>
      <c r="AD6887">
        <v>-1.06407995</v>
      </c>
      <c r="AE6887">
        <v>-6.0468200000000003</v>
      </c>
      <c r="AF6887">
        <v>-9.6474949753771799</v>
      </c>
      <c r="AG6887">
        <v>-1.06407995</v>
      </c>
      <c r="AH6887">
        <v>9.0720898499790898</v>
      </c>
      <c r="AI6887">
        <v>94.593868749021993</v>
      </c>
      <c r="AJ6887">
        <v>136.76061105047199</v>
      </c>
      <c r="AK6887">
        <v>13.285677991205899</v>
      </c>
      <c r="AL6887">
        <v>92.250385077390803</v>
      </c>
      <c r="AM6887">
        <v>118.318121471233</v>
      </c>
      <c r="AN6887">
        <v>0.99999996320071904</v>
      </c>
    </row>
    <row r="6888" spans="1:40" x14ac:dyDescent="0.25">
      <c r="A6888" t="str">
        <f>"20190305135101593"</f>
        <v>20190305135101593</v>
      </c>
      <c r="B6888" t="str">
        <f>"1551765061587225"</f>
        <v>1551765061587225</v>
      </c>
      <c r="C6888" t="s">
        <v>40</v>
      </c>
      <c r="D6888">
        <v>3.6651570000000002</v>
      </c>
      <c r="E6888">
        <v>0.3736604</v>
      </c>
      <c r="F6888" t="s">
        <v>85</v>
      </c>
      <c r="G6888">
        <v>-288.36840000000001</v>
      </c>
      <c r="H6888">
        <v>7.9986689999999999E-2</v>
      </c>
      <c r="I6888">
        <v>-49.85031</v>
      </c>
      <c r="J6888">
        <v>-300.55829999999997</v>
      </c>
      <c r="K6888">
        <v>1.117164</v>
      </c>
      <c r="L6888">
        <v>-43.829189999999997</v>
      </c>
      <c r="M6888">
        <v>0.28998350000000001</v>
      </c>
      <c r="N6888">
        <v>-1.559582E-2</v>
      </c>
      <c r="O6888">
        <v>-0.95690469999999905</v>
      </c>
      <c r="P6888">
        <v>0.71016619999999997</v>
      </c>
      <c r="Q6888">
        <v>-4.349314E-2</v>
      </c>
      <c r="R6888">
        <v>-0.70268980000000003</v>
      </c>
      <c r="S6888">
        <v>2.8102719999999999</v>
      </c>
      <c r="T6888">
        <v>-0.23752690000000001</v>
      </c>
      <c r="U6888">
        <v>-1.4307859999999999</v>
      </c>
      <c r="V6888">
        <v>-0.47529060000000001</v>
      </c>
      <c r="W6888">
        <v>-3.7684059999999998E-2</v>
      </c>
      <c r="X6888">
        <v>0.87902150000000001</v>
      </c>
      <c r="Y6888">
        <v>-0.71883710000000001</v>
      </c>
      <c r="Z6888">
        <v>6.8182419999999994E-2</v>
      </c>
      <c r="AA6888">
        <v>0.69182690000000002</v>
      </c>
      <c r="AB6888">
        <v>24</v>
      </c>
      <c r="AC6888">
        <v>12.1898999999999</v>
      </c>
      <c r="AD6888">
        <v>-1.0371773099999999</v>
      </c>
      <c r="AE6888">
        <v>-6.02111999999999</v>
      </c>
      <c r="AF6888">
        <v>-9.8623574321341501</v>
      </c>
      <c r="AG6888">
        <v>-1.0371773099999999</v>
      </c>
      <c r="AH6888">
        <v>9.2438420995055193</v>
      </c>
      <c r="AI6888">
        <v>94.387718355906799</v>
      </c>
      <c r="AJ6888">
        <v>136.854159761755</v>
      </c>
      <c r="AK6888">
        <v>13.556933563757701</v>
      </c>
      <c r="AL6888">
        <v>92.159648903936102</v>
      </c>
      <c r="AM6888">
        <v>118.400274773365</v>
      </c>
      <c r="AN6888">
        <v>1.00000002014434</v>
      </c>
    </row>
    <row r="6889" spans="1:40" x14ac:dyDescent="0.25">
      <c r="A6889" t="str">
        <f>"20190305135101616"</f>
        <v>20190305135101616</v>
      </c>
      <c r="B6889" t="str">
        <f>"1551765061606745"</f>
        <v>1551765061606745</v>
      </c>
      <c r="C6889" t="s">
        <v>40</v>
      </c>
      <c r="D6889">
        <v>3.6698919999999999</v>
      </c>
      <c r="E6889">
        <v>0.3730192</v>
      </c>
      <c r="F6889" t="s">
        <v>85</v>
      </c>
      <c r="G6889">
        <v>-286.34750000000003</v>
      </c>
      <c r="H6889" s="1">
        <v>-4.8398050000000002E-6</v>
      </c>
      <c r="I6889">
        <v>-50.798259999999999</v>
      </c>
      <c r="J6889">
        <v>-300.47190000000001</v>
      </c>
      <c r="K6889">
        <v>1.1174919999999999</v>
      </c>
      <c r="L6889">
        <v>-44.068240000000003</v>
      </c>
      <c r="M6889">
        <v>0.30112870000000003</v>
      </c>
      <c r="N6889">
        <v>-1.613674E-2</v>
      </c>
      <c r="O6889">
        <v>-0.95344700000000004</v>
      </c>
      <c r="P6889">
        <v>0.71970330000000005</v>
      </c>
      <c r="Q6889">
        <v>-4.205279E-2</v>
      </c>
      <c r="R6889">
        <v>-0.69300689999999998</v>
      </c>
      <c r="S6889">
        <v>2.8350520000000001</v>
      </c>
      <c r="T6889">
        <v>-0.22287370000000001</v>
      </c>
      <c r="U6889">
        <v>-1.39032</v>
      </c>
      <c r="V6889">
        <v>-0.47702820000000001</v>
      </c>
      <c r="W6889">
        <v>-3.6075389999999999E-2</v>
      </c>
      <c r="X6889">
        <v>0.87814729999999996</v>
      </c>
      <c r="Y6889">
        <v>-0.72142519999999999</v>
      </c>
      <c r="Z6889">
        <v>6.2925480000000006E-2</v>
      </c>
      <c r="AA6889">
        <v>0.68962749999999995</v>
      </c>
      <c r="AB6889">
        <v>24</v>
      </c>
      <c r="AC6889">
        <v>14.1243999999999</v>
      </c>
      <c r="AD6889">
        <v>-1.117496839805</v>
      </c>
      <c r="AE6889">
        <v>-6.7300199999999899</v>
      </c>
      <c r="AF6889">
        <v>-11.3836804651528</v>
      </c>
      <c r="AG6889">
        <v>-1.117496839805</v>
      </c>
      <c r="AH6889">
        <v>10.6172052926657</v>
      </c>
      <c r="AI6889">
        <v>94.106160927865702</v>
      </c>
      <c r="AJ6889">
        <v>136.99528504650499</v>
      </c>
      <c r="AK6889">
        <v>15.6064739241856</v>
      </c>
      <c r="AL6889">
        <v>92.067416172494205</v>
      </c>
      <c r="AM6889">
        <v>118.511745739662</v>
      </c>
      <c r="AN6889">
        <v>1.00000000892809</v>
      </c>
    </row>
    <row r="6890" spans="1:40" x14ac:dyDescent="0.25">
      <c r="A6890" t="str">
        <f>"20190305135101638"</f>
        <v>20190305135101638</v>
      </c>
      <c r="B6890" t="str">
        <f>"1551765061627242"</f>
        <v>1551765061627242</v>
      </c>
      <c r="C6890" t="s">
        <v>40</v>
      </c>
      <c r="D6890">
        <v>3.7672659999999998</v>
      </c>
      <c r="E6890">
        <v>0.37278329999999998</v>
      </c>
      <c r="F6890" t="s">
        <v>85</v>
      </c>
      <c r="G6890">
        <v>-285.54599999999999</v>
      </c>
      <c r="H6890" s="1">
        <v>-5.1877579999999998E-6</v>
      </c>
      <c r="I6890">
        <v>-51.109270000000002</v>
      </c>
      <c r="J6890">
        <v>-300.39240000000001</v>
      </c>
      <c r="K6890">
        <v>1.1177629999999901</v>
      </c>
      <c r="L6890">
        <v>-44.279209999999999</v>
      </c>
      <c r="M6890">
        <v>0.31128109999999998</v>
      </c>
      <c r="N6890">
        <v>-1.6623079999999998E-2</v>
      </c>
      <c r="O6890">
        <v>-0.95017260000000003</v>
      </c>
      <c r="P6890">
        <v>0.72916219999999998</v>
      </c>
      <c r="Q6890">
        <v>-4.3518580000000001E-2</v>
      </c>
      <c r="R6890">
        <v>-0.68295620000000001</v>
      </c>
      <c r="S6890">
        <v>2.8577880000000002</v>
      </c>
      <c r="T6890">
        <v>-0.21396229999999999</v>
      </c>
      <c r="U6890">
        <v>-1.348114</v>
      </c>
      <c r="V6890">
        <v>-0.47971979999999997</v>
      </c>
      <c r="W6890">
        <v>-3.7413469999999997E-2</v>
      </c>
      <c r="X6890">
        <v>0.87662369999999901</v>
      </c>
      <c r="Y6890">
        <v>-0.72468359999999998</v>
      </c>
      <c r="Z6890">
        <v>5.9708669999999998E-2</v>
      </c>
      <c r="AA6890">
        <v>0.68648999999999905</v>
      </c>
      <c r="AB6890">
        <v>24</v>
      </c>
      <c r="AC6890">
        <v>14.846399999999999</v>
      </c>
      <c r="AD6890">
        <v>-1.1177681877579999</v>
      </c>
      <c r="AE6890">
        <v>-6.8300599999999996</v>
      </c>
      <c r="AF6890">
        <v>-11.9264330346276</v>
      </c>
      <c r="AG6890">
        <v>-1.1177681877579999</v>
      </c>
      <c r="AH6890">
        <v>11.060927748106</v>
      </c>
      <c r="AI6890">
        <v>93.931066958578</v>
      </c>
      <c r="AJ6890">
        <v>137.15624521686701</v>
      </c>
      <c r="AK6890">
        <v>16.304396134167</v>
      </c>
      <c r="AL6890">
        <v>92.144134378321993</v>
      </c>
      <c r="AM6890">
        <v>118.689053601414</v>
      </c>
      <c r="AN6890">
        <v>0.999999982825585</v>
      </c>
    </row>
    <row r="6891" spans="1:40" x14ac:dyDescent="0.25">
      <c r="A6891" t="str">
        <f>"20190305135101659"</f>
        <v>20190305135101659</v>
      </c>
      <c r="B6891" t="str">
        <f>"1551765061646762"</f>
        <v>1551765061646762</v>
      </c>
      <c r="C6891" t="s">
        <v>40</v>
      </c>
      <c r="D6891">
        <v>3.7173090000000002</v>
      </c>
      <c r="E6891">
        <v>0.37358809999999998</v>
      </c>
      <c r="F6891" t="s">
        <v>85</v>
      </c>
      <c r="G6891">
        <v>-285.3091</v>
      </c>
      <c r="H6891" s="1">
        <v>-5.3033030000000004E-6</v>
      </c>
      <c r="I6891">
        <v>-51.129800000000003</v>
      </c>
      <c r="J6891">
        <v>-300.31509999999997</v>
      </c>
      <c r="K6891">
        <v>1.1179889999999999</v>
      </c>
      <c r="L6891">
        <v>-44.477170000000001</v>
      </c>
      <c r="M6891">
        <v>0.32110080000000002</v>
      </c>
      <c r="N6891">
        <v>-1.707666E-2</v>
      </c>
      <c r="O6891">
        <v>-0.94689100000000004</v>
      </c>
      <c r="P6891">
        <v>0.73821870000000001</v>
      </c>
      <c r="Q6891">
        <v>-4.5644690000000002E-2</v>
      </c>
      <c r="R6891">
        <v>-0.67301540000000004</v>
      </c>
      <c r="S6891">
        <v>2.8775019999999998</v>
      </c>
      <c r="T6891">
        <v>-0.21324129999999999</v>
      </c>
      <c r="U6891">
        <v>-1.306915</v>
      </c>
      <c r="V6891">
        <v>-0.48234529999999998</v>
      </c>
      <c r="W6891">
        <v>-3.9409630000000001E-2</v>
      </c>
      <c r="X6891">
        <v>0.87509419999999905</v>
      </c>
      <c r="Y6891">
        <v>-0.72749019999999898</v>
      </c>
      <c r="Z6891">
        <v>5.9337399999999998E-2</v>
      </c>
      <c r="AA6891">
        <v>0.68354729999999997</v>
      </c>
      <c r="AB6891">
        <v>24</v>
      </c>
      <c r="AC6891">
        <v>15.005999999999901</v>
      </c>
      <c r="AD6891">
        <v>-1.117994303303</v>
      </c>
      <c r="AE6891">
        <v>-6.6526300000000003</v>
      </c>
      <c r="AF6891">
        <v>-12.018887608322499</v>
      </c>
      <c r="AG6891">
        <v>-1.117994303303</v>
      </c>
      <c r="AH6891">
        <v>11.068031801691699</v>
      </c>
      <c r="AI6891">
        <v>93.914414132969796</v>
      </c>
      <c r="AJ6891">
        <v>137.35844594711699</v>
      </c>
      <c r="AK6891">
        <v>16.376962434070698</v>
      </c>
      <c r="AL6891">
        <v>92.258590410038295</v>
      </c>
      <c r="AM6891">
        <v>118.86322130267899</v>
      </c>
      <c r="AN6891">
        <v>0.99999998312123295</v>
      </c>
    </row>
    <row r="6892" spans="1:40" x14ac:dyDescent="0.25">
      <c r="A6892" t="str">
        <f>"20190305135101680"</f>
        <v>20190305135101680</v>
      </c>
      <c r="B6892" t="str">
        <f>"1551765061677017"</f>
        <v>1551765061677017</v>
      </c>
      <c r="C6892" t="s">
        <v>40</v>
      </c>
      <c r="D6892">
        <v>3.7163780000000002</v>
      </c>
      <c r="E6892">
        <v>0.40527150000000001</v>
      </c>
      <c r="F6892" t="s">
        <v>85</v>
      </c>
      <c r="G6892">
        <v>-285.06389999999999</v>
      </c>
      <c r="H6892" s="1">
        <v>-5.415751E-6</v>
      </c>
      <c r="I6892">
        <v>-51.191409999999998</v>
      </c>
      <c r="J6892">
        <v>-300.23059999999998</v>
      </c>
      <c r="K6892">
        <v>1.118206</v>
      </c>
      <c r="L6892">
        <v>-44.685459999999999</v>
      </c>
      <c r="M6892">
        <v>0.33176749999999999</v>
      </c>
      <c r="N6892">
        <v>-1.7568299999999999E-2</v>
      </c>
      <c r="O6892">
        <v>-0.94319770000000003</v>
      </c>
      <c r="P6892">
        <v>0.74737580000000003</v>
      </c>
      <c r="Q6892">
        <v>-4.700004E-2</v>
      </c>
      <c r="R6892">
        <v>-0.66273780000000004</v>
      </c>
      <c r="S6892">
        <v>2.8905639999999999</v>
      </c>
      <c r="T6892">
        <v>-0.211894</v>
      </c>
      <c r="U6892">
        <v>-1.2725519999999999</v>
      </c>
      <c r="V6892">
        <v>-0.48445909999999898</v>
      </c>
      <c r="W6892">
        <v>-4.0570780000000001E-2</v>
      </c>
      <c r="X6892">
        <v>0.8738726</v>
      </c>
      <c r="Y6892">
        <v>-0.72772599999999998</v>
      </c>
      <c r="Z6892">
        <v>5.8742129999999997E-2</v>
      </c>
      <c r="AA6892">
        <v>0.68334790000000001</v>
      </c>
      <c r="AB6892">
        <v>23</v>
      </c>
      <c r="AC6892">
        <v>15.166699999999899</v>
      </c>
      <c r="AD6892">
        <v>-1.1182114157509999</v>
      </c>
      <c r="AE6892">
        <v>-6.5059499999999897</v>
      </c>
      <c r="AF6892">
        <v>-12.093087609164799</v>
      </c>
      <c r="AG6892">
        <v>-1.1182114157509999</v>
      </c>
      <c r="AH6892">
        <v>11.118890675589901</v>
      </c>
      <c r="AI6892">
        <v>93.894017021504993</v>
      </c>
      <c r="AJ6892">
        <v>137.40326927464301</v>
      </c>
      <c r="AK6892">
        <v>16.465809866173299</v>
      </c>
      <c r="AL6892">
        <v>92.325172713894801</v>
      </c>
      <c r="AM6892">
        <v>119.003190152079</v>
      </c>
      <c r="AN6892">
        <v>0.99999996439668803</v>
      </c>
    </row>
    <row r="6893" spans="1:40" x14ac:dyDescent="0.25">
      <c r="A6893" t="str">
        <f>"20190305135101704"</f>
        <v>20190305135101704</v>
      </c>
      <c r="B6893" t="str">
        <f>"1551765061696537"</f>
        <v>1551765061696537</v>
      </c>
      <c r="C6893" t="s">
        <v>40</v>
      </c>
      <c r="D6893">
        <v>3.689632</v>
      </c>
      <c r="E6893">
        <v>0.40597709999999998</v>
      </c>
      <c r="F6893" t="s">
        <v>42</v>
      </c>
      <c r="G6893">
        <v>-264.81099999999998</v>
      </c>
      <c r="H6893" s="1">
        <v>-1.779465E-6</v>
      </c>
      <c r="I6893">
        <v>-63.053179999999998</v>
      </c>
      <c r="J6893">
        <v>-300.13909999999998</v>
      </c>
      <c r="K6893">
        <v>1.118406</v>
      </c>
      <c r="L6893">
        <v>-44.902589999999996</v>
      </c>
      <c r="M6893">
        <v>0.34328320000000001</v>
      </c>
      <c r="N6893">
        <v>-1.811281E-2</v>
      </c>
      <c r="O6893">
        <v>-0.93905729999999998</v>
      </c>
      <c r="P6893">
        <v>0.75709850000000001</v>
      </c>
      <c r="Q6893">
        <v>-4.609212E-2</v>
      </c>
      <c r="R6893">
        <v>-0.65167280000000005</v>
      </c>
      <c r="S6893">
        <v>2.7458800000000001</v>
      </c>
      <c r="T6893">
        <v>-8.6688280000000006E-2</v>
      </c>
      <c r="U6893">
        <v>-1.42395</v>
      </c>
      <c r="V6893">
        <v>-0.48667840000000001</v>
      </c>
      <c r="W6893">
        <v>-3.9403309999999997E-2</v>
      </c>
      <c r="X6893">
        <v>0.87269209999999997</v>
      </c>
      <c r="Y6893">
        <v>-0.67540089999999997</v>
      </c>
      <c r="Z6893">
        <v>1.546295E-2</v>
      </c>
      <c r="AA6893">
        <v>0.73728870000000002</v>
      </c>
      <c r="AB6893">
        <v>23</v>
      </c>
      <c r="AC6893">
        <v>35.328099999999999</v>
      </c>
      <c r="AD6893">
        <v>-1.118407779465</v>
      </c>
      <c r="AE6893">
        <v>-18.150590000000001</v>
      </c>
      <c r="AF6893">
        <v>-26.927386876765301</v>
      </c>
      <c r="AG6893">
        <v>-1.118407779465</v>
      </c>
      <c r="AH6893">
        <v>29.153656774011001</v>
      </c>
      <c r="AI6893">
        <v>91.614227958236995</v>
      </c>
      <c r="AJ6893">
        <v>132.72670193246</v>
      </c>
      <c r="AK6893">
        <v>39.702275794581297</v>
      </c>
      <c r="AL6893">
        <v>92.258227995471003</v>
      </c>
      <c r="AM6893">
        <v>119.147307082268</v>
      </c>
      <c r="AN6893">
        <v>0.99999999363396297</v>
      </c>
    </row>
    <row r="6894" spans="1:40" x14ac:dyDescent="0.25">
      <c r="A6894" t="str">
        <f>"20190305135101725"</f>
        <v>20190305135101725</v>
      </c>
      <c r="B6894" t="str">
        <f>"1551765061717034"</f>
        <v>1551765061717034</v>
      </c>
      <c r="C6894" t="s">
        <v>40</v>
      </c>
      <c r="D6894">
        <v>3.7261929999999999</v>
      </c>
      <c r="E6894">
        <v>0.40633229999999998</v>
      </c>
      <c r="F6894" t="s">
        <v>112</v>
      </c>
      <c r="G6894">
        <v>-257.21289999999999</v>
      </c>
      <c r="H6894" s="1">
        <v>-3.2903679999999998E-6</v>
      </c>
      <c r="I6894">
        <v>-66.4636</v>
      </c>
      <c r="J6894">
        <v>-300.05360000000002</v>
      </c>
      <c r="K6894">
        <v>1.118574</v>
      </c>
      <c r="L6894">
        <v>-45.097720000000002</v>
      </c>
      <c r="M6894">
        <v>0.35401139999999998</v>
      </c>
      <c r="N6894">
        <v>-1.8620830000000001E-2</v>
      </c>
      <c r="O6894">
        <v>-0.93505579999999999</v>
      </c>
      <c r="P6894">
        <v>0.76661699999999999</v>
      </c>
      <c r="Q6894">
        <v>-4.5189319999999998E-2</v>
      </c>
      <c r="R6894">
        <v>-0.64051309999999995</v>
      </c>
      <c r="S6894">
        <v>2.7633969999999999</v>
      </c>
      <c r="T6894">
        <v>-7.1998119999999999E-2</v>
      </c>
      <c r="U6894">
        <v>-1.3879999999999999</v>
      </c>
      <c r="V6894">
        <v>-0.48952790000000002</v>
      </c>
      <c r="W6894">
        <v>-3.8271350000000003E-2</v>
      </c>
      <c r="X6894">
        <v>0.87114740000000002</v>
      </c>
      <c r="Y6894">
        <v>-0.67656159999999999</v>
      </c>
      <c r="Z6894">
        <v>1.0137780000000001E-2</v>
      </c>
      <c r="AA6894">
        <v>0.73631630000000003</v>
      </c>
      <c r="AB6894">
        <v>23</v>
      </c>
      <c r="AC6894">
        <v>42.840699999999998</v>
      </c>
      <c r="AD6894">
        <v>-1.118577290368</v>
      </c>
      <c r="AE6894">
        <v>-21.365880000000001</v>
      </c>
      <c r="AF6894">
        <v>-32.482578622108797</v>
      </c>
      <c r="AG6894">
        <v>-1.118577290368</v>
      </c>
      <c r="AH6894">
        <v>35.131298128786099</v>
      </c>
      <c r="AI6894">
        <v>91.339231656248103</v>
      </c>
      <c r="AJ6894">
        <v>132.75663079676301</v>
      </c>
      <c r="AK6894">
        <v>47.859975316642803</v>
      </c>
      <c r="AL6894">
        <v>92.193322419980802</v>
      </c>
      <c r="AM6894">
        <v>119.333140618738</v>
      </c>
      <c r="AN6894">
        <v>1.0000000268179901</v>
      </c>
    </row>
    <row r="6895" spans="1:40" x14ac:dyDescent="0.25">
      <c r="A6895" t="str">
        <f>"20190305135101747"</f>
        <v>20190305135101747</v>
      </c>
      <c r="B6895" t="str">
        <f>"1551765061736553"</f>
        <v>1551765061736553</v>
      </c>
      <c r="C6895" t="s">
        <v>40</v>
      </c>
      <c r="D6895">
        <v>3.824119</v>
      </c>
      <c r="E6895">
        <v>0.40663359999999998</v>
      </c>
      <c r="F6895" t="s">
        <v>112</v>
      </c>
      <c r="G6895">
        <v>-254.58</v>
      </c>
      <c r="H6895" s="1">
        <v>-2.486584E-6</v>
      </c>
      <c r="I6895">
        <v>-67.153379999999999</v>
      </c>
      <c r="J6895">
        <v>-299.96289999999999</v>
      </c>
      <c r="K6895">
        <v>1.1187450000000001</v>
      </c>
      <c r="L6895">
        <v>-45.297580000000004</v>
      </c>
      <c r="M6895">
        <v>0.36536150000000001</v>
      </c>
      <c r="N6895">
        <v>-1.9152530000000001E-2</v>
      </c>
      <c r="O6895">
        <v>-0.93066879999999996</v>
      </c>
      <c r="P6895">
        <v>0.775833199999999</v>
      </c>
      <c r="Q6895">
        <v>-4.4947460000000002E-2</v>
      </c>
      <c r="R6895">
        <v>-0.62933530000000004</v>
      </c>
      <c r="S6895">
        <v>2.781952</v>
      </c>
      <c r="T6895">
        <v>-6.843138E-2</v>
      </c>
      <c r="U6895">
        <v>-1.3493040000000001</v>
      </c>
      <c r="V6895">
        <v>-0.49156270000000002</v>
      </c>
      <c r="W6895">
        <v>-3.7768080000000002E-2</v>
      </c>
      <c r="X6895">
        <v>0.87002279999999999</v>
      </c>
      <c r="Y6895">
        <v>-0.67782749999999903</v>
      </c>
      <c r="Z6895">
        <v>8.6650579999999998E-3</v>
      </c>
      <c r="AA6895">
        <v>0.73516990000000004</v>
      </c>
      <c r="AB6895">
        <v>23</v>
      </c>
      <c r="AC6895">
        <v>45.3828999999999</v>
      </c>
      <c r="AD6895">
        <v>-1.1187474865839999</v>
      </c>
      <c r="AE6895">
        <v>-21.855799999999999</v>
      </c>
      <c r="AF6895">
        <v>-34.240570226288597</v>
      </c>
      <c r="AG6895">
        <v>-1.1187474865839999</v>
      </c>
      <c r="AH6895">
        <v>36.910237275074998</v>
      </c>
      <c r="AI6895">
        <v>91.272954586120207</v>
      </c>
      <c r="AJ6895">
        <v>132.85119889762299</v>
      </c>
      <c r="AK6895">
        <v>50.3590494455811</v>
      </c>
      <c r="AL6895">
        <v>92.164466380831001</v>
      </c>
      <c r="AM6895">
        <v>119.46643918970901</v>
      </c>
      <c r="AN6895">
        <v>0.99999999420900798</v>
      </c>
    </row>
    <row r="6896" spans="1:40" x14ac:dyDescent="0.25">
      <c r="A6896" t="str">
        <f>"20190305135101770"</f>
        <v>20190305135101770</v>
      </c>
      <c r="B6896" t="str">
        <f>"1551765061766376"</f>
        <v>1551765061766376</v>
      </c>
      <c r="C6896" t="s">
        <v>40</v>
      </c>
      <c r="D6896">
        <v>3.7702619999999998</v>
      </c>
      <c r="E6896">
        <v>0.40772320000000001</v>
      </c>
      <c r="F6896" t="s">
        <v>42</v>
      </c>
      <c r="G6896">
        <v>-262.97359999999998</v>
      </c>
      <c r="H6896" s="1">
        <v>-8.7492570000000003E-7</v>
      </c>
      <c r="I6896">
        <v>-62.616100000000003</v>
      </c>
      <c r="J6896">
        <v>-299.86950000000002</v>
      </c>
      <c r="K6896">
        <v>1.1189089999999999</v>
      </c>
      <c r="L6896">
        <v>-45.495539999999998</v>
      </c>
      <c r="M6896">
        <v>0.37695129999999999</v>
      </c>
      <c r="N6896">
        <v>-1.9693229999999999E-2</v>
      </c>
      <c r="O6896">
        <v>-0.92602379999999995</v>
      </c>
      <c r="P6896">
        <v>0.78445989999999999</v>
      </c>
      <c r="Q6896">
        <v>-4.5956589999999999E-2</v>
      </c>
      <c r="R6896">
        <v>-0.61847469999999904</v>
      </c>
      <c r="S6896">
        <v>2.798889</v>
      </c>
      <c r="T6896">
        <v>-8.4652779999999997E-2</v>
      </c>
      <c r="U6896">
        <v>-1.3104549999999999</v>
      </c>
      <c r="V6896">
        <v>-0.49273119999999998</v>
      </c>
      <c r="W6896">
        <v>-3.8482919999999997E-2</v>
      </c>
      <c r="X6896">
        <v>0.86933019999999905</v>
      </c>
      <c r="Y6896">
        <v>-0.67863260000000003</v>
      </c>
      <c r="Z6896">
        <v>1.407107E-2</v>
      </c>
      <c r="AA6896">
        <v>0.73434319999999997</v>
      </c>
      <c r="AB6896">
        <v>23</v>
      </c>
      <c r="AC6896">
        <v>36.895899999999997</v>
      </c>
      <c r="AD6896">
        <v>-1.1189098749256901</v>
      </c>
      <c r="AE6896">
        <v>-17.120559999999902</v>
      </c>
      <c r="AF6896">
        <v>-27.697277516451699</v>
      </c>
      <c r="AG6896">
        <v>-1.1189098749256901</v>
      </c>
      <c r="AH6896">
        <v>29.7452643361162</v>
      </c>
      <c r="AI6896">
        <v>91.576934170072903</v>
      </c>
      <c r="AJ6896">
        <v>132.958110537083</v>
      </c>
      <c r="AK6896">
        <v>40.6592165634924</v>
      </c>
      <c r="AL6896">
        <v>92.205453519683402</v>
      </c>
      <c r="AM6896">
        <v>119.544307250787</v>
      </c>
      <c r="AN6896">
        <v>0.99999998360860298</v>
      </c>
    </row>
    <row r="6897" spans="1:40" x14ac:dyDescent="0.25">
      <c r="A6897" t="str">
        <f>"20190305135101793"</f>
        <v>20190305135101793</v>
      </c>
      <c r="B6897" t="str">
        <f>"1551765061786872"</f>
        <v>1551765061786872</v>
      </c>
      <c r="C6897" t="s">
        <v>40</v>
      </c>
      <c r="D6897">
        <v>3.7452070000000002</v>
      </c>
      <c r="E6897">
        <v>0.40872779999999997</v>
      </c>
      <c r="F6897" t="s">
        <v>42</v>
      </c>
      <c r="G6897">
        <v>-261.79629999999997</v>
      </c>
      <c r="H6897" s="1">
        <v>-4.20934E-7</v>
      </c>
      <c r="I6897">
        <v>-62.807929999999999</v>
      </c>
      <c r="J6897">
        <v>-299.76909999999998</v>
      </c>
      <c r="K6897">
        <v>1.1190560000000001</v>
      </c>
      <c r="L6897">
        <v>-45.699680000000001</v>
      </c>
      <c r="M6897">
        <v>0.38930429999999999</v>
      </c>
      <c r="N6897">
        <v>-2.0266180000000002E-2</v>
      </c>
      <c r="O6897">
        <v>-0.92088630000000005</v>
      </c>
      <c r="P6897">
        <v>0.79278609999999905</v>
      </c>
      <c r="Q6897">
        <v>-4.7667830000000001E-2</v>
      </c>
      <c r="R6897">
        <v>-0.607633599999999</v>
      </c>
      <c r="S6897">
        <v>2.8115230000000002</v>
      </c>
      <c r="T6897">
        <v>-8.2626099999999994E-2</v>
      </c>
      <c r="U6897">
        <v>-1.2784420000000001</v>
      </c>
      <c r="V6897">
        <v>-0.49292059999999999</v>
      </c>
      <c r="W6897">
        <v>-3.9827389999999997E-2</v>
      </c>
      <c r="X6897">
        <v>0.86916229999999906</v>
      </c>
      <c r="Y6897">
        <v>-0.67697830000000003</v>
      </c>
      <c r="Z6897">
        <v>1.310975E-2</v>
      </c>
      <c r="AA6897">
        <v>0.73588629999999999</v>
      </c>
      <c r="AB6897">
        <v>22</v>
      </c>
      <c r="AC6897">
        <v>37.972799999999999</v>
      </c>
      <c r="AD6897">
        <v>-1.1190564209339999</v>
      </c>
      <c r="AE6897">
        <v>-17.108250000000002</v>
      </c>
      <c r="AF6897">
        <v>-28.2937030516592</v>
      </c>
      <c r="AG6897">
        <v>-1.1190564209339999</v>
      </c>
      <c r="AH6897">
        <v>30.521963576787201</v>
      </c>
      <c r="AI6897">
        <v>91.540212028268797</v>
      </c>
      <c r="AJ6897">
        <v>132.83035878682901</v>
      </c>
      <c r="AK6897">
        <v>41.633834560744297</v>
      </c>
      <c r="AL6897">
        <v>92.282545015572396</v>
      </c>
      <c r="AM6897">
        <v>119.558502891527</v>
      </c>
      <c r="AN6897">
        <v>1.00000002131993</v>
      </c>
    </row>
    <row r="6898" spans="1:40" x14ac:dyDescent="0.25">
      <c r="A6898" t="str">
        <f>"20190305135101816"</f>
        <v>20190305135101816</v>
      </c>
      <c r="B6898" t="str">
        <f>"1551765061807368"</f>
        <v>1551765061807368</v>
      </c>
      <c r="C6898" t="s">
        <v>40</v>
      </c>
      <c r="D6898">
        <v>3.7486169999999999</v>
      </c>
      <c r="E6898">
        <v>0.40950809999999999</v>
      </c>
      <c r="F6898" t="s">
        <v>111</v>
      </c>
      <c r="G6898">
        <v>-262.61849999999998</v>
      </c>
      <c r="H6898" s="1">
        <v>-5.8492079999999996E-7</v>
      </c>
      <c r="I6898">
        <v>-62.098689999999998</v>
      </c>
      <c r="J6898">
        <v>-299.67110000000002</v>
      </c>
      <c r="K6898">
        <v>1.1191599999999999</v>
      </c>
      <c r="L6898">
        <v>-45.891480000000001</v>
      </c>
      <c r="M6898">
        <v>0.40121950000000001</v>
      </c>
      <c r="N6898">
        <v>-2.0799709999999999E-2</v>
      </c>
      <c r="O6898">
        <v>-0.9157459</v>
      </c>
      <c r="P6898">
        <v>0.80101630000000001</v>
      </c>
      <c r="Q6898">
        <v>-4.8425990000000002E-2</v>
      </c>
      <c r="R6898">
        <v>-0.59668109999999996</v>
      </c>
      <c r="S6898">
        <v>2.8236690000000002</v>
      </c>
      <c r="T6898">
        <v>-8.5055110000000003E-2</v>
      </c>
      <c r="U6898">
        <v>-1.246429</v>
      </c>
      <c r="V6898">
        <v>-0.49352990000000002</v>
      </c>
      <c r="W6898">
        <v>-4.021686E-2</v>
      </c>
      <c r="X6898">
        <v>0.86879850000000003</v>
      </c>
      <c r="Y6898">
        <v>-0.67555319999999996</v>
      </c>
      <c r="Z6898">
        <v>1.37305E-2</v>
      </c>
      <c r="AA6898">
        <v>0.73718339999999904</v>
      </c>
      <c r="AB6898">
        <v>22</v>
      </c>
      <c r="AC6898">
        <v>37.052599999999998</v>
      </c>
      <c r="AD6898">
        <v>-1.1191605849208</v>
      </c>
      <c r="AE6898">
        <v>-16.20721</v>
      </c>
      <c r="AF6898">
        <v>-27.4130562193799</v>
      </c>
      <c r="AG6898">
        <v>-1.1191605849208</v>
      </c>
      <c r="AH6898">
        <v>29.691598226379401</v>
      </c>
      <c r="AI6898">
        <v>91.586361236568607</v>
      </c>
      <c r="AJ6898">
        <v>132.715043994691</v>
      </c>
      <c r="AK6898">
        <v>40.426713654939398</v>
      </c>
      <c r="AL6898">
        <v>92.304877954550903</v>
      </c>
      <c r="AM6898">
        <v>119.599185330236</v>
      </c>
      <c r="AN6898">
        <v>0.99999999581225896</v>
      </c>
    </row>
    <row r="6899" spans="1:40" x14ac:dyDescent="0.25">
      <c r="A6899" t="str">
        <f>"20190305135101837"</f>
        <v>20190305135101837</v>
      </c>
      <c r="B6899" t="str">
        <f>"1551765061826888"</f>
        <v>1551765061826888</v>
      </c>
      <c r="C6899" t="s">
        <v>40</v>
      </c>
      <c r="D6899">
        <v>3.7665920000000002</v>
      </c>
      <c r="E6899">
        <v>0.4103772</v>
      </c>
      <c r="F6899" t="s">
        <v>42</v>
      </c>
      <c r="G6899">
        <v>-262.54390000000001</v>
      </c>
      <c r="H6899" s="1">
        <v>-4.6297750000000002E-7</v>
      </c>
      <c r="I6899">
        <v>-61.7607199999999</v>
      </c>
      <c r="J6899">
        <v>-299.57560000000001</v>
      </c>
      <c r="K6899">
        <v>1.1192200000000001</v>
      </c>
      <c r="L6899">
        <v>-46.072110000000002</v>
      </c>
      <c r="M6899">
        <v>0.41271970000000002</v>
      </c>
      <c r="N6899">
        <v>-2.1276440000000001E-2</v>
      </c>
      <c r="O6899">
        <v>-0.91060949999999996</v>
      </c>
      <c r="P6899">
        <v>0.80830740000000001</v>
      </c>
      <c r="Q6899">
        <v>-4.8994429999999999E-2</v>
      </c>
      <c r="R6899">
        <v>-0.58671839999999997</v>
      </c>
      <c r="S6899">
        <v>2.8368530000000001</v>
      </c>
      <c r="T6899">
        <v>-8.5513710000000007E-2</v>
      </c>
      <c r="U6899">
        <v>-1.2125549999999901</v>
      </c>
      <c r="V6899">
        <v>-0.49330420000000003</v>
      </c>
      <c r="W6899">
        <v>-4.0401020000000003E-2</v>
      </c>
      <c r="X6899">
        <v>0.86891810000000003</v>
      </c>
      <c r="Y6899">
        <v>-0.67493559999999997</v>
      </c>
      <c r="Z6899">
        <v>1.371751E-2</v>
      </c>
      <c r="AA6899">
        <v>0.73774910000000005</v>
      </c>
      <c r="AB6899">
        <v>22</v>
      </c>
      <c r="AC6899">
        <v>37.031700000000001</v>
      </c>
      <c r="AD6899">
        <v>-1.1192204629775</v>
      </c>
      <c r="AE6899">
        <v>-15.688609999999899</v>
      </c>
      <c r="AF6899">
        <v>-27.231500531076001</v>
      </c>
      <c r="AG6899">
        <v>-1.1192204629775</v>
      </c>
      <c r="AH6899">
        <v>29.5537183092998</v>
      </c>
      <c r="AI6899">
        <v>91.595301853373897</v>
      </c>
      <c r="AJ6899">
        <v>132.65820784139001</v>
      </c>
      <c r="AK6899">
        <v>40.202357412522304</v>
      </c>
      <c r="AL6899">
        <v>92.315438187026203</v>
      </c>
      <c r="AM6899">
        <v>119.58454458566899</v>
      </c>
      <c r="AN6899">
        <v>0.99999997033114396</v>
      </c>
    </row>
    <row r="6900" spans="1:40" x14ac:dyDescent="0.25">
      <c r="A6900" t="str">
        <f>"20190305135101859"</f>
        <v>20190305135101859</v>
      </c>
      <c r="B6900" t="str">
        <f>"1551765061846408"</f>
        <v>1551765061846408</v>
      </c>
      <c r="C6900" t="s">
        <v>40</v>
      </c>
      <c r="D6900">
        <v>3.781234</v>
      </c>
      <c r="E6900">
        <v>0.41138520000000001</v>
      </c>
      <c r="F6900" t="s">
        <v>42</v>
      </c>
      <c r="G6900">
        <v>-262.77089999999998</v>
      </c>
      <c r="H6900" s="1">
        <v>-4.5411059999999999E-7</v>
      </c>
      <c r="I6900">
        <v>-61.361260000000001</v>
      </c>
      <c r="J6900">
        <v>-299.47489999999999</v>
      </c>
      <c r="K6900">
        <v>1.119248</v>
      </c>
      <c r="L6900">
        <v>-46.255769999999998</v>
      </c>
      <c r="M6900">
        <v>0.42469129999999999</v>
      </c>
      <c r="N6900">
        <v>-2.172988E-2</v>
      </c>
      <c r="O6900">
        <v>-0.90507749999999998</v>
      </c>
      <c r="P6900">
        <v>0.81471629999999995</v>
      </c>
      <c r="Q6900">
        <v>-5.1203510000000001E-2</v>
      </c>
      <c r="R6900">
        <v>-0.57759490000000002</v>
      </c>
      <c r="S6900">
        <v>2.8475649999999999</v>
      </c>
      <c r="T6900">
        <v>-8.6593749999999997E-2</v>
      </c>
      <c r="U6900">
        <v>-1.182922</v>
      </c>
      <c r="V6900">
        <v>-0.49145220000000001</v>
      </c>
      <c r="W6900">
        <v>-4.2164350000000003E-2</v>
      </c>
      <c r="X6900">
        <v>0.86988330000000003</v>
      </c>
      <c r="Y6900">
        <v>-0.67271709999999996</v>
      </c>
      <c r="Z6900">
        <v>1.392812E-2</v>
      </c>
      <c r="AA6900">
        <v>0.73976869999999995</v>
      </c>
      <c r="AB6900">
        <v>22</v>
      </c>
      <c r="AC6900">
        <v>36.704000000000001</v>
      </c>
      <c r="AD6900">
        <v>-1.1192484541106</v>
      </c>
      <c r="AE6900">
        <v>-15.1054899999999</v>
      </c>
      <c r="AF6900">
        <v>-26.789819681085699</v>
      </c>
      <c r="AG6900">
        <v>-1.1192484541106</v>
      </c>
      <c r="AH6900">
        <v>29.243162563010301</v>
      </c>
      <c r="AI6900">
        <v>91.616550428231704</v>
      </c>
      <c r="AJ6900">
        <v>132.49296812064901</v>
      </c>
      <c r="AK6900">
        <v>39.675051510159001</v>
      </c>
      <c r="AL6900">
        <v>92.416555636458995</v>
      </c>
      <c r="AM6900">
        <v>119.46485732454499</v>
      </c>
      <c r="AN6900">
        <v>1.0000000264573199</v>
      </c>
    </row>
    <row r="6901" spans="1:40" x14ac:dyDescent="0.25">
      <c r="A6901" t="str">
        <f>"20190305135101882"</f>
        <v>20190305135101882</v>
      </c>
      <c r="B6901" t="str">
        <f>"1551765061877267"</f>
        <v>1551765061877267</v>
      </c>
      <c r="C6901" t="s">
        <v>40</v>
      </c>
      <c r="D6901">
        <v>3.8326180000000001</v>
      </c>
      <c r="E6901">
        <v>0.42667620000000001</v>
      </c>
      <c r="F6901" t="s">
        <v>42</v>
      </c>
      <c r="G6901">
        <v>-264.53820000000002</v>
      </c>
      <c r="H6901" s="1">
        <v>-9.6145709999999899E-7</v>
      </c>
      <c r="I6901">
        <v>-60.418619999999997</v>
      </c>
      <c r="J6901">
        <v>-299.37270000000001</v>
      </c>
      <c r="K6901">
        <v>1.119243</v>
      </c>
      <c r="L6901">
        <v>-46.43591</v>
      </c>
      <c r="M6901">
        <v>0.43668299999999999</v>
      </c>
      <c r="N6901">
        <v>-2.2167139999999998E-2</v>
      </c>
      <c r="O6901">
        <v>-0.89934230000000004</v>
      </c>
      <c r="P6901">
        <v>0.82004889999999997</v>
      </c>
      <c r="Q6901">
        <v>-5.4181809999999997E-2</v>
      </c>
      <c r="R6901">
        <v>-0.56972299999999998</v>
      </c>
      <c r="S6901">
        <v>2.8557429999999999</v>
      </c>
      <c r="T6901">
        <v>-9.1488E-2</v>
      </c>
      <c r="U6901">
        <v>-1.1576839999999999</v>
      </c>
      <c r="V6901">
        <v>-0.4880427</v>
      </c>
      <c r="W6901">
        <v>-4.4622000000000002E-2</v>
      </c>
      <c r="X6901">
        <v>0.87167839999999996</v>
      </c>
      <c r="Y6901">
        <v>-0.6691878</v>
      </c>
      <c r="Z6901">
        <v>1.5457E-2</v>
      </c>
      <c r="AA6901">
        <v>0.74293260000000005</v>
      </c>
      <c r="AB6901">
        <v>22</v>
      </c>
      <c r="AC6901">
        <v>34.834499999999899</v>
      </c>
      <c r="AD6901">
        <v>-1.1192439614570999</v>
      </c>
      <c r="AE6901">
        <v>-13.9827099999999</v>
      </c>
      <c r="AF6901">
        <v>-25.205916154498599</v>
      </c>
      <c r="AG6901">
        <v>-1.1192439614570999</v>
      </c>
      <c r="AH6901">
        <v>27.769016606824302</v>
      </c>
      <c r="AI6901">
        <v>91.709445862556095</v>
      </c>
      <c r="AJ6901">
        <v>132.23000297318899</v>
      </c>
      <c r="AK6901">
        <v>37.5194509493803</v>
      </c>
      <c r="AL6901">
        <v>92.557501427202894</v>
      </c>
      <c r="AM6901">
        <v>119.243962174996</v>
      </c>
      <c r="AN6901">
        <v>1.00000001646692</v>
      </c>
    </row>
    <row r="6902" spans="1:40" x14ac:dyDescent="0.25">
      <c r="A6902" t="str">
        <f>"20190305135101904"</f>
        <v>20190305135101904</v>
      </c>
      <c r="B6902" t="str">
        <f>"1551765061896786"</f>
        <v>1551765061896786</v>
      </c>
      <c r="C6902" t="s">
        <v>40</v>
      </c>
      <c r="D6902">
        <v>3.8078240000000001</v>
      </c>
      <c r="E6902">
        <v>0.42596070000000003</v>
      </c>
      <c r="F6902" t="s">
        <v>110</v>
      </c>
      <c r="G6902">
        <v>-271.93579999999997</v>
      </c>
      <c r="H6902" s="1">
        <v>-3.9942169999999999E-7</v>
      </c>
      <c r="I6902">
        <v>-58.507969999999901</v>
      </c>
      <c r="J6902">
        <v>-299.26659999999998</v>
      </c>
      <c r="K6902">
        <v>1.119227</v>
      </c>
      <c r="L6902">
        <v>-46.616639999999997</v>
      </c>
      <c r="M6902">
        <v>0.44894220000000001</v>
      </c>
      <c r="N6902">
        <v>-2.262165E-2</v>
      </c>
      <c r="O6902">
        <v>-0.89327440000000002</v>
      </c>
      <c r="P6902">
        <v>0.82564119999999996</v>
      </c>
      <c r="Q6902">
        <v>-5.7268069999999997E-2</v>
      </c>
      <c r="R6902">
        <v>-0.56128180000000005</v>
      </c>
      <c r="S6902">
        <v>2.7960820000000002</v>
      </c>
      <c r="T6902">
        <v>-0.11406139999999999</v>
      </c>
      <c r="U6902">
        <v>-1.2302550000000001</v>
      </c>
      <c r="V6902">
        <v>-0.4848266</v>
      </c>
      <c r="W6902">
        <v>-4.7135360000000001E-2</v>
      </c>
      <c r="X6902">
        <v>0.87333919999999998</v>
      </c>
      <c r="Y6902">
        <v>-0.63643629999999995</v>
      </c>
      <c r="Z6902">
        <v>2.2810540000000001E-2</v>
      </c>
      <c r="AA6902">
        <v>0.77099189999999995</v>
      </c>
      <c r="AB6902">
        <v>21</v>
      </c>
      <c r="AC6902">
        <v>27.3308</v>
      </c>
      <c r="AD6902">
        <v>-1.1192273994216999</v>
      </c>
      <c r="AE6902">
        <v>-11.8913299999999</v>
      </c>
      <c r="AF6902">
        <v>-19.053400316865801</v>
      </c>
      <c r="AG6902">
        <v>-1.1192273994216999</v>
      </c>
      <c r="AH6902">
        <v>22.8657876166696</v>
      </c>
      <c r="AI6902">
        <v>92.153524632902702</v>
      </c>
      <c r="AJ6902">
        <v>129.80346714502099</v>
      </c>
      <c r="AK6902">
        <v>29.7847104558194</v>
      </c>
      <c r="AL6902">
        <v>92.701658313557601</v>
      </c>
      <c r="AM6902">
        <v>119.036460763964</v>
      </c>
      <c r="AN6902">
        <v>0.99999996624326404</v>
      </c>
    </row>
    <row r="6903" spans="1:40" x14ac:dyDescent="0.25">
      <c r="A6903" t="str">
        <f>"20190305135101926"</f>
        <v>20190305135101926</v>
      </c>
      <c r="B6903" t="str">
        <f>"1551765061917280"</f>
        <v>1551765061917280</v>
      </c>
      <c r="C6903" t="s">
        <v>40</v>
      </c>
      <c r="D6903">
        <v>3.899594</v>
      </c>
      <c r="E6903">
        <v>0.42721189999999998</v>
      </c>
      <c r="F6903" t="s">
        <v>111</v>
      </c>
      <c r="G6903">
        <v>-269.73340000000002</v>
      </c>
      <c r="H6903" s="1">
        <v>-3.3917340000000002E-6</v>
      </c>
      <c r="I6903">
        <v>-59.194859999999998</v>
      </c>
      <c r="J6903">
        <v>-299.16390000000001</v>
      </c>
      <c r="K6903">
        <v>1.1192040000000001</v>
      </c>
      <c r="L6903">
        <v>-46.785679999999999</v>
      </c>
      <c r="M6903">
        <v>0.46060180000000001</v>
      </c>
      <c r="N6903">
        <v>-2.3056750000000001E-2</v>
      </c>
      <c r="O6903">
        <v>-0.88730730000000002</v>
      </c>
      <c r="P6903">
        <v>0.83142909999999903</v>
      </c>
      <c r="Q6903">
        <v>-5.5851060000000001E-2</v>
      </c>
      <c r="R6903">
        <v>-0.55281669999999905</v>
      </c>
      <c r="S6903">
        <v>2.8119809999999998</v>
      </c>
      <c r="T6903">
        <v>-0.1065667</v>
      </c>
      <c r="U6903">
        <v>-1.197632</v>
      </c>
      <c r="V6903">
        <v>-0.48244019999999999</v>
      </c>
      <c r="W6903">
        <v>-4.5159060000000001E-2</v>
      </c>
      <c r="X6903">
        <v>0.87476399999999999</v>
      </c>
      <c r="Y6903">
        <v>-0.63554390000000005</v>
      </c>
      <c r="Z6903">
        <v>2.004241E-2</v>
      </c>
      <c r="AA6903">
        <v>0.7718045</v>
      </c>
      <c r="AB6903">
        <v>21</v>
      </c>
      <c r="AC6903">
        <v>29.430499999999899</v>
      </c>
      <c r="AD6903">
        <v>-1.119207391734</v>
      </c>
      <c r="AE6903">
        <v>-12.409179999999999</v>
      </c>
      <c r="AF6903">
        <v>-20.3786095052881</v>
      </c>
      <c r="AG6903">
        <v>-1.119207391734</v>
      </c>
      <c r="AH6903">
        <v>24.5428952959446</v>
      </c>
      <c r="AI6903">
        <v>92.009359820692893</v>
      </c>
      <c r="AJ6903">
        <v>129.70373839692999</v>
      </c>
      <c r="AK6903">
        <v>31.920119988221099</v>
      </c>
      <c r="AL6903">
        <v>92.588303866367298</v>
      </c>
      <c r="AM6903">
        <v>118.87713002036</v>
      </c>
      <c r="AN6903">
        <v>0.99999997148606101</v>
      </c>
    </row>
    <row r="6904" spans="1:40" x14ac:dyDescent="0.25">
      <c r="A6904" t="str">
        <f>"20190305135101948"</f>
        <v>20190305135101948</v>
      </c>
      <c r="B6904" t="str">
        <f>"1551765061936800"</f>
        <v>1551765061936800</v>
      </c>
      <c r="C6904" t="s">
        <v>40</v>
      </c>
      <c r="D6904">
        <v>3.8220830000000001</v>
      </c>
      <c r="E6904">
        <v>0.42767290000000002</v>
      </c>
      <c r="F6904" t="s">
        <v>42</v>
      </c>
      <c r="G6904">
        <v>-268.15339999999998</v>
      </c>
      <c r="H6904" s="1">
        <v>-2.6180909999999999E-6</v>
      </c>
      <c r="I6904">
        <v>-59.735239999999997</v>
      </c>
      <c r="J6904">
        <v>-299.0575</v>
      </c>
      <c r="K6904">
        <v>1.1191850000000001</v>
      </c>
      <c r="L6904">
        <v>-46.955440000000003</v>
      </c>
      <c r="M6904">
        <v>0.47247489999999998</v>
      </c>
      <c r="N6904">
        <v>-2.3479079999999999E-2</v>
      </c>
      <c r="O6904">
        <v>-0.88103159999999903</v>
      </c>
      <c r="P6904">
        <v>0.83819500000000002</v>
      </c>
      <c r="Q6904">
        <v>-5.1568610000000001E-2</v>
      </c>
      <c r="R6904">
        <v>-0.54292719999999906</v>
      </c>
      <c r="S6904">
        <v>2.8187869999999999</v>
      </c>
      <c r="T6904">
        <v>-0.1017334</v>
      </c>
      <c r="U6904">
        <v>-1.1770940000000001</v>
      </c>
      <c r="V6904">
        <v>-0.48139799999999999</v>
      </c>
      <c r="W6904">
        <v>-4.035474E-2</v>
      </c>
      <c r="X6904">
        <v>0.87557260000000003</v>
      </c>
      <c r="Y6904">
        <v>-0.63064779999999998</v>
      </c>
      <c r="Z6904">
        <v>1.8178529999999998E-2</v>
      </c>
      <c r="AA6904">
        <v>0.77585630000000005</v>
      </c>
      <c r="AB6904">
        <v>21</v>
      </c>
      <c r="AC6904">
        <v>30.9041</v>
      </c>
      <c r="AD6904">
        <v>-1.1191876180910001</v>
      </c>
      <c r="AE6904">
        <v>-12.7798</v>
      </c>
      <c r="AF6904">
        <v>-21.171479954957899</v>
      </c>
      <c r="AG6904">
        <v>-1.1191876180910001</v>
      </c>
      <c r="AH6904">
        <v>25.839004661032099</v>
      </c>
      <c r="AI6904">
        <v>91.918904002625297</v>
      </c>
      <c r="AJ6904">
        <v>129.32986350032601</v>
      </c>
      <c r="AK6904">
        <v>33.423618988381698</v>
      </c>
      <c r="AL6904">
        <v>92.312784401049001</v>
      </c>
      <c r="AM6904">
        <v>118.802406444601</v>
      </c>
      <c r="AN6904">
        <v>0.99999995865761304</v>
      </c>
    </row>
    <row r="6905" spans="1:40" x14ac:dyDescent="0.25">
      <c r="A6905" t="str">
        <f>"20190305135101972"</f>
        <v>20190305135101972</v>
      </c>
      <c r="B6905" t="str">
        <f>"1551765061966694"</f>
        <v>1551765061966694</v>
      </c>
      <c r="C6905" t="s">
        <v>40</v>
      </c>
      <c r="D6905">
        <v>3.911511</v>
      </c>
      <c r="E6905">
        <v>0.46470929999999999</v>
      </c>
      <c r="F6905" t="s">
        <v>42</v>
      </c>
      <c r="G6905">
        <v>-262.29309999999998</v>
      </c>
      <c r="H6905" s="1">
        <v>-3.7623179999999999E-7</v>
      </c>
      <c r="I6905">
        <v>-61.838990000000003</v>
      </c>
      <c r="J6905">
        <v>-298.94619999999998</v>
      </c>
      <c r="K6905">
        <v>1.1191260000000001</v>
      </c>
      <c r="L6905">
        <v>-47.126919999999998</v>
      </c>
      <c r="M6905">
        <v>0.48461080000000001</v>
      </c>
      <c r="N6905">
        <v>-2.3865540000000001E-2</v>
      </c>
      <c r="O6905">
        <v>-0.87440429999999902</v>
      </c>
      <c r="P6905">
        <v>0.84571240000000003</v>
      </c>
      <c r="Q6905">
        <v>-4.7905059999999999E-2</v>
      </c>
      <c r="R6905">
        <v>-0.53148459999999997</v>
      </c>
      <c r="S6905">
        <v>2.8313600000000001</v>
      </c>
      <c r="T6905">
        <v>-8.6192489999999997E-2</v>
      </c>
      <c r="U6905">
        <v>-1.1462399999999999</v>
      </c>
      <c r="V6905">
        <v>-0.48146440000000001</v>
      </c>
      <c r="W6905">
        <v>-3.6220269999999999E-2</v>
      </c>
      <c r="X6905">
        <v>0.87571699999999997</v>
      </c>
      <c r="Y6905">
        <v>-0.62847790000000003</v>
      </c>
      <c r="Z6905">
        <v>1.2726799999999899E-2</v>
      </c>
      <c r="AA6905">
        <v>0.77772330000000001</v>
      </c>
      <c r="AB6905">
        <v>21</v>
      </c>
      <c r="AC6905">
        <v>36.653100000000002</v>
      </c>
      <c r="AD6905">
        <v>-1.1191263762318</v>
      </c>
      <c r="AE6905">
        <v>-14.712070000000001</v>
      </c>
      <c r="AF6905">
        <v>-24.907101165784301</v>
      </c>
      <c r="AG6905">
        <v>-1.1191263762318</v>
      </c>
      <c r="AH6905">
        <v>30.6109323717195</v>
      </c>
      <c r="AI6905">
        <v>91.624374992334396</v>
      </c>
      <c r="AJ6905">
        <v>129.13410682933699</v>
      </c>
      <c r="AK6905">
        <v>39.479682280821102</v>
      </c>
      <c r="AL6905">
        <v>92.075722486248793</v>
      </c>
      <c r="AM6905">
        <v>118.801753696712</v>
      </c>
      <c r="AN6905">
        <v>1.00000007025761</v>
      </c>
    </row>
    <row r="6906" spans="1:40" x14ac:dyDescent="0.25">
      <c r="A6906" t="str">
        <f>"20190305135101994"</f>
        <v>20190305135101994</v>
      </c>
      <c r="B6906" t="str">
        <f>"1551765061987191"</f>
        <v>1551765061987191</v>
      </c>
      <c r="C6906" t="s">
        <v>40</v>
      </c>
      <c r="D6906">
        <v>3.874511</v>
      </c>
      <c r="E6906">
        <v>0.4776784</v>
      </c>
      <c r="F6906" t="s">
        <v>42</v>
      </c>
      <c r="G6906">
        <v>-266.59320000000002</v>
      </c>
      <c r="H6906" s="1">
        <v>-2.6508500000000002E-6</v>
      </c>
      <c r="I6906">
        <v>-63.454610000000002</v>
      </c>
      <c r="J6906">
        <v>-298.8372</v>
      </c>
      <c r="K6906">
        <v>1.1190119999999999</v>
      </c>
      <c r="L6906">
        <v>-47.289520000000003</v>
      </c>
      <c r="M6906">
        <v>0.4962107</v>
      </c>
      <c r="N6906">
        <v>-2.4189929999999998E-2</v>
      </c>
      <c r="O6906">
        <v>-0.86786509999999994</v>
      </c>
      <c r="P6906">
        <v>0.85269450000000002</v>
      </c>
      <c r="Q6906">
        <v>-4.8497199999999997E-2</v>
      </c>
      <c r="R6906">
        <v>-0.52015400000000001</v>
      </c>
      <c r="S6906">
        <v>2.6891479999999999</v>
      </c>
      <c r="T6906">
        <v>-9.3020920000000007E-2</v>
      </c>
      <c r="U6906">
        <v>-1.3571470000000001</v>
      </c>
      <c r="V6906">
        <v>-0.48146090000000002</v>
      </c>
      <c r="W6906">
        <v>-3.6370100000000002E-2</v>
      </c>
      <c r="X6906">
        <v>0.87571259999999995</v>
      </c>
      <c r="Y6906">
        <v>-0.55101169999999899</v>
      </c>
      <c r="Z6906">
        <v>1.4011610000000001E-2</v>
      </c>
      <c r="AA6906">
        <v>0.83437989999999995</v>
      </c>
      <c r="AB6906">
        <v>20</v>
      </c>
      <c r="AC6906">
        <v>32.2439999999999</v>
      </c>
      <c r="AD6906">
        <v>-1.1190146508499901</v>
      </c>
      <c r="AE6906">
        <v>-16.1650899999999</v>
      </c>
      <c r="AF6906">
        <v>-19.9487936069238</v>
      </c>
      <c r="AG6906">
        <v>-1.1190146508499901</v>
      </c>
      <c r="AH6906">
        <v>30.008840827656599</v>
      </c>
      <c r="AI6906">
        <v>91.778690594423395</v>
      </c>
      <c r="AJ6906">
        <v>123.614524894346</v>
      </c>
      <c r="AK6906">
        <v>36.051866636557001</v>
      </c>
      <c r="AL6906">
        <v>92.084312981178002</v>
      </c>
      <c r="AM6906">
        <v>118.80169939093</v>
      </c>
      <c r="AN6906">
        <v>0.999999970100789</v>
      </c>
    </row>
    <row r="6907" spans="1:40" x14ac:dyDescent="0.25">
      <c r="A6907" t="str">
        <f>"20190305135102016"</f>
        <v>20190305135102016</v>
      </c>
      <c r="B6907" t="str">
        <f>"1551765062006711"</f>
        <v>1551765062006711</v>
      </c>
      <c r="C6907" t="s">
        <v>40</v>
      </c>
      <c r="D6907">
        <v>3.8891969999999998</v>
      </c>
      <c r="E6907">
        <v>0.48374489999999998</v>
      </c>
      <c r="F6907" t="s">
        <v>111</v>
      </c>
      <c r="G6907">
        <v>-268.33109999999999</v>
      </c>
      <c r="H6907" s="1">
        <v>-3.2754309999999998E-6</v>
      </c>
      <c r="I6907">
        <v>-63.494880000000002</v>
      </c>
      <c r="J6907">
        <v>-298.72859999999997</v>
      </c>
      <c r="K6907">
        <v>1.1188450000000001</v>
      </c>
      <c r="L6907">
        <v>-47.446809999999999</v>
      </c>
      <c r="M6907">
        <v>0.5074959</v>
      </c>
      <c r="N6907">
        <v>-2.4467610000000001E-2</v>
      </c>
      <c r="O6907">
        <v>-0.86130669999999898</v>
      </c>
      <c r="P6907">
        <v>0.8594889</v>
      </c>
      <c r="Q6907">
        <v>-5.2385290000000001E-2</v>
      </c>
      <c r="R6907">
        <v>-0.50846309999999995</v>
      </c>
      <c r="S6907">
        <v>2.6530149999999999</v>
      </c>
      <c r="T6907">
        <v>-9.7316979999999997E-2</v>
      </c>
      <c r="U6907">
        <v>-1.409332</v>
      </c>
      <c r="V6907">
        <v>-0.48173510000000003</v>
      </c>
      <c r="W6907">
        <v>-3.9829400000000001E-2</v>
      </c>
      <c r="X6907">
        <v>0.8754113</v>
      </c>
      <c r="Y6907">
        <v>-0.52233149999999995</v>
      </c>
      <c r="Z6907">
        <v>1.4958279999999999E-2</v>
      </c>
      <c r="AA6907">
        <v>0.85261129999999996</v>
      </c>
      <c r="AB6907">
        <v>20</v>
      </c>
      <c r="AC6907">
        <v>30.397499999999901</v>
      </c>
      <c r="AD6907">
        <v>-1.1188482754310001</v>
      </c>
      <c r="AE6907">
        <v>-16.048069999999999</v>
      </c>
      <c r="AF6907">
        <v>-18.0235468766687</v>
      </c>
      <c r="AG6907">
        <v>-1.1188482754310001</v>
      </c>
      <c r="AH6907">
        <v>29.2267111601866</v>
      </c>
      <c r="AI6907">
        <v>91.866269220811702</v>
      </c>
      <c r="AJ6907">
        <v>121.661331035909</v>
      </c>
      <c r="AK6907">
        <v>34.355504780455298</v>
      </c>
      <c r="AL6907">
        <v>92.282660283866505</v>
      </c>
      <c r="AM6907">
        <v>118.82380099043699</v>
      </c>
      <c r="AN6907">
        <v>1.0000000159220299</v>
      </c>
    </row>
    <row r="6908" spans="1:40" x14ac:dyDescent="0.25">
      <c r="A6908" t="str">
        <f>"20190305135102040"</f>
        <v>20190305135102040</v>
      </c>
      <c r="B6908" t="str">
        <f>"1551765062027206"</f>
        <v>1551765062027206</v>
      </c>
      <c r="C6908" t="s">
        <v>40</v>
      </c>
      <c r="D6908">
        <v>3.9066809999999998</v>
      </c>
      <c r="E6908">
        <v>0.50497619999999999</v>
      </c>
      <c r="F6908" t="s">
        <v>110</v>
      </c>
      <c r="G6908">
        <v>-271.65300000000002</v>
      </c>
      <c r="H6908" s="1">
        <v>-2.0472630000000001E-7</v>
      </c>
      <c r="I6908">
        <v>-61.918640000000003</v>
      </c>
      <c r="J6908">
        <v>-298.61770000000001</v>
      </c>
      <c r="K6908">
        <v>1.1186430000000001</v>
      </c>
      <c r="L6908">
        <v>-47.60284</v>
      </c>
      <c r="M6908">
        <v>0.51873459999999905</v>
      </c>
      <c r="N6908">
        <v>-2.4708810000000001E-2</v>
      </c>
      <c r="O6908">
        <v>-0.85457819999999995</v>
      </c>
      <c r="P6908">
        <v>0.86559129999999995</v>
      </c>
      <c r="Q6908">
        <v>-5.5457239999999998E-2</v>
      </c>
      <c r="R6908">
        <v>-0.49767070000000002</v>
      </c>
      <c r="S6908">
        <v>2.6468509999999998</v>
      </c>
      <c r="T6908">
        <v>-0.1093758</v>
      </c>
      <c r="U6908">
        <v>-1.4147339999999999</v>
      </c>
      <c r="V6908">
        <v>-0.48102220000000001</v>
      </c>
      <c r="W6908">
        <v>-4.2429260000000003E-2</v>
      </c>
      <c r="X6908">
        <v>0.87568109999999999</v>
      </c>
      <c r="Y6908">
        <v>-0.50884280000000004</v>
      </c>
      <c r="Z6908">
        <v>1.8694909999999999E-2</v>
      </c>
      <c r="AA6908">
        <v>0.86065650000000005</v>
      </c>
      <c r="AB6908">
        <v>20</v>
      </c>
      <c r="AC6908">
        <v>26.964700000000001</v>
      </c>
      <c r="AD6908">
        <v>-1.1186432047263</v>
      </c>
      <c r="AE6908">
        <v>-14.315799999999999</v>
      </c>
      <c r="AF6908">
        <v>-15.6011672108146</v>
      </c>
      <c r="AG6908">
        <v>-1.1186432047263</v>
      </c>
      <c r="AH6908">
        <v>26.1943326584239</v>
      </c>
      <c r="AI6908">
        <v>92.101287753231901</v>
      </c>
      <c r="AJ6908">
        <v>120.777741651932</v>
      </c>
      <c r="AK6908">
        <v>30.508865012967199</v>
      </c>
      <c r="AL6908">
        <v>92.431747535472297</v>
      </c>
      <c r="AM6908">
        <v>118.780523658909</v>
      </c>
      <c r="AN6908">
        <v>0.99999999394709804</v>
      </c>
    </row>
    <row r="6909" spans="1:40" x14ac:dyDescent="0.25">
      <c r="A6909" t="str">
        <f>"20190305135102061"</f>
        <v>20190305135102061</v>
      </c>
      <c r="B6909" t="str">
        <f>"1551765062057269"</f>
        <v>1551765062057269</v>
      </c>
      <c r="C6909" t="s">
        <v>40</v>
      </c>
      <c r="D6909">
        <v>3.9225379999999999</v>
      </c>
      <c r="E6909">
        <v>0.5050597</v>
      </c>
      <c r="F6909" t="s">
        <v>110</v>
      </c>
      <c r="G6909">
        <v>-273.69749999999999</v>
      </c>
      <c r="H6909" s="1">
        <v>-1.1817179999999999E-6</v>
      </c>
      <c r="I6909">
        <v>-62.36786</v>
      </c>
      <c r="J6909">
        <v>-298.50850000000003</v>
      </c>
      <c r="K6909">
        <v>1.118425</v>
      </c>
      <c r="L6909">
        <v>-47.75253</v>
      </c>
      <c r="M6909">
        <v>0.5295299</v>
      </c>
      <c r="N6909">
        <v>-2.490786E-2</v>
      </c>
      <c r="O6909">
        <v>-0.847925499999999</v>
      </c>
      <c r="P6909">
        <v>0.87063880000000005</v>
      </c>
      <c r="Q6909">
        <v>-5.7315690000000002E-2</v>
      </c>
      <c r="R6909">
        <v>-0.48857260000000002</v>
      </c>
      <c r="S6909">
        <v>2.5796809999999999</v>
      </c>
      <c r="T6909">
        <v>-0.11579970000000001</v>
      </c>
      <c r="U6909">
        <v>-1.5284420000000001</v>
      </c>
      <c r="V6909">
        <v>-0.47898560000000001</v>
      </c>
      <c r="W6909">
        <v>-4.3789010000000003E-2</v>
      </c>
      <c r="X6909">
        <v>0.87672989999999995</v>
      </c>
      <c r="Y6909">
        <v>-0.45924120000000002</v>
      </c>
      <c r="Z6909">
        <v>1.979707E-2</v>
      </c>
      <c r="AA6909">
        <v>0.88809099999999996</v>
      </c>
      <c r="AB6909">
        <v>20</v>
      </c>
      <c r="AC6909">
        <v>24.811</v>
      </c>
      <c r="AD6909">
        <v>-1.1184261817179999</v>
      </c>
      <c r="AE6909">
        <v>-14.615329999999901</v>
      </c>
      <c r="AF6909">
        <v>-13.2827151166068</v>
      </c>
      <c r="AG6909">
        <v>-1.1184261817179999</v>
      </c>
      <c r="AH6909">
        <v>25.500332675202799</v>
      </c>
      <c r="AI6909">
        <v>92.227602765101494</v>
      </c>
      <c r="AJ6909">
        <v>117.514285815587</v>
      </c>
      <c r="AK6909">
        <v>28.774091897728098</v>
      </c>
      <c r="AL6909">
        <v>92.509727956056096</v>
      </c>
      <c r="AM6909">
        <v>118.649191931394</v>
      </c>
      <c r="AN6909">
        <v>0.99999999997907496</v>
      </c>
    </row>
    <row r="6910" spans="1:40" x14ac:dyDescent="0.25">
      <c r="A6910" t="str">
        <f>"20190305135102090"</f>
        <v>20190305135102090</v>
      </c>
      <c r="B6910" t="str">
        <f>"1551765062086529"</f>
        <v>1551765062086529</v>
      </c>
      <c r="C6910" t="s">
        <v>40</v>
      </c>
      <c r="D6910">
        <v>3.8941309999999998</v>
      </c>
      <c r="E6910">
        <v>0.50401339999999994</v>
      </c>
      <c r="F6910" t="s">
        <v>110</v>
      </c>
      <c r="G6910">
        <v>-275.89490000000001</v>
      </c>
      <c r="H6910" s="1">
        <v>-1.785321E-6</v>
      </c>
      <c r="I6910">
        <v>-60.843060000000001</v>
      </c>
      <c r="J6910">
        <v>-298.36149999999998</v>
      </c>
      <c r="K6910">
        <v>1.1181289999999999</v>
      </c>
      <c r="L6910">
        <v>-47.948210000000003</v>
      </c>
      <c r="M6910">
        <v>0.54360450000000005</v>
      </c>
      <c r="N6910">
        <v>-2.51375E-2</v>
      </c>
      <c r="O6910">
        <v>-0.83896499999999996</v>
      </c>
      <c r="P6910">
        <v>0.87671900000000003</v>
      </c>
      <c r="Q6910">
        <v>-5.7824609999999999E-2</v>
      </c>
      <c r="R6910">
        <v>-0.47751490000000002</v>
      </c>
      <c r="S6910">
        <v>2.5944820000000002</v>
      </c>
      <c r="T6910">
        <v>-0.1283184</v>
      </c>
      <c r="U6910">
        <v>-1.501892</v>
      </c>
      <c r="V6910">
        <v>-0.47545150000000003</v>
      </c>
      <c r="W6910">
        <v>-4.3616769999999999E-2</v>
      </c>
      <c r="X6910">
        <v>0.87866</v>
      </c>
      <c r="Y6910">
        <v>-0.4533085</v>
      </c>
      <c r="Z6910">
        <v>2.3658140000000001E-2</v>
      </c>
      <c r="AA6910">
        <v>0.89103969999999899</v>
      </c>
      <c r="AB6910">
        <v>19</v>
      </c>
      <c r="AC6910">
        <v>22.4665999999999</v>
      </c>
      <c r="AD6910">
        <v>-1.1181307853210001</v>
      </c>
      <c r="AE6910">
        <v>-12.8948499999999</v>
      </c>
      <c r="AF6910">
        <v>-11.8207110630697</v>
      </c>
      <c r="AG6910">
        <v>-1.1181307853210001</v>
      </c>
      <c r="AH6910">
        <v>22.9957082913091</v>
      </c>
      <c r="AI6910">
        <v>92.476188456256494</v>
      </c>
      <c r="AJ6910">
        <v>117.204971219453</v>
      </c>
      <c r="AK6910">
        <v>25.880147339392099</v>
      </c>
      <c r="AL6910">
        <v>92.499849959344104</v>
      </c>
      <c r="AM6910">
        <v>118.41825266406499</v>
      </c>
      <c r="AN6910">
        <v>0.99999997353874104</v>
      </c>
    </row>
    <row r="6911" spans="1:40" x14ac:dyDescent="0.25">
      <c r="A6911" t="str">
        <f>"20190305135102105"</f>
        <v>20190305135102105</v>
      </c>
      <c r="B6911" t="str">
        <f>"1551765062097265"</f>
        <v>1551765062097265</v>
      </c>
      <c r="C6911" t="s">
        <v>40</v>
      </c>
      <c r="D6911">
        <v>3.9012579999999999</v>
      </c>
      <c r="E6911">
        <v>0.50385459999999904</v>
      </c>
      <c r="F6911" t="s">
        <v>110</v>
      </c>
      <c r="G6911">
        <v>-274.8338</v>
      </c>
      <c r="H6911" s="1">
        <v>-1.383963E-6</v>
      </c>
      <c r="I6911">
        <v>-61.085160000000002</v>
      </c>
      <c r="J6911">
        <v>-298.28449999999998</v>
      </c>
      <c r="K6911">
        <v>1.117969</v>
      </c>
      <c r="L6911">
        <v>-48.047580000000004</v>
      </c>
      <c r="M6911">
        <v>0.55071899999999996</v>
      </c>
      <c r="N6911">
        <v>-2.5245440000000001E-2</v>
      </c>
      <c r="O6911">
        <v>-0.83430890000000002</v>
      </c>
      <c r="P6911">
        <v>0.87873330000000005</v>
      </c>
      <c r="Q6911">
        <v>-5.701051E-2</v>
      </c>
      <c r="R6911">
        <v>-0.47389609999999899</v>
      </c>
      <c r="S6911">
        <v>2.6176149999999998</v>
      </c>
      <c r="T6911">
        <v>-0.12439989999999999</v>
      </c>
      <c r="U6911">
        <v>-1.461578</v>
      </c>
      <c r="V6911">
        <v>-0.47168019999999999</v>
      </c>
      <c r="W6911">
        <v>-4.2393920000000002E-2</v>
      </c>
      <c r="X6911">
        <v>0.88075000000000003</v>
      </c>
      <c r="Y6911">
        <v>-0.45955879999999999</v>
      </c>
      <c r="Z6911">
        <v>2.248899E-2</v>
      </c>
      <c r="AA6911">
        <v>0.88786259999999995</v>
      </c>
      <c r="AB6911">
        <v>19</v>
      </c>
      <c r="AC6911">
        <v>23.450699999999902</v>
      </c>
      <c r="AD6911">
        <v>-1.117970383963</v>
      </c>
      <c r="AE6911">
        <v>-13.037579999999901</v>
      </c>
      <c r="AF6911">
        <v>-12.367561151541601</v>
      </c>
      <c r="AG6911">
        <v>-1.117970383963</v>
      </c>
      <c r="AH6911">
        <v>23.758451823059499</v>
      </c>
      <c r="AI6911">
        <v>92.390088579568101</v>
      </c>
      <c r="AJ6911">
        <v>117.499419312668</v>
      </c>
      <c r="AK6911">
        <v>26.8080297605993</v>
      </c>
      <c r="AL6911">
        <v>92.429720842447907</v>
      </c>
      <c r="AM6911">
        <v>118.170999587111</v>
      </c>
      <c r="AN6911">
        <v>1.0000000090125001</v>
      </c>
    </row>
    <row r="6912" spans="1:40" x14ac:dyDescent="0.25">
      <c r="A6912" t="str">
        <f>"20190305135102127"</f>
        <v>20190305135102127</v>
      </c>
      <c r="B6912" t="str">
        <f>"1551765062116785"</f>
        <v>1551765062116785</v>
      </c>
      <c r="C6912" t="s">
        <v>40</v>
      </c>
      <c r="D6912">
        <v>3.9519669999999998</v>
      </c>
      <c r="E6912">
        <v>0.50397440000000004</v>
      </c>
      <c r="F6912" t="s">
        <v>110</v>
      </c>
      <c r="G6912">
        <v>-274.29230000000001</v>
      </c>
      <c r="H6912" s="1">
        <v>-1.199681E-6</v>
      </c>
      <c r="I6912">
        <v>-61.301189999999998</v>
      </c>
      <c r="J6912">
        <v>-298.17110000000002</v>
      </c>
      <c r="K6912">
        <v>1.1177469999999901</v>
      </c>
      <c r="L6912">
        <v>-48.191560000000003</v>
      </c>
      <c r="M6912">
        <v>0.56097669999999999</v>
      </c>
      <c r="N6912">
        <v>-2.5390369999999999E-2</v>
      </c>
      <c r="O6912">
        <v>-0.82744209999999996</v>
      </c>
      <c r="P6912">
        <v>0.88265890000000002</v>
      </c>
      <c r="Q6912">
        <v>-5.7151519999999997E-2</v>
      </c>
      <c r="R6912">
        <v>-0.4665262</v>
      </c>
      <c r="S6912">
        <v>2.6242679999999998</v>
      </c>
      <c r="T6912">
        <v>-0.12228319999999999</v>
      </c>
      <c r="U6912">
        <v>-1.4496770000000001</v>
      </c>
      <c r="V6912">
        <v>-0.46819470000000002</v>
      </c>
      <c r="W6912">
        <v>-4.2022299999999999E-2</v>
      </c>
      <c r="X6912">
        <v>0.88262549999999995</v>
      </c>
      <c r="Y6912">
        <v>-0.45264130000000002</v>
      </c>
      <c r="Z6912">
        <v>2.1611100000000001E-2</v>
      </c>
      <c r="AA6912">
        <v>0.89143069999999902</v>
      </c>
      <c r="AB6912">
        <v>19</v>
      </c>
      <c r="AC6912">
        <v>23.878799999999998</v>
      </c>
      <c r="AD6912">
        <v>-1.1177481996809999</v>
      </c>
      <c r="AE6912">
        <v>-13.109629999999999</v>
      </c>
      <c r="AF6912">
        <v>-12.3872722216916</v>
      </c>
      <c r="AG6912">
        <v>-1.1177481996809999</v>
      </c>
      <c r="AH6912">
        <v>24.209967973817399</v>
      </c>
      <c r="AI6912">
        <v>92.353604341599805</v>
      </c>
      <c r="AJ6912">
        <v>117.09700981189501</v>
      </c>
      <c r="AK6912">
        <v>27.217943041777499</v>
      </c>
      <c r="AL6912">
        <v>92.408409706439997</v>
      </c>
      <c r="AM6912">
        <v>117.94401900193</v>
      </c>
      <c r="AN6912">
        <v>0.99999996202781405</v>
      </c>
    </row>
    <row r="6913" spans="1:40" x14ac:dyDescent="0.25">
      <c r="A6913" t="str">
        <f>"20190305135102150"</f>
        <v>20190305135102150</v>
      </c>
      <c r="B6913" t="str">
        <f>"1551765062147041"</f>
        <v>1551765062147041</v>
      </c>
      <c r="C6913" t="s">
        <v>40</v>
      </c>
      <c r="D6913">
        <v>3.935864</v>
      </c>
      <c r="E6913">
        <v>0.50440839999999998</v>
      </c>
      <c r="F6913" t="s">
        <v>110</v>
      </c>
      <c r="G6913">
        <v>-273.60079999999999</v>
      </c>
      <c r="H6913" s="1">
        <v>-9.486082E-7</v>
      </c>
      <c r="I6913">
        <v>-61.506149999999998</v>
      </c>
      <c r="J6913">
        <v>-298.0591</v>
      </c>
      <c r="K6913">
        <v>1.1175299999999999</v>
      </c>
      <c r="L6913">
        <v>-48.330289999999998</v>
      </c>
      <c r="M6913">
        <v>0.57077800000000001</v>
      </c>
      <c r="N6913">
        <v>-2.550494E-2</v>
      </c>
      <c r="O6913">
        <v>-0.82070829999999995</v>
      </c>
      <c r="P6913">
        <v>0.88609989999999905</v>
      </c>
      <c r="Q6913">
        <v>-5.8011310000000003E-2</v>
      </c>
      <c r="R6913">
        <v>-0.45984979999999998</v>
      </c>
      <c r="S6913">
        <v>2.636047</v>
      </c>
      <c r="T6913">
        <v>-0.1199185</v>
      </c>
      <c r="U6913">
        <v>-1.4284669999999999</v>
      </c>
      <c r="V6913">
        <v>-0.4643273</v>
      </c>
      <c r="W6913">
        <v>-4.239851E-2</v>
      </c>
      <c r="X6913">
        <v>0.88464830000000005</v>
      </c>
      <c r="Y6913">
        <v>-0.44926749999999999</v>
      </c>
      <c r="Z6913">
        <v>2.0753589999999999E-2</v>
      </c>
      <c r="AA6913">
        <v>0.89315619999999996</v>
      </c>
      <c r="AB6913">
        <v>19</v>
      </c>
      <c r="AC6913">
        <v>24.458300000000001</v>
      </c>
      <c r="AD6913">
        <v>-1.1175309486081999</v>
      </c>
      <c r="AE6913">
        <v>-13.175859999999901</v>
      </c>
      <c r="AF6913">
        <v>-12.536437339625101</v>
      </c>
      <c r="AG6913">
        <v>-1.1175309486081999</v>
      </c>
      <c r="AH6913">
        <v>24.7418221441581</v>
      </c>
      <c r="AI6913">
        <v>92.307245642994701</v>
      </c>
      <c r="AJ6913">
        <v>116.870883294932</v>
      </c>
      <c r="AK6913">
        <v>27.759122817635902</v>
      </c>
      <c r="AL6913">
        <v>92.429983979403204</v>
      </c>
      <c r="AM6913">
        <v>117.69373228873501</v>
      </c>
      <c r="AN6913">
        <v>1.0000000449341899</v>
      </c>
    </row>
    <row r="6914" spans="1:40" x14ac:dyDescent="0.25">
      <c r="A6914" t="str">
        <f>"20190305135102173"</f>
        <v>20190305135102173</v>
      </c>
      <c r="B6914" t="str">
        <f>"1551765062166564"</f>
        <v>1551765062166564</v>
      </c>
      <c r="C6914" t="s">
        <v>40</v>
      </c>
      <c r="D6914">
        <v>3.943365</v>
      </c>
      <c r="E6914">
        <v>0.50470150000000003</v>
      </c>
      <c r="F6914" t="s">
        <v>110</v>
      </c>
      <c r="G6914">
        <v>-274.51240000000001</v>
      </c>
      <c r="H6914" s="1">
        <v>-1.204269E-6</v>
      </c>
      <c r="I6914">
        <v>-60.897089999999999</v>
      </c>
      <c r="J6914">
        <v>-297.94279999999998</v>
      </c>
      <c r="K6914">
        <v>1.1172839999999999</v>
      </c>
      <c r="L6914">
        <v>-48.470829999999999</v>
      </c>
      <c r="M6914">
        <v>0.58058030000000005</v>
      </c>
      <c r="N6914">
        <v>-2.5598340000000001E-2</v>
      </c>
      <c r="O6914">
        <v>-0.81380059999999999</v>
      </c>
      <c r="P6914">
        <v>0.88979850000000005</v>
      </c>
      <c r="Q6914">
        <v>-5.7116989999999999E-2</v>
      </c>
      <c r="R6914">
        <v>-0.45276529999999998</v>
      </c>
      <c r="S6914">
        <v>2.6448670000000001</v>
      </c>
      <c r="T6914">
        <v>-0.1255262</v>
      </c>
      <c r="U6914">
        <v>-1.4115599999999999</v>
      </c>
      <c r="V6914">
        <v>-0.4608641</v>
      </c>
      <c r="W6914">
        <v>-4.1024749999999999E-2</v>
      </c>
      <c r="X6914">
        <v>0.88652199999999903</v>
      </c>
      <c r="Y6914">
        <v>-0.44418180000000002</v>
      </c>
      <c r="Z6914">
        <v>2.2406229999999999E-2</v>
      </c>
      <c r="AA6914">
        <v>0.89565649999999997</v>
      </c>
      <c r="AB6914">
        <v>18</v>
      </c>
      <c r="AC6914">
        <v>23.430399999999899</v>
      </c>
      <c r="AD6914">
        <v>-1.117285204269</v>
      </c>
      <c r="AE6914">
        <v>-12.426259999999999</v>
      </c>
      <c r="AF6914">
        <v>-11.836110531381699</v>
      </c>
      <c r="AG6914">
        <v>-1.117285204269</v>
      </c>
      <c r="AH6914">
        <v>23.681470548857</v>
      </c>
      <c r="AI6914">
        <v>92.416569541787197</v>
      </c>
      <c r="AJ6914">
        <v>116.556099065567</v>
      </c>
      <c r="AK6914">
        <v>26.498186468042402</v>
      </c>
      <c r="AL6914">
        <v>92.351204863924394</v>
      </c>
      <c r="AM6914">
        <v>117.46795299880201</v>
      </c>
      <c r="AN6914">
        <v>1.0000000026326801</v>
      </c>
    </row>
    <row r="6915" spans="1:40" x14ac:dyDescent="0.25">
      <c r="A6915" t="str">
        <f>"20190305135102194"</f>
        <v>20190305135102194</v>
      </c>
      <c r="B6915" t="str">
        <f>"1551765062187057"</f>
        <v>1551765062187057</v>
      </c>
      <c r="C6915" t="s">
        <v>40</v>
      </c>
      <c r="D6915">
        <v>4.2909750000000004</v>
      </c>
      <c r="E6915">
        <v>0.5048686</v>
      </c>
      <c r="F6915" t="s">
        <v>110</v>
      </c>
      <c r="G6915">
        <v>-273.51339999999999</v>
      </c>
      <c r="H6915" s="1">
        <v>-8.6089609999999897E-7</v>
      </c>
      <c r="I6915">
        <v>-61.280340000000002</v>
      </c>
      <c r="J6915">
        <v>-297.83499999999998</v>
      </c>
      <c r="K6915">
        <v>1.1170370000000001</v>
      </c>
      <c r="L6915">
        <v>-48.598329999999997</v>
      </c>
      <c r="M6915">
        <v>0.58936889999999997</v>
      </c>
      <c r="N6915">
        <v>-2.5670950000000001E-2</v>
      </c>
      <c r="O6915">
        <v>-0.80745610000000001</v>
      </c>
      <c r="P6915">
        <v>0.89260659999999903</v>
      </c>
      <c r="Q6915">
        <v>-5.8144870000000001E-2</v>
      </c>
      <c r="R6915">
        <v>-0.4470713</v>
      </c>
      <c r="S6915">
        <v>2.6553040000000001</v>
      </c>
      <c r="T6915">
        <v>-0.1214409</v>
      </c>
      <c r="U6915">
        <v>-1.3923030000000001</v>
      </c>
      <c r="V6915">
        <v>-0.456876</v>
      </c>
      <c r="W6915">
        <v>-4.1594880000000001E-2</v>
      </c>
      <c r="X6915">
        <v>0.88855740000000005</v>
      </c>
      <c r="Y6915">
        <v>-0.44104579999999999</v>
      </c>
      <c r="Z6915">
        <v>2.1031790000000002E-2</v>
      </c>
      <c r="AA6915">
        <v>0.89723809999999904</v>
      </c>
      <c r="AB6915">
        <v>18</v>
      </c>
      <c r="AC6915">
        <v>24.321599999999901</v>
      </c>
      <c r="AD6915">
        <v>-1.1170378608961</v>
      </c>
      <c r="AE6915">
        <v>-12.68201</v>
      </c>
      <c r="AF6915">
        <v>-12.1481047535618</v>
      </c>
      <c r="AG6915">
        <v>-1.1170378608961</v>
      </c>
      <c r="AH6915">
        <v>24.5419600346032</v>
      </c>
      <c r="AI6915">
        <v>92.335891684596106</v>
      </c>
      <c r="AJ6915">
        <v>116.335099734541</v>
      </c>
      <c r="AK6915">
        <v>27.406787937046602</v>
      </c>
      <c r="AL6915">
        <v>92.383898742049794</v>
      </c>
      <c r="AM6915">
        <v>117.21119665352199</v>
      </c>
      <c r="AN6915">
        <v>1.00000003325648</v>
      </c>
    </row>
    <row r="6916" spans="1:40" x14ac:dyDescent="0.25">
      <c r="A6916" t="str">
        <f>"20190305135102218"</f>
        <v>20190305135102218</v>
      </c>
      <c r="B6916" t="str">
        <f>"1551765062206576"</f>
        <v>1551765062206576</v>
      </c>
      <c r="C6916" t="s">
        <v>40</v>
      </c>
      <c r="D6916">
        <v>4.0608309999999896</v>
      </c>
      <c r="E6916">
        <v>0.50547509999999996</v>
      </c>
      <c r="F6916" t="s">
        <v>110</v>
      </c>
      <c r="G6916">
        <v>-273.7414</v>
      </c>
      <c r="H6916" s="1">
        <v>-9.0748089999999995E-7</v>
      </c>
      <c r="I6916">
        <v>-61.049959999999999</v>
      </c>
      <c r="J6916">
        <v>-297.72019999999998</v>
      </c>
      <c r="K6916">
        <v>1.116752</v>
      </c>
      <c r="L6916">
        <v>-48.731450000000002</v>
      </c>
      <c r="M6916">
        <v>0.59842680000000004</v>
      </c>
      <c r="N6916">
        <v>-2.5731750000000001E-2</v>
      </c>
      <c r="O6916">
        <v>-0.80076440000000004</v>
      </c>
      <c r="P6916">
        <v>0.89516779999999996</v>
      </c>
      <c r="Q6916">
        <v>-6.1240910000000003E-2</v>
      </c>
      <c r="R6916">
        <v>-0.44150230000000001</v>
      </c>
      <c r="S6916">
        <v>2.6634829999999998</v>
      </c>
      <c r="T6916">
        <v>-0.1234856</v>
      </c>
      <c r="U6916">
        <v>-1.376495</v>
      </c>
      <c r="V6916">
        <v>-0.45222570000000001</v>
      </c>
      <c r="W6916">
        <v>-4.4204430000000003E-2</v>
      </c>
      <c r="X6916">
        <v>0.89080740000000003</v>
      </c>
      <c r="Y6916">
        <v>-0.4362434</v>
      </c>
      <c r="Z6916">
        <v>2.1559869999999998E-2</v>
      </c>
      <c r="AA6916">
        <v>0.89957030000000004</v>
      </c>
      <c r="AB6916">
        <v>18</v>
      </c>
      <c r="AC6916">
        <v>23.9787999999999</v>
      </c>
      <c r="AD6916">
        <v>-1.1167529074808999</v>
      </c>
      <c r="AE6916">
        <v>-12.3185099999999</v>
      </c>
      <c r="AF6916">
        <v>-11.8132861452918</v>
      </c>
      <c r="AG6916">
        <v>-1.1167529074808999</v>
      </c>
      <c r="AH6916">
        <v>24.180300667352</v>
      </c>
      <c r="AI6916">
        <v>92.376233813628204</v>
      </c>
      <c r="AJ6916">
        <v>116.037822426552</v>
      </c>
      <c r="AK6916">
        <v>26.934880860520899</v>
      </c>
      <c r="AL6916">
        <v>92.533552916105094</v>
      </c>
      <c r="AM6916">
        <v>116.91500180902401</v>
      </c>
      <c r="AN6916">
        <v>0.99999996963343696</v>
      </c>
    </row>
    <row r="6917" spans="1:40" x14ac:dyDescent="0.25">
      <c r="A6917" t="str">
        <f>"20190305135102239"</f>
        <v>20190305135102239</v>
      </c>
      <c r="B6917" t="str">
        <f>"1551765062227073"</f>
        <v>1551765062227073</v>
      </c>
      <c r="C6917" t="s">
        <v>40</v>
      </c>
      <c r="D6917">
        <v>4.0191720000000002</v>
      </c>
      <c r="E6917">
        <v>0.50489569999999995</v>
      </c>
      <c r="F6917" t="s">
        <v>85</v>
      </c>
      <c r="G6917">
        <v>-285.83350000000002</v>
      </c>
      <c r="H6917" s="1">
        <v>-4.3829519999999997E-6</v>
      </c>
      <c r="I6917">
        <v>-54.817520000000002</v>
      </c>
      <c r="J6917">
        <v>-297.60989999999998</v>
      </c>
      <c r="K6917">
        <v>1.116473</v>
      </c>
      <c r="L6917">
        <v>-48.856780000000001</v>
      </c>
      <c r="M6917">
        <v>0.60679969999999905</v>
      </c>
      <c r="N6917">
        <v>-2.5778100000000002E-2</v>
      </c>
      <c r="O6917">
        <v>-0.794436699999999</v>
      </c>
      <c r="P6917">
        <v>0.89842960000000005</v>
      </c>
      <c r="Q6917">
        <v>-6.2919080000000002E-2</v>
      </c>
      <c r="R6917">
        <v>-0.43458669999999999</v>
      </c>
      <c r="S6917">
        <v>2.6620180000000002</v>
      </c>
      <c r="T6917">
        <v>-0.25009759999999998</v>
      </c>
      <c r="U6917">
        <v>-1.362976</v>
      </c>
      <c r="V6917">
        <v>-0.44966349999999999</v>
      </c>
      <c r="W6917">
        <v>-4.5465289999999998E-2</v>
      </c>
      <c r="X6917">
        <v>0.89204019999999995</v>
      </c>
      <c r="Y6917">
        <v>-0.42829919999999999</v>
      </c>
      <c r="Z6917">
        <v>6.0749650000000002E-2</v>
      </c>
      <c r="AA6917">
        <v>0.90159259999999997</v>
      </c>
      <c r="AB6917">
        <v>18</v>
      </c>
      <c r="AC6917">
        <v>11.776399999999899</v>
      </c>
      <c r="AD6917">
        <v>-1.1164773829520001</v>
      </c>
      <c r="AE6917">
        <v>-5.9607399999999897</v>
      </c>
      <c r="AF6917">
        <v>-5.6997541775495897</v>
      </c>
      <c r="AG6917">
        <v>-1.1164773829520001</v>
      </c>
      <c r="AH6917">
        <v>11.8008593396998</v>
      </c>
      <c r="AI6917">
        <v>94.869450795106204</v>
      </c>
      <c r="AJ6917">
        <v>115.780302926571</v>
      </c>
      <c r="AK6917">
        <v>13.1527183725083</v>
      </c>
      <c r="AL6917">
        <v>92.605867422470098</v>
      </c>
      <c r="AM6917">
        <v>116.751957744656</v>
      </c>
      <c r="AN6917">
        <v>1.0000000371215301</v>
      </c>
    </row>
    <row r="6918" spans="1:40" x14ac:dyDescent="0.25">
      <c r="A6918" t="str">
        <f>"20190305135102262"</f>
        <v>20190305135102262</v>
      </c>
      <c r="B6918" t="str">
        <f>"1551765062257332"</f>
        <v>1551765062257332</v>
      </c>
      <c r="C6918" t="s">
        <v>40</v>
      </c>
      <c r="D6918">
        <v>3.9838900000000002</v>
      </c>
      <c r="E6918">
        <v>0.50457159999999901</v>
      </c>
      <c r="F6918" t="s">
        <v>85</v>
      </c>
      <c r="G6918">
        <v>-285.44810000000001</v>
      </c>
      <c r="H6918" s="1">
        <v>-4.5546649999999999E-6</v>
      </c>
      <c r="I6918">
        <v>-54.942309999999999</v>
      </c>
      <c r="J6918">
        <v>-297.49630000000002</v>
      </c>
      <c r="K6918">
        <v>1.1161810000000001</v>
      </c>
      <c r="L6918">
        <v>-48.983730000000001</v>
      </c>
      <c r="M6918">
        <v>0.61507800000000001</v>
      </c>
      <c r="N6918">
        <v>-2.5824960000000001E-2</v>
      </c>
      <c r="O6918">
        <v>-0.7880433</v>
      </c>
      <c r="P6918">
        <v>0.90071800000000002</v>
      </c>
      <c r="Q6918">
        <v>-6.4068539999999993E-2</v>
      </c>
      <c r="R6918">
        <v>-0.42965439999999999</v>
      </c>
      <c r="S6918">
        <v>2.6745909999999999</v>
      </c>
      <c r="T6918">
        <v>-0.24553359999999999</v>
      </c>
      <c r="U6918">
        <v>-1.3383179999999999</v>
      </c>
      <c r="V6918">
        <v>-0.44518029999999997</v>
      </c>
      <c r="W6918">
        <v>-4.6122999999999997E-2</v>
      </c>
      <c r="X6918">
        <v>0.8942523</v>
      </c>
      <c r="Y6918">
        <v>-0.4272994</v>
      </c>
      <c r="Z6918">
        <v>5.9109160000000001E-2</v>
      </c>
      <c r="AA6918">
        <v>0.90217590000000003</v>
      </c>
      <c r="AB6918">
        <v>17</v>
      </c>
      <c r="AC6918">
        <v>12.0482</v>
      </c>
      <c r="AD6918">
        <v>-1.1161855546649999</v>
      </c>
      <c r="AE6918">
        <v>-5.9585799999999898</v>
      </c>
      <c r="AF6918">
        <v>-5.7915176714543604</v>
      </c>
      <c r="AG6918">
        <v>-1.1161855546649999</v>
      </c>
      <c r="AH6918">
        <v>12.0272990064065</v>
      </c>
      <c r="AI6918">
        <v>94.779682355086507</v>
      </c>
      <c r="AJ6918">
        <v>115.71225835570399</v>
      </c>
      <c r="AK6918">
        <v>13.3956511047697</v>
      </c>
      <c r="AL6918">
        <v>92.643591094140305</v>
      </c>
      <c r="AM6918">
        <v>116.46522610349101</v>
      </c>
      <c r="AN6918">
        <v>1.00000000334619</v>
      </c>
    </row>
    <row r="6919" spans="1:40" x14ac:dyDescent="0.25">
      <c r="A6919" t="str">
        <f>"20190305135102278"</f>
        <v>20190305135102278</v>
      </c>
      <c r="B6919" t="str">
        <f>"1551765062267089"</f>
        <v>1551765062267089</v>
      </c>
      <c r="C6919" t="s">
        <v>40</v>
      </c>
      <c r="D6919">
        <v>4.0224979999999997</v>
      </c>
      <c r="E6919">
        <v>0.5046969</v>
      </c>
      <c r="F6919" t="s">
        <v>85</v>
      </c>
      <c r="G6919">
        <v>-285.34339999999997</v>
      </c>
      <c r="H6919" s="1">
        <v>-4.6025600000000004E-6</v>
      </c>
      <c r="I6919">
        <v>-54.969439999999999</v>
      </c>
      <c r="J6919">
        <v>-297.41269999999997</v>
      </c>
      <c r="K6919">
        <v>1.11595</v>
      </c>
      <c r="L6919">
        <v>-49.075679999999998</v>
      </c>
      <c r="M6919">
        <v>0.620921099999999</v>
      </c>
      <c r="N6919">
        <v>-2.5859340000000001E-2</v>
      </c>
      <c r="O6919">
        <v>-0.78344630000000004</v>
      </c>
      <c r="P6919">
        <v>0.90279949999999998</v>
      </c>
      <c r="Q6919">
        <v>-6.4312579999999994E-2</v>
      </c>
      <c r="R6919">
        <v>-0.42522579999999999</v>
      </c>
      <c r="S6919">
        <v>2.6828310000000002</v>
      </c>
      <c r="T6919">
        <v>-0.24640480000000001</v>
      </c>
      <c r="U6919">
        <v>-1.3213809999999999</v>
      </c>
      <c r="V6919">
        <v>-0.44293510000000003</v>
      </c>
      <c r="W6919">
        <v>-4.601939E-2</v>
      </c>
      <c r="X6919">
        <v>0.8953719</v>
      </c>
      <c r="Y6919">
        <v>-0.42624830000000002</v>
      </c>
      <c r="Z6919">
        <v>5.9201219999999999E-2</v>
      </c>
      <c r="AA6919">
        <v>0.90266690000000005</v>
      </c>
      <c r="AB6919">
        <v>17</v>
      </c>
      <c r="AC6919">
        <v>12.069299999999901</v>
      </c>
      <c r="AD6919">
        <v>-1.11595460256</v>
      </c>
      <c r="AE6919">
        <v>-5.8937600000000003</v>
      </c>
      <c r="AF6919">
        <v>-5.7582777837430603</v>
      </c>
      <c r="AG6919">
        <v>-1.11595460256</v>
      </c>
      <c r="AH6919">
        <v>12.0325181163811</v>
      </c>
      <c r="AI6919">
        <v>94.782149630079601</v>
      </c>
      <c r="AJ6919">
        <v>115.57389615383499</v>
      </c>
      <c r="AK6919">
        <v>13.385985579357399</v>
      </c>
      <c r="AL6919">
        <v>92.637648210255307</v>
      </c>
      <c r="AM6919">
        <v>116.321325892959</v>
      </c>
      <c r="AN6919">
        <v>1.00000006318879</v>
      </c>
    </row>
    <row r="6920" spans="1:40" x14ac:dyDescent="0.25">
      <c r="A6920" t="str">
        <f>"20190305135102295"</f>
        <v>20190305135102295</v>
      </c>
      <c r="B6920" t="str">
        <f>"1551765062286609"</f>
        <v>1551765062286609</v>
      </c>
      <c r="C6920" t="s">
        <v>40</v>
      </c>
      <c r="D6920">
        <v>4.0416889999999999</v>
      </c>
      <c r="E6920">
        <v>0.50487170000000003</v>
      </c>
      <c r="F6920" t="s">
        <v>85</v>
      </c>
      <c r="G6920">
        <v>-285.2022</v>
      </c>
      <c r="H6920" s="1">
        <v>-4.6646049999999997E-6</v>
      </c>
      <c r="I6920">
        <v>-55.019959999999998</v>
      </c>
      <c r="J6920">
        <v>-297.3331</v>
      </c>
      <c r="K6920">
        <v>1.1157300000000001</v>
      </c>
      <c r="L6920">
        <v>-49.162289999999999</v>
      </c>
      <c r="M6920">
        <v>0.62629199999999996</v>
      </c>
      <c r="N6920">
        <v>-2.5893630000000001E-2</v>
      </c>
      <c r="O6920">
        <v>-0.77915840000000003</v>
      </c>
      <c r="P6920">
        <v>0.90349029999999997</v>
      </c>
      <c r="Q6920">
        <v>-6.5724379999999999E-2</v>
      </c>
      <c r="R6920">
        <v>-0.42353990000000002</v>
      </c>
      <c r="S6920">
        <v>2.6889340000000002</v>
      </c>
      <c r="T6920">
        <v>-0.24575040000000001</v>
      </c>
      <c r="U6920">
        <v>-1.309021</v>
      </c>
      <c r="V6920">
        <v>-0.4383861</v>
      </c>
      <c r="W6920">
        <v>-4.7037429999999998E-2</v>
      </c>
      <c r="X6920">
        <v>0.89755509999999905</v>
      </c>
      <c r="Y6920">
        <v>-0.42421560000000003</v>
      </c>
      <c r="Z6920">
        <v>5.8787300000000001E-2</v>
      </c>
      <c r="AA6920">
        <v>0.90365099999999998</v>
      </c>
      <c r="AB6920">
        <v>17</v>
      </c>
      <c r="AC6920">
        <v>12.130899999999899</v>
      </c>
      <c r="AD6920">
        <v>-1.1157346646049999</v>
      </c>
      <c r="AE6920">
        <v>-5.8576699999999899</v>
      </c>
      <c r="AF6920">
        <v>-5.7458052933030404</v>
      </c>
      <c r="AG6920">
        <v>-1.1157346646049999</v>
      </c>
      <c r="AH6920">
        <v>12.082732012747201</v>
      </c>
      <c r="AI6920">
        <v>94.767000646961307</v>
      </c>
      <c r="AJ6920">
        <v>115.43289077460901</v>
      </c>
      <c r="AK6920">
        <v>13.425779500729799</v>
      </c>
      <c r="AL6920">
        <v>92.696040948619697</v>
      </c>
      <c r="AM6920">
        <v>116.03192377041201</v>
      </c>
      <c r="AN6920">
        <v>1.00000002501511</v>
      </c>
    </row>
    <row r="6921" spans="1:40" x14ac:dyDescent="0.25">
      <c r="A6921" t="str">
        <f>"20190305135102311"</f>
        <v>20190305135102311</v>
      </c>
      <c r="B6921" t="str">
        <f>"1551765062297345"</f>
        <v>1551765062297345</v>
      </c>
      <c r="C6921" t="s">
        <v>40</v>
      </c>
      <c r="D6921">
        <v>4.0080260000000001</v>
      </c>
      <c r="E6921">
        <v>0.50507239999999998</v>
      </c>
      <c r="F6921" t="s">
        <v>85</v>
      </c>
      <c r="G6921">
        <v>-285.22410000000002</v>
      </c>
      <c r="H6921" s="1">
        <v>-4.6506099999999998E-6</v>
      </c>
      <c r="I6921">
        <v>-55.036740000000002</v>
      </c>
      <c r="J6921">
        <v>-297.255</v>
      </c>
      <c r="K6921">
        <v>1.1155010000000001</v>
      </c>
      <c r="L6921">
        <v>-49.246429999999997</v>
      </c>
      <c r="M6921">
        <v>0.63138229999999995</v>
      </c>
      <c r="N6921">
        <v>-2.5931079999999999E-2</v>
      </c>
      <c r="O6921">
        <v>-0.77503820000000001</v>
      </c>
      <c r="P6921">
        <v>0.90501390000000004</v>
      </c>
      <c r="Q6921">
        <v>-6.6650360000000006E-2</v>
      </c>
      <c r="R6921">
        <v>-0.42012890000000003</v>
      </c>
      <c r="S6921">
        <v>2.6905519999999998</v>
      </c>
      <c r="T6921">
        <v>-0.24790999999999999</v>
      </c>
      <c r="U6921">
        <v>-1.305267</v>
      </c>
      <c r="V6921">
        <v>-0.43586190000000002</v>
      </c>
      <c r="W6921">
        <v>-4.7612519999999998E-2</v>
      </c>
      <c r="X6921">
        <v>0.89875329999999998</v>
      </c>
      <c r="Y6921">
        <v>-0.41948609999999997</v>
      </c>
      <c r="Z6921">
        <v>5.912916E-2</v>
      </c>
      <c r="AA6921">
        <v>0.90583400000000003</v>
      </c>
      <c r="AB6921">
        <v>17</v>
      </c>
      <c r="AC6921">
        <v>12.0308999999999</v>
      </c>
      <c r="AD6921">
        <v>-1.1155056506100001</v>
      </c>
      <c r="AE6921">
        <v>-5.7903099999999998</v>
      </c>
      <c r="AF6921">
        <v>-5.6311079519380502</v>
      </c>
      <c r="AG6921">
        <v>-1.1155056506100001</v>
      </c>
      <c r="AH6921">
        <v>12.004081769046</v>
      </c>
      <c r="AI6921">
        <v>94.808995592536803</v>
      </c>
      <c r="AJ6921">
        <v>115.13124704753101</v>
      </c>
      <c r="AK6921">
        <v>13.3060778872238</v>
      </c>
      <c r="AL6921">
        <v>92.729028149433901</v>
      </c>
      <c r="AM6921">
        <v>115.87165881199699</v>
      </c>
      <c r="AN6921">
        <v>1.00000002109662</v>
      </c>
    </row>
    <row r="6922" spans="1:40" x14ac:dyDescent="0.25">
      <c r="A6922" t="str">
        <f>"20190305135102324"</f>
        <v>20190305135102324</v>
      </c>
      <c r="B6922" t="str">
        <f>"1551765062316865"</f>
        <v>1551765062316865</v>
      </c>
      <c r="C6922" t="s">
        <v>40</v>
      </c>
      <c r="D6922">
        <v>4.0275189999999998</v>
      </c>
      <c r="E6922">
        <v>0.50549569999999999</v>
      </c>
      <c r="F6922" t="s">
        <v>85</v>
      </c>
      <c r="G6922">
        <v>-285.19889999999998</v>
      </c>
      <c r="H6922" s="1">
        <v>-4.6614360000000001E-6</v>
      </c>
      <c r="I6922">
        <v>-55.047139999999999</v>
      </c>
      <c r="J6922">
        <v>-297.18209999999999</v>
      </c>
      <c r="K6922">
        <v>1.1152850000000001</v>
      </c>
      <c r="L6922">
        <v>-49.324190000000002</v>
      </c>
      <c r="M6922">
        <v>0.63593330000000003</v>
      </c>
      <c r="N6922">
        <v>-2.5967609999999999E-2</v>
      </c>
      <c r="O6922">
        <v>-0.77130719999999997</v>
      </c>
      <c r="P6922">
        <v>0.90628280000000006</v>
      </c>
      <c r="Q6922">
        <v>-6.7586729999999998E-2</v>
      </c>
      <c r="R6922">
        <v>-0.41723320000000003</v>
      </c>
      <c r="S6922">
        <v>2.6946409999999998</v>
      </c>
      <c r="T6922">
        <v>-0.24932499999999999</v>
      </c>
      <c r="U6922">
        <v>-1.2965089999999999</v>
      </c>
      <c r="V6922">
        <v>-0.43341170000000001</v>
      </c>
      <c r="W6922">
        <v>-4.8214769999999997E-2</v>
      </c>
      <c r="X6922">
        <v>0.89990530000000002</v>
      </c>
      <c r="Y6922">
        <v>-0.41705170000000003</v>
      </c>
      <c r="Z6922">
        <v>5.9337649999999999E-2</v>
      </c>
      <c r="AA6922">
        <v>0.90694370000000002</v>
      </c>
      <c r="AB6922">
        <v>17</v>
      </c>
      <c r="AC6922">
        <v>11.9832</v>
      </c>
      <c r="AD6922">
        <v>-1.1152896614359999</v>
      </c>
      <c r="AE6922">
        <v>-5.7229499999999902</v>
      </c>
      <c r="AF6922">
        <v>-5.5659442224519102</v>
      </c>
      <c r="AG6922">
        <v>-1.1152896614359999</v>
      </c>
      <c r="AH6922">
        <v>11.9544066009903</v>
      </c>
      <c r="AI6922">
        <v>94.834412292824794</v>
      </c>
      <c r="AJ6922">
        <v>114.966578598429</v>
      </c>
      <c r="AK6922">
        <v>13.233723712476101</v>
      </c>
      <c r="AL6922">
        <v>92.763574385511802</v>
      </c>
      <c r="AM6922">
        <v>115.716360645884</v>
      </c>
      <c r="AN6922">
        <v>0.99999995735556502</v>
      </c>
    </row>
    <row r="6923" spans="1:40" x14ac:dyDescent="0.25">
      <c r="A6923" t="str">
        <f>"20190305135102339"</f>
        <v>20190305135102339</v>
      </c>
      <c r="B6923" t="str">
        <f>"1551765062326625"</f>
        <v>1551765062326625</v>
      </c>
      <c r="C6923" t="s">
        <v>40</v>
      </c>
      <c r="D6923">
        <v>4.0153379999999999</v>
      </c>
      <c r="E6923">
        <v>0.50574699999999995</v>
      </c>
      <c r="F6923" t="s">
        <v>85</v>
      </c>
      <c r="G6923">
        <v>-285.1884</v>
      </c>
      <c r="H6923" s="1">
        <v>-4.6635180000000004E-6</v>
      </c>
      <c r="I6923">
        <v>-55.064920000000001</v>
      </c>
      <c r="J6923">
        <v>-297.11750000000001</v>
      </c>
      <c r="K6923">
        <v>1.1150929999999999</v>
      </c>
      <c r="L6923">
        <v>-49.392490000000002</v>
      </c>
      <c r="M6923">
        <v>0.63982569999999905</v>
      </c>
      <c r="N6923">
        <v>-2.599725E-2</v>
      </c>
      <c r="O6923">
        <v>-0.76808019999999999</v>
      </c>
      <c r="P6923">
        <v>0.90720959999999995</v>
      </c>
      <c r="Q6923">
        <v>-6.7509520000000003E-2</v>
      </c>
      <c r="R6923">
        <v>-0.41522720000000002</v>
      </c>
      <c r="S6923">
        <v>2.6971440000000002</v>
      </c>
      <c r="T6923">
        <v>-0.25080789999999997</v>
      </c>
      <c r="U6923">
        <v>-1.290985</v>
      </c>
      <c r="V6923">
        <v>-0.43088349999999997</v>
      </c>
      <c r="W6923">
        <v>-4.7840460000000001E-2</v>
      </c>
      <c r="X6923">
        <v>0.90113849999999995</v>
      </c>
      <c r="Y6923">
        <v>-0.41427370000000002</v>
      </c>
      <c r="Z6923">
        <v>5.9566090000000002E-2</v>
      </c>
      <c r="AA6923">
        <v>0.90820109999999998</v>
      </c>
      <c r="AB6923">
        <v>17</v>
      </c>
      <c r="AC6923">
        <v>11.9291</v>
      </c>
      <c r="AD6923">
        <v>-1.1150976635179899</v>
      </c>
      <c r="AE6923">
        <v>-5.6724299999999896</v>
      </c>
      <c r="AF6923">
        <v>-5.4958433342892299</v>
      </c>
      <c r="AG6923">
        <v>-1.1150976635179899</v>
      </c>
      <c r="AH6923">
        <v>11.9086121535654</v>
      </c>
      <c r="AI6923">
        <v>94.859635914154197</v>
      </c>
      <c r="AJ6923">
        <v>114.773398517704</v>
      </c>
      <c r="AK6923">
        <v>13.1629320509634</v>
      </c>
      <c r="AL6923">
        <v>92.742103248864893</v>
      </c>
      <c r="AM6923">
        <v>115.55500863849301</v>
      </c>
      <c r="AN6923">
        <v>0.99999994818375404</v>
      </c>
    </row>
    <row r="6924" spans="1:40" x14ac:dyDescent="0.25">
      <c r="A6924" t="str">
        <f>"20190305135102352"</f>
        <v>20190305135102352</v>
      </c>
      <c r="B6924" t="str">
        <f>"1551765062347121"</f>
        <v>1551765062347121</v>
      </c>
      <c r="C6924" t="s">
        <v>40</v>
      </c>
      <c r="D6924">
        <v>4.0120100000000001</v>
      </c>
      <c r="E6924">
        <v>0.50616099999999997</v>
      </c>
      <c r="F6924" t="s">
        <v>85</v>
      </c>
      <c r="G6924">
        <v>-285.06180000000001</v>
      </c>
      <c r="H6924" s="1">
        <v>-4.713936E-6</v>
      </c>
      <c r="I6924">
        <v>-55.139710000000001</v>
      </c>
      <c r="J6924">
        <v>-297.05720000000002</v>
      </c>
      <c r="K6924">
        <v>1.114919</v>
      </c>
      <c r="L6924">
        <v>-49.456020000000002</v>
      </c>
      <c r="M6924">
        <v>0.64337819999999901</v>
      </c>
      <c r="N6924">
        <v>-2.602343E-2</v>
      </c>
      <c r="O6924">
        <v>-0.76510630000000002</v>
      </c>
      <c r="P6924">
        <v>0.90722239999999998</v>
      </c>
      <c r="Q6924">
        <v>-6.7237240000000004E-2</v>
      </c>
      <c r="R6924">
        <v>-0.4152438</v>
      </c>
      <c r="S6924">
        <v>2.699341</v>
      </c>
      <c r="T6924">
        <v>-0.24967629999999999</v>
      </c>
      <c r="U6924">
        <v>-1.286835</v>
      </c>
      <c r="V6924">
        <v>-0.42673349999999999</v>
      </c>
      <c r="W6924">
        <v>-4.7258380000000003E-2</v>
      </c>
      <c r="X6924">
        <v>0.90314190000000005</v>
      </c>
      <c r="Y6924">
        <v>-0.41151709999999903</v>
      </c>
      <c r="Z6924">
        <v>5.900627E-2</v>
      </c>
      <c r="AA6924">
        <v>0.90948989999999996</v>
      </c>
      <c r="AB6924">
        <v>16</v>
      </c>
      <c r="AC6924">
        <v>11.9954</v>
      </c>
      <c r="AD6924">
        <v>-1.114923713936</v>
      </c>
      <c r="AE6924">
        <v>-5.6836899999999897</v>
      </c>
      <c r="AF6924">
        <v>-5.4841721985744796</v>
      </c>
      <c r="AG6924">
        <v>-1.114923713936</v>
      </c>
      <c r="AH6924">
        <v>11.9857316327024</v>
      </c>
      <c r="AI6924">
        <v>94.834960226873307</v>
      </c>
      <c r="AJ6924">
        <v>114.586861609816</v>
      </c>
      <c r="AK6924">
        <v>13.2278857858192</v>
      </c>
      <c r="AL6924">
        <v>92.7087144418566</v>
      </c>
      <c r="AM6924">
        <v>115.290680053721</v>
      </c>
      <c r="AN6924">
        <v>1.00000006301904</v>
      </c>
    </row>
    <row r="6925" spans="1:40" x14ac:dyDescent="0.25">
      <c r="A6925" t="str">
        <f>"20190305135102367"</f>
        <v>20190305135102367</v>
      </c>
      <c r="B6925" t="str">
        <f>"1551765062356882"</f>
        <v>1551765062356882</v>
      </c>
      <c r="C6925" t="s">
        <v>40</v>
      </c>
      <c r="D6925">
        <v>4.0174560000000001</v>
      </c>
      <c r="E6925">
        <v>0.50637299999999996</v>
      </c>
      <c r="F6925" t="s">
        <v>85</v>
      </c>
      <c r="G6925">
        <v>-284.88889999999998</v>
      </c>
      <c r="H6925" s="1">
        <v>-4.7745639999999998E-6</v>
      </c>
      <c r="I6925">
        <v>-55.273440000000001</v>
      </c>
      <c r="J6925">
        <v>-296.97879999999998</v>
      </c>
      <c r="K6925">
        <v>1.1146860000000001</v>
      </c>
      <c r="L6925">
        <v>-49.537840000000003</v>
      </c>
      <c r="M6925">
        <v>0.64777259999999903</v>
      </c>
      <c r="N6925">
        <v>-2.6047520000000001E-2</v>
      </c>
      <c r="O6925">
        <v>-0.76138850000000002</v>
      </c>
      <c r="P6925">
        <v>0.90863510000000003</v>
      </c>
      <c r="Q6925">
        <v>-6.7287009999999994E-2</v>
      </c>
      <c r="R6925">
        <v>-0.41213470000000002</v>
      </c>
      <c r="S6925">
        <v>2.6980590000000002</v>
      </c>
      <c r="T6925">
        <v>-0.24721029999999999</v>
      </c>
      <c r="U6925">
        <v>-1.2898860000000001</v>
      </c>
      <c r="V6925">
        <v>-0.42465340000000001</v>
      </c>
      <c r="W6925">
        <v>-4.698741E-2</v>
      </c>
      <c r="X6925">
        <v>0.90413589999999999</v>
      </c>
      <c r="Y6925">
        <v>-0.40533190000000002</v>
      </c>
      <c r="Z6925">
        <v>5.7890160000000003E-2</v>
      </c>
      <c r="AA6925">
        <v>0.9123348</v>
      </c>
      <c r="AB6925">
        <v>16</v>
      </c>
      <c r="AC6925">
        <v>12.0899</v>
      </c>
      <c r="AD6925">
        <v>-1.114690774564</v>
      </c>
      <c r="AE6925">
        <v>-5.73559999999999</v>
      </c>
      <c r="AF6925">
        <v>-5.4537646055113003</v>
      </c>
      <c r="AG6925">
        <v>-1.114690774564</v>
      </c>
      <c r="AH6925">
        <v>12.1185724797212</v>
      </c>
      <c r="AI6925">
        <v>94.794707716048194</v>
      </c>
      <c r="AJ6925">
        <v>114.229345480037</v>
      </c>
      <c r="AK6925">
        <v>13.3358870286712</v>
      </c>
      <c r="AL6925">
        <v>92.693171838115504</v>
      </c>
      <c r="AM6925">
        <v>115.158445671766</v>
      </c>
      <c r="AN6925">
        <v>1.00000002624943</v>
      </c>
    </row>
    <row r="6926" spans="1:40" x14ac:dyDescent="0.25">
      <c r="A6926" t="str">
        <f>"20190305135102384"</f>
        <v>20190305135102384</v>
      </c>
      <c r="B6926" t="str">
        <f>"1551765062376401"</f>
        <v>1551765062376401</v>
      </c>
      <c r="C6926" t="s">
        <v>40</v>
      </c>
      <c r="D6926">
        <v>4.0615399999999999</v>
      </c>
      <c r="E6926">
        <v>0.50674929999999996</v>
      </c>
      <c r="F6926" t="s">
        <v>85</v>
      </c>
      <c r="G6926">
        <v>-284.75310000000002</v>
      </c>
      <c r="H6926" s="1">
        <v>-4.8259550000000003E-6</v>
      </c>
      <c r="I6926">
        <v>-55.340229999999998</v>
      </c>
      <c r="J6926">
        <v>-296.89819999999997</v>
      </c>
      <c r="K6926">
        <v>1.114441</v>
      </c>
      <c r="L6926">
        <v>-49.621459999999999</v>
      </c>
      <c r="M6926">
        <v>0.6520629</v>
      </c>
      <c r="N6926">
        <v>-2.6062829999999999E-2</v>
      </c>
      <c r="O6926">
        <v>-0.75771679999999997</v>
      </c>
      <c r="P6926">
        <v>0.90908840000000002</v>
      </c>
      <c r="Q6926">
        <v>-6.8357570000000006E-2</v>
      </c>
      <c r="R6926">
        <v>-0.41095739999999997</v>
      </c>
      <c r="S6926">
        <v>2.701813</v>
      </c>
      <c r="T6926">
        <v>-0.246339</v>
      </c>
      <c r="U6926">
        <v>-1.2822880000000001</v>
      </c>
      <c r="V6926">
        <v>-0.42068159999999999</v>
      </c>
      <c r="W6926">
        <v>-4.7705829999999998E-2</v>
      </c>
      <c r="X6926">
        <v>0.90595320000000001</v>
      </c>
      <c r="Y6926">
        <v>-0.40278370000000002</v>
      </c>
      <c r="Z6926">
        <v>5.7407199999999999E-2</v>
      </c>
      <c r="AA6926">
        <v>0.91349320000000001</v>
      </c>
      <c r="AB6926">
        <v>16</v>
      </c>
      <c r="AC6926">
        <v>12.1450999999999</v>
      </c>
      <c r="AD6926">
        <v>-1.1144458259550001</v>
      </c>
      <c r="AE6926">
        <v>-5.7187700000000001</v>
      </c>
      <c r="AF6926">
        <v>-5.4379302529153097</v>
      </c>
      <c r="AG6926">
        <v>-1.1144458259550001</v>
      </c>
      <c r="AH6926">
        <v>12.172845404932</v>
      </c>
      <c r="AI6926">
        <v>94.778254062024104</v>
      </c>
      <c r="AJ6926">
        <v>114.07157193489201</v>
      </c>
      <c r="AK6926">
        <v>13.378760786669799</v>
      </c>
      <c r="AL6926">
        <v>92.734380482572902</v>
      </c>
      <c r="AM6926">
        <v>114.907914956372</v>
      </c>
      <c r="AN6926">
        <v>1.0000000276923899</v>
      </c>
    </row>
    <row r="6927" spans="1:40" x14ac:dyDescent="0.25">
      <c r="A6927" t="str">
        <f>"20190305135102399"</f>
        <v>20190305135102399</v>
      </c>
      <c r="B6927" t="str">
        <f>"1551765062387137"</f>
        <v>1551765062387137</v>
      </c>
      <c r="C6927" t="s">
        <v>40</v>
      </c>
      <c r="D6927">
        <v>4.0472239999999999</v>
      </c>
      <c r="E6927">
        <v>0.50692530000000002</v>
      </c>
      <c r="F6927" t="s">
        <v>85</v>
      </c>
      <c r="G6927">
        <v>-284.75130000000001</v>
      </c>
      <c r="H6927" s="1">
        <v>-4.8191409999999998E-6</v>
      </c>
      <c r="I6927">
        <v>-55.382919999999999</v>
      </c>
      <c r="J6927">
        <v>-296.82639999999998</v>
      </c>
      <c r="K6927">
        <v>1.1142099999999999</v>
      </c>
      <c r="L6927">
        <v>-49.695529999999998</v>
      </c>
      <c r="M6927">
        <v>0.65569100000000002</v>
      </c>
      <c r="N6927">
        <v>-2.6070389999999999E-2</v>
      </c>
      <c r="O6927">
        <v>-0.75457940000000001</v>
      </c>
      <c r="P6927">
        <v>0.90987779999999996</v>
      </c>
      <c r="Q6927">
        <v>-6.9364620000000002E-2</v>
      </c>
      <c r="R6927">
        <v>-0.40903689999999998</v>
      </c>
      <c r="S6927">
        <v>2.702026</v>
      </c>
      <c r="T6927">
        <v>-0.24790429999999999</v>
      </c>
      <c r="U6927">
        <v>-1.2816160000000001</v>
      </c>
      <c r="V6927">
        <v>-0.41821320000000001</v>
      </c>
      <c r="W6927">
        <v>-4.842217E-2</v>
      </c>
      <c r="X6927">
        <v>0.90705729999999996</v>
      </c>
      <c r="Y6927">
        <v>-0.39858589999999999</v>
      </c>
      <c r="Z6927">
        <v>5.7605249999999997E-2</v>
      </c>
      <c r="AA6927">
        <v>0.91532020000000003</v>
      </c>
      <c r="AB6927">
        <v>16</v>
      </c>
      <c r="AC6927">
        <v>12.0750999999999</v>
      </c>
      <c r="AD6927">
        <v>-1.114214819141</v>
      </c>
      <c r="AE6927">
        <v>-5.6873899999999997</v>
      </c>
      <c r="AF6927">
        <v>-5.3470193339687002</v>
      </c>
      <c r="AG6927">
        <v>-1.114214819141</v>
      </c>
      <c r="AH6927">
        <v>12.128750745094299</v>
      </c>
      <c r="AI6927">
        <v>94.804955185432306</v>
      </c>
      <c r="AJ6927">
        <v>113.79051943361701</v>
      </c>
      <c r="AK6927">
        <v>13.3018301394077</v>
      </c>
      <c r="AL6927">
        <v>92.775471401724701</v>
      </c>
      <c r="AM6927">
        <v>114.75281604688</v>
      </c>
      <c r="AN6927">
        <v>0.99999996634251798</v>
      </c>
    </row>
    <row r="6928" spans="1:40" x14ac:dyDescent="0.25">
      <c r="A6928" t="str">
        <f>"20190305135102415"</f>
        <v>20190305135102415</v>
      </c>
      <c r="B6928" t="str">
        <f>"1551765062406657"</f>
        <v>1551765062406657</v>
      </c>
      <c r="C6928" t="s">
        <v>40</v>
      </c>
      <c r="D6928">
        <v>4.0331849999999996</v>
      </c>
      <c r="E6928">
        <v>0.51343439999999996</v>
      </c>
      <c r="F6928" t="s">
        <v>85</v>
      </c>
      <c r="G6928">
        <v>-284.79399999999998</v>
      </c>
      <c r="H6928" s="1">
        <v>-4.7999699999999901E-6</v>
      </c>
      <c r="I6928">
        <v>-55.378979999999999</v>
      </c>
      <c r="J6928">
        <v>-296.75189999999998</v>
      </c>
      <c r="K6928">
        <v>1.11396299999999</v>
      </c>
      <c r="L6928">
        <v>-49.771999999999998</v>
      </c>
      <c r="M6928">
        <v>0.65926890000000005</v>
      </c>
      <c r="N6928">
        <v>-2.6073610000000001E-2</v>
      </c>
      <c r="O6928">
        <v>-0.75145519999999999</v>
      </c>
      <c r="P6928">
        <v>0.91070209999999996</v>
      </c>
      <c r="Q6928">
        <v>-7.0729269999999997E-2</v>
      </c>
      <c r="R6928">
        <v>-0.40696329999999997</v>
      </c>
      <c r="S6928">
        <v>2.7039179999999998</v>
      </c>
      <c r="T6928">
        <v>-0.25038729999999998</v>
      </c>
      <c r="U6928">
        <v>-1.277191</v>
      </c>
      <c r="V6928">
        <v>-0.41591410000000001</v>
      </c>
      <c r="W6928">
        <v>-4.9490949999999999E-2</v>
      </c>
      <c r="X6928">
        <v>0.90805619999999998</v>
      </c>
      <c r="Y6928">
        <v>-0.3956596</v>
      </c>
      <c r="Z6928">
        <v>5.8125129999999997E-2</v>
      </c>
      <c r="AA6928">
        <v>0.91655609999999998</v>
      </c>
      <c r="AB6928">
        <v>16</v>
      </c>
      <c r="AC6928">
        <v>11.957899999999899</v>
      </c>
      <c r="AD6928">
        <v>-1.11396779996999</v>
      </c>
      <c r="AE6928">
        <v>-5.6069800000000001</v>
      </c>
      <c r="AF6928">
        <v>-5.2537407472481297</v>
      </c>
      <c r="AG6928">
        <v>-1.11396779996999</v>
      </c>
      <c r="AH6928">
        <v>12.015498002892601</v>
      </c>
      <c r="AI6928">
        <v>94.855372520980893</v>
      </c>
      <c r="AJ6928">
        <v>113.617210775591</v>
      </c>
      <c r="AK6928">
        <v>13.1611134922613</v>
      </c>
      <c r="AL6928">
        <v>92.836781474598695</v>
      </c>
      <c r="AM6928">
        <v>114.609050280801</v>
      </c>
      <c r="AN6928">
        <v>0.99999997753457504</v>
      </c>
    </row>
    <row r="6929" spans="1:40" x14ac:dyDescent="0.25">
      <c r="A6929" t="str">
        <f>"20190305135102430"</f>
        <v>20190305135102430</v>
      </c>
      <c r="B6929" t="str">
        <f>"1551765062416417"</f>
        <v>1551765062416417</v>
      </c>
      <c r="C6929" t="s">
        <v>40</v>
      </c>
      <c r="D6929">
        <v>4.0352560000000004</v>
      </c>
      <c r="E6929">
        <v>0.51341930000000002</v>
      </c>
      <c r="F6929" t="s">
        <v>85</v>
      </c>
      <c r="G6929">
        <v>-283.84050000000002</v>
      </c>
      <c r="H6929" s="1">
        <v>-5.1143030000000002E-6</v>
      </c>
      <c r="I6929">
        <v>-56.108440000000002</v>
      </c>
      <c r="J6929">
        <v>-296.68520000000001</v>
      </c>
      <c r="K6929">
        <v>1.11372</v>
      </c>
      <c r="L6929">
        <v>-49.840240000000001</v>
      </c>
      <c r="M6929">
        <v>0.66232559999999996</v>
      </c>
      <c r="N6929">
        <v>-2.6073410000000002E-2</v>
      </c>
      <c r="O6929">
        <v>-0.7487625</v>
      </c>
      <c r="P6929">
        <v>0.9104816</v>
      </c>
      <c r="Q6929">
        <v>-7.2066080000000005E-2</v>
      </c>
      <c r="R6929">
        <v>-0.40722229999999998</v>
      </c>
      <c r="S6929">
        <v>2.6869200000000002</v>
      </c>
      <c r="T6929">
        <v>-0.23182059999999999</v>
      </c>
      <c r="U6929">
        <v>-1.3186340000000001</v>
      </c>
      <c r="V6929">
        <v>-0.4119003</v>
      </c>
      <c r="W6929">
        <v>-5.0529770000000002E-2</v>
      </c>
      <c r="X6929">
        <v>0.90982680000000005</v>
      </c>
      <c r="Y6929">
        <v>-0.3785753</v>
      </c>
      <c r="Z6929">
        <v>5.1850359999999998E-2</v>
      </c>
      <c r="AA6929">
        <v>0.92411699999999997</v>
      </c>
      <c r="AB6929">
        <v>15</v>
      </c>
      <c r="AC6929">
        <v>12.8446999999999</v>
      </c>
      <c r="AD6929">
        <v>-1.113725114303</v>
      </c>
      <c r="AE6929">
        <v>-6.2682000000000002</v>
      </c>
      <c r="AF6929">
        <v>-5.4348973243943499</v>
      </c>
      <c r="AG6929">
        <v>-1.113725114303</v>
      </c>
      <c r="AH6929">
        <v>13.125554719903199</v>
      </c>
      <c r="AI6929">
        <v>94.482631187973197</v>
      </c>
      <c r="AJ6929">
        <v>112.492974557018</v>
      </c>
      <c r="AK6929">
        <v>14.2498659383908</v>
      </c>
      <c r="AL6929">
        <v>92.896376100743495</v>
      </c>
      <c r="AM6929">
        <v>114.35739724675599</v>
      </c>
      <c r="AN6929">
        <v>0.99999996039729</v>
      </c>
    </row>
    <row r="6930" spans="1:40" x14ac:dyDescent="0.25">
      <c r="A6930" t="str">
        <f>"20190305135102452"</f>
        <v>20190305135102452</v>
      </c>
      <c r="B6930" t="str">
        <f>"1551765062446673"</f>
        <v>1551765062446673</v>
      </c>
      <c r="C6930" t="s">
        <v>40</v>
      </c>
      <c r="D6930">
        <v>4.0776529999999998</v>
      </c>
      <c r="E6930">
        <v>0.51358689999999996</v>
      </c>
      <c r="F6930" t="s">
        <v>85</v>
      </c>
      <c r="G6930">
        <v>-284.24549999999999</v>
      </c>
      <c r="H6930" s="1">
        <v>-4.9537599999999996E-6</v>
      </c>
      <c r="I6930">
        <v>-55.950510000000001</v>
      </c>
      <c r="J6930">
        <v>-296.58159999999998</v>
      </c>
      <c r="K6930">
        <v>1.113381</v>
      </c>
      <c r="L6930">
        <v>-49.945770000000003</v>
      </c>
      <c r="M6930">
        <v>0.66669259999999997</v>
      </c>
      <c r="N6930">
        <v>-2.6107120000000001E-2</v>
      </c>
      <c r="O6930">
        <v>-0.74487559999999997</v>
      </c>
      <c r="P6930">
        <v>0.91151309999999997</v>
      </c>
      <c r="Q6930">
        <v>-7.3439840000000006E-2</v>
      </c>
      <c r="R6930">
        <v>-0.4046613</v>
      </c>
      <c r="S6930">
        <v>2.685883</v>
      </c>
      <c r="T6930">
        <v>-0.2404656</v>
      </c>
      <c r="U6930">
        <v>-1.319275</v>
      </c>
      <c r="V6930">
        <v>-0.40909499999999999</v>
      </c>
      <c r="W6930">
        <v>-5.1484469999999997E-2</v>
      </c>
      <c r="X6930">
        <v>0.91103820000000002</v>
      </c>
      <c r="Y6930">
        <v>-0.37269279999999999</v>
      </c>
      <c r="Z6930">
        <v>5.4017839999999998E-2</v>
      </c>
      <c r="AA6930">
        <v>0.92638120000000002</v>
      </c>
      <c r="AB6930">
        <v>15</v>
      </c>
      <c r="AC6930">
        <v>12.336099999999901</v>
      </c>
      <c r="AD6930">
        <v>-1.1133859537599999</v>
      </c>
      <c r="AE6930">
        <v>-6.0047399999999902</v>
      </c>
      <c r="AF6930">
        <v>-5.1533740708486597</v>
      </c>
      <c r="AG6930">
        <v>-1.1133859537599999</v>
      </c>
      <c r="AH6930">
        <v>12.618400144042599</v>
      </c>
      <c r="AI6930">
        <v>94.6698639014771</v>
      </c>
      <c r="AJ6930">
        <v>112.21518015869501</v>
      </c>
      <c r="AK6930">
        <v>13.6755590303029</v>
      </c>
      <c r="AL6930">
        <v>92.951147607513406</v>
      </c>
      <c r="AM6930">
        <v>114.182113518973</v>
      </c>
      <c r="AN6930">
        <v>0.99999998576770999</v>
      </c>
    </row>
    <row r="6931" spans="1:40" x14ac:dyDescent="0.25">
      <c r="A6931" t="str">
        <f>"20190305135102474"</f>
        <v>20190305135102474</v>
      </c>
      <c r="B6931" t="str">
        <f>"1551765062467169"</f>
        <v>1551765062467169</v>
      </c>
      <c r="C6931" t="s">
        <v>40</v>
      </c>
      <c r="D6931">
        <v>4.0657690000000004</v>
      </c>
      <c r="E6931">
        <v>0.51372899999999999</v>
      </c>
      <c r="F6931" t="s">
        <v>85</v>
      </c>
      <c r="G6931">
        <v>-284.34230000000002</v>
      </c>
      <c r="H6931" s="1">
        <v>-4.9135849999999996E-6</v>
      </c>
      <c r="I6931">
        <v>-55.922759999999997</v>
      </c>
      <c r="J6931">
        <v>-296.48259999999999</v>
      </c>
      <c r="K6931">
        <v>1.113146</v>
      </c>
      <c r="L6931">
        <v>-50.04636</v>
      </c>
      <c r="M6931">
        <v>0.67046640000000002</v>
      </c>
      <c r="N6931">
        <v>-2.6519310000000001E-2</v>
      </c>
      <c r="O6931">
        <v>-0.74146590000000001</v>
      </c>
      <c r="P6931">
        <v>0.91260889999999995</v>
      </c>
      <c r="Q6931">
        <v>-7.6226459999999996E-2</v>
      </c>
      <c r="R6931">
        <v>-0.4016651</v>
      </c>
      <c r="S6931">
        <v>2.688599</v>
      </c>
      <c r="T6931">
        <v>-0.24457619999999999</v>
      </c>
      <c r="U6931">
        <v>-1.3129580000000001</v>
      </c>
      <c r="V6931">
        <v>-0.40731830000000002</v>
      </c>
      <c r="W6931">
        <v>-5.3533820000000003E-2</v>
      </c>
      <c r="X6931">
        <v>0.91171590000000002</v>
      </c>
      <c r="Y6931">
        <v>-0.37003589999999997</v>
      </c>
      <c r="Z6931">
        <v>5.475004E-2</v>
      </c>
      <c r="AA6931">
        <v>0.92740270000000002</v>
      </c>
      <c r="AB6931">
        <v>15</v>
      </c>
      <c r="AC6931">
        <v>12.1402999999999</v>
      </c>
      <c r="AD6931">
        <v>-1.113150913585</v>
      </c>
      <c r="AE6931">
        <v>-5.8763999999999896</v>
      </c>
      <c r="AF6931">
        <v>-5.0292146545059904</v>
      </c>
      <c r="AG6931">
        <v>-1.113150913585</v>
      </c>
      <c r="AH6931">
        <v>12.416635729711</v>
      </c>
      <c r="AI6931">
        <v>94.749952216905001</v>
      </c>
      <c r="AJ6931">
        <v>112.049839094574</v>
      </c>
      <c r="AK6931">
        <v>13.4426540475402</v>
      </c>
      <c r="AL6931">
        <v>93.068728979355498</v>
      </c>
      <c r="AM6931">
        <v>114.07318677696399</v>
      </c>
      <c r="AN6931">
        <v>0.99999997485574499</v>
      </c>
    </row>
    <row r="6932" spans="1:40" x14ac:dyDescent="0.25">
      <c r="A6932" t="str">
        <f>"20190305135102488"</f>
        <v>20190305135102488</v>
      </c>
      <c r="B6932" t="str">
        <f>"1551765062476929"</f>
        <v>1551765062476929</v>
      </c>
      <c r="C6932" t="s">
        <v>40</v>
      </c>
      <c r="D6932">
        <v>4.073569</v>
      </c>
      <c r="E6932">
        <v>0.51389209999999996</v>
      </c>
      <c r="F6932" t="s">
        <v>85</v>
      </c>
      <c r="G6932">
        <v>-284.6216</v>
      </c>
      <c r="H6932" s="1">
        <v>-4.8057709999999996E-6</v>
      </c>
      <c r="I6932">
        <v>-55.797519999999999</v>
      </c>
      <c r="J6932">
        <v>-296.41829999999999</v>
      </c>
      <c r="K6932">
        <v>1.113013</v>
      </c>
      <c r="L6932">
        <v>-50.11148</v>
      </c>
      <c r="M6932">
        <v>0.67274449999999997</v>
      </c>
      <c r="N6932">
        <v>-2.684723E-2</v>
      </c>
      <c r="O6932">
        <v>-0.73938780000000004</v>
      </c>
      <c r="P6932">
        <v>0.91325690000000004</v>
      </c>
      <c r="Q6932">
        <v>-7.8411259999999997E-2</v>
      </c>
      <c r="R6932">
        <v>-0.39976719999999999</v>
      </c>
      <c r="S6932">
        <v>2.6917420000000001</v>
      </c>
      <c r="T6932">
        <v>-0.25262000000000001</v>
      </c>
      <c r="U6932">
        <v>-1.3051759999999999</v>
      </c>
      <c r="V6932">
        <v>-0.40628809999999999</v>
      </c>
      <c r="W6932">
        <v>-5.5198459999999998E-2</v>
      </c>
      <c r="X6932">
        <v>0.9120762</v>
      </c>
      <c r="Y6932">
        <v>-0.3696141</v>
      </c>
      <c r="Z6932">
        <v>5.6801160000000003E-2</v>
      </c>
      <c r="AA6932">
        <v>0.92744760000000004</v>
      </c>
      <c r="AB6932">
        <v>15</v>
      </c>
      <c r="AC6932">
        <v>11.7966999999999</v>
      </c>
      <c r="AD6932">
        <v>-1.1130178057709901</v>
      </c>
      <c r="AE6932">
        <v>-5.6860399999999904</v>
      </c>
      <c r="AF6932">
        <v>-4.8637152671977599</v>
      </c>
      <c r="AG6932">
        <v>-1.1130178057709901</v>
      </c>
      <c r="AH6932">
        <v>12.057629462087601</v>
      </c>
      <c r="AI6932">
        <v>94.892937792075898</v>
      </c>
      <c r="AJ6932">
        <v>111.967789557942</v>
      </c>
      <c r="AK6932">
        <v>13.049174804612701</v>
      </c>
      <c r="AL6932">
        <v>93.164247206955295</v>
      </c>
      <c r="AM6932">
        <v>114.0107786686</v>
      </c>
      <c r="AN6932">
        <v>0.99999994239720902</v>
      </c>
    </row>
    <row r="6933" spans="1:40" x14ac:dyDescent="0.25">
      <c r="A6933" t="str">
        <f>"20190305135102508"</f>
        <v>20190305135102508</v>
      </c>
      <c r="B6933" t="str">
        <f>"1551765062496449"</f>
        <v>1551765062496449</v>
      </c>
      <c r="C6933" t="s">
        <v>40</v>
      </c>
      <c r="D6933">
        <v>4.0966370000000003</v>
      </c>
      <c r="E6933">
        <v>0.51392970000000004</v>
      </c>
      <c r="F6933" t="s">
        <v>85</v>
      </c>
      <c r="G6933">
        <v>-284.78699999999998</v>
      </c>
      <c r="H6933" s="1">
        <v>-4.7409830000000002E-6</v>
      </c>
      <c r="I6933">
        <v>-55.728749999999998</v>
      </c>
      <c r="J6933">
        <v>-296.33679999999998</v>
      </c>
      <c r="K6933">
        <v>1.1128340000000001</v>
      </c>
      <c r="L6933">
        <v>-50.19397</v>
      </c>
      <c r="M6933">
        <v>0.67533869999999996</v>
      </c>
      <c r="N6933">
        <v>-2.696376E-2</v>
      </c>
      <c r="O6933">
        <v>-0.73701490000000003</v>
      </c>
      <c r="P6933">
        <v>0.9142325</v>
      </c>
      <c r="Q6933">
        <v>-7.9907590000000001E-2</v>
      </c>
      <c r="R6933">
        <v>-0.397233</v>
      </c>
      <c r="S6933">
        <v>2.69339</v>
      </c>
      <c r="T6933">
        <v>-0.25773360000000001</v>
      </c>
      <c r="U6933">
        <v>-1.300751</v>
      </c>
      <c r="V6933">
        <v>-0.4055358</v>
      </c>
      <c r="W6933">
        <v>-5.6401300000000001E-2</v>
      </c>
      <c r="X6933">
        <v>0.91233750000000002</v>
      </c>
      <c r="Y6933">
        <v>-0.3677088</v>
      </c>
      <c r="Z6933">
        <v>5.8051650000000003E-2</v>
      </c>
      <c r="AA6933">
        <v>0.92812729999999999</v>
      </c>
      <c r="AB6933">
        <v>15</v>
      </c>
      <c r="AC6933">
        <v>11.5497999999999</v>
      </c>
      <c r="AD6933">
        <v>-1.1128387409829901</v>
      </c>
      <c r="AE6933">
        <v>-5.5347799999999898</v>
      </c>
      <c r="AF6933">
        <v>-4.7404695714601299</v>
      </c>
      <c r="AG6933">
        <v>-1.1128387409829901</v>
      </c>
      <c r="AH6933">
        <v>11.794514293426399</v>
      </c>
      <c r="AI6933">
        <v>95.003244196534993</v>
      </c>
      <c r="AJ6933">
        <v>111.89625794547899</v>
      </c>
      <c r="AK6933">
        <v>12.7601343738697</v>
      </c>
      <c r="AL6933">
        <v>93.233272056321894</v>
      </c>
      <c r="AM6933">
        <v>113.965240380037</v>
      </c>
      <c r="AN6933">
        <v>1.0000000528147801</v>
      </c>
    </row>
    <row r="6934" spans="1:40" x14ac:dyDescent="0.25">
      <c r="A6934" t="str">
        <f>"20190305135102524"</f>
        <v>20190305135102524</v>
      </c>
      <c r="B6934" t="str">
        <f>"1551765062516945"</f>
        <v>1551765062516945</v>
      </c>
      <c r="C6934" t="s">
        <v>40</v>
      </c>
      <c r="D6934">
        <v>4.0908519999999999</v>
      </c>
      <c r="E6934">
        <v>0.51650609999999997</v>
      </c>
      <c r="F6934" t="s">
        <v>85</v>
      </c>
      <c r="G6934">
        <v>-284.8546</v>
      </c>
      <c r="H6934" s="1">
        <v>-4.7141689999999999E-6</v>
      </c>
      <c r="I6934">
        <v>-55.702489999999997</v>
      </c>
      <c r="J6934">
        <v>-296.26310000000001</v>
      </c>
      <c r="K6934">
        <v>1.112582</v>
      </c>
      <c r="L6934">
        <v>-50.268549999999998</v>
      </c>
      <c r="M6934">
        <v>0.67745259999999996</v>
      </c>
      <c r="N6934">
        <v>-2.671395E-2</v>
      </c>
      <c r="O6934">
        <v>-0.73508119999999999</v>
      </c>
      <c r="P6934">
        <v>0.91530160000000005</v>
      </c>
      <c r="Q6934">
        <v>-7.9636479999999996E-2</v>
      </c>
      <c r="R6934">
        <v>-0.3948179</v>
      </c>
      <c r="S6934">
        <v>2.6965330000000001</v>
      </c>
      <c r="T6934">
        <v>-0.26134309999999999</v>
      </c>
      <c r="U6934">
        <v>-1.2936399999999999</v>
      </c>
      <c r="V6934">
        <v>-0.40537000000000001</v>
      </c>
      <c r="W6934">
        <v>-5.6193220000000002E-2</v>
      </c>
      <c r="X6934">
        <v>0.91242400000000001</v>
      </c>
      <c r="Y6934">
        <v>-0.3673768</v>
      </c>
      <c r="Z6934">
        <v>5.9162510000000001E-2</v>
      </c>
      <c r="AA6934">
        <v>0.92818860000000003</v>
      </c>
      <c r="AB6934">
        <v>14</v>
      </c>
      <c r="AC6934">
        <v>11.4085</v>
      </c>
      <c r="AD6934">
        <v>-1.112586714169</v>
      </c>
      <c r="AE6934">
        <v>-5.4339399999999998</v>
      </c>
      <c r="AF6934">
        <v>-4.6704117570196004</v>
      </c>
      <c r="AG6934">
        <v>-1.112586714169</v>
      </c>
      <c r="AH6934">
        <v>11.6370797228908</v>
      </c>
      <c r="AI6934">
        <v>95.070455169166493</v>
      </c>
      <c r="AJ6934">
        <v>111.867506792687</v>
      </c>
      <c r="AK6934">
        <v>12.588574965164501</v>
      </c>
      <c r="AL6934">
        <v>93.221331069652905</v>
      </c>
      <c r="AM6934">
        <v>113.95452968663299</v>
      </c>
      <c r="AN6934">
        <v>1.0000000353249801</v>
      </c>
    </row>
    <row r="6935" spans="1:40" x14ac:dyDescent="0.25">
      <c r="A6935" t="str">
        <f>"20190305135102541"</f>
        <v>20190305135102541</v>
      </c>
      <c r="B6935" t="str">
        <f>"1551765062536465"</f>
        <v>1551765062536465</v>
      </c>
      <c r="C6935" t="s">
        <v>40</v>
      </c>
      <c r="D6935">
        <v>4.1063130000000001</v>
      </c>
      <c r="E6935">
        <v>0.51732869999999997</v>
      </c>
      <c r="F6935" t="s">
        <v>85</v>
      </c>
      <c r="G6935">
        <v>-283.55380000000002</v>
      </c>
      <c r="H6935" s="1">
        <v>-5.1911670000000001E-6</v>
      </c>
      <c r="I6935">
        <v>-56.426639999999999</v>
      </c>
      <c r="J6935">
        <v>-296.19200000000001</v>
      </c>
      <c r="K6935">
        <v>1.1122890000000001</v>
      </c>
      <c r="L6935">
        <v>-50.340580000000003</v>
      </c>
      <c r="M6935">
        <v>0.67931919999999901</v>
      </c>
      <c r="N6935">
        <v>-2.633661E-2</v>
      </c>
      <c r="O6935">
        <v>-0.73337010000000002</v>
      </c>
      <c r="P6935">
        <v>0.91646000000000005</v>
      </c>
      <c r="Q6935">
        <v>-7.7770370000000005E-2</v>
      </c>
      <c r="R6935">
        <v>-0.3924955</v>
      </c>
      <c r="S6935">
        <v>2.6940309999999998</v>
      </c>
      <c r="T6935">
        <v>-0.2358403</v>
      </c>
      <c r="U6935">
        <v>-1.3053589999999999</v>
      </c>
      <c r="V6935">
        <v>-0.40551900000000002</v>
      </c>
      <c r="W6935">
        <v>-5.4480359999999999E-2</v>
      </c>
      <c r="X6935">
        <v>0.91246159999999998</v>
      </c>
      <c r="Y6935">
        <v>-0.36192809999999997</v>
      </c>
      <c r="Z6935">
        <v>5.1732809999999997E-2</v>
      </c>
      <c r="AA6935">
        <v>0.93076939999999997</v>
      </c>
      <c r="AB6935">
        <v>14</v>
      </c>
      <c r="AC6935">
        <v>12.6381999999999</v>
      </c>
      <c r="AD6935">
        <v>-1.1122941911669999</v>
      </c>
      <c r="AE6935">
        <v>-6.0860599999999998</v>
      </c>
      <c r="AF6935">
        <v>-5.1037911212789098</v>
      </c>
      <c r="AG6935">
        <v>-1.1122941911669999</v>
      </c>
      <c r="AH6935">
        <v>12.9716725353024</v>
      </c>
      <c r="AI6935">
        <v>94.562177875581199</v>
      </c>
      <c r="AJ6935">
        <v>111.47748808451</v>
      </c>
      <c r="AK6935">
        <v>13.9839254338854</v>
      </c>
      <c r="AL6935">
        <v>93.123041009927206</v>
      </c>
      <c r="AM6935">
        <v>113.961467066475</v>
      </c>
      <c r="AN6935">
        <v>0.99999997023064402</v>
      </c>
    </row>
    <row r="6936" spans="1:40" x14ac:dyDescent="0.25">
      <c r="A6936" t="str">
        <f>"20190305135102564"</f>
        <v>20190305135102564</v>
      </c>
      <c r="B6936" t="str">
        <f>"1551765062556978"</f>
        <v>1551765062556978</v>
      </c>
      <c r="C6936" t="s">
        <v>40</v>
      </c>
      <c r="D6936">
        <v>4.1264719999999997</v>
      </c>
      <c r="E6936">
        <v>0.517841</v>
      </c>
      <c r="F6936" t="s">
        <v>85</v>
      </c>
      <c r="G6936">
        <v>-283.15589999999997</v>
      </c>
      <c r="H6936" s="1">
        <v>-5.3366940000000003E-6</v>
      </c>
      <c r="I6936">
        <v>-56.650570000000002</v>
      </c>
      <c r="J6936">
        <v>-296.0933</v>
      </c>
      <c r="K6936">
        <v>1.111858</v>
      </c>
      <c r="L6936">
        <v>-50.440770000000001</v>
      </c>
      <c r="M6936">
        <v>0.68167069999999996</v>
      </c>
      <c r="N6936">
        <v>-2.5812950000000001E-2</v>
      </c>
      <c r="O6936">
        <v>-0.73120390000000002</v>
      </c>
      <c r="P6936">
        <v>0.91731910000000005</v>
      </c>
      <c r="Q6936">
        <v>-7.6331029999999994E-2</v>
      </c>
      <c r="R6936">
        <v>-0.39076810000000001</v>
      </c>
      <c r="S6936">
        <v>2.6952210000000001</v>
      </c>
      <c r="T6936">
        <v>-0.2299677</v>
      </c>
      <c r="U6936">
        <v>-1.3045960000000001</v>
      </c>
      <c r="V6936">
        <v>-0.40445300000000001</v>
      </c>
      <c r="W6936">
        <v>-5.3192379999999997E-2</v>
      </c>
      <c r="X6936">
        <v>0.91301049999999995</v>
      </c>
      <c r="Y6936">
        <v>-0.3594292</v>
      </c>
      <c r="Z6936">
        <v>5.0191600000000003E-2</v>
      </c>
      <c r="AA6936">
        <v>0.93182160000000003</v>
      </c>
      <c r="AB6936">
        <v>14</v>
      </c>
      <c r="AC6936">
        <v>12.9374</v>
      </c>
      <c r="AD6936">
        <v>-1.1118633366940001</v>
      </c>
      <c r="AE6936">
        <v>-6.2097999999999898</v>
      </c>
      <c r="AF6936">
        <v>-5.1973800658705498</v>
      </c>
      <c r="AG6936">
        <v>-1.1118633366940001</v>
      </c>
      <c r="AH6936">
        <v>13.284381113765001</v>
      </c>
      <c r="AI6936">
        <v>94.4568493333297</v>
      </c>
      <c r="AJ6936">
        <v>111.367420414577</v>
      </c>
      <c r="AK6936">
        <v>14.3081718330592</v>
      </c>
      <c r="AL6936">
        <v>93.049138174303096</v>
      </c>
      <c r="AM6936">
        <v>113.89278382144199</v>
      </c>
      <c r="AN6936">
        <v>0.99999991580465297</v>
      </c>
    </row>
    <row r="6937" spans="1:40" x14ac:dyDescent="0.25">
      <c r="A6937" t="str">
        <f>"20190305135102579"</f>
        <v>20190305135102579</v>
      </c>
      <c r="B6937" t="str">
        <f>"1551765062566738"</f>
        <v>1551765062566738</v>
      </c>
      <c r="C6937" t="s">
        <v>40</v>
      </c>
      <c r="D6937">
        <v>4.0814450000000004</v>
      </c>
      <c r="E6937">
        <v>0.51812579999999997</v>
      </c>
      <c r="F6937" t="s">
        <v>85</v>
      </c>
      <c r="G6937">
        <v>-282.67430000000002</v>
      </c>
      <c r="H6937" s="1">
        <v>-5.5119700000000004E-6</v>
      </c>
      <c r="I6937">
        <v>-56.926220000000001</v>
      </c>
      <c r="J6937">
        <v>-296.03149999999999</v>
      </c>
      <c r="K6937">
        <v>1.111613</v>
      </c>
      <c r="L6937">
        <v>-50.503749999999997</v>
      </c>
      <c r="M6937">
        <v>0.68298639999999999</v>
      </c>
      <c r="N6937">
        <v>-2.5516569999999999E-2</v>
      </c>
      <c r="O6937">
        <v>-0.72998540000000001</v>
      </c>
      <c r="P6937">
        <v>0.91766259999999999</v>
      </c>
      <c r="Q6937">
        <v>-7.6537450000000007E-2</v>
      </c>
      <c r="R6937">
        <v>-0.38992009999999999</v>
      </c>
      <c r="S6937">
        <v>2.696625</v>
      </c>
      <c r="T6937">
        <v>-0.22343470000000001</v>
      </c>
      <c r="U6937">
        <v>-1.3032840000000001</v>
      </c>
      <c r="V6937">
        <v>-0.40367239999999999</v>
      </c>
      <c r="W6937">
        <v>-5.3469669999999997E-2</v>
      </c>
      <c r="X6937">
        <v>0.91333980000000003</v>
      </c>
      <c r="Y6937">
        <v>-0.35842889999999999</v>
      </c>
      <c r="Z6937">
        <v>4.8419650000000002E-2</v>
      </c>
      <c r="AA6937">
        <v>0.93230049999999998</v>
      </c>
      <c r="AB6937">
        <v>14</v>
      </c>
      <c r="AC6937">
        <v>13.357199999999899</v>
      </c>
      <c r="AD6937">
        <v>-1.1116185119699999</v>
      </c>
      <c r="AE6937">
        <v>-6.4224699999999899</v>
      </c>
      <c r="AF6937">
        <v>-5.33583161814569</v>
      </c>
      <c r="AG6937">
        <v>-1.1116185119699999</v>
      </c>
      <c r="AH6937">
        <v>13.738308514620501</v>
      </c>
      <c r="AI6937">
        <v>94.3133504830531</v>
      </c>
      <c r="AJ6937">
        <v>111.22570827341499</v>
      </c>
      <c r="AK6937">
        <v>14.779983613531201</v>
      </c>
      <c r="AL6937">
        <v>93.065048102391302</v>
      </c>
      <c r="AM6937">
        <v>113.844180082268</v>
      </c>
      <c r="AN6937">
        <v>1.00000000119785</v>
      </c>
    </row>
    <row r="6938" spans="1:40" x14ac:dyDescent="0.25">
      <c r="A6938" t="str">
        <f>"20190305135102594"</f>
        <v>20190305135102594</v>
      </c>
      <c r="B6938" t="str">
        <f>"1551765062587234"</f>
        <v>1551765062587234</v>
      </c>
      <c r="C6938" t="s">
        <v>40</v>
      </c>
      <c r="D6938">
        <v>4.1097939999999999</v>
      </c>
      <c r="E6938">
        <v>0.51873429999999998</v>
      </c>
      <c r="F6938" t="s">
        <v>85</v>
      </c>
      <c r="G6938">
        <v>-282.58010000000002</v>
      </c>
      <c r="H6938" s="1">
        <v>-5.5423990000000003E-6</v>
      </c>
      <c r="I6938">
        <v>-57.001559999999998</v>
      </c>
      <c r="J6938">
        <v>-295.96710000000002</v>
      </c>
      <c r="K6938">
        <v>1.1113770000000001</v>
      </c>
      <c r="L6938">
        <v>-50.569609999999997</v>
      </c>
      <c r="M6938">
        <v>0.68422810000000001</v>
      </c>
      <c r="N6938">
        <v>-2.5170310000000001E-2</v>
      </c>
      <c r="O6938">
        <v>-0.72883359999999997</v>
      </c>
      <c r="P6938">
        <v>0.91773389999999999</v>
      </c>
      <c r="Q6938">
        <v>-7.6884729999999998E-2</v>
      </c>
      <c r="R6938">
        <v>-0.38968340000000001</v>
      </c>
      <c r="S6938">
        <v>2.6970209999999999</v>
      </c>
      <c r="T6938">
        <v>-0.22288189999999999</v>
      </c>
      <c r="U6938">
        <v>-1.302826</v>
      </c>
      <c r="V6938">
        <v>-0.40236379999999999</v>
      </c>
      <c r="W6938">
        <v>-5.3948570000000001E-2</v>
      </c>
      <c r="X6938">
        <v>0.9138889</v>
      </c>
      <c r="Y6938">
        <v>-0.35703770000000001</v>
      </c>
      <c r="Z6938">
        <v>4.8381319999999998E-2</v>
      </c>
      <c r="AA6938">
        <v>0.9328362</v>
      </c>
      <c r="AB6938">
        <v>14</v>
      </c>
      <c r="AC6938">
        <v>13.387</v>
      </c>
      <c r="AD6938">
        <v>-1.111382542399</v>
      </c>
      <c r="AE6938">
        <v>-6.4319499999999996</v>
      </c>
      <c r="AF6938">
        <v>-5.3278379619784904</v>
      </c>
      <c r="AG6938">
        <v>-1.111382542399</v>
      </c>
      <c r="AH6938">
        <v>13.774837411787701</v>
      </c>
      <c r="AI6938">
        <v>94.303370949654195</v>
      </c>
      <c r="AJ6938">
        <v>111.14549650300199</v>
      </c>
      <c r="AK6938">
        <v>14.811049058923301</v>
      </c>
      <c r="AL6938">
        <v>93.092526721301496</v>
      </c>
      <c r="AM6938">
        <v>113.762765500295</v>
      </c>
      <c r="AN6938">
        <v>0.99999999864934697</v>
      </c>
    </row>
    <row r="6939" spans="1:40" x14ac:dyDescent="0.25">
      <c r="A6939" t="str">
        <f>"20190305135102607"</f>
        <v>20190305135102607</v>
      </c>
      <c r="B6939" t="str">
        <f>"1551765062596994"</f>
        <v>1551765062596994</v>
      </c>
      <c r="C6939" t="s">
        <v>40</v>
      </c>
      <c r="D6939">
        <v>4.080209</v>
      </c>
      <c r="E6939">
        <v>0.51893919999999905</v>
      </c>
      <c r="F6939" t="s">
        <v>85</v>
      </c>
      <c r="G6939">
        <v>-282.53719999999998</v>
      </c>
      <c r="H6939" s="1">
        <v>-5.5484780000000001E-6</v>
      </c>
      <c r="I6939">
        <v>-57.079749999999997</v>
      </c>
      <c r="J6939">
        <v>-295.9119</v>
      </c>
      <c r="K6939">
        <v>1.111197</v>
      </c>
      <c r="L6939">
        <v>-50.626130000000003</v>
      </c>
      <c r="M6939">
        <v>0.68516369999999904</v>
      </c>
      <c r="N6939">
        <v>-2.47858E-2</v>
      </c>
      <c r="O6939">
        <v>-0.72796719999999904</v>
      </c>
      <c r="P6939">
        <v>0.91784019999999999</v>
      </c>
      <c r="Q6939">
        <v>-7.7362550000000002E-2</v>
      </c>
      <c r="R6939">
        <v>-0.38933839999999997</v>
      </c>
      <c r="S6939">
        <v>2.6954349999999998</v>
      </c>
      <c r="T6939">
        <v>-0.22305910000000001</v>
      </c>
      <c r="U6939">
        <v>-1.30661</v>
      </c>
      <c r="V6939">
        <v>-0.4015283</v>
      </c>
      <c r="W6939">
        <v>-5.466232E-2</v>
      </c>
      <c r="X6939">
        <v>0.91421390000000002</v>
      </c>
      <c r="Y6939">
        <v>-0.35456690000000002</v>
      </c>
      <c r="Z6939">
        <v>4.8539489999999998E-2</v>
      </c>
      <c r="AA6939">
        <v>0.93376990000000004</v>
      </c>
      <c r="AB6939">
        <v>13</v>
      </c>
      <c r="AC6939">
        <v>13.374700000000001</v>
      </c>
      <c r="AD6939">
        <v>-1.1112025484779999</v>
      </c>
      <c r="AE6939">
        <v>-6.4536199999999999</v>
      </c>
      <c r="AF6939">
        <v>-5.2865903533312197</v>
      </c>
      <c r="AG6939">
        <v>-1.1112025484779999</v>
      </c>
      <c r="AH6939">
        <v>13.7889382600162</v>
      </c>
      <c r="AI6939">
        <v>94.303159592420201</v>
      </c>
      <c r="AJ6939">
        <v>110.97650280865101</v>
      </c>
      <c r="AK6939">
        <v>14.809376320636099</v>
      </c>
      <c r="AL6939">
        <v>93.133482015654593</v>
      </c>
      <c r="AM6939">
        <v>113.71137302651</v>
      </c>
      <c r="AN6939">
        <v>0.99999999994094102</v>
      </c>
    </row>
    <row r="6940" spans="1:40" x14ac:dyDescent="0.25">
      <c r="A6940" t="str">
        <f>"20190305135102619"</f>
        <v>20190305135102619</v>
      </c>
      <c r="B6940" t="str">
        <f>"1551765062616514"</f>
        <v>1551765062616514</v>
      </c>
      <c r="C6940" t="s">
        <v>40</v>
      </c>
      <c r="D6940">
        <v>4.1011389999999999</v>
      </c>
      <c r="E6940">
        <v>0.51935949999999997</v>
      </c>
      <c r="F6940" t="s">
        <v>85</v>
      </c>
      <c r="G6940">
        <v>-282.54660000000001</v>
      </c>
      <c r="H6940" s="1">
        <v>-5.5390790000000001E-6</v>
      </c>
      <c r="I6940">
        <v>-57.108060000000002</v>
      </c>
      <c r="J6940">
        <v>-295.86340000000001</v>
      </c>
      <c r="K6940">
        <v>1.111043</v>
      </c>
      <c r="L6940">
        <v>-50.675989999999999</v>
      </c>
      <c r="M6940">
        <v>0.68585689999999999</v>
      </c>
      <c r="N6940">
        <v>-2.427224E-2</v>
      </c>
      <c r="O6940">
        <v>-0.72733179999999997</v>
      </c>
      <c r="P6940">
        <v>0.91732349999999996</v>
      </c>
      <c r="Q6940">
        <v>-7.7496250000000003E-2</v>
      </c>
      <c r="R6940">
        <v>-0.39052829999999999</v>
      </c>
      <c r="S6940">
        <v>2.69516</v>
      </c>
      <c r="T6940">
        <v>-0.2240769</v>
      </c>
      <c r="U6940">
        <v>-1.3070980000000001</v>
      </c>
      <c r="V6940">
        <v>-0.39948420000000001</v>
      </c>
      <c r="W6940">
        <v>-5.5196250000000002E-2</v>
      </c>
      <c r="X6940">
        <v>0.91507689999999997</v>
      </c>
      <c r="Y6940">
        <v>-0.353489099999999</v>
      </c>
      <c r="Z6940">
        <v>4.9077709999999997E-2</v>
      </c>
      <c r="AA6940">
        <v>0.93415029999999999</v>
      </c>
      <c r="AB6940">
        <v>13</v>
      </c>
      <c r="AC6940">
        <v>13.316800000000001</v>
      </c>
      <c r="AD6940">
        <v>-1.1110485390789999</v>
      </c>
      <c r="AE6940">
        <v>-6.43206999999998</v>
      </c>
      <c r="AF6940">
        <v>-5.24619544290048</v>
      </c>
      <c r="AG6940">
        <v>-1.1110485390789999</v>
      </c>
      <c r="AH6940">
        <v>13.738195229615799</v>
      </c>
      <c r="AI6940">
        <v>94.320586444167702</v>
      </c>
      <c r="AJ6940">
        <v>110.900323283503</v>
      </c>
      <c r="AK6940">
        <v>14.747711810594099</v>
      </c>
      <c r="AL6940">
        <v>93.164120231281402</v>
      </c>
      <c r="AM6940">
        <v>113.584063538172</v>
      </c>
      <c r="AN6940">
        <v>0.99999999248865601</v>
      </c>
    </row>
    <row r="6941" spans="1:40" x14ac:dyDescent="0.25">
      <c r="A6941" t="str">
        <f>"20190305135102642"</f>
        <v>20190305135102642</v>
      </c>
      <c r="B6941" t="str">
        <f>"1551765062637010"</f>
        <v>1551765062637010</v>
      </c>
      <c r="C6941" t="s">
        <v>40</v>
      </c>
      <c r="D6941">
        <v>4.0880679999999998</v>
      </c>
      <c r="E6941">
        <v>0.5196499</v>
      </c>
      <c r="F6941" t="s">
        <v>85</v>
      </c>
      <c r="G6941">
        <v>-282.55380000000002</v>
      </c>
      <c r="H6941" s="1">
        <v>-5.5245119999999997E-6</v>
      </c>
      <c r="I6941">
        <v>-57.171050000000001</v>
      </c>
      <c r="J6941">
        <v>-295.76929999999999</v>
      </c>
      <c r="K6941">
        <v>1.11076</v>
      </c>
      <c r="L6941">
        <v>-50.772889999999997</v>
      </c>
      <c r="M6941">
        <v>0.68703110000000001</v>
      </c>
      <c r="N6941">
        <v>-2.3076369999999999E-2</v>
      </c>
      <c r="O6941">
        <v>-0.72626159999999995</v>
      </c>
      <c r="P6941">
        <v>0.91755949999999997</v>
      </c>
      <c r="Q6941">
        <v>-7.6101139999999998E-2</v>
      </c>
      <c r="R6941">
        <v>-0.39024779999999998</v>
      </c>
      <c r="S6941">
        <v>2.6921390000000001</v>
      </c>
      <c r="T6941">
        <v>-0.22473109999999999</v>
      </c>
      <c r="U6941">
        <v>-1.3137509999999999</v>
      </c>
      <c r="V6941">
        <v>-0.3984027</v>
      </c>
      <c r="W6941">
        <v>-5.4835479999999999E-2</v>
      </c>
      <c r="X6941">
        <v>0.91556999999999999</v>
      </c>
      <c r="Y6941">
        <v>-0.34969929999999999</v>
      </c>
      <c r="Z6941">
        <v>4.9802079999999999E-2</v>
      </c>
      <c r="AA6941">
        <v>0.93553730000000002</v>
      </c>
      <c r="AB6941">
        <v>13</v>
      </c>
      <c r="AC6941">
        <v>13.215499999999899</v>
      </c>
      <c r="AD6941">
        <v>-1.1107655245119901</v>
      </c>
      <c r="AE6941">
        <v>-6.3981599999999901</v>
      </c>
      <c r="AF6941">
        <v>-5.1739499662625397</v>
      </c>
      <c r="AG6941">
        <v>-1.1107655245119901</v>
      </c>
      <c r="AH6941">
        <v>13.6517235518179</v>
      </c>
      <c r="AI6941">
        <v>94.350882314524597</v>
      </c>
      <c r="AJ6941">
        <v>110.75651272297701</v>
      </c>
      <c r="AK6941">
        <v>14.6414860666222</v>
      </c>
      <c r="AL6941">
        <v>93.143418151442205</v>
      </c>
      <c r="AM6941">
        <v>113.515867569999</v>
      </c>
      <c r="AN6941">
        <v>1.00000003306705</v>
      </c>
    </row>
    <row r="6942" spans="1:40" x14ac:dyDescent="0.25">
      <c r="A6942" t="str">
        <f>"20190305135102664"</f>
        <v>20190305135102664</v>
      </c>
      <c r="B6942" t="str">
        <f>"1551765062656530"</f>
        <v>1551765062656530</v>
      </c>
      <c r="C6942" t="s">
        <v>40</v>
      </c>
      <c r="D6942">
        <v>4.115456</v>
      </c>
      <c r="E6942">
        <v>0.51982640000000002</v>
      </c>
      <c r="F6942" t="s">
        <v>85</v>
      </c>
      <c r="G6942">
        <v>-282.16449999999998</v>
      </c>
      <c r="H6942" s="1">
        <v>-5.6617499999999996E-6</v>
      </c>
      <c r="I6942">
        <v>-57.418750000000003</v>
      </c>
      <c r="J6942">
        <v>-295.67669999999998</v>
      </c>
      <c r="K6942">
        <v>1.110525</v>
      </c>
      <c r="L6942">
        <v>-50.868290000000002</v>
      </c>
      <c r="M6942">
        <v>0.68800280000000003</v>
      </c>
      <c r="N6942">
        <v>-2.1827740000000002E-2</v>
      </c>
      <c r="O6942">
        <v>-0.72537980000000002</v>
      </c>
      <c r="P6942">
        <v>0.91786210000000001</v>
      </c>
      <c r="Q6942">
        <v>-7.4824749999999995E-2</v>
      </c>
      <c r="R6942">
        <v>-0.38978269999999998</v>
      </c>
      <c r="S6942">
        <v>2.6920169999999999</v>
      </c>
      <c r="T6942">
        <v>-0.21979019999999999</v>
      </c>
      <c r="U6942">
        <v>-1.3150329999999999</v>
      </c>
      <c r="V6942">
        <v>-0.39774399999999999</v>
      </c>
      <c r="W6942">
        <v>-5.4683530000000001E-2</v>
      </c>
      <c r="X6942">
        <v>0.91586540000000005</v>
      </c>
      <c r="Y6942">
        <v>-0.34816160000000002</v>
      </c>
      <c r="Z6942">
        <v>4.9063049999999997E-2</v>
      </c>
      <c r="AA6942">
        <v>0.93614969999999997</v>
      </c>
      <c r="AB6942">
        <v>13</v>
      </c>
      <c r="AC6942">
        <v>13.5122</v>
      </c>
      <c r="AD6942">
        <v>-1.1105306617499999</v>
      </c>
      <c r="AE6942">
        <v>-6.5504600000000002</v>
      </c>
      <c r="AF6942">
        <v>-5.2671952325485396</v>
      </c>
      <c r="AG6942">
        <v>-1.1105306617499999</v>
      </c>
      <c r="AH6942">
        <v>13.9749154538661</v>
      </c>
      <c r="AI6942">
        <v>94.252670132208607</v>
      </c>
      <c r="AJ6942">
        <v>110.651604245408</v>
      </c>
      <c r="AK6942">
        <v>14.9758100252098</v>
      </c>
      <c r="AL6942">
        <v>93.134699065321001</v>
      </c>
      <c r="AM6942">
        <v>113.47444604613101</v>
      </c>
      <c r="AN6942">
        <v>1.00000000445321</v>
      </c>
    </row>
    <row r="6943" spans="1:40" x14ac:dyDescent="0.25">
      <c r="A6943" t="str">
        <f>"20190305135102678"</f>
        <v>20190305135102678</v>
      </c>
      <c r="B6943" t="str">
        <f>"1551765062677026"</f>
        <v>1551765062677026</v>
      </c>
      <c r="C6943" t="s">
        <v>40</v>
      </c>
      <c r="D6943">
        <v>4.1192270000000004</v>
      </c>
      <c r="E6943">
        <v>0.52003149999999998</v>
      </c>
      <c r="F6943" t="s">
        <v>85</v>
      </c>
      <c r="G6943">
        <v>-281.79719999999998</v>
      </c>
      <c r="H6943" s="1">
        <v>-5.7921869999999996E-6</v>
      </c>
      <c r="I6943">
        <v>-57.646999999999998</v>
      </c>
      <c r="J6943">
        <v>-295.61450000000002</v>
      </c>
      <c r="K6943">
        <v>1.1104210000000001</v>
      </c>
      <c r="L6943">
        <v>-50.932499999999997</v>
      </c>
      <c r="M6943">
        <v>0.68859359999999903</v>
      </c>
      <c r="N6943">
        <v>-2.1068320000000001E-2</v>
      </c>
      <c r="O6943">
        <v>-0.72484150000000003</v>
      </c>
      <c r="P6943">
        <v>0.91810139999999996</v>
      </c>
      <c r="Q6943">
        <v>-7.5360129999999997E-2</v>
      </c>
      <c r="R6943">
        <v>-0.38911519999999999</v>
      </c>
      <c r="S6943">
        <v>2.6924739999999998</v>
      </c>
      <c r="T6943">
        <v>-0.21543190000000001</v>
      </c>
      <c r="U6943">
        <v>-1.315002</v>
      </c>
      <c r="V6943">
        <v>-0.397646</v>
      </c>
      <c r="W6943">
        <v>-5.5919660000000003E-2</v>
      </c>
      <c r="X6943">
        <v>0.91583329999999996</v>
      </c>
      <c r="Y6943">
        <v>-0.34754699999999999</v>
      </c>
      <c r="Z6943">
        <v>4.8242489999999999E-2</v>
      </c>
      <c r="AA6943">
        <v>0.93642069999999999</v>
      </c>
      <c r="AB6943">
        <v>14</v>
      </c>
      <c r="AC6943">
        <v>13.817299999999999</v>
      </c>
      <c r="AD6943">
        <v>-1.1104267921869999</v>
      </c>
      <c r="AE6943">
        <v>-6.7145000000000001</v>
      </c>
      <c r="AF6943">
        <v>-5.3649567362165502</v>
      </c>
      <c r="AG6943">
        <v>-1.1104267921869999</v>
      </c>
      <c r="AH6943">
        <v>14.309878639845101</v>
      </c>
      <c r="AI6943">
        <v>94.155804234847196</v>
      </c>
      <c r="AJ6943">
        <v>110.551665108546</v>
      </c>
      <c r="AK6943">
        <v>15.322807677752101</v>
      </c>
      <c r="AL6943">
        <v>93.205632692897197</v>
      </c>
      <c r="AM6943">
        <v>113.470021469703</v>
      </c>
      <c r="AN6943">
        <v>0.99999999153970198</v>
      </c>
    </row>
    <row r="6944" spans="1:40" x14ac:dyDescent="0.25">
      <c r="A6944" t="str">
        <f>"20190305135102697"</f>
        <v>20190305135102697</v>
      </c>
      <c r="B6944" t="str">
        <f>"1551765062686785"</f>
        <v>1551765062686785</v>
      </c>
      <c r="C6944" t="s">
        <v>40</v>
      </c>
      <c r="D6944">
        <v>4.13103</v>
      </c>
      <c r="E6944">
        <v>0.52006529999999995</v>
      </c>
      <c r="F6944" t="s">
        <v>85</v>
      </c>
      <c r="G6944">
        <v>-281.87939999999998</v>
      </c>
      <c r="H6944" s="1">
        <v>-5.755531E-6</v>
      </c>
      <c r="I6944">
        <v>-57.637889999999999</v>
      </c>
      <c r="J6944">
        <v>-295.53890000000001</v>
      </c>
      <c r="K6944">
        <v>1.110333</v>
      </c>
      <c r="L6944">
        <v>-51.010530000000003</v>
      </c>
      <c r="M6944">
        <v>0.68927109999999903</v>
      </c>
      <c r="N6944">
        <v>-2.0230919999999999E-2</v>
      </c>
      <c r="O6944">
        <v>-0.72422119999999901</v>
      </c>
      <c r="P6944">
        <v>0.91777379999999997</v>
      </c>
      <c r="Q6944">
        <v>-7.7414040000000003E-2</v>
      </c>
      <c r="R6944">
        <v>-0.38948529999999998</v>
      </c>
      <c r="S6944">
        <v>2.692596</v>
      </c>
      <c r="T6944">
        <v>-0.2176862</v>
      </c>
      <c r="U6944">
        <v>-1.314514</v>
      </c>
      <c r="V6944">
        <v>-0.39631149999999998</v>
      </c>
      <c r="W6944">
        <v>-5.8753399999999997E-2</v>
      </c>
      <c r="X6944">
        <v>0.91623429999999995</v>
      </c>
      <c r="Y6944">
        <v>-0.34678589999999998</v>
      </c>
      <c r="Z6944">
        <v>4.9334599999999999E-2</v>
      </c>
      <c r="AA6944">
        <v>0.93664590000000003</v>
      </c>
      <c r="AB6944">
        <v>14</v>
      </c>
      <c r="AC6944">
        <v>13.6595</v>
      </c>
      <c r="AD6944">
        <v>-1.110338755531</v>
      </c>
      <c r="AE6944">
        <v>-6.6273600000000004</v>
      </c>
      <c r="AF6944">
        <v>-5.2972087843264797</v>
      </c>
      <c r="AG6944">
        <v>-1.110338755531</v>
      </c>
      <c r="AH6944">
        <v>14.142042187899699</v>
      </c>
      <c r="AI6944">
        <v>94.205086493964501</v>
      </c>
      <c r="AJ6944">
        <v>110.534527862864</v>
      </c>
      <c r="AK6944">
        <v>15.1423456010327</v>
      </c>
      <c r="AL6944">
        <v>93.368261502201804</v>
      </c>
      <c r="AM6944">
        <v>113.3905982958</v>
      </c>
      <c r="AN6944">
        <v>1.0000000297701399</v>
      </c>
    </row>
    <row r="6945" spans="1:40" x14ac:dyDescent="0.25">
      <c r="A6945" t="str">
        <f>"20190305135102719"</f>
        <v>20190305135102719</v>
      </c>
      <c r="B6945" t="str">
        <f>"1551765062717042"</f>
        <v>1551765062717042</v>
      </c>
      <c r="C6945" t="s">
        <v>40</v>
      </c>
      <c r="D6945">
        <v>4.1204640000000001</v>
      </c>
      <c r="E6945">
        <v>0.52011629999999998</v>
      </c>
      <c r="F6945" t="s">
        <v>85</v>
      </c>
      <c r="G6945">
        <v>-282.21559999999999</v>
      </c>
      <c r="H6945" s="1">
        <v>-5.6191110000000002E-6</v>
      </c>
      <c r="I6945">
        <v>-57.524509999999999</v>
      </c>
      <c r="J6945">
        <v>-295.44470000000001</v>
      </c>
      <c r="K6945">
        <v>1.11029</v>
      </c>
      <c r="L6945">
        <v>-51.107759999999999</v>
      </c>
      <c r="M6945">
        <v>0.69007130000000005</v>
      </c>
      <c r="N6945">
        <v>-1.926895E-2</v>
      </c>
      <c r="O6945">
        <v>-0.72348489999999999</v>
      </c>
      <c r="P6945">
        <v>0.91772189999999998</v>
      </c>
      <c r="Q6945">
        <v>-7.8808169999999997E-2</v>
      </c>
      <c r="R6945">
        <v>-0.3893279</v>
      </c>
      <c r="S6945">
        <v>2.6914370000000001</v>
      </c>
      <c r="T6945">
        <v>-0.2242992</v>
      </c>
      <c r="U6945">
        <v>-1.315887</v>
      </c>
      <c r="V6945">
        <v>-0.3953796</v>
      </c>
      <c r="W6945">
        <v>-6.1081400000000001E-2</v>
      </c>
      <c r="X6945">
        <v>0.91648459999999998</v>
      </c>
      <c r="Y6945">
        <v>-0.34508610000000001</v>
      </c>
      <c r="Z6945">
        <v>5.169439E-2</v>
      </c>
      <c r="AA6945">
        <v>0.93714640000000005</v>
      </c>
      <c r="AB6945">
        <v>13</v>
      </c>
      <c r="AC6945">
        <v>13.229100000000001</v>
      </c>
      <c r="AD6945">
        <v>-1.1102956191110001</v>
      </c>
      <c r="AE6945">
        <v>-6.4167500000000004</v>
      </c>
      <c r="AF6945">
        <v>-5.1148273352884397</v>
      </c>
      <c r="AG6945">
        <v>-1.1102956191110001</v>
      </c>
      <c r="AH6945">
        <v>13.6959017816345</v>
      </c>
      <c r="AI6945">
        <v>94.3429649312544</v>
      </c>
      <c r="AJ6945">
        <v>110.47848686026499</v>
      </c>
      <c r="AK6945">
        <v>14.6619214512904</v>
      </c>
      <c r="AL6945">
        <v>93.501886307975496</v>
      </c>
      <c r="AM6945">
        <v>113.33579655794399</v>
      </c>
      <c r="AN6945">
        <v>0.999999993779639</v>
      </c>
    </row>
    <row r="6946" spans="1:40" x14ac:dyDescent="0.25">
      <c r="A6946" t="str">
        <f>"20190305135102742"</f>
        <v>20190305135102742</v>
      </c>
      <c r="B6946" t="str">
        <f>"1551765062736562"</f>
        <v>1551765062736562</v>
      </c>
      <c r="C6946" t="s">
        <v>40</v>
      </c>
      <c r="D6946">
        <v>4.1372460000000002</v>
      </c>
      <c r="E6946">
        <v>0.52002839999999995</v>
      </c>
      <c r="F6946" t="s">
        <v>85</v>
      </c>
      <c r="G6946">
        <v>-282.36189999999999</v>
      </c>
      <c r="H6946" s="1">
        <v>-5.5545279999999999E-6</v>
      </c>
      <c r="I6946">
        <v>-57.50459</v>
      </c>
      <c r="J6946">
        <v>-295.34899999999999</v>
      </c>
      <c r="K6946">
        <v>1.1102989999999999</v>
      </c>
      <c r="L6946">
        <v>-51.206330000000001</v>
      </c>
      <c r="M6946">
        <v>0.69086959999999997</v>
      </c>
      <c r="N6946">
        <v>-1.8339669999999999E-2</v>
      </c>
      <c r="O6946">
        <v>-0.72274709999999998</v>
      </c>
      <c r="P6946">
        <v>0.91822550000000003</v>
      </c>
      <c r="Q6946">
        <v>-7.9035729999999998E-2</v>
      </c>
      <c r="R6946">
        <v>-0.38809280000000002</v>
      </c>
      <c r="S6946">
        <v>2.6911320000000001</v>
      </c>
      <c r="T6946">
        <v>-0.2283876</v>
      </c>
      <c r="U6946">
        <v>-1.3158259999999999</v>
      </c>
      <c r="V6946">
        <v>-0.3955882</v>
      </c>
      <c r="W6946">
        <v>-6.2253570000000001E-2</v>
      </c>
      <c r="X6946">
        <v>0.91631569999999996</v>
      </c>
      <c r="Y6946">
        <v>-0.34394709999999901</v>
      </c>
      <c r="Z6946">
        <v>5.3336889999999998E-2</v>
      </c>
      <c r="AA6946">
        <v>0.93747290000000005</v>
      </c>
      <c r="AB6946">
        <v>13</v>
      </c>
      <c r="AC6946">
        <v>12.9870999999999</v>
      </c>
      <c r="AD6946">
        <v>-1.1103045545279999</v>
      </c>
      <c r="AE6946">
        <v>-6.2982599999999902</v>
      </c>
      <c r="AF6946">
        <v>-5.0063339888991099</v>
      </c>
      <c r="AG6946">
        <v>-1.1103045545279999</v>
      </c>
      <c r="AH6946">
        <v>13.447141922877</v>
      </c>
      <c r="AI6946">
        <v>94.424697914499205</v>
      </c>
      <c r="AJ6946">
        <v>110.420160533207</v>
      </c>
      <c r="AK6946">
        <v>14.3917261684</v>
      </c>
      <c r="AL6946">
        <v>93.569174763213496</v>
      </c>
      <c r="AM6946">
        <v>113.350632906217</v>
      </c>
      <c r="AN6946">
        <v>0.99999999651173699</v>
      </c>
    </row>
    <row r="6947" spans="1:40" x14ac:dyDescent="0.25">
      <c r="A6947" t="str">
        <f>"20190305135102763"</f>
        <v>20190305135102763</v>
      </c>
      <c r="B6947" t="str">
        <f>"1551765062757058"</f>
        <v>1551765062757058</v>
      </c>
      <c r="C6947" t="s">
        <v>40</v>
      </c>
      <c r="D6947">
        <v>4.1304210000000001</v>
      </c>
      <c r="E6947">
        <v>0.52002219999999999</v>
      </c>
      <c r="F6947" t="s">
        <v>85</v>
      </c>
      <c r="G6947">
        <v>-282.28210000000001</v>
      </c>
      <c r="H6947" s="1">
        <v>-5.5801570000000002E-6</v>
      </c>
      <c r="I6947">
        <v>-57.569339999999997</v>
      </c>
      <c r="J6947">
        <v>-295.2586</v>
      </c>
      <c r="K6947">
        <v>1.1103379999999901</v>
      </c>
      <c r="L6947">
        <v>-51.299219999999998</v>
      </c>
      <c r="M6947">
        <v>0.69164320000000001</v>
      </c>
      <c r="N6947">
        <v>-1.7539260000000001E-2</v>
      </c>
      <c r="O6947">
        <v>-0.72202630000000001</v>
      </c>
      <c r="P6947">
        <v>0.91860799999999998</v>
      </c>
      <c r="Q6947">
        <v>-7.9009049999999997E-2</v>
      </c>
      <c r="R6947">
        <v>-0.38719189999999998</v>
      </c>
      <c r="S6947">
        <v>2.6931759999999998</v>
      </c>
      <c r="T6947">
        <v>-0.22884189999999999</v>
      </c>
      <c r="U6947">
        <v>-1.3114619999999999</v>
      </c>
      <c r="V6947">
        <v>-0.39550449999999998</v>
      </c>
      <c r="W6947">
        <v>-6.3053819999999997E-2</v>
      </c>
      <c r="X6947">
        <v>0.91629709999999998</v>
      </c>
      <c r="Y6947">
        <v>-0.34443420000000002</v>
      </c>
      <c r="Z6947">
        <v>5.3933380000000003E-2</v>
      </c>
      <c r="AA6947">
        <v>0.93725999999999998</v>
      </c>
      <c r="AB6947">
        <v>13</v>
      </c>
      <c r="AC6947">
        <v>12.9764999999999</v>
      </c>
      <c r="AD6947">
        <v>-1.1103435801570001</v>
      </c>
      <c r="AE6947">
        <v>-6.2701200000000004</v>
      </c>
      <c r="AF6947">
        <v>-5.0037621952450602</v>
      </c>
      <c r="AG6947">
        <v>-1.1103435801570001</v>
      </c>
      <c r="AH6947">
        <v>13.4246927850904</v>
      </c>
      <c r="AI6947">
        <v>94.4316003686898</v>
      </c>
      <c r="AJ6947">
        <v>110.441845522086</v>
      </c>
      <c r="AK6947">
        <v>14.369859962665499</v>
      </c>
      <c r="AL6947">
        <v>93.615116014720996</v>
      </c>
      <c r="AM6947">
        <v>113.346644492404</v>
      </c>
      <c r="AN6947">
        <v>0.99999998460262596</v>
      </c>
    </row>
    <row r="6948" spans="1:40" x14ac:dyDescent="0.25">
      <c r="A6948" t="str">
        <f>"20190305135102786"</f>
        <v>20190305135102786</v>
      </c>
      <c r="B6948" t="str">
        <f>"1551765062776578"</f>
        <v>1551765062776578</v>
      </c>
      <c r="C6948" t="s">
        <v>40</v>
      </c>
      <c r="D6948">
        <v>4.1398669999999997</v>
      </c>
      <c r="E6948">
        <v>0.52003009999999905</v>
      </c>
      <c r="F6948" t="s">
        <v>85</v>
      </c>
      <c r="G6948">
        <v>-282.15170000000001</v>
      </c>
      <c r="H6948" s="1">
        <v>-5.6238289999999996E-6</v>
      </c>
      <c r="I6948">
        <v>-57.66525</v>
      </c>
      <c r="J6948">
        <v>-295.16820000000001</v>
      </c>
      <c r="K6948">
        <v>1.110552</v>
      </c>
      <c r="L6948">
        <v>-51.391910000000003</v>
      </c>
      <c r="M6948">
        <v>0.69237289999999996</v>
      </c>
      <c r="N6948">
        <v>-1.7603649999999998E-2</v>
      </c>
      <c r="O6948">
        <v>-0.72132499999999999</v>
      </c>
      <c r="P6948">
        <v>0.91901429999999995</v>
      </c>
      <c r="Q6948">
        <v>-7.9858009999999993E-2</v>
      </c>
      <c r="R6948">
        <v>-0.38605109999999998</v>
      </c>
      <c r="S6948">
        <v>2.69455</v>
      </c>
      <c r="T6948">
        <v>-0.22826769999999999</v>
      </c>
      <c r="U6948">
        <v>-1.308746</v>
      </c>
      <c r="V6948">
        <v>-0.39565479999999997</v>
      </c>
      <c r="W6948">
        <v>-6.3885250000000005E-2</v>
      </c>
      <c r="X6948">
        <v>0.91617470000000001</v>
      </c>
      <c r="Y6948">
        <v>-0.34444960000000002</v>
      </c>
      <c r="Z6948">
        <v>5.370453E-2</v>
      </c>
      <c r="AA6948">
        <v>0.93726739999999997</v>
      </c>
      <c r="AB6948">
        <v>13</v>
      </c>
      <c r="AC6948">
        <v>13.016500000000001</v>
      </c>
      <c r="AD6948">
        <v>-1.110557623829</v>
      </c>
      <c r="AE6948">
        <v>-6.2733400000000001</v>
      </c>
      <c r="AF6948">
        <v>-5.01678318134379</v>
      </c>
      <c r="AG6948">
        <v>-1.110557623829</v>
      </c>
      <c r="AH6948">
        <v>13.459976338831201</v>
      </c>
      <c r="AI6948">
        <v>94.420892228259106</v>
      </c>
      <c r="AJ6948">
        <v>110.44135893000499</v>
      </c>
      <c r="AK6948">
        <v>14.407373624861499</v>
      </c>
      <c r="AL6948">
        <v>93.662849399458395</v>
      </c>
      <c r="AM6948">
        <v>113.357352045818</v>
      </c>
      <c r="AN6948">
        <v>1.0000000634253401</v>
      </c>
    </row>
    <row r="6949" spans="1:40" x14ac:dyDescent="0.25">
      <c r="A6949" t="str">
        <f>"20190305135102808"</f>
        <v>20190305135102808</v>
      </c>
      <c r="B6949" t="str">
        <f>"1551765062797074"</f>
        <v>1551765062797074</v>
      </c>
      <c r="C6949" t="s">
        <v>40</v>
      </c>
      <c r="D6949">
        <v>4.1396449999999998</v>
      </c>
      <c r="E6949">
        <v>0.52004099999999998</v>
      </c>
      <c r="F6949" t="s">
        <v>85</v>
      </c>
      <c r="G6949">
        <v>-282.15929999999997</v>
      </c>
      <c r="H6949" s="1">
        <v>-5.6155389999999999E-6</v>
      </c>
      <c r="I6949">
        <v>-57.691850000000002</v>
      </c>
      <c r="J6949">
        <v>-295.07870000000003</v>
      </c>
      <c r="K6949">
        <v>1.1108750000000001</v>
      </c>
      <c r="L6949">
        <v>-51.483429999999998</v>
      </c>
      <c r="M6949">
        <v>0.6930501</v>
      </c>
      <c r="N6949">
        <v>-1.8486220000000001E-2</v>
      </c>
      <c r="O6949">
        <v>-0.72065269999999904</v>
      </c>
      <c r="P6949">
        <v>0.91968240000000001</v>
      </c>
      <c r="Q6949">
        <v>-8.2389089999999998E-2</v>
      </c>
      <c r="R6949">
        <v>-0.38392270000000001</v>
      </c>
      <c r="S6949">
        <v>2.6959529999999998</v>
      </c>
      <c r="T6949">
        <v>-0.2301522</v>
      </c>
      <c r="U6949">
        <v>-1.3056030000000001</v>
      </c>
      <c r="V6949">
        <v>-0.39674029999999999</v>
      </c>
      <c r="W6949">
        <v>-6.5603320000000007E-2</v>
      </c>
      <c r="X6949">
        <v>0.91558360000000005</v>
      </c>
      <c r="Y6949">
        <v>-0.34461629999999999</v>
      </c>
      <c r="Z6949">
        <v>5.3686909999999997E-2</v>
      </c>
      <c r="AA6949">
        <v>0.93720720000000002</v>
      </c>
      <c r="AB6949">
        <v>13</v>
      </c>
      <c r="AC6949">
        <v>12.9194</v>
      </c>
      <c r="AD6949">
        <v>-1.1108806155390001</v>
      </c>
      <c r="AE6949">
        <v>-6.2084200000000003</v>
      </c>
      <c r="AF6949">
        <v>-4.9786053246302</v>
      </c>
      <c r="AG6949">
        <v>-1.1108806155390001</v>
      </c>
      <c r="AH6949">
        <v>13.350011718626501</v>
      </c>
      <c r="AI6949">
        <v>94.458146539913798</v>
      </c>
      <c r="AJ6949">
        <v>110.451939650707</v>
      </c>
      <c r="AK6949">
        <v>14.291374307878201</v>
      </c>
      <c r="AL6949">
        <v>93.761494792049703</v>
      </c>
      <c r="AM6949">
        <v>113.42802932191</v>
      </c>
      <c r="AN6949">
        <v>0.99999999491403602</v>
      </c>
    </row>
    <row r="6950" spans="1:40" x14ac:dyDescent="0.25">
      <c r="A6950" t="str">
        <f>"20190305135102833"</f>
        <v>20190305135102833</v>
      </c>
      <c r="B6950" t="str">
        <f>"1551765062827330"</f>
        <v>1551765062827330</v>
      </c>
      <c r="C6950" t="s">
        <v>40</v>
      </c>
      <c r="D6950">
        <v>4.2918240000000001</v>
      </c>
      <c r="E6950">
        <v>0.52013489999999996</v>
      </c>
      <c r="F6950" t="s">
        <v>85</v>
      </c>
      <c r="G6950">
        <v>-282.3954</v>
      </c>
      <c r="H6950" s="1">
        <v>-5.523448E-6</v>
      </c>
      <c r="I6950">
        <v>-57.5914199999999</v>
      </c>
      <c r="J6950">
        <v>-294.99090000000001</v>
      </c>
      <c r="K6950">
        <v>1.1112010000000001</v>
      </c>
      <c r="L6950">
        <v>-51.573180000000001</v>
      </c>
      <c r="M6950">
        <v>0.69369789999999998</v>
      </c>
      <c r="N6950">
        <v>-1.974884E-2</v>
      </c>
      <c r="O6950">
        <v>-0.7199953</v>
      </c>
      <c r="P6950">
        <v>0.92026110000000005</v>
      </c>
      <c r="Q6950">
        <v>-8.5173730000000003E-2</v>
      </c>
      <c r="R6950">
        <v>-0.38192290000000001</v>
      </c>
      <c r="S6950">
        <v>2.6983640000000002</v>
      </c>
      <c r="T6950">
        <v>-0.2363392</v>
      </c>
      <c r="U6950">
        <v>-1.299469</v>
      </c>
      <c r="V6950">
        <v>-0.39770489999999997</v>
      </c>
      <c r="W6950">
        <v>-6.7217399999999997E-2</v>
      </c>
      <c r="X6950">
        <v>0.91504790000000003</v>
      </c>
      <c r="Y6950">
        <v>-0.34571499999999999</v>
      </c>
      <c r="Z6950">
        <v>5.4692959999999999E-2</v>
      </c>
      <c r="AA6950">
        <v>0.93674429999999997</v>
      </c>
      <c r="AB6950">
        <v>13</v>
      </c>
      <c r="AC6950">
        <v>12.595499999999999</v>
      </c>
      <c r="AD6950">
        <v>-1.111206523448</v>
      </c>
      <c r="AE6950">
        <v>-6.0182399999999898</v>
      </c>
      <c r="AF6950">
        <v>-4.86399390112659</v>
      </c>
      <c r="AG6950">
        <v>-1.111206523448</v>
      </c>
      <c r="AH6950">
        <v>12.990808767492499</v>
      </c>
      <c r="AI6950">
        <v>94.580009911058596</v>
      </c>
      <c r="AJ6950">
        <v>110.526809541369</v>
      </c>
      <c r="AK6950">
        <v>13.9159738804551</v>
      </c>
      <c r="AL6950">
        <v>93.854179316362305</v>
      </c>
      <c r="AM6950">
        <v>113.49108679346401</v>
      </c>
      <c r="AN6950">
        <v>1.0000000128205899</v>
      </c>
    </row>
    <row r="6951" spans="1:40" x14ac:dyDescent="0.25">
      <c r="A6951" t="str">
        <f>"20190305135102854"</f>
        <v>20190305135102854</v>
      </c>
      <c r="B6951" t="str">
        <f>"1551765062846850"</f>
        <v>1551765062846850</v>
      </c>
      <c r="C6951" t="s">
        <v>40</v>
      </c>
      <c r="D6951">
        <v>4.1468179999999997</v>
      </c>
      <c r="E6951">
        <v>0.49937219999999999</v>
      </c>
      <c r="F6951" t="s">
        <v>85</v>
      </c>
      <c r="G6951">
        <v>-282.6259</v>
      </c>
      <c r="H6951" s="1">
        <v>-5.4324309999999997E-6</v>
      </c>
      <c r="I6951">
        <v>-57.499630000000003</v>
      </c>
      <c r="J6951">
        <v>-294.90730000000002</v>
      </c>
      <c r="K6951">
        <v>1.1114999999999999</v>
      </c>
      <c r="L6951">
        <v>-51.658479999999997</v>
      </c>
      <c r="M6951">
        <v>0.69433750000000005</v>
      </c>
      <c r="N6951">
        <v>-2.1012929999999999E-2</v>
      </c>
      <c r="O6951">
        <v>-0.71934279999999995</v>
      </c>
      <c r="P6951">
        <v>0.92098089999999999</v>
      </c>
      <c r="Q6951">
        <v>-8.7420170000000005E-2</v>
      </c>
      <c r="R6951">
        <v>-0.3796737</v>
      </c>
      <c r="S6951">
        <v>2.700348</v>
      </c>
      <c r="T6951">
        <v>-0.24267169999999999</v>
      </c>
      <c r="U6951">
        <v>-1.2942499999999999</v>
      </c>
      <c r="V6951">
        <v>-0.39894669999999999</v>
      </c>
      <c r="W6951">
        <v>-6.8342459999999994E-2</v>
      </c>
      <c r="X6951">
        <v>0.91442380000000001</v>
      </c>
      <c r="Y6951">
        <v>-0.34650160000000002</v>
      </c>
      <c r="Z6951">
        <v>5.5729149999999998E-2</v>
      </c>
      <c r="AA6951">
        <v>0.93639249999999996</v>
      </c>
      <c r="AB6951">
        <v>12</v>
      </c>
      <c r="AC6951">
        <v>12.2814</v>
      </c>
      <c r="AD6951">
        <v>-1.1115054324310001</v>
      </c>
      <c r="AE6951">
        <v>-5.8411499999999998</v>
      </c>
      <c r="AF6951">
        <v>-4.7481453984504602</v>
      </c>
      <c r="AG6951">
        <v>-1.1115054324310001</v>
      </c>
      <c r="AH6951">
        <v>12.6475525243451</v>
      </c>
      <c r="AI6951">
        <v>94.703478660649907</v>
      </c>
      <c r="AJ6951">
        <v>110.57714459355201</v>
      </c>
      <c r="AK6951">
        <v>13.555106562001599</v>
      </c>
      <c r="AL6951">
        <v>93.918789049561298</v>
      </c>
      <c r="AM6951">
        <v>113.57077977582099</v>
      </c>
      <c r="AN6951">
        <v>1.0000000236430899</v>
      </c>
    </row>
    <row r="6952" spans="1:40" x14ac:dyDescent="0.25">
      <c r="A6952" t="str">
        <f>"20190305135102876"</f>
        <v>20190305135102876</v>
      </c>
      <c r="B6952" t="str">
        <f>"1551765062867351"</f>
        <v>1551765062867351</v>
      </c>
      <c r="C6952" t="s">
        <v>40</v>
      </c>
      <c r="D6952">
        <v>4.092536</v>
      </c>
      <c r="E6952">
        <v>0.49751380000000001</v>
      </c>
      <c r="F6952" t="s">
        <v>85</v>
      </c>
      <c r="G6952">
        <v>-280.74950000000001</v>
      </c>
      <c r="H6952" s="1">
        <v>-6.225348E-6</v>
      </c>
      <c r="I6952">
        <v>-57.463209999999997</v>
      </c>
      <c r="J6952">
        <v>-294.82799999999997</v>
      </c>
      <c r="K6952">
        <v>1.111718</v>
      </c>
      <c r="L6952">
        <v>-51.739069999999998</v>
      </c>
      <c r="M6952">
        <v>0.69507200000000002</v>
      </c>
      <c r="N6952">
        <v>-2.1817940000000001E-2</v>
      </c>
      <c r="O6952">
        <v>-0.71860919999999995</v>
      </c>
      <c r="P6952">
        <v>0.92186559999999995</v>
      </c>
      <c r="Q6952">
        <v>-8.8944750000000003E-2</v>
      </c>
      <c r="R6952">
        <v>-0.37716450000000001</v>
      </c>
      <c r="S6952">
        <v>2.7687680000000001</v>
      </c>
      <c r="T6952">
        <v>-0.2173699</v>
      </c>
      <c r="U6952">
        <v>-1.1351929999999999</v>
      </c>
      <c r="V6952">
        <v>-0.40036090000000002</v>
      </c>
      <c r="W6952">
        <v>-6.9252179999999997E-2</v>
      </c>
      <c r="X6952">
        <v>0.91373700000000002</v>
      </c>
      <c r="Y6952">
        <v>-0.39947159999999998</v>
      </c>
      <c r="Z6952">
        <v>5.0123109999999998E-2</v>
      </c>
      <c r="AA6952">
        <v>0.91537429999999997</v>
      </c>
      <c r="AB6952">
        <v>12</v>
      </c>
      <c r="AC6952">
        <v>14.078499999999901</v>
      </c>
      <c r="AD6952">
        <v>-1.111724225348</v>
      </c>
      <c r="AE6952">
        <v>-5.7241399999999896</v>
      </c>
      <c r="AF6952">
        <v>-6.1070317805060998</v>
      </c>
      <c r="AG6952">
        <v>-1.111724225348</v>
      </c>
      <c r="AH6952">
        <v>13.828302219192601</v>
      </c>
      <c r="AI6952">
        <v>94.206090155828306</v>
      </c>
      <c r="AJ6952">
        <v>113.82782560629001</v>
      </c>
      <c r="AK6952">
        <v>15.1576287784951</v>
      </c>
      <c r="AL6952">
        <v>93.971036012070897</v>
      </c>
      <c r="AM6952">
        <v>113.66099934225301</v>
      </c>
      <c r="AN6952">
        <v>1.00000000992628</v>
      </c>
    </row>
    <row r="6953" spans="1:40" x14ac:dyDescent="0.25">
      <c r="A6953" t="str">
        <f>"20190305135102898"</f>
        <v>20190305135102898</v>
      </c>
      <c r="B6953" t="str">
        <f>"1551765062886866"</f>
        <v>1551765062886866</v>
      </c>
      <c r="C6953" t="s">
        <v>40</v>
      </c>
      <c r="D6953">
        <v>4.1598870000000003</v>
      </c>
      <c r="E6953">
        <v>0.49604480000000001</v>
      </c>
      <c r="F6953" t="s">
        <v>110</v>
      </c>
      <c r="G6953">
        <v>-278.44479999999999</v>
      </c>
      <c r="H6953" s="1">
        <v>-3.2362870000000001E-6</v>
      </c>
      <c r="I6953">
        <v>-58.306710000000002</v>
      </c>
      <c r="J6953">
        <v>-294.7457</v>
      </c>
      <c r="K6953">
        <v>1.1117410000000001</v>
      </c>
      <c r="L6953">
        <v>-51.822200000000002</v>
      </c>
      <c r="M6953">
        <v>0.69605090000000003</v>
      </c>
      <c r="N6953">
        <v>-2.160339E-2</v>
      </c>
      <c r="O6953">
        <v>-0.71766719999999995</v>
      </c>
      <c r="P6953">
        <v>0.92270870000000005</v>
      </c>
      <c r="Q6953">
        <v>-8.8529269999999993E-2</v>
      </c>
      <c r="R6953">
        <v>-0.37519459999999999</v>
      </c>
      <c r="S6953">
        <v>2.78009</v>
      </c>
      <c r="T6953">
        <v>-0.1886497</v>
      </c>
      <c r="U6953">
        <v>-1.114471</v>
      </c>
      <c r="V6953">
        <v>-0.40106439999999999</v>
      </c>
      <c r="W6953">
        <v>-6.9234329999999997E-2</v>
      </c>
      <c r="X6953">
        <v>0.91342979999999996</v>
      </c>
      <c r="Y6953">
        <v>-0.40587570000000001</v>
      </c>
      <c r="Z6953">
        <v>4.2134070000000003E-2</v>
      </c>
      <c r="AA6953">
        <v>0.91295649999999995</v>
      </c>
      <c r="AB6953">
        <v>12</v>
      </c>
      <c r="AC6953">
        <v>16.300899999999999</v>
      </c>
      <c r="AD6953">
        <v>-1.111744236287</v>
      </c>
      <c r="AE6953">
        <v>-6.4845099999999896</v>
      </c>
      <c r="AF6953">
        <v>-7.1580042701170496</v>
      </c>
      <c r="AG6953">
        <v>-1.111744236287</v>
      </c>
      <c r="AH6953">
        <v>15.9397003282994</v>
      </c>
      <c r="AI6953">
        <v>93.640585404271306</v>
      </c>
      <c r="AJ6953">
        <v>114.183307439752</v>
      </c>
      <c r="AK6953">
        <v>17.508484998249301</v>
      </c>
      <c r="AL6953">
        <v>93.970010771909898</v>
      </c>
      <c r="AM6953">
        <v>113.705088120184</v>
      </c>
      <c r="AN6953">
        <v>1.0000000224629699</v>
      </c>
    </row>
    <row r="6954" spans="1:40" x14ac:dyDescent="0.25">
      <c r="A6954" t="str">
        <f>"20190305135102922"</f>
        <v>20190305135102922</v>
      </c>
      <c r="B6954" t="str">
        <f>"1551765062917122"</f>
        <v>1551765062917122</v>
      </c>
      <c r="C6954" t="s">
        <v>40</v>
      </c>
      <c r="D6954">
        <v>4.1193410000000004</v>
      </c>
      <c r="E6954">
        <v>0.49543419999999999</v>
      </c>
      <c r="F6954" t="s">
        <v>110</v>
      </c>
      <c r="G6954">
        <v>-278.79509999999999</v>
      </c>
      <c r="H6954" s="1">
        <v>-3.4310400000000001E-6</v>
      </c>
      <c r="I6954">
        <v>-58.105449999999998</v>
      </c>
      <c r="J6954">
        <v>-294.66000000000003</v>
      </c>
      <c r="K6954">
        <v>1.111588</v>
      </c>
      <c r="L6954">
        <v>-51.907989999999998</v>
      </c>
      <c r="M6954">
        <v>0.69719219999999904</v>
      </c>
      <c r="N6954">
        <v>-2.0557229999999999E-2</v>
      </c>
      <c r="O6954">
        <v>-0.71658959999999905</v>
      </c>
      <c r="P6954">
        <v>0.9238307</v>
      </c>
      <c r="Q6954">
        <v>-8.5720130000000005E-2</v>
      </c>
      <c r="R6954">
        <v>-0.37308059999999998</v>
      </c>
      <c r="S6954">
        <v>2.786346</v>
      </c>
      <c r="T6954">
        <v>-0.1942064</v>
      </c>
      <c r="U6954">
        <v>-1.0975950000000001</v>
      </c>
      <c r="V6954">
        <v>-0.4018795</v>
      </c>
      <c r="W6954">
        <v>-6.7583290000000004E-2</v>
      </c>
      <c r="X6954">
        <v>0.91319510000000004</v>
      </c>
      <c r="Y6954">
        <v>-0.4098077</v>
      </c>
      <c r="Z6954">
        <v>4.4444530000000003E-2</v>
      </c>
      <c r="AA6954">
        <v>0.91108860000000003</v>
      </c>
      <c r="AB6954">
        <v>12</v>
      </c>
      <c r="AC6954">
        <v>15.8649</v>
      </c>
      <c r="AD6954">
        <v>-1.1115914310399999</v>
      </c>
      <c r="AE6954">
        <v>-6.1974599999999898</v>
      </c>
      <c r="AF6954">
        <v>-7.0193928380156203</v>
      </c>
      <c r="AG6954">
        <v>-1.1115914310399999</v>
      </c>
      <c r="AH6954">
        <v>15.4394337730196</v>
      </c>
      <c r="AI6954">
        <v>93.749872015349098</v>
      </c>
      <c r="AJ6954">
        <v>114.448470753363</v>
      </c>
      <c r="AK6954">
        <v>16.996576906995301</v>
      </c>
      <c r="AL6954">
        <v>93.875191246135898</v>
      </c>
      <c r="AM6954">
        <v>113.75336613731</v>
      </c>
      <c r="AN6954">
        <v>0.99999996213574105</v>
      </c>
    </row>
    <row r="6955" spans="1:40" x14ac:dyDescent="0.25">
      <c r="A6955" t="str">
        <f>"20190305135102943"</f>
        <v>20190305135102943</v>
      </c>
      <c r="B6955" t="str">
        <f>"1551765062936642"</f>
        <v>1551765062936642</v>
      </c>
      <c r="C6955" t="s">
        <v>40</v>
      </c>
      <c r="D6955">
        <v>4.1168239999999896</v>
      </c>
      <c r="E6955">
        <v>0.49513689999999999</v>
      </c>
      <c r="F6955" t="s">
        <v>110</v>
      </c>
      <c r="G6955">
        <v>-278.44170000000003</v>
      </c>
      <c r="H6955" s="1">
        <v>-3.2537260000000002E-6</v>
      </c>
      <c r="I6955">
        <v>-58.22186</v>
      </c>
      <c r="J6955">
        <v>-294.5752</v>
      </c>
      <c r="K6955">
        <v>1.111434</v>
      </c>
      <c r="L6955">
        <v>-51.992370000000001</v>
      </c>
      <c r="M6955">
        <v>0.69834980000000002</v>
      </c>
      <c r="N6955">
        <v>-1.954825E-2</v>
      </c>
      <c r="O6955">
        <v>-0.71548979999999995</v>
      </c>
      <c r="P6955">
        <v>0.92460679999999995</v>
      </c>
      <c r="Q6955">
        <v>-8.3329780000000006E-2</v>
      </c>
      <c r="R6955">
        <v>-0.37169720000000001</v>
      </c>
      <c r="S6955">
        <v>2.7908330000000001</v>
      </c>
      <c r="T6955">
        <v>-0.1912818</v>
      </c>
      <c r="U6955">
        <v>-1.086487</v>
      </c>
      <c r="V6955">
        <v>-0.4019279</v>
      </c>
      <c r="W6955">
        <v>-6.622989E-2</v>
      </c>
      <c r="X6955">
        <v>0.913273</v>
      </c>
      <c r="Y6955">
        <v>-0.41202420000000001</v>
      </c>
      <c r="Z6955">
        <v>4.4216770000000002E-2</v>
      </c>
      <c r="AA6955">
        <v>0.9100994</v>
      </c>
      <c r="AB6955">
        <v>12</v>
      </c>
      <c r="AC6955">
        <v>16.133499999999898</v>
      </c>
      <c r="AD6955">
        <v>-1.111437253726</v>
      </c>
      <c r="AE6955">
        <v>-6.2294899999999904</v>
      </c>
      <c r="AF6955">
        <v>-7.16477438697311</v>
      </c>
      <c r="AG6955">
        <v>-1.111437253726</v>
      </c>
      <c r="AH6955">
        <v>15.6622799134985</v>
      </c>
      <c r="AI6955">
        <v>93.692242663451395</v>
      </c>
      <c r="AJ6955">
        <v>114.581920640597</v>
      </c>
      <c r="AK6955">
        <v>17.259093164879101</v>
      </c>
      <c r="AL6955">
        <v>93.797472822911502</v>
      </c>
      <c r="AM6955">
        <v>113.754108129556</v>
      </c>
      <c r="AN6955">
        <v>1.00000000382841</v>
      </c>
    </row>
    <row r="6956" spans="1:40" x14ac:dyDescent="0.25">
      <c r="A6956" t="str">
        <f>"20190305135102964"</f>
        <v>20190305135102964</v>
      </c>
      <c r="B6956" t="str">
        <f>"1551765062957138"</f>
        <v>1551765062957138</v>
      </c>
      <c r="C6956" t="s">
        <v>40</v>
      </c>
      <c r="D6956">
        <v>4.0911949999999999</v>
      </c>
      <c r="E6956">
        <v>0.49504290000000001</v>
      </c>
      <c r="F6956" t="s">
        <v>110</v>
      </c>
      <c r="G6956">
        <v>-278.15699999999998</v>
      </c>
      <c r="H6956" s="1">
        <v>-3.1054259999999998E-6</v>
      </c>
      <c r="I6956">
        <v>-58.340150000000001</v>
      </c>
      <c r="J6956">
        <v>-294.495</v>
      </c>
      <c r="K6956">
        <v>1.1113329999999999</v>
      </c>
      <c r="L6956">
        <v>-52.071530000000003</v>
      </c>
      <c r="M6956">
        <v>0.69946580000000003</v>
      </c>
      <c r="N6956">
        <v>-1.8910469999999999E-2</v>
      </c>
      <c r="O6956">
        <v>-0.71441599999999905</v>
      </c>
      <c r="P6956">
        <v>0.92520820000000004</v>
      </c>
      <c r="Q6956">
        <v>-8.0819879999999997E-2</v>
      </c>
      <c r="R6956">
        <v>-0.37075360000000002</v>
      </c>
      <c r="S6956">
        <v>2.793396</v>
      </c>
      <c r="T6956">
        <v>-0.18910089999999999</v>
      </c>
      <c r="U6956">
        <v>-1.080017</v>
      </c>
      <c r="V6956">
        <v>-0.40160449999999998</v>
      </c>
      <c r="W6956">
        <v>-6.4319420000000002E-2</v>
      </c>
      <c r="X6956">
        <v>0.91355180000000002</v>
      </c>
      <c r="Y6956">
        <v>-0.41275339999999999</v>
      </c>
      <c r="Z6956">
        <v>4.3943360000000001E-2</v>
      </c>
      <c r="AA6956">
        <v>0.90978219999999999</v>
      </c>
      <c r="AB6956">
        <v>12</v>
      </c>
      <c r="AC6956">
        <v>16.338000000000001</v>
      </c>
      <c r="AD6956">
        <v>-1.11133610542599</v>
      </c>
      <c r="AE6956">
        <v>-6.2686200000000003</v>
      </c>
      <c r="AF6956">
        <v>-7.2594669917813803</v>
      </c>
      <c r="AG6956">
        <v>-1.11133610542599</v>
      </c>
      <c r="AH6956">
        <v>15.8452108747436</v>
      </c>
      <c r="AI6956">
        <v>93.648443793918702</v>
      </c>
      <c r="AJ6956">
        <v>114.614834577273</v>
      </c>
      <c r="AK6956">
        <v>17.464410571476002</v>
      </c>
      <c r="AL6956">
        <v>93.687776909489102</v>
      </c>
      <c r="AM6956">
        <v>113.73066535074</v>
      </c>
      <c r="AN6956">
        <v>1.0000000267463101</v>
      </c>
    </row>
    <row r="6957" spans="1:40" x14ac:dyDescent="0.25">
      <c r="A6957" t="str">
        <f>"20190305135102987"</f>
        <v>20190305135102987</v>
      </c>
      <c r="B6957" t="str">
        <f>"1551765062976662"</f>
        <v>1551765062976662</v>
      </c>
      <c r="C6957" t="s">
        <v>40</v>
      </c>
      <c r="D6957">
        <v>4.0928360000000001</v>
      </c>
      <c r="E6957">
        <v>0.4949808</v>
      </c>
      <c r="F6957" t="s">
        <v>110</v>
      </c>
      <c r="G6957">
        <v>-277.6266</v>
      </c>
      <c r="H6957" s="1">
        <v>-2.8277979999999998E-6</v>
      </c>
      <c r="I6957">
        <v>-58.566690000000001</v>
      </c>
      <c r="J6957">
        <v>-294.4117</v>
      </c>
      <c r="K6957">
        <v>1.111216</v>
      </c>
      <c r="L6957">
        <v>-52.153530000000003</v>
      </c>
      <c r="M6957">
        <v>0.70069809999999999</v>
      </c>
      <c r="N6957">
        <v>-1.8400630000000001E-2</v>
      </c>
      <c r="O6957">
        <v>-0.71322069999999904</v>
      </c>
      <c r="P6957">
        <v>0.92573220000000001</v>
      </c>
      <c r="Q6957">
        <v>-7.8869419999999996E-2</v>
      </c>
      <c r="R6957">
        <v>-0.36986459999999999</v>
      </c>
      <c r="S6957">
        <v>2.7951350000000001</v>
      </c>
      <c r="T6957">
        <v>-0.18415110000000001</v>
      </c>
      <c r="U6957">
        <v>-1.076263</v>
      </c>
      <c r="V6957">
        <v>-0.4010454</v>
      </c>
      <c r="W6957">
        <v>-6.2775150000000002E-2</v>
      </c>
      <c r="X6957">
        <v>0.91390470000000001</v>
      </c>
      <c r="Y6957">
        <v>-0.41251870000000002</v>
      </c>
      <c r="Z6957">
        <v>4.2761639999999997E-2</v>
      </c>
      <c r="AA6957">
        <v>0.909945</v>
      </c>
      <c r="AB6957">
        <v>12</v>
      </c>
      <c r="AC6957">
        <v>16.7851</v>
      </c>
      <c r="AD6957">
        <v>-1.111218827798</v>
      </c>
      <c r="AE6957">
        <v>-6.4131600000000004</v>
      </c>
      <c r="AF6957">
        <v>-7.4505627024340297</v>
      </c>
      <c r="AG6957">
        <v>-1.111218827798</v>
      </c>
      <c r="AH6957">
        <v>16.275804117821899</v>
      </c>
      <c r="AI6957">
        <v>93.552306314783394</v>
      </c>
      <c r="AJ6957">
        <v>114.596850374344</v>
      </c>
      <c r="AK6957">
        <v>17.934533491224698</v>
      </c>
      <c r="AL6957">
        <v>93.599117770875793</v>
      </c>
      <c r="AM6957">
        <v>113.69312864505</v>
      </c>
      <c r="AN6957">
        <v>0.99999996650038503</v>
      </c>
    </row>
    <row r="6958" spans="1:40" x14ac:dyDescent="0.25">
      <c r="A6958" t="str">
        <f>"20190305135103010"</f>
        <v>20190305135103010</v>
      </c>
      <c r="B6958" t="str">
        <f>"1551765063006915"</f>
        <v>1551765063006915</v>
      </c>
      <c r="C6958" t="s">
        <v>40</v>
      </c>
      <c r="D6958">
        <v>4.1229820000000004</v>
      </c>
      <c r="E6958">
        <v>0.49500379999999999</v>
      </c>
      <c r="F6958" t="s">
        <v>110</v>
      </c>
      <c r="G6958">
        <v>-277.16820000000001</v>
      </c>
      <c r="H6958" s="1">
        <v>-2.5861800000000002E-6</v>
      </c>
      <c r="I6958">
        <v>-58.770119999999999</v>
      </c>
      <c r="J6958">
        <v>-294.32679999999999</v>
      </c>
      <c r="K6958">
        <v>1.1110629999999999</v>
      </c>
      <c r="L6958">
        <v>-52.236849999999997</v>
      </c>
      <c r="M6958">
        <v>0.70203309999999997</v>
      </c>
      <c r="N6958">
        <v>-1.783411E-2</v>
      </c>
      <c r="O6958">
        <v>-0.71192109999999997</v>
      </c>
      <c r="P6958">
        <v>0.92651629999999996</v>
      </c>
      <c r="Q6958">
        <v>-7.563549E-2</v>
      </c>
      <c r="R6958">
        <v>-0.36857459999999997</v>
      </c>
      <c r="S6958">
        <v>2.79657</v>
      </c>
      <c r="T6958">
        <v>-0.1802193</v>
      </c>
      <c r="U6958">
        <v>-1.0730900000000001</v>
      </c>
      <c r="V6958">
        <v>-0.40082570000000001</v>
      </c>
      <c r="W6958">
        <v>-5.9964650000000001E-2</v>
      </c>
      <c r="X6958">
        <v>0.91418980000000005</v>
      </c>
      <c r="Y6958">
        <v>-0.41193439999999998</v>
      </c>
      <c r="Z6958">
        <v>4.1893819999999998E-2</v>
      </c>
      <c r="AA6958">
        <v>0.91024989999999995</v>
      </c>
      <c r="AB6958">
        <v>12</v>
      </c>
      <c r="AC6958">
        <v>17.1585999999999</v>
      </c>
      <c r="AD6958">
        <v>-1.1110655861799901</v>
      </c>
      <c r="AE6958">
        <v>-6.5332699999999999</v>
      </c>
      <c r="AF6958">
        <v>-7.6023704824734599</v>
      </c>
      <c r="AG6958">
        <v>-1.1110655861799901</v>
      </c>
      <c r="AH6958">
        <v>16.6388009299454</v>
      </c>
      <c r="AI6958">
        <v>93.475653827731406</v>
      </c>
      <c r="AJ6958">
        <v>114.55595235269099</v>
      </c>
      <c r="AK6958">
        <v>18.327034677653899</v>
      </c>
      <c r="AL6958">
        <v>93.437783722972</v>
      </c>
      <c r="AM6958">
        <v>113.67500513752999</v>
      </c>
      <c r="AN6958">
        <v>0.99999999572707599</v>
      </c>
    </row>
    <row r="6959" spans="1:40" x14ac:dyDescent="0.25">
      <c r="A6959" t="str">
        <f>"20190305135103033"</f>
        <v>20190305135103033</v>
      </c>
      <c r="B6959" t="str">
        <f>"1551765063026434"</f>
        <v>1551765063026434</v>
      </c>
      <c r="C6959" t="s">
        <v>40</v>
      </c>
      <c r="D6959">
        <v>4.108568</v>
      </c>
      <c r="E6959">
        <v>0.4949771</v>
      </c>
      <c r="F6959" t="s">
        <v>110</v>
      </c>
      <c r="G6959">
        <v>-276.44490000000002</v>
      </c>
      <c r="H6959" s="1">
        <v>-2.2098789999999999E-6</v>
      </c>
      <c r="I6959">
        <v>-59.0687</v>
      </c>
      <c r="J6959">
        <v>-294.2405</v>
      </c>
      <c r="K6959">
        <v>1.1109100000000001</v>
      </c>
      <c r="L6959">
        <v>-52.321350000000002</v>
      </c>
      <c r="M6959">
        <v>0.70340309999999995</v>
      </c>
      <c r="N6959">
        <v>-1.721323E-2</v>
      </c>
      <c r="O6959">
        <v>-0.71058279999999996</v>
      </c>
      <c r="P6959">
        <v>0.9267474</v>
      </c>
      <c r="Q6959">
        <v>-7.4241509999999997E-2</v>
      </c>
      <c r="R6959">
        <v>-0.36827670000000001</v>
      </c>
      <c r="S6959">
        <v>2.7984309999999999</v>
      </c>
      <c r="T6959">
        <v>-0.17387639999999999</v>
      </c>
      <c r="U6959">
        <v>-1.069153</v>
      </c>
      <c r="V6959">
        <v>-0.39946169999999998</v>
      </c>
      <c r="W6959">
        <v>-5.9055030000000001E-2</v>
      </c>
      <c r="X6959">
        <v>0.91484580000000004</v>
      </c>
      <c r="Y6959">
        <v>-0.41160020000000003</v>
      </c>
      <c r="Z6959">
        <v>4.0370580000000003E-2</v>
      </c>
      <c r="AA6959">
        <v>0.91046990000000005</v>
      </c>
      <c r="AB6959">
        <v>12</v>
      </c>
      <c r="AC6959">
        <v>17.795599999999901</v>
      </c>
      <c r="AD6959">
        <v>-1.1109122098790001</v>
      </c>
      <c r="AE6959">
        <v>-6.7473499999999902</v>
      </c>
      <c r="AF6959">
        <v>-7.8734837332970402</v>
      </c>
      <c r="AG6959">
        <v>-1.1109122098790001</v>
      </c>
      <c r="AH6959">
        <v>17.255801086059801</v>
      </c>
      <c r="AI6959">
        <v>93.351995527829899</v>
      </c>
      <c r="AJ6959">
        <v>114.526284310771</v>
      </c>
      <c r="AK6959">
        <v>18.999698501771402</v>
      </c>
      <c r="AL6959">
        <v>93.385573815757695</v>
      </c>
      <c r="AM6959">
        <v>113.588186925825</v>
      </c>
      <c r="AN6959">
        <v>0.99999999205641499</v>
      </c>
    </row>
    <row r="6960" spans="1:40" x14ac:dyDescent="0.25">
      <c r="A6960" t="str">
        <f>"20190305135103055"</f>
        <v>20190305135103055</v>
      </c>
      <c r="B6960" t="str">
        <f>"1551765063046930"</f>
        <v>1551765063046930</v>
      </c>
      <c r="C6960" t="s">
        <v>40</v>
      </c>
      <c r="D6960">
        <v>4.1005690000000001</v>
      </c>
      <c r="E6960">
        <v>0.49496630000000003</v>
      </c>
      <c r="F6960" t="s">
        <v>110</v>
      </c>
      <c r="G6960">
        <v>-276.1225</v>
      </c>
      <c r="H6960" s="1">
        <v>-2.0348520000000001E-6</v>
      </c>
      <c r="I6960">
        <v>-59.234580000000001</v>
      </c>
      <c r="J6960">
        <v>-294.15809999999999</v>
      </c>
      <c r="K6960">
        <v>1.1108169999999999</v>
      </c>
      <c r="L6960">
        <v>-52.401919999999997</v>
      </c>
      <c r="M6960">
        <v>0.70466049999999902</v>
      </c>
      <c r="N6960">
        <v>-1.6695359999999999E-2</v>
      </c>
      <c r="O6960">
        <v>-0.70934830000000004</v>
      </c>
      <c r="P6960">
        <v>0.92708930000000001</v>
      </c>
      <c r="Q6960">
        <v>-7.3857519999999996E-2</v>
      </c>
      <c r="R6960">
        <v>-0.36749219999999999</v>
      </c>
      <c r="S6960">
        <v>2.7989809999999999</v>
      </c>
      <c r="T6960">
        <v>-0.17161979999999999</v>
      </c>
      <c r="U6960">
        <v>-1.067993</v>
      </c>
      <c r="V6960">
        <v>-0.39865060000000002</v>
      </c>
      <c r="W6960">
        <v>-5.9108099999999997E-2</v>
      </c>
      <c r="X6960">
        <v>0.91519609999999996</v>
      </c>
      <c r="Y6960">
        <v>-0.41041230000000001</v>
      </c>
      <c r="Z6960">
        <v>3.994491E-2</v>
      </c>
      <c r="AA6960">
        <v>0.91102479999999997</v>
      </c>
      <c r="AB6960">
        <v>12</v>
      </c>
      <c r="AC6960">
        <v>18.035599999999899</v>
      </c>
      <c r="AD6960">
        <v>-1.110819034852</v>
      </c>
      <c r="AE6960">
        <v>-6.83265999999999</v>
      </c>
      <c r="AF6960">
        <v>-7.9535440862871001</v>
      </c>
      <c r="AG6960">
        <v>-1.110819034852</v>
      </c>
      <c r="AH6960">
        <v>17.500103836461101</v>
      </c>
      <c r="AI6960">
        <v>93.307262466984398</v>
      </c>
      <c r="AJ6960">
        <v>114.441109530858</v>
      </c>
      <c r="AK6960">
        <v>19.254776465792101</v>
      </c>
      <c r="AL6960">
        <v>93.388619847936496</v>
      </c>
      <c r="AM6960">
        <v>113.537477159251</v>
      </c>
      <c r="AN6960">
        <v>0.99999998491058895</v>
      </c>
    </row>
    <row r="6961" spans="1:40" x14ac:dyDescent="0.25">
      <c r="A6961" t="str">
        <f>"20190305135103077"</f>
        <v>20190305135103077</v>
      </c>
      <c r="B6961" t="str">
        <f>"1551765063066450"</f>
        <v>1551765063066450</v>
      </c>
      <c r="C6961" t="s">
        <v>40</v>
      </c>
      <c r="D6961">
        <v>4.097734</v>
      </c>
      <c r="E6961">
        <v>0.49502610000000002</v>
      </c>
      <c r="F6961" t="s">
        <v>110</v>
      </c>
      <c r="G6961">
        <v>-276.05239999999998</v>
      </c>
      <c r="H6961" s="1">
        <v>-1.992134E-6</v>
      </c>
      <c r="I6961">
        <v>-59.291840000000001</v>
      </c>
      <c r="J6961">
        <v>-294.07530000000003</v>
      </c>
      <c r="K6961">
        <v>1.1108</v>
      </c>
      <c r="L6961">
        <v>-52.482390000000002</v>
      </c>
      <c r="M6961">
        <v>0.70586130000000002</v>
      </c>
      <c r="N6961">
        <v>-1.628864E-2</v>
      </c>
      <c r="O6961">
        <v>-0.70816279999999998</v>
      </c>
      <c r="P6961">
        <v>0.92764250000000004</v>
      </c>
      <c r="Q6961">
        <v>-7.4053359999999999E-2</v>
      </c>
      <c r="R6961">
        <v>-0.3660544</v>
      </c>
      <c r="S6961">
        <v>2.7998660000000002</v>
      </c>
      <c r="T6961">
        <v>-0.1717774</v>
      </c>
      <c r="U6961">
        <v>-1.0654600000000001</v>
      </c>
      <c r="V6961">
        <v>-0.39851320000000001</v>
      </c>
      <c r="W6961">
        <v>-5.9677620000000001E-2</v>
      </c>
      <c r="X6961">
        <v>0.915219</v>
      </c>
      <c r="Y6961">
        <v>-0.4096825</v>
      </c>
      <c r="Z6961">
        <v>4.016662E-2</v>
      </c>
      <c r="AA6961">
        <v>0.91134349999999997</v>
      </c>
      <c r="AB6961">
        <v>12</v>
      </c>
      <c r="AC6961">
        <v>18.0229</v>
      </c>
      <c r="AD6961">
        <v>-1.110801992134</v>
      </c>
      <c r="AE6961">
        <v>-6.8094499999999902</v>
      </c>
      <c r="AF6961">
        <v>-7.9313112505629402</v>
      </c>
      <c r="AG6961">
        <v>-1.110801992134</v>
      </c>
      <c r="AH6961">
        <v>17.488062320240399</v>
      </c>
      <c r="AI6961">
        <v>93.310675436719805</v>
      </c>
      <c r="AJ6961">
        <v>114.395582698032</v>
      </c>
      <c r="AK6961">
        <v>19.234653699394901</v>
      </c>
      <c r="AL6961">
        <v>93.4213085837807</v>
      </c>
      <c r="AM6961">
        <v>113.529721916483</v>
      </c>
      <c r="AN6961">
        <v>1.00000000343205</v>
      </c>
    </row>
    <row r="6962" spans="1:40" x14ac:dyDescent="0.25">
      <c r="A6962" t="str">
        <f>"20190305135103099"</f>
        <v>20190305135103099</v>
      </c>
      <c r="B6962" t="str">
        <f>"1551765063086946"</f>
        <v>1551765063086946</v>
      </c>
      <c r="C6962" t="s">
        <v>40</v>
      </c>
      <c r="D6962">
        <v>4.1168809999999896</v>
      </c>
      <c r="E6962">
        <v>0.4950698</v>
      </c>
      <c r="F6962" t="s">
        <v>110</v>
      </c>
      <c r="G6962">
        <v>-276.07619999999997</v>
      </c>
      <c r="H6962" s="1">
        <v>-1.9999149999999999E-6</v>
      </c>
      <c r="I6962">
        <v>-59.302889999999998</v>
      </c>
      <c r="J6962">
        <v>-293.99459999999999</v>
      </c>
      <c r="K6962">
        <v>1.1108180000000001</v>
      </c>
      <c r="L6962">
        <v>-52.560580000000002</v>
      </c>
      <c r="M6962">
        <v>0.70700439999999998</v>
      </c>
      <c r="N6962">
        <v>-1.5960160000000001E-2</v>
      </c>
      <c r="O6962">
        <v>-0.70702919999999903</v>
      </c>
      <c r="P6962">
        <v>0.92833869999999996</v>
      </c>
      <c r="Q6962">
        <v>-7.4686440000000007E-2</v>
      </c>
      <c r="R6962">
        <v>-0.36415589999999998</v>
      </c>
      <c r="S6962">
        <v>2.8013309999999998</v>
      </c>
      <c r="T6962">
        <v>-0.17288199999999901</v>
      </c>
      <c r="U6962">
        <v>-1.061523</v>
      </c>
      <c r="V6962">
        <v>-0.39887159999999999</v>
      </c>
      <c r="W6962">
        <v>-6.0631190000000001E-2</v>
      </c>
      <c r="X6962">
        <v>0.91500009999999998</v>
      </c>
      <c r="Y6962">
        <v>-0.40947090000000003</v>
      </c>
      <c r="Z6962">
        <v>4.0630279999999998E-2</v>
      </c>
      <c r="AA6962">
        <v>0.91141799999999995</v>
      </c>
      <c r="AB6962">
        <v>12</v>
      </c>
      <c r="AC6962">
        <v>17.918399999999998</v>
      </c>
      <c r="AD6962">
        <v>-1.1108199999149999</v>
      </c>
      <c r="AE6962">
        <v>-6.7423099999999998</v>
      </c>
      <c r="AF6962">
        <v>-7.8764785792503398</v>
      </c>
      <c r="AG6962">
        <v>-1.1108199999149999</v>
      </c>
      <c r="AH6962">
        <v>17.379109645698001</v>
      </c>
      <c r="AI6962">
        <v>93.331827770059206</v>
      </c>
      <c r="AJ6962">
        <v>114.380761452972</v>
      </c>
      <c r="AK6962">
        <v>19.112987415859301</v>
      </c>
      <c r="AL6962">
        <v>93.476043467163194</v>
      </c>
      <c r="AM6962">
        <v>113.553600346183</v>
      </c>
      <c r="AN6962">
        <v>0.99999993874369097</v>
      </c>
    </row>
    <row r="6963" spans="1:40" x14ac:dyDescent="0.25">
      <c r="A6963" t="str">
        <f>"20190305135103123"</f>
        <v>20190305135103123</v>
      </c>
      <c r="B6963" t="str">
        <f>"1551765063117202"</f>
        <v>1551765063117202</v>
      </c>
      <c r="C6963" t="s">
        <v>40</v>
      </c>
      <c r="D6963">
        <v>4.1377480000000002</v>
      </c>
      <c r="E6963">
        <v>0.4950135</v>
      </c>
      <c r="F6963" t="s">
        <v>110</v>
      </c>
      <c r="G6963">
        <v>-276.267</v>
      </c>
      <c r="H6963" s="1">
        <v>-2.0958630000000002E-6</v>
      </c>
      <c r="I6963">
        <v>-59.239159999999998</v>
      </c>
      <c r="J6963">
        <v>-293.90789999999998</v>
      </c>
      <c r="K6963">
        <v>1.1108279999999999</v>
      </c>
      <c r="L6963">
        <v>-52.64423</v>
      </c>
      <c r="M6963">
        <v>0.70823689999999995</v>
      </c>
      <c r="N6963">
        <v>-1.5630939999999999E-2</v>
      </c>
      <c r="O6963">
        <v>-0.70580169999999998</v>
      </c>
      <c r="P6963">
        <v>0.92930190000000001</v>
      </c>
      <c r="Q6963">
        <v>-7.5358620000000001E-2</v>
      </c>
      <c r="R6963">
        <v>-0.36155110000000001</v>
      </c>
      <c r="S6963">
        <v>2.8031920000000001</v>
      </c>
      <c r="T6963">
        <v>-0.17565</v>
      </c>
      <c r="U6963">
        <v>-1.0560609999999999</v>
      </c>
      <c r="V6963">
        <v>-0.3998024</v>
      </c>
      <c r="W6963">
        <v>-6.1628429999999998E-2</v>
      </c>
      <c r="X6963">
        <v>0.91452719999999998</v>
      </c>
      <c r="Y6963">
        <v>-0.40959099999999998</v>
      </c>
      <c r="Z6963">
        <v>4.1577660000000002E-2</v>
      </c>
      <c r="AA6963">
        <v>0.9113213</v>
      </c>
      <c r="AB6963">
        <v>12</v>
      </c>
      <c r="AC6963">
        <v>17.640899999999899</v>
      </c>
      <c r="AD6963">
        <v>-1.110830095863</v>
      </c>
      <c r="AE6963">
        <v>-6.59492999999999</v>
      </c>
      <c r="AF6963">
        <v>-7.7541796060307604</v>
      </c>
      <c r="AG6963">
        <v>-1.110830095863</v>
      </c>
      <c r="AH6963">
        <v>17.091286813391001</v>
      </c>
      <c r="AI6963">
        <v>93.3872320425738</v>
      </c>
      <c r="AJ6963">
        <v>114.40341422056299</v>
      </c>
      <c r="AK6963">
        <v>18.800886410008701</v>
      </c>
      <c r="AL6963">
        <v>93.5332879183226</v>
      </c>
      <c r="AM6963">
        <v>113.613429231678</v>
      </c>
      <c r="AN6963">
        <v>1.0000000109849301</v>
      </c>
    </row>
    <row r="6964" spans="1:40" x14ac:dyDescent="0.25">
      <c r="A6964" t="str">
        <f>"20190305135103144"</f>
        <v>20190305135103144</v>
      </c>
      <c r="B6964" t="str">
        <f>"1551765063136726"</f>
        <v>1551765063136726</v>
      </c>
      <c r="C6964" t="s">
        <v>40</v>
      </c>
      <c r="D6964">
        <v>4.1408379999999996</v>
      </c>
      <c r="E6964">
        <v>0.49497839999999999</v>
      </c>
      <c r="F6964" t="s">
        <v>110</v>
      </c>
      <c r="G6964">
        <v>-276.59699999999998</v>
      </c>
      <c r="H6964" s="1">
        <v>-2.2663199999999999E-6</v>
      </c>
      <c r="I6964">
        <v>-59.108379999999997</v>
      </c>
      <c r="J6964">
        <v>-293.82619999999997</v>
      </c>
      <c r="K6964">
        <v>1.110824</v>
      </c>
      <c r="L6964">
        <v>-52.72278</v>
      </c>
      <c r="M6964">
        <v>0.70941999999999905</v>
      </c>
      <c r="N6964">
        <v>-1.5333629999999999E-2</v>
      </c>
      <c r="O6964">
        <v>-0.70461929999999995</v>
      </c>
      <c r="P6964">
        <v>0.93057160000000005</v>
      </c>
      <c r="Q6964">
        <v>-7.4432620000000005E-2</v>
      </c>
      <c r="R6964">
        <v>-0.35846450000000002</v>
      </c>
      <c r="S6964">
        <v>2.8059690000000002</v>
      </c>
      <c r="T6964">
        <v>-0.1800572</v>
      </c>
      <c r="U6964">
        <v>-1.0477909999999999</v>
      </c>
      <c r="V6964">
        <v>-0.40135880000000002</v>
      </c>
      <c r="W6964">
        <v>-6.0989380000000003E-2</v>
      </c>
      <c r="X6964">
        <v>0.91388809999999998</v>
      </c>
      <c r="Y6964">
        <v>-0.41064089999999998</v>
      </c>
      <c r="Z6964">
        <v>4.3003840000000002E-2</v>
      </c>
      <c r="AA6964">
        <v>0.91078250000000005</v>
      </c>
      <c r="AB6964">
        <v>12</v>
      </c>
      <c r="AC6964">
        <v>17.229199999999899</v>
      </c>
      <c r="AD6964">
        <v>-1.1108262663199999</v>
      </c>
      <c r="AE6964">
        <v>-6.3855999999999904</v>
      </c>
      <c r="AF6964">
        <v>-7.5831336910676699</v>
      </c>
      <c r="AG6964">
        <v>-1.1108262663199999</v>
      </c>
      <c r="AH6964">
        <v>16.663219890817999</v>
      </c>
      <c r="AI6964">
        <v>93.472211380173206</v>
      </c>
      <c r="AJ6964">
        <v>114.46943384335501</v>
      </c>
      <c r="AK6964">
        <v>18.341230839295001</v>
      </c>
      <c r="AL6964">
        <v>93.496603992647394</v>
      </c>
      <c r="AM6964">
        <v>113.709985175165</v>
      </c>
      <c r="AN6964">
        <v>1.00000002506591</v>
      </c>
    </row>
    <row r="6965" spans="1:40" x14ac:dyDescent="0.25">
      <c r="A6965" t="str">
        <f>"20190305135103166"</f>
        <v>20190305135103166</v>
      </c>
      <c r="B6965" t="str">
        <f>"1551765063157222"</f>
        <v>1551765063157222</v>
      </c>
      <c r="C6965" t="s">
        <v>40</v>
      </c>
      <c r="D6965">
        <v>4.1512510000000002</v>
      </c>
      <c r="E6965">
        <v>0.49496390000000001</v>
      </c>
      <c r="F6965" t="s">
        <v>110</v>
      </c>
      <c r="G6965">
        <v>-276.34609999999998</v>
      </c>
      <c r="H6965" s="1">
        <v>-2.1425810000000001E-6</v>
      </c>
      <c r="I6965">
        <v>-59.1813199999999</v>
      </c>
      <c r="J6965">
        <v>-293.74470000000002</v>
      </c>
      <c r="K6965">
        <v>1.1108089999999999</v>
      </c>
      <c r="L6965">
        <v>-52.800750000000001</v>
      </c>
      <c r="M6965">
        <v>0.71061529999999995</v>
      </c>
      <c r="N6965">
        <v>-1.5055860000000001E-2</v>
      </c>
      <c r="O6965">
        <v>-0.70342009999999999</v>
      </c>
      <c r="P6965">
        <v>0.93183700000000003</v>
      </c>
      <c r="Q6965">
        <v>-7.2346869999999994E-2</v>
      </c>
      <c r="R6965">
        <v>-0.35559279999999999</v>
      </c>
      <c r="S6965">
        <v>2.8096619999999999</v>
      </c>
      <c r="T6965">
        <v>-0.17854909999999999</v>
      </c>
      <c r="U6965">
        <v>-1.038116</v>
      </c>
      <c r="V6965">
        <v>-0.40274700000000002</v>
      </c>
      <c r="W6965">
        <v>-5.9161350000000001E-2</v>
      </c>
      <c r="X6965">
        <v>0.91339740000000003</v>
      </c>
      <c r="Y6965">
        <v>-0.41226309999999999</v>
      </c>
      <c r="Z6965">
        <v>4.2740470000000003E-2</v>
      </c>
      <c r="AA6965">
        <v>0.91006180000000003</v>
      </c>
      <c r="AB6965">
        <v>12</v>
      </c>
      <c r="AC6965">
        <v>17.398599999999998</v>
      </c>
      <c r="AD6965">
        <v>-1.1108111425810001</v>
      </c>
      <c r="AE6965">
        <v>-6.3805699999999899</v>
      </c>
      <c r="AF6965">
        <v>-7.6776797391480898</v>
      </c>
      <c r="AG6965">
        <v>-1.1108111425810001</v>
      </c>
      <c r="AH6965">
        <v>16.7934994306014</v>
      </c>
      <c r="AI6965">
        <v>93.442569712521504</v>
      </c>
      <c r="AJ6965">
        <v>114.569009646564</v>
      </c>
      <c r="AK6965">
        <v>18.4987105144391</v>
      </c>
      <c r="AL6965">
        <v>93.391676108789994</v>
      </c>
      <c r="AM6965">
        <v>113.794262485359</v>
      </c>
      <c r="AN6965">
        <v>1.00000001083479</v>
      </c>
    </row>
    <row r="6966" spans="1:40" x14ac:dyDescent="0.25">
      <c r="A6966" t="str">
        <f>"20190305135103188"</f>
        <v>20190305135103188</v>
      </c>
      <c r="B6966" t="str">
        <f>"1551765063176738"</f>
        <v>1551765063176738</v>
      </c>
      <c r="C6966" t="s">
        <v>40</v>
      </c>
      <c r="D6966">
        <v>4.3155060000000001</v>
      </c>
      <c r="E6966">
        <v>0.49533480000000002</v>
      </c>
      <c r="F6966" t="s">
        <v>110</v>
      </c>
      <c r="G6966">
        <v>-275.7466</v>
      </c>
      <c r="H6966" s="1">
        <v>-1.8401800000000001E-6</v>
      </c>
      <c r="I6966">
        <v>-59.385730000000002</v>
      </c>
      <c r="J6966">
        <v>-293.6617</v>
      </c>
      <c r="K6966">
        <v>1.110787</v>
      </c>
      <c r="L6966">
        <v>-52.879910000000002</v>
      </c>
      <c r="M6966">
        <v>0.71184409999999998</v>
      </c>
      <c r="N6966">
        <v>-1.4763190000000001E-2</v>
      </c>
      <c r="O6966">
        <v>-0.70218239999999998</v>
      </c>
      <c r="P6966">
        <v>0.93311639999999996</v>
      </c>
      <c r="Q6966">
        <v>-7.1420299999999895E-2</v>
      </c>
      <c r="R6966">
        <v>-0.35241020000000001</v>
      </c>
      <c r="S6966">
        <v>2.813202</v>
      </c>
      <c r="T6966">
        <v>-0.17362529999999901</v>
      </c>
      <c r="U6966">
        <v>-1.029266</v>
      </c>
      <c r="V6966">
        <v>-0.40432040000000002</v>
      </c>
      <c r="W6966">
        <v>-5.8510359999999997E-2</v>
      </c>
      <c r="X6966">
        <v>0.912744</v>
      </c>
      <c r="Y6966">
        <v>-0.41364129999999899</v>
      </c>
      <c r="Z6966">
        <v>4.1499479999999998E-2</v>
      </c>
      <c r="AA6966">
        <v>0.90949360000000001</v>
      </c>
      <c r="AB6966">
        <v>12</v>
      </c>
      <c r="AC6966">
        <v>17.915099999999899</v>
      </c>
      <c r="AD6966">
        <v>-1.1107888401799999</v>
      </c>
      <c r="AE6966">
        <v>-6.5058199999999999</v>
      </c>
      <c r="AF6966">
        <v>-7.9224958940802397</v>
      </c>
      <c r="AG6966">
        <v>-1.1107888401799999</v>
      </c>
      <c r="AH6966">
        <v>17.2642802475062</v>
      </c>
      <c r="AI6966">
        <v>93.346676605976299</v>
      </c>
      <c r="AJ6966">
        <v>114.65016456913099</v>
      </c>
      <c r="AK6966">
        <v>19.027747252463101</v>
      </c>
      <c r="AL6966">
        <v>93.354312342413493</v>
      </c>
      <c r="AM6966">
        <v>113.892020635142</v>
      </c>
      <c r="AN6966">
        <v>1.0000000288097399</v>
      </c>
    </row>
    <row r="6967" spans="1:40" x14ac:dyDescent="0.25">
      <c r="A6967" t="str">
        <f>"20190305135103211"</f>
        <v>20190305135103211</v>
      </c>
      <c r="B6967" t="str">
        <f>"1551765063206994"</f>
        <v>1551765063206994</v>
      </c>
      <c r="C6967" t="s">
        <v>40</v>
      </c>
      <c r="D6967">
        <v>4.0509309999999896</v>
      </c>
      <c r="E6967">
        <v>0.49565100000000001</v>
      </c>
      <c r="F6967" t="s">
        <v>110</v>
      </c>
      <c r="G6967">
        <v>-275.20330000000001</v>
      </c>
      <c r="H6967" s="1">
        <v>-1.563892E-6</v>
      </c>
      <c r="I6967">
        <v>-59.581180000000003</v>
      </c>
      <c r="J6967">
        <v>-293.57670000000002</v>
      </c>
      <c r="K6967">
        <v>1.110738</v>
      </c>
      <c r="L6967">
        <v>-52.960720000000002</v>
      </c>
      <c r="M6967">
        <v>0.71310689999999999</v>
      </c>
      <c r="N6967">
        <v>-1.4396300000000001E-2</v>
      </c>
      <c r="O6967">
        <v>-0.70090769999999902</v>
      </c>
      <c r="P6967">
        <v>0.93405150000000003</v>
      </c>
      <c r="Q6967">
        <v>-7.0420759999999999E-2</v>
      </c>
      <c r="R6967">
        <v>-0.35012749999999998</v>
      </c>
      <c r="S6967">
        <v>2.8160099999999999</v>
      </c>
      <c r="T6967">
        <v>-0.169461</v>
      </c>
      <c r="U6967">
        <v>-1.0223390000000001</v>
      </c>
      <c r="V6967">
        <v>-0.40496729999999997</v>
      </c>
      <c r="W6967">
        <v>-5.7853599999999901E-2</v>
      </c>
      <c r="X6967">
        <v>0.91249899999999995</v>
      </c>
      <c r="Y6967">
        <v>-0.4143348</v>
      </c>
      <c r="Z6967">
        <v>4.0494710000000003E-2</v>
      </c>
      <c r="AA6967">
        <v>0.90922329999999996</v>
      </c>
      <c r="AB6967">
        <v>12</v>
      </c>
      <c r="AC6967">
        <v>18.3734</v>
      </c>
      <c r="AD6967">
        <v>-1.1107395638919999</v>
      </c>
      <c r="AE6967">
        <v>-6.6204599999999996</v>
      </c>
      <c r="AF6967">
        <v>-8.1315032645147909</v>
      </c>
      <c r="AG6967">
        <v>-1.1107395638919999</v>
      </c>
      <c r="AH6967">
        <v>17.687153781451102</v>
      </c>
      <c r="AI6967">
        <v>93.265648301357899</v>
      </c>
      <c r="AJ6967">
        <v>114.690163693304</v>
      </c>
      <c r="AK6967">
        <v>19.4984742123149</v>
      </c>
      <c r="AL6967">
        <v>93.316619045769997</v>
      </c>
      <c r="AM6967">
        <v>113.931660991576</v>
      </c>
      <c r="AN6967">
        <v>0.99999998905162402</v>
      </c>
    </row>
    <row r="6968" spans="1:40" x14ac:dyDescent="0.25">
      <c r="A6968" t="str">
        <f>"20190305135103234"</f>
        <v>20190305135103234</v>
      </c>
      <c r="B6968" t="str">
        <f>"1551765063226514"</f>
        <v>1551765063226514</v>
      </c>
      <c r="C6968" t="s">
        <v>40</v>
      </c>
      <c r="D6968">
        <v>4.0316349999999996</v>
      </c>
      <c r="E6968">
        <v>0.49584830000000002</v>
      </c>
      <c r="F6968" t="s">
        <v>110</v>
      </c>
      <c r="G6968">
        <v>-274.24689999999998</v>
      </c>
      <c r="H6968" s="1">
        <v>-1.0738E-6</v>
      </c>
      <c r="I6968">
        <v>-59.942239999999998</v>
      </c>
      <c r="J6968">
        <v>-293.4896</v>
      </c>
      <c r="K6968">
        <v>1.1106720000000001</v>
      </c>
      <c r="L6968">
        <v>-53.043210000000002</v>
      </c>
      <c r="M6968">
        <v>0.71441519999999903</v>
      </c>
      <c r="N6968">
        <v>-1.3929530000000001E-2</v>
      </c>
      <c r="O6968">
        <v>-0.69958339999999997</v>
      </c>
      <c r="P6968">
        <v>0.93506639999999996</v>
      </c>
      <c r="Q6968">
        <v>-6.9679660000000004E-2</v>
      </c>
      <c r="R6968">
        <v>-0.34755649999999999</v>
      </c>
      <c r="S6968">
        <v>2.8180540000000001</v>
      </c>
      <c r="T6968">
        <v>-0.16193260000000001</v>
      </c>
      <c r="U6968">
        <v>-1.017822</v>
      </c>
      <c r="V6968">
        <v>-0.40581620000000002</v>
      </c>
      <c r="W6968">
        <v>-5.7548580000000002E-2</v>
      </c>
      <c r="X6968">
        <v>0.91214110000000004</v>
      </c>
      <c r="Y6968">
        <v>-0.41424820000000001</v>
      </c>
      <c r="Z6968">
        <v>3.8562560000000003E-2</v>
      </c>
      <c r="AA6968">
        <v>0.90934669999999895</v>
      </c>
      <c r="AB6968">
        <v>12</v>
      </c>
      <c r="AC6968">
        <v>19.242699999999999</v>
      </c>
      <c r="AD6968">
        <v>-1.1106730737999999</v>
      </c>
      <c r="AE6968">
        <v>-6.8990299999999998</v>
      </c>
      <c r="AF6968">
        <v>-8.5088109897869497</v>
      </c>
      <c r="AG6968">
        <v>-1.1106730737999999</v>
      </c>
      <c r="AH6968">
        <v>18.5208516664988</v>
      </c>
      <c r="AI6968">
        <v>93.119140240235495</v>
      </c>
      <c r="AJ6968">
        <v>114.674897551757</v>
      </c>
      <c r="AK6968">
        <v>20.412138682392701</v>
      </c>
      <c r="AL6968">
        <v>93.299113462421502</v>
      </c>
      <c r="AM6968">
        <v>113.98452380654901</v>
      </c>
      <c r="AN6968">
        <v>1.0000000067758299</v>
      </c>
    </row>
    <row r="6969" spans="1:40" x14ac:dyDescent="0.25">
      <c r="A6969" t="str">
        <f>"20190305135103256"</f>
        <v>20190305135103256</v>
      </c>
      <c r="B6969" t="str">
        <f>"1551765063247010"</f>
        <v>1551765063247010</v>
      </c>
      <c r="C6969" t="s">
        <v>40</v>
      </c>
      <c r="D6969">
        <v>4.05708</v>
      </c>
      <c r="E6969">
        <v>0.495892</v>
      </c>
      <c r="F6969" t="s">
        <v>110</v>
      </c>
      <c r="G6969">
        <v>-273.37639999999999</v>
      </c>
      <c r="H6969" s="1">
        <v>-6.3102880000000005E-7</v>
      </c>
      <c r="I6969">
        <v>-60.25573</v>
      </c>
      <c r="J6969">
        <v>-293.40750000000003</v>
      </c>
      <c r="K6969">
        <v>1.1105940000000001</v>
      </c>
      <c r="L6969">
        <v>-53.120669999999997</v>
      </c>
      <c r="M6969">
        <v>0.71566180000000001</v>
      </c>
      <c r="N6969">
        <v>-1.34483E-2</v>
      </c>
      <c r="O6969">
        <v>-0.69831779999999999</v>
      </c>
      <c r="P6969">
        <v>0.93581009999999998</v>
      </c>
      <c r="Q6969">
        <v>-6.9921570000000002E-2</v>
      </c>
      <c r="R6969">
        <v>-0.34550029999999998</v>
      </c>
      <c r="S6969">
        <v>2.8207399999999998</v>
      </c>
      <c r="T6969">
        <v>-0.15576400000000001</v>
      </c>
      <c r="U6969">
        <v>-1.0115050000000001</v>
      </c>
      <c r="V6969">
        <v>-0.4061862</v>
      </c>
      <c r="W6969">
        <v>-5.8236929999999999E-2</v>
      </c>
      <c r="X6969">
        <v>0.91193270000000004</v>
      </c>
      <c r="Y6969">
        <v>-0.41479349999999998</v>
      </c>
      <c r="Z6969">
        <v>3.704706E-2</v>
      </c>
      <c r="AA6969">
        <v>0.90916110000000006</v>
      </c>
      <c r="AB6969">
        <v>12</v>
      </c>
      <c r="AC6969">
        <v>20.031099999999999</v>
      </c>
      <c r="AD6969">
        <v>-1.1105946310288</v>
      </c>
      <c r="AE6969">
        <v>-7.1350600000000099</v>
      </c>
      <c r="AF6969">
        <v>-8.8584205381464791</v>
      </c>
      <c r="AG6969">
        <v>-1.1105946310288</v>
      </c>
      <c r="AH6969">
        <v>19.267216985902099</v>
      </c>
      <c r="AI6969">
        <v>92.997930027799299</v>
      </c>
      <c r="AJ6969">
        <v>114.691386251781</v>
      </c>
      <c r="AK6969">
        <v>21.235128566763098</v>
      </c>
      <c r="AL6969">
        <v>93.338619263469894</v>
      </c>
      <c r="AM6969">
        <v>114.008787634973</v>
      </c>
      <c r="AN6969">
        <v>1.0000000092077701</v>
      </c>
    </row>
    <row r="6970" spans="1:40" x14ac:dyDescent="0.25">
      <c r="A6970" t="str">
        <f>"20190305135103272"</f>
        <v>20190305135103272</v>
      </c>
      <c r="B6970" t="str">
        <f>"1551765063266530"</f>
        <v>1551765063266530</v>
      </c>
      <c r="C6970" t="s">
        <v>40</v>
      </c>
      <c r="D6970">
        <v>4.064095</v>
      </c>
      <c r="E6970">
        <v>0.4958477</v>
      </c>
      <c r="F6970" t="s">
        <v>110</v>
      </c>
      <c r="G6970">
        <v>-272.96409999999997</v>
      </c>
      <c r="H6970" s="1">
        <v>-4.2989450000000001E-7</v>
      </c>
      <c r="I6970">
        <v>-60.401730000000001</v>
      </c>
      <c r="J6970">
        <v>-293.34899999999999</v>
      </c>
      <c r="K6970">
        <v>1.110535</v>
      </c>
      <c r="L6970">
        <v>-53.175719999999998</v>
      </c>
      <c r="M6970">
        <v>0.71655639999999998</v>
      </c>
      <c r="N6970">
        <v>-1.3091780000000001E-2</v>
      </c>
      <c r="O6970">
        <v>-0.69740630000000003</v>
      </c>
      <c r="P6970">
        <v>0.93625890000000001</v>
      </c>
      <c r="Q6970">
        <v>-6.9984690000000002E-2</v>
      </c>
      <c r="R6970">
        <v>-0.34426980000000001</v>
      </c>
      <c r="S6970">
        <v>2.8230900000000001</v>
      </c>
      <c r="T6970">
        <v>-0.153365</v>
      </c>
      <c r="U6970">
        <v>-1.005463</v>
      </c>
      <c r="V6970">
        <v>-0.40621560000000001</v>
      </c>
      <c r="W6970">
        <v>-5.8630290000000002E-2</v>
      </c>
      <c r="X6970">
        <v>0.91189439999999999</v>
      </c>
      <c r="Y6970">
        <v>-0.41562559999999898</v>
      </c>
      <c r="Z6970">
        <v>3.6555690000000002E-2</v>
      </c>
      <c r="AA6970">
        <v>0.90880090000000002</v>
      </c>
      <c r="AB6970">
        <v>12</v>
      </c>
      <c r="AC6970">
        <v>20.384899999999998</v>
      </c>
      <c r="AD6970">
        <v>-1.1105354298944901</v>
      </c>
      <c r="AE6970">
        <v>-7.2260099999999996</v>
      </c>
      <c r="AF6970">
        <v>-9.0157178549451693</v>
      </c>
      <c r="AG6970">
        <v>-1.1105354298944901</v>
      </c>
      <c r="AH6970">
        <v>19.5964114840815</v>
      </c>
      <c r="AI6970">
        <v>92.947162564421603</v>
      </c>
      <c r="AJ6970">
        <v>114.705732729376</v>
      </c>
      <c r="AK6970">
        <v>21.599439817608001</v>
      </c>
      <c r="AL6970">
        <v>93.361195702760398</v>
      </c>
      <c r="AM6970">
        <v>114.011223445488</v>
      </c>
      <c r="AN6970">
        <v>1.0000000106700999</v>
      </c>
    </row>
    <row r="6971" spans="1:40" x14ac:dyDescent="0.25">
      <c r="A6971" t="str">
        <f>"20190305135103285"</f>
        <v>20190305135103285</v>
      </c>
      <c r="B6971" t="str">
        <f>"1551765063277267"</f>
        <v>1551765063277267</v>
      </c>
      <c r="C6971" t="s">
        <v>40</v>
      </c>
      <c r="D6971">
        <v>4.0879379999999896</v>
      </c>
      <c r="E6971">
        <v>0.49583739999999998</v>
      </c>
      <c r="F6971" t="s">
        <v>110</v>
      </c>
      <c r="G6971">
        <v>-272.61579999999998</v>
      </c>
      <c r="H6971" s="1">
        <v>-3.0819849999999998E-7</v>
      </c>
      <c r="I6971">
        <v>-60.526530000000001</v>
      </c>
      <c r="J6971">
        <v>-293.29500000000002</v>
      </c>
      <c r="K6971">
        <v>1.110484</v>
      </c>
      <c r="L6971">
        <v>-53.226410000000001</v>
      </c>
      <c r="M6971">
        <v>0.71738919999999995</v>
      </c>
      <c r="N6971">
        <v>-1.274695E-2</v>
      </c>
      <c r="O6971">
        <v>-0.69655630000000002</v>
      </c>
      <c r="P6971">
        <v>0.93659950000000003</v>
      </c>
      <c r="Q6971">
        <v>-6.9913690000000001E-2</v>
      </c>
      <c r="R6971">
        <v>-0.34335710000000003</v>
      </c>
      <c r="S6971">
        <v>2.8246769999999999</v>
      </c>
      <c r="T6971">
        <v>-0.15129790000000001</v>
      </c>
      <c r="U6971">
        <v>-1.001465</v>
      </c>
      <c r="V6971">
        <v>-0.40602169999999999</v>
      </c>
      <c r="W6971">
        <v>-5.8880179999999997E-2</v>
      </c>
      <c r="X6971">
        <v>0.91196469999999996</v>
      </c>
      <c r="Y6971">
        <v>-0.41587089999999999</v>
      </c>
      <c r="Z6971">
        <v>3.6138379999999998E-2</v>
      </c>
      <c r="AA6971">
        <v>0.9087054</v>
      </c>
      <c r="AB6971">
        <v>12</v>
      </c>
      <c r="AC6971">
        <v>20.679200000000002</v>
      </c>
      <c r="AD6971">
        <v>-1.1104843081985001</v>
      </c>
      <c r="AE6971">
        <v>-7.3001200000000104</v>
      </c>
      <c r="AF6971">
        <v>-9.1444944183679002</v>
      </c>
      <c r="AG6971">
        <v>-1.1104843081985001</v>
      </c>
      <c r="AH6971">
        <v>19.870641400483901</v>
      </c>
      <c r="AI6971">
        <v>92.906281341148699</v>
      </c>
      <c r="AJ6971">
        <v>114.711947452563</v>
      </c>
      <c r="AK6971">
        <v>21.901994046957</v>
      </c>
      <c r="AL6971">
        <v>93.375537972001993</v>
      </c>
      <c r="AM6971">
        <v>113.999415661212</v>
      </c>
      <c r="AN6971">
        <v>1.0000000552568999</v>
      </c>
    </row>
    <row r="6972" spans="1:40" x14ac:dyDescent="0.25">
      <c r="A6972" t="str">
        <f>"20190305135103297"</f>
        <v>20190305135103297</v>
      </c>
      <c r="B6972" t="str">
        <f>"1551765063287027"</f>
        <v>1551765063287027</v>
      </c>
      <c r="C6972" t="s">
        <v>40</v>
      </c>
      <c r="D6972">
        <v>4.0384010000000004</v>
      </c>
      <c r="E6972">
        <v>0.4958246</v>
      </c>
      <c r="F6972" t="s">
        <v>110</v>
      </c>
      <c r="G6972">
        <v>-272.40280000000001</v>
      </c>
      <c r="H6972" s="1">
        <v>-2.353547E-7</v>
      </c>
      <c r="I6972">
        <v>-60.609679999999997</v>
      </c>
      <c r="J6972">
        <v>-293.2466</v>
      </c>
      <c r="K6972">
        <v>1.1104419999999999</v>
      </c>
      <c r="L6972">
        <v>-53.271700000000003</v>
      </c>
      <c r="M6972">
        <v>0.71813859999999996</v>
      </c>
      <c r="N6972">
        <v>-1.242789E-2</v>
      </c>
      <c r="O6972">
        <v>-0.69578949999999995</v>
      </c>
      <c r="P6972">
        <v>0.93677679999999997</v>
      </c>
      <c r="Q6972">
        <v>-7.0345759999999993E-2</v>
      </c>
      <c r="R6972">
        <v>-0.3427847</v>
      </c>
      <c r="S6972">
        <v>2.8257750000000001</v>
      </c>
      <c r="T6972">
        <v>-0.1501991</v>
      </c>
      <c r="U6972">
        <v>-0.99862669999999998</v>
      </c>
      <c r="V6972">
        <v>-0.40557660000000001</v>
      </c>
      <c r="W6972">
        <v>-5.9609929999999998E-2</v>
      </c>
      <c r="X6972">
        <v>0.91211529999999996</v>
      </c>
      <c r="Y6972">
        <v>-0.41582940000000002</v>
      </c>
      <c r="Z6972">
        <v>3.5977549999999997E-2</v>
      </c>
      <c r="AA6972">
        <v>0.9087307</v>
      </c>
      <c r="AB6972">
        <v>12</v>
      </c>
      <c r="AC6972">
        <v>20.843799999999899</v>
      </c>
      <c r="AD6972">
        <v>-1.1104422353547001</v>
      </c>
      <c r="AE6972">
        <v>-7.3379799999999999</v>
      </c>
      <c r="AF6972">
        <v>-9.2106623830455501</v>
      </c>
      <c r="AG6972">
        <v>-1.1104422353547001</v>
      </c>
      <c r="AH6972">
        <v>20.025403702932898</v>
      </c>
      <c r="AI6972">
        <v>92.884025603042602</v>
      </c>
      <c r="AJ6972">
        <v>114.70001364261</v>
      </c>
      <c r="AK6972">
        <v>22.070028929703401</v>
      </c>
      <c r="AL6972">
        <v>93.417423254299905</v>
      </c>
      <c r="AM6972">
        <v>113.972560696626</v>
      </c>
      <c r="AN6972">
        <v>1.0000000213581199</v>
      </c>
    </row>
    <row r="6973" spans="1:40" x14ac:dyDescent="0.25">
      <c r="A6973" t="str">
        <f>"20190305135103312"</f>
        <v>20190305135103312</v>
      </c>
      <c r="B6973" t="str">
        <f>"1551765063306550"</f>
        <v>1551765063306550</v>
      </c>
      <c r="C6973" t="s">
        <v>40</v>
      </c>
      <c r="D6973">
        <v>4.0307750000000002</v>
      </c>
      <c r="E6973">
        <v>0.49573390000000001</v>
      </c>
      <c r="F6973" t="s">
        <v>110</v>
      </c>
      <c r="G6973">
        <v>-272.3553</v>
      </c>
      <c r="H6973" s="1">
        <v>-2.215351E-7</v>
      </c>
      <c r="I6973">
        <v>-60.639310000000002</v>
      </c>
      <c r="J6973">
        <v>-293.19189999999998</v>
      </c>
      <c r="K6973">
        <v>1.1103940000000001</v>
      </c>
      <c r="L6973">
        <v>-53.322850000000003</v>
      </c>
      <c r="M6973">
        <v>0.71898890000000004</v>
      </c>
      <c r="N6973">
        <v>-1.206017E-2</v>
      </c>
      <c r="O6973">
        <v>-0.69491700000000001</v>
      </c>
      <c r="P6973">
        <v>0.93685560000000001</v>
      </c>
      <c r="Q6973">
        <v>-7.1046319999999996E-2</v>
      </c>
      <c r="R6973">
        <v>-0.3424237</v>
      </c>
      <c r="S6973">
        <v>2.8264770000000001</v>
      </c>
      <c r="T6973">
        <v>-0.15023639999999999</v>
      </c>
      <c r="U6973">
        <v>-0.99679569999999995</v>
      </c>
      <c r="V6973">
        <v>-0.4047772</v>
      </c>
      <c r="W6973">
        <v>-6.0653720000000001E-2</v>
      </c>
      <c r="X6973">
        <v>0.91240160000000003</v>
      </c>
      <c r="Y6973">
        <v>-0.41531119999999999</v>
      </c>
      <c r="Z6973">
        <v>3.615053E-2</v>
      </c>
      <c r="AA6973">
        <v>0.90896080000000001</v>
      </c>
      <c r="AB6973">
        <v>12</v>
      </c>
      <c r="AC6973">
        <v>20.836599999999901</v>
      </c>
      <c r="AD6973">
        <v>-1.1103942215350999</v>
      </c>
      <c r="AE6973">
        <v>-7.3164599999999904</v>
      </c>
      <c r="AF6973">
        <v>-9.1966732333477896</v>
      </c>
      <c r="AG6973">
        <v>-1.1103942215350999</v>
      </c>
      <c r="AH6973">
        <v>20.016469653062</v>
      </c>
      <c r="AI6973">
        <v>92.885725712178001</v>
      </c>
      <c r="AJ6973">
        <v>114.67666677867901</v>
      </c>
      <c r="AK6973">
        <v>22.0560837697934</v>
      </c>
      <c r="AL6973">
        <v>93.477336272915906</v>
      </c>
      <c r="AM6973">
        <v>113.923955012121</v>
      </c>
      <c r="AN6973">
        <v>1.00000006753611</v>
      </c>
    </row>
    <row r="6974" spans="1:40" x14ac:dyDescent="0.25">
      <c r="A6974" t="str">
        <f>"20190305135103334"</f>
        <v>20190305135103334</v>
      </c>
      <c r="B6974" t="str">
        <f>"1551765063327042"</f>
        <v>1551765063327042</v>
      </c>
      <c r="C6974" t="s">
        <v>40</v>
      </c>
      <c r="D6974">
        <v>4.0718009999999998</v>
      </c>
      <c r="E6974">
        <v>0.49578800000000001</v>
      </c>
      <c r="F6974" t="s">
        <v>110</v>
      </c>
      <c r="G6974">
        <v>-272.37139999999999</v>
      </c>
      <c r="H6974" s="1">
        <v>-2.310858E-7</v>
      </c>
      <c r="I6974">
        <v>-60.651169999999901</v>
      </c>
      <c r="J6974">
        <v>-293.10489999999999</v>
      </c>
      <c r="K6974">
        <v>1.1103270000000001</v>
      </c>
      <c r="L6974">
        <v>-53.4037199999999</v>
      </c>
      <c r="M6974">
        <v>0.72034730000000002</v>
      </c>
      <c r="N6974">
        <v>-1.147518E-2</v>
      </c>
      <c r="O6974">
        <v>-0.69351879999999999</v>
      </c>
      <c r="P6974">
        <v>0.93716239999999995</v>
      </c>
      <c r="Q6974">
        <v>-7.1837960000000006E-2</v>
      </c>
      <c r="R6974">
        <v>-0.34141820000000001</v>
      </c>
      <c r="S6974">
        <v>2.8270569999999999</v>
      </c>
      <c r="T6974">
        <v>-0.15077199999999999</v>
      </c>
      <c r="U6974">
        <v>-0.99505619999999995</v>
      </c>
      <c r="V6974">
        <v>-0.40393040000000002</v>
      </c>
      <c r="W6974">
        <v>-6.1999850000000002E-2</v>
      </c>
      <c r="X6974">
        <v>0.91268629999999995</v>
      </c>
      <c r="Y6974">
        <v>-0.4140798</v>
      </c>
      <c r="Z6974">
        <v>3.6549989999999997E-2</v>
      </c>
      <c r="AA6974">
        <v>0.9095065</v>
      </c>
      <c r="AB6974">
        <v>12</v>
      </c>
      <c r="AC6974">
        <v>20.7334999999999</v>
      </c>
      <c r="AD6974">
        <v>-1.1103272310857999</v>
      </c>
      <c r="AE6974">
        <v>-7.2474499999999997</v>
      </c>
      <c r="AF6974">
        <v>-9.1356459739366507</v>
      </c>
      <c r="AG6974">
        <v>-1.1103272310857999</v>
      </c>
      <c r="AH6974">
        <v>19.911988674451202</v>
      </c>
      <c r="AI6974">
        <v>92.901385244450196</v>
      </c>
      <c r="AJ6974">
        <v>114.645717939926</v>
      </c>
      <c r="AK6974">
        <v>21.9358188106272</v>
      </c>
      <c r="AL6974">
        <v>93.554609473129602</v>
      </c>
      <c r="AM6974">
        <v>113.872892209729</v>
      </c>
      <c r="AN6974">
        <v>1.0000000158259299</v>
      </c>
    </row>
    <row r="6975" spans="1:40" x14ac:dyDescent="0.25">
      <c r="A6975" t="str">
        <f>"20190305135103347"</f>
        <v>20190305135103347</v>
      </c>
      <c r="B6975" t="str">
        <f>"1551765063336803"</f>
        <v>1551765063336803</v>
      </c>
      <c r="C6975" t="s">
        <v>40</v>
      </c>
      <c r="D6975">
        <v>4.434266</v>
      </c>
      <c r="E6975">
        <v>0.49578800000000001</v>
      </c>
      <c r="F6975" t="s">
        <v>110</v>
      </c>
      <c r="G6975">
        <v>-272.3775</v>
      </c>
      <c r="H6975" s="1">
        <v>-2.3954110000000001E-7</v>
      </c>
      <c r="I6975">
        <v>-60.6774699999999</v>
      </c>
      <c r="J6975">
        <v>-293.05259999999998</v>
      </c>
      <c r="K6975">
        <v>1.1102959999999999</v>
      </c>
      <c r="L6975">
        <v>-53.452300000000001</v>
      </c>
      <c r="M6975">
        <v>0.72116800000000003</v>
      </c>
      <c r="N6975">
        <v>-1.113373E-2</v>
      </c>
      <c r="O6975">
        <v>-0.69267069999999997</v>
      </c>
      <c r="P6975">
        <v>0.93737669999999995</v>
      </c>
      <c r="Q6975">
        <v>-7.237499E-2</v>
      </c>
      <c r="R6975">
        <v>-0.34071499999999999</v>
      </c>
      <c r="S6975">
        <v>2.8279719999999999</v>
      </c>
      <c r="T6975">
        <v>-0.1514884</v>
      </c>
      <c r="U6975">
        <v>-0.99240110000000004</v>
      </c>
      <c r="V6975">
        <v>-0.40350560000000002</v>
      </c>
      <c r="W6975">
        <v>-6.2862580000000001E-2</v>
      </c>
      <c r="X6975">
        <v>0.91281520000000005</v>
      </c>
      <c r="Y6975">
        <v>-0.41384349999999998</v>
      </c>
      <c r="Z6975">
        <v>3.6907740000000001E-2</v>
      </c>
      <c r="AA6975">
        <v>0.90959959999999995</v>
      </c>
      <c r="AB6975">
        <v>12</v>
      </c>
      <c r="AC6975">
        <v>20.675099999999901</v>
      </c>
      <c r="AD6975">
        <v>-1.1102962395411</v>
      </c>
      <c r="AE6975">
        <v>-7.2251699999999897</v>
      </c>
      <c r="AF6975">
        <v>-9.0876837645863304</v>
      </c>
      <c r="AG6975">
        <v>-1.1102962395411</v>
      </c>
      <c r="AH6975">
        <v>19.8650648661866</v>
      </c>
      <c r="AI6975">
        <v>92.909609060828899</v>
      </c>
      <c r="AJ6975">
        <v>114.58270321757099</v>
      </c>
      <c r="AK6975">
        <v>21.873261212778999</v>
      </c>
      <c r="AL6975">
        <v>93.6041368206524</v>
      </c>
      <c r="AM6975">
        <v>113.847596315163</v>
      </c>
      <c r="AN6975">
        <v>1.0000000312733199</v>
      </c>
    </row>
    <row r="6976" spans="1:40" x14ac:dyDescent="0.25">
      <c r="A6976" t="str">
        <f>"20190305135103363"</f>
        <v>20190305135103363</v>
      </c>
      <c r="B6976" t="str">
        <f>"1551765063357299"</f>
        <v>1551765063357299</v>
      </c>
      <c r="C6976" t="s">
        <v>40</v>
      </c>
      <c r="D6976">
        <v>4.0651910000000004</v>
      </c>
      <c r="E6976">
        <v>0.49587340000000002</v>
      </c>
      <c r="F6976" t="s">
        <v>110</v>
      </c>
      <c r="G6976">
        <v>-272.54020000000003</v>
      </c>
      <c r="H6976" s="1">
        <v>-2.9948479999999997E-7</v>
      </c>
      <c r="I6976">
        <v>-60.63308</v>
      </c>
      <c r="J6976">
        <v>-292.9932</v>
      </c>
      <c r="K6976">
        <v>1.1102650000000001</v>
      </c>
      <c r="L6976">
        <v>-53.50723</v>
      </c>
      <c r="M6976">
        <v>0.72210220000000003</v>
      </c>
      <c r="N6976">
        <v>-1.077234E-2</v>
      </c>
      <c r="O6976">
        <v>-0.69170279999999995</v>
      </c>
      <c r="P6976">
        <v>0.93773779999999995</v>
      </c>
      <c r="Q6976">
        <v>-7.228793E-2</v>
      </c>
      <c r="R6976">
        <v>-0.33973880000000001</v>
      </c>
      <c r="S6976">
        <v>2.8286739999999999</v>
      </c>
      <c r="T6976">
        <v>-0.15311050000000001</v>
      </c>
      <c r="U6976">
        <v>-0.99023439999999996</v>
      </c>
      <c r="V6976">
        <v>-0.40322950000000002</v>
      </c>
      <c r="W6976">
        <v>-6.3121339999999998E-2</v>
      </c>
      <c r="X6976">
        <v>0.91291929999999999</v>
      </c>
      <c r="Y6976">
        <v>-0.4132826</v>
      </c>
      <c r="Z6976">
        <v>3.7519759999999999E-2</v>
      </c>
      <c r="AA6976">
        <v>0.90982949999999996</v>
      </c>
      <c r="AB6976">
        <v>12</v>
      </c>
      <c r="AC6976">
        <v>20.4529999999999</v>
      </c>
      <c r="AD6976">
        <v>-1.1102652994847999</v>
      </c>
      <c r="AE6976">
        <v>-7.1258499999999998</v>
      </c>
      <c r="AF6976">
        <v>-8.9787320424027399</v>
      </c>
      <c r="AG6976">
        <v>-1.1102652994847999</v>
      </c>
      <c r="AH6976">
        <v>19.6476365945711</v>
      </c>
      <c r="AI6976">
        <v>92.942205956525896</v>
      </c>
      <c r="AJ6976">
        <v>114.559826835066</v>
      </c>
      <c r="AK6976">
        <v>21.630532630447199</v>
      </c>
      <c r="AL6976">
        <v>93.618992325129597</v>
      </c>
      <c r="AM6976">
        <v>113.83068233861501</v>
      </c>
      <c r="AN6976">
        <v>0.999999990773067</v>
      </c>
    </row>
    <row r="6977" spans="1:40" x14ac:dyDescent="0.25">
      <c r="A6977" t="str">
        <f>"20190305135103378"</f>
        <v>20190305135103378</v>
      </c>
      <c r="B6977" t="str">
        <f>"1551765063367058"</f>
        <v>1551765063367058</v>
      </c>
      <c r="C6977" t="s">
        <v>40</v>
      </c>
      <c r="D6977">
        <v>4.091577</v>
      </c>
      <c r="E6977">
        <v>0.49589109999999997</v>
      </c>
      <c r="F6977" t="s">
        <v>110</v>
      </c>
      <c r="G6977">
        <v>-272.22239999999999</v>
      </c>
      <c r="H6977" s="1">
        <v>-1.91022E-7</v>
      </c>
      <c r="I6977">
        <v>-60.758499999999998</v>
      </c>
      <c r="J6977">
        <v>-292.93029999999999</v>
      </c>
      <c r="K6977">
        <v>1.1102399999999999</v>
      </c>
      <c r="L6977">
        <v>-53.565159999999999</v>
      </c>
      <c r="M6977">
        <v>0.72309239999999997</v>
      </c>
      <c r="N6977">
        <v>-1.041518E-2</v>
      </c>
      <c r="O6977">
        <v>-0.69067299999999998</v>
      </c>
      <c r="P6977">
        <v>0.93819220000000003</v>
      </c>
      <c r="Q6977">
        <v>-7.2296780000000005E-2</v>
      </c>
      <c r="R6977">
        <v>-0.3384798</v>
      </c>
      <c r="S6977">
        <v>2.8296510000000001</v>
      </c>
      <c r="T6977">
        <v>-0.15125359999999999</v>
      </c>
      <c r="U6977">
        <v>-0.98785400000000001</v>
      </c>
      <c r="V6977">
        <v>-0.40314739999999999</v>
      </c>
      <c r="W6977">
        <v>-6.3473349999999998E-2</v>
      </c>
      <c r="X6977">
        <v>0.9129311</v>
      </c>
      <c r="Y6977">
        <v>-0.41278379999999998</v>
      </c>
      <c r="Z6977">
        <v>3.7143870000000002E-2</v>
      </c>
      <c r="AA6977">
        <v>0.91007139999999997</v>
      </c>
      <c r="AB6977">
        <v>12</v>
      </c>
      <c r="AC6977">
        <v>20.707899999999899</v>
      </c>
      <c r="AD6977">
        <v>-1.1102401910219999</v>
      </c>
      <c r="AE6977">
        <v>-7.1933399999999903</v>
      </c>
      <c r="AF6977">
        <v>-9.0781449570545298</v>
      </c>
      <c r="AG6977">
        <v>-1.1102401910219999</v>
      </c>
      <c r="AH6977">
        <v>19.892026871837398</v>
      </c>
      <c r="AI6977">
        <v>92.906731517964204</v>
      </c>
      <c r="AJ6977">
        <v>114.53058272381</v>
      </c>
      <c r="AK6977">
        <v>21.893790951156799</v>
      </c>
      <c r="AL6977">
        <v>93.639201712807903</v>
      </c>
      <c r="AM6977">
        <v>113.82609698988099</v>
      </c>
      <c r="AN6977">
        <v>0.99999994281709403</v>
      </c>
    </row>
    <row r="6978" spans="1:40" x14ac:dyDescent="0.25">
      <c r="A6978" t="str">
        <f>"20190305135103390"</f>
        <v>20190305135103390</v>
      </c>
      <c r="B6978" t="str">
        <f>"1551765063386579"</f>
        <v>1551765063386579</v>
      </c>
      <c r="C6978" t="s">
        <v>40</v>
      </c>
      <c r="D6978">
        <v>4.0846580000000001</v>
      </c>
      <c r="E6978">
        <v>0.4959269</v>
      </c>
      <c r="F6978" t="s">
        <v>110</v>
      </c>
      <c r="G6978">
        <v>-272.05110000000002</v>
      </c>
      <c r="H6978" s="1">
        <v>-1.3191379999999999E-7</v>
      </c>
      <c r="I6978">
        <v>-60.823129999999999</v>
      </c>
      <c r="J6978">
        <v>-292.88319999999999</v>
      </c>
      <c r="K6978">
        <v>1.1102240000000001</v>
      </c>
      <c r="L6978">
        <v>-53.608550000000001</v>
      </c>
      <c r="M6978">
        <v>0.723836699999999</v>
      </c>
      <c r="N6978">
        <v>-1.016066E-2</v>
      </c>
      <c r="O6978">
        <v>-0.68989659999999997</v>
      </c>
      <c r="P6978">
        <v>0.93856130000000004</v>
      </c>
      <c r="Q6978">
        <v>-7.2712189999999996E-2</v>
      </c>
      <c r="R6978">
        <v>-0.3373659</v>
      </c>
      <c r="S6978">
        <v>2.830994</v>
      </c>
      <c r="T6978">
        <v>-0.15053629999999901</v>
      </c>
      <c r="U6978">
        <v>-0.98410030000000004</v>
      </c>
      <c r="V6978">
        <v>-0.40322350000000001</v>
      </c>
      <c r="W6978">
        <v>-6.4134430000000006E-2</v>
      </c>
      <c r="X6978">
        <v>0.91285130000000003</v>
      </c>
      <c r="Y6978">
        <v>-0.41302109999999898</v>
      </c>
      <c r="Z6978">
        <v>3.7061650000000002E-2</v>
      </c>
      <c r="AA6978">
        <v>0.90996699999999997</v>
      </c>
      <c r="AB6978">
        <v>12</v>
      </c>
      <c r="AC6978">
        <v>20.832099999999901</v>
      </c>
      <c r="AD6978">
        <v>-1.1102241319138</v>
      </c>
      <c r="AE6978">
        <v>-7.2145799999999998</v>
      </c>
      <c r="AF6978">
        <v>-9.1271418754611098</v>
      </c>
      <c r="AG6978">
        <v>-1.1102241319138</v>
      </c>
      <c r="AH6978">
        <v>20.006648574376801</v>
      </c>
      <c r="AI6978">
        <v>92.890245355362097</v>
      </c>
      <c r="AJ6978">
        <v>114.522729548488</v>
      </c>
      <c r="AK6978">
        <v>22.018249331327201</v>
      </c>
      <c r="AL6978">
        <v>93.677156094929003</v>
      </c>
      <c r="AM6978">
        <v>113.83194463860301</v>
      </c>
      <c r="AN6978">
        <v>0.99999995598768099</v>
      </c>
    </row>
    <row r="6979" spans="1:40" x14ac:dyDescent="0.25">
      <c r="A6979" t="str">
        <f>"20190305135103403"</f>
        <v>20190305135103403</v>
      </c>
      <c r="B6979" t="str">
        <f>"1551765063397315"</f>
        <v>1551765063397315</v>
      </c>
      <c r="C6979" t="s">
        <v>40</v>
      </c>
      <c r="D6979">
        <v>4.0735580000000002</v>
      </c>
      <c r="E6979">
        <v>0.495946</v>
      </c>
      <c r="F6979" t="s">
        <v>110</v>
      </c>
      <c r="G6979">
        <v>-271.92340000000002</v>
      </c>
      <c r="H6979" s="1">
        <v>-8.7451839999999996E-8</v>
      </c>
      <c r="I6979">
        <v>-60.869579999999999</v>
      </c>
      <c r="J6979">
        <v>-292.83109999999999</v>
      </c>
      <c r="K6979">
        <v>1.110214</v>
      </c>
      <c r="L6979">
        <v>-53.656309999999998</v>
      </c>
      <c r="M6979">
        <v>0.72466370000000002</v>
      </c>
      <c r="N6979">
        <v>-9.9075499999999993E-3</v>
      </c>
      <c r="O6979">
        <v>-0.68903159999999997</v>
      </c>
      <c r="P6979">
        <v>0.93904200000000004</v>
      </c>
      <c r="Q6979">
        <v>-7.1853879999999995E-2</v>
      </c>
      <c r="R6979">
        <v>-0.33621020000000001</v>
      </c>
      <c r="S6979">
        <v>2.8320919999999998</v>
      </c>
      <c r="T6979">
        <v>-0.15001329999999999</v>
      </c>
      <c r="U6979">
        <v>-0.98110960000000003</v>
      </c>
      <c r="V6979">
        <v>-0.40329989999999999</v>
      </c>
      <c r="W6979">
        <v>-6.3519220000000001E-2</v>
      </c>
      <c r="X6979">
        <v>0.91286060000000002</v>
      </c>
      <c r="Y6979">
        <v>-0.41290270000000001</v>
      </c>
      <c r="Z6979">
        <v>3.7021419999999999E-2</v>
      </c>
      <c r="AA6979">
        <v>0.91002240000000001</v>
      </c>
      <c r="AB6979">
        <v>12</v>
      </c>
      <c r="AC6979">
        <v>20.907699999999899</v>
      </c>
      <c r="AD6979">
        <v>-1.11021408745184</v>
      </c>
      <c r="AE6979">
        <v>-7.2132699999999996</v>
      </c>
      <c r="AF6979">
        <v>-9.1562491656576199</v>
      </c>
      <c r="AG6979">
        <v>-1.11021408745184</v>
      </c>
      <c r="AH6979">
        <v>20.0716322242966</v>
      </c>
      <c r="AI6979">
        <v>92.880906846501503</v>
      </c>
      <c r="AJ6979">
        <v>114.521456916476</v>
      </c>
      <c r="AK6979">
        <v>22.089361562775</v>
      </c>
      <c r="AL6979">
        <v>93.641835020323597</v>
      </c>
      <c r="AM6979">
        <v>113.835741160799</v>
      </c>
      <c r="AN6979">
        <v>0.99999998784088895</v>
      </c>
    </row>
    <row r="6980" spans="1:40" x14ac:dyDescent="0.25">
      <c r="A6980" t="str">
        <f>"20190305135103424"</f>
        <v>20190305135103424</v>
      </c>
      <c r="B6980" t="str">
        <f>"1551765063416850"</f>
        <v>1551765063416850</v>
      </c>
      <c r="C6980" t="s">
        <v>40</v>
      </c>
      <c r="D6980">
        <v>4.0984850000000002</v>
      </c>
      <c r="E6980">
        <v>0.4960389</v>
      </c>
      <c r="F6980" t="s">
        <v>110</v>
      </c>
      <c r="G6980">
        <v>-271.36180000000002</v>
      </c>
      <c r="H6980" s="1">
        <v>1.100425E-7</v>
      </c>
      <c r="I6980">
        <v>-61.064889999999998</v>
      </c>
      <c r="J6980">
        <v>-292.7448</v>
      </c>
      <c r="K6980">
        <v>1.1102019999999999</v>
      </c>
      <c r="L6980">
        <v>-53.735199999999999</v>
      </c>
      <c r="M6980">
        <v>0.72603640000000003</v>
      </c>
      <c r="N6980">
        <v>-9.5182960000000007E-3</v>
      </c>
      <c r="O6980">
        <v>-0.687590699999999</v>
      </c>
      <c r="P6980">
        <v>0.93970169999999997</v>
      </c>
      <c r="Q6980">
        <v>-7.0502330000000002E-2</v>
      </c>
      <c r="R6980">
        <v>-0.33465009999999901</v>
      </c>
      <c r="S6980">
        <v>2.8334350000000001</v>
      </c>
      <c r="T6980">
        <v>-0.1465214</v>
      </c>
      <c r="U6980">
        <v>-0.97775270000000003</v>
      </c>
      <c r="V6980">
        <v>-0.4030685</v>
      </c>
      <c r="W6980">
        <v>-6.2538510000000005E-2</v>
      </c>
      <c r="X6980">
        <v>0.91303049999999997</v>
      </c>
      <c r="Y6980">
        <v>-0.41223090000000001</v>
      </c>
      <c r="Z6980">
        <v>3.6187240000000002E-2</v>
      </c>
      <c r="AA6980">
        <v>0.91036050000000002</v>
      </c>
      <c r="AB6980">
        <v>12</v>
      </c>
      <c r="AC6980">
        <v>21.3829999999999</v>
      </c>
      <c r="AD6980">
        <v>-1.1102018899574999</v>
      </c>
      <c r="AE6980">
        <v>-7.3296900000000003</v>
      </c>
      <c r="AF6980">
        <v>-9.3589771503590899</v>
      </c>
      <c r="AG6980">
        <v>-1.1102018899574999</v>
      </c>
      <c r="AH6980">
        <v>20.516100645751902</v>
      </c>
      <c r="AI6980">
        <v>92.818566152880294</v>
      </c>
      <c r="AJ6980">
        <v>114.521389879786</v>
      </c>
      <c r="AK6980">
        <v>22.577275903971</v>
      </c>
      <c r="AL6980">
        <v>93.585532528909397</v>
      </c>
      <c r="AM6980">
        <v>113.81964835316001</v>
      </c>
      <c r="AN6980">
        <v>0.99999998742775997</v>
      </c>
    </row>
    <row r="6981" spans="1:40" x14ac:dyDescent="0.25">
      <c r="A6981" t="str">
        <f>"20190305135103439"</f>
        <v>20190305135103439</v>
      </c>
      <c r="B6981" t="str">
        <f>"1551765063426595"</f>
        <v>1551765063426595</v>
      </c>
      <c r="C6981" t="s">
        <v>40</v>
      </c>
      <c r="D6981">
        <v>4.0948479999999998</v>
      </c>
      <c r="E6981">
        <v>0.49606250000000002</v>
      </c>
      <c r="F6981" t="s">
        <v>110</v>
      </c>
      <c r="G6981">
        <v>-270.38</v>
      </c>
      <c r="H6981" s="1">
        <v>4.530885E-7</v>
      </c>
      <c r="I6981">
        <v>-61.41628</v>
      </c>
      <c r="J6981">
        <v>-292.6859</v>
      </c>
      <c r="K6981">
        <v>1.110196</v>
      </c>
      <c r="L6981">
        <v>-53.788849999999996</v>
      </c>
      <c r="M6981">
        <v>0.72697500000000004</v>
      </c>
      <c r="N6981">
        <v>-9.2796019999999996E-3</v>
      </c>
      <c r="O6981">
        <v>-0.68660140000000003</v>
      </c>
      <c r="P6981">
        <v>0.94008619999999998</v>
      </c>
      <c r="Q6981">
        <v>-7.0358110000000001E-2</v>
      </c>
      <c r="R6981">
        <v>-0.33359860000000002</v>
      </c>
      <c r="S6981">
        <v>2.835175</v>
      </c>
      <c r="T6981">
        <v>-0.14073959999999999</v>
      </c>
      <c r="U6981">
        <v>-0.97372440000000005</v>
      </c>
      <c r="V6981">
        <v>-0.4028504</v>
      </c>
      <c r="W6981">
        <v>-6.2620759999999998E-2</v>
      </c>
      <c r="X6981">
        <v>0.91312110000000002</v>
      </c>
      <c r="Y6981">
        <v>-0.41239219999999999</v>
      </c>
      <c r="Z6981">
        <v>3.466209E-2</v>
      </c>
      <c r="AA6981">
        <v>0.91034669999999895</v>
      </c>
      <c r="AB6981">
        <v>12</v>
      </c>
      <c r="AC6981">
        <v>22.305900000000001</v>
      </c>
      <c r="AD6981">
        <v>-1.1101955469114999</v>
      </c>
      <c r="AE6981">
        <v>-7.6274300000000101</v>
      </c>
      <c r="AF6981">
        <v>-9.7491085704371194</v>
      </c>
      <c r="AG6981">
        <v>-1.1101955469114999</v>
      </c>
      <c r="AH6981">
        <v>21.406280704005798</v>
      </c>
      <c r="AI6981">
        <v>92.702276661647204</v>
      </c>
      <c r="AJ6981">
        <v>114.486045600558</v>
      </c>
      <c r="AK6981">
        <v>23.547961815181502</v>
      </c>
      <c r="AL6981">
        <v>93.590254410691699</v>
      </c>
      <c r="AM6981">
        <v>113.80609352086201</v>
      </c>
      <c r="AN6981">
        <v>0.99999997381417305</v>
      </c>
    </row>
    <row r="6982" spans="1:40" x14ac:dyDescent="0.25">
      <c r="A6982" t="str">
        <f>"20190305135103457"</f>
        <v>20190305135103457</v>
      </c>
      <c r="B6982" t="str">
        <f>"1551765063447091"</f>
        <v>1551765063447091</v>
      </c>
      <c r="C6982" t="s">
        <v>40</v>
      </c>
      <c r="D6982">
        <v>4.0749719999999998</v>
      </c>
      <c r="E6982">
        <v>0.49613119999999999</v>
      </c>
      <c r="F6982" t="s">
        <v>110</v>
      </c>
      <c r="G6982">
        <v>-270.11419999999998</v>
      </c>
      <c r="H6982" s="1">
        <v>5.4519009999999997E-7</v>
      </c>
      <c r="I6982">
        <v>-61.51491</v>
      </c>
      <c r="J6982">
        <v>-292.60890000000001</v>
      </c>
      <c r="K6982">
        <v>1.1101810000000001</v>
      </c>
      <c r="L6982">
        <v>-53.858699999999999</v>
      </c>
      <c r="M6982">
        <v>0.72820339999999995</v>
      </c>
      <c r="N6982">
        <v>-8.9952999999999995E-3</v>
      </c>
      <c r="O6982">
        <v>-0.68530199999999997</v>
      </c>
      <c r="P6982">
        <v>0.94062559999999995</v>
      </c>
      <c r="Q6982">
        <v>-7.1035269999999998E-2</v>
      </c>
      <c r="R6982">
        <v>-0.3319299</v>
      </c>
      <c r="S6982">
        <v>2.8362729999999998</v>
      </c>
      <c r="T6982">
        <v>-0.1395025</v>
      </c>
      <c r="U6982">
        <v>-0.97082520000000005</v>
      </c>
      <c r="V6982">
        <v>-0.4028002</v>
      </c>
      <c r="W6982">
        <v>-6.3568429999999995E-2</v>
      </c>
      <c r="X6982">
        <v>0.91307780000000005</v>
      </c>
      <c r="Y6982">
        <v>-0.41171770000000002</v>
      </c>
      <c r="Z6982">
        <v>3.4414159999999999E-2</v>
      </c>
      <c r="AA6982">
        <v>0.91066139999999995</v>
      </c>
      <c r="AB6982">
        <v>12</v>
      </c>
      <c r="AC6982">
        <v>22.494700000000002</v>
      </c>
      <c r="AD6982">
        <v>-1.1101804548098999</v>
      </c>
      <c r="AE6982">
        <v>-7.6562099999999997</v>
      </c>
      <c r="AF6982">
        <v>-9.8193490260325191</v>
      </c>
      <c r="AG6982">
        <v>-1.1101804548098999</v>
      </c>
      <c r="AH6982">
        <v>21.581300024333501</v>
      </c>
      <c r="AI6982">
        <v>92.680800374500507</v>
      </c>
      <c r="AJ6982">
        <v>114.465221710576</v>
      </c>
      <c r="AK6982">
        <v>23.736145994613</v>
      </c>
      <c r="AL6982">
        <v>93.6446601830974</v>
      </c>
      <c r="AM6982">
        <v>113.804460089511</v>
      </c>
      <c r="AN6982">
        <v>1.00000000763277</v>
      </c>
    </row>
    <row r="6983" spans="1:40" x14ac:dyDescent="0.25">
      <c r="A6983" t="str">
        <f>"20190305135103472"</f>
        <v>20190305135103472</v>
      </c>
      <c r="B6983" t="str">
        <f>"1551765063467211"</f>
        <v>1551765063467211</v>
      </c>
      <c r="C6983" t="s">
        <v>40</v>
      </c>
      <c r="D6983">
        <v>4.5589240000000002</v>
      </c>
      <c r="E6983">
        <v>0.4961719</v>
      </c>
      <c r="F6983" t="s">
        <v>110</v>
      </c>
      <c r="G6983">
        <v>-270.17860000000002</v>
      </c>
      <c r="H6983" s="1">
        <v>5.2166880000000003E-7</v>
      </c>
      <c r="I6983">
        <v>-61.496369999999999</v>
      </c>
      <c r="J6983">
        <v>-292.54860000000002</v>
      </c>
      <c r="K6983">
        <v>1.110177</v>
      </c>
      <c r="L6983">
        <v>-53.9133</v>
      </c>
      <c r="M6983">
        <v>0.72916650000000005</v>
      </c>
      <c r="N6983">
        <v>-8.7917859999999994E-3</v>
      </c>
      <c r="O6983">
        <v>-0.68428009999999995</v>
      </c>
      <c r="P6983">
        <v>0.94111109999999998</v>
      </c>
      <c r="Q6983">
        <v>-7.1318240000000005E-2</v>
      </c>
      <c r="R6983">
        <v>-0.33049099999999998</v>
      </c>
      <c r="S6983">
        <v>2.8377690000000002</v>
      </c>
      <c r="T6983">
        <v>-0.14045439999999901</v>
      </c>
      <c r="U6983">
        <v>-0.96627810000000003</v>
      </c>
      <c r="V6983">
        <v>-0.40289760000000002</v>
      </c>
      <c r="W6983">
        <v>-6.4045069999999996E-2</v>
      </c>
      <c r="X6983">
        <v>0.91300150000000002</v>
      </c>
      <c r="Y6983">
        <v>-0.41187699999999999</v>
      </c>
      <c r="Z6983">
        <v>3.476564E-2</v>
      </c>
      <c r="AA6983">
        <v>0.91057600000000005</v>
      </c>
      <c r="AB6983">
        <v>13</v>
      </c>
      <c r="AC6983">
        <v>22.37</v>
      </c>
      <c r="AD6983">
        <v>-1.11017647833119</v>
      </c>
      <c r="AE6983">
        <v>-7.5830699999999904</v>
      </c>
      <c r="AF6983">
        <v>-9.7568478097335891</v>
      </c>
      <c r="AG6983">
        <v>-1.11017647833119</v>
      </c>
      <c r="AH6983">
        <v>21.453832568054001</v>
      </c>
      <c r="AI6983">
        <v>92.696908289820101</v>
      </c>
      <c r="AJ6983">
        <v>114.455254546411</v>
      </c>
      <c r="AK6983">
        <v>23.594395581439201</v>
      </c>
      <c r="AL6983">
        <v>93.672025460007603</v>
      </c>
      <c r="AM6983">
        <v>113.811344557515</v>
      </c>
      <c r="AN6983">
        <v>0.99999999303965703</v>
      </c>
    </row>
    <row r="6984" spans="1:40" x14ac:dyDescent="0.25">
      <c r="A6984" t="str">
        <f>"20190305135103491"</f>
        <v>20190305135103491</v>
      </c>
      <c r="B6984" t="str">
        <f>"1551765063486518"</f>
        <v>1551765063486518</v>
      </c>
      <c r="C6984" t="s">
        <v>40</v>
      </c>
      <c r="D6984">
        <v>4.0730629999999897</v>
      </c>
      <c r="E6984">
        <v>0.49623080000000003</v>
      </c>
      <c r="F6984" t="s">
        <v>110</v>
      </c>
      <c r="G6984">
        <v>-270.16570000000002</v>
      </c>
      <c r="H6984" s="1">
        <v>5.2653379999999996E-7</v>
      </c>
      <c r="I6984">
        <v>-61.499270000000003</v>
      </c>
      <c r="J6984">
        <v>-292.46809999999999</v>
      </c>
      <c r="K6984">
        <v>1.110163</v>
      </c>
      <c r="L6984">
        <v>-53.985930000000003</v>
      </c>
      <c r="M6984">
        <v>0.73045170000000004</v>
      </c>
      <c r="N6984">
        <v>-8.5500319999999904E-3</v>
      </c>
      <c r="O6984">
        <v>-0.68291080000000004</v>
      </c>
      <c r="P6984">
        <v>0.94178759999999995</v>
      </c>
      <c r="Q6984">
        <v>-7.1635099999999993E-2</v>
      </c>
      <c r="R6984">
        <v>-0.32848850000000002</v>
      </c>
      <c r="S6984">
        <v>2.8390810000000002</v>
      </c>
      <c r="T6984">
        <v>-0.14081689999999999</v>
      </c>
      <c r="U6984">
        <v>-0.96221920000000005</v>
      </c>
      <c r="V6984">
        <v>-0.40310570000000001</v>
      </c>
      <c r="W6984">
        <v>-6.459202E-2</v>
      </c>
      <c r="X6984">
        <v>0.91287110000000005</v>
      </c>
      <c r="Y6984">
        <v>-0.41145409999999999</v>
      </c>
      <c r="Z6984">
        <v>3.494833E-2</v>
      </c>
      <c r="AA6984">
        <v>0.91076020000000002</v>
      </c>
      <c r="AB6984">
        <v>13</v>
      </c>
      <c r="AC6984">
        <v>22.302399999999899</v>
      </c>
      <c r="AD6984">
        <v>-1.1101624734661999</v>
      </c>
      <c r="AE6984">
        <v>-7.5133399999999897</v>
      </c>
      <c r="AF6984">
        <v>-9.7211420331273697</v>
      </c>
      <c r="AG6984">
        <v>-1.1101624734661999</v>
      </c>
      <c r="AH6984">
        <v>21.3749854546808</v>
      </c>
      <c r="AI6984">
        <v>92.706800391902505</v>
      </c>
      <c r="AJ6984">
        <v>114.455593454569</v>
      </c>
      <c r="AK6984">
        <v>23.5079362414812</v>
      </c>
      <c r="AL6984">
        <v>93.7034284215366</v>
      </c>
      <c r="AM6984">
        <v>113.82529842796799</v>
      </c>
      <c r="AN6984">
        <v>0.99999998981769</v>
      </c>
    </row>
    <row r="6985" spans="1:40" x14ac:dyDescent="0.25">
      <c r="A6985" t="str">
        <f>"20190305135103505"</f>
        <v>20190305135103505</v>
      </c>
      <c r="B6985" t="str">
        <f>"1551765063497254"</f>
        <v>1551765063497254</v>
      </c>
      <c r="C6985" t="s">
        <v>40</v>
      </c>
      <c r="D6985">
        <v>4.081016</v>
      </c>
      <c r="E6985">
        <v>0.4962744</v>
      </c>
      <c r="F6985" t="s">
        <v>110</v>
      </c>
      <c r="G6985">
        <v>-270.00400000000002</v>
      </c>
      <c r="H6985" s="1">
        <v>5.8466659999999996E-7</v>
      </c>
      <c r="I6985">
        <v>-61.549880000000002</v>
      </c>
      <c r="J6985">
        <v>-292.40789999999998</v>
      </c>
      <c r="K6985">
        <v>1.11015</v>
      </c>
      <c r="L6985">
        <v>-54.03998</v>
      </c>
      <c r="M6985">
        <v>0.73141020000000001</v>
      </c>
      <c r="N6985">
        <v>-8.3897499999999996E-3</v>
      </c>
      <c r="O6985">
        <v>-0.681886199999999</v>
      </c>
      <c r="P6985">
        <v>0.94224819999999998</v>
      </c>
      <c r="Q6985">
        <v>-7.1870219999999999E-2</v>
      </c>
      <c r="R6985">
        <v>-0.3271135</v>
      </c>
      <c r="S6985">
        <v>2.8410950000000001</v>
      </c>
      <c r="T6985">
        <v>-0.14040540000000001</v>
      </c>
      <c r="U6985">
        <v>-0.95663450000000005</v>
      </c>
      <c r="V6985">
        <v>-0.40314349999999999</v>
      </c>
      <c r="W6985">
        <v>-6.4979229999999999E-2</v>
      </c>
      <c r="X6985">
        <v>0.91282700000000006</v>
      </c>
      <c r="Y6985">
        <v>-0.41198190000000001</v>
      </c>
      <c r="Z6985">
        <v>3.4900100000000003E-2</v>
      </c>
      <c r="AA6985">
        <v>0.91052339999999998</v>
      </c>
      <c r="AB6985">
        <v>13</v>
      </c>
      <c r="AC6985">
        <v>22.403899999999901</v>
      </c>
      <c r="AD6985">
        <v>-1.1101494153333999</v>
      </c>
      <c r="AE6985">
        <v>-7.5098999999999902</v>
      </c>
      <c r="AF6985">
        <v>-9.7628868343911996</v>
      </c>
      <c r="AG6985">
        <v>-1.1101494153333999</v>
      </c>
      <c r="AH6985">
        <v>21.460723372381601</v>
      </c>
      <c r="AI6985">
        <v>92.695840654603899</v>
      </c>
      <c r="AJ6985">
        <v>114.461681230125</v>
      </c>
      <c r="AK6985">
        <v>23.603157389031299</v>
      </c>
      <c r="AL6985">
        <v>93.725660375622795</v>
      </c>
      <c r="AM6985">
        <v>113.828306677353</v>
      </c>
      <c r="AN6985">
        <v>1.0000000569263101</v>
      </c>
    </row>
    <row r="6986" spans="1:40" x14ac:dyDescent="0.25">
      <c r="A6986" t="str">
        <f>"20190305135103525"</f>
        <v>20190305135103525</v>
      </c>
      <c r="B6986" t="str">
        <f>"1551765063516775"</f>
        <v>1551765063516775</v>
      </c>
      <c r="C6986" t="s">
        <v>40</v>
      </c>
      <c r="D6986">
        <v>4.2470509999999999</v>
      </c>
      <c r="E6986">
        <v>0.49633630000000001</v>
      </c>
      <c r="F6986" t="s">
        <v>110</v>
      </c>
      <c r="G6986">
        <v>-269.96039999999999</v>
      </c>
      <c r="H6986" s="1">
        <v>5.9990629999999995E-7</v>
      </c>
      <c r="I6986">
        <v>-61.565559999999998</v>
      </c>
      <c r="J6986">
        <v>-292.3229</v>
      </c>
      <c r="K6986">
        <v>1.110134</v>
      </c>
      <c r="L6986">
        <v>-54.116120000000002</v>
      </c>
      <c r="M6986">
        <v>0.73276289999999999</v>
      </c>
      <c r="N6986">
        <v>-8.1835019999999901E-3</v>
      </c>
      <c r="O6986">
        <v>-0.68043500000000001</v>
      </c>
      <c r="P6986">
        <v>0.94291899999999995</v>
      </c>
      <c r="Q6986">
        <v>-7.2359610000000005E-2</v>
      </c>
      <c r="R6986">
        <v>-0.32506629999999997</v>
      </c>
      <c r="S6986">
        <v>2.842285</v>
      </c>
      <c r="T6986">
        <v>-0.14056589999999999</v>
      </c>
      <c r="U6986">
        <v>-0.95288090000000003</v>
      </c>
      <c r="V6986">
        <v>-0.4032868</v>
      </c>
      <c r="W6986">
        <v>-6.5665550000000003E-2</v>
      </c>
      <c r="X6986">
        <v>0.91271449999999998</v>
      </c>
      <c r="Y6986">
        <v>-0.41136630000000002</v>
      </c>
      <c r="Z6986">
        <v>3.4999549999999997E-2</v>
      </c>
      <c r="AA6986">
        <v>0.91079790000000005</v>
      </c>
      <c r="AB6986">
        <v>13</v>
      </c>
      <c r="AC6986">
        <v>22.362500000000001</v>
      </c>
      <c r="AD6986">
        <v>-1.1101334000937</v>
      </c>
      <c r="AE6986">
        <v>-7.4494400000000001</v>
      </c>
      <c r="AF6986">
        <v>-9.7362827252998798</v>
      </c>
      <c r="AG6986">
        <v>-1.1101334000937</v>
      </c>
      <c r="AH6986">
        <v>21.408497050510402</v>
      </c>
      <c r="AI6986">
        <v>92.7025036954998</v>
      </c>
      <c r="AJ6986">
        <v>114.45537154513799</v>
      </c>
      <c r="AK6986">
        <v>23.544666985003001</v>
      </c>
      <c r="AL6986">
        <v>93.765068058118501</v>
      </c>
      <c r="AM6986">
        <v>113.83844325608401</v>
      </c>
      <c r="AN6986">
        <v>0.99999998301064597</v>
      </c>
    </row>
    <row r="6987" spans="1:40" x14ac:dyDescent="0.25">
      <c r="A6987" t="str">
        <f>"20190305135103540"</f>
        <v>20190305135103540</v>
      </c>
      <c r="B6987" t="str">
        <f>"1551765063537271"</f>
        <v>1551765063537271</v>
      </c>
      <c r="C6987" t="s">
        <v>40</v>
      </c>
      <c r="D6987">
        <v>4.0849469999999997</v>
      </c>
      <c r="E6987">
        <v>0.49642190000000003</v>
      </c>
      <c r="F6987" t="s">
        <v>110</v>
      </c>
      <c r="G6987">
        <v>-269.99639999999999</v>
      </c>
      <c r="H6987" s="1">
        <v>5.8760459999999995E-7</v>
      </c>
      <c r="I6987">
        <v>-61.551349999999999</v>
      </c>
      <c r="J6987">
        <v>-292.26179999999999</v>
      </c>
      <c r="K6987">
        <v>1.1101270000000001</v>
      </c>
      <c r="L6987">
        <v>-54.170650000000002</v>
      </c>
      <c r="M6987">
        <v>0.73373339999999998</v>
      </c>
      <c r="N6987">
        <v>-8.050827E-3</v>
      </c>
      <c r="O6987">
        <v>-0.6793901</v>
      </c>
      <c r="P6987">
        <v>0.94331410000000004</v>
      </c>
      <c r="Q6987">
        <v>-7.2861250000000002E-2</v>
      </c>
      <c r="R6987">
        <v>-0.32380550000000002</v>
      </c>
      <c r="S6987">
        <v>2.8441770000000002</v>
      </c>
      <c r="T6987">
        <v>-0.14141989999999999</v>
      </c>
      <c r="U6987">
        <v>-0.94717410000000002</v>
      </c>
      <c r="V6987">
        <v>-0.40317730000000002</v>
      </c>
      <c r="W6987">
        <v>-6.6293640000000001E-2</v>
      </c>
      <c r="X6987">
        <v>0.91271749999999996</v>
      </c>
      <c r="Y6987">
        <v>-0.41188000000000002</v>
      </c>
      <c r="Z6987">
        <v>3.5289999999999898E-2</v>
      </c>
      <c r="AA6987">
        <v>0.91055450000000004</v>
      </c>
      <c r="AB6987">
        <v>13</v>
      </c>
      <c r="AC6987">
        <v>22.2654</v>
      </c>
      <c r="AD6987">
        <v>-1.1101264123954</v>
      </c>
      <c r="AE6987">
        <v>-7.3806999999999903</v>
      </c>
      <c r="AF6987">
        <v>-9.6900353056308504</v>
      </c>
      <c r="AG6987">
        <v>-1.1101264123954</v>
      </c>
      <c r="AH6987">
        <v>21.304212735156</v>
      </c>
      <c r="AI6987">
        <v>92.715639069127405</v>
      </c>
      <c r="AJ6987">
        <v>114.458000257005</v>
      </c>
      <c r="AK6987">
        <v>23.430720115708201</v>
      </c>
      <c r="AL6987">
        <v>93.801133456649197</v>
      </c>
      <c r="AM6987">
        <v>113.83262232684</v>
      </c>
      <c r="AN6987">
        <v>1.0000000083729901</v>
      </c>
    </row>
    <row r="6988" spans="1:40" x14ac:dyDescent="0.25">
      <c r="A6988" t="str">
        <f>"20190305135103554"</f>
        <v>20190305135103554</v>
      </c>
      <c r="B6988" t="str">
        <f>"1551765063547030"</f>
        <v>1551765063547030</v>
      </c>
      <c r="C6988" t="s">
        <v>40</v>
      </c>
      <c r="D6988">
        <v>4.0804</v>
      </c>
      <c r="E6988">
        <v>0.49646099999999999</v>
      </c>
      <c r="F6988" t="s">
        <v>110</v>
      </c>
      <c r="G6988">
        <v>-270.03199999999998</v>
      </c>
      <c r="H6988" s="1">
        <v>5.734134E-7</v>
      </c>
      <c r="I6988">
        <v>-61.546590000000002</v>
      </c>
      <c r="J6988">
        <v>-292.19409999999999</v>
      </c>
      <c r="K6988">
        <v>1.11012</v>
      </c>
      <c r="L6988">
        <v>-54.230930000000001</v>
      </c>
      <c r="M6988">
        <v>0.73480619999999996</v>
      </c>
      <c r="N6988">
        <v>-7.9155800000000002E-3</v>
      </c>
      <c r="O6988">
        <v>-0.67823089999999997</v>
      </c>
      <c r="P6988">
        <v>0.94381119999999996</v>
      </c>
      <c r="Q6988">
        <v>-7.336579E-2</v>
      </c>
      <c r="R6988">
        <v>-0.322239099999999</v>
      </c>
      <c r="S6988">
        <v>2.8452449999999998</v>
      </c>
      <c r="T6988">
        <v>-0.142087299999999</v>
      </c>
      <c r="U6988">
        <v>-0.94406129999999999</v>
      </c>
      <c r="V6988">
        <v>-0.40322150000000001</v>
      </c>
      <c r="W6988">
        <v>-6.6928769999999999E-2</v>
      </c>
      <c r="X6988">
        <v>0.91265160000000001</v>
      </c>
      <c r="Y6988">
        <v>-0.41143039999999997</v>
      </c>
      <c r="Z6988">
        <v>3.5502720000000001E-2</v>
      </c>
      <c r="AA6988">
        <v>0.91074940000000004</v>
      </c>
      <c r="AB6988">
        <v>13</v>
      </c>
      <c r="AC6988">
        <v>22.162099999999999</v>
      </c>
      <c r="AD6988">
        <v>-1.1101194265865999</v>
      </c>
      <c r="AE6988">
        <v>-7.3156599999999896</v>
      </c>
      <c r="AF6988">
        <v>-9.6339340455319995</v>
      </c>
      <c r="AG6988">
        <v>-1.1101194265865999</v>
      </c>
      <c r="AH6988">
        <v>21.199256635611398</v>
      </c>
      <c r="AI6988">
        <v>92.729451628734594</v>
      </c>
      <c r="AJ6988">
        <v>114.43926934859699</v>
      </c>
      <c r="AK6988">
        <v>23.312089829902899</v>
      </c>
      <c r="AL6988">
        <v>93.837604795954206</v>
      </c>
      <c r="AM6988">
        <v>113.83647316</v>
      </c>
      <c r="AN6988">
        <v>0.99999999064926104</v>
      </c>
    </row>
    <row r="6989" spans="1:40" x14ac:dyDescent="0.25">
      <c r="A6989" t="str">
        <f>"20190305135103568"</f>
        <v>20190305135103568</v>
      </c>
      <c r="B6989" t="str">
        <f>"1551765063556790"</f>
        <v>1551765063556790</v>
      </c>
      <c r="C6989" t="s">
        <v>40</v>
      </c>
      <c r="D6989">
        <v>4.0780669999999999</v>
      </c>
      <c r="E6989">
        <v>0.49647190000000002</v>
      </c>
      <c r="F6989" t="s">
        <v>110</v>
      </c>
      <c r="G6989">
        <v>-270.11599999999999</v>
      </c>
      <c r="H6989" s="1">
        <v>5.4342740000000003E-7</v>
      </c>
      <c r="I6989">
        <v>-61.519289999999998</v>
      </c>
      <c r="J6989">
        <v>-292.13490000000002</v>
      </c>
      <c r="K6989">
        <v>1.1101049999999999</v>
      </c>
      <c r="L6989">
        <v>-54.283540000000002</v>
      </c>
      <c r="M6989">
        <v>0.73574280000000003</v>
      </c>
      <c r="N6989">
        <v>-7.8069580000000001E-3</v>
      </c>
      <c r="O6989">
        <v>-0.67721609999999999</v>
      </c>
      <c r="P6989">
        <v>0.94421180000000005</v>
      </c>
      <c r="Q6989">
        <v>-7.3821499999999998E-2</v>
      </c>
      <c r="R6989">
        <v>-0.3209592</v>
      </c>
      <c r="S6989">
        <v>2.8466490000000002</v>
      </c>
      <c r="T6989">
        <v>-0.1431336</v>
      </c>
      <c r="U6989">
        <v>-0.9397278</v>
      </c>
      <c r="V6989">
        <v>-0.4031728</v>
      </c>
      <c r="W6989">
        <v>-6.7489649999999998E-2</v>
      </c>
      <c r="X6989">
        <v>0.91263179999999999</v>
      </c>
      <c r="Y6989">
        <v>-0.41154039999999997</v>
      </c>
      <c r="Z6989">
        <v>3.5824210000000002E-2</v>
      </c>
      <c r="AA6989">
        <v>0.91068709999999997</v>
      </c>
      <c r="AB6989">
        <v>13</v>
      </c>
      <c r="AC6989">
        <v>22.018899999999999</v>
      </c>
      <c r="AD6989">
        <v>-1.1101044565725999</v>
      </c>
      <c r="AE6989">
        <v>-7.2357500000000003</v>
      </c>
      <c r="AF6989">
        <v>-9.5662491406255601</v>
      </c>
      <c r="AG6989">
        <v>-1.1101044565725999</v>
      </c>
      <c r="AH6989">
        <v>21.052760010015501</v>
      </c>
      <c r="AI6989">
        <v>92.748433114110796</v>
      </c>
      <c r="AJ6989">
        <v>114.436765524449</v>
      </c>
      <c r="AK6989">
        <v>23.150899735525002</v>
      </c>
      <c r="AL6989">
        <v>93.869813718468706</v>
      </c>
      <c r="AM6989">
        <v>113.834374541543</v>
      </c>
      <c r="AN6989">
        <v>0.99999998094410103</v>
      </c>
    </row>
    <row r="6990" spans="1:40" x14ac:dyDescent="0.25">
      <c r="A6990" t="str">
        <f>"20190305135103582"</f>
        <v>20190305135103582</v>
      </c>
      <c r="B6990" t="str">
        <f>"1551765063577286"</f>
        <v>1551765063577286</v>
      </c>
      <c r="C6990" t="s">
        <v>40</v>
      </c>
      <c r="D6990">
        <v>5.3961110000000003</v>
      </c>
      <c r="E6990">
        <v>0.49657010000000001</v>
      </c>
      <c r="F6990" t="s">
        <v>110</v>
      </c>
      <c r="G6990">
        <v>-270.19839999999999</v>
      </c>
      <c r="H6990" s="1">
        <v>5.137663E-7</v>
      </c>
      <c r="I6990">
        <v>-61.493760000000002</v>
      </c>
      <c r="J6990">
        <v>-292.07870000000003</v>
      </c>
      <c r="K6990">
        <v>1.110101</v>
      </c>
      <c r="L6990">
        <v>-54.333190000000002</v>
      </c>
      <c r="M6990">
        <v>0.73662839999999996</v>
      </c>
      <c r="N6990">
        <v>-7.7137899999999999E-3</v>
      </c>
      <c r="O6990">
        <v>-0.67625400000000002</v>
      </c>
      <c r="P6990">
        <v>0.94464559999999997</v>
      </c>
      <c r="Q6990">
        <v>-7.3734330000000001E-2</v>
      </c>
      <c r="R6990">
        <v>-0.31970009999999999</v>
      </c>
      <c r="S6990">
        <v>2.8478089999999998</v>
      </c>
      <c r="T6990">
        <v>-0.14411450000000001</v>
      </c>
      <c r="U6990">
        <v>-0.93603519999999896</v>
      </c>
      <c r="V6990">
        <v>-0.40319969999999999</v>
      </c>
      <c r="W6990">
        <v>-6.7493819999999996E-2</v>
      </c>
      <c r="X6990">
        <v>0.91261970000000003</v>
      </c>
      <c r="Y6990">
        <v>-0.41151019999999999</v>
      </c>
      <c r="Z6990">
        <v>3.6117240000000002E-2</v>
      </c>
      <c r="AA6990">
        <v>0.91068919999999998</v>
      </c>
      <c r="AB6990">
        <v>13</v>
      </c>
      <c r="AC6990">
        <v>21.880299999999998</v>
      </c>
      <c r="AD6990">
        <v>-1.1101004862336901</v>
      </c>
      <c r="AE6990">
        <v>-7.1605699999999901</v>
      </c>
      <c r="AF6990">
        <v>-9.5001544109858198</v>
      </c>
      <c r="AG6990">
        <v>-1.1101004862336901</v>
      </c>
      <c r="AH6990">
        <v>20.912012812057</v>
      </c>
      <c r="AI6990">
        <v>92.766999238850701</v>
      </c>
      <c r="AJ6990">
        <v>114.43190540222299</v>
      </c>
      <c r="AK6990">
        <v>22.9955982043031</v>
      </c>
      <c r="AL6990">
        <v>93.870052860854997</v>
      </c>
      <c r="AM6990">
        <v>113.836068367946</v>
      </c>
      <c r="AN6990">
        <v>1.00000006532318</v>
      </c>
    </row>
    <row r="6991" spans="1:40" x14ac:dyDescent="0.25">
      <c r="A6991" t="str">
        <f>"20190305135103594"</f>
        <v>20190305135103594</v>
      </c>
      <c r="B6991" t="str">
        <f>"1551765063587046"</f>
        <v>1551765063587046</v>
      </c>
      <c r="C6991" t="s">
        <v>40</v>
      </c>
      <c r="D6991">
        <v>4.2922830000000003</v>
      </c>
      <c r="E6991">
        <v>0.54782949999999997</v>
      </c>
      <c r="F6991" t="s">
        <v>110</v>
      </c>
      <c r="G6991">
        <v>-270.2</v>
      </c>
      <c r="H6991" s="1">
        <v>5.1191299999999996E-7</v>
      </c>
      <c r="I6991">
        <v>-61.498899999999999</v>
      </c>
      <c r="J6991">
        <v>-292.02289999999999</v>
      </c>
      <c r="K6991">
        <v>1.1100989999999999</v>
      </c>
      <c r="L6991">
        <v>-54.382390000000001</v>
      </c>
      <c r="M6991">
        <v>0.73750599999999999</v>
      </c>
      <c r="N6991">
        <v>-7.6251469999999997E-3</v>
      </c>
      <c r="O6991">
        <v>-0.67529759999999905</v>
      </c>
      <c r="P6991">
        <v>0.94507940000000001</v>
      </c>
      <c r="Q6991">
        <v>-7.3503460000000007E-2</v>
      </c>
      <c r="R6991">
        <v>-0.31846819999999998</v>
      </c>
      <c r="S6991">
        <v>2.8487239999999998</v>
      </c>
      <c r="T6991">
        <v>-0.144541</v>
      </c>
      <c r="U6991">
        <v>-0.93301389999999995</v>
      </c>
      <c r="V6991">
        <v>-0.40321620000000002</v>
      </c>
      <c r="W6991">
        <v>-6.7350309999999997E-2</v>
      </c>
      <c r="X6991">
        <v>0.91262290000000001</v>
      </c>
      <c r="Y6991">
        <v>-0.41127959999999902</v>
      </c>
      <c r="Z6991">
        <v>3.6248929999999999E-2</v>
      </c>
      <c r="AA6991">
        <v>0.91078820000000005</v>
      </c>
      <c r="AB6991">
        <v>13</v>
      </c>
      <c r="AC6991">
        <v>21.822900000000001</v>
      </c>
      <c r="AD6991">
        <v>-1.110098488087</v>
      </c>
      <c r="AE6991">
        <v>-7.1165099999999901</v>
      </c>
      <c r="AF6991">
        <v>-9.4666172938298097</v>
      </c>
      <c r="AG6991">
        <v>-1.110098488087</v>
      </c>
      <c r="AH6991">
        <v>20.852117843338402</v>
      </c>
      <c r="AI6991">
        <v>92.775246224213006</v>
      </c>
      <c r="AJ6991">
        <v>114.417492283063</v>
      </c>
      <c r="AK6991">
        <v>22.927275899974699</v>
      </c>
      <c r="AL6991">
        <v>93.861811987552699</v>
      </c>
      <c r="AM6991">
        <v>113.83686081768499</v>
      </c>
      <c r="AN6991">
        <v>0.99999996290197202</v>
      </c>
    </row>
    <row r="6992" spans="1:40" x14ac:dyDescent="0.25">
      <c r="A6992" t="str">
        <f>"20190305135103606"</f>
        <v>20190305135103606</v>
      </c>
      <c r="B6992" t="str">
        <f>"1551765063596807"</f>
        <v>1551765063596807</v>
      </c>
      <c r="C6992" t="s">
        <v>40</v>
      </c>
      <c r="D6992">
        <v>4.2716859999999999</v>
      </c>
      <c r="E6992">
        <v>0.55512010000000001</v>
      </c>
      <c r="F6992" t="s">
        <v>110</v>
      </c>
      <c r="G6992">
        <v>-271.43729999999999</v>
      </c>
      <c r="H6992" s="1">
        <v>-6.5314430000000002E-7</v>
      </c>
      <c r="I6992">
        <v>-64.351299999999995</v>
      </c>
      <c r="J6992">
        <v>-291.96730000000002</v>
      </c>
      <c r="K6992">
        <v>1.1101000000000001</v>
      </c>
      <c r="L6992">
        <v>-54.431399999999996</v>
      </c>
      <c r="M6992">
        <v>0.73838169999999903</v>
      </c>
      <c r="N6992">
        <v>-7.5420080000000002E-3</v>
      </c>
      <c r="O6992">
        <v>-0.67434110000000003</v>
      </c>
      <c r="P6992">
        <v>0.94548569999999998</v>
      </c>
      <c r="Q6992">
        <v>-7.3394550000000003E-2</v>
      </c>
      <c r="R6992">
        <v>-0.3172857</v>
      </c>
      <c r="S6992">
        <v>2.7191770000000002</v>
      </c>
      <c r="T6992">
        <v>-0.14663409999999999</v>
      </c>
      <c r="U6992">
        <v>-1.3168029999999999</v>
      </c>
      <c r="V6992">
        <v>-0.4031786</v>
      </c>
      <c r="W6992">
        <v>-6.7324129999999996E-2</v>
      </c>
      <c r="X6992">
        <v>0.91264149999999999</v>
      </c>
      <c r="Y6992">
        <v>-0.284327</v>
      </c>
      <c r="Z6992">
        <v>3.3627360000000002E-2</v>
      </c>
      <c r="AA6992">
        <v>0.95813749999999998</v>
      </c>
      <c r="AB6992">
        <v>13</v>
      </c>
      <c r="AC6992">
        <v>20.53</v>
      </c>
      <c r="AD6992">
        <v>-1.1101006531443001</v>
      </c>
      <c r="AE6992">
        <v>-9.9198999999999895</v>
      </c>
      <c r="AF6992">
        <v>-6.5043168183017102</v>
      </c>
      <c r="AG6992">
        <v>-1.1101006531443001</v>
      </c>
      <c r="AH6992">
        <v>21.797322482611602</v>
      </c>
      <c r="AI6992">
        <v>92.793926761110797</v>
      </c>
      <c r="AJ6992">
        <v>106.615093182346</v>
      </c>
      <c r="AK6992">
        <v>22.7741460464255</v>
      </c>
      <c r="AL6992">
        <v>93.860308371192602</v>
      </c>
      <c r="AM6992">
        <v>113.83445411384</v>
      </c>
      <c r="AN6992">
        <v>1.0000000147502299</v>
      </c>
    </row>
    <row r="6993" spans="1:40" x14ac:dyDescent="0.25">
      <c r="A6993" t="str">
        <f>"20190305135103619"</f>
        <v>20190305135103619</v>
      </c>
      <c r="B6993" t="str">
        <f>"1551765063606567"</f>
        <v>1551765063606567</v>
      </c>
      <c r="C6993" t="s">
        <v>40</v>
      </c>
      <c r="D6993">
        <v>4.3157779999999999</v>
      </c>
      <c r="E6993">
        <v>0.55854649999999995</v>
      </c>
      <c r="F6993" t="s">
        <v>110</v>
      </c>
      <c r="G6993">
        <v>-276.30119999999999</v>
      </c>
      <c r="H6993" s="1">
        <v>-2.3005420000000001E-6</v>
      </c>
      <c r="I6993">
        <v>-62.37621</v>
      </c>
      <c r="J6993">
        <v>-291.91500000000002</v>
      </c>
      <c r="K6993">
        <v>1.110098</v>
      </c>
      <c r="L6993">
        <v>-54.477229999999999</v>
      </c>
      <c r="M6993">
        <v>0.73920189999999997</v>
      </c>
      <c r="N6993">
        <v>-7.4696830000000004E-3</v>
      </c>
      <c r="O6993">
        <v>-0.67344250000000005</v>
      </c>
      <c r="P6993">
        <v>0.94587929999999998</v>
      </c>
      <c r="Q6993">
        <v>-7.3137350000000004E-2</v>
      </c>
      <c r="R6993">
        <v>-0.31617030000000002</v>
      </c>
      <c r="S6993">
        <v>2.6988530000000002</v>
      </c>
      <c r="T6993">
        <v>-0.19124160000000001</v>
      </c>
      <c r="U6993">
        <v>-1.3686830000000001</v>
      </c>
      <c r="V6993">
        <v>-0.4031575</v>
      </c>
      <c r="W6993">
        <v>-6.7139980000000002E-2</v>
      </c>
      <c r="X6993">
        <v>0.91266440000000004</v>
      </c>
      <c r="Y6993">
        <v>-0.26495570000000002</v>
      </c>
      <c r="Z6993">
        <v>4.4517069999999999E-2</v>
      </c>
      <c r="AA6993">
        <v>0.96323250000000005</v>
      </c>
      <c r="AB6993">
        <v>13</v>
      </c>
      <c r="AC6993">
        <v>15.613799999999999</v>
      </c>
      <c r="AD6993">
        <v>-1.110100300542</v>
      </c>
      <c r="AE6993">
        <v>-7.8989799999999901</v>
      </c>
      <c r="AF6993">
        <v>-4.6574407067232704</v>
      </c>
      <c r="AG6993">
        <v>-1.110100300542</v>
      </c>
      <c r="AH6993">
        <v>16.794136958649599</v>
      </c>
      <c r="AI6993">
        <v>93.6446117289602</v>
      </c>
      <c r="AJ6993">
        <v>105.50004540317499</v>
      </c>
      <c r="AK6993">
        <v>17.463307613387201</v>
      </c>
      <c r="AL6993">
        <v>93.849733379559098</v>
      </c>
      <c r="AM6993">
        <v>113.83281437244101</v>
      </c>
      <c r="AN6993">
        <v>1.0000000268739999</v>
      </c>
    </row>
    <row r="6994" spans="1:40" x14ac:dyDescent="0.25">
      <c r="A6994" t="str">
        <f>"20190305135103635"</f>
        <v>20190305135103635</v>
      </c>
      <c r="B6994" t="str">
        <f>"1551765063627062"</f>
        <v>1551765063627062</v>
      </c>
      <c r="C6994" t="s">
        <v>40</v>
      </c>
      <c r="D6994">
        <v>4.2485119999999998</v>
      </c>
      <c r="E6994">
        <v>0.56147219999999998</v>
      </c>
      <c r="F6994" t="s">
        <v>110</v>
      </c>
      <c r="G6994">
        <v>-278.29950000000002</v>
      </c>
      <c r="H6994" s="1">
        <v>-2.9677369999999999E-6</v>
      </c>
      <c r="I6994">
        <v>-61.521349999999998</v>
      </c>
      <c r="J6994">
        <v>-291.83960000000002</v>
      </c>
      <c r="K6994">
        <v>1.1100969999999999</v>
      </c>
      <c r="L6994">
        <v>-54.543300000000002</v>
      </c>
      <c r="M6994">
        <v>0.74038570000000004</v>
      </c>
      <c r="N6994">
        <v>-7.3716240000000002E-3</v>
      </c>
      <c r="O6994">
        <v>-0.67214189999999996</v>
      </c>
      <c r="P6994">
        <v>0.94634479999999999</v>
      </c>
      <c r="Q6994">
        <v>-7.3519570000000006E-2</v>
      </c>
      <c r="R6994">
        <v>-0.3146853</v>
      </c>
      <c r="S6994">
        <v>2.689575</v>
      </c>
      <c r="T6994">
        <v>-0.2192868</v>
      </c>
      <c r="U6994">
        <v>-1.3914789999999999</v>
      </c>
      <c r="V6994">
        <v>-0.4029625</v>
      </c>
      <c r="W6994">
        <v>-6.7622290000000002E-2</v>
      </c>
      <c r="X6994">
        <v>0.9127149</v>
      </c>
      <c r="Y6994">
        <v>-0.25501750000000001</v>
      </c>
      <c r="Z6994">
        <v>5.128738E-2</v>
      </c>
      <c r="AA6994">
        <v>0.96557530000000003</v>
      </c>
      <c r="AB6994">
        <v>13</v>
      </c>
      <c r="AC6994">
        <v>13.540099999999899</v>
      </c>
      <c r="AD6994">
        <v>-1.11009996773699</v>
      </c>
      <c r="AE6994">
        <v>-6.9780499999999899</v>
      </c>
      <c r="AF6994">
        <v>-3.91374061355687</v>
      </c>
      <c r="AG6994">
        <v>-1.11009996773699</v>
      </c>
      <c r="AH6994">
        <v>14.637792770265801</v>
      </c>
      <c r="AI6994">
        <v>94.190252874123004</v>
      </c>
      <c r="AJ6994">
        <v>104.969157290536</v>
      </c>
      <c r="AK6994">
        <v>15.1925858468472</v>
      </c>
      <c r="AL6994">
        <v>93.877430682116398</v>
      </c>
      <c r="AM6994">
        <v>113.82139912921301</v>
      </c>
      <c r="AN6994">
        <v>1.0000000195965499</v>
      </c>
    </row>
    <row r="6995" spans="1:40" x14ac:dyDescent="0.25">
      <c r="A6995" t="str">
        <f>"20190305135103650"</f>
        <v>20190305135103650</v>
      </c>
      <c r="B6995" t="str">
        <f>"1551765063646583"</f>
        <v>1551765063646583</v>
      </c>
      <c r="C6995" t="s">
        <v>40</v>
      </c>
      <c r="D6995">
        <v>4.2498649999999998</v>
      </c>
      <c r="E6995">
        <v>0.56334569999999995</v>
      </c>
      <c r="F6995" t="s">
        <v>110</v>
      </c>
      <c r="G6995">
        <v>-279.43700000000001</v>
      </c>
      <c r="H6995" s="1">
        <v>-3.3391949999999998E-6</v>
      </c>
      <c r="I6995">
        <v>-61.058990000000001</v>
      </c>
      <c r="J6995">
        <v>-291.77600000000001</v>
      </c>
      <c r="K6995">
        <v>1.1100969999999999</v>
      </c>
      <c r="L6995">
        <v>-54.598790000000001</v>
      </c>
      <c r="M6995">
        <v>0.74138280000000001</v>
      </c>
      <c r="N6995">
        <v>-7.2950649999999999E-3</v>
      </c>
      <c r="O6995">
        <v>-0.67104259999999905</v>
      </c>
      <c r="P6995">
        <v>0.94680790000000004</v>
      </c>
      <c r="Q6995">
        <v>-7.3823390000000003E-2</v>
      </c>
      <c r="R6995">
        <v>-0.31321710000000003</v>
      </c>
      <c r="S6995">
        <v>2.6827700000000001</v>
      </c>
      <c r="T6995">
        <v>-0.24012330000000001</v>
      </c>
      <c r="U6995">
        <v>-1.4093929999999999</v>
      </c>
      <c r="V6995">
        <v>-0.40300459999999999</v>
      </c>
      <c r="W6995">
        <v>-6.8006810000000001E-2</v>
      </c>
      <c r="X6995">
        <v>0.91266780000000003</v>
      </c>
      <c r="Y6995">
        <v>-0.24715970000000001</v>
      </c>
      <c r="Z6995">
        <v>5.6210749999999997E-2</v>
      </c>
      <c r="AA6995">
        <v>0.96734299999999995</v>
      </c>
      <c r="AB6995">
        <v>13</v>
      </c>
      <c r="AC6995">
        <v>12.339</v>
      </c>
      <c r="AD6995">
        <v>-1.110100339195</v>
      </c>
      <c r="AE6995">
        <v>-6.4602000000000004</v>
      </c>
      <c r="AF6995">
        <v>-3.4685719475636598</v>
      </c>
      <c r="AG6995">
        <v>-1.110100339195</v>
      </c>
      <c r="AH6995">
        <v>13.3982370633604</v>
      </c>
      <c r="AI6995">
        <v>94.585873805575503</v>
      </c>
      <c r="AJ6995">
        <v>104.514237475165</v>
      </c>
      <c r="AK6995">
        <v>13.884382252175</v>
      </c>
      <c r="AL6995">
        <v>93.899512678952505</v>
      </c>
      <c r="AM6995">
        <v>113.824703379201</v>
      </c>
      <c r="AN6995">
        <v>1.0000000734921799</v>
      </c>
    </row>
    <row r="6996" spans="1:40" x14ac:dyDescent="0.25">
      <c r="A6996" t="str">
        <f>"20190305135103665"</f>
        <v>20190305135103665</v>
      </c>
      <c r="B6996" t="str">
        <f>"1551765063657319"</f>
        <v>1551765063657319</v>
      </c>
      <c r="C6996" t="s">
        <v>40</v>
      </c>
      <c r="D6996">
        <v>4.2555519999999998</v>
      </c>
      <c r="E6996">
        <v>0.56350059999999902</v>
      </c>
      <c r="F6996" t="s">
        <v>110</v>
      </c>
      <c r="G6996">
        <v>-279.4597</v>
      </c>
      <c r="H6996" s="1">
        <v>-3.3553019999999999E-6</v>
      </c>
      <c r="I6996">
        <v>-61.121760000000002</v>
      </c>
      <c r="J6996">
        <v>-291.70639999999997</v>
      </c>
      <c r="K6996">
        <v>1.110101</v>
      </c>
      <c r="L6996">
        <v>-54.659210000000002</v>
      </c>
      <c r="M6996">
        <v>0.74247469999999904</v>
      </c>
      <c r="N6996">
        <v>-7.2210479999999999E-3</v>
      </c>
      <c r="O6996">
        <v>-0.66983539999999997</v>
      </c>
      <c r="P6996">
        <v>0.94726200000000005</v>
      </c>
      <c r="Q6996">
        <v>-7.4036000000000005E-2</v>
      </c>
      <c r="R6996">
        <v>-0.311791599999999</v>
      </c>
      <c r="S6996">
        <v>2.680145</v>
      </c>
      <c r="T6996">
        <v>-0.2415689</v>
      </c>
      <c r="U6996">
        <v>-1.4194639999999901</v>
      </c>
      <c r="V6996">
        <v>-0.4028794</v>
      </c>
      <c r="W6996">
        <v>-6.8299380000000007E-2</v>
      </c>
      <c r="X6996">
        <v>0.91270110000000004</v>
      </c>
      <c r="Y6996">
        <v>-0.24233489999999999</v>
      </c>
      <c r="Z6996">
        <v>5.6330169999999999E-2</v>
      </c>
      <c r="AA6996">
        <v>0.96855599999999997</v>
      </c>
      <c r="AB6996">
        <v>13</v>
      </c>
      <c r="AC6996">
        <v>12.246699999999899</v>
      </c>
      <c r="AD6996">
        <v>-1.110104355302</v>
      </c>
      <c r="AE6996">
        <v>-6.4625500000000002</v>
      </c>
      <c r="AF6996">
        <v>-3.3833372760954399</v>
      </c>
      <c r="AG6996">
        <v>-1.110104355302</v>
      </c>
      <c r="AH6996">
        <v>13.3363464676374</v>
      </c>
      <c r="AI6996">
        <v>94.612809667478601</v>
      </c>
      <c r="AJ6996">
        <v>104.235214529465</v>
      </c>
      <c r="AK6996">
        <v>13.8035299799849</v>
      </c>
      <c r="AL6996">
        <v>93.916315227508406</v>
      </c>
      <c r="AM6996">
        <v>113.817353367145</v>
      </c>
      <c r="AN6996">
        <v>0.99999995709697598</v>
      </c>
    </row>
    <row r="6997" spans="1:40" x14ac:dyDescent="0.25">
      <c r="A6997" t="str">
        <f>"20190305135103679"</f>
        <v>20190305135103679</v>
      </c>
      <c r="B6997" t="str">
        <f>"1551765063666865"</f>
        <v>1551765063666865</v>
      </c>
      <c r="C6997" t="s">
        <v>40</v>
      </c>
      <c r="D6997">
        <v>4.1864589999999904</v>
      </c>
      <c r="E6997">
        <v>0.56368989999999997</v>
      </c>
      <c r="F6997" t="s">
        <v>110</v>
      </c>
      <c r="G6997">
        <v>-279.70530000000002</v>
      </c>
      <c r="H6997" s="1">
        <v>-3.4225330000000001E-6</v>
      </c>
      <c r="I6997">
        <v>-60.999459999999999</v>
      </c>
      <c r="J6997">
        <v>-291.64409999999998</v>
      </c>
      <c r="K6997">
        <v>1.110109</v>
      </c>
      <c r="L6997">
        <v>-54.713200000000001</v>
      </c>
      <c r="M6997">
        <v>0.74345450000000002</v>
      </c>
      <c r="N6997">
        <v>-7.160095E-3</v>
      </c>
      <c r="O6997">
        <v>-0.66874829999999996</v>
      </c>
      <c r="P6997">
        <v>0.94780580000000003</v>
      </c>
      <c r="Q6997">
        <v>-7.3589340000000003E-2</v>
      </c>
      <c r="R6997">
        <v>-0.31023959999999901</v>
      </c>
      <c r="S6997">
        <v>2.6813349999999998</v>
      </c>
      <c r="T6997">
        <v>-0.2480241</v>
      </c>
      <c r="U6997">
        <v>-1.4165650000000001</v>
      </c>
      <c r="V6997">
        <v>-0.40305960000000002</v>
      </c>
      <c r="W6997">
        <v>-6.7921679999999998E-2</v>
      </c>
      <c r="X6997">
        <v>0.91264979999999996</v>
      </c>
      <c r="Y6997">
        <v>-0.2417919</v>
      </c>
      <c r="Z6997">
        <v>5.7892619999999999E-2</v>
      </c>
      <c r="AA6997">
        <v>0.96859960000000001</v>
      </c>
      <c r="AB6997">
        <v>13</v>
      </c>
      <c r="AC6997">
        <v>11.938799999999899</v>
      </c>
      <c r="AD6997">
        <v>-1.1101124225329999</v>
      </c>
      <c r="AE6997">
        <v>-6.2862599999999897</v>
      </c>
      <c r="AF6997">
        <v>-3.2883291208539398</v>
      </c>
      <c r="AG6997">
        <v>-1.1101124225329999</v>
      </c>
      <c r="AH6997">
        <v>12.992267114890501</v>
      </c>
      <c r="AI6997">
        <v>94.735125217395606</v>
      </c>
      <c r="AJ6997">
        <v>104.20323328985801</v>
      </c>
      <c r="AK6997">
        <v>13.4478423095448</v>
      </c>
      <c r="AL6997">
        <v>93.894623968190501</v>
      </c>
      <c r="AM6997">
        <v>113.82801034324901</v>
      </c>
      <c r="AN6997">
        <v>1.0000000266031099</v>
      </c>
    </row>
    <row r="6998" spans="1:40" x14ac:dyDescent="0.25">
      <c r="A6998" t="str">
        <f>"20190305135103694"</f>
        <v>20190305135103694</v>
      </c>
      <c r="B6998" t="str">
        <f>"1551765063687349"</f>
        <v>1551765063687349</v>
      </c>
      <c r="C6998" t="s">
        <v>40</v>
      </c>
      <c r="D6998">
        <v>4.2540649999999998</v>
      </c>
      <c r="E6998">
        <v>0.56400150000000004</v>
      </c>
      <c r="F6998" t="s">
        <v>110</v>
      </c>
      <c r="G6998">
        <v>-279.52760000000001</v>
      </c>
      <c r="H6998" s="1">
        <v>-3.375036E-6</v>
      </c>
      <c r="I6998">
        <v>-61.096589999999999</v>
      </c>
      <c r="J6998">
        <v>-291.57679999999999</v>
      </c>
      <c r="K6998">
        <v>1.1101270000000001</v>
      </c>
      <c r="L6998">
        <v>-54.7714199999999</v>
      </c>
      <c r="M6998">
        <v>0.74451619999999996</v>
      </c>
      <c r="N6998">
        <v>-7.0990990000000002E-3</v>
      </c>
      <c r="O6998">
        <v>-0.66756700000000002</v>
      </c>
      <c r="P6998">
        <v>0.9482003</v>
      </c>
      <c r="Q6998">
        <v>-7.3198470000000002E-2</v>
      </c>
      <c r="R6998">
        <v>-0.30912580000000001</v>
      </c>
      <c r="S6998">
        <v>2.6833800000000001</v>
      </c>
      <c r="T6998">
        <v>-0.24585070000000001</v>
      </c>
      <c r="U6998">
        <v>-1.4136959999999901</v>
      </c>
      <c r="V6998">
        <v>-0.40270149999999999</v>
      </c>
      <c r="W6998">
        <v>-6.7599679999999995E-2</v>
      </c>
      <c r="X6998">
        <v>0.91283170000000002</v>
      </c>
      <c r="Y6998">
        <v>-0.24140919999999999</v>
      </c>
      <c r="Z6998">
        <v>5.7288360000000003E-2</v>
      </c>
      <c r="AA6998">
        <v>0.96873089999999995</v>
      </c>
      <c r="AB6998">
        <v>14</v>
      </c>
      <c r="AC6998">
        <v>12.0491999999999</v>
      </c>
      <c r="AD6998">
        <v>-1.1101303750360001</v>
      </c>
      <c r="AE6998">
        <v>-6.32517</v>
      </c>
      <c r="AF6998">
        <v>-3.3124963585584202</v>
      </c>
      <c r="AG6998">
        <v>-1.1101303750360001</v>
      </c>
      <c r="AH6998">
        <v>13.1064095833064</v>
      </c>
      <c r="AI6998">
        <v>94.694548371593498</v>
      </c>
      <c r="AJ6998">
        <v>104.18383132943499</v>
      </c>
      <c r="AK6998">
        <v>13.5640330927208</v>
      </c>
      <c r="AL6998">
        <v>93.876132470514705</v>
      </c>
      <c r="AM6998">
        <v>113.80497846176399</v>
      </c>
      <c r="AN6998">
        <v>0.99999996368162003</v>
      </c>
    </row>
    <row r="6999" spans="1:40" x14ac:dyDescent="0.25">
      <c r="A6999" t="str">
        <f>"20190305135103714"</f>
        <v>20190305135103714</v>
      </c>
      <c r="B6999" t="str">
        <f>"1551765063706869"</f>
        <v>1551765063706869</v>
      </c>
      <c r="C6999" t="s">
        <v>40</v>
      </c>
      <c r="D6999">
        <v>4.2420030000000004</v>
      </c>
      <c r="E6999">
        <v>0.56419549999999996</v>
      </c>
      <c r="F6999" t="s">
        <v>85</v>
      </c>
      <c r="G6999">
        <v>-280.00909999999999</v>
      </c>
      <c r="H6999" s="1">
        <v>-7.6528359999999906E-6</v>
      </c>
      <c r="I6999">
        <v>-60.86159</v>
      </c>
      <c r="J6999">
        <v>-291.48140000000001</v>
      </c>
      <c r="K6999">
        <v>1.1101540000000001</v>
      </c>
      <c r="L6999">
        <v>-54.853490000000001</v>
      </c>
      <c r="M6999">
        <v>0.74603129999999995</v>
      </c>
      <c r="N6999">
        <v>-7.0228340000000004E-3</v>
      </c>
      <c r="O6999">
        <v>-0.66587410000000002</v>
      </c>
      <c r="P6999">
        <v>0.9488955</v>
      </c>
      <c r="Q6999">
        <v>-7.1266060000000006E-2</v>
      </c>
      <c r="R6999">
        <v>-0.30743910000000002</v>
      </c>
      <c r="S6999">
        <v>2.6834410000000002</v>
      </c>
      <c r="T6999">
        <v>-0.25752619999999998</v>
      </c>
      <c r="U6999">
        <v>-1.4127809999999901</v>
      </c>
      <c r="V6999">
        <v>-0.4023487</v>
      </c>
      <c r="W6999">
        <v>-6.5761799999999995E-2</v>
      </c>
      <c r="X6999">
        <v>0.91312150000000003</v>
      </c>
      <c r="Y6999">
        <v>-0.23925450000000001</v>
      </c>
      <c r="Z6999">
        <v>6.0050230000000003E-2</v>
      </c>
      <c r="AA6999">
        <v>0.96909820000000002</v>
      </c>
      <c r="AB6999">
        <v>14</v>
      </c>
      <c r="AC6999">
        <v>11.472300000000001</v>
      </c>
      <c r="AD6999">
        <v>-1.1101616528360001</v>
      </c>
      <c r="AE6999">
        <v>-6.00809999999999</v>
      </c>
      <c r="AF6999">
        <v>-3.1339238073065698</v>
      </c>
      <c r="AG6999">
        <v>-1.1101616528360001</v>
      </c>
      <c r="AH6999">
        <v>12.468016835940499</v>
      </c>
      <c r="AI6999">
        <v>94.9355089759311</v>
      </c>
      <c r="AJ6999">
        <v>104.109399051061</v>
      </c>
      <c r="AK6999">
        <v>12.9036964140794</v>
      </c>
      <c r="AL6999">
        <v>93.770594725650597</v>
      </c>
      <c r="AM6999">
        <v>113.77972764624801</v>
      </c>
      <c r="AN6999">
        <v>0.99999998224658904</v>
      </c>
    </row>
    <row r="7000" spans="1:40" x14ac:dyDescent="0.25">
      <c r="A7000" t="str">
        <f>"20190305135103726"</f>
        <v>20190305135103726</v>
      </c>
      <c r="B7000" t="str">
        <f>"1551765063716629"</f>
        <v>1551765063716629</v>
      </c>
      <c r="C7000" t="s">
        <v>40</v>
      </c>
      <c r="D7000">
        <v>4.2630790000000003</v>
      </c>
      <c r="E7000">
        <v>0.56433029999999995</v>
      </c>
      <c r="F7000" t="s">
        <v>110</v>
      </c>
      <c r="G7000">
        <v>-279.9402</v>
      </c>
      <c r="H7000" s="1">
        <v>-3.4906550000000001E-6</v>
      </c>
      <c r="I7000">
        <v>-60.911019999999901</v>
      </c>
      <c r="J7000">
        <v>-291.42469999999997</v>
      </c>
      <c r="K7000">
        <v>1.1101719999999999</v>
      </c>
      <c r="L7000">
        <v>-54.90204</v>
      </c>
      <c r="M7000">
        <v>0.74693909999999997</v>
      </c>
      <c r="N7000">
        <v>-6.9821759999999997E-3</v>
      </c>
      <c r="O7000">
        <v>-0.6648558</v>
      </c>
      <c r="P7000">
        <v>0.94938840000000002</v>
      </c>
      <c r="Q7000">
        <v>-7.0576739999999999E-2</v>
      </c>
      <c r="R7000">
        <v>-0.30607319999999999</v>
      </c>
      <c r="S7000">
        <v>2.685486</v>
      </c>
      <c r="T7000">
        <v>-0.2583203</v>
      </c>
      <c r="U7000">
        <v>-1.4095150000000001</v>
      </c>
      <c r="V7000">
        <v>-0.40244950000000002</v>
      </c>
      <c r="W7000">
        <v>-6.5128889999999995E-2</v>
      </c>
      <c r="X7000">
        <v>0.9131224</v>
      </c>
      <c r="Y7000">
        <v>-0.239144</v>
      </c>
      <c r="Z7000">
        <v>6.019103E-2</v>
      </c>
      <c r="AA7000">
        <v>0.96911670000000005</v>
      </c>
      <c r="AB7000">
        <v>14</v>
      </c>
      <c r="AC7000">
        <v>11.484499999999899</v>
      </c>
      <c r="AD7000">
        <v>-1.1101754906550001</v>
      </c>
      <c r="AE7000">
        <v>-6.0089799999999904</v>
      </c>
      <c r="AF7000">
        <v>-3.1243502398124501</v>
      </c>
      <c r="AG7000">
        <v>-1.1101754906550001</v>
      </c>
      <c r="AH7000">
        <v>12.4820631149455</v>
      </c>
      <c r="AI7000">
        <v>94.931259029742805</v>
      </c>
      <c r="AJ7000">
        <v>104.052808041128</v>
      </c>
      <c r="AK7000">
        <v>12.914950779873299</v>
      </c>
      <c r="AL7000">
        <v>93.734253882919603</v>
      </c>
      <c r="AM7000">
        <v>113.78500315027399</v>
      </c>
      <c r="AN7000">
        <v>0.99999994487231902</v>
      </c>
    </row>
    <row r="7001" spans="1:40" x14ac:dyDescent="0.25">
      <c r="A7001" t="str">
        <f>"20190305135103739"</f>
        <v>20190305135103739</v>
      </c>
      <c r="B7001" t="str">
        <f>"1551765063726389"</f>
        <v>1551765063726389</v>
      </c>
      <c r="C7001" t="s">
        <v>40</v>
      </c>
      <c r="D7001">
        <v>4.284904</v>
      </c>
      <c r="E7001">
        <v>0.56446869999999905</v>
      </c>
      <c r="F7001" t="s">
        <v>110</v>
      </c>
      <c r="G7001">
        <v>-279.8956</v>
      </c>
      <c r="H7001" s="1">
        <v>-3.4790230000000001E-6</v>
      </c>
      <c r="I7001">
        <v>-60.9377</v>
      </c>
      <c r="J7001">
        <v>-291.36840000000001</v>
      </c>
      <c r="K7001">
        <v>1.1101859999999999</v>
      </c>
      <c r="L7001">
        <v>-54.950099999999999</v>
      </c>
      <c r="M7001">
        <v>0.74784899999999999</v>
      </c>
      <c r="N7001">
        <v>-6.9455740000000004E-3</v>
      </c>
      <c r="O7001">
        <v>-0.66383269999999905</v>
      </c>
      <c r="P7001">
        <v>0.94982529999999998</v>
      </c>
      <c r="Q7001">
        <v>-7.0001419999999995E-2</v>
      </c>
      <c r="R7001">
        <v>-0.3048477</v>
      </c>
      <c r="S7001">
        <v>2.687103</v>
      </c>
      <c r="T7001">
        <v>-0.25875009999999998</v>
      </c>
      <c r="U7001">
        <v>-1.4067379999999901</v>
      </c>
      <c r="V7001">
        <v>-0.40240350000000003</v>
      </c>
      <c r="W7001">
        <v>-6.4607440000000002E-2</v>
      </c>
      <c r="X7001">
        <v>0.91317979999999999</v>
      </c>
      <c r="Y7001">
        <v>-0.2388344</v>
      </c>
      <c r="Z7001">
        <v>6.0234450000000002E-2</v>
      </c>
      <c r="AA7001">
        <v>0.96919040000000001</v>
      </c>
      <c r="AB7001">
        <v>14</v>
      </c>
      <c r="AC7001">
        <v>11.472799999999999</v>
      </c>
      <c r="AD7001">
        <v>-1.110189479023</v>
      </c>
      <c r="AE7001">
        <v>-5.9875999999999996</v>
      </c>
      <c r="AF7001">
        <v>-3.1153474984468299</v>
      </c>
      <c r="AG7001">
        <v>-1.110189479023</v>
      </c>
      <c r="AH7001">
        <v>12.463266399099499</v>
      </c>
      <c r="AI7001">
        <v>94.939120309572502</v>
      </c>
      <c r="AJ7001">
        <v>104.03421376571799</v>
      </c>
      <c r="AK7001">
        <v>12.8946081774645</v>
      </c>
      <c r="AL7001">
        <v>93.704313650049201</v>
      </c>
      <c r="AM7001">
        <v>113.78125718963901</v>
      </c>
      <c r="AN7001">
        <v>1.00000002262182</v>
      </c>
    </row>
    <row r="7002" spans="1:40" x14ac:dyDescent="0.25">
      <c r="A7002" t="str">
        <f>"20190305135103752"</f>
        <v>20190305135103752</v>
      </c>
      <c r="B7002" t="str">
        <f>"1551765063746885"</f>
        <v>1551765063746885</v>
      </c>
      <c r="C7002" t="s">
        <v>40</v>
      </c>
      <c r="D7002">
        <v>4.1881659999999998</v>
      </c>
      <c r="E7002">
        <v>0.56446180000000001</v>
      </c>
      <c r="F7002" t="s">
        <v>110</v>
      </c>
      <c r="G7002">
        <v>-279.84570000000002</v>
      </c>
      <c r="H7002" s="1">
        <v>-3.4661059999999999E-6</v>
      </c>
      <c r="I7002">
        <v>-60.968040000000002</v>
      </c>
      <c r="J7002">
        <v>-291.30369999999999</v>
      </c>
      <c r="K7002">
        <v>1.1102050000000001</v>
      </c>
      <c r="L7002">
        <v>-55.005159999999997</v>
      </c>
      <c r="M7002">
        <v>0.74889890000000003</v>
      </c>
      <c r="N7002">
        <v>-6.9054110000000002E-3</v>
      </c>
      <c r="O7002">
        <v>-0.66264840000000003</v>
      </c>
      <c r="P7002">
        <v>0.95030680000000001</v>
      </c>
      <c r="Q7002">
        <v>-6.9700419999999999E-2</v>
      </c>
      <c r="R7002">
        <v>-0.30341190000000001</v>
      </c>
      <c r="S7002">
        <v>2.6887210000000001</v>
      </c>
      <c r="T7002">
        <v>-0.25905349999999999</v>
      </c>
      <c r="U7002">
        <v>-1.404236</v>
      </c>
      <c r="V7002">
        <v>-0.40234969999999998</v>
      </c>
      <c r="W7002">
        <v>-6.4368369999999994E-2</v>
      </c>
      <c r="X7002">
        <v>0.91322029999999998</v>
      </c>
      <c r="Y7002">
        <v>-0.2382436</v>
      </c>
      <c r="Z7002">
        <v>6.0224420000000001E-2</v>
      </c>
      <c r="AA7002">
        <v>0.96933639999999999</v>
      </c>
      <c r="AB7002">
        <v>14</v>
      </c>
      <c r="AC7002">
        <v>11.457999999999901</v>
      </c>
      <c r="AD7002">
        <v>-1.1102084661060001</v>
      </c>
      <c r="AE7002">
        <v>-5.9628800000000002</v>
      </c>
      <c r="AF7002">
        <v>-3.10417297400714</v>
      </c>
      <c r="AG7002">
        <v>-1.1102084661060001</v>
      </c>
      <c r="AH7002">
        <v>12.440568188892099</v>
      </c>
      <c r="AI7002">
        <v>94.948683204840094</v>
      </c>
      <c r="AJ7002">
        <v>104.010366738375</v>
      </c>
      <c r="AK7002">
        <v>12.869972399086301</v>
      </c>
      <c r="AL7002">
        <v>93.690587673996205</v>
      </c>
      <c r="AM7002">
        <v>113.77749287739501</v>
      </c>
      <c r="AN7002">
        <v>0.99999994223931599</v>
      </c>
    </row>
    <row r="7003" spans="1:40" x14ac:dyDescent="0.25">
      <c r="A7003" t="str">
        <f>"20190305135103764"</f>
        <v>20190305135103764</v>
      </c>
      <c r="B7003" t="str">
        <f>"1551765063756647"</f>
        <v>1551765063756647</v>
      </c>
      <c r="C7003" t="s">
        <v>40</v>
      </c>
      <c r="D7003">
        <v>4.2441190000000004</v>
      </c>
      <c r="E7003">
        <v>0.56446300000000005</v>
      </c>
      <c r="F7003" t="s">
        <v>110</v>
      </c>
      <c r="G7003">
        <v>-279.86180000000002</v>
      </c>
      <c r="H7003" s="1">
        <v>-3.4702659999999898E-6</v>
      </c>
      <c r="I7003">
        <v>-60.958199999999998</v>
      </c>
      <c r="J7003">
        <v>-291.2432</v>
      </c>
      <c r="K7003">
        <v>1.110225</v>
      </c>
      <c r="L7003">
        <v>-55.056429999999999</v>
      </c>
      <c r="M7003">
        <v>0.74989459999999997</v>
      </c>
      <c r="N7003">
        <v>-6.8688639999999997E-3</v>
      </c>
      <c r="O7003">
        <v>-0.6615221</v>
      </c>
      <c r="P7003">
        <v>0.95072970000000001</v>
      </c>
      <c r="Q7003">
        <v>-6.9702180000000002E-2</v>
      </c>
      <c r="R7003">
        <v>-0.30208400000000002</v>
      </c>
      <c r="S7003">
        <v>2.6907649999999999</v>
      </c>
      <c r="T7003">
        <v>-0.26108540000000002</v>
      </c>
      <c r="U7003">
        <v>-1.3999629999999901</v>
      </c>
      <c r="V7003">
        <v>-0.40224789999999999</v>
      </c>
      <c r="W7003">
        <v>-6.4430039999999994E-2</v>
      </c>
      <c r="X7003">
        <v>0.91326090000000004</v>
      </c>
      <c r="Y7003">
        <v>-0.23825760000000001</v>
      </c>
      <c r="Z7003">
        <v>6.0672509999999999E-2</v>
      </c>
      <c r="AA7003">
        <v>0.96930499999999997</v>
      </c>
      <c r="AB7003">
        <v>14</v>
      </c>
      <c r="AC7003">
        <v>11.3813999999999</v>
      </c>
      <c r="AD7003">
        <v>-1.1102284702659999</v>
      </c>
      <c r="AE7003">
        <v>-5.9017699999999902</v>
      </c>
      <c r="AF7003">
        <v>-3.0803148682783799</v>
      </c>
      <c r="AG7003">
        <v>-1.1102284702659999</v>
      </c>
      <c r="AH7003">
        <v>12.3467022547496</v>
      </c>
      <c r="AI7003">
        <v>94.986247270438298</v>
      </c>
      <c r="AJ7003">
        <v>104.00845913776701</v>
      </c>
      <c r="AK7003">
        <v>12.773488306307099</v>
      </c>
      <c r="AL7003">
        <v>93.694128103205401</v>
      </c>
      <c r="AM7003">
        <v>113.771204298038</v>
      </c>
      <c r="AN7003">
        <v>1.00000003728881</v>
      </c>
    </row>
    <row r="7004" spans="1:40" x14ac:dyDescent="0.25">
      <c r="A7004" t="str">
        <f>"20190305135103776"</f>
        <v>20190305135103776</v>
      </c>
      <c r="B7004" t="str">
        <f>"1551765063767007"</f>
        <v>1551765063767007</v>
      </c>
      <c r="C7004" t="s">
        <v>40</v>
      </c>
      <c r="D7004">
        <v>4.1429600000000004</v>
      </c>
      <c r="E7004">
        <v>0.56453679999999995</v>
      </c>
      <c r="F7004" t="s">
        <v>110</v>
      </c>
      <c r="G7004">
        <v>-279.84739999999999</v>
      </c>
      <c r="H7004" s="1">
        <v>-3.4663729999999999E-6</v>
      </c>
      <c r="I7004">
        <v>-60.965690000000002</v>
      </c>
      <c r="J7004">
        <v>-291.1859</v>
      </c>
      <c r="K7004">
        <v>1.1102399999999999</v>
      </c>
      <c r="L7004">
        <v>-55.104889999999997</v>
      </c>
      <c r="M7004">
        <v>0.75084779999999995</v>
      </c>
      <c r="N7004">
        <v>-6.8315240000000003E-3</v>
      </c>
      <c r="O7004">
        <v>-0.66043999999999903</v>
      </c>
      <c r="P7004">
        <v>0.95108890000000001</v>
      </c>
      <c r="Q7004">
        <v>-6.972863E-2</v>
      </c>
      <c r="R7004">
        <v>-0.30094520000000002</v>
      </c>
      <c r="S7004">
        <v>2.6926570000000001</v>
      </c>
      <c r="T7004">
        <v>-0.26233070000000003</v>
      </c>
      <c r="U7004">
        <v>-1.39627099999999</v>
      </c>
      <c r="V7004">
        <v>-0.40201969999999998</v>
      </c>
      <c r="W7004">
        <v>-6.4515980000000001E-2</v>
      </c>
      <c r="X7004">
        <v>0.91335529999999998</v>
      </c>
      <c r="Y7004">
        <v>-0.23816019999999999</v>
      </c>
      <c r="Z7004">
        <v>6.0922219999999999E-2</v>
      </c>
      <c r="AA7004">
        <v>0.96931330000000004</v>
      </c>
      <c r="AB7004">
        <v>14</v>
      </c>
      <c r="AC7004">
        <v>11.3385</v>
      </c>
      <c r="AD7004">
        <v>-1.1102434663730001</v>
      </c>
      <c r="AE7004">
        <v>-5.8607999999999896</v>
      </c>
      <c r="AF7004">
        <v>-3.06471334751066</v>
      </c>
      <c r="AG7004">
        <v>-1.1102434663730001</v>
      </c>
      <c r="AH7004">
        <v>12.291481199214401</v>
      </c>
      <c r="AI7004">
        <v>95.008775942435307</v>
      </c>
      <c r="AJ7004">
        <v>104.000451534617</v>
      </c>
      <c r="AK7004">
        <v>12.716352406554099</v>
      </c>
      <c r="AL7004">
        <v>93.699062404735599</v>
      </c>
      <c r="AM7004">
        <v>113.757028936084</v>
      </c>
      <c r="AN7004">
        <v>1.0000000274507601</v>
      </c>
    </row>
    <row r="7005" spans="1:40" x14ac:dyDescent="0.25">
      <c r="A7005" t="str">
        <f>"20190305135103789"</f>
        <v>20190305135103789</v>
      </c>
      <c r="B7005" t="str">
        <f>"1551765063786514"</f>
        <v>1551765063786514</v>
      </c>
      <c r="C7005" t="s">
        <v>40</v>
      </c>
      <c r="D7005">
        <v>4.1945139999999999</v>
      </c>
      <c r="E7005">
        <v>0.56469040000000004</v>
      </c>
      <c r="F7005" t="s">
        <v>110</v>
      </c>
      <c r="G7005">
        <v>-279.80439999999999</v>
      </c>
      <c r="H7005" s="1">
        <v>-3.4552649999999999E-6</v>
      </c>
      <c r="I7005">
        <v>-60.992199999999997</v>
      </c>
      <c r="J7005">
        <v>-291.12599999999998</v>
      </c>
      <c r="K7005">
        <v>1.110257</v>
      </c>
      <c r="L7005">
        <v>-55.155299999999997</v>
      </c>
      <c r="M7005">
        <v>0.75184779999999996</v>
      </c>
      <c r="N7005">
        <v>-6.790786E-3</v>
      </c>
      <c r="O7005">
        <v>-0.65930180000000005</v>
      </c>
      <c r="P7005">
        <v>0.95149890000000004</v>
      </c>
      <c r="Q7005">
        <v>-6.9937070000000004E-2</v>
      </c>
      <c r="R7005">
        <v>-0.29959789999999997</v>
      </c>
      <c r="S7005">
        <v>2.694061</v>
      </c>
      <c r="T7005">
        <v>-0.26279970000000002</v>
      </c>
      <c r="U7005">
        <v>-1.3935550000000001</v>
      </c>
      <c r="V7005">
        <v>-0.40191359999999998</v>
      </c>
      <c r="W7005">
        <v>-6.47895E-2</v>
      </c>
      <c r="X7005">
        <v>0.91338260000000004</v>
      </c>
      <c r="Y7005">
        <v>-0.2376595</v>
      </c>
      <c r="Z7005">
        <v>6.0963169999999997E-2</v>
      </c>
      <c r="AA7005">
        <v>0.96943360000000001</v>
      </c>
      <c r="AB7005">
        <v>14</v>
      </c>
      <c r="AC7005">
        <v>11.321599999999901</v>
      </c>
      <c r="AD7005">
        <v>-1.1102604552649999</v>
      </c>
      <c r="AE7005">
        <v>-5.8369</v>
      </c>
      <c r="AF7005">
        <v>-3.0527682314112101</v>
      </c>
      <c r="AG7005">
        <v>-1.1102604552649999</v>
      </c>
      <c r="AH7005">
        <v>12.2674810617671</v>
      </c>
      <c r="AI7005">
        <v>95.019170604543902</v>
      </c>
      <c r="AJ7005">
        <v>103.97423694611</v>
      </c>
      <c r="AK7005">
        <v>12.6902783166506</v>
      </c>
      <c r="AL7005">
        <v>93.714766913467599</v>
      </c>
      <c r="AM7005">
        <v>113.750821799394</v>
      </c>
      <c r="AN7005">
        <v>0.99999999757898494</v>
      </c>
    </row>
    <row r="7006" spans="1:40" x14ac:dyDescent="0.25">
      <c r="A7006" t="str">
        <f>"20190305135103803"</f>
        <v>20190305135103803</v>
      </c>
      <c r="B7006" t="str">
        <f>"1551765063797251"</f>
        <v>1551765063797251</v>
      </c>
      <c r="C7006" t="s">
        <v>40</v>
      </c>
      <c r="D7006">
        <v>4.1711609999999997</v>
      </c>
      <c r="E7006">
        <v>0.56478070000000002</v>
      </c>
      <c r="F7006" t="s">
        <v>110</v>
      </c>
      <c r="G7006">
        <v>-279.7534</v>
      </c>
      <c r="H7006" s="1">
        <v>-3.442107E-6</v>
      </c>
      <c r="I7006">
        <v>-61.023479999999999</v>
      </c>
      <c r="J7006">
        <v>-291.0609</v>
      </c>
      <c r="K7006">
        <v>1.110268</v>
      </c>
      <c r="L7006">
        <v>-55.20984</v>
      </c>
      <c r="M7006">
        <v>0.75295859999999903</v>
      </c>
      <c r="N7006">
        <v>-6.7312919999999998E-3</v>
      </c>
      <c r="O7006">
        <v>-0.6580338</v>
      </c>
      <c r="P7006">
        <v>0.95191309999999996</v>
      </c>
      <c r="Q7006">
        <v>-7.0308640000000006E-2</v>
      </c>
      <c r="R7006">
        <v>-0.29819279999999998</v>
      </c>
      <c r="S7006">
        <v>2.6956479999999998</v>
      </c>
      <c r="T7006">
        <v>-0.26316420000000001</v>
      </c>
      <c r="U7006">
        <v>-1.39093</v>
      </c>
      <c r="V7006">
        <v>-0.40169830000000001</v>
      </c>
      <c r="W7006">
        <v>-6.5247159999999998E-2</v>
      </c>
      <c r="X7006">
        <v>0.91344479999999995</v>
      </c>
      <c r="Y7006">
        <v>-0.2369965</v>
      </c>
      <c r="Z7006">
        <v>6.096911E-2</v>
      </c>
      <c r="AA7006">
        <v>0.96959550000000005</v>
      </c>
      <c r="AB7006">
        <v>14</v>
      </c>
      <c r="AC7006">
        <v>11.307499999999999</v>
      </c>
      <c r="AD7006">
        <v>-1.1102714421069999</v>
      </c>
      <c r="AE7006">
        <v>-5.8136400000000004</v>
      </c>
      <c r="AF7006">
        <v>-3.0401732153327701</v>
      </c>
      <c r="AG7006">
        <v>-1.1102714421069999</v>
      </c>
      <c r="AH7006">
        <v>12.2465433176598</v>
      </c>
      <c r="AI7006">
        <v>95.028463465366698</v>
      </c>
      <c r="AJ7006">
        <v>103.941697825486</v>
      </c>
      <c r="AK7006">
        <v>12.667011450445001</v>
      </c>
      <c r="AL7006">
        <v>93.741044270233004</v>
      </c>
      <c r="AM7006">
        <v>113.738068258537</v>
      </c>
      <c r="AN7006">
        <v>1.0000000593789899</v>
      </c>
    </row>
    <row r="7007" spans="1:40" x14ac:dyDescent="0.25">
      <c r="A7007" t="str">
        <f>"20190305135103815"</f>
        <v>20190305135103815</v>
      </c>
      <c r="B7007" t="str">
        <f>"1551765063807010"</f>
        <v>1551765063807010</v>
      </c>
      <c r="C7007" t="s">
        <v>40</v>
      </c>
      <c r="D7007">
        <v>4.1728889999999996</v>
      </c>
      <c r="E7007">
        <v>0.56484219999999996</v>
      </c>
      <c r="F7007" t="s">
        <v>110</v>
      </c>
      <c r="G7007">
        <v>-279.71870000000001</v>
      </c>
      <c r="H7007" s="1">
        <v>-3.433078E-6</v>
      </c>
      <c r="I7007">
        <v>-61.044409999999999</v>
      </c>
      <c r="J7007">
        <v>-291.0025</v>
      </c>
      <c r="K7007">
        <v>1.1102810000000001</v>
      </c>
      <c r="L7007">
        <v>-55.258609999999997</v>
      </c>
      <c r="M7007">
        <v>0.75396379999999996</v>
      </c>
      <c r="N7007">
        <v>-6.6685779999999997E-3</v>
      </c>
      <c r="O7007">
        <v>-0.65688199999999997</v>
      </c>
      <c r="P7007">
        <v>0.95226540000000004</v>
      </c>
      <c r="Q7007">
        <v>-7.0164229999999994E-2</v>
      </c>
      <c r="R7007">
        <v>-0.2970988</v>
      </c>
      <c r="S7007">
        <v>2.6973569999999998</v>
      </c>
      <c r="T7007">
        <v>-0.2640382</v>
      </c>
      <c r="U7007">
        <v>-1.387543</v>
      </c>
      <c r="V7007">
        <v>-0.40135399999999999</v>
      </c>
      <c r="W7007">
        <v>-6.5187819999999994E-2</v>
      </c>
      <c r="X7007">
        <v>0.91360030000000003</v>
      </c>
      <c r="Y7007">
        <v>-0.23670830000000001</v>
      </c>
      <c r="Z7007">
        <v>6.112795E-2</v>
      </c>
      <c r="AA7007">
        <v>0.96965590000000002</v>
      </c>
      <c r="AB7007">
        <v>14</v>
      </c>
      <c r="AC7007">
        <v>11.2837999999999</v>
      </c>
      <c r="AD7007">
        <v>-1.110284433078</v>
      </c>
      <c r="AE7007">
        <v>-5.7858000000000001</v>
      </c>
      <c r="AF7007">
        <v>-3.0267059009605299</v>
      </c>
      <c r="AG7007">
        <v>-1.110284433078</v>
      </c>
      <c r="AH7007">
        <v>12.214797447953799</v>
      </c>
      <c r="AI7007">
        <v>95.042059686860199</v>
      </c>
      <c r="AJ7007">
        <v>103.917011901184</v>
      </c>
      <c r="AK7007">
        <v>12.6330897577665</v>
      </c>
      <c r="AL7007">
        <v>93.737637319925199</v>
      </c>
      <c r="AM7007">
        <v>113.71637760551</v>
      </c>
      <c r="AN7007">
        <v>0.99999999667622097</v>
      </c>
    </row>
    <row r="7008" spans="1:40" x14ac:dyDescent="0.25">
      <c r="A7008" t="str">
        <f>"20190305135103826"</f>
        <v>20190305135103826</v>
      </c>
      <c r="B7008" t="str">
        <f>"1551765063816770"</f>
        <v>1551765063816770</v>
      </c>
      <c r="C7008" t="s">
        <v>40</v>
      </c>
      <c r="D7008">
        <v>4.227379</v>
      </c>
      <c r="E7008">
        <v>0.56488850000000002</v>
      </c>
      <c r="F7008" t="s">
        <v>110</v>
      </c>
      <c r="G7008">
        <v>-279.6395</v>
      </c>
      <c r="H7008" s="1">
        <v>-3.4122109999999998E-6</v>
      </c>
      <c r="I7008">
        <v>-61.089730000000003</v>
      </c>
      <c r="J7008">
        <v>-290.94349999999997</v>
      </c>
      <c r="K7008">
        <v>1.1102939999999999</v>
      </c>
      <c r="L7008">
        <v>-55.307769999999998</v>
      </c>
      <c r="M7008">
        <v>0.75499079999999996</v>
      </c>
      <c r="N7008">
        <v>-6.5943269999999997E-3</v>
      </c>
      <c r="O7008">
        <v>-0.65570220000000001</v>
      </c>
      <c r="P7008">
        <v>0.95259419999999995</v>
      </c>
      <c r="Q7008">
        <v>-7.0442840000000007E-2</v>
      </c>
      <c r="R7008">
        <v>-0.29597679999999998</v>
      </c>
      <c r="S7008">
        <v>2.6988829999999999</v>
      </c>
      <c r="T7008">
        <v>-0.26370909999999997</v>
      </c>
      <c r="U7008">
        <v>-1.384979</v>
      </c>
      <c r="V7008">
        <v>-0.40098210000000001</v>
      </c>
      <c r="W7008">
        <v>-6.5562809999999999E-2</v>
      </c>
      <c r="X7008">
        <v>0.91373680000000002</v>
      </c>
      <c r="Y7008">
        <v>-0.23614950000000001</v>
      </c>
      <c r="Z7008">
        <v>6.0981970000000003E-2</v>
      </c>
      <c r="AA7008">
        <v>0.96980129999999998</v>
      </c>
      <c r="AB7008">
        <v>14</v>
      </c>
      <c r="AC7008">
        <v>11.303999999999901</v>
      </c>
      <c r="AD7008">
        <v>-1.1102974122110001</v>
      </c>
      <c r="AE7008">
        <v>-5.7819599999999998</v>
      </c>
      <c r="AF7008">
        <v>-3.0236757553839801</v>
      </c>
      <c r="AG7008">
        <v>-1.1102974122110001</v>
      </c>
      <c r="AH7008">
        <v>12.2323888215215</v>
      </c>
      <c r="AI7008">
        <v>95.035610230763197</v>
      </c>
      <c r="AJ7008">
        <v>103.884399268615</v>
      </c>
      <c r="AK7008">
        <v>12.6493759410551</v>
      </c>
      <c r="AL7008">
        <v>93.759168588419101</v>
      </c>
      <c r="AM7008">
        <v>113.69367436402</v>
      </c>
      <c r="AN7008">
        <v>1.00000003312487</v>
      </c>
    </row>
    <row r="7009" spans="1:40" x14ac:dyDescent="0.25">
      <c r="A7009" t="str">
        <f>"20190305135103840"</f>
        <v>20190305135103840</v>
      </c>
      <c r="B7009" t="str">
        <f>"1551765063837267"</f>
        <v>1551765063837267</v>
      </c>
      <c r="C7009" t="s">
        <v>40</v>
      </c>
      <c r="D7009">
        <v>4.2363140000000001</v>
      </c>
      <c r="E7009">
        <v>0.56498300000000001</v>
      </c>
      <c r="F7009" t="s">
        <v>110</v>
      </c>
      <c r="G7009">
        <v>-279.61059999999998</v>
      </c>
      <c r="H7009" s="1">
        <v>-3.404894E-6</v>
      </c>
      <c r="I7009">
        <v>-61.10859</v>
      </c>
      <c r="J7009">
        <v>-290.88220000000001</v>
      </c>
      <c r="K7009">
        <v>1.1103019999999999</v>
      </c>
      <c r="L7009">
        <v>-55.358519999999999</v>
      </c>
      <c r="M7009">
        <v>0.75607349999999995</v>
      </c>
      <c r="N7009">
        <v>-6.5014319999999997E-3</v>
      </c>
      <c r="O7009">
        <v>-0.65445469999999994</v>
      </c>
      <c r="P7009">
        <v>0.95297560000000003</v>
      </c>
      <c r="Q7009">
        <v>-7.0497160000000003E-2</v>
      </c>
      <c r="R7009">
        <v>-0.2947342</v>
      </c>
      <c r="S7009">
        <v>2.7003170000000001</v>
      </c>
      <c r="T7009">
        <v>-0.26455269999999997</v>
      </c>
      <c r="U7009">
        <v>-1.382172</v>
      </c>
      <c r="V7009">
        <v>-0.40065650000000003</v>
      </c>
      <c r="W7009">
        <v>-6.5730910000000004E-2</v>
      </c>
      <c r="X7009">
        <v>0.91386750000000005</v>
      </c>
      <c r="Y7009">
        <v>-0.23553740000000001</v>
      </c>
      <c r="Z7009">
        <v>6.112969E-2</v>
      </c>
      <c r="AA7009">
        <v>0.96994089999999999</v>
      </c>
      <c r="AB7009">
        <v>14</v>
      </c>
      <c r="AC7009">
        <v>11.271599999999999</v>
      </c>
      <c r="AD7009">
        <v>-1.110305404894</v>
      </c>
      <c r="AE7009">
        <v>-5.75007</v>
      </c>
      <c r="AF7009">
        <v>-3.0061934567612698</v>
      </c>
      <c r="AG7009">
        <v>-1.110305404894</v>
      </c>
      <c r="AH7009">
        <v>12.191706276087601</v>
      </c>
      <c r="AI7009">
        <v>95.053075395821097</v>
      </c>
      <c r="AJ7009">
        <v>103.85150454570299</v>
      </c>
      <c r="AK7009">
        <v>12.605858920121401</v>
      </c>
      <c r="AL7009">
        <v>93.768820971177007</v>
      </c>
      <c r="AM7009">
        <v>113.673538588665</v>
      </c>
      <c r="AN7009">
        <v>0.99999999553896401</v>
      </c>
    </row>
    <row r="7010" spans="1:40" x14ac:dyDescent="0.25">
      <c r="A7010" t="str">
        <f>"20190305135103854"</f>
        <v>20190305135103854</v>
      </c>
      <c r="B7010" t="str">
        <f>"1551765063847025"</f>
        <v>1551765063847025</v>
      </c>
      <c r="C7010" t="s">
        <v>40</v>
      </c>
      <c r="D7010">
        <v>4.2235480000000001</v>
      </c>
      <c r="E7010">
        <v>0.56505000000000005</v>
      </c>
      <c r="F7010" t="s">
        <v>110</v>
      </c>
      <c r="G7010">
        <v>-279.56270000000001</v>
      </c>
      <c r="H7010" s="1">
        <v>-3.3924030000000002E-6</v>
      </c>
      <c r="I7010">
        <v>-61.137050000000002</v>
      </c>
      <c r="J7010">
        <v>-290.80860000000001</v>
      </c>
      <c r="K7010">
        <v>1.1103069999999999</v>
      </c>
      <c r="L7010">
        <v>-55.419339999999998</v>
      </c>
      <c r="M7010">
        <v>0.75738530000000004</v>
      </c>
      <c r="N7010">
        <v>-6.3785969999999997E-3</v>
      </c>
      <c r="O7010">
        <v>-0.65293730000000005</v>
      </c>
      <c r="P7010">
        <v>0.95344019999999996</v>
      </c>
      <c r="Q7010">
        <v>-7.0588830000000005E-2</v>
      </c>
      <c r="R7010">
        <v>-0.29320469999999998</v>
      </c>
      <c r="S7010">
        <v>2.7018430000000002</v>
      </c>
      <c r="T7010">
        <v>-0.26501799999999998</v>
      </c>
      <c r="U7010">
        <v>-1.3792719999999901</v>
      </c>
      <c r="V7010">
        <v>-0.40027839999999998</v>
      </c>
      <c r="W7010">
        <v>-6.5968680000000002E-2</v>
      </c>
      <c r="X7010">
        <v>0.9140161</v>
      </c>
      <c r="Y7010">
        <v>-0.23462859999999999</v>
      </c>
      <c r="Z7010">
        <v>6.117003E-2</v>
      </c>
      <c r="AA7010">
        <v>0.97015859999999998</v>
      </c>
      <c r="AB7010">
        <v>14</v>
      </c>
      <c r="AC7010">
        <v>11.245900000000001</v>
      </c>
      <c r="AD7010">
        <v>-1.110310392403</v>
      </c>
      <c r="AE7010">
        <v>-5.7177099999999896</v>
      </c>
      <c r="AF7010">
        <v>-2.98926562827705</v>
      </c>
      <c r="AG7010">
        <v>-1.110310392403</v>
      </c>
      <c r="AH7010">
        <v>12.1568721201762</v>
      </c>
      <c r="AI7010">
        <v>95.068304588615504</v>
      </c>
      <c r="AJ7010">
        <v>103.814451334615</v>
      </c>
      <c r="AK7010">
        <v>12.5681358168264</v>
      </c>
      <c r="AL7010">
        <v>93.782473624230093</v>
      </c>
      <c r="AM7010">
        <v>113.650228661752</v>
      </c>
      <c r="AN7010">
        <v>1.0000000476533499</v>
      </c>
    </row>
    <row r="7011" spans="1:40" x14ac:dyDescent="0.25">
      <c r="A7011" t="str">
        <f>"20190305135103869"</f>
        <v>20190305135103869</v>
      </c>
      <c r="B7011" t="str">
        <f>"1551765063856786"</f>
        <v>1551765063856786</v>
      </c>
      <c r="C7011" t="s">
        <v>40</v>
      </c>
      <c r="D7011">
        <v>4.1885579999999996</v>
      </c>
      <c r="E7011">
        <v>0.56520499999999996</v>
      </c>
      <c r="F7011" t="s">
        <v>110</v>
      </c>
      <c r="G7011">
        <v>-279.50299999999999</v>
      </c>
      <c r="H7011" s="1">
        <v>-3.3765880000000001E-6</v>
      </c>
      <c r="I7011">
        <v>-61.170929999999998</v>
      </c>
      <c r="J7011">
        <v>-290.73869999999999</v>
      </c>
      <c r="K7011">
        <v>1.110311</v>
      </c>
      <c r="L7011">
        <v>-55.47681</v>
      </c>
      <c r="M7011">
        <v>0.7586408</v>
      </c>
      <c r="N7011">
        <v>-6.2498220000000004E-3</v>
      </c>
      <c r="O7011">
        <v>-0.65147940000000004</v>
      </c>
      <c r="P7011">
        <v>0.95389849999999998</v>
      </c>
      <c r="Q7011">
        <v>-7.0717409999999994E-2</v>
      </c>
      <c r="R7011">
        <v>-0.29167969999999999</v>
      </c>
      <c r="S7011">
        <v>2.7037960000000001</v>
      </c>
      <c r="T7011">
        <v>-0.26553579999999999</v>
      </c>
      <c r="U7011">
        <v>-1.3755189999999999</v>
      </c>
      <c r="V7011">
        <v>-0.39996949999999998</v>
      </c>
      <c r="W7011">
        <v>-6.6245899999999996E-2</v>
      </c>
      <c r="X7011">
        <v>0.91413120000000003</v>
      </c>
      <c r="Y7011">
        <v>-0.23410220000000001</v>
      </c>
      <c r="Z7011">
        <v>6.1243939999999997E-2</v>
      </c>
      <c r="AA7011">
        <v>0.97028110000000001</v>
      </c>
      <c r="AB7011">
        <v>14</v>
      </c>
      <c r="AC7011">
        <v>11.2357</v>
      </c>
      <c r="AD7011">
        <v>-1.1103143765879999</v>
      </c>
      <c r="AE7011">
        <v>-5.6941199999999998</v>
      </c>
      <c r="AF7011">
        <v>-2.9769628283379701</v>
      </c>
      <c r="AG7011">
        <v>-1.1103143765879999</v>
      </c>
      <c r="AH7011">
        <v>12.139377848621001</v>
      </c>
      <c r="AI7011">
        <v>95.076359384242494</v>
      </c>
      <c r="AJ7011">
        <v>103.778835116189</v>
      </c>
      <c r="AK7011">
        <v>12.548290730125499</v>
      </c>
      <c r="AL7011">
        <v>93.798392217004604</v>
      </c>
      <c r="AM7011">
        <v>113.631329469311</v>
      </c>
      <c r="AN7011">
        <v>0.99999998550524904</v>
      </c>
    </row>
    <row r="7012" spans="1:40" x14ac:dyDescent="0.25">
      <c r="A7012" t="str">
        <f>"20190305135103882"</f>
        <v>20190305135103882</v>
      </c>
      <c r="B7012" t="str">
        <f>"1551765063876857"</f>
        <v>1551765063876857</v>
      </c>
      <c r="C7012" t="s">
        <v>40</v>
      </c>
      <c r="D7012">
        <v>4.2442149999999996</v>
      </c>
      <c r="E7012">
        <v>0.56537760000000004</v>
      </c>
      <c r="F7012" t="s">
        <v>110</v>
      </c>
      <c r="G7012">
        <v>-279.42020000000002</v>
      </c>
      <c r="H7012" s="1">
        <v>-3.3546730000000001E-6</v>
      </c>
      <c r="I7012">
        <v>-61.217649999999999</v>
      </c>
      <c r="J7012">
        <v>-290.67430000000002</v>
      </c>
      <c r="K7012">
        <v>1.1103099999999999</v>
      </c>
      <c r="L7012">
        <v>-55.529539999999997</v>
      </c>
      <c r="M7012">
        <v>0.75981390000000004</v>
      </c>
      <c r="N7012">
        <v>-6.1197760000000004E-3</v>
      </c>
      <c r="O7012">
        <v>-0.65011169999999996</v>
      </c>
      <c r="P7012">
        <v>0.95420020000000005</v>
      </c>
      <c r="Q7012">
        <v>-7.1592149999999993E-2</v>
      </c>
      <c r="R7012">
        <v>-0.29047659999999997</v>
      </c>
      <c r="S7012">
        <v>2.7056879999999999</v>
      </c>
      <c r="T7012">
        <v>-0.26541979999999998</v>
      </c>
      <c r="U7012">
        <v>-1.3723449999999999</v>
      </c>
      <c r="V7012">
        <v>-0.39942509999999998</v>
      </c>
      <c r="W7012">
        <v>-6.7263719999999999E-2</v>
      </c>
      <c r="X7012">
        <v>0.91429490000000002</v>
      </c>
      <c r="Y7012">
        <v>-0.23353309999999999</v>
      </c>
      <c r="Z7012">
        <v>6.1164419999999997E-2</v>
      </c>
      <c r="AA7012">
        <v>0.97042320000000004</v>
      </c>
      <c r="AB7012">
        <v>14</v>
      </c>
      <c r="AC7012">
        <v>11.2540999999999</v>
      </c>
      <c r="AD7012">
        <v>-1.110313354673</v>
      </c>
      <c r="AE7012">
        <v>-5.6881099999999902</v>
      </c>
      <c r="AF7012">
        <v>-2.97153512100168</v>
      </c>
      <c r="AG7012">
        <v>-1.110313354673</v>
      </c>
      <c r="AH7012">
        <v>12.1549220343838</v>
      </c>
      <c r="AI7012">
        <v>95.070782453028599</v>
      </c>
      <c r="AJ7012">
        <v>103.737744844593</v>
      </c>
      <c r="AK7012">
        <v>12.562043877604401</v>
      </c>
      <c r="AL7012">
        <v>93.856839359803701</v>
      </c>
      <c r="AM7012">
        <v>113.598920176345</v>
      </c>
      <c r="AN7012">
        <v>0.99999999135212903</v>
      </c>
    </row>
    <row r="7013" spans="1:40" x14ac:dyDescent="0.25">
      <c r="A7013" t="str">
        <f>"20190305135103897"</f>
        <v>20190305135103897</v>
      </c>
      <c r="B7013" t="str">
        <f>"1551765063886616"</f>
        <v>1551765063886616</v>
      </c>
      <c r="C7013" t="s">
        <v>40</v>
      </c>
      <c r="D7013">
        <v>4.2431000000000001</v>
      </c>
      <c r="E7013">
        <v>0.56547460000000005</v>
      </c>
      <c r="F7013" t="s">
        <v>110</v>
      </c>
      <c r="G7013">
        <v>-279.58109999999999</v>
      </c>
      <c r="H7013" s="1">
        <v>-3.3997939999999999E-6</v>
      </c>
      <c r="I7013">
        <v>-61.145679999999999</v>
      </c>
      <c r="J7013">
        <v>-290.60090000000002</v>
      </c>
      <c r="K7013">
        <v>1.110306</v>
      </c>
      <c r="L7013">
        <v>-55.589260000000003</v>
      </c>
      <c r="M7013">
        <v>0.76115269999999902</v>
      </c>
      <c r="N7013">
        <v>-5.9675529999999996E-3</v>
      </c>
      <c r="O7013">
        <v>-0.64854540000000005</v>
      </c>
      <c r="P7013">
        <v>0.95478589999999997</v>
      </c>
      <c r="Q7013">
        <v>-7.1282880000000007E-2</v>
      </c>
      <c r="R7013">
        <v>-0.28862209999999899</v>
      </c>
      <c r="S7013">
        <v>2.7065429999999999</v>
      </c>
      <c r="T7013">
        <v>-0.27089679999999999</v>
      </c>
      <c r="U7013">
        <v>-1.370239</v>
      </c>
      <c r="V7013">
        <v>-0.39932780000000001</v>
      </c>
      <c r="W7013">
        <v>-6.712224E-2</v>
      </c>
      <c r="X7013">
        <v>0.91434780000000004</v>
      </c>
      <c r="Y7013">
        <v>-0.23214509999999999</v>
      </c>
      <c r="Z7013">
        <v>6.2412349999999998E-2</v>
      </c>
      <c r="AA7013">
        <v>0.97067669999999995</v>
      </c>
      <c r="AB7013">
        <v>15</v>
      </c>
      <c r="AC7013">
        <v>11.0198</v>
      </c>
      <c r="AD7013">
        <v>-1.1103093997939999</v>
      </c>
      <c r="AE7013">
        <v>-5.5564200000000099</v>
      </c>
      <c r="AF7013">
        <v>-2.8941828474672602</v>
      </c>
      <c r="AG7013">
        <v>-1.1103093997939999</v>
      </c>
      <c r="AH7013">
        <v>11.895273914013901</v>
      </c>
      <c r="AI7013">
        <v>95.182236129756205</v>
      </c>
      <c r="AJ7013">
        <v>103.67466250235501</v>
      </c>
      <c r="AK7013">
        <v>12.292543382362499</v>
      </c>
      <c r="AL7013">
        <v>93.848714784330099</v>
      </c>
      <c r="AM7013">
        <v>113.59258384837899</v>
      </c>
      <c r="AN7013">
        <v>0.99999999316014798</v>
      </c>
    </row>
    <row r="7014" spans="1:40" x14ac:dyDescent="0.25">
      <c r="A7014" t="str">
        <f>"20190305135103914"</f>
        <v>20190305135103914</v>
      </c>
      <c r="B7014" t="str">
        <f>"1551765063907111"</f>
        <v>1551765063907111</v>
      </c>
      <c r="C7014" t="s">
        <v>40</v>
      </c>
      <c r="D7014">
        <v>4.2589350000000001</v>
      </c>
      <c r="E7014">
        <v>0.5657181</v>
      </c>
      <c r="F7014" t="s">
        <v>110</v>
      </c>
      <c r="G7014">
        <v>-279.48790000000002</v>
      </c>
      <c r="H7014" s="1">
        <v>-3.3742600000000002E-6</v>
      </c>
      <c r="I7014">
        <v>-61.191769999999998</v>
      </c>
      <c r="J7014">
        <v>-290.50560000000002</v>
      </c>
      <c r="K7014">
        <v>1.110298</v>
      </c>
      <c r="L7014">
        <v>-55.666530000000002</v>
      </c>
      <c r="M7014">
        <v>0.76290530000000001</v>
      </c>
      <c r="N7014">
        <v>-5.7635899999999999E-3</v>
      </c>
      <c r="O7014">
        <v>-0.64648459999999996</v>
      </c>
      <c r="P7014">
        <v>0.95572080000000004</v>
      </c>
      <c r="Q7014">
        <v>-7.1152209999999994E-2</v>
      </c>
      <c r="R7014">
        <v>-0.28554359999999901</v>
      </c>
      <c r="S7014">
        <v>2.709015</v>
      </c>
      <c r="T7014">
        <v>-0.27066000000000001</v>
      </c>
      <c r="U7014">
        <v>-1.365723</v>
      </c>
      <c r="V7014">
        <v>-0.39980130000000003</v>
      </c>
      <c r="W7014">
        <v>-6.7216460000000006E-2</v>
      </c>
      <c r="X7014">
        <v>0.91413390000000005</v>
      </c>
      <c r="Y7014">
        <v>-0.23116700000000001</v>
      </c>
      <c r="Z7014">
        <v>6.2276650000000003E-2</v>
      </c>
      <c r="AA7014">
        <v>0.97091879999999997</v>
      </c>
      <c r="AB7014">
        <v>15</v>
      </c>
      <c r="AC7014">
        <v>11.0176999999999</v>
      </c>
      <c r="AD7014">
        <v>-1.1103013742600001</v>
      </c>
      <c r="AE7014">
        <v>-5.5252399999999904</v>
      </c>
      <c r="AF7014">
        <v>-2.88418243391166</v>
      </c>
      <c r="AG7014">
        <v>-1.1103013742600001</v>
      </c>
      <c r="AH7014">
        <v>11.881230280207101</v>
      </c>
      <c r="AI7014">
        <v>95.188946988477198</v>
      </c>
      <c r="AJ7014">
        <v>103.644684829374</v>
      </c>
      <c r="AK7014">
        <v>12.2766001166886</v>
      </c>
      <c r="AL7014">
        <v>93.854125541858593</v>
      </c>
      <c r="AM7014">
        <v>113.622418290417</v>
      </c>
      <c r="AN7014">
        <v>0.99999995955291499</v>
      </c>
    </row>
    <row r="7015" spans="1:40" x14ac:dyDescent="0.25">
      <c r="A7015" t="str">
        <f>"20190305135103926"</f>
        <v>20190305135103926</v>
      </c>
      <c r="B7015" t="str">
        <f>"1551765063916871"</f>
        <v>1551765063916871</v>
      </c>
      <c r="C7015" t="s">
        <v>40</v>
      </c>
      <c r="D7015">
        <v>4.2296149999999999</v>
      </c>
      <c r="E7015">
        <v>0.56582710000000003</v>
      </c>
      <c r="F7015" t="s">
        <v>110</v>
      </c>
      <c r="G7015">
        <v>-279.43689999999998</v>
      </c>
      <c r="H7015" s="1">
        <v>-3.3595190000000001E-6</v>
      </c>
      <c r="I7015">
        <v>-61.211379999999998</v>
      </c>
      <c r="J7015">
        <v>-290.44139999999999</v>
      </c>
      <c r="K7015">
        <v>1.1102970000000001</v>
      </c>
      <c r="L7015">
        <v>-55.718229999999998</v>
      </c>
      <c r="M7015">
        <v>0.76408920000000002</v>
      </c>
      <c r="N7015">
        <v>-5.6256550000000002E-3</v>
      </c>
      <c r="O7015">
        <v>-0.64508619999999905</v>
      </c>
      <c r="P7015">
        <v>0.95640440000000004</v>
      </c>
      <c r="Q7015">
        <v>-7.0350739999999995E-2</v>
      </c>
      <c r="R7015">
        <v>-0.28344570000000002</v>
      </c>
      <c r="S7015">
        <v>2.7127379999999999</v>
      </c>
      <c r="T7015">
        <v>-0.27211610000000003</v>
      </c>
      <c r="U7015">
        <v>-1.358948</v>
      </c>
      <c r="V7015">
        <v>-0.40016889999999999</v>
      </c>
      <c r="W7015">
        <v>-6.6565509999999994E-2</v>
      </c>
      <c r="X7015">
        <v>0.91402070000000002</v>
      </c>
      <c r="Y7015">
        <v>-0.23182449999999999</v>
      </c>
      <c r="Z7015">
        <v>6.2618709999999994E-2</v>
      </c>
      <c r="AA7015">
        <v>0.97074009999999999</v>
      </c>
      <c r="AB7015">
        <v>15</v>
      </c>
      <c r="AC7015">
        <v>11.0045</v>
      </c>
      <c r="AD7015">
        <v>-1.110300359519</v>
      </c>
      <c r="AE7015">
        <v>-5.49315</v>
      </c>
      <c r="AF7015">
        <v>-2.8781851424868301</v>
      </c>
      <c r="AG7015">
        <v>-1.110300359519</v>
      </c>
      <c r="AH7015">
        <v>11.855549244013501</v>
      </c>
      <c r="AI7015">
        <v>95.200097120830094</v>
      </c>
      <c r="AJ7015">
        <v>103.64576559703799</v>
      </c>
      <c r="AK7015">
        <v>12.250337321070299</v>
      </c>
      <c r="AL7015">
        <v>93.816745060819599</v>
      </c>
      <c r="AM7015">
        <v>113.64436297107299</v>
      </c>
      <c r="AN7015">
        <v>0.99999997783862904</v>
      </c>
    </row>
    <row r="7016" spans="1:40" x14ac:dyDescent="0.25">
      <c r="A7016" t="str">
        <f>"20190305135103939"</f>
        <v>20190305135103939</v>
      </c>
      <c r="B7016" t="str">
        <f>"1551765063926631"</f>
        <v>1551765063926631</v>
      </c>
      <c r="C7016" t="s">
        <v>40</v>
      </c>
      <c r="D7016">
        <v>4.2096710000000002</v>
      </c>
      <c r="E7016">
        <v>0.56596740000000001</v>
      </c>
      <c r="F7016" t="s">
        <v>110</v>
      </c>
      <c r="G7016">
        <v>-279.30259999999998</v>
      </c>
      <c r="H7016" s="1">
        <v>-3.3218399999999999E-6</v>
      </c>
      <c r="I7016">
        <v>-61.271369999999997</v>
      </c>
      <c r="J7016">
        <v>-290.3836</v>
      </c>
      <c r="K7016">
        <v>1.1102939999999999</v>
      </c>
      <c r="L7016">
        <v>-55.764650000000003</v>
      </c>
      <c r="M7016">
        <v>0.76516099999999998</v>
      </c>
      <c r="N7016">
        <v>-5.5048290000000001E-3</v>
      </c>
      <c r="O7016">
        <v>-0.64381549999999999</v>
      </c>
      <c r="P7016">
        <v>0.95693139999999999</v>
      </c>
      <c r="Q7016">
        <v>-6.9955349999999999E-2</v>
      </c>
      <c r="R7016">
        <v>-0.28176060000000003</v>
      </c>
      <c r="S7016">
        <v>2.7156370000000001</v>
      </c>
      <c r="T7016">
        <v>-0.27069070000000001</v>
      </c>
      <c r="U7016">
        <v>-1.3538509999999999</v>
      </c>
      <c r="V7016">
        <v>-0.40027570000000001</v>
      </c>
      <c r="W7016">
        <v>-6.6300109999999995E-2</v>
      </c>
      <c r="X7016">
        <v>0.91399319999999895</v>
      </c>
      <c r="Y7016">
        <v>-0.23210919999999999</v>
      </c>
      <c r="Z7016">
        <v>6.2253009999999998E-2</v>
      </c>
      <c r="AA7016">
        <v>0.97069559999999999</v>
      </c>
      <c r="AB7016">
        <v>15</v>
      </c>
      <c r="AC7016">
        <v>11.081</v>
      </c>
      <c r="AD7016">
        <v>-1.1102973218400001</v>
      </c>
      <c r="AE7016">
        <v>-5.5067199999999898</v>
      </c>
      <c r="AF7016">
        <v>-2.8973091381370701</v>
      </c>
      <c r="AG7016">
        <v>-1.1102973218400001</v>
      </c>
      <c r="AH7016">
        <v>11.9282046117386</v>
      </c>
      <c r="AI7016">
        <v>95.168434260156104</v>
      </c>
      <c r="AJ7016">
        <v>103.652503103859</v>
      </c>
      <c r="AK7016">
        <v>12.325146069897899</v>
      </c>
      <c r="AL7016">
        <v>93.801505180441296</v>
      </c>
      <c r="AM7016">
        <v>113.65061414538</v>
      </c>
      <c r="AN7016">
        <v>0.99999995512136997</v>
      </c>
    </row>
    <row r="7017" spans="1:40" x14ac:dyDescent="0.25">
      <c r="A7017" t="str">
        <f>"20190305135103952"</f>
        <v>20190305135103952</v>
      </c>
      <c r="B7017" t="str">
        <f>"1551765063947128"</f>
        <v>1551765063947128</v>
      </c>
      <c r="C7017" t="s">
        <v>40</v>
      </c>
      <c r="D7017">
        <v>4.2783049999999996</v>
      </c>
      <c r="E7017">
        <v>0.56573689999999999</v>
      </c>
      <c r="F7017" t="s">
        <v>110</v>
      </c>
      <c r="G7017">
        <v>-279.15159999999997</v>
      </c>
      <c r="H7017" s="1">
        <v>-3.2801269999999998E-6</v>
      </c>
      <c r="I7017">
        <v>-61.343910000000001</v>
      </c>
      <c r="J7017">
        <v>-290.31580000000002</v>
      </c>
      <c r="K7017">
        <v>1.1102959999999999</v>
      </c>
      <c r="L7017">
        <v>-55.818910000000002</v>
      </c>
      <c r="M7017">
        <v>0.7664164</v>
      </c>
      <c r="N7017">
        <v>-5.3657940000000001E-3</v>
      </c>
      <c r="O7017">
        <v>-0.64232210000000001</v>
      </c>
      <c r="P7017">
        <v>0.95753779999999999</v>
      </c>
      <c r="Q7017">
        <v>-6.9464499999999998E-2</v>
      </c>
      <c r="R7017">
        <v>-0.27981509999999998</v>
      </c>
      <c r="S7017">
        <v>2.7178650000000002</v>
      </c>
      <c r="T7017">
        <v>-0.26866289999999998</v>
      </c>
      <c r="U7017">
        <v>-1.3500369999999999</v>
      </c>
      <c r="V7017">
        <v>-0.40037060000000002</v>
      </c>
      <c r="W7017">
        <v>-6.5958539999999996E-2</v>
      </c>
      <c r="X7017">
        <v>0.91397640000000002</v>
      </c>
      <c r="Y7017">
        <v>-0.23166439999999999</v>
      </c>
      <c r="Z7017">
        <v>6.1710319999999999E-2</v>
      </c>
      <c r="AA7017">
        <v>0.97083649999999999</v>
      </c>
      <c r="AB7017">
        <v>15</v>
      </c>
      <c r="AC7017">
        <v>11.164199999999999</v>
      </c>
      <c r="AD7017">
        <v>-1.110299280127</v>
      </c>
      <c r="AE7017">
        <v>-5.5250000000000004</v>
      </c>
      <c r="AF7017">
        <v>-2.9134562079073199</v>
      </c>
      <c r="AG7017">
        <v>-1.110299280127</v>
      </c>
      <c r="AH7017">
        <v>12.01000852724</v>
      </c>
      <c r="AI7017">
        <v>95.133791001050795</v>
      </c>
      <c r="AJ7017">
        <v>103.635731354594</v>
      </c>
      <c r="AK7017">
        <v>12.408114135162601</v>
      </c>
      <c r="AL7017">
        <v>93.781891545866003</v>
      </c>
      <c r="AM7017">
        <v>113.655992678312</v>
      </c>
      <c r="AN7017">
        <v>1.0000000030501199</v>
      </c>
    </row>
    <row r="7018" spans="1:40" x14ac:dyDescent="0.25">
      <c r="A7018" t="str">
        <f>"20190305135103963"</f>
        <v>20190305135103963</v>
      </c>
      <c r="B7018" t="str">
        <f>"1551765063956888"</f>
        <v>1551765063956888</v>
      </c>
      <c r="C7018" t="s">
        <v>40</v>
      </c>
      <c r="D7018">
        <v>4.1951400000000003</v>
      </c>
      <c r="E7018">
        <v>0.56573689999999999</v>
      </c>
      <c r="F7018" t="s">
        <v>110</v>
      </c>
      <c r="G7018">
        <v>-278.72219999999999</v>
      </c>
      <c r="H7018" s="1">
        <v>-3.1528900000000001E-6</v>
      </c>
      <c r="I7018">
        <v>-61.538649999999997</v>
      </c>
      <c r="J7018">
        <v>-290.24770000000001</v>
      </c>
      <c r="K7018">
        <v>1.1103000000000001</v>
      </c>
      <c r="L7018">
        <v>-55.873109999999997</v>
      </c>
      <c r="M7018">
        <v>0.76768210000000003</v>
      </c>
      <c r="N7018">
        <v>-5.2348759999999899E-3</v>
      </c>
      <c r="O7018">
        <v>-0.64080969999999904</v>
      </c>
      <c r="P7018">
        <v>0.95815380000000006</v>
      </c>
      <c r="Q7018">
        <v>-6.9506209999999999E-2</v>
      </c>
      <c r="R7018">
        <v>-0.27768769999999998</v>
      </c>
      <c r="S7018">
        <v>2.7217410000000002</v>
      </c>
      <c r="T7018">
        <v>-0.26065500000000003</v>
      </c>
      <c r="U7018">
        <v>-1.342773</v>
      </c>
      <c r="V7018">
        <v>-0.4005919</v>
      </c>
      <c r="W7018">
        <v>-6.6143110000000005E-2</v>
      </c>
      <c r="X7018">
        <v>0.91386610000000001</v>
      </c>
      <c r="Y7018">
        <v>-0.2325372</v>
      </c>
      <c r="Z7018">
        <v>5.9782660000000001E-2</v>
      </c>
      <c r="AA7018">
        <v>0.97074839999999996</v>
      </c>
      <c r="AB7018">
        <v>15</v>
      </c>
      <c r="AC7018">
        <v>11.525499999999999</v>
      </c>
      <c r="AD7018">
        <v>-1.11030315288999</v>
      </c>
      <c r="AE7018">
        <v>-5.66554</v>
      </c>
      <c r="AF7018">
        <v>-3.0138335106607399</v>
      </c>
      <c r="AG7018">
        <v>-1.11030315288999</v>
      </c>
      <c r="AH7018">
        <v>12.386045553665101</v>
      </c>
      <c r="AI7018">
        <v>94.977903291150497</v>
      </c>
      <c r="AJ7018">
        <v>103.675725219914</v>
      </c>
      <c r="AK7018">
        <v>12.7957059195172</v>
      </c>
      <c r="AL7018">
        <v>93.792489726115207</v>
      </c>
      <c r="AM7018">
        <v>113.670173592392</v>
      </c>
      <c r="AN7018">
        <v>1.00000001503764</v>
      </c>
    </row>
    <row r="7019" spans="1:40" x14ac:dyDescent="0.25">
      <c r="A7019" t="str">
        <f>"20190305135103976"</f>
        <v>20190305135103976</v>
      </c>
      <c r="B7019" t="str">
        <f>"1551765063966648"</f>
        <v>1551765063966648</v>
      </c>
      <c r="C7019" t="s">
        <v>40</v>
      </c>
      <c r="D7019">
        <v>4.1162429999999999</v>
      </c>
      <c r="E7019">
        <v>0.50530989999999998</v>
      </c>
      <c r="F7019" t="s">
        <v>110</v>
      </c>
      <c r="G7019">
        <v>-278.66160000000002</v>
      </c>
      <c r="H7019" s="1">
        <v>-3.1309759999999999E-6</v>
      </c>
      <c r="I7019">
        <v>-61.556930000000001</v>
      </c>
      <c r="J7019">
        <v>-290.18150000000003</v>
      </c>
      <c r="K7019">
        <v>1.1103080000000001</v>
      </c>
      <c r="L7019">
        <v>-55.925569999999901</v>
      </c>
      <c r="M7019">
        <v>0.76891169999999998</v>
      </c>
      <c r="N7019">
        <v>-5.114838E-3</v>
      </c>
      <c r="O7019">
        <v>-0.63933479999999998</v>
      </c>
      <c r="P7019">
        <v>0.9587677</v>
      </c>
      <c r="Q7019">
        <v>-6.9685819999999996E-2</v>
      </c>
      <c r="R7019">
        <v>-0.275514799999999</v>
      </c>
      <c r="S7019">
        <v>2.724701</v>
      </c>
      <c r="T7019">
        <v>-0.26111129999999999</v>
      </c>
      <c r="U7019">
        <v>-1.33667</v>
      </c>
      <c r="V7019">
        <v>-0.40089599999999997</v>
      </c>
      <c r="W7019">
        <v>-6.6455349999999996E-2</v>
      </c>
      <c r="X7019">
        <v>0.91371009999999997</v>
      </c>
      <c r="Y7019">
        <v>-0.23282949999999999</v>
      </c>
      <c r="Z7019">
        <v>5.9863489999999998E-2</v>
      </c>
      <c r="AA7019">
        <v>0.97067340000000002</v>
      </c>
      <c r="AB7019">
        <v>15</v>
      </c>
      <c r="AC7019">
        <v>11.5199</v>
      </c>
      <c r="AD7019">
        <v>-1.1103111309759901</v>
      </c>
      <c r="AE7019">
        <v>-5.6313599999999999</v>
      </c>
      <c r="AF7019">
        <v>-3.0125063675908601</v>
      </c>
      <c r="AG7019">
        <v>-1.1103111309759901</v>
      </c>
      <c r="AH7019">
        <v>12.3655566090045</v>
      </c>
      <c r="AI7019">
        <v>94.985808125853197</v>
      </c>
      <c r="AJ7019">
        <v>103.691727475127</v>
      </c>
      <c r="AK7019">
        <v>12.775561657823101</v>
      </c>
      <c r="AL7019">
        <v>93.810419145614702</v>
      </c>
      <c r="AM7019">
        <v>113.689763126909</v>
      </c>
      <c r="AN7019">
        <v>1.00000003160081</v>
      </c>
    </row>
    <row r="7020" spans="1:40" x14ac:dyDescent="0.25">
      <c r="A7020" t="str">
        <f>"20190305135103989"</f>
        <v>20190305135103989</v>
      </c>
      <c r="B7020" t="str">
        <f>"1551765063977384"</f>
        <v>1551765063977384</v>
      </c>
      <c r="C7020" t="s">
        <v>40</v>
      </c>
      <c r="D7020">
        <v>4.1671779999999998</v>
      </c>
      <c r="E7020">
        <v>0.50052629999999998</v>
      </c>
      <c r="F7020" t="s">
        <v>110</v>
      </c>
      <c r="G7020">
        <v>-273.6703</v>
      </c>
      <c r="H7020" s="1">
        <v>-8.4863069999999904E-7</v>
      </c>
      <c r="I7020">
        <v>-60.922379999999997</v>
      </c>
      <c r="J7020">
        <v>-290.11489999999998</v>
      </c>
      <c r="K7020">
        <v>1.1103149999999999</v>
      </c>
      <c r="L7020">
        <v>-55.978180000000002</v>
      </c>
      <c r="M7020">
        <v>0.77014879999999997</v>
      </c>
      <c r="N7020">
        <v>-4.999234E-3</v>
      </c>
      <c r="O7020">
        <v>-0.63784479999999999</v>
      </c>
      <c r="P7020">
        <v>0.95934989999999998</v>
      </c>
      <c r="Q7020">
        <v>-6.9967669999999996E-2</v>
      </c>
      <c r="R7020">
        <v>-0.27340920000000002</v>
      </c>
      <c r="S7020">
        <v>2.8657840000000001</v>
      </c>
      <c r="T7020">
        <v>-0.1927123</v>
      </c>
      <c r="U7020">
        <v>-0.86727909999999997</v>
      </c>
      <c r="V7020">
        <v>-0.40111419999999998</v>
      </c>
      <c r="W7020">
        <v>-6.6865320000000006E-2</v>
      </c>
      <c r="X7020">
        <v>0.91358439999999996</v>
      </c>
      <c r="Y7020">
        <v>-0.3857004</v>
      </c>
      <c r="Z7020">
        <v>4.8521719999999997E-2</v>
      </c>
      <c r="AA7020">
        <v>0.92134729999999998</v>
      </c>
      <c r="AB7020">
        <v>15</v>
      </c>
      <c r="AC7020">
        <v>16.444599999999902</v>
      </c>
      <c r="AD7020">
        <v>-1.1103158486307001</v>
      </c>
      <c r="AE7020">
        <v>-4.9442000000000004</v>
      </c>
      <c r="AF7020">
        <v>-6.6535983109713097</v>
      </c>
      <c r="AG7020">
        <v>-1.1103158486307001</v>
      </c>
      <c r="AH7020">
        <v>15.752758056947799</v>
      </c>
      <c r="AI7020">
        <v>93.714981189650601</v>
      </c>
      <c r="AJ7020">
        <v>112.898064097841</v>
      </c>
      <c r="AK7020">
        <v>17.1362935948301</v>
      </c>
      <c r="AL7020">
        <v>93.833961126271404</v>
      </c>
      <c r="AM7020">
        <v>113.704137433556</v>
      </c>
      <c r="AN7020">
        <v>1.0000000141918499</v>
      </c>
    </row>
    <row r="7021" spans="1:40" x14ac:dyDescent="0.25">
      <c r="A7021" t="str">
        <f>"20190305135104001"</f>
        <v>20190305135104001</v>
      </c>
      <c r="B7021" t="str">
        <f>"1551765063996904"</f>
        <v>1551765063996904</v>
      </c>
      <c r="C7021" t="s">
        <v>40</v>
      </c>
      <c r="D7021">
        <v>4.1455010000000003</v>
      </c>
      <c r="E7021">
        <v>0.50004479999999996</v>
      </c>
      <c r="F7021" t="s">
        <v>110</v>
      </c>
      <c r="G7021">
        <v>-271.2063</v>
      </c>
      <c r="H7021" s="1">
        <v>1.043873E-7</v>
      </c>
      <c r="I7021">
        <v>-61.390189999999997</v>
      </c>
      <c r="J7021">
        <v>-290.05099999999999</v>
      </c>
      <c r="K7021">
        <v>1.1103209999999999</v>
      </c>
      <c r="L7021">
        <v>-56.028410000000001</v>
      </c>
      <c r="M7021">
        <v>0.77134169999999902</v>
      </c>
      <c r="N7021">
        <v>-4.8988909999999998E-3</v>
      </c>
      <c r="O7021">
        <v>-0.63640269999999899</v>
      </c>
      <c r="P7021">
        <v>0.95997600000000005</v>
      </c>
      <c r="Q7021">
        <v>-6.9962769999999994E-2</v>
      </c>
      <c r="R7021">
        <v>-0.271204</v>
      </c>
      <c r="S7021">
        <v>2.879883</v>
      </c>
      <c r="T7021">
        <v>-0.16910700000000001</v>
      </c>
      <c r="U7021">
        <v>-0.82427980000000001</v>
      </c>
      <c r="V7021">
        <v>-0.40150019999999997</v>
      </c>
      <c r="W7021">
        <v>-6.6975590000000002E-2</v>
      </c>
      <c r="X7021">
        <v>0.91340670000000002</v>
      </c>
      <c r="Y7021">
        <v>-0.3982501</v>
      </c>
      <c r="Z7021">
        <v>4.2599419999999999E-2</v>
      </c>
      <c r="AA7021">
        <v>0.91628719999999997</v>
      </c>
      <c r="AB7021">
        <v>15</v>
      </c>
      <c r="AC7021">
        <v>18.8446999999999</v>
      </c>
      <c r="AD7021">
        <v>-1.1103208956127</v>
      </c>
      <c r="AE7021">
        <v>-5.3617800000000004</v>
      </c>
      <c r="AF7021">
        <v>-7.8319934769936896</v>
      </c>
      <c r="AG7021">
        <v>-1.1103208956127</v>
      </c>
      <c r="AH7021">
        <v>17.8907094051233</v>
      </c>
      <c r="AI7021">
        <v>93.253894931590494</v>
      </c>
      <c r="AJ7021">
        <v>113.642300837356</v>
      </c>
      <c r="AK7021">
        <v>19.561452331906999</v>
      </c>
      <c r="AL7021">
        <v>93.840293496829702</v>
      </c>
      <c r="AM7021">
        <v>113.728535615189</v>
      </c>
      <c r="AN7021">
        <v>0.99999996993038798</v>
      </c>
    </row>
    <row r="7022" spans="1:40" x14ac:dyDescent="0.25">
      <c r="A7022" t="str">
        <f>"20190305135104013"</f>
        <v>20190305135104013</v>
      </c>
      <c r="B7022" t="str">
        <f>"1551765064006664"</f>
        <v>1551765064006664</v>
      </c>
      <c r="C7022" t="s">
        <v>40</v>
      </c>
      <c r="D7022">
        <v>4.1167569999999998</v>
      </c>
      <c r="E7022">
        <v>0.49966309999999903</v>
      </c>
      <c r="F7022" t="s">
        <v>42</v>
      </c>
      <c r="G7022">
        <v>-269.37110000000001</v>
      </c>
      <c r="H7022" s="1">
        <v>-3.3402889999999999E-6</v>
      </c>
      <c r="I7022">
        <v>-61.865229999999997</v>
      </c>
      <c r="J7022">
        <v>-289.98439999999999</v>
      </c>
      <c r="K7022">
        <v>1.110339</v>
      </c>
      <c r="L7022">
        <v>-56.080570000000002</v>
      </c>
      <c r="M7022">
        <v>0.77258549999999904</v>
      </c>
      <c r="N7022">
        <v>-4.7973269999999997E-3</v>
      </c>
      <c r="O7022">
        <v>-0.63489280000000003</v>
      </c>
      <c r="P7022">
        <v>0.96064210000000005</v>
      </c>
      <c r="Q7022">
        <v>-6.9813849999999997E-2</v>
      </c>
      <c r="R7022">
        <v>-0.26887359999999999</v>
      </c>
      <c r="S7022">
        <v>2.8838499999999998</v>
      </c>
      <c r="T7022">
        <v>-0.1548368</v>
      </c>
      <c r="U7022">
        <v>-0.81396480000000004</v>
      </c>
      <c r="V7022">
        <v>-0.40193259999999997</v>
      </c>
      <c r="W7022">
        <v>-6.6944909999999996E-2</v>
      </c>
      <c r="X7022">
        <v>0.9132188</v>
      </c>
      <c r="Y7022">
        <v>-0.40004440000000002</v>
      </c>
      <c r="Z7022">
        <v>3.883702E-2</v>
      </c>
      <c r="AA7022">
        <v>0.9156725</v>
      </c>
      <c r="AB7022">
        <v>15</v>
      </c>
      <c r="AC7022">
        <v>20.613299999999899</v>
      </c>
      <c r="AD7022">
        <v>-1.110342340289</v>
      </c>
      <c r="AE7022">
        <v>-5.7846599999999997</v>
      </c>
      <c r="AF7022">
        <v>-8.5950716564453806</v>
      </c>
      <c r="AG7022">
        <v>-1.110342340289</v>
      </c>
      <c r="AH7022">
        <v>19.545827267340499</v>
      </c>
      <c r="AI7022">
        <v>92.976780185524404</v>
      </c>
      <c r="AJ7022">
        <v>113.736987037419</v>
      </c>
      <c r="AK7022">
        <v>21.3810074705749</v>
      </c>
      <c r="AL7022">
        <v>93.838531568381995</v>
      </c>
      <c r="AM7022">
        <v>113.75560887877501</v>
      </c>
      <c r="AN7022">
        <v>1.0000000062955501</v>
      </c>
    </row>
    <row r="7023" spans="1:40" x14ac:dyDescent="0.25">
      <c r="A7023" t="str">
        <f>"20190305135104026"</f>
        <v>20190305135104026</v>
      </c>
      <c r="B7023" t="str">
        <f>"1551765064017399"</f>
        <v>1551765064017399</v>
      </c>
      <c r="C7023" t="s">
        <v>40</v>
      </c>
      <c r="D7023">
        <v>4.0958500000000004</v>
      </c>
      <c r="E7023">
        <v>0.49951879999999999</v>
      </c>
      <c r="F7023" t="s">
        <v>42</v>
      </c>
      <c r="G7023">
        <v>-268.33370000000002</v>
      </c>
      <c r="H7023" s="1">
        <v>-3.0306580000000002E-6</v>
      </c>
      <c r="I7023">
        <v>-62.109870000000001</v>
      </c>
      <c r="J7023">
        <v>-289.91140000000001</v>
      </c>
      <c r="K7023">
        <v>1.1103609999999999</v>
      </c>
      <c r="L7023">
        <v>-56.137509999999999</v>
      </c>
      <c r="M7023">
        <v>0.77395449999999999</v>
      </c>
      <c r="N7023">
        <v>-4.6925320000000001E-3</v>
      </c>
      <c r="O7023">
        <v>-0.63322389999999995</v>
      </c>
      <c r="P7023">
        <v>0.96148040000000001</v>
      </c>
      <c r="Q7023">
        <v>-6.8237010000000001E-2</v>
      </c>
      <c r="R7023">
        <v>-0.26626909999999998</v>
      </c>
      <c r="S7023">
        <v>2.8871150000000001</v>
      </c>
      <c r="T7023">
        <v>-0.1480639</v>
      </c>
      <c r="U7023">
        <v>-0.80401610000000001</v>
      </c>
      <c r="V7023">
        <v>-0.40250910000000001</v>
      </c>
      <c r="W7023">
        <v>-6.5493969999999999E-2</v>
      </c>
      <c r="X7023">
        <v>0.9130701</v>
      </c>
      <c r="Y7023">
        <v>-0.40136060000000001</v>
      </c>
      <c r="Z7023">
        <v>3.7057310000000003E-2</v>
      </c>
      <c r="AA7023">
        <v>0.91517020000000004</v>
      </c>
      <c r="AB7023">
        <v>16</v>
      </c>
      <c r="AC7023">
        <v>21.5777</v>
      </c>
      <c r="AD7023">
        <v>-1.110364030658</v>
      </c>
      <c r="AE7023">
        <v>-5.9723599999999903</v>
      </c>
      <c r="AF7023">
        <v>-9.0190963030595199</v>
      </c>
      <c r="AG7023">
        <v>-1.110364030658</v>
      </c>
      <c r="AH7023">
        <v>20.431969414871499</v>
      </c>
      <c r="AI7023">
        <v>92.846185739148197</v>
      </c>
      <c r="AJ7023">
        <v>113.817660748181</v>
      </c>
      <c r="AK7023">
        <v>22.361627413376802</v>
      </c>
      <c r="AL7023">
        <v>93.755215894825895</v>
      </c>
      <c r="AM7023">
        <v>113.789345798658</v>
      </c>
      <c r="AN7023">
        <v>1.0000000216015901</v>
      </c>
    </row>
    <row r="7024" spans="1:40" x14ac:dyDescent="0.25">
      <c r="A7024" t="str">
        <f>"20190305135104039"</f>
        <v>20190305135104039</v>
      </c>
      <c r="B7024" t="str">
        <f>"1551765064036920"</f>
        <v>1551765064036920</v>
      </c>
      <c r="C7024" t="s">
        <v>40</v>
      </c>
      <c r="D7024">
        <v>4.100428</v>
      </c>
      <c r="E7024">
        <v>0.49954359999999998</v>
      </c>
      <c r="F7024" t="s">
        <v>42</v>
      </c>
      <c r="G7024">
        <v>-267.14330000000001</v>
      </c>
      <c r="H7024" s="1">
        <v>-2.6063439999999999E-6</v>
      </c>
      <c r="I7024">
        <v>-62.400469999999999</v>
      </c>
      <c r="J7024">
        <v>-289.84309999999999</v>
      </c>
      <c r="K7024">
        <v>1.110387</v>
      </c>
      <c r="L7024">
        <v>-56.190429999999999</v>
      </c>
      <c r="M7024">
        <v>0.77524130000000002</v>
      </c>
      <c r="N7024">
        <v>-4.600631E-3</v>
      </c>
      <c r="O7024">
        <v>-0.63164849999999995</v>
      </c>
      <c r="P7024">
        <v>0.96211619999999998</v>
      </c>
      <c r="Q7024">
        <v>-6.7508960000000007E-2</v>
      </c>
      <c r="R7024">
        <v>-0.26414989999999999</v>
      </c>
      <c r="S7024">
        <v>2.890015</v>
      </c>
      <c r="T7024">
        <v>-0.1409415</v>
      </c>
      <c r="U7024">
        <v>-0.79498290000000005</v>
      </c>
      <c r="V7024">
        <v>-0.40269389999999999</v>
      </c>
      <c r="W7024">
        <v>-6.4877820000000003E-2</v>
      </c>
      <c r="X7024">
        <v>0.91303259999999997</v>
      </c>
      <c r="Y7024">
        <v>-0.40249079999999998</v>
      </c>
      <c r="Z7024">
        <v>3.518226E-2</v>
      </c>
      <c r="AA7024">
        <v>0.91474770000000005</v>
      </c>
      <c r="AB7024">
        <v>16</v>
      </c>
      <c r="AC7024">
        <v>22.6997999999999</v>
      </c>
      <c r="AD7024">
        <v>-1.110389606344</v>
      </c>
      <c r="AE7024">
        <v>-6.2100399999999896</v>
      </c>
      <c r="AF7024">
        <v>-9.5029602235616792</v>
      </c>
      <c r="AG7024">
        <v>-1.110389606344</v>
      </c>
      <c r="AH7024">
        <v>21.4728094049878</v>
      </c>
      <c r="AI7024">
        <v>92.707360249452407</v>
      </c>
      <c r="AJ7024">
        <v>113.872161513611</v>
      </c>
      <c r="AK7024">
        <v>23.507887226022799</v>
      </c>
      <c r="AL7024">
        <v>93.719837867280305</v>
      </c>
      <c r="AM7024">
        <v>113.799923397036</v>
      </c>
      <c r="AN7024">
        <v>1.0000000186439599</v>
      </c>
    </row>
    <row r="7025" spans="1:40" x14ac:dyDescent="0.25">
      <c r="A7025" t="str">
        <f>"20190305135104052"</f>
        <v>20190305135104052</v>
      </c>
      <c r="B7025" t="str">
        <f>"1551765064046680"</f>
        <v>1551765064046680</v>
      </c>
      <c r="C7025" t="s">
        <v>40</v>
      </c>
      <c r="D7025">
        <v>4.0922999999999998</v>
      </c>
      <c r="E7025">
        <v>0.49960769999999999</v>
      </c>
      <c r="F7025" t="s">
        <v>42</v>
      </c>
      <c r="G7025">
        <v>-265.97210000000001</v>
      </c>
      <c r="H7025" s="1">
        <v>-2.1839049999999999E-6</v>
      </c>
      <c r="I7025">
        <v>-62.701189999999997</v>
      </c>
      <c r="J7025">
        <v>-289.76900000000001</v>
      </c>
      <c r="K7025">
        <v>1.110411</v>
      </c>
      <c r="L7025">
        <v>-56.24765</v>
      </c>
      <c r="M7025">
        <v>0.77663959999999999</v>
      </c>
      <c r="N7025">
        <v>-4.504175E-3</v>
      </c>
      <c r="O7025">
        <v>-0.62992919999999997</v>
      </c>
      <c r="P7025">
        <v>0.96270489999999997</v>
      </c>
      <c r="Q7025">
        <v>-6.6799629999999999E-2</v>
      </c>
      <c r="R7025">
        <v>-0.26217829999999998</v>
      </c>
      <c r="S7025">
        <v>2.89209</v>
      </c>
      <c r="T7025">
        <v>-0.13452910000000001</v>
      </c>
      <c r="U7025">
        <v>-0.78881840000000003</v>
      </c>
      <c r="V7025">
        <v>-0.40256999999999998</v>
      </c>
      <c r="W7025">
        <v>-6.4286170000000004E-2</v>
      </c>
      <c r="X7025">
        <v>0.91312910000000003</v>
      </c>
      <c r="Y7025">
        <v>-0.40252959999999999</v>
      </c>
      <c r="Z7025">
        <v>3.3472229999999999E-2</v>
      </c>
      <c r="AA7025">
        <v>0.91479480000000002</v>
      </c>
      <c r="AB7025">
        <v>16</v>
      </c>
      <c r="AC7025">
        <v>23.796899999999901</v>
      </c>
      <c r="AD7025">
        <v>-1.110413183905</v>
      </c>
      <c r="AE7025">
        <v>-6.4535400000000003</v>
      </c>
      <c r="AF7025">
        <v>-9.9581908358998596</v>
      </c>
      <c r="AG7025">
        <v>-1.110413183905</v>
      </c>
      <c r="AH7025">
        <v>22.501477966418999</v>
      </c>
      <c r="AI7025">
        <v>92.583818800374303</v>
      </c>
      <c r="AJ7025">
        <v>113.872130153916</v>
      </c>
      <c r="AK7025">
        <v>24.631587298353899</v>
      </c>
      <c r="AL7025">
        <v>93.685867843863903</v>
      </c>
      <c r="AM7025">
        <v>113.791178842725</v>
      </c>
      <c r="AN7025">
        <v>1.00000003491003</v>
      </c>
    </row>
    <row r="7026" spans="1:40" x14ac:dyDescent="0.25">
      <c r="A7026" t="str">
        <f>"20190305135104065"</f>
        <v>20190305135104065</v>
      </c>
      <c r="B7026" t="str">
        <f>"1551765064057416"</f>
        <v>1551765064057416</v>
      </c>
      <c r="C7026" t="s">
        <v>40</v>
      </c>
      <c r="D7026">
        <v>4.0931119999999996</v>
      </c>
      <c r="E7026">
        <v>0.49979249999999997</v>
      </c>
      <c r="F7026" t="s">
        <v>111</v>
      </c>
      <c r="G7026">
        <v>-265.05099999999999</v>
      </c>
      <c r="H7026" s="1">
        <v>-1.851947E-6</v>
      </c>
      <c r="I7026">
        <v>-62.938639999999999</v>
      </c>
      <c r="J7026">
        <v>-289.69729999999998</v>
      </c>
      <c r="K7026">
        <v>1.110436</v>
      </c>
      <c r="L7026">
        <v>-56.302700000000002</v>
      </c>
      <c r="M7026">
        <v>0.7780011</v>
      </c>
      <c r="N7026">
        <v>-4.4153539999999998E-3</v>
      </c>
      <c r="O7026">
        <v>-0.62824760000000002</v>
      </c>
      <c r="P7026">
        <v>0.96323740000000002</v>
      </c>
      <c r="Q7026">
        <v>-6.6346089999999996E-2</v>
      </c>
      <c r="R7026">
        <v>-0.26033079999999997</v>
      </c>
      <c r="S7026">
        <v>2.8938600000000001</v>
      </c>
      <c r="T7026">
        <v>-0.13000149999999999</v>
      </c>
      <c r="U7026">
        <v>-0.78335569999999999</v>
      </c>
      <c r="V7026">
        <v>-0.40236250000000001</v>
      </c>
      <c r="W7026">
        <v>-6.3944260000000003E-2</v>
      </c>
      <c r="X7026">
        <v>0.91324450000000001</v>
      </c>
      <c r="Y7026">
        <v>-0.40235749999999998</v>
      </c>
      <c r="Z7026">
        <v>3.2259120000000002E-2</v>
      </c>
      <c r="AA7026">
        <v>0.91491409999999995</v>
      </c>
      <c r="AB7026">
        <v>16</v>
      </c>
      <c r="AC7026">
        <v>24.6463</v>
      </c>
      <c r="AD7026">
        <v>-1.110437851947</v>
      </c>
      <c r="AE7026">
        <v>-6.63593999999999</v>
      </c>
      <c r="AF7026">
        <v>-10.3018108870218</v>
      </c>
      <c r="AG7026">
        <v>-1.110437851947</v>
      </c>
      <c r="AH7026">
        <v>23.299985738001599</v>
      </c>
      <c r="AI7026">
        <v>92.495825164008806</v>
      </c>
      <c r="AJ7026">
        <v>113.85204658575201</v>
      </c>
      <c r="AK7026">
        <v>25.499994415020499</v>
      </c>
      <c r="AL7026">
        <v>93.6662376445353</v>
      </c>
      <c r="AM7026">
        <v>113.77760520155999</v>
      </c>
      <c r="AN7026">
        <v>0.99999998328672302</v>
      </c>
    </row>
    <row r="7027" spans="1:40" x14ac:dyDescent="0.25">
      <c r="A7027" t="str">
        <f>"20190305135104082"</f>
        <v>20190305135104082</v>
      </c>
      <c r="B7027" t="str">
        <f>"1551765064076936"</f>
        <v>1551765064076936</v>
      </c>
      <c r="C7027" t="s">
        <v>40</v>
      </c>
      <c r="D7027">
        <v>4.0766859999999996</v>
      </c>
      <c r="E7027">
        <v>0.49995319999999999</v>
      </c>
      <c r="F7027" t="s">
        <v>42</v>
      </c>
      <c r="G7027">
        <v>-264.35579999999999</v>
      </c>
      <c r="H7027" s="1">
        <v>-1.603025E-6</v>
      </c>
      <c r="I7027">
        <v>-63.123910000000002</v>
      </c>
      <c r="J7027">
        <v>-289.60730000000001</v>
      </c>
      <c r="K7027">
        <v>1.1104639999999999</v>
      </c>
      <c r="L7027">
        <v>-56.371459999999999</v>
      </c>
      <c r="M7027">
        <v>0.77972039999999998</v>
      </c>
      <c r="N7027">
        <v>-4.308203E-3</v>
      </c>
      <c r="O7027">
        <v>-0.62611319999999904</v>
      </c>
      <c r="P7027">
        <v>0.96396809999999999</v>
      </c>
      <c r="Q7027">
        <v>-6.6401349999999998E-2</v>
      </c>
      <c r="R7027">
        <v>-0.25759710000000002</v>
      </c>
      <c r="S7027">
        <v>2.8951419999999999</v>
      </c>
      <c r="T7027">
        <v>-0.126862</v>
      </c>
      <c r="U7027">
        <v>-0.77929689999999996</v>
      </c>
      <c r="V7027">
        <v>-0.40244049999999998</v>
      </c>
      <c r="W7027">
        <v>-6.4139180000000004E-2</v>
      </c>
      <c r="X7027">
        <v>0.91319640000000002</v>
      </c>
      <c r="Y7027">
        <v>-0.40118589999999998</v>
      </c>
      <c r="Z7027">
        <v>3.1390639999999997E-2</v>
      </c>
      <c r="AA7027">
        <v>0.91545860000000001</v>
      </c>
      <c r="AB7027">
        <v>16</v>
      </c>
      <c r="AC7027">
        <v>25.2515</v>
      </c>
      <c r="AD7027">
        <v>-1.110465603025</v>
      </c>
      <c r="AE7027">
        <v>-6.7524499999999898</v>
      </c>
      <c r="AF7027">
        <v>-10.526372741821101</v>
      </c>
      <c r="AG7027">
        <v>-1.110465603025</v>
      </c>
      <c r="AH7027">
        <v>23.874038269033001</v>
      </c>
      <c r="AI7027">
        <v>92.437048506763404</v>
      </c>
      <c r="AJ7027">
        <v>113.79330382095399</v>
      </c>
      <c r="AK7027">
        <v>26.115270632840598</v>
      </c>
      <c r="AL7027">
        <v>93.677428915509694</v>
      </c>
      <c r="AM7027">
        <v>113.78281681268599</v>
      </c>
      <c r="AN7027">
        <v>0.99999992771213797</v>
      </c>
    </row>
    <row r="7028" spans="1:40" x14ac:dyDescent="0.25">
      <c r="A7028" t="str">
        <f>"20190305135104097"</f>
        <v>20190305135104097</v>
      </c>
      <c r="B7028" t="str">
        <f>"1551765064086696"</f>
        <v>1551765064086696</v>
      </c>
      <c r="C7028" t="s">
        <v>40</v>
      </c>
      <c r="D7028">
        <v>4.0864549999999999</v>
      </c>
      <c r="E7028">
        <v>0.50005920000000004</v>
      </c>
      <c r="F7028" t="s">
        <v>42</v>
      </c>
      <c r="G7028">
        <v>-264.02</v>
      </c>
      <c r="H7028" s="1">
        <v>-1.477129E-6</v>
      </c>
      <c r="I7028">
        <v>-63.192279999999997</v>
      </c>
      <c r="J7028">
        <v>-289.52030000000002</v>
      </c>
      <c r="K7028">
        <v>1.110492</v>
      </c>
      <c r="L7028">
        <v>-56.4375</v>
      </c>
      <c r="M7028">
        <v>0.78139049999999999</v>
      </c>
      <c r="N7028">
        <v>-4.2078130000000004E-3</v>
      </c>
      <c r="O7028">
        <v>-0.62402819999999903</v>
      </c>
      <c r="P7028">
        <v>0.96460679999999999</v>
      </c>
      <c r="Q7028">
        <v>-6.6310690000000005E-2</v>
      </c>
      <c r="R7028">
        <v>-0.25521969999999999</v>
      </c>
      <c r="S7028">
        <v>2.8970639999999999</v>
      </c>
      <c r="T7028">
        <v>-0.1257298</v>
      </c>
      <c r="U7028">
        <v>-0.77227780000000001</v>
      </c>
      <c r="V7028">
        <v>-0.40224969999999999</v>
      </c>
      <c r="W7028">
        <v>-6.4180580000000001E-2</v>
      </c>
      <c r="X7028">
        <v>0.91327760000000002</v>
      </c>
      <c r="Y7028">
        <v>-0.40097519999999998</v>
      </c>
      <c r="Z7028">
        <v>3.107217E-2</v>
      </c>
      <c r="AA7028">
        <v>0.91556190000000004</v>
      </c>
      <c r="AB7028">
        <v>16</v>
      </c>
      <c r="AC7028">
        <v>25.500299999999999</v>
      </c>
      <c r="AD7028">
        <v>-1.110493477129</v>
      </c>
      <c r="AE7028">
        <v>-6.7547800000000002</v>
      </c>
      <c r="AF7028">
        <v>-10.616066657196701</v>
      </c>
      <c r="AG7028">
        <v>-1.110493477129</v>
      </c>
      <c r="AH7028">
        <v>24.0983740271244</v>
      </c>
      <c r="AI7028">
        <v>92.414789600411495</v>
      </c>
      <c r="AJ7028">
        <v>113.774950650694</v>
      </c>
      <c r="AK7028">
        <v>26.356511487372</v>
      </c>
      <c r="AL7028">
        <v>93.679805697601907</v>
      </c>
      <c r="AM7028">
        <v>113.770912391054</v>
      </c>
      <c r="AN7028">
        <v>0.99999997133049201</v>
      </c>
    </row>
    <row r="7029" spans="1:40" x14ac:dyDescent="0.25">
      <c r="A7029" t="str">
        <f>"20190305135104113"</f>
        <v>20190305135104113</v>
      </c>
      <c r="B7029" t="str">
        <f>"1551765064107191"</f>
        <v>1551765064107191</v>
      </c>
      <c r="C7029" t="s">
        <v>40</v>
      </c>
      <c r="D7029">
        <v>4.085375</v>
      </c>
      <c r="E7029">
        <v>0.50019199999999997</v>
      </c>
      <c r="F7029" t="s">
        <v>111</v>
      </c>
      <c r="G7029">
        <v>-263.8381</v>
      </c>
      <c r="H7029" s="1">
        <v>-1.4069860000000001E-6</v>
      </c>
      <c r="I7029">
        <v>-63.221820000000001</v>
      </c>
      <c r="J7029">
        <v>-289.43130000000002</v>
      </c>
      <c r="K7029">
        <v>1.110527</v>
      </c>
      <c r="L7029">
        <v>-56.504730000000002</v>
      </c>
      <c r="M7029">
        <v>0.78310979999999997</v>
      </c>
      <c r="N7029">
        <v>-4.1069590000000003E-3</v>
      </c>
      <c r="O7029">
        <v>-0.62187019999999904</v>
      </c>
      <c r="P7029">
        <v>0.96532890000000005</v>
      </c>
      <c r="Q7029">
        <v>-6.6216990000000003E-2</v>
      </c>
      <c r="R7029">
        <v>-0.25249899999999997</v>
      </c>
      <c r="S7029">
        <v>2.8988339999999999</v>
      </c>
      <c r="T7029">
        <v>-0.12534519999999999</v>
      </c>
      <c r="U7029">
        <v>-0.76577759999999995</v>
      </c>
      <c r="V7029">
        <v>-0.40230159999999998</v>
      </c>
      <c r="W7029">
        <v>-6.4223459999999996E-2</v>
      </c>
      <c r="X7029">
        <v>0.91325179999999995</v>
      </c>
      <c r="Y7029">
        <v>-0.40050999999999998</v>
      </c>
      <c r="Z7029">
        <v>3.094295E-2</v>
      </c>
      <c r="AA7029">
        <v>0.91576979999999997</v>
      </c>
      <c r="AB7029">
        <v>16</v>
      </c>
      <c r="AC7029">
        <v>25.5932</v>
      </c>
      <c r="AD7029">
        <v>-1.110528406986</v>
      </c>
      <c r="AE7029">
        <v>-6.71708999999999</v>
      </c>
      <c r="AF7029">
        <v>-10.6367807088892</v>
      </c>
      <c r="AG7029">
        <v>-1.110528406986</v>
      </c>
      <c r="AH7029">
        <v>24.177055976540199</v>
      </c>
      <c r="AI7029">
        <v>92.407527300620998</v>
      </c>
      <c r="AJ7029">
        <v>113.747262958638</v>
      </c>
      <c r="AK7029">
        <v>26.4368003526236</v>
      </c>
      <c r="AL7029">
        <v>93.682267365926407</v>
      </c>
      <c r="AM7029">
        <v>113.77423647940699</v>
      </c>
      <c r="AN7029">
        <v>1.0000000401900799</v>
      </c>
    </row>
    <row r="7030" spans="1:40" x14ac:dyDescent="0.25">
      <c r="A7030" t="str">
        <f>"20190305135104125"</f>
        <v>20190305135104125</v>
      </c>
      <c r="B7030" t="str">
        <f>"1551765064116952"</f>
        <v>1551765064116952</v>
      </c>
      <c r="C7030" t="s">
        <v>40</v>
      </c>
      <c r="D7030">
        <v>4.0629379999999999</v>
      </c>
      <c r="E7030">
        <v>0.50021459999999995</v>
      </c>
      <c r="F7030" t="s">
        <v>111</v>
      </c>
      <c r="G7030">
        <v>-263.6431</v>
      </c>
      <c r="H7030" s="1">
        <v>-1.3307109999999999E-6</v>
      </c>
      <c r="I7030">
        <v>-63.249679999999998</v>
      </c>
      <c r="J7030">
        <v>-289.35070000000002</v>
      </c>
      <c r="K7030">
        <v>1.1105560000000001</v>
      </c>
      <c r="L7030">
        <v>-56.565159999999999</v>
      </c>
      <c r="M7030">
        <v>0.78467629999999999</v>
      </c>
      <c r="N7030">
        <v>-4.015701E-3</v>
      </c>
      <c r="O7030">
        <v>-0.61989300000000003</v>
      </c>
      <c r="P7030">
        <v>0.96576779999999995</v>
      </c>
      <c r="Q7030">
        <v>-6.5975590000000001E-2</v>
      </c>
      <c r="R7030">
        <v>-0.25087900000000002</v>
      </c>
      <c r="S7030">
        <v>2.9007260000000001</v>
      </c>
      <c r="T7030">
        <v>-0.1249152</v>
      </c>
      <c r="U7030">
        <v>-0.75869750000000002</v>
      </c>
      <c r="V7030">
        <v>-0.40153509999999998</v>
      </c>
      <c r="W7030">
        <v>-6.4101749999999999E-2</v>
      </c>
      <c r="X7030">
        <v>0.91359760000000001</v>
      </c>
      <c r="Y7030">
        <v>-0.40044249999999998</v>
      </c>
      <c r="Z7030">
        <v>3.0811109999999999E-2</v>
      </c>
      <c r="AA7030">
        <v>0.9158037</v>
      </c>
      <c r="AB7030">
        <v>16</v>
      </c>
      <c r="AC7030">
        <v>25.707599999999999</v>
      </c>
      <c r="AD7030">
        <v>-1.1105573307109999</v>
      </c>
      <c r="AE7030">
        <v>-6.68452</v>
      </c>
      <c r="AF7030">
        <v>-10.6722059722178</v>
      </c>
      <c r="AG7030">
        <v>-1.1105573307109999</v>
      </c>
      <c r="AH7030">
        <v>24.273592699769502</v>
      </c>
      <c r="AI7030">
        <v>92.398282335242698</v>
      </c>
      <c r="AJ7030">
        <v>113.733326294101</v>
      </c>
      <c r="AK7030">
        <v>26.539340995068901</v>
      </c>
      <c r="AL7030">
        <v>93.675279562059004</v>
      </c>
      <c r="AM7030">
        <v>113.725959498785</v>
      </c>
      <c r="AN7030">
        <v>1.00000002280541</v>
      </c>
    </row>
    <row r="7031" spans="1:40" x14ac:dyDescent="0.25">
      <c r="A7031" t="str">
        <f>"20190305135104138"</f>
        <v>20190305135104138</v>
      </c>
      <c r="B7031" t="str">
        <f>"1551765064126712"</f>
        <v>1551765064126712</v>
      </c>
      <c r="C7031" t="s">
        <v>40</v>
      </c>
      <c r="D7031">
        <v>4.08338</v>
      </c>
      <c r="E7031">
        <v>0.50028009999999901</v>
      </c>
      <c r="F7031" t="s">
        <v>111</v>
      </c>
      <c r="G7031">
        <v>-263.65769999999998</v>
      </c>
      <c r="H7031" s="1">
        <v>-1.3347060000000001E-6</v>
      </c>
      <c r="I7031">
        <v>-63.24118</v>
      </c>
      <c r="J7031">
        <v>-289.28269999999998</v>
      </c>
      <c r="K7031">
        <v>1.110579</v>
      </c>
      <c r="L7031">
        <v>-56.615940000000002</v>
      </c>
      <c r="M7031">
        <v>0.78600709999999996</v>
      </c>
      <c r="N7031">
        <v>-3.9369749999999997E-3</v>
      </c>
      <c r="O7031">
        <v>-0.618205</v>
      </c>
      <c r="P7031">
        <v>0.96626780000000001</v>
      </c>
      <c r="Q7031">
        <v>-6.5013970000000004E-2</v>
      </c>
      <c r="R7031">
        <v>-0.2491989</v>
      </c>
      <c r="S7031">
        <v>2.9018860000000002</v>
      </c>
      <c r="T7031">
        <v>-0.12543119999999999</v>
      </c>
      <c r="U7031">
        <v>-0.75402829999999998</v>
      </c>
      <c r="V7031">
        <v>-0.40119899999999997</v>
      </c>
      <c r="W7031">
        <v>-6.3244560000000005E-2</v>
      </c>
      <c r="X7031">
        <v>0.91380490000000003</v>
      </c>
      <c r="Y7031">
        <v>-0.39993630000000002</v>
      </c>
      <c r="Z7031">
        <v>3.0920719999999999E-2</v>
      </c>
      <c r="AA7031">
        <v>0.91602119999999998</v>
      </c>
      <c r="AB7031">
        <v>16</v>
      </c>
      <c r="AC7031">
        <v>25.625</v>
      </c>
      <c r="AD7031">
        <v>-1.1105803347059999</v>
      </c>
      <c r="AE7031">
        <v>-6.6252399999999998</v>
      </c>
      <c r="AF7031">
        <v>-10.6154095069348</v>
      </c>
      <c r="AG7031">
        <v>-1.1105803347059999</v>
      </c>
      <c r="AH7031">
        <v>24.194776979696801</v>
      </c>
      <c r="AI7031">
        <v>92.406945470170101</v>
      </c>
      <c r="AJ7031">
        <v>113.689366639824</v>
      </c>
      <c r="AK7031">
        <v>26.444423623460299</v>
      </c>
      <c r="AL7031">
        <v>93.626066580426695</v>
      </c>
      <c r="AM7031">
        <v>113.703506011108</v>
      </c>
      <c r="AN7031">
        <v>0.99999995361729999</v>
      </c>
    </row>
    <row r="7032" spans="1:40" x14ac:dyDescent="0.25">
      <c r="A7032" t="str">
        <f>"20190305135104160"</f>
        <v>20190305135104160</v>
      </c>
      <c r="B7032" t="str">
        <f>"1551765064156968"</f>
        <v>1551765064156968</v>
      </c>
      <c r="C7032" t="s">
        <v>40</v>
      </c>
      <c r="D7032">
        <v>4.0688339999999998</v>
      </c>
      <c r="E7032">
        <v>0.50042129999999996</v>
      </c>
      <c r="F7032" t="s">
        <v>111</v>
      </c>
      <c r="G7032">
        <v>-263.1943</v>
      </c>
      <c r="H7032" s="1">
        <v>-1.1651259999999999E-6</v>
      </c>
      <c r="I7032">
        <v>-63.35089</v>
      </c>
      <c r="J7032">
        <v>-289.1472</v>
      </c>
      <c r="K7032">
        <v>1.110627</v>
      </c>
      <c r="L7032">
        <v>-56.716250000000002</v>
      </c>
      <c r="M7032">
        <v>0.78867200000000004</v>
      </c>
      <c r="N7032">
        <v>-3.7745460000000002E-3</v>
      </c>
      <c r="O7032">
        <v>-0.61480269999999904</v>
      </c>
      <c r="P7032">
        <v>0.96711360000000002</v>
      </c>
      <c r="Q7032">
        <v>-6.5165899999999999E-2</v>
      </c>
      <c r="R7032">
        <v>-0.2458553</v>
      </c>
      <c r="S7032">
        <v>2.9031370000000001</v>
      </c>
      <c r="T7032">
        <v>-0.1235865</v>
      </c>
      <c r="U7032">
        <v>-0.74948119999999996</v>
      </c>
      <c r="V7032">
        <v>-0.40039130000000001</v>
      </c>
      <c r="W7032">
        <v>-6.3610349999999996E-2</v>
      </c>
      <c r="X7032">
        <v>0.9141338</v>
      </c>
      <c r="Y7032">
        <v>-0.39743909999999999</v>
      </c>
      <c r="Z7032">
        <v>3.0360430000000001E-2</v>
      </c>
      <c r="AA7032">
        <v>0.9171262</v>
      </c>
      <c r="AB7032">
        <v>16</v>
      </c>
      <c r="AC7032">
        <v>25.9529</v>
      </c>
      <c r="AD7032">
        <v>-1.1106281651259999</v>
      </c>
      <c r="AE7032">
        <v>-6.6346399999999903</v>
      </c>
      <c r="AF7032">
        <v>-10.705032089063801</v>
      </c>
      <c r="AG7032">
        <v>-1.1106281651259999</v>
      </c>
      <c r="AH7032">
        <v>24.505369023964601</v>
      </c>
      <c r="AI7032">
        <v>92.378236944100493</v>
      </c>
      <c r="AJ7032">
        <v>113.597839522005</v>
      </c>
      <c r="AK7032">
        <v>26.764609430173699</v>
      </c>
      <c r="AL7032">
        <v>93.6470667856522</v>
      </c>
      <c r="AM7032">
        <v>113.653455337824</v>
      </c>
      <c r="AN7032">
        <v>1.0000000370226201</v>
      </c>
    </row>
    <row r="7033" spans="1:40" x14ac:dyDescent="0.25">
      <c r="A7033" t="str">
        <f>"20190305135104173"</f>
        <v>20190305135104173</v>
      </c>
      <c r="B7033" t="str">
        <f>"1551765064166728"</f>
        <v>1551765064166728</v>
      </c>
      <c r="C7033" t="s">
        <v>40</v>
      </c>
      <c r="D7033">
        <v>4.0624760000000002</v>
      </c>
      <c r="E7033">
        <v>0.50049900000000003</v>
      </c>
      <c r="F7033" t="s">
        <v>111</v>
      </c>
      <c r="G7033">
        <v>-263.43400000000003</v>
      </c>
      <c r="H7033" s="1">
        <v>-1.2464949999999999E-6</v>
      </c>
      <c r="I7033">
        <v>-63.270269999999996</v>
      </c>
      <c r="J7033">
        <v>-289.07339999999999</v>
      </c>
      <c r="K7033">
        <v>1.110652</v>
      </c>
      <c r="L7033">
        <v>-56.770510000000002</v>
      </c>
      <c r="M7033">
        <v>0.79013089999999997</v>
      </c>
      <c r="N7033">
        <v>-3.682392E-3</v>
      </c>
      <c r="O7033">
        <v>-0.61292709999999995</v>
      </c>
      <c r="P7033">
        <v>0.96768750000000003</v>
      </c>
      <c r="Q7033">
        <v>-6.5136189999999997E-2</v>
      </c>
      <c r="R7033">
        <v>-0.24359420000000001</v>
      </c>
      <c r="S7033">
        <v>2.9053040000000001</v>
      </c>
      <c r="T7033">
        <v>-0.12548860000000001</v>
      </c>
      <c r="U7033">
        <v>-0.74053959999999996</v>
      </c>
      <c r="V7033">
        <v>-0.40035100000000001</v>
      </c>
      <c r="W7033">
        <v>-6.3703579999999996E-2</v>
      </c>
      <c r="X7033">
        <v>0.91414490000000004</v>
      </c>
      <c r="Y7033">
        <v>-0.39804919999999999</v>
      </c>
      <c r="Z7033">
        <v>3.085106E-2</v>
      </c>
      <c r="AA7033">
        <v>0.91684509999999997</v>
      </c>
      <c r="AB7033">
        <v>17</v>
      </c>
      <c r="AC7033">
        <v>25.639399999999899</v>
      </c>
      <c r="AD7033">
        <v>-1.1106532464950001</v>
      </c>
      <c r="AE7033">
        <v>-6.4997600000000002</v>
      </c>
      <c r="AF7033">
        <v>-10.560872957630499</v>
      </c>
      <c r="AG7033">
        <v>-1.1106532464950001</v>
      </c>
      <c r="AH7033">
        <v>24.199857087407398</v>
      </c>
      <c r="AI7033">
        <v>92.408670253935497</v>
      </c>
      <c r="AJ7033">
        <v>113.576566428809</v>
      </c>
      <c r="AK7033">
        <v>26.427233516055001</v>
      </c>
      <c r="AL7033">
        <v>93.652419521631103</v>
      </c>
      <c r="AM7033">
        <v>113.651080318523</v>
      </c>
      <c r="AN7033">
        <v>0.99999998375091304</v>
      </c>
    </row>
    <row r="7034" spans="1:40" x14ac:dyDescent="0.25">
      <c r="A7034" t="str">
        <f>"20190305135104185"</f>
        <v>20190305135104185</v>
      </c>
      <c r="B7034" t="str">
        <f>"1551765064177464"</f>
        <v>1551765064177464</v>
      </c>
      <c r="C7034" t="s">
        <v>40</v>
      </c>
      <c r="D7034">
        <v>4.0578010000000004</v>
      </c>
      <c r="E7034">
        <v>0.5005347</v>
      </c>
      <c r="F7034" t="s">
        <v>111</v>
      </c>
      <c r="G7034">
        <v>-263.47160000000002</v>
      </c>
      <c r="H7034" s="1">
        <v>-1.2539110000000001E-6</v>
      </c>
      <c r="I7034">
        <v>-63.237560000000002</v>
      </c>
      <c r="J7034">
        <v>-288.99970000000002</v>
      </c>
      <c r="K7034">
        <v>1.1106769999999999</v>
      </c>
      <c r="L7034">
        <v>-56.824399999999997</v>
      </c>
      <c r="M7034">
        <v>0.79159799999999902</v>
      </c>
      <c r="N7034">
        <v>-3.5869919999999998E-3</v>
      </c>
      <c r="O7034">
        <v>-0.61103189999999996</v>
      </c>
      <c r="P7034">
        <v>0.96837209999999996</v>
      </c>
      <c r="Q7034">
        <v>-6.4814040000000003E-2</v>
      </c>
      <c r="R7034">
        <v>-0.24094570000000001</v>
      </c>
      <c r="S7034">
        <v>2.90686</v>
      </c>
      <c r="T7034">
        <v>-0.12610469999999999</v>
      </c>
      <c r="U7034">
        <v>-0.73428340000000003</v>
      </c>
      <c r="V7034">
        <v>-0.40066889999999999</v>
      </c>
      <c r="W7034">
        <v>-6.350973E-2</v>
      </c>
      <c r="X7034">
        <v>0.91401909999999997</v>
      </c>
      <c r="Y7034">
        <v>-0.39781490000000003</v>
      </c>
      <c r="Z7034">
        <v>3.0989829999999999E-2</v>
      </c>
      <c r="AA7034">
        <v>0.91694219999999904</v>
      </c>
      <c r="AB7034">
        <v>17</v>
      </c>
      <c r="AC7034">
        <v>25.528099999999899</v>
      </c>
      <c r="AD7034">
        <v>-1.1106782539110001</v>
      </c>
      <c r="AE7034">
        <v>-6.4131599999999898</v>
      </c>
      <c r="AF7034">
        <v>-10.503203464001899</v>
      </c>
      <c r="AG7034">
        <v>-1.1106782539110001</v>
      </c>
      <c r="AH7034">
        <v>24.083907270324399</v>
      </c>
      <c r="AI7034">
        <v>92.420567311565605</v>
      </c>
      <c r="AJ7034">
        <v>113.56243865762001</v>
      </c>
      <c r="AK7034">
        <v>26.298012825981999</v>
      </c>
      <c r="AL7034">
        <v>93.641290196579803</v>
      </c>
      <c r="AM7034">
        <v>113.670695869338</v>
      </c>
      <c r="AN7034">
        <v>0.99999998419834601</v>
      </c>
    </row>
    <row r="7035" spans="1:40" x14ac:dyDescent="0.25">
      <c r="A7035" t="str">
        <f>"20190305135104205"</f>
        <v>20190305135104205</v>
      </c>
      <c r="B7035" t="str">
        <f>"1551765064196983"</f>
        <v>1551765064196983</v>
      </c>
      <c r="C7035" t="s">
        <v>40</v>
      </c>
      <c r="D7035">
        <v>4.3273260000000002</v>
      </c>
      <c r="E7035">
        <v>0.50056869999999998</v>
      </c>
      <c r="F7035" t="s">
        <v>42</v>
      </c>
      <c r="G7035">
        <v>-263.28919999999999</v>
      </c>
      <c r="H7035" s="1">
        <v>-1.177802E-6</v>
      </c>
      <c r="I7035">
        <v>-63.245480000000001</v>
      </c>
      <c r="J7035">
        <v>-288.87860000000001</v>
      </c>
      <c r="K7035">
        <v>1.1107149999999999</v>
      </c>
      <c r="L7035">
        <v>-56.912230000000001</v>
      </c>
      <c r="M7035">
        <v>0.79401759999999999</v>
      </c>
      <c r="N7035">
        <v>-3.4280180000000001E-3</v>
      </c>
      <c r="O7035">
        <v>-0.60788520000000001</v>
      </c>
      <c r="P7035">
        <v>0.96928999999999998</v>
      </c>
      <c r="Q7035">
        <v>-6.4275319999999997E-2</v>
      </c>
      <c r="R7035">
        <v>-0.2373731</v>
      </c>
      <c r="S7035">
        <v>2.9088129999999999</v>
      </c>
      <c r="T7035">
        <v>-0.1256592</v>
      </c>
      <c r="U7035">
        <v>-0.72647090000000003</v>
      </c>
      <c r="V7035">
        <v>-0.40042499999999998</v>
      </c>
      <c r="W7035">
        <v>-6.3179020000000002E-2</v>
      </c>
      <c r="X7035">
        <v>0.91414890000000004</v>
      </c>
      <c r="Y7035">
        <v>-0.3966422</v>
      </c>
      <c r="Z7035">
        <v>3.0823650000000001E-2</v>
      </c>
      <c r="AA7035">
        <v>0.91745560000000004</v>
      </c>
      <c r="AB7035">
        <v>17</v>
      </c>
      <c r="AC7035">
        <v>25.589400000000001</v>
      </c>
      <c r="AD7035">
        <v>-1.1107161778019901</v>
      </c>
      <c r="AE7035">
        <v>-6.3332499999999996</v>
      </c>
      <c r="AF7035">
        <v>-10.508111973354</v>
      </c>
      <c r="AG7035">
        <v>-1.1107161778019901</v>
      </c>
      <c r="AH7035">
        <v>24.125633768680402</v>
      </c>
      <c r="AI7035">
        <v>92.416955170444496</v>
      </c>
      <c r="AJ7035">
        <v>113.535917032699</v>
      </c>
      <c r="AK7035">
        <v>26.3381911378263</v>
      </c>
      <c r="AL7035">
        <v>93.622303757000594</v>
      </c>
      <c r="AM7035">
        <v>113.654879728761</v>
      </c>
      <c r="AN7035">
        <v>0.999999990282185</v>
      </c>
    </row>
    <row r="7036" spans="1:40" x14ac:dyDescent="0.25">
      <c r="A7036" t="str">
        <f>"20190305135104217"</f>
        <v>20190305135104217</v>
      </c>
      <c r="B7036" t="str">
        <f>"1551765064206744"</f>
        <v>1551765064206744</v>
      </c>
      <c r="C7036" t="s">
        <v>40</v>
      </c>
      <c r="D7036">
        <v>4.0399949999999896</v>
      </c>
      <c r="E7036">
        <v>0.50061199999999995</v>
      </c>
      <c r="F7036" t="s">
        <v>111</v>
      </c>
      <c r="G7036">
        <v>-262.9744</v>
      </c>
      <c r="H7036" s="1">
        <v>-1.052497E-6</v>
      </c>
      <c r="I7036">
        <v>-63.28219</v>
      </c>
      <c r="J7036">
        <v>-288.80259999999998</v>
      </c>
      <c r="K7036">
        <v>1.1107389999999999</v>
      </c>
      <c r="L7036">
        <v>-56.96698</v>
      </c>
      <c r="M7036">
        <v>0.79554329999999995</v>
      </c>
      <c r="N7036">
        <v>-3.329126E-3</v>
      </c>
      <c r="O7036">
        <v>-0.60588750000000002</v>
      </c>
      <c r="P7036">
        <v>0.96986170000000005</v>
      </c>
      <c r="Q7036">
        <v>-6.4016879999999998E-2</v>
      </c>
      <c r="R7036">
        <v>-0.23509540000000001</v>
      </c>
      <c r="S7036">
        <v>2.911438</v>
      </c>
      <c r="T7036">
        <v>-0.124836</v>
      </c>
      <c r="U7036">
        <v>-0.71594239999999998</v>
      </c>
      <c r="V7036">
        <v>-0.4002791</v>
      </c>
      <c r="W7036">
        <v>-6.3050899999999993E-2</v>
      </c>
      <c r="X7036">
        <v>0.91422159999999997</v>
      </c>
      <c r="Y7036">
        <v>-0.39766420000000002</v>
      </c>
      <c r="Z7036">
        <v>3.0614140000000001E-2</v>
      </c>
      <c r="AA7036">
        <v>0.9170201</v>
      </c>
      <c r="AB7036">
        <v>17</v>
      </c>
      <c r="AC7036">
        <v>25.828199999999899</v>
      </c>
      <c r="AD7036">
        <v>-1.1107400524969999</v>
      </c>
      <c r="AE7036">
        <v>-6.3152099999999898</v>
      </c>
      <c r="AF7036">
        <v>-10.606510629054499</v>
      </c>
      <c r="AG7036">
        <v>-1.1107400524969999</v>
      </c>
      <c r="AH7036">
        <v>24.331434029549001</v>
      </c>
      <c r="AI7036">
        <v>92.396271843751194</v>
      </c>
      <c r="AJ7036">
        <v>113.55325490192899</v>
      </c>
      <c r="AK7036">
        <v>26.565964938672298</v>
      </c>
      <c r="AL7036">
        <v>93.614948488627505</v>
      </c>
      <c r="AM7036">
        <v>113.64553277714001</v>
      </c>
      <c r="AN7036">
        <v>0.99999995389708796</v>
      </c>
    </row>
    <row r="7037" spans="1:40" x14ac:dyDescent="0.25">
      <c r="A7037" t="str">
        <f>"20190305135104229"</f>
        <v>20190305135104229</v>
      </c>
      <c r="B7037" t="str">
        <f>"1551765064217481"</f>
        <v>1551765064217481</v>
      </c>
      <c r="C7037" t="s">
        <v>40</v>
      </c>
      <c r="D7037">
        <v>4.0269629999999896</v>
      </c>
      <c r="E7037">
        <v>0.50071160000000003</v>
      </c>
      <c r="F7037" t="s">
        <v>111</v>
      </c>
      <c r="G7037">
        <v>-262.87799999999999</v>
      </c>
      <c r="H7037" s="1">
        <v>-1.01065E-6</v>
      </c>
      <c r="I7037">
        <v>-63.280360000000002</v>
      </c>
      <c r="J7037">
        <v>-288.72820000000002</v>
      </c>
      <c r="K7037">
        <v>1.110762</v>
      </c>
      <c r="L7037">
        <v>-57.020359999999997</v>
      </c>
      <c r="M7037">
        <v>0.79703740000000001</v>
      </c>
      <c r="N7037">
        <v>-3.2329540000000001E-3</v>
      </c>
      <c r="O7037">
        <v>-0.60392109999999999</v>
      </c>
      <c r="P7037">
        <v>0.9703138</v>
      </c>
      <c r="Q7037">
        <v>-6.4069849999999998E-2</v>
      </c>
      <c r="R7037">
        <v>-0.233208</v>
      </c>
      <c r="S7037">
        <v>2.9130250000000002</v>
      </c>
      <c r="T7037">
        <v>-0.1248084</v>
      </c>
      <c r="U7037">
        <v>-0.70941160000000003</v>
      </c>
      <c r="V7037">
        <v>-0.39979120000000001</v>
      </c>
      <c r="W7037">
        <v>-6.3228820000000005E-2</v>
      </c>
      <c r="X7037">
        <v>0.91442290000000004</v>
      </c>
      <c r="Y7037">
        <v>-0.39745459999999999</v>
      </c>
      <c r="Z7037">
        <v>3.0583760000000001E-2</v>
      </c>
      <c r="AA7037">
        <v>0.91711209999999999</v>
      </c>
      <c r="AB7037">
        <v>17</v>
      </c>
      <c r="AC7037">
        <v>25.850200000000001</v>
      </c>
      <c r="AD7037">
        <v>-1.1107630106499999</v>
      </c>
      <c r="AE7037">
        <v>-6.25999999999999</v>
      </c>
      <c r="AF7037">
        <v>-10.603590400306899</v>
      </c>
      <c r="AG7037">
        <v>-1.1107630106499999</v>
      </c>
      <c r="AH7037">
        <v>24.3417986649056</v>
      </c>
      <c r="AI7037">
        <v>92.395569921837605</v>
      </c>
      <c r="AJ7037">
        <v>113.53854059327701</v>
      </c>
      <c r="AK7037">
        <v>26.574293708132799</v>
      </c>
      <c r="AL7037">
        <v>93.625162536766695</v>
      </c>
      <c r="AM7037">
        <v>113.615238619826</v>
      </c>
      <c r="AN7037">
        <v>1.00000006366021</v>
      </c>
    </row>
    <row r="7038" spans="1:40" x14ac:dyDescent="0.25">
      <c r="A7038" t="str">
        <f>"20190305135104241"</f>
        <v>20190305135104241</v>
      </c>
      <c r="B7038" t="str">
        <f>"1551765064237000"</f>
        <v>1551765064237000</v>
      </c>
      <c r="C7038" t="s">
        <v>40</v>
      </c>
      <c r="D7038">
        <v>4.0379820000000004</v>
      </c>
      <c r="E7038">
        <v>0.50090789999999996</v>
      </c>
      <c r="F7038" t="s">
        <v>111</v>
      </c>
      <c r="G7038">
        <v>-262.86360000000002</v>
      </c>
      <c r="H7038" s="1">
        <v>-1.002427E-6</v>
      </c>
      <c r="I7038">
        <v>-63.272680000000001</v>
      </c>
      <c r="J7038">
        <v>-288.65069999999997</v>
      </c>
      <c r="K7038">
        <v>1.110784</v>
      </c>
      <c r="L7038">
        <v>-57.075470000000003</v>
      </c>
      <c r="M7038">
        <v>0.7986029</v>
      </c>
      <c r="N7038">
        <v>-3.1383880000000002E-3</v>
      </c>
      <c r="O7038">
        <v>-0.60185029999999995</v>
      </c>
      <c r="P7038">
        <v>0.97073690000000001</v>
      </c>
      <c r="Q7038">
        <v>-6.4611749999999996E-2</v>
      </c>
      <c r="R7038">
        <v>-0.231291</v>
      </c>
      <c r="S7038">
        <v>2.914215</v>
      </c>
      <c r="T7038">
        <v>-0.1251515</v>
      </c>
      <c r="U7038">
        <v>-0.70446779999999998</v>
      </c>
      <c r="V7038">
        <v>-0.39919189999999999</v>
      </c>
      <c r="W7038">
        <v>-6.3895499999999994E-2</v>
      </c>
      <c r="X7038">
        <v>0.91463830000000002</v>
      </c>
      <c r="Y7038">
        <v>-0.39662459999999999</v>
      </c>
      <c r="Z7038">
        <v>3.0630979999999999E-2</v>
      </c>
      <c r="AA7038">
        <v>0.91746970000000005</v>
      </c>
      <c r="AB7038">
        <v>17</v>
      </c>
      <c r="AC7038">
        <v>25.787099999999899</v>
      </c>
      <c r="AD7038">
        <v>-1.1107850024269901</v>
      </c>
      <c r="AE7038">
        <v>-6.1972100000000001</v>
      </c>
      <c r="AF7038">
        <v>-10.5524042223014</v>
      </c>
      <c r="AG7038">
        <v>-1.1107850024269901</v>
      </c>
      <c r="AH7038">
        <v>24.280969803838801</v>
      </c>
      <c r="AI7038">
        <v>92.402504271984199</v>
      </c>
      <c r="AJ7038">
        <v>113.48955685765701</v>
      </c>
      <c r="AK7038">
        <v>26.498161687320799</v>
      </c>
      <c r="AL7038">
        <v>93.663438065209803</v>
      </c>
      <c r="AM7038">
        <v>113.578758333983</v>
      </c>
      <c r="AN7038">
        <v>1.0000000138863701</v>
      </c>
    </row>
    <row r="7039" spans="1:40" x14ac:dyDescent="0.25">
      <c r="A7039" t="str">
        <f>"20190305135104262"</f>
        <v>20190305135104262</v>
      </c>
      <c r="B7039" t="str">
        <f>"1551765064256519"</f>
        <v>1551765064256519</v>
      </c>
      <c r="C7039" t="s">
        <v>40</v>
      </c>
      <c r="D7039">
        <v>4.0461799999999997</v>
      </c>
      <c r="E7039">
        <v>0.50107069999999998</v>
      </c>
      <c r="F7039" t="s">
        <v>111</v>
      </c>
      <c r="G7039">
        <v>-263.34660000000002</v>
      </c>
      <c r="H7039" s="1">
        <v>-1.1783E-6</v>
      </c>
      <c r="I7039">
        <v>-63.154789999999998</v>
      </c>
      <c r="J7039">
        <v>-288.52730000000003</v>
      </c>
      <c r="K7039">
        <v>1.1108260000000001</v>
      </c>
      <c r="L7039">
        <v>-57.162719999999901</v>
      </c>
      <c r="M7039">
        <v>0.80109730000000001</v>
      </c>
      <c r="N7039">
        <v>-2.9954700000000001E-3</v>
      </c>
      <c r="O7039">
        <v>-0.59852680000000003</v>
      </c>
      <c r="P7039">
        <v>0.97120119999999999</v>
      </c>
      <c r="Q7039">
        <v>-6.5437229999999999E-2</v>
      </c>
      <c r="R7039">
        <v>-0.229099</v>
      </c>
      <c r="S7039">
        <v>2.9150390000000002</v>
      </c>
      <c r="T7039">
        <v>-0.12796289999999999</v>
      </c>
      <c r="U7039">
        <v>-0.70034790000000002</v>
      </c>
      <c r="V7039">
        <v>-0.39740629999999999</v>
      </c>
      <c r="W7039">
        <v>-6.490754E-2</v>
      </c>
      <c r="X7039">
        <v>0.91534439999999995</v>
      </c>
      <c r="Y7039">
        <v>-0.39406170000000001</v>
      </c>
      <c r="Z7039">
        <v>3.1251840000000003E-2</v>
      </c>
      <c r="AA7039">
        <v>0.91855249999999999</v>
      </c>
      <c r="AB7039">
        <v>17</v>
      </c>
      <c r="AC7039">
        <v>25.180700000000002</v>
      </c>
      <c r="AD7039">
        <v>-1.1108271782999899</v>
      </c>
      <c r="AE7039">
        <v>-5.9920700000000098</v>
      </c>
      <c r="AF7039">
        <v>-10.2522554914748</v>
      </c>
      <c r="AG7039">
        <v>-1.1108271782999899</v>
      </c>
      <c r="AH7039">
        <v>23.7150319388752</v>
      </c>
      <c r="AI7039">
        <v>92.4619110985833</v>
      </c>
      <c r="AJ7039">
        <v>113.379331467433</v>
      </c>
      <c r="AK7039">
        <v>25.860112519948501</v>
      </c>
      <c r="AL7039">
        <v>93.721544128041998</v>
      </c>
      <c r="AM7039">
        <v>113.46857712156201</v>
      </c>
      <c r="AN7039">
        <v>1.00000006331994</v>
      </c>
    </row>
    <row r="7040" spans="1:40" x14ac:dyDescent="0.25">
      <c r="A7040" t="str">
        <f>"20190305135104275"</f>
        <v>20190305135104275</v>
      </c>
      <c r="B7040" t="str">
        <f>"1551765064267255"</f>
        <v>1551765064267255</v>
      </c>
      <c r="C7040" t="s">
        <v>40</v>
      </c>
      <c r="D7040">
        <v>4.0437089999999998</v>
      </c>
      <c r="E7040">
        <v>0.5011101</v>
      </c>
      <c r="F7040" t="s">
        <v>42</v>
      </c>
      <c r="G7040">
        <v>-263.97649999999999</v>
      </c>
      <c r="H7040" s="1">
        <v>-1.4111830000000001E-6</v>
      </c>
      <c r="I7040">
        <v>-63.014449999999997</v>
      </c>
      <c r="J7040">
        <v>-288.44670000000002</v>
      </c>
      <c r="K7040">
        <v>1.110862</v>
      </c>
      <c r="L7040">
        <v>-57.219270000000002</v>
      </c>
      <c r="M7040">
        <v>0.80272849999999996</v>
      </c>
      <c r="N7040">
        <v>-2.9087570000000001E-3</v>
      </c>
      <c r="O7040">
        <v>-0.59633760000000002</v>
      </c>
      <c r="P7040">
        <v>0.97166600000000003</v>
      </c>
      <c r="Q7040">
        <v>-6.5586240000000004E-2</v>
      </c>
      <c r="R7040">
        <v>-0.22707659999999999</v>
      </c>
      <c r="S7040">
        <v>2.9161069999999998</v>
      </c>
      <c r="T7040">
        <v>-0.13194249999999999</v>
      </c>
      <c r="U7040">
        <v>-0.69506840000000003</v>
      </c>
      <c r="V7040">
        <v>-0.3967986</v>
      </c>
      <c r="W7040">
        <v>-6.5176059999999994E-2</v>
      </c>
      <c r="X7040">
        <v>0.91558890000000004</v>
      </c>
      <c r="Y7040">
        <v>-0.39315329999999998</v>
      </c>
      <c r="Z7040">
        <v>3.2209260000000003E-2</v>
      </c>
      <c r="AA7040">
        <v>0.91890870000000002</v>
      </c>
      <c r="AB7040">
        <v>17</v>
      </c>
      <c r="AC7040">
        <v>24.470199999999998</v>
      </c>
      <c r="AD7040">
        <v>-1.110863411183</v>
      </c>
      <c r="AE7040">
        <v>-5.7951800000000002</v>
      </c>
      <c r="AF7040">
        <v>-9.9212257504784205</v>
      </c>
      <c r="AG7040">
        <v>-1.110863411183</v>
      </c>
      <c r="AH7040">
        <v>23.053920475405899</v>
      </c>
      <c r="AI7040">
        <v>92.534307550481202</v>
      </c>
      <c r="AJ7040">
        <v>113.284566236168</v>
      </c>
      <c r="AK7040">
        <v>25.122658840110802</v>
      </c>
      <c r="AL7040">
        <v>93.736961920547401</v>
      </c>
      <c r="AM7040">
        <v>113.430979824684</v>
      </c>
      <c r="AN7040">
        <v>1.00000004078114</v>
      </c>
    </row>
    <row r="7041" spans="1:40" x14ac:dyDescent="0.25">
      <c r="A7041" t="str">
        <f>"20190305135104288"</f>
        <v>20190305135104288</v>
      </c>
      <c r="B7041" t="str">
        <f>"1551765064277015"</f>
        <v>1551765064277015</v>
      </c>
      <c r="C7041" t="s">
        <v>40</v>
      </c>
      <c r="D7041">
        <v>3.9966050000000002</v>
      </c>
      <c r="E7041">
        <v>0.50120480000000001</v>
      </c>
      <c r="F7041" t="s">
        <v>111</v>
      </c>
      <c r="G7041">
        <v>-264.07479999999998</v>
      </c>
      <c r="H7041" s="1">
        <v>-1.4437389999999899E-6</v>
      </c>
      <c r="I7041">
        <v>-62.978389999999997</v>
      </c>
      <c r="J7041">
        <v>-288.3528</v>
      </c>
      <c r="K7041">
        <v>1.1109039999999999</v>
      </c>
      <c r="L7041">
        <v>-57.284759999999999</v>
      </c>
      <c r="M7041">
        <v>0.80463050000000003</v>
      </c>
      <c r="N7041">
        <v>-2.8149630000000002E-3</v>
      </c>
      <c r="O7041">
        <v>-0.59376930000000006</v>
      </c>
      <c r="P7041">
        <v>0.97221919999999995</v>
      </c>
      <c r="Q7041">
        <v>-6.5405790000000005E-2</v>
      </c>
      <c r="R7041">
        <v>-0.2247489</v>
      </c>
      <c r="S7041">
        <v>2.917389</v>
      </c>
      <c r="T7041">
        <v>-0.132973799999999</v>
      </c>
      <c r="U7041">
        <v>-0.68939209999999995</v>
      </c>
      <c r="V7041">
        <v>-0.39606419999999998</v>
      </c>
      <c r="W7041">
        <v>-6.5127630000000006E-2</v>
      </c>
      <c r="X7041">
        <v>0.91591020000000001</v>
      </c>
      <c r="Y7041">
        <v>-0.39198690000000003</v>
      </c>
      <c r="Z7041">
        <v>3.2398429999999999E-2</v>
      </c>
      <c r="AA7041">
        <v>0.91940010000000005</v>
      </c>
      <c r="AB7041">
        <v>18</v>
      </c>
      <c r="AC7041">
        <v>24.277999999999999</v>
      </c>
      <c r="AD7041">
        <v>-1.110905443739</v>
      </c>
      <c r="AE7041">
        <v>-5.6936299999999997</v>
      </c>
      <c r="AF7041">
        <v>-9.8148223005470996</v>
      </c>
      <c r="AG7041">
        <v>-1.110905443739</v>
      </c>
      <c r="AH7041">
        <v>22.870222480084799</v>
      </c>
      <c r="AI7041">
        <v>92.555840277314104</v>
      </c>
      <c r="AJ7041">
        <v>113.226730742585</v>
      </c>
      <c r="AK7041">
        <v>24.912083894865599</v>
      </c>
      <c r="AL7041">
        <v>93.734181418036698</v>
      </c>
      <c r="AM7041">
        <v>113.384953562896</v>
      </c>
      <c r="AN7041">
        <v>0.99999997658754802</v>
      </c>
    </row>
    <row r="7042" spans="1:40" x14ac:dyDescent="0.25">
      <c r="A7042" t="str">
        <f>"20190305135104307"</f>
        <v>20190305135104307</v>
      </c>
      <c r="B7042" t="str">
        <f>"1551765064296536"</f>
        <v>1551765064296536</v>
      </c>
      <c r="C7042" t="s">
        <v>40</v>
      </c>
      <c r="D7042">
        <v>4.0171910000000004</v>
      </c>
      <c r="E7042">
        <v>0.50130779999999997</v>
      </c>
      <c r="F7042" t="s">
        <v>111</v>
      </c>
      <c r="G7042">
        <v>-263.98500000000001</v>
      </c>
      <c r="H7042" s="1">
        <v>-1.407711E-6</v>
      </c>
      <c r="I7042">
        <v>-62.987780000000001</v>
      </c>
      <c r="J7042">
        <v>-288.23719999999997</v>
      </c>
      <c r="K7042">
        <v>1.110957</v>
      </c>
      <c r="L7042">
        <v>-57.3645</v>
      </c>
      <c r="M7042">
        <v>0.80697289999999999</v>
      </c>
      <c r="N7042">
        <v>-2.7142920000000001E-3</v>
      </c>
      <c r="O7042">
        <v>-0.59058239999999995</v>
      </c>
      <c r="P7042">
        <v>0.97301079999999995</v>
      </c>
      <c r="Q7042">
        <v>-6.4149719999999993E-2</v>
      </c>
      <c r="R7042">
        <v>-0.22166420000000001</v>
      </c>
      <c r="S7042">
        <v>2.9188540000000001</v>
      </c>
      <c r="T7042">
        <v>-0.13306809999999999</v>
      </c>
      <c r="U7042">
        <v>-0.68313599999999997</v>
      </c>
      <c r="V7042">
        <v>-0.39539269999999999</v>
      </c>
      <c r="W7042">
        <v>-6.4020939999999998E-2</v>
      </c>
      <c r="X7042">
        <v>0.91627829999999999</v>
      </c>
      <c r="Y7042">
        <v>-0.39032020000000001</v>
      </c>
      <c r="Z7042">
        <v>3.2319489999999999E-2</v>
      </c>
      <c r="AA7042">
        <v>0.92011180000000004</v>
      </c>
      <c r="AB7042">
        <v>18</v>
      </c>
      <c r="AC7042">
        <v>24.252199999999899</v>
      </c>
      <c r="AD7042">
        <v>-1.110958407711</v>
      </c>
      <c r="AE7042">
        <v>-5.6232800000000003</v>
      </c>
      <c r="AF7042">
        <v>-9.7656759619732103</v>
      </c>
      <c r="AG7042">
        <v>-1.110958407711</v>
      </c>
      <c r="AH7042">
        <v>22.846464770371199</v>
      </c>
      <c r="AI7042">
        <v>92.560193443656402</v>
      </c>
      <c r="AJ7042">
        <v>113.14418939210501</v>
      </c>
      <c r="AK7042">
        <v>24.8709390269394</v>
      </c>
      <c r="AL7042">
        <v>93.670640060629395</v>
      </c>
      <c r="AM7042">
        <v>113.341178953362</v>
      </c>
      <c r="AN7042">
        <v>0.99999999551133101</v>
      </c>
    </row>
    <row r="7043" spans="1:40" x14ac:dyDescent="0.25">
      <c r="A7043" t="str">
        <f>"20190305135104319"</f>
        <v>20190305135104319</v>
      </c>
      <c r="B7043" t="str">
        <f>"1551765064317033"</f>
        <v>1551765064317033</v>
      </c>
      <c r="C7043" t="s">
        <v>40</v>
      </c>
      <c r="D7043">
        <v>4.0144769999999896</v>
      </c>
      <c r="E7043">
        <v>0.50137200000000004</v>
      </c>
      <c r="F7043" t="s">
        <v>111</v>
      </c>
      <c r="G7043">
        <v>-263.24540000000002</v>
      </c>
      <c r="H7043" s="1">
        <v>-1.129923E-6</v>
      </c>
      <c r="I7043">
        <v>-63.13626</v>
      </c>
      <c r="J7043">
        <v>-288.15030000000002</v>
      </c>
      <c r="K7043">
        <v>1.1110040000000001</v>
      </c>
      <c r="L7043">
        <v>-57.424039999999998</v>
      </c>
      <c r="M7043">
        <v>0.8087413</v>
      </c>
      <c r="N7043">
        <v>-2.6489790000000001E-3</v>
      </c>
      <c r="O7043">
        <v>-0.58815869999999904</v>
      </c>
      <c r="P7043">
        <v>0.97354870000000004</v>
      </c>
      <c r="Q7043">
        <v>-6.362139E-2</v>
      </c>
      <c r="R7043">
        <v>-0.2194431</v>
      </c>
      <c r="S7043">
        <v>2.9209589999999999</v>
      </c>
      <c r="T7043">
        <v>-0.12984480000000001</v>
      </c>
      <c r="U7043">
        <v>-0.6745911</v>
      </c>
      <c r="V7043">
        <v>-0.39475060000000001</v>
      </c>
      <c r="W7043">
        <v>-6.3596109999999997E-2</v>
      </c>
      <c r="X7043">
        <v>0.91658470000000003</v>
      </c>
      <c r="Y7043">
        <v>-0.3903008</v>
      </c>
      <c r="Z7043">
        <v>3.145365E-2</v>
      </c>
      <c r="AA7043">
        <v>0.92015000000000002</v>
      </c>
      <c r="AB7043">
        <v>18</v>
      </c>
      <c r="AC7043">
        <v>24.904900000000001</v>
      </c>
      <c r="AD7043">
        <v>-1.1110051299229999</v>
      </c>
      <c r="AE7043">
        <v>-5.7122199999999896</v>
      </c>
      <c r="AF7043">
        <v>-10.009436043104699</v>
      </c>
      <c r="AG7043">
        <v>-1.1110051299229999</v>
      </c>
      <c r="AH7043">
        <v>23.457046060163002</v>
      </c>
      <c r="AI7043">
        <v>92.494403142822193</v>
      </c>
      <c r="AJ7043">
        <v>113.108592407735</v>
      </c>
      <c r="AK7043">
        <v>25.527556721479002</v>
      </c>
      <c r="AL7043">
        <v>93.646249348664995</v>
      </c>
      <c r="AM7043">
        <v>113.30036194245299</v>
      </c>
      <c r="AN7043">
        <v>1.0000000068407899</v>
      </c>
    </row>
    <row r="7044" spans="1:40" x14ac:dyDescent="0.25">
      <c r="A7044" t="str">
        <f>"20190305135104332"</f>
        <v>20190305135104332</v>
      </c>
      <c r="B7044" t="str">
        <f>"1551765064326792"</f>
        <v>1551765064326792</v>
      </c>
      <c r="C7044" t="s">
        <v>40</v>
      </c>
      <c r="D7044">
        <v>4.0065770000000001</v>
      </c>
      <c r="E7044">
        <v>0.50138519999999998</v>
      </c>
      <c r="F7044" t="s">
        <v>111</v>
      </c>
      <c r="G7044">
        <v>-262.82740000000001</v>
      </c>
      <c r="H7044" s="1">
        <v>-9.7164429999999991E-7</v>
      </c>
      <c r="I7044">
        <v>-63.215319999999998</v>
      </c>
      <c r="J7044">
        <v>-288.0684</v>
      </c>
      <c r="K7044">
        <v>1.1110469999999999</v>
      </c>
      <c r="L7044">
        <v>-57.479799999999997</v>
      </c>
      <c r="M7044">
        <v>0.81040469999999998</v>
      </c>
      <c r="N7044">
        <v>-2.5928539999999999E-3</v>
      </c>
      <c r="O7044">
        <v>-0.58586490000000002</v>
      </c>
      <c r="P7044">
        <v>0.97417319999999996</v>
      </c>
      <c r="Q7044">
        <v>-6.3260990000000003E-2</v>
      </c>
      <c r="R7044">
        <v>-0.21675939999999999</v>
      </c>
      <c r="S7044">
        <v>2.9224549999999998</v>
      </c>
      <c r="T7044">
        <v>-0.12821850000000001</v>
      </c>
      <c r="U7044">
        <v>-0.66836549999999995</v>
      </c>
      <c r="V7044">
        <v>-0.39468730000000002</v>
      </c>
      <c r="W7044">
        <v>-6.3332830000000007E-2</v>
      </c>
      <c r="X7044">
        <v>0.91663019999999995</v>
      </c>
      <c r="Y7044">
        <v>-0.3896791</v>
      </c>
      <c r="Z7044">
        <v>3.09795E-2</v>
      </c>
      <c r="AA7044">
        <v>0.92042950000000001</v>
      </c>
      <c r="AB7044">
        <v>18</v>
      </c>
      <c r="AC7044">
        <v>25.2409999999999</v>
      </c>
      <c r="AD7044">
        <v>-1.11104797164429</v>
      </c>
      <c r="AE7044">
        <v>-5.7355200000000002</v>
      </c>
      <c r="AF7044">
        <v>-10.1211094297636</v>
      </c>
      <c r="AG7044">
        <v>-1.11104797164429</v>
      </c>
      <c r="AH7044">
        <v>23.7719449280244</v>
      </c>
      <c r="AI7044">
        <v>92.462343211979999</v>
      </c>
      <c r="AJ7044">
        <v>113.062295694985</v>
      </c>
      <c r="AK7044">
        <v>25.860716334733901</v>
      </c>
      <c r="AL7044">
        <v>93.631134004922302</v>
      </c>
      <c r="AM7044">
        <v>113.295990948708</v>
      </c>
      <c r="AN7044">
        <v>1.0000000178445601</v>
      </c>
    </row>
    <row r="7045" spans="1:40" x14ac:dyDescent="0.25">
      <c r="A7045" t="str">
        <f>"20190305135104345"</f>
        <v>20190305135104345</v>
      </c>
      <c r="B7045" t="str">
        <f>"1551765064337528"</f>
        <v>1551765064337528</v>
      </c>
      <c r="C7045" t="s">
        <v>40</v>
      </c>
      <c r="D7045">
        <v>4.0113960000000004</v>
      </c>
      <c r="E7045">
        <v>0.50138519999999998</v>
      </c>
      <c r="F7045" t="s">
        <v>111</v>
      </c>
      <c r="G7045">
        <v>-262.5849</v>
      </c>
      <c r="H7045" s="1">
        <v>-8.7270609999999897E-7</v>
      </c>
      <c r="I7045">
        <v>-63.234490000000001</v>
      </c>
      <c r="J7045">
        <v>-287.97930000000002</v>
      </c>
      <c r="K7045">
        <v>1.1110910000000001</v>
      </c>
      <c r="L7045">
        <v>-57.540010000000002</v>
      </c>
      <c r="M7045">
        <v>0.81222359999999905</v>
      </c>
      <c r="N7045">
        <v>-2.5428439999999998E-3</v>
      </c>
      <c r="O7045">
        <v>-0.58334090000000005</v>
      </c>
      <c r="P7045">
        <v>0.97474309999999997</v>
      </c>
      <c r="Q7045">
        <v>-6.3001539999999995E-2</v>
      </c>
      <c r="R7045">
        <v>-0.2142587</v>
      </c>
      <c r="S7045">
        <v>2.9242859999999999</v>
      </c>
      <c r="T7045">
        <v>-0.12749489999999999</v>
      </c>
      <c r="U7045">
        <v>-0.66036989999999995</v>
      </c>
      <c r="V7045">
        <v>-0.39419090000000001</v>
      </c>
      <c r="W7045">
        <v>-6.3167070000000006E-2</v>
      </c>
      <c r="X7045">
        <v>0.91685519999999998</v>
      </c>
      <c r="Y7045">
        <v>-0.38934289999999999</v>
      </c>
      <c r="Z7045">
        <v>3.0728430000000001E-2</v>
      </c>
      <c r="AA7045">
        <v>0.92058010000000001</v>
      </c>
      <c r="AB7045">
        <v>18</v>
      </c>
      <c r="AC7045">
        <v>25.394400000000001</v>
      </c>
      <c r="AD7045">
        <v>-1.1110918727061001</v>
      </c>
      <c r="AE7045">
        <v>-5.6944800000000004</v>
      </c>
      <c r="AF7045">
        <v>-10.169896027457201</v>
      </c>
      <c r="AG7045">
        <v>-1.1110918727061001</v>
      </c>
      <c r="AH7045">
        <v>23.904258041009001</v>
      </c>
      <c r="AI7045">
        <v>92.449105361923102</v>
      </c>
      <c r="AJ7045">
        <v>113.046980839887</v>
      </c>
      <c r="AK7045">
        <v>26.001439630336399</v>
      </c>
      <c r="AL7045">
        <v>93.6216176629692</v>
      </c>
      <c r="AM7045">
        <v>113.264707211605</v>
      </c>
      <c r="AN7045">
        <v>1.0000000010711101</v>
      </c>
    </row>
    <row r="7046" spans="1:40" x14ac:dyDescent="0.25">
      <c r="A7046" t="str">
        <f>"20190305135104357"</f>
        <v>20190305135104357</v>
      </c>
      <c r="B7046" t="str">
        <f>"1551765064347288"</f>
        <v>1551765064347288</v>
      </c>
      <c r="C7046" t="s">
        <v>40</v>
      </c>
      <c r="D7046">
        <v>3.9967609999999998</v>
      </c>
      <c r="E7046">
        <v>0.47594510000000001</v>
      </c>
      <c r="F7046" t="s">
        <v>111</v>
      </c>
      <c r="G7046">
        <v>-262.32479999999998</v>
      </c>
      <c r="H7046" s="1">
        <v>-7.6919709999999899E-7</v>
      </c>
      <c r="I7046">
        <v>-63.264780000000002</v>
      </c>
      <c r="J7046">
        <v>-287.90300000000002</v>
      </c>
      <c r="K7046">
        <v>1.1111359999999999</v>
      </c>
      <c r="L7046">
        <v>-57.591189999999997</v>
      </c>
      <c r="M7046">
        <v>0.81378530000000004</v>
      </c>
      <c r="N7046">
        <v>-2.507151E-3</v>
      </c>
      <c r="O7046">
        <v>-0.58116020000000002</v>
      </c>
      <c r="P7046">
        <v>0.97519549999999999</v>
      </c>
      <c r="Q7046">
        <v>-6.3176899999999994E-2</v>
      </c>
      <c r="R7046">
        <v>-0.2121383</v>
      </c>
      <c r="S7046">
        <v>2.926056</v>
      </c>
      <c r="T7046">
        <v>-0.12672700000000001</v>
      </c>
      <c r="U7046">
        <v>-0.65295409999999998</v>
      </c>
      <c r="V7046">
        <v>-0.39371070000000002</v>
      </c>
      <c r="W7046">
        <v>-6.3416239999999999E-2</v>
      </c>
      <c r="X7046">
        <v>0.91704430000000003</v>
      </c>
      <c r="Y7046">
        <v>-0.38922410000000002</v>
      </c>
      <c r="Z7046">
        <v>3.0476059999999999E-2</v>
      </c>
      <c r="AA7046">
        <v>0.92063879999999998</v>
      </c>
      <c r="AB7046">
        <v>18</v>
      </c>
      <c r="AC7046">
        <v>25.578199999999999</v>
      </c>
      <c r="AD7046">
        <v>-1.1111367691970999</v>
      </c>
      <c r="AE7046">
        <v>-5.6735899999999901</v>
      </c>
      <c r="AF7046">
        <v>-10.2295810102245</v>
      </c>
      <c r="AG7046">
        <v>-1.1111367691970999</v>
      </c>
      <c r="AH7046">
        <v>24.0692128479253</v>
      </c>
      <c r="AI7046">
        <v>92.432820647073896</v>
      </c>
      <c r="AJ7046">
        <v>113.025825800972</v>
      </c>
      <c r="AK7046">
        <v>26.1764390183871</v>
      </c>
      <c r="AL7046">
        <v>93.635922767921599</v>
      </c>
      <c r="AM7046">
        <v>113.235091827594</v>
      </c>
      <c r="AN7046">
        <v>0.99999999147635799</v>
      </c>
    </row>
    <row r="7047" spans="1:40" x14ac:dyDescent="0.25">
      <c r="A7047" t="str">
        <f>"20190305135104371"</f>
        <v>20190305135104371</v>
      </c>
      <c r="B7047" t="str">
        <f>"1551765064366808"</f>
        <v>1551765064366808</v>
      </c>
      <c r="C7047" t="s">
        <v>40</v>
      </c>
      <c r="D7047">
        <v>4.048851</v>
      </c>
      <c r="E7047">
        <v>0.46937659999999998</v>
      </c>
      <c r="F7047" t="s">
        <v>41</v>
      </c>
      <c r="G7047">
        <v>-286.97489999999999</v>
      </c>
      <c r="H7047">
        <v>1.0632649999999999</v>
      </c>
      <c r="I7047">
        <v>-57.731499999999997</v>
      </c>
      <c r="J7047">
        <v>-287.80930000000001</v>
      </c>
      <c r="K7047">
        <v>1.111191</v>
      </c>
      <c r="L7047">
        <v>-57.653750000000002</v>
      </c>
      <c r="M7047">
        <v>0.81570399999999998</v>
      </c>
      <c r="N7047">
        <v>-2.46927E-3</v>
      </c>
      <c r="O7047">
        <v>-0.57846439999999999</v>
      </c>
      <c r="P7047">
        <v>0.97580310000000003</v>
      </c>
      <c r="Q7047">
        <v>-6.3349080000000002E-2</v>
      </c>
      <c r="R7047">
        <v>-0.20927319999999999</v>
      </c>
      <c r="S7047">
        <v>2.9688110000000001</v>
      </c>
      <c r="T7047">
        <v>-0.15312229999999999</v>
      </c>
      <c r="U7047">
        <v>-0.44857789999999997</v>
      </c>
      <c r="V7047">
        <v>-0.3933526</v>
      </c>
      <c r="W7047">
        <v>-6.3675819999999994E-2</v>
      </c>
      <c r="X7047">
        <v>0.91718</v>
      </c>
      <c r="Y7047">
        <v>-0.44891959999999997</v>
      </c>
      <c r="Z7047">
        <v>3.8385610000000001E-2</v>
      </c>
      <c r="AA7047">
        <v>0.89274730000000002</v>
      </c>
      <c r="AB7047">
        <v>18</v>
      </c>
      <c r="AC7047">
        <v>0.83440000000001602</v>
      </c>
      <c r="AD7047">
        <v>-4.79260000000001E-2</v>
      </c>
      <c r="AE7047">
        <v>-7.7749999999994601E-2</v>
      </c>
      <c r="AF7047">
        <v>-0.417884181710373</v>
      </c>
      <c r="AG7047">
        <v>-4.79260000000001E-2</v>
      </c>
      <c r="AH7047">
        <v>0.72323569442533298</v>
      </c>
      <c r="AI7047">
        <v>93.283858726155401</v>
      </c>
      <c r="AJ7047">
        <v>120.01923869415801</v>
      </c>
      <c r="AK7047">
        <v>0.836656417229105</v>
      </c>
      <c r="AL7047">
        <v>93.6508256400882</v>
      </c>
      <c r="AM7047">
        <v>113.21312644788</v>
      </c>
      <c r="AN7047">
        <v>1.0000000151897099</v>
      </c>
    </row>
    <row r="7048" spans="1:40" x14ac:dyDescent="0.25">
      <c r="A7048" t="str">
        <f>"20190305135104384"</f>
        <v>20190305135104384</v>
      </c>
      <c r="B7048" t="str">
        <f>"1551765064376568"</f>
        <v>1551765064376568</v>
      </c>
      <c r="C7048" t="s">
        <v>40</v>
      </c>
      <c r="D7048">
        <v>3.9874839999999998</v>
      </c>
      <c r="E7048">
        <v>0.468167</v>
      </c>
      <c r="F7048" t="s">
        <v>41</v>
      </c>
      <c r="G7048">
        <v>-286.82380000000001</v>
      </c>
      <c r="H7048">
        <v>1.0672010000000001</v>
      </c>
      <c r="I7048">
        <v>-57.782179999999997</v>
      </c>
      <c r="J7048">
        <v>-287.714</v>
      </c>
      <c r="K7048">
        <v>1.111253</v>
      </c>
      <c r="L7048">
        <v>-57.716669999999901</v>
      </c>
      <c r="M7048">
        <v>0.81767000000000001</v>
      </c>
      <c r="N7048">
        <v>-2.4431510000000002E-3</v>
      </c>
      <c r="O7048">
        <v>-0.57568189999999997</v>
      </c>
      <c r="P7048">
        <v>0.9763172</v>
      </c>
      <c r="Q7048">
        <v>-6.2516310000000005E-2</v>
      </c>
      <c r="R7048">
        <v>-0.2071141</v>
      </c>
      <c r="S7048">
        <v>2.9824519999999999</v>
      </c>
      <c r="T7048">
        <v>-0.13311609999999999</v>
      </c>
      <c r="U7048">
        <v>-0.38842769999999999</v>
      </c>
      <c r="V7048">
        <v>-0.39228350000000001</v>
      </c>
      <c r="W7048">
        <v>-6.2918299999999996E-2</v>
      </c>
      <c r="X7048">
        <v>0.91769000000000001</v>
      </c>
      <c r="Y7048">
        <v>-0.4643562</v>
      </c>
      <c r="Z7048">
        <v>3.3459889999999999E-2</v>
      </c>
      <c r="AA7048">
        <v>0.88501629999999998</v>
      </c>
      <c r="AB7048">
        <v>18</v>
      </c>
      <c r="AC7048">
        <v>0.890199999999992</v>
      </c>
      <c r="AD7048">
        <v>-4.4051999999999897E-2</v>
      </c>
      <c r="AE7048">
        <v>-6.5510000000010393E-2</v>
      </c>
      <c r="AF7048">
        <v>-0.457792858275124</v>
      </c>
      <c r="AG7048">
        <v>-4.4051999999999897E-2</v>
      </c>
      <c r="AH7048">
        <v>0.76374490195636802</v>
      </c>
      <c r="AI7048">
        <v>92.832242505144706</v>
      </c>
      <c r="AJ7048">
        <v>120.938702106571</v>
      </c>
      <c r="AK7048">
        <v>0.89152742810081298</v>
      </c>
      <c r="AL7048">
        <v>93.607335799419005</v>
      </c>
      <c r="AM7048">
        <v>113.14517830560401</v>
      </c>
      <c r="AN7048">
        <v>0.99999999647356996</v>
      </c>
    </row>
    <row r="7049" spans="1:40" x14ac:dyDescent="0.25">
      <c r="A7049" t="str">
        <f>"20190305135104398"</f>
        <v>20190305135104398</v>
      </c>
      <c r="B7049" t="str">
        <f>"1551765064387304"</f>
        <v>1551765064387304</v>
      </c>
      <c r="C7049" t="s">
        <v>40</v>
      </c>
      <c r="D7049">
        <v>3.9747620000000001</v>
      </c>
      <c r="E7049">
        <v>0.46777790000000002</v>
      </c>
      <c r="F7049" t="s">
        <v>41</v>
      </c>
      <c r="G7049">
        <v>-286.81220000000002</v>
      </c>
      <c r="H7049">
        <v>1.0742240000000001</v>
      </c>
      <c r="I7049">
        <v>-57.8292199999999</v>
      </c>
      <c r="J7049">
        <v>-287.62729999999999</v>
      </c>
      <c r="K7049">
        <v>1.1113120000000001</v>
      </c>
      <c r="L7049">
        <v>-57.773560000000003</v>
      </c>
      <c r="M7049">
        <v>0.81946770000000002</v>
      </c>
      <c r="N7049">
        <v>-2.425296E-3</v>
      </c>
      <c r="O7049">
        <v>-0.57312039999999997</v>
      </c>
      <c r="P7049">
        <v>0.97694510000000001</v>
      </c>
      <c r="Q7049">
        <v>-6.2113090000000003E-2</v>
      </c>
      <c r="R7049">
        <v>-0.2042564</v>
      </c>
      <c r="S7049">
        <v>2.9859010000000001</v>
      </c>
      <c r="T7049">
        <v>-0.1225994</v>
      </c>
      <c r="U7049">
        <v>-0.37237550000000003</v>
      </c>
      <c r="V7049">
        <v>-0.39210529999999999</v>
      </c>
      <c r="W7049">
        <v>-6.2585639999999998E-2</v>
      </c>
      <c r="X7049">
        <v>0.91778890000000002</v>
      </c>
      <c r="Y7049">
        <v>-0.4665377</v>
      </c>
      <c r="Z7049">
        <v>3.0705929999999999E-2</v>
      </c>
      <c r="AA7049">
        <v>0.88396819999999898</v>
      </c>
      <c r="AB7049">
        <v>18</v>
      </c>
      <c r="AC7049">
        <v>0.81509999999997196</v>
      </c>
      <c r="AD7049">
        <v>-3.7088000000000003E-2</v>
      </c>
      <c r="AE7049">
        <v>-5.5659999999995997E-2</v>
      </c>
      <c r="AF7049">
        <v>-0.42067316546851302</v>
      </c>
      <c r="AG7049">
        <v>-3.7088000000000003E-2</v>
      </c>
      <c r="AH7049">
        <v>0.698410749097509</v>
      </c>
      <c r="AI7049">
        <v>92.604532104977906</v>
      </c>
      <c r="AJ7049">
        <v>121.061781810776</v>
      </c>
      <c r="AK7049">
        <v>0.81616113993759998</v>
      </c>
      <c r="AL7049">
        <v>93.588238145551202</v>
      </c>
      <c r="AM7049">
        <v>113.13353986614899</v>
      </c>
      <c r="AN7049">
        <v>0.99999999679275398</v>
      </c>
    </row>
    <row r="7050" spans="1:40" x14ac:dyDescent="0.25">
      <c r="A7050" t="str">
        <f>"20190305135104411"</f>
        <v>20190305135104411</v>
      </c>
      <c r="B7050" t="str">
        <f>"1551765064406824"</f>
        <v>1551765064406824</v>
      </c>
      <c r="C7050" t="s">
        <v>40</v>
      </c>
      <c r="D7050">
        <v>3.9282720000000002</v>
      </c>
      <c r="E7050">
        <v>0.46802539999999998</v>
      </c>
      <c r="F7050" t="s">
        <v>41</v>
      </c>
      <c r="G7050">
        <v>-286.6918</v>
      </c>
      <c r="H7050">
        <v>1.0748519999999999</v>
      </c>
      <c r="I7050">
        <v>-57.886420000000001</v>
      </c>
      <c r="J7050">
        <v>-287.53219999999999</v>
      </c>
      <c r="K7050">
        <v>1.1113770000000001</v>
      </c>
      <c r="L7050">
        <v>-57.835540000000002</v>
      </c>
      <c r="M7050">
        <v>0.82144309999999998</v>
      </c>
      <c r="N7050">
        <v>-2.4107809999999999E-3</v>
      </c>
      <c r="O7050">
        <v>-0.57028579999999995</v>
      </c>
      <c r="P7050">
        <v>0.97754459999999999</v>
      </c>
      <c r="Q7050">
        <v>-6.1982290000000002E-2</v>
      </c>
      <c r="R7050">
        <v>-0.20140749999999999</v>
      </c>
      <c r="S7050">
        <v>2.9880070000000001</v>
      </c>
      <c r="T7050">
        <v>-0.1164485</v>
      </c>
      <c r="U7050">
        <v>-0.36056519999999997</v>
      </c>
      <c r="V7050">
        <v>-0.3916056</v>
      </c>
      <c r="W7050">
        <v>-6.2526730000000003E-2</v>
      </c>
      <c r="X7050">
        <v>0.91800619999999999</v>
      </c>
      <c r="Y7050">
        <v>-0.46707910000000002</v>
      </c>
      <c r="Z7050">
        <v>2.9048770000000002E-2</v>
      </c>
      <c r="AA7050">
        <v>0.88373829999999998</v>
      </c>
      <c r="AB7050">
        <v>19</v>
      </c>
      <c r="AC7050">
        <v>0.84039999999998805</v>
      </c>
      <c r="AD7050">
        <v>-3.6524999999999898E-2</v>
      </c>
      <c r="AE7050">
        <v>-5.0879999999992202E-2</v>
      </c>
      <c r="AF7050">
        <v>-0.43665254970608902</v>
      </c>
      <c r="AG7050">
        <v>-3.6524999999999898E-2</v>
      </c>
      <c r="AH7050">
        <v>0.71800755380152104</v>
      </c>
      <c r="AI7050">
        <v>92.488717829328607</v>
      </c>
      <c r="AJ7050">
        <v>121.305657606756</v>
      </c>
      <c r="AK7050">
        <v>0.84115062391100404</v>
      </c>
      <c r="AL7050">
        <v>93.584856357489898</v>
      </c>
      <c r="AM7050">
        <v>113.102258654422</v>
      </c>
      <c r="AN7050">
        <v>0.99999996057714502</v>
      </c>
    </row>
    <row r="7051" spans="1:40" x14ac:dyDescent="0.25">
      <c r="A7051" t="str">
        <f>"20190305135104423"</f>
        <v>20190305135104423</v>
      </c>
      <c r="B7051" t="str">
        <f>"1551765064416585"</f>
        <v>1551765064416585</v>
      </c>
      <c r="C7051" t="s">
        <v>40</v>
      </c>
      <c r="D7051">
        <v>3.989687</v>
      </c>
      <c r="E7051">
        <v>0.46807710000000002</v>
      </c>
      <c r="F7051" t="s">
        <v>41</v>
      </c>
      <c r="G7051">
        <v>-286.54340000000002</v>
      </c>
      <c r="H7051">
        <v>1.074776</v>
      </c>
      <c r="I7051">
        <v>-57.952770000000001</v>
      </c>
      <c r="J7051">
        <v>-287.44060000000002</v>
      </c>
      <c r="K7051">
        <v>1.1114459999999999</v>
      </c>
      <c r="L7051">
        <v>-57.894590000000001</v>
      </c>
      <c r="M7051">
        <v>0.82337009999999899</v>
      </c>
      <c r="N7051">
        <v>-2.404982E-3</v>
      </c>
      <c r="O7051">
        <v>-0.5674998</v>
      </c>
      <c r="P7051">
        <v>0.97814950000000001</v>
      </c>
      <c r="Q7051">
        <v>-6.1893549999999999E-2</v>
      </c>
      <c r="R7051">
        <v>-0.1984757</v>
      </c>
      <c r="S7051">
        <v>2.988953</v>
      </c>
      <c r="T7051">
        <v>-0.1106234</v>
      </c>
      <c r="U7051">
        <v>-0.3537903</v>
      </c>
      <c r="V7051">
        <v>-0.39124150000000002</v>
      </c>
      <c r="W7051">
        <v>-6.2506590000000001E-2</v>
      </c>
      <c r="X7051">
        <v>0.9181629</v>
      </c>
      <c r="Y7051">
        <v>-0.4661632</v>
      </c>
      <c r="Z7051">
        <v>2.7458690000000001E-2</v>
      </c>
      <c r="AA7051">
        <v>0.88427250000000002</v>
      </c>
      <c r="AB7051">
        <v>19</v>
      </c>
      <c r="AC7051">
        <v>0.897199999999997</v>
      </c>
      <c r="AD7051">
        <v>-3.6669999999999897E-2</v>
      </c>
      <c r="AE7051">
        <v>-5.8179999999993001E-2</v>
      </c>
      <c r="AF7051">
        <v>-0.46049242666170698</v>
      </c>
      <c r="AG7051">
        <v>-3.6669999999999897E-2</v>
      </c>
      <c r="AH7051">
        <v>0.77046531094816495</v>
      </c>
      <c r="AI7051">
        <v>92.339448475397106</v>
      </c>
      <c r="AJ7051">
        <v>120.865956055124</v>
      </c>
      <c r="AK7051">
        <v>0.89834000205225195</v>
      </c>
      <c r="AL7051">
        <v>93.583699845028406</v>
      </c>
      <c r="AM7051">
        <v>113.079502896085</v>
      </c>
      <c r="AN7051">
        <v>1.00000004802604</v>
      </c>
    </row>
    <row r="7052" spans="1:40" x14ac:dyDescent="0.25">
      <c r="A7052" t="str">
        <f>"20190305135104435"</f>
        <v>20190305135104435</v>
      </c>
      <c r="B7052" t="str">
        <f>"1551765064427319"</f>
        <v>1551765064427319</v>
      </c>
      <c r="C7052" t="s">
        <v>40</v>
      </c>
      <c r="D7052">
        <v>3.9473739999999999</v>
      </c>
      <c r="E7052">
        <v>0.46824710000000003</v>
      </c>
      <c r="F7052" t="s">
        <v>41</v>
      </c>
      <c r="G7052">
        <v>-286.48829999999998</v>
      </c>
      <c r="H7052">
        <v>1.0770959999999901</v>
      </c>
      <c r="I7052">
        <v>-58.004730000000002</v>
      </c>
      <c r="J7052">
        <v>-287.3603</v>
      </c>
      <c r="K7052">
        <v>1.1115090000000001</v>
      </c>
      <c r="L7052">
        <v>-57.946080000000002</v>
      </c>
      <c r="M7052">
        <v>0.82506970000000002</v>
      </c>
      <c r="N7052">
        <v>-2.4029730000000001E-3</v>
      </c>
      <c r="O7052">
        <v>-0.56502600000000003</v>
      </c>
      <c r="P7052">
        <v>0.97862859999999996</v>
      </c>
      <c r="Q7052">
        <v>-6.2336040000000002E-2</v>
      </c>
      <c r="R7052">
        <v>-0.19596050000000001</v>
      </c>
      <c r="S7052">
        <v>2.9901119999999999</v>
      </c>
      <c r="T7052">
        <v>-0.10783860000000001</v>
      </c>
      <c r="U7052">
        <v>-0.34521479999999999</v>
      </c>
      <c r="V7052">
        <v>-0.39081749999999998</v>
      </c>
      <c r="W7052">
        <v>-6.3007930000000004E-2</v>
      </c>
      <c r="X7052">
        <v>0.91830919999999905</v>
      </c>
      <c r="Y7052">
        <v>-0.46608329999999998</v>
      </c>
      <c r="Z7052">
        <v>2.6677139999999998E-2</v>
      </c>
      <c r="AA7052">
        <v>0.88433859999999997</v>
      </c>
      <c r="AB7052">
        <v>19</v>
      </c>
      <c r="AC7052">
        <v>0.87200000000001399</v>
      </c>
      <c r="AD7052">
        <v>-3.44130000000002E-2</v>
      </c>
      <c r="AE7052">
        <v>-5.8650000000000001E-2</v>
      </c>
      <c r="AF7052">
        <v>-0.443625770039759</v>
      </c>
      <c r="AG7052">
        <v>-3.44130000000002E-2</v>
      </c>
      <c r="AH7052">
        <v>0.75143661506570703</v>
      </c>
      <c r="AI7052">
        <v>92.258376760192306</v>
      </c>
      <c r="AJ7052">
        <v>120.55633539026999</v>
      </c>
      <c r="AK7052">
        <v>0.87329551978341102</v>
      </c>
      <c r="AL7052">
        <v>93.612481228340997</v>
      </c>
      <c r="AM7052">
        <v>113.05381689227001</v>
      </c>
      <c r="AN7052">
        <v>1.0000000521768799</v>
      </c>
    </row>
    <row r="7053" spans="1:40" x14ac:dyDescent="0.25">
      <c r="A7053" t="str">
        <f>"20190305135104446"</f>
        <v>20190305135104446</v>
      </c>
      <c r="B7053" t="str">
        <f>"1551765064437080"</f>
        <v>1551765064437080</v>
      </c>
      <c r="C7053" t="s">
        <v>40</v>
      </c>
      <c r="D7053">
        <v>3.9634740000000002</v>
      </c>
      <c r="E7053">
        <v>0.46814230000000001</v>
      </c>
      <c r="F7053" t="s">
        <v>41</v>
      </c>
      <c r="G7053">
        <v>-286.40789999999998</v>
      </c>
      <c r="H7053">
        <v>1.07704</v>
      </c>
      <c r="I7053">
        <v>-58.05395</v>
      </c>
      <c r="J7053">
        <v>-287.27710000000002</v>
      </c>
      <c r="K7053">
        <v>1.111578</v>
      </c>
      <c r="L7053">
        <v>-57.998989999999999</v>
      </c>
      <c r="M7053">
        <v>0.82683809999999902</v>
      </c>
      <c r="N7053">
        <v>-2.4039640000000002E-3</v>
      </c>
      <c r="O7053">
        <v>-0.56243489999999996</v>
      </c>
      <c r="P7053">
        <v>0.97921440000000004</v>
      </c>
      <c r="Q7053">
        <v>-6.23318E-2</v>
      </c>
      <c r="R7053">
        <v>-0.1930132</v>
      </c>
      <c r="S7053">
        <v>2.9907530000000002</v>
      </c>
      <c r="T7053">
        <v>-0.108247</v>
      </c>
      <c r="U7053">
        <v>-0.33883669999999999</v>
      </c>
      <c r="V7053">
        <v>-0.39069169999999998</v>
      </c>
      <c r="W7053">
        <v>-6.3066720000000007E-2</v>
      </c>
      <c r="X7053">
        <v>0.91835860000000002</v>
      </c>
      <c r="Y7053">
        <v>-0.4651885</v>
      </c>
      <c r="Z7053">
        <v>2.669469E-2</v>
      </c>
      <c r="AA7053">
        <v>0.88480899999999996</v>
      </c>
      <c r="AB7053">
        <v>19</v>
      </c>
      <c r="AC7053">
        <v>0.86920000000003395</v>
      </c>
      <c r="AD7053">
        <v>-3.4537999999999902E-2</v>
      </c>
      <c r="AE7053">
        <v>-5.4960000000001202E-2</v>
      </c>
      <c r="AF7053">
        <v>-0.44273042175557198</v>
      </c>
      <c r="AG7053">
        <v>-3.4537999999999902E-2</v>
      </c>
      <c r="AH7053">
        <v>0.74842426762772996</v>
      </c>
      <c r="AI7053">
        <v>92.274510127593601</v>
      </c>
      <c r="AJ7053">
        <v>120.60643954360199</v>
      </c>
      <c r="AK7053">
        <v>0.87025397681709604</v>
      </c>
      <c r="AL7053">
        <v>93.6158566683375</v>
      </c>
      <c r="AM7053">
        <v>113.04606090064701</v>
      </c>
      <c r="AN7053">
        <v>0.99999996690720305</v>
      </c>
    </row>
    <row r="7054" spans="1:40" x14ac:dyDescent="0.25">
      <c r="A7054" t="str">
        <f>"20190305135104458"</f>
        <v>20190305135104458</v>
      </c>
      <c r="B7054" t="str">
        <f>"1551765064446841"</f>
        <v>1551765064446841</v>
      </c>
      <c r="C7054" t="s">
        <v>40</v>
      </c>
      <c r="D7054">
        <v>3.9342169999999999</v>
      </c>
      <c r="E7054">
        <v>0.46823049999999999</v>
      </c>
      <c r="F7054" t="s">
        <v>41</v>
      </c>
      <c r="G7054">
        <v>-286.327</v>
      </c>
      <c r="H7054">
        <v>1.0772790000000001</v>
      </c>
      <c r="I7054">
        <v>-58.103439999999999</v>
      </c>
      <c r="J7054">
        <v>-287.19810000000001</v>
      </c>
      <c r="K7054">
        <v>1.111645</v>
      </c>
      <c r="L7054">
        <v>-58.0488</v>
      </c>
      <c r="M7054">
        <v>0.82854130000000004</v>
      </c>
      <c r="N7054">
        <v>-2.4100599999999999E-3</v>
      </c>
      <c r="O7054">
        <v>-0.55992310000000001</v>
      </c>
      <c r="P7054">
        <v>0.97972020000000004</v>
      </c>
      <c r="Q7054">
        <v>-6.232439E-2</v>
      </c>
      <c r="R7054">
        <v>-0.19043199999999999</v>
      </c>
      <c r="S7054">
        <v>2.9919129999999998</v>
      </c>
      <c r="T7054">
        <v>-0.10801669999999999</v>
      </c>
      <c r="U7054">
        <v>-0.32897949999999998</v>
      </c>
      <c r="V7054">
        <v>-0.39031379999999999</v>
      </c>
      <c r="W7054">
        <v>-6.311812E-2</v>
      </c>
      <c r="X7054">
        <v>0.91851579999999999</v>
      </c>
      <c r="Y7054">
        <v>-0.465424</v>
      </c>
      <c r="Z7054">
        <v>2.6569909999999999E-2</v>
      </c>
      <c r="AA7054">
        <v>0.88468899999999995</v>
      </c>
      <c r="AB7054">
        <v>19</v>
      </c>
      <c r="AC7054">
        <v>0.87110000000001198</v>
      </c>
      <c r="AD7054">
        <v>-3.4365999999999897E-2</v>
      </c>
      <c r="AE7054">
        <v>-5.4639999999999099E-2</v>
      </c>
      <c r="AF7054">
        <v>-0.44179380424807502</v>
      </c>
      <c r="AG7054">
        <v>-3.4365999999999897E-2</v>
      </c>
      <c r="AH7054">
        <v>0.75117402225416996</v>
      </c>
      <c r="AI7054">
        <v>92.258284822188102</v>
      </c>
      <c r="AJ7054">
        <v>120.461392882765</v>
      </c>
      <c r="AK7054">
        <v>0.87213829129186504</v>
      </c>
      <c r="AL7054">
        <v>93.618807368350303</v>
      </c>
      <c r="AM7054">
        <v>113.022564077816</v>
      </c>
      <c r="AN7054">
        <v>1.0000000171962</v>
      </c>
    </row>
    <row r="7055" spans="1:40" x14ac:dyDescent="0.25">
      <c r="A7055" t="str">
        <f>"20190305135104471"</f>
        <v>20190305135104471</v>
      </c>
      <c r="B7055" t="str">
        <f>"1551765064467336"</f>
        <v>1551765064467336</v>
      </c>
      <c r="C7055" t="s">
        <v>40</v>
      </c>
      <c r="D7055">
        <v>3.9366759999999998</v>
      </c>
      <c r="E7055">
        <v>0.46835159999999998</v>
      </c>
      <c r="F7055" t="s">
        <v>41</v>
      </c>
      <c r="G7055">
        <v>-286.25420000000003</v>
      </c>
      <c r="H7055">
        <v>1.077674</v>
      </c>
      <c r="I7055">
        <v>-58.150489999999998</v>
      </c>
      <c r="J7055">
        <v>-287.11059999999998</v>
      </c>
      <c r="K7055">
        <v>1.1117250000000001</v>
      </c>
      <c r="L7055">
        <v>-58.103670000000001</v>
      </c>
      <c r="M7055">
        <v>0.83042959999999999</v>
      </c>
      <c r="N7055">
        <v>-2.4185169999999998E-3</v>
      </c>
      <c r="O7055">
        <v>-0.55711820000000001</v>
      </c>
      <c r="P7055">
        <v>0.98030130000000004</v>
      </c>
      <c r="Q7055">
        <v>-6.2160069999999998E-2</v>
      </c>
      <c r="R7055">
        <v>-0.18747130000000001</v>
      </c>
      <c r="S7055">
        <v>2.9926759999999999</v>
      </c>
      <c r="T7055">
        <v>-0.10769869999999999</v>
      </c>
      <c r="U7055">
        <v>-0.32186890000000001</v>
      </c>
      <c r="V7055">
        <v>-0.38997759999999998</v>
      </c>
      <c r="W7055">
        <v>-6.3020329999999999E-2</v>
      </c>
      <c r="X7055">
        <v>0.91866530000000002</v>
      </c>
      <c r="Y7055">
        <v>-0.46453919999999999</v>
      </c>
      <c r="Z7055">
        <v>2.639377E-2</v>
      </c>
      <c r="AA7055">
        <v>0.88515909999999998</v>
      </c>
      <c r="AB7055">
        <v>19</v>
      </c>
      <c r="AC7055">
        <v>0.85639999999995098</v>
      </c>
      <c r="AD7055">
        <v>-3.4050999999999998E-2</v>
      </c>
      <c r="AE7055">
        <v>-4.6820000000010902E-2</v>
      </c>
      <c r="AF7055">
        <v>-0.43754696536926801</v>
      </c>
      <c r="AG7055">
        <v>-3.4050999999999998E-2</v>
      </c>
      <c r="AH7055">
        <v>0.73610614414919295</v>
      </c>
      <c r="AI7055">
        <v>92.277104897501303</v>
      </c>
      <c r="AJ7055">
        <v>120.727564560693</v>
      </c>
      <c r="AK7055">
        <v>0.85700587685210705</v>
      </c>
      <c r="AL7055">
        <v>93.613193256245793</v>
      </c>
      <c r="AM7055">
        <v>113.001443523879</v>
      </c>
      <c r="AN7055">
        <v>1.00000001195957</v>
      </c>
    </row>
    <row r="7056" spans="1:40" x14ac:dyDescent="0.25">
      <c r="A7056" t="str">
        <f>"20190305135104483"</f>
        <v>20190305135104483</v>
      </c>
      <c r="B7056" t="str">
        <f>"1551765064477096"</f>
        <v>1551765064477096</v>
      </c>
      <c r="C7056" t="s">
        <v>40</v>
      </c>
      <c r="D7056">
        <v>3.9432839999999998</v>
      </c>
      <c r="E7056">
        <v>0.46848200000000001</v>
      </c>
      <c r="F7056" t="s">
        <v>41</v>
      </c>
      <c r="G7056">
        <v>-286.11290000000002</v>
      </c>
      <c r="H7056">
        <v>1.0756059999999901</v>
      </c>
      <c r="I7056">
        <v>-58.208319999999901</v>
      </c>
      <c r="J7056">
        <v>-287.01209999999998</v>
      </c>
      <c r="K7056">
        <v>1.111831</v>
      </c>
      <c r="L7056">
        <v>-58.164639999999999</v>
      </c>
      <c r="M7056">
        <v>0.83259490000000003</v>
      </c>
      <c r="N7056">
        <v>-2.435993E-3</v>
      </c>
      <c r="O7056">
        <v>-0.55387690000000001</v>
      </c>
      <c r="P7056">
        <v>0.98100779999999999</v>
      </c>
      <c r="Q7056">
        <v>-6.2233370000000003E-2</v>
      </c>
      <c r="R7056">
        <v>-0.18371419999999999</v>
      </c>
      <c r="S7056">
        <v>2.9934080000000001</v>
      </c>
      <c r="T7056">
        <v>-0.108362899999999</v>
      </c>
      <c r="U7056">
        <v>-0.31381229999999999</v>
      </c>
      <c r="V7056">
        <v>-0.38989800000000002</v>
      </c>
      <c r="W7056">
        <v>-6.3174170000000002E-2</v>
      </c>
      <c r="X7056">
        <v>0.91868850000000002</v>
      </c>
      <c r="Y7056">
        <v>-0.46346150000000003</v>
      </c>
      <c r="Z7056">
        <v>2.6447769999999999E-2</v>
      </c>
      <c r="AA7056">
        <v>0.88572229999999996</v>
      </c>
      <c r="AB7056">
        <v>19</v>
      </c>
      <c r="AC7056">
        <v>0.89919999999995004</v>
      </c>
      <c r="AD7056">
        <v>-3.6225000000000097E-2</v>
      </c>
      <c r="AE7056">
        <v>-4.3679999999987701E-2</v>
      </c>
      <c r="AF7056">
        <v>-0.460933464891992</v>
      </c>
      <c r="AG7056">
        <v>-3.6225000000000097E-2</v>
      </c>
      <c r="AH7056">
        <v>0.77161569609258096</v>
      </c>
      <c r="AI7056">
        <v>92.307972110282904</v>
      </c>
      <c r="AJ7056">
        <v>120.852466654252</v>
      </c>
      <c r="AK7056">
        <v>0.89953470869042995</v>
      </c>
      <c r="AL7056">
        <v>93.622025306039603</v>
      </c>
      <c r="AM7056">
        <v>112.99671652470499</v>
      </c>
      <c r="AN7056">
        <v>0.99999999309571896</v>
      </c>
    </row>
    <row r="7057" spans="1:40" x14ac:dyDescent="0.25">
      <c r="A7057" t="str">
        <f>"20190305135104497"</f>
        <v>20190305135104497</v>
      </c>
      <c r="B7057" t="str">
        <f>"1551765064486855"</f>
        <v>1551765064486855</v>
      </c>
      <c r="C7057" t="s">
        <v>40</v>
      </c>
      <c r="D7057">
        <v>3.9236659999999999</v>
      </c>
      <c r="E7057">
        <v>0.46852300000000002</v>
      </c>
      <c r="F7057" t="s">
        <v>41</v>
      </c>
      <c r="G7057">
        <v>-286.07859999999999</v>
      </c>
      <c r="H7057">
        <v>1.0778479999999999</v>
      </c>
      <c r="I7057">
        <v>-58.259279999999997</v>
      </c>
      <c r="J7057">
        <v>-286.9171</v>
      </c>
      <c r="K7057">
        <v>1.1119319999999999</v>
      </c>
      <c r="L7057">
        <v>-58.22296</v>
      </c>
      <c r="M7057">
        <v>0.83470089999999997</v>
      </c>
      <c r="N7057">
        <v>-2.455994E-3</v>
      </c>
      <c r="O7057">
        <v>-0.55069829999999997</v>
      </c>
      <c r="P7057">
        <v>0.98149209999999998</v>
      </c>
      <c r="Q7057">
        <v>-6.2302990000000003E-2</v>
      </c>
      <c r="R7057">
        <v>-0.18108489999999999</v>
      </c>
      <c r="S7057">
        <v>2.994354</v>
      </c>
      <c r="T7057">
        <v>-0.1090044</v>
      </c>
      <c r="U7057">
        <v>-0.30337520000000001</v>
      </c>
      <c r="V7057">
        <v>-0.38883780000000001</v>
      </c>
      <c r="W7057">
        <v>-6.3311800000000001E-2</v>
      </c>
      <c r="X7057">
        <v>0.91912830000000001</v>
      </c>
      <c r="Y7057">
        <v>-0.46316210000000002</v>
      </c>
      <c r="Z7057">
        <v>2.651044E-2</v>
      </c>
      <c r="AA7057">
        <v>0.88587700000000003</v>
      </c>
      <c r="AB7057">
        <v>19</v>
      </c>
      <c r="AC7057">
        <v>0.83850000000001002</v>
      </c>
      <c r="AD7057">
        <v>-3.4083999999999899E-2</v>
      </c>
      <c r="AE7057">
        <v>-3.6320000000003398E-2</v>
      </c>
      <c r="AF7057">
        <v>-0.43073505622474401</v>
      </c>
      <c r="AG7057">
        <v>-3.4083999999999899E-2</v>
      </c>
      <c r="AH7057">
        <v>0.718714825807378</v>
      </c>
      <c r="AI7057">
        <v>92.329374839859497</v>
      </c>
      <c r="AJ7057">
        <v>120.93480014538</v>
      </c>
      <c r="AK7057">
        <v>0.83859728627766505</v>
      </c>
      <c r="AL7057">
        <v>93.629926624619003</v>
      </c>
      <c r="AM7057">
        <v>112.930822319736</v>
      </c>
      <c r="AN7057">
        <v>1.0000000252944801</v>
      </c>
    </row>
    <row r="7058" spans="1:40" x14ac:dyDescent="0.25">
      <c r="A7058" t="str">
        <f>"20190305135104514"</f>
        <v>20190305135104514</v>
      </c>
      <c r="B7058" t="str">
        <f>"1551765064507352"</f>
        <v>1551765064507352</v>
      </c>
      <c r="C7058" t="s">
        <v>40</v>
      </c>
      <c r="D7058">
        <v>3.9271150000000001</v>
      </c>
      <c r="E7058">
        <v>0.46854669999999998</v>
      </c>
      <c r="F7058" t="s">
        <v>41</v>
      </c>
      <c r="G7058">
        <v>-285.9751</v>
      </c>
      <c r="H7058">
        <v>1.0776889999999999</v>
      </c>
      <c r="I7058">
        <v>-58.316029999999998</v>
      </c>
      <c r="J7058">
        <v>-286.7955</v>
      </c>
      <c r="K7058">
        <v>1.112069</v>
      </c>
      <c r="L7058">
        <v>-58.296840000000003</v>
      </c>
      <c r="M7058">
        <v>0.83742099999999897</v>
      </c>
      <c r="N7058">
        <v>-2.4867919999999998E-3</v>
      </c>
      <c r="O7058">
        <v>-0.54655279999999995</v>
      </c>
      <c r="P7058">
        <v>0.98225309999999999</v>
      </c>
      <c r="Q7058">
        <v>-6.2303099999999903E-2</v>
      </c>
      <c r="R7058">
        <v>-0.1769105</v>
      </c>
      <c r="S7058">
        <v>2.9950869999999998</v>
      </c>
      <c r="T7058">
        <v>-0.10886750000000001</v>
      </c>
      <c r="U7058">
        <v>-0.2957458</v>
      </c>
      <c r="V7058">
        <v>-0.3881674</v>
      </c>
      <c r="W7058">
        <v>-6.3404070000000007E-2</v>
      </c>
      <c r="X7058">
        <v>0.91940520000000003</v>
      </c>
      <c r="Y7058">
        <v>-0.46102860000000001</v>
      </c>
      <c r="Z7058">
        <v>2.6310730000000001E-2</v>
      </c>
      <c r="AA7058">
        <v>0.88699509999999904</v>
      </c>
      <c r="AB7058">
        <v>19</v>
      </c>
      <c r="AC7058">
        <v>0.82040000000000601</v>
      </c>
      <c r="AD7058">
        <v>-3.4380000000000001E-2</v>
      </c>
      <c r="AE7058">
        <v>-1.9190000000001799E-2</v>
      </c>
      <c r="AF7058">
        <v>-0.43156565038739497</v>
      </c>
      <c r="AG7058">
        <v>-3.4380000000000001E-2</v>
      </c>
      <c r="AH7058">
        <v>0.696288550800641</v>
      </c>
      <c r="AI7058">
        <v>92.403205377700999</v>
      </c>
      <c r="AJ7058">
        <v>121.79099182744601</v>
      </c>
      <c r="AK7058">
        <v>0.81990770271436797</v>
      </c>
      <c r="AL7058">
        <v>93.635224171656205</v>
      </c>
      <c r="AM7058">
        <v>112.889181449231</v>
      </c>
      <c r="AN7058">
        <v>0.99999996415118197</v>
      </c>
    </row>
    <row r="7059" spans="1:40" x14ac:dyDescent="0.25">
      <c r="A7059" t="str">
        <f>"20190305135104528"</f>
        <v>20190305135104528</v>
      </c>
      <c r="B7059" t="str">
        <f>"1551765064517112"</f>
        <v>1551765064517112</v>
      </c>
      <c r="C7059" t="s">
        <v>40</v>
      </c>
      <c r="D7059">
        <v>3.917046</v>
      </c>
      <c r="E7059">
        <v>0.46866099999999999</v>
      </c>
      <c r="F7059" t="s">
        <v>41</v>
      </c>
      <c r="G7059">
        <v>-285.82229999999998</v>
      </c>
      <c r="H7059">
        <v>1.0768310000000001</v>
      </c>
      <c r="I7059">
        <v>-58.388930000000002</v>
      </c>
      <c r="J7059">
        <v>-286.68209999999999</v>
      </c>
      <c r="K7059">
        <v>1.1122030000000001</v>
      </c>
      <c r="L7059">
        <v>-58.364930000000001</v>
      </c>
      <c r="M7059">
        <v>0.83998649999999997</v>
      </c>
      <c r="N7059">
        <v>-2.521957E-3</v>
      </c>
      <c r="O7059">
        <v>-0.54260180000000002</v>
      </c>
      <c r="P7059">
        <v>0.98288279999999995</v>
      </c>
      <c r="Q7059">
        <v>-6.2396640000000003E-2</v>
      </c>
      <c r="R7059">
        <v>-0.1733442</v>
      </c>
      <c r="S7059">
        <v>2.9963069999999998</v>
      </c>
      <c r="T7059">
        <v>-0.10848049999999999</v>
      </c>
      <c r="U7059">
        <v>-0.2833252</v>
      </c>
      <c r="V7059">
        <v>-0.38714979999999999</v>
      </c>
      <c r="W7059">
        <v>-6.357807E-2</v>
      </c>
      <c r="X7059">
        <v>0.91982220000000003</v>
      </c>
      <c r="Y7059">
        <v>-0.4605341</v>
      </c>
      <c r="Z7059">
        <v>2.6084240000000002E-2</v>
      </c>
      <c r="AA7059">
        <v>0.88725859999999901</v>
      </c>
      <c r="AB7059">
        <v>19</v>
      </c>
      <c r="AC7059">
        <v>0.859800000000007</v>
      </c>
      <c r="AD7059">
        <v>-3.5372000000000098E-2</v>
      </c>
      <c r="AE7059">
        <v>-2.3999999999993801E-2</v>
      </c>
      <c r="AF7059">
        <v>-0.445617071073166</v>
      </c>
      <c r="AG7059">
        <v>-3.5372000000000098E-2</v>
      </c>
      <c r="AH7059">
        <v>0.73400370759667</v>
      </c>
      <c r="AI7059">
        <v>92.358870259769304</v>
      </c>
      <c r="AJ7059">
        <v>121.262132573356</v>
      </c>
      <c r="AK7059">
        <v>0.859410958262393</v>
      </c>
      <c r="AL7059">
        <v>93.645213628517297</v>
      </c>
      <c r="AM7059">
        <v>112.82604753560599</v>
      </c>
      <c r="AN7059">
        <v>1.0000000091189001</v>
      </c>
    </row>
    <row r="7060" spans="1:40" x14ac:dyDescent="0.25">
      <c r="A7060" t="str">
        <f>"20190305135104541"</f>
        <v>20190305135104541</v>
      </c>
      <c r="B7060" t="str">
        <f>"1551765064536632"</f>
        <v>1551765064536632</v>
      </c>
      <c r="C7060" t="s">
        <v>40</v>
      </c>
      <c r="D7060">
        <v>3.9118219999999999</v>
      </c>
      <c r="E7060">
        <v>0.46887499999999999</v>
      </c>
      <c r="F7060" t="s">
        <v>112</v>
      </c>
      <c r="G7060">
        <v>-256.1268</v>
      </c>
      <c r="H7060" s="1">
        <v>-1.9355229999999999E-6</v>
      </c>
      <c r="I7060">
        <v>-61.1526</v>
      </c>
      <c r="J7060">
        <v>-286.58960000000002</v>
      </c>
      <c r="K7060">
        <v>1.112312</v>
      </c>
      <c r="L7060">
        <v>-58.419620000000002</v>
      </c>
      <c r="M7060">
        <v>0.84211069999999999</v>
      </c>
      <c r="N7060">
        <v>-2.559885E-3</v>
      </c>
      <c r="O7060">
        <v>-0.53929899999999997</v>
      </c>
      <c r="P7060">
        <v>0.98318550000000005</v>
      </c>
      <c r="Q7060">
        <v>-6.1835809999999998E-2</v>
      </c>
      <c r="R7060">
        <v>-0.17182269999999999</v>
      </c>
      <c r="S7060">
        <v>2.9971009999999998</v>
      </c>
      <c r="T7060">
        <v>-0.1090938</v>
      </c>
      <c r="U7060">
        <v>-0.2734375</v>
      </c>
      <c r="V7060">
        <v>-0.3849687</v>
      </c>
      <c r="W7060">
        <v>-6.3061080000000005E-2</v>
      </c>
      <c r="X7060">
        <v>0.9207727</v>
      </c>
      <c r="Y7060">
        <v>-0.45996870000000001</v>
      </c>
      <c r="Z7060">
        <v>2.6122639999999999E-2</v>
      </c>
      <c r="AA7060">
        <v>0.88755079999999997</v>
      </c>
      <c r="AB7060">
        <v>19</v>
      </c>
      <c r="AC7060">
        <v>30.462800000000001</v>
      </c>
      <c r="AD7060">
        <v>-1.1123139355230001</v>
      </c>
      <c r="AE7060">
        <v>-2.73298</v>
      </c>
      <c r="AF7060">
        <v>-14.1084692931673</v>
      </c>
      <c r="AG7060">
        <v>-1.1123139355230001</v>
      </c>
      <c r="AH7060">
        <v>27.0911955012253</v>
      </c>
      <c r="AI7060">
        <v>92.085554602657297</v>
      </c>
      <c r="AJ7060">
        <v>117.509459928534</v>
      </c>
      <c r="AK7060">
        <v>30.5649966754949</v>
      </c>
      <c r="AL7060">
        <v>93.615532819427898</v>
      </c>
      <c r="AM7060">
        <v>112.68946757947</v>
      </c>
      <c r="AN7060">
        <v>0.99999998242787302</v>
      </c>
    </row>
    <row r="7061" spans="1:40" x14ac:dyDescent="0.25">
      <c r="A7061" t="str">
        <f>"20190305135104555"</f>
        <v>20190305135104555</v>
      </c>
      <c r="B7061" t="str">
        <f>"1551765064547368"</f>
        <v>1551765064547368</v>
      </c>
      <c r="C7061" t="s">
        <v>40</v>
      </c>
      <c r="D7061">
        <v>3.9047390000000002</v>
      </c>
      <c r="E7061">
        <v>0.4689817</v>
      </c>
      <c r="F7061" t="s">
        <v>41</v>
      </c>
      <c r="G7061">
        <v>-285.6576</v>
      </c>
      <c r="H7061">
        <v>1.0787709999999999</v>
      </c>
      <c r="I7061">
        <v>-58.503799999999998</v>
      </c>
      <c r="J7061">
        <v>-286.48610000000002</v>
      </c>
      <c r="K7061">
        <v>1.1124449999999999</v>
      </c>
      <c r="L7061">
        <v>-58.480289999999997</v>
      </c>
      <c r="M7061">
        <v>0.84449879999999999</v>
      </c>
      <c r="N7061">
        <v>-2.611216E-3</v>
      </c>
      <c r="O7061">
        <v>-0.53555120000000001</v>
      </c>
      <c r="P7061">
        <v>0.98382449999999999</v>
      </c>
      <c r="Q7061">
        <v>-6.1409159999999997E-2</v>
      </c>
      <c r="R7061">
        <v>-0.16828129999999999</v>
      </c>
      <c r="S7061">
        <v>2.9972530000000002</v>
      </c>
      <c r="T7061">
        <v>-0.1078689</v>
      </c>
      <c r="U7061">
        <v>-0.2705688</v>
      </c>
      <c r="V7061">
        <v>-0.38419239999999999</v>
      </c>
      <c r="W7061">
        <v>-6.2695089999999995E-2</v>
      </c>
      <c r="X7061">
        <v>0.92112190000000005</v>
      </c>
      <c r="Y7061">
        <v>-0.45688529999999999</v>
      </c>
      <c r="Z7061">
        <v>2.5641980000000002E-2</v>
      </c>
      <c r="AA7061">
        <v>0.88915599999999995</v>
      </c>
      <c r="AB7061">
        <v>20</v>
      </c>
      <c r="AC7061">
        <v>0.828500000000019</v>
      </c>
      <c r="AD7061">
        <v>-3.3674000000000197E-2</v>
      </c>
      <c r="AE7061">
        <v>-2.3509999999994501E-2</v>
      </c>
      <c r="AF7061">
        <v>-0.42315294285384503</v>
      </c>
      <c r="AG7061">
        <v>-3.3674000000000197E-2</v>
      </c>
      <c r="AH7061">
        <v>0.71108669188272</v>
      </c>
      <c r="AI7061">
        <v>92.330380015505099</v>
      </c>
      <c r="AJ7061">
        <v>120.755999360527</v>
      </c>
      <c r="AK7061">
        <v>0.82815254313114295</v>
      </c>
      <c r="AL7061">
        <v>93.594521444065805</v>
      </c>
      <c r="AM7061">
        <v>112.640617316568</v>
      </c>
      <c r="AN7061">
        <v>1.00000001459373</v>
      </c>
    </row>
    <row r="7062" spans="1:40" x14ac:dyDescent="0.25">
      <c r="A7062" t="str">
        <f>"20190305135104568"</f>
        <v>20190305135104568</v>
      </c>
      <c r="B7062" t="str">
        <f>"1551765064557128"</f>
        <v>1551765064557128</v>
      </c>
      <c r="C7062" t="s">
        <v>40</v>
      </c>
      <c r="D7062">
        <v>3.918231</v>
      </c>
      <c r="E7062">
        <v>0.46907450000000001</v>
      </c>
      <c r="F7062" t="s">
        <v>41</v>
      </c>
      <c r="G7062">
        <v>-285.52359999999999</v>
      </c>
      <c r="H7062">
        <v>1.078174</v>
      </c>
      <c r="I7062">
        <v>-58.563859999999998</v>
      </c>
      <c r="J7062">
        <v>-286.3818</v>
      </c>
      <c r="K7062">
        <v>1.1125860000000001</v>
      </c>
      <c r="L7062">
        <v>-58.54074</v>
      </c>
      <c r="M7062">
        <v>0.84692619999999896</v>
      </c>
      <c r="N7062">
        <v>-2.6766590000000001E-3</v>
      </c>
      <c r="O7062">
        <v>-0.53170390000000001</v>
      </c>
      <c r="P7062">
        <v>0.98439940000000004</v>
      </c>
      <c r="Q7062">
        <v>-6.1045620000000002E-2</v>
      </c>
      <c r="R7062">
        <v>-0.16501939999999901</v>
      </c>
      <c r="S7062">
        <v>2.9980769999999999</v>
      </c>
      <c r="T7062">
        <v>-0.10674690000000001</v>
      </c>
      <c r="U7062">
        <v>-0.26065060000000001</v>
      </c>
      <c r="V7062">
        <v>-0.38305109999999998</v>
      </c>
      <c r="W7062">
        <v>-6.2380980000000003E-2</v>
      </c>
      <c r="X7062">
        <v>0.92161839999999995</v>
      </c>
      <c r="Y7062">
        <v>-0.45579500000000001</v>
      </c>
      <c r="Z7062">
        <v>2.5220579999999999E-2</v>
      </c>
      <c r="AA7062">
        <v>0.88972739999999995</v>
      </c>
      <c r="AB7062">
        <v>20</v>
      </c>
      <c r="AC7062">
        <v>0.85820000000000995</v>
      </c>
      <c r="AD7062">
        <v>-3.4412000000000102E-2</v>
      </c>
      <c r="AE7062">
        <v>-2.31199999999986E-2</v>
      </c>
      <c r="AF7062">
        <v>-0.43602832091639299</v>
      </c>
      <c r="AG7062">
        <v>-3.4412000000000102E-2</v>
      </c>
      <c r="AH7062">
        <v>0.73794200440734103</v>
      </c>
      <c r="AI7062">
        <v>92.299061185385497</v>
      </c>
      <c r="AJ7062">
        <v>120.577597189062</v>
      </c>
      <c r="AK7062">
        <v>0.85782473982387197</v>
      </c>
      <c r="AL7062">
        <v>93.576489009407197</v>
      </c>
      <c r="AM7062">
        <v>112.56917492641</v>
      </c>
      <c r="AN7062">
        <v>1.0000000035477601</v>
      </c>
    </row>
    <row r="7063" spans="1:40" x14ac:dyDescent="0.25">
      <c r="A7063" t="str">
        <f>"20190305135104583"</f>
        <v>20190305135104583</v>
      </c>
      <c r="B7063" t="str">
        <f>"1551765064576648"</f>
        <v>1551765064576648</v>
      </c>
      <c r="C7063" t="s">
        <v>40</v>
      </c>
      <c r="D7063">
        <v>3.9017550000000001</v>
      </c>
      <c r="E7063">
        <v>0.46927489999999999</v>
      </c>
      <c r="F7063" t="s">
        <v>112</v>
      </c>
      <c r="G7063">
        <v>-254.89160000000001</v>
      </c>
      <c r="H7063" s="1">
        <v>-1.4119479999999901E-6</v>
      </c>
      <c r="I7063">
        <v>-61.180999999999997</v>
      </c>
      <c r="J7063">
        <v>-286.27030000000002</v>
      </c>
      <c r="K7063">
        <v>1.112749</v>
      </c>
      <c r="L7063">
        <v>-58.604340000000001</v>
      </c>
      <c r="M7063">
        <v>0.84956309999999902</v>
      </c>
      <c r="N7063">
        <v>-2.7758779999999999E-3</v>
      </c>
      <c r="O7063">
        <v>-0.52747959999999905</v>
      </c>
      <c r="P7063">
        <v>0.98505419999999999</v>
      </c>
      <c r="Q7063">
        <v>-6.0749530000000003E-2</v>
      </c>
      <c r="R7063">
        <v>-0.16117600000000001</v>
      </c>
      <c r="S7063">
        <v>2.99884</v>
      </c>
      <c r="T7063">
        <v>-0.1059527</v>
      </c>
      <c r="U7063">
        <v>-0.2514343</v>
      </c>
      <c r="V7063">
        <v>-0.38205040000000001</v>
      </c>
      <c r="W7063">
        <v>-6.2116020000000001E-2</v>
      </c>
      <c r="X7063">
        <v>0.92205150000000002</v>
      </c>
      <c r="Y7063">
        <v>-0.45410929999999999</v>
      </c>
      <c r="Z7063">
        <v>2.484919E-2</v>
      </c>
      <c r="AA7063">
        <v>0.89059940000000004</v>
      </c>
      <c r="AB7063">
        <v>20</v>
      </c>
      <c r="AC7063">
        <v>31.378699999999998</v>
      </c>
      <c r="AD7063">
        <v>-1.1127504119480001</v>
      </c>
      <c r="AE7063">
        <v>-2.57666</v>
      </c>
      <c r="AF7063">
        <v>-14.344726553585801</v>
      </c>
      <c r="AG7063">
        <v>-1.1127504119480001</v>
      </c>
      <c r="AH7063">
        <v>27.982476944270701</v>
      </c>
      <c r="AI7063">
        <v>92.026689123226703</v>
      </c>
      <c r="AJ7063">
        <v>117.141150869364</v>
      </c>
      <c r="AK7063">
        <v>31.464716895485999</v>
      </c>
      <c r="AL7063">
        <v>93.561278653932106</v>
      </c>
      <c r="AM7063">
        <v>112.50658523672099</v>
      </c>
      <c r="AN7063">
        <v>0.99999993836652301</v>
      </c>
    </row>
    <row r="7064" spans="1:40" x14ac:dyDescent="0.25">
      <c r="A7064" t="str">
        <f>"20190305135104596"</f>
        <v>20190305135104596</v>
      </c>
      <c r="B7064" t="str">
        <f>"1551765064587384"</f>
        <v>1551765064587384</v>
      </c>
      <c r="C7064" t="s">
        <v>40</v>
      </c>
      <c r="D7064">
        <v>3.9041519999999998</v>
      </c>
      <c r="E7064">
        <v>0.46937319999999999</v>
      </c>
      <c r="F7064" t="s">
        <v>41</v>
      </c>
      <c r="G7064">
        <v>-285.32170000000002</v>
      </c>
      <c r="H7064">
        <v>1.079207</v>
      </c>
      <c r="I7064">
        <v>-58.680770000000003</v>
      </c>
      <c r="J7064">
        <v>-286.16910000000001</v>
      </c>
      <c r="K7064">
        <v>1.1129089999999999</v>
      </c>
      <c r="L7064">
        <v>-58.661380000000001</v>
      </c>
      <c r="M7064">
        <v>0.85197109999999998</v>
      </c>
      <c r="N7064">
        <v>-2.8922459999999998E-3</v>
      </c>
      <c r="O7064">
        <v>-0.52358099999999996</v>
      </c>
      <c r="P7064">
        <v>0.98543429999999999</v>
      </c>
      <c r="Q7064">
        <v>-6.0195640000000002E-2</v>
      </c>
      <c r="R7064">
        <v>-0.15904679999999999</v>
      </c>
      <c r="S7064">
        <v>2.9994809999999998</v>
      </c>
      <c r="T7064">
        <v>-0.1060632</v>
      </c>
      <c r="U7064">
        <v>-0.24136350000000001</v>
      </c>
      <c r="V7064">
        <v>-0.37982250000000001</v>
      </c>
      <c r="W7064">
        <v>-6.155302E-2</v>
      </c>
      <c r="X7064">
        <v>0.92300930000000003</v>
      </c>
      <c r="Y7064">
        <v>-0.45301540000000001</v>
      </c>
      <c r="Z7064">
        <v>2.4714900000000001E-2</v>
      </c>
      <c r="AA7064">
        <v>0.89116010000000001</v>
      </c>
      <c r="AB7064">
        <v>20</v>
      </c>
      <c r="AC7064">
        <v>0.84739999999999305</v>
      </c>
      <c r="AD7064">
        <v>-3.3701999999999899E-2</v>
      </c>
      <c r="AE7064">
        <v>-1.93899999999942E-2</v>
      </c>
      <c r="AF7064">
        <v>-0.42649032438359702</v>
      </c>
      <c r="AG7064">
        <v>-3.3701999999999899E-2</v>
      </c>
      <c r="AH7064">
        <v>0.73095995873675101</v>
      </c>
      <c r="AI7064">
        <v>92.280514277345006</v>
      </c>
      <c r="AJ7064">
        <v>120.26211063098</v>
      </c>
      <c r="AK7064">
        <v>0.846954711229154</v>
      </c>
      <c r="AL7064">
        <v>93.528958933856998</v>
      </c>
      <c r="AM7064">
        <v>112.367387541252</v>
      </c>
      <c r="AN7064">
        <v>1.00000003683192</v>
      </c>
    </row>
    <row r="7065" spans="1:40" x14ac:dyDescent="0.25">
      <c r="A7065" t="str">
        <f>"20190305135104607"</f>
        <v>20190305135104607</v>
      </c>
      <c r="B7065" t="str">
        <f>"1551765064597144"</f>
        <v>1551765064597144</v>
      </c>
      <c r="C7065" t="s">
        <v>40</v>
      </c>
      <c r="D7065">
        <v>3.9080710000000001</v>
      </c>
      <c r="E7065">
        <v>0.46951540000000003</v>
      </c>
      <c r="F7065" t="s">
        <v>41</v>
      </c>
      <c r="G7065">
        <v>-285.21530000000001</v>
      </c>
      <c r="H7065">
        <v>1.0797890000000001</v>
      </c>
      <c r="I7065">
        <v>-58.736240000000002</v>
      </c>
      <c r="J7065">
        <v>-286.07799999999997</v>
      </c>
      <c r="K7065">
        <v>1.1130519999999999</v>
      </c>
      <c r="L7065">
        <v>-58.71219</v>
      </c>
      <c r="M7065">
        <v>0.85414799999999902</v>
      </c>
      <c r="N7065">
        <v>-3.01812E-3</v>
      </c>
      <c r="O7065">
        <v>-0.52002159999999997</v>
      </c>
      <c r="P7065">
        <v>0.98595759999999999</v>
      </c>
      <c r="Q7065">
        <v>-5.9749360000000001E-2</v>
      </c>
      <c r="R7065">
        <v>-0.15594179999999999</v>
      </c>
      <c r="S7065">
        <v>2.9999389999999999</v>
      </c>
      <c r="T7065">
        <v>-0.10417899999999999</v>
      </c>
      <c r="U7065">
        <v>-0.23568729999999999</v>
      </c>
      <c r="V7065">
        <v>-0.37888060000000001</v>
      </c>
      <c r="W7065">
        <v>-6.1093189999999999E-2</v>
      </c>
      <c r="X7065">
        <v>0.92342690000000005</v>
      </c>
      <c r="Y7065">
        <v>-0.4510055</v>
      </c>
      <c r="Z7065">
        <v>2.408834E-2</v>
      </c>
      <c r="AA7065">
        <v>0.89219609999999905</v>
      </c>
      <c r="AB7065">
        <v>20</v>
      </c>
      <c r="AC7065">
        <v>0.86269999999996105</v>
      </c>
      <c r="AD7065">
        <v>-3.3263000000000202E-2</v>
      </c>
      <c r="AE7065">
        <v>-2.40500000000025E-2</v>
      </c>
      <c r="AF7065">
        <v>-0.42744728043936803</v>
      </c>
      <c r="AG7065">
        <v>-3.3263000000000202E-2</v>
      </c>
      <c r="AH7065">
        <v>0.74827172977099699</v>
      </c>
      <c r="AI7065">
        <v>92.210470218912704</v>
      </c>
      <c r="AJ7065">
        <v>119.73699777959401</v>
      </c>
      <c r="AK7065">
        <v>0.86239676848796898</v>
      </c>
      <c r="AL7065">
        <v>93.5025628454176</v>
      </c>
      <c r="AM7065">
        <v>112.308265351816</v>
      </c>
      <c r="AN7065">
        <v>1.0000000632821699</v>
      </c>
    </row>
    <row r="7066" spans="1:40" x14ac:dyDescent="0.25">
      <c r="A7066" t="str">
        <f>"20190305135104620"</f>
        <v>20190305135104620</v>
      </c>
      <c r="B7066" t="str">
        <f>"1551765064616664"</f>
        <v>1551765064616664</v>
      </c>
      <c r="C7066" t="s">
        <v>40</v>
      </c>
      <c r="D7066">
        <v>3.8807969999999998</v>
      </c>
      <c r="E7066">
        <v>0.4697192</v>
      </c>
      <c r="F7066" t="s">
        <v>112</v>
      </c>
      <c r="G7066">
        <v>-253.57409999999999</v>
      </c>
      <c r="H7066" s="1">
        <v>-8.4571880000000002E-7</v>
      </c>
      <c r="I7066">
        <v>-61.176430000000003</v>
      </c>
      <c r="J7066">
        <v>-285.9855</v>
      </c>
      <c r="K7066">
        <v>1.1132139999999999</v>
      </c>
      <c r="L7066">
        <v>-58.762909999999998</v>
      </c>
      <c r="M7066">
        <v>0.85638639999999999</v>
      </c>
      <c r="N7066">
        <v>-3.2082289999999999E-3</v>
      </c>
      <c r="O7066">
        <v>-0.51632559999999905</v>
      </c>
      <c r="P7066">
        <v>0.98646610000000001</v>
      </c>
      <c r="Q7066">
        <v>-5.9911520000000003E-2</v>
      </c>
      <c r="R7066">
        <v>-0.15262809999999999</v>
      </c>
      <c r="S7066">
        <v>3.0004879999999998</v>
      </c>
      <c r="T7066">
        <v>-0.102747699999999</v>
      </c>
      <c r="U7066">
        <v>-0.22747800000000001</v>
      </c>
      <c r="V7066">
        <v>-0.37796990000000003</v>
      </c>
      <c r="W7066">
        <v>-6.1184420000000003E-2</v>
      </c>
      <c r="X7066">
        <v>0.92379389999999995</v>
      </c>
      <c r="Y7066">
        <v>-0.44960699999999998</v>
      </c>
      <c r="Z7066">
        <v>2.3564189999999999E-2</v>
      </c>
      <c r="AA7066">
        <v>0.89291559999999903</v>
      </c>
      <c r="AB7066">
        <v>20</v>
      </c>
      <c r="AC7066">
        <v>32.4114</v>
      </c>
      <c r="AD7066">
        <v>-1.1132148457188</v>
      </c>
      <c r="AE7066">
        <v>-2.4135200000000001</v>
      </c>
      <c r="AF7066">
        <v>-14.6508168230895</v>
      </c>
      <c r="AG7066">
        <v>-1.1132148457188</v>
      </c>
      <c r="AH7066">
        <v>28.969006805741898</v>
      </c>
      <c r="AI7066">
        <v>91.964002876963704</v>
      </c>
      <c r="AJ7066">
        <v>116.827598191601</v>
      </c>
      <c r="AK7066">
        <v>32.482134107653302</v>
      </c>
      <c r="AL7066">
        <v>93.507800049007301</v>
      </c>
      <c r="AM7066">
        <v>112.25190399924701</v>
      </c>
      <c r="AN7066">
        <v>0.99999997411697705</v>
      </c>
    </row>
    <row r="7067" spans="1:40" x14ac:dyDescent="0.25">
      <c r="A7067" t="str">
        <f>"20190305135104632"</f>
        <v>20190305135104632</v>
      </c>
      <c r="B7067" t="str">
        <f>"1551765064627400"</f>
        <v>1551765064627400</v>
      </c>
      <c r="C7067" t="s">
        <v>40</v>
      </c>
      <c r="D7067">
        <v>3.8830619999999998</v>
      </c>
      <c r="E7067">
        <v>0.46983469999999999</v>
      </c>
      <c r="F7067" t="s">
        <v>41</v>
      </c>
      <c r="G7067">
        <v>-285.0188</v>
      </c>
      <c r="H7067">
        <v>1.079949</v>
      </c>
      <c r="I7067">
        <v>-58.833599999999997</v>
      </c>
      <c r="J7067">
        <v>-285.89400000000001</v>
      </c>
      <c r="K7067">
        <v>1.113378</v>
      </c>
      <c r="L7067">
        <v>-58.812739999999998</v>
      </c>
      <c r="M7067">
        <v>0.85860029999999998</v>
      </c>
      <c r="N7067">
        <v>-3.4239660000000001E-3</v>
      </c>
      <c r="O7067">
        <v>-0.51263420000000004</v>
      </c>
      <c r="P7067">
        <v>0.9870139</v>
      </c>
      <c r="Q7067">
        <v>-6.0304869999999997E-2</v>
      </c>
      <c r="R7067">
        <v>-0.148886299999999</v>
      </c>
      <c r="S7067">
        <v>3.0009769999999998</v>
      </c>
      <c r="T7067">
        <v>-0.1032563</v>
      </c>
      <c r="U7067">
        <v>-0.21902469999999999</v>
      </c>
      <c r="V7067">
        <v>-0.37746370000000001</v>
      </c>
      <c r="W7067">
        <v>-6.1485770000000002E-2</v>
      </c>
      <c r="X7067">
        <v>0.92398089999999999</v>
      </c>
      <c r="Y7067">
        <v>-0.4482737</v>
      </c>
      <c r="Z7067">
        <v>2.3499760000000001E-2</v>
      </c>
      <c r="AA7067">
        <v>0.89358740000000003</v>
      </c>
      <c r="AB7067">
        <v>20</v>
      </c>
      <c r="AC7067">
        <v>0.87520000000000597</v>
      </c>
      <c r="AD7067">
        <v>-3.3428999999999903E-2</v>
      </c>
      <c r="AE7067">
        <v>-2.0859999999991798E-2</v>
      </c>
      <c r="AF7067">
        <v>-0.43012241098620102</v>
      </c>
      <c r="AG7067">
        <v>-3.3428999999999903E-2</v>
      </c>
      <c r="AH7067">
        <v>0.761035330225031</v>
      </c>
      <c r="AI7067">
        <v>92.189962123956803</v>
      </c>
      <c r="AJ7067">
        <v>119.474291744818</v>
      </c>
      <c r="AK7067">
        <v>0.874812871604153</v>
      </c>
      <c r="AL7067">
        <v>93.525098525466902</v>
      </c>
      <c r="AM7067">
        <v>112.22094493354599</v>
      </c>
      <c r="AN7067">
        <v>1.00000002414749</v>
      </c>
    </row>
    <row r="7068" spans="1:40" x14ac:dyDescent="0.25">
      <c r="A7068" t="str">
        <f>"20190305135104642"</f>
        <v>20190305135104642</v>
      </c>
      <c r="B7068" t="str">
        <f>"1551765064637160"</f>
        <v>1551765064637160</v>
      </c>
      <c r="C7068" t="s">
        <v>40</v>
      </c>
      <c r="D7068">
        <v>3.8722880000000002</v>
      </c>
      <c r="E7068">
        <v>0.4699257</v>
      </c>
      <c r="F7068" t="s">
        <v>41</v>
      </c>
      <c r="G7068">
        <v>-284.90190000000001</v>
      </c>
      <c r="H7068">
        <v>1.078773</v>
      </c>
      <c r="I7068">
        <v>-58.881489999999999</v>
      </c>
      <c r="J7068">
        <v>-285.81119999999999</v>
      </c>
      <c r="K7068">
        <v>1.1135409999999999</v>
      </c>
      <c r="L7068">
        <v>-58.856960000000001</v>
      </c>
      <c r="M7068">
        <v>0.86062419999999995</v>
      </c>
      <c r="N7068">
        <v>-3.7027090000000002E-3</v>
      </c>
      <c r="O7068">
        <v>-0.50922719999999999</v>
      </c>
      <c r="P7068">
        <v>0.98750910000000003</v>
      </c>
      <c r="Q7068">
        <v>-6.0858170000000003E-2</v>
      </c>
      <c r="R7068">
        <v>-0.145335299999999</v>
      </c>
      <c r="S7068">
        <v>3.0016479999999999</v>
      </c>
      <c r="T7068">
        <v>-0.1047168</v>
      </c>
      <c r="U7068">
        <v>-0.20858760000000001</v>
      </c>
      <c r="V7068">
        <v>-0.37708849999999999</v>
      </c>
      <c r="W7068">
        <v>-6.1874890000000002E-2</v>
      </c>
      <c r="X7068">
        <v>0.92410809999999999</v>
      </c>
      <c r="Y7068">
        <v>-0.44782719999999998</v>
      </c>
      <c r="Z7068">
        <v>2.3665149999999999E-2</v>
      </c>
      <c r="AA7068">
        <v>0.89380689999999996</v>
      </c>
      <c r="AB7068">
        <v>20</v>
      </c>
      <c r="AC7068">
        <v>0.90929999999997302</v>
      </c>
      <c r="AD7068">
        <v>-3.4767999999999903E-2</v>
      </c>
      <c r="AE7068">
        <v>-2.4529999999998602E-2</v>
      </c>
      <c r="AF7068">
        <v>-0.44128750676870199</v>
      </c>
      <c r="AG7068">
        <v>-3.4767999999999903E-2</v>
      </c>
      <c r="AH7068">
        <v>0.79390251750072804</v>
      </c>
      <c r="AI7068">
        <v>92.192094209248197</v>
      </c>
      <c r="AJ7068">
        <v>119.06731718811</v>
      </c>
      <c r="AK7068">
        <v>0.90896902298600402</v>
      </c>
      <c r="AL7068">
        <v>93.547436041755603</v>
      </c>
      <c r="AM7068">
        <v>112.19824444021999</v>
      </c>
      <c r="AN7068">
        <v>1.00000000966518</v>
      </c>
    </row>
    <row r="7069" spans="1:40" x14ac:dyDescent="0.25">
      <c r="A7069" t="str">
        <f>"20190305135104653"</f>
        <v>20190305135104653</v>
      </c>
      <c r="B7069" t="str">
        <f>"1551765064646920"</f>
        <v>1551765064646920</v>
      </c>
      <c r="C7069" t="s">
        <v>40</v>
      </c>
      <c r="D7069">
        <v>3.9021400000000002</v>
      </c>
      <c r="E7069">
        <v>0.47000389999999997</v>
      </c>
      <c r="F7069" t="s">
        <v>41</v>
      </c>
      <c r="G7069">
        <v>-284.83949999999999</v>
      </c>
      <c r="H7069">
        <v>1.079045</v>
      </c>
      <c r="I7069">
        <v>-58.921039999999998</v>
      </c>
      <c r="J7069">
        <v>-285.72449999999998</v>
      </c>
      <c r="K7069">
        <v>1.1137079999999999</v>
      </c>
      <c r="L7069">
        <v>-58.902979999999999</v>
      </c>
      <c r="M7069">
        <v>0.86274490000000004</v>
      </c>
      <c r="N7069">
        <v>-4.0340159999999996E-3</v>
      </c>
      <c r="O7069">
        <v>-0.50562370000000001</v>
      </c>
      <c r="P7069">
        <v>0.98803660000000004</v>
      </c>
      <c r="Q7069">
        <v>-6.1364639999999998E-2</v>
      </c>
      <c r="R7069">
        <v>-0.14148759999999999</v>
      </c>
      <c r="S7069">
        <v>3.0021969999999998</v>
      </c>
      <c r="T7069">
        <v>-0.1065924</v>
      </c>
      <c r="U7069">
        <v>-0.19854740000000001</v>
      </c>
      <c r="V7069">
        <v>-0.37679030000000002</v>
      </c>
      <c r="W7069">
        <v>-6.2167479999999997E-2</v>
      </c>
      <c r="X7069">
        <v>0.92421010000000003</v>
      </c>
      <c r="Y7069">
        <v>-0.4470615</v>
      </c>
      <c r="Z7069">
        <v>2.3900250000000001E-2</v>
      </c>
      <c r="AA7069">
        <v>0.89418390000000003</v>
      </c>
      <c r="AB7069">
        <v>20</v>
      </c>
      <c r="AC7069">
        <v>0.88499999999999002</v>
      </c>
      <c r="AD7069">
        <v>-3.4662999999999798E-2</v>
      </c>
      <c r="AE7069">
        <v>-1.80599999999984E-2</v>
      </c>
      <c r="AF7069">
        <v>-0.43123796298676298</v>
      </c>
      <c r="AG7069">
        <v>-3.4662999999999798E-2</v>
      </c>
      <c r="AH7069">
        <v>0.77148392843325797</v>
      </c>
      <c r="AI7069">
        <v>92.245939384520696</v>
      </c>
      <c r="AJ7069">
        <v>119.203970775443</v>
      </c>
      <c r="AK7069">
        <v>0.88450842625765003</v>
      </c>
      <c r="AL7069">
        <v>93.564232522461396</v>
      </c>
      <c r="AM7069">
        <v>112.18018224969499</v>
      </c>
      <c r="AN7069">
        <v>1.0000000173428201</v>
      </c>
    </row>
    <row r="7070" spans="1:40" x14ac:dyDescent="0.25">
      <c r="A7070" t="str">
        <f>"20190305135104664"</f>
        <v>20190305135104664</v>
      </c>
      <c r="B7070" t="str">
        <f>"1551765064656680"</f>
        <v>1551765064656680</v>
      </c>
      <c r="C7070" t="s">
        <v>40</v>
      </c>
      <c r="D7070">
        <v>3.8589869999999999</v>
      </c>
      <c r="E7070">
        <v>0.47012690000000001</v>
      </c>
      <c r="F7070" t="s">
        <v>41</v>
      </c>
      <c r="G7070">
        <v>-284.74700000000001</v>
      </c>
      <c r="H7070">
        <v>1.078638</v>
      </c>
      <c r="I7070">
        <v>-58.964199999999998</v>
      </c>
      <c r="J7070">
        <v>-285.63209999999998</v>
      </c>
      <c r="K7070">
        <v>1.11389</v>
      </c>
      <c r="L7070">
        <v>-58.9512</v>
      </c>
      <c r="M7070">
        <v>0.86502009999999996</v>
      </c>
      <c r="N7070">
        <v>-4.4756079999999998E-3</v>
      </c>
      <c r="O7070">
        <v>-0.50171730000000003</v>
      </c>
      <c r="P7070">
        <v>0.98857799999999996</v>
      </c>
      <c r="Q7070">
        <v>-6.1937829999999999E-2</v>
      </c>
      <c r="R7070">
        <v>-0.13739489999999999</v>
      </c>
      <c r="S7070">
        <v>3.0027469999999998</v>
      </c>
      <c r="T7070">
        <v>-0.1077231</v>
      </c>
      <c r="U7070">
        <v>-0.18753049999999999</v>
      </c>
      <c r="V7070">
        <v>-0.3764054</v>
      </c>
      <c r="W7070">
        <v>-6.2414869999999997E-2</v>
      </c>
      <c r="X7070">
        <v>0.92435020000000001</v>
      </c>
      <c r="Y7070">
        <v>-0.44629039999999998</v>
      </c>
      <c r="Z7070">
        <v>2.3918080000000001E-2</v>
      </c>
      <c r="AA7070">
        <v>0.89456849999999999</v>
      </c>
      <c r="AB7070">
        <v>20</v>
      </c>
      <c r="AC7070">
        <v>0.88509999999996503</v>
      </c>
      <c r="AD7070">
        <v>-3.5251999999999999E-2</v>
      </c>
      <c r="AE7070">
        <v>-1.29999999999981E-2</v>
      </c>
      <c r="AF7070">
        <v>-0.43214368660591301</v>
      </c>
      <c r="AG7070">
        <v>-3.5251999999999999E-2</v>
      </c>
      <c r="AH7070">
        <v>0.77093666227062196</v>
      </c>
      <c r="AI7070">
        <v>92.284153454060004</v>
      </c>
      <c r="AJ7070">
        <v>119.272535461755</v>
      </c>
      <c r="AK7070">
        <v>0.88449658371884998</v>
      </c>
      <c r="AL7070">
        <v>93.578434686606499</v>
      </c>
      <c r="AM7070">
        <v>112.156684785823</v>
      </c>
      <c r="AN7070">
        <v>0.99999996669315705</v>
      </c>
    </row>
    <row r="7071" spans="1:40" x14ac:dyDescent="0.25">
      <c r="A7071" t="str">
        <f>"20190305135104676"</f>
        <v>20190305135104676</v>
      </c>
      <c r="B7071" t="str">
        <f>"1551765064667416"</f>
        <v>1551765064667416</v>
      </c>
      <c r="C7071" t="s">
        <v>40</v>
      </c>
      <c r="D7071">
        <v>3.8574250000000001</v>
      </c>
      <c r="E7071">
        <v>0.4702848</v>
      </c>
      <c r="F7071" t="s">
        <v>112</v>
      </c>
      <c r="G7071">
        <v>-254.9151</v>
      </c>
      <c r="H7071" s="1">
        <v>-1.3268069999999999E-6</v>
      </c>
      <c r="I7071">
        <v>-60.752740000000003</v>
      </c>
      <c r="J7071">
        <v>-285.54419999999999</v>
      </c>
      <c r="K7071">
        <v>1.114058</v>
      </c>
      <c r="L7071">
        <v>-58.996519999999997</v>
      </c>
      <c r="M7071">
        <v>0.86721250000000005</v>
      </c>
      <c r="N7071">
        <v>-4.9481859999999898E-3</v>
      </c>
      <c r="O7071">
        <v>-0.49791400000000002</v>
      </c>
      <c r="P7071">
        <v>0.98906930000000004</v>
      </c>
      <c r="Q7071">
        <v>-6.3248319999999997E-2</v>
      </c>
      <c r="R7071">
        <v>-0.1331994</v>
      </c>
      <c r="S7071">
        <v>3.003387</v>
      </c>
      <c r="T7071">
        <v>-0.10891190000000001</v>
      </c>
      <c r="U7071">
        <v>-0.17614749999999901</v>
      </c>
      <c r="V7071">
        <v>-0.37620540000000002</v>
      </c>
      <c r="W7071">
        <v>-6.3356480000000007E-2</v>
      </c>
      <c r="X7071">
        <v>0.92436750000000001</v>
      </c>
      <c r="Y7071">
        <v>-0.44574589999999997</v>
      </c>
      <c r="Z7071">
        <v>2.3947260000000001E-2</v>
      </c>
      <c r="AA7071">
        <v>0.89483919999999995</v>
      </c>
      <c r="AB7071">
        <v>20</v>
      </c>
      <c r="AC7071">
        <v>30.629099999999902</v>
      </c>
      <c r="AD7071">
        <v>-1.114059326807</v>
      </c>
      <c r="AE7071">
        <v>-1.7562199999999999</v>
      </c>
      <c r="AF7071">
        <v>-13.709729327623201</v>
      </c>
      <c r="AG7071">
        <v>-1.114059326807</v>
      </c>
      <c r="AH7071">
        <v>27.400584702520302</v>
      </c>
      <c r="AI7071">
        <v>92.082403988684604</v>
      </c>
      <c r="AJ7071">
        <v>116.580835494997</v>
      </c>
      <c r="AK7071">
        <v>30.659253879706998</v>
      </c>
      <c r="AL7071">
        <v>93.632492166236602</v>
      </c>
      <c r="AM7071">
        <v>112.145675873537</v>
      </c>
      <c r="AN7071">
        <v>0.99999991080169603</v>
      </c>
    </row>
    <row r="7072" spans="1:40" x14ac:dyDescent="0.25">
      <c r="A7072" t="str">
        <f>"20190305135104688"</f>
        <v>20190305135104688</v>
      </c>
      <c r="B7072" t="str">
        <f>"1551765064677176"</f>
        <v>1551765064677176</v>
      </c>
      <c r="C7072" t="s">
        <v>40</v>
      </c>
      <c r="D7072">
        <v>3.8754620000000002</v>
      </c>
      <c r="E7072">
        <v>0.47041169999999999</v>
      </c>
      <c r="F7072" t="s">
        <v>41</v>
      </c>
      <c r="G7072">
        <v>-284.58879999999999</v>
      </c>
      <c r="H7072">
        <v>1.078454</v>
      </c>
      <c r="I7072">
        <v>-59.0488199999999</v>
      </c>
      <c r="J7072">
        <v>-285.44260000000003</v>
      </c>
      <c r="K7072">
        <v>1.1142449999999999</v>
      </c>
      <c r="L7072">
        <v>-59.048400000000001</v>
      </c>
      <c r="M7072">
        <v>0.86975530000000001</v>
      </c>
      <c r="N7072">
        <v>-5.5367309999999996E-3</v>
      </c>
      <c r="O7072">
        <v>-0.4934521</v>
      </c>
      <c r="P7072">
        <v>0.98964479999999999</v>
      </c>
      <c r="Q7072">
        <v>-6.4644560000000004E-2</v>
      </c>
      <c r="R7072">
        <v>-0.12815699999999999</v>
      </c>
      <c r="S7072">
        <v>3.0038149999999999</v>
      </c>
      <c r="T7072">
        <v>-0.1119597</v>
      </c>
      <c r="U7072">
        <v>-0.16479489999999999</v>
      </c>
      <c r="V7072">
        <v>-0.37610169999999998</v>
      </c>
      <c r="W7072">
        <v>-6.4278500000000002E-2</v>
      </c>
      <c r="X7072">
        <v>0.92434609999999995</v>
      </c>
      <c r="Y7072">
        <v>-0.44450309999999998</v>
      </c>
      <c r="Z7072">
        <v>2.4343790000000001E-2</v>
      </c>
      <c r="AA7072">
        <v>0.89544650000000003</v>
      </c>
      <c r="AB7072">
        <v>20</v>
      </c>
      <c r="AC7072">
        <v>0.85380000000003498</v>
      </c>
      <c r="AD7072">
        <v>-3.5791000000000101E-2</v>
      </c>
      <c r="AE7072">
        <v>-4.1999999999120502E-4</v>
      </c>
      <c r="AF7072">
        <v>-0.420212155758516</v>
      </c>
      <c r="AG7072">
        <v>-3.5791000000000101E-2</v>
      </c>
      <c r="AH7072">
        <v>0.74151271500793703</v>
      </c>
      <c r="AI7072">
        <v>92.404626729702798</v>
      </c>
      <c r="AJ7072">
        <v>119.540046587627</v>
      </c>
      <c r="AK7072">
        <v>0.85305354934298305</v>
      </c>
      <c r="AL7072">
        <v>93.685427738199706</v>
      </c>
      <c r="AM7072">
        <v>112.140624378974</v>
      </c>
      <c r="AN7072">
        <v>0.99999996344517394</v>
      </c>
    </row>
    <row r="7073" spans="1:40" x14ac:dyDescent="0.25">
      <c r="A7073" t="str">
        <f>"20190305135104709"</f>
        <v>20190305135104709</v>
      </c>
      <c r="B7073" t="str">
        <f>"1551765064696696"</f>
        <v>1551765064696696</v>
      </c>
      <c r="C7073" t="s">
        <v>40</v>
      </c>
      <c r="D7073">
        <v>4.0512579999999998</v>
      </c>
      <c r="E7073">
        <v>0.47054620000000003</v>
      </c>
      <c r="F7073" t="s">
        <v>112</v>
      </c>
      <c r="G7073">
        <v>-256.39949999999999</v>
      </c>
      <c r="H7073" s="1">
        <v>-1.9082869999999999E-6</v>
      </c>
      <c r="I7073">
        <v>-60.504019999999997</v>
      </c>
      <c r="J7073">
        <v>-285.2885</v>
      </c>
      <c r="K7073">
        <v>1.114509</v>
      </c>
      <c r="L7073">
        <v>-59.125210000000003</v>
      </c>
      <c r="M7073">
        <v>0.87370769999999998</v>
      </c>
      <c r="N7073">
        <v>-6.4809660000000003E-3</v>
      </c>
      <c r="O7073">
        <v>-0.48640810000000001</v>
      </c>
      <c r="P7073">
        <v>0.99050450000000001</v>
      </c>
      <c r="Q7073">
        <v>-6.6749859999999994E-2</v>
      </c>
      <c r="R7073">
        <v>-0.1201899</v>
      </c>
      <c r="S7073">
        <v>3.0043030000000002</v>
      </c>
      <c r="T7073">
        <v>-0.115261</v>
      </c>
      <c r="U7073">
        <v>-0.1505737</v>
      </c>
      <c r="V7073">
        <v>-0.375973</v>
      </c>
      <c r="W7073">
        <v>-6.5607650000000003E-2</v>
      </c>
      <c r="X7073">
        <v>0.92430509999999999</v>
      </c>
      <c r="Y7073">
        <v>-0.44147910000000001</v>
      </c>
      <c r="Z7073">
        <v>2.4585320000000001E-2</v>
      </c>
      <c r="AA7073">
        <v>0.89693459999999903</v>
      </c>
      <c r="AB7073">
        <v>20</v>
      </c>
      <c r="AC7073">
        <v>28.888999999999999</v>
      </c>
      <c r="AD7073">
        <v>-1.1145109082869999</v>
      </c>
      <c r="AE7073">
        <v>-1.3788100000000001</v>
      </c>
      <c r="AF7073">
        <v>-12.8283869117296</v>
      </c>
      <c r="AG7073">
        <v>-1.1145109082869999</v>
      </c>
      <c r="AH7073">
        <v>25.873329526041399</v>
      </c>
      <c r="AI7073">
        <v>92.2100867546541</v>
      </c>
      <c r="AJ7073">
        <v>116.37290758524701</v>
      </c>
      <c r="AK7073">
        <v>28.900498716888102</v>
      </c>
      <c r="AL7073">
        <v>93.761743440020297</v>
      </c>
      <c r="AM7073">
        <v>112.134666661911</v>
      </c>
      <c r="AN7073">
        <v>0.99999998917676602</v>
      </c>
    </row>
    <row r="7074" spans="1:40" x14ac:dyDescent="0.25">
      <c r="A7074" t="str">
        <f>"20190305135104722"</f>
        <v>20190305135104722</v>
      </c>
      <c r="B7074" t="str">
        <f>"1551765064717192"</f>
        <v>1551765064717192</v>
      </c>
      <c r="C7074" t="s">
        <v>40</v>
      </c>
      <c r="D7074">
        <v>3.994237</v>
      </c>
      <c r="E7074">
        <v>0.51166610000000001</v>
      </c>
      <c r="F7074" t="s">
        <v>112</v>
      </c>
      <c r="G7074">
        <v>-257.44839999999999</v>
      </c>
      <c r="H7074" s="1">
        <v>-2.3482089999999998E-6</v>
      </c>
      <c r="I7074">
        <v>-60.308120000000002</v>
      </c>
      <c r="J7074">
        <v>-285.18360000000001</v>
      </c>
      <c r="K7074">
        <v>1.11469</v>
      </c>
      <c r="L7074">
        <v>-59.176299999999998</v>
      </c>
      <c r="M7074">
        <v>0.87645659999999903</v>
      </c>
      <c r="N7074">
        <v>-7.107805E-3</v>
      </c>
      <c r="O7074">
        <v>-0.48142829999999898</v>
      </c>
      <c r="P7074">
        <v>0.99110480000000001</v>
      </c>
      <c r="Q7074">
        <v>-6.7791599999999994E-2</v>
      </c>
      <c r="R7074">
        <v>-0.1145225</v>
      </c>
      <c r="S7074">
        <v>3.0051269999999999</v>
      </c>
      <c r="T7074">
        <v>-0.12030299999999999</v>
      </c>
      <c r="U7074">
        <v>-0.12768550000000001</v>
      </c>
      <c r="V7074">
        <v>-0.37594719999999998</v>
      </c>
      <c r="W7074">
        <v>-6.6152589999999997E-2</v>
      </c>
      <c r="X7074">
        <v>0.92427680000000001</v>
      </c>
      <c r="Y7074">
        <v>-0.4431544</v>
      </c>
      <c r="Z7074">
        <v>2.547228E-2</v>
      </c>
      <c r="AA7074">
        <v>0.89608339999999997</v>
      </c>
      <c r="AB7074">
        <v>20</v>
      </c>
      <c r="AC7074">
        <v>27.735199999999999</v>
      </c>
      <c r="AD7074">
        <v>-1.1146923482090001</v>
      </c>
      <c r="AE7074">
        <v>-1.1318199999999901</v>
      </c>
      <c r="AF7074">
        <v>-12.3409310347607</v>
      </c>
      <c r="AG7074">
        <v>-1.1146923482090001</v>
      </c>
      <c r="AH7074">
        <v>24.814203128781699</v>
      </c>
      <c r="AI7074">
        <v>92.303301424132599</v>
      </c>
      <c r="AJ7074">
        <v>116.44269110424401</v>
      </c>
      <c r="AK7074">
        <v>27.736001780219102</v>
      </c>
      <c r="AL7074">
        <v>93.7930340152935</v>
      </c>
      <c r="AM7074">
        <v>112.133906655895</v>
      </c>
      <c r="AN7074">
        <v>1.0000000326848899</v>
      </c>
    </row>
    <row r="7075" spans="1:40" x14ac:dyDescent="0.25">
      <c r="A7075" t="str">
        <f>"20190305135104733"</f>
        <v>20190305135104733</v>
      </c>
      <c r="B7075" t="str">
        <f>"1551765064726953"</f>
        <v>1551765064726953</v>
      </c>
      <c r="C7075" t="s">
        <v>40</v>
      </c>
      <c r="D7075">
        <v>3.9823</v>
      </c>
      <c r="E7075">
        <v>0.51892439999999995</v>
      </c>
      <c r="F7075" t="s">
        <v>111</v>
      </c>
      <c r="G7075">
        <v>-262.83510000000001</v>
      </c>
      <c r="H7075" s="1">
        <v>-7.7470299999999899E-7</v>
      </c>
      <c r="I7075">
        <v>-62.462679999999999</v>
      </c>
      <c r="J7075">
        <v>-285.09179999999998</v>
      </c>
      <c r="K7075">
        <v>1.1148480000000001</v>
      </c>
      <c r="L7075">
        <v>-59.220550000000003</v>
      </c>
      <c r="M7075">
        <v>0.87886769999999903</v>
      </c>
      <c r="N7075">
        <v>-7.6419309999999898E-3</v>
      </c>
      <c r="O7075">
        <v>-0.4770045</v>
      </c>
      <c r="P7075">
        <v>0.99156860000000002</v>
      </c>
      <c r="Q7075">
        <v>-6.8813669999999993E-2</v>
      </c>
      <c r="R7075">
        <v>-0.1098035</v>
      </c>
      <c r="S7075">
        <v>2.96637</v>
      </c>
      <c r="T7075">
        <v>-0.1479559</v>
      </c>
      <c r="U7075">
        <v>-0.4362183</v>
      </c>
      <c r="V7075">
        <v>-0.37563580000000002</v>
      </c>
      <c r="W7075">
        <v>-6.6757029999999995E-2</v>
      </c>
      <c r="X7075">
        <v>0.92435990000000001</v>
      </c>
      <c r="Y7075">
        <v>-0.34323110000000001</v>
      </c>
      <c r="Z7075">
        <v>2.8741079999999999E-2</v>
      </c>
      <c r="AA7075">
        <v>0.93881110000000001</v>
      </c>
      <c r="AB7075">
        <v>20</v>
      </c>
      <c r="AC7075">
        <v>22.256699999999899</v>
      </c>
      <c r="AD7075">
        <v>-1.114848774703</v>
      </c>
      <c r="AE7075">
        <v>-3.24213</v>
      </c>
      <c r="AF7075">
        <v>-7.7483319961154402</v>
      </c>
      <c r="AG7075">
        <v>-1.114848774703</v>
      </c>
      <c r="AH7075">
        <v>21.0560872109853</v>
      </c>
      <c r="AI7075">
        <v>92.844637319824599</v>
      </c>
      <c r="AJ7075">
        <v>110.20287679301801</v>
      </c>
      <c r="AK7075">
        <v>22.464156898248</v>
      </c>
      <c r="AL7075">
        <v>93.827742764803006</v>
      </c>
      <c r="AM7075">
        <v>112.11554471437699</v>
      </c>
      <c r="AN7075">
        <v>0.99999999001203499</v>
      </c>
    </row>
    <row r="7076" spans="1:40" x14ac:dyDescent="0.25">
      <c r="A7076" t="str">
        <f>"20190305135104744"</f>
        <v>20190305135104744</v>
      </c>
      <c r="B7076" t="str">
        <f>"1551765064736712"</f>
        <v>1551765064736712</v>
      </c>
      <c r="C7076" t="s">
        <v>40</v>
      </c>
      <c r="D7076">
        <v>3.9781300000000002</v>
      </c>
      <c r="E7076">
        <v>0.52300360000000001</v>
      </c>
      <c r="F7076" t="s">
        <v>42</v>
      </c>
      <c r="G7076">
        <v>-264.98050000000001</v>
      </c>
      <c r="H7076" s="1">
        <v>-1.6992049999999999E-6</v>
      </c>
      <c r="I7076">
        <v>-62.478219999999901</v>
      </c>
      <c r="J7076">
        <v>-285.00510000000003</v>
      </c>
      <c r="K7076">
        <v>1.1149979999999999</v>
      </c>
      <c r="L7076">
        <v>-59.261569999999899</v>
      </c>
      <c r="M7076">
        <v>0.88116240000000001</v>
      </c>
      <c r="N7076">
        <v>-8.1213889999999997E-3</v>
      </c>
      <c r="O7076">
        <v>-0.47274430000000001</v>
      </c>
      <c r="P7076">
        <v>0.99197639999999998</v>
      </c>
      <c r="Q7076">
        <v>-6.9754679999999999E-2</v>
      </c>
      <c r="R7076">
        <v>-0.1054394</v>
      </c>
      <c r="S7076">
        <v>2.9610289999999999</v>
      </c>
      <c r="T7076">
        <v>-0.16414200000000001</v>
      </c>
      <c r="U7076">
        <v>-0.47964479999999998</v>
      </c>
      <c r="V7076">
        <v>-0.37517679999999998</v>
      </c>
      <c r="W7076">
        <v>-6.7336439999999997E-2</v>
      </c>
      <c r="X7076">
        <v>0.92450429999999995</v>
      </c>
      <c r="Y7076">
        <v>-0.32476919999999998</v>
      </c>
      <c r="Z7076">
        <v>3.1248600000000001E-2</v>
      </c>
      <c r="AA7076">
        <v>0.94527700000000003</v>
      </c>
      <c r="AB7076">
        <v>20</v>
      </c>
      <c r="AC7076">
        <v>20.0246</v>
      </c>
      <c r="AD7076">
        <v>-1.114999699205</v>
      </c>
      <c r="AE7076">
        <v>-3.21665</v>
      </c>
      <c r="AF7076">
        <v>-6.61235674438689</v>
      </c>
      <c r="AG7076">
        <v>-1.114999699205</v>
      </c>
      <c r="AH7076">
        <v>19.1084525658733</v>
      </c>
      <c r="AI7076">
        <v>93.156257769878593</v>
      </c>
      <c r="AJ7076">
        <v>109.087848455046</v>
      </c>
      <c r="AK7076">
        <v>20.250912214181799</v>
      </c>
      <c r="AL7076">
        <v>93.861015289053697</v>
      </c>
      <c r="AM7076">
        <v>112.088003557806</v>
      </c>
      <c r="AN7076">
        <v>1.0000000140642999</v>
      </c>
    </row>
    <row r="7077" spans="1:40" x14ac:dyDescent="0.25">
      <c r="A7077" t="str">
        <f>"20190305135104755"</f>
        <v>20190305135104755</v>
      </c>
      <c r="B7077" t="str">
        <f>"1551765064746472"</f>
        <v>1551765064746472</v>
      </c>
      <c r="C7077" t="s">
        <v>40</v>
      </c>
      <c r="D7077">
        <v>3.9304579999999998</v>
      </c>
      <c r="E7077">
        <v>0.52566800000000002</v>
      </c>
      <c r="F7077" t="s">
        <v>42</v>
      </c>
      <c r="G7077">
        <v>-266.56819999999999</v>
      </c>
      <c r="H7077" s="1">
        <v>-2.3516920000000001E-6</v>
      </c>
      <c r="I7077">
        <v>-62.370629999999998</v>
      </c>
      <c r="J7077">
        <v>-284.92419999999998</v>
      </c>
      <c r="K7077">
        <v>1.1151359999999999</v>
      </c>
      <c r="L7077">
        <v>-59.299259999999997</v>
      </c>
      <c r="M7077">
        <v>0.8833048</v>
      </c>
      <c r="N7077">
        <v>-8.5495780000000004E-3</v>
      </c>
      <c r="O7077">
        <v>-0.4687212</v>
      </c>
      <c r="P7077">
        <v>0.99224990000000002</v>
      </c>
      <c r="Q7077">
        <v>-7.115784E-2</v>
      </c>
      <c r="R7077">
        <v>-0.1018662</v>
      </c>
      <c r="S7077">
        <v>2.958618</v>
      </c>
      <c r="T7077">
        <v>-0.17892739999999999</v>
      </c>
      <c r="U7077">
        <v>-0.49893189999999998</v>
      </c>
      <c r="V7077">
        <v>-0.37421670000000001</v>
      </c>
      <c r="W7077">
        <v>-6.8414260000000005E-2</v>
      </c>
      <c r="X7077">
        <v>0.92481420000000003</v>
      </c>
      <c r="Y7077">
        <v>-0.31415179999999998</v>
      </c>
      <c r="Z7077">
        <v>3.3620419999999998E-2</v>
      </c>
      <c r="AA7077">
        <v>0.94877730000000005</v>
      </c>
      <c r="AB7077">
        <v>20</v>
      </c>
      <c r="AC7077">
        <v>18.355999999999899</v>
      </c>
      <c r="AD7077">
        <v>-1.1151383516919999</v>
      </c>
      <c r="AE7077">
        <v>-3.0713699999999999</v>
      </c>
      <c r="AF7077">
        <v>-5.8700315592535999</v>
      </c>
      <c r="AG7077">
        <v>-1.1151383516919999</v>
      </c>
      <c r="AH7077">
        <v>17.591050042090401</v>
      </c>
      <c r="AI7077">
        <v>93.441210131762702</v>
      </c>
      <c r="AJ7077">
        <v>108.453555883053</v>
      </c>
      <c r="AK7077">
        <v>18.5781012386459</v>
      </c>
      <c r="AL7077">
        <v>93.922912720780005</v>
      </c>
      <c r="AM7077">
        <v>112.03021900471801</v>
      </c>
      <c r="AN7077">
        <v>0.99999997702593801</v>
      </c>
    </row>
    <row r="7078" spans="1:40" x14ac:dyDescent="0.25">
      <c r="A7078" t="str">
        <f>"20190305135104765"</f>
        <v>20190305135104765</v>
      </c>
      <c r="B7078" t="str">
        <f>"1551765064757209"</f>
        <v>1551765064757209</v>
      </c>
      <c r="C7078" t="s">
        <v>40</v>
      </c>
      <c r="D7078">
        <v>3.939111</v>
      </c>
      <c r="E7078">
        <v>0.52751159999999997</v>
      </c>
      <c r="F7078" t="s">
        <v>42</v>
      </c>
      <c r="G7078">
        <v>-267.44540000000001</v>
      </c>
      <c r="H7078" s="1">
        <v>-2.711777E-6</v>
      </c>
      <c r="I7078">
        <v>-62.309620000000002</v>
      </c>
      <c r="J7078">
        <v>-284.83330000000001</v>
      </c>
      <c r="K7078">
        <v>1.1152850000000001</v>
      </c>
      <c r="L7078">
        <v>-59.341000000000001</v>
      </c>
      <c r="M7078">
        <v>0.88571069999999996</v>
      </c>
      <c r="N7078">
        <v>-9.0080669999999998E-3</v>
      </c>
      <c r="O7078">
        <v>-0.46415020000000001</v>
      </c>
      <c r="P7078">
        <v>0.99261359999999998</v>
      </c>
      <c r="Q7078">
        <v>-7.2029899999999994E-2</v>
      </c>
      <c r="R7078">
        <v>-9.7621570000000005E-2</v>
      </c>
      <c r="S7078">
        <v>2.957611</v>
      </c>
      <c r="T7078">
        <v>-0.18869459999999999</v>
      </c>
      <c r="U7078">
        <v>-0.50939939999999995</v>
      </c>
      <c r="V7078">
        <v>-0.37334109999999998</v>
      </c>
      <c r="W7078">
        <v>-6.8947649999999999E-2</v>
      </c>
      <c r="X7078">
        <v>0.92512850000000002</v>
      </c>
      <c r="Y7078">
        <v>-0.30581360000000002</v>
      </c>
      <c r="Z7078">
        <v>3.4940810000000003E-2</v>
      </c>
      <c r="AA7078">
        <v>0.95145000000000002</v>
      </c>
      <c r="AB7078">
        <v>20</v>
      </c>
      <c r="AC7078">
        <v>17.387899999999998</v>
      </c>
      <c r="AD7078">
        <v>-1.1152877117769999</v>
      </c>
      <c r="AE7078">
        <v>-2.9686199999999898</v>
      </c>
      <c r="AF7078">
        <v>-5.4198131947176602</v>
      </c>
      <c r="AG7078">
        <v>-1.1152877117769999</v>
      </c>
      <c r="AH7078">
        <v>16.7124056045778</v>
      </c>
      <c r="AI7078">
        <v>93.632233498990104</v>
      </c>
      <c r="AJ7078">
        <v>107.967816829314</v>
      </c>
      <c r="AK7078">
        <v>17.604622768966099</v>
      </c>
      <c r="AL7078">
        <v>93.953545770102195</v>
      </c>
      <c r="AM7078">
        <v>111.976831996561</v>
      </c>
      <c r="AN7078">
        <v>1.0000000484509901</v>
      </c>
    </row>
    <row r="7079" spans="1:40" x14ac:dyDescent="0.25">
      <c r="A7079" t="str">
        <f>"20190305135104775"</f>
        <v>20190305135104775</v>
      </c>
      <c r="B7079" t="str">
        <f>"1551765064766968"</f>
        <v>1551765064766968</v>
      </c>
      <c r="C7079" t="s">
        <v>40</v>
      </c>
      <c r="D7079">
        <v>3.9164910000000002</v>
      </c>
      <c r="E7079">
        <v>0.5287231</v>
      </c>
      <c r="F7079" t="s">
        <v>42</v>
      </c>
      <c r="G7079">
        <v>-267.6114</v>
      </c>
      <c r="H7079" s="1">
        <v>-2.7853689999999998E-6</v>
      </c>
      <c r="I7079">
        <v>-62.318570000000001</v>
      </c>
      <c r="J7079">
        <v>-284.7577</v>
      </c>
      <c r="K7079">
        <v>1.115391</v>
      </c>
      <c r="L7079">
        <v>-59.37509</v>
      </c>
      <c r="M7079">
        <v>0.88772109999999904</v>
      </c>
      <c r="N7079">
        <v>-9.3679360000000003E-3</v>
      </c>
      <c r="O7079">
        <v>-0.46028649999999999</v>
      </c>
      <c r="P7079">
        <v>0.99288929999999997</v>
      </c>
      <c r="Q7079">
        <v>-7.2777999999999995E-2</v>
      </c>
      <c r="R7079">
        <v>-9.4202670000000002E-2</v>
      </c>
      <c r="S7079">
        <v>2.9580690000000001</v>
      </c>
      <c r="T7079">
        <v>-0.1915636</v>
      </c>
      <c r="U7079">
        <v>-0.51144409999999996</v>
      </c>
      <c r="V7079">
        <v>-0.37245250000000002</v>
      </c>
      <c r="W7079">
        <v>-6.9426459999999995E-2</v>
      </c>
      <c r="X7079">
        <v>0.92545069999999996</v>
      </c>
      <c r="Y7079">
        <v>-0.30103020000000003</v>
      </c>
      <c r="Z7079">
        <v>3.5034419999999997E-2</v>
      </c>
      <c r="AA7079">
        <v>0.95297080000000001</v>
      </c>
      <c r="AB7079">
        <v>20</v>
      </c>
      <c r="AC7079">
        <v>17.146299999999901</v>
      </c>
      <c r="AD7079">
        <v>-1.1153937853689999</v>
      </c>
      <c r="AE7079">
        <v>-2.9434799999999899</v>
      </c>
      <c r="AF7079">
        <v>-5.2578396119061601</v>
      </c>
      <c r="AG7079">
        <v>-1.1153937853689999</v>
      </c>
      <c r="AH7079">
        <v>16.508841645691799</v>
      </c>
      <c r="AI7079">
        <v>93.683462177493993</v>
      </c>
      <c r="AJ7079">
        <v>107.665963653495</v>
      </c>
      <c r="AK7079">
        <v>17.361763538405299</v>
      </c>
      <c r="AL7079">
        <v>93.981045858676097</v>
      </c>
      <c r="AM7079">
        <v>111.922579051657</v>
      </c>
      <c r="AN7079">
        <v>0.99999994811743398</v>
      </c>
    </row>
    <row r="7080" spans="1:40" x14ac:dyDescent="0.25">
      <c r="A7080" t="str">
        <f>"20190305135104785"</f>
        <v>20190305135104785</v>
      </c>
      <c r="B7080" t="str">
        <f>"1551765064776729"</f>
        <v>1551765064776729</v>
      </c>
      <c r="C7080" t="s">
        <v>40</v>
      </c>
      <c r="D7080">
        <v>3.9419279999999999</v>
      </c>
      <c r="E7080">
        <v>0.52990470000000001</v>
      </c>
      <c r="F7080" t="s">
        <v>111</v>
      </c>
      <c r="G7080">
        <v>-267.82769999999999</v>
      </c>
      <c r="H7080" s="1">
        <v>-2.8727999999999998E-6</v>
      </c>
      <c r="I7080">
        <v>-62.298389999999998</v>
      </c>
      <c r="J7080">
        <v>-284.67559999999997</v>
      </c>
      <c r="K7080">
        <v>1.1155109999999999</v>
      </c>
      <c r="L7080">
        <v>-59.411709999999999</v>
      </c>
      <c r="M7080">
        <v>0.88989669999999899</v>
      </c>
      <c r="N7080">
        <v>-9.7439559999999998E-3</v>
      </c>
      <c r="O7080">
        <v>-0.45605859999999898</v>
      </c>
      <c r="P7080">
        <v>0.99316939999999998</v>
      </c>
      <c r="Q7080">
        <v>-7.375284E-2</v>
      </c>
      <c r="R7080">
        <v>-9.0417440000000002E-2</v>
      </c>
      <c r="S7080">
        <v>2.95871</v>
      </c>
      <c r="T7080">
        <v>-0.19492880000000001</v>
      </c>
      <c r="U7080">
        <v>-0.51089479999999998</v>
      </c>
      <c r="V7080">
        <v>-0.37152289999999999</v>
      </c>
      <c r="W7080">
        <v>-7.0120100000000005E-2</v>
      </c>
      <c r="X7080">
        <v>0.92577209999999999</v>
      </c>
      <c r="Y7080">
        <v>-0.29667339999999998</v>
      </c>
      <c r="Z7080">
        <v>3.5210279999999997E-2</v>
      </c>
      <c r="AA7080">
        <v>0.95432969999999895</v>
      </c>
      <c r="AB7080">
        <v>20</v>
      </c>
      <c r="AC7080">
        <v>16.8478999999999</v>
      </c>
      <c r="AD7080">
        <v>-1.1155138728</v>
      </c>
      <c r="AE7080">
        <v>-2.8866800000000001</v>
      </c>
      <c r="AF7080">
        <v>-5.0933324096976502</v>
      </c>
      <c r="AG7080">
        <v>-1.1155138728</v>
      </c>
      <c r="AH7080">
        <v>16.240987881640901</v>
      </c>
      <c r="AI7080">
        <v>93.749677645806401</v>
      </c>
      <c r="AJ7080">
        <v>107.41193420959701</v>
      </c>
      <c r="AK7080">
        <v>17.057435141535599</v>
      </c>
      <c r="AL7080">
        <v>94.020885240937403</v>
      </c>
      <c r="AM7080">
        <v>111.866154179002</v>
      </c>
      <c r="AN7080">
        <v>1.0000000373934099</v>
      </c>
    </row>
    <row r="7081" spans="1:40" x14ac:dyDescent="0.25">
      <c r="A7081" t="str">
        <f>"20190305135104797"</f>
        <v>20190305135104797</v>
      </c>
      <c r="B7081" t="str">
        <f>"1551765064787466"</f>
        <v>1551765064787466</v>
      </c>
      <c r="C7081" t="s">
        <v>40</v>
      </c>
      <c r="D7081">
        <v>3.9114230000000001</v>
      </c>
      <c r="E7081">
        <v>0.53077379999999996</v>
      </c>
      <c r="F7081" t="s">
        <v>42</v>
      </c>
      <c r="G7081">
        <v>-267.98790000000002</v>
      </c>
      <c r="H7081" s="1">
        <v>-2.9369819999999999E-6</v>
      </c>
      <c r="I7081">
        <v>-62.281309999999998</v>
      </c>
      <c r="J7081">
        <v>-284.58479999999997</v>
      </c>
      <c r="K7081">
        <v>1.115621</v>
      </c>
      <c r="L7081">
        <v>-59.451320000000003</v>
      </c>
      <c r="M7081">
        <v>0.89231499999999997</v>
      </c>
      <c r="N7081">
        <v>-1.0132270000000001E-2</v>
      </c>
      <c r="O7081">
        <v>-0.45129940000000002</v>
      </c>
      <c r="P7081">
        <v>0.99350539999999998</v>
      </c>
      <c r="Q7081">
        <v>-7.4324070000000006E-2</v>
      </c>
      <c r="R7081">
        <v>-8.6156679999999999E-2</v>
      </c>
      <c r="S7081">
        <v>2.9595950000000002</v>
      </c>
      <c r="T7081">
        <v>-0.1978393</v>
      </c>
      <c r="U7081">
        <v>-0.50894170000000005</v>
      </c>
      <c r="V7081">
        <v>-0.37051440000000002</v>
      </c>
      <c r="W7081">
        <v>-7.0392800000000005E-2</v>
      </c>
      <c r="X7081">
        <v>0.92615539999999996</v>
      </c>
      <c r="Y7081">
        <v>-0.29221399999999997</v>
      </c>
      <c r="Z7081">
        <v>3.5251310000000001E-2</v>
      </c>
      <c r="AA7081">
        <v>0.95570310000000003</v>
      </c>
      <c r="AB7081">
        <v>20</v>
      </c>
      <c r="AC7081">
        <v>16.596899999999899</v>
      </c>
      <c r="AD7081">
        <v>-1.115623936982</v>
      </c>
      <c r="AE7081">
        <v>-2.82999</v>
      </c>
      <c r="AF7081">
        <v>-4.9434783022810302</v>
      </c>
      <c r="AG7081">
        <v>-1.115623936982</v>
      </c>
      <c r="AH7081">
        <v>16.0173350014779</v>
      </c>
      <c r="AI7081">
        <v>93.807612293070093</v>
      </c>
      <c r="AJ7081">
        <v>107.151952704094</v>
      </c>
      <c r="AK7081">
        <v>16.799929019000601</v>
      </c>
      <c r="AL7081">
        <v>94.0365488738137</v>
      </c>
      <c r="AM7081">
        <v>111.804195450356</v>
      </c>
      <c r="AN7081">
        <v>0.99999994592417796</v>
      </c>
    </row>
    <row r="7082" spans="1:40" x14ac:dyDescent="0.25">
      <c r="A7082" t="str">
        <f>"20190305135104808"</f>
        <v>20190305135104808</v>
      </c>
      <c r="B7082" t="str">
        <f>"1551765064797225"</f>
        <v>1551765064797225</v>
      </c>
      <c r="C7082" t="s">
        <v>40</v>
      </c>
      <c r="D7082">
        <v>3.9174090000000001</v>
      </c>
      <c r="E7082">
        <v>0.53160180000000001</v>
      </c>
      <c r="F7082" t="s">
        <v>111</v>
      </c>
      <c r="G7082">
        <v>-268.1277</v>
      </c>
      <c r="H7082" s="1">
        <v>-2.9850339999999999E-6</v>
      </c>
      <c r="I7082">
        <v>-62.248080000000002</v>
      </c>
      <c r="J7082">
        <v>-284.4939</v>
      </c>
      <c r="K7082">
        <v>1.1157220000000001</v>
      </c>
      <c r="L7082">
        <v>-59.490600000000001</v>
      </c>
      <c r="M7082">
        <v>0.89472819999999997</v>
      </c>
      <c r="N7082">
        <v>-1.0507819999999999E-2</v>
      </c>
      <c r="O7082">
        <v>-0.44648759999999998</v>
      </c>
      <c r="P7082">
        <v>0.99384039999999996</v>
      </c>
      <c r="Q7082">
        <v>-7.5058520000000004E-2</v>
      </c>
      <c r="R7082">
        <v>-8.1534679999999998E-2</v>
      </c>
      <c r="S7082">
        <v>2.9609679999999998</v>
      </c>
      <c r="T7082">
        <v>-0.20072309999999999</v>
      </c>
      <c r="U7082">
        <v>-0.50320429999999905</v>
      </c>
      <c r="V7082">
        <v>-0.36979279999999998</v>
      </c>
      <c r="W7082">
        <v>-7.0840280000000005E-2</v>
      </c>
      <c r="X7082">
        <v>0.9264097</v>
      </c>
      <c r="Y7082">
        <v>-0.28891739999999999</v>
      </c>
      <c r="Z7082">
        <v>3.5322190000000003E-2</v>
      </c>
      <c r="AA7082">
        <v>0.95670219999999995</v>
      </c>
      <c r="AB7082">
        <v>20</v>
      </c>
      <c r="AC7082">
        <v>16.3661999999999</v>
      </c>
      <c r="AD7082">
        <v>-1.1157249850340001</v>
      </c>
      <c r="AE7082">
        <v>-2.7574800000000002</v>
      </c>
      <c r="AF7082">
        <v>-4.8186008950744297</v>
      </c>
      <c r="AG7082">
        <v>-1.1157249850340001</v>
      </c>
      <c r="AH7082">
        <v>15.803935436400099</v>
      </c>
      <c r="AI7082">
        <v>93.863250879684301</v>
      </c>
      <c r="AJ7082">
        <v>106.95640070581101</v>
      </c>
      <c r="AK7082">
        <v>16.559834905763498</v>
      </c>
      <c r="AL7082">
        <v>94.062251552474805</v>
      </c>
      <c r="AM7082">
        <v>111.760286411642</v>
      </c>
      <c r="AN7082">
        <v>0.99999999622820401</v>
      </c>
    </row>
    <row r="7083" spans="1:40" x14ac:dyDescent="0.25">
      <c r="A7083" t="str">
        <f>"20190305135104819"</f>
        <v>20190305135104819</v>
      </c>
      <c r="B7083" t="str">
        <f>"1551765064816745"</f>
        <v>1551765064816745</v>
      </c>
      <c r="C7083" t="s">
        <v>40</v>
      </c>
      <c r="D7083">
        <v>3.9326940000000001</v>
      </c>
      <c r="E7083">
        <v>0.53262600000000004</v>
      </c>
      <c r="F7083" t="s">
        <v>42</v>
      </c>
      <c r="G7083">
        <v>-268.27030000000002</v>
      </c>
      <c r="H7083" s="1">
        <v>-3.0262170000000002E-6</v>
      </c>
      <c r="I7083">
        <v>-62.206650000000003</v>
      </c>
      <c r="J7083">
        <v>-284.40890000000002</v>
      </c>
      <c r="K7083">
        <v>1.115794</v>
      </c>
      <c r="L7083">
        <v>-59.526310000000002</v>
      </c>
      <c r="M7083">
        <v>0.89701350000000002</v>
      </c>
      <c r="N7083">
        <v>-1.0826509999999999E-2</v>
      </c>
      <c r="O7083">
        <v>-0.44187070000000001</v>
      </c>
      <c r="P7083">
        <v>0.99406969999999995</v>
      </c>
      <c r="Q7083">
        <v>-7.5954069999999999E-2</v>
      </c>
      <c r="R7083">
        <v>-7.7823359999999994E-2</v>
      </c>
      <c r="S7083">
        <v>2.962494</v>
      </c>
      <c r="T7083">
        <v>-0.20373540000000001</v>
      </c>
      <c r="U7083">
        <v>-0.49597170000000002</v>
      </c>
      <c r="V7083">
        <v>-0.36843140000000002</v>
      </c>
      <c r="W7083">
        <v>-7.1466199999999994E-2</v>
      </c>
      <c r="X7083">
        <v>0.92690399999999995</v>
      </c>
      <c r="Y7083">
        <v>-0.28631259999999997</v>
      </c>
      <c r="Z7083">
        <v>3.5462470000000003E-2</v>
      </c>
      <c r="AA7083">
        <v>0.95747979999999999</v>
      </c>
      <c r="AB7083">
        <v>20</v>
      </c>
      <c r="AC7083">
        <v>16.138599999999901</v>
      </c>
      <c r="AD7083">
        <v>-1.1157970262170001</v>
      </c>
      <c r="AE7083">
        <v>-2.6803400000000002</v>
      </c>
      <c r="AF7083">
        <v>-4.7052620487847996</v>
      </c>
      <c r="AG7083">
        <v>-1.1157970262170001</v>
      </c>
      <c r="AH7083">
        <v>15.5893041190759</v>
      </c>
      <c r="AI7083">
        <v>93.919861130586298</v>
      </c>
      <c r="AJ7083">
        <v>106.79519548125199</v>
      </c>
      <c r="AK7083">
        <v>16.322098421112599</v>
      </c>
      <c r="AL7083">
        <v>94.098204954168295</v>
      </c>
      <c r="AM7083">
        <v>111.677130114533</v>
      </c>
      <c r="AN7083">
        <v>1.00000006973219</v>
      </c>
    </row>
    <row r="7084" spans="1:40" x14ac:dyDescent="0.25">
      <c r="A7084" t="str">
        <f>"20190305135104831"</f>
        <v>20190305135104831</v>
      </c>
      <c r="B7084" t="str">
        <f>"1551765064826504"</f>
        <v>1551765064826504</v>
      </c>
      <c r="C7084" t="s">
        <v>40</v>
      </c>
      <c r="D7084">
        <v>3.9150459999999998</v>
      </c>
      <c r="E7084">
        <v>0.53308869999999997</v>
      </c>
      <c r="F7084" t="s">
        <v>42</v>
      </c>
      <c r="G7084">
        <v>-268.34890000000001</v>
      </c>
      <c r="H7084" s="1">
        <v>-3.0515240000000002E-6</v>
      </c>
      <c r="I7084">
        <v>-62.198439999999998</v>
      </c>
      <c r="J7084">
        <v>-284.31720000000001</v>
      </c>
      <c r="K7084">
        <v>1.1158650000000001</v>
      </c>
      <c r="L7084">
        <v>-59.564540000000001</v>
      </c>
      <c r="M7084">
        <v>0.89946219999999999</v>
      </c>
      <c r="N7084">
        <v>-1.116256E-2</v>
      </c>
      <c r="O7084">
        <v>-0.43685570000000001</v>
      </c>
      <c r="P7084">
        <v>0.99431429999999998</v>
      </c>
      <c r="Q7084">
        <v>-7.6748830000000004E-2</v>
      </c>
      <c r="R7084">
        <v>-7.3816370000000006E-2</v>
      </c>
      <c r="S7084">
        <v>2.963562</v>
      </c>
      <c r="T7084">
        <v>-0.20589850000000001</v>
      </c>
      <c r="U7084">
        <v>-0.49310300000000001</v>
      </c>
      <c r="V7084">
        <v>-0.36695050000000001</v>
      </c>
      <c r="W7084">
        <v>-7.1973300000000004E-2</v>
      </c>
      <c r="X7084">
        <v>0.92745200000000005</v>
      </c>
      <c r="Y7084">
        <v>-0.281914</v>
      </c>
      <c r="Z7084">
        <v>3.5335470000000001E-2</v>
      </c>
      <c r="AA7084">
        <v>0.9587888</v>
      </c>
      <c r="AB7084">
        <v>20</v>
      </c>
      <c r="AC7084">
        <v>15.968299999999999</v>
      </c>
      <c r="AD7084">
        <v>-1.11586805152399</v>
      </c>
      <c r="AE7084">
        <v>-2.6339000000000001</v>
      </c>
      <c r="AF7084">
        <v>-4.5852392013344296</v>
      </c>
      <c r="AG7084">
        <v>-1.11586805152399</v>
      </c>
      <c r="AH7084">
        <v>15.441079586159701</v>
      </c>
      <c r="AI7084">
        <v>93.9629097883751</v>
      </c>
      <c r="AJ7084">
        <v>106.538823111841</v>
      </c>
      <c r="AK7084">
        <v>16.146099183021999</v>
      </c>
      <c r="AL7084">
        <v>94.127334866820703</v>
      </c>
      <c r="AM7084">
        <v>111.586448422337</v>
      </c>
      <c r="AN7084">
        <v>1.00000001883356</v>
      </c>
    </row>
    <row r="7085" spans="1:40" x14ac:dyDescent="0.25">
      <c r="A7085" t="str">
        <f>"20190305135104842"</f>
        <v>20190305135104842</v>
      </c>
      <c r="B7085" t="str">
        <f>"1551765064837240"</f>
        <v>1551765064837240</v>
      </c>
      <c r="C7085" t="s">
        <v>40</v>
      </c>
      <c r="D7085">
        <v>3.9406840000000001</v>
      </c>
      <c r="E7085">
        <v>0.53358749999999999</v>
      </c>
      <c r="F7085" t="s">
        <v>42</v>
      </c>
      <c r="G7085">
        <v>-268.40969999999999</v>
      </c>
      <c r="H7085" s="1">
        <v>-3.0664509999999999E-6</v>
      </c>
      <c r="I7085">
        <v>-62.165900000000001</v>
      </c>
      <c r="J7085">
        <v>-284.2253</v>
      </c>
      <c r="K7085">
        <v>1.115923</v>
      </c>
      <c r="L7085">
        <v>-59.601779999999998</v>
      </c>
      <c r="M7085">
        <v>0.90193999999999996</v>
      </c>
      <c r="N7085">
        <v>-1.146898E-2</v>
      </c>
      <c r="O7085">
        <v>-0.43170930000000002</v>
      </c>
      <c r="P7085">
        <v>0.99459330000000001</v>
      </c>
      <c r="Q7085">
        <v>-7.7090400000000003E-2</v>
      </c>
      <c r="R7085">
        <v>-6.9582409999999997E-2</v>
      </c>
      <c r="S7085">
        <v>2.9650880000000002</v>
      </c>
      <c r="T7085">
        <v>-0.20799329999999999</v>
      </c>
      <c r="U7085">
        <v>-0.48489379999999999</v>
      </c>
      <c r="V7085">
        <v>-0.36558259999999998</v>
      </c>
      <c r="W7085">
        <v>-7.2042850000000005E-2</v>
      </c>
      <c r="X7085">
        <v>0.92798659999999999</v>
      </c>
      <c r="Y7085">
        <v>-0.27908719999999998</v>
      </c>
      <c r="Z7085">
        <v>3.5255450000000001E-2</v>
      </c>
      <c r="AA7085">
        <v>0.95961830000000004</v>
      </c>
      <c r="AB7085">
        <v>20</v>
      </c>
      <c r="AC7085">
        <v>15.8156</v>
      </c>
      <c r="AD7085">
        <v>-1.115926066451</v>
      </c>
      <c r="AE7085">
        <v>-2.5641199999999902</v>
      </c>
      <c r="AF7085">
        <v>-4.4935574301061898</v>
      </c>
      <c r="AG7085">
        <v>-1.115926066451</v>
      </c>
      <c r="AH7085">
        <v>15.2984731462523</v>
      </c>
      <c r="AI7085">
        <v>94.0034325121092</v>
      </c>
      <c r="AJ7085">
        <v>106.36887849629601</v>
      </c>
      <c r="AK7085">
        <v>15.983761446231901</v>
      </c>
      <c r="AL7085">
        <v>94.131330363055696</v>
      </c>
      <c r="AM7085">
        <v>111.50208217079501</v>
      </c>
      <c r="AN7085">
        <v>0.99999996971922001</v>
      </c>
    </row>
    <row r="7086" spans="1:40" x14ac:dyDescent="0.25">
      <c r="A7086" t="str">
        <f>"20190305135104853"</f>
        <v>20190305135104853</v>
      </c>
      <c r="B7086" t="str">
        <f>"1551765064847000"</f>
        <v>1551765064847000</v>
      </c>
      <c r="C7086" t="s">
        <v>40</v>
      </c>
      <c r="D7086">
        <v>3.9454799999999999</v>
      </c>
      <c r="E7086">
        <v>0.53398819999999902</v>
      </c>
      <c r="F7086" t="s">
        <v>42</v>
      </c>
      <c r="G7086">
        <v>-268.36900000000003</v>
      </c>
      <c r="H7086" s="1">
        <v>-3.0491839999999999E-6</v>
      </c>
      <c r="I7086">
        <v>-62.146799999999999</v>
      </c>
      <c r="J7086">
        <v>-284.13740000000001</v>
      </c>
      <c r="K7086">
        <v>1.115969</v>
      </c>
      <c r="L7086">
        <v>-59.637050000000002</v>
      </c>
      <c r="M7086">
        <v>0.90429959999999998</v>
      </c>
      <c r="N7086">
        <v>-1.175118E-2</v>
      </c>
      <c r="O7086">
        <v>-0.42673670000000002</v>
      </c>
      <c r="P7086">
        <v>0.99482669999999995</v>
      </c>
      <c r="Q7086">
        <v>-7.7171749999999997E-2</v>
      </c>
      <c r="R7086">
        <v>-6.606331E-2</v>
      </c>
      <c r="S7086">
        <v>2.9667970000000001</v>
      </c>
      <c r="T7086">
        <v>-0.20879439999999999</v>
      </c>
      <c r="U7086">
        <v>-0.47619630000000002</v>
      </c>
      <c r="V7086">
        <v>-0.36375259999999998</v>
      </c>
      <c r="W7086">
        <v>-7.1859740000000005E-2</v>
      </c>
      <c r="X7086">
        <v>0.92871970000000004</v>
      </c>
      <c r="Y7086">
        <v>-0.2766381</v>
      </c>
      <c r="Z7086">
        <v>3.4960280000000003E-2</v>
      </c>
      <c r="AA7086">
        <v>0.96033809999999997</v>
      </c>
      <c r="AB7086">
        <v>20</v>
      </c>
      <c r="AC7086">
        <v>15.7683999999999</v>
      </c>
      <c r="AD7086">
        <v>-1.1159720491839999</v>
      </c>
      <c r="AE7086">
        <v>-2.5097499999999902</v>
      </c>
      <c r="AF7086">
        <v>-4.4380170306717499</v>
      </c>
      <c r="AG7086">
        <v>-1.1159720491839999</v>
      </c>
      <c r="AH7086">
        <v>15.2568880967334</v>
      </c>
      <c r="AI7086">
        <v>94.017534870603697</v>
      </c>
      <c r="AJ7086">
        <v>106.218980412943</v>
      </c>
      <c r="AK7086">
        <v>15.9284030328008</v>
      </c>
      <c r="AL7086">
        <v>94.120811426140094</v>
      </c>
      <c r="AM7086">
        <v>111.388839498781</v>
      </c>
      <c r="AN7086">
        <v>1.00000002870385</v>
      </c>
    </row>
    <row r="7087" spans="1:40" x14ac:dyDescent="0.25">
      <c r="A7087" t="str">
        <f>"20190305135104863"</f>
        <v>20190305135104863</v>
      </c>
      <c r="B7087" t="str">
        <f>"1551765064856761"</f>
        <v>1551765064856761</v>
      </c>
      <c r="C7087" t="s">
        <v>40</v>
      </c>
      <c r="D7087">
        <v>4.2920489999999996</v>
      </c>
      <c r="E7087">
        <v>0.53453450000000002</v>
      </c>
      <c r="F7087" t="s">
        <v>111</v>
      </c>
      <c r="G7087">
        <v>-268.27010000000001</v>
      </c>
      <c r="H7087" s="1">
        <v>-3.0149440000000001E-6</v>
      </c>
      <c r="I7087">
        <v>-62.1434199999999</v>
      </c>
      <c r="J7087">
        <v>-284.0521</v>
      </c>
      <c r="K7087">
        <v>1.1160110000000001</v>
      </c>
      <c r="L7087">
        <v>-59.670529999999999</v>
      </c>
      <c r="M7087">
        <v>0.90659219999999896</v>
      </c>
      <c r="N7087">
        <v>-1.200625E-2</v>
      </c>
      <c r="O7087">
        <v>-0.42183700000000002</v>
      </c>
      <c r="P7087">
        <v>0.99514530000000001</v>
      </c>
      <c r="Q7087">
        <v>-7.7226870000000003E-2</v>
      </c>
      <c r="R7087">
        <v>-6.1008130000000001E-2</v>
      </c>
      <c r="S7087">
        <v>2.9682620000000002</v>
      </c>
      <c r="T7087">
        <v>-0.20876239999999999</v>
      </c>
      <c r="U7087">
        <v>-0.46887210000000001</v>
      </c>
      <c r="V7087">
        <v>-0.3634424</v>
      </c>
      <c r="W7087">
        <v>-7.1698399999999995E-2</v>
      </c>
      <c r="X7087">
        <v>0.92885359999999995</v>
      </c>
      <c r="Y7087">
        <v>-0.27384380000000003</v>
      </c>
      <c r="Z7087">
        <v>3.451038E-2</v>
      </c>
      <c r="AA7087">
        <v>0.96115479999999998</v>
      </c>
      <c r="AB7087">
        <v>20</v>
      </c>
      <c r="AC7087">
        <v>15.781999999999901</v>
      </c>
      <c r="AD7087">
        <v>-1.1160140149439901</v>
      </c>
      <c r="AE7087">
        <v>-2.47288999999998</v>
      </c>
      <c r="AF7087">
        <v>-4.3943992826149998</v>
      </c>
      <c r="AG7087">
        <v>-1.1160140149439901</v>
      </c>
      <c r="AH7087">
        <v>15.277536054316601</v>
      </c>
      <c r="AI7087">
        <v>94.015742060961998</v>
      </c>
      <c r="AJ7087">
        <v>106.047244011228</v>
      </c>
      <c r="AK7087">
        <v>15.9361017889427</v>
      </c>
      <c r="AL7087">
        <v>94.111543436515305</v>
      </c>
      <c r="AM7087">
        <v>111.36944261136701</v>
      </c>
      <c r="AN7087">
        <v>1.0000000244566301</v>
      </c>
    </row>
    <row r="7088" spans="1:40" x14ac:dyDescent="0.25">
      <c r="A7088" t="str">
        <f>"20190305135104887"</f>
        <v>20190305135104887</v>
      </c>
      <c r="B7088" t="str">
        <f>"1551765064877256"</f>
        <v>1551765064877256</v>
      </c>
      <c r="C7088" t="s">
        <v>40</v>
      </c>
      <c r="D7088">
        <v>3.9512659999999999</v>
      </c>
      <c r="E7088">
        <v>0.53554389999999996</v>
      </c>
      <c r="F7088" t="s">
        <v>111</v>
      </c>
      <c r="G7088">
        <v>-268.07119999999998</v>
      </c>
      <c r="H7088" s="1">
        <v>-2.9339139999999999E-6</v>
      </c>
      <c r="I7088">
        <v>-62.1355</v>
      </c>
      <c r="J7088">
        <v>-283.87329999999997</v>
      </c>
      <c r="K7088">
        <v>1.1160829999999999</v>
      </c>
      <c r="L7088">
        <v>-59.738950000000003</v>
      </c>
      <c r="M7088">
        <v>0.91136039999999996</v>
      </c>
      <c r="N7088">
        <v>-1.249741E-2</v>
      </c>
      <c r="O7088">
        <v>-0.41141949999999999</v>
      </c>
      <c r="P7088">
        <v>0.99558159999999896</v>
      </c>
      <c r="Q7088">
        <v>-7.7661899999999895E-2</v>
      </c>
      <c r="R7088">
        <v>-5.2783780000000002E-2</v>
      </c>
      <c r="S7088">
        <v>2.970459</v>
      </c>
      <c r="T7088">
        <v>-0.20744029999999999</v>
      </c>
      <c r="U7088">
        <v>-0.45819090000000001</v>
      </c>
      <c r="V7088">
        <v>-0.36045260000000001</v>
      </c>
      <c r="W7088">
        <v>-7.1667030000000007E-2</v>
      </c>
      <c r="X7088">
        <v>0.93002030000000002</v>
      </c>
      <c r="Y7088">
        <v>-0.26636270000000001</v>
      </c>
      <c r="Z7088">
        <v>3.329112E-2</v>
      </c>
      <c r="AA7088">
        <v>0.96329779999999998</v>
      </c>
      <c r="AB7088">
        <v>20</v>
      </c>
      <c r="AC7088">
        <v>15.8020999999999</v>
      </c>
      <c r="AD7088">
        <v>-1.1160859339139999</v>
      </c>
      <c r="AE7088">
        <v>-2.3965499999999902</v>
      </c>
      <c r="AF7088">
        <v>-4.2965572936268899</v>
      </c>
      <c r="AG7088">
        <v>-1.1160859339139999</v>
      </c>
      <c r="AH7088">
        <v>15.313922449140099</v>
      </c>
      <c r="AI7088">
        <v>94.0139205248922</v>
      </c>
      <c r="AJ7088">
        <v>105.672283740428</v>
      </c>
      <c r="AK7088">
        <v>15.944349255067699</v>
      </c>
      <c r="AL7088">
        <v>94.109741536151802</v>
      </c>
      <c r="AM7088">
        <v>111.185084627577</v>
      </c>
      <c r="AN7088">
        <v>0.99999999922393501</v>
      </c>
    </row>
    <row r="7089" spans="1:40" x14ac:dyDescent="0.25">
      <c r="A7089" t="str">
        <f>"20190305135104899"</f>
        <v>20190305135104899</v>
      </c>
      <c r="B7089" t="str">
        <f>"1551765064887017"</f>
        <v>1551765064887017</v>
      </c>
      <c r="C7089" t="s">
        <v>40</v>
      </c>
      <c r="D7089">
        <v>3.9769450000000002</v>
      </c>
      <c r="E7089">
        <v>0.53604869999999905</v>
      </c>
      <c r="F7089" t="s">
        <v>42</v>
      </c>
      <c r="G7089">
        <v>-267.72550000000001</v>
      </c>
      <c r="H7089" s="1">
        <v>-2.7860780000000001E-6</v>
      </c>
      <c r="I7089">
        <v>-62.137340000000002</v>
      </c>
      <c r="J7089">
        <v>-283.774</v>
      </c>
      <c r="K7089">
        <v>1.1161219999999901</v>
      </c>
      <c r="L7089">
        <v>-59.775599999999997</v>
      </c>
      <c r="M7089">
        <v>0.91399149999999996</v>
      </c>
      <c r="N7089">
        <v>-1.274054E-2</v>
      </c>
      <c r="O7089">
        <v>-0.4055338</v>
      </c>
      <c r="P7089">
        <v>0.99579300000000004</v>
      </c>
      <c r="Q7089">
        <v>-7.8044950000000002E-2</v>
      </c>
      <c r="R7089">
        <v>-4.8014189999999998E-2</v>
      </c>
      <c r="S7089">
        <v>2.9738769999999999</v>
      </c>
      <c r="T7089">
        <v>-0.20554439999999999</v>
      </c>
      <c r="U7089">
        <v>-0.44171139999999998</v>
      </c>
      <c r="V7089">
        <v>-0.3588924</v>
      </c>
      <c r="W7089">
        <v>-7.1819839999999996E-2</v>
      </c>
      <c r="X7089">
        <v>0.93061170000000004</v>
      </c>
      <c r="Y7089">
        <v>-0.26557509999999901</v>
      </c>
      <c r="Z7089">
        <v>3.2545150000000002E-2</v>
      </c>
      <c r="AA7089">
        <v>0.96354070000000003</v>
      </c>
      <c r="AB7089">
        <v>20</v>
      </c>
      <c r="AC7089">
        <v>16.048499999999901</v>
      </c>
      <c r="AD7089">
        <v>-1.1161247860779999</v>
      </c>
      <c r="AE7089">
        <v>-2.3617400000000002</v>
      </c>
      <c r="AF7089">
        <v>-4.3294542560261204</v>
      </c>
      <c r="AG7089">
        <v>-1.1161247860779999</v>
      </c>
      <c r="AH7089">
        <v>15.5535882256024</v>
      </c>
      <c r="AI7089">
        <v>93.954660375261</v>
      </c>
      <c r="AJ7089">
        <v>105.554930101286</v>
      </c>
      <c r="AK7089">
        <v>16.183448809963799</v>
      </c>
      <c r="AL7089">
        <v>94.118519561346204</v>
      </c>
      <c r="AM7089">
        <v>111.089240233409</v>
      </c>
      <c r="AN7089">
        <v>0.99999999018613694</v>
      </c>
    </row>
    <row r="7090" spans="1:40" x14ac:dyDescent="0.25">
      <c r="A7090" t="str">
        <f>"20190305135104911"</f>
        <v>20190305135104911</v>
      </c>
      <c r="B7090" t="str">
        <f>"1551765064906820"</f>
        <v>1551765064906820</v>
      </c>
      <c r="C7090" t="s">
        <v>40</v>
      </c>
      <c r="D7090">
        <v>3.9529540000000001</v>
      </c>
      <c r="E7090">
        <v>0.5369794</v>
      </c>
      <c r="F7090" t="s">
        <v>42</v>
      </c>
      <c r="G7090">
        <v>-267.54320000000001</v>
      </c>
      <c r="H7090" s="1">
        <v>-2.7056360000000001E-6</v>
      </c>
      <c r="I7090">
        <v>-62.12885</v>
      </c>
      <c r="J7090">
        <v>-283.67939999999999</v>
      </c>
      <c r="K7090">
        <v>1.1161589999999999</v>
      </c>
      <c r="L7090">
        <v>-59.810180000000003</v>
      </c>
      <c r="M7090">
        <v>0.91647520000000005</v>
      </c>
      <c r="N7090">
        <v>-1.296275E-2</v>
      </c>
      <c r="O7090">
        <v>-0.39988170000000001</v>
      </c>
      <c r="P7090">
        <v>0.99598900000000001</v>
      </c>
      <c r="Q7090">
        <v>-7.8290819999999997E-2</v>
      </c>
      <c r="R7090">
        <v>-4.3323300000000002E-2</v>
      </c>
      <c r="S7090">
        <v>2.9757690000000001</v>
      </c>
      <c r="T7090">
        <v>-0.2046309</v>
      </c>
      <c r="U7090">
        <v>-0.43145749999999999</v>
      </c>
      <c r="V7090">
        <v>-0.35751759999999999</v>
      </c>
      <c r="W7090">
        <v>-7.1857489999999996E-2</v>
      </c>
      <c r="X7090">
        <v>0.93113789999999996</v>
      </c>
      <c r="Y7090">
        <v>-0.262992</v>
      </c>
      <c r="Z7090">
        <v>3.1932960000000003E-2</v>
      </c>
      <c r="AA7090">
        <v>0.96426940000000005</v>
      </c>
      <c r="AB7090">
        <v>20</v>
      </c>
      <c r="AC7090">
        <v>16.136199999999899</v>
      </c>
      <c r="AD7090">
        <v>-1.116161705636</v>
      </c>
      <c r="AE7090">
        <v>-2.3186699999999898</v>
      </c>
      <c r="AF7090">
        <v>-4.3077366185047596</v>
      </c>
      <c r="AG7090">
        <v>-1.116161705636</v>
      </c>
      <c r="AH7090">
        <v>15.6436045764839</v>
      </c>
      <c r="AI7090">
        <v>93.935120706909302</v>
      </c>
      <c r="AJ7090">
        <v>105.395812713304</v>
      </c>
      <c r="AK7090">
        <v>16.264217653269501</v>
      </c>
      <c r="AL7090">
        <v>94.120682043205093</v>
      </c>
      <c r="AM7090">
        <v>111.004679038457</v>
      </c>
      <c r="AN7090">
        <v>1.0000000609976301</v>
      </c>
    </row>
    <row r="7091" spans="1:40" x14ac:dyDescent="0.25">
      <c r="A7091" t="str">
        <f>"20190305135104923"</f>
        <v>20190305135104923</v>
      </c>
      <c r="B7091" t="str">
        <f>"1551765064916563"</f>
        <v>1551765064916563</v>
      </c>
      <c r="C7091" t="s">
        <v>40</v>
      </c>
      <c r="D7091">
        <v>3.969849</v>
      </c>
      <c r="E7091">
        <v>0.53739579999999998</v>
      </c>
      <c r="F7091" t="s">
        <v>111</v>
      </c>
      <c r="G7091">
        <v>-267.23059999999998</v>
      </c>
      <c r="H7091" s="1">
        <v>-2.5790889999999999E-6</v>
      </c>
      <c r="I7091">
        <v>-62.157260000000001</v>
      </c>
      <c r="J7091">
        <v>-283.58260000000001</v>
      </c>
      <c r="K7091">
        <v>1.116201</v>
      </c>
      <c r="L7091">
        <v>-59.844360000000002</v>
      </c>
      <c r="M7091">
        <v>0.91900510000000002</v>
      </c>
      <c r="N7091">
        <v>-1.316639E-2</v>
      </c>
      <c r="O7091">
        <v>-0.39402589999999998</v>
      </c>
      <c r="P7091">
        <v>0.99617679999999997</v>
      </c>
      <c r="Q7091">
        <v>-7.8457429999999995E-2</v>
      </c>
      <c r="R7091">
        <v>-3.8419259999999997E-2</v>
      </c>
      <c r="S7091">
        <v>2.9776609999999999</v>
      </c>
      <c r="T7091">
        <v>-0.20205500000000001</v>
      </c>
      <c r="U7091">
        <v>-0.4248962</v>
      </c>
      <c r="V7091">
        <v>-0.35615249999999998</v>
      </c>
      <c r="W7091">
        <v>-7.1835300000000005E-2</v>
      </c>
      <c r="X7091">
        <v>0.93166249999999995</v>
      </c>
      <c r="Y7091">
        <v>-0.25905990000000001</v>
      </c>
      <c r="Z7091">
        <v>3.0977930000000001E-2</v>
      </c>
      <c r="AA7091">
        <v>0.96536429999999995</v>
      </c>
      <c r="AB7091">
        <v>20</v>
      </c>
      <c r="AC7091">
        <v>16.352</v>
      </c>
      <c r="AD7091">
        <v>-1.1162035790889999</v>
      </c>
      <c r="AE7091">
        <v>-2.3129</v>
      </c>
      <c r="AF7091">
        <v>-4.2982833219477996</v>
      </c>
      <c r="AG7091">
        <v>-1.1162035790889999</v>
      </c>
      <c r="AH7091">
        <v>15.8678077002339</v>
      </c>
      <c r="AI7091">
        <v>93.884249003723397</v>
      </c>
      <c r="AJ7091">
        <v>105.15659802990599</v>
      </c>
      <c r="AK7091">
        <v>16.477514107331501</v>
      </c>
      <c r="AL7091">
        <v>94.119407757089604</v>
      </c>
      <c r="AM7091">
        <v>110.920670875081</v>
      </c>
      <c r="AN7091">
        <v>0.99999996374429401</v>
      </c>
    </row>
    <row r="7092" spans="1:40" x14ac:dyDescent="0.25">
      <c r="A7092" t="str">
        <f>"20190305135104935"</f>
        <v>20190305135104935</v>
      </c>
      <c r="B7092" t="str">
        <f>"1551765064927300"</f>
        <v>1551765064927300</v>
      </c>
      <c r="C7092" t="s">
        <v>40</v>
      </c>
      <c r="D7092">
        <v>3.925586</v>
      </c>
      <c r="E7092">
        <v>0.53780909999999904</v>
      </c>
      <c r="F7092" t="s">
        <v>111</v>
      </c>
      <c r="G7092">
        <v>-267.05329999999998</v>
      </c>
      <c r="H7092" s="1">
        <v>-2.4979939999999999E-6</v>
      </c>
      <c r="I7092">
        <v>-62.138300000000001</v>
      </c>
      <c r="J7092">
        <v>-283.48739999999998</v>
      </c>
      <c r="K7092">
        <v>1.116242</v>
      </c>
      <c r="L7092">
        <v>-59.877409999999998</v>
      </c>
      <c r="M7092">
        <v>0.92146620000000001</v>
      </c>
      <c r="N7092">
        <v>-1.335655E-2</v>
      </c>
      <c r="O7092">
        <v>-0.38822909999999999</v>
      </c>
      <c r="P7092">
        <v>0.99631700000000001</v>
      </c>
      <c r="Q7092">
        <v>-7.8753020000000007E-2</v>
      </c>
      <c r="R7092">
        <v>-3.3920369999999998E-2</v>
      </c>
      <c r="S7092">
        <v>2.9797359999999999</v>
      </c>
      <c r="T7092">
        <v>-0.20121919999999999</v>
      </c>
      <c r="U7092">
        <v>-0.41354370000000001</v>
      </c>
      <c r="V7092">
        <v>-0.35447650000000003</v>
      </c>
      <c r="W7092">
        <v>-7.194702E-2</v>
      </c>
      <c r="X7092">
        <v>0.93229289999999998</v>
      </c>
      <c r="Y7092">
        <v>-0.25670460000000001</v>
      </c>
      <c r="Z7092">
        <v>3.0402620000000002E-2</v>
      </c>
      <c r="AA7092">
        <v>0.96601159999999997</v>
      </c>
      <c r="AB7092">
        <v>20</v>
      </c>
      <c r="AC7092">
        <v>16.434100000000001</v>
      </c>
      <c r="AD7092">
        <v>-1.1162444979940001</v>
      </c>
      <c r="AE7092">
        <v>-2.2608899999999998</v>
      </c>
      <c r="AF7092">
        <v>-4.2778758319366004</v>
      </c>
      <c r="AG7092">
        <v>-1.1162444979940001</v>
      </c>
      <c r="AH7092">
        <v>15.9504189419842</v>
      </c>
      <c r="AI7092">
        <v>93.8669315227895</v>
      </c>
      <c r="AJ7092">
        <v>105.01331785414401</v>
      </c>
      <c r="AK7092">
        <v>16.551800138884499</v>
      </c>
      <c r="AL7092">
        <v>94.125825268655205</v>
      </c>
      <c r="AM7092">
        <v>110.817809799649</v>
      </c>
      <c r="AN7092">
        <v>1.0000000070647701</v>
      </c>
    </row>
    <row r="7093" spans="1:40" x14ac:dyDescent="0.25">
      <c r="A7093" t="str">
        <f>"20190305135104944"</f>
        <v>20190305135104944</v>
      </c>
      <c r="B7093" t="str">
        <f>"1551765064937060"</f>
        <v>1551765064937060</v>
      </c>
      <c r="C7093" t="s">
        <v>40</v>
      </c>
      <c r="D7093">
        <v>3.9597560000000001</v>
      </c>
      <c r="E7093">
        <v>0.53815329999999995</v>
      </c>
      <c r="F7093" t="s">
        <v>42</v>
      </c>
      <c r="G7093">
        <v>-266.90559999999999</v>
      </c>
      <c r="H7093" s="1">
        <v>-2.4299549999999998E-6</v>
      </c>
      <c r="I7093">
        <v>-62.120769999999901</v>
      </c>
      <c r="J7093">
        <v>-283.40210000000002</v>
      </c>
      <c r="K7093">
        <v>1.1162810000000001</v>
      </c>
      <c r="L7093">
        <v>-59.906399999999998</v>
      </c>
      <c r="M7093">
        <v>0.92365379999999997</v>
      </c>
      <c r="N7093">
        <v>-1.351512E-2</v>
      </c>
      <c r="O7093">
        <v>-0.38298939999999998</v>
      </c>
      <c r="P7093">
        <v>0.99641120000000005</v>
      </c>
      <c r="Q7093">
        <v>-7.9060640000000001E-2</v>
      </c>
      <c r="R7093">
        <v>-3.023576E-2</v>
      </c>
      <c r="S7093">
        <v>2.981506</v>
      </c>
      <c r="T7093">
        <v>-0.2007071</v>
      </c>
      <c r="U7093">
        <v>-0.4033813</v>
      </c>
      <c r="V7093">
        <v>-0.3526147</v>
      </c>
      <c r="W7093">
        <v>-7.2092409999999996E-2</v>
      </c>
      <c r="X7093">
        <v>0.93298749999999997</v>
      </c>
      <c r="Y7093">
        <v>-0.25454769999999999</v>
      </c>
      <c r="Z7093">
        <v>2.993032E-2</v>
      </c>
      <c r="AA7093">
        <v>0.96659700000000004</v>
      </c>
      <c r="AB7093">
        <v>19</v>
      </c>
      <c r="AC7093">
        <v>16.496500000000001</v>
      </c>
      <c r="AD7093">
        <v>-1.116283429955</v>
      </c>
      <c r="AE7093">
        <v>-2.21436999999999</v>
      </c>
      <c r="AF7093">
        <v>-4.2539301511823799</v>
      </c>
      <c r="AG7093">
        <v>-1.116283429955</v>
      </c>
      <c r="AH7093">
        <v>16.0145734158586</v>
      </c>
      <c r="AI7093">
        <v>93.8540806077974</v>
      </c>
      <c r="AJ7093">
        <v>104.875879468181</v>
      </c>
      <c r="AK7093">
        <v>16.607485424321698</v>
      </c>
      <c r="AL7093">
        <v>94.134176976360706</v>
      </c>
      <c r="AM7093">
        <v>110.703659577723</v>
      </c>
      <c r="AN7093">
        <v>1.0000000586959701</v>
      </c>
    </row>
    <row r="7094" spans="1:40" x14ac:dyDescent="0.25">
      <c r="A7094" t="str">
        <f>"20190305135104955"</f>
        <v>20190305135104955</v>
      </c>
      <c r="B7094" t="str">
        <f>"1551765064946820"</f>
        <v>1551765064946820</v>
      </c>
      <c r="C7094" t="s">
        <v>40</v>
      </c>
      <c r="D7094">
        <v>3.9709669999999999</v>
      </c>
      <c r="E7094">
        <v>0.53848619999999903</v>
      </c>
      <c r="F7094" t="s">
        <v>42</v>
      </c>
      <c r="G7094">
        <v>-266.8888</v>
      </c>
      <c r="H7094" s="1">
        <v>-2.4155590000000001E-6</v>
      </c>
      <c r="I7094">
        <v>-62.093730000000001</v>
      </c>
      <c r="J7094">
        <v>-283.31920000000002</v>
      </c>
      <c r="K7094">
        <v>1.1163179999999999</v>
      </c>
      <c r="L7094">
        <v>-59.933959999999999</v>
      </c>
      <c r="M7094">
        <v>0.92576760000000002</v>
      </c>
      <c r="N7094">
        <v>-1.365924E-2</v>
      </c>
      <c r="O7094">
        <v>-0.37784649999999997</v>
      </c>
      <c r="P7094">
        <v>0.99652079999999998</v>
      </c>
      <c r="Q7094">
        <v>-7.9068109999999997E-2</v>
      </c>
      <c r="R7094">
        <v>-2.636082E-2</v>
      </c>
      <c r="S7094">
        <v>2.9828190000000001</v>
      </c>
      <c r="T7094">
        <v>-0.2016356</v>
      </c>
      <c r="U7094">
        <v>-0.39511109999999999</v>
      </c>
      <c r="V7094">
        <v>-0.35105340000000002</v>
      </c>
      <c r="W7094">
        <v>-7.195443E-2</v>
      </c>
      <c r="X7094">
        <v>0.93358669999999999</v>
      </c>
      <c r="Y7094">
        <v>-0.25186320000000001</v>
      </c>
      <c r="Z7094">
        <v>2.9687560000000002E-2</v>
      </c>
      <c r="AA7094">
        <v>0.96730740000000004</v>
      </c>
      <c r="AB7094">
        <v>19</v>
      </c>
      <c r="AC7094">
        <v>16.430399999999999</v>
      </c>
      <c r="AD7094">
        <v>-1.1163204155590001</v>
      </c>
      <c r="AE7094">
        <v>-2.15977</v>
      </c>
      <c r="AF7094">
        <v>-4.1901026218852904</v>
      </c>
      <c r="AG7094">
        <v>-1.1163204155590001</v>
      </c>
      <c r="AH7094">
        <v>15.955883256704499</v>
      </c>
      <c r="AI7094">
        <v>93.871221459683994</v>
      </c>
      <c r="AJ7094">
        <v>104.713958526162</v>
      </c>
      <c r="AK7094">
        <v>16.534610420379</v>
      </c>
      <c r="AL7094">
        <v>94.126250846953894</v>
      </c>
      <c r="AM7094">
        <v>110.607594138737</v>
      </c>
      <c r="AN7094">
        <v>1.0000000280325301</v>
      </c>
    </row>
    <row r="7095" spans="1:40" x14ac:dyDescent="0.25">
      <c r="A7095" t="str">
        <f>"20190305135104966"</f>
        <v>20190305135104966</v>
      </c>
      <c r="B7095" t="str">
        <f>"1551765064956581"</f>
        <v>1551765064956581</v>
      </c>
      <c r="C7095" t="s">
        <v>40</v>
      </c>
      <c r="D7095">
        <v>3.956064</v>
      </c>
      <c r="E7095">
        <v>0.53879639999999995</v>
      </c>
      <c r="F7095" t="s">
        <v>42</v>
      </c>
      <c r="G7095">
        <v>-266.78609999999998</v>
      </c>
      <c r="H7095" s="1">
        <v>-2.366112E-6</v>
      </c>
      <c r="I7095">
        <v>-62.073480000000004</v>
      </c>
      <c r="J7095">
        <v>-283.23129999999998</v>
      </c>
      <c r="K7095">
        <v>1.1163529999999999</v>
      </c>
      <c r="L7095">
        <v>-59.962649999999996</v>
      </c>
      <c r="M7095">
        <v>0.92798170000000002</v>
      </c>
      <c r="N7095">
        <v>-1.380376E-2</v>
      </c>
      <c r="O7095">
        <v>-0.37236999999999998</v>
      </c>
      <c r="P7095">
        <v>0.99664140000000001</v>
      </c>
      <c r="Q7095">
        <v>-7.8759399999999993E-2</v>
      </c>
      <c r="R7095">
        <v>-2.2426580000000002E-2</v>
      </c>
      <c r="S7095">
        <v>2.9842529999999998</v>
      </c>
      <c r="T7095">
        <v>-0.2014986</v>
      </c>
      <c r="U7095">
        <v>-0.38619999999999999</v>
      </c>
      <c r="V7095">
        <v>-0.34923650000000001</v>
      </c>
      <c r="W7095">
        <v>-7.1493899999999999E-2</v>
      </c>
      <c r="X7095">
        <v>0.9343032</v>
      </c>
      <c r="Y7095">
        <v>-0.24906410000000001</v>
      </c>
      <c r="Z7095">
        <v>2.9246879999999999E-2</v>
      </c>
      <c r="AA7095">
        <v>0.9680453</v>
      </c>
      <c r="AB7095">
        <v>19</v>
      </c>
      <c r="AC7095">
        <v>16.4452</v>
      </c>
      <c r="AD7095">
        <v>-1.116355366112</v>
      </c>
      <c r="AE7095">
        <v>-2.11083</v>
      </c>
      <c r="AF7095">
        <v>-4.1464864398483696</v>
      </c>
      <c r="AG7095">
        <v>-1.116355366112</v>
      </c>
      <c r="AH7095">
        <v>15.975957108030199</v>
      </c>
      <c r="AI7095">
        <v>93.869376866664098</v>
      </c>
      <c r="AJ7095">
        <v>104.54981698068801</v>
      </c>
      <c r="AK7095">
        <v>16.542998658553799</v>
      </c>
      <c r="AL7095">
        <v>94.099796444332497</v>
      </c>
      <c r="AM7095">
        <v>110.49541836698801</v>
      </c>
      <c r="AN7095">
        <v>0.99999999009984997</v>
      </c>
    </row>
    <row r="7096" spans="1:40" x14ac:dyDescent="0.25">
      <c r="A7096" t="str">
        <f>"20190305135104976"</f>
        <v>20190305135104976</v>
      </c>
      <c r="B7096" t="str">
        <f>"1551765064967315"</f>
        <v>1551765064967315</v>
      </c>
      <c r="C7096" t="s">
        <v>40</v>
      </c>
      <c r="D7096">
        <v>3.95181</v>
      </c>
      <c r="E7096">
        <v>0.53904490000000005</v>
      </c>
      <c r="F7096" t="s">
        <v>42</v>
      </c>
      <c r="G7096">
        <v>-266.60250000000002</v>
      </c>
      <c r="H7096" s="1">
        <v>-2.2842230000000001E-6</v>
      </c>
      <c r="I7096">
        <v>-62.061779999999999</v>
      </c>
      <c r="J7096">
        <v>-283.15199999999999</v>
      </c>
      <c r="K7096">
        <v>1.1163829999999999</v>
      </c>
      <c r="L7096">
        <v>-59.9878199999999</v>
      </c>
      <c r="M7096">
        <v>0.92996310000000004</v>
      </c>
      <c r="N7096">
        <v>-1.3923609999999999E-2</v>
      </c>
      <c r="O7096">
        <v>-0.36738959999999998</v>
      </c>
      <c r="P7096">
        <v>0.99675239999999998</v>
      </c>
      <c r="Q7096">
        <v>-7.8297749999999999E-2</v>
      </c>
      <c r="R7096">
        <v>-1.8830199999999998E-2</v>
      </c>
      <c r="S7096">
        <v>2.985779</v>
      </c>
      <c r="T7096">
        <v>-0.20044709999999999</v>
      </c>
      <c r="U7096">
        <v>-0.3769226</v>
      </c>
      <c r="V7096">
        <v>-0.347620599999999</v>
      </c>
      <c r="W7096">
        <v>-7.0901859999999997E-2</v>
      </c>
      <c r="X7096">
        <v>0.93495070000000002</v>
      </c>
      <c r="Y7096">
        <v>-0.24692140000000001</v>
      </c>
      <c r="Z7096">
        <v>2.8716209999999999E-2</v>
      </c>
      <c r="AA7096">
        <v>0.96860990000000002</v>
      </c>
      <c r="AB7096">
        <v>19</v>
      </c>
      <c r="AC7096">
        <v>16.549499999999899</v>
      </c>
      <c r="AD7096">
        <v>-1.116385284223</v>
      </c>
      <c r="AE7096">
        <v>-2.0739600000000098</v>
      </c>
      <c r="AF7096">
        <v>-4.1332919510336597</v>
      </c>
      <c r="AG7096">
        <v>-1.116385284223</v>
      </c>
      <c r="AH7096">
        <v>16.0818897290305</v>
      </c>
      <c r="AI7096">
        <v>93.846416923502801</v>
      </c>
      <c r="AJ7096">
        <v>104.41391850810599</v>
      </c>
      <c r="AK7096">
        <v>16.642043014966799</v>
      </c>
      <c r="AL7096">
        <v>94.065788773251001</v>
      </c>
      <c r="AM7096">
        <v>110.395453477109</v>
      </c>
      <c r="AN7096">
        <v>0.99999998336315399</v>
      </c>
    </row>
    <row r="7097" spans="1:40" x14ac:dyDescent="0.25">
      <c r="A7097" t="str">
        <f>"20190305135104986"</f>
        <v>20190305135104986</v>
      </c>
      <c r="B7097" t="str">
        <f>"1551765064977075"</f>
        <v>1551765064977075</v>
      </c>
      <c r="C7097" t="s">
        <v>40</v>
      </c>
      <c r="D7097">
        <v>3.9669789999999998</v>
      </c>
      <c r="E7097">
        <v>0.53935089999999997</v>
      </c>
      <c r="F7097" t="s">
        <v>42</v>
      </c>
      <c r="G7097">
        <v>-266.37419999999997</v>
      </c>
      <c r="H7097" s="1">
        <v>-2.1846039999999999E-6</v>
      </c>
      <c r="I7097">
        <v>-62.055419999999998</v>
      </c>
      <c r="J7097">
        <v>-283.06670000000003</v>
      </c>
      <c r="K7097">
        <v>1.1164130000000001</v>
      </c>
      <c r="L7097">
        <v>-60.014620000000001</v>
      </c>
      <c r="M7097">
        <v>0.93207399999999996</v>
      </c>
      <c r="N7097">
        <v>-1.4047459999999999E-2</v>
      </c>
      <c r="O7097">
        <v>-0.36199550000000003</v>
      </c>
      <c r="P7097">
        <v>0.99688730000000003</v>
      </c>
      <c r="Q7097">
        <v>-7.7523770000000006E-2</v>
      </c>
      <c r="R7097">
        <v>-1.434393E-2</v>
      </c>
      <c r="S7097">
        <v>2.9871829999999999</v>
      </c>
      <c r="T7097">
        <v>-0.19876530000000001</v>
      </c>
      <c r="U7097">
        <v>-0.3681335</v>
      </c>
      <c r="V7097">
        <v>-0.34644629999999998</v>
      </c>
      <c r="W7097">
        <v>-7.0002410000000001E-2</v>
      </c>
      <c r="X7097">
        <v>0.93545420000000001</v>
      </c>
      <c r="Y7097">
        <v>-0.2442057</v>
      </c>
      <c r="Z7097">
        <v>2.8047329999999999E-2</v>
      </c>
      <c r="AA7097">
        <v>0.96931769999999995</v>
      </c>
      <c r="AB7097">
        <v>19</v>
      </c>
      <c r="AC7097">
        <v>16.692499999999999</v>
      </c>
      <c r="AD7097">
        <v>-1.11641518460399</v>
      </c>
      <c r="AE7097">
        <v>-2.0407999999999999</v>
      </c>
      <c r="AF7097">
        <v>-4.12267226644461</v>
      </c>
      <c r="AG7097">
        <v>-1.11641518460399</v>
      </c>
      <c r="AH7097">
        <v>16.227495540265199</v>
      </c>
      <c r="AI7097">
        <v>93.814808026696696</v>
      </c>
      <c r="AJ7097">
        <v>104.254687989093</v>
      </c>
      <c r="AK7097">
        <v>16.7801794087624</v>
      </c>
      <c r="AL7097">
        <v>94.014125768131194</v>
      </c>
      <c r="AM7097">
        <v>110.32215555877499</v>
      </c>
      <c r="AN7097">
        <v>0.99999996824356796</v>
      </c>
    </row>
    <row r="7098" spans="1:40" x14ac:dyDescent="0.25">
      <c r="A7098" t="str">
        <f>"20190305135104998"</f>
        <v>20190305135104998</v>
      </c>
      <c r="B7098" t="str">
        <f>"1551765064986837"</f>
        <v>1551765064986837</v>
      </c>
      <c r="C7098" t="s">
        <v>40</v>
      </c>
      <c r="D7098">
        <v>3.989598</v>
      </c>
      <c r="E7098">
        <v>0.53958640000000002</v>
      </c>
      <c r="F7098" t="s">
        <v>42</v>
      </c>
      <c r="G7098">
        <v>-265.97840000000002</v>
      </c>
      <c r="H7098" s="1">
        <v>-2.014992E-6</v>
      </c>
      <c r="I7098">
        <v>-62.056179999999998</v>
      </c>
      <c r="J7098">
        <v>-282.97500000000002</v>
      </c>
      <c r="K7098">
        <v>1.116439</v>
      </c>
      <c r="L7098">
        <v>-60.0424199999999</v>
      </c>
      <c r="M7098">
        <v>0.93431730000000002</v>
      </c>
      <c r="N7098">
        <v>-1.4167920000000001E-2</v>
      </c>
      <c r="O7098">
        <v>-0.3561607</v>
      </c>
      <c r="P7098">
        <v>0.99699530000000003</v>
      </c>
      <c r="Q7098">
        <v>-7.6906639999999998E-2</v>
      </c>
      <c r="R7098">
        <v>-9.2645799999999997E-3</v>
      </c>
      <c r="S7098">
        <v>2.9890439999999998</v>
      </c>
      <c r="T7098">
        <v>-0.1952807</v>
      </c>
      <c r="U7098">
        <v>-0.35711670000000001</v>
      </c>
      <c r="V7098">
        <v>-0.34539209999999998</v>
      </c>
      <c r="W7098">
        <v>-6.9260569999999994E-2</v>
      </c>
      <c r="X7098">
        <v>0.93589920000000004</v>
      </c>
      <c r="Y7098">
        <v>-0.2417926</v>
      </c>
      <c r="Z7098">
        <v>2.7094409999999999E-2</v>
      </c>
      <c r="AA7098">
        <v>0.96994959999999997</v>
      </c>
      <c r="AB7098">
        <v>19</v>
      </c>
      <c r="AC7098">
        <v>16.996600000000001</v>
      </c>
      <c r="AD7098">
        <v>-1.1164410149920001</v>
      </c>
      <c r="AE7098">
        <v>-2.0137600000000102</v>
      </c>
      <c r="AF7098">
        <v>-4.1547706555091501</v>
      </c>
      <c r="AG7098">
        <v>-1.1164410149920001</v>
      </c>
      <c r="AH7098">
        <v>16.528776767174399</v>
      </c>
      <c r="AI7098">
        <v>93.747945379712405</v>
      </c>
      <c r="AJ7098">
        <v>104.109875892914</v>
      </c>
      <c r="AK7098">
        <v>17.0794912441477</v>
      </c>
      <c r="AL7098">
        <v>93.971517836902393</v>
      </c>
      <c r="AM7098">
        <v>110.256501431085</v>
      </c>
      <c r="AN7098">
        <v>1.0000000209298801</v>
      </c>
    </row>
    <row r="7099" spans="1:40" x14ac:dyDescent="0.25">
      <c r="A7099" t="str">
        <f>"20190305135105009"</f>
        <v>20190305135105009</v>
      </c>
      <c r="B7099" t="str">
        <f>"1551765065007332"</f>
        <v>1551765065007332</v>
      </c>
      <c r="C7099" t="s">
        <v>40</v>
      </c>
      <c r="D7099">
        <v>3.9765190000000001</v>
      </c>
      <c r="E7099">
        <v>0.54014499999999999</v>
      </c>
      <c r="F7099" t="s">
        <v>42</v>
      </c>
      <c r="G7099">
        <v>-265.70229999999998</v>
      </c>
      <c r="H7099" s="1">
        <v>-1.888891E-6</v>
      </c>
      <c r="I7099">
        <v>-62.027340000000002</v>
      </c>
      <c r="J7099">
        <v>-282.88440000000003</v>
      </c>
      <c r="K7099">
        <v>1.1164540000000001</v>
      </c>
      <c r="L7099">
        <v>-60.069670000000002</v>
      </c>
      <c r="M7099">
        <v>0.93650310000000003</v>
      </c>
      <c r="N7099">
        <v>-1.428317E-2</v>
      </c>
      <c r="O7099">
        <v>-0.35036879999999998</v>
      </c>
      <c r="P7099">
        <v>0.99709550000000002</v>
      </c>
      <c r="Q7099">
        <v>-7.6043239999999998E-2</v>
      </c>
      <c r="R7099">
        <v>-4.265057E-3</v>
      </c>
      <c r="S7099">
        <v>2.990936</v>
      </c>
      <c r="T7099">
        <v>-0.19332279999999999</v>
      </c>
      <c r="U7099">
        <v>-0.34371950000000001</v>
      </c>
      <c r="V7099">
        <v>-0.344329099999999</v>
      </c>
      <c r="W7099">
        <v>-6.8274899999999902E-2</v>
      </c>
      <c r="X7099">
        <v>0.93636319999999995</v>
      </c>
      <c r="Y7099">
        <v>-0.2401778</v>
      </c>
      <c r="Z7099">
        <v>2.642829E-2</v>
      </c>
      <c r="AA7099">
        <v>0.97036909999999998</v>
      </c>
      <c r="AB7099">
        <v>19</v>
      </c>
      <c r="AC7099">
        <v>17.182099999999998</v>
      </c>
      <c r="AD7099">
        <v>-1.1164558888909999</v>
      </c>
      <c r="AE7099">
        <v>-1.95767</v>
      </c>
      <c r="AF7099">
        <v>-4.1697545133167297</v>
      </c>
      <c r="AG7099">
        <v>-1.1164558888909999</v>
      </c>
      <c r="AH7099">
        <v>16.7090613687485</v>
      </c>
      <c r="AI7099">
        <v>93.709251305087093</v>
      </c>
      <c r="AJ7099">
        <v>104.01200107887099</v>
      </c>
      <c r="AK7099">
        <v>17.257637679525299</v>
      </c>
      <c r="AL7099">
        <v>93.914909111339597</v>
      </c>
      <c r="AM7099">
        <v>110.19000327219599</v>
      </c>
      <c r="AN7099">
        <v>1.0000000166955201</v>
      </c>
    </row>
    <row r="7100" spans="1:40" x14ac:dyDescent="0.25">
      <c r="A7100" t="str">
        <f>"20190305135105020"</f>
        <v>20190305135105020</v>
      </c>
      <c r="B7100" t="str">
        <f>"1551765065017092"</f>
        <v>1551765065017092</v>
      </c>
      <c r="C7100" t="s">
        <v>40</v>
      </c>
      <c r="D7100">
        <v>3.9912899999999998</v>
      </c>
      <c r="E7100">
        <v>0.54036779999999995</v>
      </c>
      <c r="F7100" t="s">
        <v>42</v>
      </c>
      <c r="G7100">
        <v>-265.25290000000001</v>
      </c>
      <c r="H7100" s="1">
        <v>-1.6973179999999999E-6</v>
      </c>
      <c r="I7100">
        <v>-62.031959999999998</v>
      </c>
      <c r="J7100">
        <v>-282.79259999999999</v>
      </c>
      <c r="K7100">
        <v>1.1164590000000001</v>
      </c>
      <c r="L7100">
        <v>-60.0961</v>
      </c>
      <c r="M7100">
        <v>0.93868850000000004</v>
      </c>
      <c r="N7100">
        <v>-1.43847E-2</v>
      </c>
      <c r="O7100">
        <v>-0.3444662</v>
      </c>
      <c r="P7100">
        <v>0.99713209999999997</v>
      </c>
      <c r="Q7100">
        <v>-7.5671870000000002E-2</v>
      </c>
      <c r="R7100">
        <v>1.1882069999999999E-3</v>
      </c>
      <c r="S7100">
        <v>2.9928590000000002</v>
      </c>
      <c r="T7100">
        <v>-0.18951270000000001</v>
      </c>
      <c r="U7100">
        <v>-0.33309939999999999</v>
      </c>
      <c r="V7100">
        <v>-0.34357409999999999</v>
      </c>
      <c r="W7100">
        <v>-6.7791089999999998E-2</v>
      </c>
      <c r="X7100">
        <v>0.93667560000000005</v>
      </c>
      <c r="Y7100">
        <v>-0.23759350000000001</v>
      </c>
      <c r="Z7100">
        <v>2.5447589999999999E-2</v>
      </c>
      <c r="AA7100">
        <v>0.97103119999999998</v>
      </c>
      <c r="AB7100">
        <v>19</v>
      </c>
      <c r="AC7100">
        <v>17.5396999999999</v>
      </c>
      <c r="AD7100">
        <v>-1.116460697318</v>
      </c>
      <c r="AE7100">
        <v>-1.9358599999999899</v>
      </c>
      <c r="AF7100">
        <v>-4.20825588453354</v>
      </c>
      <c r="AG7100">
        <v>-1.116460697318</v>
      </c>
      <c r="AH7100">
        <v>17.064616402019499</v>
      </c>
      <c r="AI7100">
        <v>93.634683332623993</v>
      </c>
      <c r="AJ7100">
        <v>103.853135301615</v>
      </c>
      <c r="AK7100">
        <v>17.611275792129401</v>
      </c>
      <c r="AL7100">
        <v>93.887124581583905</v>
      </c>
      <c r="AM7100">
        <v>110.143117545507</v>
      </c>
      <c r="AN7100">
        <v>0.99999998685477898</v>
      </c>
    </row>
    <row r="7101" spans="1:40" x14ac:dyDescent="0.25">
      <c r="A7101" t="str">
        <f>"20190305135105032"</f>
        <v>20190305135105032</v>
      </c>
      <c r="B7101" t="str">
        <f>"1551765065026852"</f>
        <v>1551765065026852</v>
      </c>
      <c r="C7101" t="s">
        <v>40</v>
      </c>
      <c r="D7101">
        <v>3.9642599999999999</v>
      </c>
      <c r="E7101">
        <v>0.54036779999999995</v>
      </c>
      <c r="F7101" t="s">
        <v>42</v>
      </c>
      <c r="G7101">
        <v>-264.94310000000002</v>
      </c>
      <c r="H7101" s="1">
        <v>-1.5544070000000001E-6</v>
      </c>
      <c r="I7101">
        <v>-61.994269999999901</v>
      </c>
      <c r="J7101">
        <v>-282.69920000000002</v>
      </c>
      <c r="K7101">
        <v>1.116458</v>
      </c>
      <c r="L7101">
        <v>-60.122709999999998</v>
      </c>
      <c r="M7101">
        <v>0.94087500000000002</v>
      </c>
      <c r="N7101">
        <v>-1.4484240000000001E-2</v>
      </c>
      <c r="O7101">
        <v>-0.33844419999999997</v>
      </c>
      <c r="P7101">
        <v>0.99711729999999998</v>
      </c>
      <c r="Q7101">
        <v>-7.5603980000000001E-2</v>
      </c>
      <c r="R7101">
        <v>6.4146089999999999E-3</v>
      </c>
      <c r="S7101">
        <v>2.9947509999999999</v>
      </c>
      <c r="T7101">
        <v>-0.1873175</v>
      </c>
      <c r="U7101">
        <v>-0.31848140000000003</v>
      </c>
      <c r="V7101">
        <v>-0.34248849999999997</v>
      </c>
      <c r="W7101">
        <v>-6.7603159999999995E-2</v>
      </c>
      <c r="X7101">
        <v>0.93708670000000005</v>
      </c>
      <c r="Y7101">
        <v>-0.23615610000000001</v>
      </c>
      <c r="Z7101">
        <v>2.4768189999999999E-2</v>
      </c>
      <c r="AA7101">
        <v>0.97139940000000002</v>
      </c>
      <c r="AB7101">
        <v>19</v>
      </c>
      <c r="AC7101">
        <v>17.7561</v>
      </c>
      <c r="AD7101">
        <v>-1.116459554407</v>
      </c>
      <c r="AE7101">
        <v>-1.8715599999999899</v>
      </c>
      <c r="AF7101">
        <v>-4.2324412547629802</v>
      </c>
      <c r="AG7101">
        <v>-1.116459554407</v>
      </c>
      <c r="AH7101">
        <v>17.273964429057699</v>
      </c>
      <c r="AI7101">
        <v>93.592064930269899</v>
      </c>
      <c r="AJ7101">
        <v>103.767301886805</v>
      </c>
      <c r="AK7101">
        <v>17.819929517481199</v>
      </c>
      <c r="AL7101">
        <v>93.8763320921652</v>
      </c>
      <c r="AM7101">
        <v>110.076457888551</v>
      </c>
      <c r="AN7101">
        <v>1.00000002159556</v>
      </c>
    </row>
    <row r="7102" spans="1:40" x14ac:dyDescent="0.25">
      <c r="A7102" t="str">
        <f>"20190305135105043"</f>
        <v>20190305135105043</v>
      </c>
      <c r="B7102" t="str">
        <f>"1551765065036611"</f>
        <v>1551765065036611</v>
      </c>
      <c r="C7102" t="s">
        <v>40</v>
      </c>
      <c r="D7102">
        <v>4.0087320000000002</v>
      </c>
      <c r="E7102">
        <v>0.55095819999999995</v>
      </c>
      <c r="F7102" t="s">
        <v>42</v>
      </c>
      <c r="G7102">
        <v>-264.81400000000002</v>
      </c>
      <c r="H7102" s="1">
        <v>-1.4817360000000001E-6</v>
      </c>
      <c r="I7102">
        <v>-61.92944</v>
      </c>
      <c r="J7102">
        <v>-282.61020000000002</v>
      </c>
      <c r="K7102">
        <v>1.116447</v>
      </c>
      <c r="L7102">
        <v>-60.147219999999997</v>
      </c>
      <c r="M7102">
        <v>0.94292679999999995</v>
      </c>
      <c r="N7102">
        <v>-1.4568680000000001E-2</v>
      </c>
      <c r="O7102">
        <v>-0.33268140000000002</v>
      </c>
      <c r="P7102">
        <v>0.99707199999999996</v>
      </c>
      <c r="Q7102">
        <v>-7.5635939999999999E-2</v>
      </c>
      <c r="R7102">
        <v>1.1268759999999999E-2</v>
      </c>
      <c r="S7102">
        <v>2.996429</v>
      </c>
      <c r="T7102">
        <v>-0.1870474</v>
      </c>
      <c r="U7102">
        <v>-0.30270390000000003</v>
      </c>
      <c r="V7102">
        <v>-0.34132119999999999</v>
      </c>
      <c r="W7102">
        <v>-6.7519789999999996E-2</v>
      </c>
      <c r="X7102">
        <v>0.93751850000000003</v>
      </c>
      <c r="Y7102">
        <v>-0.2353413</v>
      </c>
      <c r="Z7102">
        <v>2.4422929999999999E-2</v>
      </c>
      <c r="AA7102">
        <v>0.97160590000000002</v>
      </c>
      <c r="AB7102">
        <v>19</v>
      </c>
      <c r="AC7102">
        <v>17.796199999999999</v>
      </c>
      <c r="AD7102">
        <v>-1.1164484817360001</v>
      </c>
      <c r="AE7102">
        <v>-1.7822199999999999</v>
      </c>
      <c r="AF7102">
        <v>-4.2239523566854897</v>
      </c>
      <c r="AG7102">
        <v>-1.1164484817360001</v>
      </c>
      <c r="AH7102">
        <v>17.307826271183998</v>
      </c>
      <c r="AI7102">
        <v>93.585820365638497</v>
      </c>
      <c r="AJ7102">
        <v>103.714869892632</v>
      </c>
      <c r="AK7102">
        <v>17.850744549105102</v>
      </c>
      <c r="AL7102">
        <v>93.871544445946995</v>
      </c>
      <c r="AM7102">
        <v>110.004984718814</v>
      </c>
      <c r="AN7102">
        <v>1.00000001072666</v>
      </c>
    </row>
    <row r="7103" spans="1:40" x14ac:dyDescent="0.25">
      <c r="A7103" t="str">
        <f>"20190305135105055"</f>
        <v>20190305135105055</v>
      </c>
      <c r="B7103" t="str">
        <f>"1551765065047347"</f>
        <v>1551765065047347</v>
      </c>
      <c r="C7103" t="s">
        <v>40</v>
      </c>
      <c r="D7103">
        <v>3.9456600000000002</v>
      </c>
      <c r="E7103">
        <v>0.55093539999999996</v>
      </c>
      <c r="F7103" t="s">
        <v>42</v>
      </c>
      <c r="G7103">
        <v>-264.85149999999999</v>
      </c>
      <c r="H7103" s="1">
        <v>-1.6107709999999999E-6</v>
      </c>
      <c r="I7103">
        <v>-62.353830000000002</v>
      </c>
      <c r="J7103">
        <v>-282.52010000000001</v>
      </c>
      <c r="K7103">
        <v>1.116431</v>
      </c>
      <c r="L7103">
        <v>-60.17154</v>
      </c>
      <c r="M7103">
        <v>0.94496400000000003</v>
      </c>
      <c r="N7103">
        <v>-1.464798E-2</v>
      </c>
      <c r="O7103">
        <v>-0.32684639999999998</v>
      </c>
      <c r="P7103">
        <v>0.9969614</v>
      </c>
      <c r="Q7103">
        <v>-7.6131030000000002E-2</v>
      </c>
      <c r="R7103">
        <v>1.650445E-2</v>
      </c>
      <c r="S7103">
        <v>2.9987180000000002</v>
      </c>
      <c r="T7103">
        <v>-0.1885231</v>
      </c>
      <c r="U7103">
        <v>-0.3726196</v>
      </c>
      <c r="V7103">
        <v>-0.34043410000000002</v>
      </c>
      <c r="W7103">
        <v>-6.7906739999999993E-2</v>
      </c>
      <c r="X7103">
        <v>0.93781300000000001</v>
      </c>
      <c r="Y7103">
        <v>-0.20700789999999999</v>
      </c>
      <c r="Z7103">
        <v>2.320009E-2</v>
      </c>
      <c r="AA7103">
        <v>0.97806409999999999</v>
      </c>
      <c r="AB7103">
        <v>19</v>
      </c>
      <c r="AC7103">
        <v>17.668600000000001</v>
      </c>
      <c r="AD7103">
        <v>-1.1164326107710001</v>
      </c>
      <c r="AE7103">
        <v>-2.1822900000000001</v>
      </c>
      <c r="AF7103">
        <v>-3.6985857638839899</v>
      </c>
      <c r="AG7103">
        <v>-1.1164326107710001</v>
      </c>
      <c r="AH7103">
        <v>17.343127281449799</v>
      </c>
      <c r="AI7103">
        <v>93.602443196955505</v>
      </c>
      <c r="AJ7103">
        <v>102.038526082315</v>
      </c>
      <c r="AK7103">
        <v>17.768230703358299</v>
      </c>
      <c r="AL7103">
        <v>93.893766238809604</v>
      </c>
      <c r="AM7103">
        <v>109.95132803376301</v>
      </c>
      <c r="AN7103">
        <v>0.99999996237461797</v>
      </c>
    </row>
    <row r="7104" spans="1:40" x14ac:dyDescent="0.25">
      <c r="A7104" t="str">
        <f>"20190305135105064"</f>
        <v>20190305135105064</v>
      </c>
      <c r="B7104" t="str">
        <f>"1551765065057110"</f>
        <v>1551765065057110</v>
      </c>
      <c r="C7104" t="s">
        <v>40</v>
      </c>
      <c r="D7104">
        <v>3.9660679999999999</v>
      </c>
      <c r="E7104">
        <v>0.55098800000000003</v>
      </c>
      <c r="F7104" t="s">
        <v>42</v>
      </c>
      <c r="G7104">
        <v>-264.98860000000002</v>
      </c>
      <c r="H7104" s="1">
        <v>-1.64337E-6</v>
      </c>
      <c r="I7104">
        <v>-62.255409999999998</v>
      </c>
      <c r="J7104">
        <v>-282.43169999999998</v>
      </c>
      <c r="K7104">
        <v>1.1164149999999999</v>
      </c>
      <c r="L7104">
        <v>-60.194819999999901</v>
      </c>
      <c r="M7104">
        <v>0.94692960000000004</v>
      </c>
      <c r="N7104">
        <v>-1.471884E-2</v>
      </c>
      <c r="O7104">
        <v>-0.321104</v>
      </c>
      <c r="P7104">
        <v>0.99684130000000004</v>
      </c>
      <c r="Q7104">
        <v>-7.6499399999999995E-2</v>
      </c>
      <c r="R7104">
        <v>2.134279E-2</v>
      </c>
      <c r="S7104">
        <v>3.0004580000000001</v>
      </c>
      <c r="T7104">
        <v>-0.1910734</v>
      </c>
      <c r="U7104">
        <v>-0.3566589</v>
      </c>
      <c r="V7104">
        <v>-0.33928399999999997</v>
      </c>
      <c r="W7104">
        <v>-6.8164390000000005E-2</v>
      </c>
      <c r="X7104">
        <v>0.93821109999999996</v>
      </c>
      <c r="Y7104">
        <v>-0.20625009999999999</v>
      </c>
      <c r="Z7104">
        <v>2.3253019999999999E-2</v>
      </c>
      <c r="AA7104">
        <v>0.97822299999999995</v>
      </c>
      <c r="AB7104">
        <v>19</v>
      </c>
      <c r="AC7104">
        <v>17.443099999999902</v>
      </c>
      <c r="AD7104">
        <v>-1.11641664337</v>
      </c>
      <c r="AE7104">
        <v>-2.0605899999999999</v>
      </c>
      <c r="AF7104">
        <v>-3.63552308597591</v>
      </c>
      <c r="AG7104">
        <v>-1.11641664337</v>
      </c>
      <c r="AH7104">
        <v>17.111779387884098</v>
      </c>
      <c r="AI7104">
        <v>93.651559350826005</v>
      </c>
      <c r="AJ7104">
        <v>101.99456050804901</v>
      </c>
      <c r="AK7104">
        <v>17.529301413629401</v>
      </c>
      <c r="AL7104">
        <v>93.908562468690306</v>
      </c>
      <c r="AM7104">
        <v>109.881441398059</v>
      </c>
      <c r="AN7104">
        <v>1.00000004244164</v>
      </c>
    </row>
    <row r="7105" spans="1:40" x14ac:dyDescent="0.25">
      <c r="A7105" t="str">
        <f>"20190305135105076"</f>
        <v>20190305135105076</v>
      </c>
      <c r="B7105" t="str">
        <f>"1551765065066868"</f>
        <v>1551765065066868</v>
      </c>
      <c r="C7105" t="s">
        <v>40</v>
      </c>
      <c r="D7105">
        <v>3.9541029999999999</v>
      </c>
      <c r="E7105">
        <v>0.551432699999999</v>
      </c>
      <c r="F7105" t="s">
        <v>42</v>
      </c>
      <c r="G7105">
        <v>-265.10300000000001</v>
      </c>
      <c r="H7105" s="1">
        <v>-1.670265E-6</v>
      </c>
      <c r="I7105">
        <v>-62.171959999999999</v>
      </c>
      <c r="J7105">
        <v>-282.34480000000002</v>
      </c>
      <c r="K7105">
        <v>1.1163909999999999</v>
      </c>
      <c r="L7105">
        <v>-60.217010000000002</v>
      </c>
      <c r="M7105">
        <v>0.94882180000000005</v>
      </c>
      <c r="N7105">
        <v>-1.47811E-2</v>
      </c>
      <c r="O7105">
        <v>-0.31546600000000002</v>
      </c>
      <c r="P7105">
        <v>0.99669620000000003</v>
      </c>
      <c r="Q7105">
        <v>-7.6872010000000005E-2</v>
      </c>
      <c r="R7105">
        <v>2.6223880000000001E-2</v>
      </c>
      <c r="S7105">
        <v>3.002014</v>
      </c>
      <c r="T7105">
        <v>-0.19340779999999999</v>
      </c>
      <c r="U7105">
        <v>-0.34252929999999998</v>
      </c>
      <c r="V7105">
        <v>-0.33829019999999999</v>
      </c>
      <c r="W7105">
        <v>-6.8433380000000002E-2</v>
      </c>
      <c r="X7105">
        <v>0.93855029999999995</v>
      </c>
      <c r="Y7105">
        <v>-0.2050199</v>
      </c>
      <c r="Z7105">
        <v>2.325435E-2</v>
      </c>
      <c r="AA7105">
        <v>0.9784815</v>
      </c>
      <c r="AB7105">
        <v>19</v>
      </c>
      <c r="AC7105">
        <v>17.241800000000001</v>
      </c>
      <c r="AD7105">
        <v>-1.116392670265</v>
      </c>
      <c r="AE7105">
        <v>-1.95495</v>
      </c>
      <c r="AF7105">
        <v>-3.5699172026031101</v>
      </c>
      <c r="AG7105">
        <v>-1.116392670265</v>
      </c>
      <c r="AH7105">
        <v>16.907983746429402</v>
      </c>
      <c r="AI7105">
        <v>93.696357723359299</v>
      </c>
      <c r="AJ7105">
        <v>101.922211246739</v>
      </c>
      <c r="AK7105">
        <v>17.316770940252798</v>
      </c>
      <c r="AL7105">
        <v>93.924010596059603</v>
      </c>
      <c r="AM7105">
        <v>109.82114397396499</v>
      </c>
      <c r="AN7105">
        <v>1.00000002627217</v>
      </c>
    </row>
    <row r="7106" spans="1:40" x14ac:dyDescent="0.25">
      <c r="A7106" t="str">
        <f>"20190305135105087"</f>
        <v>20190305135105087</v>
      </c>
      <c r="B7106" t="str">
        <f>"1551765065076627"</f>
        <v>1551765065076627</v>
      </c>
      <c r="C7106" t="s">
        <v>40</v>
      </c>
      <c r="D7106">
        <v>3.940429</v>
      </c>
      <c r="E7106">
        <v>0.55190150000000004</v>
      </c>
      <c r="F7106" t="s">
        <v>42</v>
      </c>
      <c r="G7106">
        <v>-264.87599999999998</v>
      </c>
      <c r="H7106" s="1">
        <v>-1.5654300000000001E-6</v>
      </c>
      <c r="I7106">
        <v>-62.143970000000003</v>
      </c>
      <c r="J7106">
        <v>-282.2534</v>
      </c>
      <c r="K7106">
        <v>1.1163650000000001</v>
      </c>
      <c r="L7106">
        <v>-60.240020000000001</v>
      </c>
      <c r="M7106">
        <v>0.95077670000000003</v>
      </c>
      <c r="N7106">
        <v>-1.484244E-2</v>
      </c>
      <c r="O7106">
        <v>-0.3095213</v>
      </c>
      <c r="P7106">
        <v>0.99648400000000004</v>
      </c>
      <c r="Q7106">
        <v>-7.7577399999999894E-2</v>
      </c>
      <c r="R7106">
        <v>3.1644159999999998E-2</v>
      </c>
      <c r="S7106">
        <v>3.0038450000000001</v>
      </c>
      <c r="T7106">
        <v>-0.19196859999999999</v>
      </c>
      <c r="U7106">
        <v>-0.33135989999999999</v>
      </c>
      <c r="V7106">
        <v>-0.33749960000000001</v>
      </c>
      <c r="W7106">
        <v>-6.9036680000000003E-2</v>
      </c>
      <c r="X7106">
        <v>0.93879069999999998</v>
      </c>
      <c r="Y7106">
        <v>-0.20258190000000001</v>
      </c>
      <c r="Z7106">
        <v>2.2672649999999999E-2</v>
      </c>
      <c r="AA7106">
        <v>0.97900279999999995</v>
      </c>
      <c r="AB7106">
        <v>19</v>
      </c>
      <c r="AC7106">
        <v>17.377400000000002</v>
      </c>
      <c r="AD7106">
        <v>-1.1163665654299999</v>
      </c>
      <c r="AE7106">
        <v>-1.90395</v>
      </c>
      <c r="AF7106">
        <v>-3.5543420596956001</v>
      </c>
      <c r="AG7106">
        <v>-1.1163665654299999</v>
      </c>
      <c r="AH7106">
        <v>17.043718057006</v>
      </c>
      <c r="AI7106">
        <v>93.668823517812001</v>
      </c>
      <c r="AJ7106">
        <v>101.779782313059</v>
      </c>
      <c r="AK7106">
        <v>17.446144186967</v>
      </c>
      <c r="AL7106">
        <v>93.958659146194407</v>
      </c>
      <c r="AM7106">
        <v>109.773745964562</v>
      </c>
      <c r="AN7106">
        <v>1.0000000107960301</v>
      </c>
    </row>
    <row r="7107" spans="1:40" x14ac:dyDescent="0.25">
      <c r="A7107" t="str">
        <f>"20190305135105100"</f>
        <v>20190305135105100</v>
      </c>
      <c r="B7107" t="str">
        <f>"1551765065087365"</f>
        <v>1551765065087365</v>
      </c>
      <c r="C7107" t="s">
        <v>40</v>
      </c>
      <c r="D7107">
        <v>3.9673400000000001</v>
      </c>
      <c r="E7107">
        <v>0.55230539999999995</v>
      </c>
      <c r="F7107" t="s">
        <v>42</v>
      </c>
      <c r="G7107">
        <v>-264.97309999999999</v>
      </c>
      <c r="H7107" s="1">
        <v>-1.587989E-6</v>
      </c>
      <c r="I7107">
        <v>-62.07226</v>
      </c>
      <c r="J7107">
        <v>-282.15899999999999</v>
      </c>
      <c r="K7107">
        <v>1.1163339999999999</v>
      </c>
      <c r="L7107">
        <v>-60.262819999999998</v>
      </c>
      <c r="M7107">
        <v>0.95274729999999996</v>
      </c>
      <c r="N7107">
        <v>-1.4896370000000001E-2</v>
      </c>
      <c r="O7107">
        <v>-0.30339890000000003</v>
      </c>
      <c r="P7107">
        <v>0.99628709999999998</v>
      </c>
      <c r="Q7107">
        <v>-7.7921190000000001E-2</v>
      </c>
      <c r="R7107">
        <v>3.6613029999999998E-2</v>
      </c>
      <c r="S7107">
        <v>3.005585</v>
      </c>
      <c r="T7107">
        <v>-0.1941707</v>
      </c>
      <c r="U7107">
        <v>-0.31869509999999901</v>
      </c>
      <c r="V7107">
        <v>-0.3361384</v>
      </c>
      <c r="W7107">
        <v>-6.9266369999999994E-2</v>
      </c>
      <c r="X7107">
        <v>0.93926200000000004</v>
      </c>
      <c r="Y7107">
        <v>-0.20041429999999999</v>
      </c>
      <c r="Z7107">
        <v>2.258371E-2</v>
      </c>
      <c r="AA7107">
        <v>0.97945090000000001</v>
      </c>
      <c r="AB7107">
        <v>19</v>
      </c>
      <c r="AC7107">
        <v>17.1859</v>
      </c>
      <c r="AD7107">
        <v>-1.116335587989</v>
      </c>
      <c r="AE7107">
        <v>-1.8094399999999999</v>
      </c>
      <c r="AF7107">
        <v>-3.4761248569010101</v>
      </c>
      <c r="AG7107">
        <v>-1.116335587989</v>
      </c>
      <c r="AH7107">
        <v>16.854343440616098</v>
      </c>
      <c r="AI7107">
        <v>93.711519613229498</v>
      </c>
      <c r="AJ7107">
        <v>101.65356838497399</v>
      </c>
      <c r="AK7107">
        <v>17.245246938794899</v>
      </c>
      <c r="AL7107">
        <v>93.971851118016303</v>
      </c>
      <c r="AM7107">
        <v>109.691019430879</v>
      </c>
      <c r="AN7107">
        <v>0.99999997930576801</v>
      </c>
    </row>
    <row r="7108" spans="1:40" x14ac:dyDescent="0.25">
      <c r="A7108" t="str">
        <f>"20190305135105111"</f>
        <v>20190305135105111</v>
      </c>
      <c r="B7108" t="str">
        <f>"1551765065106884"</f>
        <v>1551765065106884</v>
      </c>
      <c r="C7108" t="s">
        <v>40</v>
      </c>
      <c r="D7108">
        <v>3.9454009999999999</v>
      </c>
      <c r="E7108">
        <v>0.55795450000000002</v>
      </c>
      <c r="F7108" t="s">
        <v>42</v>
      </c>
      <c r="G7108">
        <v>-264.94779999999997</v>
      </c>
      <c r="H7108" s="1">
        <v>-1.5630370000000001E-6</v>
      </c>
      <c r="I7108">
        <v>-62.019170000000003</v>
      </c>
      <c r="J7108">
        <v>-282.06290000000001</v>
      </c>
      <c r="K7108">
        <v>1.116298</v>
      </c>
      <c r="L7108">
        <v>-60.2857699999999</v>
      </c>
      <c r="M7108">
        <v>0.95471079999999997</v>
      </c>
      <c r="N7108">
        <v>-1.4948410000000001E-2</v>
      </c>
      <c r="O7108">
        <v>-0.29715950000000002</v>
      </c>
      <c r="P7108">
        <v>0.99610739999999998</v>
      </c>
      <c r="Q7108">
        <v>-7.7835360000000006E-2</v>
      </c>
      <c r="R7108">
        <v>4.1370499999999998E-2</v>
      </c>
      <c r="S7108">
        <v>3.0071720000000002</v>
      </c>
      <c r="T7108">
        <v>-0.1950481</v>
      </c>
      <c r="U7108">
        <v>-0.30688480000000001</v>
      </c>
      <c r="V7108">
        <v>-0.33449309999999899</v>
      </c>
      <c r="W7108">
        <v>-6.9059399999999896E-2</v>
      </c>
      <c r="X7108">
        <v>0.93986449999999999</v>
      </c>
      <c r="Y7108">
        <v>-0.19787070000000001</v>
      </c>
      <c r="Z7108">
        <v>2.2293130000000001E-2</v>
      </c>
      <c r="AA7108">
        <v>0.97997460000000003</v>
      </c>
      <c r="AB7108">
        <v>19</v>
      </c>
      <c r="AC7108">
        <v>17.115100000000002</v>
      </c>
      <c r="AD7108">
        <v>-1.1162995630370001</v>
      </c>
      <c r="AE7108">
        <v>-1.7334000000000001</v>
      </c>
      <c r="AF7108">
        <v>-3.4170138133791701</v>
      </c>
      <c r="AG7108">
        <v>-1.1162995630370001</v>
      </c>
      <c r="AH7108">
        <v>16.786266546889799</v>
      </c>
      <c r="AI7108">
        <v>93.728371943728703</v>
      </c>
      <c r="AJ7108">
        <v>101.505929962256</v>
      </c>
      <c r="AK7108">
        <v>17.166853313828099</v>
      </c>
      <c r="AL7108">
        <v>93.959963839240999</v>
      </c>
      <c r="AM7108">
        <v>109.590391240285</v>
      </c>
      <c r="AN7108">
        <v>1.0000000565181</v>
      </c>
    </row>
    <row r="7109" spans="1:40" x14ac:dyDescent="0.25">
      <c r="A7109" t="str">
        <f>"20190305135105123"</f>
        <v>20190305135105123</v>
      </c>
      <c r="B7109" t="str">
        <f>"1551765065116643"</f>
        <v>1551765065116643</v>
      </c>
      <c r="C7109" t="s">
        <v>40</v>
      </c>
      <c r="D7109">
        <v>3.9786950000000001</v>
      </c>
      <c r="E7109">
        <v>0.55846289999999998</v>
      </c>
      <c r="F7109" t="s">
        <v>42</v>
      </c>
      <c r="G7109">
        <v>-263.01049999999998</v>
      </c>
      <c r="H7109" s="1">
        <v>-8.3886679999999998E-7</v>
      </c>
      <c r="I7109">
        <v>-62.421129999999998</v>
      </c>
      <c r="J7109">
        <v>-281.96100000000001</v>
      </c>
      <c r="K7109">
        <v>1.1162529999999999</v>
      </c>
      <c r="L7109">
        <v>-60.309049999999999</v>
      </c>
      <c r="M7109">
        <v>0.95673540000000001</v>
      </c>
      <c r="N7109">
        <v>-1.499379E-2</v>
      </c>
      <c r="O7109">
        <v>-0.29057280000000002</v>
      </c>
      <c r="P7109">
        <v>0.99586889999999995</v>
      </c>
      <c r="Q7109">
        <v>-7.7975790000000003E-2</v>
      </c>
      <c r="R7109">
        <v>4.6530120000000001E-2</v>
      </c>
      <c r="S7109">
        <v>3.0119630000000002</v>
      </c>
      <c r="T7109">
        <v>-0.17647349999999901</v>
      </c>
      <c r="U7109">
        <v>-0.33758539999999998</v>
      </c>
      <c r="V7109">
        <v>-0.33289089999999999</v>
      </c>
      <c r="W7109">
        <v>-6.9078710000000002E-2</v>
      </c>
      <c r="X7109">
        <v>0.94043169999999998</v>
      </c>
      <c r="Y7109">
        <v>-0.18157870000000001</v>
      </c>
      <c r="Z7109">
        <v>1.896101E-2</v>
      </c>
      <c r="AA7109">
        <v>0.9831936</v>
      </c>
      <c r="AB7109">
        <v>19</v>
      </c>
      <c r="AC7109">
        <v>18.950500000000002</v>
      </c>
      <c r="AD7109">
        <v>-1.1162538388668</v>
      </c>
      <c r="AE7109">
        <v>-2.1120800000000002</v>
      </c>
      <c r="AF7109">
        <v>-3.4742834338180799</v>
      </c>
      <c r="AG7109">
        <v>-1.1162538388668</v>
      </c>
      <c r="AH7109">
        <v>18.682408674221399</v>
      </c>
      <c r="AI7109">
        <v>93.361795144988207</v>
      </c>
      <c r="AJ7109">
        <v>100.534697217711</v>
      </c>
      <c r="AK7109">
        <v>19.0354685227842</v>
      </c>
      <c r="AL7109">
        <v>93.961073089749604</v>
      </c>
      <c r="AM7109">
        <v>109.492776209436</v>
      </c>
      <c r="AN7109">
        <v>1.00000000092148</v>
      </c>
    </row>
    <row r="7110" spans="1:40" x14ac:dyDescent="0.25">
      <c r="A7110" t="str">
        <f>"20190305135105135"</f>
        <v>20190305135105135</v>
      </c>
      <c r="B7110" t="str">
        <f>"1551765065127379"</f>
        <v>1551765065127379</v>
      </c>
      <c r="C7110" t="s">
        <v>40</v>
      </c>
      <c r="D7110">
        <v>3.926733</v>
      </c>
      <c r="E7110">
        <v>0.55885909999999905</v>
      </c>
      <c r="F7110" t="s">
        <v>42</v>
      </c>
      <c r="G7110">
        <v>-263.22719999999998</v>
      </c>
      <c r="H7110" s="1">
        <v>-9.0920710000000004E-7</v>
      </c>
      <c r="I7110">
        <v>-62.336030000000001</v>
      </c>
      <c r="J7110">
        <v>-281.87540000000001</v>
      </c>
      <c r="K7110">
        <v>1.116215</v>
      </c>
      <c r="L7110">
        <v>-60.328189999999999</v>
      </c>
      <c r="M7110">
        <v>0.95839229999999997</v>
      </c>
      <c r="N7110">
        <v>-1.5028379999999999E-2</v>
      </c>
      <c r="O7110">
        <v>-0.2850588</v>
      </c>
      <c r="P7110">
        <v>0.99571120000000002</v>
      </c>
      <c r="Q7110">
        <v>-7.7811199999999997E-2</v>
      </c>
      <c r="R7110">
        <v>5.0049219999999998E-2</v>
      </c>
      <c r="S7110">
        <v>3.013611</v>
      </c>
      <c r="T7110">
        <v>-0.17956639999999999</v>
      </c>
      <c r="U7110">
        <v>-0.32608029999999999</v>
      </c>
      <c r="V7110">
        <v>-0.33081630000000001</v>
      </c>
      <c r="W7110">
        <v>-6.8798910000000005E-2</v>
      </c>
      <c r="X7110">
        <v>0.94118400000000002</v>
      </c>
      <c r="Y7110">
        <v>-0.1796693</v>
      </c>
      <c r="Z7110">
        <v>1.903438E-2</v>
      </c>
      <c r="AA7110">
        <v>0.9835429</v>
      </c>
      <c r="AB7110">
        <v>19</v>
      </c>
      <c r="AC7110">
        <v>18.648199999999999</v>
      </c>
      <c r="AD7110">
        <v>-1.1162159092071</v>
      </c>
      <c r="AE7110">
        <v>-2.0078399999999998</v>
      </c>
      <c r="AF7110">
        <v>-3.3799469843961201</v>
      </c>
      <c r="AG7110">
        <v>-1.1162159092071</v>
      </c>
      <c r="AH7110">
        <v>18.381622434041301</v>
      </c>
      <c r="AI7110">
        <v>93.417833955835405</v>
      </c>
      <c r="AJ7110">
        <v>100.418959807004</v>
      </c>
      <c r="AK7110">
        <v>18.723087963286002</v>
      </c>
      <c r="AL7110">
        <v>93.945003431368605</v>
      </c>
      <c r="AM7110">
        <v>109.366039793856</v>
      </c>
      <c r="AN7110">
        <v>1.00000001810943</v>
      </c>
    </row>
    <row r="7111" spans="1:40" x14ac:dyDescent="0.25">
      <c r="A7111" t="str">
        <f>"20190305135105143"</f>
        <v>20190305135105143</v>
      </c>
      <c r="B7111" t="str">
        <f>"1551765065137140"</f>
        <v>1551765065137140</v>
      </c>
      <c r="C7111" t="s">
        <v>40</v>
      </c>
      <c r="D7111">
        <v>3.988321</v>
      </c>
      <c r="E7111">
        <v>0.55922439999999995</v>
      </c>
      <c r="F7111" t="s">
        <v>42</v>
      </c>
      <c r="G7111">
        <v>-263.07650000000001</v>
      </c>
      <c r="H7111" s="1">
        <v>-8.387908E-7</v>
      </c>
      <c r="I7111">
        <v>-62.314300000000003</v>
      </c>
      <c r="J7111">
        <v>-281.7978</v>
      </c>
      <c r="K7111">
        <v>1.116179</v>
      </c>
      <c r="L7111">
        <v>-60.345059999999997</v>
      </c>
      <c r="M7111">
        <v>0.95986059999999995</v>
      </c>
      <c r="N7111">
        <v>-1.505572E-2</v>
      </c>
      <c r="O7111">
        <v>-0.28007379999999998</v>
      </c>
      <c r="P7111">
        <v>0.99559140000000002</v>
      </c>
      <c r="Q7111">
        <v>-7.7454729999999999E-2</v>
      </c>
      <c r="R7111">
        <v>5.290334E-2</v>
      </c>
      <c r="S7111">
        <v>3.0149539999999999</v>
      </c>
      <c r="T7111">
        <v>-0.17901789999999901</v>
      </c>
      <c r="U7111">
        <v>-0.31854250000000001</v>
      </c>
      <c r="V7111">
        <v>-0.32864559999999998</v>
      </c>
      <c r="W7111">
        <v>-6.8333980000000002E-2</v>
      </c>
      <c r="X7111">
        <v>0.94197799999999998</v>
      </c>
      <c r="Y7111">
        <v>-0.17704919999999999</v>
      </c>
      <c r="Z7111">
        <v>1.8653329999999999E-2</v>
      </c>
      <c r="AA7111">
        <v>0.98402520000000004</v>
      </c>
      <c r="AB7111">
        <v>19</v>
      </c>
      <c r="AC7111">
        <v>18.7212999999999</v>
      </c>
      <c r="AD7111">
        <v>-1.1161798387908</v>
      </c>
      <c r="AE7111">
        <v>-1.9692400000000001</v>
      </c>
      <c r="AF7111">
        <v>-3.3417803565707498</v>
      </c>
      <c r="AG7111">
        <v>-1.1161798387908</v>
      </c>
      <c r="AH7111">
        <v>18.4585711277897</v>
      </c>
      <c r="AI7111">
        <v>93.405209550558098</v>
      </c>
      <c r="AJ7111">
        <v>100.26180294296201</v>
      </c>
      <c r="AK7111">
        <v>18.791812085686601</v>
      </c>
      <c r="AL7111">
        <v>93.918302104810707</v>
      </c>
      <c r="AM7111">
        <v>109.23330899295</v>
      </c>
      <c r="AN7111">
        <v>1.000000007853</v>
      </c>
    </row>
    <row r="7112" spans="1:40" x14ac:dyDescent="0.25">
      <c r="A7112" t="str">
        <f>"20190305135105154"</f>
        <v>20190305135105154</v>
      </c>
      <c r="B7112" t="str">
        <f>"1551765065146900"</f>
        <v>1551765065146900</v>
      </c>
      <c r="C7112" t="s">
        <v>40</v>
      </c>
      <c r="D7112">
        <v>3.948391</v>
      </c>
      <c r="E7112">
        <v>0.55962000000000001</v>
      </c>
      <c r="F7112" t="s">
        <v>42</v>
      </c>
      <c r="G7112">
        <v>-262.93740000000003</v>
      </c>
      <c r="H7112" s="1">
        <v>-7.7575569999999997E-7</v>
      </c>
      <c r="I7112">
        <v>-62.301659999999998</v>
      </c>
      <c r="J7112">
        <v>-281.71100000000001</v>
      </c>
      <c r="K7112">
        <v>1.116136</v>
      </c>
      <c r="L7112">
        <v>-60.363529999999997</v>
      </c>
      <c r="M7112">
        <v>0.96146399999999999</v>
      </c>
      <c r="N7112">
        <v>-1.508257E-2</v>
      </c>
      <c r="O7112">
        <v>-0.27451720000000002</v>
      </c>
      <c r="P7112">
        <v>0.99541690000000005</v>
      </c>
      <c r="Q7112">
        <v>-7.7043589999999995E-2</v>
      </c>
      <c r="R7112">
        <v>5.6653090000000003E-2</v>
      </c>
      <c r="S7112">
        <v>3.016022</v>
      </c>
      <c r="T7112">
        <v>-0.17849209999999999</v>
      </c>
      <c r="U7112">
        <v>-0.31289670000000003</v>
      </c>
      <c r="V7112">
        <v>-0.3267718</v>
      </c>
      <c r="W7112">
        <v>-6.7814630000000001E-2</v>
      </c>
      <c r="X7112">
        <v>0.94266709999999998</v>
      </c>
      <c r="Y7112">
        <v>-0.17323169999999999</v>
      </c>
      <c r="Z7112">
        <v>1.821016E-2</v>
      </c>
      <c r="AA7112">
        <v>0.9847127</v>
      </c>
      <c r="AB7112">
        <v>19</v>
      </c>
      <c r="AC7112">
        <v>18.773599999999899</v>
      </c>
      <c r="AD7112">
        <v>-1.1161367757556999</v>
      </c>
      <c r="AE7112">
        <v>-1.9381299999999899</v>
      </c>
      <c r="AF7112">
        <v>-3.27913965006032</v>
      </c>
      <c r="AG7112">
        <v>-1.1161367757556999</v>
      </c>
      <c r="AH7112">
        <v>18.519533882025002</v>
      </c>
      <c r="AI7112">
        <v>93.396233683279206</v>
      </c>
      <c r="AJ7112">
        <v>100.040940302872</v>
      </c>
      <c r="AK7112">
        <v>18.840691424527499</v>
      </c>
      <c r="AL7112">
        <v>93.8884765889931</v>
      </c>
      <c r="AM7112">
        <v>109.118670357219</v>
      </c>
      <c r="AN7112">
        <v>0.99999994736984199</v>
      </c>
    </row>
    <row r="7113" spans="1:40" x14ac:dyDescent="0.25">
      <c r="A7113" t="str">
        <f>"20190305135105165"</f>
        <v>20190305135105165</v>
      </c>
      <c r="B7113" t="str">
        <f>"1551765065156660"</f>
        <v>1551765065156660</v>
      </c>
      <c r="C7113" t="s">
        <v>40</v>
      </c>
      <c r="D7113">
        <v>3.9404949999999999</v>
      </c>
      <c r="E7113">
        <v>0.56011330000000004</v>
      </c>
      <c r="F7113" t="s">
        <v>42</v>
      </c>
      <c r="G7113">
        <v>-262.6071</v>
      </c>
      <c r="H7113" s="1">
        <v>-6.3151939999999997E-7</v>
      </c>
      <c r="I7113">
        <v>-62.29224</v>
      </c>
      <c r="J7113">
        <v>-281.6207</v>
      </c>
      <c r="K7113">
        <v>1.1160870000000001</v>
      </c>
      <c r="L7113">
        <v>-60.38223</v>
      </c>
      <c r="M7113">
        <v>0.96308830000000001</v>
      </c>
      <c r="N7113">
        <v>-1.510616E-2</v>
      </c>
      <c r="O7113">
        <v>-0.26876169999999999</v>
      </c>
      <c r="P7113">
        <v>0.99527710000000003</v>
      </c>
      <c r="Q7113">
        <v>-7.5901899999999994E-2</v>
      </c>
      <c r="R7113">
        <v>6.0515079999999999E-2</v>
      </c>
      <c r="S7113">
        <v>3.0175169999999998</v>
      </c>
      <c r="T7113">
        <v>-0.1762966</v>
      </c>
      <c r="U7113">
        <v>-0.30465700000000001</v>
      </c>
      <c r="V7113">
        <v>-0.32484420000000003</v>
      </c>
      <c r="W7113">
        <v>-6.6561709999999996E-2</v>
      </c>
      <c r="X7113">
        <v>0.94342239999999999</v>
      </c>
      <c r="Y7113">
        <v>-0.17008029999999999</v>
      </c>
      <c r="Z7113">
        <v>1.7591679999999998E-2</v>
      </c>
      <c r="AA7113">
        <v>0.98527319999999996</v>
      </c>
      <c r="AB7113">
        <v>19</v>
      </c>
      <c r="AC7113">
        <v>19.0136</v>
      </c>
      <c r="AD7113">
        <v>-1.1160876315193999</v>
      </c>
      <c r="AE7113">
        <v>-1.91000999999999</v>
      </c>
      <c r="AF7113">
        <v>-3.2598721335137402</v>
      </c>
      <c r="AG7113">
        <v>-1.1160876315193999</v>
      </c>
      <c r="AH7113">
        <v>18.763255138742998</v>
      </c>
      <c r="AI7113">
        <v>93.353966869809994</v>
      </c>
      <c r="AJ7113">
        <v>99.856017632132605</v>
      </c>
      <c r="AK7113">
        <v>19.0770060892598</v>
      </c>
      <c r="AL7113">
        <v>93.816526691121695</v>
      </c>
      <c r="AM7113">
        <v>108.999881457662</v>
      </c>
      <c r="AN7113">
        <v>1.00000002016676</v>
      </c>
    </row>
    <row r="7114" spans="1:40" x14ac:dyDescent="0.25">
      <c r="A7114" t="str">
        <f>"20190305135105177"</f>
        <v>20190305135105177</v>
      </c>
      <c r="B7114" t="str">
        <f>"1551765065167396"</f>
        <v>1551765065167396</v>
      </c>
      <c r="C7114" t="s">
        <v>40</v>
      </c>
      <c r="D7114">
        <v>3.9433829999999999</v>
      </c>
      <c r="E7114">
        <v>0.56056980000000001</v>
      </c>
      <c r="F7114" t="s">
        <v>42</v>
      </c>
      <c r="G7114">
        <v>-262.16230000000002</v>
      </c>
      <c r="H7114" s="1">
        <v>-4.4163929999999998E-7</v>
      </c>
      <c r="I7114">
        <v>-62.295769999999997</v>
      </c>
      <c r="J7114">
        <v>-281.52910000000003</v>
      </c>
      <c r="K7114">
        <v>1.1160300000000001</v>
      </c>
      <c r="L7114">
        <v>-60.400539999999999</v>
      </c>
      <c r="M7114">
        <v>0.96468370000000003</v>
      </c>
      <c r="N7114">
        <v>-1.512459E-2</v>
      </c>
      <c r="O7114">
        <v>-0.26297659999999901</v>
      </c>
      <c r="P7114">
        <v>0.99513119999999999</v>
      </c>
      <c r="Q7114">
        <v>-7.4628040000000007E-2</v>
      </c>
      <c r="R7114">
        <v>6.4379270000000002E-2</v>
      </c>
      <c r="S7114">
        <v>3.0190730000000001</v>
      </c>
      <c r="T7114">
        <v>-0.17316679999999901</v>
      </c>
      <c r="U7114">
        <v>-0.29690549999999999</v>
      </c>
      <c r="V7114">
        <v>-0.3229032</v>
      </c>
      <c r="W7114">
        <v>-6.5175990000000003E-2</v>
      </c>
      <c r="X7114">
        <v>0.94418519999999995</v>
      </c>
      <c r="Y7114">
        <v>-0.16675570000000001</v>
      </c>
      <c r="Z7114">
        <v>1.687048E-2</v>
      </c>
      <c r="AA7114">
        <v>0.98585389999999995</v>
      </c>
      <c r="AB7114">
        <v>19</v>
      </c>
      <c r="AC7114">
        <v>19.366800000000001</v>
      </c>
      <c r="AD7114">
        <v>-1.1160304416393001</v>
      </c>
      <c r="AE7114">
        <v>-1.89522999999999</v>
      </c>
      <c r="AF7114">
        <v>-3.2543865620744699</v>
      </c>
      <c r="AG7114">
        <v>-1.1160304416393001</v>
      </c>
      <c r="AH7114">
        <v>19.120538591991199</v>
      </c>
      <c r="AI7114">
        <v>93.293204676019201</v>
      </c>
      <c r="AJ7114">
        <v>99.659388692495497</v>
      </c>
      <c r="AK7114">
        <v>19.427597687050799</v>
      </c>
      <c r="AL7114">
        <v>93.736957907697402</v>
      </c>
      <c r="AM7114">
        <v>108.880245818592</v>
      </c>
      <c r="AN7114">
        <v>1.0000000390708701</v>
      </c>
    </row>
    <row r="7115" spans="1:40" x14ac:dyDescent="0.25">
      <c r="A7115" t="str">
        <f>"20190305135105187"</f>
        <v>20190305135105187</v>
      </c>
      <c r="B7115" t="str">
        <f>"1551765065177156"</f>
        <v>1551765065177156</v>
      </c>
      <c r="C7115" t="s">
        <v>40</v>
      </c>
      <c r="D7115">
        <v>4.0812089999999897</v>
      </c>
      <c r="E7115">
        <v>0.56056980000000001</v>
      </c>
      <c r="F7115" t="s">
        <v>42</v>
      </c>
      <c r="G7115">
        <v>-261.1542</v>
      </c>
      <c r="H7115" s="1">
        <v>-2.309628E-8</v>
      </c>
      <c r="I7115">
        <v>-62.348010000000002</v>
      </c>
      <c r="J7115">
        <v>-281.43979999999999</v>
      </c>
      <c r="K7115">
        <v>1.1159730000000001</v>
      </c>
      <c r="L7115">
        <v>-60.418089999999999</v>
      </c>
      <c r="M7115">
        <v>0.96619790000000005</v>
      </c>
      <c r="N7115">
        <v>-1.514037E-2</v>
      </c>
      <c r="O7115">
        <v>-0.25735730000000001</v>
      </c>
      <c r="P7115">
        <v>0.99500330000000003</v>
      </c>
      <c r="Q7115">
        <v>-7.3170509999999994E-2</v>
      </c>
      <c r="R7115">
        <v>6.7929959999999998E-2</v>
      </c>
      <c r="S7115">
        <v>3.0209350000000001</v>
      </c>
      <c r="T7115">
        <v>-0.16547120000000001</v>
      </c>
      <c r="U7115">
        <v>-0.28875729999999999</v>
      </c>
      <c r="V7115">
        <v>-0.32083919999999999</v>
      </c>
      <c r="W7115">
        <v>-6.3606070000000001E-2</v>
      </c>
      <c r="X7115">
        <v>0.94499549999999999</v>
      </c>
      <c r="Y7115">
        <v>-0.16377269999999999</v>
      </c>
      <c r="Z7115">
        <v>1.5675430000000001E-2</v>
      </c>
      <c r="AA7115">
        <v>0.98637350000000001</v>
      </c>
      <c r="AB7115">
        <v>19</v>
      </c>
      <c r="AC7115">
        <v>20.285599999999899</v>
      </c>
      <c r="AD7115">
        <v>-1.1159730230962801</v>
      </c>
      <c r="AE7115">
        <v>-1.9299199999999901</v>
      </c>
      <c r="AF7115">
        <v>-3.3463100903943301</v>
      </c>
      <c r="AG7115">
        <v>-1.1159730230962801</v>
      </c>
      <c r="AH7115">
        <v>20.038780827028098</v>
      </c>
      <c r="AI7115">
        <v>93.144099487150299</v>
      </c>
      <c r="AJ7115">
        <v>99.480441004653102</v>
      </c>
      <c r="AK7115">
        <v>20.3468897879509</v>
      </c>
      <c r="AL7115">
        <v>93.646821161865105</v>
      </c>
      <c r="AM7115">
        <v>108.75306907330901</v>
      </c>
      <c r="AN7115">
        <v>1.0000000097088599</v>
      </c>
    </row>
    <row r="7116" spans="1:40" x14ac:dyDescent="0.25">
      <c r="A7116" t="str">
        <f>"20190305135105199"</f>
        <v>20190305135105199</v>
      </c>
      <c r="B7116" t="str">
        <f>"1551765065186916"</f>
        <v>1551765065186916</v>
      </c>
      <c r="C7116" t="s">
        <v>40</v>
      </c>
      <c r="D7116">
        <v>4.0237160000000003</v>
      </c>
      <c r="E7116">
        <v>0.54363950000000005</v>
      </c>
      <c r="F7116" t="s">
        <v>42</v>
      </c>
      <c r="G7116">
        <v>-260.45710000000003</v>
      </c>
      <c r="H7116" s="1">
        <v>2.7601159999999998E-7</v>
      </c>
      <c r="I7116">
        <v>-62.347810000000003</v>
      </c>
      <c r="J7116">
        <v>-281.34879999999998</v>
      </c>
      <c r="K7116">
        <v>1.115901</v>
      </c>
      <c r="L7116">
        <v>-60.435180000000003</v>
      </c>
      <c r="M7116">
        <v>0.96768399999999999</v>
      </c>
      <c r="N7116">
        <v>-1.514916E-2</v>
      </c>
      <c r="O7116">
        <v>-0.2517103</v>
      </c>
      <c r="P7116">
        <v>0.99483290000000002</v>
      </c>
      <c r="Q7116">
        <v>-7.2116769999999997E-2</v>
      </c>
      <c r="R7116">
        <v>7.1460070000000001E-2</v>
      </c>
      <c r="S7116">
        <v>3.0222169999999999</v>
      </c>
      <c r="T7116">
        <v>-0.16073779999999999</v>
      </c>
      <c r="U7116">
        <v>-0.27795409999999998</v>
      </c>
      <c r="V7116">
        <v>-0.31872250000000002</v>
      </c>
      <c r="W7116">
        <v>-6.243717E-2</v>
      </c>
      <c r="X7116">
        <v>0.9457894</v>
      </c>
      <c r="Y7116">
        <v>-0.1615847</v>
      </c>
      <c r="Z7116">
        <v>1.486905E-2</v>
      </c>
      <c r="AA7116">
        <v>0.98674680000000003</v>
      </c>
      <c r="AB7116">
        <v>19</v>
      </c>
      <c r="AC7116">
        <v>20.891699999999901</v>
      </c>
      <c r="AD7116">
        <v>-1.1159007239884</v>
      </c>
      <c r="AE7116">
        <v>-1.9126299999999901</v>
      </c>
      <c r="AF7116">
        <v>-3.3986102317406202</v>
      </c>
      <c r="AG7116">
        <v>-1.1159007239884</v>
      </c>
      <c r="AH7116">
        <v>20.641966760356802</v>
      </c>
      <c r="AI7116">
        <v>93.053357271036901</v>
      </c>
      <c r="AJ7116">
        <v>99.349619838741404</v>
      </c>
      <c r="AK7116">
        <v>20.949619988648099</v>
      </c>
      <c r="AL7116">
        <v>93.579714721769406</v>
      </c>
      <c r="AM7116">
        <v>108.623352529511</v>
      </c>
      <c r="AN7116">
        <v>1.0000000106781</v>
      </c>
    </row>
    <row r="7117" spans="1:40" x14ac:dyDescent="0.25">
      <c r="A7117" t="str">
        <f>"20190305135105211"</f>
        <v>20190305135105211</v>
      </c>
      <c r="B7117" t="str">
        <f>"1551765065207412"</f>
        <v>1551765065207412</v>
      </c>
      <c r="C7117" t="s">
        <v>40</v>
      </c>
      <c r="D7117">
        <v>4.046538</v>
      </c>
      <c r="E7117">
        <v>0.5312559</v>
      </c>
      <c r="F7117" t="s">
        <v>42</v>
      </c>
      <c r="G7117">
        <v>-261.9314</v>
      </c>
      <c r="H7117" s="1">
        <v>-7.491633E-8</v>
      </c>
      <c r="I7117">
        <v>-61.28978</v>
      </c>
      <c r="J7117">
        <v>-281.2561</v>
      </c>
      <c r="K7117">
        <v>1.1158140000000001</v>
      </c>
      <c r="L7117">
        <v>-60.452390000000001</v>
      </c>
      <c r="M7117">
        <v>0.96915629999999997</v>
      </c>
      <c r="N7117">
        <v>-1.515698E-2</v>
      </c>
      <c r="O7117">
        <v>-0.24598010000000001</v>
      </c>
      <c r="P7117">
        <v>0.99463959999999996</v>
      </c>
      <c r="Q7117">
        <v>-7.1284790000000001E-2</v>
      </c>
      <c r="R7117">
        <v>7.4904269999999995E-2</v>
      </c>
      <c r="S7117">
        <v>3.012543</v>
      </c>
      <c r="T7117">
        <v>-0.1731277</v>
      </c>
      <c r="U7117">
        <v>-0.13259889999999999</v>
      </c>
      <c r="V7117">
        <v>-0.31644339999999999</v>
      </c>
      <c r="W7117">
        <v>-6.1485119999999997E-2</v>
      </c>
      <c r="X7117">
        <v>0.94661669999999998</v>
      </c>
      <c r="Y7117">
        <v>-0.2025169</v>
      </c>
      <c r="Z7117">
        <v>1.7578699999999999E-2</v>
      </c>
      <c r="AA7117">
        <v>0.97912100000000002</v>
      </c>
      <c r="AB7117">
        <v>19</v>
      </c>
      <c r="AC7117">
        <v>19.3247</v>
      </c>
      <c r="AD7117">
        <v>-1.1158140749163299</v>
      </c>
      <c r="AE7117">
        <v>-0.83739000000000596</v>
      </c>
      <c r="AF7117">
        <v>-3.9293074275604898</v>
      </c>
      <c r="AG7117">
        <v>-1.1158140749163299</v>
      </c>
      <c r="AH7117">
        <v>18.8740056048239</v>
      </c>
      <c r="AI7117">
        <v>93.312477267360407</v>
      </c>
      <c r="AJ7117">
        <v>101.760209018994</v>
      </c>
      <c r="AK7117">
        <v>19.310944707108099</v>
      </c>
      <c r="AL7117">
        <v>93.525061258835393</v>
      </c>
      <c r="AM7117">
        <v>108.484206618309</v>
      </c>
      <c r="AN7117">
        <v>1.00000001105193</v>
      </c>
    </row>
    <row r="7118" spans="1:40" x14ac:dyDescent="0.25">
      <c r="A7118" t="str">
        <f>"20190305135105222"</f>
        <v>20190305135105222</v>
      </c>
      <c r="B7118" t="str">
        <f>"1551765065217171"</f>
        <v>1551765065217171</v>
      </c>
      <c r="C7118" t="s">
        <v>40</v>
      </c>
      <c r="D7118">
        <v>4.031466</v>
      </c>
      <c r="E7118">
        <v>0.52860050000000003</v>
      </c>
      <c r="F7118" t="s">
        <v>112</v>
      </c>
      <c r="G7118">
        <v>-257.27879999999999</v>
      </c>
      <c r="H7118" s="1">
        <v>-2.315627E-6</v>
      </c>
      <c r="I7118">
        <v>-60.639470000000003</v>
      </c>
      <c r="J7118">
        <v>-281.16460000000001</v>
      </c>
      <c r="K7118">
        <v>1.1157109999999999</v>
      </c>
      <c r="L7118">
        <v>-60.468629999999997</v>
      </c>
      <c r="M7118">
        <v>0.97054819999999997</v>
      </c>
      <c r="N7118">
        <v>-1.5156930000000001E-2</v>
      </c>
      <c r="O7118">
        <v>-0.24043</v>
      </c>
      <c r="P7118">
        <v>0.99440580000000001</v>
      </c>
      <c r="Q7118">
        <v>-7.0996790000000004E-2</v>
      </c>
      <c r="R7118">
        <v>7.8208250000000007E-2</v>
      </c>
      <c r="S7118">
        <v>3.0078740000000002</v>
      </c>
      <c r="T7118">
        <v>-0.1399753</v>
      </c>
      <c r="U7118">
        <v>-2.3468019999999999E-2</v>
      </c>
      <c r="V7118">
        <v>-0.314197</v>
      </c>
      <c r="W7118">
        <v>-6.1075669999999999E-2</v>
      </c>
      <c r="X7118">
        <v>0.94739119999999999</v>
      </c>
      <c r="Y7118">
        <v>-0.23243069999999999</v>
      </c>
      <c r="Z7118">
        <v>1.4593699999999999E-2</v>
      </c>
      <c r="AA7118">
        <v>0.97250349999999997</v>
      </c>
      <c r="AB7118">
        <v>19</v>
      </c>
      <c r="AC7118">
        <v>23.8858</v>
      </c>
      <c r="AD7118">
        <v>-1.115713315627</v>
      </c>
      <c r="AE7118">
        <v>-0.170839999999991</v>
      </c>
      <c r="AF7118">
        <v>-5.5655522138182398</v>
      </c>
      <c r="AG7118">
        <v>-1.115713315627</v>
      </c>
      <c r="AH7118">
        <v>23.175498874087701</v>
      </c>
      <c r="AI7118">
        <v>92.680118009222298</v>
      </c>
      <c r="AJ7118">
        <v>103.503756820863</v>
      </c>
      <c r="AK7118">
        <v>23.860509963331602</v>
      </c>
      <c r="AL7118">
        <v>93.501557230317005</v>
      </c>
      <c r="AM7118">
        <v>108.34781362124799</v>
      </c>
      <c r="AN7118">
        <v>1.0000000390561901</v>
      </c>
    </row>
    <row r="7119" spans="1:40" x14ac:dyDescent="0.25">
      <c r="A7119" t="str">
        <f>"20190305135105233"</f>
        <v>20190305135105233</v>
      </c>
      <c r="B7119" t="str">
        <f>"1551765065226931"</f>
        <v>1551765065226931</v>
      </c>
      <c r="C7119" t="s">
        <v>40</v>
      </c>
      <c r="D7119">
        <v>4.0366369999999998</v>
      </c>
      <c r="E7119">
        <v>0.5266767</v>
      </c>
      <c r="F7119" t="s">
        <v>112</v>
      </c>
      <c r="G7119">
        <v>-254.91079999999999</v>
      </c>
      <c r="H7119" s="1">
        <v>-1.2467339999999999E-6</v>
      </c>
      <c r="I7119">
        <v>-60.400959999999998</v>
      </c>
      <c r="J7119">
        <v>-281.07150000000001</v>
      </c>
      <c r="K7119">
        <v>1.1156010000000001</v>
      </c>
      <c r="L7119">
        <v>-60.484859999999998</v>
      </c>
      <c r="M7119">
        <v>0.97192040000000002</v>
      </c>
      <c r="N7119">
        <v>-1.515497E-2</v>
      </c>
      <c r="O7119">
        <v>-0.23482120000000001</v>
      </c>
      <c r="P7119">
        <v>0.99414440000000004</v>
      </c>
      <c r="Q7119">
        <v>-7.1375170000000002E-2</v>
      </c>
      <c r="R7119">
        <v>8.1131780000000001E-2</v>
      </c>
      <c r="S7119">
        <v>3.0071720000000002</v>
      </c>
      <c r="T7119">
        <v>-0.1277962</v>
      </c>
      <c r="U7119">
        <v>7.7514649999999999E-3</v>
      </c>
      <c r="V7119">
        <v>-0.31151770000000001</v>
      </c>
      <c r="W7119">
        <v>-6.1323240000000001E-2</v>
      </c>
      <c r="X7119">
        <v>0.94825959999999998</v>
      </c>
      <c r="Y7119">
        <v>-0.2369791</v>
      </c>
      <c r="Z7119">
        <v>1.3151970000000001E-2</v>
      </c>
      <c r="AA7119">
        <v>0.97142569999999995</v>
      </c>
      <c r="AB7119">
        <v>19</v>
      </c>
      <c r="AC7119">
        <v>26.160699999999999</v>
      </c>
      <c r="AD7119">
        <v>-1.1156022467340001</v>
      </c>
      <c r="AE7119">
        <v>8.3899999999999794E-2</v>
      </c>
      <c r="AF7119">
        <v>-6.2140459337724696</v>
      </c>
      <c r="AG7119">
        <v>-1.1156022467340001</v>
      </c>
      <c r="AH7119">
        <v>25.3632122066515</v>
      </c>
      <c r="AI7119">
        <v>92.446276054621407</v>
      </c>
      <c r="AJ7119">
        <v>103.76642629867899</v>
      </c>
      <c r="AK7119">
        <v>26.137166424071101</v>
      </c>
      <c r="AL7119">
        <v>93.515768570129296</v>
      </c>
      <c r="AM7119">
        <v>108.186138337158</v>
      </c>
      <c r="AN7119">
        <v>1.00000004308477</v>
      </c>
    </row>
    <row r="7120" spans="1:40" x14ac:dyDescent="0.25">
      <c r="A7120" t="str">
        <f>"20190305135105244"</f>
        <v>20190305135105244</v>
      </c>
      <c r="B7120" t="str">
        <f>"1551765065236692"</f>
        <v>1551765065236692</v>
      </c>
      <c r="C7120" t="s">
        <v>40</v>
      </c>
      <c r="D7120">
        <v>3.9940039999999999</v>
      </c>
      <c r="E7120">
        <v>0.52567619999999904</v>
      </c>
      <c r="F7120" t="s">
        <v>112</v>
      </c>
      <c r="G7120">
        <v>-254.5898</v>
      </c>
      <c r="H7120" s="1">
        <v>-1.145013E-6</v>
      </c>
      <c r="I7120">
        <v>-60.203380000000003</v>
      </c>
      <c r="J7120">
        <v>-280.98090000000002</v>
      </c>
      <c r="K7120">
        <v>1.115489</v>
      </c>
      <c r="L7120">
        <v>-60.50018</v>
      </c>
      <c r="M7120">
        <v>0.97320139999999999</v>
      </c>
      <c r="N7120">
        <v>-1.514829E-2</v>
      </c>
      <c r="O7120">
        <v>-0.22945489999999999</v>
      </c>
      <c r="P7120">
        <v>0.99390049999999996</v>
      </c>
      <c r="Q7120">
        <v>-7.1726750000000006E-2</v>
      </c>
      <c r="R7120">
        <v>8.3767060000000004E-2</v>
      </c>
      <c r="S7120">
        <v>3.0059809999999998</v>
      </c>
      <c r="T7120">
        <v>-0.12663379999999999</v>
      </c>
      <c r="U7120">
        <v>3.1951899999999998E-2</v>
      </c>
      <c r="V7120">
        <v>-0.30880770000000002</v>
      </c>
      <c r="W7120">
        <v>-6.1545000000000002E-2</v>
      </c>
      <c r="X7120">
        <v>0.94913119999999995</v>
      </c>
      <c r="Y7120">
        <v>-0.23944480000000001</v>
      </c>
      <c r="Z7120">
        <v>1.2957969999999999E-2</v>
      </c>
      <c r="AA7120">
        <v>0.97082349999999995</v>
      </c>
      <c r="AB7120">
        <v>19</v>
      </c>
      <c r="AC7120">
        <v>26.391100000000002</v>
      </c>
      <c r="AD7120">
        <v>-1.1154901450129999</v>
      </c>
      <c r="AE7120">
        <v>0.29680000000000401</v>
      </c>
      <c r="AF7120">
        <v>-6.3338271803763</v>
      </c>
      <c r="AG7120">
        <v>-1.1154901450129999</v>
      </c>
      <c r="AH7120">
        <v>25.573011136980401</v>
      </c>
      <c r="AI7120">
        <v>92.424483290839405</v>
      </c>
      <c r="AJ7120">
        <v>103.910865201852</v>
      </c>
      <c r="AK7120">
        <v>26.3693113984158</v>
      </c>
      <c r="AL7120">
        <v>93.5284986482188</v>
      </c>
      <c r="AM7120">
        <v>108.02272675028</v>
      </c>
      <c r="AN7120">
        <v>1.0000000087088601</v>
      </c>
    </row>
    <row r="7121" spans="1:40" x14ac:dyDescent="0.25">
      <c r="A7121" t="str">
        <f>"20190305135105255"</f>
        <v>20190305135105255</v>
      </c>
      <c r="B7121" t="str">
        <f>"1551765065246451"</f>
        <v>1551765065246451</v>
      </c>
      <c r="C7121" t="s">
        <v>40</v>
      </c>
      <c r="D7121">
        <v>4.0186409999999997</v>
      </c>
      <c r="E7121">
        <v>0.52501929999999997</v>
      </c>
      <c r="F7121" t="s">
        <v>112</v>
      </c>
      <c r="G7121">
        <v>-253.8708</v>
      </c>
      <c r="H7121" s="1">
        <v>-8.667845E-7</v>
      </c>
      <c r="I7121">
        <v>-60.066899999999997</v>
      </c>
      <c r="J7121">
        <v>-280.8963</v>
      </c>
      <c r="K7121">
        <v>1.1153729999999999</v>
      </c>
      <c r="L7121">
        <v>-60.514069999999997</v>
      </c>
      <c r="M7121">
        <v>0.97435210000000005</v>
      </c>
      <c r="N7121">
        <v>-1.513892E-2</v>
      </c>
      <c r="O7121">
        <v>-0.22451960000000001</v>
      </c>
      <c r="P7121">
        <v>0.99366429999999994</v>
      </c>
      <c r="Q7121">
        <v>-7.2597919999999996E-2</v>
      </c>
      <c r="R7121">
        <v>8.5795750000000004E-2</v>
      </c>
      <c r="S7121">
        <v>3.0054630000000002</v>
      </c>
      <c r="T7121">
        <v>-0.12366489999999999</v>
      </c>
      <c r="U7121">
        <v>4.8034670000000002E-2</v>
      </c>
      <c r="V7121">
        <v>-0.30592789999999997</v>
      </c>
      <c r="W7121">
        <v>-6.2287889999999999E-2</v>
      </c>
      <c r="X7121">
        <v>0.9500149</v>
      </c>
      <c r="Y7121">
        <v>-0.2397387</v>
      </c>
      <c r="Z7121">
        <v>1.250544E-2</v>
      </c>
      <c r="AA7121">
        <v>0.97075690000000003</v>
      </c>
      <c r="AB7121">
        <v>19</v>
      </c>
      <c r="AC7121">
        <v>27.025499999999901</v>
      </c>
      <c r="AD7121">
        <v>-1.1153738667844999</v>
      </c>
      <c r="AE7121">
        <v>0.44716999999999901</v>
      </c>
      <c r="AF7121">
        <v>-6.49314323613212</v>
      </c>
      <c r="AG7121">
        <v>-1.1153738667844999</v>
      </c>
      <c r="AH7121">
        <v>26.190359397304402</v>
      </c>
      <c r="AI7121">
        <v>92.367018514367501</v>
      </c>
      <c r="AJ7121">
        <v>103.92408423324299</v>
      </c>
      <c r="AK7121">
        <v>27.006293587006802</v>
      </c>
      <c r="AL7121">
        <v>93.571145016530295</v>
      </c>
      <c r="AM7121">
        <v>107.84982095193701</v>
      </c>
      <c r="AN7121">
        <v>0.99999998573053595</v>
      </c>
    </row>
    <row r="7122" spans="1:40" x14ac:dyDescent="0.25">
      <c r="A7122" t="str">
        <f>"20190305135105265"</f>
        <v>20190305135105265</v>
      </c>
      <c r="B7122" t="str">
        <f>"1551765065257188"</f>
        <v>1551765065257188</v>
      </c>
      <c r="C7122" t="s">
        <v>40</v>
      </c>
      <c r="D7122">
        <v>3.9934370000000001</v>
      </c>
      <c r="E7122">
        <v>0.52459659999999997</v>
      </c>
      <c r="F7122" t="s">
        <v>112</v>
      </c>
      <c r="G7122">
        <v>-254.45660000000001</v>
      </c>
      <c r="H7122" s="1">
        <v>-1.1347919999999999E-6</v>
      </c>
      <c r="I7122">
        <v>-59.991230000000002</v>
      </c>
      <c r="J7122">
        <v>-280.8057</v>
      </c>
      <c r="K7122">
        <v>1.115245</v>
      </c>
      <c r="L7122">
        <v>-60.52863</v>
      </c>
      <c r="M7122">
        <v>0.97554050000000003</v>
      </c>
      <c r="N7122">
        <v>-1.512617E-2</v>
      </c>
      <c r="O7122">
        <v>-0.21929950000000001</v>
      </c>
      <c r="P7122">
        <v>0.99348150000000002</v>
      </c>
      <c r="Q7122">
        <v>-7.2572510000000007E-2</v>
      </c>
      <c r="R7122">
        <v>8.7909630000000002E-2</v>
      </c>
      <c r="S7122">
        <v>3.0047299999999999</v>
      </c>
      <c r="T7122">
        <v>-0.12675629999999999</v>
      </c>
      <c r="U7122">
        <v>5.941772E-2</v>
      </c>
      <c r="V7122">
        <v>-0.30288470000000001</v>
      </c>
      <c r="W7122">
        <v>-6.2123680000000001E-2</v>
      </c>
      <c r="X7122">
        <v>0.95100030000000002</v>
      </c>
      <c r="Y7122">
        <v>-0.2382061</v>
      </c>
      <c r="Z7122">
        <v>1.268421E-2</v>
      </c>
      <c r="AA7122">
        <v>0.97113179999999999</v>
      </c>
      <c r="AB7122">
        <v>19</v>
      </c>
      <c r="AC7122">
        <v>26.3491</v>
      </c>
      <c r="AD7122">
        <v>-1.115246134792</v>
      </c>
      <c r="AE7122">
        <v>0.53740000000000498</v>
      </c>
      <c r="AF7122">
        <v>-6.29205265078122</v>
      </c>
      <c r="AG7122">
        <v>-1.115246134792</v>
      </c>
      <c r="AH7122">
        <v>25.543943724225301</v>
      </c>
      <c r="AI7122">
        <v>92.427472458312295</v>
      </c>
      <c r="AJ7122">
        <v>103.837771382306</v>
      </c>
      <c r="AK7122">
        <v>26.331098752003498</v>
      </c>
      <c r="AL7122">
        <v>93.561718055480796</v>
      </c>
      <c r="AM7122">
        <v>107.666190620642</v>
      </c>
      <c r="AN7122">
        <v>1.00000003185546</v>
      </c>
    </row>
    <row r="7123" spans="1:40" x14ac:dyDescent="0.25">
      <c r="A7123" t="str">
        <f>"20190305135105278"</f>
        <v>20190305135105278</v>
      </c>
      <c r="B7123" t="str">
        <f>"1551765065266948"</f>
        <v>1551765065266948</v>
      </c>
      <c r="C7123" t="s">
        <v>40</v>
      </c>
      <c r="D7123">
        <v>4.0114409999999996</v>
      </c>
      <c r="E7123">
        <v>0.5241886</v>
      </c>
      <c r="F7123" t="s">
        <v>112</v>
      </c>
      <c r="G7123">
        <v>-254.48570000000001</v>
      </c>
      <c r="H7123" s="1">
        <v>-1.1625249999999999E-6</v>
      </c>
      <c r="I7123">
        <v>-59.922249999999998</v>
      </c>
      <c r="J7123">
        <v>-280.71010000000001</v>
      </c>
      <c r="K7123">
        <v>1.115097</v>
      </c>
      <c r="L7123">
        <v>-60.543460000000003</v>
      </c>
      <c r="M7123">
        <v>0.97672809999999999</v>
      </c>
      <c r="N7123">
        <v>-1.5107239999999999E-2</v>
      </c>
      <c r="O7123">
        <v>-0.21394879999999999</v>
      </c>
      <c r="P7123">
        <v>0.99325640000000004</v>
      </c>
      <c r="Q7123">
        <v>-7.2454560000000001E-2</v>
      </c>
      <c r="R7123">
        <v>9.0510579999999993E-2</v>
      </c>
      <c r="S7123">
        <v>3.0042719999999998</v>
      </c>
      <c r="T7123">
        <v>-0.12729879999999999</v>
      </c>
      <c r="U7123">
        <v>6.9213869999999997E-2</v>
      </c>
      <c r="V7123">
        <v>-0.30018979999999901</v>
      </c>
      <c r="W7123">
        <v>-6.1863689999999999E-2</v>
      </c>
      <c r="X7123">
        <v>0.95187129999999998</v>
      </c>
      <c r="Y7123">
        <v>-0.23605139999999999</v>
      </c>
      <c r="Z7123">
        <v>1.254747E-2</v>
      </c>
      <c r="AA7123">
        <v>0.97165950000000001</v>
      </c>
      <c r="AB7123">
        <v>19</v>
      </c>
      <c r="AC7123">
        <v>26.224399999999999</v>
      </c>
      <c r="AD7123">
        <v>-1.115098162525</v>
      </c>
      <c r="AE7123">
        <v>0.62120999999999704</v>
      </c>
      <c r="AF7123">
        <v>-6.20692522807055</v>
      </c>
      <c r="AG7123">
        <v>-1.115098162525</v>
      </c>
      <c r="AH7123">
        <v>25.4381401309914</v>
      </c>
      <c r="AI7123">
        <v>92.438541244191995</v>
      </c>
      <c r="AJ7123">
        <v>103.71227732540601</v>
      </c>
      <c r="AK7123">
        <v>26.208173114944099</v>
      </c>
      <c r="AL7123">
        <v>93.546793124666394</v>
      </c>
      <c r="AM7123">
        <v>107.503609696089</v>
      </c>
      <c r="AN7123">
        <v>1.00000000196407</v>
      </c>
    </row>
    <row r="7124" spans="1:40" x14ac:dyDescent="0.25">
      <c r="A7124" t="str">
        <f>"20190305135105289"</f>
        <v>20190305135105289</v>
      </c>
      <c r="B7124" t="str">
        <f>"1551765065276558"</f>
        <v>1551765065276558</v>
      </c>
      <c r="C7124" t="s">
        <v>40</v>
      </c>
      <c r="D7124">
        <v>4.0017500000000004</v>
      </c>
      <c r="E7124">
        <v>0.52393540000000005</v>
      </c>
      <c r="F7124" t="s">
        <v>112</v>
      </c>
      <c r="G7124">
        <v>-254.4922</v>
      </c>
      <c r="H7124" s="1">
        <v>-1.183101E-6</v>
      </c>
      <c r="I7124">
        <v>-59.841839999999998</v>
      </c>
      <c r="J7124">
        <v>-280.6234</v>
      </c>
      <c r="K7124">
        <v>1.1149579999999999</v>
      </c>
      <c r="L7124">
        <v>-60.556759999999997</v>
      </c>
      <c r="M7124">
        <v>0.97776870000000005</v>
      </c>
      <c r="N7124">
        <v>-1.508925E-2</v>
      </c>
      <c r="O7124">
        <v>-0.2091432</v>
      </c>
      <c r="P7124">
        <v>0.99311859999999996</v>
      </c>
      <c r="Q7124">
        <v>-7.2026469999999995E-2</v>
      </c>
      <c r="R7124">
        <v>9.234726E-2</v>
      </c>
      <c r="S7124">
        <v>3.0037229999999999</v>
      </c>
      <c r="T7124">
        <v>-0.12775419999999901</v>
      </c>
      <c r="U7124">
        <v>8.0383300000000005E-2</v>
      </c>
      <c r="V7124">
        <v>-0.29730479999999998</v>
      </c>
      <c r="W7124">
        <v>-6.1297249999999998E-2</v>
      </c>
      <c r="X7124">
        <v>0.95281300000000002</v>
      </c>
      <c r="Y7124">
        <v>-0.23488819999999999</v>
      </c>
      <c r="Z7124">
        <v>1.2441829999999999E-2</v>
      </c>
      <c r="AA7124">
        <v>0.9719428</v>
      </c>
      <c r="AB7124">
        <v>19</v>
      </c>
      <c r="AC7124">
        <v>26.1312</v>
      </c>
      <c r="AD7124">
        <v>-1.114959183101</v>
      </c>
      <c r="AE7124">
        <v>0.71491999999999201</v>
      </c>
      <c r="AF7124">
        <v>-6.1536958114610298</v>
      </c>
      <c r="AG7124">
        <v>-1.114959183101</v>
      </c>
      <c r="AH7124">
        <v>25.357508788509602</v>
      </c>
      <c r="AI7124">
        <v>92.446724150655101</v>
      </c>
      <c r="AJ7124">
        <v>103.64069701776801</v>
      </c>
      <c r="AK7124">
        <v>26.1173191212138</v>
      </c>
      <c r="AL7124">
        <v>93.514276604411194</v>
      </c>
      <c r="AM7124">
        <v>107.329409227645</v>
      </c>
      <c r="AN7124">
        <v>1.0000000549647901</v>
      </c>
    </row>
    <row r="7125" spans="1:40" x14ac:dyDescent="0.25">
      <c r="A7125" t="str">
        <f>"20190305135105300"</f>
        <v>20190305135105300</v>
      </c>
      <c r="B7125" t="str">
        <f>"1551765065297013"</f>
        <v>1551765065297013</v>
      </c>
      <c r="C7125" t="s">
        <v>40</v>
      </c>
      <c r="D7125">
        <v>3.8834879999999998</v>
      </c>
      <c r="E7125">
        <v>0.52387340000000004</v>
      </c>
      <c r="F7125" t="s">
        <v>112</v>
      </c>
      <c r="G7125">
        <v>-254.22810000000001</v>
      </c>
      <c r="H7125" s="1">
        <v>-1.0828010000000001E-6</v>
      </c>
      <c r="I7125">
        <v>-59.783000000000001</v>
      </c>
      <c r="J7125">
        <v>-280.52780000000001</v>
      </c>
      <c r="K7125">
        <v>1.1147830000000001</v>
      </c>
      <c r="L7125">
        <v>-60.570830000000001</v>
      </c>
      <c r="M7125">
        <v>0.97883880000000001</v>
      </c>
      <c r="N7125">
        <v>-1.5061639999999999E-2</v>
      </c>
      <c r="O7125">
        <v>-0.20407810000000001</v>
      </c>
      <c r="P7125">
        <v>0.9929173</v>
      </c>
      <c r="Q7125">
        <v>-7.1758970000000005E-2</v>
      </c>
      <c r="R7125">
        <v>9.4689949999999995E-2</v>
      </c>
      <c r="S7125">
        <v>3.0034179999999999</v>
      </c>
      <c r="T7125">
        <v>-0.12686710000000001</v>
      </c>
      <c r="U7125">
        <v>8.8043209999999997E-2</v>
      </c>
      <c r="V7125">
        <v>-0.29465560000000002</v>
      </c>
      <c r="W7125">
        <v>-6.0880360000000001E-2</v>
      </c>
      <c r="X7125">
        <v>0.95366220000000002</v>
      </c>
      <c r="Y7125">
        <v>-0.23234460000000001</v>
      </c>
      <c r="Z7125">
        <v>1.2144189999999999E-2</v>
      </c>
      <c r="AA7125">
        <v>0.97255769999999997</v>
      </c>
      <c r="AB7125">
        <v>19</v>
      </c>
      <c r="AC7125">
        <v>26.299700000000001</v>
      </c>
      <c r="AD7125">
        <v>-1.1147840828010001</v>
      </c>
      <c r="AE7125">
        <v>0.78783000000000603</v>
      </c>
      <c r="AF7125">
        <v>-6.1280468782071296</v>
      </c>
      <c r="AG7125">
        <v>-1.1147840828010001</v>
      </c>
      <c r="AH7125">
        <v>25.539442577039399</v>
      </c>
      <c r="AI7125">
        <v>92.430446882539997</v>
      </c>
      <c r="AJ7125">
        <v>103.492722481668</v>
      </c>
      <c r="AK7125">
        <v>26.287997817229499</v>
      </c>
      <c r="AL7125">
        <v>93.490346183374996</v>
      </c>
      <c r="AM7125">
        <v>107.169721994547</v>
      </c>
      <c r="AN7125">
        <v>0.99999996627696397</v>
      </c>
    </row>
    <row r="7126" spans="1:40" x14ac:dyDescent="0.25">
      <c r="A7126" t="str">
        <f>"20190305135105312"</f>
        <v>20190305135105312</v>
      </c>
      <c r="B7126" t="str">
        <f>"1551765065306772"</f>
        <v>1551765065306772</v>
      </c>
      <c r="C7126" t="s">
        <v>40</v>
      </c>
      <c r="D7126">
        <v>3.9528590000000001</v>
      </c>
      <c r="E7126">
        <v>0.52408409999999905</v>
      </c>
      <c r="F7126" t="s">
        <v>112</v>
      </c>
      <c r="G7126">
        <v>-253.95769999999999</v>
      </c>
      <c r="H7126" s="1">
        <v>-9.7996880000000005E-7</v>
      </c>
      <c r="I7126">
        <v>-59.723559999999999</v>
      </c>
      <c r="J7126">
        <v>-280.43540000000002</v>
      </c>
      <c r="K7126">
        <v>1.114606</v>
      </c>
      <c r="L7126">
        <v>-60.584319999999998</v>
      </c>
      <c r="M7126">
        <v>0.97983370000000003</v>
      </c>
      <c r="N7126">
        <v>-1.5034219999999999E-2</v>
      </c>
      <c r="O7126">
        <v>-0.1992486</v>
      </c>
      <c r="P7126">
        <v>0.99266399999999999</v>
      </c>
      <c r="Q7126">
        <v>-7.2092909999999996E-2</v>
      </c>
      <c r="R7126">
        <v>9.7060549999999995E-2</v>
      </c>
      <c r="S7126">
        <v>3.0031430000000001</v>
      </c>
      <c r="T7126">
        <v>-0.126001</v>
      </c>
      <c r="U7126">
        <v>9.5764160000000001E-2</v>
      </c>
      <c r="V7126">
        <v>-0.29224889999999998</v>
      </c>
      <c r="W7126">
        <v>-6.1071050000000002E-2</v>
      </c>
      <c r="X7126">
        <v>0.95439030000000002</v>
      </c>
      <c r="Y7126">
        <v>-0.2300576</v>
      </c>
      <c r="Z7126">
        <v>1.186515E-2</v>
      </c>
      <c r="AA7126">
        <v>0.97310469999999905</v>
      </c>
      <c r="AB7126">
        <v>19</v>
      </c>
      <c r="AC7126">
        <v>26.477699999999999</v>
      </c>
      <c r="AD7126">
        <v>-1.1146069799688001</v>
      </c>
      <c r="AE7126">
        <v>0.86075999999999897</v>
      </c>
      <c r="AF7126">
        <v>-6.1089235587589004</v>
      </c>
      <c r="AG7126">
        <v>-1.1146069799688001</v>
      </c>
      <c r="AH7126">
        <v>25.729602458838301</v>
      </c>
      <c r="AI7126">
        <v>92.413492233244895</v>
      </c>
      <c r="AJ7126">
        <v>103.356303880371</v>
      </c>
      <c r="AK7126">
        <v>26.468353527494202</v>
      </c>
      <c r="AL7126">
        <v>93.501292275355198</v>
      </c>
      <c r="AM7126">
        <v>107.025388972394</v>
      </c>
      <c r="AN7126">
        <v>0.99999996871670005</v>
      </c>
    </row>
    <row r="7127" spans="1:40" x14ac:dyDescent="0.25">
      <c r="A7127" t="str">
        <f>"20190305135105323"</f>
        <v>20190305135105323</v>
      </c>
      <c r="B7127" t="str">
        <f>"1551765065316532"</f>
        <v>1551765065316532</v>
      </c>
      <c r="C7127" t="s">
        <v>40</v>
      </c>
      <c r="D7127">
        <v>3.9634</v>
      </c>
      <c r="E7127">
        <v>0.52431519999999898</v>
      </c>
      <c r="F7127" t="s">
        <v>112</v>
      </c>
      <c r="G7127">
        <v>-253.89109999999999</v>
      </c>
      <c r="H7127" s="1">
        <v>-9.5919849999999992E-7</v>
      </c>
      <c r="I7127">
        <v>-59.68824</v>
      </c>
      <c r="J7127">
        <v>-280.34050000000002</v>
      </c>
      <c r="K7127">
        <v>1.114395</v>
      </c>
      <c r="L7127">
        <v>-60.597720000000002</v>
      </c>
      <c r="M7127">
        <v>0.98078359999999998</v>
      </c>
      <c r="N7127">
        <v>-1.4999759999999999E-2</v>
      </c>
      <c r="O7127">
        <v>-0.19452169999999999</v>
      </c>
      <c r="P7127">
        <v>0.99248360000000002</v>
      </c>
      <c r="Q7127">
        <v>-7.1661409999999995E-2</v>
      </c>
      <c r="R7127">
        <v>9.9202559999999995E-2</v>
      </c>
      <c r="S7127">
        <v>3.0031129999999999</v>
      </c>
      <c r="T7127">
        <v>-0.1261023</v>
      </c>
      <c r="U7127">
        <v>0.10137939999999999</v>
      </c>
      <c r="V7127">
        <v>-0.28975020000000001</v>
      </c>
      <c r="W7127">
        <v>-6.0484290000000003E-2</v>
      </c>
      <c r="X7127">
        <v>0.95518919999999996</v>
      </c>
      <c r="Y7127">
        <v>-0.22718669999999999</v>
      </c>
      <c r="Z7127">
        <v>1.1673380000000001E-2</v>
      </c>
      <c r="AA7127">
        <v>0.97378120000000001</v>
      </c>
      <c r="AB7127">
        <v>19</v>
      </c>
      <c r="AC7127">
        <v>26.449400000000001</v>
      </c>
      <c r="AD7127">
        <v>-1.1143959591985</v>
      </c>
      <c r="AE7127">
        <v>0.90947999999999496</v>
      </c>
      <c r="AF7127">
        <v>-6.0269776491614104</v>
      </c>
      <c r="AG7127">
        <v>-1.1143959591985</v>
      </c>
      <c r="AH7127">
        <v>25.721514113574699</v>
      </c>
      <c r="AI7127">
        <v>92.415470348971994</v>
      </c>
      <c r="AJ7127">
        <v>103.18743865283299</v>
      </c>
      <c r="AK7127">
        <v>26.441683498449802</v>
      </c>
      <c r="AL7127">
        <v>93.467611140164394</v>
      </c>
      <c r="AM7127">
        <v>106.87482004984</v>
      </c>
      <c r="AN7127">
        <v>0.99999996776674105</v>
      </c>
    </row>
    <row r="7128" spans="1:40" x14ac:dyDescent="0.25">
      <c r="A7128" t="str">
        <f>"20190305135105335"</f>
        <v>20190305135105335</v>
      </c>
      <c r="B7128" t="str">
        <f>"1551765065327268"</f>
        <v>1551765065327268</v>
      </c>
      <c r="C7128" t="s">
        <v>40</v>
      </c>
      <c r="D7128">
        <v>3.9778609999999999</v>
      </c>
      <c r="E7128">
        <v>0.524455</v>
      </c>
      <c r="F7128" t="s">
        <v>112</v>
      </c>
      <c r="G7128">
        <v>-253.55449999999999</v>
      </c>
      <c r="H7128" s="1">
        <v>-8.2295310000000002E-7</v>
      </c>
      <c r="I7128">
        <v>-59.651260000000001</v>
      </c>
      <c r="J7128">
        <v>-280.25290000000001</v>
      </c>
      <c r="K7128">
        <v>1.1141890000000001</v>
      </c>
      <c r="L7128">
        <v>-60.609920000000002</v>
      </c>
      <c r="M7128">
        <v>0.98161790000000004</v>
      </c>
      <c r="N7128">
        <v>-1.496669E-2</v>
      </c>
      <c r="O7128">
        <v>-0.19026970000000001</v>
      </c>
      <c r="P7128">
        <v>0.99227120000000002</v>
      </c>
      <c r="Q7128">
        <v>-7.1726810000000002E-2</v>
      </c>
      <c r="R7128">
        <v>0.1012589</v>
      </c>
      <c r="S7128">
        <v>3.0030519999999998</v>
      </c>
      <c r="T7128">
        <v>-0.1249378</v>
      </c>
      <c r="U7128">
        <v>0.1061096</v>
      </c>
      <c r="V7128">
        <v>-0.2876187</v>
      </c>
      <c r="W7128">
        <v>-6.0410119999999998E-2</v>
      </c>
      <c r="X7128">
        <v>0.95583790000000002</v>
      </c>
      <c r="Y7128">
        <v>-0.2245094</v>
      </c>
      <c r="Z7128">
        <v>1.137168E-2</v>
      </c>
      <c r="AA7128">
        <v>0.97440559999999998</v>
      </c>
      <c r="AB7128">
        <v>19</v>
      </c>
      <c r="AC7128">
        <v>26.698399999999999</v>
      </c>
      <c r="AD7128">
        <v>-1.1141898229531</v>
      </c>
      <c r="AE7128">
        <v>0.95865999999999396</v>
      </c>
      <c r="AF7128">
        <v>-6.0111525180398804</v>
      </c>
      <c r="AG7128">
        <v>-1.1141898229531</v>
      </c>
      <c r="AH7128">
        <v>25.982941747484599</v>
      </c>
      <c r="AI7128">
        <v>92.392318763474904</v>
      </c>
      <c r="AJ7128">
        <v>103.02620371069401</v>
      </c>
      <c r="AK7128">
        <v>26.692482750952401</v>
      </c>
      <c r="AL7128">
        <v>93.463353632043706</v>
      </c>
      <c r="AM7128">
        <v>106.74692988400901</v>
      </c>
      <c r="AN7128">
        <v>0.99999999513225701</v>
      </c>
    </row>
    <row r="7129" spans="1:40" x14ac:dyDescent="0.25">
      <c r="A7129" t="str">
        <f>"20190305135105344"</f>
        <v>20190305135105344</v>
      </c>
      <c r="B7129" t="str">
        <f>"1551765065337029"</f>
        <v>1551765065337029</v>
      </c>
      <c r="C7129" t="s">
        <v>40</v>
      </c>
      <c r="D7129">
        <v>3.914202</v>
      </c>
      <c r="E7129">
        <v>0.52459100000000003</v>
      </c>
      <c r="F7129" t="s">
        <v>112</v>
      </c>
      <c r="G7129">
        <v>-253.3862</v>
      </c>
      <c r="H7129" s="1">
        <v>-7.5904229999999998E-7</v>
      </c>
      <c r="I7129">
        <v>-59.613909999999997</v>
      </c>
      <c r="J7129">
        <v>-280.16379999999998</v>
      </c>
      <c r="K7129">
        <v>1.11398</v>
      </c>
      <c r="L7129">
        <v>-60.622129999999999</v>
      </c>
      <c r="M7129">
        <v>0.98241909999999999</v>
      </c>
      <c r="N7129">
        <v>-1.4930819999999999E-2</v>
      </c>
      <c r="O7129">
        <v>-0.18609100000000001</v>
      </c>
      <c r="P7129">
        <v>0.992035</v>
      </c>
      <c r="Q7129">
        <v>-7.1995680000000006E-2</v>
      </c>
      <c r="R7129">
        <v>0.1033606</v>
      </c>
      <c r="S7129">
        <v>3.0029910000000002</v>
      </c>
      <c r="T7129">
        <v>-0.1245372</v>
      </c>
      <c r="U7129">
        <v>0.1113281</v>
      </c>
      <c r="V7129">
        <v>-0.2856013</v>
      </c>
      <c r="W7129">
        <v>-6.054006E-2</v>
      </c>
      <c r="X7129">
        <v>0.95643440000000002</v>
      </c>
      <c r="Y7129">
        <v>-0.22206049999999999</v>
      </c>
      <c r="Z7129">
        <v>1.115771E-2</v>
      </c>
      <c r="AA7129">
        <v>0.97496899999999997</v>
      </c>
      <c r="AB7129">
        <v>19</v>
      </c>
      <c r="AC7129">
        <v>26.7775999999999</v>
      </c>
      <c r="AD7129">
        <v>-1.1139807590423001</v>
      </c>
      <c r="AE7129">
        <v>1.0082199999999999</v>
      </c>
      <c r="AF7129">
        <v>-5.9639237469345803</v>
      </c>
      <c r="AG7129">
        <v>-1.1139807590423001</v>
      </c>
      <c r="AH7129">
        <v>26.077049213825099</v>
      </c>
      <c r="AI7129">
        <v>92.384625019281202</v>
      </c>
      <c r="AJ7129">
        <v>102.882216413713</v>
      </c>
      <c r="AK7129">
        <v>26.7735286298057</v>
      </c>
      <c r="AL7129">
        <v>93.470812344714702</v>
      </c>
      <c r="AM7129">
        <v>106.62617436075401</v>
      </c>
      <c r="AN7129">
        <v>0.99999998146492597</v>
      </c>
    </row>
    <row r="7130" spans="1:40" x14ac:dyDescent="0.25">
      <c r="A7130" t="str">
        <f>"20190305135105356"</f>
        <v>20190305135105356</v>
      </c>
      <c r="B7130" t="str">
        <f>"1551765065346789"</f>
        <v>1551765065346789</v>
      </c>
      <c r="C7130" t="s">
        <v>40</v>
      </c>
      <c r="D7130">
        <v>3.9628709999999998</v>
      </c>
      <c r="E7130">
        <v>0.52470899999999998</v>
      </c>
      <c r="F7130" t="s">
        <v>112</v>
      </c>
      <c r="G7130">
        <v>-253.18430000000001</v>
      </c>
      <c r="H7130" s="1">
        <v>-6.8149969999999897E-7</v>
      </c>
      <c r="I7130">
        <v>-59.572839999999999</v>
      </c>
      <c r="J7130">
        <v>-280.0779</v>
      </c>
      <c r="K7130">
        <v>1.113772</v>
      </c>
      <c r="L7130">
        <v>-60.633670000000002</v>
      </c>
      <c r="M7130">
        <v>0.98314120000000005</v>
      </c>
      <c r="N7130">
        <v>-1.4894650000000001E-2</v>
      </c>
      <c r="O7130">
        <v>-0.1822406</v>
      </c>
      <c r="P7130">
        <v>0.9918633</v>
      </c>
      <c r="Q7130">
        <v>-7.1856229999999993E-2</v>
      </c>
      <c r="R7130">
        <v>0.10509019999999999</v>
      </c>
      <c r="S7130">
        <v>3.0029300000000001</v>
      </c>
      <c r="T7130">
        <v>-0.123991</v>
      </c>
      <c r="U7130">
        <v>0.1167908</v>
      </c>
      <c r="V7130">
        <v>-0.28355580000000002</v>
      </c>
      <c r="W7130">
        <v>-6.0265340000000001E-2</v>
      </c>
      <c r="X7130">
        <v>0.95706020000000003</v>
      </c>
      <c r="Y7130">
        <v>-0.2200182</v>
      </c>
      <c r="Z7130">
        <v>1.095056E-2</v>
      </c>
      <c r="AA7130">
        <v>0.97543429999999998</v>
      </c>
      <c r="AB7130">
        <v>19</v>
      </c>
      <c r="AC7130">
        <v>26.8935999999999</v>
      </c>
      <c r="AD7130">
        <v>-1.1137726814997</v>
      </c>
      <c r="AE7130">
        <v>1.0608299999999899</v>
      </c>
      <c r="AF7130">
        <v>-5.9345479531166898</v>
      </c>
      <c r="AG7130">
        <v>-1.1137726814997</v>
      </c>
      <c r="AH7130">
        <v>26.204915588672002</v>
      </c>
      <c r="AI7130">
        <v>92.373707232937093</v>
      </c>
      <c r="AJ7130">
        <v>102.76035969758099</v>
      </c>
      <c r="AK7130">
        <v>26.891577677840299</v>
      </c>
      <c r="AL7130">
        <v>93.455043140014695</v>
      </c>
      <c r="AM7130">
        <v>106.503393171368</v>
      </c>
      <c r="AN7130">
        <v>1.00000001467149</v>
      </c>
    </row>
    <row r="7131" spans="1:40" x14ac:dyDescent="0.25">
      <c r="A7131" t="str">
        <f>"20190305135105367"</f>
        <v>20190305135105367</v>
      </c>
      <c r="B7131" t="str">
        <f>"1551765065356549"</f>
        <v>1551765065356549</v>
      </c>
      <c r="C7131" t="s">
        <v>40</v>
      </c>
      <c r="D7131">
        <v>3.9764569999999999</v>
      </c>
      <c r="E7131">
        <v>0.5248505</v>
      </c>
      <c r="F7131" t="s">
        <v>112</v>
      </c>
      <c r="G7131">
        <v>-252.7483</v>
      </c>
      <c r="H7131" s="1">
        <v>-5.0388079999999997E-7</v>
      </c>
      <c r="I7131">
        <v>-59.530189999999997</v>
      </c>
      <c r="J7131">
        <v>-279.98430000000002</v>
      </c>
      <c r="K7131">
        <v>1.113545</v>
      </c>
      <c r="L7131">
        <v>-60.646120000000003</v>
      </c>
      <c r="M7131">
        <v>0.98388929999999997</v>
      </c>
      <c r="N7131">
        <v>-1.485466E-2</v>
      </c>
      <c r="O7131">
        <v>-0.17815989999999901</v>
      </c>
      <c r="P7131">
        <v>0.99164960000000002</v>
      </c>
      <c r="Q7131">
        <v>-7.1823579999999998E-2</v>
      </c>
      <c r="R7131">
        <v>0.1071096</v>
      </c>
      <c r="S7131">
        <v>3.0028990000000002</v>
      </c>
      <c r="T7131">
        <v>-0.122378</v>
      </c>
      <c r="U7131">
        <v>0.1212463</v>
      </c>
      <c r="V7131">
        <v>-0.2815685</v>
      </c>
      <c r="W7131">
        <v>-6.0088910000000002E-2</v>
      </c>
      <c r="X7131">
        <v>0.9576578</v>
      </c>
      <c r="Y7131">
        <v>-0.21742810000000001</v>
      </c>
      <c r="Z7131">
        <v>1.0622120000000001E-2</v>
      </c>
      <c r="AA7131">
        <v>0.97601850000000001</v>
      </c>
      <c r="AB7131">
        <v>19</v>
      </c>
      <c r="AC7131">
        <v>27.236000000000001</v>
      </c>
      <c r="AD7131">
        <v>-1.1135455038808</v>
      </c>
      <c r="AE7131">
        <v>1.1159299999999901</v>
      </c>
      <c r="AF7131">
        <v>-5.9410575726221202</v>
      </c>
      <c r="AG7131">
        <v>-1.1135455038808</v>
      </c>
      <c r="AH7131">
        <v>26.557015222453501</v>
      </c>
      <c r="AI7131">
        <v>92.3431763332907</v>
      </c>
      <c r="AJ7131">
        <v>102.60998872622</v>
      </c>
      <c r="AK7131">
        <v>27.236211303998399</v>
      </c>
      <c r="AL7131">
        <v>93.444916213638393</v>
      </c>
      <c r="AM7131">
        <v>106.384278186732</v>
      </c>
      <c r="AN7131">
        <v>0.99999997959903797</v>
      </c>
    </row>
    <row r="7132" spans="1:40" x14ac:dyDescent="0.25">
      <c r="A7132" t="str">
        <f>"20190305135105378"</f>
        <v>20190305135105378</v>
      </c>
      <c r="B7132" t="str">
        <f>"1551765065367286"</f>
        <v>1551765065367286</v>
      </c>
      <c r="C7132" t="s">
        <v>40</v>
      </c>
      <c r="D7132">
        <v>3.977678</v>
      </c>
      <c r="E7132">
        <v>0.52493979999999996</v>
      </c>
      <c r="F7132" t="s">
        <v>112</v>
      </c>
      <c r="G7132">
        <v>-252.5394</v>
      </c>
      <c r="H7132" s="1">
        <v>-4.2315649999999999E-7</v>
      </c>
      <c r="I7132">
        <v>-59.4899699999999</v>
      </c>
      <c r="J7132">
        <v>-279.8972</v>
      </c>
      <c r="K7132">
        <v>1.1133230000000001</v>
      </c>
      <c r="L7132">
        <v>-60.657530000000001</v>
      </c>
      <c r="M7132">
        <v>0.98452289999999998</v>
      </c>
      <c r="N7132">
        <v>-1.481528E-2</v>
      </c>
      <c r="O7132">
        <v>-0.17462849999999999</v>
      </c>
      <c r="P7132">
        <v>0.99148429999999999</v>
      </c>
      <c r="Q7132">
        <v>-7.2195560000000006E-2</v>
      </c>
      <c r="R7132">
        <v>0.10838250000000001</v>
      </c>
      <c r="S7132">
        <v>3.002777</v>
      </c>
      <c r="T7132">
        <v>-0.1218345</v>
      </c>
      <c r="U7132">
        <v>0.12649540000000001</v>
      </c>
      <c r="V7132">
        <v>-0.279387</v>
      </c>
      <c r="W7132">
        <v>-6.0322460000000001E-2</v>
      </c>
      <c r="X7132">
        <v>0.95828190000000002</v>
      </c>
      <c r="Y7132">
        <v>-0.2156362</v>
      </c>
      <c r="Z7132">
        <v>1.04352E-2</v>
      </c>
      <c r="AA7132">
        <v>0.97641800000000001</v>
      </c>
      <c r="AB7132">
        <v>19</v>
      </c>
      <c r="AC7132">
        <v>27.357800000000001</v>
      </c>
      <c r="AD7132">
        <v>-1.1133234231564999</v>
      </c>
      <c r="AE7132">
        <v>1.1675599999999999</v>
      </c>
      <c r="AF7132">
        <v>-5.9178093342652103</v>
      </c>
      <c r="AG7132">
        <v>-1.1133234231564999</v>
      </c>
      <c r="AH7132">
        <v>26.689306943741499</v>
      </c>
      <c r="AI7132">
        <v>92.332088696019099</v>
      </c>
      <c r="AJ7132">
        <v>102.501907936056</v>
      </c>
      <c r="AK7132">
        <v>27.3601729069557</v>
      </c>
      <c r="AL7132">
        <v>93.458321726584103</v>
      </c>
      <c r="AM7132">
        <v>106.254039226625</v>
      </c>
      <c r="AN7132">
        <v>1.00000004740852</v>
      </c>
    </row>
    <row r="7133" spans="1:40" x14ac:dyDescent="0.25">
      <c r="A7133" t="str">
        <f>"20190305135105389"</f>
        <v>20190305135105389</v>
      </c>
      <c r="B7133" t="str">
        <f>"1551765065377044"</f>
        <v>1551765065377044</v>
      </c>
      <c r="C7133" t="s">
        <v>40</v>
      </c>
      <c r="D7133">
        <v>3.970869</v>
      </c>
      <c r="E7133">
        <v>0.52507409999999999</v>
      </c>
      <c r="F7133" t="s">
        <v>112</v>
      </c>
      <c r="G7133">
        <v>-252.58449999999999</v>
      </c>
      <c r="H7133" s="1">
        <v>-4.4531629999999999E-7</v>
      </c>
      <c r="I7133">
        <v>-59.477200000000003</v>
      </c>
      <c r="J7133">
        <v>-279.80630000000002</v>
      </c>
      <c r="K7133">
        <v>1.1130880000000001</v>
      </c>
      <c r="L7133">
        <v>-60.669370000000001</v>
      </c>
      <c r="M7133">
        <v>0.98515940000000002</v>
      </c>
      <c r="N7133">
        <v>-1.477506E-2</v>
      </c>
      <c r="O7133">
        <v>-0.1710055</v>
      </c>
      <c r="P7133">
        <v>0.9913187</v>
      </c>
      <c r="Q7133">
        <v>-7.2477650000000005E-2</v>
      </c>
      <c r="R7133">
        <v>0.10970149999999999</v>
      </c>
      <c r="S7133">
        <v>3.0026549999999999</v>
      </c>
      <c r="T7133">
        <v>-0.1223944</v>
      </c>
      <c r="U7133">
        <v>0.12976070000000001</v>
      </c>
      <c r="V7133">
        <v>-0.27716540000000001</v>
      </c>
      <c r="W7133">
        <v>-6.0460930000000003E-2</v>
      </c>
      <c r="X7133">
        <v>0.95891800000000005</v>
      </c>
      <c r="Y7133">
        <v>-0.2131062</v>
      </c>
      <c r="Z7133">
        <v>1.032858E-2</v>
      </c>
      <c r="AA7133">
        <v>0.97697440000000002</v>
      </c>
      <c r="AB7133">
        <v>19</v>
      </c>
      <c r="AC7133">
        <v>27.221800000000002</v>
      </c>
      <c r="AD7133">
        <v>-1.1130884453162999</v>
      </c>
      <c r="AE7133">
        <v>1.19216999999999</v>
      </c>
      <c r="AF7133">
        <v>-5.82047777547547</v>
      </c>
      <c r="AG7133">
        <v>-1.1130884453162999</v>
      </c>
      <c r="AH7133">
        <v>26.572503835214899</v>
      </c>
      <c r="AI7133">
        <v>92.343156541788403</v>
      </c>
      <c r="AJ7133">
        <v>102.355018483328</v>
      </c>
      <c r="AK7133">
        <v>27.225261936194698</v>
      </c>
      <c r="AL7133">
        <v>93.466270294524506</v>
      </c>
      <c r="AM7133">
        <v>106.121394760352</v>
      </c>
      <c r="AN7133">
        <v>0.99999995686881105</v>
      </c>
    </row>
    <row r="7134" spans="1:40" x14ac:dyDescent="0.25">
      <c r="A7134" t="str">
        <f>"20190305135105401"</f>
        <v>20190305135105401</v>
      </c>
      <c r="B7134" t="str">
        <f>"1551765065396564"</f>
        <v>1551765065396564</v>
      </c>
      <c r="C7134" t="s">
        <v>40</v>
      </c>
      <c r="D7134">
        <v>3.9484300000000001</v>
      </c>
      <c r="E7134">
        <v>0.52521370000000001</v>
      </c>
      <c r="F7134" t="s">
        <v>112</v>
      </c>
      <c r="G7134">
        <v>-252.62639999999999</v>
      </c>
      <c r="H7134" s="1">
        <v>-4.654686E-7</v>
      </c>
      <c r="I7134">
        <v>-59.467410000000001</v>
      </c>
      <c r="J7134">
        <v>-279.71379999999999</v>
      </c>
      <c r="K7134">
        <v>1.112838</v>
      </c>
      <c r="L7134">
        <v>-60.681179999999998</v>
      </c>
      <c r="M7134">
        <v>0.98572839999999995</v>
      </c>
      <c r="N7134">
        <v>-1.473141E-2</v>
      </c>
      <c r="O7134">
        <v>-0.1676975</v>
      </c>
      <c r="P7134">
        <v>0.99118320000000004</v>
      </c>
      <c r="Q7134">
        <v>-7.2933700000000004E-2</v>
      </c>
      <c r="R7134">
        <v>0.11061889999999901</v>
      </c>
      <c r="S7134">
        <v>3.0025940000000002</v>
      </c>
      <c r="T7134">
        <v>-0.12296410000000001</v>
      </c>
      <c r="U7134">
        <v>0.13278199999999901</v>
      </c>
      <c r="V7134">
        <v>-0.2748623</v>
      </c>
      <c r="W7134">
        <v>-6.076732E-2</v>
      </c>
      <c r="X7134">
        <v>0.95956140000000001</v>
      </c>
      <c r="Y7134">
        <v>-0.210809</v>
      </c>
      <c r="Z7134">
        <v>1.0235269999999999E-2</v>
      </c>
      <c r="AA7134">
        <v>0.9774737</v>
      </c>
      <c r="AB7134">
        <v>19</v>
      </c>
      <c r="AC7134">
        <v>27.087399999999999</v>
      </c>
      <c r="AD7134">
        <v>-1.1128384654686001</v>
      </c>
      <c r="AE7134">
        <v>1.21377</v>
      </c>
      <c r="AF7134">
        <v>-5.7299080468270303</v>
      </c>
      <c r="AG7134">
        <v>-1.1128384654686001</v>
      </c>
      <c r="AH7134">
        <v>26.4555864675694</v>
      </c>
      <c r="AI7134">
        <v>92.3541726571856</v>
      </c>
      <c r="AJ7134">
        <v>102.220704666427</v>
      </c>
      <c r="AK7134">
        <v>27.091849531147901</v>
      </c>
      <c r="AL7134">
        <v>93.483857281870698</v>
      </c>
      <c r="AM7134">
        <v>105.984136054931</v>
      </c>
      <c r="AN7134">
        <v>1.0000000157556099</v>
      </c>
    </row>
    <row r="7135" spans="1:40" x14ac:dyDescent="0.25">
      <c r="A7135" t="str">
        <f>"20190305135105412"</f>
        <v>20190305135105412</v>
      </c>
      <c r="B7135" t="str">
        <f>"1551765065407300"</f>
        <v>1551765065407300</v>
      </c>
      <c r="C7135" t="s">
        <v>40</v>
      </c>
      <c r="D7135">
        <v>3.953808</v>
      </c>
      <c r="E7135">
        <v>0.52525040000000001</v>
      </c>
      <c r="F7135" t="s">
        <v>112</v>
      </c>
      <c r="G7135">
        <v>-252.8355</v>
      </c>
      <c r="H7135" s="1">
        <v>-5.5327839999999996E-7</v>
      </c>
      <c r="I7135">
        <v>-59.475859999999997</v>
      </c>
      <c r="J7135">
        <v>-279.62189999999998</v>
      </c>
      <c r="K7135">
        <v>1.1125849999999999</v>
      </c>
      <c r="L7135">
        <v>-60.692959999999999</v>
      </c>
      <c r="M7135">
        <v>0.98626800000000003</v>
      </c>
      <c r="N7135">
        <v>-1.468675E-2</v>
      </c>
      <c r="O7135">
        <v>-0.164498799999999</v>
      </c>
      <c r="P7135">
        <v>0.99101220000000001</v>
      </c>
      <c r="Q7135">
        <v>-7.3963760000000003E-2</v>
      </c>
      <c r="R7135">
        <v>0.1114639</v>
      </c>
      <c r="S7135">
        <v>3.0025330000000001</v>
      </c>
      <c r="T7135">
        <v>-0.1243131</v>
      </c>
      <c r="U7135">
        <v>0.1346436</v>
      </c>
      <c r="V7135">
        <v>-0.27258549999999998</v>
      </c>
      <c r="W7135">
        <v>-6.1651879999999999E-2</v>
      </c>
      <c r="X7135">
        <v>0.96015419999999996</v>
      </c>
      <c r="Y7135">
        <v>-0.20824029999999999</v>
      </c>
      <c r="Z7135">
        <v>1.020482E-2</v>
      </c>
      <c r="AA7135">
        <v>0.97802449999999996</v>
      </c>
      <c r="AB7135">
        <v>19</v>
      </c>
      <c r="AC7135">
        <v>26.786399999999901</v>
      </c>
      <c r="AD7135">
        <v>-1.1125855532783999</v>
      </c>
      <c r="AE7135">
        <v>1.2171000000000001</v>
      </c>
      <c r="AF7135">
        <v>-5.5976846765158301</v>
      </c>
      <c r="AG7135">
        <v>-1.1125855532783999</v>
      </c>
      <c r="AH7135">
        <v>26.176118297812199</v>
      </c>
      <c r="AI7135">
        <v>92.3800769727344</v>
      </c>
      <c r="AJ7135">
        <v>102.070722636092</v>
      </c>
      <c r="AK7135">
        <v>26.791063612557899</v>
      </c>
      <c r="AL7135">
        <v>93.534634285444596</v>
      </c>
      <c r="AM7135">
        <v>105.849118585756</v>
      </c>
      <c r="AN7135">
        <v>0.99999994844771001</v>
      </c>
    </row>
    <row r="7136" spans="1:40" x14ac:dyDescent="0.25">
      <c r="A7136" t="str">
        <f>"20190305135105423"</f>
        <v>20190305135105423</v>
      </c>
      <c r="B7136" t="str">
        <f>"1551765065417060"</f>
        <v>1551765065417060</v>
      </c>
      <c r="C7136" t="s">
        <v>40</v>
      </c>
      <c r="D7136">
        <v>3.9098299999999999</v>
      </c>
      <c r="E7136">
        <v>0.52528319999999995</v>
      </c>
      <c r="F7136" t="s">
        <v>112</v>
      </c>
      <c r="G7136">
        <v>-253.44589999999999</v>
      </c>
      <c r="H7136" s="1">
        <v>-8.1049009999999999E-7</v>
      </c>
      <c r="I7136">
        <v>-59.496969999999997</v>
      </c>
      <c r="J7136">
        <v>-279.5256</v>
      </c>
      <c r="K7136">
        <v>1.112309</v>
      </c>
      <c r="L7136">
        <v>-60.705170000000003</v>
      </c>
      <c r="M7136">
        <v>0.98676909999999896</v>
      </c>
      <c r="N7136">
        <v>-1.463018E-2</v>
      </c>
      <c r="O7136">
        <v>-0.16147049999999999</v>
      </c>
      <c r="P7136">
        <v>0.99085820000000002</v>
      </c>
      <c r="Q7136">
        <v>-7.4834020000000001E-2</v>
      </c>
      <c r="R7136">
        <v>0.1122509</v>
      </c>
      <c r="S7136">
        <v>3.0022890000000002</v>
      </c>
      <c r="T7136">
        <v>-0.12760959999999999</v>
      </c>
      <c r="U7136">
        <v>0.13717650000000001</v>
      </c>
      <c r="V7136">
        <v>-0.27042620000000001</v>
      </c>
      <c r="W7136">
        <v>-6.2379459999999998E-2</v>
      </c>
      <c r="X7136">
        <v>0.96071770000000001</v>
      </c>
      <c r="Y7136">
        <v>-0.20605209999999999</v>
      </c>
      <c r="Z7136">
        <v>1.035785E-2</v>
      </c>
      <c r="AA7136">
        <v>0.97848619999999997</v>
      </c>
      <c r="AB7136">
        <v>19</v>
      </c>
      <c r="AC7136">
        <v>26.079699999999999</v>
      </c>
      <c r="AD7136">
        <v>-1.1123098104900999</v>
      </c>
      <c r="AE7136">
        <v>1.2081999999999899</v>
      </c>
      <c r="AF7136">
        <v>-5.3941037603826896</v>
      </c>
      <c r="AG7136">
        <v>-1.1123098104900999</v>
      </c>
      <c r="AH7136">
        <v>25.496007506822401</v>
      </c>
      <c r="AI7136">
        <v>92.444017695074294</v>
      </c>
      <c r="AJ7136">
        <v>101.945720638675</v>
      </c>
      <c r="AK7136">
        <v>26.084094526746199</v>
      </c>
      <c r="AL7136">
        <v>93.576401716444593</v>
      </c>
      <c r="AM7136">
        <v>105.721036013801</v>
      </c>
      <c r="AN7136">
        <v>1.0000000128848101</v>
      </c>
    </row>
    <row r="7137" spans="1:40" x14ac:dyDescent="0.25">
      <c r="A7137" t="str">
        <f>"20190305135105435"</f>
        <v>20190305135105435</v>
      </c>
      <c r="B7137" t="str">
        <f>"1551765065426821"</f>
        <v>1551765065426821</v>
      </c>
      <c r="C7137" t="s">
        <v>40</v>
      </c>
      <c r="D7137">
        <v>3.9255170000000001</v>
      </c>
      <c r="E7137">
        <v>0.52528940000000002</v>
      </c>
      <c r="F7137" t="s">
        <v>112</v>
      </c>
      <c r="G7137">
        <v>-253.81659999999999</v>
      </c>
      <c r="H7137" s="1">
        <v>-9.664456E-7</v>
      </c>
      <c r="I7137">
        <v>-59.510809999999999</v>
      </c>
      <c r="J7137">
        <v>-279.43579999999997</v>
      </c>
      <c r="K7137">
        <v>1.1120540000000001</v>
      </c>
      <c r="L7137">
        <v>-60.71658</v>
      </c>
      <c r="M7137">
        <v>0.98720129999999995</v>
      </c>
      <c r="N7137">
        <v>-1.4567200000000001E-2</v>
      </c>
      <c r="O7137">
        <v>-0.15881310000000001</v>
      </c>
      <c r="P7137">
        <v>0.99078619999999995</v>
      </c>
      <c r="Q7137">
        <v>-7.5203980000000004E-2</v>
      </c>
      <c r="R7137">
        <v>0.1126374</v>
      </c>
      <c r="S7137">
        <v>3.0020449999999999</v>
      </c>
      <c r="T7137">
        <v>-0.12988450000000001</v>
      </c>
      <c r="U7137">
        <v>0.13946529999999999</v>
      </c>
      <c r="V7137">
        <v>-0.26824579999999998</v>
      </c>
      <c r="W7137">
        <v>-6.2630459999999999E-2</v>
      </c>
      <c r="X7137">
        <v>0.96131250000000001</v>
      </c>
      <c r="Y7137">
        <v>-0.20415710000000001</v>
      </c>
      <c r="Z7137">
        <v>1.0432550000000001E-2</v>
      </c>
      <c r="AA7137">
        <v>0.97888260000000005</v>
      </c>
      <c r="AB7137">
        <v>19</v>
      </c>
      <c r="AC7137">
        <v>25.6191999999999</v>
      </c>
      <c r="AD7137">
        <v>-1.1120549664456001</v>
      </c>
      <c r="AE7137">
        <v>1.20577</v>
      </c>
      <c r="AF7137">
        <v>-5.2496903298840696</v>
      </c>
      <c r="AG7137">
        <v>-1.1120549664456001</v>
      </c>
      <c r="AH7137">
        <v>25.0553720042784</v>
      </c>
      <c r="AI7137">
        <v>92.4873998153966</v>
      </c>
      <c r="AJ7137">
        <v>101.833630713513</v>
      </c>
      <c r="AK7137">
        <v>25.623574713159201</v>
      </c>
      <c r="AL7137">
        <v>93.590810987415907</v>
      </c>
      <c r="AM7137">
        <v>105.59129275254</v>
      </c>
      <c r="AN7137">
        <v>1.00000005319684</v>
      </c>
    </row>
    <row r="7138" spans="1:40" x14ac:dyDescent="0.25">
      <c r="A7138" t="str">
        <f>"20190305135105445"</f>
        <v>20190305135105445</v>
      </c>
      <c r="B7138" t="str">
        <f>"1551765065436581"</f>
        <v>1551765065436581</v>
      </c>
      <c r="C7138" t="s">
        <v>40</v>
      </c>
      <c r="D7138">
        <v>3.9097740000000001</v>
      </c>
      <c r="E7138">
        <v>0.52528940000000002</v>
      </c>
      <c r="F7138" t="s">
        <v>112</v>
      </c>
      <c r="G7138">
        <v>-254.07849999999999</v>
      </c>
      <c r="H7138" s="1">
        <v>-1.0751220000000001E-6</v>
      </c>
      <c r="I7138">
        <v>-59.5274199999999</v>
      </c>
      <c r="J7138">
        <v>-279.35129999999998</v>
      </c>
      <c r="K7138">
        <v>1.11182</v>
      </c>
      <c r="L7138">
        <v>-60.727290000000004</v>
      </c>
      <c r="M7138">
        <v>0.9875737</v>
      </c>
      <c r="N7138">
        <v>-1.4497360000000001E-2</v>
      </c>
      <c r="O7138">
        <v>-0.15648689999999901</v>
      </c>
      <c r="P7138">
        <v>0.99073089999999997</v>
      </c>
      <c r="Q7138">
        <v>-7.5873140000000006E-2</v>
      </c>
      <c r="R7138">
        <v>0.1126756</v>
      </c>
      <c r="S7138">
        <v>3.0018919999999998</v>
      </c>
      <c r="T7138">
        <v>-0.1316493</v>
      </c>
      <c r="U7138">
        <v>0.1407776</v>
      </c>
      <c r="V7138">
        <v>-0.26604159999999999</v>
      </c>
      <c r="W7138">
        <v>-6.3203380000000003E-2</v>
      </c>
      <c r="X7138">
        <v>0.9618873</v>
      </c>
      <c r="Y7138">
        <v>-0.20227429999999999</v>
      </c>
      <c r="Z7138">
        <v>1.046792E-2</v>
      </c>
      <c r="AA7138">
        <v>0.97927299999999995</v>
      </c>
      <c r="AB7138">
        <v>19</v>
      </c>
      <c r="AC7138">
        <v>25.272799999999901</v>
      </c>
      <c r="AD7138">
        <v>-1.1118210751219999</v>
      </c>
      <c r="AE7138">
        <v>1.19987000000001</v>
      </c>
      <c r="AF7138">
        <v>-5.1304550666820798</v>
      </c>
      <c r="AG7138">
        <v>-1.1118210751219999</v>
      </c>
      <c r="AH7138">
        <v>24.7258445580771</v>
      </c>
      <c r="AI7138">
        <v>92.520999142002196</v>
      </c>
      <c r="AJ7138">
        <v>101.72217067142</v>
      </c>
      <c r="AK7138">
        <v>25.276967864135099</v>
      </c>
      <c r="AL7138">
        <v>93.6237022817471</v>
      </c>
      <c r="AM7138">
        <v>105.460535261617</v>
      </c>
      <c r="AN7138">
        <v>0.99999998903763698</v>
      </c>
    </row>
    <row r="7139" spans="1:40" x14ac:dyDescent="0.25">
      <c r="A7139" t="str">
        <f>"20190305135105456"</f>
        <v>20190305135105456</v>
      </c>
      <c r="B7139" t="str">
        <f>"1551765065447317"</f>
        <v>1551765065447317</v>
      </c>
      <c r="C7139" t="s">
        <v>40</v>
      </c>
      <c r="D7139">
        <v>3.929157</v>
      </c>
      <c r="E7139">
        <v>0.52525169999999999</v>
      </c>
      <c r="F7139" t="s">
        <v>112</v>
      </c>
      <c r="G7139">
        <v>-254.37100000000001</v>
      </c>
      <c r="H7139" s="1">
        <v>-1.194694E-6</v>
      </c>
      <c r="I7139">
        <v>-59.554259999999999</v>
      </c>
      <c r="J7139">
        <v>-279.26240000000001</v>
      </c>
      <c r="K7139">
        <v>1.1115820000000001</v>
      </c>
      <c r="L7139">
        <v>-60.738590000000002</v>
      </c>
      <c r="M7139">
        <v>0.9879289</v>
      </c>
      <c r="N7139">
        <v>-1.440551E-2</v>
      </c>
      <c r="O7139">
        <v>-0.1542374</v>
      </c>
      <c r="P7139">
        <v>0.99071969999999998</v>
      </c>
      <c r="Q7139">
        <v>-7.6510410000000001E-2</v>
      </c>
      <c r="R7139">
        <v>0.1123425</v>
      </c>
      <c r="S7139">
        <v>3.0018009999999999</v>
      </c>
      <c r="T7139">
        <v>-0.1336039</v>
      </c>
      <c r="U7139">
        <v>0.14096069999999999</v>
      </c>
      <c r="V7139">
        <v>-0.26355260000000003</v>
      </c>
      <c r="W7139">
        <v>-6.3765939999999993E-2</v>
      </c>
      <c r="X7139">
        <v>0.96253509999999998</v>
      </c>
      <c r="Y7139">
        <v>-0.20009850000000001</v>
      </c>
      <c r="Z7139">
        <v>1.0509889999999999E-2</v>
      </c>
      <c r="AA7139">
        <v>0.97971940000000002</v>
      </c>
      <c r="AB7139">
        <v>19</v>
      </c>
      <c r="AC7139">
        <v>24.891400000000001</v>
      </c>
      <c r="AD7139">
        <v>-1.111583194694</v>
      </c>
      <c r="AE7139">
        <v>1.1843300000000001</v>
      </c>
      <c r="AF7139">
        <v>-4.9997895319625298</v>
      </c>
      <c r="AG7139">
        <v>-1.111583194694</v>
      </c>
      <c r="AH7139">
        <v>24.362320456311402</v>
      </c>
      <c r="AI7139">
        <v>92.559166785230701</v>
      </c>
      <c r="AJ7139">
        <v>101.597570240078</v>
      </c>
      <c r="AK7139">
        <v>24.894902501891</v>
      </c>
      <c r="AL7139">
        <v>93.655999913307994</v>
      </c>
      <c r="AM7139">
        <v>105.31289160001801</v>
      </c>
      <c r="AN7139">
        <v>0.99999994340142495</v>
      </c>
    </row>
    <row r="7140" spans="1:40" x14ac:dyDescent="0.25">
      <c r="A7140" t="str">
        <f>"20190305135105466"</f>
        <v>20190305135105466</v>
      </c>
      <c r="B7140" t="str">
        <f>"1551765065457077"</f>
        <v>1551765065457077</v>
      </c>
      <c r="C7140" t="s">
        <v>40</v>
      </c>
      <c r="D7140">
        <v>3.9164300000000001</v>
      </c>
      <c r="E7140">
        <v>0.52525809999999995</v>
      </c>
      <c r="F7140" t="s">
        <v>112</v>
      </c>
      <c r="G7140">
        <v>-254.69739999999999</v>
      </c>
      <c r="H7140" s="1">
        <v>-1.3267759999999999E-6</v>
      </c>
      <c r="I7140">
        <v>-59.590249999999997</v>
      </c>
      <c r="J7140">
        <v>-279.17099999999999</v>
      </c>
      <c r="K7140">
        <v>1.1113390000000001</v>
      </c>
      <c r="L7140">
        <v>-60.75018</v>
      </c>
      <c r="M7140">
        <v>0.98826789999999998</v>
      </c>
      <c r="N7140">
        <v>-1.429916E-2</v>
      </c>
      <c r="O7140">
        <v>-0.1520601</v>
      </c>
      <c r="P7140">
        <v>0.99072930000000003</v>
      </c>
      <c r="Q7140">
        <v>-7.7315949999999994E-2</v>
      </c>
      <c r="R7140">
        <v>0.1117046</v>
      </c>
      <c r="S7140">
        <v>3.0016780000000001</v>
      </c>
      <c r="T7140">
        <v>-0.13582839999999999</v>
      </c>
      <c r="U7140">
        <v>0.14031979999999999</v>
      </c>
      <c r="V7140">
        <v>-0.26083479999999998</v>
      </c>
      <c r="W7140">
        <v>-6.4513280000000006E-2</v>
      </c>
      <c r="X7140">
        <v>0.96322540000000001</v>
      </c>
      <c r="Y7140">
        <v>-0.19772500000000001</v>
      </c>
      <c r="Z7140">
        <v>1.056698E-2</v>
      </c>
      <c r="AA7140">
        <v>0.98020059999999998</v>
      </c>
      <c r="AB7140">
        <v>19</v>
      </c>
      <c r="AC7140">
        <v>24.473600000000001</v>
      </c>
      <c r="AD7140">
        <v>-1.11134032677599</v>
      </c>
      <c r="AE7140">
        <v>1.1599300000000099</v>
      </c>
      <c r="AF7140">
        <v>-4.85828138050692</v>
      </c>
      <c r="AG7140">
        <v>-1.11134032677599</v>
      </c>
      <c r="AH7140">
        <v>23.963244444906699</v>
      </c>
      <c r="AI7140">
        <v>92.602426218976902</v>
      </c>
      <c r="AJ7140">
        <v>101.460743424542</v>
      </c>
      <c r="AK7140">
        <v>24.476009879481001</v>
      </c>
      <c r="AL7140">
        <v>93.698907619338499</v>
      </c>
      <c r="AM7140">
        <v>105.15192080097</v>
      </c>
      <c r="AN7140">
        <v>0.99999996369627797</v>
      </c>
    </row>
    <row r="7141" spans="1:40" x14ac:dyDescent="0.25">
      <c r="A7141" t="str">
        <f>"20190305135105478"</f>
        <v>20190305135105478</v>
      </c>
      <c r="B7141" t="str">
        <f>"1551765065466837"</f>
        <v>1551765065466837</v>
      </c>
      <c r="C7141" t="s">
        <v>40</v>
      </c>
      <c r="D7141">
        <v>3.9326020000000002</v>
      </c>
      <c r="E7141">
        <v>0.52540520000000002</v>
      </c>
      <c r="F7141" t="s">
        <v>112</v>
      </c>
      <c r="G7141">
        <v>-255.1857</v>
      </c>
      <c r="H7141" s="1">
        <v>-1.5241960000000001E-6</v>
      </c>
      <c r="I7141">
        <v>-59.644759999999998</v>
      </c>
      <c r="J7141">
        <v>-279.07909999999998</v>
      </c>
      <c r="K7141">
        <v>1.111111</v>
      </c>
      <c r="L7141">
        <v>-60.761870000000002</v>
      </c>
      <c r="M7141">
        <v>0.98856259999999996</v>
      </c>
      <c r="N7141">
        <v>-1.416954E-2</v>
      </c>
      <c r="O7141">
        <v>-0.1501439</v>
      </c>
      <c r="P7141">
        <v>0.9908072</v>
      </c>
      <c r="Q7141">
        <v>-7.7928600000000001E-2</v>
      </c>
      <c r="R7141">
        <v>0.1105817</v>
      </c>
      <c r="S7141">
        <v>3.001617</v>
      </c>
      <c r="T7141">
        <v>-0.139077799999999</v>
      </c>
      <c r="U7141">
        <v>0.13833619999999999</v>
      </c>
      <c r="V7141">
        <v>-0.2578993</v>
      </c>
      <c r="W7141">
        <v>-6.5102119999999999E-2</v>
      </c>
      <c r="X7141">
        <v>0.96397600000000006</v>
      </c>
      <c r="Y7141">
        <v>-0.19516629999999999</v>
      </c>
      <c r="Z7141">
        <v>1.0706820000000001E-2</v>
      </c>
      <c r="AA7141">
        <v>0.98071169999999996</v>
      </c>
      <c r="AB7141">
        <v>19</v>
      </c>
      <c r="AC7141">
        <v>23.8933999999999</v>
      </c>
      <c r="AD7141">
        <v>-1.111112524196</v>
      </c>
      <c r="AE7141">
        <v>1.1171099999999901</v>
      </c>
      <c r="AF7141">
        <v>-4.6821493828629697</v>
      </c>
      <c r="AG7141">
        <v>-1.111112524196</v>
      </c>
      <c r="AH7141">
        <v>23.404247527730899</v>
      </c>
      <c r="AI7141">
        <v>92.665331637688396</v>
      </c>
      <c r="AJ7141">
        <v>101.312992269063</v>
      </c>
      <c r="AK7141">
        <v>23.893846409152399</v>
      </c>
      <c r="AL7141">
        <v>93.732716487911105</v>
      </c>
      <c r="AM7141">
        <v>104.977965808508</v>
      </c>
      <c r="AN7141">
        <v>1.00000003177249</v>
      </c>
    </row>
    <row r="7142" spans="1:40" x14ac:dyDescent="0.25">
      <c r="A7142" t="str">
        <f>"20190305135105491"</f>
        <v>20190305135105491</v>
      </c>
      <c r="B7142" t="str">
        <f>"1551765065487332"</f>
        <v>1551765065487332</v>
      </c>
      <c r="C7142" t="s">
        <v>40</v>
      </c>
      <c r="D7142">
        <v>3.904706</v>
      </c>
      <c r="E7142">
        <v>0.54536450000000003</v>
      </c>
      <c r="F7142" t="s">
        <v>112</v>
      </c>
      <c r="G7142">
        <v>-255.2713</v>
      </c>
      <c r="H7142" s="1">
        <v>-1.54848E-6</v>
      </c>
      <c r="I7142">
        <v>-59.701050000000002</v>
      </c>
      <c r="J7142">
        <v>-278.9864</v>
      </c>
      <c r="K7142">
        <v>1.1108880000000001</v>
      </c>
      <c r="L7142">
        <v>-60.773679999999999</v>
      </c>
      <c r="M7142">
        <v>0.98884450000000002</v>
      </c>
      <c r="N7142">
        <v>-1.403343E-2</v>
      </c>
      <c r="O7142">
        <v>-0.1482879</v>
      </c>
      <c r="P7142">
        <v>0.99088909999999997</v>
      </c>
      <c r="Q7142">
        <v>-7.8667520000000005E-2</v>
      </c>
      <c r="R7142">
        <v>0.1093157</v>
      </c>
      <c r="S7142">
        <v>3.0018919999999998</v>
      </c>
      <c r="T7142">
        <v>-0.1400988</v>
      </c>
      <c r="U7142">
        <v>0.1337585</v>
      </c>
      <c r="V7142">
        <v>-0.25488060000000001</v>
      </c>
      <c r="W7142">
        <v>-6.5828310000000001E-2</v>
      </c>
      <c r="X7142">
        <v>0.96472919999999995</v>
      </c>
      <c r="Y7142">
        <v>-0.191828</v>
      </c>
      <c r="Z7142">
        <v>1.063595E-2</v>
      </c>
      <c r="AA7142">
        <v>0.98137090000000005</v>
      </c>
      <c r="AB7142">
        <v>19</v>
      </c>
      <c r="AC7142">
        <v>23.7151</v>
      </c>
      <c r="AD7142">
        <v>-1.1108895484800001</v>
      </c>
      <c r="AE7142">
        <v>1.07263</v>
      </c>
      <c r="AF7142">
        <v>-4.5677756554999904</v>
      </c>
      <c r="AG7142">
        <v>-1.1108895484800001</v>
      </c>
      <c r="AH7142">
        <v>23.242888397041199</v>
      </c>
      <c r="AI7142">
        <v>92.685076512559803</v>
      </c>
      <c r="AJ7142">
        <v>101.11828184157601</v>
      </c>
      <c r="AK7142">
        <v>23.713509041582402</v>
      </c>
      <c r="AL7142">
        <v>93.774413834898098</v>
      </c>
      <c r="AM7142">
        <v>104.79934217461199</v>
      </c>
      <c r="AN7142">
        <v>0.99999995799322705</v>
      </c>
    </row>
    <row r="7143" spans="1:40" x14ac:dyDescent="0.25">
      <c r="A7143" t="str">
        <f>"20190305135105501"</f>
        <v>20190305135105501</v>
      </c>
      <c r="B7143" t="str">
        <f>"1551765065497093"</f>
        <v>1551765065497093</v>
      </c>
      <c r="C7143" t="s">
        <v>40</v>
      </c>
      <c r="D7143">
        <v>3.9003160000000001</v>
      </c>
      <c r="E7143">
        <v>0.55183950000000004</v>
      </c>
      <c r="F7143" t="s">
        <v>112</v>
      </c>
      <c r="G7143">
        <v>-253.1722</v>
      </c>
      <c r="H7143" s="1">
        <v>-6.3677290000000004E-7</v>
      </c>
      <c r="I7143">
        <v>-61.012079999999997</v>
      </c>
      <c r="J7143">
        <v>-278.89109999999999</v>
      </c>
      <c r="K7143">
        <v>1.1106849999999999</v>
      </c>
      <c r="L7143">
        <v>-60.785919999999997</v>
      </c>
      <c r="M7143">
        <v>0.98908249999999998</v>
      </c>
      <c r="N7143">
        <v>-1.388111E-2</v>
      </c>
      <c r="O7143">
        <v>-0.14670800000000001</v>
      </c>
      <c r="P7143">
        <v>0.99105909999999997</v>
      </c>
      <c r="Q7143">
        <v>-7.9191300000000006E-2</v>
      </c>
      <c r="R7143">
        <v>0.1073807</v>
      </c>
      <c r="S7143">
        <v>3.0203549999999999</v>
      </c>
      <c r="T7143">
        <v>-0.12997810000000001</v>
      </c>
      <c r="U7143">
        <v>-2.7893069999999999E-2</v>
      </c>
      <c r="V7143">
        <v>-0.25147889999999901</v>
      </c>
      <c r="W7143">
        <v>-6.6364560000000003E-2</v>
      </c>
      <c r="X7143">
        <v>0.96558489999999997</v>
      </c>
      <c r="Y7143">
        <v>-0.13735169999999999</v>
      </c>
      <c r="Z7143">
        <v>8.1582859999999903E-3</v>
      </c>
      <c r="AA7143">
        <v>0.99048879999999995</v>
      </c>
      <c r="AB7143">
        <v>19</v>
      </c>
      <c r="AC7143">
        <v>25.718899999999898</v>
      </c>
      <c r="AD7143">
        <v>-1.1106856367728899</v>
      </c>
      <c r="AE7143">
        <v>-0.22616000000000699</v>
      </c>
      <c r="AF7143">
        <v>-3.5432117363552398</v>
      </c>
      <c r="AG7143">
        <v>-1.1106856367728899</v>
      </c>
      <c r="AH7143">
        <v>25.426329963697899</v>
      </c>
      <c r="AI7143">
        <v>92.477325052879607</v>
      </c>
      <c r="AJ7143">
        <v>97.933197193348704</v>
      </c>
      <c r="AK7143">
        <v>25.696035247003</v>
      </c>
      <c r="AL7143">
        <v>93.805205699872104</v>
      </c>
      <c r="AM7143">
        <v>104.59793690852401</v>
      </c>
      <c r="AN7143">
        <v>1.0000000455386</v>
      </c>
    </row>
    <row r="7144" spans="1:40" x14ac:dyDescent="0.25">
      <c r="A7144" t="str">
        <f>"20190305135105514"</f>
        <v>20190305135105514</v>
      </c>
      <c r="B7144" t="str">
        <f>"1551765065506853"</f>
        <v>1551765065506853</v>
      </c>
      <c r="C7144" t="s">
        <v>40</v>
      </c>
      <c r="D7144">
        <v>3.8405689999999999</v>
      </c>
      <c r="E7144">
        <v>0.55316100000000001</v>
      </c>
      <c r="F7144" t="s">
        <v>113</v>
      </c>
      <c r="G7144">
        <v>-242.47659999999999</v>
      </c>
      <c r="H7144" s="1">
        <v>-4.2479259999999999E-7</v>
      </c>
      <c r="I7144">
        <v>-61.793770000000002</v>
      </c>
      <c r="J7144">
        <v>-278.7919</v>
      </c>
      <c r="K7144">
        <v>1.110482</v>
      </c>
      <c r="L7144">
        <v>-60.798650000000002</v>
      </c>
      <c r="M7144">
        <v>0.98931210000000003</v>
      </c>
      <c r="N7144">
        <v>-1.3724460000000001E-2</v>
      </c>
      <c r="O7144">
        <v>-0.14516660000000001</v>
      </c>
      <c r="P7144">
        <v>0.99124679999999998</v>
      </c>
      <c r="Q7144">
        <v>-7.9506549999999995E-2</v>
      </c>
      <c r="R7144">
        <v>0.1053974</v>
      </c>
      <c r="S7144">
        <v>3.0287480000000002</v>
      </c>
      <c r="T7144">
        <v>-9.2380400000000001E-2</v>
      </c>
      <c r="U7144">
        <v>-8.3831790000000003E-2</v>
      </c>
      <c r="V7144">
        <v>-0.24806919999999999</v>
      </c>
      <c r="W7144">
        <v>-6.6700899999999994E-2</v>
      </c>
      <c r="X7144">
        <v>0.96644330000000001</v>
      </c>
      <c r="Y7144">
        <v>-0.11765059999999999</v>
      </c>
      <c r="Z7144">
        <v>5.0150660000000003E-3</v>
      </c>
      <c r="AA7144">
        <v>0.99304239999999999</v>
      </c>
      <c r="AB7144">
        <v>19</v>
      </c>
      <c r="AC7144">
        <v>36.315300000000001</v>
      </c>
      <c r="AD7144">
        <v>-1.1104824247926</v>
      </c>
      <c r="AE7144">
        <v>-0.99511999999999201</v>
      </c>
      <c r="AF7144">
        <v>-4.2836853803209998</v>
      </c>
      <c r="AG7144">
        <v>-1.1104824247926</v>
      </c>
      <c r="AH7144">
        <v>36.041343307961696</v>
      </c>
      <c r="AI7144">
        <v>91.752475014797994</v>
      </c>
      <c r="AJ7144">
        <v>96.778079003086404</v>
      </c>
      <c r="AK7144">
        <v>36.312002961771597</v>
      </c>
      <c r="AL7144">
        <v>93.824519549189304</v>
      </c>
      <c r="AM7144">
        <v>104.39603631376001</v>
      </c>
      <c r="AN7144">
        <v>0.99999999508216997</v>
      </c>
    </row>
    <row r="7145" spans="1:40" x14ac:dyDescent="0.25">
      <c r="A7145" t="str">
        <f>"20190305135105525"</f>
        <v>20190305135105525</v>
      </c>
      <c r="B7145" t="str">
        <f>"1551765065516613"</f>
        <v>1551765065516613</v>
      </c>
      <c r="C7145" t="s">
        <v>40</v>
      </c>
      <c r="D7145">
        <v>3.859</v>
      </c>
      <c r="E7145">
        <v>0.55575850000000004</v>
      </c>
      <c r="F7145" t="s">
        <v>113</v>
      </c>
      <c r="G7145">
        <v>-247.60300000000001</v>
      </c>
      <c r="H7145" s="1">
        <v>-2.6359710000000001E-6</v>
      </c>
      <c r="I7145">
        <v>-61.838839999999998</v>
      </c>
      <c r="J7145">
        <v>-278.69709999999998</v>
      </c>
      <c r="K7145">
        <v>1.110311</v>
      </c>
      <c r="L7145">
        <v>-60.81091</v>
      </c>
      <c r="M7145">
        <v>0.98950170000000004</v>
      </c>
      <c r="N7145">
        <v>-1.357716E-2</v>
      </c>
      <c r="O7145">
        <v>-0.14388310000000001</v>
      </c>
      <c r="P7145">
        <v>0.9914461</v>
      </c>
      <c r="Q7145">
        <v>-7.9747949999999998E-2</v>
      </c>
      <c r="R7145">
        <v>0.1033206</v>
      </c>
      <c r="S7145">
        <v>3.0285950000000001</v>
      </c>
      <c r="T7145">
        <v>-0.10783330000000001</v>
      </c>
      <c r="U7145">
        <v>-0.1010132</v>
      </c>
      <c r="V7145">
        <v>-0.2448149</v>
      </c>
      <c r="W7145">
        <v>-6.6973749999999999E-2</v>
      </c>
      <c r="X7145">
        <v>0.9672539</v>
      </c>
      <c r="Y7145">
        <v>-0.1106978</v>
      </c>
      <c r="Z7145">
        <v>5.866072E-3</v>
      </c>
      <c r="AA7145">
        <v>0.99383679999999996</v>
      </c>
      <c r="AB7145">
        <v>19</v>
      </c>
      <c r="AC7145">
        <v>31.094100000000001</v>
      </c>
      <c r="AD7145">
        <v>-1.110313635971</v>
      </c>
      <c r="AE7145">
        <v>-1.02793</v>
      </c>
      <c r="AF7145">
        <v>-3.4526975139342899</v>
      </c>
      <c r="AG7145">
        <v>-1.110313635971</v>
      </c>
      <c r="AH7145">
        <v>30.8790816673067</v>
      </c>
      <c r="AI7145">
        <v>92.046544434011807</v>
      </c>
      <c r="AJ7145">
        <v>96.379940560935594</v>
      </c>
      <c r="AK7145">
        <v>31.091342864359401</v>
      </c>
      <c r="AL7145">
        <v>93.840187862932098</v>
      </c>
      <c r="AM7145">
        <v>104.203453562569</v>
      </c>
      <c r="AN7145">
        <v>0.99999996275813996</v>
      </c>
    </row>
    <row r="7146" spans="1:40" x14ac:dyDescent="0.25">
      <c r="A7146" t="str">
        <f>"20190305135105538"</f>
        <v>20190305135105538</v>
      </c>
      <c r="B7146" t="str">
        <f>"1551765065527349"</f>
        <v>1551765065527349</v>
      </c>
      <c r="C7146" t="s">
        <v>40</v>
      </c>
      <c r="D7146">
        <v>3.8637459999999999</v>
      </c>
      <c r="E7146">
        <v>0.55537380000000003</v>
      </c>
      <c r="F7146" t="s">
        <v>114</v>
      </c>
      <c r="G7146">
        <v>-239.27789999999999</v>
      </c>
      <c r="H7146" s="1">
        <v>-3.4008320000000002E-6</v>
      </c>
      <c r="I7146">
        <v>-62.466380000000001</v>
      </c>
      <c r="J7146">
        <v>-278.60059999999999</v>
      </c>
      <c r="K7146">
        <v>1.110158</v>
      </c>
      <c r="L7146">
        <v>-60.823430000000002</v>
      </c>
      <c r="M7146">
        <v>0.98966929999999997</v>
      </c>
      <c r="N7146">
        <v>-1.343489E-2</v>
      </c>
      <c r="O7146">
        <v>-0.1427388</v>
      </c>
      <c r="P7146">
        <v>0.99172349999999998</v>
      </c>
      <c r="Q7146">
        <v>-7.9447370000000003E-2</v>
      </c>
      <c r="R7146">
        <v>0.1008592</v>
      </c>
      <c r="S7146">
        <v>3.032257</v>
      </c>
      <c r="T7146">
        <v>-8.5409159999999998E-2</v>
      </c>
      <c r="U7146">
        <v>-0.12734989999999999</v>
      </c>
      <c r="V7146">
        <v>-0.24132429999999999</v>
      </c>
      <c r="W7146">
        <v>-6.6708530000000002E-2</v>
      </c>
      <c r="X7146">
        <v>0.96814909999999998</v>
      </c>
      <c r="Y7146">
        <v>-0.1010202</v>
      </c>
      <c r="Z7146">
        <v>4.182425E-3</v>
      </c>
      <c r="AA7146">
        <v>0.99487559999999997</v>
      </c>
      <c r="AB7146">
        <v>19</v>
      </c>
      <c r="AC7146">
        <v>39.322699999999998</v>
      </c>
      <c r="AD7146">
        <v>-1.110161400832</v>
      </c>
      <c r="AE7146">
        <v>-1.6429499999999999</v>
      </c>
      <c r="AF7146">
        <v>-3.98408734170645</v>
      </c>
      <c r="AG7146">
        <v>-1.110161400832</v>
      </c>
      <c r="AH7146">
        <v>39.123382907333998</v>
      </c>
      <c r="AI7146">
        <v>91.617025152781807</v>
      </c>
      <c r="AJ7146">
        <v>95.8146095071492</v>
      </c>
      <c r="AK7146">
        <v>39.341384068129997</v>
      </c>
      <c r="AL7146">
        <v>93.824957432480502</v>
      </c>
      <c r="AM7146">
        <v>103.996524227004</v>
      </c>
      <c r="AN7146">
        <v>1.0000000627880199</v>
      </c>
    </row>
    <row r="7147" spans="1:40" x14ac:dyDescent="0.25">
      <c r="A7147" t="str">
        <f>"20190305135105549"</f>
        <v>20190305135105549</v>
      </c>
      <c r="B7147" t="str">
        <f>"1551765065546869"</f>
        <v>1551765065546869</v>
      </c>
      <c r="C7147" t="s">
        <v>40</v>
      </c>
      <c r="D7147">
        <v>3.8784209999999999</v>
      </c>
      <c r="E7147">
        <v>0.55719989999999997</v>
      </c>
      <c r="F7147" t="s">
        <v>113</v>
      </c>
      <c r="G7147">
        <v>-242.85040000000001</v>
      </c>
      <c r="H7147" s="1">
        <v>-7.4234289999999995E-7</v>
      </c>
      <c r="I7147">
        <v>-62.38449</v>
      </c>
      <c r="J7147">
        <v>-278.49650000000003</v>
      </c>
      <c r="K7147">
        <v>1.110006</v>
      </c>
      <c r="L7147">
        <v>-60.836979999999997</v>
      </c>
      <c r="M7147">
        <v>0.98983370000000004</v>
      </c>
      <c r="N7147">
        <v>-1.32865E-2</v>
      </c>
      <c r="O7147">
        <v>-0.14160899999999901</v>
      </c>
      <c r="P7147">
        <v>0.9920194</v>
      </c>
      <c r="Q7147">
        <v>-7.8805299999999995E-2</v>
      </c>
      <c r="R7147">
        <v>9.8424800000000007E-2</v>
      </c>
      <c r="S7147">
        <v>3.030945</v>
      </c>
      <c r="T7147">
        <v>-9.4120739999999994E-2</v>
      </c>
      <c r="U7147">
        <v>-0.13235469999999999</v>
      </c>
      <c r="V7147">
        <v>-0.2378758</v>
      </c>
      <c r="W7147">
        <v>-6.6109660000000001E-2</v>
      </c>
      <c r="X7147">
        <v>0.96904310000000005</v>
      </c>
      <c r="Y7147">
        <v>-9.8210939999999997E-2</v>
      </c>
      <c r="Z7147">
        <v>4.669912E-3</v>
      </c>
      <c r="AA7147">
        <v>0.99515469999999895</v>
      </c>
      <c r="AB7147">
        <v>19</v>
      </c>
      <c r="AC7147">
        <v>35.646099999999997</v>
      </c>
      <c r="AD7147">
        <v>-1.1100067423428901</v>
      </c>
      <c r="AE7147">
        <v>-1.5475099999999899</v>
      </c>
      <c r="AF7147">
        <v>-3.5129407085615698</v>
      </c>
      <c r="AG7147">
        <v>-1.1100067423428901</v>
      </c>
      <c r="AH7147">
        <v>35.471648156801301</v>
      </c>
      <c r="AI7147">
        <v>91.783639829257098</v>
      </c>
      <c r="AJ7147">
        <v>95.655854576762593</v>
      </c>
      <c r="AK7147">
        <v>35.662454911991397</v>
      </c>
      <c r="AL7147">
        <v>93.790569200453803</v>
      </c>
      <c r="AM7147">
        <v>103.791969189813</v>
      </c>
      <c r="AN7147">
        <v>0.99999995651428097</v>
      </c>
    </row>
    <row r="7148" spans="1:40" x14ac:dyDescent="0.25">
      <c r="A7148" t="str">
        <f>"20190305135105561"</f>
        <v>20190305135105561</v>
      </c>
      <c r="B7148" t="str">
        <f>"1551765065556630"</f>
        <v>1551765065556630</v>
      </c>
      <c r="C7148" t="s">
        <v>40</v>
      </c>
      <c r="D7148">
        <v>3.8722970000000001</v>
      </c>
      <c r="E7148">
        <v>0.55756969999999995</v>
      </c>
      <c r="F7148" t="s">
        <v>114</v>
      </c>
      <c r="G7148">
        <v>-230.1953</v>
      </c>
      <c r="H7148" s="1">
        <v>1.570144E-7</v>
      </c>
      <c r="I7148">
        <v>-63.285209999999999</v>
      </c>
      <c r="J7148">
        <v>-278.40199999999999</v>
      </c>
      <c r="K7148">
        <v>1.109891</v>
      </c>
      <c r="L7148">
        <v>-60.849429999999998</v>
      </c>
      <c r="M7148">
        <v>0.98994919999999997</v>
      </c>
      <c r="N7148">
        <v>-1.3162180000000001E-2</v>
      </c>
      <c r="O7148">
        <v>-0.140810299999999</v>
      </c>
      <c r="P7148">
        <v>0.9923052</v>
      </c>
      <c r="Q7148">
        <v>-7.8529160000000001E-2</v>
      </c>
      <c r="R7148">
        <v>9.5727279999999998E-2</v>
      </c>
      <c r="S7148">
        <v>3.0338129999999999</v>
      </c>
      <c r="T7148">
        <v>-6.9719790000000004E-2</v>
      </c>
      <c r="U7148">
        <v>-0.1537781</v>
      </c>
      <c r="V7148">
        <v>-0.2344823</v>
      </c>
      <c r="W7148">
        <v>-6.5875059999999999E-2</v>
      </c>
      <c r="X7148">
        <v>0.96988580000000002</v>
      </c>
      <c r="Y7148">
        <v>-9.0479340000000005E-2</v>
      </c>
      <c r="Z7148">
        <v>2.99885E-3</v>
      </c>
      <c r="AA7148">
        <v>0.99589380000000005</v>
      </c>
      <c r="AB7148">
        <v>19</v>
      </c>
      <c r="AC7148">
        <v>48.206699999999898</v>
      </c>
      <c r="AD7148">
        <v>-1.1098908429856</v>
      </c>
      <c r="AE7148">
        <v>-2.4357799999999901</v>
      </c>
      <c r="AF7148">
        <v>-4.3747670557400697</v>
      </c>
      <c r="AG7148">
        <v>-1.1098908429856</v>
      </c>
      <c r="AH7148">
        <v>48.043923648504098</v>
      </c>
      <c r="AI7148">
        <v>91.317937376317303</v>
      </c>
      <c r="AJ7148">
        <v>95.202871155742002</v>
      </c>
      <c r="AK7148">
        <v>48.255456106212698</v>
      </c>
      <c r="AL7148">
        <v>93.777098198563706</v>
      </c>
      <c r="AM7148">
        <v>103.591194820711</v>
      </c>
      <c r="AN7148">
        <v>0.999999968792466</v>
      </c>
    </row>
    <row r="7149" spans="1:40" x14ac:dyDescent="0.25">
      <c r="A7149" t="str">
        <f>"20190305135105572"</f>
        <v>20190305135105572</v>
      </c>
      <c r="B7149" t="str">
        <f>"1551765065567365"</f>
        <v>1551765065567365</v>
      </c>
      <c r="C7149" t="s">
        <v>40</v>
      </c>
      <c r="D7149">
        <v>3.9672070000000001</v>
      </c>
      <c r="E7149">
        <v>0.55648350000000002</v>
      </c>
      <c r="F7149" t="s">
        <v>115</v>
      </c>
      <c r="G7149">
        <v>-224.09889999999999</v>
      </c>
      <c r="H7149" s="1">
        <v>-1.63668E-6</v>
      </c>
      <c r="I7149">
        <v>-63.802509999999998</v>
      </c>
      <c r="J7149">
        <v>-278.3211</v>
      </c>
      <c r="K7149">
        <v>1.1097900000000001</v>
      </c>
      <c r="L7149">
        <v>-60.860080000000004</v>
      </c>
      <c r="M7149">
        <v>0.99004420000000004</v>
      </c>
      <c r="N7149">
        <v>-1.30568E-2</v>
      </c>
      <c r="O7149">
        <v>-0.14015</v>
      </c>
      <c r="P7149">
        <v>0.99260230000000005</v>
      </c>
      <c r="Q7149">
        <v>-7.7951430000000002E-2</v>
      </c>
      <c r="R7149">
        <v>9.3081629999999999E-2</v>
      </c>
      <c r="S7149">
        <v>3.0342709999999999</v>
      </c>
      <c r="T7149">
        <v>-6.2016960000000003E-2</v>
      </c>
      <c r="U7149">
        <v>-0.1650085</v>
      </c>
      <c r="V7149">
        <v>-0.23127320000000001</v>
      </c>
      <c r="W7149">
        <v>-6.53339E-2</v>
      </c>
      <c r="X7149">
        <v>0.97069260000000002</v>
      </c>
      <c r="Y7149">
        <v>-8.6156819999999995E-2</v>
      </c>
      <c r="Z7149">
        <v>2.460154E-3</v>
      </c>
      <c r="AA7149">
        <v>0.99627849999999996</v>
      </c>
      <c r="AB7149">
        <v>19</v>
      </c>
      <c r="AC7149">
        <v>54.222200000000001</v>
      </c>
      <c r="AD7149">
        <v>-1.10979163668</v>
      </c>
      <c r="AE7149">
        <v>-2.9424299999999901</v>
      </c>
      <c r="AF7149">
        <v>-4.6845483435941198</v>
      </c>
      <c r="AG7149">
        <v>-1.10979163668</v>
      </c>
      <c r="AH7149">
        <v>54.076780058245099</v>
      </c>
      <c r="AI7149">
        <v>91.171303071884296</v>
      </c>
      <c r="AJ7149">
        <v>94.951042818348895</v>
      </c>
      <c r="AK7149">
        <v>54.290650872209397</v>
      </c>
      <c r="AL7149">
        <v>93.746025076936306</v>
      </c>
      <c r="AM7149">
        <v>103.401206663198</v>
      </c>
      <c r="AN7149">
        <v>0.99999996761110399</v>
      </c>
    </row>
    <row r="7150" spans="1:40" x14ac:dyDescent="0.25">
      <c r="A7150" t="str">
        <f>"20190305135105582"</f>
        <v>20190305135105582</v>
      </c>
      <c r="B7150" t="str">
        <f>"1551765065577125"</f>
        <v>1551765065577125</v>
      </c>
      <c r="C7150" t="s">
        <v>40</v>
      </c>
      <c r="D7150">
        <v>3.863305</v>
      </c>
      <c r="E7150">
        <v>0.55667460000000002</v>
      </c>
      <c r="F7150" t="s">
        <v>114</v>
      </c>
      <c r="G7150">
        <v>-231.4426</v>
      </c>
      <c r="H7150" s="1">
        <v>-4.1127829999999999E-7</v>
      </c>
      <c r="I7150">
        <v>-63.410110000000003</v>
      </c>
      <c r="J7150">
        <v>-278.23430000000002</v>
      </c>
      <c r="K7150">
        <v>1.109704</v>
      </c>
      <c r="L7150">
        <v>-60.871549999999999</v>
      </c>
      <c r="M7150">
        <v>0.99012449999999996</v>
      </c>
      <c r="N7150">
        <v>-1.294912E-2</v>
      </c>
      <c r="O7150">
        <v>-0.13959150000000001</v>
      </c>
      <c r="P7150">
        <v>0.99293240000000005</v>
      </c>
      <c r="Q7150">
        <v>-7.6775910000000003E-2</v>
      </c>
      <c r="R7150">
        <v>9.0501979999999996E-2</v>
      </c>
      <c r="S7150">
        <v>3.0322269999999998</v>
      </c>
      <c r="T7150">
        <v>-7.1784139999999996E-2</v>
      </c>
      <c r="U7150">
        <v>-0.1649475</v>
      </c>
      <c r="V7150">
        <v>-0.22823109999999999</v>
      </c>
      <c r="W7150">
        <v>-6.420505E-2</v>
      </c>
      <c r="X7150">
        <v>0.97148760000000001</v>
      </c>
      <c r="Y7150">
        <v>-8.5566519999999993E-2</v>
      </c>
      <c r="Z7150">
        <v>3.0446340000000001E-3</v>
      </c>
      <c r="AA7150">
        <v>0.99632779999999999</v>
      </c>
      <c r="AB7150">
        <v>19</v>
      </c>
      <c r="AC7150">
        <v>46.791699999999999</v>
      </c>
      <c r="AD7150">
        <v>-1.1097044112782899</v>
      </c>
      <c r="AE7150">
        <v>-2.5385599999999902</v>
      </c>
      <c r="AF7150">
        <v>-4.0163177736579598</v>
      </c>
      <c r="AG7150">
        <v>-1.1097044112782899</v>
      </c>
      <c r="AH7150">
        <v>46.6617171752345</v>
      </c>
      <c r="AI7150">
        <v>91.357329075028204</v>
      </c>
      <c r="AJ7150">
        <v>94.919499366852406</v>
      </c>
      <c r="AK7150">
        <v>46.8473916251586</v>
      </c>
      <c r="AL7150">
        <v>93.681210737749396</v>
      </c>
      <c r="AM7150">
        <v>103.220723395034</v>
      </c>
      <c r="AN7150">
        <v>0.99999994020323402</v>
      </c>
    </row>
    <row r="7151" spans="1:40" x14ac:dyDescent="0.25">
      <c r="A7151" t="str">
        <f>"20190305135105591"</f>
        <v>20190305135105591</v>
      </c>
      <c r="B7151" t="str">
        <f>"1551765065586886"</f>
        <v>1551765065586886</v>
      </c>
      <c r="C7151" t="s">
        <v>40</v>
      </c>
      <c r="D7151">
        <v>3.8280470000000002</v>
      </c>
      <c r="E7151">
        <v>0.55603760000000002</v>
      </c>
      <c r="F7151" t="s">
        <v>115</v>
      </c>
      <c r="G7151">
        <v>-224.90219999999999</v>
      </c>
      <c r="H7151" s="1">
        <v>-2.0113830000000001E-6</v>
      </c>
      <c r="I7151">
        <v>-63.937890000000003</v>
      </c>
      <c r="J7151">
        <v>-278.1592</v>
      </c>
      <c r="K7151">
        <v>1.1096330000000001</v>
      </c>
      <c r="L7151">
        <v>-60.88156</v>
      </c>
      <c r="M7151">
        <v>0.99019190000000001</v>
      </c>
      <c r="N7151">
        <v>-1.2855810000000001E-2</v>
      </c>
      <c r="O7151">
        <v>-0.13912279999999999</v>
      </c>
      <c r="P7151">
        <v>0.99323490000000003</v>
      </c>
      <c r="Q7151">
        <v>-7.5657230000000006E-2</v>
      </c>
      <c r="R7151">
        <v>8.8096480000000005E-2</v>
      </c>
      <c r="S7151">
        <v>3.0323790000000002</v>
      </c>
      <c r="T7151">
        <v>-6.3096050000000001E-2</v>
      </c>
      <c r="U7151">
        <v>-0.1743469</v>
      </c>
      <c r="V7151">
        <v>-0.22544310000000001</v>
      </c>
      <c r="W7151">
        <v>-6.3128509999999999E-2</v>
      </c>
      <c r="X7151">
        <v>0.97220890000000004</v>
      </c>
      <c r="Y7151">
        <v>-8.2030119999999998E-2</v>
      </c>
      <c r="Z7151">
        <v>2.4693720000000001E-3</v>
      </c>
      <c r="AA7151">
        <v>0.99662680000000003</v>
      </c>
      <c r="AB7151">
        <v>19</v>
      </c>
      <c r="AC7151">
        <v>53.256999999999998</v>
      </c>
      <c r="AD7151">
        <v>-1.109635011383</v>
      </c>
      <c r="AE7151">
        <v>-3.05633</v>
      </c>
      <c r="AF7151">
        <v>-4.3813752644718296</v>
      </c>
      <c r="AG7151">
        <v>-1.109635011383</v>
      </c>
      <c r="AH7151">
        <v>53.141243592244699</v>
      </c>
      <c r="AI7151">
        <v>91.192167551646904</v>
      </c>
      <c r="AJ7151">
        <v>94.713247003609794</v>
      </c>
      <c r="AK7151">
        <v>53.3330995686253</v>
      </c>
      <c r="AL7151">
        <v>93.619404022405604</v>
      </c>
      <c r="AM7151">
        <v>103.05543486088899</v>
      </c>
      <c r="AN7151">
        <v>0.99999997267581897</v>
      </c>
    </row>
    <row r="7152" spans="1:40" x14ac:dyDescent="0.25">
      <c r="A7152" t="str">
        <f>"20190305135105602"</f>
        <v>20190305135105602</v>
      </c>
      <c r="B7152" t="str">
        <f>"1551765065596645"</f>
        <v>1551765065596645</v>
      </c>
      <c r="C7152" t="s">
        <v>40</v>
      </c>
      <c r="D7152">
        <v>3.8573010000000001</v>
      </c>
      <c r="E7152">
        <v>0.55631090000000005</v>
      </c>
      <c r="F7152" t="s">
        <v>115</v>
      </c>
      <c r="G7152">
        <v>-229.1842</v>
      </c>
      <c r="H7152" s="1">
        <v>-3.5826950000000001E-6</v>
      </c>
      <c r="I7152">
        <v>-63.739229999999999</v>
      </c>
      <c r="J7152">
        <v>-278.06560000000002</v>
      </c>
      <c r="K7152">
        <v>1.1095600000000001</v>
      </c>
      <c r="L7152">
        <v>-60.894039999999997</v>
      </c>
      <c r="M7152">
        <v>0.990255</v>
      </c>
      <c r="N7152">
        <v>-1.273854E-2</v>
      </c>
      <c r="O7152">
        <v>-0.1386821</v>
      </c>
      <c r="P7152">
        <v>0.99348789999999998</v>
      </c>
      <c r="Q7152">
        <v>-7.457519E-2</v>
      </c>
      <c r="R7152">
        <v>8.6141629999999997E-2</v>
      </c>
      <c r="S7152">
        <v>3.030853</v>
      </c>
      <c r="T7152">
        <v>-6.8670750000000003E-2</v>
      </c>
      <c r="U7152">
        <v>-0.17684939999999999</v>
      </c>
      <c r="V7152">
        <v>-0.22312019999999999</v>
      </c>
      <c r="W7152">
        <v>-6.2114309999999999E-2</v>
      </c>
      <c r="X7152">
        <v>0.97280999999999995</v>
      </c>
      <c r="Y7152">
        <v>-8.0731419999999998E-2</v>
      </c>
      <c r="Z7152">
        <v>2.7855810000000001E-3</v>
      </c>
      <c r="AA7152">
        <v>0.99673199999999995</v>
      </c>
      <c r="AB7152">
        <v>19</v>
      </c>
      <c r="AC7152">
        <v>48.881399999999999</v>
      </c>
      <c r="AD7152">
        <v>-1.1095635826950001</v>
      </c>
      <c r="AE7152">
        <v>-2.8451900000000001</v>
      </c>
      <c r="AF7152">
        <v>-3.95979972168591</v>
      </c>
      <c r="AG7152">
        <v>-1.1095635826950001</v>
      </c>
      <c r="AH7152">
        <v>48.778540269941402</v>
      </c>
      <c r="AI7152">
        <v>91.298809067982702</v>
      </c>
      <c r="AJ7152">
        <v>94.641044784399597</v>
      </c>
      <c r="AK7152">
        <v>48.951579505121202</v>
      </c>
      <c r="AL7152">
        <v>93.561180077590507</v>
      </c>
      <c r="AM7152">
        <v>102.91773676734699</v>
      </c>
      <c r="AN7152">
        <v>1.0000000536274001</v>
      </c>
    </row>
    <row r="7153" spans="1:40" x14ac:dyDescent="0.25">
      <c r="A7153" t="str">
        <f>"20190305135105613"</f>
        <v>20190305135105613</v>
      </c>
      <c r="B7153" t="str">
        <f>"1551765065607381"</f>
        <v>1551765065607381</v>
      </c>
      <c r="C7153" t="s">
        <v>40</v>
      </c>
      <c r="D7153">
        <v>3.8574839999999999</v>
      </c>
      <c r="E7153">
        <v>0.55633909999999998</v>
      </c>
      <c r="F7153" t="s">
        <v>115</v>
      </c>
      <c r="G7153">
        <v>-221.59549999999999</v>
      </c>
      <c r="H7153" s="1">
        <v>-6.8162349999999998E-7</v>
      </c>
      <c r="I7153">
        <v>-64.33708</v>
      </c>
      <c r="J7153">
        <v>-277.97309999999999</v>
      </c>
      <c r="K7153">
        <v>1.1094900000000001</v>
      </c>
      <c r="L7153">
        <v>-60.906489999999998</v>
      </c>
      <c r="M7153">
        <v>0.99031139999999995</v>
      </c>
      <c r="N7153">
        <v>-1.2619139999999999E-2</v>
      </c>
      <c r="O7153">
        <v>-0.13829</v>
      </c>
      <c r="P7153">
        <v>0.99369929999999995</v>
      </c>
      <c r="Q7153">
        <v>-7.3647539999999997E-2</v>
      </c>
      <c r="R7153">
        <v>8.4486339999999993E-2</v>
      </c>
      <c r="S7153">
        <v>3.0311889999999999</v>
      </c>
      <c r="T7153">
        <v>-5.9558750000000001E-2</v>
      </c>
      <c r="U7153">
        <v>-0.18481449999999999</v>
      </c>
      <c r="V7153">
        <v>-0.22113440000000001</v>
      </c>
      <c r="W7153">
        <v>-6.1261870000000003E-2</v>
      </c>
      <c r="X7153">
        <v>0.97331730000000005</v>
      </c>
      <c r="Y7153">
        <v>-7.7743839999999995E-2</v>
      </c>
      <c r="Z7153">
        <v>2.2095610000000001E-3</v>
      </c>
      <c r="AA7153">
        <v>0.99697089999999999</v>
      </c>
      <c r="AB7153">
        <v>19</v>
      </c>
      <c r="AC7153">
        <v>56.377600000000001</v>
      </c>
      <c r="AD7153">
        <v>-1.1094906816235</v>
      </c>
      <c r="AE7153">
        <v>-3.4305899999999898</v>
      </c>
      <c r="AF7153">
        <v>-4.3977592276214104</v>
      </c>
      <c r="AG7153">
        <v>-1.1094906816235</v>
      </c>
      <c r="AH7153">
        <v>56.288559480141103</v>
      </c>
      <c r="AI7153">
        <v>91.125767746708107</v>
      </c>
      <c r="AJ7153">
        <v>94.467377105180503</v>
      </c>
      <c r="AK7153">
        <v>56.470994184148303</v>
      </c>
      <c r="AL7153">
        <v>93.512245845616405</v>
      </c>
      <c r="AM7153">
        <v>102.800119505838</v>
      </c>
      <c r="AN7153">
        <v>1.0000000030292699</v>
      </c>
    </row>
    <row r="7154" spans="1:40" x14ac:dyDescent="0.25">
      <c r="A7154" t="str">
        <f>"20190305135105623"</f>
        <v>20190305135105623</v>
      </c>
      <c r="B7154" t="str">
        <f>"1551765065617141"</f>
        <v>1551765065617141</v>
      </c>
      <c r="C7154" t="s">
        <v>40</v>
      </c>
      <c r="D7154">
        <v>3.8381590000000001</v>
      </c>
      <c r="E7154">
        <v>0.55635129999999999</v>
      </c>
      <c r="F7154" t="s">
        <v>116</v>
      </c>
      <c r="G7154">
        <v>-213.64570000000001</v>
      </c>
      <c r="H7154" s="1">
        <v>-1.744568E-6</v>
      </c>
      <c r="I7154">
        <v>-64.937100000000001</v>
      </c>
      <c r="J7154">
        <v>-277.88459999999998</v>
      </c>
      <c r="K7154">
        <v>1.1094269999999999</v>
      </c>
      <c r="L7154">
        <v>-60.918430000000001</v>
      </c>
      <c r="M7154">
        <v>0.99035289999999998</v>
      </c>
      <c r="N7154">
        <v>-1.249781E-2</v>
      </c>
      <c r="O7154">
        <v>-0.13800419999999999</v>
      </c>
      <c r="P7154">
        <v>0.99390750000000005</v>
      </c>
      <c r="Q7154">
        <v>-7.2657669999999994E-2</v>
      </c>
      <c r="R7154">
        <v>8.2879869999999994E-2</v>
      </c>
      <c r="S7154">
        <v>3.0313720000000002</v>
      </c>
      <c r="T7154">
        <v>-5.2283759999999999E-2</v>
      </c>
      <c r="U7154">
        <v>-0.18994140000000001</v>
      </c>
      <c r="V7154">
        <v>-0.21929799999999999</v>
      </c>
      <c r="W7154">
        <v>-6.035766E-2</v>
      </c>
      <c r="X7154">
        <v>0.97378920000000002</v>
      </c>
      <c r="Y7154">
        <v>-7.5786580000000006E-2</v>
      </c>
      <c r="Z7154">
        <v>1.76735E-3</v>
      </c>
      <c r="AA7154">
        <v>0.99712250000000002</v>
      </c>
      <c r="AB7154">
        <v>19</v>
      </c>
      <c r="AC7154">
        <v>64.238899999999902</v>
      </c>
      <c r="AD7154">
        <v>-1.109428744568</v>
      </c>
      <c r="AE7154">
        <v>-4.0186699999999904</v>
      </c>
      <c r="AF7154">
        <v>-4.8842664248017096</v>
      </c>
      <c r="AG7154">
        <v>-1.109428744568</v>
      </c>
      <c r="AH7154">
        <v>64.1597175461945</v>
      </c>
      <c r="AI7154">
        <v>90.987783524503598</v>
      </c>
      <c r="AJ7154">
        <v>94.353340954829093</v>
      </c>
      <c r="AK7154">
        <v>64.354924024935102</v>
      </c>
      <c r="AL7154">
        <v>93.460342269496806</v>
      </c>
      <c r="AM7154">
        <v>102.691327653728</v>
      </c>
      <c r="AN7154">
        <v>1.00000003298065</v>
      </c>
    </row>
    <row r="7155" spans="1:40" x14ac:dyDescent="0.25">
      <c r="A7155" t="str">
        <f>"20190305135105635"</f>
        <v>20190305135105635</v>
      </c>
      <c r="B7155" t="str">
        <f>"1551765065626901"</f>
        <v>1551765065626901</v>
      </c>
      <c r="C7155" t="s">
        <v>40</v>
      </c>
      <c r="D7155">
        <v>3.8880279999999998</v>
      </c>
      <c r="E7155">
        <v>0.55631799999999998</v>
      </c>
      <c r="F7155" t="s">
        <v>85</v>
      </c>
      <c r="G7155">
        <v>-204.97739999999999</v>
      </c>
      <c r="H7155" s="1">
        <v>-3.8910859999999999E-6</v>
      </c>
      <c r="I7155">
        <v>-65.605000000000004</v>
      </c>
      <c r="J7155">
        <v>-277.7912</v>
      </c>
      <c r="K7155">
        <v>1.109364</v>
      </c>
      <c r="L7155">
        <v>-60.931060000000002</v>
      </c>
      <c r="M7155">
        <v>0.99038879999999996</v>
      </c>
      <c r="N7155">
        <v>-1.236014E-2</v>
      </c>
      <c r="O7155">
        <v>-0.1377591</v>
      </c>
      <c r="P7155">
        <v>0.99406559999999999</v>
      </c>
      <c r="Q7155">
        <v>-7.2124149999999998E-2</v>
      </c>
      <c r="R7155">
        <v>8.1434610000000004E-2</v>
      </c>
      <c r="S7155">
        <v>3.0312809999999999</v>
      </c>
      <c r="T7155">
        <v>-4.6127080000000001E-2</v>
      </c>
      <c r="U7155">
        <v>-0.19485469999999999</v>
      </c>
      <c r="V7155">
        <v>-0.21765399999999999</v>
      </c>
      <c r="W7155">
        <v>-5.9929339999999998E-2</v>
      </c>
      <c r="X7155">
        <v>0.97418439999999995</v>
      </c>
      <c r="Y7155">
        <v>-7.3932670000000006E-2</v>
      </c>
      <c r="Z7155">
        <v>1.39905E-3</v>
      </c>
      <c r="AA7155">
        <v>0.99726219999999999</v>
      </c>
      <c r="AB7155">
        <v>19</v>
      </c>
      <c r="AC7155">
        <v>72.813800000000001</v>
      </c>
      <c r="AD7155">
        <v>-1.1093678910860001</v>
      </c>
      <c r="AE7155">
        <v>-4.67394</v>
      </c>
      <c r="AF7155">
        <v>-5.4009089900114997</v>
      </c>
      <c r="AG7155">
        <v>-1.1093678910860001</v>
      </c>
      <c r="AH7155">
        <v>72.746579484263407</v>
      </c>
      <c r="AI7155">
        <v>90.871281597424201</v>
      </c>
      <c r="AJ7155">
        <v>94.246008611958203</v>
      </c>
      <c r="AK7155">
        <v>72.955228336949304</v>
      </c>
      <c r="AL7155">
        <v>93.435756889586401</v>
      </c>
      <c r="AM7155">
        <v>102.59428560021399</v>
      </c>
      <c r="AN7155">
        <v>1.0000000173560899</v>
      </c>
    </row>
    <row r="7156" spans="1:40" x14ac:dyDescent="0.25">
      <c r="A7156" t="str">
        <f>"20190305135105645"</f>
        <v>20190305135105645</v>
      </c>
      <c r="B7156" t="str">
        <f>"1551765065636660"</f>
        <v>1551765065636660</v>
      </c>
      <c r="C7156" t="s">
        <v>40</v>
      </c>
      <c r="D7156">
        <v>3.884684</v>
      </c>
      <c r="E7156">
        <v>0.55622910000000003</v>
      </c>
      <c r="F7156" t="s">
        <v>85</v>
      </c>
      <c r="G7156">
        <v>-196.57149999999999</v>
      </c>
      <c r="H7156" s="1">
        <v>-7.4444820000000004E-6</v>
      </c>
      <c r="I7156">
        <v>-66.259249999999994</v>
      </c>
      <c r="J7156">
        <v>-277.70080000000002</v>
      </c>
      <c r="K7156">
        <v>1.109307</v>
      </c>
      <c r="L7156">
        <v>-60.943390000000001</v>
      </c>
      <c r="M7156">
        <v>0.99041570000000001</v>
      </c>
      <c r="N7156">
        <v>-1.2217179999999999E-2</v>
      </c>
      <c r="O7156">
        <v>-0.13757800000000001</v>
      </c>
      <c r="P7156">
        <v>0.99423300000000003</v>
      </c>
      <c r="Q7156">
        <v>-7.1675559999999999E-2</v>
      </c>
      <c r="R7156">
        <v>7.9773280000000002E-2</v>
      </c>
      <c r="S7156">
        <v>3.0311889999999999</v>
      </c>
      <c r="T7156">
        <v>-4.1402700000000001E-2</v>
      </c>
      <c r="U7156">
        <v>-0.19885249999999999</v>
      </c>
      <c r="V7156">
        <v>-0.21585879999999999</v>
      </c>
      <c r="W7156">
        <v>-5.9595799999999997E-2</v>
      </c>
      <c r="X7156">
        <v>0.97460420000000003</v>
      </c>
      <c r="Y7156">
        <v>-7.2441469999999994E-2</v>
      </c>
      <c r="Z7156">
        <v>1.122715E-3</v>
      </c>
      <c r="AA7156">
        <v>0.99737200000000004</v>
      </c>
      <c r="AB7156">
        <v>19</v>
      </c>
      <c r="AC7156">
        <v>81.129300000000001</v>
      </c>
      <c r="AD7156">
        <v>-1.109314444482</v>
      </c>
      <c r="AE7156">
        <v>-5.31585999999999</v>
      </c>
      <c r="AF7156">
        <v>-5.8960374649818998</v>
      </c>
      <c r="AG7156">
        <v>-1.109314444482</v>
      </c>
      <c r="AH7156">
        <v>81.074027643022504</v>
      </c>
      <c r="AI7156">
        <v>90.781849517415594</v>
      </c>
      <c r="AJ7156">
        <v>94.159462711417703</v>
      </c>
      <c r="AK7156">
        <v>81.295705880364906</v>
      </c>
      <c r="AL7156">
        <v>93.416612248976705</v>
      </c>
      <c r="AM7156">
        <v>102.488470375144</v>
      </c>
      <c r="AN7156">
        <v>1.0000000137863601</v>
      </c>
    </row>
    <row r="7157" spans="1:40" x14ac:dyDescent="0.25">
      <c r="A7157" t="str">
        <f>"20190305135105657"</f>
        <v>20190305135105657</v>
      </c>
      <c r="B7157" t="str">
        <f>"1551765065647396"</f>
        <v>1551765065647396</v>
      </c>
      <c r="C7157" t="s">
        <v>40</v>
      </c>
      <c r="D7157">
        <v>3.8962639999999999</v>
      </c>
      <c r="E7157">
        <v>0.55549479999999996</v>
      </c>
      <c r="F7157" t="s">
        <v>85</v>
      </c>
      <c r="G7157">
        <v>-188.51560000000001</v>
      </c>
      <c r="H7157" s="1">
        <v>-8.7768539999999998E-6</v>
      </c>
      <c r="I7157">
        <v>-66.922049999999999</v>
      </c>
      <c r="J7157">
        <v>-277.60750000000002</v>
      </c>
      <c r="K7157">
        <v>1.1092500000000001</v>
      </c>
      <c r="L7157">
        <v>-60.956119999999999</v>
      </c>
      <c r="M7157">
        <v>0.99043460000000005</v>
      </c>
      <c r="N7157">
        <v>-1.205292E-2</v>
      </c>
      <c r="O7157">
        <v>-0.1374561</v>
      </c>
      <c r="P7157">
        <v>0.99435010000000001</v>
      </c>
      <c r="Q7157">
        <v>-7.1695679999999998E-2</v>
      </c>
      <c r="R7157">
        <v>7.8280550000000004E-2</v>
      </c>
      <c r="S7157">
        <v>3.0309750000000002</v>
      </c>
      <c r="T7157">
        <v>-3.7700299999999999E-2</v>
      </c>
      <c r="U7157">
        <v>-0.20318600000000001</v>
      </c>
      <c r="V7157">
        <v>-0.2142811</v>
      </c>
      <c r="W7157">
        <v>-5.9755620000000002E-2</v>
      </c>
      <c r="X7157">
        <v>0.97494250000000005</v>
      </c>
      <c r="Y7157">
        <v>-7.0896050000000002E-2</v>
      </c>
      <c r="Z7157">
        <v>9.0908519999999997E-4</v>
      </c>
      <c r="AA7157">
        <v>0.99748329999999996</v>
      </c>
      <c r="AB7157">
        <v>19</v>
      </c>
      <c r="AC7157">
        <v>89.091899999999995</v>
      </c>
      <c r="AD7157">
        <v>-1.1092587768539901</v>
      </c>
      <c r="AE7157">
        <v>-5.9659300000000002</v>
      </c>
      <c r="AF7157">
        <v>-6.3368435673888603</v>
      </c>
      <c r="AG7157">
        <v>-1.1092587768539901</v>
      </c>
      <c r="AH7157">
        <v>89.052473516882301</v>
      </c>
      <c r="AI7157">
        <v>90.7118531542244</v>
      </c>
      <c r="AJ7157">
        <v>94.070223083902206</v>
      </c>
      <c r="AK7157">
        <v>89.284539988211904</v>
      </c>
      <c r="AL7157">
        <v>93.425785652385798</v>
      </c>
      <c r="AM7157">
        <v>102.395856610366</v>
      </c>
      <c r="AN7157">
        <v>1.0000000011225201</v>
      </c>
    </row>
    <row r="7158" spans="1:40" x14ac:dyDescent="0.25">
      <c r="A7158" t="str">
        <f>"20190305135105667"</f>
        <v>20190305135105667</v>
      </c>
      <c r="B7158" t="str">
        <f>"1551765065657158"</f>
        <v>1551765065657158</v>
      </c>
      <c r="C7158" t="s">
        <v>40</v>
      </c>
      <c r="D7158">
        <v>3.8649269999999998</v>
      </c>
      <c r="E7158">
        <v>0.5555118</v>
      </c>
      <c r="F7158" t="s">
        <v>85</v>
      </c>
      <c r="G7158">
        <v>-202.80340000000001</v>
      </c>
      <c r="H7158" s="1">
        <v>-4.6987639999999997E-6</v>
      </c>
      <c r="I7158">
        <v>-65.944919999999996</v>
      </c>
      <c r="J7158">
        <v>-277.51400000000001</v>
      </c>
      <c r="K7158">
        <v>1.1091930000000001</v>
      </c>
      <c r="L7158">
        <v>-60.96893</v>
      </c>
      <c r="M7158">
        <v>0.99044940000000004</v>
      </c>
      <c r="N7158">
        <v>-1.188049E-2</v>
      </c>
      <c r="O7158">
        <v>-0.13736389999999901</v>
      </c>
      <c r="P7158">
        <v>0.99446310000000004</v>
      </c>
      <c r="Q7158">
        <v>-7.1592139999999999E-2</v>
      </c>
      <c r="R7158">
        <v>7.6927800000000005E-2</v>
      </c>
      <c r="S7158">
        <v>3.0297239999999999</v>
      </c>
      <c r="T7158">
        <v>-4.4927120000000001E-2</v>
      </c>
      <c r="U7158">
        <v>-0.20205690000000001</v>
      </c>
      <c r="V7158">
        <v>-0.21287020000000001</v>
      </c>
      <c r="W7158">
        <v>-5.9801819999999999E-2</v>
      </c>
      <c r="X7158">
        <v>0.97524869999999997</v>
      </c>
      <c r="Y7158">
        <v>-7.114173E-2</v>
      </c>
      <c r="Z7158">
        <v>1.341449E-3</v>
      </c>
      <c r="AA7158">
        <v>0.9974653</v>
      </c>
      <c r="AB7158">
        <v>19</v>
      </c>
      <c r="AC7158">
        <v>74.710599999999999</v>
      </c>
      <c r="AD7158">
        <v>-1.109197698764</v>
      </c>
      <c r="AE7158">
        <v>-4.9759899999999799</v>
      </c>
      <c r="AF7158">
        <v>-5.3332791799377599</v>
      </c>
      <c r="AG7158">
        <v>-1.109197698764</v>
      </c>
      <c r="AH7158">
        <v>74.669475240520995</v>
      </c>
      <c r="AI7158">
        <v>90.848890633588297</v>
      </c>
      <c r="AJ7158">
        <v>94.0854222839925</v>
      </c>
      <c r="AK7158">
        <v>74.867915150890099</v>
      </c>
      <c r="AL7158">
        <v>93.428437452316203</v>
      </c>
      <c r="AM7158">
        <v>102.312988109288</v>
      </c>
      <c r="AN7158">
        <v>1.00000000328752</v>
      </c>
    </row>
    <row r="7159" spans="1:40" x14ac:dyDescent="0.25">
      <c r="A7159" t="str">
        <f>"20190305135105679"</f>
        <v>20190305135105679</v>
      </c>
      <c r="B7159" t="str">
        <f>"1551765065676677"</f>
        <v>1551765065676677</v>
      </c>
      <c r="C7159" t="s">
        <v>40</v>
      </c>
      <c r="D7159">
        <v>3.8771960000000001</v>
      </c>
      <c r="E7159">
        <v>0.55514779999999997</v>
      </c>
      <c r="F7159" t="s">
        <v>85</v>
      </c>
      <c r="G7159">
        <v>-199.6225</v>
      </c>
      <c r="H7159" s="1">
        <v>-6.2026950000000004E-6</v>
      </c>
      <c r="I7159">
        <v>-66.27458</v>
      </c>
      <c r="J7159">
        <v>-277.42110000000002</v>
      </c>
      <c r="K7159">
        <v>1.109138</v>
      </c>
      <c r="L7159">
        <v>-60.981780000000001</v>
      </c>
      <c r="M7159">
        <v>0.99045450000000002</v>
      </c>
      <c r="N7159">
        <v>-1.168863E-2</v>
      </c>
      <c r="O7159">
        <v>-0.13734489999999999</v>
      </c>
      <c r="P7159">
        <v>0.99457450000000003</v>
      </c>
      <c r="Q7159">
        <v>-7.1714299999999995E-2</v>
      </c>
      <c r="R7159">
        <v>7.5360150000000001E-2</v>
      </c>
      <c r="S7159">
        <v>3.029541</v>
      </c>
      <c r="T7159">
        <v>-4.3141600000000002E-2</v>
      </c>
      <c r="U7159">
        <v>-0.20635990000000001</v>
      </c>
      <c r="V7159">
        <v>-0.21131720000000001</v>
      </c>
      <c r="W7159">
        <v>-6.0096169999999997E-2</v>
      </c>
      <c r="X7159">
        <v>0.97556830000000005</v>
      </c>
      <c r="Y7159">
        <v>-6.9709179999999996E-2</v>
      </c>
      <c r="Z7159">
        <v>1.240955E-3</v>
      </c>
      <c r="AA7159">
        <v>0.99756659999999997</v>
      </c>
      <c r="AB7159">
        <v>19</v>
      </c>
      <c r="AC7159">
        <v>77.798599999999993</v>
      </c>
      <c r="AD7159">
        <v>-1.109144202695</v>
      </c>
      <c r="AE7159">
        <v>-5.29279999999999</v>
      </c>
      <c r="AF7159">
        <v>-5.4422331889023701</v>
      </c>
      <c r="AG7159">
        <v>-1.109144202695</v>
      </c>
      <c r="AH7159">
        <v>77.772478014101793</v>
      </c>
      <c r="AI7159">
        <v>90.815069617043605</v>
      </c>
      <c r="AJ7159">
        <v>94.002823801999199</v>
      </c>
      <c r="AK7159">
        <v>77.970548538526401</v>
      </c>
      <c r="AL7159">
        <v>93.445332835044695</v>
      </c>
      <c r="AM7159">
        <v>102.22198502767201</v>
      </c>
      <c r="AN7159">
        <v>1.00000000831469</v>
      </c>
    </row>
    <row r="7160" spans="1:40" x14ac:dyDescent="0.25">
      <c r="A7160" t="str">
        <f>"20190305135105692"</f>
        <v>20190305135105692</v>
      </c>
      <c r="B7160" t="str">
        <f>"1551765065687414"</f>
        <v>1551765065687414</v>
      </c>
      <c r="C7160" t="s">
        <v>40</v>
      </c>
      <c r="D7160">
        <v>3.882098</v>
      </c>
      <c r="E7160">
        <v>0.55508570000000002</v>
      </c>
      <c r="F7160" t="s">
        <v>85</v>
      </c>
      <c r="G7160">
        <v>-204.53210000000001</v>
      </c>
      <c r="H7160" s="1">
        <v>-4.1056250000000002E-6</v>
      </c>
      <c r="I7160">
        <v>-65.994879999999995</v>
      </c>
      <c r="J7160">
        <v>-277.32</v>
      </c>
      <c r="K7160">
        <v>1.1090789999999999</v>
      </c>
      <c r="L7160">
        <v>-60.995730000000002</v>
      </c>
      <c r="M7160">
        <v>0.99045680000000003</v>
      </c>
      <c r="N7160">
        <v>-1.1474379999999999E-2</v>
      </c>
      <c r="O7160">
        <v>-0.13734489999999999</v>
      </c>
      <c r="P7160">
        <v>0.99463170000000001</v>
      </c>
      <c r="Q7160">
        <v>-7.2454009999999999E-2</v>
      </c>
      <c r="R7160">
        <v>7.3881240000000001E-2</v>
      </c>
      <c r="S7160">
        <v>3.0288089999999999</v>
      </c>
      <c r="T7160">
        <v>-4.608893E-2</v>
      </c>
      <c r="U7160">
        <v>-0.208313</v>
      </c>
      <c r="V7160">
        <v>-0.20986479999999999</v>
      </c>
      <c r="W7160">
        <v>-6.1030800000000003E-2</v>
      </c>
      <c r="X7160">
        <v>0.97582380000000002</v>
      </c>
      <c r="Y7160">
        <v>-6.9050609999999998E-2</v>
      </c>
      <c r="Z7160">
        <v>1.4216089999999999E-3</v>
      </c>
      <c r="AA7160">
        <v>0.9976121</v>
      </c>
      <c r="AB7160">
        <v>19</v>
      </c>
      <c r="AC7160">
        <v>72.787899999999894</v>
      </c>
      <c r="AD7160">
        <v>-1.1090831056249999</v>
      </c>
      <c r="AE7160">
        <v>-4.9991500000000002</v>
      </c>
      <c r="AF7160">
        <v>-5.0447712799105497</v>
      </c>
      <c r="AG7160">
        <v>-1.1090831056249999</v>
      </c>
      <c r="AH7160">
        <v>72.767856170637003</v>
      </c>
      <c r="AI7160">
        <v>90.871109037771205</v>
      </c>
      <c r="AJ7160">
        <v>93.9657944994172</v>
      </c>
      <c r="AK7160">
        <v>72.950947041641001</v>
      </c>
      <c r="AL7160">
        <v>93.498981558025406</v>
      </c>
      <c r="AM7160">
        <v>102.13739796276199</v>
      </c>
      <c r="AN7160">
        <v>1.00000004073705</v>
      </c>
    </row>
    <row r="7161" spans="1:40" x14ac:dyDescent="0.25">
      <c r="A7161" t="str">
        <f>"20190305135105703"</f>
        <v>20190305135105703</v>
      </c>
      <c r="B7161" t="str">
        <f>"1551765065697183"</f>
        <v>1551765065697183</v>
      </c>
      <c r="C7161" t="s">
        <v>40</v>
      </c>
      <c r="D7161">
        <v>3.8592569999999999</v>
      </c>
      <c r="E7161">
        <v>0.55500389999999999</v>
      </c>
      <c r="F7161" t="s">
        <v>85</v>
      </c>
      <c r="G7161">
        <v>-205.148</v>
      </c>
      <c r="H7161" s="1">
        <v>-3.8453089999999999E-6</v>
      </c>
      <c r="I7161">
        <v>-66.055210000000002</v>
      </c>
      <c r="J7161">
        <v>-277.22620000000001</v>
      </c>
      <c r="K7161">
        <v>1.10902099999999</v>
      </c>
      <c r="L7161">
        <v>-61.008789999999998</v>
      </c>
      <c r="M7161">
        <v>0.99045179999999999</v>
      </c>
      <c r="N7161">
        <v>-1.126106E-2</v>
      </c>
      <c r="O7161">
        <v>-0.13739949999999901</v>
      </c>
      <c r="P7161">
        <v>0.99467899999999998</v>
      </c>
      <c r="Q7161">
        <v>-7.3254940000000004E-2</v>
      </c>
      <c r="R7161">
        <v>7.2440909999999997E-2</v>
      </c>
      <c r="S7161">
        <v>3.0285639999999998</v>
      </c>
      <c r="T7161">
        <v>-4.6540619999999998E-2</v>
      </c>
      <c r="U7161">
        <v>-0.21231079999999999</v>
      </c>
      <c r="V7161">
        <v>-0.20850189999999999</v>
      </c>
      <c r="W7161">
        <v>-6.2029889999999997E-2</v>
      </c>
      <c r="X7161">
        <v>0.9760529</v>
      </c>
      <c r="Y7161">
        <v>-6.7789139999999998E-2</v>
      </c>
      <c r="Z7161">
        <v>1.452645E-3</v>
      </c>
      <c r="AA7161">
        <v>0.99769859999999999</v>
      </c>
      <c r="AB7161">
        <v>19</v>
      </c>
      <c r="AC7161">
        <v>72.078199999999995</v>
      </c>
      <c r="AD7161">
        <v>-1.1090248453089999</v>
      </c>
      <c r="AE7161">
        <v>-5.0464199999999897</v>
      </c>
      <c r="AF7161">
        <v>-4.9044280056117202</v>
      </c>
      <c r="AG7161">
        <v>-1.1090248453089999</v>
      </c>
      <c r="AH7161">
        <v>72.070943193331999</v>
      </c>
      <c r="AI7161">
        <v>90.879561760990896</v>
      </c>
      <c r="AJ7161">
        <v>93.892976251828898</v>
      </c>
      <c r="AK7161">
        <v>72.246136249257205</v>
      </c>
      <c r="AL7161">
        <v>93.556333990494494</v>
      </c>
      <c r="AM7161">
        <v>102.058142542463</v>
      </c>
      <c r="AN7161">
        <v>1.0000000065777099</v>
      </c>
    </row>
    <row r="7162" spans="1:40" x14ac:dyDescent="0.25">
      <c r="A7162" t="str">
        <f>"20190305135105714"</f>
        <v>20190305135105714</v>
      </c>
      <c r="B7162" t="str">
        <f>"1551765065706932"</f>
        <v>1551765065706932</v>
      </c>
      <c r="C7162" t="s">
        <v>40</v>
      </c>
      <c r="D7162">
        <v>3.8644340000000001</v>
      </c>
      <c r="E7162">
        <v>0.55494140000000003</v>
      </c>
      <c r="F7162" t="s">
        <v>85</v>
      </c>
      <c r="G7162">
        <v>-207.4161</v>
      </c>
      <c r="H7162" s="1">
        <v>-2.4608330000000001E-6</v>
      </c>
      <c r="I7162">
        <v>-65.989750000000001</v>
      </c>
      <c r="J7162">
        <v>-277.13</v>
      </c>
      <c r="K7162">
        <v>1.1089659999999999</v>
      </c>
      <c r="L7162">
        <v>-61.022190000000002</v>
      </c>
      <c r="M7162">
        <v>0.99044350000000003</v>
      </c>
      <c r="N7162">
        <v>-1.1039119999999999E-2</v>
      </c>
      <c r="O7162">
        <v>-0.1374774</v>
      </c>
      <c r="P7162">
        <v>0.99475930000000001</v>
      </c>
      <c r="Q7162">
        <v>-7.3592309999999994E-2</v>
      </c>
      <c r="R7162">
        <v>7.0981520000000006E-2</v>
      </c>
      <c r="S7162">
        <v>3.0282290000000001</v>
      </c>
      <c r="T7162">
        <v>-4.810739E-2</v>
      </c>
      <c r="U7162">
        <v>-0.21606449999999999</v>
      </c>
      <c r="V7162">
        <v>-0.20714630000000001</v>
      </c>
      <c r="W7162">
        <v>-6.257509E-2</v>
      </c>
      <c r="X7162">
        <v>0.97630669999999997</v>
      </c>
      <c r="Y7162">
        <v>-6.6628060000000003E-2</v>
      </c>
      <c r="Z7162">
        <v>1.5488380000000001E-3</v>
      </c>
      <c r="AA7162">
        <v>0.99777669999999996</v>
      </c>
      <c r="AB7162">
        <v>19</v>
      </c>
      <c r="AC7162">
        <v>69.713899999999995</v>
      </c>
      <c r="AD7162">
        <v>-1.1089684608329999</v>
      </c>
      <c r="AE7162">
        <v>-4.96755999999999</v>
      </c>
      <c r="AF7162">
        <v>-4.6631078679527</v>
      </c>
      <c r="AG7162">
        <v>-1.1089684608329999</v>
      </c>
      <c r="AH7162">
        <v>69.717295107094799</v>
      </c>
      <c r="AI7162">
        <v>90.9092756166322</v>
      </c>
      <c r="AJ7162">
        <v>93.826583357645902</v>
      </c>
      <c r="AK7162">
        <v>69.881869058326004</v>
      </c>
      <c r="AL7162">
        <v>93.587632469313803</v>
      </c>
      <c r="AM7162">
        <v>101.97899313654899</v>
      </c>
      <c r="AN7162">
        <v>1.00000000197854</v>
      </c>
    </row>
    <row r="7163" spans="1:40" x14ac:dyDescent="0.25">
      <c r="A7163" t="str">
        <f>"20190305135105725"</f>
        <v>20190305135105725</v>
      </c>
      <c r="B7163" t="str">
        <f>"1551765065716693"</f>
        <v>1551765065716693</v>
      </c>
      <c r="C7163" t="s">
        <v>40</v>
      </c>
      <c r="D7163">
        <v>3.8749539999999998</v>
      </c>
      <c r="E7163">
        <v>0.55481359999999902</v>
      </c>
      <c r="F7163" t="s">
        <v>85</v>
      </c>
      <c r="G7163">
        <v>-207.4777</v>
      </c>
      <c r="H7163" s="1">
        <v>-2.462471E-6</v>
      </c>
      <c r="I7163">
        <v>-66.084299999999999</v>
      </c>
      <c r="J7163">
        <v>-277.03719999999998</v>
      </c>
      <c r="K7163">
        <v>1.1089209999999901</v>
      </c>
      <c r="L7163">
        <v>-61.035220000000002</v>
      </c>
      <c r="M7163">
        <v>0.99043119999999996</v>
      </c>
      <c r="N7163">
        <v>-1.0820059999999999E-2</v>
      </c>
      <c r="O7163">
        <v>-0.13758319999999999</v>
      </c>
      <c r="P7163">
        <v>0.99483259999999996</v>
      </c>
      <c r="Q7163">
        <v>-7.4007799999999999E-2</v>
      </c>
      <c r="R7163">
        <v>6.9506499999999999E-2</v>
      </c>
      <c r="S7163">
        <v>3.0279539999999998</v>
      </c>
      <c r="T7163">
        <v>-4.8209549999999997E-2</v>
      </c>
      <c r="U7163">
        <v>-0.22006229999999999</v>
      </c>
      <c r="V7163">
        <v>-0.20580190000000001</v>
      </c>
      <c r="W7163">
        <v>-6.3198309999999994E-2</v>
      </c>
      <c r="X7163">
        <v>0.97655080000000005</v>
      </c>
      <c r="Y7163">
        <v>-6.5417420000000004E-2</v>
      </c>
      <c r="Z7163">
        <v>1.5619049999999999E-3</v>
      </c>
      <c r="AA7163">
        <v>0.99785670000000004</v>
      </c>
      <c r="AB7163">
        <v>19</v>
      </c>
      <c r="AC7163">
        <v>69.5594999999999</v>
      </c>
      <c r="AD7163">
        <v>-1.1089234624709901</v>
      </c>
      <c r="AE7163">
        <v>-5.04908</v>
      </c>
      <c r="AF7163">
        <v>-4.5685643321990703</v>
      </c>
      <c r="AG7163">
        <v>-1.1089234624709901</v>
      </c>
      <c r="AH7163">
        <v>69.575045662312903</v>
      </c>
      <c r="AI7163">
        <v>90.911170858499801</v>
      </c>
      <c r="AJ7163">
        <v>93.756867273801802</v>
      </c>
      <c r="AK7163">
        <v>69.733696805891398</v>
      </c>
      <c r="AL7163">
        <v>93.623411327548695</v>
      </c>
      <c r="AM7163">
        <v>101.90058249248899</v>
      </c>
      <c r="AN7163">
        <v>0.99999995670555197</v>
      </c>
    </row>
    <row r="7164" spans="1:40" x14ac:dyDescent="0.25">
      <c r="A7164" t="str">
        <f>"20190305135105737"</f>
        <v>20190305135105737</v>
      </c>
      <c r="B7164" t="str">
        <f>"1551765065726453"</f>
        <v>1551765065726453</v>
      </c>
      <c r="C7164" t="s">
        <v>40</v>
      </c>
      <c r="D7164">
        <v>3.8621490000000001</v>
      </c>
      <c r="E7164">
        <v>0.55471059999999905</v>
      </c>
      <c r="F7164" t="s">
        <v>85</v>
      </c>
      <c r="G7164">
        <v>-208.07570000000001</v>
      </c>
      <c r="H7164" s="1">
        <v>-2.2457960000000001E-6</v>
      </c>
      <c r="I7164">
        <v>-66.128360000000001</v>
      </c>
      <c r="J7164">
        <v>-276.94540000000001</v>
      </c>
      <c r="K7164">
        <v>1.1088769999999999</v>
      </c>
      <c r="L7164">
        <v>-61.04813</v>
      </c>
      <c r="M7164">
        <v>0.99041489999999999</v>
      </c>
      <c r="N7164">
        <v>-1.060142E-2</v>
      </c>
      <c r="O7164">
        <v>-0.13771789999999901</v>
      </c>
      <c r="P7164">
        <v>0.99492510000000001</v>
      </c>
      <c r="Q7164">
        <v>-7.3474090000000006E-2</v>
      </c>
      <c r="R7164">
        <v>6.8745299999999995E-2</v>
      </c>
      <c r="S7164">
        <v>3.0275880000000002</v>
      </c>
      <c r="T7164">
        <v>-4.8684600000000001E-2</v>
      </c>
      <c r="U7164">
        <v>-0.2236023</v>
      </c>
      <c r="V7164">
        <v>-0.20519380000000001</v>
      </c>
      <c r="W7164">
        <v>-6.2873109999999996E-2</v>
      </c>
      <c r="X7164">
        <v>0.97669980000000001</v>
      </c>
      <c r="Y7164">
        <v>-6.4383410000000002E-2</v>
      </c>
      <c r="Z7164">
        <v>1.5986240000000001E-3</v>
      </c>
      <c r="AA7164">
        <v>0.99792400000000003</v>
      </c>
      <c r="AB7164">
        <v>19</v>
      </c>
      <c r="AC7164">
        <v>68.869699999999995</v>
      </c>
      <c r="AD7164">
        <v>-1.1088792457959999</v>
      </c>
      <c r="AE7164">
        <v>-5.0802299999999896</v>
      </c>
      <c r="AF7164">
        <v>-4.4521566405314896</v>
      </c>
      <c r="AG7164">
        <v>-1.1088792457959999</v>
      </c>
      <c r="AH7164">
        <v>68.8953143591214</v>
      </c>
      <c r="AI7164">
        <v>90.920184553829003</v>
      </c>
      <c r="AJ7164">
        <v>93.697429772354297</v>
      </c>
      <c r="AK7164">
        <v>69.047922869379207</v>
      </c>
      <c r="AL7164">
        <v>93.604741412678806</v>
      </c>
      <c r="AM7164">
        <v>101.864658240808</v>
      </c>
      <c r="AN7164">
        <v>1.00000001141977</v>
      </c>
    </row>
    <row r="7165" spans="1:40" x14ac:dyDescent="0.25">
      <c r="A7165" t="str">
        <f>"20190305135105747"</f>
        <v>20190305135105747</v>
      </c>
      <c r="B7165" t="str">
        <f>"1551765065737189"</f>
        <v>1551765065737189</v>
      </c>
      <c r="C7165" t="s">
        <v>40</v>
      </c>
      <c r="D7165">
        <v>3.8836029999999999</v>
      </c>
      <c r="E7165">
        <v>0.55461519999999898</v>
      </c>
      <c r="F7165" t="s">
        <v>85</v>
      </c>
      <c r="G7165">
        <v>-205.18379999999999</v>
      </c>
      <c r="H7165" s="1">
        <v>-3.8685070000000003E-6</v>
      </c>
      <c r="I7165">
        <v>-66.385289999999998</v>
      </c>
      <c r="J7165">
        <v>-276.8451</v>
      </c>
      <c r="K7165">
        <v>1.10883</v>
      </c>
      <c r="L7165">
        <v>-61.062260000000002</v>
      </c>
      <c r="M7165">
        <v>0.99039410000000005</v>
      </c>
      <c r="N7165">
        <v>-1.036135E-2</v>
      </c>
      <c r="O7165">
        <v>-0.1378856</v>
      </c>
      <c r="P7165">
        <v>0.99503560000000002</v>
      </c>
      <c r="Q7165">
        <v>-7.2791809999999998E-2</v>
      </c>
      <c r="R7165">
        <v>6.7864889999999997E-2</v>
      </c>
      <c r="S7165">
        <v>3.0274049999999999</v>
      </c>
      <c r="T7165">
        <v>-4.6780349999999998E-2</v>
      </c>
      <c r="U7165">
        <v>-0.22515869999999999</v>
      </c>
      <c r="V7165">
        <v>-0.2045024</v>
      </c>
      <c r="W7165">
        <v>-6.2420490000000002E-2</v>
      </c>
      <c r="X7165">
        <v>0.97687380000000001</v>
      </c>
      <c r="Y7165">
        <v>-6.4038650000000003E-2</v>
      </c>
      <c r="Z7165">
        <v>1.5141039999999901E-3</v>
      </c>
      <c r="AA7165">
        <v>0.99794629999999995</v>
      </c>
      <c r="AB7165">
        <v>19</v>
      </c>
      <c r="AC7165">
        <v>71.661299999999997</v>
      </c>
      <c r="AD7165">
        <v>-1.1088338685070001</v>
      </c>
      <c r="AE7165">
        <v>-5.3230300000000002</v>
      </c>
      <c r="AF7165">
        <v>-4.6083133778976402</v>
      </c>
      <c r="AG7165">
        <v>-1.1088338685070001</v>
      </c>
      <c r="AH7165">
        <v>71.693666852641599</v>
      </c>
      <c r="AI7165">
        <v>90.884257013926501</v>
      </c>
      <c r="AJ7165">
        <v>93.677788882753006</v>
      </c>
      <c r="AK7165">
        <v>71.850176976222002</v>
      </c>
      <c r="AL7165">
        <v>93.578757251846199</v>
      </c>
      <c r="AM7165">
        <v>101.82376077468599</v>
      </c>
      <c r="AN7165">
        <v>0.99999998515201904</v>
      </c>
    </row>
    <row r="7166" spans="1:40" x14ac:dyDescent="0.25">
      <c r="A7166" t="str">
        <f>"20190305135105757"</f>
        <v>20190305135105757</v>
      </c>
      <c r="B7166" t="str">
        <f>"1551765065746950"</f>
        <v>1551765065746950</v>
      </c>
      <c r="C7166" t="s">
        <v>40</v>
      </c>
      <c r="D7166">
        <v>3.8738060000000001</v>
      </c>
      <c r="E7166">
        <v>0.55455619999999906</v>
      </c>
      <c r="F7166" t="s">
        <v>85</v>
      </c>
      <c r="G7166">
        <v>-199.3717</v>
      </c>
      <c r="H7166" s="1">
        <v>-6.3395559999999999E-6</v>
      </c>
      <c r="I7166">
        <v>-66.872879999999995</v>
      </c>
      <c r="J7166">
        <v>-276.76190000000003</v>
      </c>
      <c r="K7166">
        <v>1.1087910000000001</v>
      </c>
      <c r="L7166">
        <v>-61.074069999999899</v>
      </c>
      <c r="M7166">
        <v>0.99037109999999995</v>
      </c>
      <c r="N7166">
        <v>-1.0160840000000001E-2</v>
      </c>
      <c r="O7166">
        <v>-0.13806589999999999</v>
      </c>
      <c r="P7166">
        <v>0.99506779999999995</v>
      </c>
      <c r="Q7166">
        <v>-7.2665679999999996E-2</v>
      </c>
      <c r="R7166">
        <v>6.7527379999999998E-2</v>
      </c>
      <c r="S7166">
        <v>3.0272830000000002</v>
      </c>
      <c r="T7166">
        <v>-4.3327930000000001E-2</v>
      </c>
      <c r="U7166">
        <v>-0.2270508</v>
      </c>
      <c r="V7166">
        <v>-0.20435110000000001</v>
      </c>
      <c r="W7166">
        <v>-6.2486260000000002E-2</v>
      </c>
      <c r="X7166">
        <v>0.97690129999999997</v>
      </c>
      <c r="Y7166">
        <v>-6.3598979999999999E-2</v>
      </c>
      <c r="Z7166">
        <v>1.3378649999999999E-3</v>
      </c>
      <c r="AA7166">
        <v>0.99797460000000004</v>
      </c>
      <c r="AB7166">
        <v>19</v>
      </c>
      <c r="AC7166">
        <v>77.390199999999993</v>
      </c>
      <c r="AD7166">
        <v>-1.108797339556</v>
      </c>
      <c r="AE7166">
        <v>-5.7988100000000102</v>
      </c>
      <c r="AF7166">
        <v>-4.9412194016954203</v>
      </c>
      <c r="AG7166">
        <v>-1.108797339556</v>
      </c>
      <c r="AH7166">
        <v>77.433813633815404</v>
      </c>
      <c r="AI7166">
        <v>90.818713915936399</v>
      </c>
      <c r="AJ7166">
        <v>93.651217277235602</v>
      </c>
      <c r="AK7166">
        <v>77.599230502578706</v>
      </c>
      <c r="AL7166">
        <v>93.582532814582905</v>
      </c>
      <c r="AM7166">
        <v>101.814935758678</v>
      </c>
      <c r="AN7166">
        <v>1.00000002735084</v>
      </c>
    </row>
    <row r="7167" spans="1:40" x14ac:dyDescent="0.25">
      <c r="A7167" t="str">
        <f>"20190305135105768"</f>
        <v>20190305135105768</v>
      </c>
      <c r="B7167" t="str">
        <f>"1551765065756710"</f>
        <v>1551765065756710</v>
      </c>
      <c r="C7167" t="s">
        <v>40</v>
      </c>
      <c r="D7167">
        <v>3.8712689999999998</v>
      </c>
      <c r="E7167">
        <v>0.55441890000000005</v>
      </c>
      <c r="F7167" t="s">
        <v>85</v>
      </c>
      <c r="G7167">
        <v>-195.97319999999999</v>
      </c>
      <c r="H7167" s="1">
        <v>-7.7618370000000003E-6</v>
      </c>
      <c r="I7167">
        <v>-67.14555</v>
      </c>
      <c r="J7167">
        <v>-276.66680000000002</v>
      </c>
      <c r="K7167">
        <v>1.1087450000000001</v>
      </c>
      <c r="L7167">
        <v>-61.08755</v>
      </c>
      <c r="M7167">
        <v>0.99034339999999998</v>
      </c>
      <c r="N7167">
        <v>-9.9314620000000003E-3</v>
      </c>
      <c r="O7167">
        <v>-0.13828029999999999</v>
      </c>
      <c r="P7167">
        <v>0.99509539999999996</v>
      </c>
      <c r="Q7167">
        <v>-7.2512119999999999E-2</v>
      </c>
      <c r="R7167">
        <v>6.728489E-2</v>
      </c>
      <c r="S7167">
        <v>3.0272830000000002</v>
      </c>
      <c r="T7167">
        <v>-4.154849E-2</v>
      </c>
      <c r="U7167">
        <v>-0.2275085</v>
      </c>
      <c r="V7167">
        <v>-0.20432739999999999</v>
      </c>
      <c r="W7167">
        <v>-6.2552259999999998E-2</v>
      </c>
      <c r="X7167">
        <v>0.97690200000000005</v>
      </c>
      <c r="Y7167">
        <v>-6.3665639999999996E-2</v>
      </c>
      <c r="Z7167">
        <v>1.264444E-3</v>
      </c>
      <c r="AA7167">
        <v>0.99797049999999998</v>
      </c>
      <c r="AB7167">
        <v>19</v>
      </c>
      <c r="AC7167">
        <v>80.693600000000004</v>
      </c>
      <c r="AD7167">
        <v>-1.1087527618369999</v>
      </c>
      <c r="AE7167">
        <v>-6.0579999999999998</v>
      </c>
      <c r="AF7167">
        <v>-5.1581206415062297</v>
      </c>
      <c r="AG7167">
        <v>-1.1087527618369999</v>
      </c>
      <c r="AH7167">
        <v>80.7408958535582</v>
      </c>
      <c r="AI7167">
        <v>90.785149147550996</v>
      </c>
      <c r="AJ7167">
        <v>93.655365270791506</v>
      </c>
      <c r="AK7167">
        <v>80.913087967734498</v>
      </c>
      <c r="AL7167">
        <v>93.586321865561999</v>
      </c>
      <c r="AM7167">
        <v>101.81359578125399</v>
      </c>
      <c r="AN7167">
        <v>0.99999999461293299</v>
      </c>
    </row>
    <row r="7168" spans="1:40" x14ac:dyDescent="0.25">
      <c r="A7168" t="str">
        <f>"20190305135105780"</f>
        <v>20190305135105780</v>
      </c>
      <c r="B7168" t="str">
        <f>"1551765065777205"</f>
        <v>1551765065777205</v>
      </c>
      <c r="C7168" t="s">
        <v>40</v>
      </c>
      <c r="D7168">
        <v>3.87921</v>
      </c>
      <c r="E7168">
        <v>0.5541509</v>
      </c>
      <c r="F7168" t="s">
        <v>85</v>
      </c>
      <c r="G7168">
        <v>-193.19220000000001</v>
      </c>
      <c r="H7168" s="1">
        <v>-8.9955399999999999E-6</v>
      </c>
      <c r="I7168">
        <v>-67.351819999999904</v>
      </c>
      <c r="J7168">
        <v>-276.57139999999998</v>
      </c>
      <c r="K7168">
        <v>1.108697</v>
      </c>
      <c r="L7168">
        <v>-61.101199999999999</v>
      </c>
      <c r="M7168">
        <v>0.99030770000000001</v>
      </c>
      <c r="N7168">
        <v>-9.7015299999999999E-3</v>
      </c>
      <c r="O7168">
        <v>-0.138551799999999</v>
      </c>
      <c r="P7168">
        <v>0.99508240000000003</v>
      </c>
      <c r="Q7168">
        <v>-7.2837520000000003E-2</v>
      </c>
      <c r="R7168">
        <v>6.7126450000000004E-2</v>
      </c>
      <c r="S7168">
        <v>3.0271910000000002</v>
      </c>
      <c r="T7168">
        <v>-4.0208819999999999E-2</v>
      </c>
      <c r="U7168">
        <v>-0.22717290000000001</v>
      </c>
      <c r="V7168">
        <v>-0.20443919999999999</v>
      </c>
      <c r="W7168">
        <v>-6.309534E-2</v>
      </c>
      <c r="X7168">
        <v>0.97684369999999998</v>
      </c>
      <c r="Y7168">
        <v>-6.4047439999999997E-2</v>
      </c>
      <c r="Z7168">
        <v>1.219415E-3</v>
      </c>
      <c r="AA7168">
        <v>0.99794609999999995</v>
      </c>
      <c r="AB7168">
        <v>19</v>
      </c>
      <c r="AC7168">
        <v>83.379199999999898</v>
      </c>
      <c r="AD7168">
        <v>-1.1087059955399901</v>
      </c>
      <c r="AE7168">
        <v>-6.2506199999999899</v>
      </c>
      <c r="AF7168">
        <v>-5.3616106169702098</v>
      </c>
      <c r="AG7168">
        <v>-1.1087059955399901</v>
      </c>
      <c r="AH7168">
        <v>83.426354138767906</v>
      </c>
      <c r="AI7168">
        <v>90.759827945425002</v>
      </c>
      <c r="AJ7168">
        <v>93.677204477076401</v>
      </c>
      <c r="AK7168">
        <v>83.605817155743907</v>
      </c>
      <c r="AL7168">
        <v>93.617499585034693</v>
      </c>
      <c r="AM7168">
        <v>101.820563516031</v>
      </c>
      <c r="AN7168">
        <v>1.0000000113280201</v>
      </c>
    </row>
    <row r="7169" spans="1:40" x14ac:dyDescent="0.25">
      <c r="A7169" t="str">
        <f>"20190305135105792"</f>
        <v>20190305135105792</v>
      </c>
      <c r="B7169" t="str">
        <f>"1551765065786965"</f>
        <v>1551765065786965</v>
      </c>
      <c r="C7169" t="s">
        <v>40</v>
      </c>
      <c r="D7169">
        <v>3.9759910000000001</v>
      </c>
      <c r="E7169">
        <v>0.55361530000000003</v>
      </c>
      <c r="F7169" t="s">
        <v>85</v>
      </c>
      <c r="G7169">
        <v>-191.63319999999999</v>
      </c>
      <c r="H7169" s="1">
        <v>-9.6839489999999996E-6</v>
      </c>
      <c r="I7169">
        <v>-67.430840000000003</v>
      </c>
      <c r="J7169">
        <v>-276.46899999999999</v>
      </c>
      <c r="K7169">
        <v>1.1086419999999999</v>
      </c>
      <c r="L7169">
        <v>-61.115810000000003</v>
      </c>
      <c r="M7169">
        <v>0.9902668</v>
      </c>
      <c r="N7169">
        <v>-9.4552799999999999E-3</v>
      </c>
      <c r="O7169">
        <v>-0.13886039999999999</v>
      </c>
      <c r="P7169">
        <v>0.99504289999999995</v>
      </c>
      <c r="Q7169">
        <v>-7.3488999999999999E-2</v>
      </c>
      <c r="R7169">
        <v>6.6999909999999996E-2</v>
      </c>
      <c r="S7169">
        <v>3.027161</v>
      </c>
      <c r="T7169">
        <v>-3.951383E-2</v>
      </c>
      <c r="U7169">
        <v>-0.22558590000000001</v>
      </c>
      <c r="V7169">
        <v>-0.20461579999999999</v>
      </c>
      <c r="W7169">
        <v>-6.3979170000000002E-2</v>
      </c>
      <c r="X7169">
        <v>0.97674919999999998</v>
      </c>
      <c r="Y7169">
        <v>-6.4877729999999995E-2</v>
      </c>
      <c r="Z7169">
        <v>1.2171770000000001E-3</v>
      </c>
      <c r="AA7169">
        <v>0.99789249999999996</v>
      </c>
      <c r="AB7169">
        <v>19</v>
      </c>
      <c r="AC7169">
        <v>84.835800000000006</v>
      </c>
      <c r="AD7169">
        <v>-1.1086516839489999</v>
      </c>
      <c r="AE7169">
        <v>-6.3150300000000001</v>
      </c>
      <c r="AF7169">
        <v>-5.5260772530753899</v>
      </c>
      <c r="AG7169">
        <v>-1.1086516839489999</v>
      </c>
      <c r="AH7169">
        <v>84.876365642760405</v>
      </c>
      <c r="AI7169">
        <v>90.746771697960298</v>
      </c>
      <c r="AJ7169">
        <v>93.725120105201398</v>
      </c>
      <c r="AK7169">
        <v>85.063294569907399</v>
      </c>
      <c r="AL7169">
        <v>93.668241957313796</v>
      </c>
      <c r="AM7169">
        <v>101.831599124148</v>
      </c>
      <c r="AN7169">
        <v>0.99999997975208399</v>
      </c>
    </row>
    <row r="7170" spans="1:40" x14ac:dyDescent="0.25">
      <c r="A7170" t="str">
        <f>"20190305135105803"</f>
        <v>20190305135105803</v>
      </c>
      <c r="B7170" t="str">
        <f>"1551765065796725"</f>
        <v>1551765065796725</v>
      </c>
      <c r="C7170" t="s">
        <v>40</v>
      </c>
      <c r="D7170">
        <v>3.869901</v>
      </c>
      <c r="E7170">
        <v>0.55351790000000001</v>
      </c>
      <c r="F7170" t="s">
        <v>85</v>
      </c>
      <c r="G7170">
        <v>-204.54910000000001</v>
      </c>
      <c r="H7170" s="1">
        <v>-4.1547630000000001E-6</v>
      </c>
      <c r="I7170">
        <v>-66.390299999999996</v>
      </c>
      <c r="J7170">
        <v>-276.37240000000003</v>
      </c>
      <c r="K7170">
        <v>1.108592</v>
      </c>
      <c r="L7170">
        <v>-61.129759999999997</v>
      </c>
      <c r="M7170">
        <v>0.99022129999999997</v>
      </c>
      <c r="N7170">
        <v>-9.2244189999999993E-3</v>
      </c>
      <c r="O7170">
        <v>-0.1392005</v>
      </c>
      <c r="P7170">
        <v>0.99502049999999997</v>
      </c>
      <c r="Q7170">
        <v>-7.4004849999999997E-2</v>
      </c>
      <c r="R7170">
        <v>6.6764009999999999E-2</v>
      </c>
      <c r="S7170">
        <v>3.026459</v>
      </c>
      <c r="T7170">
        <v>-4.6652909999999999E-2</v>
      </c>
      <c r="U7170">
        <v>-0.22195429999999999</v>
      </c>
      <c r="V7170">
        <v>-0.20471890000000001</v>
      </c>
      <c r="W7170">
        <v>-6.4709859999999994E-2</v>
      </c>
      <c r="X7170">
        <v>0.97667950000000003</v>
      </c>
      <c r="Y7170">
        <v>-6.6389069999999994E-2</v>
      </c>
      <c r="Z7170">
        <v>1.665335E-3</v>
      </c>
      <c r="AA7170">
        <v>0.99779240000000002</v>
      </c>
      <c r="AB7170">
        <v>19</v>
      </c>
      <c r="AC7170">
        <v>71.823300000000003</v>
      </c>
      <c r="AD7170">
        <v>-1.1085961547630001</v>
      </c>
      <c r="AE7170">
        <v>-5.26053999999999</v>
      </c>
      <c r="AF7170">
        <v>-4.7878094785107601</v>
      </c>
      <c r="AG7170">
        <v>-1.1085961547630001</v>
      </c>
      <c r="AH7170">
        <v>71.839261458694295</v>
      </c>
      <c r="AI7170">
        <v>90.882139877211898</v>
      </c>
      <c r="AJ7170">
        <v>93.812903946731296</v>
      </c>
      <c r="AK7170">
        <v>72.007163476750705</v>
      </c>
      <c r="AL7170">
        <v>93.710194199300105</v>
      </c>
      <c r="AM7170">
        <v>101.838213494279</v>
      </c>
      <c r="AN7170">
        <v>1.00000001985933</v>
      </c>
    </row>
    <row r="7171" spans="1:40" x14ac:dyDescent="0.25">
      <c r="A7171" t="str">
        <f>"20190305135105814"</f>
        <v>20190305135105814</v>
      </c>
      <c r="B7171" t="str">
        <f>"1551765065806486"</f>
        <v>1551765065806486</v>
      </c>
      <c r="C7171" t="s">
        <v>40</v>
      </c>
      <c r="D7171">
        <v>3.8858980000000001</v>
      </c>
      <c r="E7171">
        <v>0.55343640000000005</v>
      </c>
      <c r="F7171" t="s">
        <v>85</v>
      </c>
      <c r="G7171">
        <v>-205.50049999999999</v>
      </c>
      <c r="H7171" s="1">
        <v>-3.659143E-6</v>
      </c>
      <c r="I7171">
        <v>-66.327469999999906</v>
      </c>
      <c r="J7171">
        <v>-276.2801</v>
      </c>
      <c r="K7171">
        <v>1.1085389999999999</v>
      </c>
      <c r="L7171">
        <v>-61.143099999999997</v>
      </c>
      <c r="M7171">
        <v>0.99017469999999996</v>
      </c>
      <c r="N7171">
        <v>-9.006254E-3</v>
      </c>
      <c r="O7171">
        <v>-0.13954620000000001</v>
      </c>
      <c r="P7171">
        <v>0.99495020000000001</v>
      </c>
      <c r="Q7171">
        <v>-7.468938E-2</v>
      </c>
      <c r="R7171">
        <v>6.7050349999999995E-2</v>
      </c>
      <c r="S7171">
        <v>3.0263979999999999</v>
      </c>
      <c r="T7171">
        <v>-4.7339680000000002E-2</v>
      </c>
      <c r="U7171">
        <v>-0.22195429999999999</v>
      </c>
      <c r="V7171">
        <v>-0.20533750000000001</v>
      </c>
      <c r="W7171">
        <v>-6.5597119999999995E-2</v>
      </c>
      <c r="X7171">
        <v>0.97649039999999998</v>
      </c>
      <c r="Y7171">
        <v>-6.6735000000000003E-2</v>
      </c>
      <c r="Z7171">
        <v>1.733992E-3</v>
      </c>
      <c r="AA7171">
        <v>0.99776920000000002</v>
      </c>
      <c r="AB7171">
        <v>19</v>
      </c>
      <c r="AC7171">
        <v>70.779600000000002</v>
      </c>
      <c r="AD7171">
        <v>-1.1085426591430001</v>
      </c>
      <c r="AE7171">
        <v>-5.1843699999999897</v>
      </c>
      <c r="AF7171">
        <v>-4.7426270147774003</v>
      </c>
      <c r="AG7171">
        <v>-1.1085426591430001</v>
      </c>
      <c r="AH7171">
        <v>70.793220882987995</v>
      </c>
      <c r="AI7171">
        <v>90.895108448938501</v>
      </c>
      <c r="AJ7171">
        <v>93.832670502330402</v>
      </c>
      <c r="AK7171">
        <v>70.960562996751605</v>
      </c>
      <c r="AL7171">
        <v>93.761138824299096</v>
      </c>
      <c r="AM7171">
        <v>101.875205203627</v>
      </c>
      <c r="AN7171">
        <v>0.99999998617535202</v>
      </c>
    </row>
    <row r="7172" spans="1:40" x14ac:dyDescent="0.25">
      <c r="A7172" t="str">
        <f>"20190305135105825"</f>
        <v>20190305135105825</v>
      </c>
      <c r="B7172" t="str">
        <f>"1551765065817221"</f>
        <v>1551765065817221</v>
      </c>
      <c r="C7172" t="s">
        <v>40</v>
      </c>
      <c r="D7172">
        <v>3.8654009999999999</v>
      </c>
      <c r="E7172">
        <v>0.55331209999999997</v>
      </c>
      <c r="F7172" t="s">
        <v>85</v>
      </c>
      <c r="G7172">
        <v>-206.92619999999999</v>
      </c>
      <c r="H7172" s="1">
        <v>-2.7344500000000001E-6</v>
      </c>
      <c r="I7172">
        <v>-66.194429999999997</v>
      </c>
      <c r="J7172">
        <v>-276.18540000000002</v>
      </c>
      <c r="K7172">
        <v>1.108487</v>
      </c>
      <c r="L7172">
        <v>-61.156860000000002</v>
      </c>
      <c r="M7172">
        <v>0.99012219999999995</v>
      </c>
      <c r="N7172">
        <v>-8.7860569999999999E-3</v>
      </c>
      <c r="O7172">
        <v>-0.1399311</v>
      </c>
      <c r="P7172">
        <v>0.99490889999999998</v>
      </c>
      <c r="Q7172">
        <v>-7.4911969999999994E-2</v>
      </c>
      <c r="R7172">
        <v>6.7412970000000003E-2</v>
      </c>
      <c r="S7172">
        <v>3.026459</v>
      </c>
      <c r="T7172">
        <v>-4.837441E-2</v>
      </c>
      <c r="U7172">
        <v>-0.2204285</v>
      </c>
      <c r="V7172">
        <v>-0.2060748</v>
      </c>
      <c r="W7172">
        <v>-6.6022999999999998E-2</v>
      </c>
      <c r="X7172">
        <v>0.97630640000000002</v>
      </c>
      <c r="Y7172">
        <v>-6.7623429999999998E-2</v>
      </c>
      <c r="Z7172">
        <v>1.8299600000000001E-3</v>
      </c>
      <c r="AA7172">
        <v>0.99770919999999996</v>
      </c>
      <c r="AB7172">
        <v>19</v>
      </c>
      <c r="AC7172">
        <v>69.259200000000007</v>
      </c>
      <c r="AD7172">
        <v>-1.10848973445</v>
      </c>
      <c r="AE7172">
        <v>-5.0375700000000103</v>
      </c>
      <c r="AF7172">
        <v>-4.70268970373274</v>
      </c>
      <c r="AG7172">
        <v>-1.10848973445</v>
      </c>
      <c r="AH7172">
        <v>69.265013142909197</v>
      </c>
      <c r="AI7172">
        <v>90.9147550571696</v>
      </c>
      <c r="AJ7172">
        <v>93.8840879382347</v>
      </c>
      <c r="AK7172">
        <v>69.433321147906796</v>
      </c>
      <c r="AL7172">
        <v>93.785592823490603</v>
      </c>
      <c r="AM7172">
        <v>101.91880984892499</v>
      </c>
      <c r="AN7172">
        <v>1.0000000232024899</v>
      </c>
    </row>
    <row r="7173" spans="1:40" x14ac:dyDescent="0.25">
      <c r="A7173" t="str">
        <f>"20190305135105835"</f>
        <v>20190305135105835</v>
      </c>
      <c r="B7173" t="str">
        <f>"1551765065826981"</f>
        <v>1551765065826981</v>
      </c>
      <c r="C7173" t="s">
        <v>40</v>
      </c>
      <c r="D7173">
        <v>3.8424459999999998</v>
      </c>
      <c r="E7173">
        <v>0.55318869999999998</v>
      </c>
      <c r="F7173" t="s">
        <v>85</v>
      </c>
      <c r="G7173">
        <v>-206.64760000000001</v>
      </c>
      <c r="H7173" s="1">
        <v>-2.9082579999999999E-6</v>
      </c>
      <c r="I7173">
        <v>-66.171000000000006</v>
      </c>
      <c r="J7173">
        <v>-276.08850000000001</v>
      </c>
      <c r="K7173">
        <v>1.1084350000000001</v>
      </c>
      <c r="L7173">
        <v>-61.171050000000001</v>
      </c>
      <c r="M7173">
        <v>0.99006439999999996</v>
      </c>
      <c r="N7173">
        <v>-8.5650810000000004E-3</v>
      </c>
      <c r="O7173">
        <v>-0.14035310000000001</v>
      </c>
      <c r="P7173">
        <v>0.99491350000000001</v>
      </c>
      <c r="Q7173">
        <v>-7.4445639999999993E-2</v>
      </c>
      <c r="R7173">
        <v>6.7862980000000003E-2</v>
      </c>
      <c r="S7173">
        <v>3.0265200000000001</v>
      </c>
      <c r="T7173">
        <v>-4.824519E-2</v>
      </c>
      <c r="U7173">
        <v>-0.21823119999999999</v>
      </c>
      <c r="V7173">
        <v>-0.2069395</v>
      </c>
      <c r="W7173">
        <v>-6.5760159999999998E-2</v>
      </c>
      <c r="X7173">
        <v>0.97614120000000004</v>
      </c>
      <c r="Y7173">
        <v>-6.8770159999999997E-2</v>
      </c>
      <c r="Z7173">
        <v>1.863162E-3</v>
      </c>
      <c r="AA7173">
        <v>0.99763080000000004</v>
      </c>
      <c r="AB7173">
        <v>19</v>
      </c>
      <c r="AC7173">
        <v>69.440899999999999</v>
      </c>
      <c r="AD7173">
        <v>-1.108437908258</v>
      </c>
      <c r="AE7173">
        <v>-4.9999500000000001</v>
      </c>
      <c r="AF7173">
        <v>-4.7949338984221397</v>
      </c>
      <c r="AG7173">
        <v>-1.108437908258</v>
      </c>
      <c r="AH7173">
        <v>69.437672530998398</v>
      </c>
      <c r="AI7173">
        <v>90.912366116368702</v>
      </c>
      <c r="AJ7173">
        <v>93.950219454717498</v>
      </c>
      <c r="AK7173">
        <v>69.611855256190793</v>
      </c>
      <c r="AL7173">
        <v>93.770500494150696</v>
      </c>
      <c r="AM7173">
        <v>101.9693496288</v>
      </c>
      <c r="AN7173">
        <v>0.99999999882045698</v>
      </c>
    </row>
    <row r="7174" spans="1:40" x14ac:dyDescent="0.25">
      <c r="A7174" t="str">
        <f>"20190305135105846"</f>
        <v>20190305135105846</v>
      </c>
      <c r="B7174" t="str">
        <f>"1551765065836741"</f>
        <v>1551765065836741</v>
      </c>
      <c r="C7174" t="s">
        <v>40</v>
      </c>
      <c r="D7174">
        <v>3.8585470000000002</v>
      </c>
      <c r="E7174">
        <v>0.55304350000000002</v>
      </c>
      <c r="F7174" t="s">
        <v>85</v>
      </c>
      <c r="G7174">
        <v>-204.39609999999999</v>
      </c>
      <c r="H7174" s="1">
        <v>-4.1932720000000002E-6</v>
      </c>
      <c r="I7174">
        <v>-66.285539999999997</v>
      </c>
      <c r="J7174">
        <v>-275.99160000000001</v>
      </c>
      <c r="K7174">
        <v>1.108384</v>
      </c>
      <c r="L7174">
        <v>-61.185209999999998</v>
      </c>
      <c r="M7174">
        <v>0.99000370000000004</v>
      </c>
      <c r="N7174">
        <v>-8.3477009999999904E-3</v>
      </c>
      <c r="O7174">
        <v>-0.14079430000000001</v>
      </c>
      <c r="P7174">
        <v>0.99492930000000002</v>
      </c>
      <c r="Q7174">
        <v>-7.3844099999999996E-2</v>
      </c>
      <c r="R7174">
        <v>6.828476E-2</v>
      </c>
      <c r="S7174">
        <v>3.0265499999999999</v>
      </c>
      <c r="T7174">
        <v>-4.6793700000000001E-2</v>
      </c>
      <c r="U7174">
        <v>-0.21591189999999999</v>
      </c>
      <c r="V7174">
        <v>-0.20779719999999999</v>
      </c>
      <c r="W7174">
        <v>-6.5358559999999996E-2</v>
      </c>
      <c r="X7174">
        <v>0.97598589999999996</v>
      </c>
      <c r="Y7174">
        <v>-6.9976460000000004E-2</v>
      </c>
      <c r="Z7174">
        <v>1.8202660000000001E-3</v>
      </c>
      <c r="AA7174">
        <v>0.99754699999999996</v>
      </c>
      <c r="AB7174">
        <v>20</v>
      </c>
      <c r="AC7174">
        <v>71.595500000000001</v>
      </c>
      <c r="AD7174">
        <v>-1.1083881932719899</v>
      </c>
      <c r="AE7174">
        <v>-5.1003299999999996</v>
      </c>
      <c r="AF7174">
        <v>-5.0298684989818403</v>
      </c>
      <c r="AG7174">
        <v>-1.1083881932719899</v>
      </c>
      <c r="AH7174">
        <v>71.5833307345154</v>
      </c>
      <c r="AI7174">
        <v>90.884908985567193</v>
      </c>
      <c r="AJ7174">
        <v>94.019334387301797</v>
      </c>
      <c r="AK7174">
        <v>71.768386776846597</v>
      </c>
      <c r="AL7174">
        <v>93.747441093314706</v>
      </c>
      <c r="AM7174">
        <v>102.019376116869</v>
      </c>
      <c r="AN7174">
        <v>0.99999994734595998</v>
      </c>
    </row>
    <row r="7175" spans="1:40" x14ac:dyDescent="0.25">
      <c r="A7175" t="str">
        <f>"20190305135105859"</f>
        <v>20190305135105859</v>
      </c>
      <c r="B7175" t="str">
        <f>"1551765065846501"</f>
        <v>1551765065846501</v>
      </c>
      <c r="C7175" t="s">
        <v>40</v>
      </c>
      <c r="D7175">
        <v>3.8503560000000001</v>
      </c>
      <c r="E7175">
        <v>0.55292909999999995</v>
      </c>
      <c r="F7175" t="s">
        <v>85</v>
      </c>
      <c r="G7175">
        <v>-200.47139999999999</v>
      </c>
      <c r="H7175" s="1">
        <v>-5.8181390000000003E-6</v>
      </c>
      <c r="I7175">
        <v>-66.510930000000002</v>
      </c>
      <c r="J7175">
        <v>-275.89510000000001</v>
      </c>
      <c r="K7175">
        <v>1.1083400000000001</v>
      </c>
      <c r="L7175">
        <v>-61.199489999999997</v>
      </c>
      <c r="M7175">
        <v>0.98993830000000005</v>
      </c>
      <c r="N7175">
        <v>-8.1355560000000004E-3</v>
      </c>
      <c r="O7175">
        <v>-0.141265</v>
      </c>
      <c r="P7175">
        <v>0.99494249999999995</v>
      </c>
      <c r="Q7175">
        <v>-7.3225410000000005E-2</v>
      </c>
      <c r="R7175">
        <v>6.8755350000000007E-2</v>
      </c>
      <c r="S7175">
        <v>3.0266419999999998</v>
      </c>
      <c r="T7175">
        <v>-4.4421200000000001E-2</v>
      </c>
      <c r="U7175">
        <v>-0.21343989999999999</v>
      </c>
      <c r="V7175">
        <v>-0.20873079999999999</v>
      </c>
      <c r="W7175">
        <v>-6.4936640000000004E-2</v>
      </c>
      <c r="X7175">
        <v>0.97581490000000004</v>
      </c>
      <c r="Y7175">
        <v>-7.1264770000000005E-2</v>
      </c>
      <c r="Z7175">
        <v>1.723245E-3</v>
      </c>
      <c r="AA7175">
        <v>0.99745600000000001</v>
      </c>
      <c r="AB7175">
        <v>20</v>
      </c>
      <c r="AC7175">
        <v>75.423699999999997</v>
      </c>
      <c r="AD7175">
        <v>-1.10834581813899</v>
      </c>
      <c r="AE7175">
        <v>-5.3114399999999904</v>
      </c>
      <c r="AF7175">
        <v>-5.3957507605614703</v>
      </c>
      <c r="AG7175">
        <v>-1.10834581813899</v>
      </c>
      <c r="AH7175">
        <v>75.401430497302798</v>
      </c>
      <c r="AI7175">
        <v>90.839997647581598</v>
      </c>
      <c r="AJ7175">
        <v>94.093127229642704</v>
      </c>
      <c r="AK7175">
        <v>75.6023695247859</v>
      </c>
      <c r="AL7175">
        <v>93.723215134310195</v>
      </c>
      <c r="AM7175">
        <v>102.073850030879</v>
      </c>
      <c r="AN7175">
        <v>1.00000001657256</v>
      </c>
    </row>
    <row r="7176" spans="1:40" x14ac:dyDescent="0.25">
      <c r="A7176" t="str">
        <f>"20190305135105868"</f>
        <v>20190305135105868</v>
      </c>
      <c r="B7176" t="str">
        <f>"1551765065866998"</f>
        <v>1551765065866998</v>
      </c>
      <c r="C7176" t="s">
        <v>40</v>
      </c>
      <c r="D7176">
        <v>3.8828429999999998</v>
      </c>
      <c r="E7176">
        <v>0.55287439999999999</v>
      </c>
      <c r="F7176" t="s">
        <v>85</v>
      </c>
      <c r="G7176">
        <v>-196.01249999999999</v>
      </c>
      <c r="H7176" s="1">
        <v>-7.7116650000000003E-6</v>
      </c>
      <c r="I7176">
        <v>-66.769850000000005</v>
      </c>
      <c r="J7176">
        <v>-275.7987</v>
      </c>
      <c r="K7176">
        <v>1.1082959999999999</v>
      </c>
      <c r="L7176">
        <v>-61.21378</v>
      </c>
      <c r="M7176">
        <v>0.98987170000000002</v>
      </c>
      <c r="N7176">
        <v>-7.925082E-3</v>
      </c>
      <c r="O7176">
        <v>-0.14174419999999999</v>
      </c>
      <c r="P7176">
        <v>0.99495389999999995</v>
      </c>
      <c r="Q7176">
        <v>-7.2899459999999999E-2</v>
      </c>
      <c r="R7176">
        <v>6.8941000000000002E-2</v>
      </c>
      <c r="S7176">
        <v>3.0267330000000001</v>
      </c>
      <c r="T7176">
        <v>-4.1995049999999999E-2</v>
      </c>
      <c r="U7176">
        <v>-0.21105960000000001</v>
      </c>
      <c r="V7176">
        <v>-0.20939050000000001</v>
      </c>
      <c r="W7176">
        <v>-6.4806489999999994E-2</v>
      </c>
      <c r="X7176">
        <v>0.97568220000000005</v>
      </c>
      <c r="Y7176">
        <v>-7.2531440000000003E-2</v>
      </c>
      <c r="Z7176">
        <v>1.6209E-3</v>
      </c>
      <c r="AA7176">
        <v>0.99736480000000005</v>
      </c>
      <c r="AB7176">
        <v>20</v>
      </c>
      <c r="AC7176">
        <v>79.786199999999994</v>
      </c>
      <c r="AD7176">
        <v>-1.1083037116650001</v>
      </c>
      <c r="AE7176">
        <v>-5.5560699999999903</v>
      </c>
      <c r="AF7176">
        <v>-5.8085010897460201</v>
      </c>
      <c r="AG7176">
        <v>-1.1083037116650001</v>
      </c>
      <c r="AH7176">
        <v>79.752824229485995</v>
      </c>
      <c r="AI7176">
        <v>90.794069930542307</v>
      </c>
      <c r="AJ7176">
        <v>94.165570657280099</v>
      </c>
      <c r="AK7176">
        <v>79.971744976623796</v>
      </c>
      <c r="AL7176">
        <v>93.715742376325693</v>
      </c>
      <c r="AM7176">
        <v>102.112483503265</v>
      </c>
      <c r="AN7176">
        <v>1.0000000090165999</v>
      </c>
    </row>
    <row r="7177" spans="1:40" x14ac:dyDescent="0.25">
      <c r="A7177" t="str">
        <f>"20190305135105880"</f>
        <v>20190305135105880</v>
      </c>
      <c r="B7177" t="str">
        <f>"1551765065876774"</f>
        <v>1551765065876774</v>
      </c>
      <c r="C7177" t="s">
        <v>40</v>
      </c>
      <c r="D7177">
        <v>3.8639649999999999</v>
      </c>
      <c r="E7177">
        <v>0.55280319999999905</v>
      </c>
      <c r="F7177" t="s">
        <v>85</v>
      </c>
      <c r="G7177">
        <v>-190.40039999999999</v>
      </c>
      <c r="H7177" s="1">
        <v>-1.0197360000000001E-5</v>
      </c>
      <c r="I7177">
        <v>-67.140900000000002</v>
      </c>
      <c r="J7177">
        <v>-275.69630000000001</v>
      </c>
      <c r="K7177">
        <v>1.1082559999999999</v>
      </c>
      <c r="L7177">
        <v>-61.229059999999997</v>
      </c>
      <c r="M7177">
        <v>0.98979600000000001</v>
      </c>
      <c r="N7177">
        <v>-7.7054910000000001E-3</v>
      </c>
      <c r="O7177">
        <v>-0.14228289999999999</v>
      </c>
      <c r="P7177">
        <v>0.99497250000000004</v>
      </c>
      <c r="Q7177">
        <v>-7.2751860000000002E-2</v>
      </c>
      <c r="R7177">
        <v>6.8824170000000004E-2</v>
      </c>
      <c r="S7177">
        <v>3.0268860000000002</v>
      </c>
      <c r="T7177">
        <v>-3.9283159999999998E-2</v>
      </c>
      <c r="U7177">
        <v>-0.21008299999999999</v>
      </c>
      <c r="V7177">
        <v>-0.2098102</v>
      </c>
      <c r="W7177">
        <v>-6.4867309999999997E-2</v>
      </c>
      <c r="X7177">
        <v>0.97558800000000001</v>
      </c>
      <c r="Y7177">
        <v>-7.3399370000000005E-2</v>
      </c>
      <c r="Z7177">
        <v>1.4969339999999999E-3</v>
      </c>
      <c r="AA7177">
        <v>0.99730149999999995</v>
      </c>
      <c r="AB7177">
        <v>20</v>
      </c>
      <c r="AC7177">
        <v>85.295900000000003</v>
      </c>
      <c r="AD7177">
        <v>-1.1082661973600001</v>
      </c>
      <c r="AE7177">
        <v>-5.9118399999999998</v>
      </c>
      <c r="AF7177">
        <v>-6.2837634867882803</v>
      </c>
      <c r="AG7177">
        <v>-1.1082661973600001</v>
      </c>
      <c r="AH7177">
        <v>85.254905058122503</v>
      </c>
      <c r="AI7177">
        <v>90.742756656295995</v>
      </c>
      <c r="AJ7177">
        <v>94.215397133073196</v>
      </c>
      <c r="AK7177">
        <v>85.493349296840506</v>
      </c>
      <c r="AL7177">
        <v>93.719234424244803</v>
      </c>
      <c r="AM7177">
        <v>102.137179725035</v>
      </c>
      <c r="AN7177">
        <v>1.00000001683733</v>
      </c>
    </row>
    <row r="7178" spans="1:40" x14ac:dyDescent="0.25">
      <c r="A7178" t="str">
        <f>"20190305135105893"</f>
        <v>20190305135105893</v>
      </c>
      <c r="B7178" t="str">
        <f>"1551765065886518"</f>
        <v>1551765065886518</v>
      </c>
      <c r="C7178" t="s">
        <v>40</v>
      </c>
      <c r="D7178">
        <v>3.8419720000000002</v>
      </c>
      <c r="E7178">
        <v>0.55273139999999998</v>
      </c>
      <c r="F7178" t="s">
        <v>85</v>
      </c>
      <c r="G7178">
        <v>-187.83629999999999</v>
      </c>
      <c r="H7178" s="1">
        <v>-8.5595009999999993E-6</v>
      </c>
      <c r="I7178">
        <v>-67.323580000000007</v>
      </c>
      <c r="J7178">
        <v>-275.58909999999997</v>
      </c>
      <c r="K7178">
        <v>1.10822</v>
      </c>
      <c r="L7178">
        <v>-61.245119999999901</v>
      </c>
      <c r="M7178">
        <v>0.98971549999999997</v>
      </c>
      <c r="N7178">
        <v>-7.4765029999999998E-3</v>
      </c>
      <c r="O7178">
        <v>-0.14285499999999901</v>
      </c>
      <c r="P7178">
        <v>0.99497219999999997</v>
      </c>
      <c r="Q7178">
        <v>-7.2748240000000006E-2</v>
      </c>
      <c r="R7178">
        <v>6.8835149999999998E-2</v>
      </c>
      <c r="S7178">
        <v>3.0268549999999999</v>
      </c>
      <c r="T7178">
        <v>-3.818071E-2</v>
      </c>
      <c r="U7178">
        <v>-0.20996090000000001</v>
      </c>
      <c r="V7178">
        <v>-0.21038599999999999</v>
      </c>
      <c r="W7178">
        <v>-6.5082559999999998E-2</v>
      </c>
      <c r="X7178">
        <v>0.97544960000000003</v>
      </c>
      <c r="Y7178">
        <v>-7.401539E-2</v>
      </c>
      <c r="Z7178">
        <v>1.4653069999999999E-3</v>
      </c>
      <c r="AA7178">
        <v>0.99725600000000003</v>
      </c>
      <c r="AB7178">
        <v>20</v>
      </c>
      <c r="AC7178">
        <v>87.752799999999894</v>
      </c>
      <c r="AD7178">
        <v>-1.108228559501</v>
      </c>
      <c r="AE7178">
        <v>-6.0784600000000104</v>
      </c>
      <c r="AF7178">
        <v>-6.5191269048777496</v>
      </c>
      <c r="AG7178">
        <v>-1.108228559501</v>
      </c>
      <c r="AH7178">
        <v>87.707165111219993</v>
      </c>
      <c r="AI7178">
        <v>90.721934074632998</v>
      </c>
      <c r="AJ7178">
        <v>94.250882687630906</v>
      </c>
      <c r="AK7178">
        <v>87.956091306906103</v>
      </c>
      <c r="AL7178">
        <v>93.731593648821601</v>
      </c>
      <c r="AM7178">
        <v>102.171172512029</v>
      </c>
      <c r="AN7178">
        <v>0.99999996537615599</v>
      </c>
    </row>
    <row r="7179" spans="1:40" x14ac:dyDescent="0.25">
      <c r="A7179" t="str">
        <f>"20190305135105904"</f>
        <v>20190305135105904</v>
      </c>
      <c r="B7179" t="str">
        <f>"1551765065897253"</f>
        <v>1551765065897253</v>
      </c>
      <c r="C7179" t="s">
        <v>40</v>
      </c>
      <c r="D7179">
        <v>3.8933939999999998</v>
      </c>
      <c r="E7179">
        <v>0.55268260000000002</v>
      </c>
      <c r="F7179" t="s">
        <v>85</v>
      </c>
      <c r="G7179">
        <v>-185.68270000000001</v>
      </c>
      <c r="H7179" s="1">
        <v>-8.2691739999999992E-6</v>
      </c>
      <c r="I7179">
        <v>-67.460589999999996</v>
      </c>
      <c r="J7179">
        <v>-275.48970000000003</v>
      </c>
      <c r="K7179">
        <v>1.108185</v>
      </c>
      <c r="L7179">
        <v>-61.260039999999996</v>
      </c>
      <c r="M7179">
        <v>0.98963829999999997</v>
      </c>
      <c r="N7179">
        <v>-7.2664560000000001E-3</v>
      </c>
      <c r="O7179">
        <v>-0.1433981</v>
      </c>
      <c r="P7179">
        <v>0.99496629999999997</v>
      </c>
      <c r="Q7179">
        <v>-7.3156529999999997E-2</v>
      </c>
      <c r="R7179">
        <v>6.8485329999999997E-2</v>
      </c>
      <c r="S7179">
        <v>3.0269170000000001</v>
      </c>
      <c r="T7179">
        <v>-3.7311200000000003E-2</v>
      </c>
      <c r="U7179">
        <v>-0.209259</v>
      </c>
      <c r="V7179">
        <v>-0.21057519999999999</v>
      </c>
      <c r="W7179">
        <v>-6.5695320000000001E-2</v>
      </c>
      <c r="X7179">
        <v>0.97536769999999995</v>
      </c>
      <c r="Y7179">
        <v>-7.4794379999999994E-2</v>
      </c>
      <c r="Z7179">
        <v>1.4464020000000001E-3</v>
      </c>
      <c r="AA7179">
        <v>0.99719789999999997</v>
      </c>
      <c r="AB7179">
        <v>20</v>
      </c>
      <c r="AC7179">
        <v>89.807000000000002</v>
      </c>
      <c r="AD7179">
        <v>-1.108193269174</v>
      </c>
      <c r="AE7179">
        <v>-6.20054999999999</v>
      </c>
      <c r="AF7179">
        <v>-6.7410085647084603</v>
      </c>
      <c r="AG7179">
        <v>-1.108193269174</v>
      </c>
      <c r="AH7179">
        <v>89.754371739849205</v>
      </c>
      <c r="AI7179">
        <v>90.705405999493905</v>
      </c>
      <c r="AJ7179">
        <v>94.2951397980938</v>
      </c>
      <c r="AK7179">
        <v>90.013979665418404</v>
      </c>
      <c r="AL7179">
        <v>93.766777493403694</v>
      </c>
      <c r="AM7179">
        <v>102.182783627459</v>
      </c>
      <c r="AN7179">
        <v>0.99999997006411501</v>
      </c>
    </row>
    <row r="7180" spans="1:40" x14ac:dyDescent="0.25">
      <c r="A7180" t="str">
        <f>"20190305135105915"</f>
        <v>20190305135105915</v>
      </c>
      <c r="B7180" t="str">
        <f>"1551765065907014"</f>
        <v>1551765065907014</v>
      </c>
      <c r="C7180" t="s">
        <v>40</v>
      </c>
      <c r="D7180">
        <v>3.8201309999999999</v>
      </c>
      <c r="E7180">
        <v>0.5526297</v>
      </c>
      <c r="F7180" t="s">
        <v>85</v>
      </c>
      <c r="G7180">
        <v>-187.71889999999999</v>
      </c>
      <c r="H7180" s="1">
        <v>-8.5378949999999997E-6</v>
      </c>
      <c r="I7180">
        <v>-67.347530000000006</v>
      </c>
      <c r="J7180">
        <v>-275.38909999999998</v>
      </c>
      <c r="K7180">
        <v>1.1081620000000001</v>
      </c>
      <c r="L7180">
        <v>-61.2752699999999</v>
      </c>
      <c r="M7180">
        <v>0.98955950000000004</v>
      </c>
      <c r="N7180">
        <v>-7.0559949999999998E-3</v>
      </c>
      <c r="O7180">
        <v>-0.143952</v>
      </c>
      <c r="P7180">
        <v>0.99494199999999999</v>
      </c>
      <c r="Q7180">
        <v>-7.3716329999999997E-2</v>
      </c>
      <c r="R7180">
        <v>6.8239549999999996E-2</v>
      </c>
      <c r="S7180">
        <v>3.0268250000000001</v>
      </c>
      <c r="T7180">
        <v>-3.8216710000000001E-2</v>
      </c>
      <c r="U7180">
        <v>-0.20993039999999999</v>
      </c>
      <c r="V7180">
        <v>-0.21087510000000001</v>
      </c>
      <c r="W7180">
        <v>-6.6462049999999995E-2</v>
      </c>
      <c r="X7180">
        <v>0.97525099999999998</v>
      </c>
      <c r="Y7180">
        <v>-7.5129440000000006E-2</v>
      </c>
      <c r="Z7180">
        <v>1.5289489999999999E-3</v>
      </c>
      <c r="AA7180">
        <v>0.99717259999999996</v>
      </c>
      <c r="AB7180">
        <v>20</v>
      </c>
      <c r="AC7180">
        <v>87.670199999999994</v>
      </c>
      <c r="AD7180">
        <v>-1.108170537895</v>
      </c>
      <c r="AE7180">
        <v>-6.0722600000000098</v>
      </c>
      <c r="AF7180">
        <v>-6.6105515911783996</v>
      </c>
      <c r="AG7180">
        <v>-1.108170537895</v>
      </c>
      <c r="AH7180">
        <v>87.617243845164495</v>
      </c>
      <c r="AI7180">
        <v>90.722576832644407</v>
      </c>
      <c r="AJ7180">
        <v>94.314681162543707</v>
      </c>
      <c r="AK7180">
        <v>87.873254482258204</v>
      </c>
      <c r="AL7180">
        <v>93.8108039510049</v>
      </c>
      <c r="AM7180">
        <v>102.201031047246</v>
      </c>
      <c r="AN7180">
        <v>1.0000000124456001</v>
      </c>
    </row>
    <row r="7181" spans="1:40" x14ac:dyDescent="0.25">
      <c r="A7181" t="str">
        <f>"20190305135105926"</f>
        <v>20190305135105926</v>
      </c>
      <c r="B7181" t="str">
        <f>"1551765065916772"</f>
        <v>1551765065916772</v>
      </c>
      <c r="C7181" t="s">
        <v>40</v>
      </c>
      <c r="D7181">
        <v>3.8512390000000001</v>
      </c>
      <c r="E7181">
        <v>0.55263300000000004</v>
      </c>
      <c r="F7181" t="s">
        <v>85</v>
      </c>
      <c r="G7181">
        <v>-189.4511</v>
      </c>
      <c r="H7181" s="1">
        <v>-8.7683319999999996E-6</v>
      </c>
      <c r="I7181">
        <v>-67.246110000000002</v>
      </c>
      <c r="J7181">
        <v>-275.29070000000002</v>
      </c>
      <c r="K7181">
        <v>1.1081460000000001</v>
      </c>
      <c r="L7181">
        <v>-61.290129999999998</v>
      </c>
      <c r="M7181">
        <v>0.98948150000000001</v>
      </c>
      <c r="N7181">
        <v>-6.8520480000000003E-3</v>
      </c>
      <c r="O7181">
        <v>-0.1444974</v>
      </c>
      <c r="P7181">
        <v>0.99492510000000001</v>
      </c>
      <c r="Q7181">
        <v>-7.4175599999999994E-2</v>
      </c>
      <c r="R7181">
        <v>6.7987199999999998E-2</v>
      </c>
      <c r="S7181">
        <v>3.0267940000000002</v>
      </c>
      <c r="T7181">
        <v>-3.9030549999999997E-2</v>
      </c>
      <c r="U7181">
        <v>-0.2102966</v>
      </c>
      <c r="V7181">
        <v>-0.2111596</v>
      </c>
      <c r="W7181">
        <v>-6.7123790000000003E-2</v>
      </c>
      <c r="X7181">
        <v>0.97514409999999896</v>
      </c>
      <c r="Y7181">
        <v>-7.5557319999999997E-2</v>
      </c>
      <c r="Z7181">
        <v>1.6067239999999999E-3</v>
      </c>
      <c r="AA7181">
        <v>0.99714020000000003</v>
      </c>
      <c r="AB7181">
        <v>20</v>
      </c>
      <c r="AC7181">
        <v>85.839600000000004</v>
      </c>
      <c r="AD7181">
        <v>-1.1081547683320001</v>
      </c>
      <c r="AE7181">
        <v>-5.9559799999999896</v>
      </c>
      <c r="AF7181">
        <v>-6.5093399077201104</v>
      </c>
      <c r="AG7181">
        <v>-1.1081547683320001</v>
      </c>
      <c r="AH7181">
        <v>85.785101951322702</v>
      </c>
      <c r="AI7181">
        <v>90.737973007426106</v>
      </c>
      <c r="AJ7181">
        <v>94.339265952136302</v>
      </c>
      <c r="AK7181">
        <v>86.038847213474696</v>
      </c>
      <c r="AL7181">
        <v>93.848803775605703</v>
      </c>
      <c r="AM7181">
        <v>102.218296894633</v>
      </c>
      <c r="AN7181">
        <v>0.999999997810466</v>
      </c>
    </row>
    <row r="7182" spans="1:40" x14ac:dyDescent="0.25">
      <c r="A7182" t="str">
        <f>"20190305135105937"</f>
        <v>20190305135105937</v>
      </c>
      <c r="B7182" t="str">
        <f>"1551765065926533"</f>
        <v>1551765065926533</v>
      </c>
      <c r="C7182" t="s">
        <v>40</v>
      </c>
      <c r="D7182">
        <v>3.8581029999999998</v>
      </c>
      <c r="E7182">
        <v>0.55257109999999998</v>
      </c>
      <c r="F7182" t="s">
        <v>85</v>
      </c>
      <c r="G7182">
        <v>-191.40770000000001</v>
      </c>
      <c r="H7182" s="1">
        <v>-9.7570839999999997E-6</v>
      </c>
      <c r="I7182">
        <v>-67.141199999999998</v>
      </c>
      <c r="J7182">
        <v>-275.19400000000002</v>
      </c>
      <c r="K7182">
        <v>1.1081369999999999</v>
      </c>
      <c r="L7182">
        <v>-61.304870000000001</v>
      </c>
      <c r="M7182">
        <v>0.98940499999999998</v>
      </c>
      <c r="N7182">
        <v>-6.6555679999999997E-3</v>
      </c>
      <c r="O7182">
        <v>-0.145029399999999</v>
      </c>
      <c r="P7182">
        <v>0.99496459999999998</v>
      </c>
      <c r="Q7182">
        <v>-7.4029540000000005E-2</v>
      </c>
      <c r="R7182">
        <v>6.7566219999999996E-2</v>
      </c>
      <c r="S7182">
        <v>3.0267029999999999</v>
      </c>
      <c r="T7182">
        <v>-3.9984939999999997E-2</v>
      </c>
      <c r="U7182">
        <v>-0.21112059999999999</v>
      </c>
      <c r="V7182">
        <v>-0.21127090000000001</v>
      </c>
      <c r="W7182">
        <v>-6.7174929999999994E-2</v>
      </c>
      <c r="X7182">
        <v>0.97511650000000005</v>
      </c>
      <c r="Y7182">
        <v>-7.5820239999999997E-2</v>
      </c>
      <c r="Z7182">
        <v>1.691012E-3</v>
      </c>
      <c r="AA7182">
        <v>0.99712009999999995</v>
      </c>
      <c r="AB7182">
        <v>20</v>
      </c>
      <c r="AC7182">
        <v>83.786299999999997</v>
      </c>
      <c r="AD7182">
        <v>-1.108146757084</v>
      </c>
      <c r="AE7182">
        <v>-5.8363300000000002</v>
      </c>
      <c r="AF7182">
        <v>-6.3760138004220703</v>
      </c>
      <c r="AG7182">
        <v>-1.108146757084</v>
      </c>
      <c r="AH7182">
        <v>83.732299181724599</v>
      </c>
      <c r="AI7182">
        <v>90.756042493453904</v>
      </c>
      <c r="AJ7182">
        <v>94.354532670761401</v>
      </c>
      <c r="AK7182">
        <v>83.982018715176395</v>
      </c>
      <c r="AL7182">
        <v>93.851740399546898</v>
      </c>
      <c r="AM7182">
        <v>102.22487900724801</v>
      </c>
      <c r="AN7182">
        <v>1.0000000264897799</v>
      </c>
    </row>
    <row r="7183" spans="1:40" x14ac:dyDescent="0.25">
      <c r="A7183" t="str">
        <f>"20190305135105948"</f>
        <v>20190305135105948</v>
      </c>
      <c r="B7183" t="str">
        <f>"1551765065937269"</f>
        <v>1551765065937269</v>
      </c>
      <c r="C7183" t="s">
        <v>40</v>
      </c>
      <c r="D7183">
        <v>3.7962829999999999</v>
      </c>
      <c r="E7183">
        <v>0.55282319999999996</v>
      </c>
      <c r="F7183" t="s">
        <v>85</v>
      </c>
      <c r="G7183">
        <v>-190.38890000000001</v>
      </c>
      <c r="H7183" s="1">
        <v>-1.021121E-5</v>
      </c>
      <c r="I7183">
        <v>-67.241739999999993</v>
      </c>
      <c r="J7183">
        <v>-275.09230000000002</v>
      </c>
      <c r="K7183">
        <v>1.108128</v>
      </c>
      <c r="L7183">
        <v>-61.320369999999997</v>
      </c>
      <c r="M7183">
        <v>0.98932450000000005</v>
      </c>
      <c r="N7183">
        <v>-6.4508450000000002E-3</v>
      </c>
      <c r="O7183">
        <v>-0.1455872</v>
      </c>
      <c r="P7183">
        <v>0.99500549999999999</v>
      </c>
      <c r="Q7183">
        <v>-7.3941010000000001E-2</v>
      </c>
      <c r="R7183">
        <v>6.7059640000000004E-2</v>
      </c>
      <c r="S7183">
        <v>3.0266419999999998</v>
      </c>
      <c r="T7183">
        <v>-3.9549109999999998E-2</v>
      </c>
      <c r="U7183">
        <v>-0.2118835</v>
      </c>
      <c r="V7183">
        <v>-0.2113227</v>
      </c>
      <c r="W7183">
        <v>-6.729309E-2</v>
      </c>
      <c r="X7183">
        <v>0.97509710000000005</v>
      </c>
      <c r="Y7183">
        <v>-7.6130909999999996E-2</v>
      </c>
      <c r="Z7183">
        <v>1.693412E-3</v>
      </c>
      <c r="AA7183">
        <v>0.99709639999999999</v>
      </c>
      <c r="AB7183">
        <v>20</v>
      </c>
      <c r="AC7183">
        <v>84.703400000000002</v>
      </c>
      <c r="AD7183">
        <v>-1.10813821121</v>
      </c>
      <c r="AE7183">
        <v>-5.9213699999999996</v>
      </c>
      <c r="AF7183">
        <v>-6.472606009343</v>
      </c>
      <c r="AG7183">
        <v>-1.10813821121</v>
      </c>
      <c r="AH7183">
        <v>84.648559659337593</v>
      </c>
      <c r="AI7183">
        <v>90.747836064241099</v>
      </c>
      <c r="AJ7183">
        <v>94.372581930372903</v>
      </c>
      <c r="AK7183">
        <v>84.902893067596693</v>
      </c>
      <c r="AL7183">
        <v>93.858525928877796</v>
      </c>
      <c r="AM7183">
        <v>102.228022120112</v>
      </c>
      <c r="AN7183">
        <v>0.99999999896272396</v>
      </c>
    </row>
    <row r="7184" spans="1:40" x14ac:dyDescent="0.25">
      <c r="A7184" t="str">
        <f>"20190305135105959"</f>
        <v>20190305135105959</v>
      </c>
      <c r="B7184" t="str">
        <f>"1551765065956790"</f>
        <v>1551765065956790</v>
      </c>
      <c r="C7184" t="s">
        <v>40</v>
      </c>
      <c r="D7184">
        <v>3.819747</v>
      </c>
      <c r="E7184">
        <v>0.55320259999999999</v>
      </c>
      <c r="F7184" t="s">
        <v>85</v>
      </c>
      <c r="G7184">
        <v>-184.44130000000001</v>
      </c>
      <c r="H7184" s="1">
        <v>-8.0211679999999995E-6</v>
      </c>
      <c r="I7184">
        <v>-67.769329999999997</v>
      </c>
      <c r="J7184">
        <v>-274.99400000000003</v>
      </c>
      <c r="K7184">
        <v>1.108128</v>
      </c>
      <c r="L7184">
        <v>-61.335450000000002</v>
      </c>
      <c r="M7184">
        <v>0.98924869999999998</v>
      </c>
      <c r="N7184">
        <v>-6.2591280000000001E-3</v>
      </c>
      <c r="O7184">
        <v>-0.14610970000000001</v>
      </c>
      <c r="P7184">
        <v>0.99505370000000004</v>
      </c>
      <c r="Q7184">
        <v>-7.3492810000000006E-2</v>
      </c>
      <c r="R7184">
        <v>6.6835759999999994E-2</v>
      </c>
      <c r="S7184">
        <v>3.0268549999999999</v>
      </c>
      <c r="T7184">
        <v>-3.7000890000000002E-2</v>
      </c>
      <c r="U7184">
        <v>-0.215332</v>
      </c>
      <c r="V7184">
        <v>-0.21161930000000001</v>
      </c>
      <c r="W7184">
        <v>-6.7040970000000005E-2</v>
      </c>
      <c r="X7184">
        <v>0.97505019999999998</v>
      </c>
      <c r="Y7184">
        <v>-7.5533580000000003E-2</v>
      </c>
      <c r="Z7184">
        <v>1.557391E-3</v>
      </c>
      <c r="AA7184">
        <v>0.99714199999999997</v>
      </c>
      <c r="AB7184">
        <v>20</v>
      </c>
      <c r="AC7184">
        <v>90.552700000000002</v>
      </c>
      <c r="AD7184">
        <v>-1.108136021168</v>
      </c>
      <c r="AE7184">
        <v>-6.4338800000000003</v>
      </c>
      <c r="AF7184">
        <v>-6.8650312612772701</v>
      </c>
      <c r="AG7184">
        <v>-1.108136021168</v>
      </c>
      <c r="AH7184">
        <v>90.5074707018575</v>
      </c>
      <c r="AI7184">
        <v>90.6994617500212</v>
      </c>
      <c r="AJ7184">
        <v>94.337604177632301</v>
      </c>
      <c r="AK7184">
        <v>90.774219206266494</v>
      </c>
      <c r="AL7184">
        <v>93.844047601455202</v>
      </c>
      <c r="AM7184">
        <v>102.245238379866</v>
      </c>
      <c r="AN7184">
        <v>1.00000005615553</v>
      </c>
    </row>
    <row r="7185" spans="1:40" x14ac:dyDescent="0.25">
      <c r="A7185" t="str">
        <f>"20190305135105970"</f>
        <v>20190305135105970</v>
      </c>
      <c r="B7185" t="str">
        <f>"1551765065966549"</f>
        <v>1551765065966549</v>
      </c>
      <c r="C7185" t="s">
        <v>40</v>
      </c>
      <c r="D7185">
        <v>3.8576730000000001</v>
      </c>
      <c r="E7185">
        <v>0.5925802</v>
      </c>
      <c r="F7185" t="s">
        <v>85</v>
      </c>
      <c r="G7185">
        <v>-180.1704</v>
      </c>
      <c r="H7185">
        <v>7.2127590000000005E-2</v>
      </c>
      <c r="I7185">
        <v>-68.191450000000003</v>
      </c>
      <c r="J7185">
        <v>-274.89519999999999</v>
      </c>
      <c r="K7185">
        <v>1.1081259999999999</v>
      </c>
      <c r="L7185">
        <v>-61.350589999999997</v>
      </c>
      <c r="M7185">
        <v>0.98917270000000002</v>
      </c>
      <c r="N7185">
        <v>-6.0677329999999996E-3</v>
      </c>
      <c r="O7185">
        <v>-0.14663119999999999</v>
      </c>
      <c r="P7185">
        <v>0.99515379999999998</v>
      </c>
      <c r="Q7185">
        <v>-7.2454089999999999E-2</v>
      </c>
      <c r="R7185">
        <v>6.6478389999999998E-2</v>
      </c>
      <c r="S7185">
        <v>3.027161</v>
      </c>
      <c r="T7185">
        <v>-3.3073430000000001E-2</v>
      </c>
      <c r="U7185">
        <v>-0.21887210000000001</v>
      </c>
      <c r="V7185">
        <v>-0.2117897</v>
      </c>
      <c r="W7185">
        <v>-6.619833E-2</v>
      </c>
      <c r="X7185">
        <v>0.97507069999999996</v>
      </c>
      <c r="Y7185">
        <v>-7.4908520000000006E-2</v>
      </c>
      <c r="Z7185">
        <v>1.337516E-3</v>
      </c>
      <c r="AA7185">
        <v>0.99718949999999995</v>
      </c>
      <c r="AB7185">
        <v>20</v>
      </c>
      <c r="AC7185">
        <v>94.724800000000002</v>
      </c>
      <c r="AD7185">
        <v>-1.0359984099999999</v>
      </c>
      <c r="AE7185">
        <v>-6.8408599999999904</v>
      </c>
      <c r="AF7185">
        <v>-7.1221022045954498</v>
      </c>
      <c r="AG7185">
        <v>-1.0359984099999999</v>
      </c>
      <c r="AH7185">
        <v>94.692737622517896</v>
      </c>
      <c r="AI7185">
        <v>90.625061698226403</v>
      </c>
      <c r="AJ7185">
        <v>94.301275233457204</v>
      </c>
      <c r="AK7185">
        <v>94.965847497746495</v>
      </c>
      <c r="AL7185">
        <v>93.795660670388102</v>
      </c>
      <c r="AM7185">
        <v>102.254550761837</v>
      </c>
      <c r="AN7185">
        <v>0.99999998295968395</v>
      </c>
    </row>
    <row r="7186" spans="1:40" x14ac:dyDescent="0.25">
      <c r="A7186" t="str">
        <f>"20190305135105993"</f>
        <v>20190305135105993</v>
      </c>
      <c r="B7186" t="str">
        <f>"1551765065987045"</f>
        <v>1551765065987045</v>
      </c>
      <c r="C7186" t="s">
        <v>40</v>
      </c>
      <c r="D7186">
        <v>3.8182399999999999</v>
      </c>
      <c r="E7186">
        <v>0.60465089999999999</v>
      </c>
      <c r="F7186" t="s">
        <v>47</v>
      </c>
      <c r="G7186">
        <v>0</v>
      </c>
      <c r="H7186">
        <v>0</v>
      </c>
      <c r="I7186">
        <v>0</v>
      </c>
      <c r="J7186">
        <v>-274.68150000000003</v>
      </c>
      <c r="K7186">
        <v>1.1081430000000001</v>
      </c>
      <c r="L7186">
        <v>-61.383510000000001</v>
      </c>
      <c r="M7186">
        <v>0.98901899999999998</v>
      </c>
      <c r="N7186">
        <v>-5.6783110000000001E-3</v>
      </c>
      <c r="O7186">
        <v>-0.1476799</v>
      </c>
      <c r="P7186">
        <v>0.99529239999999997</v>
      </c>
      <c r="Q7186">
        <v>-7.0903270000000004E-2</v>
      </c>
      <c r="R7186">
        <v>6.6074579999999994E-2</v>
      </c>
      <c r="S7186">
        <v>3.0582280000000002</v>
      </c>
      <c r="T7186">
        <v>0.11266760000000001</v>
      </c>
      <c r="U7186">
        <v>-0.53021240000000003</v>
      </c>
      <c r="V7186">
        <v>-0.21243339999999999</v>
      </c>
      <c r="W7186">
        <v>-6.5054329999999994E-2</v>
      </c>
      <c r="X7186">
        <v>0.97500770000000003</v>
      </c>
      <c r="Y7186">
        <v>2.355492E-2</v>
      </c>
      <c r="Z7186">
        <v>-5.8405530000000001E-3</v>
      </c>
      <c r="AA7186">
        <v>0.99970550000000002</v>
      </c>
      <c r="AB7186">
        <v>21</v>
      </c>
      <c r="AC7186">
        <v>3.0582280000000002</v>
      </c>
      <c r="AD7186">
        <v>0.11266760000000001</v>
      </c>
      <c r="AE7186">
        <v>-0.53021240000000003</v>
      </c>
      <c r="AF7186">
        <v>7.2656763384505094E-2</v>
      </c>
      <c r="AG7186">
        <v>0.11266760000000001</v>
      </c>
      <c r="AH7186">
        <v>3.0989138093776698</v>
      </c>
      <c r="AI7186">
        <v>87.918378802204401</v>
      </c>
      <c r="AJ7186">
        <v>88.656896060100706</v>
      </c>
      <c r="AK7186">
        <v>3.1018123397953801</v>
      </c>
      <c r="AL7186">
        <v>93.729972567909599</v>
      </c>
      <c r="AM7186">
        <v>102.291435986233</v>
      </c>
      <c r="AN7186">
        <v>1.00000001517329</v>
      </c>
    </row>
    <row r="7187" spans="1:40" x14ac:dyDescent="0.25">
      <c r="A7187" t="str">
        <f>"20190305135106015"</f>
        <v>20190305135106015</v>
      </c>
      <c r="B7187" t="str">
        <f>"1551765066006565"</f>
        <v>1551765066006565</v>
      </c>
      <c r="C7187" t="s">
        <v>40</v>
      </c>
      <c r="D7187">
        <v>4.0146519999999999</v>
      </c>
      <c r="E7187">
        <v>0.60465089999999999</v>
      </c>
      <c r="F7187" t="s">
        <v>65</v>
      </c>
      <c r="G7187">
        <v>-177.92099999999999</v>
      </c>
      <c r="H7187">
        <v>4.7204139999999999</v>
      </c>
      <c r="I7187">
        <v>-81.199950000000001</v>
      </c>
      <c r="J7187">
        <v>-274.4812</v>
      </c>
      <c r="K7187">
        <v>1.1081719999999999</v>
      </c>
      <c r="L7187">
        <v>-61.414490000000001</v>
      </c>
      <c r="M7187">
        <v>0.98888679999999995</v>
      </c>
      <c r="N7187">
        <v>-5.3404730000000001E-3</v>
      </c>
      <c r="O7187">
        <v>-0.14857429999999999</v>
      </c>
      <c r="P7187">
        <v>0.99536159999999996</v>
      </c>
      <c r="Q7187">
        <v>-6.9838090000000005E-2</v>
      </c>
      <c r="R7187">
        <v>6.6167199999999995E-2</v>
      </c>
      <c r="S7187">
        <v>3.0639949999999998</v>
      </c>
      <c r="T7187">
        <v>0.1143854</v>
      </c>
      <c r="U7187">
        <v>-0.62750240000000002</v>
      </c>
      <c r="V7187">
        <v>-0.21340590000000001</v>
      </c>
      <c r="W7187">
        <v>-6.4348719999999998E-2</v>
      </c>
      <c r="X7187">
        <v>0.97484210000000004</v>
      </c>
      <c r="Y7187">
        <v>5.2950820000000003E-2</v>
      </c>
      <c r="Z7187">
        <v>-5.4071769999999896E-3</v>
      </c>
      <c r="AA7187">
        <v>0.99858250000000004</v>
      </c>
      <c r="AB7187">
        <v>21</v>
      </c>
      <c r="AC7187">
        <v>96.560199999999995</v>
      </c>
      <c r="AD7187">
        <v>3.61224199999999</v>
      </c>
      <c r="AE7187">
        <v>-19.78546</v>
      </c>
      <c r="AF7187">
        <v>5.2122902469408503</v>
      </c>
      <c r="AG7187">
        <v>3.61224199999999</v>
      </c>
      <c r="AH7187">
        <v>98.296106623195698</v>
      </c>
      <c r="AI7187">
        <v>87.898358677231798</v>
      </c>
      <c r="AJ7187">
        <v>86.964652957404795</v>
      </c>
      <c r="AK7187">
        <v>98.500461111426105</v>
      </c>
      <c r="AL7187">
        <v>93.689459341073501</v>
      </c>
      <c r="AM7187">
        <v>102.348016040799</v>
      </c>
      <c r="AN7187">
        <v>0.99999997792642903</v>
      </c>
    </row>
    <row r="7188" spans="1:40" x14ac:dyDescent="0.25">
      <c r="A7188" t="str">
        <f>"20190305135106026"</f>
        <v>20190305135106026</v>
      </c>
      <c r="B7188" t="str">
        <f>"1551765066017301"</f>
        <v>1551765066017301</v>
      </c>
      <c r="C7188" t="s">
        <v>40</v>
      </c>
      <c r="D7188">
        <v>3.9464109999999999</v>
      </c>
      <c r="E7188">
        <v>0.65502669999999996</v>
      </c>
      <c r="F7188" t="s">
        <v>65</v>
      </c>
      <c r="G7188">
        <v>-177.92099999999999</v>
      </c>
      <c r="H7188">
        <v>4.8004829999999998</v>
      </c>
      <c r="I7188">
        <v>-81.188580000000002</v>
      </c>
      <c r="J7188">
        <v>-274.37939999999998</v>
      </c>
      <c r="K7188">
        <v>1.1081920000000001</v>
      </c>
      <c r="L7188">
        <v>-61.430239999999998</v>
      </c>
      <c r="M7188">
        <v>0.98882479999999995</v>
      </c>
      <c r="N7188">
        <v>-5.1793849999999999E-3</v>
      </c>
      <c r="O7188">
        <v>-0.1489925</v>
      </c>
      <c r="P7188">
        <v>0.99535870000000004</v>
      </c>
      <c r="Q7188">
        <v>-6.9650240000000002E-2</v>
      </c>
      <c r="R7188">
        <v>6.6410330000000004E-2</v>
      </c>
      <c r="S7188">
        <v>3.063904</v>
      </c>
      <c r="T7188">
        <v>0.117159</v>
      </c>
      <c r="U7188">
        <v>-0.62744140000000004</v>
      </c>
      <c r="V7188">
        <v>-0.21405260000000001</v>
      </c>
      <c r="W7188">
        <v>-6.4335260000000005E-2</v>
      </c>
      <c r="X7188">
        <v>0.97470120000000005</v>
      </c>
      <c r="Y7188">
        <v>5.2518820000000001E-2</v>
      </c>
      <c r="Z7188">
        <v>-5.512365E-3</v>
      </c>
      <c r="AA7188">
        <v>0.99860470000000001</v>
      </c>
      <c r="AB7188">
        <v>21</v>
      </c>
      <c r="AC7188">
        <v>96.458399999999898</v>
      </c>
      <c r="AD7188">
        <v>3.692291</v>
      </c>
      <c r="AE7188">
        <v>-19.75834</v>
      </c>
      <c r="AF7188">
        <v>5.1587730289243803</v>
      </c>
      <c r="AG7188">
        <v>3.692291</v>
      </c>
      <c r="AH7188">
        <v>98.187541835771896</v>
      </c>
      <c r="AI7188">
        <v>87.849400478286896</v>
      </c>
      <c r="AJ7188">
        <v>86.992445357315503</v>
      </c>
      <c r="AK7188">
        <v>98.392272683092799</v>
      </c>
      <c r="AL7188">
        <v>93.688686511443294</v>
      </c>
      <c r="AM7188">
        <v>102.38601718656599</v>
      </c>
      <c r="AN7188">
        <v>0.99999998526373302</v>
      </c>
    </row>
    <row r="7189" spans="1:40" x14ac:dyDescent="0.25">
      <c r="A7189" t="str">
        <f>"20190305135106070"</f>
        <v>20190305135106070</v>
      </c>
      <c r="B7189" t="str">
        <f>"1551765066067077"</f>
        <v>1551765066067077</v>
      </c>
      <c r="C7189" t="s">
        <v>40</v>
      </c>
      <c r="D7189">
        <v>4.0195980000000002</v>
      </c>
      <c r="E7189">
        <v>0.65515999999999996</v>
      </c>
      <c r="F7189" t="s">
        <v>41</v>
      </c>
      <c r="G7189">
        <v>-273.661</v>
      </c>
      <c r="H7189">
        <v>1.010637</v>
      </c>
      <c r="I7189">
        <v>-61.674639999999997</v>
      </c>
      <c r="J7189">
        <v>-273.9615</v>
      </c>
      <c r="K7189">
        <v>1.1083190000000001</v>
      </c>
      <c r="L7189">
        <v>-61.495060000000002</v>
      </c>
      <c r="M7189">
        <v>0.98862349999999999</v>
      </c>
      <c r="N7189">
        <v>-4.6086870000000002E-3</v>
      </c>
      <c r="O7189">
        <v>-0.15034029999999901</v>
      </c>
      <c r="P7189">
        <v>0.9953668</v>
      </c>
      <c r="Q7189">
        <v>-6.9116129999999998E-2</v>
      </c>
      <c r="R7189">
        <v>6.6842239999999997E-2</v>
      </c>
      <c r="S7189">
        <v>3.05423</v>
      </c>
      <c r="T7189">
        <v>-0.41470069999999998</v>
      </c>
      <c r="U7189">
        <v>-1.0388489999999999</v>
      </c>
      <c r="V7189">
        <v>-0.21578049999999999</v>
      </c>
      <c r="W7189">
        <v>-6.4451019999999998E-2</v>
      </c>
      <c r="X7189">
        <v>0.97431250000000003</v>
      </c>
      <c r="Y7189">
        <v>0.1756742</v>
      </c>
      <c r="Z7189">
        <v>6.9468960000000001E-3</v>
      </c>
      <c r="AA7189">
        <v>0.98442390000000002</v>
      </c>
      <c r="AB7189">
        <v>21</v>
      </c>
      <c r="AC7189">
        <v>0.30049999999999899</v>
      </c>
      <c r="AD7189">
        <v>-9.7682000000000005E-2</v>
      </c>
      <c r="AE7189">
        <v>-0.17958000000000801</v>
      </c>
      <c r="AF7189">
        <v>0.122799873535026</v>
      </c>
      <c r="AG7189">
        <v>-9.7682000000000005E-2</v>
      </c>
      <c r="AH7189">
        <v>0.300672363656179</v>
      </c>
      <c r="AI7189">
        <v>106.739251893564</v>
      </c>
      <c r="AJ7189">
        <v>67.784033186661304</v>
      </c>
      <c r="AK7189">
        <v>0.339154024494494</v>
      </c>
      <c r="AL7189">
        <v>93.695332799478095</v>
      </c>
      <c r="AM7189">
        <v>102.487702777075</v>
      </c>
      <c r="AN7189">
        <v>1.00000000290777</v>
      </c>
    </row>
    <row r="7190" spans="1:40" x14ac:dyDescent="0.25">
      <c r="A7190" t="str">
        <f>"20190305135106081"</f>
        <v>20190305135106081</v>
      </c>
      <c r="B7190" t="str">
        <f>"1551765066076861"</f>
        <v>1551765066076861</v>
      </c>
      <c r="C7190" t="s">
        <v>40</v>
      </c>
      <c r="D7190">
        <v>4.0087120000000001</v>
      </c>
      <c r="E7190">
        <v>0.65588049999999998</v>
      </c>
      <c r="F7190" t="s">
        <v>41</v>
      </c>
      <c r="G7190">
        <v>-273.11270000000002</v>
      </c>
      <c r="H7190">
        <v>0.98284590000000005</v>
      </c>
      <c r="I7190">
        <v>-61.783859999999997</v>
      </c>
      <c r="J7190">
        <v>-273.85109999999997</v>
      </c>
      <c r="K7190">
        <v>1.108368</v>
      </c>
      <c r="L7190">
        <v>-61.512180000000001</v>
      </c>
      <c r="M7190">
        <v>0.98859019999999997</v>
      </c>
      <c r="N7190">
        <v>-4.4848630000000004E-3</v>
      </c>
      <c r="O7190">
        <v>-0.15056449999999999</v>
      </c>
      <c r="P7190">
        <v>0.99535479999999998</v>
      </c>
      <c r="Q7190">
        <v>-6.9375790000000007E-2</v>
      </c>
      <c r="R7190">
        <v>6.6754270000000004E-2</v>
      </c>
      <c r="S7190">
        <v>3.052368</v>
      </c>
      <c r="T7190">
        <v>-0.45114399999999899</v>
      </c>
      <c r="U7190">
        <v>-1.038483</v>
      </c>
      <c r="V7190">
        <v>-0.21590300000000001</v>
      </c>
      <c r="W7190">
        <v>-6.4864039999999998E-2</v>
      </c>
      <c r="X7190">
        <v>0.97425790000000001</v>
      </c>
      <c r="Y7190">
        <v>0.1754848</v>
      </c>
      <c r="Z7190">
        <v>7.726096E-3</v>
      </c>
      <c r="AA7190">
        <v>0.98445179999999999</v>
      </c>
      <c r="AB7190">
        <v>21</v>
      </c>
      <c r="AC7190">
        <v>0.73839999999995498</v>
      </c>
      <c r="AD7190">
        <v>-0.125522099999999</v>
      </c>
      <c r="AE7190">
        <v>-0.27167999999998899</v>
      </c>
      <c r="AF7190">
        <v>0.15349811007219299</v>
      </c>
      <c r="AG7190">
        <v>-0.125522099999999</v>
      </c>
      <c r="AH7190">
        <v>0.75175447577874299</v>
      </c>
      <c r="AI7190">
        <v>99.291094128253903</v>
      </c>
      <c r="AJ7190">
        <v>78.459611630853303</v>
      </c>
      <c r="AK7190">
        <v>0.77746527847712799</v>
      </c>
      <c r="AL7190">
        <v>93.719046911613304</v>
      </c>
      <c r="AM7190">
        <v>102.495247796557</v>
      </c>
      <c r="AN7190">
        <v>0.999999952403264</v>
      </c>
    </row>
    <row r="7191" spans="1:40" x14ac:dyDescent="0.25">
      <c r="A7191" t="str">
        <f>"20190305135106094"</f>
        <v>20190305135106094</v>
      </c>
      <c r="B7191" t="str">
        <f>"1551765066086597"</f>
        <v>1551765066086597</v>
      </c>
      <c r="C7191" t="s">
        <v>40</v>
      </c>
      <c r="D7191">
        <v>4.1120449999999904</v>
      </c>
      <c r="E7191">
        <v>0.6550897</v>
      </c>
      <c r="F7191" t="s">
        <v>41</v>
      </c>
      <c r="G7191">
        <v>-273.10539999999997</v>
      </c>
      <c r="H7191">
        <v>0.99412639999999997</v>
      </c>
      <c r="I7191">
        <v>-61.767440000000001</v>
      </c>
      <c r="J7191">
        <v>-273.74149999999997</v>
      </c>
      <c r="K7191">
        <v>1.108417</v>
      </c>
      <c r="L7191">
        <v>-61.529110000000003</v>
      </c>
      <c r="M7191">
        <v>0.98856129999999998</v>
      </c>
      <c r="N7191">
        <v>-4.3677610000000004E-3</v>
      </c>
      <c r="O7191">
        <v>-0.15075620000000001</v>
      </c>
      <c r="P7191">
        <v>0.9953535</v>
      </c>
      <c r="Q7191">
        <v>-6.9516750000000002E-2</v>
      </c>
      <c r="R7191">
        <v>6.6626889999999994E-2</v>
      </c>
      <c r="S7191">
        <v>3.0514830000000002</v>
      </c>
      <c r="T7191">
        <v>-0.46743849999999998</v>
      </c>
      <c r="U7191">
        <v>-1.0444639999999901</v>
      </c>
      <c r="V7191">
        <v>-0.21595610000000001</v>
      </c>
      <c r="W7191">
        <v>-6.5152009999999996E-2</v>
      </c>
      <c r="X7191">
        <v>0.97422699999999995</v>
      </c>
      <c r="Y7191">
        <v>0.1770747</v>
      </c>
      <c r="Z7191">
        <v>7.9729329999999998E-3</v>
      </c>
      <c r="AA7191">
        <v>0.98416510000000001</v>
      </c>
      <c r="AB7191">
        <v>21</v>
      </c>
      <c r="AC7191">
        <v>0.636099999999999</v>
      </c>
      <c r="AD7191">
        <v>-0.11429059999999901</v>
      </c>
      <c r="AE7191">
        <v>-0.23833000000000401</v>
      </c>
      <c r="AF7191">
        <v>0.135863021402161</v>
      </c>
      <c r="AG7191">
        <v>-0.11429059999999901</v>
      </c>
      <c r="AH7191">
        <v>0.646459474388554</v>
      </c>
      <c r="AI7191">
        <v>99.815855931415896</v>
      </c>
      <c r="AJ7191">
        <v>78.131178056270301</v>
      </c>
      <c r="AK7191">
        <v>0.67039611712748604</v>
      </c>
      <c r="AL7191">
        <v>93.735581045475996</v>
      </c>
      <c r="AM7191">
        <v>102.498608329625</v>
      </c>
      <c r="AN7191">
        <v>1.00000003453162</v>
      </c>
    </row>
    <row r="7192" spans="1:40" x14ac:dyDescent="0.25">
      <c r="A7192" t="str">
        <f>"20190305135106104"</f>
        <v>20190305135106104</v>
      </c>
      <c r="B7192" t="str">
        <f>"1551765066097333"</f>
        <v>1551765066097333</v>
      </c>
      <c r="C7192" t="s">
        <v>40</v>
      </c>
      <c r="D7192">
        <v>4.056959</v>
      </c>
      <c r="E7192">
        <v>0.65518759999999998</v>
      </c>
      <c r="F7192" t="s">
        <v>41</v>
      </c>
      <c r="G7192">
        <v>-272.92840000000001</v>
      </c>
      <c r="H7192">
        <v>0.96745680000000001</v>
      </c>
      <c r="I7192">
        <v>-61.806719999999999</v>
      </c>
      <c r="J7192">
        <v>-273.64159999999998</v>
      </c>
      <c r="K7192">
        <v>1.1084609999999999</v>
      </c>
      <c r="L7192">
        <v>-61.544530000000002</v>
      </c>
      <c r="M7192">
        <v>0.98854249999999999</v>
      </c>
      <c r="N7192">
        <v>-4.2701670000000001E-3</v>
      </c>
      <c r="O7192">
        <v>-0.150882399999999</v>
      </c>
      <c r="P7192">
        <v>0.99533110000000002</v>
      </c>
      <c r="Q7192">
        <v>-7.0025760000000006E-2</v>
      </c>
      <c r="R7192">
        <v>6.6425929999999994E-2</v>
      </c>
      <c r="S7192">
        <v>3.0466920000000002</v>
      </c>
      <c r="T7192">
        <v>-0.5281496</v>
      </c>
      <c r="U7192">
        <v>-1.039185</v>
      </c>
      <c r="V7192">
        <v>-0.21586900000000001</v>
      </c>
      <c r="W7192">
        <v>-6.5786990000000004E-2</v>
      </c>
      <c r="X7192">
        <v>0.97420359999999995</v>
      </c>
      <c r="Y7192">
        <v>0.17582059999999999</v>
      </c>
      <c r="Z7192">
        <v>9.2987690000000001E-3</v>
      </c>
      <c r="AA7192">
        <v>0.98437830000000004</v>
      </c>
      <c r="AB7192">
        <v>21</v>
      </c>
      <c r="AC7192">
        <v>0.71319999999997197</v>
      </c>
      <c r="AD7192">
        <v>-0.1410042</v>
      </c>
      <c r="AE7192">
        <v>-0.26218999999999598</v>
      </c>
      <c r="AF7192">
        <v>0.146532301457101</v>
      </c>
      <c r="AG7192">
        <v>-0.1410042</v>
      </c>
      <c r="AH7192">
        <v>0.71980916079994695</v>
      </c>
      <c r="AI7192">
        <v>100.86598688428801</v>
      </c>
      <c r="AJ7192">
        <v>78.493467081492199</v>
      </c>
      <c r="AK7192">
        <v>0.74798337398599901</v>
      </c>
      <c r="AL7192">
        <v>93.772041057373499</v>
      </c>
      <c r="AM7192">
        <v>102.494016340613</v>
      </c>
      <c r="AN7192">
        <v>1.0000000037336101</v>
      </c>
    </row>
    <row r="7193" spans="1:40" x14ac:dyDescent="0.25">
      <c r="A7193" t="str">
        <f>"20190305135106115"</f>
        <v>20190305135106115</v>
      </c>
      <c r="B7193" t="str">
        <f>"1551765066107094"</f>
        <v>1551765066107094</v>
      </c>
      <c r="C7193" t="s">
        <v>40</v>
      </c>
      <c r="D7193">
        <v>4.1070140000000004</v>
      </c>
      <c r="E7193">
        <v>0.65485740000000003</v>
      </c>
      <c r="F7193" t="s">
        <v>41</v>
      </c>
      <c r="G7193">
        <v>-272.92320000000001</v>
      </c>
      <c r="H7193">
        <v>0.9744775</v>
      </c>
      <c r="I7193">
        <v>-61.790500000000002</v>
      </c>
      <c r="J7193">
        <v>-273.5308</v>
      </c>
      <c r="K7193">
        <v>1.108514</v>
      </c>
      <c r="L7193">
        <v>-61.561579999999999</v>
      </c>
      <c r="M7193">
        <v>0.98852879999999999</v>
      </c>
      <c r="N7193">
        <v>-4.1699730000000004E-3</v>
      </c>
      <c r="O7193">
        <v>-0.15097579999999999</v>
      </c>
      <c r="P7193">
        <v>0.99532549999999997</v>
      </c>
      <c r="Q7193">
        <v>-7.0253549999999998E-2</v>
      </c>
      <c r="R7193">
        <v>6.6270010000000004E-2</v>
      </c>
      <c r="S7193">
        <v>3.0436100000000001</v>
      </c>
      <c r="T7193">
        <v>-0.56766159999999999</v>
      </c>
      <c r="U7193">
        <v>-1.040985</v>
      </c>
      <c r="V7193">
        <v>-0.2157956</v>
      </c>
      <c r="W7193">
        <v>-6.6146830000000004E-2</v>
      </c>
      <c r="X7193">
        <v>0.97419549999999999</v>
      </c>
      <c r="Y7193">
        <v>0.17648329999999901</v>
      </c>
      <c r="Z7193">
        <v>1.004712E-2</v>
      </c>
      <c r="AA7193">
        <v>0.98425229999999997</v>
      </c>
      <c r="AB7193">
        <v>21</v>
      </c>
      <c r="AC7193">
        <v>0.60759999999999004</v>
      </c>
      <c r="AD7193">
        <v>-0.1340365</v>
      </c>
      <c r="AE7193">
        <v>-0.22891999999999499</v>
      </c>
      <c r="AF7193">
        <v>0.12906226167217999</v>
      </c>
      <c r="AG7193">
        <v>-0.1340365</v>
      </c>
      <c r="AH7193">
        <v>0.60923430792271305</v>
      </c>
      <c r="AI7193">
        <v>102.146562402364</v>
      </c>
      <c r="AJ7193">
        <v>78.039100998847005</v>
      </c>
      <c r="AK7193">
        <v>0.63701592811346197</v>
      </c>
      <c r="AL7193">
        <v>93.792703360334102</v>
      </c>
      <c r="AM7193">
        <v>102.490002032436</v>
      </c>
      <c r="AN7193">
        <v>1.0000000081593201</v>
      </c>
    </row>
    <row r="7194" spans="1:40" x14ac:dyDescent="0.25">
      <c r="A7194" t="str">
        <f>"20190305135106127"</f>
        <v>20190305135106127</v>
      </c>
      <c r="B7194" t="str">
        <f>"1551765066116853"</f>
        <v>1551765066116853</v>
      </c>
      <c r="C7194" t="s">
        <v>40</v>
      </c>
      <c r="D7194">
        <v>3.9827360000000001</v>
      </c>
      <c r="E7194">
        <v>0.65493970000000001</v>
      </c>
      <c r="F7194" t="s">
        <v>41</v>
      </c>
      <c r="G7194">
        <v>-272.74220000000003</v>
      </c>
      <c r="H7194">
        <v>0.95382069999999997</v>
      </c>
      <c r="I7194">
        <v>-61.831200000000003</v>
      </c>
      <c r="J7194">
        <v>-273.41969999999998</v>
      </c>
      <c r="K7194">
        <v>1.108571</v>
      </c>
      <c r="L7194">
        <v>-61.57864</v>
      </c>
      <c r="M7194">
        <v>0.98852110000000004</v>
      </c>
      <c r="N7194">
        <v>-4.076517E-3</v>
      </c>
      <c r="O7194">
        <v>-0.15102889999999999</v>
      </c>
      <c r="P7194">
        <v>0.99532259999999995</v>
      </c>
      <c r="Q7194">
        <v>-7.0406789999999997E-2</v>
      </c>
      <c r="R7194">
        <v>6.6149959999999994E-2</v>
      </c>
      <c r="S7194">
        <v>3.0411679999999999</v>
      </c>
      <c r="T7194">
        <v>-0.59659280000000003</v>
      </c>
      <c r="U7194">
        <v>-1.039307</v>
      </c>
      <c r="V7194">
        <v>-0.2157181</v>
      </c>
      <c r="W7194">
        <v>-6.6425849999999995E-2</v>
      </c>
      <c r="X7194">
        <v>0.97419359999999999</v>
      </c>
      <c r="Y7194">
        <v>0.17614540000000001</v>
      </c>
      <c r="Z7194">
        <v>1.067501E-2</v>
      </c>
      <c r="AA7194">
        <v>0.98430629999999997</v>
      </c>
      <c r="AB7194">
        <v>22</v>
      </c>
      <c r="AC7194">
        <v>0.67749999999995203</v>
      </c>
      <c r="AD7194">
        <v>-0.15475029999999901</v>
      </c>
      <c r="AE7194">
        <v>-0.25256000000000201</v>
      </c>
      <c r="AF7194">
        <v>0.14088640402779901</v>
      </c>
      <c r="AG7194">
        <v>-0.15475029999999901</v>
      </c>
      <c r="AH7194">
        <v>0.676867304443588</v>
      </c>
      <c r="AI7194">
        <v>102.61656210944</v>
      </c>
      <c r="AJ7194">
        <v>78.242064741635204</v>
      </c>
      <c r="AK7194">
        <v>0.70848146201202999</v>
      </c>
      <c r="AL7194">
        <v>93.808725559928504</v>
      </c>
      <c r="AM7194">
        <v>102.48568069657701</v>
      </c>
      <c r="AN7194">
        <v>0.99999993124839304</v>
      </c>
    </row>
    <row r="7195" spans="1:40" x14ac:dyDescent="0.25">
      <c r="A7195" t="str">
        <f>"20190305135106138"</f>
        <v>20190305135106138</v>
      </c>
      <c r="B7195" t="str">
        <f>"1551765066126613"</f>
        <v>1551765066126613</v>
      </c>
      <c r="C7195" t="s">
        <v>40</v>
      </c>
      <c r="D7195">
        <v>3.9758450000000001</v>
      </c>
      <c r="E7195">
        <v>0.65540830000000005</v>
      </c>
      <c r="F7195" t="s">
        <v>41</v>
      </c>
      <c r="G7195">
        <v>-272.73200000000003</v>
      </c>
      <c r="H7195">
        <v>0.97133700000000001</v>
      </c>
      <c r="I7195">
        <v>-61.814120000000003</v>
      </c>
      <c r="J7195">
        <v>-273.31639999999999</v>
      </c>
      <c r="K7195">
        <v>1.1086309999999999</v>
      </c>
      <c r="L7195">
        <v>-61.594450000000002</v>
      </c>
      <c r="M7195">
        <v>0.98852490000000004</v>
      </c>
      <c r="N7195">
        <v>-3.9994799999999997E-3</v>
      </c>
      <c r="O7195">
        <v>-0.151006</v>
      </c>
      <c r="P7195">
        <v>0.99529089999999998</v>
      </c>
      <c r="Q7195">
        <v>-7.0346409999999998E-2</v>
      </c>
      <c r="R7195">
        <v>6.6692609999999999E-2</v>
      </c>
      <c r="S7195">
        <v>3.040314</v>
      </c>
      <c r="T7195">
        <v>-0.60663690000000003</v>
      </c>
      <c r="U7195">
        <v>-1.040314</v>
      </c>
      <c r="V7195">
        <v>-0.21621679999999999</v>
      </c>
      <c r="W7195">
        <v>-6.6474710000000006E-2</v>
      </c>
      <c r="X7195">
        <v>0.97407980000000005</v>
      </c>
      <c r="Y7195">
        <v>0.17652319999999999</v>
      </c>
      <c r="Z7195">
        <v>1.0847040000000001E-2</v>
      </c>
      <c r="AA7195">
        <v>0.98423669999999996</v>
      </c>
      <c r="AB7195">
        <v>22</v>
      </c>
      <c r="AC7195">
        <v>0.58439999999995895</v>
      </c>
      <c r="AD7195">
        <v>-0.137293999999999</v>
      </c>
      <c r="AE7195">
        <v>-0.21966999999999301</v>
      </c>
      <c r="AF7195">
        <v>0.122956219092398</v>
      </c>
      <c r="AG7195">
        <v>-0.137293999999999</v>
      </c>
      <c r="AH7195">
        <v>0.58269133674911899</v>
      </c>
      <c r="AI7195">
        <v>102.98234450368599</v>
      </c>
      <c r="AJ7195">
        <v>78.084570397502006</v>
      </c>
      <c r="AK7195">
        <v>0.61114406498956797</v>
      </c>
      <c r="AL7195">
        <v>93.811530878295898</v>
      </c>
      <c r="AM7195">
        <v>102.51505296308299</v>
      </c>
      <c r="AN7195">
        <v>1.0000000242199301</v>
      </c>
    </row>
    <row r="7196" spans="1:40" x14ac:dyDescent="0.25">
      <c r="A7196" t="str">
        <f>"20190305135106149"</f>
        <v>20190305135106149</v>
      </c>
      <c r="B7196" t="str">
        <f>"1551765066137349"</f>
        <v>1551765066137349</v>
      </c>
      <c r="C7196" t="s">
        <v>40</v>
      </c>
      <c r="D7196">
        <v>3.976607</v>
      </c>
      <c r="E7196">
        <v>0.65576619999999997</v>
      </c>
      <c r="F7196" t="s">
        <v>41</v>
      </c>
      <c r="G7196">
        <v>-272.54820000000001</v>
      </c>
      <c r="H7196">
        <v>0.95464539999999998</v>
      </c>
      <c r="I7196">
        <v>-61.857979999999998</v>
      </c>
      <c r="J7196">
        <v>-273.2097</v>
      </c>
      <c r="K7196">
        <v>1.10869</v>
      </c>
      <c r="L7196">
        <v>-61.610779999999998</v>
      </c>
      <c r="M7196">
        <v>0.98853190000000002</v>
      </c>
      <c r="N7196">
        <v>-3.9225299999999996E-3</v>
      </c>
      <c r="O7196">
        <v>-0.15096189999999901</v>
      </c>
      <c r="P7196">
        <v>0.9953109</v>
      </c>
      <c r="Q7196">
        <v>-6.9707599999999995E-2</v>
      </c>
      <c r="R7196">
        <v>6.7060179999999997E-2</v>
      </c>
      <c r="S7196">
        <v>3.0409549999999999</v>
      </c>
      <c r="T7196">
        <v>-0.60954399999999997</v>
      </c>
      <c r="U7196">
        <v>-1.042511</v>
      </c>
      <c r="V7196">
        <v>-0.21652869999999999</v>
      </c>
      <c r="W7196">
        <v>-6.5946420000000006E-2</v>
      </c>
      <c r="X7196">
        <v>0.97404639999999998</v>
      </c>
      <c r="Y7196">
        <v>0.17712700000000001</v>
      </c>
      <c r="Z7196">
        <v>1.0849320000000001E-2</v>
      </c>
      <c r="AA7196">
        <v>0.98412820000000001</v>
      </c>
      <c r="AB7196">
        <v>22</v>
      </c>
      <c r="AC7196">
        <v>0.66149999999998899</v>
      </c>
      <c r="AD7196">
        <v>-0.154044599999999</v>
      </c>
      <c r="AE7196">
        <v>-0.247199999999999</v>
      </c>
      <c r="AF7196">
        <v>0.13794107864007199</v>
      </c>
      <c r="AG7196">
        <v>-0.154044599999999</v>
      </c>
      <c r="AH7196">
        <v>0.65983901108252496</v>
      </c>
      <c r="AI7196">
        <v>102.872081110824</v>
      </c>
      <c r="AJ7196">
        <v>78.192218586692803</v>
      </c>
      <c r="AK7196">
        <v>0.69148029654640997</v>
      </c>
      <c r="AL7196">
        <v>93.781195621913099</v>
      </c>
      <c r="AM7196">
        <v>102.532952547981</v>
      </c>
      <c r="AN7196">
        <v>0.99999999879373302</v>
      </c>
    </row>
    <row r="7197" spans="1:40" x14ac:dyDescent="0.25">
      <c r="A7197" t="str">
        <f>"20190305135106160"</f>
        <v>20190305135106160</v>
      </c>
      <c r="B7197" t="str">
        <f>"1551765066156871"</f>
        <v>1551765066156871</v>
      </c>
      <c r="C7197" t="s">
        <v>40</v>
      </c>
      <c r="D7197">
        <v>3.94645</v>
      </c>
      <c r="E7197">
        <v>0.65653660000000003</v>
      </c>
      <c r="F7197" t="s">
        <v>41</v>
      </c>
      <c r="G7197">
        <v>-272.53719999999998</v>
      </c>
      <c r="H7197">
        <v>0.9739951</v>
      </c>
      <c r="I7197">
        <v>-61.841839999999998</v>
      </c>
      <c r="J7197">
        <v>-273.10410000000002</v>
      </c>
      <c r="K7197">
        <v>1.108757</v>
      </c>
      <c r="L7197">
        <v>-61.626800000000003</v>
      </c>
      <c r="M7197">
        <v>0.98855479999999996</v>
      </c>
      <c r="N7197">
        <v>-3.8576159999999999E-3</v>
      </c>
      <c r="O7197">
        <v>-0.15081329999999901</v>
      </c>
      <c r="P7197">
        <v>0.99529350000000005</v>
      </c>
      <c r="Q7197">
        <v>-6.9144090000000005E-2</v>
      </c>
      <c r="R7197">
        <v>6.7898109999999998E-2</v>
      </c>
      <c r="S7197">
        <v>3.0418090000000002</v>
      </c>
      <c r="T7197">
        <v>-0.60923930000000004</v>
      </c>
      <c r="U7197">
        <v>-1.044373</v>
      </c>
      <c r="V7197">
        <v>-0.2171961</v>
      </c>
      <c r="W7197">
        <v>-6.5485890000000005E-2</v>
      </c>
      <c r="X7197">
        <v>0.97392889999999999</v>
      </c>
      <c r="Y7197">
        <v>0.17771970000000001</v>
      </c>
      <c r="Z7197">
        <v>1.0768740000000001E-2</v>
      </c>
      <c r="AA7197">
        <v>0.98402219999999996</v>
      </c>
      <c r="AB7197">
        <v>22</v>
      </c>
      <c r="AC7197">
        <v>0.56690000000003204</v>
      </c>
      <c r="AD7197">
        <v>-0.13476189999999999</v>
      </c>
      <c r="AE7197">
        <v>-0.21504000000000101</v>
      </c>
      <c r="AF7197">
        <v>0.12110115672951</v>
      </c>
      <c r="AG7197">
        <v>-0.13476189999999999</v>
      </c>
      <c r="AH7197">
        <v>0.56493833709305397</v>
      </c>
      <c r="AI7197">
        <v>103.12916626669301</v>
      </c>
      <c r="AJ7197">
        <v>77.901079067585698</v>
      </c>
      <c r="AK7197">
        <v>0.59328035916445099</v>
      </c>
      <c r="AL7197">
        <v>93.754751936362894</v>
      </c>
      <c r="AM7197">
        <v>102.57182491128999</v>
      </c>
      <c r="AN7197">
        <v>1.00000002494975</v>
      </c>
    </row>
    <row r="7198" spans="1:40" x14ac:dyDescent="0.25">
      <c r="A7198" t="str">
        <f>"20190305135106172"</f>
        <v>20190305135106172</v>
      </c>
      <c r="B7198" t="str">
        <f>"1551765066166629"</f>
        <v>1551765066166629</v>
      </c>
      <c r="C7198" t="s">
        <v>40</v>
      </c>
      <c r="D7198">
        <v>3.943254</v>
      </c>
      <c r="E7198">
        <v>0.65678619999999899</v>
      </c>
      <c r="F7198" t="s">
        <v>41</v>
      </c>
      <c r="G7198">
        <v>-272.35180000000003</v>
      </c>
      <c r="H7198">
        <v>0.95824710000000002</v>
      </c>
      <c r="I7198">
        <v>-61.886020000000002</v>
      </c>
      <c r="J7198">
        <v>-272.99299999999999</v>
      </c>
      <c r="K7198">
        <v>1.10883</v>
      </c>
      <c r="L7198">
        <v>-61.643619999999999</v>
      </c>
      <c r="M7198">
        <v>0.98858270000000004</v>
      </c>
      <c r="N7198">
        <v>-3.7913420000000001E-3</v>
      </c>
      <c r="O7198">
        <v>-0.1506314</v>
      </c>
      <c r="P7198">
        <v>0.99527259999999995</v>
      </c>
      <c r="Q7198">
        <v>-6.8650530000000001E-2</v>
      </c>
      <c r="R7198">
        <v>6.8701159999999997E-2</v>
      </c>
      <c r="S7198">
        <v>3.043396</v>
      </c>
      <c r="T7198">
        <v>-0.60884930000000004</v>
      </c>
      <c r="U7198">
        <v>-1.0483089999999999</v>
      </c>
      <c r="V7198">
        <v>-0.21779560000000001</v>
      </c>
      <c r="W7198">
        <v>-6.5099950000000004E-2</v>
      </c>
      <c r="X7198">
        <v>0.97382089999999999</v>
      </c>
      <c r="Y7198">
        <v>0.17886260000000001</v>
      </c>
      <c r="Z7198">
        <v>1.062271E-2</v>
      </c>
      <c r="AA7198">
        <v>0.98381669999999999</v>
      </c>
      <c r="AB7198">
        <v>22</v>
      </c>
      <c r="AC7198">
        <v>0.64119999999996902</v>
      </c>
      <c r="AD7198">
        <v>-0.15058289999999999</v>
      </c>
      <c r="AE7198">
        <v>-0.24239999999999601</v>
      </c>
      <c r="AF7198">
        <v>0.136463459352967</v>
      </c>
      <c r="AG7198">
        <v>-0.15058289999999999</v>
      </c>
      <c r="AH7198">
        <v>0.63953574940038604</v>
      </c>
      <c r="AI7198">
        <v>102.96760344614199</v>
      </c>
      <c r="AJ7198">
        <v>77.954925638881903</v>
      </c>
      <c r="AK7198">
        <v>0.67104654106261696</v>
      </c>
      <c r="AL7198">
        <v>93.732591875689806</v>
      </c>
      <c r="AM7198">
        <v>102.606771200083</v>
      </c>
      <c r="AN7198">
        <v>1.0000000360730801</v>
      </c>
    </row>
    <row r="7199" spans="1:40" x14ac:dyDescent="0.25">
      <c r="A7199" t="str">
        <f>"20190305135106183"</f>
        <v>20190305135106183</v>
      </c>
      <c r="B7199" t="str">
        <f>"1551765066177369"</f>
        <v>1551765066177369</v>
      </c>
      <c r="C7199" t="s">
        <v>40</v>
      </c>
      <c r="D7199">
        <v>3.9202669999999999</v>
      </c>
      <c r="E7199">
        <v>0.65691359999999999</v>
      </c>
      <c r="F7199" t="s">
        <v>41</v>
      </c>
      <c r="G7199">
        <v>-272.16379999999998</v>
      </c>
      <c r="H7199">
        <v>0.94352840000000004</v>
      </c>
      <c r="I7199">
        <v>-61.929160000000003</v>
      </c>
      <c r="J7199">
        <v>-272.87869999999998</v>
      </c>
      <c r="K7199">
        <v>1.1089150000000001</v>
      </c>
      <c r="L7199">
        <v>-61.6607699999999</v>
      </c>
      <c r="M7199">
        <v>0.98862870000000003</v>
      </c>
      <c r="N7199">
        <v>-3.7317750000000001E-3</v>
      </c>
      <c r="O7199">
        <v>-0.1503312</v>
      </c>
      <c r="P7199">
        <v>0.99517889999999998</v>
      </c>
      <c r="Q7199">
        <v>-6.8610679999999993E-2</v>
      </c>
      <c r="R7199">
        <v>7.0083960000000001E-2</v>
      </c>
      <c r="S7199">
        <v>3.044708</v>
      </c>
      <c r="T7199">
        <v>-0.60702539999999905</v>
      </c>
      <c r="U7199">
        <v>-1.0479430000000001</v>
      </c>
      <c r="V7199">
        <v>-0.21883830000000001</v>
      </c>
      <c r="W7199">
        <v>-6.5168610000000002E-2</v>
      </c>
      <c r="X7199">
        <v>0.97358239999999996</v>
      </c>
      <c r="Y7199">
        <v>0.17892549999999999</v>
      </c>
      <c r="Z7199">
        <v>1.053725E-2</v>
      </c>
      <c r="AA7199">
        <v>0.98380619999999996</v>
      </c>
      <c r="AB7199">
        <v>22</v>
      </c>
      <c r="AC7199">
        <v>0.71489999999999998</v>
      </c>
      <c r="AD7199">
        <v>-0.165386599999999</v>
      </c>
      <c r="AE7199">
        <v>-0.26839000000000302</v>
      </c>
      <c r="AF7199">
        <v>0.15079394134117199</v>
      </c>
      <c r="AG7199">
        <v>-0.165386599999999</v>
      </c>
      <c r="AH7199">
        <v>0.713647485706568</v>
      </c>
      <c r="AI7199">
        <v>102.775338008303</v>
      </c>
      <c r="AJ7199">
        <v>78.068883584753294</v>
      </c>
      <c r="AK7199">
        <v>0.74791996500967395</v>
      </c>
      <c r="AL7199">
        <v>93.736534611658897</v>
      </c>
      <c r="AM7199">
        <v>102.66818626216801</v>
      </c>
      <c r="AN7199">
        <v>0.99999991943298705</v>
      </c>
    </row>
    <row r="7200" spans="1:40" x14ac:dyDescent="0.25">
      <c r="A7200" t="str">
        <f>"20190305135106193"</f>
        <v>20190305135106193</v>
      </c>
      <c r="B7200" t="str">
        <f>"1551765066187125"</f>
        <v>1551765066187125</v>
      </c>
      <c r="C7200" t="s">
        <v>40</v>
      </c>
      <c r="D7200">
        <v>3.967654</v>
      </c>
      <c r="E7200">
        <v>0.65718480000000001</v>
      </c>
      <c r="F7200" t="s">
        <v>41</v>
      </c>
      <c r="G7200">
        <v>-272.1524</v>
      </c>
      <c r="H7200">
        <v>0.96411290000000005</v>
      </c>
      <c r="I7200">
        <v>-61.91</v>
      </c>
      <c r="J7200">
        <v>-272.77179999999998</v>
      </c>
      <c r="K7200">
        <v>1.1089910000000001</v>
      </c>
      <c r="L7200">
        <v>-61.676789999999997</v>
      </c>
      <c r="M7200">
        <v>0.98867890000000003</v>
      </c>
      <c r="N7200">
        <v>-3.6791570000000002E-3</v>
      </c>
      <c r="O7200">
        <v>-0.15000289999999999</v>
      </c>
      <c r="P7200">
        <v>0.99508050000000003</v>
      </c>
      <c r="Q7200">
        <v>-6.8443589999999999E-2</v>
      </c>
      <c r="R7200">
        <v>7.1628670000000005E-2</v>
      </c>
      <c r="S7200">
        <v>3.0462340000000001</v>
      </c>
      <c r="T7200">
        <v>-0.60738110000000001</v>
      </c>
      <c r="U7200">
        <v>-1.0447390000000001</v>
      </c>
      <c r="V7200">
        <v>-0.22001370000000001</v>
      </c>
      <c r="W7200">
        <v>-6.5101590000000001E-2</v>
      </c>
      <c r="X7200">
        <v>0.97332200000000002</v>
      </c>
      <c r="Y7200">
        <v>0.17818429999999999</v>
      </c>
      <c r="Z7200">
        <v>1.056554E-2</v>
      </c>
      <c r="AA7200">
        <v>0.98394040000000005</v>
      </c>
      <c r="AB7200">
        <v>22</v>
      </c>
      <c r="AC7200">
        <v>0.61939999999998396</v>
      </c>
      <c r="AD7200">
        <v>-0.14487809999999901</v>
      </c>
      <c r="AE7200">
        <v>-0.23320999999999201</v>
      </c>
      <c r="AF7200">
        <v>0.13136434713273501</v>
      </c>
      <c r="AG7200">
        <v>-0.14487809999999901</v>
      </c>
      <c r="AH7200">
        <v>0.61777242420921596</v>
      </c>
      <c r="AI7200">
        <v>102.919467637159</v>
      </c>
      <c r="AJ7200">
        <v>77.995317915711098</v>
      </c>
      <c r="AK7200">
        <v>0.64798844408720102</v>
      </c>
      <c r="AL7200">
        <v>93.732686248449497</v>
      </c>
      <c r="AM7200">
        <v>102.737310935002</v>
      </c>
      <c r="AN7200">
        <v>0.99999998044610805</v>
      </c>
    </row>
    <row r="7201" spans="1:40" x14ac:dyDescent="0.25">
      <c r="A7201" t="str">
        <f>"20190305135106203"</f>
        <v>20190305135106203</v>
      </c>
      <c r="B7201" t="str">
        <f>"1551765066196885"</f>
        <v>1551765066196885</v>
      </c>
      <c r="C7201" t="s">
        <v>40</v>
      </c>
      <c r="D7201">
        <v>4.3613809999999997</v>
      </c>
      <c r="E7201">
        <v>0.65728350000000002</v>
      </c>
      <c r="F7201" t="s">
        <v>41</v>
      </c>
      <c r="G7201">
        <v>-271.964</v>
      </c>
      <c r="H7201">
        <v>0.94787239999999995</v>
      </c>
      <c r="I7201">
        <v>-61.953139999999998</v>
      </c>
      <c r="J7201">
        <v>-272.66890000000001</v>
      </c>
      <c r="K7201">
        <v>1.1090679999999999</v>
      </c>
      <c r="L7201">
        <v>-61.6920199999999</v>
      </c>
      <c r="M7201">
        <v>0.98873730000000004</v>
      </c>
      <c r="N7201">
        <v>-3.6331670000000001E-3</v>
      </c>
      <c r="O7201">
        <v>-0.14961769999999999</v>
      </c>
      <c r="P7201">
        <v>0.99497389999999997</v>
      </c>
      <c r="Q7201">
        <v>-6.8380090000000004E-2</v>
      </c>
      <c r="R7201">
        <v>7.3152149999999999E-2</v>
      </c>
      <c r="S7201">
        <v>3.047974</v>
      </c>
      <c r="T7201">
        <v>-0.60803560000000001</v>
      </c>
      <c r="U7201">
        <v>-1.0423279999999999</v>
      </c>
      <c r="V7201">
        <v>-0.22111169999999999</v>
      </c>
      <c r="W7201">
        <v>-6.5131419999999995E-2</v>
      </c>
      <c r="X7201">
        <v>0.97307120000000003</v>
      </c>
      <c r="Y7201">
        <v>0.1777019</v>
      </c>
      <c r="Z7201">
        <v>1.056053E-2</v>
      </c>
      <c r="AA7201">
        <v>0.98402769999999995</v>
      </c>
      <c r="AB7201">
        <v>22</v>
      </c>
      <c r="AC7201">
        <v>0.70490000000000896</v>
      </c>
      <c r="AD7201">
        <v>-0.161195599999999</v>
      </c>
      <c r="AE7201">
        <v>-0.26112000000001201</v>
      </c>
      <c r="AF7201">
        <v>0.146000875639892</v>
      </c>
      <c r="AG7201">
        <v>-0.161195599999999</v>
      </c>
      <c r="AH7201">
        <v>0.70367613485701497</v>
      </c>
      <c r="AI7201">
        <v>102.642166296032</v>
      </c>
      <c r="AJ7201">
        <v>78.278409720126007</v>
      </c>
      <c r="AK7201">
        <v>0.73651909677501404</v>
      </c>
      <c r="AL7201">
        <v>93.734398857476904</v>
      </c>
      <c r="AM7201">
        <v>102.80197913321101</v>
      </c>
      <c r="AN7201">
        <v>1.00000002300877</v>
      </c>
    </row>
    <row r="7202" spans="1:40" x14ac:dyDescent="0.25">
      <c r="A7202" t="str">
        <f>"20190305135106227"</f>
        <v>20190305135106227</v>
      </c>
      <c r="B7202" t="str">
        <f>"1551765066217381"</f>
        <v>1551765066217381</v>
      </c>
      <c r="C7202" t="s">
        <v>40</v>
      </c>
      <c r="D7202">
        <v>4.0619480000000001</v>
      </c>
      <c r="E7202">
        <v>0.65761259999999999</v>
      </c>
      <c r="F7202" t="s">
        <v>41</v>
      </c>
      <c r="G7202">
        <v>-271.95440000000002</v>
      </c>
      <c r="H7202">
        <v>0.96473679999999995</v>
      </c>
      <c r="I7202">
        <v>-61.935519999999997</v>
      </c>
      <c r="J7202">
        <v>-272.44200000000001</v>
      </c>
      <c r="K7202">
        <v>1.109246</v>
      </c>
      <c r="L7202">
        <v>-61.725340000000003</v>
      </c>
      <c r="M7202">
        <v>0.98889649999999996</v>
      </c>
      <c r="N7202">
        <v>-3.5434249999999998E-3</v>
      </c>
      <c r="O7202">
        <v>-0.14856359999999999</v>
      </c>
      <c r="P7202">
        <v>0.99465230000000004</v>
      </c>
      <c r="Q7202">
        <v>-6.9110110000000002E-2</v>
      </c>
      <c r="R7202">
        <v>7.6750260000000001E-2</v>
      </c>
      <c r="S7202">
        <v>3.049194</v>
      </c>
      <c r="T7202">
        <v>-0.61598589999999998</v>
      </c>
      <c r="U7202">
        <v>-1.038605</v>
      </c>
      <c r="V7202">
        <v>-0.22355179999999999</v>
      </c>
      <c r="W7202">
        <v>-6.6061889999999998E-2</v>
      </c>
      <c r="X7202">
        <v>0.9724507</v>
      </c>
      <c r="Y7202">
        <v>0.17752799999999999</v>
      </c>
      <c r="Z7202">
        <v>1.0547030000000001E-2</v>
      </c>
      <c r="AA7202">
        <v>0.98405920000000002</v>
      </c>
      <c r="AB7202">
        <v>22</v>
      </c>
      <c r="AC7202">
        <v>0.48759999999998599</v>
      </c>
      <c r="AD7202">
        <v>-0.14450919999999901</v>
      </c>
      <c r="AE7202">
        <v>-0.21017999999999401</v>
      </c>
      <c r="AF7202">
        <v>0.12606936946261901</v>
      </c>
      <c r="AG7202">
        <v>-0.14450919999999901</v>
      </c>
      <c r="AH7202">
        <v>0.47800756121905902</v>
      </c>
      <c r="AI7202">
        <v>106.294695256361</v>
      </c>
      <c r="AJ7202">
        <v>75.225288208532803</v>
      </c>
      <c r="AK7202">
        <v>0.51504138026369795</v>
      </c>
      <c r="AL7202">
        <v>93.7878261248283</v>
      </c>
      <c r="AM7202">
        <v>102.94650475568901</v>
      </c>
      <c r="AN7202">
        <v>0.99999997226204995</v>
      </c>
    </row>
    <row r="7203" spans="1:40" x14ac:dyDescent="0.25">
      <c r="A7203" t="str">
        <f>"20190305135106237"</f>
        <v>20190305135106237</v>
      </c>
      <c r="B7203" t="str">
        <f>"1551765066227142"</f>
        <v>1551765066227142</v>
      </c>
      <c r="C7203" t="s">
        <v>40</v>
      </c>
      <c r="D7203">
        <v>4.2297289999999998</v>
      </c>
      <c r="E7203">
        <v>0.65693550000000001</v>
      </c>
      <c r="F7203" t="s">
        <v>41</v>
      </c>
      <c r="G7203">
        <v>-271.75420000000003</v>
      </c>
      <c r="H7203">
        <v>0.96662199999999998</v>
      </c>
      <c r="I7203">
        <v>-61.9578699999999</v>
      </c>
      <c r="J7203">
        <v>-272.33569999999997</v>
      </c>
      <c r="K7203">
        <v>1.1093299999999999</v>
      </c>
      <c r="L7203">
        <v>-61.740690000000001</v>
      </c>
      <c r="M7203">
        <v>0.98898969999999997</v>
      </c>
      <c r="N7203">
        <v>-3.5083699999999998E-3</v>
      </c>
      <c r="O7203">
        <v>-0.14794299999999999</v>
      </c>
      <c r="P7203">
        <v>0.99450499999999997</v>
      </c>
      <c r="Q7203">
        <v>-6.9502820000000007E-2</v>
      </c>
      <c r="R7203">
        <v>7.8291219999999995E-2</v>
      </c>
      <c r="S7203">
        <v>3.0516969999999999</v>
      </c>
      <c r="T7203">
        <v>-0.6329285</v>
      </c>
      <c r="U7203">
        <v>-1.030823</v>
      </c>
      <c r="V7203">
        <v>-0.22442790000000001</v>
      </c>
      <c r="W7203">
        <v>-6.6543140000000001E-2</v>
      </c>
      <c r="X7203">
        <v>0.97221610000000003</v>
      </c>
      <c r="Y7203">
        <v>0.1756412</v>
      </c>
      <c r="Z7203">
        <v>1.093219E-2</v>
      </c>
      <c r="AA7203">
        <v>0.98439350000000003</v>
      </c>
      <c r="AB7203">
        <v>22</v>
      </c>
      <c r="AC7203">
        <v>0.58149999999994795</v>
      </c>
      <c r="AD7203">
        <v>-0.142707999999999</v>
      </c>
      <c r="AE7203">
        <v>-0.21717999999999199</v>
      </c>
      <c r="AF7203">
        <v>0.12229670987566101</v>
      </c>
      <c r="AG7203">
        <v>-0.142707999999999</v>
      </c>
      <c r="AH7203">
        <v>0.57674743542095896</v>
      </c>
      <c r="AI7203">
        <v>103.6069532363</v>
      </c>
      <c r="AJ7203">
        <v>78.028017720839003</v>
      </c>
      <c r="AK7203">
        <v>0.60659678763991498</v>
      </c>
      <c r="AL7203">
        <v>93.815460389163604</v>
      </c>
      <c r="AM7203">
        <v>102.998552406</v>
      </c>
      <c r="AN7203">
        <v>1.0000000084393399</v>
      </c>
    </row>
    <row r="7204" spans="1:40" x14ac:dyDescent="0.25">
      <c r="A7204" t="str">
        <f>"20190305135106249"</f>
        <v>20190305135106249</v>
      </c>
      <c r="B7204" t="str">
        <f>"1551765066247637"</f>
        <v>1551765066247637</v>
      </c>
      <c r="C7204" t="s">
        <v>40</v>
      </c>
      <c r="D7204">
        <v>3.8509159999999998</v>
      </c>
      <c r="E7204">
        <v>0.58638819999999903</v>
      </c>
      <c r="F7204" t="s">
        <v>41</v>
      </c>
      <c r="G7204">
        <v>-271.56459999999998</v>
      </c>
      <c r="H7204">
        <v>0.94736790000000004</v>
      </c>
      <c r="I7204">
        <v>-61.998699999999999</v>
      </c>
      <c r="J7204">
        <v>-272.21769999999998</v>
      </c>
      <c r="K7204">
        <v>1.1094250000000001</v>
      </c>
      <c r="L7204">
        <v>-61.7577199999999</v>
      </c>
      <c r="M7204">
        <v>0.98909740000000002</v>
      </c>
      <c r="N7204">
        <v>-3.4710930000000002E-3</v>
      </c>
      <c r="O7204">
        <v>-0.14722170000000001</v>
      </c>
      <c r="P7204">
        <v>0.99435039999999997</v>
      </c>
      <c r="Q7204">
        <v>-6.9818989999999997E-2</v>
      </c>
      <c r="R7204">
        <v>7.9954029999999995E-2</v>
      </c>
      <c r="S7204">
        <v>3.0521240000000001</v>
      </c>
      <c r="T7204">
        <v>-0.64113430000000005</v>
      </c>
      <c r="U7204">
        <v>-1.020966</v>
      </c>
      <c r="V7204">
        <v>-0.2253223</v>
      </c>
      <c r="W7204">
        <v>-6.6956420000000003E-2</v>
      </c>
      <c r="X7204">
        <v>0.97198079999999998</v>
      </c>
      <c r="Y7204">
        <v>0.17347460000000001</v>
      </c>
      <c r="Z7204">
        <v>1.1178850000000001E-2</v>
      </c>
      <c r="AA7204">
        <v>0.98477490000000001</v>
      </c>
      <c r="AB7204">
        <v>22</v>
      </c>
      <c r="AC7204">
        <v>0.65309999999999402</v>
      </c>
      <c r="AD7204">
        <v>-0.16205710000000001</v>
      </c>
      <c r="AE7204">
        <v>-0.24098000000000699</v>
      </c>
      <c r="AF7204">
        <v>0.134892818503759</v>
      </c>
      <c r="AG7204">
        <v>-0.16205710000000001</v>
      </c>
      <c r="AH7204">
        <v>0.64642920834557405</v>
      </c>
      <c r="AI7204">
        <v>103.78843823456801</v>
      </c>
      <c r="AJ7204">
        <v>78.213018257752097</v>
      </c>
      <c r="AK7204">
        <v>0.67994801091449897</v>
      </c>
      <c r="AL7204">
        <v>93.839192594942304</v>
      </c>
      <c r="AM7204">
        <v>103.051636150983</v>
      </c>
      <c r="AN7204">
        <v>0.99999998831257297</v>
      </c>
    </row>
    <row r="7205" spans="1:40" x14ac:dyDescent="0.25">
      <c r="A7205" t="str">
        <f>"20190305135106260"</f>
        <v>20190305135106260</v>
      </c>
      <c r="B7205" t="str">
        <f>"1551765066257397"</f>
        <v>1551765066257397</v>
      </c>
      <c r="C7205" t="s">
        <v>40</v>
      </c>
      <c r="D7205">
        <v>3.8656959999999998</v>
      </c>
      <c r="E7205">
        <v>0.57335719999999901</v>
      </c>
      <c r="F7205" t="s">
        <v>41</v>
      </c>
      <c r="G7205">
        <v>-271.32859999999999</v>
      </c>
      <c r="H7205">
        <v>0.9793056</v>
      </c>
      <c r="I7205">
        <v>-61.890689999999999</v>
      </c>
      <c r="J7205">
        <v>-272.10789999999997</v>
      </c>
      <c r="K7205">
        <v>1.109513</v>
      </c>
      <c r="L7205">
        <v>-61.773249999999997</v>
      </c>
      <c r="M7205">
        <v>0.98921590000000004</v>
      </c>
      <c r="N7205">
        <v>-3.442952E-3</v>
      </c>
      <c r="O7205">
        <v>-0.14642479999999999</v>
      </c>
      <c r="P7205">
        <v>0.99421689999999996</v>
      </c>
      <c r="Q7205">
        <v>-7.0207279999999997E-2</v>
      </c>
      <c r="R7205">
        <v>8.1264820000000001E-2</v>
      </c>
      <c r="S7205">
        <v>3.022278</v>
      </c>
      <c r="T7205">
        <v>-0.44234469999999998</v>
      </c>
      <c r="U7205">
        <v>-0.45135500000000001</v>
      </c>
      <c r="V7205">
        <v>-0.2257999</v>
      </c>
      <c r="W7205">
        <v>-6.7426910000000007E-2</v>
      </c>
      <c r="X7205">
        <v>0.97183750000000002</v>
      </c>
      <c r="Y7205">
        <v>2.7028780000000001E-3</v>
      </c>
      <c r="Z7205">
        <v>2.038498E-2</v>
      </c>
      <c r="AA7205">
        <v>0.99978849999999997</v>
      </c>
      <c r="AB7205">
        <v>23</v>
      </c>
      <c r="AC7205">
        <v>0.77929999999997701</v>
      </c>
      <c r="AD7205">
        <v>-0.130207399999999</v>
      </c>
      <c r="AE7205">
        <v>-0.117440000000002</v>
      </c>
      <c r="AF7205">
        <v>2.0098193783836499E-3</v>
      </c>
      <c r="AG7205">
        <v>-0.130207399999999</v>
      </c>
      <c r="AH7205">
        <v>0.76715589617037505</v>
      </c>
      <c r="AI7205">
        <v>99.632833838265498</v>
      </c>
      <c r="AJ7205">
        <v>89.849895040777596</v>
      </c>
      <c r="AK7205">
        <v>0.77812992193955999</v>
      </c>
      <c r="AL7205">
        <v>93.866210488366605</v>
      </c>
      <c r="AM7205">
        <v>103.080212907888</v>
      </c>
      <c r="AN7205">
        <v>1.0000000547192001</v>
      </c>
    </row>
    <row r="7206" spans="1:40" x14ac:dyDescent="0.25">
      <c r="A7206" t="str">
        <f>"20190305135106273"</f>
        <v>20190305135106273</v>
      </c>
      <c r="B7206" t="str">
        <f>"1551765066267157"</f>
        <v>1551765066267157</v>
      </c>
      <c r="C7206" t="s">
        <v>40</v>
      </c>
      <c r="D7206">
        <v>3.8500179999999999</v>
      </c>
      <c r="E7206">
        <v>0.56445409999999996</v>
      </c>
      <c r="F7206" t="s">
        <v>41</v>
      </c>
      <c r="G7206">
        <v>-271.3141</v>
      </c>
      <c r="H7206">
        <v>0.99941559999999896</v>
      </c>
      <c r="I7206">
        <v>-61.863770000000002</v>
      </c>
      <c r="J7206">
        <v>-271.99189999999999</v>
      </c>
      <c r="K7206">
        <v>1.109607</v>
      </c>
      <c r="L7206">
        <v>-61.789580000000001</v>
      </c>
      <c r="M7206">
        <v>0.98934420000000001</v>
      </c>
      <c r="N7206">
        <v>-3.4143509999999999E-3</v>
      </c>
      <c r="O7206">
        <v>-0.1455562</v>
      </c>
      <c r="P7206">
        <v>0.99411629999999995</v>
      </c>
      <c r="Q7206">
        <v>-7.0425440000000006E-2</v>
      </c>
      <c r="R7206">
        <v>8.2302059999999996E-2</v>
      </c>
      <c r="S7206">
        <v>3.01593</v>
      </c>
      <c r="T7206">
        <v>-0.41838799999999998</v>
      </c>
      <c r="U7206">
        <v>-0.3432617</v>
      </c>
      <c r="V7206">
        <v>-0.22594120000000001</v>
      </c>
      <c r="W7206">
        <v>-6.7728389999999999E-2</v>
      </c>
      <c r="X7206">
        <v>0.97178359999999997</v>
      </c>
      <c r="Y7206">
        <v>-3.114482E-2</v>
      </c>
      <c r="Z7206">
        <v>2.1638930000000001E-2</v>
      </c>
      <c r="AA7206">
        <v>0.99928059999999996</v>
      </c>
      <c r="AB7206">
        <v>23</v>
      </c>
      <c r="AC7206">
        <v>0.67779999999998997</v>
      </c>
      <c r="AD7206">
        <v>-0.11019139999999999</v>
      </c>
      <c r="AE7206">
        <v>-7.4189999999987294E-2</v>
      </c>
      <c r="AF7206">
        <v>-2.46158046552847E-2</v>
      </c>
      <c r="AG7206">
        <v>-0.11019139999999999</v>
      </c>
      <c r="AH7206">
        <v>0.66403767326206697</v>
      </c>
      <c r="AI7206">
        <v>99.415539613406196</v>
      </c>
      <c r="AJ7206">
        <v>92.122976251184795</v>
      </c>
      <c r="AK7206">
        <v>0.67356819549625901</v>
      </c>
      <c r="AL7206">
        <v>93.883523953487</v>
      </c>
      <c r="AM7206">
        <v>103.088817420418</v>
      </c>
      <c r="AN7206">
        <v>0.99999996294919502</v>
      </c>
    </row>
    <row r="7207" spans="1:40" x14ac:dyDescent="0.25">
      <c r="A7207" t="str">
        <f>"20190305135106282"</f>
        <v>20190305135106282</v>
      </c>
      <c r="B7207" t="str">
        <f>"1551765066276918"</f>
        <v>1551765066276918</v>
      </c>
      <c r="C7207" t="s">
        <v>40</v>
      </c>
      <c r="D7207">
        <v>3.8606799999999999</v>
      </c>
      <c r="E7207">
        <v>0.55770850000000005</v>
      </c>
      <c r="F7207" t="s">
        <v>41</v>
      </c>
      <c r="G7207">
        <v>-271.10750000000002</v>
      </c>
      <c r="H7207">
        <v>1.000162</v>
      </c>
      <c r="I7207">
        <v>-61.868549999999999</v>
      </c>
      <c r="J7207">
        <v>-271.87900000000002</v>
      </c>
      <c r="K7207">
        <v>1.1096900000000001</v>
      </c>
      <c r="L7207">
        <v>-61.805269999999901</v>
      </c>
      <c r="M7207">
        <v>0.9894809</v>
      </c>
      <c r="N7207">
        <v>-3.39099E-3</v>
      </c>
      <c r="O7207">
        <v>-0.14462469999999999</v>
      </c>
      <c r="P7207">
        <v>0.99402400000000002</v>
      </c>
      <c r="Q7207">
        <v>-7.0762399999999906E-2</v>
      </c>
      <c r="R7207">
        <v>8.3122379999999996E-2</v>
      </c>
      <c r="S7207">
        <v>3.0135800000000001</v>
      </c>
      <c r="T7207">
        <v>-0.37302629999999998</v>
      </c>
      <c r="U7207">
        <v>-0.2684937</v>
      </c>
      <c r="V7207">
        <v>-0.22580890000000001</v>
      </c>
      <c r="W7207">
        <v>-6.8136500000000003E-2</v>
      </c>
      <c r="X7207">
        <v>0.97178580000000003</v>
      </c>
      <c r="Y7207">
        <v>-5.4793260000000003E-2</v>
      </c>
      <c r="Z7207">
        <v>2.06988E-2</v>
      </c>
      <c r="AA7207">
        <v>0.99828309999999998</v>
      </c>
      <c r="AB7207">
        <v>23</v>
      </c>
      <c r="AC7207">
        <v>0.77150000000000296</v>
      </c>
      <c r="AD7207">
        <v>-0.109528</v>
      </c>
      <c r="AE7207">
        <v>-6.3280000000005998E-2</v>
      </c>
      <c r="AF7207">
        <v>-4.8002857473891797E-2</v>
      </c>
      <c r="AG7207">
        <v>-0.109528</v>
      </c>
      <c r="AH7207">
        <v>0.75737791914616903</v>
      </c>
      <c r="AI7207">
        <v>98.212512888334999</v>
      </c>
      <c r="AJ7207">
        <v>93.626574165803802</v>
      </c>
      <c r="AK7207">
        <v>0.76676069899274302</v>
      </c>
      <c r="AL7207">
        <v>93.906961160520098</v>
      </c>
      <c r="AM7207">
        <v>103.081388310561</v>
      </c>
      <c r="AN7207">
        <v>0.99999994151654803</v>
      </c>
    </row>
    <row r="7208" spans="1:40" x14ac:dyDescent="0.25">
      <c r="A7208" t="str">
        <f>"20190305135106294"</f>
        <v>20190305135106294</v>
      </c>
      <c r="B7208" t="str">
        <f>"1551765066286677"</f>
        <v>1551765066286677</v>
      </c>
      <c r="C7208" t="s">
        <v>40</v>
      </c>
      <c r="D7208">
        <v>3.8927339999999999</v>
      </c>
      <c r="E7208">
        <v>0.55356470000000002</v>
      </c>
      <c r="F7208" t="s">
        <v>111</v>
      </c>
      <c r="G7208">
        <v>-261.6653</v>
      </c>
      <c r="H7208" s="1">
        <v>-2.8873960000000001E-7</v>
      </c>
      <c r="I7208">
        <v>-62.522460000000002</v>
      </c>
      <c r="J7208">
        <v>-271.76670000000001</v>
      </c>
      <c r="K7208">
        <v>1.109764</v>
      </c>
      <c r="L7208">
        <v>-61.820709999999998</v>
      </c>
      <c r="M7208">
        <v>0.98962159999999999</v>
      </c>
      <c r="N7208">
        <v>-3.3696680000000001E-3</v>
      </c>
      <c r="O7208">
        <v>-0.1436596</v>
      </c>
      <c r="P7208">
        <v>0.99393180000000003</v>
      </c>
      <c r="Q7208">
        <v>-7.1033659999999998E-2</v>
      </c>
      <c r="R7208">
        <v>8.39892E-2</v>
      </c>
      <c r="S7208">
        <v>3.0124209999999998</v>
      </c>
      <c r="T7208">
        <v>-0.32729019999999998</v>
      </c>
      <c r="U7208">
        <v>-0.21154790000000001</v>
      </c>
      <c r="V7208">
        <v>-0.22569159999999999</v>
      </c>
      <c r="W7208">
        <v>-6.8472839999999993E-2</v>
      </c>
      <c r="X7208">
        <v>0.97178949999999997</v>
      </c>
      <c r="Y7208">
        <v>-7.2759809999999994E-2</v>
      </c>
      <c r="Z7208">
        <v>1.9058579999999999E-2</v>
      </c>
      <c r="AA7208">
        <v>0.99716740000000004</v>
      </c>
      <c r="AB7208">
        <v>23</v>
      </c>
      <c r="AC7208">
        <v>10.1014</v>
      </c>
      <c r="AD7208">
        <v>-1.1097642887396</v>
      </c>
      <c r="AE7208">
        <v>-0.70174999999999699</v>
      </c>
      <c r="AF7208">
        <v>-0.74771885514166603</v>
      </c>
      <c r="AG7208">
        <v>-1.1097642887396</v>
      </c>
      <c r="AH7208">
        <v>9.9775837763845203</v>
      </c>
      <c r="AI7208">
        <v>96.329077668897298</v>
      </c>
      <c r="AJ7208">
        <v>94.285727526255599</v>
      </c>
      <c r="AK7208">
        <v>10.0669180128611</v>
      </c>
      <c r="AL7208">
        <v>93.926276787701397</v>
      </c>
      <c r="AM7208">
        <v>103.074778428277</v>
      </c>
      <c r="AN7208">
        <v>1.00000003021923</v>
      </c>
    </row>
    <row r="7209" spans="1:40" x14ac:dyDescent="0.25">
      <c r="A7209" t="str">
        <f>"20190305135106305"</f>
        <v>20190305135106305</v>
      </c>
      <c r="B7209" t="str">
        <f>"1551765066297413"</f>
        <v>1551765066297413</v>
      </c>
      <c r="C7209" t="s">
        <v>40</v>
      </c>
      <c r="D7209">
        <v>3.8504879999999999</v>
      </c>
      <c r="E7209">
        <v>0.55047609999999902</v>
      </c>
      <c r="F7209" t="s">
        <v>42</v>
      </c>
      <c r="G7209">
        <v>-260.05860000000001</v>
      </c>
      <c r="H7209" s="1">
        <v>4.0613219999999998E-7</v>
      </c>
      <c r="I7209">
        <v>-62.501280000000001</v>
      </c>
      <c r="J7209">
        <v>-271.65870000000001</v>
      </c>
      <c r="K7209">
        <v>1.109826</v>
      </c>
      <c r="L7209">
        <v>-61.8354199999999</v>
      </c>
      <c r="M7209">
        <v>0.98976299999999995</v>
      </c>
      <c r="N7209">
        <v>-3.3516079999999998E-3</v>
      </c>
      <c r="O7209">
        <v>-0.14268159999999999</v>
      </c>
      <c r="P7209">
        <v>0.99391160000000001</v>
      </c>
      <c r="Q7209">
        <v>-7.0906060000000007E-2</v>
      </c>
      <c r="R7209">
        <v>8.4333039999999998E-2</v>
      </c>
      <c r="S7209">
        <v>3.0127259999999998</v>
      </c>
      <c r="T7209">
        <v>-0.28556409999999999</v>
      </c>
      <c r="U7209">
        <v>-0.1751404</v>
      </c>
      <c r="V7209">
        <v>-0.22505729999999999</v>
      </c>
      <c r="W7209">
        <v>-6.8398609999999999E-2</v>
      </c>
      <c r="X7209">
        <v>0.97194179999999997</v>
      </c>
      <c r="Y7209">
        <v>-8.4023860000000006E-2</v>
      </c>
      <c r="Z7209">
        <v>1.7066669999999999E-2</v>
      </c>
      <c r="AA7209">
        <v>0.99631760000000003</v>
      </c>
      <c r="AB7209">
        <v>23</v>
      </c>
      <c r="AC7209">
        <v>11.6000999999999</v>
      </c>
      <c r="AD7209">
        <v>-1.1098255938678001</v>
      </c>
      <c r="AE7209">
        <v>-0.665860000000009</v>
      </c>
      <c r="AF7209">
        <v>-0.98707728248553095</v>
      </c>
      <c r="AG7209">
        <v>-1.1098255938678001</v>
      </c>
      <c r="AH7209">
        <v>11.471758762364701</v>
      </c>
      <c r="AI7209">
        <v>95.505617565883696</v>
      </c>
      <c r="AJ7209">
        <v>94.917851687548605</v>
      </c>
      <c r="AK7209">
        <v>11.567509823306599</v>
      </c>
      <c r="AL7209">
        <v>93.922013805497997</v>
      </c>
      <c r="AM7209">
        <v>103.037316089185</v>
      </c>
      <c r="AN7209">
        <v>1.00000001036023</v>
      </c>
    </row>
    <row r="7210" spans="1:40" x14ac:dyDescent="0.25">
      <c r="A7210" t="str">
        <f>"20190305135106315"</f>
        <v>20190305135106315</v>
      </c>
      <c r="B7210" t="str">
        <f>"1551765066307174"</f>
        <v>1551765066307174</v>
      </c>
      <c r="C7210" t="s">
        <v>40</v>
      </c>
      <c r="D7210">
        <v>3.8259189999999998</v>
      </c>
      <c r="E7210">
        <v>0.54876289999999905</v>
      </c>
      <c r="F7210" t="s">
        <v>112</v>
      </c>
      <c r="G7210">
        <v>-258.36520000000002</v>
      </c>
      <c r="H7210" s="1">
        <v>-3.1516750000000002E-6</v>
      </c>
      <c r="I7210">
        <v>-62.492469999999997</v>
      </c>
      <c r="J7210">
        <v>-271.54539999999997</v>
      </c>
      <c r="K7210">
        <v>1.1098840000000001</v>
      </c>
      <c r="L7210">
        <v>-61.850679999999997</v>
      </c>
      <c r="M7210">
        <v>0.98991580000000001</v>
      </c>
      <c r="N7210">
        <v>-3.3347950000000002E-3</v>
      </c>
      <c r="O7210">
        <v>-0.14161750000000001</v>
      </c>
      <c r="P7210">
        <v>0.99388719999999997</v>
      </c>
      <c r="Q7210">
        <v>-7.0802299999999999E-2</v>
      </c>
      <c r="R7210">
        <v>8.4707279999999996E-2</v>
      </c>
      <c r="S7210">
        <v>3.0130919999999999</v>
      </c>
      <c r="T7210">
        <v>-0.25155250000000001</v>
      </c>
      <c r="U7210">
        <v>-0.148925799999999</v>
      </c>
      <c r="V7210">
        <v>-0.22436990000000001</v>
      </c>
      <c r="W7210">
        <v>-6.8342130000000001E-2</v>
      </c>
      <c r="X7210">
        <v>0.97210469999999904</v>
      </c>
      <c r="Y7210">
        <v>-9.1796829999999996E-2</v>
      </c>
      <c r="Z7210">
        <v>1.5258809999999999E-2</v>
      </c>
      <c r="AA7210">
        <v>0.99566080000000001</v>
      </c>
      <c r="AB7210">
        <v>23</v>
      </c>
      <c r="AC7210">
        <v>13.1801999999999</v>
      </c>
      <c r="AD7210">
        <v>-1.109887151675</v>
      </c>
      <c r="AE7210">
        <v>-0.64178999999999298</v>
      </c>
      <c r="AF7210">
        <v>-1.2225868236559601</v>
      </c>
      <c r="AG7210">
        <v>-1.109887151675</v>
      </c>
      <c r="AH7210">
        <v>13.045959068127299</v>
      </c>
      <c r="AI7210">
        <v>94.841626485231203</v>
      </c>
      <c r="AJ7210">
        <v>95.353770848493895</v>
      </c>
      <c r="AK7210">
        <v>13.1500424348396</v>
      </c>
      <c r="AL7210">
        <v>93.918770099145206</v>
      </c>
      <c r="AM7210">
        <v>102.99674582949601</v>
      </c>
      <c r="AN7210">
        <v>1.00000002326051</v>
      </c>
    </row>
    <row r="7211" spans="1:40" x14ac:dyDescent="0.25">
      <c r="A7211" t="str">
        <f>"20190305135106327"</f>
        <v>20190305135106327</v>
      </c>
      <c r="B7211" t="str">
        <f>"1551765066316933"</f>
        <v>1551765066316933</v>
      </c>
      <c r="C7211" t="s">
        <v>40</v>
      </c>
      <c r="D7211">
        <v>3.7943739999999999</v>
      </c>
      <c r="E7211">
        <v>0.54752449999999997</v>
      </c>
      <c r="F7211" t="s">
        <v>112</v>
      </c>
      <c r="G7211">
        <v>-256.8519</v>
      </c>
      <c r="H7211" s="1">
        <v>-2.5467710000000002E-6</v>
      </c>
      <c r="I7211">
        <v>-62.502540000000003</v>
      </c>
      <c r="J7211">
        <v>-271.42770000000002</v>
      </c>
      <c r="K7211">
        <v>1.109936</v>
      </c>
      <c r="L7211">
        <v>-61.86636</v>
      </c>
      <c r="M7211">
        <v>0.9900776</v>
      </c>
      <c r="N7211">
        <v>-3.3188290000000001E-3</v>
      </c>
      <c r="O7211">
        <v>-0.1404822</v>
      </c>
      <c r="P7211">
        <v>0.99383880000000002</v>
      </c>
      <c r="Q7211">
        <v>-7.0791099999999996E-2</v>
      </c>
      <c r="R7211">
        <v>8.5279549999999996E-2</v>
      </c>
      <c r="S7211">
        <v>3.0136720000000001</v>
      </c>
      <c r="T7211">
        <v>-0.22763990000000001</v>
      </c>
      <c r="U7211">
        <v>-0.1336975</v>
      </c>
      <c r="V7211">
        <v>-0.22380530000000001</v>
      </c>
      <c r="W7211">
        <v>-6.8374509999999999E-2</v>
      </c>
      <c r="X7211">
        <v>0.97223250000000005</v>
      </c>
      <c r="Y7211">
        <v>-9.5817979999999997E-2</v>
      </c>
      <c r="Z7211">
        <v>1.3860839999999999E-2</v>
      </c>
      <c r="AA7211">
        <v>0.99530240000000003</v>
      </c>
      <c r="AB7211">
        <v>23</v>
      </c>
      <c r="AC7211">
        <v>14.575799999999999</v>
      </c>
      <c r="AD7211">
        <v>-1.1099385467709999</v>
      </c>
      <c r="AE7211">
        <v>-0.63618000000000297</v>
      </c>
      <c r="AF7211">
        <v>-1.4096222696874501</v>
      </c>
      <c r="AG7211">
        <v>-1.1099385467709999</v>
      </c>
      <c r="AH7211">
        <v>14.437068101969</v>
      </c>
      <c r="AI7211">
        <v>94.375591567876299</v>
      </c>
      <c r="AJ7211">
        <v>95.576631503780504</v>
      </c>
      <c r="AK7211">
        <v>14.548124755503601</v>
      </c>
      <c r="AL7211">
        <v>93.920629934769494</v>
      </c>
      <c r="AM7211">
        <v>102.963500744599</v>
      </c>
      <c r="AN7211">
        <v>0.99999995999103897</v>
      </c>
    </row>
    <row r="7212" spans="1:40" x14ac:dyDescent="0.25">
      <c r="A7212" t="str">
        <f>"20190305135106339"</f>
        <v>20190305135106339</v>
      </c>
      <c r="B7212" t="str">
        <f>"1551765066326693"</f>
        <v>1551765066326693</v>
      </c>
      <c r="C7212" t="s">
        <v>40</v>
      </c>
      <c r="D7212">
        <v>3.7901340000000001</v>
      </c>
      <c r="E7212">
        <v>0.54648090000000005</v>
      </c>
      <c r="F7212" t="s">
        <v>112</v>
      </c>
      <c r="G7212">
        <v>-255.42599999999999</v>
      </c>
      <c r="H7212" s="1">
        <v>-1.9373079999999999E-6</v>
      </c>
      <c r="I7212">
        <v>-62.512630000000001</v>
      </c>
      <c r="J7212">
        <v>-271.30990000000003</v>
      </c>
      <c r="K7212">
        <v>1.1099760000000001</v>
      </c>
      <c r="L7212">
        <v>-61.881839999999997</v>
      </c>
      <c r="M7212">
        <v>0.99024350000000005</v>
      </c>
      <c r="N7212">
        <v>-3.3054270000000001E-3</v>
      </c>
      <c r="O7212">
        <v>-0.1393094</v>
      </c>
      <c r="P7212">
        <v>0.99383869999999996</v>
      </c>
      <c r="Q7212">
        <v>-7.0390199999999903E-2</v>
      </c>
      <c r="R7212">
        <v>8.5617650000000003E-2</v>
      </c>
      <c r="S7212">
        <v>3.01416</v>
      </c>
      <c r="T7212">
        <v>-0.2090735</v>
      </c>
      <c r="U7212">
        <v>-0.1217346</v>
      </c>
      <c r="V7212">
        <v>-0.22298380000000001</v>
      </c>
      <c r="W7212">
        <v>-6.8003880000000003E-2</v>
      </c>
      <c r="X7212">
        <v>0.97244730000000001</v>
      </c>
      <c r="Y7212">
        <v>-9.868681E-2</v>
      </c>
      <c r="Z7212">
        <v>1.273639E-2</v>
      </c>
      <c r="AA7212">
        <v>0.99503699999999995</v>
      </c>
      <c r="AB7212">
        <v>23</v>
      </c>
      <c r="AC7212">
        <v>15.883900000000001</v>
      </c>
      <c r="AD7212">
        <v>-1.1099779373080001</v>
      </c>
      <c r="AE7212">
        <v>-0.63078999999999696</v>
      </c>
      <c r="AF7212">
        <v>-1.5804437331571399</v>
      </c>
      <c r="AG7212">
        <v>-1.1099779373080001</v>
      </c>
      <c r="AH7212">
        <v>15.7401453424339</v>
      </c>
      <c r="AI7212">
        <v>94.013643113595094</v>
      </c>
      <c r="AJ7212">
        <v>95.733763444931697</v>
      </c>
      <c r="AK7212">
        <v>15.8581849155548</v>
      </c>
      <c r="AL7212">
        <v>93.899344594289104</v>
      </c>
      <c r="AM7212">
        <v>102.914758184446</v>
      </c>
      <c r="AN7212">
        <v>1.0000000270173901</v>
      </c>
    </row>
    <row r="7213" spans="1:40" x14ac:dyDescent="0.25">
      <c r="A7213" t="str">
        <f>"20190305135106351"</f>
        <v>20190305135106351</v>
      </c>
      <c r="B7213" t="str">
        <f>"1551765066347190"</f>
        <v>1551765066347190</v>
      </c>
      <c r="C7213" t="s">
        <v>40</v>
      </c>
      <c r="D7213">
        <v>3.8263389999999999</v>
      </c>
      <c r="E7213">
        <v>0.54486250000000003</v>
      </c>
      <c r="F7213" t="s">
        <v>112</v>
      </c>
      <c r="G7213">
        <v>-254.1926</v>
      </c>
      <c r="H7213" s="1">
        <v>-1.40957E-6</v>
      </c>
      <c r="I7213">
        <v>-62.518859999999997</v>
      </c>
      <c r="J7213">
        <v>-271.18849999999998</v>
      </c>
      <c r="K7213">
        <v>1.110007</v>
      </c>
      <c r="L7213">
        <v>-61.897709999999996</v>
      </c>
      <c r="M7213">
        <v>0.99041440000000003</v>
      </c>
      <c r="N7213">
        <v>-3.2924360000000001E-3</v>
      </c>
      <c r="O7213">
        <v>-0.13808879999999901</v>
      </c>
      <c r="P7213">
        <v>0.99385210000000002</v>
      </c>
      <c r="Q7213">
        <v>-7.0158470000000001E-2</v>
      </c>
      <c r="R7213">
        <v>8.5650619999999997E-2</v>
      </c>
      <c r="S7213">
        <v>3.0144350000000002</v>
      </c>
      <c r="T7213">
        <v>-0.1954718</v>
      </c>
      <c r="U7213">
        <v>-0.11218259999999999</v>
      </c>
      <c r="V7213">
        <v>-0.2218154</v>
      </c>
      <c r="W7213">
        <v>-6.7797960000000004E-2</v>
      </c>
      <c r="X7213">
        <v>0.97272879999999995</v>
      </c>
      <c r="Y7213">
        <v>-0.1006802</v>
      </c>
      <c r="Z7213">
        <v>1.188498E-2</v>
      </c>
      <c r="AA7213">
        <v>0.99484779999999995</v>
      </c>
      <c r="AB7213">
        <v>23</v>
      </c>
      <c r="AC7213">
        <v>16.995899999999899</v>
      </c>
      <c r="AD7213">
        <v>-1.11000840957</v>
      </c>
      <c r="AE7213">
        <v>-0.62114999999999998</v>
      </c>
      <c r="AF7213">
        <v>-1.72441131468689</v>
      </c>
      <c r="AG7213">
        <v>-1.11000840957</v>
      </c>
      <c r="AH7213">
        <v>16.8470848820408</v>
      </c>
      <c r="AI7213">
        <v>93.750076895701298</v>
      </c>
      <c r="AJ7213">
        <v>95.844251399428799</v>
      </c>
      <c r="AK7213">
        <v>16.971446080821199</v>
      </c>
      <c r="AL7213">
        <v>93.887519150811499</v>
      </c>
      <c r="AM7213">
        <v>102.84574363059301</v>
      </c>
      <c r="AN7213">
        <v>0.99999997670338003</v>
      </c>
    </row>
    <row r="7214" spans="1:40" x14ac:dyDescent="0.25">
      <c r="A7214" t="str">
        <f>"20190305135106361"</f>
        <v>20190305135106361</v>
      </c>
      <c r="B7214" t="str">
        <f>"1551765066356949"</f>
        <v>1551765066356949</v>
      </c>
      <c r="C7214" t="s">
        <v>40</v>
      </c>
      <c r="D7214">
        <v>3.813396</v>
      </c>
      <c r="E7214">
        <v>0.54434559999999999</v>
      </c>
      <c r="F7214" t="s">
        <v>112</v>
      </c>
      <c r="G7214">
        <v>-252.35470000000001</v>
      </c>
      <c r="H7214" s="1">
        <v>-6.2030739999999997E-7</v>
      </c>
      <c r="I7214">
        <v>-62.515270000000001</v>
      </c>
      <c r="J7214">
        <v>-271.07679999999999</v>
      </c>
      <c r="K7214">
        <v>1.1100209999999999</v>
      </c>
      <c r="L7214">
        <v>-61.912050000000001</v>
      </c>
      <c r="M7214">
        <v>0.99057320000000004</v>
      </c>
      <c r="N7214">
        <v>-3.283209E-3</v>
      </c>
      <c r="O7214">
        <v>-0.1369455</v>
      </c>
      <c r="P7214">
        <v>0.99385230000000002</v>
      </c>
      <c r="Q7214">
        <v>-6.9864830000000003E-2</v>
      </c>
      <c r="R7214">
        <v>8.5887770000000002E-2</v>
      </c>
      <c r="S7214">
        <v>3.014526</v>
      </c>
      <c r="T7214">
        <v>-0.17766709999999999</v>
      </c>
      <c r="U7214">
        <v>-9.8846439999999994E-2</v>
      </c>
      <c r="V7214">
        <v>-0.2209257</v>
      </c>
      <c r="W7214">
        <v>-6.7517830000000001E-2</v>
      </c>
      <c r="X7214">
        <v>0.9729508</v>
      </c>
      <c r="Y7214">
        <v>-0.10400860000000001</v>
      </c>
      <c r="Z7214">
        <v>1.0820389999999999E-2</v>
      </c>
      <c r="AA7214">
        <v>0.99451750000000005</v>
      </c>
      <c r="AB7214">
        <v>23</v>
      </c>
      <c r="AC7214">
        <v>18.722099999999902</v>
      </c>
      <c r="AD7214">
        <v>-1.11002162030739</v>
      </c>
      <c r="AE7214">
        <v>-0.60321999999999298</v>
      </c>
      <c r="AF7214">
        <v>-1.95950330432653</v>
      </c>
      <c r="AG7214">
        <v>-1.11002162030739</v>
      </c>
      <c r="AH7214">
        <v>18.563132102361902</v>
      </c>
      <c r="AI7214">
        <v>93.403184127787796</v>
      </c>
      <c r="AJ7214">
        <v>96.025762990152799</v>
      </c>
      <c r="AK7214">
        <v>18.699242622281702</v>
      </c>
      <c r="AL7214">
        <v>93.871431772938394</v>
      </c>
      <c r="AM7214">
        <v>102.79309532671699</v>
      </c>
      <c r="AN7214">
        <v>1.00000004075451</v>
      </c>
    </row>
    <row r="7215" spans="1:40" x14ac:dyDescent="0.25">
      <c r="A7215" t="str">
        <f>"20190305135106372"</f>
        <v>20190305135106372</v>
      </c>
      <c r="B7215" t="str">
        <f>"1551765066366709"</f>
        <v>1551765066366709</v>
      </c>
      <c r="C7215" t="s">
        <v>40</v>
      </c>
      <c r="D7215">
        <v>3.8101859999999999</v>
      </c>
      <c r="E7215">
        <v>0.54394100000000001</v>
      </c>
      <c r="F7215" t="s">
        <v>112</v>
      </c>
      <c r="G7215">
        <v>-251.44309999999999</v>
      </c>
      <c r="H7215" s="1">
        <v>-2.3115020000000001E-7</v>
      </c>
      <c r="I7215">
        <v>-62.523819999999901</v>
      </c>
      <c r="J7215">
        <v>-270.96319999999997</v>
      </c>
      <c r="K7215">
        <v>1.110026</v>
      </c>
      <c r="L7215">
        <v>-61.926609999999997</v>
      </c>
      <c r="M7215">
        <v>0.99073389999999995</v>
      </c>
      <c r="N7215">
        <v>-3.2745059999999999E-3</v>
      </c>
      <c r="O7215">
        <v>-0.1357786</v>
      </c>
      <c r="P7215">
        <v>0.99385199999999996</v>
      </c>
      <c r="Q7215">
        <v>-6.9629739999999996E-2</v>
      </c>
      <c r="R7215">
        <v>8.6082030000000004E-2</v>
      </c>
      <c r="S7215">
        <v>3.0146480000000002</v>
      </c>
      <c r="T7215">
        <v>-0.17043749999999999</v>
      </c>
      <c r="U7215">
        <v>-9.393311E-2</v>
      </c>
      <c r="V7215">
        <v>-0.21997140000000001</v>
      </c>
      <c r="W7215">
        <v>-6.7293820000000004E-2</v>
      </c>
      <c r="X7215">
        <v>0.9731824</v>
      </c>
      <c r="Y7215">
        <v>-0.104490899999999</v>
      </c>
      <c r="Z7215">
        <v>1.032309E-2</v>
      </c>
      <c r="AA7215">
        <v>0.99447229999999998</v>
      </c>
      <c r="AB7215">
        <v>23</v>
      </c>
      <c r="AC7215">
        <v>19.5200999999999</v>
      </c>
      <c r="AD7215">
        <v>-1.1100262311501901</v>
      </c>
      <c r="AE7215">
        <v>-0.59720999999999602</v>
      </c>
      <c r="AF7215">
        <v>-2.0521167122825599</v>
      </c>
      <c r="AG7215">
        <v>-1.1100262311501901</v>
      </c>
      <c r="AH7215">
        <v>19.357875794523501</v>
      </c>
      <c r="AI7215">
        <v>93.263633861001495</v>
      </c>
      <c r="AJ7215">
        <v>96.051290371544397</v>
      </c>
      <c r="AK7215">
        <v>19.497966471169999</v>
      </c>
      <c r="AL7215">
        <v>93.858568118838505</v>
      </c>
      <c r="AM7215">
        <v>102.736709120177</v>
      </c>
      <c r="AN7215">
        <v>0.99999992934895299</v>
      </c>
    </row>
    <row r="7216" spans="1:40" x14ac:dyDescent="0.25">
      <c r="A7216" t="str">
        <f>"20190305135106384"</f>
        <v>20190305135106384</v>
      </c>
      <c r="B7216" t="str">
        <f>"1551765066377445"</f>
        <v>1551765066377445</v>
      </c>
      <c r="C7216" t="s">
        <v>40</v>
      </c>
      <c r="D7216">
        <v>3.7846359999999999</v>
      </c>
      <c r="E7216">
        <v>0.54367480000000001</v>
      </c>
      <c r="F7216" t="s">
        <v>112</v>
      </c>
      <c r="G7216">
        <v>-250.71690000000001</v>
      </c>
      <c r="H7216" s="1">
        <v>7.8726429999999998E-8</v>
      </c>
      <c r="I7216">
        <v>-62.531399999999998</v>
      </c>
      <c r="J7216">
        <v>-270.83960000000002</v>
      </c>
      <c r="K7216">
        <v>1.1100270000000001</v>
      </c>
      <c r="L7216">
        <v>-61.942169999999997</v>
      </c>
      <c r="M7216">
        <v>0.99090769999999995</v>
      </c>
      <c r="N7216">
        <v>-3.2672550000000002E-3</v>
      </c>
      <c r="O7216">
        <v>-0.1345025</v>
      </c>
      <c r="P7216">
        <v>0.99382669999999995</v>
      </c>
      <c r="Q7216">
        <v>-6.9702710000000001E-2</v>
      </c>
      <c r="R7216">
        <v>8.6312059999999996E-2</v>
      </c>
      <c r="S7216">
        <v>3.0148009999999998</v>
      </c>
      <c r="T7216">
        <v>-0.16528950000000001</v>
      </c>
      <c r="U7216">
        <v>-9.0057369999999998E-2</v>
      </c>
      <c r="V7216">
        <v>-0.21894130000000001</v>
      </c>
      <c r="W7216">
        <v>-6.7371490000000006E-2</v>
      </c>
      <c r="X7216">
        <v>0.97340939999999998</v>
      </c>
      <c r="Y7216">
        <v>-0.1045128</v>
      </c>
      <c r="Z7216">
        <v>9.9394080000000003E-3</v>
      </c>
      <c r="AA7216">
        <v>0.99447390000000002</v>
      </c>
      <c r="AB7216">
        <v>24</v>
      </c>
      <c r="AC7216">
        <v>20.122699999999998</v>
      </c>
      <c r="AD7216">
        <v>-1.1100269212735701</v>
      </c>
      <c r="AE7216">
        <v>-0.58923000000000003</v>
      </c>
      <c r="AF7216">
        <v>-2.1162584481439901</v>
      </c>
      <c r="AG7216">
        <v>-1.1100269212735701</v>
      </c>
      <c r="AH7216">
        <v>19.958421057367101</v>
      </c>
      <c r="AI7216">
        <v>93.165628554392299</v>
      </c>
      <c r="AJ7216">
        <v>96.052648179396201</v>
      </c>
      <c r="AK7216">
        <v>20.100977107803701</v>
      </c>
      <c r="AL7216">
        <v>93.863027994848295</v>
      </c>
      <c r="AM7216">
        <v>102.67613591004699</v>
      </c>
      <c r="AN7216">
        <v>1.00000003525943</v>
      </c>
    </row>
    <row r="7217" spans="1:40" x14ac:dyDescent="0.25">
      <c r="A7217" t="str">
        <f>"20190305135106395"</f>
        <v>20190305135106395</v>
      </c>
      <c r="B7217" t="str">
        <f>"1551765066387205"</f>
        <v>1551765066387205</v>
      </c>
      <c r="C7217" t="s">
        <v>40</v>
      </c>
      <c r="D7217">
        <v>3.7973150000000002</v>
      </c>
      <c r="E7217">
        <v>0.54338140000000001</v>
      </c>
      <c r="F7217" t="s">
        <v>112</v>
      </c>
      <c r="G7217">
        <v>-250.149</v>
      </c>
      <c r="H7217" s="1">
        <v>3.2029239999999999E-7</v>
      </c>
      <c r="I7217">
        <v>-62.54054</v>
      </c>
      <c r="J7217">
        <v>-270.72800000000001</v>
      </c>
      <c r="K7217">
        <v>1.1100239999999999</v>
      </c>
      <c r="L7217">
        <v>-61.956150000000001</v>
      </c>
      <c r="M7217">
        <v>0.99106369999999999</v>
      </c>
      <c r="N7217">
        <v>-3.2621220000000001E-3</v>
      </c>
      <c r="O7217">
        <v>-0.1333501</v>
      </c>
      <c r="P7217">
        <v>0.9937764</v>
      </c>
      <c r="Q7217">
        <v>-6.9580749999999997E-2</v>
      </c>
      <c r="R7217">
        <v>8.6990910000000005E-2</v>
      </c>
      <c r="S7217">
        <v>3.0148320000000002</v>
      </c>
      <c r="T7217">
        <v>-0.16174229999999901</v>
      </c>
      <c r="U7217">
        <v>-8.7188719999999997E-2</v>
      </c>
      <c r="V7217">
        <v>-0.21847610000000001</v>
      </c>
      <c r="W7217">
        <v>-6.7252660000000006E-2</v>
      </c>
      <c r="X7217">
        <v>0.97352209999999995</v>
      </c>
      <c r="Y7217">
        <v>-0.1043186</v>
      </c>
      <c r="Z7217">
        <v>9.6581710000000001E-3</v>
      </c>
      <c r="AA7217">
        <v>0.99449710000000002</v>
      </c>
      <c r="AB7217">
        <v>24</v>
      </c>
      <c r="AC7217">
        <v>20.579000000000001</v>
      </c>
      <c r="AD7217">
        <v>-1.1100236797076</v>
      </c>
      <c r="AE7217">
        <v>-0.58438999999999897</v>
      </c>
      <c r="AF7217">
        <v>-2.1587794785371499</v>
      </c>
      <c r="AG7217">
        <v>-1.1100236797076</v>
      </c>
      <c r="AH7217">
        <v>20.413790028097701</v>
      </c>
      <c r="AI7217">
        <v>93.095234272302804</v>
      </c>
      <c r="AJ7217">
        <v>96.036651664773899</v>
      </c>
      <c r="AK7217">
        <v>20.557609411546999</v>
      </c>
      <c r="AL7217">
        <v>93.856204185816196</v>
      </c>
      <c r="AM7217">
        <v>102.64865237824</v>
      </c>
      <c r="AN7217">
        <v>1.00000000286834</v>
      </c>
    </row>
    <row r="7218" spans="1:40" x14ac:dyDescent="0.25">
      <c r="A7218" t="str">
        <f>"20190305135106404"</f>
        <v>20190305135106404</v>
      </c>
      <c r="B7218" t="str">
        <f>"1551765066396966"</f>
        <v>1551765066396966</v>
      </c>
      <c r="C7218" t="s">
        <v>40</v>
      </c>
      <c r="D7218">
        <v>3.8544580000000002</v>
      </c>
      <c r="E7218">
        <v>0.54315809999999998</v>
      </c>
      <c r="F7218" t="s">
        <v>113</v>
      </c>
      <c r="G7218">
        <v>-249.47890000000001</v>
      </c>
      <c r="H7218" s="1">
        <v>-3.482135E-6</v>
      </c>
      <c r="I7218">
        <v>-62.539169999999999</v>
      </c>
      <c r="J7218">
        <v>-270.6173</v>
      </c>
      <c r="K7218">
        <v>1.1100219999999901</v>
      </c>
      <c r="L7218">
        <v>-61.969880000000003</v>
      </c>
      <c r="M7218">
        <v>0.99121680000000001</v>
      </c>
      <c r="N7218">
        <v>-3.258426E-3</v>
      </c>
      <c r="O7218">
        <v>-0.13220770000000001</v>
      </c>
      <c r="P7218">
        <v>0.99371620000000005</v>
      </c>
      <c r="Q7218">
        <v>-6.9580429999999999E-2</v>
      </c>
      <c r="R7218">
        <v>8.7673719999999997E-2</v>
      </c>
      <c r="S7218">
        <v>3.015015</v>
      </c>
      <c r="T7218">
        <v>-0.157501</v>
      </c>
      <c r="U7218">
        <v>-8.2733150000000005E-2</v>
      </c>
      <c r="V7218">
        <v>-0.21802350000000001</v>
      </c>
      <c r="W7218">
        <v>-6.7252399999999907E-2</v>
      </c>
      <c r="X7218">
        <v>0.97362360000000003</v>
      </c>
      <c r="Y7218">
        <v>-0.10466060000000001</v>
      </c>
      <c r="Z7218">
        <v>9.3524309999999996E-3</v>
      </c>
      <c r="AA7218">
        <v>0.99446400000000001</v>
      </c>
      <c r="AB7218">
        <v>24</v>
      </c>
      <c r="AC7218">
        <v>21.138399999999901</v>
      </c>
      <c r="AD7218">
        <v>-1.11002548213499</v>
      </c>
      <c r="AE7218">
        <v>-0.56928999999999497</v>
      </c>
      <c r="AF7218">
        <v>-2.2242519923770701</v>
      </c>
      <c r="AG7218">
        <v>-1.11002548213499</v>
      </c>
      <c r="AH7218">
        <v>20.9703262748518</v>
      </c>
      <c r="AI7218">
        <v>93.013148055637799</v>
      </c>
      <c r="AJ7218">
        <v>96.054533618062294</v>
      </c>
      <c r="AK7218">
        <v>21.117150318410001</v>
      </c>
      <c r="AL7218">
        <v>93.856189176714494</v>
      </c>
      <c r="AM7218">
        <v>102.62201590827399</v>
      </c>
      <c r="AN7218">
        <v>1.0000000231674799</v>
      </c>
    </row>
    <row r="7219" spans="1:40" x14ac:dyDescent="0.25">
      <c r="A7219" t="str">
        <f>"20190305135106417"</f>
        <v>20190305135106417</v>
      </c>
      <c r="B7219" t="str">
        <f>"1551765066406726"</f>
        <v>1551765066406726</v>
      </c>
      <c r="C7219" t="s">
        <v>40</v>
      </c>
      <c r="D7219">
        <v>3.8291550000000001</v>
      </c>
      <c r="E7219">
        <v>0.54289860000000001</v>
      </c>
      <c r="F7219" t="s">
        <v>113</v>
      </c>
      <c r="G7219">
        <v>-248.92080000000001</v>
      </c>
      <c r="H7219" s="1">
        <v>-3.2919000000000002E-6</v>
      </c>
      <c r="I7219">
        <v>-62.537489999999998</v>
      </c>
      <c r="J7219">
        <v>-270.4973</v>
      </c>
      <c r="K7219">
        <v>1.1100139999999901</v>
      </c>
      <c r="L7219">
        <v>-61.984589999999997</v>
      </c>
      <c r="M7219">
        <v>0.99138059999999995</v>
      </c>
      <c r="N7219">
        <v>-3.256363E-3</v>
      </c>
      <c r="O7219">
        <v>-0.13097339999999999</v>
      </c>
      <c r="P7219">
        <v>0.99361429999999995</v>
      </c>
      <c r="Q7219">
        <v>-6.9590899999999997E-2</v>
      </c>
      <c r="R7219">
        <v>8.8813119999999995E-2</v>
      </c>
      <c r="S7219">
        <v>3.0151059999999998</v>
      </c>
      <c r="T7219">
        <v>-0.15425710000000001</v>
      </c>
      <c r="U7219">
        <v>-7.8887940000000004E-2</v>
      </c>
      <c r="V7219">
        <v>-0.2179277</v>
      </c>
      <c r="W7219">
        <v>-6.7262050000000004E-2</v>
      </c>
      <c r="X7219">
        <v>0.97364439999999997</v>
      </c>
      <c r="Y7219">
        <v>-0.1047047</v>
      </c>
      <c r="Z7219">
        <v>9.0974760000000002E-3</v>
      </c>
      <c r="AA7219">
        <v>0.99446179999999995</v>
      </c>
      <c r="AB7219">
        <v>24</v>
      </c>
      <c r="AC7219">
        <v>21.5764999999999</v>
      </c>
      <c r="AD7219">
        <v>-1.11001729189999</v>
      </c>
      <c r="AE7219">
        <v>-0.55290000000000095</v>
      </c>
      <c r="AF7219">
        <v>-2.2718163900688699</v>
      </c>
      <c r="AG7219">
        <v>-1.11001729189999</v>
      </c>
      <c r="AH7219">
        <v>21.406432830531799</v>
      </c>
      <c r="AI7219">
        <v>92.951831193635996</v>
      </c>
      <c r="AJ7219">
        <v>96.057995709844405</v>
      </c>
      <c r="AK7219">
        <v>21.5552465684476</v>
      </c>
      <c r="AL7219">
        <v>93.856743264095698</v>
      </c>
      <c r="AM7219">
        <v>102.61638645630801</v>
      </c>
      <c r="AN7219">
        <v>1.0000000417244199</v>
      </c>
    </row>
    <row r="7220" spans="1:40" x14ac:dyDescent="0.25">
      <c r="A7220" t="str">
        <f>"20190305135106428"</f>
        <v>20190305135106428</v>
      </c>
      <c r="B7220" t="str">
        <f>"1551765066417462"</f>
        <v>1551765066417462</v>
      </c>
      <c r="C7220" t="s">
        <v>40</v>
      </c>
      <c r="D7220">
        <v>3.8254619999999999</v>
      </c>
      <c r="E7220">
        <v>0.54266669999999995</v>
      </c>
      <c r="F7220" t="s">
        <v>113</v>
      </c>
      <c r="G7220">
        <v>-248.45310000000001</v>
      </c>
      <c r="H7220" s="1">
        <v>-3.129773E-6</v>
      </c>
      <c r="I7220">
        <v>-62.520679999999999</v>
      </c>
      <c r="J7220">
        <v>-270.37880000000001</v>
      </c>
      <c r="K7220">
        <v>1.110006</v>
      </c>
      <c r="L7220">
        <v>-61.998989999999999</v>
      </c>
      <c r="M7220">
        <v>0.99154039999999999</v>
      </c>
      <c r="N7220">
        <v>-3.2554250000000002E-3</v>
      </c>
      <c r="O7220">
        <v>-0.12975780000000001</v>
      </c>
      <c r="P7220">
        <v>0.99348400000000003</v>
      </c>
      <c r="Q7220">
        <v>-6.9688189999999997E-2</v>
      </c>
      <c r="R7220">
        <v>9.0184440000000005E-2</v>
      </c>
      <c r="S7220">
        <v>3.0151669999999999</v>
      </c>
      <c r="T7220">
        <v>-0.15182609999999999</v>
      </c>
      <c r="U7220">
        <v>-7.3333739999999994E-2</v>
      </c>
      <c r="V7220">
        <v>-0.2180781</v>
      </c>
      <c r="W7220">
        <v>-6.7358139999999997E-2</v>
      </c>
      <c r="X7220">
        <v>0.97360400000000002</v>
      </c>
      <c r="Y7220">
        <v>-0.1053265</v>
      </c>
      <c r="Z7220">
        <v>8.9104609999999997E-3</v>
      </c>
      <c r="AA7220">
        <v>0.9943978</v>
      </c>
      <c r="AB7220">
        <v>24</v>
      </c>
      <c r="AC7220">
        <v>21.925699999999999</v>
      </c>
      <c r="AD7220">
        <v>-1.1100091297729999</v>
      </c>
      <c r="AE7220">
        <v>-0.52169000000000598</v>
      </c>
      <c r="AF7220">
        <v>-2.3218187404692801</v>
      </c>
      <c r="AG7220">
        <v>-1.1100091297729999</v>
      </c>
      <c r="AH7220">
        <v>21.752306412665799</v>
      </c>
      <c r="AI7220">
        <v>92.904768641549794</v>
      </c>
      <c r="AJ7220">
        <v>96.092624087454695</v>
      </c>
      <c r="AK7220">
        <v>21.904013257900399</v>
      </c>
      <c r="AL7220">
        <v>93.862261635125705</v>
      </c>
      <c r="AM7220">
        <v>102.625321557681</v>
      </c>
      <c r="AN7220">
        <v>0.99999996276993397</v>
      </c>
    </row>
    <row r="7221" spans="1:40" x14ac:dyDescent="0.25">
      <c r="A7221" t="str">
        <f>"20190305135106439"</f>
        <v>20190305135106439</v>
      </c>
      <c r="B7221" t="str">
        <f>"1551765066427222"</f>
        <v>1551765066427222</v>
      </c>
      <c r="C7221" t="s">
        <v>40</v>
      </c>
      <c r="D7221">
        <v>3.8123149999999999</v>
      </c>
      <c r="E7221">
        <v>0.54245459999999901</v>
      </c>
      <c r="F7221" t="s">
        <v>113</v>
      </c>
      <c r="G7221">
        <v>-247.99529999999999</v>
      </c>
      <c r="H7221" s="1">
        <v>-2.9699440000000001E-6</v>
      </c>
      <c r="I7221">
        <v>-62.497999999999998</v>
      </c>
      <c r="J7221">
        <v>-270.26240000000001</v>
      </c>
      <c r="K7221">
        <v>1.109999</v>
      </c>
      <c r="L7221">
        <v>-62.012970000000003</v>
      </c>
      <c r="M7221">
        <v>0.99169490000000005</v>
      </c>
      <c r="N7221">
        <v>-3.2566219999999998E-3</v>
      </c>
      <c r="O7221">
        <v>-0.12857199999999999</v>
      </c>
      <c r="P7221">
        <v>0.99335770000000001</v>
      </c>
      <c r="Q7221">
        <v>-6.9536920000000002E-2</v>
      </c>
      <c r="R7221">
        <v>9.1680460000000005E-2</v>
      </c>
      <c r="S7221">
        <v>3.0152890000000001</v>
      </c>
      <c r="T7221">
        <v>-0.1495292</v>
      </c>
      <c r="U7221">
        <v>-6.7230219999999993E-2</v>
      </c>
      <c r="V7221">
        <v>-0.2183821</v>
      </c>
      <c r="W7221">
        <v>-6.7204659999999999E-2</v>
      </c>
      <c r="X7221">
        <v>0.97354649999999998</v>
      </c>
      <c r="Y7221">
        <v>-0.1061589</v>
      </c>
      <c r="Z7221">
        <v>8.7394989999999995E-3</v>
      </c>
      <c r="AA7221">
        <v>0.99431080000000005</v>
      </c>
      <c r="AB7221">
        <v>24</v>
      </c>
      <c r="AC7221">
        <v>22.267099999999999</v>
      </c>
      <c r="AD7221">
        <v>-1.110001969944</v>
      </c>
      <c r="AE7221">
        <v>-0.48503000000000901</v>
      </c>
      <c r="AF7221">
        <v>-2.3760347070554899</v>
      </c>
      <c r="AG7221">
        <v>-1.110001969944</v>
      </c>
      <c r="AH7221">
        <v>22.0897803831459</v>
      </c>
      <c r="AI7221">
        <v>92.860198080927603</v>
      </c>
      <c r="AJ7221">
        <v>96.139280327738305</v>
      </c>
      <c r="AK7221">
        <v>22.2449104893238</v>
      </c>
      <c r="AL7221">
        <v>93.853447771818907</v>
      </c>
      <c r="AM7221">
        <v>102.643078554441</v>
      </c>
      <c r="AN7221">
        <v>0.99999999779418702</v>
      </c>
    </row>
    <row r="7222" spans="1:40" x14ac:dyDescent="0.25">
      <c r="A7222" t="str">
        <f>"20190305135106450"</f>
        <v>20190305135106450</v>
      </c>
      <c r="B7222" t="str">
        <f>"1551765066446741"</f>
        <v>1551765066446741</v>
      </c>
      <c r="C7222" t="s">
        <v>40</v>
      </c>
      <c r="D7222">
        <v>3.8496429999999999</v>
      </c>
      <c r="E7222">
        <v>0.54210159999999996</v>
      </c>
      <c r="F7222" t="s">
        <v>113</v>
      </c>
      <c r="G7222">
        <v>-247.63409999999999</v>
      </c>
      <c r="H7222" s="1">
        <v>-2.8175819999999999E-6</v>
      </c>
      <c r="I7222">
        <v>-62.471170000000001</v>
      </c>
      <c r="J7222">
        <v>-270.13979999999998</v>
      </c>
      <c r="K7222">
        <v>1.10999</v>
      </c>
      <c r="L7222">
        <v>-62.027619999999999</v>
      </c>
      <c r="M7222">
        <v>0.99185559999999995</v>
      </c>
      <c r="N7222">
        <v>-3.2584649999999999E-3</v>
      </c>
      <c r="O7222">
        <v>-0.12732639999999901</v>
      </c>
      <c r="P7222">
        <v>0.99321590000000004</v>
      </c>
      <c r="Q7222">
        <v>-6.9552320000000001E-2</v>
      </c>
      <c r="R7222">
        <v>9.3192029999999995E-2</v>
      </c>
      <c r="S7222">
        <v>3.01532</v>
      </c>
      <c r="T7222">
        <v>-0.14791270000000001</v>
      </c>
      <c r="U7222">
        <v>-6.1065670000000002E-2</v>
      </c>
      <c r="V7222">
        <v>-0.21864140000000001</v>
      </c>
      <c r="W7222">
        <v>-6.7217070000000004E-2</v>
      </c>
      <c r="X7222">
        <v>0.9734874</v>
      </c>
      <c r="Y7222">
        <v>-0.1069485</v>
      </c>
      <c r="Z7222">
        <v>8.6067230000000002E-3</v>
      </c>
      <c r="AA7222">
        <v>0.99422730000000004</v>
      </c>
      <c r="AB7222">
        <v>24</v>
      </c>
      <c r="AC7222">
        <v>22.505699999999901</v>
      </c>
      <c r="AD7222">
        <v>-1.109992817582</v>
      </c>
      <c r="AE7222">
        <v>-0.443549999999994</v>
      </c>
      <c r="AF7222">
        <v>-2.4197610746821501</v>
      </c>
      <c r="AG7222">
        <v>-1.109992817582</v>
      </c>
      <c r="AH7222">
        <v>22.324713121696099</v>
      </c>
      <c r="AI7222">
        <v>92.829875554023005</v>
      </c>
      <c r="AJ7222">
        <v>96.186102258835803</v>
      </c>
      <c r="AK7222">
        <v>22.4828855728009</v>
      </c>
      <c r="AL7222">
        <v>93.854160580876297</v>
      </c>
      <c r="AM7222">
        <v>102.65835080727101</v>
      </c>
      <c r="AN7222">
        <v>0.99999995712605105</v>
      </c>
    </row>
    <row r="7223" spans="1:40" x14ac:dyDescent="0.25">
      <c r="A7223" t="str">
        <f>"20190305135106461"</f>
        <v>20190305135106461</v>
      </c>
      <c r="B7223" t="str">
        <f>"1551765066457481"</f>
        <v>1551765066457481</v>
      </c>
      <c r="C7223" t="s">
        <v>40</v>
      </c>
      <c r="D7223">
        <v>3.8497659999999998</v>
      </c>
      <c r="E7223">
        <v>0.54198819999999903</v>
      </c>
      <c r="F7223" t="s">
        <v>113</v>
      </c>
      <c r="G7223">
        <v>-247.1514</v>
      </c>
      <c r="H7223" s="1">
        <v>-2.601256E-6</v>
      </c>
      <c r="I7223">
        <v>-62.436349999999997</v>
      </c>
      <c r="J7223">
        <v>-270.02089999999998</v>
      </c>
      <c r="K7223">
        <v>1.1099840000000001</v>
      </c>
      <c r="L7223">
        <v>-62.041629999999998</v>
      </c>
      <c r="M7223">
        <v>0.99200889999999997</v>
      </c>
      <c r="N7223">
        <v>-3.2626389999999999E-3</v>
      </c>
      <c r="O7223">
        <v>-0.12612689999999999</v>
      </c>
      <c r="P7223">
        <v>0.99303790000000003</v>
      </c>
      <c r="Q7223">
        <v>-6.9693099999999994E-2</v>
      </c>
      <c r="R7223">
        <v>9.4967469999999998E-2</v>
      </c>
      <c r="S7223">
        <v>3.0152890000000001</v>
      </c>
      <c r="T7223">
        <v>-0.1455929</v>
      </c>
      <c r="U7223">
        <v>-5.3619380000000001E-2</v>
      </c>
      <c r="V7223">
        <v>-0.21920290000000001</v>
      </c>
      <c r="W7223">
        <v>-6.7355280000000003E-2</v>
      </c>
      <c r="X7223">
        <v>0.97335159999999998</v>
      </c>
      <c r="Y7223">
        <v>-0.108208399999999</v>
      </c>
      <c r="Z7223">
        <v>8.4472330000000002E-3</v>
      </c>
      <c r="AA7223">
        <v>0.99409230000000004</v>
      </c>
      <c r="AB7223">
        <v>24</v>
      </c>
      <c r="AC7223">
        <v>22.869499999999899</v>
      </c>
      <c r="AD7223">
        <v>-1.109986601256</v>
      </c>
      <c r="AE7223">
        <v>-0.39471999999999202</v>
      </c>
      <c r="AF7223">
        <v>-2.48704925796926</v>
      </c>
      <c r="AG7223">
        <v>-1.109986601256</v>
      </c>
      <c r="AH7223">
        <v>22.6832307436196</v>
      </c>
      <c r="AI7223">
        <v>92.784828195299497</v>
      </c>
      <c r="AJ7223">
        <v>96.257067162076297</v>
      </c>
      <c r="AK7223">
        <v>22.846147185791001</v>
      </c>
      <c r="AL7223">
        <v>93.862097286356402</v>
      </c>
      <c r="AM7223">
        <v>102.69152081156</v>
      </c>
      <c r="AN7223">
        <v>0.999999991167424</v>
      </c>
    </row>
    <row r="7224" spans="1:40" x14ac:dyDescent="0.25">
      <c r="A7224" t="str">
        <f>"20190305135106474"</f>
        <v>20190305135106474</v>
      </c>
      <c r="B7224" t="str">
        <f>"1551765066467237"</f>
        <v>1551765066467237</v>
      </c>
      <c r="C7224" t="s">
        <v>40</v>
      </c>
      <c r="D7224">
        <v>3.839229</v>
      </c>
      <c r="E7224">
        <v>0.54183630000000005</v>
      </c>
      <c r="F7224" t="s">
        <v>113</v>
      </c>
      <c r="G7224">
        <v>-246.9391</v>
      </c>
      <c r="H7224" s="1">
        <v>-2.5015079999999999E-6</v>
      </c>
      <c r="I7224">
        <v>-62.403880000000001</v>
      </c>
      <c r="J7224">
        <v>-269.89429999999999</v>
      </c>
      <c r="K7224">
        <v>1.10998</v>
      </c>
      <c r="L7224">
        <v>-62.056399999999996</v>
      </c>
      <c r="M7224">
        <v>0.99216970000000004</v>
      </c>
      <c r="N7224">
        <v>-3.2678730000000001E-3</v>
      </c>
      <c r="O7224">
        <v>-0.1248542</v>
      </c>
      <c r="P7224">
        <v>0.99288460000000001</v>
      </c>
      <c r="Q7224">
        <v>-6.9709869999999993E-2</v>
      </c>
      <c r="R7224">
        <v>9.6544249999999998E-2</v>
      </c>
      <c r="S7224">
        <v>3.0153810000000001</v>
      </c>
      <c r="T7224">
        <v>-0.145007</v>
      </c>
      <c r="U7224">
        <v>-4.7332760000000001E-2</v>
      </c>
      <c r="V7224">
        <v>-0.21949969999999999</v>
      </c>
      <c r="W7224">
        <v>-6.7367609999999994E-2</v>
      </c>
      <c r="X7224">
        <v>0.97328389999999998</v>
      </c>
      <c r="Y7224">
        <v>-0.1090081</v>
      </c>
      <c r="Z7224">
        <v>8.3759790000000004E-3</v>
      </c>
      <c r="AA7224">
        <v>0.99400560000000004</v>
      </c>
      <c r="AB7224">
        <v>24</v>
      </c>
      <c r="AC7224">
        <v>22.955199999999898</v>
      </c>
      <c r="AD7224">
        <v>-1.109982501508</v>
      </c>
      <c r="AE7224">
        <v>-0.347480000000011</v>
      </c>
      <c r="AF7224">
        <v>-2.5154274439696902</v>
      </c>
      <c r="AG7224">
        <v>-1.109982501508</v>
      </c>
      <c r="AH7224">
        <v>22.765743238741798</v>
      </c>
      <c r="AI7224">
        <v>92.774484575495094</v>
      </c>
      <c r="AJ7224">
        <v>96.305136930178094</v>
      </c>
      <c r="AK7224">
        <v>22.931168779455</v>
      </c>
      <c r="AL7224">
        <v>93.862805195221696</v>
      </c>
      <c r="AM7224">
        <v>102.70900262874601</v>
      </c>
      <c r="AN7224">
        <v>1.0000000315882001</v>
      </c>
    </row>
    <row r="7225" spans="1:40" x14ac:dyDescent="0.25">
      <c r="A7225" t="str">
        <f>"20190305135106483"</f>
        <v>20190305135106483</v>
      </c>
      <c r="B7225" t="str">
        <f>"1551765066476998"</f>
        <v>1551765066476998</v>
      </c>
      <c r="C7225" t="s">
        <v>40</v>
      </c>
      <c r="D7225">
        <v>3.845272</v>
      </c>
      <c r="E7225">
        <v>0.54175569999999995</v>
      </c>
      <c r="F7225" t="s">
        <v>113</v>
      </c>
      <c r="G7225">
        <v>-246.58150000000001</v>
      </c>
      <c r="H7225" s="1">
        <v>-2.3405770000000001E-6</v>
      </c>
      <c r="I7225">
        <v>-62.37556</v>
      </c>
      <c r="J7225">
        <v>-269.77910000000003</v>
      </c>
      <c r="K7225">
        <v>1.109977</v>
      </c>
      <c r="L7225">
        <v>-62.069699999999997</v>
      </c>
      <c r="M7225">
        <v>0.99231420000000004</v>
      </c>
      <c r="N7225">
        <v>-3.2741469999999998E-3</v>
      </c>
      <c r="O7225">
        <v>-0.12370059999999999</v>
      </c>
      <c r="P7225">
        <v>0.99271290000000001</v>
      </c>
      <c r="Q7225">
        <v>-6.9513690000000003E-2</v>
      </c>
      <c r="R7225">
        <v>9.8432820000000004E-2</v>
      </c>
      <c r="S7225">
        <v>3.0154109999999998</v>
      </c>
      <c r="T7225">
        <v>-0.143571</v>
      </c>
      <c r="U7225">
        <v>-4.1290279999999999E-2</v>
      </c>
      <c r="V7225">
        <v>-0.220222</v>
      </c>
      <c r="W7225">
        <v>-6.7168899999999906E-2</v>
      </c>
      <c r="X7225">
        <v>0.97313439999999995</v>
      </c>
      <c r="Y7225">
        <v>-0.1098493</v>
      </c>
      <c r="Z7225">
        <v>8.2612699999999994E-3</v>
      </c>
      <c r="AA7225">
        <v>0.99391390000000002</v>
      </c>
      <c r="AB7225">
        <v>24</v>
      </c>
      <c r="AC7225">
        <v>23.197600000000001</v>
      </c>
      <c r="AD7225">
        <v>-1.109979340577</v>
      </c>
      <c r="AE7225">
        <v>-0.30586000000000202</v>
      </c>
      <c r="AF7225">
        <v>-2.5602009309053901</v>
      </c>
      <c r="AG7225">
        <v>-1.109979340577</v>
      </c>
      <c r="AH7225">
        <v>23.004605934932801</v>
      </c>
      <c r="AI7225">
        <v>92.745472954260705</v>
      </c>
      <c r="AJ7225">
        <v>96.350361240841195</v>
      </c>
      <c r="AK7225">
        <v>23.1732297525541</v>
      </c>
      <c r="AL7225">
        <v>93.851394320833094</v>
      </c>
      <c r="AM7225">
        <v>102.75135354678901</v>
      </c>
      <c r="AN7225">
        <v>0.99999997543728403</v>
      </c>
    </row>
    <row r="7226" spans="1:40" x14ac:dyDescent="0.25">
      <c r="A7226" t="str">
        <f>"20190305135106495"</f>
        <v>20190305135106495</v>
      </c>
      <c r="B7226" t="str">
        <f>"1551765066486757"</f>
        <v>1551765066486757</v>
      </c>
      <c r="C7226" t="s">
        <v>40</v>
      </c>
      <c r="D7226">
        <v>3.8554750000000002</v>
      </c>
      <c r="E7226">
        <v>0.54168729999999998</v>
      </c>
      <c r="F7226" t="s">
        <v>113</v>
      </c>
      <c r="G7226">
        <v>-246.0522</v>
      </c>
      <c r="H7226" s="1">
        <v>-2.1051270000000001E-6</v>
      </c>
      <c r="I7226">
        <v>-62.344090000000001</v>
      </c>
      <c r="J7226">
        <v>-269.65969999999999</v>
      </c>
      <c r="K7226">
        <v>1.1099779999999999</v>
      </c>
      <c r="L7226">
        <v>-62.083370000000002</v>
      </c>
      <c r="M7226">
        <v>0.99246219999999996</v>
      </c>
      <c r="N7226">
        <v>-3.2815909999999999E-3</v>
      </c>
      <c r="O7226">
        <v>-0.1225084</v>
      </c>
      <c r="P7226">
        <v>0.99252430000000003</v>
      </c>
      <c r="Q7226">
        <v>-6.9582430000000001E-2</v>
      </c>
      <c r="R7226">
        <v>0.10026930000000001</v>
      </c>
      <c r="S7226">
        <v>3.015625</v>
      </c>
      <c r="T7226">
        <v>-0.14107500000000001</v>
      </c>
      <c r="U7226">
        <v>-3.4881589999999997E-2</v>
      </c>
      <c r="V7226">
        <v>-0.22085160000000001</v>
      </c>
      <c r="W7226">
        <v>-6.7234260000000004E-2</v>
      </c>
      <c r="X7226">
        <v>0.97298720000000005</v>
      </c>
      <c r="Y7226">
        <v>-0.110777</v>
      </c>
      <c r="Z7226">
        <v>8.0848220000000002E-3</v>
      </c>
      <c r="AA7226">
        <v>0.99381240000000004</v>
      </c>
      <c r="AB7226">
        <v>24</v>
      </c>
      <c r="AC7226">
        <v>23.607499999999899</v>
      </c>
      <c r="AD7226">
        <v>-1.109980105127</v>
      </c>
      <c r="AE7226">
        <v>-0.260720000000006</v>
      </c>
      <c r="AF7226">
        <v>-2.6275680345561998</v>
      </c>
      <c r="AG7226">
        <v>-1.109980105127</v>
      </c>
      <c r="AH7226">
        <v>23.409868684884501</v>
      </c>
      <c r="AI7226">
        <v>92.697734241775805</v>
      </c>
      <c r="AJ7226">
        <v>96.404182838391094</v>
      </c>
      <c r="AK7226">
        <v>23.583004928412599</v>
      </c>
      <c r="AL7226">
        <v>93.855147628011807</v>
      </c>
      <c r="AM7226">
        <v>102.788482856352</v>
      </c>
      <c r="AN7226">
        <v>0.99999998315207295</v>
      </c>
    </row>
    <row r="7227" spans="1:40" x14ac:dyDescent="0.25">
      <c r="A7227" t="str">
        <f>"20190305135106506"</f>
        <v>20190305135106506</v>
      </c>
      <c r="B7227" t="str">
        <f>"1551765066497494"</f>
        <v>1551765066497494</v>
      </c>
      <c r="C7227" t="s">
        <v>40</v>
      </c>
      <c r="D7227">
        <v>3.8825259999999999</v>
      </c>
      <c r="E7227">
        <v>0.54161389999999998</v>
      </c>
      <c r="F7227" t="s">
        <v>113</v>
      </c>
      <c r="G7227">
        <v>-245.77789999999999</v>
      </c>
      <c r="H7227" s="1">
        <v>-1.9786099999999998E-6</v>
      </c>
      <c r="I7227">
        <v>-62.31073</v>
      </c>
      <c r="J7227">
        <v>-269.53930000000003</v>
      </c>
      <c r="K7227">
        <v>1.1099779999999999</v>
      </c>
      <c r="L7227">
        <v>-62.097019999999901</v>
      </c>
      <c r="M7227">
        <v>0.99260930000000003</v>
      </c>
      <c r="N7227">
        <v>-3.290032E-3</v>
      </c>
      <c r="O7227">
        <v>-0.12131069999999999</v>
      </c>
      <c r="P7227">
        <v>0.99232229999999999</v>
      </c>
      <c r="Q7227">
        <v>-6.9453890000000004E-2</v>
      </c>
      <c r="R7227">
        <v>0.1023377</v>
      </c>
      <c r="S7227">
        <v>3.0156559999999999</v>
      </c>
      <c r="T7227">
        <v>-0.14016219999999999</v>
      </c>
      <c r="U7227">
        <v>-2.8717039999999999E-2</v>
      </c>
      <c r="V7227">
        <v>-0.22170670000000001</v>
      </c>
      <c r="W7227">
        <v>-6.7103060000000006E-2</v>
      </c>
      <c r="X7227">
        <v>0.97280180000000005</v>
      </c>
      <c r="Y7227">
        <v>-0.1116125</v>
      </c>
      <c r="Z7227">
        <v>8.0001949999999999E-3</v>
      </c>
      <c r="AA7227">
        <v>0.99371960000000004</v>
      </c>
      <c r="AB7227">
        <v>24</v>
      </c>
      <c r="AC7227">
        <v>23.761399999999998</v>
      </c>
      <c r="AD7227">
        <v>-1.10997997861</v>
      </c>
      <c r="AE7227">
        <v>-0.213710000000013</v>
      </c>
      <c r="AF7227">
        <v>-2.6645814738001401</v>
      </c>
      <c r="AG7227">
        <v>-1.10997997861</v>
      </c>
      <c r="AH7227">
        <v>23.560427372104801</v>
      </c>
      <c r="AI7227">
        <v>92.680265551394001</v>
      </c>
      <c r="AJ7227">
        <v>96.452485292022999</v>
      </c>
      <c r="AK7227">
        <v>23.736591750705401</v>
      </c>
      <c r="AL7227">
        <v>93.847613296255105</v>
      </c>
      <c r="AM7227">
        <v>102.838725733117</v>
      </c>
      <c r="AN7227">
        <v>1.0000000117847401</v>
      </c>
    </row>
    <row r="7228" spans="1:40" x14ac:dyDescent="0.25">
      <c r="A7228" t="str">
        <f>"20190305135106518"</f>
        <v>20190305135106518</v>
      </c>
      <c r="B7228" t="str">
        <f>"1551765066507254"</f>
        <v>1551765066507254</v>
      </c>
      <c r="C7228" t="s">
        <v>40</v>
      </c>
      <c r="D7228">
        <v>3.8453059999999999</v>
      </c>
      <c r="E7228">
        <v>0.54158219999999901</v>
      </c>
      <c r="F7228" t="s">
        <v>113</v>
      </c>
      <c r="G7228">
        <v>-245.5478</v>
      </c>
      <c r="H7228" s="1">
        <v>-1.8692499999999999E-6</v>
      </c>
      <c r="I7228">
        <v>-62.270789999999998</v>
      </c>
      <c r="J7228">
        <v>-269.41039999999998</v>
      </c>
      <c r="K7228">
        <v>1.109985</v>
      </c>
      <c r="L7228">
        <v>-62.11139</v>
      </c>
      <c r="M7228">
        <v>0.99276470000000006</v>
      </c>
      <c r="N7228">
        <v>-3.3004309999999999E-3</v>
      </c>
      <c r="O7228">
        <v>-0.120030399999999</v>
      </c>
      <c r="P7228">
        <v>0.9921141</v>
      </c>
      <c r="Q7228">
        <v>-6.9589689999999996E-2</v>
      </c>
      <c r="R7228">
        <v>0.10424600000000001</v>
      </c>
      <c r="S7228">
        <v>3.0156860000000001</v>
      </c>
      <c r="T7228">
        <v>-0.13952210000000001</v>
      </c>
      <c r="U7228">
        <v>-2.185059E-2</v>
      </c>
      <c r="V7228">
        <v>-0.22232070000000001</v>
      </c>
      <c r="W7228">
        <v>-6.7234080000000002E-2</v>
      </c>
      <c r="X7228">
        <v>0.97265259999999998</v>
      </c>
      <c r="Y7228">
        <v>-0.1125956</v>
      </c>
      <c r="Z7228">
        <v>7.9319639999999997E-3</v>
      </c>
      <c r="AA7228">
        <v>0.99360919999999997</v>
      </c>
      <c r="AB7228">
        <v>24</v>
      </c>
      <c r="AC7228">
        <v>23.862599999999901</v>
      </c>
      <c r="AD7228">
        <v>-1.1099868692499999</v>
      </c>
      <c r="AE7228">
        <v>-0.15940000000000501</v>
      </c>
      <c r="AF7228">
        <v>-2.70016342520861</v>
      </c>
      <c r="AG7228">
        <v>-1.1099868692499999</v>
      </c>
      <c r="AH7228">
        <v>23.658022679097201</v>
      </c>
      <c r="AI7228">
        <v>92.668931201773105</v>
      </c>
      <c r="AJ7228">
        <v>96.511170082668102</v>
      </c>
      <c r="AK7228">
        <v>23.837470303230901</v>
      </c>
      <c r="AL7228">
        <v>93.855137235118804</v>
      </c>
      <c r="AM7228">
        <v>102.875007477704</v>
      </c>
      <c r="AN7228">
        <v>0.999999997724348</v>
      </c>
    </row>
    <row r="7229" spans="1:40" x14ac:dyDescent="0.25">
      <c r="A7229" t="str">
        <f>"20190305135106531"</f>
        <v>20190305135106531</v>
      </c>
      <c r="B7229" t="str">
        <f>"1551765066526774"</f>
        <v>1551765066526774</v>
      </c>
      <c r="C7229" t="s">
        <v>40</v>
      </c>
      <c r="D7229">
        <v>3.8994659999999999</v>
      </c>
      <c r="E7229">
        <v>0.54112530000000003</v>
      </c>
      <c r="F7229" t="s">
        <v>113</v>
      </c>
      <c r="G7229">
        <v>-245.3707</v>
      </c>
      <c r="H7229" s="1">
        <v>-1.784309E-6</v>
      </c>
      <c r="I7229">
        <v>-62.237099999999998</v>
      </c>
      <c r="J7229">
        <v>-269.26819999999998</v>
      </c>
      <c r="K7229">
        <v>1.10999</v>
      </c>
      <c r="L7229">
        <v>-62.127200000000002</v>
      </c>
      <c r="M7229">
        <v>0.99293430000000005</v>
      </c>
      <c r="N7229">
        <v>-3.312663E-3</v>
      </c>
      <c r="O7229">
        <v>-0.1186199</v>
      </c>
      <c r="P7229">
        <v>0.99194369999999998</v>
      </c>
      <c r="Q7229">
        <v>-6.9448919999999997E-2</v>
      </c>
      <c r="R7229">
        <v>0.10594629999999999</v>
      </c>
      <c r="S7229">
        <v>3.015717</v>
      </c>
      <c r="T7229">
        <v>-0.139244799999999</v>
      </c>
      <c r="U7229">
        <v>-1.5777590000000001E-2</v>
      </c>
      <c r="V7229">
        <v>-0.22260630000000001</v>
      </c>
      <c r="W7229">
        <v>-6.7085889999999995E-2</v>
      </c>
      <c r="X7229">
        <v>0.9725975</v>
      </c>
      <c r="Y7229">
        <v>-0.1131865</v>
      </c>
      <c r="Z7229">
        <v>7.8697419999999903E-3</v>
      </c>
      <c r="AA7229">
        <v>0.99354260000000005</v>
      </c>
      <c r="AB7229">
        <v>25</v>
      </c>
      <c r="AC7229">
        <v>23.897499999999901</v>
      </c>
      <c r="AD7229">
        <v>-1.1099917843089999</v>
      </c>
      <c r="AE7229">
        <v>-0.109899999999996</v>
      </c>
      <c r="AF7229">
        <v>-2.7197427906027598</v>
      </c>
      <c r="AG7229">
        <v>-1.1099917843089999</v>
      </c>
      <c r="AH7229">
        <v>23.6907022098809</v>
      </c>
      <c r="AI7229">
        <v>92.665065539215703</v>
      </c>
      <c r="AJ7229">
        <v>96.549006331296695</v>
      </c>
      <c r="AK7229">
        <v>23.8721271319823</v>
      </c>
      <c r="AL7229">
        <v>93.846627392851303</v>
      </c>
      <c r="AM7229">
        <v>102.891700809471</v>
      </c>
      <c r="AN7229">
        <v>0.99999998922151501</v>
      </c>
    </row>
    <row r="7230" spans="1:40" x14ac:dyDescent="0.25">
      <c r="A7230" t="str">
        <f>"20190305135106542"</f>
        <v>20190305135106542</v>
      </c>
      <c r="B7230" t="str">
        <f>"1551765066537510"</f>
        <v>1551765066537510</v>
      </c>
      <c r="C7230" t="s">
        <v>40</v>
      </c>
      <c r="D7230">
        <v>3.8763559999999999</v>
      </c>
      <c r="E7230">
        <v>0.54074929999999999</v>
      </c>
      <c r="F7230" t="s">
        <v>113</v>
      </c>
      <c r="G7230">
        <v>-244.83779999999999</v>
      </c>
      <c r="H7230" s="1">
        <v>-1.541431E-6</v>
      </c>
      <c r="I7230">
        <v>-62.183509999999998</v>
      </c>
      <c r="J7230">
        <v>-269.1454</v>
      </c>
      <c r="K7230">
        <v>1.1099909999999999</v>
      </c>
      <c r="L7230">
        <v>-62.140560000000001</v>
      </c>
      <c r="M7230">
        <v>0.99307860000000003</v>
      </c>
      <c r="N7230">
        <v>-3.3243740000000002E-3</v>
      </c>
      <c r="O7230">
        <v>-0.11740539999999899</v>
      </c>
      <c r="P7230">
        <v>0.99177400000000004</v>
      </c>
      <c r="Q7230">
        <v>-6.9431279999999998E-2</v>
      </c>
      <c r="R7230">
        <v>0.10753600000000001</v>
      </c>
      <c r="S7230">
        <v>3.0155029999999998</v>
      </c>
      <c r="T7230">
        <v>-0.13700879999999999</v>
      </c>
      <c r="U7230">
        <v>-6.9580079999999999E-3</v>
      </c>
      <c r="V7230">
        <v>-0.2229749</v>
      </c>
      <c r="W7230">
        <v>-6.7061889999999999E-2</v>
      </c>
      <c r="X7230">
        <v>0.97251469999999995</v>
      </c>
      <c r="Y7230">
        <v>-0.1148835</v>
      </c>
      <c r="Z7230">
        <v>7.7308659999999899E-3</v>
      </c>
      <c r="AA7230">
        <v>0.99334889999999998</v>
      </c>
      <c r="AB7230">
        <v>25</v>
      </c>
      <c r="AC7230">
        <v>24.307600000000001</v>
      </c>
      <c r="AD7230">
        <v>-1.1099925414309999</v>
      </c>
      <c r="AE7230">
        <v>-4.2949999999997601E-2</v>
      </c>
      <c r="AF7230">
        <v>-2.80535622730982</v>
      </c>
      <c r="AG7230">
        <v>-1.1099925414309999</v>
      </c>
      <c r="AH7230">
        <v>24.094288912231399</v>
      </c>
      <c r="AI7230">
        <v>92.620002720740203</v>
      </c>
      <c r="AJ7230">
        <v>96.641183244273705</v>
      </c>
      <c r="AK7230">
        <v>24.282439440678498</v>
      </c>
      <c r="AL7230">
        <v>93.845249255141297</v>
      </c>
      <c r="AM7230">
        <v>102.913394980099</v>
      </c>
      <c r="AN7230">
        <v>0.99999997241823502</v>
      </c>
    </row>
    <row r="7231" spans="1:40" x14ac:dyDescent="0.25">
      <c r="A7231" t="str">
        <f>"20190305135106563"</f>
        <v>20190305135106563</v>
      </c>
      <c r="B7231" t="str">
        <f>"1551765066557029"</f>
        <v>1551765066557029</v>
      </c>
      <c r="C7231" t="s">
        <v>40</v>
      </c>
      <c r="D7231">
        <v>3.898066</v>
      </c>
      <c r="E7231">
        <v>0.51981909999999998</v>
      </c>
      <c r="F7231" t="s">
        <v>113</v>
      </c>
      <c r="G7231">
        <v>-245.1036</v>
      </c>
      <c r="H7231" s="1">
        <v>-1.642348E-6</v>
      </c>
      <c r="I7231">
        <v>-62.134180000000001</v>
      </c>
      <c r="J7231">
        <v>-268.91120000000001</v>
      </c>
      <c r="K7231">
        <v>1.109998</v>
      </c>
      <c r="L7231">
        <v>-62.165770000000002</v>
      </c>
      <c r="M7231">
        <v>0.9933497</v>
      </c>
      <c r="N7231">
        <v>-3.3483839999999998E-3</v>
      </c>
      <c r="O7231">
        <v>-0.1150871</v>
      </c>
      <c r="P7231">
        <v>0.9914847</v>
      </c>
      <c r="Q7231">
        <v>-6.9471099999999994E-2</v>
      </c>
      <c r="R7231">
        <v>0.1101448</v>
      </c>
      <c r="S7231">
        <v>3.0150450000000002</v>
      </c>
      <c r="T7231">
        <v>-0.1392022</v>
      </c>
      <c r="U7231">
        <v>7.9345700000000002E-4</v>
      </c>
      <c r="V7231">
        <v>-0.22326109999999999</v>
      </c>
      <c r="W7231">
        <v>-6.708662E-2</v>
      </c>
      <c r="X7231">
        <v>0.97244739999999996</v>
      </c>
      <c r="Y7231">
        <v>-0.1151127</v>
      </c>
      <c r="Z7231">
        <v>7.7647569999999997E-3</v>
      </c>
      <c r="AA7231">
        <v>0.99332209999999999</v>
      </c>
      <c r="AB7231">
        <v>25</v>
      </c>
      <c r="AC7231">
        <v>23.807600000000001</v>
      </c>
      <c r="AD7231">
        <v>-1.1099996423479901</v>
      </c>
      <c r="AE7231">
        <v>3.1589999999987101E-2</v>
      </c>
      <c r="AF7231">
        <v>-2.7653320656371898</v>
      </c>
      <c r="AG7231">
        <v>-1.1099996423479901</v>
      </c>
      <c r="AH7231">
        <v>23.594481717562701</v>
      </c>
      <c r="AI7231">
        <v>92.675203027090106</v>
      </c>
      <c r="AJ7231">
        <v>96.684711474509797</v>
      </c>
      <c r="AK7231">
        <v>23.781899170580399</v>
      </c>
      <c r="AL7231">
        <v>93.846669119277195</v>
      </c>
      <c r="AM7231">
        <v>102.930278075701</v>
      </c>
      <c r="AN7231">
        <v>1.0000000395614901</v>
      </c>
    </row>
    <row r="7232" spans="1:40" x14ac:dyDescent="0.25">
      <c r="A7232" t="str">
        <f>"20190305135106574"</f>
        <v>20190305135106574</v>
      </c>
      <c r="B7232" t="str">
        <f>"1551765066566790"</f>
        <v>1551765066566790</v>
      </c>
      <c r="C7232" t="s">
        <v>40</v>
      </c>
      <c r="D7232">
        <v>3.894892</v>
      </c>
      <c r="E7232">
        <v>0.5201557</v>
      </c>
      <c r="F7232" t="s">
        <v>85</v>
      </c>
      <c r="G7232">
        <v>-208.3621</v>
      </c>
      <c r="H7232" s="1">
        <v>-1.48407999999999E-6</v>
      </c>
      <c r="I7232">
        <v>-58.612079999999999</v>
      </c>
      <c r="J7232">
        <v>-268.79570000000001</v>
      </c>
      <c r="K7232">
        <v>1.1100019999999999</v>
      </c>
      <c r="L7232">
        <v>-62.17801</v>
      </c>
      <c r="M7232">
        <v>0.99348130000000001</v>
      </c>
      <c r="N7232">
        <v>-3.361082E-3</v>
      </c>
      <c r="O7232">
        <v>-0.1139454</v>
      </c>
      <c r="P7232">
        <v>0.99131619999999998</v>
      </c>
      <c r="Q7232">
        <v>-6.9624839999999993E-2</v>
      </c>
      <c r="R7232">
        <v>0.1115558</v>
      </c>
      <c r="S7232">
        <v>3.002319</v>
      </c>
      <c r="T7232">
        <v>-5.5039169999999998E-2</v>
      </c>
      <c r="U7232">
        <v>0.17620849999999999</v>
      </c>
      <c r="V7232">
        <v>-0.22352449999999999</v>
      </c>
      <c r="W7232">
        <v>-6.7232970000000003E-2</v>
      </c>
      <c r="X7232">
        <v>0.97237669999999998</v>
      </c>
      <c r="Y7232">
        <v>-0.1719118</v>
      </c>
      <c r="Z7232">
        <v>3.5657639999999999E-3</v>
      </c>
      <c r="AA7232">
        <v>0.98510589999999998</v>
      </c>
      <c r="AB7232">
        <v>25</v>
      </c>
      <c r="AC7232">
        <v>60.433599999999998</v>
      </c>
      <c r="AD7232">
        <v>-1.1100034840799999</v>
      </c>
      <c r="AE7232">
        <v>3.5659299999999901</v>
      </c>
      <c r="AF7232">
        <v>-10.4253698089246</v>
      </c>
      <c r="AG7232">
        <v>-1.1100034840799999</v>
      </c>
      <c r="AH7232">
        <v>59.613627273516201</v>
      </c>
      <c r="AI7232">
        <v>91.050778240979696</v>
      </c>
      <c r="AJ7232">
        <v>99.919703506794207</v>
      </c>
      <c r="AK7232">
        <v>60.528546984817197</v>
      </c>
      <c r="AL7232">
        <v>93.855073636178304</v>
      </c>
      <c r="AM7232">
        <v>102.945928949452</v>
      </c>
      <c r="AN7232">
        <v>0.99999996052907902</v>
      </c>
    </row>
    <row r="7233" spans="1:40" x14ac:dyDescent="0.25">
      <c r="A7233" t="str">
        <f>"20190305135106584"</f>
        <v>20190305135106584</v>
      </c>
      <c r="B7233" t="str">
        <f>"1551765066577526"</f>
        <v>1551765066577526</v>
      </c>
      <c r="C7233" t="s">
        <v>40</v>
      </c>
      <c r="D7233">
        <v>3.8727689999999999</v>
      </c>
      <c r="E7233">
        <v>0.5208642</v>
      </c>
      <c r="F7233" t="s">
        <v>116</v>
      </c>
      <c r="G7233">
        <v>-211.2175</v>
      </c>
      <c r="H7233" s="1">
        <v>1.828683E-7</v>
      </c>
      <c r="I7233">
        <v>-58.767440000000001</v>
      </c>
      <c r="J7233">
        <v>-268.67689999999999</v>
      </c>
      <c r="K7233">
        <v>1.110007</v>
      </c>
      <c r="L7233">
        <v>-62.190429999999999</v>
      </c>
      <c r="M7233">
        <v>0.99361529999999998</v>
      </c>
      <c r="N7233">
        <v>-3.374761E-3</v>
      </c>
      <c r="O7233">
        <v>-0.112772</v>
      </c>
      <c r="P7233">
        <v>0.99114460000000004</v>
      </c>
      <c r="Q7233">
        <v>-6.9865659999999996E-2</v>
      </c>
      <c r="R7233">
        <v>0.1129218</v>
      </c>
      <c r="S7233">
        <v>3.002167</v>
      </c>
      <c r="T7233">
        <v>-5.7876230000000001E-2</v>
      </c>
      <c r="U7233">
        <v>0.17782590000000001</v>
      </c>
      <c r="V7233">
        <v>-0.22371160000000001</v>
      </c>
      <c r="W7233">
        <v>-6.7465349999999993E-2</v>
      </c>
      <c r="X7233">
        <v>0.9723176</v>
      </c>
      <c r="Y7233">
        <v>-0.1712755</v>
      </c>
      <c r="Z7233">
        <v>3.7283939999999999E-3</v>
      </c>
      <c r="AA7233">
        <v>0.98521610000000004</v>
      </c>
      <c r="AB7233">
        <v>25</v>
      </c>
      <c r="AC7233">
        <v>57.459399999999903</v>
      </c>
      <c r="AD7233">
        <v>-1.1100068171316999</v>
      </c>
      <c r="AE7233">
        <v>3.42299</v>
      </c>
      <c r="AF7233">
        <v>-9.8773285121560992</v>
      </c>
      <c r="AG7233">
        <v>-1.1100068171316999</v>
      </c>
      <c r="AH7233">
        <v>56.6857568880569</v>
      </c>
      <c r="AI7233">
        <v>91.105160963202295</v>
      </c>
      <c r="AJ7233">
        <v>99.884383782175306</v>
      </c>
      <c r="AK7233">
        <v>57.550575736851002</v>
      </c>
      <c r="AL7233">
        <v>93.868418237257998</v>
      </c>
      <c r="AM7233">
        <v>102.95716070831099</v>
      </c>
      <c r="AN7233">
        <v>0.99999998434747095</v>
      </c>
    </row>
    <row r="7234" spans="1:40" x14ac:dyDescent="0.25">
      <c r="A7234" t="str">
        <f>"20190305135106596"</f>
        <v>20190305135106596</v>
      </c>
      <c r="B7234" t="str">
        <f>"1551765066587285"</f>
        <v>1551765066587285</v>
      </c>
      <c r="C7234" t="s">
        <v>40</v>
      </c>
      <c r="D7234">
        <v>3.8557860000000002</v>
      </c>
      <c r="E7234">
        <v>0.52134659999999999</v>
      </c>
      <c r="F7234" t="s">
        <v>116</v>
      </c>
      <c r="G7234">
        <v>-211.4117</v>
      </c>
      <c r="H7234" s="1">
        <v>1.31934E-7</v>
      </c>
      <c r="I7234">
        <v>-58.824469999999998</v>
      </c>
      <c r="J7234">
        <v>-268.55799999999999</v>
      </c>
      <c r="K7234">
        <v>1.1100129999999999</v>
      </c>
      <c r="L7234">
        <v>-62.202730000000003</v>
      </c>
      <c r="M7234">
        <v>0.99374779999999996</v>
      </c>
      <c r="N7234">
        <v>-3.3888249999999998E-3</v>
      </c>
      <c r="O7234">
        <v>-0.11159719999999999</v>
      </c>
      <c r="P7234">
        <v>0.99101070000000002</v>
      </c>
      <c r="Q7234">
        <v>-7.0005949999999997E-2</v>
      </c>
      <c r="R7234">
        <v>0.11400440000000001</v>
      </c>
      <c r="S7234">
        <v>3.0025629999999999</v>
      </c>
      <c r="T7234">
        <v>-5.8200599999999998E-2</v>
      </c>
      <c r="U7234">
        <v>0.17648320000000001</v>
      </c>
      <c r="V7234">
        <v>-0.2236215</v>
      </c>
      <c r="W7234">
        <v>-6.7595580000000002E-2</v>
      </c>
      <c r="X7234">
        <v>0.97232929999999995</v>
      </c>
      <c r="Y7234">
        <v>-0.1696637</v>
      </c>
      <c r="Z7234">
        <v>3.7119060000000001E-3</v>
      </c>
      <c r="AA7234">
        <v>0.98549500000000001</v>
      </c>
      <c r="AB7234">
        <v>25</v>
      </c>
      <c r="AC7234">
        <v>57.146299999999997</v>
      </c>
      <c r="AD7234">
        <v>-1.110012868066</v>
      </c>
      <c r="AE7234">
        <v>3.37826</v>
      </c>
      <c r="AF7234">
        <v>-9.7309022540546994</v>
      </c>
      <c r="AG7234">
        <v>-1.110012868066</v>
      </c>
      <c r="AH7234">
        <v>56.3911244574508</v>
      </c>
      <c r="AI7234">
        <v>91.1112551384402</v>
      </c>
      <c r="AJ7234">
        <v>99.790591192594903</v>
      </c>
      <c r="AK7234">
        <v>57.2353169364942</v>
      </c>
      <c r="AL7234">
        <v>93.875896867915401</v>
      </c>
      <c r="AM7234">
        <v>102.951967614868</v>
      </c>
      <c r="AN7234">
        <v>1.0000000026681299</v>
      </c>
    </row>
    <row r="7235" spans="1:40" x14ac:dyDescent="0.25">
      <c r="A7235" t="str">
        <f>"20190305135106606"</f>
        <v>20190305135106606</v>
      </c>
      <c r="B7235" t="str">
        <f>"1551765066597045"</f>
        <v>1551765066597045</v>
      </c>
      <c r="C7235" t="s">
        <v>40</v>
      </c>
      <c r="D7235">
        <v>3.8157209999999999</v>
      </c>
      <c r="E7235">
        <v>0.52134659999999999</v>
      </c>
      <c r="F7235" t="s">
        <v>116</v>
      </c>
      <c r="G7235">
        <v>-210.78</v>
      </c>
      <c r="H7235" s="1">
        <v>3.4492429999999998E-7</v>
      </c>
      <c r="I7235">
        <v>-58.816989999999997</v>
      </c>
      <c r="J7235">
        <v>-268.43290000000002</v>
      </c>
      <c r="K7235">
        <v>1.1100190000000001</v>
      </c>
      <c r="L7235">
        <v>-62.215580000000003</v>
      </c>
      <c r="M7235">
        <v>0.99388560000000004</v>
      </c>
      <c r="N7235">
        <v>-3.4039389999999999E-3</v>
      </c>
      <c r="O7235">
        <v>-0.1103615</v>
      </c>
      <c r="P7235">
        <v>0.99083810000000005</v>
      </c>
      <c r="Q7235">
        <v>-7.0307079999999994E-2</v>
      </c>
      <c r="R7235">
        <v>0.11531089999999999</v>
      </c>
      <c r="S7235">
        <v>3.0028990000000002</v>
      </c>
      <c r="T7235">
        <v>-5.7690739999999997E-2</v>
      </c>
      <c r="U7235">
        <v>0.17596439999999999</v>
      </c>
      <c r="V7235">
        <v>-0.22368940000000001</v>
      </c>
      <c r="W7235">
        <v>-6.7886749999999996E-2</v>
      </c>
      <c r="X7235">
        <v>0.97229339999999997</v>
      </c>
      <c r="Y7235">
        <v>-0.16826340000000001</v>
      </c>
      <c r="Z7235">
        <v>3.6425339999999998E-3</v>
      </c>
      <c r="AA7235">
        <v>0.98573540000000004</v>
      </c>
      <c r="AB7235">
        <v>25</v>
      </c>
      <c r="AC7235">
        <v>57.652900000000002</v>
      </c>
      <c r="AD7235">
        <v>-1.1100186550757001</v>
      </c>
      <c r="AE7235">
        <v>3.3985899999999898</v>
      </c>
      <c r="AF7235">
        <v>-9.7369304825128804</v>
      </c>
      <c r="AG7235">
        <v>-1.1100186550757001</v>
      </c>
      <c r="AH7235">
        <v>56.9046268697101</v>
      </c>
      <c r="AI7235">
        <v>91.101502198754403</v>
      </c>
      <c r="AJ7235">
        <v>99.709826126820602</v>
      </c>
      <c r="AK7235">
        <v>57.7423286317484</v>
      </c>
      <c r="AL7235">
        <v>93.892618072643302</v>
      </c>
      <c r="AM7235">
        <v>102.956229878871</v>
      </c>
      <c r="AN7235">
        <v>1.00000000709074</v>
      </c>
    </row>
    <row r="7236" spans="1:40" x14ac:dyDescent="0.25">
      <c r="A7236" t="str">
        <f>"20190305135106618"</f>
        <v>20190305135106618</v>
      </c>
      <c r="B7236" t="str">
        <f>"1551765066606807"</f>
        <v>1551765066606807</v>
      </c>
      <c r="C7236" t="s">
        <v>40</v>
      </c>
      <c r="D7236">
        <v>3.8626939999999998</v>
      </c>
      <c r="E7236">
        <v>0.52192959999999899</v>
      </c>
      <c r="F7236" t="s">
        <v>116</v>
      </c>
      <c r="G7236">
        <v>-211.51410000000001</v>
      </c>
      <c r="H7236" s="1">
        <v>9.1687130000000001E-8</v>
      </c>
      <c r="I7236">
        <v>-58.804130000000001</v>
      </c>
      <c r="J7236">
        <v>-268.30709999999999</v>
      </c>
      <c r="K7236">
        <v>1.110023</v>
      </c>
      <c r="L7236">
        <v>-62.228270000000002</v>
      </c>
      <c r="M7236">
        <v>0.99402290000000004</v>
      </c>
      <c r="N7236">
        <v>-3.4197260000000001E-3</v>
      </c>
      <c r="O7236">
        <v>-0.1091188</v>
      </c>
      <c r="P7236">
        <v>0.99070670000000005</v>
      </c>
      <c r="Q7236">
        <v>-7.0164580000000004E-2</v>
      </c>
      <c r="R7236">
        <v>0.1165224</v>
      </c>
      <c r="S7236">
        <v>3.0026549999999999</v>
      </c>
      <c r="T7236">
        <v>-5.8557150000000002E-2</v>
      </c>
      <c r="U7236">
        <v>0.17996219999999999</v>
      </c>
      <c r="V7236">
        <v>-0.22366349999999999</v>
      </c>
      <c r="W7236">
        <v>-6.7733210000000002E-2</v>
      </c>
      <c r="X7236">
        <v>0.97231009999999995</v>
      </c>
      <c r="Y7236">
        <v>-0.1683422</v>
      </c>
      <c r="Z7236">
        <v>3.6794050000000002E-3</v>
      </c>
      <c r="AA7236">
        <v>0.98572179999999998</v>
      </c>
      <c r="AB7236">
        <v>25</v>
      </c>
      <c r="AC7236">
        <v>56.7929999999999</v>
      </c>
      <c r="AD7236">
        <v>-1.1100229083128701</v>
      </c>
      <c r="AE7236">
        <v>3.42413999999998</v>
      </c>
      <c r="AF7236">
        <v>-9.5972601165311708</v>
      </c>
      <c r="AG7236">
        <v>-1.1100229083128701</v>
      </c>
      <c r="AH7236">
        <v>56.058891235320303</v>
      </c>
      <c r="AI7236">
        <v>91.118103448031505</v>
      </c>
      <c r="AJ7236">
        <v>99.714833861277398</v>
      </c>
      <c r="AK7236">
        <v>56.885313035394397</v>
      </c>
      <c r="AL7236">
        <v>93.883800455994702</v>
      </c>
      <c r="AM7236">
        <v>102.954565345048</v>
      </c>
      <c r="AN7236">
        <v>1.0000000397655799</v>
      </c>
    </row>
    <row r="7237" spans="1:40" x14ac:dyDescent="0.25">
      <c r="A7237" t="str">
        <f>"20190305135106629"</f>
        <v>20190305135106629</v>
      </c>
      <c r="B7237" t="str">
        <f>"1551765066617542"</f>
        <v>1551765066617542</v>
      </c>
      <c r="C7237" t="s">
        <v>40</v>
      </c>
      <c r="D7237">
        <v>3.8727849999999999</v>
      </c>
      <c r="E7237">
        <v>0.52250980000000002</v>
      </c>
      <c r="F7237" t="s">
        <v>85</v>
      </c>
      <c r="G7237">
        <v>-209.54669999999999</v>
      </c>
      <c r="H7237" s="1">
        <v>-7.0072199999999999E-7</v>
      </c>
      <c r="I7237">
        <v>-58.726149999999997</v>
      </c>
      <c r="J7237">
        <v>-268.18200000000002</v>
      </c>
      <c r="K7237">
        <v>1.110031</v>
      </c>
      <c r="L7237">
        <v>-62.240780000000001</v>
      </c>
      <c r="M7237">
        <v>0.99415770000000003</v>
      </c>
      <c r="N7237">
        <v>-3.4356120000000002E-3</v>
      </c>
      <c r="O7237">
        <v>-0.1078842</v>
      </c>
      <c r="P7237">
        <v>0.99060479999999995</v>
      </c>
      <c r="Q7237">
        <v>-7.0075570000000004E-2</v>
      </c>
      <c r="R7237">
        <v>0.11743869999999999</v>
      </c>
      <c r="S7237">
        <v>3.0031129999999999</v>
      </c>
      <c r="T7237">
        <v>-5.6730870000000003E-2</v>
      </c>
      <c r="U7237">
        <v>0.17898559999999999</v>
      </c>
      <c r="V7237">
        <v>-0.22335479999999999</v>
      </c>
      <c r="W7237">
        <v>-6.7631789999999997E-2</v>
      </c>
      <c r="X7237">
        <v>0.97238809999999998</v>
      </c>
      <c r="Y7237">
        <v>-0.166793</v>
      </c>
      <c r="Z7237">
        <v>3.524821E-3</v>
      </c>
      <c r="AA7237">
        <v>0.98598560000000002</v>
      </c>
      <c r="AB7237">
        <v>25</v>
      </c>
      <c r="AC7237">
        <v>58.635300000000001</v>
      </c>
      <c r="AD7237">
        <v>-1.110031700722</v>
      </c>
      <c r="AE7237">
        <v>3.5146300000000101</v>
      </c>
      <c r="AF7237">
        <v>-9.8164697099569693</v>
      </c>
      <c r="AG7237">
        <v>-1.110031700722</v>
      </c>
      <c r="AH7237">
        <v>57.893220079888401</v>
      </c>
      <c r="AI7237">
        <v>91.082987429496299</v>
      </c>
      <c r="AJ7237">
        <v>99.6236331953356</v>
      </c>
      <c r="AK7237">
        <v>58.730061971374703</v>
      </c>
      <c r="AL7237">
        <v>93.877976234119203</v>
      </c>
      <c r="AM7237">
        <v>102.936284584939</v>
      </c>
      <c r="AN7237">
        <v>1.00000002136162</v>
      </c>
    </row>
    <row r="7238" spans="1:40" x14ac:dyDescent="0.25">
      <c r="A7238" t="str">
        <f>"20190305135106640"</f>
        <v>20190305135106640</v>
      </c>
      <c r="B7238" t="str">
        <f>"1551765066637062"</f>
        <v>1551765066637062</v>
      </c>
      <c r="C7238" t="s">
        <v>40</v>
      </c>
      <c r="D7238">
        <v>3.8792870000000002</v>
      </c>
      <c r="E7238">
        <v>0.52682289999999998</v>
      </c>
      <c r="F7238" t="s">
        <v>116</v>
      </c>
      <c r="G7238">
        <v>-211.2901</v>
      </c>
      <c r="H7238" s="1">
        <v>1.8955900000000001E-7</v>
      </c>
      <c r="I7238">
        <v>-58.885480000000001</v>
      </c>
      <c r="J7238">
        <v>-268.0548</v>
      </c>
      <c r="K7238">
        <v>1.110031</v>
      </c>
      <c r="L7238">
        <v>-62.253269999999901</v>
      </c>
      <c r="M7238">
        <v>0.99429299999999998</v>
      </c>
      <c r="N7238">
        <v>-3.4524379999999999E-3</v>
      </c>
      <c r="O7238">
        <v>-0.1066293</v>
      </c>
      <c r="P7238">
        <v>0.99045660000000002</v>
      </c>
      <c r="Q7238">
        <v>-7.0108390000000007E-2</v>
      </c>
      <c r="R7238">
        <v>0.11866259999999999</v>
      </c>
      <c r="S7238">
        <v>3.0033259999999999</v>
      </c>
      <c r="T7238">
        <v>-5.8598520000000001E-2</v>
      </c>
      <c r="U7238">
        <v>0.177124</v>
      </c>
      <c r="V7238">
        <v>-0.22332759999999999</v>
      </c>
      <c r="W7238">
        <v>-6.7652829999999997E-2</v>
      </c>
      <c r="X7238">
        <v>0.9723929</v>
      </c>
      <c r="Y7238">
        <v>-0.16493239999999901</v>
      </c>
      <c r="Z7238">
        <v>3.6015600000000002E-3</v>
      </c>
      <c r="AA7238">
        <v>0.98629829999999996</v>
      </c>
      <c r="AB7238">
        <v>25</v>
      </c>
      <c r="AC7238">
        <v>56.764699999999998</v>
      </c>
      <c r="AD7238">
        <v>-1.1100308104409999</v>
      </c>
      <c r="AE7238">
        <v>3.3677899999999901</v>
      </c>
      <c r="AF7238">
        <v>-9.3978237970601608</v>
      </c>
      <c r="AG7238">
        <v>-1.1100308104409999</v>
      </c>
      <c r="AH7238">
        <v>56.060602516462303</v>
      </c>
      <c r="AI7238">
        <v>91.118733340905493</v>
      </c>
      <c r="AJ7238">
        <v>99.516399708480094</v>
      </c>
      <c r="AK7238">
        <v>56.853693064122901</v>
      </c>
      <c r="AL7238">
        <v>93.879184443335504</v>
      </c>
      <c r="AM7238">
        <v>102.934700496514</v>
      </c>
      <c r="AN7238">
        <v>1.0000000371495801</v>
      </c>
    </row>
    <row r="7239" spans="1:40" x14ac:dyDescent="0.25">
      <c r="A7239" t="str">
        <f>"20190305135106651"</f>
        <v>20190305135106651</v>
      </c>
      <c r="B7239" t="str">
        <f>"1551765066646822"</f>
        <v>1551765066646822</v>
      </c>
      <c r="C7239" t="s">
        <v>40</v>
      </c>
      <c r="D7239">
        <v>3.8549340000000001</v>
      </c>
      <c r="E7239">
        <v>0.52712609999999904</v>
      </c>
      <c r="F7239" t="s">
        <v>113</v>
      </c>
      <c r="G7239">
        <v>-249.1859</v>
      </c>
      <c r="H7239" s="1">
        <v>-3.1707439999999999E-6</v>
      </c>
      <c r="I7239">
        <v>-61.345820000000003</v>
      </c>
      <c r="J7239">
        <v>-267.92590000000001</v>
      </c>
      <c r="K7239">
        <v>1.1100410000000001</v>
      </c>
      <c r="L7239">
        <v>-62.265839999999997</v>
      </c>
      <c r="M7239">
        <v>0.99442850000000005</v>
      </c>
      <c r="N7239">
        <v>-3.4696420000000002E-3</v>
      </c>
      <c r="O7239">
        <v>-0.10535750000000001</v>
      </c>
      <c r="P7239">
        <v>0.99031630000000004</v>
      </c>
      <c r="Q7239">
        <v>-7.0466089999999995E-2</v>
      </c>
      <c r="R7239">
        <v>0.1196188</v>
      </c>
      <c r="S7239">
        <v>2.9991759999999998</v>
      </c>
      <c r="T7239">
        <v>-0.1764375</v>
      </c>
      <c r="U7239">
        <v>0.1442261</v>
      </c>
      <c r="V7239">
        <v>-0.2230173</v>
      </c>
      <c r="W7239">
        <v>-6.7997160000000001E-2</v>
      </c>
      <c r="X7239">
        <v>0.97244010000000003</v>
      </c>
      <c r="Y7239">
        <v>-0.15256259999999999</v>
      </c>
      <c r="Z7239">
        <v>1.05652E-2</v>
      </c>
      <c r="AA7239">
        <v>0.98823729999999999</v>
      </c>
      <c r="AB7239">
        <v>25</v>
      </c>
      <c r="AC7239">
        <v>18.739999999999998</v>
      </c>
      <c r="AD7239">
        <v>-1.1100441707439901</v>
      </c>
      <c r="AE7239">
        <v>0.92002000000000705</v>
      </c>
      <c r="AF7239">
        <v>-2.87923268142386</v>
      </c>
      <c r="AG7239">
        <v>-1.1100441707439901</v>
      </c>
      <c r="AH7239">
        <v>18.474104542054299</v>
      </c>
      <c r="AI7239">
        <v>93.3976493328896</v>
      </c>
      <c r="AJ7239">
        <v>98.858417346543703</v>
      </c>
      <c r="AK7239">
        <v>18.730048519038501</v>
      </c>
      <c r="AL7239">
        <v>93.898958626659706</v>
      </c>
      <c r="AM7239">
        <v>102.916725793826</v>
      </c>
      <c r="AN7239">
        <v>1.00000003897768</v>
      </c>
    </row>
    <row r="7240" spans="1:40" x14ac:dyDescent="0.25">
      <c r="A7240" t="str">
        <f>"20190305135106662"</f>
        <v>20190305135106662</v>
      </c>
      <c r="B7240" t="str">
        <f>"1551765066657561"</f>
        <v>1551765066657561</v>
      </c>
      <c r="C7240" t="s">
        <v>40</v>
      </c>
      <c r="D7240">
        <v>3.8602340000000002</v>
      </c>
      <c r="E7240">
        <v>0.52745959999999903</v>
      </c>
      <c r="F7240" t="s">
        <v>113</v>
      </c>
      <c r="G7240">
        <v>-243.08150000000001</v>
      </c>
      <c r="H7240" s="1">
        <v>-4.8928349999999999E-7</v>
      </c>
      <c r="I7240">
        <v>-61.060870000000001</v>
      </c>
      <c r="J7240">
        <v>-267.79750000000001</v>
      </c>
      <c r="K7240">
        <v>1.1100490000000001</v>
      </c>
      <c r="L7240">
        <v>-62.27814</v>
      </c>
      <c r="M7240">
        <v>0.99456169999999999</v>
      </c>
      <c r="N7240">
        <v>-3.4873450000000002E-3</v>
      </c>
      <c r="O7240">
        <v>-0.1040909</v>
      </c>
      <c r="P7240">
        <v>0.99024299999999998</v>
      </c>
      <c r="Q7240">
        <v>-7.0187169999999993E-2</v>
      </c>
      <c r="R7240">
        <v>0.1203864</v>
      </c>
      <c r="S7240">
        <v>3.002167</v>
      </c>
      <c r="T7240">
        <v>-0.1341357</v>
      </c>
      <c r="U7240">
        <v>0.14559939999999999</v>
      </c>
      <c r="V7240">
        <v>-0.22253429999999999</v>
      </c>
      <c r="W7240">
        <v>-6.7703429999999995E-2</v>
      </c>
      <c r="X7240">
        <v>0.97257119999999997</v>
      </c>
      <c r="Y7240">
        <v>-0.15189629999999901</v>
      </c>
      <c r="Z7240">
        <v>7.9342270000000003E-3</v>
      </c>
      <c r="AA7240">
        <v>0.98836460000000004</v>
      </c>
      <c r="AB7240">
        <v>25</v>
      </c>
      <c r="AC7240">
        <v>24.716000000000001</v>
      </c>
      <c r="AD7240">
        <v>-1.1100494892835</v>
      </c>
      <c r="AE7240">
        <v>1.2172700000000001</v>
      </c>
      <c r="AF7240">
        <v>-3.77578598795363</v>
      </c>
      <c r="AG7240">
        <v>-1.1100494892835</v>
      </c>
      <c r="AH7240">
        <v>24.4059181598608</v>
      </c>
      <c r="AI7240">
        <v>92.573602781057701</v>
      </c>
      <c r="AJ7240">
        <v>98.794383411305404</v>
      </c>
      <c r="AK7240">
        <v>24.721197602893501</v>
      </c>
      <c r="AL7240">
        <v>93.882090400672794</v>
      </c>
      <c r="AM7240">
        <v>102.88800722072099</v>
      </c>
      <c r="AN7240">
        <v>1.00000000408984</v>
      </c>
    </row>
    <row r="7241" spans="1:40" x14ac:dyDescent="0.25">
      <c r="A7241" t="str">
        <f>"20190305135106674"</f>
        <v>20190305135106674</v>
      </c>
      <c r="B7241" t="str">
        <f>"1551765066667321"</f>
        <v>1551765066667321</v>
      </c>
      <c r="C7241" t="s">
        <v>40</v>
      </c>
      <c r="D7241">
        <v>3.8791730000000002</v>
      </c>
      <c r="E7241">
        <v>0.52782359999999995</v>
      </c>
      <c r="F7241" t="s">
        <v>114</v>
      </c>
      <c r="G7241">
        <v>-238.24340000000001</v>
      </c>
      <c r="H7241" s="1">
        <v>-2.6462210000000001E-6</v>
      </c>
      <c r="I7241">
        <v>-60.844670000000001</v>
      </c>
      <c r="J7241">
        <v>-267.66989999999998</v>
      </c>
      <c r="K7241">
        <v>1.110063</v>
      </c>
      <c r="L7241">
        <v>-62.290280000000003</v>
      </c>
      <c r="M7241">
        <v>0.99469260000000004</v>
      </c>
      <c r="N7241">
        <v>-3.5050910000000001E-3</v>
      </c>
      <c r="O7241">
        <v>-0.1028321</v>
      </c>
      <c r="P7241">
        <v>0.9901375</v>
      </c>
      <c r="Q7241">
        <v>-7.0154250000000001E-2</v>
      </c>
      <c r="R7241">
        <v>0.12126969999999999</v>
      </c>
      <c r="S7241">
        <v>3.003876</v>
      </c>
      <c r="T7241">
        <v>-0.1128255</v>
      </c>
      <c r="U7241">
        <v>0.14569089999999901</v>
      </c>
      <c r="V7241">
        <v>-0.22217010000000001</v>
      </c>
      <c r="W7241">
        <v>-6.7656250000000001E-2</v>
      </c>
      <c r="X7241">
        <v>0.97265769999999996</v>
      </c>
      <c r="Y7241">
        <v>-0.15072379999999999</v>
      </c>
      <c r="Z7241">
        <v>6.5879980000000003E-3</v>
      </c>
      <c r="AA7241">
        <v>0.98855389999999999</v>
      </c>
      <c r="AB7241">
        <v>25</v>
      </c>
      <c r="AC7241">
        <v>29.426499999999901</v>
      </c>
      <c r="AD7241">
        <v>-1.1100656462209999</v>
      </c>
      <c r="AE7241">
        <v>1.4456100000000001</v>
      </c>
      <c r="AF7241">
        <v>-4.4576254187669004</v>
      </c>
      <c r="AG7241">
        <v>-1.1100656462209999</v>
      </c>
      <c r="AH7241">
        <v>29.080560736171801</v>
      </c>
      <c r="AI7241">
        <v>92.160823962540803</v>
      </c>
      <c r="AJ7241">
        <v>98.714773720417398</v>
      </c>
      <c r="AK7241">
        <v>29.441156275580099</v>
      </c>
      <c r="AL7241">
        <v>93.879381139068499</v>
      </c>
      <c r="AM7241">
        <v>102.866511093501</v>
      </c>
      <c r="AN7241">
        <v>0.99999996143367997</v>
      </c>
    </row>
    <row r="7242" spans="1:40" x14ac:dyDescent="0.25">
      <c r="A7242" t="str">
        <f>"20190305135106684"</f>
        <v>20190305135106684</v>
      </c>
      <c r="B7242" t="str">
        <f>"1551765066677078"</f>
        <v>1551765066677078</v>
      </c>
      <c r="C7242" t="s">
        <v>40</v>
      </c>
      <c r="D7242">
        <v>3.8528359999999999</v>
      </c>
      <c r="E7242">
        <v>0.52844740000000001</v>
      </c>
      <c r="F7242" t="s">
        <v>114</v>
      </c>
      <c r="G7242">
        <v>-234.6771</v>
      </c>
      <c r="H7242" s="1">
        <v>-1.0754689999999999E-6</v>
      </c>
      <c r="I7242">
        <v>-60.691240000000001</v>
      </c>
      <c r="J7242">
        <v>-267.54640000000001</v>
      </c>
      <c r="K7242">
        <v>1.110074</v>
      </c>
      <c r="L7242">
        <v>-62.3018199999999</v>
      </c>
      <c r="M7242">
        <v>0.99481759999999997</v>
      </c>
      <c r="N7242">
        <v>-3.522481E-3</v>
      </c>
      <c r="O7242">
        <v>-0.10161439999999999</v>
      </c>
      <c r="P7242">
        <v>0.9900333</v>
      </c>
      <c r="Q7242">
        <v>-7.0152939999999997E-2</v>
      </c>
      <c r="R7242">
        <v>0.1221179</v>
      </c>
      <c r="S7242">
        <v>3.004883</v>
      </c>
      <c r="T7242">
        <v>-0.10110130000000001</v>
      </c>
      <c r="U7242">
        <v>0.14562990000000001</v>
      </c>
      <c r="V7242">
        <v>-0.22181129999999999</v>
      </c>
      <c r="W7242">
        <v>-6.7641010000000001E-2</v>
      </c>
      <c r="X7242">
        <v>0.97274070000000001</v>
      </c>
      <c r="Y7242">
        <v>-0.1495136</v>
      </c>
      <c r="Z7242">
        <v>5.8323280000000003E-3</v>
      </c>
      <c r="AA7242">
        <v>0.98874249999999997</v>
      </c>
      <c r="AB7242">
        <v>26</v>
      </c>
      <c r="AC7242">
        <v>32.869300000000003</v>
      </c>
      <c r="AD7242">
        <v>-1.1100750754690001</v>
      </c>
      <c r="AE7242">
        <v>1.6105799999999899</v>
      </c>
      <c r="AF7242">
        <v>-4.9366411873488003</v>
      </c>
      <c r="AG7242">
        <v>-1.1100750754690001</v>
      </c>
      <c r="AH7242">
        <v>32.498524441468199</v>
      </c>
      <c r="AI7242">
        <v>91.934161160443296</v>
      </c>
      <c r="AJ7242">
        <v>98.637401040600196</v>
      </c>
      <c r="AK7242">
        <v>32.890071203305602</v>
      </c>
      <c r="AL7242">
        <v>93.878505741351205</v>
      </c>
      <c r="AM7242">
        <v>102.845362136612</v>
      </c>
      <c r="AN7242">
        <v>1.000000014239</v>
      </c>
    </row>
    <row r="7243" spans="1:40" x14ac:dyDescent="0.25">
      <c r="A7243" t="str">
        <f>"20190305135106696"</f>
        <v>20190305135106696</v>
      </c>
      <c r="B7243" t="str">
        <f>"1551765066686838"</f>
        <v>1551765066686838</v>
      </c>
      <c r="C7243" t="s">
        <v>40</v>
      </c>
      <c r="D7243">
        <v>3.8776120000000001</v>
      </c>
      <c r="E7243">
        <v>0.52883179999999996</v>
      </c>
      <c r="F7243" t="s">
        <v>114</v>
      </c>
      <c r="G7243">
        <v>-231.51230000000001</v>
      </c>
      <c r="H7243" s="1">
        <v>3.1121240000000002E-7</v>
      </c>
      <c r="I7243">
        <v>-60.582349999999998</v>
      </c>
      <c r="J7243">
        <v>-267.4203</v>
      </c>
      <c r="K7243">
        <v>1.1100829999999999</v>
      </c>
      <c r="L7243">
        <v>-62.313479999999998</v>
      </c>
      <c r="M7243">
        <v>0.99494369999999999</v>
      </c>
      <c r="N7243">
        <v>-3.5404799999999999E-3</v>
      </c>
      <c r="O7243">
        <v>-0.1003724</v>
      </c>
      <c r="P7243">
        <v>0.98996879999999998</v>
      </c>
      <c r="Q7243">
        <v>-6.9897059999999997E-2</v>
      </c>
      <c r="R7243">
        <v>0.1227858</v>
      </c>
      <c r="S7243">
        <v>3.005951</v>
      </c>
      <c r="T7243">
        <v>-9.2601900000000001E-2</v>
      </c>
      <c r="U7243">
        <v>0.14343259999999999</v>
      </c>
      <c r="V7243">
        <v>-0.22125510000000001</v>
      </c>
      <c r="W7243">
        <v>-6.7369620000000005E-2</v>
      </c>
      <c r="X7243">
        <v>0.97288620000000003</v>
      </c>
      <c r="Y7243">
        <v>-0.14756520000000001</v>
      </c>
      <c r="Z7243">
        <v>5.2647880000000003E-3</v>
      </c>
      <c r="AA7243">
        <v>0.98903830000000004</v>
      </c>
      <c r="AB7243">
        <v>26</v>
      </c>
      <c r="AC7243">
        <v>35.907999999999902</v>
      </c>
      <c r="AD7243">
        <v>-1.1100826887876001</v>
      </c>
      <c r="AE7243">
        <v>1.7311300000000001</v>
      </c>
      <c r="AF7243">
        <v>-5.3215080420305299</v>
      </c>
      <c r="AG7243">
        <v>-1.1100826887876001</v>
      </c>
      <c r="AH7243">
        <v>35.519034059910901</v>
      </c>
      <c r="AI7243">
        <v>91.770346581239096</v>
      </c>
      <c r="AJ7243">
        <v>98.520752185408298</v>
      </c>
      <c r="AK7243">
        <v>35.932610703460597</v>
      </c>
      <c r="AL7243">
        <v>93.862920660753204</v>
      </c>
      <c r="AM7243">
        <v>102.812363407782</v>
      </c>
      <c r="AN7243">
        <v>1.0000000215626901</v>
      </c>
    </row>
    <row r="7244" spans="1:40" x14ac:dyDescent="0.25">
      <c r="A7244" t="str">
        <f>"20190305135106707"</f>
        <v>20190305135106707</v>
      </c>
      <c r="B7244" t="str">
        <f>"1551765066697574"</f>
        <v>1551765066697574</v>
      </c>
      <c r="C7244" t="s">
        <v>40</v>
      </c>
      <c r="D7244">
        <v>3.883553</v>
      </c>
      <c r="E7244">
        <v>0.52883959999999997</v>
      </c>
      <c r="F7244" t="s">
        <v>115</v>
      </c>
      <c r="G7244">
        <v>-228.45910000000001</v>
      </c>
      <c r="H7244" s="1">
        <v>-2.7654479999999999E-6</v>
      </c>
      <c r="I7244">
        <v>-60.466720000000002</v>
      </c>
      <c r="J7244">
        <v>-267.2928</v>
      </c>
      <c r="K7244">
        <v>1.1100939999999999</v>
      </c>
      <c r="L7244">
        <v>-62.325099999999999</v>
      </c>
      <c r="M7244">
        <v>0.99506939999999999</v>
      </c>
      <c r="N7244">
        <v>-3.5588690000000001E-3</v>
      </c>
      <c r="O7244">
        <v>-9.9115980000000006E-2</v>
      </c>
      <c r="P7244">
        <v>0.98986980000000002</v>
      </c>
      <c r="Q7244">
        <v>-6.9721210000000006E-2</v>
      </c>
      <c r="R7244">
        <v>0.12367880000000001</v>
      </c>
      <c r="S7244">
        <v>3.0067140000000001</v>
      </c>
      <c r="T7244">
        <v>-8.5667489999999999E-2</v>
      </c>
      <c r="U7244">
        <v>0.14251710000000001</v>
      </c>
      <c r="V7244">
        <v>-0.2209044</v>
      </c>
      <c r="W7244">
        <v>-6.7179050000000004E-2</v>
      </c>
      <c r="X7244">
        <v>0.97297909999999999</v>
      </c>
      <c r="Y7244">
        <v>-0.1460215</v>
      </c>
      <c r="Z7244">
        <v>4.806009E-3</v>
      </c>
      <c r="AA7244">
        <v>0.98926970000000003</v>
      </c>
      <c r="AB7244">
        <v>26</v>
      </c>
      <c r="AC7244">
        <v>38.833699999999901</v>
      </c>
      <c r="AD7244">
        <v>-1.1100967654480001</v>
      </c>
      <c r="AE7244">
        <v>1.8583799999999999</v>
      </c>
      <c r="AF7244">
        <v>-5.6936521290334703</v>
      </c>
      <c r="AG7244">
        <v>-1.1100967654480001</v>
      </c>
      <c r="AH7244">
        <v>38.426950679042399</v>
      </c>
      <c r="AI7244">
        <v>91.636868293064296</v>
      </c>
      <c r="AJ7244">
        <v>98.428093253136794</v>
      </c>
      <c r="AK7244">
        <v>38.862327875265798</v>
      </c>
      <c r="AL7244">
        <v>93.851976886980594</v>
      </c>
      <c r="AM7244">
        <v>102.791542670486</v>
      </c>
      <c r="AN7244">
        <v>1.00000005386753</v>
      </c>
    </row>
    <row r="7245" spans="1:40" x14ac:dyDescent="0.25">
      <c r="A7245" t="str">
        <f>"20190305135106718"</f>
        <v>20190305135106718</v>
      </c>
      <c r="B7245" t="str">
        <f>"1551765066707335"</f>
        <v>1551765066707335</v>
      </c>
      <c r="C7245" t="s">
        <v>40</v>
      </c>
      <c r="D7245">
        <v>3.894266</v>
      </c>
      <c r="E7245">
        <v>0.52897879999999997</v>
      </c>
      <c r="F7245" t="s">
        <v>115</v>
      </c>
      <c r="G7245">
        <v>-227.1525</v>
      </c>
      <c r="H7245" s="1">
        <v>-2.1870209999999999E-6</v>
      </c>
      <c r="I7245">
        <v>-60.386189999999999</v>
      </c>
      <c r="J7245">
        <v>-267.16469999999998</v>
      </c>
      <c r="K7245">
        <v>1.1101000000000001</v>
      </c>
      <c r="L7245">
        <v>-62.33661</v>
      </c>
      <c r="M7245">
        <v>0.99519429999999998</v>
      </c>
      <c r="N7245">
        <v>-3.5776499999999999E-3</v>
      </c>
      <c r="O7245">
        <v>-9.7854380000000005E-2</v>
      </c>
      <c r="P7245">
        <v>0.98977409999999999</v>
      </c>
      <c r="Q7245">
        <v>-6.9675710000000002E-2</v>
      </c>
      <c r="R7245">
        <v>0.1244691</v>
      </c>
      <c r="S7245">
        <v>3.0066830000000002</v>
      </c>
      <c r="T7245">
        <v>-8.3151100000000006E-2</v>
      </c>
      <c r="U7245">
        <v>0.14523320000000001</v>
      </c>
      <c r="V7245">
        <v>-0.2204468</v>
      </c>
      <c r="W7245">
        <v>-6.7117910000000003E-2</v>
      </c>
      <c r="X7245">
        <v>0.97308700000000004</v>
      </c>
      <c r="Y7245">
        <v>-0.14566560000000001</v>
      </c>
      <c r="Z7245">
        <v>4.6258590000000004E-3</v>
      </c>
      <c r="AA7245">
        <v>0.98932310000000001</v>
      </c>
      <c r="AB7245">
        <v>26</v>
      </c>
      <c r="AC7245">
        <v>40.012199999999901</v>
      </c>
      <c r="AD7245">
        <v>-1.1101021870209999</v>
      </c>
      <c r="AE7245">
        <v>1.95042</v>
      </c>
      <c r="AF7245">
        <v>-5.85195966783904</v>
      </c>
      <c r="AG7245">
        <v>-1.1101021870209999</v>
      </c>
      <c r="AH7245">
        <v>39.5989019718428</v>
      </c>
      <c r="AI7245">
        <v>91.588546277716404</v>
      </c>
      <c r="AJ7245">
        <v>98.406375647332794</v>
      </c>
      <c r="AK7245">
        <v>40.044360354427702</v>
      </c>
      <c r="AL7245">
        <v>93.848466270233203</v>
      </c>
      <c r="AM7245">
        <v>102.76454516187999</v>
      </c>
      <c r="AN7245">
        <v>0.99999995752100301</v>
      </c>
    </row>
    <row r="7246" spans="1:40" x14ac:dyDescent="0.25">
      <c r="A7246" t="str">
        <f>"20190305135106730"</f>
        <v>20190305135106730</v>
      </c>
      <c r="B7246" t="str">
        <f>"1551765066726854"</f>
        <v>1551765066726854</v>
      </c>
      <c r="C7246" t="s">
        <v>40</v>
      </c>
      <c r="D7246">
        <v>3.9062269999999999</v>
      </c>
      <c r="E7246">
        <v>0.52883649999999904</v>
      </c>
      <c r="F7246" t="s">
        <v>115</v>
      </c>
      <c r="G7246">
        <v>-226.26509999999999</v>
      </c>
      <c r="H7246" s="1">
        <v>-1.814502E-6</v>
      </c>
      <c r="I7246">
        <v>-60.344099999999997</v>
      </c>
      <c r="J7246">
        <v>-267.02949999999998</v>
      </c>
      <c r="K7246">
        <v>1.110109</v>
      </c>
      <c r="L7246">
        <v>-62.348599999999998</v>
      </c>
      <c r="M7246">
        <v>0.99532419999999999</v>
      </c>
      <c r="N7246">
        <v>-3.5975479999999999E-3</v>
      </c>
      <c r="O7246">
        <v>-9.6523049999999999E-2</v>
      </c>
      <c r="P7246">
        <v>0.98965130000000001</v>
      </c>
      <c r="Q7246">
        <v>-6.9972439999999997E-2</v>
      </c>
      <c r="R7246">
        <v>0.1252769</v>
      </c>
      <c r="S7246">
        <v>3.0068359999999998</v>
      </c>
      <c r="T7246">
        <v>-8.1611989999999995E-2</v>
      </c>
      <c r="U7246">
        <v>0.14648439999999999</v>
      </c>
      <c r="V7246">
        <v>-0.21993509999999999</v>
      </c>
      <c r="W7246">
        <v>-6.7398E-2</v>
      </c>
      <c r="X7246">
        <v>0.97318349999999998</v>
      </c>
      <c r="Y7246">
        <v>-0.14475460000000001</v>
      </c>
      <c r="Z7246">
        <v>4.4926380000000002E-3</v>
      </c>
      <c r="AA7246">
        <v>0.98945740000000004</v>
      </c>
      <c r="AB7246">
        <v>26</v>
      </c>
      <c r="AC7246">
        <v>40.764400000000002</v>
      </c>
      <c r="AD7246">
        <v>-1.110110814502</v>
      </c>
      <c r="AE7246">
        <v>2.0045000000000002</v>
      </c>
      <c r="AF7246">
        <v>-5.9254864849263198</v>
      </c>
      <c r="AG7246">
        <v>-1.110110814502</v>
      </c>
      <c r="AH7246">
        <v>40.350724626774998</v>
      </c>
      <c r="AI7246">
        <v>91.559184273120195</v>
      </c>
      <c r="AJ7246">
        <v>98.354150117833299</v>
      </c>
      <c r="AK7246">
        <v>40.798587157024798</v>
      </c>
      <c r="AL7246">
        <v>93.864550380153304</v>
      </c>
      <c r="AM7246">
        <v>102.73466191068999</v>
      </c>
      <c r="AN7246">
        <v>1.00000003164412</v>
      </c>
    </row>
    <row r="7247" spans="1:40" x14ac:dyDescent="0.25">
      <c r="A7247" t="str">
        <f>"20190305135106741"</f>
        <v>20190305135106741</v>
      </c>
      <c r="B7247" t="str">
        <f>"1551765066736613"</f>
        <v>1551765066736613</v>
      </c>
      <c r="C7247" t="s">
        <v>40</v>
      </c>
      <c r="D7247">
        <v>3.7743519999999999</v>
      </c>
      <c r="E7247">
        <v>0.52843759999999995</v>
      </c>
      <c r="F7247" t="s">
        <v>115</v>
      </c>
      <c r="G7247">
        <v>-225.30959999999999</v>
      </c>
      <c r="H7247" s="1">
        <v>-1.4222990000000001E-6</v>
      </c>
      <c r="I7247">
        <v>-60.263969999999901</v>
      </c>
      <c r="J7247">
        <v>-266.89280000000002</v>
      </c>
      <c r="K7247">
        <v>1.110112</v>
      </c>
      <c r="L7247">
        <v>-62.3604699999999</v>
      </c>
      <c r="M7247">
        <v>0.99545380000000006</v>
      </c>
      <c r="N7247">
        <v>-3.6179599999999999E-3</v>
      </c>
      <c r="O7247">
        <v>-9.5178609999999997E-2</v>
      </c>
      <c r="P7247">
        <v>0.98952079999999998</v>
      </c>
      <c r="Q7247">
        <v>-7.0304889999999995E-2</v>
      </c>
      <c r="R7247">
        <v>0.1261196</v>
      </c>
      <c r="S7247">
        <v>3.0067140000000001</v>
      </c>
      <c r="T7247">
        <v>-8.0004569999999997E-2</v>
      </c>
      <c r="U7247">
        <v>0.15023800000000001</v>
      </c>
      <c r="V7247">
        <v>-0.219444</v>
      </c>
      <c r="W7247">
        <v>-6.7713480000000006E-2</v>
      </c>
      <c r="X7247">
        <v>0.97327240000000004</v>
      </c>
      <c r="Y7247">
        <v>-0.14465620000000001</v>
      </c>
      <c r="Z7247">
        <v>4.36981E-3</v>
      </c>
      <c r="AA7247">
        <v>0.98947229999999997</v>
      </c>
      <c r="AB7247">
        <v>26</v>
      </c>
      <c r="AC7247">
        <v>41.583199999999998</v>
      </c>
      <c r="AD7247">
        <v>-1.1101134222989999</v>
      </c>
      <c r="AE7247">
        <v>2.09649999999999</v>
      </c>
      <c r="AF7247">
        <v>-6.04054454307248</v>
      </c>
      <c r="AG7247">
        <v>-1.1101134222989999</v>
      </c>
      <c r="AH7247">
        <v>41.165611597142401</v>
      </c>
      <c r="AI7247">
        <v>91.5283626475494</v>
      </c>
      <c r="AJ7247">
        <v>98.347872176730505</v>
      </c>
      <c r="AK7247">
        <v>41.621245877003602</v>
      </c>
      <c r="AL7247">
        <v>93.882667662567798</v>
      </c>
      <c r="AM7247">
        <v>102.706027572129</v>
      </c>
      <c r="AN7247">
        <v>0.99999997455573397</v>
      </c>
    </row>
    <row r="7248" spans="1:40" x14ac:dyDescent="0.25">
      <c r="A7248" t="str">
        <f>"20190305135106753"</f>
        <v>20190305135106753</v>
      </c>
      <c r="B7248" t="str">
        <f>"1551765066747349"</f>
        <v>1551765066747349</v>
      </c>
      <c r="C7248" t="s">
        <v>40</v>
      </c>
      <c r="D7248">
        <v>3.9068930000000002</v>
      </c>
      <c r="E7248">
        <v>0.52866020000000002</v>
      </c>
      <c r="F7248" t="s">
        <v>115</v>
      </c>
      <c r="G7248">
        <v>-228.1018</v>
      </c>
      <c r="H7248" s="1">
        <v>-2.6012420000000001E-6</v>
      </c>
      <c r="I7248">
        <v>-60.349499999999999</v>
      </c>
      <c r="J7248">
        <v>-266.76229999999998</v>
      </c>
      <c r="K7248">
        <v>1.110115</v>
      </c>
      <c r="L7248">
        <v>-62.371699999999997</v>
      </c>
      <c r="M7248">
        <v>0.9955756</v>
      </c>
      <c r="N7248">
        <v>-3.6375460000000002E-3</v>
      </c>
      <c r="O7248">
        <v>-9.3894370000000005E-2</v>
      </c>
      <c r="P7248">
        <v>0.98938550000000003</v>
      </c>
      <c r="Q7248">
        <v>-7.0541179999999995E-2</v>
      </c>
      <c r="R7248">
        <v>0.12704489999999999</v>
      </c>
      <c r="S7248">
        <v>3.0057680000000002</v>
      </c>
      <c r="T7248">
        <v>-8.6018559999999994E-2</v>
      </c>
      <c r="U7248">
        <v>0.15582279999999901</v>
      </c>
      <c r="V7248">
        <v>-0.21909490000000001</v>
      </c>
      <c r="W7248">
        <v>-6.7934010000000003E-2</v>
      </c>
      <c r="X7248">
        <v>0.97333570000000003</v>
      </c>
      <c r="Y7248">
        <v>-0.14521600000000001</v>
      </c>
      <c r="Z7248">
        <v>4.6823560000000004E-3</v>
      </c>
      <c r="AA7248">
        <v>0.98938890000000002</v>
      </c>
      <c r="AB7248">
        <v>26</v>
      </c>
      <c r="AC7248">
        <v>38.6604999999999</v>
      </c>
      <c r="AD7248">
        <v>-1.110117601242</v>
      </c>
      <c r="AE7248">
        <v>2.02219999999999</v>
      </c>
      <c r="AF7248">
        <v>-5.6386566347632296</v>
      </c>
      <c r="AG7248">
        <v>-1.110117601242</v>
      </c>
      <c r="AH7248">
        <v>38.268360546973597</v>
      </c>
      <c r="AI7248">
        <v>91.643874381360703</v>
      </c>
      <c r="AJ7248">
        <v>98.381942473009005</v>
      </c>
      <c r="AK7248">
        <v>38.697470572203002</v>
      </c>
      <c r="AL7248">
        <v>93.895332184314299</v>
      </c>
      <c r="AM7248">
        <v>102.685670691105</v>
      </c>
      <c r="AN7248">
        <v>0.99999999490758995</v>
      </c>
    </row>
    <row r="7249" spans="1:40" x14ac:dyDescent="0.25">
      <c r="A7249" t="str">
        <f>"20190305135106763"</f>
        <v>20190305135106763</v>
      </c>
      <c r="B7249" t="str">
        <f>"1551765066757110"</f>
        <v>1551765066757110</v>
      </c>
      <c r="C7249" t="s">
        <v>40</v>
      </c>
      <c r="D7249">
        <v>3.9127960000000002</v>
      </c>
      <c r="E7249">
        <v>0.52866020000000002</v>
      </c>
      <c r="F7249" t="s">
        <v>115</v>
      </c>
      <c r="G7249">
        <v>-227.232</v>
      </c>
      <c r="H7249" s="1">
        <v>-2.2372660000000001E-6</v>
      </c>
      <c r="I7249">
        <v>-60.308120000000002</v>
      </c>
      <c r="J7249">
        <v>-266.6361</v>
      </c>
      <c r="K7249">
        <v>1.1101209999999999</v>
      </c>
      <c r="L7249">
        <v>-62.382390000000001</v>
      </c>
      <c r="M7249">
        <v>0.99569180000000002</v>
      </c>
      <c r="N7249">
        <v>-3.6567349999999999E-3</v>
      </c>
      <c r="O7249">
        <v>-9.2653280000000005E-2</v>
      </c>
      <c r="P7249">
        <v>0.98924480000000004</v>
      </c>
      <c r="Q7249">
        <v>-7.0844099999999993E-2</v>
      </c>
      <c r="R7249">
        <v>0.12796840000000001</v>
      </c>
      <c r="S7249">
        <v>3.0060120000000001</v>
      </c>
      <c r="T7249">
        <v>-8.4416989999999997E-2</v>
      </c>
      <c r="U7249">
        <v>0.15692139999999999</v>
      </c>
      <c r="V7249">
        <v>-0.2187857</v>
      </c>
      <c r="W7249">
        <v>-6.8221599999999993E-2</v>
      </c>
      <c r="X7249">
        <v>0.97338519999999995</v>
      </c>
      <c r="Y7249">
        <v>-0.14434350000000001</v>
      </c>
      <c r="Z7249">
        <v>4.5489160000000001E-3</v>
      </c>
      <c r="AA7249">
        <v>0.98951719999999999</v>
      </c>
      <c r="AB7249">
        <v>26</v>
      </c>
      <c r="AC7249">
        <v>39.4041</v>
      </c>
      <c r="AD7249">
        <v>-1.1101232372659999</v>
      </c>
      <c r="AE7249">
        <v>2.0742699999999998</v>
      </c>
      <c r="AF7249">
        <v>-5.7117695572679299</v>
      </c>
      <c r="AG7249">
        <v>-1.1101232372659999</v>
      </c>
      <c r="AH7249">
        <v>39.011531082434303</v>
      </c>
      <c r="AI7249">
        <v>91.612799585915695</v>
      </c>
      <c r="AJ7249">
        <v>98.329626081033695</v>
      </c>
      <c r="AK7249">
        <v>39.443075976310297</v>
      </c>
      <c r="AL7249">
        <v>93.911847945802506</v>
      </c>
      <c r="AM7249">
        <v>102.667722651435</v>
      </c>
      <c r="AN7249">
        <v>1.0000000584050399</v>
      </c>
    </row>
    <row r="7250" spans="1:40" x14ac:dyDescent="0.25">
      <c r="A7250" t="str">
        <f>"20190305135106774"</f>
        <v>20190305135106774</v>
      </c>
      <c r="B7250" t="str">
        <f>"1551765066766869"</f>
        <v>1551765066766869</v>
      </c>
      <c r="C7250" t="s">
        <v>40</v>
      </c>
      <c r="D7250">
        <v>3.8987669999999999</v>
      </c>
      <c r="E7250">
        <v>0.52867489999999995</v>
      </c>
      <c r="F7250" t="s">
        <v>115</v>
      </c>
      <c r="G7250">
        <v>-227.53139999999999</v>
      </c>
      <c r="H7250" s="1">
        <v>-2.3665250000000002E-6</v>
      </c>
      <c r="I7250">
        <v>-60.304349999999999</v>
      </c>
      <c r="J7250">
        <v>-266.50510000000003</v>
      </c>
      <c r="K7250">
        <v>1.110136</v>
      </c>
      <c r="L7250">
        <v>-62.393279999999997</v>
      </c>
      <c r="M7250">
        <v>0.99581070000000005</v>
      </c>
      <c r="N7250">
        <v>-3.6767869999999999E-3</v>
      </c>
      <c r="O7250">
        <v>-9.1366059999999999E-2</v>
      </c>
      <c r="P7250">
        <v>0.98911090000000002</v>
      </c>
      <c r="Q7250">
        <v>-7.0960419999999996E-2</v>
      </c>
      <c r="R7250">
        <v>0.128936</v>
      </c>
      <c r="S7250">
        <v>3.005798</v>
      </c>
      <c r="T7250">
        <v>-8.5330130000000004E-2</v>
      </c>
      <c r="U7250">
        <v>0.15972900000000001</v>
      </c>
      <c r="V7250">
        <v>-0.2184769</v>
      </c>
      <c r="W7250">
        <v>-6.8321750000000001E-2</v>
      </c>
      <c r="X7250">
        <v>0.97344739999999996</v>
      </c>
      <c r="Y7250">
        <v>-0.14398830000000001</v>
      </c>
      <c r="Z7250">
        <v>4.5613759999999998E-3</v>
      </c>
      <c r="AA7250">
        <v>0.98956889999999997</v>
      </c>
      <c r="AB7250">
        <v>26</v>
      </c>
      <c r="AC7250">
        <v>38.973700000000001</v>
      </c>
      <c r="AD7250">
        <v>-1.110138366525</v>
      </c>
      <c r="AE7250">
        <v>2.08893</v>
      </c>
      <c r="AF7250">
        <v>-5.6365296248408798</v>
      </c>
      <c r="AG7250">
        <v>-1.110138366525</v>
      </c>
      <c r="AH7250">
        <v>38.588607484342099</v>
      </c>
      <c r="AI7250">
        <v>91.630568806197104</v>
      </c>
      <c r="AJ7250">
        <v>98.310264742128595</v>
      </c>
      <c r="AK7250">
        <v>39.013888565293797</v>
      </c>
      <c r="AL7250">
        <v>93.917600045488001</v>
      </c>
      <c r="AM7250">
        <v>102.64963660071901</v>
      </c>
      <c r="AN7250">
        <v>0.99999992896171297</v>
      </c>
    </row>
    <row r="7251" spans="1:40" x14ac:dyDescent="0.25">
      <c r="A7251" t="str">
        <f>"20190305135106785"</f>
        <v>20190305135106785</v>
      </c>
      <c r="B7251" t="str">
        <f>"1551765066777606"</f>
        <v>1551765066777606</v>
      </c>
      <c r="C7251" t="s">
        <v>40</v>
      </c>
      <c r="D7251">
        <v>3.892093</v>
      </c>
      <c r="E7251">
        <v>0.52882779999999996</v>
      </c>
      <c r="F7251" t="s">
        <v>115</v>
      </c>
      <c r="G7251">
        <v>-226.29560000000001</v>
      </c>
      <c r="H7251" s="1">
        <v>-1.855611E-6</v>
      </c>
      <c r="I7251">
        <v>-60.217359999999999</v>
      </c>
      <c r="J7251">
        <v>-266.38189999999997</v>
      </c>
      <c r="K7251">
        <v>1.110144</v>
      </c>
      <c r="L7251">
        <v>-62.403410000000001</v>
      </c>
      <c r="M7251">
        <v>0.99592080000000005</v>
      </c>
      <c r="N7251">
        <v>-3.695804E-3</v>
      </c>
      <c r="O7251">
        <v>-9.0155609999999997E-2</v>
      </c>
      <c r="P7251">
        <v>0.98898079999999999</v>
      </c>
      <c r="Q7251">
        <v>-7.1287489999999995E-2</v>
      </c>
      <c r="R7251">
        <v>0.12975019999999901</v>
      </c>
      <c r="S7251">
        <v>3.0058289999999999</v>
      </c>
      <c r="T7251">
        <v>-8.2987430000000001E-2</v>
      </c>
      <c r="U7251">
        <v>0.16265869999999999</v>
      </c>
      <c r="V7251">
        <v>-0.21809020000000001</v>
      </c>
      <c r="W7251">
        <v>-6.8632910000000005E-2</v>
      </c>
      <c r="X7251">
        <v>0.9735123</v>
      </c>
      <c r="Y7251">
        <v>-0.14375209999999999</v>
      </c>
      <c r="Z7251">
        <v>4.40122E-3</v>
      </c>
      <c r="AA7251">
        <v>0.98960389999999998</v>
      </c>
      <c r="AB7251">
        <v>26</v>
      </c>
      <c r="AC7251">
        <v>40.086299999999902</v>
      </c>
      <c r="AD7251">
        <v>-1.110145855611</v>
      </c>
      <c r="AE7251">
        <v>2.1860499999999998</v>
      </c>
      <c r="AF7251">
        <v>-5.7867522381215499</v>
      </c>
      <c r="AG7251">
        <v>-1.110145855611</v>
      </c>
      <c r="AH7251">
        <v>39.695613580436898</v>
      </c>
      <c r="AI7251">
        <v>91.585196193548697</v>
      </c>
      <c r="AJ7251">
        <v>98.294047782108194</v>
      </c>
      <c r="AK7251">
        <v>40.130545259359501</v>
      </c>
      <c r="AL7251">
        <v>93.935469849003496</v>
      </c>
      <c r="AM7251">
        <v>102.62715078220199</v>
      </c>
      <c r="AN7251">
        <v>1.0000000049611899</v>
      </c>
    </row>
    <row r="7252" spans="1:40" x14ac:dyDescent="0.25">
      <c r="A7252" t="str">
        <f>"20190305135106797"</f>
        <v>20190305135106797</v>
      </c>
      <c r="B7252" t="str">
        <f>"1551765066787366"</f>
        <v>1551765066787366</v>
      </c>
      <c r="C7252" t="s">
        <v>40</v>
      </c>
      <c r="D7252">
        <v>3.8984830000000001</v>
      </c>
      <c r="E7252">
        <v>0.52893049999999997</v>
      </c>
      <c r="F7252" t="s">
        <v>115</v>
      </c>
      <c r="G7252">
        <v>-225.51089999999999</v>
      </c>
      <c r="H7252" s="1">
        <v>-1.5286470000000001E-6</v>
      </c>
      <c r="I7252">
        <v>-60.173580000000001</v>
      </c>
      <c r="J7252">
        <v>-266.25189999999998</v>
      </c>
      <c r="K7252">
        <v>1.1101529999999999</v>
      </c>
      <c r="L7252">
        <v>-62.413939999999997</v>
      </c>
      <c r="M7252">
        <v>0.99603529999999996</v>
      </c>
      <c r="N7252">
        <v>-3.7158529999999999E-3</v>
      </c>
      <c r="O7252">
        <v>-8.888161E-2</v>
      </c>
      <c r="P7252">
        <v>0.98879859999999997</v>
      </c>
      <c r="Q7252">
        <v>-7.1780969999999999E-2</v>
      </c>
      <c r="R7252">
        <v>0.13086249999999999</v>
      </c>
      <c r="S7252">
        <v>3.0060120000000001</v>
      </c>
      <c r="T7252">
        <v>-8.1649899999999997E-2</v>
      </c>
      <c r="U7252">
        <v>0.16400149999999999</v>
      </c>
      <c r="V7252">
        <v>-0.2179335</v>
      </c>
      <c r="W7252">
        <v>-6.9110409999999997E-2</v>
      </c>
      <c r="X7252">
        <v>0.97351359999999998</v>
      </c>
      <c r="Y7252">
        <v>-0.14292729999999901</v>
      </c>
      <c r="Z7252">
        <v>4.2860650000000004E-3</v>
      </c>
      <c r="AA7252">
        <v>0.98972389999999999</v>
      </c>
      <c r="AB7252">
        <v>26</v>
      </c>
      <c r="AC7252">
        <v>40.7409999999999</v>
      </c>
      <c r="AD7252">
        <v>-1.110154528647</v>
      </c>
      <c r="AE7252">
        <v>2.2403599999999999</v>
      </c>
      <c r="AF7252">
        <v>-5.8483141751317804</v>
      </c>
      <c r="AG7252">
        <v>-1.110154528647</v>
      </c>
      <c r="AH7252">
        <v>40.3507541865009</v>
      </c>
      <c r="AI7252">
        <v>91.559670373043801</v>
      </c>
      <c r="AJ7252">
        <v>98.246847603384893</v>
      </c>
      <c r="AK7252">
        <v>40.787480740883403</v>
      </c>
      <c r="AL7252">
        <v>93.962893743374806</v>
      </c>
      <c r="AM7252">
        <v>102.618352368253</v>
      </c>
      <c r="AN7252">
        <v>0.99999999428878905</v>
      </c>
    </row>
    <row r="7253" spans="1:40" x14ac:dyDescent="0.25">
      <c r="A7253" t="str">
        <f>"20190305135106806"</f>
        <v>20190305135106806</v>
      </c>
      <c r="B7253" t="str">
        <f>"1551765066797126"</f>
        <v>1551765066797126</v>
      </c>
      <c r="C7253" t="s">
        <v>40</v>
      </c>
      <c r="D7253">
        <v>3.9138959999999998</v>
      </c>
      <c r="E7253">
        <v>0.52909899999999999</v>
      </c>
      <c r="F7253" t="s">
        <v>115</v>
      </c>
      <c r="G7253">
        <v>-225.00919999999999</v>
      </c>
      <c r="H7253" s="1">
        <v>-1.323249E-6</v>
      </c>
      <c r="I7253">
        <v>-60.129100000000001</v>
      </c>
      <c r="J7253">
        <v>-266.12079999999997</v>
      </c>
      <c r="K7253">
        <v>1.110161</v>
      </c>
      <c r="L7253">
        <v>-62.424410000000002</v>
      </c>
      <c r="M7253">
        <v>0.9961489</v>
      </c>
      <c r="N7253">
        <v>-3.7360399999999999E-3</v>
      </c>
      <c r="O7253">
        <v>-8.7599280000000002E-2</v>
      </c>
      <c r="P7253">
        <v>0.98868370000000005</v>
      </c>
      <c r="Q7253">
        <v>-7.1655899999999995E-2</v>
      </c>
      <c r="R7253">
        <v>0.13179660000000001</v>
      </c>
      <c r="S7253">
        <v>3.0060419999999999</v>
      </c>
      <c r="T7253">
        <v>-8.091545E-2</v>
      </c>
      <c r="U7253">
        <v>0.1665344</v>
      </c>
      <c r="V7253">
        <v>-0.21760009999999999</v>
      </c>
      <c r="W7253">
        <v>-6.8967840000000002E-2</v>
      </c>
      <c r="X7253">
        <v>0.97359830000000003</v>
      </c>
      <c r="Y7253">
        <v>-0.1424861</v>
      </c>
      <c r="Z7253">
        <v>4.2101020000000003E-3</v>
      </c>
      <c r="AA7253">
        <v>0.98978790000000005</v>
      </c>
      <c r="AB7253">
        <v>26</v>
      </c>
      <c r="AC7253">
        <v>41.111599999999903</v>
      </c>
      <c r="AD7253">
        <v>-1.1101623232490001</v>
      </c>
      <c r="AE7253">
        <v>2.29530999999999</v>
      </c>
      <c r="AF7253">
        <v>-5.8835805758445696</v>
      </c>
      <c r="AG7253">
        <v>-1.1101623232490001</v>
      </c>
      <c r="AH7253">
        <v>40.722884801179497</v>
      </c>
      <c r="AI7253">
        <v>91.545536082729896</v>
      </c>
      <c r="AJ7253">
        <v>98.2211195860652</v>
      </c>
      <c r="AK7253">
        <v>41.160689101453997</v>
      </c>
      <c r="AL7253">
        <v>93.954705491833593</v>
      </c>
      <c r="AM7253">
        <v>102.59860416026601</v>
      </c>
      <c r="AN7253">
        <v>1.00000000811858</v>
      </c>
    </row>
    <row r="7254" spans="1:40" x14ac:dyDescent="0.25">
      <c r="A7254" t="str">
        <f>"20190305135106819"</f>
        <v>20190305135106819</v>
      </c>
      <c r="B7254" t="str">
        <f>"1551765066806886"</f>
        <v>1551765066806886</v>
      </c>
      <c r="C7254" t="s">
        <v>40</v>
      </c>
      <c r="D7254">
        <v>4.153969</v>
      </c>
      <c r="E7254">
        <v>0.52909899999999999</v>
      </c>
      <c r="F7254" t="s">
        <v>115</v>
      </c>
      <c r="G7254">
        <v>-223.81049999999999</v>
      </c>
      <c r="H7254" s="1">
        <v>-8.2459140000000005E-7</v>
      </c>
      <c r="I7254">
        <v>-60.05865</v>
      </c>
      <c r="J7254">
        <v>-265.98829999999998</v>
      </c>
      <c r="K7254">
        <v>1.110166</v>
      </c>
      <c r="L7254">
        <v>-62.434719999999999</v>
      </c>
      <c r="M7254">
        <v>0.99626139999999996</v>
      </c>
      <c r="N7254">
        <v>-3.7565189999999998E-3</v>
      </c>
      <c r="O7254">
        <v>-8.6309899999999995E-2</v>
      </c>
      <c r="P7254">
        <v>0.98850210000000005</v>
      </c>
      <c r="Q7254">
        <v>-7.1991830000000007E-2</v>
      </c>
      <c r="R7254">
        <v>0.13296949999999999</v>
      </c>
      <c r="S7254">
        <v>3.0062259999999998</v>
      </c>
      <c r="T7254">
        <v>-7.8878999999999894E-2</v>
      </c>
      <c r="U7254">
        <v>0.16809079999999901</v>
      </c>
      <c r="V7254">
        <v>-0.2174903</v>
      </c>
      <c r="W7254">
        <v>-6.9286139999999996E-2</v>
      </c>
      <c r="X7254">
        <v>0.97360020000000003</v>
      </c>
      <c r="Y7254">
        <v>-0.14171719999999999</v>
      </c>
      <c r="Z7254">
        <v>4.0616080000000004E-3</v>
      </c>
      <c r="AA7254">
        <v>0.98989890000000003</v>
      </c>
      <c r="AB7254">
        <v>26</v>
      </c>
      <c r="AC7254">
        <v>42.177799999999898</v>
      </c>
      <c r="AD7254">
        <v>-1.11016682459139</v>
      </c>
      <c r="AE7254">
        <v>2.3760699999999901</v>
      </c>
      <c r="AF7254">
        <v>-6.0034440140932004</v>
      </c>
      <c r="AG7254">
        <v>-1.11016682459139</v>
      </c>
      <c r="AH7254">
        <v>41.786466610802997</v>
      </c>
      <c r="AI7254">
        <v>91.506394251846601</v>
      </c>
      <c r="AJ7254">
        <v>98.175715265756807</v>
      </c>
      <c r="AK7254">
        <v>42.230114873447</v>
      </c>
      <c r="AL7254">
        <v>93.972986602206305</v>
      </c>
      <c r="AM7254">
        <v>102.592425967392</v>
      </c>
      <c r="AN7254">
        <v>0.99999997461511403</v>
      </c>
    </row>
    <row r="7255" spans="1:40" x14ac:dyDescent="0.25">
      <c r="A7255" t="str">
        <f>"20190305135106830"</f>
        <v>20190305135106830</v>
      </c>
      <c r="B7255" t="str">
        <f>"1551765066827382"</f>
        <v>1551765066827382</v>
      </c>
      <c r="C7255" t="s">
        <v>40</v>
      </c>
      <c r="D7255">
        <v>4.0241189999999998</v>
      </c>
      <c r="E7255">
        <v>0.56205890000000003</v>
      </c>
      <c r="F7255" t="s">
        <v>115</v>
      </c>
      <c r="G7255">
        <v>-224.26830000000001</v>
      </c>
      <c r="H7255" s="1">
        <v>-1.022302E-6</v>
      </c>
      <c r="I7255">
        <v>-60.0526699999999</v>
      </c>
      <c r="J7255">
        <v>-265.85469999999998</v>
      </c>
      <c r="K7255">
        <v>1.110171</v>
      </c>
      <c r="L7255">
        <v>-62.445099999999996</v>
      </c>
      <c r="M7255">
        <v>0.99637290000000001</v>
      </c>
      <c r="N7255">
        <v>-3.7771929999999999E-3</v>
      </c>
      <c r="O7255">
        <v>-8.5011110000000001E-2</v>
      </c>
      <c r="P7255">
        <v>0.98835170000000006</v>
      </c>
      <c r="Q7255">
        <v>-7.192846E-2</v>
      </c>
      <c r="R7255">
        <v>0.1341164</v>
      </c>
      <c r="S7255">
        <v>3.0060120000000001</v>
      </c>
      <c r="T7255">
        <v>-7.9989669999999999E-2</v>
      </c>
      <c r="U7255">
        <v>0.1716309</v>
      </c>
      <c r="V7255">
        <v>-0.2173514</v>
      </c>
      <c r="W7255">
        <v>-6.9204290000000002E-2</v>
      </c>
      <c r="X7255">
        <v>0.97363699999999997</v>
      </c>
      <c r="Y7255">
        <v>-0.14159099999999999</v>
      </c>
      <c r="Z7255">
        <v>4.0880049999999996E-3</v>
      </c>
      <c r="AA7255">
        <v>0.98991680000000004</v>
      </c>
      <c r="AB7255">
        <v>27</v>
      </c>
      <c r="AC7255">
        <v>41.586399999999898</v>
      </c>
      <c r="AD7255">
        <v>-1.110172022302</v>
      </c>
      <c r="AE7255">
        <v>2.3924300000000001</v>
      </c>
      <c r="AF7255">
        <v>-5.9148989720082499</v>
      </c>
      <c r="AG7255">
        <v>-1.110172022302</v>
      </c>
      <c r="AH7255">
        <v>41.203203957884597</v>
      </c>
      <c r="AI7255">
        <v>91.527740280468905</v>
      </c>
      <c r="AJ7255">
        <v>98.169246354444297</v>
      </c>
      <c r="AK7255">
        <v>41.640395389131498</v>
      </c>
      <c r="AL7255">
        <v>93.968285810991503</v>
      </c>
      <c r="AM7255">
        <v>102.58417956695</v>
      </c>
      <c r="AN7255">
        <v>0.99999993630268003</v>
      </c>
    </row>
    <row r="7256" spans="1:40" x14ac:dyDescent="0.25">
      <c r="A7256" t="str">
        <f>"20190305135106842"</f>
        <v>20190305135106842</v>
      </c>
      <c r="B7256" t="str">
        <f>"1551765066837142"</f>
        <v>1551765066837142</v>
      </c>
      <c r="C7256" t="s">
        <v>40</v>
      </c>
      <c r="D7256">
        <v>4.0761440000000002</v>
      </c>
      <c r="E7256">
        <v>0.5682429</v>
      </c>
      <c r="F7256" t="s">
        <v>43</v>
      </c>
      <c r="G7256">
        <v>-159.1772</v>
      </c>
      <c r="H7256">
        <v>-0.05</v>
      </c>
      <c r="I7256">
        <v>-65.40616</v>
      </c>
      <c r="J7256">
        <v>-265.71440000000001</v>
      </c>
      <c r="K7256">
        <v>1.1101749999999999</v>
      </c>
      <c r="L7256">
        <v>-62.455689999999997</v>
      </c>
      <c r="M7256">
        <v>0.99648700000000001</v>
      </c>
      <c r="N7256">
        <v>-3.7990419999999999E-3</v>
      </c>
      <c r="O7256">
        <v>-8.3662130000000001E-2</v>
      </c>
      <c r="P7256">
        <v>0.98821599999999998</v>
      </c>
      <c r="Q7256">
        <v>-7.1900649999999997E-2</v>
      </c>
      <c r="R7256">
        <v>0.13512769999999999</v>
      </c>
      <c r="S7256">
        <v>3.0443730000000002</v>
      </c>
      <c r="T7256">
        <v>-3.3109069999999997E-2</v>
      </c>
      <c r="U7256">
        <v>-8.4503170000000002E-2</v>
      </c>
      <c r="V7256">
        <v>-0.2170299</v>
      </c>
      <c r="W7256">
        <v>-6.9153699999999999E-2</v>
      </c>
      <c r="X7256">
        <v>0.97371240000000003</v>
      </c>
      <c r="Y7256">
        <v>-5.597477E-2</v>
      </c>
      <c r="Z7256">
        <v>1.001121E-3</v>
      </c>
      <c r="AA7256">
        <v>0.99843170000000003</v>
      </c>
      <c r="AB7256">
        <v>27</v>
      </c>
      <c r="AC7256">
        <v>106.5372</v>
      </c>
      <c r="AD7256">
        <v>-1.160175</v>
      </c>
      <c r="AE7256">
        <v>-2.9504699999999899</v>
      </c>
      <c r="AF7256">
        <v>-5.97235909197531</v>
      </c>
      <c r="AG7256">
        <v>-1.160175</v>
      </c>
      <c r="AH7256">
        <v>106.397930667368</v>
      </c>
      <c r="AI7256">
        <v>90.623753042607404</v>
      </c>
      <c r="AJ7256">
        <v>93.212771619510505</v>
      </c>
      <c r="AK7256">
        <v>106.571735133909</v>
      </c>
      <c r="AL7256">
        <v>93.965379904827699</v>
      </c>
      <c r="AM7256">
        <v>102.565214854613</v>
      </c>
      <c r="AN7256">
        <v>1.0000000248157199</v>
      </c>
    </row>
    <row r="7257" spans="1:40" x14ac:dyDescent="0.25">
      <c r="A7257" t="str">
        <f>"20190305135106853"</f>
        <v>20190305135106853</v>
      </c>
      <c r="B7257" t="str">
        <f>"1551765066846902"</f>
        <v>1551765066846902</v>
      </c>
      <c r="C7257" t="s">
        <v>40</v>
      </c>
      <c r="D7257">
        <v>4.004556</v>
      </c>
      <c r="E7257">
        <v>0.57154669999999996</v>
      </c>
      <c r="F7257" t="s">
        <v>85</v>
      </c>
      <c r="G7257">
        <v>-206.60839999999999</v>
      </c>
      <c r="H7257" s="1">
        <v>-2.7689139999999998E-6</v>
      </c>
      <c r="I7257">
        <v>-64.991399999999999</v>
      </c>
      <c r="J7257">
        <v>-265.58019999999999</v>
      </c>
      <c r="K7257">
        <v>1.1101749999999999</v>
      </c>
      <c r="L7257">
        <v>-62.465699999999998</v>
      </c>
      <c r="M7257">
        <v>0.99659390000000003</v>
      </c>
      <c r="N7257">
        <v>-3.8198730000000001E-3</v>
      </c>
      <c r="O7257">
        <v>-8.2377160000000005E-2</v>
      </c>
      <c r="P7257">
        <v>0.98810730000000002</v>
      </c>
      <c r="Q7257">
        <v>-7.2124289999999994E-2</v>
      </c>
      <c r="R7257">
        <v>0.1358019</v>
      </c>
      <c r="S7257">
        <v>3.0495299999999999</v>
      </c>
      <c r="T7257">
        <v>-5.7278750000000003E-2</v>
      </c>
      <c r="U7257">
        <v>-0.1308289</v>
      </c>
      <c r="V7257">
        <v>-0.21643670000000001</v>
      </c>
      <c r="W7257">
        <v>-6.9353490000000004E-2</v>
      </c>
      <c r="X7257">
        <v>0.97383019999999998</v>
      </c>
      <c r="Y7257">
        <v>-3.9568310000000002E-2</v>
      </c>
      <c r="Z7257">
        <v>1.6765319999999999E-3</v>
      </c>
      <c r="AA7257">
        <v>0.99921550000000003</v>
      </c>
      <c r="AB7257">
        <v>27</v>
      </c>
      <c r="AC7257">
        <v>58.971800000000002</v>
      </c>
      <c r="AD7257">
        <v>-1.110177768914</v>
      </c>
      <c r="AE7257">
        <v>-2.5257000000000001</v>
      </c>
      <c r="AF7257">
        <v>-2.3400214913564099</v>
      </c>
      <c r="AG7257">
        <v>-1.110177768914</v>
      </c>
      <c r="AH7257">
        <v>58.9585699722521</v>
      </c>
      <c r="AI7257">
        <v>91.077891851980795</v>
      </c>
      <c r="AJ7257">
        <v>92.272833667132403</v>
      </c>
      <c r="AK7257">
        <v>59.015431612685397</v>
      </c>
      <c r="AL7257">
        <v>93.976854656739604</v>
      </c>
      <c r="AM7257">
        <v>102.530489078128</v>
      </c>
      <c r="AN7257">
        <v>1.0000000050570499</v>
      </c>
    </row>
    <row r="7258" spans="1:40" x14ac:dyDescent="0.25">
      <c r="A7258" t="str">
        <f>"20190305135106864"</f>
        <v>20190305135106864</v>
      </c>
      <c r="B7258" t="str">
        <f>"1551765066856662"</f>
        <v>1551765066856662</v>
      </c>
      <c r="C7258" t="s">
        <v>40</v>
      </c>
      <c r="D7258">
        <v>3.9688469999999998</v>
      </c>
      <c r="E7258">
        <v>0.57350809999999997</v>
      </c>
      <c r="F7258" t="s">
        <v>116</v>
      </c>
      <c r="G7258">
        <v>-216.01570000000001</v>
      </c>
      <c r="H7258" s="1">
        <v>-2.7228750000000002E-6</v>
      </c>
      <c r="I7258">
        <v>-64.983919999999998</v>
      </c>
      <c r="J7258">
        <v>-265.447</v>
      </c>
      <c r="K7258">
        <v>1.1101719999999999</v>
      </c>
      <c r="L7258">
        <v>-62.475459999999998</v>
      </c>
      <c r="M7258">
        <v>0.99669739999999996</v>
      </c>
      <c r="N7258">
        <v>-3.8403970000000002E-3</v>
      </c>
      <c r="O7258">
        <v>-8.1114359999999996E-2</v>
      </c>
      <c r="P7258">
        <v>0.98800770000000004</v>
      </c>
      <c r="Q7258">
        <v>-7.1670200000000003E-2</v>
      </c>
      <c r="R7258">
        <v>0.13676350000000001</v>
      </c>
      <c r="S7258">
        <v>3.05246</v>
      </c>
      <c r="T7258">
        <v>-6.8370940000000005E-2</v>
      </c>
      <c r="U7258">
        <v>-0.15509029999999999</v>
      </c>
      <c r="V7258">
        <v>-0.21615599999999999</v>
      </c>
      <c r="W7258">
        <v>-6.8875690000000003E-2</v>
      </c>
      <c r="X7258">
        <v>0.97392639999999997</v>
      </c>
      <c r="Y7258">
        <v>-3.041203E-2</v>
      </c>
      <c r="Z7258">
        <v>1.9001000000000001E-3</v>
      </c>
      <c r="AA7258">
        <v>0.99953559999999997</v>
      </c>
      <c r="AB7258">
        <v>27</v>
      </c>
      <c r="AC7258">
        <v>49.431299999999901</v>
      </c>
      <c r="AD7258">
        <v>-1.1101747228750001</v>
      </c>
      <c r="AE7258">
        <v>-2.5084599999999901</v>
      </c>
      <c r="AF7258">
        <v>-1.50866481601505</v>
      </c>
      <c r="AG7258">
        <v>-1.1101747228750001</v>
      </c>
      <c r="AH7258">
        <v>49.4470080478307</v>
      </c>
      <c r="AI7258">
        <v>91.285579710525894</v>
      </c>
      <c r="AJ7258">
        <v>91.747594495959504</v>
      </c>
      <c r="AK7258">
        <v>49.482473284230899</v>
      </c>
      <c r="AL7258">
        <v>93.949413311706095</v>
      </c>
      <c r="AM7258">
        <v>102.513553170474</v>
      </c>
      <c r="AN7258">
        <v>0.999999954812967</v>
      </c>
    </row>
    <row r="7259" spans="1:40" x14ac:dyDescent="0.25">
      <c r="A7259" t="str">
        <f>"20190305135106876"</f>
        <v>20190305135106876</v>
      </c>
      <c r="B7259" t="str">
        <f>"1551765066867398"</f>
        <v>1551765066867398</v>
      </c>
      <c r="C7259" t="s">
        <v>40</v>
      </c>
      <c r="D7259">
        <v>3.9858730000000002</v>
      </c>
      <c r="E7259">
        <v>0.57458900000000002</v>
      </c>
      <c r="F7259" t="s">
        <v>116</v>
      </c>
      <c r="G7259">
        <v>-219.4178</v>
      </c>
      <c r="H7259" s="1">
        <v>-3.884352E-6</v>
      </c>
      <c r="I7259">
        <v>-65.004909999999995</v>
      </c>
      <c r="J7259">
        <v>-265.31509999999997</v>
      </c>
      <c r="K7259">
        <v>1.110169</v>
      </c>
      <c r="L7259">
        <v>-62.484990000000003</v>
      </c>
      <c r="M7259">
        <v>0.99679720000000005</v>
      </c>
      <c r="N7259">
        <v>-3.8607030000000001E-3</v>
      </c>
      <c r="O7259">
        <v>-7.9877310000000007E-2</v>
      </c>
      <c r="P7259">
        <v>0.98792219999999997</v>
      </c>
      <c r="Q7259">
        <v>-7.1728630000000002E-2</v>
      </c>
      <c r="R7259">
        <v>0.13734939999999901</v>
      </c>
      <c r="S7259">
        <v>3.0542910000000001</v>
      </c>
      <c r="T7259">
        <v>-7.3666330000000002E-2</v>
      </c>
      <c r="U7259">
        <v>-0.16784669999999999</v>
      </c>
      <c r="V7259">
        <v>-0.21552569999999999</v>
      </c>
      <c r="W7259">
        <v>-6.8907399999999994E-2</v>
      </c>
      <c r="X7259">
        <v>0.97406389999999998</v>
      </c>
      <c r="Y7259">
        <v>-2.5036610000000001E-2</v>
      </c>
      <c r="Z7259">
        <v>1.963734E-3</v>
      </c>
      <c r="AA7259">
        <v>0.99968460000000003</v>
      </c>
      <c r="AB7259">
        <v>27</v>
      </c>
      <c r="AC7259">
        <v>45.897299999999902</v>
      </c>
      <c r="AD7259">
        <v>-1.110172884352</v>
      </c>
      <c r="AE7259">
        <v>-2.5199199999999902</v>
      </c>
      <c r="AF7259">
        <v>-1.1536393628875099</v>
      </c>
      <c r="AG7259">
        <v>-1.110172884352</v>
      </c>
      <c r="AH7259">
        <v>45.925139604976302</v>
      </c>
      <c r="AI7259">
        <v>91.384335203395693</v>
      </c>
      <c r="AJ7259">
        <v>91.438967183046501</v>
      </c>
      <c r="AK7259">
        <v>45.953039239524998</v>
      </c>
      <c r="AL7259">
        <v>93.951234232939896</v>
      </c>
      <c r="AM7259">
        <v>102.47650248898999</v>
      </c>
      <c r="AN7259">
        <v>1.00000001920922</v>
      </c>
    </row>
    <row r="7260" spans="1:40" x14ac:dyDescent="0.25">
      <c r="A7260" t="str">
        <f>"20190305135106885"</f>
        <v>20190305135106885</v>
      </c>
      <c r="B7260" t="str">
        <f>"1551765066877159"</f>
        <v>1551765066877159</v>
      </c>
      <c r="C7260" t="s">
        <v>40</v>
      </c>
      <c r="D7260">
        <v>3.9660790000000001</v>
      </c>
      <c r="E7260">
        <v>0.57565710000000003</v>
      </c>
      <c r="F7260" t="s">
        <v>115</v>
      </c>
      <c r="G7260">
        <v>-223.40809999999999</v>
      </c>
      <c r="H7260" s="1">
        <v>-1.58035E-6</v>
      </c>
      <c r="I7260">
        <v>-64.881969999999995</v>
      </c>
      <c r="J7260">
        <v>-265.1841</v>
      </c>
      <c r="K7260">
        <v>1.110161</v>
      </c>
      <c r="L7260">
        <v>-62.494289999999999</v>
      </c>
      <c r="M7260">
        <v>0.9968939</v>
      </c>
      <c r="N7260">
        <v>-3.8808610000000002E-3</v>
      </c>
      <c r="O7260">
        <v>-7.8661709999999996E-2</v>
      </c>
      <c r="P7260">
        <v>0.98782309999999995</v>
      </c>
      <c r="Q7260">
        <v>-7.1501060000000005E-2</v>
      </c>
      <c r="R7260">
        <v>0.13817950000000001</v>
      </c>
      <c r="S7260">
        <v>3.0550839999999999</v>
      </c>
      <c r="T7260">
        <v>-8.0933089999999999E-2</v>
      </c>
      <c r="U7260">
        <v>-0.1747437</v>
      </c>
      <c r="V7260">
        <v>-0.21516080000000001</v>
      </c>
      <c r="W7260">
        <v>-6.8653069999999997E-2</v>
      </c>
      <c r="X7260">
        <v>0.97416250000000004</v>
      </c>
      <c r="Y7260">
        <v>-2.1577949999999999E-2</v>
      </c>
      <c r="Z7260">
        <v>2.1010529999999999E-3</v>
      </c>
      <c r="AA7260">
        <v>0.99976500000000001</v>
      </c>
      <c r="AB7260">
        <v>27</v>
      </c>
      <c r="AC7260">
        <v>41.776000000000003</v>
      </c>
      <c r="AD7260">
        <v>-1.1101625803499999</v>
      </c>
      <c r="AE7260">
        <v>-2.3876799999999898</v>
      </c>
      <c r="AF7260">
        <v>-0.90527749995725404</v>
      </c>
      <c r="AG7260">
        <v>-1.1101625803499999</v>
      </c>
      <c r="AH7260">
        <v>41.804943997344601</v>
      </c>
      <c r="AI7260">
        <v>91.5208197984485</v>
      </c>
      <c r="AJ7260">
        <v>91.240534486517902</v>
      </c>
      <c r="AK7260">
        <v>41.829479209378903</v>
      </c>
      <c r="AL7260">
        <v>93.936627701578701</v>
      </c>
      <c r="AM7260">
        <v>102.454817341015</v>
      </c>
      <c r="AN7260">
        <v>0.99999999514165705</v>
      </c>
    </row>
    <row r="7261" spans="1:40" x14ac:dyDescent="0.25">
      <c r="A7261" t="str">
        <f>"20190305135106897"</f>
        <v>20190305135106897</v>
      </c>
      <c r="B7261" t="str">
        <f>"1551765066886919"</f>
        <v>1551765066886919</v>
      </c>
      <c r="C7261" t="s">
        <v>40</v>
      </c>
      <c r="D7261">
        <v>3.9591080000000001</v>
      </c>
      <c r="E7261">
        <v>0.5764148</v>
      </c>
      <c r="F7261" t="s">
        <v>115</v>
      </c>
      <c r="G7261">
        <v>-224.161</v>
      </c>
      <c r="H7261" s="1">
        <v>-1.911835E-6</v>
      </c>
      <c r="I7261">
        <v>-64.920090000000002</v>
      </c>
      <c r="J7261">
        <v>-265.05220000000003</v>
      </c>
      <c r="K7261">
        <v>1.1101490000000001</v>
      </c>
      <c r="L7261">
        <v>-62.503509999999999</v>
      </c>
      <c r="M7261">
        <v>0.99698779999999998</v>
      </c>
      <c r="N7261">
        <v>-3.901009E-3</v>
      </c>
      <c r="O7261">
        <v>-7.7461489999999994E-2</v>
      </c>
      <c r="P7261">
        <v>0.98773109999999997</v>
      </c>
      <c r="Q7261">
        <v>-7.1447689999999994E-2</v>
      </c>
      <c r="R7261">
        <v>0.13886229999999999</v>
      </c>
      <c r="S7261">
        <v>3.0562740000000002</v>
      </c>
      <c r="T7261">
        <v>-8.2708599999999993E-2</v>
      </c>
      <c r="U7261">
        <v>-0.1807251</v>
      </c>
      <c r="V7261">
        <v>-0.21466450000000001</v>
      </c>
      <c r="W7261">
        <v>-6.8569920000000006E-2</v>
      </c>
      <c r="X7261">
        <v>0.97427790000000003</v>
      </c>
      <c r="Y7261">
        <v>-1.844668E-2</v>
      </c>
      <c r="Z7261">
        <v>2.0743599999999999E-3</v>
      </c>
      <c r="AA7261">
        <v>0.99982769999999999</v>
      </c>
      <c r="AB7261">
        <v>27</v>
      </c>
      <c r="AC7261">
        <v>40.891199999999998</v>
      </c>
      <c r="AD7261">
        <v>-1.1101509118349999</v>
      </c>
      <c r="AE7261">
        <v>-2.4165800000000002</v>
      </c>
      <c r="AF7261">
        <v>-0.75764171967293503</v>
      </c>
      <c r="AG7261">
        <v>-1.1101509118349999</v>
      </c>
      <c r="AH7261">
        <v>40.925467844244601</v>
      </c>
      <c r="AI7261">
        <v>91.553567544253397</v>
      </c>
      <c r="AJ7261">
        <v>91.060579563132904</v>
      </c>
      <c r="AK7261">
        <v>40.947531968272997</v>
      </c>
      <c r="AL7261">
        <v>93.931852072423297</v>
      </c>
      <c r="AM7261">
        <v>102.42555577953399</v>
      </c>
      <c r="AN7261">
        <v>1.0000000539587299</v>
      </c>
    </row>
    <row r="7262" spans="1:40" x14ac:dyDescent="0.25">
      <c r="A7262" t="str">
        <f>"20190305135106908"</f>
        <v>20190305135106908</v>
      </c>
      <c r="B7262" t="str">
        <f>"1551765066897452"</f>
        <v>1551765066897452</v>
      </c>
      <c r="C7262" t="s">
        <v>40</v>
      </c>
      <c r="D7262">
        <v>3.971568</v>
      </c>
      <c r="E7262">
        <v>0.57710419999999996</v>
      </c>
      <c r="F7262" t="s">
        <v>115</v>
      </c>
      <c r="G7262">
        <v>-223.60499999999999</v>
      </c>
      <c r="H7262" s="1">
        <v>-1.692366E-6</v>
      </c>
      <c r="I7262">
        <v>-65.005709999999993</v>
      </c>
      <c r="J7262">
        <v>-264.90750000000003</v>
      </c>
      <c r="K7262">
        <v>1.110134</v>
      </c>
      <c r="L7262">
        <v>-62.5135199999999</v>
      </c>
      <c r="M7262">
        <v>0.99708819999999998</v>
      </c>
      <c r="N7262">
        <v>-3.9230669999999997E-3</v>
      </c>
      <c r="O7262">
        <v>-7.6156840000000003E-2</v>
      </c>
      <c r="P7262">
        <v>0.98762309999999998</v>
      </c>
      <c r="Q7262">
        <v>-7.1470160000000005E-2</v>
      </c>
      <c r="R7262">
        <v>0.13961599999999999</v>
      </c>
      <c r="S7262">
        <v>3.0572810000000001</v>
      </c>
      <c r="T7262">
        <v>-8.1888440000000007E-2</v>
      </c>
      <c r="U7262">
        <v>-0.18457029999999999</v>
      </c>
      <c r="V7262">
        <v>-0.21413589999999999</v>
      </c>
      <c r="W7262">
        <v>-6.8558740000000007E-2</v>
      </c>
      <c r="X7262">
        <v>0.97439500000000001</v>
      </c>
      <c r="Y7262">
        <v>-1.5906739999999999E-2</v>
      </c>
      <c r="Z7262">
        <v>1.9801630000000001E-3</v>
      </c>
      <c r="AA7262">
        <v>0.99987150000000002</v>
      </c>
      <c r="AB7262">
        <v>27</v>
      </c>
      <c r="AC7262">
        <v>41.302500000000002</v>
      </c>
      <c r="AD7262">
        <v>-1.110135692366</v>
      </c>
      <c r="AE7262">
        <v>-2.4921899999999999</v>
      </c>
      <c r="AF7262">
        <v>-0.66006455734099401</v>
      </c>
      <c r="AG7262">
        <v>-1.110135692366</v>
      </c>
      <c r="AH7262">
        <v>41.342589278701404</v>
      </c>
      <c r="AI7262">
        <v>91.537946964804206</v>
      </c>
      <c r="AJ7262">
        <v>90.914691147539997</v>
      </c>
      <c r="AK7262">
        <v>41.362758306751303</v>
      </c>
      <c r="AL7262">
        <v>93.9312100091948</v>
      </c>
      <c r="AM7262">
        <v>102.394461834909</v>
      </c>
      <c r="AN7262">
        <v>1.00000005026209</v>
      </c>
    </row>
    <row r="7263" spans="1:40" x14ac:dyDescent="0.25">
      <c r="A7263" t="str">
        <f>"20190305135106919"</f>
        <v>20190305135106919</v>
      </c>
      <c r="B7263" t="str">
        <f>"1551765066917561"</f>
        <v>1551765066917561</v>
      </c>
      <c r="C7263" t="s">
        <v>40</v>
      </c>
      <c r="D7263">
        <v>3.9341330000000001</v>
      </c>
      <c r="E7263">
        <v>0.57807739999999996</v>
      </c>
      <c r="F7263" t="s">
        <v>115</v>
      </c>
      <c r="G7263">
        <v>-223.11060000000001</v>
      </c>
      <c r="H7263" s="1">
        <v>-1.49643E-6</v>
      </c>
      <c r="I7263">
        <v>-65.078509999999994</v>
      </c>
      <c r="J7263">
        <v>-264.7808</v>
      </c>
      <c r="K7263">
        <v>1.110115</v>
      </c>
      <c r="L7263">
        <v>-62.522060000000003</v>
      </c>
      <c r="M7263">
        <v>0.99717199999999995</v>
      </c>
      <c r="N7263">
        <v>-3.9422340000000002E-3</v>
      </c>
      <c r="O7263">
        <v>-7.5049240000000003E-2</v>
      </c>
      <c r="P7263">
        <v>0.98752669999999998</v>
      </c>
      <c r="Q7263">
        <v>-7.1462650000000003E-2</v>
      </c>
      <c r="R7263">
        <v>0.14029929999999999</v>
      </c>
      <c r="S7263">
        <v>3.058319</v>
      </c>
      <c r="T7263">
        <v>-8.1229570000000001E-2</v>
      </c>
      <c r="U7263">
        <v>-0.18768309999999999</v>
      </c>
      <c r="V7263">
        <v>-0.21373130000000001</v>
      </c>
      <c r="W7263">
        <v>-6.8519629999999998E-2</v>
      </c>
      <c r="X7263">
        <v>0.97448650000000003</v>
      </c>
      <c r="Y7263">
        <v>-1.3804210000000001E-2</v>
      </c>
      <c r="Z7263">
        <v>1.902988E-3</v>
      </c>
      <c r="AA7263">
        <v>0.99990290000000004</v>
      </c>
      <c r="AB7263">
        <v>27</v>
      </c>
      <c r="AC7263">
        <v>41.670200000000001</v>
      </c>
      <c r="AD7263">
        <v>-1.1101164964300001</v>
      </c>
      <c r="AE7263">
        <v>-2.5564499999999901</v>
      </c>
      <c r="AF7263">
        <v>-0.57769253294908796</v>
      </c>
      <c r="AG7263">
        <v>-1.1101164964300001</v>
      </c>
      <c r="AH7263">
        <v>41.715047288595798</v>
      </c>
      <c r="AI7263">
        <v>91.524243449235797</v>
      </c>
      <c r="AJ7263">
        <v>90.793412220175199</v>
      </c>
      <c r="AK7263">
        <v>41.733814318703899</v>
      </c>
      <c r="AL7263">
        <v>93.928964191566095</v>
      </c>
      <c r="AM7263">
        <v>102.3706390025</v>
      </c>
      <c r="AN7263">
        <v>0.99999997348863801</v>
      </c>
    </row>
    <row r="7264" spans="1:40" x14ac:dyDescent="0.25">
      <c r="A7264" t="str">
        <f>"20190305135106932"</f>
        <v>20190305135106932</v>
      </c>
      <c r="B7264" t="str">
        <f>"1551765066927320"</f>
        <v>1551765066927320</v>
      </c>
      <c r="C7264" t="s">
        <v>40</v>
      </c>
      <c r="D7264">
        <v>3.9395820000000001</v>
      </c>
      <c r="E7264">
        <v>0.57850429999999997</v>
      </c>
      <c r="F7264" t="s">
        <v>115</v>
      </c>
      <c r="G7264">
        <v>-225.06440000000001</v>
      </c>
      <c r="H7264" s="1">
        <v>-2.3243689999999999E-6</v>
      </c>
      <c r="I7264">
        <v>-65.032390000000007</v>
      </c>
      <c r="J7264">
        <v>-264.6379</v>
      </c>
      <c r="K7264">
        <v>1.1100920000000001</v>
      </c>
      <c r="L7264">
        <v>-62.531649999999999</v>
      </c>
      <c r="M7264">
        <v>0.9972645</v>
      </c>
      <c r="N7264">
        <v>-3.9638579999999998E-3</v>
      </c>
      <c r="O7264">
        <v>-7.3809920000000001E-2</v>
      </c>
      <c r="P7264">
        <v>0.98738090000000001</v>
      </c>
      <c r="Q7264">
        <v>-7.1346740000000006E-2</v>
      </c>
      <c r="R7264">
        <v>0.14138120000000001</v>
      </c>
      <c r="S7264">
        <v>3.0591740000000001</v>
      </c>
      <c r="T7264">
        <v>-8.5507390000000003E-2</v>
      </c>
      <c r="U7264">
        <v>-0.19335939999999999</v>
      </c>
      <c r="V7264">
        <v>-0.21359320000000001</v>
      </c>
      <c r="W7264">
        <v>-6.8369269999999996E-2</v>
      </c>
      <c r="X7264">
        <v>0.97452740000000004</v>
      </c>
      <c r="Y7264">
        <v>-1.072919E-2</v>
      </c>
      <c r="Z7264">
        <v>1.936463E-3</v>
      </c>
      <c r="AA7264">
        <v>0.99994059999999996</v>
      </c>
      <c r="AB7264">
        <v>27</v>
      </c>
      <c r="AC7264">
        <v>39.573500000000003</v>
      </c>
      <c r="AD7264">
        <v>-1.110094324369</v>
      </c>
      <c r="AE7264">
        <v>-2.50074</v>
      </c>
      <c r="AF7264">
        <v>-0.426686559383195</v>
      </c>
      <c r="AG7264">
        <v>-1.110094324369</v>
      </c>
      <c r="AH7264">
        <v>39.619084000249302</v>
      </c>
      <c r="AI7264">
        <v>91.604867935438605</v>
      </c>
      <c r="AJ7264">
        <v>90.617035817955994</v>
      </c>
      <c r="AK7264">
        <v>39.636929596624398</v>
      </c>
      <c r="AL7264">
        <v>93.920328714939103</v>
      </c>
      <c r="AM7264">
        <v>102.362388825596</v>
      </c>
      <c r="AN7264">
        <v>1.00000003275866</v>
      </c>
    </row>
    <row r="7265" spans="1:40" x14ac:dyDescent="0.25">
      <c r="A7265" t="str">
        <f>"20190305135106942"</f>
        <v>20190305135106942</v>
      </c>
      <c r="B7265" t="str">
        <f>"1551765066937081"</f>
        <v>1551765066937081</v>
      </c>
      <c r="C7265" t="s">
        <v>40</v>
      </c>
      <c r="D7265">
        <v>3.9134739999999999</v>
      </c>
      <c r="E7265">
        <v>0.5789784</v>
      </c>
      <c r="F7265" t="s">
        <v>115</v>
      </c>
      <c r="G7265">
        <v>-224.62360000000001</v>
      </c>
      <c r="H7265" s="1">
        <v>-2.1412849999999999E-6</v>
      </c>
      <c r="I7265">
        <v>-65.059449999999998</v>
      </c>
      <c r="J7265">
        <v>-264.49310000000003</v>
      </c>
      <c r="K7265">
        <v>1.110058</v>
      </c>
      <c r="L7265">
        <v>-62.541110000000003</v>
      </c>
      <c r="M7265">
        <v>0.99735379999999996</v>
      </c>
      <c r="N7265">
        <v>-3.9856190000000001E-3</v>
      </c>
      <c r="O7265">
        <v>-7.2593249999999998E-2</v>
      </c>
      <c r="P7265">
        <v>0.98725969999999996</v>
      </c>
      <c r="Q7265">
        <v>-7.1538199999999996E-2</v>
      </c>
      <c r="R7265">
        <v>0.14213000000000001</v>
      </c>
      <c r="S7265">
        <v>3.0598450000000001</v>
      </c>
      <c r="T7265">
        <v>-8.4887619999999997E-2</v>
      </c>
      <c r="U7265">
        <v>-0.19329830000000001</v>
      </c>
      <c r="V7265">
        <v>-0.21314659999999999</v>
      </c>
      <c r="W7265">
        <v>-6.8522910000000006E-2</v>
      </c>
      <c r="X7265">
        <v>0.97461430000000004</v>
      </c>
      <c r="Y7265">
        <v>-9.5443219999999992E-3</v>
      </c>
      <c r="Z7265">
        <v>1.8709709999999999E-3</v>
      </c>
      <c r="AA7265">
        <v>0.99995270000000003</v>
      </c>
      <c r="AB7265">
        <v>27</v>
      </c>
      <c r="AC7265">
        <v>39.869500000000002</v>
      </c>
      <c r="AD7265">
        <v>-1.110060141285</v>
      </c>
      <c r="AE7265">
        <v>-2.5183399999999998</v>
      </c>
      <c r="AF7265">
        <v>-0.38228842898652798</v>
      </c>
      <c r="AG7265">
        <v>-1.110060141285</v>
      </c>
      <c r="AH7265">
        <v>39.916303767652899</v>
      </c>
      <c r="AI7265">
        <v>91.592894435964993</v>
      </c>
      <c r="AJ7265">
        <v>90.548719240422798</v>
      </c>
      <c r="AK7265">
        <v>39.933565886754302</v>
      </c>
      <c r="AL7265">
        <v>93.929152664675001</v>
      </c>
      <c r="AM7265">
        <v>102.336266468304</v>
      </c>
      <c r="AN7265">
        <v>0.999999948025457</v>
      </c>
    </row>
    <row r="7266" spans="1:40" x14ac:dyDescent="0.25">
      <c r="A7266" t="str">
        <f>"20190305135106954"</f>
        <v>20190305135106954</v>
      </c>
      <c r="B7266" t="str">
        <f>"1551765066946841"</f>
        <v>1551765066946841</v>
      </c>
      <c r="C7266" t="s">
        <v>40</v>
      </c>
      <c r="D7266">
        <v>3.8343560000000001</v>
      </c>
      <c r="E7266">
        <v>0.57959309999999997</v>
      </c>
      <c r="F7266" t="s">
        <v>115</v>
      </c>
      <c r="G7266">
        <v>-224.9307</v>
      </c>
      <c r="H7266" s="1">
        <v>-2.272621E-6</v>
      </c>
      <c r="I7266">
        <v>-65.057569999999998</v>
      </c>
      <c r="J7266">
        <v>-264.3569</v>
      </c>
      <c r="K7266">
        <v>1.1100300000000001</v>
      </c>
      <c r="L7266">
        <v>-62.549930000000003</v>
      </c>
      <c r="M7266">
        <v>0.99743530000000002</v>
      </c>
      <c r="N7266">
        <v>-4.0062199999999996E-3</v>
      </c>
      <c r="O7266">
        <v>-7.1464079999999999E-2</v>
      </c>
      <c r="P7266">
        <v>0.98713839999999997</v>
      </c>
      <c r="Q7266">
        <v>-7.1417049999999996E-2</v>
      </c>
      <c r="R7266">
        <v>0.14302999999999999</v>
      </c>
      <c r="S7266">
        <v>3.0605159999999998</v>
      </c>
      <c r="T7266">
        <v>-8.5873480000000002E-2</v>
      </c>
      <c r="U7266">
        <v>-0.1946716</v>
      </c>
      <c r="V7266">
        <v>-0.2129375</v>
      </c>
      <c r="W7266">
        <v>-6.8367300000000006E-2</v>
      </c>
      <c r="X7266">
        <v>0.97467099999999995</v>
      </c>
      <c r="Y7266">
        <v>-7.9795739999999997E-3</v>
      </c>
      <c r="Z7266">
        <v>1.8418460000000001E-3</v>
      </c>
      <c r="AA7266">
        <v>0.99996640000000003</v>
      </c>
      <c r="AB7266">
        <v>27</v>
      </c>
      <c r="AC7266">
        <v>39.426200000000001</v>
      </c>
      <c r="AD7266">
        <v>-1.1100322726209999</v>
      </c>
      <c r="AE7266">
        <v>-2.5076399999999901</v>
      </c>
      <c r="AF7266">
        <v>-0.31610138009135202</v>
      </c>
      <c r="AG7266">
        <v>-1.1100322726209999</v>
      </c>
      <c r="AH7266">
        <v>39.473436089812097</v>
      </c>
      <c r="AI7266">
        <v>91.610738163450094</v>
      </c>
      <c r="AJ7266">
        <v>90.458812042833699</v>
      </c>
      <c r="AK7266">
        <v>39.4903057529976</v>
      </c>
      <c r="AL7266">
        <v>93.920215657356906</v>
      </c>
      <c r="AM7266">
        <v>102.32383939409701</v>
      </c>
      <c r="AN7266">
        <v>1.00000001242827</v>
      </c>
    </row>
    <row r="7267" spans="1:40" x14ac:dyDescent="0.25">
      <c r="A7267" t="str">
        <f>"20190305135106964"</f>
        <v>20190305135106964</v>
      </c>
      <c r="B7267" t="str">
        <f>"1551765066957576"</f>
        <v>1551765066957576</v>
      </c>
      <c r="C7267" t="s">
        <v>40</v>
      </c>
      <c r="D7267">
        <v>3.8963040000000002</v>
      </c>
      <c r="E7267">
        <v>0.57990719999999996</v>
      </c>
      <c r="F7267" t="s">
        <v>115</v>
      </c>
      <c r="G7267">
        <v>-221.96279999999999</v>
      </c>
      <c r="H7267" s="1">
        <v>-1.0470549999999999E-6</v>
      </c>
      <c r="I7267">
        <v>-65.272030000000001</v>
      </c>
      <c r="J7267">
        <v>-264.22629999999998</v>
      </c>
      <c r="K7267">
        <v>1.110004</v>
      </c>
      <c r="L7267">
        <v>-62.558259999999997</v>
      </c>
      <c r="M7267">
        <v>0.99751049999999997</v>
      </c>
      <c r="N7267">
        <v>-4.0260829999999997E-3</v>
      </c>
      <c r="O7267">
        <v>-7.0403339999999995E-2</v>
      </c>
      <c r="P7267">
        <v>0.98704329999999996</v>
      </c>
      <c r="Q7267">
        <v>-7.1543659999999995E-2</v>
      </c>
      <c r="R7267">
        <v>0.1436212</v>
      </c>
      <c r="S7267">
        <v>3.0617679999999998</v>
      </c>
      <c r="T7267">
        <v>-8.0168130000000004E-2</v>
      </c>
      <c r="U7267">
        <v>-0.1965942</v>
      </c>
      <c r="V7267">
        <v>-0.21248810000000001</v>
      </c>
      <c r="W7267">
        <v>-6.8459939999999997E-2</v>
      </c>
      <c r="X7267">
        <v>0.97476260000000003</v>
      </c>
      <c r="Y7267">
        <v>-6.3211480000000004E-3</v>
      </c>
      <c r="Z7267">
        <v>1.6509630000000001E-3</v>
      </c>
      <c r="AA7267">
        <v>0.9999787</v>
      </c>
      <c r="AB7267">
        <v>27</v>
      </c>
      <c r="AC7267">
        <v>42.263499999999901</v>
      </c>
      <c r="AD7267">
        <v>-1.110005047055</v>
      </c>
      <c r="AE7267">
        <v>-2.7137699999999998</v>
      </c>
      <c r="AF7267">
        <v>-0.26829535301787899</v>
      </c>
      <c r="AG7267">
        <v>-1.110005047055</v>
      </c>
      <c r="AH7267">
        <v>42.320613322240398</v>
      </c>
      <c r="AI7267">
        <v>91.502406144315302</v>
      </c>
      <c r="AJ7267">
        <v>90.363226906486702</v>
      </c>
      <c r="AK7267">
        <v>42.336017828458203</v>
      </c>
      <c r="AL7267">
        <v>93.925535890553803</v>
      </c>
      <c r="AM7267">
        <v>102.297502032146</v>
      </c>
      <c r="AN7267">
        <v>1.00000004119258</v>
      </c>
    </row>
    <row r="7268" spans="1:40" x14ac:dyDescent="0.25">
      <c r="A7268" t="str">
        <f>"20190305135106975"</f>
        <v>20190305135106975</v>
      </c>
      <c r="B7268" t="str">
        <f>"1551765066967336"</f>
        <v>1551765066967336</v>
      </c>
      <c r="C7268" t="s">
        <v>40</v>
      </c>
      <c r="D7268">
        <v>3.9575130000000001</v>
      </c>
      <c r="E7268">
        <v>0.58014489999999996</v>
      </c>
      <c r="F7268" t="s">
        <v>115</v>
      </c>
      <c r="G7268">
        <v>-222.31800000000001</v>
      </c>
      <c r="H7268" s="1">
        <v>-1.1962559999999999E-6</v>
      </c>
      <c r="I7268">
        <v>-65.257559999999998</v>
      </c>
      <c r="J7268">
        <v>-264.09769999999997</v>
      </c>
      <c r="K7268">
        <v>1.10998</v>
      </c>
      <c r="L7268">
        <v>-62.566310000000001</v>
      </c>
      <c r="M7268">
        <v>0.99758230000000003</v>
      </c>
      <c r="N7268">
        <v>-4.0457979999999998E-3</v>
      </c>
      <c r="O7268">
        <v>-6.937815E-2</v>
      </c>
      <c r="P7268">
        <v>0.98692630000000003</v>
      </c>
      <c r="Q7268">
        <v>-7.1972129999999995E-2</v>
      </c>
      <c r="R7268">
        <v>0.1442097</v>
      </c>
      <c r="S7268">
        <v>3.062195</v>
      </c>
      <c r="T7268">
        <v>-8.1107020000000002E-2</v>
      </c>
      <c r="U7268">
        <v>-0.1972351</v>
      </c>
      <c r="V7268">
        <v>-0.21206720000000001</v>
      </c>
      <c r="W7268">
        <v>-6.8855669999999994E-2</v>
      </c>
      <c r="X7268">
        <v>0.97482630000000003</v>
      </c>
      <c r="Y7268">
        <v>-5.0942080000000002E-3</v>
      </c>
      <c r="Z7268">
        <v>1.6302510000000001E-3</v>
      </c>
      <c r="AA7268">
        <v>0.99998569999999998</v>
      </c>
      <c r="AB7268">
        <v>27</v>
      </c>
      <c r="AC7268">
        <v>41.779699999999899</v>
      </c>
      <c r="AD7268">
        <v>-1.109981196256</v>
      </c>
      <c r="AE7268">
        <v>-2.6912500000000001</v>
      </c>
      <c r="AF7268">
        <v>-0.21370644652329401</v>
      </c>
      <c r="AG7268">
        <v>-1.109981196256</v>
      </c>
      <c r="AH7268">
        <v>41.836335491483503</v>
      </c>
      <c r="AI7268">
        <v>91.5197672508599</v>
      </c>
      <c r="AJ7268">
        <v>90.292673122514003</v>
      </c>
      <c r="AK7268">
        <v>41.851603267465002</v>
      </c>
      <c r="AL7268">
        <v>93.948263508310305</v>
      </c>
      <c r="AM7268">
        <v>102.27310432197</v>
      </c>
      <c r="AN7268">
        <v>0.99999995788933804</v>
      </c>
    </row>
    <row r="7269" spans="1:40" x14ac:dyDescent="0.25">
      <c r="A7269" t="str">
        <f>"20190305135106985"</f>
        <v>20190305135106985</v>
      </c>
      <c r="B7269" t="str">
        <f>"1551765066977096"</f>
        <v>1551765066977096</v>
      </c>
      <c r="C7269" t="s">
        <v>40</v>
      </c>
      <c r="D7269">
        <v>3.9383170000000001</v>
      </c>
      <c r="E7269">
        <v>0.5804028</v>
      </c>
      <c r="F7269" t="s">
        <v>115</v>
      </c>
      <c r="G7269">
        <v>-223.01990000000001</v>
      </c>
      <c r="H7269" s="1">
        <v>-1.487109E-6</v>
      </c>
      <c r="I7269">
        <v>-65.211419999999904</v>
      </c>
      <c r="J7269">
        <v>-263.96080000000001</v>
      </c>
      <c r="K7269">
        <v>1.109958</v>
      </c>
      <c r="L7269">
        <v>-62.574829999999999</v>
      </c>
      <c r="M7269">
        <v>0.9976564</v>
      </c>
      <c r="N7269">
        <v>-4.0669230000000001E-3</v>
      </c>
      <c r="O7269">
        <v>-6.8303820000000001E-2</v>
      </c>
      <c r="P7269">
        <v>0.98675970000000002</v>
      </c>
      <c r="Q7269">
        <v>-7.2663640000000002E-2</v>
      </c>
      <c r="R7269">
        <v>0.14500260000000001</v>
      </c>
      <c r="S7269">
        <v>3.0625309999999999</v>
      </c>
      <c r="T7269">
        <v>-8.2754019999999998E-2</v>
      </c>
      <c r="U7269">
        <v>-0.19720460000000001</v>
      </c>
      <c r="V7269">
        <v>-0.2117986</v>
      </c>
      <c r="W7269">
        <v>-6.9513759999999994E-2</v>
      </c>
      <c r="X7269">
        <v>0.97483799999999998</v>
      </c>
      <c r="Y7269">
        <v>-4.0341350000000003E-3</v>
      </c>
      <c r="Z7269">
        <v>1.626214E-3</v>
      </c>
      <c r="AA7269">
        <v>0.9999905</v>
      </c>
      <c r="AB7269">
        <v>28</v>
      </c>
      <c r="AC7269">
        <v>40.940899999999999</v>
      </c>
      <c r="AD7269">
        <v>-1.1099594871089999</v>
      </c>
      <c r="AE7269">
        <v>-2.63658999999998</v>
      </c>
      <c r="AF7269">
        <v>-0.16588890104849199</v>
      </c>
      <c r="AG7269">
        <v>-1.1099594871089999</v>
      </c>
      <c r="AH7269">
        <v>40.995366362362098</v>
      </c>
      <c r="AI7269">
        <v>91.550905532778003</v>
      </c>
      <c r="AJ7269">
        <v>90.231847715094602</v>
      </c>
      <c r="AK7269">
        <v>41.010725333439296</v>
      </c>
      <c r="AL7269">
        <v>93.986059814780404</v>
      </c>
      <c r="AM7269">
        <v>102.257887087797</v>
      </c>
      <c r="AN7269">
        <v>0.99999996801764801</v>
      </c>
    </row>
    <row r="7270" spans="1:40" x14ac:dyDescent="0.25">
      <c r="A7270" t="str">
        <f>"20190305135106997"</f>
        <v>20190305135106997</v>
      </c>
      <c r="B7270" t="str">
        <f>"1551765066986856"</f>
        <v>1551765066986856</v>
      </c>
      <c r="C7270" t="s">
        <v>40</v>
      </c>
      <c r="D7270">
        <v>3.8821029999999999</v>
      </c>
      <c r="E7270">
        <v>0.58074930000000002</v>
      </c>
      <c r="F7270" t="s">
        <v>115</v>
      </c>
      <c r="G7270">
        <v>-223.93469999999999</v>
      </c>
      <c r="H7270" s="1">
        <v>-1.864812E-6</v>
      </c>
      <c r="I7270">
        <v>-65.145129999999995</v>
      </c>
      <c r="J7270">
        <v>-263.8227</v>
      </c>
      <c r="K7270">
        <v>1.1099349999999999</v>
      </c>
      <c r="L7270">
        <v>-62.58325</v>
      </c>
      <c r="M7270">
        <v>0.99772810000000001</v>
      </c>
      <c r="N7270">
        <v>-4.088258E-3</v>
      </c>
      <c r="O7270">
        <v>-6.7245239999999998E-2</v>
      </c>
      <c r="P7270">
        <v>0.98662810000000001</v>
      </c>
      <c r="Q7270">
        <v>-7.3346960000000003E-2</v>
      </c>
      <c r="R7270">
        <v>0.1455514</v>
      </c>
      <c r="S7270">
        <v>3.062897</v>
      </c>
      <c r="T7270">
        <v>-8.4936860000000003E-2</v>
      </c>
      <c r="U7270">
        <v>-0.19668579999999999</v>
      </c>
      <c r="V7270">
        <v>-0.21130450000000001</v>
      </c>
      <c r="W7270">
        <v>-7.0163439999999994E-2</v>
      </c>
      <c r="X7270">
        <v>0.97489870000000001</v>
      </c>
      <c r="Y7270">
        <v>-3.1489769999999999E-3</v>
      </c>
      <c r="Z7270">
        <v>1.6355969999999999E-3</v>
      </c>
      <c r="AA7270">
        <v>0.99999369999999999</v>
      </c>
      <c r="AB7270">
        <v>28</v>
      </c>
      <c r="AC7270">
        <v>39.887999999999998</v>
      </c>
      <c r="AD7270">
        <v>-1.109936864812</v>
      </c>
      <c r="AE7270">
        <v>-2.5618799999999999</v>
      </c>
      <c r="AF7270">
        <v>-0.126122267344181</v>
      </c>
      <c r="AG7270">
        <v>-1.109936864812</v>
      </c>
      <c r="AH7270">
        <v>39.939188695744299</v>
      </c>
      <c r="AI7270">
        <v>91.591870512428201</v>
      </c>
      <c r="AJ7270">
        <v>90.180931306751006</v>
      </c>
      <c r="AK7270">
        <v>39.9548077250343</v>
      </c>
      <c r="AL7270">
        <v>94.023374771543402</v>
      </c>
      <c r="AM7270">
        <v>102.22941409036601</v>
      </c>
      <c r="AN7270">
        <v>0.99999998764728604</v>
      </c>
    </row>
    <row r="7271" spans="1:40" x14ac:dyDescent="0.25">
      <c r="A7271" t="str">
        <f>"20190305135107009"</f>
        <v>20190305135107009</v>
      </c>
      <c r="B7271" t="str">
        <f>"1551765066997594"</f>
        <v>1551765066997594</v>
      </c>
      <c r="C7271" t="s">
        <v>40</v>
      </c>
      <c r="D7271">
        <v>3.9421810000000002</v>
      </c>
      <c r="E7271">
        <v>0.5810208</v>
      </c>
      <c r="F7271" t="s">
        <v>115</v>
      </c>
      <c r="G7271">
        <v>-224.3536</v>
      </c>
      <c r="H7271" s="1">
        <v>-2.041122E-6</v>
      </c>
      <c r="I7271">
        <v>-65.129940000000005</v>
      </c>
      <c r="J7271">
        <v>-263.6807</v>
      </c>
      <c r="K7271">
        <v>1.1099139999999901</v>
      </c>
      <c r="L7271">
        <v>-62.591859999999997</v>
      </c>
      <c r="M7271">
        <v>0.99779989999999996</v>
      </c>
      <c r="N7271">
        <v>-4.1102209999999998E-3</v>
      </c>
      <c r="O7271">
        <v>-6.6168069999999996E-2</v>
      </c>
      <c r="P7271">
        <v>0.98647790000000002</v>
      </c>
      <c r="Q7271">
        <v>-7.3942880000000002E-2</v>
      </c>
      <c r="R7271">
        <v>0.14626600000000001</v>
      </c>
      <c r="S7271">
        <v>3.0634160000000001</v>
      </c>
      <c r="T7271">
        <v>-8.6148379999999997E-2</v>
      </c>
      <c r="U7271">
        <v>-0.19766239999999999</v>
      </c>
      <c r="V7271">
        <v>-0.21095630000000001</v>
      </c>
      <c r="W7271">
        <v>-7.0725919999999998E-2</v>
      </c>
      <c r="X7271">
        <v>0.97493339999999995</v>
      </c>
      <c r="Y7271">
        <v>-1.763082E-3</v>
      </c>
      <c r="Z7271">
        <v>1.6129040000000001E-3</v>
      </c>
      <c r="AA7271">
        <v>0.99999709999999997</v>
      </c>
      <c r="AB7271">
        <v>28</v>
      </c>
      <c r="AC7271">
        <v>39.327100000000002</v>
      </c>
      <c r="AD7271">
        <v>-1.1099160411219999</v>
      </c>
      <c r="AE7271">
        <v>-2.5380799999999999</v>
      </c>
      <c r="AF7271">
        <v>-6.9647687436618505E-2</v>
      </c>
      <c r="AG7271">
        <v>-1.1099160411219999</v>
      </c>
      <c r="AH7271">
        <v>39.377619212968298</v>
      </c>
      <c r="AI7271">
        <v>91.614535705289299</v>
      </c>
      <c r="AJ7271">
        <v>90.101339655913407</v>
      </c>
      <c r="AK7271">
        <v>39.393319983218397</v>
      </c>
      <c r="AL7271">
        <v>94.055683018657305</v>
      </c>
      <c r="AM7271">
        <v>102.209445274727</v>
      </c>
      <c r="AN7271">
        <v>0.999999925352545</v>
      </c>
    </row>
    <row r="7272" spans="1:40" x14ac:dyDescent="0.25">
      <c r="A7272" t="str">
        <f>"20190305135107021"</f>
        <v>20190305135107021</v>
      </c>
      <c r="B7272" t="str">
        <f>"1551765067017113"</f>
        <v>1551765067017113</v>
      </c>
      <c r="C7272" t="s">
        <v>40</v>
      </c>
      <c r="D7272">
        <v>3.8786330000000002</v>
      </c>
      <c r="E7272">
        <v>0.58165719999999899</v>
      </c>
      <c r="F7272" t="s">
        <v>115</v>
      </c>
      <c r="G7272">
        <v>-224.20939999999999</v>
      </c>
      <c r="H7272" s="1">
        <v>-1.980587E-6</v>
      </c>
      <c r="I7272">
        <v>-65.135890000000003</v>
      </c>
      <c r="J7272">
        <v>-263.54219999999998</v>
      </c>
      <c r="K7272">
        <v>1.1098969999999999</v>
      </c>
      <c r="L7272">
        <v>-62.599980000000002</v>
      </c>
      <c r="M7272">
        <v>0.99786699999999995</v>
      </c>
      <c r="N7272">
        <v>-4.1318730000000003E-3</v>
      </c>
      <c r="O7272">
        <v>-6.5150150000000004E-2</v>
      </c>
      <c r="P7272">
        <v>0.98638669999999995</v>
      </c>
      <c r="Q7272">
        <v>-7.4548939999999994E-2</v>
      </c>
      <c r="R7272">
        <v>0.14657400000000001</v>
      </c>
      <c r="S7272">
        <v>3.0639340000000002</v>
      </c>
      <c r="T7272">
        <v>-8.6156609999999995E-2</v>
      </c>
      <c r="U7272">
        <v>-0.19747919999999999</v>
      </c>
      <c r="V7272">
        <v>-0.21026429999999999</v>
      </c>
      <c r="W7272">
        <v>-7.1298680000000003E-2</v>
      </c>
      <c r="X7272">
        <v>0.9750413</v>
      </c>
      <c r="Y7272">
        <v>-8.1409440000000004E-4</v>
      </c>
      <c r="Z7272">
        <v>1.5717680000000001E-3</v>
      </c>
      <c r="AA7272">
        <v>0.99999850000000001</v>
      </c>
      <c r="AB7272">
        <v>28</v>
      </c>
      <c r="AC7272">
        <v>39.332799999999899</v>
      </c>
      <c r="AD7272">
        <v>-1.1098989805870001</v>
      </c>
      <c r="AE7272">
        <v>-2.5359099999999999</v>
      </c>
      <c r="AF7272">
        <v>-3.2011802463573102E-2</v>
      </c>
      <c r="AG7272">
        <v>-1.1098989805870001</v>
      </c>
      <c r="AH7272">
        <v>39.383221637355902</v>
      </c>
      <c r="AI7272">
        <v>91.614283342812101</v>
      </c>
      <c r="AJ7272">
        <v>90.046571628617002</v>
      </c>
      <c r="AK7272">
        <v>39.398871139154501</v>
      </c>
      <c r="AL7272">
        <v>94.088582269907604</v>
      </c>
      <c r="AM7272">
        <v>102.169283744042</v>
      </c>
      <c r="AN7272">
        <v>1.0000000571649501</v>
      </c>
    </row>
    <row r="7273" spans="1:40" x14ac:dyDescent="0.25">
      <c r="A7273" t="str">
        <f>"20190305135107031"</f>
        <v>20190305135107031</v>
      </c>
      <c r="B7273" t="str">
        <f>"1551765067026873"</f>
        <v>1551765067026873</v>
      </c>
      <c r="C7273" t="s">
        <v>40</v>
      </c>
      <c r="D7273">
        <v>3.8711350000000002</v>
      </c>
      <c r="E7273">
        <v>0.58193050000000002</v>
      </c>
      <c r="F7273" t="s">
        <v>115</v>
      </c>
      <c r="G7273">
        <v>-222.81989999999999</v>
      </c>
      <c r="H7273" s="1">
        <v>-1.4156320000000001E-6</v>
      </c>
      <c r="I7273">
        <v>-65.276009999999999</v>
      </c>
      <c r="J7273">
        <v>-263.40300000000002</v>
      </c>
      <c r="K7273">
        <v>1.10988</v>
      </c>
      <c r="L7273">
        <v>-62.608150000000002</v>
      </c>
      <c r="M7273">
        <v>0.99793279999999995</v>
      </c>
      <c r="N7273">
        <v>-4.1536740000000004E-3</v>
      </c>
      <c r="O7273">
        <v>-6.4133419999999997E-2</v>
      </c>
      <c r="P7273">
        <v>0.98628329999999997</v>
      </c>
      <c r="Q7273">
        <v>-7.4921249999999995E-2</v>
      </c>
      <c r="R7273">
        <v>0.1470795</v>
      </c>
      <c r="S7273">
        <v>3.0650330000000001</v>
      </c>
      <c r="T7273">
        <v>-8.3538290000000001E-2</v>
      </c>
      <c r="U7273">
        <v>-0.20141600000000001</v>
      </c>
      <c r="V7273">
        <v>-0.2097705</v>
      </c>
      <c r="W7273">
        <v>-7.1638569999999999E-2</v>
      </c>
      <c r="X7273">
        <v>0.97512270000000001</v>
      </c>
      <c r="Y7273">
        <v>1.458146E-3</v>
      </c>
      <c r="Z7273">
        <v>1.4547329999999999E-3</v>
      </c>
      <c r="AA7273">
        <v>0.9999979</v>
      </c>
      <c r="AB7273">
        <v>28</v>
      </c>
      <c r="AC7273">
        <v>40.583100000000002</v>
      </c>
      <c r="AD7273">
        <v>-1.109881415632</v>
      </c>
      <c r="AE7273">
        <v>-2.6678599999999899</v>
      </c>
      <c r="AF7273">
        <v>5.9568148962788801E-2</v>
      </c>
      <c r="AG7273">
        <v>-1.109881415632</v>
      </c>
      <c r="AH7273">
        <v>40.640386441107502</v>
      </c>
      <c r="AI7273">
        <v>91.564346598366498</v>
      </c>
      <c r="AJ7273">
        <v>89.916019472654995</v>
      </c>
      <c r="AK7273">
        <v>40.655582583498798</v>
      </c>
      <c r="AL7273">
        <v>94.108106636481594</v>
      </c>
      <c r="AM7273">
        <v>102.140569925897</v>
      </c>
      <c r="AN7273">
        <v>1.00000001371859</v>
      </c>
    </row>
    <row r="7274" spans="1:40" x14ac:dyDescent="0.25">
      <c r="A7274" t="str">
        <f>"20190305135107042"</f>
        <v>20190305135107042</v>
      </c>
      <c r="B7274" t="str">
        <f>"1551765067037609"</f>
        <v>1551765067037609</v>
      </c>
      <c r="C7274" t="s">
        <v>40</v>
      </c>
      <c r="D7274">
        <v>3.880366</v>
      </c>
      <c r="E7274">
        <v>0.58216659999999998</v>
      </c>
      <c r="F7274" t="s">
        <v>115</v>
      </c>
      <c r="G7274">
        <v>-222.6645</v>
      </c>
      <c r="H7274" s="1">
        <v>-1.3525669999999999E-6</v>
      </c>
      <c r="I7274">
        <v>-65.292159999999996</v>
      </c>
      <c r="J7274">
        <v>-263.25740000000002</v>
      </c>
      <c r="K7274">
        <v>1.1098589999999999</v>
      </c>
      <c r="L7274">
        <v>-62.616489999999999</v>
      </c>
      <c r="M7274">
        <v>0.99799870000000002</v>
      </c>
      <c r="N7274">
        <v>-4.1764649999999999E-3</v>
      </c>
      <c r="O7274">
        <v>-6.3097139999999996E-2</v>
      </c>
      <c r="P7274">
        <v>0.9862649</v>
      </c>
      <c r="Q7274">
        <v>-7.4821520000000002E-2</v>
      </c>
      <c r="R7274">
        <v>0.14725239999999901</v>
      </c>
      <c r="S7274">
        <v>3.0654910000000002</v>
      </c>
      <c r="T7274">
        <v>-8.3516240000000005E-2</v>
      </c>
      <c r="U7274">
        <v>-0.20196529999999999</v>
      </c>
      <c r="V7274">
        <v>-0.20893320000000001</v>
      </c>
      <c r="W7274">
        <v>-7.1504159999999997E-2</v>
      </c>
      <c r="X7274">
        <v>0.97531230000000002</v>
      </c>
      <c r="Y7274">
        <v>2.6643420000000001E-3</v>
      </c>
      <c r="Z7274">
        <v>1.4098089999999999E-3</v>
      </c>
      <c r="AA7274">
        <v>0.99999550000000004</v>
      </c>
      <c r="AB7274">
        <v>28</v>
      </c>
      <c r="AC7274">
        <v>40.5929</v>
      </c>
      <c r="AD7274">
        <v>-1.1098603525670001</v>
      </c>
      <c r="AE7274">
        <v>-2.67566999999999</v>
      </c>
      <c r="AF7274">
        <v>0.10893914837513199</v>
      </c>
      <c r="AG7274">
        <v>-1.1098603525670001</v>
      </c>
      <c r="AH7274">
        <v>40.650584748429502</v>
      </c>
      <c r="AI7274">
        <v>91.563920734728399</v>
      </c>
      <c r="AJ7274">
        <v>89.846453906580606</v>
      </c>
      <c r="AK7274">
        <v>40.665878794506497</v>
      </c>
      <c r="AL7274">
        <v>94.100385747255999</v>
      </c>
      <c r="AM7274">
        <v>102.09125822902099</v>
      </c>
      <c r="AN7274">
        <v>1.0000000047454101</v>
      </c>
    </row>
    <row r="7275" spans="1:40" x14ac:dyDescent="0.25">
      <c r="A7275" t="str">
        <f>"20190305135107054"</f>
        <v>20190305135107054</v>
      </c>
      <c r="B7275" t="str">
        <f>"1551765067047369"</f>
        <v>1551765067047369</v>
      </c>
      <c r="C7275" t="s">
        <v>40</v>
      </c>
      <c r="D7275">
        <v>3.8563809999999998</v>
      </c>
      <c r="E7275">
        <v>0.5823874</v>
      </c>
      <c r="F7275" t="s">
        <v>115</v>
      </c>
      <c r="G7275">
        <v>-221.6987</v>
      </c>
      <c r="H7275" s="1">
        <v>-9.5598360000000005E-7</v>
      </c>
      <c r="I7275">
        <v>-65.371949999999998</v>
      </c>
      <c r="J7275">
        <v>-263.11989999999997</v>
      </c>
      <c r="K7275">
        <v>1.1098479999999999</v>
      </c>
      <c r="L7275">
        <v>-62.62424</v>
      </c>
      <c r="M7275">
        <v>0.99805940000000004</v>
      </c>
      <c r="N7275">
        <v>-4.1980450000000001E-3</v>
      </c>
      <c r="O7275">
        <v>-6.2128580000000003E-2</v>
      </c>
      <c r="P7275">
        <v>0.98625739999999995</v>
      </c>
      <c r="Q7275">
        <v>-7.4750059999999993E-2</v>
      </c>
      <c r="R7275">
        <v>0.14733889999999999</v>
      </c>
      <c r="S7275">
        <v>3.065887</v>
      </c>
      <c r="T7275">
        <v>-8.1877110000000003E-2</v>
      </c>
      <c r="U7275">
        <v>-0.2032776</v>
      </c>
      <c r="V7275">
        <v>-0.20807519999999999</v>
      </c>
      <c r="W7275">
        <v>-7.1400229999999995E-2</v>
      </c>
      <c r="X7275">
        <v>0.97550329999999996</v>
      </c>
      <c r="Y7275">
        <v>4.0508929999999999E-3</v>
      </c>
      <c r="Z7275">
        <v>1.3321380000000001E-3</v>
      </c>
      <c r="AA7275">
        <v>0.99999090000000002</v>
      </c>
      <c r="AB7275">
        <v>28</v>
      </c>
      <c r="AC7275">
        <v>41.421199999999899</v>
      </c>
      <c r="AD7275">
        <v>-1.1098489559836</v>
      </c>
      <c r="AE7275">
        <v>-2.7477099999999899</v>
      </c>
      <c r="AF7275">
        <v>0.16881826328805299</v>
      </c>
      <c r="AG7275">
        <v>-1.1098489559836</v>
      </c>
      <c r="AH7275">
        <v>41.482241133936697</v>
      </c>
      <c r="AI7275">
        <v>91.5325586744068</v>
      </c>
      <c r="AJ7275">
        <v>89.766827434391104</v>
      </c>
      <c r="AK7275">
        <v>41.497428761372603</v>
      </c>
      <c r="AL7275">
        <v>94.094415818687594</v>
      </c>
      <c r="AM7275">
        <v>102.040767851326</v>
      </c>
      <c r="AN7275">
        <v>0.99999998500499099</v>
      </c>
    </row>
    <row r="7276" spans="1:40" x14ac:dyDescent="0.25">
      <c r="A7276" t="str">
        <f>"20190305135107063"</f>
        <v>20190305135107063</v>
      </c>
      <c r="B7276" t="str">
        <f>"1551765067057129"</f>
        <v>1551765067057129</v>
      </c>
      <c r="C7276" t="s">
        <v>40</v>
      </c>
      <c r="D7276">
        <v>3.852652</v>
      </c>
      <c r="E7276">
        <v>0.58265889999999998</v>
      </c>
      <c r="F7276" t="s">
        <v>115</v>
      </c>
      <c r="G7276">
        <v>-220.7593</v>
      </c>
      <c r="H7276" s="1">
        <v>-5.711335E-7</v>
      </c>
      <c r="I7276">
        <v>-65.453550000000007</v>
      </c>
      <c r="J7276">
        <v>-262.98689999999999</v>
      </c>
      <c r="K7276">
        <v>1.1098380000000001</v>
      </c>
      <c r="L7276">
        <v>-62.631619999999998</v>
      </c>
      <c r="M7276">
        <v>0.99811629999999996</v>
      </c>
      <c r="N7276">
        <v>-4.2189790000000003E-3</v>
      </c>
      <c r="O7276">
        <v>-6.1206749999999997E-2</v>
      </c>
      <c r="P7276">
        <v>0.98627670000000001</v>
      </c>
      <c r="Q7276">
        <v>-7.4416750000000004E-2</v>
      </c>
      <c r="R7276">
        <v>0.14737979999999901</v>
      </c>
      <c r="S7276">
        <v>3.0663149999999999</v>
      </c>
      <c r="T7276">
        <v>-8.0337519999999996E-2</v>
      </c>
      <c r="U7276">
        <v>-0.2048035</v>
      </c>
      <c r="V7276">
        <v>-0.2072204</v>
      </c>
      <c r="W7276">
        <v>-7.1036039999999995E-2</v>
      </c>
      <c r="X7276">
        <v>0.97571180000000002</v>
      </c>
      <c r="Y7276">
        <v>5.4592699999999996E-3</v>
      </c>
      <c r="Z7276">
        <v>1.2588759999999999E-3</v>
      </c>
      <c r="AA7276">
        <v>0.99998430000000005</v>
      </c>
      <c r="AB7276">
        <v>28</v>
      </c>
      <c r="AC7276">
        <v>42.227600000000002</v>
      </c>
      <c r="AD7276">
        <v>-1.1098385711334999</v>
      </c>
      <c r="AE7276">
        <v>-2.82193</v>
      </c>
      <c r="AF7276">
        <v>0.23184277851688501</v>
      </c>
      <c r="AG7276">
        <v>-1.1098385711334999</v>
      </c>
      <c r="AH7276">
        <v>42.292065392200399</v>
      </c>
      <c r="AI7276">
        <v>91.503202071680704</v>
      </c>
      <c r="AJ7276">
        <v>89.685910831412997</v>
      </c>
      <c r="AK7276">
        <v>42.3072604627868</v>
      </c>
      <c r="AL7276">
        <v>94.073496230357307</v>
      </c>
      <c r="AM7276">
        <v>101.99024923594899</v>
      </c>
      <c r="AN7276">
        <v>0.99999996490714005</v>
      </c>
    </row>
    <row r="7277" spans="1:40" x14ac:dyDescent="0.25">
      <c r="A7277" t="str">
        <f>"20190305135107075"</f>
        <v>20190305135107075</v>
      </c>
      <c r="B7277" t="str">
        <f>"1551765067066889"</f>
        <v>1551765067066889</v>
      </c>
      <c r="C7277" t="s">
        <v>40</v>
      </c>
      <c r="D7277">
        <v>3.89385</v>
      </c>
      <c r="E7277">
        <v>0.5827059</v>
      </c>
      <c r="F7277" t="s">
        <v>116</v>
      </c>
      <c r="G7277">
        <v>-219.3588</v>
      </c>
      <c r="H7277" s="1">
        <v>-3.9650189999999996E-6</v>
      </c>
      <c r="I7277">
        <v>-65.572959999999995</v>
      </c>
      <c r="J7277">
        <v>-262.8458</v>
      </c>
      <c r="K7277">
        <v>1.109831</v>
      </c>
      <c r="L7277">
        <v>-62.6393699999999</v>
      </c>
      <c r="M7277">
        <v>0.99817500000000003</v>
      </c>
      <c r="N7277">
        <v>-4.2412880000000002E-3</v>
      </c>
      <c r="O7277">
        <v>-6.0238420000000001E-2</v>
      </c>
      <c r="P7277">
        <v>0.98627229999999999</v>
      </c>
      <c r="Q7277">
        <v>-7.4283669999999996E-2</v>
      </c>
      <c r="R7277">
        <v>0.14747449999999901</v>
      </c>
      <c r="S7277">
        <v>3.0667110000000002</v>
      </c>
      <c r="T7277">
        <v>-7.8012940000000003E-2</v>
      </c>
      <c r="U7277">
        <v>-0.20675660000000001</v>
      </c>
      <c r="V7277">
        <v>-0.2063709</v>
      </c>
      <c r="W7277">
        <v>-7.0871409999999996E-2</v>
      </c>
      <c r="X7277">
        <v>0.97590379999999999</v>
      </c>
      <c r="Y7277">
        <v>7.0530439999999996E-3</v>
      </c>
      <c r="Z7277">
        <v>1.168947E-3</v>
      </c>
      <c r="AA7277">
        <v>0.99997440000000004</v>
      </c>
      <c r="AB7277">
        <v>28</v>
      </c>
      <c r="AC7277">
        <v>43.487000000000002</v>
      </c>
      <c r="AD7277">
        <v>-1.109834965019</v>
      </c>
      <c r="AE7277">
        <v>-2.9335900000000001</v>
      </c>
      <c r="AF7277">
        <v>0.30845081421336501</v>
      </c>
      <c r="AG7277">
        <v>-1.109834965019</v>
      </c>
      <c r="AH7277">
        <v>43.556502429479998</v>
      </c>
      <c r="AI7277">
        <v>91.459564157678699</v>
      </c>
      <c r="AJ7277">
        <v>89.594259560893505</v>
      </c>
      <c r="AK7277">
        <v>43.571731425818498</v>
      </c>
      <c r="AL7277">
        <v>94.064039787501898</v>
      </c>
      <c r="AM7277">
        <v>101.940227214519</v>
      </c>
      <c r="AN7277">
        <v>0.99999996598831797</v>
      </c>
    </row>
    <row r="7278" spans="1:40" x14ac:dyDescent="0.25">
      <c r="A7278" t="str">
        <f>"20190305135107087"</f>
        <v>20190305135107087</v>
      </c>
      <c r="B7278" t="str">
        <f>"1551765067077625"</f>
        <v>1551765067077625</v>
      </c>
      <c r="C7278" t="s">
        <v>40</v>
      </c>
      <c r="D7278">
        <v>3.8943140000000001</v>
      </c>
      <c r="E7278">
        <v>0.58280929999999997</v>
      </c>
      <c r="F7278" t="s">
        <v>116</v>
      </c>
      <c r="G7278">
        <v>-218.61670000000001</v>
      </c>
      <c r="H7278" s="1">
        <v>-3.7213490000000001E-6</v>
      </c>
      <c r="I7278">
        <v>-65.622860000000003</v>
      </c>
      <c r="J7278">
        <v>-262.7072</v>
      </c>
      <c r="K7278">
        <v>1.1098239999999999</v>
      </c>
      <c r="L7278">
        <v>-62.646850000000001</v>
      </c>
      <c r="M7278">
        <v>0.99823130000000004</v>
      </c>
      <c r="N7278">
        <v>-4.263261E-3</v>
      </c>
      <c r="O7278">
        <v>-5.9296559999999998E-2</v>
      </c>
      <c r="P7278">
        <v>0.98626599999999998</v>
      </c>
      <c r="Q7278">
        <v>-7.422231E-2</v>
      </c>
      <c r="R7278">
        <v>0.1475486</v>
      </c>
      <c r="S7278">
        <v>3.0668329999999999</v>
      </c>
      <c r="T7278">
        <v>-7.6955679999999999E-2</v>
      </c>
      <c r="U7278">
        <v>-0.2068787</v>
      </c>
      <c r="V7278">
        <v>-0.20552570000000001</v>
      </c>
      <c r="W7278">
        <v>-7.0779700000000001E-2</v>
      </c>
      <c r="X7278">
        <v>0.97608879999999998</v>
      </c>
      <c r="Y7278">
        <v>8.0325580000000004E-3</v>
      </c>
      <c r="Z7278">
        <v>1.114093E-3</v>
      </c>
      <c r="AA7278">
        <v>0.9999671</v>
      </c>
      <c r="AB7278">
        <v>28</v>
      </c>
      <c r="AC7278">
        <v>44.090499999999899</v>
      </c>
      <c r="AD7278">
        <v>-1.109827721349</v>
      </c>
      <c r="AE7278">
        <v>-2.97601</v>
      </c>
      <c r="AF7278">
        <v>0.356109982207994</v>
      </c>
      <c r="AG7278">
        <v>-1.109827721349</v>
      </c>
      <c r="AH7278">
        <v>44.161531959526997</v>
      </c>
      <c r="AI7278">
        <v>91.439555961118401</v>
      </c>
      <c r="AJ7278">
        <v>89.537988020631303</v>
      </c>
      <c r="AK7278">
        <v>44.176910676311699</v>
      </c>
      <c r="AL7278">
        <v>94.058771977015397</v>
      </c>
      <c r="AM7278">
        <v>101.890530940872</v>
      </c>
      <c r="AN7278">
        <v>0.99999996238900901</v>
      </c>
    </row>
    <row r="7279" spans="1:40" x14ac:dyDescent="0.25">
      <c r="A7279" t="str">
        <f>"20190305135107097"</f>
        <v>20190305135107097</v>
      </c>
      <c r="B7279" t="str">
        <f>"1551765067087024"</f>
        <v>1551765067087024</v>
      </c>
      <c r="C7279" t="s">
        <v>40</v>
      </c>
      <c r="D7279">
        <v>3.888137</v>
      </c>
      <c r="E7279">
        <v>0.58288459999999997</v>
      </c>
      <c r="F7279" t="s">
        <v>116</v>
      </c>
      <c r="G7279">
        <v>-218.12520000000001</v>
      </c>
      <c r="H7279" s="1">
        <v>-3.5609979999999998E-6</v>
      </c>
      <c r="I7279">
        <v>-65.661929999999998</v>
      </c>
      <c r="J7279">
        <v>-262.56970000000001</v>
      </c>
      <c r="K7279">
        <v>1.109818</v>
      </c>
      <c r="L7279">
        <v>-62.654139999999998</v>
      </c>
      <c r="M7279">
        <v>0.9982858</v>
      </c>
      <c r="N7279">
        <v>-4.2851060000000003E-3</v>
      </c>
      <c r="O7279">
        <v>-5.8373059999999997E-2</v>
      </c>
      <c r="P7279">
        <v>0.98625560000000001</v>
      </c>
      <c r="Q7279">
        <v>-7.3864799999999994E-2</v>
      </c>
      <c r="R7279">
        <v>0.1477976</v>
      </c>
      <c r="S7279">
        <v>3.0670470000000001</v>
      </c>
      <c r="T7279">
        <v>-7.6351169999999996E-2</v>
      </c>
      <c r="U7279">
        <v>-0.207428</v>
      </c>
      <c r="V7279">
        <v>-0.20487359999999999</v>
      </c>
      <c r="W7279">
        <v>-7.0394120000000004E-2</v>
      </c>
      <c r="X7279">
        <v>0.97625379999999995</v>
      </c>
      <c r="Y7279">
        <v>9.1304290000000007E-3</v>
      </c>
      <c r="Z7279">
        <v>1.0667879999999999E-3</v>
      </c>
      <c r="AA7279">
        <v>0.99995769999999995</v>
      </c>
      <c r="AB7279">
        <v>28</v>
      </c>
      <c r="AC7279">
        <v>44.444499999999998</v>
      </c>
      <c r="AD7279">
        <v>-1.109821560998</v>
      </c>
      <c r="AE7279">
        <v>-3.0077899999999902</v>
      </c>
      <c r="AF7279">
        <v>0.40802300316406998</v>
      </c>
      <c r="AG7279">
        <v>-1.109821560998</v>
      </c>
      <c r="AH7279">
        <v>44.516657354846799</v>
      </c>
      <c r="AI7279">
        <v>91.428055407899294</v>
      </c>
      <c r="AJ7279">
        <v>89.474863055853106</v>
      </c>
      <c r="AK7279">
        <v>44.532358670041297</v>
      </c>
      <c r="AL7279">
        <v>94.036624461307298</v>
      </c>
      <c r="AM7279">
        <v>101.851926394215</v>
      </c>
      <c r="AN7279">
        <v>1.0000000030609799</v>
      </c>
    </row>
    <row r="7280" spans="1:40" x14ac:dyDescent="0.25">
      <c r="A7280" t="str">
        <f>"20190305135107109"</f>
        <v>20190305135107109</v>
      </c>
      <c r="B7280" t="str">
        <f>"1551765067096768"</f>
        <v>1551765067096768</v>
      </c>
      <c r="C7280" t="s">
        <v>40</v>
      </c>
      <c r="D7280">
        <v>3.8111000000000002</v>
      </c>
      <c r="E7280">
        <v>0.58308209999999905</v>
      </c>
      <c r="F7280" t="s">
        <v>116</v>
      </c>
      <c r="G7280">
        <v>-217.11959999999999</v>
      </c>
      <c r="H7280" s="1">
        <v>-3.2299199999999999E-6</v>
      </c>
      <c r="I7280">
        <v>-65.724549999999994</v>
      </c>
      <c r="J7280">
        <v>-262.42399999999998</v>
      </c>
      <c r="K7280">
        <v>1.109815</v>
      </c>
      <c r="L7280">
        <v>-62.661740000000002</v>
      </c>
      <c r="M7280">
        <v>0.99834210000000001</v>
      </c>
      <c r="N7280">
        <v>-4.3082770000000001E-3</v>
      </c>
      <c r="O7280">
        <v>-5.7398060000000001E-2</v>
      </c>
      <c r="P7280">
        <v>0.98625640000000003</v>
      </c>
      <c r="Q7280">
        <v>-7.3908749999999995E-2</v>
      </c>
      <c r="R7280">
        <v>0.14776989999999901</v>
      </c>
      <c r="S7280">
        <v>3.0672609999999998</v>
      </c>
      <c r="T7280">
        <v>-7.4897770000000002E-2</v>
      </c>
      <c r="U7280">
        <v>-0.20721439999999999</v>
      </c>
      <c r="V7280">
        <v>-0.20389389999999999</v>
      </c>
      <c r="W7280">
        <v>-7.0407739999999996E-2</v>
      </c>
      <c r="X7280">
        <v>0.97645789999999999</v>
      </c>
      <c r="Y7280">
        <v>1.0032019999999999E-2</v>
      </c>
      <c r="Z7280">
        <v>1.007352E-3</v>
      </c>
      <c r="AA7280">
        <v>0.99994919999999998</v>
      </c>
      <c r="AB7280">
        <v>28</v>
      </c>
      <c r="AC7280">
        <v>45.304400000000001</v>
      </c>
      <c r="AD7280">
        <v>-1.1098182299199999</v>
      </c>
      <c r="AE7280">
        <v>-3.06280999999999</v>
      </c>
      <c r="AF7280">
        <v>0.45707868702864202</v>
      </c>
      <c r="AG7280">
        <v>-1.1098182299199999</v>
      </c>
      <c r="AH7280">
        <v>45.378401868041202</v>
      </c>
      <c r="AI7280">
        <v>91.400930855821301</v>
      </c>
      <c r="AJ7280">
        <v>89.4229017997569</v>
      </c>
      <c r="AK7280">
        <v>45.3942724749174</v>
      </c>
      <c r="AL7280">
        <v>94.037406777661502</v>
      </c>
      <c r="AM7280">
        <v>101.794445951687</v>
      </c>
      <c r="AN7280">
        <v>1.00000000139076</v>
      </c>
    </row>
    <row r="7281" spans="1:40" x14ac:dyDescent="0.25">
      <c r="A7281" t="str">
        <f>"20190305135107121"</f>
        <v>20190305135107121</v>
      </c>
      <c r="B7281" t="str">
        <f>"1551765067117263"</f>
        <v>1551765067117263</v>
      </c>
      <c r="C7281" t="s">
        <v>40</v>
      </c>
      <c r="D7281">
        <v>3.7949899999999999</v>
      </c>
      <c r="E7281">
        <v>0.58359850000000002</v>
      </c>
      <c r="F7281" t="s">
        <v>116</v>
      </c>
      <c r="G7281">
        <v>-214.87790000000001</v>
      </c>
      <c r="H7281" s="1">
        <v>-2.4979580000000002E-6</v>
      </c>
      <c r="I7281">
        <v>-65.898780000000002</v>
      </c>
      <c r="J7281">
        <v>-262.27980000000002</v>
      </c>
      <c r="K7281">
        <v>1.1098140000000001</v>
      </c>
      <c r="L7281">
        <v>-62.6691</v>
      </c>
      <c r="M7281">
        <v>0.99839650000000002</v>
      </c>
      <c r="N7281">
        <v>-4.3314410000000001E-3</v>
      </c>
      <c r="O7281">
        <v>-5.6443439999999998E-2</v>
      </c>
      <c r="P7281">
        <v>0.98617829999999995</v>
      </c>
      <c r="Q7281">
        <v>-7.3922619999999994E-2</v>
      </c>
      <c r="R7281">
        <v>0.1482832</v>
      </c>
      <c r="S7281">
        <v>3.0677490000000001</v>
      </c>
      <c r="T7281">
        <v>-7.1607110000000002E-2</v>
      </c>
      <c r="U7281">
        <v>-0.2088623</v>
      </c>
      <c r="V7281">
        <v>-0.20346890000000001</v>
      </c>
      <c r="W7281">
        <v>-7.0395609999999997E-2</v>
      </c>
      <c r="X7281">
        <v>0.97654739999999995</v>
      </c>
      <c r="Y7281">
        <v>1.151054E-2</v>
      </c>
      <c r="Z7281">
        <v>9.1112539999999996E-4</v>
      </c>
      <c r="AA7281">
        <v>0.99993339999999997</v>
      </c>
      <c r="AB7281">
        <v>28</v>
      </c>
      <c r="AC7281">
        <v>47.401899999999998</v>
      </c>
      <c r="AD7281">
        <v>-1.1098164979580001</v>
      </c>
      <c r="AE7281">
        <v>-3.2296800000000001</v>
      </c>
      <c r="AF7281">
        <v>0.54868062860329003</v>
      </c>
      <c r="AG7281">
        <v>-1.1098164979580001</v>
      </c>
      <c r="AH7281">
        <v>47.482718281992</v>
      </c>
      <c r="AI7281">
        <v>91.338844647704505</v>
      </c>
      <c r="AJ7281">
        <v>89.337955232155494</v>
      </c>
      <c r="AK7281">
        <v>47.498855549774703</v>
      </c>
      <c r="AL7281">
        <v>94.036710138343096</v>
      </c>
      <c r="AM7281">
        <v>101.76949930317301</v>
      </c>
      <c r="AN7281">
        <v>0.99999997981062005</v>
      </c>
    </row>
    <row r="7282" spans="1:40" x14ac:dyDescent="0.25">
      <c r="A7282" t="str">
        <f>"20190305135107132"</f>
        <v>20190305135107132</v>
      </c>
      <c r="B7282" t="str">
        <f>"1551765067127023"</f>
        <v>1551765067127023</v>
      </c>
      <c r="C7282" t="s">
        <v>40</v>
      </c>
      <c r="D7282">
        <v>3.8033030000000001</v>
      </c>
      <c r="E7282">
        <v>0.58385279999999995</v>
      </c>
      <c r="F7282" t="s">
        <v>116</v>
      </c>
      <c r="G7282">
        <v>-212.24879999999999</v>
      </c>
      <c r="H7282" s="1">
        <v>-1.4579390000000001E-6</v>
      </c>
      <c r="I7282">
        <v>-66.112110000000001</v>
      </c>
      <c r="J7282">
        <v>-262.13229999999999</v>
      </c>
      <c r="K7282">
        <v>1.1098140000000001</v>
      </c>
      <c r="L7282">
        <v>-62.676540000000003</v>
      </c>
      <c r="M7282">
        <v>0.99845099999999998</v>
      </c>
      <c r="N7282">
        <v>-4.3551880000000003E-3</v>
      </c>
      <c r="O7282">
        <v>-5.5468080000000003E-2</v>
      </c>
      <c r="P7282">
        <v>0.98615620000000004</v>
      </c>
      <c r="Q7282">
        <v>-7.3737670000000005E-2</v>
      </c>
      <c r="R7282">
        <v>0.14852109999999999</v>
      </c>
      <c r="S7282">
        <v>3.0686650000000002</v>
      </c>
      <c r="T7282">
        <v>-6.8070649999999996E-2</v>
      </c>
      <c r="U7282">
        <v>-0.2111816</v>
      </c>
      <c r="V7282">
        <v>-0.2027524</v>
      </c>
      <c r="W7282">
        <v>-7.0183200000000001E-2</v>
      </c>
      <c r="X7282">
        <v>0.97671169999999996</v>
      </c>
      <c r="Y7282">
        <v>1.321782E-2</v>
      </c>
      <c r="Z7282">
        <v>8.1105179999999997E-4</v>
      </c>
      <c r="AA7282">
        <v>0.99991229999999998</v>
      </c>
      <c r="AB7282">
        <v>28</v>
      </c>
      <c r="AC7282">
        <v>49.883499999999998</v>
      </c>
      <c r="AD7282">
        <v>-1.1098154579389901</v>
      </c>
      <c r="AE7282">
        <v>-3.43556999999999</v>
      </c>
      <c r="AF7282">
        <v>0.66298598370758399</v>
      </c>
      <c r="AG7282">
        <v>-1.1098154579389901</v>
      </c>
      <c r="AH7282">
        <v>49.972648534132297</v>
      </c>
      <c r="AI7282">
        <v>91.272129854081399</v>
      </c>
      <c r="AJ7282">
        <v>89.239902798786602</v>
      </c>
      <c r="AK7282">
        <v>49.989367292267197</v>
      </c>
      <c r="AL7282">
        <v>94.024509760477898</v>
      </c>
      <c r="AM7282">
        <v>101.727285702324</v>
      </c>
      <c r="AN7282">
        <v>0.99999998109244403</v>
      </c>
    </row>
    <row r="7283" spans="1:40" x14ac:dyDescent="0.25">
      <c r="A7283" t="str">
        <f>"20190305135107144"</f>
        <v>20190305135107144</v>
      </c>
      <c r="B7283" t="str">
        <f>"1551765067136783"</f>
        <v>1551765067136783</v>
      </c>
      <c r="C7283" t="s">
        <v>40</v>
      </c>
      <c r="D7283">
        <v>3.7863980000000002</v>
      </c>
      <c r="E7283">
        <v>0.58406389999999997</v>
      </c>
      <c r="F7283" t="s">
        <v>116</v>
      </c>
      <c r="G7283">
        <v>-210.35059999999999</v>
      </c>
      <c r="H7283" s="1">
        <v>-6.8286100000000004E-7</v>
      </c>
      <c r="I7283">
        <v>-66.259509999999906</v>
      </c>
      <c r="J7283">
        <v>-261.97750000000002</v>
      </c>
      <c r="K7283">
        <v>1.109818</v>
      </c>
      <c r="L7283">
        <v>-62.684139999999999</v>
      </c>
      <c r="M7283">
        <v>0.99850689999999998</v>
      </c>
      <c r="N7283">
        <v>-4.3801710000000004E-3</v>
      </c>
      <c r="O7283">
        <v>-5.4450640000000002E-2</v>
      </c>
      <c r="P7283">
        <v>0.98607719999999999</v>
      </c>
      <c r="Q7283">
        <v>-7.3575849999999998E-2</v>
      </c>
      <c r="R7283">
        <v>0.14912619999999999</v>
      </c>
      <c r="S7283">
        <v>3.0691830000000002</v>
      </c>
      <c r="T7283">
        <v>-6.5780519999999995E-2</v>
      </c>
      <c r="U7283">
        <v>-0.2123718</v>
      </c>
      <c r="V7283">
        <v>-0.20235829999999999</v>
      </c>
      <c r="W7283">
        <v>-6.9995459999999995E-2</v>
      </c>
      <c r="X7283">
        <v>0.97680690000000003</v>
      </c>
      <c r="Y7283">
        <v>1.461E-2</v>
      </c>
      <c r="Z7283">
        <v>7.3771199999999996E-4</v>
      </c>
      <c r="AA7283">
        <v>0.99989300000000003</v>
      </c>
      <c r="AB7283">
        <v>29</v>
      </c>
      <c r="AC7283">
        <v>51.626899999999999</v>
      </c>
      <c r="AD7283">
        <v>-1.1098186828609999</v>
      </c>
      <c r="AE7283">
        <v>-3.5753699999999902</v>
      </c>
      <c r="AF7283">
        <v>0.75857224008714597</v>
      </c>
      <c r="AG7283">
        <v>-1.1098186828609999</v>
      </c>
      <c r="AH7283">
        <v>51.721204024644202</v>
      </c>
      <c r="AI7283">
        <v>91.229115528624703</v>
      </c>
      <c r="AJ7283">
        <v>89.159728149763197</v>
      </c>
      <c r="AK7283">
        <v>51.738670983231998</v>
      </c>
      <c r="AL7283">
        <v>94.013726524178395</v>
      </c>
      <c r="AM7283">
        <v>101.704011028027</v>
      </c>
      <c r="AN7283">
        <v>0.99999998294355497</v>
      </c>
    </row>
    <row r="7284" spans="1:40" x14ac:dyDescent="0.25">
      <c r="A7284" t="str">
        <f>"20190305135107155"</f>
        <v>20190305135107155</v>
      </c>
      <c r="B7284" t="str">
        <f>"1551765067147519"</f>
        <v>1551765067147519</v>
      </c>
      <c r="C7284" t="s">
        <v>40</v>
      </c>
      <c r="D7284">
        <v>3.79156</v>
      </c>
      <c r="E7284">
        <v>0.58431469999999996</v>
      </c>
      <c r="F7284" t="s">
        <v>85</v>
      </c>
      <c r="G7284">
        <v>-208.68129999999999</v>
      </c>
      <c r="H7284" s="1">
        <v>-2.0778810000000002E-6</v>
      </c>
      <c r="I7284">
        <v>-66.366600000000005</v>
      </c>
      <c r="J7284">
        <v>-261.8374</v>
      </c>
      <c r="K7284">
        <v>1.1098220000000001</v>
      </c>
      <c r="L7284">
        <v>-62.690950000000001</v>
      </c>
      <c r="M7284">
        <v>0.99855649999999996</v>
      </c>
      <c r="N7284">
        <v>-4.4028380000000001E-3</v>
      </c>
      <c r="O7284">
        <v>-5.3531429999999998E-2</v>
      </c>
      <c r="P7284">
        <v>0.98605640000000006</v>
      </c>
      <c r="Q7284">
        <v>-7.3357749999999999E-2</v>
      </c>
      <c r="R7284">
        <v>0.1493707</v>
      </c>
      <c r="S7284">
        <v>3.0696720000000002</v>
      </c>
      <c r="T7284">
        <v>-6.3921690000000003E-2</v>
      </c>
      <c r="U7284">
        <v>-0.21209720000000001</v>
      </c>
      <c r="V7284">
        <v>-0.20170260000000001</v>
      </c>
      <c r="W7284">
        <v>-6.9753190000000007E-2</v>
      </c>
      <c r="X7284">
        <v>0.97695980000000004</v>
      </c>
      <c r="Y7284">
        <v>1.5429750000000001E-2</v>
      </c>
      <c r="Z7284">
        <v>6.8231839999999895E-4</v>
      </c>
      <c r="AA7284">
        <v>0.99988069999999896</v>
      </c>
      <c r="AB7284">
        <v>29</v>
      </c>
      <c r="AC7284">
        <v>53.156100000000002</v>
      </c>
      <c r="AD7284">
        <v>-1.10982407788099</v>
      </c>
      <c r="AE7284">
        <v>-3.6756500000000001</v>
      </c>
      <c r="AF7284">
        <v>0.82447242378390295</v>
      </c>
      <c r="AG7284">
        <v>-1.10982407788099</v>
      </c>
      <c r="AH7284">
        <v>53.253542591625703</v>
      </c>
      <c r="AI7284">
        <v>91.193749991245397</v>
      </c>
      <c r="AJ7284">
        <v>89.113016445791501</v>
      </c>
      <c r="AK7284">
        <v>53.271486395815103</v>
      </c>
      <c r="AL7284">
        <v>93.999811601881206</v>
      </c>
      <c r="AM7284">
        <v>101.665352002654</v>
      </c>
      <c r="AN7284">
        <v>0.999999948588986</v>
      </c>
    </row>
    <row r="7285" spans="1:40" x14ac:dyDescent="0.25">
      <c r="A7285" t="str">
        <f>"20190305135107166"</f>
        <v>20190305135107166</v>
      </c>
      <c r="B7285" t="str">
        <f>"1551765067157280"</f>
        <v>1551765067157280</v>
      </c>
      <c r="C7285" t="s">
        <v>40</v>
      </c>
      <c r="D7285">
        <v>3.7434500000000002</v>
      </c>
      <c r="E7285">
        <v>0.58446709999999902</v>
      </c>
      <c r="F7285" t="s">
        <v>85</v>
      </c>
      <c r="G7285">
        <v>-207.28139999999999</v>
      </c>
      <c r="H7285" s="1">
        <v>-2.6431639999999998E-6</v>
      </c>
      <c r="I7285">
        <v>-66.481610000000003</v>
      </c>
      <c r="J7285">
        <v>-261.6979</v>
      </c>
      <c r="K7285">
        <v>1.109828</v>
      </c>
      <c r="L7285">
        <v>-62.697600000000001</v>
      </c>
      <c r="M7285">
        <v>0.99860499999999996</v>
      </c>
      <c r="N7285">
        <v>-4.42545E-3</v>
      </c>
      <c r="O7285">
        <v>-5.261805E-2</v>
      </c>
      <c r="P7285">
        <v>0.98598850000000005</v>
      </c>
      <c r="Q7285">
        <v>-7.3097690000000007E-2</v>
      </c>
      <c r="R7285">
        <v>0.14994549999999901</v>
      </c>
      <c r="S7285">
        <v>3.0700989999999999</v>
      </c>
      <c r="T7285">
        <v>-6.2454580000000003E-2</v>
      </c>
      <c r="U7285">
        <v>-0.2133179</v>
      </c>
      <c r="V7285">
        <v>-0.20138</v>
      </c>
      <c r="W7285">
        <v>-6.947101E-2</v>
      </c>
      <c r="X7285">
        <v>0.97704650000000004</v>
      </c>
      <c r="Y7285">
        <v>1.6729689999999998E-2</v>
      </c>
      <c r="Z7285">
        <v>6.28387E-4</v>
      </c>
      <c r="AA7285">
        <v>0.99985990000000002</v>
      </c>
      <c r="AB7285">
        <v>29</v>
      </c>
      <c r="AC7285">
        <v>54.416499999999999</v>
      </c>
      <c r="AD7285">
        <v>-1.1098306431639999</v>
      </c>
      <c r="AE7285">
        <v>-3.7840099999999999</v>
      </c>
      <c r="AF7285">
        <v>0.91507126384613302</v>
      </c>
      <c r="AG7285">
        <v>-1.1098306431639999</v>
      </c>
      <c r="AH7285">
        <v>54.5176570406759</v>
      </c>
      <c r="AI7285">
        <v>91.166060346448901</v>
      </c>
      <c r="AJ7285">
        <v>89.038388636858201</v>
      </c>
      <c r="AK7285">
        <v>54.536629971783</v>
      </c>
      <c r="AL7285">
        <v>93.983604379069902</v>
      </c>
      <c r="AM7285">
        <v>101.64619947187499</v>
      </c>
      <c r="AN7285">
        <v>0.99999999439633502</v>
      </c>
    </row>
    <row r="7286" spans="1:40" x14ac:dyDescent="0.25">
      <c r="A7286" t="str">
        <f>"20190305135107176"</f>
        <v>20190305135107176</v>
      </c>
      <c r="B7286" t="str">
        <f>"1551765067167040"</f>
        <v>1551765067167040</v>
      </c>
      <c r="C7286" t="s">
        <v>40</v>
      </c>
      <c r="D7286">
        <v>3.3868200000000002</v>
      </c>
      <c r="E7286">
        <v>0.58469780000000005</v>
      </c>
      <c r="F7286" t="s">
        <v>85</v>
      </c>
      <c r="G7286">
        <v>-205.92410000000001</v>
      </c>
      <c r="H7286" s="1">
        <v>-3.4223299999999998E-6</v>
      </c>
      <c r="I7286">
        <v>-66.560329999999993</v>
      </c>
      <c r="J7286">
        <v>-261.56099999999998</v>
      </c>
      <c r="K7286">
        <v>1.1098349999999999</v>
      </c>
      <c r="L7286">
        <v>-62.703949999999999</v>
      </c>
      <c r="M7286">
        <v>0.99865150000000003</v>
      </c>
      <c r="N7286">
        <v>-4.4477129999999998E-3</v>
      </c>
      <c r="O7286">
        <v>-5.172351E-2</v>
      </c>
      <c r="P7286">
        <v>0.98594000000000004</v>
      </c>
      <c r="Q7286">
        <v>-7.2954099999999994E-2</v>
      </c>
      <c r="R7286">
        <v>0.1503332</v>
      </c>
      <c r="S7286">
        <v>3.0704039999999999</v>
      </c>
      <c r="T7286">
        <v>-6.109738E-2</v>
      </c>
      <c r="U7286">
        <v>-0.21264649999999999</v>
      </c>
      <c r="V7286">
        <v>-0.20088990000000001</v>
      </c>
      <c r="W7286">
        <v>-6.9305389999999994E-2</v>
      </c>
      <c r="X7286">
        <v>0.97715909999999995</v>
      </c>
      <c r="Y7286">
        <v>1.7400369999999998E-2</v>
      </c>
      <c r="Z7286">
        <v>5.8551419999999896E-4</v>
      </c>
      <c r="AA7286">
        <v>0.99984839999999997</v>
      </c>
      <c r="AB7286">
        <v>29</v>
      </c>
      <c r="AC7286">
        <v>55.636899999999898</v>
      </c>
      <c r="AD7286">
        <v>-1.10983842233</v>
      </c>
      <c r="AE7286">
        <v>-3.8563800000000001</v>
      </c>
      <c r="AF7286">
        <v>0.97306823443962598</v>
      </c>
      <c r="AG7286">
        <v>-1.10983842233</v>
      </c>
      <c r="AH7286">
        <v>55.739819038742297</v>
      </c>
      <c r="AI7286">
        <v>91.140494780024298</v>
      </c>
      <c r="AJ7286">
        <v>88.999870446127105</v>
      </c>
      <c r="AK7286">
        <v>55.759358224286402</v>
      </c>
      <c r="AL7286">
        <v>93.9740923101824</v>
      </c>
      <c r="AM7286">
        <v>101.617325130751</v>
      </c>
      <c r="AN7286">
        <v>0.99999994785893398</v>
      </c>
    </row>
    <row r="7287" spans="1:40" x14ac:dyDescent="0.25">
      <c r="A7287" t="str">
        <f>"20190305135107187"</f>
        <v>20190305135107187</v>
      </c>
      <c r="B7287" t="str">
        <f>"1551765067176800"</f>
        <v>1551765067176800</v>
      </c>
      <c r="C7287" t="s">
        <v>40</v>
      </c>
      <c r="D7287">
        <v>3.6653319999999998</v>
      </c>
      <c r="E7287">
        <v>0.58493549999999905</v>
      </c>
      <c r="F7287" t="s">
        <v>85</v>
      </c>
      <c r="G7287">
        <v>-204.10980000000001</v>
      </c>
      <c r="H7287" s="1">
        <v>-4.3494890000000004E-6</v>
      </c>
      <c r="I7287">
        <v>-66.693569999999994</v>
      </c>
      <c r="J7287">
        <v>-261.41980000000001</v>
      </c>
      <c r="K7287">
        <v>1.109842</v>
      </c>
      <c r="L7287">
        <v>-62.710389999999997</v>
      </c>
      <c r="M7287">
        <v>0.9986988</v>
      </c>
      <c r="N7287">
        <v>-4.4707319999999998E-3</v>
      </c>
      <c r="O7287">
        <v>-5.0801079999999998E-2</v>
      </c>
      <c r="P7287">
        <v>0.98591870000000004</v>
      </c>
      <c r="Q7287">
        <v>-7.2382569999999993E-2</v>
      </c>
      <c r="R7287">
        <v>0.1507483</v>
      </c>
      <c r="S7287">
        <v>3.0709230000000001</v>
      </c>
      <c r="T7287">
        <v>-5.9323910000000001E-2</v>
      </c>
      <c r="U7287">
        <v>-0.2132568</v>
      </c>
      <c r="V7287">
        <v>-0.20040189999999999</v>
      </c>
      <c r="W7287">
        <v>-6.8711330000000001E-2</v>
      </c>
      <c r="X7287">
        <v>0.97730130000000004</v>
      </c>
      <c r="Y7287">
        <v>1.8509399999999999E-2</v>
      </c>
      <c r="Z7287">
        <v>5.3236949999999896E-4</v>
      </c>
      <c r="AA7287">
        <v>0.99982850000000001</v>
      </c>
      <c r="AB7287">
        <v>29</v>
      </c>
      <c r="AC7287">
        <v>57.31</v>
      </c>
      <c r="AD7287">
        <v>-1.1098463494890001</v>
      </c>
      <c r="AE7287">
        <v>-3.9831799999999902</v>
      </c>
      <c r="AF7287">
        <v>1.06619990088678</v>
      </c>
      <c r="AG7287">
        <v>-1.1098463494890001</v>
      </c>
      <c r="AH7287">
        <v>57.416921733341702</v>
      </c>
      <c r="AI7287">
        <v>91.107175989187695</v>
      </c>
      <c r="AJ7287">
        <v>88.936171908491104</v>
      </c>
      <c r="AK7287">
        <v>57.437543840947797</v>
      </c>
      <c r="AL7287">
        <v>93.939973636938902</v>
      </c>
      <c r="AM7287">
        <v>101.58822811748</v>
      </c>
      <c r="AN7287">
        <v>0.99999999968783404</v>
      </c>
    </row>
    <row r="7288" spans="1:40" x14ac:dyDescent="0.25">
      <c r="A7288" t="str">
        <f>"20190305135107198"</f>
        <v>20190305135107198</v>
      </c>
      <c r="B7288" t="str">
        <f>"1551765067187147"</f>
        <v>1551765067187147</v>
      </c>
      <c r="C7288" t="s">
        <v>40</v>
      </c>
      <c r="D7288">
        <v>3.7701739999999999</v>
      </c>
      <c r="E7288">
        <v>0.58513059999999995</v>
      </c>
      <c r="F7288" t="s">
        <v>85</v>
      </c>
      <c r="G7288">
        <v>-200.56950000000001</v>
      </c>
      <c r="H7288" s="1">
        <v>-5.7934469999999997E-6</v>
      </c>
      <c r="I7288">
        <v>-66.946879999999993</v>
      </c>
      <c r="J7288">
        <v>-261.27850000000001</v>
      </c>
      <c r="K7288">
        <v>1.1098509999999999</v>
      </c>
      <c r="L7288">
        <v>-62.716709999999999</v>
      </c>
      <c r="M7288">
        <v>0.9987452</v>
      </c>
      <c r="N7288">
        <v>-4.4935979999999997E-3</v>
      </c>
      <c r="O7288">
        <v>-4.9879119999999999E-2</v>
      </c>
      <c r="P7288">
        <v>0.98577400000000004</v>
      </c>
      <c r="Q7288">
        <v>-7.2330199999999997E-2</v>
      </c>
      <c r="R7288">
        <v>0.15171680000000001</v>
      </c>
      <c r="S7288">
        <v>3.0714109999999999</v>
      </c>
      <c r="T7288">
        <v>-5.6019430000000002E-2</v>
      </c>
      <c r="U7288">
        <v>-0.21383669999999999</v>
      </c>
      <c r="V7288">
        <v>-0.20045969999999999</v>
      </c>
      <c r="W7288">
        <v>-6.8639350000000002E-2</v>
      </c>
      <c r="X7288">
        <v>0.97729449999999995</v>
      </c>
      <c r="Y7288">
        <v>1.9608529999999999E-2</v>
      </c>
      <c r="Z7288">
        <v>4.6116979999999999E-4</v>
      </c>
      <c r="AA7288">
        <v>0.99980769999999997</v>
      </c>
      <c r="AB7288">
        <v>29</v>
      </c>
      <c r="AC7288">
        <v>60.708999999999897</v>
      </c>
      <c r="AD7288">
        <v>-1.1098567934469901</v>
      </c>
      <c r="AE7288">
        <v>-4.2301700000000002</v>
      </c>
      <c r="AF7288">
        <v>1.1963646007586399</v>
      </c>
      <c r="AG7288">
        <v>-1.1098567934469901</v>
      </c>
      <c r="AH7288">
        <v>60.824200737042197</v>
      </c>
      <c r="AI7288">
        <v>91.045155713314301</v>
      </c>
      <c r="AJ7288">
        <v>88.873181992221205</v>
      </c>
      <c r="AK7288">
        <v>60.846088334911997</v>
      </c>
      <c r="AL7288">
        <v>93.935839742496398</v>
      </c>
      <c r="AM7288">
        <v>101.59155842795801</v>
      </c>
      <c r="AN7288">
        <v>0.99999999571138098</v>
      </c>
    </row>
    <row r="7289" spans="1:40" x14ac:dyDescent="0.25">
      <c r="A7289" t="str">
        <f>"20190305135107210"</f>
        <v>20190305135107210</v>
      </c>
      <c r="B7289" t="str">
        <f>"1551765067206659"</f>
        <v>1551765067206659</v>
      </c>
      <c r="C7289" t="s">
        <v>40</v>
      </c>
      <c r="D7289">
        <v>3.7492269999999999</v>
      </c>
      <c r="E7289">
        <v>0.58557090000000001</v>
      </c>
      <c r="F7289" t="s">
        <v>85</v>
      </c>
      <c r="G7289">
        <v>-199.33580000000001</v>
      </c>
      <c r="H7289" s="1">
        <v>-6.3614940000000003E-6</v>
      </c>
      <c r="I7289">
        <v>-66.998379999999997</v>
      </c>
      <c r="J7289">
        <v>-261.12950000000001</v>
      </c>
      <c r="K7289">
        <v>1.109856</v>
      </c>
      <c r="L7289">
        <v>-62.7232699999999</v>
      </c>
      <c r="M7289">
        <v>0.99879309999999999</v>
      </c>
      <c r="N7289">
        <v>-4.5176799999999996E-3</v>
      </c>
      <c r="O7289">
        <v>-4.890626E-2</v>
      </c>
      <c r="P7289">
        <v>0.98570780000000002</v>
      </c>
      <c r="Q7289">
        <v>-7.2025690000000003E-2</v>
      </c>
      <c r="R7289">
        <v>0.1522907</v>
      </c>
      <c r="S7289">
        <v>3.07193</v>
      </c>
      <c r="T7289">
        <v>-5.5041189999999997E-2</v>
      </c>
      <c r="U7289">
        <v>-0.21234130000000001</v>
      </c>
      <c r="V7289">
        <v>-0.20007839999999999</v>
      </c>
      <c r="W7289">
        <v>-6.8312280000000003E-2</v>
      </c>
      <c r="X7289">
        <v>0.97739549999999997</v>
      </c>
      <c r="Y7289">
        <v>2.0086039999999999E-2</v>
      </c>
      <c r="Z7289">
        <v>4.2855729999999998E-4</v>
      </c>
      <c r="AA7289">
        <v>0.99979819999999997</v>
      </c>
      <c r="AB7289">
        <v>29</v>
      </c>
      <c r="AC7289">
        <v>61.793700000000001</v>
      </c>
      <c r="AD7289">
        <v>-1.109862361494</v>
      </c>
      <c r="AE7289">
        <v>-4.2751100000000104</v>
      </c>
      <c r="AF7289">
        <v>1.24746391357593</v>
      </c>
      <c r="AG7289">
        <v>-1.109862361494</v>
      </c>
      <c r="AH7289">
        <v>61.9089602236063</v>
      </c>
      <c r="AI7289">
        <v>91.026841936120107</v>
      </c>
      <c r="AJ7289">
        <v>88.845647769584801</v>
      </c>
      <c r="AK7289">
        <v>61.931472747264799</v>
      </c>
      <c r="AL7289">
        <v>93.917056106796394</v>
      </c>
      <c r="AM7289">
        <v>101.56894150482</v>
      </c>
      <c r="AN7289">
        <v>0.99999994858280195</v>
      </c>
    </row>
    <row r="7290" spans="1:40" x14ac:dyDescent="0.25">
      <c r="A7290" t="str">
        <f>"20190305135107221"</f>
        <v>20190305135107221</v>
      </c>
      <c r="B7290" t="str">
        <f>"1551765067217394"</f>
        <v>1551765067217394</v>
      </c>
      <c r="C7290" t="s">
        <v>40</v>
      </c>
      <c r="D7290">
        <v>3.795264</v>
      </c>
      <c r="E7290">
        <v>0.58570169999999999</v>
      </c>
      <c r="F7290" t="s">
        <v>85</v>
      </c>
      <c r="G7290">
        <v>-196.1361</v>
      </c>
      <c r="H7290" s="1">
        <v>-7.6997910000000008E-6</v>
      </c>
      <c r="I7290">
        <v>-67.249510000000001</v>
      </c>
      <c r="J7290">
        <v>-260.98480000000001</v>
      </c>
      <c r="K7290">
        <v>1.109866</v>
      </c>
      <c r="L7290">
        <v>-62.729430000000001</v>
      </c>
      <c r="M7290">
        <v>0.99883880000000003</v>
      </c>
      <c r="N7290">
        <v>-4.541125E-3</v>
      </c>
      <c r="O7290">
        <v>-4.796164E-2</v>
      </c>
      <c r="P7290">
        <v>0.98557340000000004</v>
      </c>
      <c r="Q7290">
        <v>-7.1956199999999998E-2</v>
      </c>
      <c r="R7290">
        <v>0.15319199999999999</v>
      </c>
      <c r="S7290">
        <v>3.0727229999999999</v>
      </c>
      <c r="T7290">
        <v>-5.2471520000000001E-2</v>
      </c>
      <c r="U7290">
        <v>-0.21398929999999999</v>
      </c>
      <c r="V7290">
        <v>-0.20004739999999999</v>
      </c>
      <c r="W7290">
        <v>-6.8222469999999993E-2</v>
      </c>
      <c r="X7290">
        <v>0.97740819999999995</v>
      </c>
      <c r="Y7290">
        <v>2.1546869999999999E-2</v>
      </c>
      <c r="Z7290">
        <v>3.6698889999999999E-4</v>
      </c>
      <c r="AA7290">
        <v>0.99976779999999998</v>
      </c>
      <c r="AB7290">
        <v>29</v>
      </c>
      <c r="AC7290">
        <v>64.848699999999994</v>
      </c>
      <c r="AD7290">
        <v>-1.1098736997909999</v>
      </c>
      <c r="AE7290">
        <v>-4.5200799999999903</v>
      </c>
      <c r="AF7290">
        <v>1.4041865183798199</v>
      </c>
      <c r="AG7290">
        <v>-1.1098736997909999</v>
      </c>
      <c r="AH7290">
        <v>64.971922494794896</v>
      </c>
      <c r="AI7290">
        <v>90.978423451644304</v>
      </c>
      <c r="AJ7290">
        <v>88.761904600806801</v>
      </c>
      <c r="AK7290">
        <v>64.996571233239095</v>
      </c>
      <c r="AL7290">
        <v>93.911898026532498</v>
      </c>
      <c r="AM7290">
        <v>101.567051086525</v>
      </c>
      <c r="AN7290">
        <v>1.00000002854345</v>
      </c>
    </row>
    <row r="7291" spans="1:40" x14ac:dyDescent="0.25">
      <c r="A7291" t="str">
        <f>"20190305135107233"</f>
        <v>20190305135107233</v>
      </c>
      <c r="B7291" t="str">
        <f>"1551765067227154"</f>
        <v>1551765067227154</v>
      </c>
      <c r="C7291" t="s">
        <v>40</v>
      </c>
      <c r="D7291">
        <v>3.791344</v>
      </c>
      <c r="E7291">
        <v>0.58576799999999996</v>
      </c>
      <c r="F7291" t="s">
        <v>85</v>
      </c>
      <c r="G7291">
        <v>-195.3064</v>
      </c>
      <c r="H7291" s="1">
        <v>-8.0636399999999996E-6</v>
      </c>
      <c r="I7291">
        <v>-67.263050000000007</v>
      </c>
      <c r="J7291">
        <v>-260.83429999999998</v>
      </c>
      <c r="K7291">
        <v>1.1098730000000001</v>
      </c>
      <c r="L7291">
        <v>-62.735779999999998</v>
      </c>
      <c r="M7291">
        <v>0.99888540000000003</v>
      </c>
      <c r="N7291">
        <v>-4.5655289999999996E-3</v>
      </c>
      <c r="O7291">
        <v>-4.6979609999999998E-2</v>
      </c>
      <c r="P7291">
        <v>0.98540989999999995</v>
      </c>
      <c r="Q7291">
        <v>-7.1815450000000003E-2</v>
      </c>
      <c r="R7291">
        <v>0.1543051</v>
      </c>
      <c r="S7291">
        <v>3.0730900000000001</v>
      </c>
      <c r="T7291">
        <v>-5.1931020000000001E-2</v>
      </c>
      <c r="U7291">
        <v>-0.2121277</v>
      </c>
      <c r="V7291">
        <v>-0.20019039999999999</v>
      </c>
      <c r="W7291">
        <v>-6.8061399999999994E-2</v>
      </c>
      <c r="X7291">
        <v>0.97739010000000004</v>
      </c>
      <c r="Y7291">
        <v>2.191862E-2</v>
      </c>
      <c r="Z7291">
        <v>3.4292019999999999E-4</v>
      </c>
      <c r="AA7291">
        <v>0.99975970000000003</v>
      </c>
      <c r="AB7291">
        <v>29</v>
      </c>
      <c r="AC7291">
        <v>65.527899999999903</v>
      </c>
      <c r="AD7291">
        <v>-1.1098810636399901</v>
      </c>
      <c r="AE7291">
        <v>-4.5272699999999997</v>
      </c>
      <c r="AF7291">
        <v>1.4433516855711901</v>
      </c>
      <c r="AG7291">
        <v>-1.1098810636399901</v>
      </c>
      <c r="AH7291">
        <v>65.649493301573699</v>
      </c>
      <c r="AI7291">
        <v>90.968325584713895</v>
      </c>
      <c r="AJ7291">
        <v>88.740513673258107</v>
      </c>
      <c r="AK7291">
        <v>65.674736929941602</v>
      </c>
      <c r="AL7291">
        <v>93.902648088567204</v>
      </c>
      <c r="AM7291">
        <v>101.575305067481</v>
      </c>
      <c r="AN7291">
        <v>0.99999997900006399</v>
      </c>
    </row>
    <row r="7292" spans="1:40" x14ac:dyDescent="0.25">
      <c r="A7292" t="str">
        <f>"20190305135107243"</f>
        <v>20190305135107243</v>
      </c>
      <c r="B7292" t="str">
        <f>"1551765067236915"</f>
        <v>1551765067236915</v>
      </c>
      <c r="C7292" t="s">
        <v>40</v>
      </c>
      <c r="D7292">
        <v>3.6664780000000001</v>
      </c>
      <c r="E7292">
        <v>0.58597369999999904</v>
      </c>
      <c r="F7292" t="s">
        <v>85</v>
      </c>
      <c r="G7292">
        <v>-195.1875</v>
      </c>
      <c r="H7292" s="1">
        <v>-8.1103889999999994E-6</v>
      </c>
      <c r="I7292">
        <v>-67.203540000000004</v>
      </c>
      <c r="J7292">
        <v>-260.6891</v>
      </c>
      <c r="K7292">
        <v>1.1098840000000001</v>
      </c>
      <c r="L7292">
        <v>-62.741700000000002</v>
      </c>
      <c r="M7292">
        <v>0.99892959999999997</v>
      </c>
      <c r="N7292">
        <v>-4.5891730000000002E-3</v>
      </c>
      <c r="O7292">
        <v>-4.6031780000000001E-2</v>
      </c>
      <c r="P7292">
        <v>0.98526190000000002</v>
      </c>
      <c r="Q7292">
        <v>-7.1785450000000001E-2</v>
      </c>
      <c r="R7292">
        <v>0.1552608</v>
      </c>
      <c r="S7292">
        <v>3.0733950000000001</v>
      </c>
      <c r="T7292">
        <v>-5.1961420000000001E-2</v>
      </c>
      <c r="U7292">
        <v>-0.20916750000000001</v>
      </c>
      <c r="V7292">
        <v>-0.2002102</v>
      </c>
      <c r="W7292">
        <v>-6.8011139999999998E-2</v>
      </c>
      <c r="X7292">
        <v>0.97738959999999997</v>
      </c>
      <c r="Y7292">
        <v>2.190191E-2</v>
      </c>
      <c r="Z7292">
        <v>3.3041750000000001E-4</v>
      </c>
      <c r="AA7292">
        <v>0.99976010000000004</v>
      </c>
      <c r="AB7292">
        <v>29</v>
      </c>
      <c r="AC7292">
        <v>65.501599999999996</v>
      </c>
      <c r="AD7292">
        <v>-1.109892110389</v>
      </c>
      <c r="AE7292">
        <v>-4.4618399999999996</v>
      </c>
      <c r="AF7292">
        <v>1.44151178102301</v>
      </c>
      <c r="AG7292">
        <v>-1.109892110389</v>
      </c>
      <c r="AH7292">
        <v>65.618800638961204</v>
      </c>
      <c r="AI7292">
        <v>90.968788443147005</v>
      </c>
      <c r="AJ7292">
        <v>88.741530505657593</v>
      </c>
      <c r="AK7292">
        <v>65.644015827851902</v>
      </c>
      <c r="AL7292">
        <v>93.899761496642697</v>
      </c>
      <c r="AM7292">
        <v>101.576424792118</v>
      </c>
      <c r="AN7292">
        <v>1.0000000347681399</v>
      </c>
    </row>
    <row r="7293" spans="1:40" x14ac:dyDescent="0.25">
      <c r="A7293" t="str">
        <f>"20190305135107255"</f>
        <v>20190305135107255</v>
      </c>
      <c r="B7293" t="str">
        <f>"1551765067246674"</f>
        <v>1551765067246674</v>
      </c>
      <c r="C7293" t="s">
        <v>40</v>
      </c>
      <c r="D7293">
        <v>3.798311</v>
      </c>
      <c r="E7293">
        <v>0.58603870000000002</v>
      </c>
      <c r="F7293" t="s">
        <v>85</v>
      </c>
      <c r="G7293">
        <v>-194.07570000000001</v>
      </c>
      <c r="H7293" s="1">
        <v>-8.6000450000000004E-6</v>
      </c>
      <c r="I7293">
        <v>-67.245379999999997</v>
      </c>
      <c r="J7293">
        <v>-260.54039999999998</v>
      </c>
      <c r="K7293">
        <v>1.10989</v>
      </c>
      <c r="L7293">
        <v>-62.74765</v>
      </c>
      <c r="M7293">
        <v>0.99897369999999996</v>
      </c>
      <c r="N7293">
        <v>-4.6133429999999998E-3</v>
      </c>
      <c r="O7293">
        <v>-4.5060820000000001E-2</v>
      </c>
      <c r="P7293">
        <v>0.98500980000000005</v>
      </c>
      <c r="Q7293">
        <v>-7.2089760000000003E-2</v>
      </c>
      <c r="R7293">
        <v>0.156712299999999</v>
      </c>
      <c r="S7293">
        <v>3.0739139999999998</v>
      </c>
      <c r="T7293">
        <v>-5.1216600000000001E-2</v>
      </c>
      <c r="U7293">
        <v>-0.2078247</v>
      </c>
      <c r="V7293">
        <v>-0.20069699999999999</v>
      </c>
      <c r="W7293">
        <v>-6.8297029999999995E-2</v>
      </c>
      <c r="X7293">
        <v>0.97726979999999997</v>
      </c>
      <c r="Y7293">
        <v>2.2427269999999999E-2</v>
      </c>
      <c r="Z7293">
        <v>3.03231E-4</v>
      </c>
      <c r="AA7293">
        <v>0.99974839999999998</v>
      </c>
      <c r="AB7293">
        <v>29</v>
      </c>
      <c r="AC7293">
        <v>66.464699999999894</v>
      </c>
      <c r="AD7293">
        <v>-1.109898600045</v>
      </c>
      <c r="AE7293">
        <v>-4.4977300000000104</v>
      </c>
      <c r="AF7293">
        <v>1.4977601195949799</v>
      </c>
      <c r="AG7293">
        <v>-1.109898600045</v>
      </c>
      <c r="AH7293">
        <v>66.581378113874905</v>
      </c>
      <c r="AI7293">
        <v>90.954779526246497</v>
      </c>
      <c r="AJ7293">
        <v>88.711338436281807</v>
      </c>
      <c r="AK7293">
        <v>66.607470090231004</v>
      </c>
      <c r="AL7293">
        <v>93.916180036035698</v>
      </c>
      <c r="AM7293">
        <v>101.605193618315</v>
      </c>
      <c r="AN7293">
        <v>1.00000001605393</v>
      </c>
    </row>
    <row r="7294" spans="1:40" x14ac:dyDescent="0.25">
      <c r="A7294" t="str">
        <f>"20190305135107265"</f>
        <v>20190305135107265</v>
      </c>
      <c r="B7294" t="str">
        <f>"1551765067257410"</f>
        <v>1551765067257410</v>
      </c>
      <c r="C7294" t="s">
        <v>40</v>
      </c>
      <c r="D7294">
        <v>3.7334230000000002</v>
      </c>
      <c r="E7294">
        <v>0.58616780000000002</v>
      </c>
      <c r="F7294" t="s">
        <v>85</v>
      </c>
      <c r="G7294">
        <v>-195.69200000000001</v>
      </c>
      <c r="H7294" s="1">
        <v>-7.8761129999999996E-6</v>
      </c>
      <c r="I7294">
        <v>-67.047229999999999</v>
      </c>
      <c r="J7294">
        <v>-260.40550000000002</v>
      </c>
      <c r="K7294">
        <v>1.1098950000000001</v>
      </c>
      <c r="L7294">
        <v>-62.752929999999999</v>
      </c>
      <c r="M7294">
        <v>0.99901289999999998</v>
      </c>
      <c r="N7294">
        <v>-4.6352340000000002E-3</v>
      </c>
      <c r="O7294">
        <v>-4.4179509999999998E-2</v>
      </c>
      <c r="P7294">
        <v>0.98481730000000001</v>
      </c>
      <c r="Q7294">
        <v>-7.2173950000000001E-2</v>
      </c>
      <c r="R7294">
        <v>0.15787989999999999</v>
      </c>
      <c r="S7294">
        <v>3.0742189999999998</v>
      </c>
      <c r="T7294">
        <v>-5.2616120000000002E-2</v>
      </c>
      <c r="U7294">
        <v>-0.20382690000000001</v>
      </c>
      <c r="V7294">
        <v>-0.20099239999999999</v>
      </c>
      <c r="W7294">
        <v>-6.8363750000000001E-2</v>
      </c>
      <c r="X7294">
        <v>0.97720439999999997</v>
      </c>
      <c r="Y7294">
        <v>2.2008320000000001E-2</v>
      </c>
      <c r="Z7294">
        <v>3.1094020000000002E-4</v>
      </c>
      <c r="AA7294">
        <v>0.99975780000000003</v>
      </c>
      <c r="AB7294">
        <v>29</v>
      </c>
      <c r="AC7294">
        <v>64.713499999999996</v>
      </c>
      <c r="AD7294">
        <v>-1.1099028761130001</v>
      </c>
      <c r="AE7294">
        <v>-4.29429999999999</v>
      </c>
      <c r="AF7294">
        <v>1.4306466954021799</v>
      </c>
      <c r="AG7294">
        <v>-1.1099028761130001</v>
      </c>
      <c r="AH7294">
        <v>64.821051039768804</v>
      </c>
      <c r="AI7294">
        <v>90.980716255713901</v>
      </c>
      <c r="AJ7294">
        <v>88.735646668000101</v>
      </c>
      <c r="AK7294">
        <v>64.8463359972002</v>
      </c>
      <c r="AL7294">
        <v>93.920011855535407</v>
      </c>
      <c r="AM7294">
        <v>101.62256723785001</v>
      </c>
      <c r="AN7294">
        <v>0.99999999327559097</v>
      </c>
    </row>
    <row r="7295" spans="1:40" x14ac:dyDescent="0.25">
      <c r="A7295" t="str">
        <f>"20190305135107276"</f>
        <v>20190305135107276</v>
      </c>
      <c r="B7295" t="str">
        <f>"1551765067267170"</f>
        <v>1551765067267170</v>
      </c>
      <c r="C7295" t="s">
        <v>40</v>
      </c>
      <c r="D7295">
        <v>3.8119230000000002</v>
      </c>
      <c r="E7295">
        <v>0.58628429999999998</v>
      </c>
      <c r="F7295" t="s">
        <v>85</v>
      </c>
      <c r="G7295">
        <v>-196.2099</v>
      </c>
      <c r="H7295" s="1">
        <v>-7.6416249999999999E-6</v>
      </c>
      <c r="I7295">
        <v>-66.954480000000004</v>
      </c>
      <c r="J7295">
        <v>-260.25940000000003</v>
      </c>
      <c r="K7295">
        <v>1.1099000000000001</v>
      </c>
      <c r="L7295">
        <v>-62.758479999999999</v>
      </c>
      <c r="M7295">
        <v>0.99905460000000001</v>
      </c>
      <c r="N7295">
        <v>-4.658957E-3</v>
      </c>
      <c r="O7295">
        <v>-4.3226090000000002E-2</v>
      </c>
      <c r="P7295">
        <v>0.98459220000000003</v>
      </c>
      <c r="Q7295">
        <v>-7.2482439999999995E-2</v>
      </c>
      <c r="R7295">
        <v>0.1591379</v>
      </c>
      <c r="S7295">
        <v>3.074646</v>
      </c>
      <c r="T7295">
        <v>-5.3158759999999999E-2</v>
      </c>
      <c r="U7295">
        <v>-0.20123289999999999</v>
      </c>
      <c r="V7295">
        <v>-0.20130480000000001</v>
      </c>
      <c r="W7295">
        <v>-6.8653350000000002E-2</v>
      </c>
      <c r="X7295">
        <v>0.97711979999999998</v>
      </c>
      <c r="Y7295">
        <v>2.2113339999999999E-2</v>
      </c>
      <c r="Z7295">
        <v>3.0226139999999999E-4</v>
      </c>
      <c r="AA7295">
        <v>0.99975539999999996</v>
      </c>
      <c r="AB7295">
        <v>29</v>
      </c>
      <c r="AC7295">
        <v>64.049499999999995</v>
      </c>
      <c r="AD7295">
        <v>-1.109907641625</v>
      </c>
      <c r="AE7295">
        <v>-4.19599999999999</v>
      </c>
      <c r="AF7295">
        <v>1.42301339723812</v>
      </c>
      <c r="AG7295">
        <v>-1.109907641625</v>
      </c>
      <c r="AH7295">
        <v>64.1518293875788</v>
      </c>
      <c r="AI7295">
        <v>90.990946718056605</v>
      </c>
      <c r="AJ7295">
        <v>88.729275623946094</v>
      </c>
      <c r="AK7295">
        <v>64.177208383309093</v>
      </c>
      <c r="AL7295">
        <v>93.936643746383396</v>
      </c>
      <c r="AM7295">
        <v>101.641119746809</v>
      </c>
      <c r="AN7295">
        <v>1.0000000042606501</v>
      </c>
    </row>
    <row r="7296" spans="1:40" x14ac:dyDescent="0.25">
      <c r="A7296" t="str">
        <f>"20190305135107287"</f>
        <v>20190305135107287</v>
      </c>
      <c r="B7296" t="str">
        <f>"1551765067276931"</f>
        <v>1551765067276931</v>
      </c>
      <c r="C7296" t="s">
        <v>40</v>
      </c>
      <c r="D7296">
        <v>3.796535</v>
      </c>
      <c r="E7296">
        <v>0.58636869999999996</v>
      </c>
      <c r="F7296" t="s">
        <v>85</v>
      </c>
      <c r="G7296">
        <v>-198.035</v>
      </c>
      <c r="H7296" s="1">
        <v>-6.8780979999999998E-6</v>
      </c>
      <c r="I7296">
        <v>-66.770750000000007</v>
      </c>
      <c r="J7296">
        <v>-260.11160000000001</v>
      </c>
      <c r="K7296">
        <v>1.1099060000000001</v>
      </c>
      <c r="L7296">
        <v>-62.764040000000001</v>
      </c>
      <c r="M7296">
        <v>0.99909559999999997</v>
      </c>
      <c r="N7296">
        <v>-4.6829749999999998E-3</v>
      </c>
      <c r="O7296">
        <v>-4.226133E-2</v>
      </c>
      <c r="P7296">
        <v>0.98438230000000004</v>
      </c>
      <c r="Q7296">
        <v>-7.2591390000000006E-2</v>
      </c>
      <c r="R7296">
        <v>0.160380299999999</v>
      </c>
      <c r="S7296">
        <v>3.0749209999999998</v>
      </c>
      <c r="T7296">
        <v>-5.4847840000000002E-2</v>
      </c>
      <c r="U7296">
        <v>-0.1982727</v>
      </c>
      <c r="V7296">
        <v>-0.2015924</v>
      </c>
      <c r="W7296">
        <v>-6.8742940000000002E-2</v>
      </c>
      <c r="X7296">
        <v>0.97705419999999998</v>
      </c>
      <c r="Y7296">
        <v>2.2114479999999999E-2</v>
      </c>
      <c r="Z7296">
        <v>3.0590190000000001E-4</v>
      </c>
      <c r="AA7296">
        <v>0.99975539999999996</v>
      </c>
      <c r="AB7296">
        <v>29</v>
      </c>
      <c r="AC7296">
        <v>62.076599999999999</v>
      </c>
      <c r="AD7296">
        <v>-1.1099128780980001</v>
      </c>
      <c r="AE7296">
        <v>-4.00671</v>
      </c>
      <c r="AF7296">
        <v>1.3792227165338</v>
      </c>
      <c r="AG7296">
        <v>-1.1099128780980001</v>
      </c>
      <c r="AH7296">
        <v>62.170677173027997</v>
      </c>
      <c r="AI7296">
        <v>91.022522733186406</v>
      </c>
      <c r="AJ7296">
        <v>88.729132699632203</v>
      </c>
      <c r="AK7296">
        <v>62.1958781757411</v>
      </c>
      <c r="AL7296">
        <v>93.941789053227197</v>
      </c>
      <c r="AM7296">
        <v>101.65805754891301</v>
      </c>
      <c r="AN7296">
        <v>0.99999999863762101</v>
      </c>
    </row>
    <row r="7297" spans="1:40" x14ac:dyDescent="0.25">
      <c r="A7297" t="str">
        <f>"20190305135107299"</f>
        <v>20190305135107299</v>
      </c>
      <c r="B7297" t="str">
        <f>"1551765067297426"</f>
        <v>1551765067297426</v>
      </c>
      <c r="C7297" t="s">
        <v>40</v>
      </c>
      <c r="D7297">
        <v>4.9812880000000002</v>
      </c>
      <c r="E7297">
        <v>0.58663279999999995</v>
      </c>
      <c r="F7297" t="s">
        <v>85</v>
      </c>
      <c r="G7297">
        <v>-199.35419999999999</v>
      </c>
      <c r="H7297" s="1">
        <v>-6.3320609999999999E-6</v>
      </c>
      <c r="I7297">
        <v>-66.62039</v>
      </c>
      <c r="J7297">
        <v>-259.96260000000001</v>
      </c>
      <c r="K7297">
        <v>1.1099110000000001</v>
      </c>
      <c r="L7297">
        <v>-62.769379999999998</v>
      </c>
      <c r="M7297">
        <v>0.99913629999999998</v>
      </c>
      <c r="N7297">
        <v>-4.7070039999999999E-3</v>
      </c>
      <c r="O7297">
        <v>-4.128942E-2</v>
      </c>
      <c r="P7297">
        <v>0.9841917</v>
      </c>
      <c r="Q7297">
        <v>-7.257508E-2</v>
      </c>
      <c r="R7297">
        <v>0.16155420000000001</v>
      </c>
      <c r="S7297">
        <v>3.075256</v>
      </c>
      <c r="T7297">
        <v>-5.6178569999999997E-2</v>
      </c>
      <c r="U7297">
        <v>-0.19519039999999999</v>
      </c>
      <c r="V7297">
        <v>-0.20180670000000001</v>
      </c>
      <c r="W7297">
        <v>-6.8706799999999998E-2</v>
      </c>
      <c r="X7297">
        <v>0.97701249999999995</v>
      </c>
      <c r="Y7297">
        <v>2.2081989999999999E-2</v>
      </c>
      <c r="Z7297">
        <v>3.0529150000000002E-4</v>
      </c>
      <c r="AA7297">
        <v>0.99975610000000004</v>
      </c>
      <c r="AB7297">
        <v>29</v>
      </c>
      <c r="AC7297">
        <v>60.608400000000003</v>
      </c>
      <c r="AD7297">
        <v>-1.1099173320610001</v>
      </c>
      <c r="AE7297">
        <v>-3.8510099999999898</v>
      </c>
      <c r="AF7297">
        <v>1.3447637167853099</v>
      </c>
      <c r="AG7297">
        <v>-1.1099173320610001</v>
      </c>
      <c r="AH7297">
        <v>60.695448264625803</v>
      </c>
      <c r="AI7297">
        <v>91.047374980483795</v>
      </c>
      <c r="AJ7297">
        <v>88.730766739784002</v>
      </c>
      <c r="AK7297">
        <v>60.7204886836548</v>
      </c>
      <c r="AL7297">
        <v>93.939713483443398</v>
      </c>
      <c r="AM7297">
        <v>101.670595162868</v>
      </c>
      <c r="AN7297">
        <v>0.99999999684368901</v>
      </c>
    </row>
    <row r="7298" spans="1:40" x14ac:dyDescent="0.25">
      <c r="A7298" t="str">
        <f>"20190305135107312"</f>
        <v>20190305135107312</v>
      </c>
      <c r="B7298" t="str">
        <f>"1551765067307186"</f>
        <v>1551765067307186</v>
      </c>
      <c r="C7298" t="s">
        <v>40</v>
      </c>
      <c r="D7298">
        <v>3.882377</v>
      </c>
      <c r="E7298">
        <v>0.58660269999999903</v>
      </c>
      <c r="F7298" t="s">
        <v>85</v>
      </c>
      <c r="G7298">
        <v>-199.517</v>
      </c>
      <c r="H7298" s="1">
        <v>-6.2630199999999997E-6</v>
      </c>
      <c r="I7298">
        <v>-66.573459999999997</v>
      </c>
      <c r="J7298">
        <v>-259.81349999999998</v>
      </c>
      <c r="K7298">
        <v>1.1099139999999901</v>
      </c>
      <c r="L7298">
        <v>-62.77469</v>
      </c>
      <c r="M7298">
        <v>0.9991757</v>
      </c>
      <c r="N7298">
        <v>-4.730995E-3</v>
      </c>
      <c r="O7298">
        <v>-4.0317520000000003E-2</v>
      </c>
      <c r="P7298">
        <v>0.98395069999999996</v>
      </c>
      <c r="Q7298">
        <v>-7.2727020000000003E-2</v>
      </c>
      <c r="R7298">
        <v>0.16294810000000001</v>
      </c>
      <c r="S7298">
        <v>3.075806</v>
      </c>
      <c r="T7298">
        <v>-5.6478739999999999E-2</v>
      </c>
      <c r="U7298">
        <v>-0.193573</v>
      </c>
      <c r="V7298">
        <v>-0.2022381</v>
      </c>
      <c r="W7298">
        <v>-6.8839979999999995E-2</v>
      </c>
      <c r="X7298">
        <v>0.9769139</v>
      </c>
      <c r="Y7298">
        <v>2.251935E-2</v>
      </c>
      <c r="Z7298">
        <v>2.886411E-4</v>
      </c>
      <c r="AA7298">
        <v>0.99974640000000004</v>
      </c>
      <c r="AB7298">
        <v>30</v>
      </c>
      <c r="AC7298">
        <v>60.296499999999902</v>
      </c>
      <c r="AD7298">
        <v>-1.10992026301999</v>
      </c>
      <c r="AE7298">
        <v>-3.79876999999999</v>
      </c>
      <c r="AF7298">
        <v>1.36418820669378</v>
      </c>
      <c r="AG7298">
        <v>-1.10992026301999</v>
      </c>
      <c r="AH7298">
        <v>60.380253039341802</v>
      </c>
      <c r="AI7298">
        <v>91.052833713386903</v>
      </c>
      <c r="AJ7298">
        <v>88.705720374272602</v>
      </c>
      <c r="AK7298">
        <v>60.4058597285768</v>
      </c>
      <c r="AL7298">
        <v>93.947362311995505</v>
      </c>
      <c r="AM7298">
        <v>101.696004633127</v>
      </c>
      <c r="AN7298">
        <v>0.99999997997560996</v>
      </c>
    </row>
    <row r="7299" spans="1:40" x14ac:dyDescent="0.25">
      <c r="A7299" t="str">
        <f>"20190305135107322"</f>
        <v>20190305135107322</v>
      </c>
      <c r="B7299" t="str">
        <f>"1551765067316946"</f>
        <v>1551765067316946</v>
      </c>
      <c r="C7299" t="s">
        <v>40</v>
      </c>
      <c r="D7299">
        <v>4.2034399999999996</v>
      </c>
      <c r="E7299">
        <v>0.58660269999999903</v>
      </c>
      <c r="F7299" t="s">
        <v>85</v>
      </c>
      <c r="G7299">
        <v>-200.20410000000001</v>
      </c>
      <c r="H7299" s="1">
        <v>-5.9500450000000004E-6</v>
      </c>
      <c r="I7299">
        <v>-66.437169999999995</v>
      </c>
      <c r="J7299">
        <v>-259.65640000000002</v>
      </c>
      <c r="K7299">
        <v>1.1099209999999999</v>
      </c>
      <c r="L7299">
        <v>-62.780059999999999</v>
      </c>
      <c r="M7299">
        <v>0.99921629999999995</v>
      </c>
      <c r="N7299">
        <v>-4.7562969999999996E-3</v>
      </c>
      <c r="O7299">
        <v>-3.9296619999999997E-2</v>
      </c>
      <c r="P7299">
        <v>0.98371410000000004</v>
      </c>
      <c r="Q7299">
        <v>-7.3109090000000002E-2</v>
      </c>
      <c r="R7299">
        <v>0.16420119999999999</v>
      </c>
      <c r="S7299">
        <v>3.0760190000000001</v>
      </c>
      <c r="T7299">
        <v>-5.7275180000000002E-2</v>
      </c>
      <c r="U7299">
        <v>-0.18899540000000001</v>
      </c>
      <c r="V7299">
        <v>-0.20248089999999999</v>
      </c>
      <c r="W7299">
        <v>-6.9200940000000002E-2</v>
      </c>
      <c r="X7299">
        <v>0.97683810000000004</v>
      </c>
      <c r="Y7299">
        <v>2.205441E-2</v>
      </c>
      <c r="Z7299">
        <v>2.8615500000000001E-4</v>
      </c>
      <c r="AA7299">
        <v>0.9997568</v>
      </c>
      <c r="AB7299">
        <v>30</v>
      </c>
      <c r="AC7299">
        <v>59.452300000000001</v>
      </c>
      <c r="AD7299">
        <v>-1.109926950045</v>
      </c>
      <c r="AE7299">
        <v>-3.6571099999999901</v>
      </c>
      <c r="AF7299">
        <v>1.3175268710385</v>
      </c>
      <c r="AG7299">
        <v>-1.109926950045</v>
      </c>
      <c r="AH7299">
        <v>59.529420951350403</v>
      </c>
      <c r="AI7299">
        <v>91.067895449267297</v>
      </c>
      <c r="AJ7299">
        <v>88.732115890238504</v>
      </c>
      <c r="AK7299">
        <v>59.554343029651697</v>
      </c>
      <c r="AL7299">
        <v>93.968093238020302</v>
      </c>
      <c r="AM7299">
        <v>101.710542469115</v>
      </c>
      <c r="AN7299">
        <v>0.99999997928665096</v>
      </c>
    </row>
    <row r="7300" spans="1:40" x14ac:dyDescent="0.25">
      <c r="A7300" t="str">
        <f>"20190305135107337"</f>
        <v>20190305135107337</v>
      </c>
      <c r="B7300" t="str">
        <f>"1551765067326707"</f>
        <v>1551765067326707</v>
      </c>
      <c r="C7300" t="s">
        <v>40</v>
      </c>
      <c r="D7300">
        <v>4.0108410000000001</v>
      </c>
      <c r="E7300">
        <v>0.54124839999999996</v>
      </c>
      <c r="F7300" t="s">
        <v>85</v>
      </c>
      <c r="G7300">
        <v>-201.21809999999999</v>
      </c>
      <c r="H7300" s="1">
        <v>-5.4251900000000003E-6</v>
      </c>
      <c r="I7300">
        <v>-66.296139999999994</v>
      </c>
      <c r="J7300">
        <v>-259.45830000000001</v>
      </c>
      <c r="K7300">
        <v>1.109926</v>
      </c>
      <c r="L7300">
        <v>-62.7866199999999</v>
      </c>
      <c r="M7300">
        <v>0.99926579999999998</v>
      </c>
      <c r="N7300">
        <v>-4.7881460000000001E-3</v>
      </c>
      <c r="O7300">
        <v>-3.8011429999999999E-2</v>
      </c>
      <c r="P7300">
        <v>0.98343519999999895</v>
      </c>
      <c r="Q7300">
        <v>-7.3375640000000006E-2</v>
      </c>
      <c r="R7300">
        <v>0.165744899999999</v>
      </c>
      <c r="S7300">
        <v>3.0762330000000002</v>
      </c>
      <c r="T7300">
        <v>-5.842733E-2</v>
      </c>
      <c r="U7300">
        <v>-0.18508910000000001</v>
      </c>
      <c r="V7300">
        <v>-0.20275460000000001</v>
      </c>
      <c r="W7300">
        <v>-6.9440340000000003E-2</v>
      </c>
      <c r="X7300">
        <v>0.97676430000000003</v>
      </c>
      <c r="Y7300">
        <v>2.207104E-2</v>
      </c>
      <c r="Z7300">
        <v>2.7670499999999997E-4</v>
      </c>
      <c r="AA7300">
        <v>0.99975639999999999</v>
      </c>
      <c r="AB7300">
        <v>30</v>
      </c>
      <c r="AC7300">
        <v>58.240200000000002</v>
      </c>
      <c r="AD7300">
        <v>-1.1099314251900001</v>
      </c>
      <c r="AE7300">
        <v>-3.50952000000001</v>
      </c>
      <c r="AF7300">
        <v>1.2926970816580601</v>
      </c>
      <c r="AG7300">
        <v>-1.1099314251900001</v>
      </c>
      <c r="AH7300">
        <v>58.310410753304602</v>
      </c>
      <c r="AI7300">
        <v>91.090218544328906</v>
      </c>
      <c r="AJ7300">
        <v>88.730004544402604</v>
      </c>
      <c r="AK7300">
        <v>58.335298196997798</v>
      </c>
      <c r="AL7300">
        <v>93.981843067704801</v>
      </c>
      <c r="AM7300">
        <v>101.726795381089</v>
      </c>
      <c r="AN7300">
        <v>0.99999994319748098</v>
      </c>
    </row>
    <row r="7301" spans="1:40" x14ac:dyDescent="0.25">
      <c r="A7301" t="str">
        <f>"20190305135107348"</f>
        <v>20190305135107348</v>
      </c>
      <c r="B7301" t="str">
        <f>"1551765067337443"</f>
        <v>1551765067337443</v>
      </c>
      <c r="C7301" t="s">
        <v>40</v>
      </c>
      <c r="D7301">
        <v>3.7666219999999999</v>
      </c>
      <c r="E7301">
        <v>0.52347730000000003</v>
      </c>
      <c r="F7301" t="s">
        <v>85</v>
      </c>
      <c r="G7301">
        <v>-192.86080000000001</v>
      </c>
      <c r="H7301" s="1">
        <v>-7.0133180000000003E-6</v>
      </c>
      <c r="I7301">
        <v>-58.8889</v>
      </c>
      <c r="J7301">
        <v>-259.3152</v>
      </c>
      <c r="K7301">
        <v>1.1099330000000001</v>
      </c>
      <c r="L7301">
        <v>-62.791260000000001</v>
      </c>
      <c r="M7301">
        <v>0.99930070000000004</v>
      </c>
      <c r="N7301">
        <v>-4.8111009999999999E-3</v>
      </c>
      <c r="O7301">
        <v>-3.7085779999999999E-2</v>
      </c>
      <c r="P7301">
        <v>0.98324610000000001</v>
      </c>
      <c r="Q7301">
        <v>-7.3609060000000004E-2</v>
      </c>
      <c r="R7301">
        <v>0.16676070000000001</v>
      </c>
      <c r="S7301">
        <v>3.0169980000000001</v>
      </c>
      <c r="T7301">
        <v>-5.0282239999999999E-2</v>
      </c>
      <c r="U7301">
        <v>0.1765747</v>
      </c>
      <c r="V7301">
        <v>-0.20285739999999999</v>
      </c>
      <c r="W7301">
        <v>-6.9653499999999993E-2</v>
      </c>
      <c r="X7301">
        <v>0.97672780000000003</v>
      </c>
      <c r="Y7301">
        <v>-9.5389680000000004E-2</v>
      </c>
      <c r="Z7301">
        <v>1.4631729999999999E-3</v>
      </c>
      <c r="AA7301">
        <v>0.99543890000000002</v>
      </c>
      <c r="AB7301">
        <v>30</v>
      </c>
      <c r="AC7301">
        <v>66.454399999999893</v>
      </c>
      <c r="AD7301">
        <v>-1.109940013318</v>
      </c>
      <c r="AE7301">
        <v>3.9023599999999998</v>
      </c>
      <c r="AF7301">
        <v>-6.3624479419437199</v>
      </c>
      <c r="AG7301">
        <v>-1.109940013318</v>
      </c>
      <c r="AH7301">
        <v>66.245543567523598</v>
      </c>
      <c r="AI7301">
        <v>90.955501453073097</v>
      </c>
      <c r="AJ7301">
        <v>95.486054965906305</v>
      </c>
      <c r="AK7301">
        <v>66.559633060915999</v>
      </c>
      <c r="AL7301">
        <v>93.994085793132697</v>
      </c>
      <c r="AM7301">
        <v>101.733002572115</v>
      </c>
      <c r="AN7301">
        <v>0.99999996504492406</v>
      </c>
    </row>
    <row r="7302" spans="1:40" x14ac:dyDescent="0.25">
      <c r="A7302" t="str">
        <f>"20190305135107358"</f>
        <v>20190305135107358</v>
      </c>
      <c r="B7302" t="str">
        <f>"1551765067347203"</f>
        <v>1551765067347203</v>
      </c>
      <c r="C7302" t="s">
        <v>40</v>
      </c>
      <c r="D7302">
        <v>3.7451279999999998</v>
      </c>
      <c r="E7302">
        <v>0.51326899999999998</v>
      </c>
      <c r="F7302" t="s">
        <v>85</v>
      </c>
      <c r="G7302">
        <v>-207.4042</v>
      </c>
      <c r="H7302" s="1">
        <v>-2.4535969999999998E-6</v>
      </c>
      <c r="I7302">
        <v>-57.256459999999997</v>
      </c>
      <c r="J7302">
        <v>-259.173</v>
      </c>
      <c r="K7302">
        <v>1.109937</v>
      </c>
      <c r="L7302">
        <v>-62.795679999999997</v>
      </c>
      <c r="M7302">
        <v>0.99933399999999994</v>
      </c>
      <c r="N7302">
        <v>-4.8337370000000003E-3</v>
      </c>
      <c r="O7302">
        <v>-3.6171450000000001E-2</v>
      </c>
      <c r="P7302">
        <v>0.98307789999999995</v>
      </c>
      <c r="Q7302">
        <v>-7.3962449999999999E-2</v>
      </c>
      <c r="R7302">
        <v>0.16759289999999999</v>
      </c>
      <c r="S7302">
        <v>2.9921880000000001</v>
      </c>
      <c r="T7302">
        <v>-6.3977599999999996E-2</v>
      </c>
      <c r="U7302">
        <v>0.3190308</v>
      </c>
      <c r="V7302">
        <v>-0.20278840000000001</v>
      </c>
      <c r="W7302">
        <v>-6.9985350000000002E-2</v>
      </c>
      <c r="X7302">
        <v>0.97671839999999999</v>
      </c>
      <c r="Y7302">
        <v>-0.14187469999999999</v>
      </c>
      <c r="Z7302">
        <v>2.4532970000000001E-3</v>
      </c>
      <c r="AA7302">
        <v>0.98988160000000003</v>
      </c>
      <c r="AB7302">
        <v>30</v>
      </c>
      <c r="AC7302">
        <v>51.768799999999999</v>
      </c>
      <c r="AD7302">
        <v>-1.109939453597</v>
      </c>
      <c r="AE7302">
        <v>5.5392200000000003</v>
      </c>
      <c r="AF7302">
        <v>-7.4048039473410503</v>
      </c>
      <c r="AG7302">
        <v>-1.109939453597</v>
      </c>
      <c r="AH7302">
        <v>51.511146732301299</v>
      </c>
      <c r="AI7302">
        <v>91.221837247377593</v>
      </c>
      <c r="AJ7302">
        <v>98.180313364564597</v>
      </c>
      <c r="AK7302">
        <v>52.052486249610403</v>
      </c>
      <c r="AL7302">
        <v>94.013145937482705</v>
      </c>
      <c r="AM7302">
        <v>101.729232042059</v>
      </c>
      <c r="AN7302">
        <v>0.99999995864387003</v>
      </c>
    </row>
    <row r="7303" spans="1:40" x14ac:dyDescent="0.25">
      <c r="A7303" t="str">
        <f>"20190305135107371"</f>
        <v>20190305135107371</v>
      </c>
      <c r="B7303" t="str">
        <f>"1551765067366722"</f>
        <v>1551765067366722</v>
      </c>
      <c r="C7303" t="s">
        <v>40</v>
      </c>
      <c r="D7303">
        <v>4.1357540000000004</v>
      </c>
      <c r="E7303">
        <v>0.50640560000000001</v>
      </c>
      <c r="F7303" t="s">
        <v>85</v>
      </c>
      <c r="G7303">
        <v>-179.93899999999999</v>
      </c>
      <c r="H7303">
        <v>6.8737450000000005E-2</v>
      </c>
      <c r="I7303">
        <v>-52.095759999999999</v>
      </c>
      <c r="J7303">
        <v>-259.01089999999999</v>
      </c>
      <c r="K7303">
        <v>1.1099380000000001</v>
      </c>
      <c r="L7303">
        <v>-62.800600000000003</v>
      </c>
      <c r="M7303">
        <v>0.99937089999999995</v>
      </c>
      <c r="N7303">
        <v>-4.8595080000000002E-3</v>
      </c>
      <c r="O7303">
        <v>-3.5131490000000001E-2</v>
      </c>
      <c r="P7303">
        <v>0.98292210000000002</v>
      </c>
      <c r="Q7303">
        <v>-7.3933100000000002E-2</v>
      </c>
      <c r="R7303">
        <v>0.16851820000000001</v>
      </c>
      <c r="S7303">
        <v>2.9800719999999998</v>
      </c>
      <c r="T7303">
        <v>-3.9160609999999998E-2</v>
      </c>
      <c r="U7303">
        <v>0.4024353</v>
      </c>
      <c r="V7303">
        <v>-0.20269129999999999</v>
      </c>
      <c r="W7303">
        <v>-6.9930859999999997E-2</v>
      </c>
      <c r="X7303">
        <v>0.97674249999999996</v>
      </c>
      <c r="Y7303">
        <v>-0.16853979999999999</v>
      </c>
      <c r="Z7303">
        <v>1.803593E-3</v>
      </c>
      <c r="AA7303">
        <v>0.98569320000000005</v>
      </c>
      <c r="AB7303">
        <v>30</v>
      </c>
      <c r="AC7303">
        <v>79.0718999999999</v>
      </c>
      <c r="AD7303">
        <v>-1.0412005499999999</v>
      </c>
      <c r="AE7303">
        <v>10.704840000000001</v>
      </c>
      <c r="AF7303">
        <v>-13.473883961400301</v>
      </c>
      <c r="AG7303">
        <v>-1.0412005499999999</v>
      </c>
      <c r="AH7303">
        <v>78.633617343351204</v>
      </c>
      <c r="AI7303">
        <v>90.747722209923495</v>
      </c>
      <c r="AJ7303">
        <v>99.723214851961998</v>
      </c>
      <c r="AK7303">
        <v>79.786436341593699</v>
      </c>
      <c r="AL7303">
        <v>94.0100160570356</v>
      </c>
      <c r="AM7303">
        <v>101.723490028784</v>
      </c>
      <c r="AN7303">
        <v>0.99999999979113896</v>
      </c>
    </row>
    <row r="7304" spans="1:40" x14ac:dyDescent="0.25">
      <c r="A7304" t="str">
        <f>"20190305135107381"</f>
        <v>20190305135107381</v>
      </c>
      <c r="B7304" t="str">
        <f>"1551765067377458"</f>
        <v>1551765067377458</v>
      </c>
      <c r="C7304" t="s">
        <v>40</v>
      </c>
      <c r="D7304">
        <v>3.7749980000000001</v>
      </c>
      <c r="E7304">
        <v>0.50358590000000003</v>
      </c>
      <c r="F7304" t="s">
        <v>85</v>
      </c>
      <c r="G7304">
        <v>-202.50559999999999</v>
      </c>
      <c r="H7304" s="1">
        <v>-5.7459950000000002E-6</v>
      </c>
      <c r="I7304">
        <v>-54.070900000000002</v>
      </c>
      <c r="J7304">
        <v>-258.8707</v>
      </c>
      <c r="K7304">
        <v>1.1099349999999999</v>
      </c>
      <c r="L7304">
        <v>-62.804690000000001</v>
      </c>
      <c r="M7304">
        <v>0.99940169999999995</v>
      </c>
      <c r="N7304">
        <v>-4.8817239999999996E-3</v>
      </c>
      <c r="O7304">
        <v>-3.4243639999999999E-2</v>
      </c>
      <c r="P7304">
        <v>0.98280780000000001</v>
      </c>
      <c r="Q7304">
        <v>-7.4073879999999995E-2</v>
      </c>
      <c r="R7304">
        <v>0.1691222</v>
      </c>
      <c r="S7304">
        <v>2.9691160000000001</v>
      </c>
      <c r="T7304">
        <v>-5.8322909999999999E-2</v>
      </c>
      <c r="U7304">
        <v>0.4587097</v>
      </c>
      <c r="V7304">
        <v>-0.2024232</v>
      </c>
      <c r="W7304">
        <v>-7.0047579999999998E-2</v>
      </c>
      <c r="X7304">
        <v>0.97678969999999998</v>
      </c>
      <c r="Y7304">
        <v>-0.18638759999999999</v>
      </c>
      <c r="Z7304">
        <v>2.7802220000000002E-3</v>
      </c>
      <c r="AA7304">
        <v>0.98247240000000002</v>
      </c>
      <c r="AB7304">
        <v>30</v>
      </c>
      <c r="AC7304">
        <v>56.365099999999998</v>
      </c>
      <c r="AD7304">
        <v>-1.1099407459949999</v>
      </c>
      <c r="AE7304">
        <v>8.7337899999999902</v>
      </c>
      <c r="AF7304">
        <v>-10.6548018374138</v>
      </c>
      <c r="AG7304">
        <v>-1.1099407459949999</v>
      </c>
      <c r="AH7304">
        <v>56.0117509593112</v>
      </c>
      <c r="AI7304">
        <v>91.115243516779003</v>
      </c>
      <c r="AJ7304">
        <v>100.770375895063</v>
      </c>
      <c r="AK7304">
        <v>57.0269499112663</v>
      </c>
      <c r="AL7304">
        <v>94.016720193492503</v>
      </c>
      <c r="AM7304">
        <v>101.70786158173701</v>
      </c>
      <c r="AN7304">
        <v>0.99999996669409197</v>
      </c>
    </row>
    <row r="7305" spans="1:40" x14ac:dyDescent="0.25">
      <c r="A7305" t="str">
        <f>"20190305135107390"</f>
        <v>20190305135107390</v>
      </c>
      <c r="B7305" t="str">
        <f>"1551765067377458"</f>
        <v>1551765067377458</v>
      </c>
      <c r="C7305" t="s">
        <v>40</v>
      </c>
      <c r="D7305">
        <v>3.7749980000000001</v>
      </c>
      <c r="E7305">
        <v>0.50358590000000003</v>
      </c>
      <c r="F7305" t="s">
        <v>85</v>
      </c>
      <c r="G7305">
        <v>-207.1189</v>
      </c>
      <c r="H7305" s="1">
        <v>-3.3255760000000002E-6</v>
      </c>
      <c r="I7305">
        <v>-54.380719999999997</v>
      </c>
      <c r="J7305">
        <v>-258.75819999999999</v>
      </c>
      <c r="K7305">
        <v>1.109934</v>
      </c>
      <c r="L7305">
        <v>-62.807920000000003</v>
      </c>
      <c r="M7305">
        <v>0.99942560000000003</v>
      </c>
      <c r="N7305">
        <v>-4.8995549999999999E-3</v>
      </c>
      <c r="O7305">
        <v>-3.3530890000000001E-2</v>
      </c>
      <c r="P7305">
        <v>0.98271640000000005</v>
      </c>
      <c r="Q7305">
        <v>-7.4244160000000003E-2</v>
      </c>
      <c r="R7305">
        <v>0.16957729999999999</v>
      </c>
      <c r="S7305">
        <v>2.964645</v>
      </c>
      <c r="T7305">
        <v>-6.3583849999999997E-2</v>
      </c>
      <c r="U7305">
        <v>0.48257450000000002</v>
      </c>
      <c r="V7305">
        <v>-0.20217840000000001</v>
      </c>
      <c r="W7305">
        <v>-7.0198469999999999E-2</v>
      </c>
      <c r="X7305">
        <v>0.97682959999999996</v>
      </c>
      <c r="Y7305">
        <v>-0.19360920000000001</v>
      </c>
      <c r="Z7305">
        <v>3.0915090000000001E-3</v>
      </c>
      <c r="AA7305">
        <v>0.98107390000000005</v>
      </c>
      <c r="AB7305">
        <v>30</v>
      </c>
      <c r="AC7305">
        <v>51.639299999999899</v>
      </c>
      <c r="AD7305">
        <v>-1.1099373255759999</v>
      </c>
      <c r="AE7305">
        <v>8.4271999999999991</v>
      </c>
      <c r="AF7305">
        <v>-10.149426376894199</v>
      </c>
      <c r="AG7305">
        <v>-1.1099373255759999</v>
      </c>
      <c r="AH7305">
        <v>51.304599101837702</v>
      </c>
      <c r="AI7305">
        <v>91.215803858184501</v>
      </c>
      <c r="AJ7305">
        <v>101.190158288075</v>
      </c>
      <c r="AK7305">
        <v>52.310655756231903</v>
      </c>
      <c r="AL7305">
        <v>94.025386757958003</v>
      </c>
      <c r="AM7305">
        <v>101.693628373942</v>
      </c>
      <c r="AN7305">
        <v>0.99999999902653003</v>
      </c>
    </row>
    <row r="7306" spans="1:40" x14ac:dyDescent="0.25">
      <c r="A7306" t="str">
        <f>"20190305135107399"</f>
        <v>20190305135107399</v>
      </c>
      <c r="B7306" t="str">
        <f>"1551765067396979"</f>
        <v>1551765067396979</v>
      </c>
      <c r="C7306" t="s">
        <v>40</v>
      </c>
      <c r="D7306">
        <v>3.746496</v>
      </c>
      <c r="E7306">
        <v>0.50063219999999997</v>
      </c>
      <c r="F7306" t="s">
        <v>85</v>
      </c>
      <c r="G7306">
        <v>-207.4254</v>
      </c>
      <c r="H7306" s="1">
        <v>-3.1477520000000001E-6</v>
      </c>
      <c r="I7306">
        <v>-54.426699999999997</v>
      </c>
      <c r="J7306">
        <v>-258.62119999999999</v>
      </c>
      <c r="K7306">
        <v>1.1099289999999999</v>
      </c>
      <c r="L7306">
        <v>-62.811709999999998</v>
      </c>
      <c r="M7306">
        <v>0.99945390000000001</v>
      </c>
      <c r="N7306">
        <v>-4.920967E-3</v>
      </c>
      <c r="O7306">
        <v>-3.267726E-2</v>
      </c>
      <c r="P7306">
        <v>0.9826241</v>
      </c>
      <c r="Q7306">
        <v>-7.4074440000000005E-2</v>
      </c>
      <c r="R7306">
        <v>0.1701848</v>
      </c>
      <c r="S7306">
        <v>2.964432</v>
      </c>
      <c r="T7306">
        <v>-6.4098119999999995E-2</v>
      </c>
      <c r="U7306">
        <v>0.48400880000000002</v>
      </c>
      <c r="V7306">
        <v>-0.20195009999999999</v>
      </c>
      <c r="W7306">
        <v>-7.0004109999999994E-2</v>
      </c>
      <c r="X7306">
        <v>0.9768907</v>
      </c>
      <c r="Y7306">
        <v>-0.1932442</v>
      </c>
      <c r="Z7306">
        <v>3.096452E-3</v>
      </c>
      <c r="AA7306">
        <v>0.98114579999999996</v>
      </c>
      <c r="AB7306">
        <v>30</v>
      </c>
      <c r="AC7306">
        <v>51.195799999999899</v>
      </c>
      <c r="AD7306">
        <v>-1.1099321477519899</v>
      </c>
      <c r="AE7306">
        <v>8.3850099999999994</v>
      </c>
      <c r="AF7306">
        <v>-10.048890677305801</v>
      </c>
      <c r="AG7306">
        <v>-1.1099321477519899</v>
      </c>
      <c r="AH7306">
        <v>50.871169816417201</v>
      </c>
      <c r="AI7306">
        <v>91.2262216144684</v>
      </c>
      <c r="AJ7306">
        <v>101.174125002605</v>
      </c>
      <c r="AK7306">
        <v>51.866058956776499</v>
      </c>
      <c r="AL7306">
        <v>94.0142235681828</v>
      </c>
      <c r="AM7306">
        <v>101.68007645236</v>
      </c>
      <c r="AN7306">
        <v>0.99999992902669299</v>
      </c>
    </row>
    <row r="7307" spans="1:40" x14ac:dyDescent="0.25">
      <c r="A7307" t="str">
        <f>"20190305135107411"</f>
        <v>20190305135107411</v>
      </c>
      <c r="B7307" t="str">
        <f>"1551765067406738"</f>
        <v>1551765067406738</v>
      </c>
      <c r="C7307" t="s">
        <v>40</v>
      </c>
      <c r="D7307">
        <v>3.7450060000000001</v>
      </c>
      <c r="E7307">
        <v>0.49960500000000002</v>
      </c>
      <c r="F7307" t="s">
        <v>116</v>
      </c>
      <c r="G7307">
        <v>-213.2741</v>
      </c>
      <c r="H7307" s="1">
        <v>-1.515786E-6</v>
      </c>
      <c r="I7307">
        <v>-55.013680000000001</v>
      </c>
      <c r="J7307">
        <v>-258.46899999999999</v>
      </c>
      <c r="K7307">
        <v>1.1099250000000001</v>
      </c>
      <c r="L7307">
        <v>-62.815860000000001</v>
      </c>
      <c r="M7307">
        <v>0.99948419999999905</v>
      </c>
      <c r="N7307">
        <v>-4.9447290000000001E-3</v>
      </c>
      <c r="O7307">
        <v>-3.1732549999999998E-2</v>
      </c>
      <c r="P7307">
        <v>0.98246109999999998</v>
      </c>
      <c r="Q7307">
        <v>-7.4109549999999996E-2</v>
      </c>
      <c r="R7307">
        <v>0.17110889999999901</v>
      </c>
      <c r="S7307">
        <v>2.9594420000000001</v>
      </c>
      <c r="T7307">
        <v>-7.2436329999999993E-2</v>
      </c>
      <c r="U7307">
        <v>0.50891109999999995</v>
      </c>
      <c r="V7307">
        <v>-0.20194680000000001</v>
      </c>
      <c r="W7307">
        <v>-7.0012699999999997E-2</v>
      </c>
      <c r="X7307">
        <v>0.97689090000000001</v>
      </c>
      <c r="Y7307">
        <v>-0.2005865</v>
      </c>
      <c r="Z7307">
        <v>3.5518870000000001E-3</v>
      </c>
      <c r="AA7307">
        <v>0.97966960000000003</v>
      </c>
      <c r="AB7307">
        <v>30</v>
      </c>
      <c r="AC7307">
        <v>45.194899999999897</v>
      </c>
      <c r="AD7307">
        <v>-1.1099265157860001</v>
      </c>
      <c r="AE7307">
        <v>7.8021799999999901</v>
      </c>
      <c r="AF7307">
        <v>-9.2270135816358803</v>
      </c>
      <c r="AG7307">
        <v>-1.1099265157860001</v>
      </c>
      <c r="AH7307">
        <v>44.898257296196199</v>
      </c>
      <c r="AI7307">
        <v>91.387138643305903</v>
      </c>
      <c r="AJ7307">
        <v>101.613132380156</v>
      </c>
      <c r="AK7307">
        <v>45.850007903397099</v>
      </c>
      <c r="AL7307">
        <v>94.014716425465906</v>
      </c>
      <c r="AM7307">
        <v>101.679888510387</v>
      </c>
      <c r="AN7307">
        <v>1.0000000593471601</v>
      </c>
    </row>
    <row r="7308" spans="1:40" x14ac:dyDescent="0.25">
      <c r="A7308" t="str">
        <f>"20190305135107423"</f>
        <v>20190305135107423</v>
      </c>
      <c r="B7308" t="str">
        <f>"1551765067417474"</f>
        <v>1551765067417474</v>
      </c>
      <c r="C7308" t="s">
        <v>40</v>
      </c>
      <c r="D7308">
        <v>3.7576239999999999</v>
      </c>
      <c r="E7308">
        <v>0.49868089999999998</v>
      </c>
      <c r="F7308" t="s">
        <v>116</v>
      </c>
      <c r="G7308">
        <v>-215.6354</v>
      </c>
      <c r="H7308" s="1">
        <v>-2.2902239999999999E-6</v>
      </c>
      <c r="I7308">
        <v>-55.289499999999997</v>
      </c>
      <c r="J7308">
        <v>-258.3082</v>
      </c>
      <c r="K7308">
        <v>1.1099110000000001</v>
      </c>
      <c r="L7308">
        <v>-62.820039999999999</v>
      </c>
      <c r="M7308">
        <v>0.99951460000000003</v>
      </c>
      <c r="N7308">
        <v>-4.9697099999999996E-3</v>
      </c>
      <c r="O7308">
        <v>-3.075698E-2</v>
      </c>
      <c r="P7308">
        <v>0.98236040000000002</v>
      </c>
      <c r="Q7308">
        <v>-7.3983320000000005E-2</v>
      </c>
      <c r="R7308">
        <v>0.17173939999999999</v>
      </c>
      <c r="S7308">
        <v>2.9572750000000001</v>
      </c>
      <c r="T7308">
        <v>-7.6630470000000006E-2</v>
      </c>
      <c r="U7308">
        <v>0.51962280000000005</v>
      </c>
      <c r="V7308">
        <v>-0.20162289999999999</v>
      </c>
      <c r="W7308">
        <v>-6.9854250000000007E-2</v>
      </c>
      <c r="X7308">
        <v>0.97696910000000003</v>
      </c>
      <c r="Y7308">
        <v>-0.20318439999999999</v>
      </c>
      <c r="Z7308">
        <v>3.760546E-3</v>
      </c>
      <c r="AA7308">
        <v>0.97913320000000004</v>
      </c>
      <c r="AB7308">
        <v>30</v>
      </c>
      <c r="AC7308">
        <v>42.672800000000002</v>
      </c>
      <c r="AD7308">
        <v>-1.1099132902240001</v>
      </c>
      <c r="AE7308">
        <v>7.5305400000000002</v>
      </c>
      <c r="AF7308">
        <v>-8.8336841276619698</v>
      </c>
      <c r="AG7308">
        <v>-1.1099132902240001</v>
      </c>
      <c r="AH7308">
        <v>42.3931778098016</v>
      </c>
      <c r="AI7308">
        <v>91.468219598863996</v>
      </c>
      <c r="AJ7308">
        <v>101.770584315962</v>
      </c>
      <c r="AK7308">
        <v>43.317980188284103</v>
      </c>
      <c r="AL7308">
        <v>94.005615800971299</v>
      </c>
      <c r="AM7308">
        <v>101.660760893481</v>
      </c>
      <c r="AN7308">
        <v>1.00000001620114</v>
      </c>
    </row>
    <row r="7309" spans="1:40" x14ac:dyDescent="0.25">
      <c r="A7309" t="str">
        <f>"20190305135107434"</f>
        <v>20190305135107434</v>
      </c>
      <c r="B7309" t="str">
        <f>"1551765067427234"</f>
        <v>1551765067427234</v>
      </c>
      <c r="C7309" t="s">
        <v>40</v>
      </c>
      <c r="D7309">
        <v>3.8439209999999999</v>
      </c>
      <c r="E7309">
        <v>0.49877270000000001</v>
      </c>
      <c r="F7309" t="s">
        <v>116</v>
      </c>
      <c r="G7309">
        <v>-216.9562</v>
      </c>
      <c r="H7309" s="1">
        <v>-2.8334479999999999E-6</v>
      </c>
      <c r="I7309">
        <v>-55.421329999999998</v>
      </c>
      <c r="J7309">
        <v>-258.16109999999998</v>
      </c>
      <c r="K7309">
        <v>1.109899</v>
      </c>
      <c r="L7309">
        <v>-62.82376</v>
      </c>
      <c r="M7309">
        <v>0.99954109999999996</v>
      </c>
      <c r="N7309">
        <v>-4.9925150000000003E-3</v>
      </c>
      <c r="O7309">
        <v>-2.9874990000000001E-2</v>
      </c>
      <c r="P7309">
        <v>0.98218530000000004</v>
      </c>
      <c r="Q7309">
        <v>-7.4012439999999999E-2</v>
      </c>
      <c r="R7309">
        <v>0.17272579999999901</v>
      </c>
      <c r="S7309">
        <v>2.9554140000000002</v>
      </c>
      <c r="T7309">
        <v>-7.9325080000000006E-2</v>
      </c>
      <c r="U7309">
        <v>0.52877810000000003</v>
      </c>
      <c r="V7309">
        <v>-0.20174449999999999</v>
      </c>
      <c r="W7309">
        <v>-6.9855050000000002E-2</v>
      </c>
      <c r="X7309">
        <v>0.97694389999999998</v>
      </c>
      <c r="Y7309">
        <v>-0.20535909999999999</v>
      </c>
      <c r="Z7309">
        <v>3.8985399999999998E-3</v>
      </c>
      <c r="AA7309">
        <v>0.97867890000000002</v>
      </c>
      <c r="AB7309">
        <v>30</v>
      </c>
      <c r="AC7309">
        <v>41.204899999999903</v>
      </c>
      <c r="AD7309">
        <v>-1.109901833448</v>
      </c>
      <c r="AE7309">
        <v>7.4024299999999901</v>
      </c>
      <c r="AF7309">
        <v>-8.6240755741386401</v>
      </c>
      <c r="AG7309">
        <v>-1.109901833448</v>
      </c>
      <c r="AH7309">
        <v>40.936583948616502</v>
      </c>
      <c r="AI7309">
        <v>91.519722016537301</v>
      </c>
      <c r="AJ7309">
        <v>101.896494596344</v>
      </c>
      <c r="AK7309">
        <v>41.8498562359595</v>
      </c>
      <c r="AL7309">
        <v>94.005661905039602</v>
      </c>
      <c r="AM7309">
        <v>101.667893519044</v>
      </c>
      <c r="AN7309">
        <v>0.99999997751898095</v>
      </c>
    </row>
    <row r="7310" spans="1:40" x14ac:dyDescent="0.25">
      <c r="A7310" t="str">
        <f>"20190305135107444"</f>
        <v>20190305135107444</v>
      </c>
      <c r="B7310" t="str">
        <f>"1551765067436995"</f>
        <v>1551765067436995</v>
      </c>
      <c r="C7310" t="s">
        <v>40</v>
      </c>
      <c r="D7310">
        <v>3.7989860000000002</v>
      </c>
      <c r="E7310">
        <v>0.49813629999999998</v>
      </c>
      <c r="F7310" t="s">
        <v>115</v>
      </c>
      <c r="G7310">
        <v>-222.28550000000001</v>
      </c>
      <c r="H7310" s="1">
        <v>-1.1407580000000001E-6</v>
      </c>
      <c r="I7310">
        <v>-56.377079999999999</v>
      </c>
      <c r="J7310">
        <v>-258.01389999999998</v>
      </c>
      <c r="K7310">
        <v>1.1098859999999999</v>
      </c>
      <c r="L7310">
        <v>-62.827330000000003</v>
      </c>
      <c r="M7310">
        <v>0.99956670000000003</v>
      </c>
      <c r="N7310">
        <v>-5.015238E-3</v>
      </c>
      <c r="O7310">
        <v>-2.900933E-2</v>
      </c>
      <c r="P7310">
        <v>0.98202599999999995</v>
      </c>
      <c r="Q7310">
        <v>-7.4044589999999993E-2</v>
      </c>
      <c r="R7310">
        <v>0.17361599999999999</v>
      </c>
      <c r="S7310">
        <v>2.9541780000000002</v>
      </c>
      <c r="T7310">
        <v>-9.1394900000000001E-2</v>
      </c>
      <c r="U7310">
        <v>0.53085329999999997</v>
      </c>
      <c r="V7310">
        <v>-0.2017864</v>
      </c>
      <c r="W7310">
        <v>-6.9857169999999996E-2</v>
      </c>
      <c r="X7310">
        <v>0.97693509999999995</v>
      </c>
      <c r="Y7310">
        <v>-0.2052204</v>
      </c>
      <c r="Z7310">
        <v>4.4137869999999997E-3</v>
      </c>
      <c r="AA7310">
        <v>0.97870579999999996</v>
      </c>
      <c r="AB7310">
        <v>30</v>
      </c>
      <c r="AC7310">
        <v>35.728399999999901</v>
      </c>
      <c r="AD7310">
        <v>-1.109887140758</v>
      </c>
      <c r="AE7310">
        <v>6.4502499999999898</v>
      </c>
      <c r="AF7310">
        <v>-7.4770174943348104</v>
      </c>
      <c r="AG7310">
        <v>-1.109887140758</v>
      </c>
      <c r="AH7310">
        <v>35.493073288286602</v>
      </c>
      <c r="AI7310">
        <v>91.752642996682397</v>
      </c>
      <c r="AJ7310">
        <v>101.896064455185</v>
      </c>
      <c r="AK7310">
        <v>36.289060218246199</v>
      </c>
      <c r="AL7310">
        <v>94.005783649495697</v>
      </c>
      <c r="AM7310">
        <v>101.670352581758</v>
      </c>
      <c r="AN7310">
        <v>0.99999998251868905</v>
      </c>
    </row>
    <row r="7311" spans="1:40" x14ac:dyDescent="0.25">
      <c r="A7311" t="str">
        <f>"20190305135107455"</f>
        <v>20190305135107455</v>
      </c>
      <c r="B7311" t="str">
        <f>"1551765067446755"</f>
        <v>1551765067446755</v>
      </c>
      <c r="C7311" t="s">
        <v>40</v>
      </c>
      <c r="D7311">
        <v>3.7942269999999998</v>
      </c>
      <c r="E7311">
        <v>0.49759199999999998</v>
      </c>
      <c r="F7311" t="s">
        <v>115</v>
      </c>
      <c r="G7311">
        <v>-222.99959999999999</v>
      </c>
      <c r="H7311" s="1">
        <v>-1.3638599999999999E-6</v>
      </c>
      <c r="I7311">
        <v>-56.441330000000001</v>
      </c>
      <c r="J7311">
        <v>-257.86799999999999</v>
      </c>
      <c r="K7311">
        <v>1.1098680000000001</v>
      </c>
      <c r="L7311">
        <v>-62.83081</v>
      </c>
      <c r="M7311">
        <v>0.99959050000000005</v>
      </c>
      <c r="N7311">
        <v>-5.0375869999999996E-3</v>
      </c>
      <c r="O7311">
        <v>-2.8170870000000001E-2</v>
      </c>
      <c r="P7311">
        <v>0.98182910000000001</v>
      </c>
      <c r="Q7311">
        <v>-7.4068339999999996E-2</v>
      </c>
      <c r="R7311">
        <v>0.17471709999999999</v>
      </c>
      <c r="S7311">
        <v>2.9526520000000001</v>
      </c>
      <c r="T7311">
        <v>-9.3593720000000005E-2</v>
      </c>
      <c r="U7311">
        <v>0.53851319999999903</v>
      </c>
      <c r="V7311">
        <v>-0.20206550000000001</v>
      </c>
      <c r="W7311">
        <v>-6.9850910000000002E-2</v>
      </c>
      <c r="X7311">
        <v>0.97687789999999997</v>
      </c>
      <c r="Y7311">
        <v>-0.20693919999999999</v>
      </c>
      <c r="Z7311">
        <v>4.5230959999999999E-3</v>
      </c>
      <c r="AA7311">
        <v>0.97834339999999997</v>
      </c>
      <c r="AB7311">
        <v>30</v>
      </c>
      <c r="AC7311">
        <v>34.868400000000001</v>
      </c>
      <c r="AD7311">
        <v>-1.1098693638599999</v>
      </c>
      <c r="AE7311">
        <v>6.3894799999999901</v>
      </c>
      <c r="AF7311">
        <v>-7.3620130512971702</v>
      </c>
      <c r="AG7311">
        <v>-1.1098693638599999</v>
      </c>
      <c r="AH7311">
        <v>34.640605288635001</v>
      </c>
      <c r="AI7311">
        <v>91.795039604963705</v>
      </c>
      <c r="AJ7311">
        <v>101.998298946497</v>
      </c>
      <c r="AK7311">
        <v>35.431660713764401</v>
      </c>
      <c r="AL7311">
        <v>94.005423934338395</v>
      </c>
      <c r="AM7311">
        <v>101.686716163147</v>
      </c>
      <c r="AN7311">
        <v>1.00000002371324</v>
      </c>
    </row>
    <row r="7312" spans="1:40" x14ac:dyDescent="0.25">
      <c r="A7312" t="str">
        <f>"20190305135107466"</f>
        <v>20190305135107466</v>
      </c>
      <c r="B7312" t="str">
        <f>"1551765067457491"</f>
        <v>1551765067457491</v>
      </c>
      <c r="C7312" t="s">
        <v>40</v>
      </c>
      <c r="D7312">
        <v>3.809949</v>
      </c>
      <c r="E7312">
        <v>0.49761119999999998</v>
      </c>
      <c r="F7312" t="s">
        <v>115</v>
      </c>
      <c r="G7312">
        <v>-223.54599999999999</v>
      </c>
      <c r="H7312" s="1">
        <v>-1.5378649999999901E-6</v>
      </c>
      <c r="I7312">
        <v>-56.479840000000003</v>
      </c>
      <c r="J7312">
        <v>-257.71480000000003</v>
      </c>
      <c r="K7312">
        <v>1.1098479999999999</v>
      </c>
      <c r="L7312">
        <v>-62.834350000000001</v>
      </c>
      <c r="M7312">
        <v>0.99961429999999996</v>
      </c>
      <c r="N7312">
        <v>-5.0609540000000003E-3</v>
      </c>
      <c r="O7312">
        <v>-2.730606E-2</v>
      </c>
      <c r="P7312">
        <v>0.9816222</v>
      </c>
      <c r="Q7312">
        <v>-7.4160899999999905E-2</v>
      </c>
      <c r="R7312">
        <v>0.17583560000000001</v>
      </c>
      <c r="S7312">
        <v>2.9511409999999998</v>
      </c>
      <c r="T7312">
        <v>-9.5430970000000004E-2</v>
      </c>
      <c r="U7312">
        <v>0.5460815</v>
      </c>
      <c r="V7312">
        <v>-0.20233670000000001</v>
      </c>
      <c r="W7312">
        <v>-6.9910630000000001E-2</v>
      </c>
      <c r="X7312">
        <v>0.97681750000000001</v>
      </c>
      <c r="Y7312">
        <v>-0.20860239999999999</v>
      </c>
      <c r="Z7312">
        <v>4.61489E-3</v>
      </c>
      <c r="AA7312">
        <v>0.97798960000000001</v>
      </c>
      <c r="AB7312">
        <v>30</v>
      </c>
      <c r="AC7312">
        <v>34.168799999999997</v>
      </c>
      <c r="AD7312">
        <v>-1.109849537865</v>
      </c>
      <c r="AE7312">
        <v>6.3545099999999897</v>
      </c>
      <c r="AF7312">
        <v>-7.2777461061719704</v>
      </c>
      <c r="AG7312">
        <v>-1.109849537865</v>
      </c>
      <c r="AH7312">
        <v>33.947920902990198</v>
      </c>
      <c r="AI7312">
        <v>91.8309160510928</v>
      </c>
      <c r="AJ7312">
        <v>102.09990717414</v>
      </c>
      <c r="AK7312">
        <v>34.736993076809</v>
      </c>
      <c r="AL7312">
        <v>94.008853988974593</v>
      </c>
      <c r="AM7312">
        <v>101.702672694358</v>
      </c>
      <c r="AN7312">
        <v>1.00000003233006</v>
      </c>
    </row>
    <row r="7313" spans="1:40" x14ac:dyDescent="0.25">
      <c r="A7313" t="str">
        <f>"20190305135107477"</f>
        <v>20190305135107477</v>
      </c>
      <c r="B7313" t="str">
        <f>"1551765067467251"</f>
        <v>1551765067467251</v>
      </c>
      <c r="C7313" t="s">
        <v>40</v>
      </c>
      <c r="D7313">
        <v>3.8173349999999999</v>
      </c>
      <c r="E7313">
        <v>0.49719940000000001</v>
      </c>
      <c r="F7313" t="s">
        <v>115</v>
      </c>
      <c r="G7313">
        <v>-225.8212</v>
      </c>
      <c r="H7313" s="1">
        <v>-2.3862050000000001E-6</v>
      </c>
      <c r="I7313">
        <v>-56.896909999999998</v>
      </c>
      <c r="J7313">
        <v>-257.55869999999999</v>
      </c>
      <c r="K7313">
        <v>1.1098209999999999</v>
      </c>
      <c r="L7313">
        <v>-62.837800000000001</v>
      </c>
      <c r="M7313">
        <v>0.99963690000000005</v>
      </c>
      <c r="N7313">
        <v>-5.0845939999999996E-3</v>
      </c>
      <c r="O7313">
        <v>-2.6460350000000001E-2</v>
      </c>
      <c r="P7313">
        <v>0.9813733</v>
      </c>
      <c r="Q7313">
        <v>-7.4194839999999998E-2</v>
      </c>
      <c r="R7313">
        <v>0.1772058</v>
      </c>
      <c r="S7313">
        <v>2.9500579999999998</v>
      </c>
      <c r="T7313">
        <v>-0.1026576</v>
      </c>
      <c r="U7313">
        <v>0.54919430000000002</v>
      </c>
      <c r="V7313">
        <v>-0.2028788</v>
      </c>
      <c r="W7313">
        <v>-6.990971E-2</v>
      </c>
      <c r="X7313">
        <v>0.97670509999999999</v>
      </c>
      <c r="Y7313">
        <v>-0.20881720000000001</v>
      </c>
      <c r="Z7313">
        <v>4.9166890000000001E-3</v>
      </c>
      <c r="AA7313">
        <v>0.97794230000000004</v>
      </c>
      <c r="AB7313">
        <v>30</v>
      </c>
      <c r="AC7313">
        <v>31.737499999999901</v>
      </c>
      <c r="AD7313">
        <v>-1.109823386205</v>
      </c>
      <c r="AE7313">
        <v>5.9408899999999996</v>
      </c>
      <c r="AF7313">
        <v>-6.7706071149911704</v>
      </c>
      <c r="AG7313">
        <v>-1.109823386205</v>
      </c>
      <c r="AH7313">
        <v>31.531934642152301</v>
      </c>
      <c r="AI7313">
        <v>91.970909901939507</v>
      </c>
      <c r="AJ7313">
        <v>102.11866706249999</v>
      </c>
      <c r="AK7313">
        <v>32.269733976763803</v>
      </c>
      <c r="AL7313">
        <v>94.008801222362493</v>
      </c>
      <c r="AM7313">
        <v>101.734471157567</v>
      </c>
      <c r="AN7313">
        <v>1.00000001370386</v>
      </c>
    </row>
    <row r="7314" spans="1:40" x14ac:dyDescent="0.25">
      <c r="A7314" t="str">
        <f>"20190305135107488"</f>
        <v>20190305135107488</v>
      </c>
      <c r="B7314" t="str">
        <f>"1551765067477011"</f>
        <v>1551765067477011</v>
      </c>
      <c r="C7314" t="s">
        <v>40</v>
      </c>
      <c r="D7314">
        <v>3.9817740000000001</v>
      </c>
      <c r="E7314">
        <v>0.4975406</v>
      </c>
      <c r="F7314" t="s">
        <v>115</v>
      </c>
      <c r="G7314">
        <v>-226.0291</v>
      </c>
      <c r="H7314" s="1">
        <v>-2.4777480000000001E-6</v>
      </c>
      <c r="I7314">
        <v>-56.886229999999998</v>
      </c>
      <c r="J7314">
        <v>-257.40890000000002</v>
      </c>
      <c r="K7314">
        <v>1.1097939999999999</v>
      </c>
      <c r="L7314">
        <v>-62.841090000000001</v>
      </c>
      <c r="M7314">
        <v>0.99965780000000004</v>
      </c>
      <c r="N7314">
        <v>-5.1072610000000001E-3</v>
      </c>
      <c r="O7314">
        <v>-2.5660539999999999E-2</v>
      </c>
      <c r="P7314">
        <v>0.98114869999999998</v>
      </c>
      <c r="Q7314">
        <v>-7.4246290000000006E-2</v>
      </c>
      <c r="R7314">
        <v>0.1784239</v>
      </c>
      <c r="S7314">
        <v>2.9485929999999998</v>
      </c>
      <c r="T7314">
        <v>-0.10378859999999999</v>
      </c>
      <c r="U7314">
        <v>0.55657959999999995</v>
      </c>
      <c r="V7314">
        <v>-0.20331450000000001</v>
      </c>
      <c r="W7314">
        <v>-6.9926390000000005E-2</v>
      </c>
      <c r="X7314">
        <v>0.97661330000000002</v>
      </c>
      <c r="Y7314">
        <v>-0.210484</v>
      </c>
      <c r="Z7314">
        <v>4.9790279999999999E-3</v>
      </c>
      <c r="AA7314">
        <v>0.97758469999999997</v>
      </c>
      <c r="AB7314">
        <v>31</v>
      </c>
      <c r="AC7314">
        <v>31.379799999999999</v>
      </c>
      <c r="AD7314">
        <v>-1.1097964777480001</v>
      </c>
      <c r="AE7314">
        <v>5.9548599999999903</v>
      </c>
      <c r="AF7314">
        <v>-6.7499827303290898</v>
      </c>
      <c r="AG7314">
        <v>-1.1097964777480001</v>
      </c>
      <c r="AH7314">
        <v>31.179016920985799</v>
      </c>
      <c r="AI7314">
        <v>91.992426896290198</v>
      </c>
      <c r="AJ7314">
        <v>102.215519520039</v>
      </c>
      <c r="AK7314">
        <v>31.920604806940698</v>
      </c>
      <c r="AL7314">
        <v>94.009759268036305</v>
      </c>
      <c r="AM7314">
        <v>101.760045513733</v>
      </c>
      <c r="AN7314">
        <v>1.0000000118327801</v>
      </c>
    </row>
    <row r="7315" spans="1:40" x14ac:dyDescent="0.25">
      <c r="A7315" t="str">
        <f>"20190305135107504"</f>
        <v>20190305135107504</v>
      </c>
      <c r="B7315" t="str">
        <f>"1551765067497507"</f>
        <v>1551765067497507</v>
      </c>
      <c r="C7315" t="s">
        <v>40</v>
      </c>
      <c r="D7315">
        <v>3.8077749999999999</v>
      </c>
      <c r="E7315">
        <v>0.49689499999999998</v>
      </c>
      <c r="F7315" t="s">
        <v>115</v>
      </c>
      <c r="G7315">
        <v>-228.36750000000001</v>
      </c>
      <c r="H7315" s="1">
        <v>-3.3784300000000001E-6</v>
      </c>
      <c r="I7315">
        <v>-57.349829999999997</v>
      </c>
      <c r="J7315">
        <v>-257.2029</v>
      </c>
      <c r="K7315">
        <v>1.1097459999999999</v>
      </c>
      <c r="L7315">
        <v>-62.845370000000003</v>
      </c>
      <c r="M7315">
        <v>0.9996834</v>
      </c>
      <c r="N7315">
        <v>-5.1381159999999999E-3</v>
      </c>
      <c r="O7315">
        <v>-2.4633459999999999E-2</v>
      </c>
      <c r="P7315">
        <v>0.98087550000000001</v>
      </c>
      <c r="Q7315">
        <v>-7.4195159999999996E-2</v>
      </c>
      <c r="R7315">
        <v>0.17994089999999999</v>
      </c>
      <c r="S7315">
        <v>2.9477540000000002</v>
      </c>
      <c r="T7315">
        <v>-0.1126465</v>
      </c>
      <c r="U7315">
        <v>0.55737300000000001</v>
      </c>
      <c r="V7315">
        <v>-0.20383009999999999</v>
      </c>
      <c r="W7315">
        <v>-6.9821930000000004E-2</v>
      </c>
      <c r="X7315">
        <v>0.97651330000000003</v>
      </c>
      <c r="Y7315">
        <v>-0.2097589</v>
      </c>
      <c r="Z7315">
        <v>5.3229890000000002E-3</v>
      </c>
      <c r="AA7315">
        <v>0.97773869999999896</v>
      </c>
      <c r="AB7315">
        <v>31</v>
      </c>
      <c r="AC7315">
        <v>28.8354</v>
      </c>
      <c r="AD7315">
        <v>-1.1097493784300001</v>
      </c>
      <c r="AE7315">
        <v>5.4955399999999903</v>
      </c>
      <c r="AF7315">
        <v>-6.1953427555225602</v>
      </c>
      <c r="AG7315">
        <v>-1.1097493784300001</v>
      </c>
      <c r="AH7315">
        <v>28.650325727169001</v>
      </c>
      <c r="AI7315">
        <v>92.1681389919314</v>
      </c>
      <c r="AJ7315">
        <v>102.201763540567</v>
      </c>
      <c r="AK7315">
        <v>29.333512912950201</v>
      </c>
      <c r="AL7315">
        <v>94.003759460354303</v>
      </c>
      <c r="AM7315">
        <v>101.790208509275</v>
      </c>
      <c r="AN7315">
        <v>1.0000000183259099</v>
      </c>
    </row>
    <row r="7316" spans="1:40" x14ac:dyDescent="0.25">
      <c r="A7316" t="str">
        <f>"20190305135107514"</f>
        <v>20190305135107514</v>
      </c>
      <c r="B7316" t="str">
        <f>"1551765067507267"</f>
        <v>1551765067507267</v>
      </c>
      <c r="C7316" t="s">
        <v>40</v>
      </c>
      <c r="D7316">
        <v>3.831086</v>
      </c>
      <c r="E7316">
        <v>0.49660749999999998</v>
      </c>
      <c r="F7316" t="s">
        <v>115</v>
      </c>
      <c r="G7316">
        <v>-228.25040000000001</v>
      </c>
      <c r="H7316" s="1">
        <v>-3.3451419999999998E-6</v>
      </c>
      <c r="I7316">
        <v>-57.273099999999999</v>
      </c>
      <c r="J7316">
        <v>-257.06920000000002</v>
      </c>
      <c r="K7316">
        <v>1.10971</v>
      </c>
      <c r="L7316">
        <v>-62.848080000000003</v>
      </c>
      <c r="M7316">
        <v>0.9996988</v>
      </c>
      <c r="N7316">
        <v>-5.1580439999999997E-3</v>
      </c>
      <c r="O7316">
        <v>-2.3993179999999999E-2</v>
      </c>
      <c r="P7316">
        <v>0.98063549999999999</v>
      </c>
      <c r="Q7316">
        <v>-7.4293010000000007E-2</v>
      </c>
      <c r="R7316">
        <v>0.18120320000000001</v>
      </c>
      <c r="S7316">
        <v>2.9459689999999998</v>
      </c>
      <c r="T7316">
        <v>-0.11291859999999999</v>
      </c>
      <c r="U7316">
        <v>0.56698609999999905</v>
      </c>
      <c r="V7316">
        <v>-0.2044666</v>
      </c>
      <c r="W7316">
        <v>-6.9884660000000001E-2</v>
      </c>
      <c r="X7316">
        <v>0.97637569999999996</v>
      </c>
      <c r="Y7316">
        <v>-0.2123158</v>
      </c>
      <c r="Z7316">
        <v>5.3722429999999996E-3</v>
      </c>
      <c r="AA7316">
        <v>0.97718629999999995</v>
      </c>
      <c r="AB7316">
        <v>31</v>
      </c>
      <c r="AC7316">
        <v>28.8188</v>
      </c>
      <c r="AD7316">
        <v>-1.109713345142</v>
      </c>
      <c r="AE7316">
        <v>5.57498</v>
      </c>
      <c r="AF7316">
        <v>-6.2558975464295603</v>
      </c>
      <c r="AG7316">
        <v>-1.109713345142</v>
      </c>
      <c r="AH7316">
        <v>28.635811917033799</v>
      </c>
      <c r="AI7316">
        <v>92.168166297794997</v>
      </c>
      <c r="AJ7316">
        <v>102.32345481266699</v>
      </c>
      <c r="AK7316">
        <v>29.332191223424498</v>
      </c>
      <c r="AL7316">
        <v>94.007362571862103</v>
      </c>
      <c r="AM7316">
        <v>101.827610221684</v>
      </c>
      <c r="AN7316">
        <v>0.99999998188468198</v>
      </c>
    </row>
    <row r="7317" spans="1:40" x14ac:dyDescent="0.25">
      <c r="A7317" t="str">
        <f>"20190305135107523"</f>
        <v>20190305135107523</v>
      </c>
      <c r="B7317" t="str">
        <f>"1551765067517027"</f>
        <v>1551765067517027</v>
      </c>
      <c r="C7317" t="s">
        <v>40</v>
      </c>
      <c r="D7317">
        <v>3.9283459999999999</v>
      </c>
      <c r="E7317">
        <v>0.4969461</v>
      </c>
      <c r="F7317" t="s">
        <v>115</v>
      </c>
      <c r="G7317">
        <v>-228.2653</v>
      </c>
      <c r="H7317" s="1">
        <v>-3.3582049999999998E-6</v>
      </c>
      <c r="I7317">
        <v>-57.243070000000003</v>
      </c>
      <c r="J7317">
        <v>-256.92829999999998</v>
      </c>
      <c r="K7317">
        <v>1.109672</v>
      </c>
      <c r="L7317">
        <v>-62.850830000000002</v>
      </c>
      <c r="M7317">
        <v>0.99971379999999999</v>
      </c>
      <c r="N7317">
        <v>-5.178874E-3</v>
      </c>
      <c r="O7317">
        <v>-2.3353390000000002E-2</v>
      </c>
      <c r="P7317">
        <v>0.98043420000000003</v>
      </c>
      <c r="Q7317">
        <v>-7.4558689999999997E-2</v>
      </c>
      <c r="R7317">
        <v>0.1821807</v>
      </c>
      <c r="S7317">
        <v>2.944763</v>
      </c>
      <c r="T7317">
        <v>-0.1134515</v>
      </c>
      <c r="U7317">
        <v>0.5730286</v>
      </c>
      <c r="V7317">
        <v>-0.2048218</v>
      </c>
      <c r="W7317">
        <v>-7.0109740000000004E-2</v>
      </c>
      <c r="X7317">
        <v>0.97628510000000002</v>
      </c>
      <c r="Y7317">
        <v>-0.21369460000000001</v>
      </c>
      <c r="Z7317">
        <v>5.4072180000000001E-3</v>
      </c>
      <c r="AA7317">
        <v>0.97688560000000002</v>
      </c>
      <c r="AB7317">
        <v>31</v>
      </c>
      <c r="AC7317">
        <v>28.662999999999901</v>
      </c>
      <c r="AD7317">
        <v>-1.1096753582050001</v>
      </c>
      <c r="AE7317">
        <v>5.6077599999999999</v>
      </c>
      <c r="AF7317">
        <v>-6.26657161638928</v>
      </c>
      <c r="AG7317">
        <v>-1.1096753582050001</v>
      </c>
      <c r="AH7317">
        <v>28.483103501286902</v>
      </c>
      <c r="AI7317">
        <v>92.179000785027696</v>
      </c>
      <c r="AJ7317">
        <v>102.407972736823</v>
      </c>
      <c r="AK7317">
        <v>29.185415609323901</v>
      </c>
      <c r="AL7317">
        <v>94.020290459822903</v>
      </c>
      <c r="AM7317">
        <v>101.848645344774</v>
      </c>
      <c r="AN7317">
        <v>0.99999997094005799</v>
      </c>
    </row>
    <row r="7318" spans="1:40" x14ac:dyDescent="0.25">
      <c r="A7318" t="str">
        <f>"20190305135107534"</f>
        <v>20190305135107534</v>
      </c>
      <c r="B7318" t="str">
        <f>"1551765067526787"</f>
        <v>1551765067526787</v>
      </c>
      <c r="C7318" t="s">
        <v>40</v>
      </c>
      <c r="D7318">
        <v>3.8254169999999998</v>
      </c>
      <c r="E7318">
        <v>0.49678749999999999</v>
      </c>
      <c r="F7318" t="s">
        <v>115</v>
      </c>
      <c r="G7318">
        <v>-229.60169999999999</v>
      </c>
      <c r="H7318" s="1">
        <v>-3.8679669999999998E-6</v>
      </c>
      <c r="I7318">
        <v>-57.530389999999997</v>
      </c>
      <c r="J7318">
        <v>-256.78440000000001</v>
      </c>
      <c r="K7318">
        <v>1.1096220000000001</v>
      </c>
      <c r="L7318">
        <v>-62.853639999999999</v>
      </c>
      <c r="M7318">
        <v>0.99972810000000001</v>
      </c>
      <c r="N7318">
        <v>-5.2001149999999999E-3</v>
      </c>
      <c r="O7318">
        <v>-2.273068E-2</v>
      </c>
      <c r="P7318">
        <v>0.98029549999999999</v>
      </c>
      <c r="Q7318">
        <v>-7.4426870000000006E-2</v>
      </c>
      <c r="R7318">
        <v>0.18297959999999999</v>
      </c>
      <c r="S7318">
        <v>2.9442599999999999</v>
      </c>
      <c r="T7318">
        <v>-0.11956020000000001</v>
      </c>
      <c r="U7318">
        <v>0.57324219999999904</v>
      </c>
      <c r="V7318">
        <v>-0.20501749999999999</v>
      </c>
      <c r="W7318">
        <v>-6.993423E-2</v>
      </c>
      <c r="X7318">
        <v>0.97625660000000003</v>
      </c>
      <c r="Y7318">
        <v>-0.21316679999999999</v>
      </c>
      <c r="Z7318">
        <v>5.6433400000000002E-3</v>
      </c>
      <c r="AA7318">
        <v>0.97699950000000002</v>
      </c>
      <c r="AB7318">
        <v>31</v>
      </c>
      <c r="AC7318">
        <v>27.182700000000001</v>
      </c>
      <c r="AD7318">
        <v>-1.1096258679669999</v>
      </c>
      <c r="AE7318">
        <v>5.3232499999999998</v>
      </c>
      <c r="AF7318">
        <v>-5.9302472463714997</v>
      </c>
      <c r="AG7318">
        <v>-1.1096258679669999</v>
      </c>
      <c r="AH7318">
        <v>27.011325652849301</v>
      </c>
      <c r="AI7318">
        <v>92.297725631035604</v>
      </c>
      <c r="AJ7318">
        <v>102.38264268561301</v>
      </c>
      <c r="AK7318">
        <v>27.6769003953519</v>
      </c>
      <c r="AL7318">
        <v>94.010209775776403</v>
      </c>
      <c r="AM7318">
        <v>101.859982265125</v>
      </c>
      <c r="AN7318">
        <v>0.99999996043774997</v>
      </c>
    </row>
    <row r="7319" spans="1:40" x14ac:dyDescent="0.25">
      <c r="A7319" t="str">
        <f>"20190305135107546"</f>
        <v>20190305135107546</v>
      </c>
      <c r="B7319" t="str">
        <f>"1551765067537523"</f>
        <v>1551765067537523</v>
      </c>
      <c r="C7319" t="s">
        <v>40</v>
      </c>
      <c r="D7319">
        <v>3.8467720000000001</v>
      </c>
      <c r="E7319">
        <v>0.496672</v>
      </c>
      <c r="F7319" t="s">
        <v>115</v>
      </c>
      <c r="G7319">
        <v>-229.40620000000001</v>
      </c>
      <c r="H7319" s="1">
        <v>-3.7935359999999999E-6</v>
      </c>
      <c r="I7319">
        <v>-57.487830000000002</v>
      </c>
      <c r="J7319">
        <v>-256.62180000000001</v>
      </c>
      <c r="K7319">
        <v>1.109567</v>
      </c>
      <c r="L7319">
        <v>-62.856720000000003</v>
      </c>
      <c r="M7319">
        <v>0.99974300000000005</v>
      </c>
      <c r="N7319">
        <v>-5.2240519999999999E-3</v>
      </c>
      <c r="O7319">
        <v>-2.2066519999999999E-2</v>
      </c>
      <c r="P7319">
        <v>0.98010129999999995</v>
      </c>
      <c r="Q7319">
        <v>-7.4368340000000005E-2</v>
      </c>
      <c r="R7319">
        <v>0.18404129999999999</v>
      </c>
      <c r="S7319">
        <v>2.9435579999999999</v>
      </c>
      <c r="T7319">
        <v>-0.1193013</v>
      </c>
      <c r="U7319">
        <v>0.57690430000000004</v>
      </c>
      <c r="V7319">
        <v>-0.20543620000000001</v>
      </c>
      <c r="W7319">
        <v>-6.9825330000000005E-2</v>
      </c>
      <c r="X7319">
        <v>0.97617640000000006</v>
      </c>
      <c r="Y7319">
        <v>-0.2137329</v>
      </c>
      <c r="Z7319">
        <v>5.6244160000000001E-3</v>
      </c>
      <c r="AA7319">
        <v>0.97687599999999997</v>
      </c>
      <c r="AB7319">
        <v>31</v>
      </c>
      <c r="AC7319">
        <v>27.215599999999899</v>
      </c>
      <c r="AD7319">
        <v>-1.109570793536</v>
      </c>
      <c r="AE7319">
        <v>5.3688899999999897</v>
      </c>
      <c r="AF7319">
        <v>-5.9586111569947304</v>
      </c>
      <c r="AG7319">
        <v>-1.109570793536</v>
      </c>
      <c r="AH7319">
        <v>27.047225701500601</v>
      </c>
      <c r="AI7319">
        <v>92.294201232030403</v>
      </c>
      <c r="AJ7319">
        <v>102.424029550562</v>
      </c>
      <c r="AK7319">
        <v>27.718019633697601</v>
      </c>
      <c r="AL7319">
        <v>94.003954870460205</v>
      </c>
      <c r="AM7319">
        <v>101.884464041396</v>
      </c>
      <c r="AN7319">
        <v>0.99999998644850396</v>
      </c>
    </row>
    <row r="7320" spans="1:40" x14ac:dyDescent="0.25">
      <c r="A7320" t="str">
        <f>"20190305135107558"</f>
        <v>20190305135107558</v>
      </c>
      <c r="B7320" t="str">
        <f>"1551765067547283"</f>
        <v>1551765067547283</v>
      </c>
      <c r="C7320" t="s">
        <v>40</v>
      </c>
      <c r="D7320">
        <v>3.6562190000000001</v>
      </c>
      <c r="E7320">
        <v>0.49677060000000001</v>
      </c>
      <c r="F7320" t="s">
        <v>115</v>
      </c>
      <c r="G7320">
        <v>-229.2646</v>
      </c>
      <c r="H7320" s="1">
        <v>-3.739849E-6</v>
      </c>
      <c r="I7320">
        <v>-57.4559</v>
      </c>
      <c r="J7320">
        <v>-256.45499999999998</v>
      </c>
      <c r="K7320">
        <v>1.109504</v>
      </c>
      <c r="L7320">
        <v>-62.8598</v>
      </c>
      <c r="M7320">
        <v>0.99975639999999999</v>
      </c>
      <c r="N7320">
        <v>-5.2487360000000004E-3</v>
      </c>
      <c r="O7320">
        <v>-2.1446150000000001E-2</v>
      </c>
      <c r="P7320">
        <v>0.97992650000000003</v>
      </c>
      <c r="Q7320">
        <v>-7.4419360000000004E-2</v>
      </c>
      <c r="R7320">
        <v>0.18494940000000001</v>
      </c>
      <c r="S7320">
        <v>2.9427949999999998</v>
      </c>
      <c r="T7320">
        <v>-0.1193559</v>
      </c>
      <c r="U7320">
        <v>0.58096309999999995</v>
      </c>
      <c r="V7320">
        <v>-0.20574580000000001</v>
      </c>
      <c r="W7320">
        <v>-6.9821469999999997E-2</v>
      </c>
      <c r="X7320">
        <v>0.97611150000000002</v>
      </c>
      <c r="Y7320">
        <v>-0.21447099999999999</v>
      </c>
      <c r="Z7320">
        <v>5.6247019999999997E-3</v>
      </c>
      <c r="AA7320">
        <v>0.97671410000000003</v>
      </c>
      <c r="AB7320">
        <v>31</v>
      </c>
      <c r="AC7320">
        <v>27.190399999999901</v>
      </c>
      <c r="AD7320">
        <v>-1.1095077398490001</v>
      </c>
      <c r="AE7320">
        <v>5.4039000000000001</v>
      </c>
      <c r="AF7320">
        <v>-5.9762217735076701</v>
      </c>
      <c r="AG7320">
        <v>-1.1095077398490001</v>
      </c>
      <c r="AH7320">
        <v>27.024963435145601</v>
      </c>
      <c r="AI7320">
        <v>92.295556638261203</v>
      </c>
      <c r="AJ7320">
        <v>102.469546431775</v>
      </c>
      <c r="AK7320">
        <v>27.7000881367169</v>
      </c>
      <c r="AL7320">
        <v>94.003733048496699</v>
      </c>
      <c r="AM7320">
        <v>101.902632705071</v>
      </c>
      <c r="AN7320">
        <v>1.00000001616142</v>
      </c>
    </row>
    <row r="7321" spans="1:40" x14ac:dyDescent="0.25">
      <c r="A7321" t="str">
        <f>"20190305135107570"</f>
        <v>20190305135107570</v>
      </c>
      <c r="B7321" t="str">
        <f>"1551765067566802"</f>
        <v>1551765067566802</v>
      </c>
      <c r="C7321" t="s">
        <v>40</v>
      </c>
      <c r="D7321">
        <v>3.9661979999999999</v>
      </c>
      <c r="E7321">
        <v>0.49725789999999997</v>
      </c>
      <c r="F7321" t="s">
        <v>115</v>
      </c>
      <c r="G7321">
        <v>-229.06290000000001</v>
      </c>
      <c r="H7321" s="1">
        <v>-3.658439E-6</v>
      </c>
      <c r="I7321">
        <v>-57.432589999999998</v>
      </c>
      <c r="J7321">
        <v>-256.28750000000002</v>
      </c>
      <c r="K7321">
        <v>1.1094389999999901</v>
      </c>
      <c r="L7321">
        <v>-62.862879999999997</v>
      </c>
      <c r="M7321">
        <v>0.99976869999999995</v>
      </c>
      <c r="N7321">
        <v>-5.2736129999999999E-3</v>
      </c>
      <c r="O7321">
        <v>-2.0852869999999999E-2</v>
      </c>
      <c r="P7321">
        <v>0.97975889999999999</v>
      </c>
      <c r="Q7321">
        <v>-7.4249250000000003E-2</v>
      </c>
      <c r="R7321">
        <v>0.1859027</v>
      </c>
      <c r="S7321">
        <v>2.9423979999999998</v>
      </c>
      <c r="T7321">
        <v>-0.1191806</v>
      </c>
      <c r="U7321">
        <v>0.58297730000000003</v>
      </c>
      <c r="V7321">
        <v>-0.20612800000000001</v>
      </c>
      <c r="W7321">
        <v>-6.9594989999999995E-2</v>
      </c>
      <c r="X7321">
        <v>0.976047</v>
      </c>
      <c r="Y7321">
        <v>-0.21456059999999999</v>
      </c>
      <c r="Z7321">
        <v>5.6009900000000001E-3</v>
      </c>
      <c r="AA7321">
        <v>0.97669459999999997</v>
      </c>
      <c r="AB7321">
        <v>31</v>
      </c>
      <c r="AC7321">
        <v>27.224599999999999</v>
      </c>
      <c r="AD7321">
        <v>-1.10944265843899</v>
      </c>
      <c r="AE7321">
        <v>5.4302899999999896</v>
      </c>
      <c r="AF7321">
        <v>-5.9872655860580002</v>
      </c>
      <c r="AG7321">
        <v>-1.10944265843899</v>
      </c>
      <c r="AH7321">
        <v>27.062219134236901</v>
      </c>
      <c r="AI7321">
        <v>92.292215416765401</v>
      </c>
      <c r="AJ7321">
        <v>102.47520853965401</v>
      </c>
      <c r="AK7321">
        <v>27.738816064854301</v>
      </c>
      <c r="AL7321">
        <v>93.990725199684206</v>
      </c>
      <c r="AM7321">
        <v>101.924876469203</v>
      </c>
      <c r="AN7321">
        <v>0.99999998061304896</v>
      </c>
    </row>
    <row r="7322" spans="1:40" x14ac:dyDescent="0.25">
      <c r="A7322" t="str">
        <f>"20190305135107583"</f>
        <v>20190305135107583</v>
      </c>
      <c r="B7322" t="str">
        <f>"1551765067577538"</f>
        <v>1551765067577538</v>
      </c>
      <c r="C7322" t="s">
        <v>40</v>
      </c>
      <c r="D7322">
        <v>3.8677519999999999</v>
      </c>
      <c r="E7322">
        <v>0.49711729999999998</v>
      </c>
      <c r="F7322" t="s">
        <v>114</v>
      </c>
      <c r="G7322">
        <v>-230.57140000000001</v>
      </c>
      <c r="H7322" s="1">
        <v>1.249157E-7</v>
      </c>
      <c r="I7322">
        <v>-57.777360000000002</v>
      </c>
      <c r="J7322">
        <v>-256.1062</v>
      </c>
      <c r="K7322">
        <v>1.1093580000000001</v>
      </c>
      <c r="L7322">
        <v>-62.86609</v>
      </c>
      <c r="M7322">
        <v>0.9997798</v>
      </c>
      <c r="N7322">
        <v>-5.3003859999999998E-3</v>
      </c>
      <c r="O7322">
        <v>-2.0311039999999999E-2</v>
      </c>
      <c r="P7322">
        <v>0.97962280000000002</v>
      </c>
      <c r="Q7322">
        <v>-7.4417830000000004E-2</v>
      </c>
      <c r="R7322">
        <v>0.1865511</v>
      </c>
      <c r="S7322">
        <v>2.9419710000000001</v>
      </c>
      <c r="T7322">
        <v>-0.1269218</v>
      </c>
      <c r="U7322">
        <v>0.5817871</v>
      </c>
      <c r="V7322">
        <v>-0.20625859999999999</v>
      </c>
      <c r="W7322">
        <v>-6.9696960000000002E-2</v>
      </c>
      <c r="X7322">
        <v>0.9760122</v>
      </c>
      <c r="Y7322">
        <v>-0.21365310000000001</v>
      </c>
      <c r="Z7322">
        <v>5.8956769999999898E-3</v>
      </c>
      <c r="AA7322">
        <v>0.97689179999999998</v>
      </c>
      <c r="AB7322">
        <v>31</v>
      </c>
      <c r="AC7322">
        <v>25.534799999999901</v>
      </c>
      <c r="AD7322">
        <v>-1.1093578750843001</v>
      </c>
      <c r="AE7322">
        <v>5.08873</v>
      </c>
      <c r="AF7322">
        <v>-5.59616668192802</v>
      </c>
      <c r="AG7322">
        <v>-1.1093578750843001</v>
      </c>
      <c r="AH7322">
        <v>25.380099269305699</v>
      </c>
      <c r="AI7322">
        <v>92.444155545959404</v>
      </c>
      <c r="AJ7322">
        <v>102.434428394528</v>
      </c>
      <c r="AK7322">
        <v>26.013404147607101</v>
      </c>
      <c r="AL7322">
        <v>93.996581612319702</v>
      </c>
      <c r="AM7322">
        <v>101.932628661341</v>
      </c>
      <c r="AN7322">
        <v>1.00000004542801</v>
      </c>
    </row>
    <row r="7323" spans="1:40" x14ac:dyDescent="0.25">
      <c r="A7323" t="str">
        <f>"20190305135107594"</f>
        <v>20190305135107594</v>
      </c>
      <c r="B7323" t="str">
        <f>"1551765067587299"</f>
        <v>1551765067587299</v>
      </c>
      <c r="C7323" t="s">
        <v>40</v>
      </c>
      <c r="D7323">
        <v>3.8782990000000002</v>
      </c>
      <c r="E7323">
        <v>0.4972259</v>
      </c>
      <c r="F7323" t="s">
        <v>114</v>
      </c>
      <c r="G7323">
        <v>-230.45099999999999</v>
      </c>
      <c r="H7323" s="1">
        <v>1.6250840000000001E-7</v>
      </c>
      <c r="I7323">
        <v>-57.764620000000001</v>
      </c>
      <c r="J7323">
        <v>-255.96420000000001</v>
      </c>
      <c r="K7323">
        <v>1.1092919999999999</v>
      </c>
      <c r="L7323">
        <v>-62.8686199999999</v>
      </c>
      <c r="M7323">
        <v>0.99978750000000005</v>
      </c>
      <c r="N7323">
        <v>-5.3214259999999998E-3</v>
      </c>
      <c r="O7323">
        <v>-1.9918890000000002E-2</v>
      </c>
      <c r="P7323">
        <v>0.97944109999999995</v>
      </c>
      <c r="Q7323">
        <v>-7.4578199999999997E-2</v>
      </c>
      <c r="R7323">
        <v>0.18743850000000001</v>
      </c>
      <c r="S7323">
        <v>2.9413299999999998</v>
      </c>
      <c r="T7323">
        <v>-0.1271863</v>
      </c>
      <c r="U7323">
        <v>0.58486939999999998</v>
      </c>
      <c r="V7323">
        <v>-0.20676939999999999</v>
      </c>
      <c r="W7323">
        <v>-6.9805690000000004E-2</v>
      </c>
      <c r="X7323">
        <v>0.97589630000000005</v>
      </c>
      <c r="Y7323">
        <v>-0.21429390000000001</v>
      </c>
      <c r="Z7323">
        <v>5.9102219999999997E-3</v>
      </c>
      <c r="AA7323">
        <v>0.97675129999999999</v>
      </c>
      <c r="AB7323">
        <v>31</v>
      </c>
      <c r="AC7323">
        <v>25.513200000000001</v>
      </c>
      <c r="AD7323">
        <v>-1.1092918374916001</v>
      </c>
      <c r="AE7323">
        <v>5.1039999999999903</v>
      </c>
      <c r="AF7323">
        <v>-5.60100823234853</v>
      </c>
      <c r="AG7323">
        <v>-1.1092918374916001</v>
      </c>
      <c r="AH7323">
        <v>25.3603733053518</v>
      </c>
      <c r="AI7323">
        <v>92.445722637038202</v>
      </c>
      <c r="AJ7323">
        <v>102.45422907180701</v>
      </c>
      <c r="AK7323">
        <v>25.995198706421899</v>
      </c>
      <c r="AL7323">
        <v>94.002826759483099</v>
      </c>
      <c r="AM7323">
        <v>101.96270932893199</v>
      </c>
      <c r="AN7323">
        <v>1.00000000374321</v>
      </c>
    </row>
    <row r="7324" spans="1:40" x14ac:dyDescent="0.25">
      <c r="A7324" t="str">
        <f>"20190305135107601"</f>
        <v>20190305135107601</v>
      </c>
      <c r="B7324" t="str">
        <f>"1551765067597059"</f>
        <v>1551765067597059</v>
      </c>
      <c r="C7324" t="s">
        <v>40</v>
      </c>
      <c r="D7324">
        <v>3.8763839999999998</v>
      </c>
      <c r="E7324">
        <v>0.49701329999999999</v>
      </c>
      <c r="F7324" t="s">
        <v>114</v>
      </c>
      <c r="G7324">
        <v>-231.02930000000001</v>
      </c>
      <c r="H7324" s="1">
        <v>3.7994140000000002E-10</v>
      </c>
      <c r="I7324">
        <v>-57.8949</v>
      </c>
      <c r="J7324">
        <v>-255.84829999999999</v>
      </c>
      <c r="K7324">
        <v>1.109237</v>
      </c>
      <c r="L7324">
        <v>-62.870669999999997</v>
      </c>
      <c r="M7324">
        <v>0.99979300000000004</v>
      </c>
      <c r="N7324">
        <v>-5.3386700000000002E-3</v>
      </c>
      <c r="O7324">
        <v>-1.9639360000000002E-2</v>
      </c>
      <c r="P7324">
        <v>0.97934259999999995</v>
      </c>
      <c r="Q7324">
        <v>-7.4355240000000003E-2</v>
      </c>
      <c r="R7324">
        <v>0.1880416</v>
      </c>
      <c r="S7324">
        <v>2.94075</v>
      </c>
      <c r="T7324">
        <v>-0.13082639999999901</v>
      </c>
      <c r="U7324">
        <v>0.58657840000000006</v>
      </c>
      <c r="V7324">
        <v>-0.20710790000000001</v>
      </c>
      <c r="W7324">
        <v>-6.953906E-2</v>
      </c>
      <c r="X7324">
        <v>0.97584349999999997</v>
      </c>
      <c r="Y7324">
        <v>-0.21459059999999999</v>
      </c>
      <c r="Z7324">
        <v>6.0645839999999996E-3</v>
      </c>
      <c r="AA7324">
        <v>0.97668529999999998</v>
      </c>
      <c r="AB7324">
        <v>31</v>
      </c>
      <c r="AC7324">
        <v>24.8189999999999</v>
      </c>
      <c r="AD7324">
        <v>-1.10923699962005</v>
      </c>
      <c r="AE7324">
        <v>4.97576999999999</v>
      </c>
      <c r="AF7324">
        <v>-5.4517774760194699</v>
      </c>
      <c r="AG7324">
        <v>-1.10923699962005</v>
      </c>
      <c r="AH7324">
        <v>24.669118895885902</v>
      </c>
      <c r="AI7324">
        <v>92.513969767813194</v>
      </c>
      <c r="AJ7324">
        <v>102.461841161378</v>
      </c>
      <c r="AK7324">
        <v>25.288687420835299</v>
      </c>
      <c r="AL7324">
        <v>93.987512987148094</v>
      </c>
      <c r="AM7324">
        <v>101.982357368444</v>
      </c>
      <c r="AN7324">
        <v>0.99999994980017004</v>
      </c>
    </row>
    <row r="7325" spans="1:40" x14ac:dyDescent="0.25">
      <c r="A7325" t="str">
        <f>"20190305135107612"</f>
        <v>20190305135107612</v>
      </c>
      <c r="B7325" t="str">
        <f>"1551765067606819"</f>
        <v>1551765067606819</v>
      </c>
      <c r="C7325" t="s">
        <v>40</v>
      </c>
      <c r="D7325">
        <v>3.8138290000000001</v>
      </c>
      <c r="E7325">
        <v>0.49663990000000002</v>
      </c>
      <c r="F7325" t="s">
        <v>114</v>
      </c>
      <c r="G7325">
        <v>-230.80029999999999</v>
      </c>
      <c r="H7325" s="1">
        <v>6.4520239999999995E-8</v>
      </c>
      <c r="I7325">
        <v>-57.843089999999997</v>
      </c>
      <c r="J7325">
        <v>-255.69749999999999</v>
      </c>
      <c r="K7325">
        <v>1.109165</v>
      </c>
      <c r="L7325">
        <v>-62.8733199999999</v>
      </c>
      <c r="M7325">
        <v>0.99979929999999995</v>
      </c>
      <c r="N7325">
        <v>-5.3611650000000002E-3</v>
      </c>
      <c r="O7325">
        <v>-1.9302590000000001E-2</v>
      </c>
      <c r="P7325">
        <v>0.97916190000000003</v>
      </c>
      <c r="Q7325">
        <v>-7.4414969999999997E-2</v>
      </c>
      <c r="R7325">
        <v>0.18895609999999999</v>
      </c>
      <c r="S7325">
        <v>2.9400789999999999</v>
      </c>
      <c r="T7325">
        <v>-0.1301996</v>
      </c>
      <c r="U7325">
        <v>0.59011840000000004</v>
      </c>
      <c r="V7325">
        <v>-0.20770250000000001</v>
      </c>
      <c r="W7325">
        <v>-6.9541569999999997E-2</v>
      </c>
      <c r="X7325">
        <v>0.97571699999999995</v>
      </c>
      <c r="Y7325">
        <v>-0.2154365</v>
      </c>
      <c r="Z7325">
        <v>6.0483469999999999E-3</v>
      </c>
      <c r="AA7325">
        <v>0.97649909999999995</v>
      </c>
      <c r="AB7325">
        <v>31</v>
      </c>
      <c r="AC7325">
        <v>24.897200000000002</v>
      </c>
      <c r="AD7325">
        <v>-1.1091649354797599</v>
      </c>
      <c r="AE7325">
        <v>5.03022999999998</v>
      </c>
      <c r="AF7325">
        <v>-5.49939364092321</v>
      </c>
      <c r="AG7325">
        <v>-1.1091649354797599</v>
      </c>
      <c r="AH7325">
        <v>24.748272210180801</v>
      </c>
      <c r="AI7325">
        <v>92.505133556583203</v>
      </c>
      <c r="AJ7325">
        <v>102.52831703775099</v>
      </c>
      <c r="AK7325">
        <v>25.376180852546099</v>
      </c>
      <c r="AL7325">
        <v>93.987656903012507</v>
      </c>
      <c r="AM7325">
        <v>102.017272421942</v>
      </c>
      <c r="AN7325">
        <v>1.0000000112766501</v>
      </c>
    </row>
    <row r="7326" spans="1:40" x14ac:dyDescent="0.25">
      <c r="A7326" t="str">
        <f>"20190305135107623"</f>
        <v>20190305135107623</v>
      </c>
      <c r="B7326" t="str">
        <f>"1551765067616579"</f>
        <v>1551765067616579</v>
      </c>
      <c r="C7326" t="s">
        <v>40</v>
      </c>
      <c r="D7326">
        <v>3.8220930000000002</v>
      </c>
      <c r="E7326">
        <v>0.49605769999999999</v>
      </c>
      <c r="F7326" t="s">
        <v>114</v>
      </c>
      <c r="G7326">
        <v>-230.00299999999999</v>
      </c>
      <c r="H7326" s="1">
        <v>2.8834089999999998E-7</v>
      </c>
      <c r="I7326">
        <v>-57.664580000000001</v>
      </c>
      <c r="J7326">
        <v>-255.54470000000001</v>
      </c>
      <c r="K7326">
        <v>1.109091</v>
      </c>
      <c r="L7326">
        <v>-62.876010000000001</v>
      </c>
      <c r="M7326">
        <v>0.99980460000000004</v>
      </c>
      <c r="N7326">
        <v>-5.3840290000000002E-3</v>
      </c>
      <c r="O7326">
        <v>-1.9030829999999999E-2</v>
      </c>
      <c r="P7326">
        <v>0.97899510000000001</v>
      </c>
      <c r="Q7326">
        <v>-7.4641940000000004E-2</v>
      </c>
      <c r="R7326">
        <v>0.1897297</v>
      </c>
      <c r="S7326">
        <v>2.939209</v>
      </c>
      <c r="T7326">
        <v>-0.12687809999999999</v>
      </c>
      <c r="U7326">
        <v>0.59582519999999894</v>
      </c>
      <c r="V7326">
        <v>-0.20822070000000001</v>
      </c>
      <c r="W7326">
        <v>-6.9708179999999995E-2</v>
      </c>
      <c r="X7326">
        <v>0.97559459999999998</v>
      </c>
      <c r="Y7326">
        <v>-0.21705840000000001</v>
      </c>
      <c r="Z7326">
        <v>5.9380530000000004E-3</v>
      </c>
      <c r="AA7326">
        <v>0.97614060000000002</v>
      </c>
      <c r="AB7326">
        <v>31</v>
      </c>
      <c r="AC7326">
        <v>25.541699999999999</v>
      </c>
      <c r="AD7326">
        <v>-1.1090907116591</v>
      </c>
      <c r="AE7326">
        <v>5.2114299999999902</v>
      </c>
      <c r="AF7326">
        <v>-5.6862797026679504</v>
      </c>
      <c r="AG7326">
        <v>-1.1090907116591</v>
      </c>
      <c r="AH7326">
        <v>25.391931083974701</v>
      </c>
      <c r="AI7326">
        <v>92.440650827517103</v>
      </c>
      <c r="AJ7326">
        <v>102.62258623712999</v>
      </c>
      <c r="AK7326">
        <v>26.044462429410601</v>
      </c>
      <c r="AL7326">
        <v>93.997226392706295</v>
      </c>
      <c r="AM7326">
        <v>102.04784695104399</v>
      </c>
      <c r="AN7326">
        <v>0.99999995690828003</v>
      </c>
    </row>
    <row r="7327" spans="1:40" x14ac:dyDescent="0.25">
      <c r="A7327" t="str">
        <f>"20190305135107635"</f>
        <v>20190305135107635</v>
      </c>
      <c r="B7327" t="str">
        <f>"1551765067627315"</f>
        <v>1551765067627315</v>
      </c>
      <c r="C7327" t="s">
        <v>40</v>
      </c>
      <c r="D7327">
        <v>3.810829</v>
      </c>
      <c r="E7327">
        <v>0.49540820000000002</v>
      </c>
      <c r="F7327" t="s">
        <v>115</v>
      </c>
      <c r="G7327">
        <v>-229.45959999999999</v>
      </c>
      <c r="H7327" s="1">
        <v>-3.808454E-6</v>
      </c>
      <c r="I7327">
        <v>-57.523960000000002</v>
      </c>
      <c r="J7327">
        <v>-255.37970000000001</v>
      </c>
      <c r="K7327">
        <v>1.109002</v>
      </c>
      <c r="L7327">
        <v>-62.878909999999998</v>
      </c>
      <c r="M7327">
        <v>0.99980910000000001</v>
      </c>
      <c r="N7327">
        <v>-5.408805E-3</v>
      </c>
      <c r="O7327">
        <v>-1.8782130000000001E-2</v>
      </c>
      <c r="P7327">
        <v>0.97879539999999998</v>
      </c>
      <c r="Q7327">
        <v>-7.4604569999999995E-2</v>
      </c>
      <c r="R7327">
        <v>0.190772</v>
      </c>
      <c r="S7327">
        <v>2.9380190000000002</v>
      </c>
      <c r="T7327">
        <v>-0.1249199</v>
      </c>
      <c r="U7327">
        <v>0.60281370000000001</v>
      </c>
      <c r="V7327">
        <v>-0.20903060000000001</v>
      </c>
      <c r="W7327">
        <v>-6.9606310000000005E-2</v>
      </c>
      <c r="X7327">
        <v>0.97542870000000004</v>
      </c>
      <c r="Y7327">
        <v>-0.21912609999999999</v>
      </c>
      <c r="Z7327">
        <v>5.8973059999999997E-3</v>
      </c>
      <c r="AA7327">
        <v>0.97567870000000001</v>
      </c>
      <c r="AB7327">
        <v>31</v>
      </c>
      <c r="AC7327">
        <v>25.920100000000001</v>
      </c>
      <c r="AD7327">
        <v>-1.109005808454</v>
      </c>
      <c r="AE7327">
        <v>5.3549499999999997</v>
      </c>
      <c r="AF7327">
        <v>-5.8306104827123599</v>
      </c>
      <c r="AG7327">
        <v>-1.109005808454</v>
      </c>
      <c r="AH7327">
        <v>25.769705661397801</v>
      </c>
      <c r="AI7327">
        <v>92.403537719987099</v>
      </c>
      <c r="AJ7327">
        <v>102.74898775280499</v>
      </c>
      <c r="AK7327">
        <v>26.444349913722199</v>
      </c>
      <c r="AL7327">
        <v>93.991375329261203</v>
      </c>
      <c r="AM7327">
        <v>102.09532790498901</v>
      </c>
      <c r="AN7327">
        <v>0.99999998945593305</v>
      </c>
    </row>
    <row r="7328" spans="1:40" x14ac:dyDescent="0.25">
      <c r="A7328" t="str">
        <f>"20190305135107645"</f>
        <v>20190305135107645</v>
      </c>
      <c r="B7328" t="str">
        <f>"1551765067637075"</f>
        <v>1551765067637075</v>
      </c>
      <c r="C7328" t="s">
        <v>40</v>
      </c>
      <c r="D7328">
        <v>3.8081260000000001</v>
      </c>
      <c r="E7328">
        <v>0.49484040000000001</v>
      </c>
      <c r="F7328" t="s">
        <v>115</v>
      </c>
      <c r="G7328">
        <v>-228.7646</v>
      </c>
      <c r="H7328" s="1">
        <v>-3.5509350000000001E-6</v>
      </c>
      <c r="I7328">
        <v>-57.340150000000001</v>
      </c>
      <c r="J7328">
        <v>-255.22739999999999</v>
      </c>
      <c r="K7328">
        <v>1.108927</v>
      </c>
      <c r="L7328">
        <v>-62.881590000000003</v>
      </c>
      <c r="M7328">
        <v>0.99981240000000005</v>
      </c>
      <c r="N7328">
        <v>-5.4317499999999999E-3</v>
      </c>
      <c r="O7328">
        <v>-1.8596959999999999E-2</v>
      </c>
      <c r="P7328">
        <v>0.97868359999999999</v>
      </c>
      <c r="Q7328">
        <v>-7.4606370000000005E-2</v>
      </c>
      <c r="R7328">
        <v>0.19134409999999999</v>
      </c>
      <c r="S7328">
        <v>2.9365540000000001</v>
      </c>
      <c r="T7328">
        <v>-0.12236130000000001</v>
      </c>
      <c r="U7328">
        <v>0.6111145</v>
      </c>
      <c r="V7328">
        <v>-0.2094328</v>
      </c>
      <c r="W7328">
        <v>-6.9547860000000003E-2</v>
      </c>
      <c r="X7328">
        <v>0.97534659999999995</v>
      </c>
      <c r="Y7328">
        <v>-0.22169169999999999</v>
      </c>
      <c r="Z7328">
        <v>5.8434860000000002E-3</v>
      </c>
      <c r="AA7328">
        <v>0.9750993</v>
      </c>
      <c r="AB7328">
        <v>31</v>
      </c>
      <c r="AC7328">
        <v>26.462799999999898</v>
      </c>
      <c r="AD7328">
        <v>-1.108930550935</v>
      </c>
      <c r="AE7328">
        <v>5.5414399999999997</v>
      </c>
      <c r="AF7328">
        <v>-6.0224849723125198</v>
      </c>
      <c r="AG7328">
        <v>-1.108930550935</v>
      </c>
      <c r="AH7328">
        <v>26.3109056151598</v>
      </c>
      <c r="AI7328">
        <v>92.352652953811997</v>
      </c>
      <c r="AJ7328">
        <v>102.892723046928</v>
      </c>
      <c r="AK7328">
        <v>27.014140861748299</v>
      </c>
      <c r="AL7328">
        <v>93.988018227812105</v>
      </c>
      <c r="AM7328">
        <v>102.11890344356701</v>
      </c>
      <c r="AN7328">
        <v>0.99999999633898895</v>
      </c>
    </row>
    <row r="7329" spans="1:40" x14ac:dyDescent="0.25">
      <c r="A7329" t="str">
        <f>"20190305135107657"</f>
        <v>20190305135107657</v>
      </c>
      <c r="B7329" t="str">
        <f>"1551765067646835"</f>
        <v>1551765067646835</v>
      </c>
      <c r="C7329" t="s">
        <v>40</v>
      </c>
      <c r="D7329">
        <v>3.7977850000000002</v>
      </c>
      <c r="E7329">
        <v>0.4943304</v>
      </c>
      <c r="F7329" t="s">
        <v>115</v>
      </c>
      <c r="G7329">
        <v>-228.06739999999999</v>
      </c>
      <c r="H7329" s="1">
        <v>-3.2895699999999998E-6</v>
      </c>
      <c r="I7329">
        <v>-57.169490000000003</v>
      </c>
      <c r="J7329">
        <v>-255.0669</v>
      </c>
      <c r="K7329">
        <v>1.1088549999999999</v>
      </c>
      <c r="L7329">
        <v>-62.884430000000002</v>
      </c>
      <c r="M7329">
        <v>0.9998148</v>
      </c>
      <c r="N7329">
        <v>-5.4559119999999899E-3</v>
      </c>
      <c r="O7329">
        <v>-1.845519E-2</v>
      </c>
      <c r="P7329">
        <v>0.97854070000000004</v>
      </c>
      <c r="Q7329">
        <v>-7.4755970000000005E-2</v>
      </c>
      <c r="R7329">
        <v>0.19201489999999999</v>
      </c>
      <c r="S7329">
        <v>2.935486</v>
      </c>
      <c r="T7329">
        <v>-0.11985460000000001</v>
      </c>
      <c r="U7329">
        <v>0.61737059999999999</v>
      </c>
      <c r="V7329">
        <v>-0.2099751</v>
      </c>
      <c r="W7329">
        <v>-6.963693E-2</v>
      </c>
      <c r="X7329">
        <v>0.97522370000000003</v>
      </c>
      <c r="Y7329">
        <v>-0.2236215</v>
      </c>
      <c r="Z7329">
        <v>5.7767469999999996E-3</v>
      </c>
      <c r="AA7329">
        <v>0.97465900000000005</v>
      </c>
      <c r="AB7329">
        <v>31</v>
      </c>
      <c r="AC7329">
        <v>26.999500000000001</v>
      </c>
      <c r="AD7329">
        <v>-1.1088582895700001</v>
      </c>
      <c r="AE7329">
        <v>5.7149399999999897</v>
      </c>
      <c r="AF7329">
        <v>-6.20224218890983</v>
      </c>
      <c r="AG7329">
        <v>-1.1088582895700001</v>
      </c>
      <c r="AH7329">
        <v>26.8460898464945</v>
      </c>
      <c r="AI7329">
        <v>92.304580616218104</v>
      </c>
      <c r="AJ7329">
        <v>103.008781358709</v>
      </c>
      <c r="AK7329">
        <v>27.575531090484802</v>
      </c>
      <c r="AL7329">
        <v>93.9931337319844</v>
      </c>
      <c r="AM7329">
        <v>102.150838343432</v>
      </c>
      <c r="AN7329">
        <v>1.0000000548407599</v>
      </c>
    </row>
    <row r="7330" spans="1:40" x14ac:dyDescent="0.25">
      <c r="A7330" t="str">
        <f>"20190305135107668"</f>
        <v>20190305135107668</v>
      </c>
      <c r="B7330" t="str">
        <f>"1551765067656596"</f>
        <v>1551765067656596</v>
      </c>
      <c r="C7330" t="s">
        <v>40</v>
      </c>
      <c r="D7330">
        <v>3.765911</v>
      </c>
      <c r="E7330">
        <v>0.49390610000000001</v>
      </c>
      <c r="F7330" t="s">
        <v>115</v>
      </c>
      <c r="G7330">
        <v>-227.47069999999999</v>
      </c>
      <c r="H7330" s="1">
        <v>-3.0662730000000001E-6</v>
      </c>
      <c r="I7330">
        <v>-57.021740000000001</v>
      </c>
      <c r="J7330">
        <v>-254.91550000000001</v>
      </c>
      <c r="K7330">
        <v>1.1087880000000001</v>
      </c>
      <c r="L7330">
        <v>-62.887120000000003</v>
      </c>
      <c r="M7330">
        <v>0.99981679999999995</v>
      </c>
      <c r="N7330">
        <v>-5.4787109999999998E-3</v>
      </c>
      <c r="O7330">
        <v>-1.8343930000000001E-2</v>
      </c>
      <c r="P7330">
        <v>0.97840519999999997</v>
      </c>
      <c r="Q7330">
        <v>-7.4710739999999998E-2</v>
      </c>
      <c r="R7330">
        <v>0.19272149999999999</v>
      </c>
      <c r="S7330">
        <v>2.9344640000000002</v>
      </c>
      <c r="T7330">
        <v>-0.1179113</v>
      </c>
      <c r="U7330">
        <v>0.62341309999999905</v>
      </c>
      <c r="V7330">
        <v>-0.21058250000000001</v>
      </c>
      <c r="W7330">
        <v>-6.9535659999999999E-2</v>
      </c>
      <c r="X7330">
        <v>0.97509990000000002</v>
      </c>
      <c r="Y7330">
        <v>-0.22550690000000001</v>
      </c>
      <c r="Z7330">
        <v>5.7333769999999996E-3</v>
      </c>
      <c r="AA7330">
        <v>0.97422470000000005</v>
      </c>
      <c r="AB7330">
        <v>32</v>
      </c>
      <c r="AC7330">
        <v>27.444800000000001</v>
      </c>
      <c r="AD7330">
        <v>-1.1087910662729901</v>
      </c>
      <c r="AE7330">
        <v>5.8653799999999903</v>
      </c>
      <c r="AF7330">
        <v>-6.3579217886835302</v>
      </c>
      <c r="AG7330">
        <v>-1.1087910662729901</v>
      </c>
      <c r="AH7330">
        <v>27.289988457206299</v>
      </c>
      <c r="AI7330">
        <v>92.266026118574402</v>
      </c>
      <c r="AJ7330">
        <v>103.11462299889099</v>
      </c>
      <c r="AK7330">
        <v>28.042754092530199</v>
      </c>
      <c r="AL7330">
        <v>93.987317483743098</v>
      </c>
      <c r="AM7330">
        <v>102.18643933683499</v>
      </c>
      <c r="AN7330">
        <v>1.00000000614894</v>
      </c>
    </row>
    <row r="7331" spans="1:40" x14ac:dyDescent="0.25">
      <c r="A7331" t="str">
        <f>"20190305135107680"</f>
        <v>20190305135107680</v>
      </c>
      <c r="B7331" t="str">
        <f>"1551765067677092"</f>
        <v>1551765067677092</v>
      </c>
      <c r="C7331" t="s">
        <v>40</v>
      </c>
      <c r="D7331">
        <v>3.7695379999999998</v>
      </c>
      <c r="E7331">
        <v>0.49316179999999898</v>
      </c>
      <c r="F7331" t="s">
        <v>115</v>
      </c>
      <c r="G7331">
        <v>-226.69710000000001</v>
      </c>
      <c r="H7331" s="1">
        <v>-2.7750449999999999E-6</v>
      </c>
      <c r="I7331">
        <v>-56.837870000000002</v>
      </c>
      <c r="J7331">
        <v>-254.75210000000001</v>
      </c>
      <c r="K7331">
        <v>1.1087260000000001</v>
      </c>
      <c r="L7331">
        <v>-62.890079999999998</v>
      </c>
      <c r="M7331">
        <v>0.99981779999999998</v>
      </c>
      <c r="N7331">
        <v>-5.5031389999999998E-3</v>
      </c>
      <c r="O7331">
        <v>-1.8284399999999999E-2</v>
      </c>
      <c r="P7331">
        <v>0.97832070000000004</v>
      </c>
      <c r="Q7331">
        <v>-7.4800480000000003E-2</v>
      </c>
      <c r="R7331">
        <v>0.1931165</v>
      </c>
      <c r="S7331">
        <v>2.9335629999999999</v>
      </c>
      <c r="T7331">
        <v>-0.1152692</v>
      </c>
      <c r="U7331">
        <v>0.62887569999999904</v>
      </c>
      <c r="V7331">
        <v>-0.2109289</v>
      </c>
      <c r="W7331">
        <v>-6.9568829999999998E-2</v>
      </c>
      <c r="X7331">
        <v>0.97502270000000002</v>
      </c>
      <c r="Y7331">
        <v>-0.2272516</v>
      </c>
      <c r="Z7331">
        <v>5.6565390000000004E-3</v>
      </c>
      <c r="AA7331">
        <v>0.97381969999999995</v>
      </c>
      <c r="AB7331">
        <v>32</v>
      </c>
      <c r="AC7331">
        <v>28.055</v>
      </c>
      <c r="AD7331">
        <v>-1.1087287750449999</v>
      </c>
      <c r="AE7331">
        <v>6.0522099999999996</v>
      </c>
      <c r="AF7331">
        <v>-6.5543932005933101</v>
      </c>
      <c r="AG7331">
        <v>-1.1087287750449999</v>
      </c>
      <c r="AH7331">
        <v>27.8980130893544</v>
      </c>
      <c r="AI7331">
        <v>92.215599607213406</v>
      </c>
      <c r="AJ7331">
        <v>103.22135950132299</v>
      </c>
      <c r="AK7331">
        <v>28.6790600274553</v>
      </c>
      <c r="AL7331">
        <v>93.989222446138399</v>
      </c>
      <c r="AM7331">
        <v>102.206822454902</v>
      </c>
      <c r="AN7331">
        <v>1.00000004423903</v>
      </c>
    </row>
    <row r="7332" spans="1:40" x14ac:dyDescent="0.25">
      <c r="A7332" t="str">
        <f>"20190305135107691"</f>
        <v>20190305135107691</v>
      </c>
      <c r="B7332" t="str">
        <f>"1551765067686851"</f>
        <v>1551765067686851</v>
      </c>
      <c r="C7332" t="s">
        <v>40</v>
      </c>
      <c r="D7332">
        <v>3.9161760000000001</v>
      </c>
      <c r="E7332">
        <v>0.4931565</v>
      </c>
      <c r="F7332" t="s">
        <v>115</v>
      </c>
      <c r="G7332">
        <v>-225.36439999999999</v>
      </c>
      <c r="H7332" s="1">
        <v>-2.274341E-6</v>
      </c>
      <c r="I7332">
        <v>-56.516559999999998</v>
      </c>
      <c r="J7332">
        <v>-254.59110000000001</v>
      </c>
      <c r="K7332">
        <v>1.108665</v>
      </c>
      <c r="L7332">
        <v>-62.892969999999998</v>
      </c>
      <c r="M7332">
        <v>0.9998184</v>
      </c>
      <c r="N7332">
        <v>-5.5271770000000003E-3</v>
      </c>
      <c r="O7332">
        <v>-1.8240719999999998E-2</v>
      </c>
      <c r="P7332">
        <v>0.97824420000000001</v>
      </c>
      <c r="Q7332">
        <v>-7.4652479999999993E-2</v>
      </c>
      <c r="R7332">
        <v>0.1935598</v>
      </c>
      <c r="S7332">
        <v>2.93248</v>
      </c>
      <c r="T7332">
        <v>-0.11063530000000001</v>
      </c>
      <c r="U7332">
        <v>0.6359863</v>
      </c>
      <c r="V7332">
        <v>-0.21133869999999999</v>
      </c>
      <c r="W7332">
        <v>-6.9366449999999996E-2</v>
      </c>
      <c r="X7332">
        <v>0.97494829999999999</v>
      </c>
      <c r="Y7332">
        <v>-0.2295518</v>
      </c>
      <c r="Z7332">
        <v>5.5016719999999896E-3</v>
      </c>
      <c r="AA7332">
        <v>0.9732809</v>
      </c>
      <c r="AB7332">
        <v>32</v>
      </c>
      <c r="AC7332">
        <v>29.226700000000001</v>
      </c>
      <c r="AD7332">
        <v>-1.108667274341</v>
      </c>
      <c r="AE7332">
        <v>6.3764099999999999</v>
      </c>
      <c r="AF7332">
        <v>-6.8989970585633102</v>
      </c>
      <c r="AG7332">
        <v>-1.108667274341</v>
      </c>
      <c r="AH7332">
        <v>29.065601771919699</v>
      </c>
      <c r="AI7332">
        <v>92.125413833161204</v>
      </c>
      <c r="AJ7332">
        <v>103.35259863765801</v>
      </c>
      <c r="AK7332">
        <v>29.893720241935199</v>
      </c>
      <c r="AL7332">
        <v>93.977599145948901</v>
      </c>
      <c r="AM7332">
        <v>102.230730326157</v>
      </c>
      <c r="AN7332">
        <v>0.99999996908808997</v>
      </c>
    </row>
    <row r="7333" spans="1:40" x14ac:dyDescent="0.25">
      <c r="A7333" t="str">
        <f>"20190305135107702"</f>
        <v>20190305135107702</v>
      </c>
      <c r="B7333" t="str">
        <f>"1551765067697586"</f>
        <v>1551765067697586</v>
      </c>
      <c r="C7333" t="s">
        <v>40</v>
      </c>
      <c r="D7333">
        <v>3.7835359999999998</v>
      </c>
      <c r="E7333">
        <v>0.49283510000000003</v>
      </c>
      <c r="F7333" t="s">
        <v>115</v>
      </c>
      <c r="G7333">
        <v>-225.2304</v>
      </c>
      <c r="H7333" s="1">
        <v>-2.2179820000000001E-6</v>
      </c>
      <c r="I7333">
        <v>-56.511519999999997</v>
      </c>
      <c r="J7333">
        <v>-254.42910000000001</v>
      </c>
      <c r="K7333">
        <v>1.108616</v>
      </c>
      <c r="L7333">
        <v>-62.895940000000003</v>
      </c>
      <c r="M7333">
        <v>0.99981830000000005</v>
      </c>
      <c r="N7333">
        <v>-5.551261E-3</v>
      </c>
      <c r="O7333">
        <v>-1.824396E-2</v>
      </c>
      <c r="P7333">
        <v>0.97819670000000003</v>
      </c>
      <c r="Q7333">
        <v>-7.4587199999999895E-2</v>
      </c>
      <c r="R7333">
        <v>0.19382489999999999</v>
      </c>
      <c r="S7333">
        <v>2.932175</v>
      </c>
      <c r="T7333">
        <v>-0.1107196</v>
      </c>
      <c r="U7333">
        <v>0.63729859999999905</v>
      </c>
      <c r="V7333">
        <v>-0.21161460000000001</v>
      </c>
      <c r="W7333">
        <v>-6.9251450000000006E-2</v>
      </c>
      <c r="X7333">
        <v>0.97489669999999895</v>
      </c>
      <c r="Y7333">
        <v>-0.2299911</v>
      </c>
      <c r="Z7333">
        <v>5.5176519999999996E-3</v>
      </c>
      <c r="AA7333">
        <v>0.97317710000000002</v>
      </c>
      <c r="AB7333">
        <v>32</v>
      </c>
      <c r="AC7333">
        <v>29.198699999999999</v>
      </c>
      <c r="AD7333">
        <v>-1.1086182179819899</v>
      </c>
      <c r="AE7333">
        <v>6.3844200000000004</v>
      </c>
      <c r="AF7333">
        <v>-6.9065633885747797</v>
      </c>
      <c r="AG7333">
        <v>-1.1086182179819899</v>
      </c>
      <c r="AH7333">
        <v>29.037411683861901</v>
      </c>
      <c r="AI7333">
        <v>92.127146581715706</v>
      </c>
      <c r="AJ7333">
        <v>103.379227775487</v>
      </c>
      <c r="AK7333">
        <v>29.868058683009899</v>
      </c>
      <c r="AL7333">
        <v>93.970993969995504</v>
      </c>
      <c r="AM7333">
        <v>102.246844439694</v>
      </c>
      <c r="AN7333">
        <v>1.0000000389655701</v>
      </c>
    </row>
    <row r="7334" spans="1:40" x14ac:dyDescent="0.25">
      <c r="A7334" t="str">
        <f>"20190305135107714"</f>
        <v>20190305135107714</v>
      </c>
      <c r="B7334" t="str">
        <f>"1551765067707346"</f>
        <v>1551765067707346</v>
      </c>
      <c r="C7334" t="s">
        <v>40</v>
      </c>
      <c r="D7334">
        <v>3.779722</v>
      </c>
      <c r="E7334">
        <v>0.49254759999999997</v>
      </c>
      <c r="F7334" t="s">
        <v>115</v>
      </c>
      <c r="G7334">
        <v>-224.39879999999999</v>
      </c>
      <c r="H7334" s="1">
        <v>-1.9009779999999999E-6</v>
      </c>
      <c r="I7334">
        <v>-56.331740000000003</v>
      </c>
      <c r="J7334">
        <v>-254.26859999999999</v>
      </c>
      <c r="K7334">
        <v>1.108573</v>
      </c>
      <c r="L7334">
        <v>-62.898859999999999</v>
      </c>
      <c r="M7334">
        <v>0.99981770000000003</v>
      </c>
      <c r="N7334">
        <v>-5.5750269999999998E-3</v>
      </c>
      <c r="O7334">
        <v>-1.826113E-2</v>
      </c>
      <c r="P7334">
        <v>0.97816190000000003</v>
      </c>
      <c r="Q7334">
        <v>-7.4514839999999999E-2</v>
      </c>
      <c r="R7334">
        <v>0.1940277</v>
      </c>
      <c r="S7334">
        <v>2.93161</v>
      </c>
      <c r="T7334">
        <v>-0.10822519999999999</v>
      </c>
      <c r="U7334">
        <v>0.64080809999999999</v>
      </c>
      <c r="V7334">
        <v>-0.21184140000000001</v>
      </c>
      <c r="W7334">
        <v>-6.9132100000000002E-2</v>
      </c>
      <c r="X7334">
        <v>0.9748559</v>
      </c>
      <c r="Y7334">
        <v>-0.2311657</v>
      </c>
      <c r="Z7334">
        <v>5.4337150000000004E-3</v>
      </c>
      <c r="AA7334">
        <v>0.97289919999999996</v>
      </c>
      <c r="AB7334">
        <v>32</v>
      </c>
      <c r="AC7334">
        <v>29.869800000000001</v>
      </c>
      <c r="AD7334">
        <v>-1.1085749009779999</v>
      </c>
      <c r="AE7334">
        <v>6.5671199999999903</v>
      </c>
      <c r="AF7334">
        <v>-7.1021581240657197</v>
      </c>
      <c r="AG7334">
        <v>-1.1085749009779999</v>
      </c>
      <c r="AH7334">
        <v>29.705863497779799</v>
      </c>
      <c r="AI7334">
        <v>92.078664611448502</v>
      </c>
      <c r="AJ7334">
        <v>103.44602809275401</v>
      </c>
      <c r="AK7334">
        <v>30.563179063687699</v>
      </c>
      <c r="AL7334">
        <v>93.964139342831999</v>
      </c>
      <c r="AM7334">
        <v>102.260070918803</v>
      </c>
      <c r="AN7334">
        <v>1.00000002588458</v>
      </c>
    </row>
    <row r="7335" spans="1:40" x14ac:dyDescent="0.25">
      <c r="A7335" t="str">
        <f>"20190305135107724"</f>
        <v>20190305135107724</v>
      </c>
      <c r="B7335" t="str">
        <f>"1551765067717108"</f>
        <v>1551765067717108</v>
      </c>
      <c r="C7335" t="s">
        <v>40</v>
      </c>
      <c r="D7335">
        <v>3.7806929999999999</v>
      </c>
      <c r="E7335">
        <v>0.49229719999999999</v>
      </c>
      <c r="F7335" t="s">
        <v>115</v>
      </c>
      <c r="G7335">
        <v>-223.55539999999999</v>
      </c>
      <c r="H7335" s="1">
        <v>-1.6419389999999999E-6</v>
      </c>
      <c r="I7335">
        <v>-56.154159999999997</v>
      </c>
      <c r="J7335">
        <v>-254.1079</v>
      </c>
      <c r="K7335">
        <v>1.1085389999999999</v>
      </c>
      <c r="L7335">
        <v>-62.901820000000001</v>
      </c>
      <c r="M7335">
        <v>0.99981679999999995</v>
      </c>
      <c r="N7335">
        <v>-5.5987010000000002E-3</v>
      </c>
      <c r="O7335">
        <v>-1.8302820000000001E-2</v>
      </c>
      <c r="P7335">
        <v>0.97819529999999999</v>
      </c>
      <c r="Q7335">
        <v>-7.4187530000000002E-2</v>
      </c>
      <c r="R7335">
        <v>0.19398489999999999</v>
      </c>
      <c r="S7335">
        <v>2.931244</v>
      </c>
      <c r="T7335">
        <v>-0.1058012</v>
      </c>
      <c r="U7335">
        <v>0.64370729999999998</v>
      </c>
      <c r="V7335">
        <v>-0.21184639999999999</v>
      </c>
      <c r="W7335">
        <v>-6.8761320000000001E-2</v>
      </c>
      <c r="X7335">
        <v>0.974881</v>
      </c>
      <c r="Y7335">
        <v>-0.23215649999999999</v>
      </c>
      <c r="Z7335">
        <v>5.3486619999999997E-3</v>
      </c>
      <c r="AA7335">
        <v>0.97266379999999997</v>
      </c>
      <c r="AB7335">
        <v>32</v>
      </c>
      <c r="AC7335">
        <v>30.552499999999998</v>
      </c>
      <c r="AD7335">
        <v>-1.108540641939</v>
      </c>
      <c r="AE7335">
        <v>6.74765999999999</v>
      </c>
      <c r="AF7335">
        <v>-7.2965763871493596</v>
      </c>
      <c r="AG7335">
        <v>-1.108540641939</v>
      </c>
      <c r="AH7335">
        <v>30.385737441442298</v>
      </c>
      <c r="AI7335">
        <v>92.031649117493799</v>
      </c>
      <c r="AJ7335">
        <v>103.502863672833</v>
      </c>
      <c r="AK7335">
        <v>31.269184978003501</v>
      </c>
      <c r="AL7335">
        <v>93.942844680590596</v>
      </c>
      <c r="AM7335">
        <v>102.260045419013</v>
      </c>
      <c r="AN7335">
        <v>0.99999999024105102</v>
      </c>
    </row>
    <row r="7336" spans="1:40" x14ac:dyDescent="0.25">
      <c r="A7336" t="str">
        <f>"20190305135107735"</f>
        <v>20190305135107735</v>
      </c>
      <c r="B7336" t="str">
        <f>"1551765067726868"</f>
        <v>1551765067726868</v>
      </c>
      <c r="C7336" t="s">
        <v>40</v>
      </c>
      <c r="D7336">
        <v>3.9670999999999998</v>
      </c>
      <c r="E7336">
        <v>0.49237720000000001</v>
      </c>
      <c r="F7336" t="s">
        <v>115</v>
      </c>
      <c r="G7336">
        <v>-222.51259999999999</v>
      </c>
      <c r="H7336" s="1">
        <v>-1.352738E-6</v>
      </c>
      <c r="I7336">
        <v>-55.94229</v>
      </c>
      <c r="J7336">
        <v>-253.9545</v>
      </c>
      <c r="K7336">
        <v>1.108509</v>
      </c>
      <c r="L7336">
        <v>-62.904690000000002</v>
      </c>
      <c r="M7336">
        <v>0.99981569999999997</v>
      </c>
      <c r="N7336">
        <v>-5.6212170000000004E-3</v>
      </c>
      <c r="O7336">
        <v>-1.8356379999999999E-2</v>
      </c>
      <c r="P7336">
        <v>0.97824670000000002</v>
      </c>
      <c r="Q7336">
        <v>-7.3876310000000001E-2</v>
      </c>
      <c r="R7336">
        <v>0.19384470000000001</v>
      </c>
      <c r="S7336">
        <v>2.9310610000000001</v>
      </c>
      <c r="T7336">
        <v>-0.10283829999999999</v>
      </c>
      <c r="U7336">
        <v>0.64562989999999998</v>
      </c>
      <c r="V7336">
        <v>-0.2117646</v>
      </c>
      <c r="W7336">
        <v>-6.8411620000000006E-2</v>
      </c>
      <c r="X7336">
        <v>0.9749234</v>
      </c>
      <c r="Y7336">
        <v>-0.2328385</v>
      </c>
      <c r="Z7336">
        <v>5.2320989999999996E-3</v>
      </c>
      <c r="AA7336">
        <v>0.97250130000000001</v>
      </c>
      <c r="AB7336">
        <v>32</v>
      </c>
      <c r="AC7336">
        <v>31.4419</v>
      </c>
      <c r="AD7336">
        <v>-1.108510352738</v>
      </c>
      <c r="AE7336">
        <v>6.9623999999999997</v>
      </c>
      <c r="AF7336">
        <v>-7.5294739575391496</v>
      </c>
      <c r="AG7336">
        <v>-1.108510352738</v>
      </c>
      <c r="AH7336">
        <v>31.271742546606799</v>
      </c>
      <c r="AI7336">
        <v>91.973791087372803</v>
      </c>
      <c r="AJ7336">
        <v>103.537746623518</v>
      </c>
      <c r="AK7336">
        <v>32.184525088629798</v>
      </c>
      <c r="AL7336">
        <v>93.922760952686801</v>
      </c>
      <c r="AM7336">
        <v>102.254937677209</v>
      </c>
      <c r="AN7336">
        <v>1.0000000157158699</v>
      </c>
    </row>
    <row r="7337" spans="1:40" x14ac:dyDescent="0.25">
      <c r="A7337" t="str">
        <f>"20190305135107746"</f>
        <v>20190305135107746</v>
      </c>
      <c r="B7337" t="str">
        <f>"1551765067737602"</f>
        <v>1551765067737602</v>
      </c>
      <c r="C7337" t="s">
        <v>40</v>
      </c>
      <c r="D7337">
        <v>3.9567649999999999</v>
      </c>
      <c r="E7337">
        <v>0.49245220000000001</v>
      </c>
      <c r="F7337" t="s">
        <v>115</v>
      </c>
      <c r="G7337">
        <v>-222.42099999999999</v>
      </c>
      <c r="H7337" s="1">
        <v>-1.3124680000000001E-6</v>
      </c>
      <c r="I7337">
        <v>-55.971580000000003</v>
      </c>
      <c r="J7337">
        <v>-253.79910000000001</v>
      </c>
      <c r="K7337">
        <v>1.1084830000000001</v>
      </c>
      <c r="L7337">
        <v>-62.907589999999999</v>
      </c>
      <c r="M7337">
        <v>0.99981450000000005</v>
      </c>
      <c r="N7337">
        <v>-5.6439799999999998E-3</v>
      </c>
      <c r="O7337">
        <v>-1.8421119999999999E-2</v>
      </c>
      <c r="P7337">
        <v>0.97833740000000002</v>
      </c>
      <c r="Q7337">
        <v>-7.3499990000000001E-2</v>
      </c>
      <c r="R7337">
        <v>0.1935306</v>
      </c>
      <c r="S7337">
        <v>2.9312130000000001</v>
      </c>
      <c r="T7337">
        <v>-0.1030421</v>
      </c>
      <c r="U7337">
        <v>0.64447019999999899</v>
      </c>
      <c r="V7337">
        <v>-0.21151990000000001</v>
      </c>
      <c r="W7337">
        <v>-6.799848E-2</v>
      </c>
      <c r="X7337">
        <v>0.97500540000000002</v>
      </c>
      <c r="Y7337">
        <v>-0.23252329999999999</v>
      </c>
      <c r="Z7337">
        <v>5.2390659999999997E-3</v>
      </c>
      <c r="AA7337">
        <v>0.97257669999999996</v>
      </c>
      <c r="AB7337">
        <v>32</v>
      </c>
      <c r="AC7337">
        <v>31.3781</v>
      </c>
      <c r="AD7337">
        <v>-1.1084843124679999</v>
      </c>
      <c r="AE7337">
        <v>6.9360099999999898</v>
      </c>
      <c r="AF7337">
        <v>-7.5039334622031104</v>
      </c>
      <c r="AG7337">
        <v>-1.1084843124679999</v>
      </c>
      <c r="AH7337">
        <v>31.207872100311501</v>
      </c>
      <c r="AI7337">
        <v>91.977927411591494</v>
      </c>
      <c r="AJ7337">
        <v>103.52011073607299</v>
      </c>
      <c r="AK7337">
        <v>32.116491650016201</v>
      </c>
      <c r="AL7337">
        <v>93.8990346015282</v>
      </c>
      <c r="AM7337">
        <v>102.240205523425</v>
      </c>
      <c r="AN7337">
        <v>0.99999999570373999</v>
      </c>
    </row>
    <row r="7338" spans="1:40" x14ac:dyDescent="0.25">
      <c r="A7338" t="str">
        <f>"20190305135107760"</f>
        <v>20190305135107760</v>
      </c>
      <c r="B7338" t="str">
        <f>"1551765067747363"</f>
        <v>1551765067747363</v>
      </c>
      <c r="C7338" t="s">
        <v>40</v>
      </c>
      <c r="D7338">
        <v>3.9364189999999999</v>
      </c>
      <c r="E7338">
        <v>0.49250149999999998</v>
      </c>
      <c r="F7338" t="s">
        <v>115</v>
      </c>
      <c r="G7338">
        <v>-222.17349999999999</v>
      </c>
      <c r="H7338" s="1">
        <v>-1.2283E-6</v>
      </c>
      <c r="I7338">
        <v>-55.971380000000003</v>
      </c>
      <c r="J7338">
        <v>-253.6267</v>
      </c>
      <c r="K7338">
        <v>1.108463</v>
      </c>
      <c r="L7338">
        <v>-62.91086</v>
      </c>
      <c r="M7338">
        <v>0.99981279999999995</v>
      </c>
      <c r="N7338">
        <v>-5.6691490000000001E-3</v>
      </c>
      <c r="O7338">
        <v>-1.8504920000000001E-2</v>
      </c>
      <c r="P7338">
        <v>0.97840150000000004</v>
      </c>
      <c r="Q7338">
        <v>-7.3692129999999995E-2</v>
      </c>
      <c r="R7338">
        <v>0.1931321</v>
      </c>
      <c r="S7338">
        <v>2.9315030000000002</v>
      </c>
      <c r="T7338">
        <v>-0.1027497</v>
      </c>
      <c r="U7338">
        <v>0.64294430000000002</v>
      </c>
      <c r="V7338">
        <v>-0.21120800000000001</v>
      </c>
      <c r="W7338">
        <v>-6.8153499999999895E-2</v>
      </c>
      <c r="X7338">
        <v>0.97506219999999999</v>
      </c>
      <c r="Y7338">
        <v>-0.2321028</v>
      </c>
      <c r="Z7338">
        <v>5.2220130000000002E-3</v>
      </c>
      <c r="AA7338">
        <v>0.97267720000000002</v>
      </c>
      <c r="AB7338">
        <v>32</v>
      </c>
      <c r="AC7338">
        <v>31.453199999999999</v>
      </c>
      <c r="AD7338">
        <v>-1.1084642282999999</v>
      </c>
      <c r="AE7338">
        <v>6.9394799999999899</v>
      </c>
      <c r="AF7338">
        <v>-7.5114439411167</v>
      </c>
      <c r="AG7338">
        <v>-1.1084642282999999</v>
      </c>
      <c r="AH7338">
        <v>31.282348946031899</v>
      </c>
      <c r="AI7338">
        <v>91.973335249414504</v>
      </c>
      <c r="AJ7338">
        <v>103.502106530863</v>
      </c>
      <c r="AK7338">
        <v>32.190617244894</v>
      </c>
      <c r="AL7338">
        <v>93.907937204554798</v>
      </c>
      <c r="AM7338">
        <v>102.22200893716099</v>
      </c>
      <c r="AN7338">
        <v>1.00000000634754</v>
      </c>
    </row>
    <row r="7339" spans="1:40" x14ac:dyDescent="0.25">
      <c r="A7339" t="str">
        <f>"20190305135107770"</f>
        <v>20190305135107770</v>
      </c>
      <c r="B7339" t="str">
        <f>"1551765067766883"</f>
        <v>1551765067766883</v>
      </c>
      <c r="C7339" t="s">
        <v>40</v>
      </c>
      <c r="D7339">
        <v>3.9631419999999999</v>
      </c>
      <c r="E7339">
        <v>0.49239090000000002</v>
      </c>
      <c r="F7339" t="s">
        <v>115</v>
      </c>
      <c r="G7339">
        <v>-222.4161</v>
      </c>
      <c r="H7339" s="1">
        <v>-1.2758219999999999E-6</v>
      </c>
      <c r="I7339">
        <v>-56.08455</v>
      </c>
      <c r="J7339">
        <v>-253.4579</v>
      </c>
      <c r="K7339">
        <v>1.108452</v>
      </c>
      <c r="L7339">
        <v>-62.914059999999999</v>
      </c>
      <c r="M7339">
        <v>0.99981109999999895</v>
      </c>
      <c r="N7339">
        <v>-5.6937560000000003E-3</v>
      </c>
      <c r="O7339">
        <v>-1.859156E-2</v>
      </c>
      <c r="P7339">
        <v>0.97851710000000003</v>
      </c>
      <c r="Q7339">
        <v>-7.3634149999999995E-2</v>
      </c>
      <c r="R7339">
        <v>0.19256860000000001</v>
      </c>
      <c r="S7339">
        <v>2.9317929999999999</v>
      </c>
      <c r="T7339">
        <v>-0.10412449999999999</v>
      </c>
      <c r="U7339">
        <v>0.64123540000000001</v>
      </c>
      <c r="V7339">
        <v>-0.21073510000000001</v>
      </c>
      <c r="W7339">
        <v>-6.8060289999999996E-2</v>
      </c>
      <c r="X7339">
        <v>0.97517100000000001</v>
      </c>
      <c r="Y7339">
        <v>-0.23162179999999999</v>
      </c>
      <c r="Z7339">
        <v>5.2792899999999999E-3</v>
      </c>
      <c r="AA7339">
        <v>0.97279159999999998</v>
      </c>
      <c r="AB7339">
        <v>32</v>
      </c>
      <c r="AC7339">
        <v>31.041799999999899</v>
      </c>
      <c r="AD7339">
        <v>-1.108453275822</v>
      </c>
      <c r="AE7339">
        <v>6.8295099999999902</v>
      </c>
      <c r="AF7339">
        <v>-7.3964585979825701</v>
      </c>
      <c r="AG7339">
        <v>-1.108453275822</v>
      </c>
      <c r="AH7339">
        <v>30.871914302396199</v>
      </c>
      <c r="AI7339">
        <v>91.999770578635093</v>
      </c>
      <c r="AJ7339">
        <v>103.47326774605099</v>
      </c>
      <c r="AK7339">
        <v>31.764939180657102</v>
      </c>
      <c r="AL7339">
        <v>93.902584329364302</v>
      </c>
      <c r="AM7339">
        <v>102.19414357637</v>
      </c>
      <c r="AN7339">
        <v>0.99999998234394605</v>
      </c>
    </row>
    <row r="7340" spans="1:40" x14ac:dyDescent="0.25">
      <c r="A7340" t="str">
        <f>"20190305135107781"</f>
        <v>20190305135107781</v>
      </c>
      <c r="B7340" t="str">
        <f>"1551765067776642"</f>
        <v>1551765067776642</v>
      </c>
      <c r="C7340" t="s">
        <v>40</v>
      </c>
      <c r="D7340">
        <v>3.7691439999999998</v>
      </c>
      <c r="E7340">
        <v>0.49218060000000002</v>
      </c>
      <c r="F7340" t="s">
        <v>115</v>
      </c>
      <c r="G7340">
        <v>-221.90520000000001</v>
      </c>
      <c r="H7340" s="1">
        <v>-1.1214660000000001E-6</v>
      </c>
      <c r="I7340">
        <v>-56.021520000000002</v>
      </c>
      <c r="J7340">
        <v>-253.30359999999999</v>
      </c>
      <c r="K7340">
        <v>1.1084400000000001</v>
      </c>
      <c r="L7340">
        <v>-62.917020000000001</v>
      </c>
      <c r="M7340">
        <v>0.99980939999999996</v>
      </c>
      <c r="N7340">
        <v>-5.716156E-3</v>
      </c>
      <c r="O7340">
        <v>-1.8677909999999999E-2</v>
      </c>
      <c r="P7340">
        <v>0.97855060000000005</v>
      </c>
      <c r="Q7340">
        <v>-7.3941519999999997E-2</v>
      </c>
      <c r="R7340">
        <v>0.1922808</v>
      </c>
      <c r="S7340">
        <v>2.9320979999999999</v>
      </c>
      <c r="T7340">
        <v>-0.1030051</v>
      </c>
      <c r="U7340">
        <v>0.64050289999999999</v>
      </c>
      <c r="V7340">
        <v>-0.21053440000000001</v>
      </c>
      <c r="W7340">
        <v>-6.8338650000000001E-2</v>
      </c>
      <c r="X7340">
        <v>0.97519489999999998</v>
      </c>
      <c r="Y7340">
        <v>-0.2314563</v>
      </c>
      <c r="Z7340">
        <v>5.2296060000000004E-3</v>
      </c>
      <c r="AA7340">
        <v>0.97283120000000001</v>
      </c>
      <c r="AB7340">
        <v>32</v>
      </c>
      <c r="AC7340">
        <v>31.398399999999899</v>
      </c>
      <c r="AD7340">
        <v>-1.1084411214659999</v>
      </c>
      <c r="AE7340">
        <v>6.8954999999999904</v>
      </c>
      <c r="AF7340">
        <v>-7.4718795316193196</v>
      </c>
      <c r="AG7340">
        <v>-1.1084411214659999</v>
      </c>
      <c r="AH7340">
        <v>31.227000351930599</v>
      </c>
      <c r="AI7340">
        <v>91.977165711330201</v>
      </c>
      <c r="AJ7340">
        <v>103.456517465229</v>
      </c>
      <c r="AK7340">
        <v>32.127607698586303</v>
      </c>
      <c r="AL7340">
        <v>93.918570338480706</v>
      </c>
      <c r="AM7340">
        <v>102.18258750473299</v>
      </c>
      <c r="AN7340">
        <v>0.99999999882659596</v>
      </c>
    </row>
    <row r="7341" spans="1:40" x14ac:dyDescent="0.25">
      <c r="A7341" t="str">
        <f>"20190305135107793"</f>
        <v>20190305135107793</v>
      </c>
      <c r="B7341" t="str">
        <f>"1551765067787379"</f>
        <v>1551765067787379</v>
      </c>
      <c r="C7341" t="s">
        <v>40</v>
      </c>
      <c r="D7341">
        <v>3.8301699999999999</v>
      </c>
      <c r="E7341">
        <v>0.4921874</v>
      </c>
      <c r="F7341" t="s">
        <v>115</v>
      </c>
      <c r="G7341">
        <v>-221.52170000000001</v>
      </c>
      <c r="H7341" s="1">
        <v>-1.008273E-6</v>
      </c>
      <c r="I7341">
        <v>-55.965609999999998</v>
      </c>
      <c r="J7341">
        <v>-253.1414</v>
      </c>
      <c r="K7341">
        <v>1.10843</v>
      </c>
      <c r="L7341">
        <v>-62.920099999999998</v>
      </c>
      <c r="M7341">
        <v>0.99980740000000001</v>
      </c>
      <c r="N7341">
        <v>-5.7397209999999997E-3</v>
      </c>
      <c r="O7341">
        <v>-1.876951E-2</v>
      </c>
      <c r="P7341">
        <v>0.97863619999999996</v>
      </c>
      <c r="Q7341">
        <v>-7.4165789999999995E-2</v>
      </c>
      <c r="R7341">
        <v>0.19175690000000001</v>
      </c>
      <c r="S7341">
        <v>2.9320219999999999</v>
      </c>
      <c r="T7341">
        <v>-0.1022583</v>
      </c>
      <c r="U7341">
        <v>0.64129639999999999</v>
      </c>
      <c r="V7341">
        <v>-0.21010419999999999</v>
      </c>
      <c r="W7341">
        <v>-6.8532590000000004E-2</v>
      </c>
      <c r="X7341">
        <v>0.97527410000000003</v>
      </c>
      <c r="Y7341">
        <v>-0.2318038</v>
      </c>
      <c r="Z7341">
        <v>5.2077720000000003E-3</v>
      </c>
      <c r="AA7341">
        <v>0.97274859999999996</v>
      </c>
      <c r="AB7341">
        <v>32</v>
      </c>
      <c r="AC7341">
        <v>31.619699999999899</v>
      </c>
      <c r="AD7341">
        <v>-1.108431008273</v>
      </c>
      <c r="AE7341">
        <v>6.9544899999999998</v>
      </c>
      <c r="AF7341">
        <v>-7.5379252413736104</v>
      </c>
      <c r="AG7341">
        <v>-1.108431008273</v>
      </c>
      <c r="AH7341">
        <v>31.446734605740598</v>
      </c>
      <c r="AI7341">
        <v>91.963152901440395</v>
      </c>
      <c r="AJ7341">
        <v>103.47972590301799</v>
      </c>
      <c r="AK7341">
        <v>32.3565457613837</v>
      </c>
      <c r="AL7341">
        <v>93.929708270349096</v>
      </c>
      <c r="AM7341">
        <v>102.157477301771</v>
      </c>
      <c r="AN7341">
        <v>1.0000000304402701</v>
      </c>
    </row>
    <row r="7342" spans="1:40" x14ac:dyDescent="0.25">
      <c r="A7342" t="str">
        <f>"20190305135107802"</f>
        <v>20190305135107802</v>
      </c>
      <c r="B7342" t="str">
        <f>"1551765067797139"</f>
        <v>1551765067797139</v>
      </c>
      <c r="C7342" t="s">
        <v>40</v>
      </c>
      <c r="D7342">
        <v>3.7782960000000001</v>
      </c>
      <c r="E7342">
        <v>0.49199159999999997</v>
      </c>
      <c r="F7342" t="s">
        <v>115</v>
      </c>
      <c r="G7342">
        <v>-221.72540000000001</v>
      </c>
      <c r="H7342" s="1">
        <v>-1.0464850000000001E-6</v>
      </c>
      <c r="I7342">
        <v>-56.06606</v>
      </c>
      <c r="J7342">
        <v>-252.98330000000001</v>
      </c>
      <c r="K7342">
        <v>1.1084229999999999</v>
      </c>
      <c r="L7342">
        <v>-62.92313</v>
      </c>
      <c r="M7342">
        <v>0.99980559999999996</v>
      </c>
      <c r="N7342">
        <v>-5.7626810000000004E-3</v>
      </c>
      <c r="O7342">
        <v>-1.8861559999999999E-2</v>
      </c>
      <c r="P7342">
        <v>0.97864200000000001</v>
      </c>
      <c r="Q7342">
        <v>-7.4226210000000001E-2</v>
      </c>
      <c r="R7342">
        <v>0.19170419999999999</v>
      </c>
      <c r="S7342">
        <v>2.9322970000000002</v>
      </c>
      <c r="T7342">
        <v>-0.10345839999999901</v>
      </c>
      <c r="U7342">
        <v>0.63973999999999998</v>
      </c>
      <c r="V7342">
        <v>-0.21014289999999999</v>
      </c>
      <c r="W7342">
        <v>-6.8565219999999996E-2</v>
      </c>
      <c r="X7342">
        <v>0.9752634</v>
      </c>
      <c r="Y7342">
        <v>-0.2313781</v>
      </c>
      <c r="Z7342">
        <v>5.2582899999999997E-3</v>
      </c>
      <c r="AA7342">
        <v>0.97284970000000004</v>
      </c>
      <c r="AB7342">
        <v>32</v>
      </c>
      <c r="AC7342">
        <v>31.257899999999999</v>
      </c>
      <c r="AD7342">
        <v>-1.1084240464849999</v>
      </c>
      <c r="AE7342">
        <v>6.8570700000000002</v>
      </c>
      <c r="AF7342">
        <v>-7.43651087761722</v>
      </c>
      <c r="AG7342">
        <v>-1.1084240464849999</v>
      </c>
      <c r="AH7342">
        <v>31.085707881700699</v>
      </c>
      <c r="AI7342">
        <v>91.986137229176506</v>
      </c>
      <c r="AJ7342">
        <v>103.453796560873</v>
      </c>
      <c r="AK7342">
        <v>31.982050159521901</v>
      </c>
      <c r="AL7342">
        <v>93.931582502821897</v>
      </c>
      <c r="AM7342">
        <v>102.159779447733</v>
      </c>
      <c r="AN7342">
        <v>0.99999996359680798</v>
      </c>
    </row>
    <row r="7343" spans="1:40" x14ac:dyDescent="0.25">
      <c r="A7343" t="str">
        <f>"20190305135107814"</f>
        <v>20190305135107814</v>
      </c>
      <c r="B7343" t="str">
        <f>"1551765067806899"</f>
        <v>1551765067806899</v>
      </c>
      <c r="C7343" t="s">
        <v>40</v>
      </c>
      <c r="D7343">
        <v>3.7493470000000002</v>
      </c>
      <c r="E7343">
        <v>0.49179</v>
      </c>
      <c r="F7343" t="s">
        <v>115</v>
      </c>
      <c r="G7343">
        <v>-221.1782</v>
      </c>
      <c r="H7343" s="1">
        <v>-8.9070889999999999E-7</v>
      </c>
      <c r="I7343">
        <v>-55.967840000000002</v>
      </c>
      <c r="J7343">
        <v>-252.82679999999999</v>
      </c>
      <c r="K7343">
        <v>1.1084149999999999</v>
      </c>
      <c r="L7343">
        <v>-62.926180000000002</v>
      </c>
      <c r="M7343">
        <v>0.99980380000000002</v>
      </c>
      <c r="N7343">
        <v>-5.7854079999999997E-3</v>
      </c>
      <c r="O7343">
        <v>-1.895289E-2</v>
      </c>
      <c r="P7343">
        <v>0.97871030000000003</v>
      </c>
      <c r="Q7343">
        <v>-7.4223239999999996E-2</v>
      </c>
      <c r="R7343">
        <v>0.19135640000000001</v>
      </c>
      <c r="S7343">
        <v>2.9320979999999999</v>
      </c>
      <c r="T7343">
        <v>-0.102185</v>
      </c>
      <c r="U7343">
        <v>0.64120480000000002</v>
      </c>
      <c r="V7343">
        <v>-0.20988709999999999</v>
      </c>
      <c r="W7343">
        <v>-6.853484E-2</v>
      </c>
      <c r="X7343">
        <v>0.97532059999999998</v>
      </c>
      <c r="Y7343">
        <v>-0.23194780000000001</v>
      </c>
      <c r="Z7343">
        <v>5.2170259999999996E-3</v>
      </c>
      <c r="AA7343">
        <v>0.97271419999999997</v>
      </c>
      <c r="AB7343">
        <v>32</v>
      </c>
      <c r="AC7343">
        <v>31.648599999999899</v>
      </c>
      <c r="AD7343">
        <v>-1.1084158907088999</v>
      </c>
      <c r="AE7343">
        <v>6.9583399999999997</v>
      </c>
      <c r="AF7343">
        <v>-7.5481010089920799</v>
      </c>
      <c r="AG7343">
        <v>-1.1084158907088999</v>
      </c>
      <c r="AH7343">
        <v>31.474206627086499</v>
      </c>
      <c r="AI7343">
        <v>91.961363294559206</v>
      </c>
      <c r="AJ7343">
        <v>103.485906925202</v>
      </c>
      <c r="AK7343">
        <v>32.3856155944774</v>
      </c>
      <c r="AL7343">
        <v>93.929837822372505</v>
      </c>
      <c r="AM7343">
        <v>102.14472629022301</v>
      </c>
      <c r="AN7343">
        <v>0.99999994591229602</v>
      </c>
    </row>
    <row r="7344" spans="1:40" x14ac:dyDescent="0.25">
      <c r="A7344" t="str">
        <f>"20190305135107824"</f>
        <v>20190305135107824</v>
      </c>
      <c r="B7344" t="str">
        <f>"1551765067816659"</f>
        <v>1551765067816659</v>
      </c>
      <c r="C7344" t="s">
        <v>40</v>
      </c>
      <c r="D7344">
        <v>3.9242520000000001</v>
      </c>
      <c r="E7344">
        <v>0.49184620000000001</v>
      </c>
      <c r="F7344" t="s">
        <v>115</v>
      </c>
      <c r="G7344">
        <v>-220.55189999999999</v>
      </c>
      <c r="H7344" s="1">
        <v>-7.106314E-7</v>
      </c>
      <c r="I7344">
        <v>-55.861150000000002</v>
      </c>
      <c r="J7344">
        <v>-252.66849999999999</v>
      </c>
      <c r="K7344">
        <v>1.108409</v>
      </c>
      <c r="L7344">
        <v>-62.929259999999999</v>
      </c>
      <c r="M7344">
        <v>0.99980179999999996</v>
      </c>
      <c r="N7344">
        <v>-5.808382E-3</v>
      </c>
      <c r="O7344">
        <v>-1.9045289999999999E-2</v>
      </c>
      <c r="P7344">
        <v>0.97873719999999997</v>
      </c>
      <c r="Q7344">
        <v>-7.4157070000000005E-2</v>
      </c>
      <c r="R7344">
        <v>0.19124459999999999</v>
      </c>
      <c r="S7344">
        <v>2.9321139999999999</v>
      </c>
      <c r="T7344">
        <v>-0.1006976</v>
      </c>
      <c r="U7344">
        <v>0.64184569999999996</v>
      </c>
      <c r="V7344">
        <v>-0.20986750000000001</v>
      </c>
      <c r="W7344">
        <v>-6.8441769999999999E-2</v>
      </c>
      <c r="X7344">
        <v>0.97533139999999996</v>
      </c>
      <c r="Y7344">
        <v>-0.2322438</v>
      </c>
      <c r="Z7344">
        <v>5.1600819999999999E-3</v>
      </c>
      <c r="AA7344">
        <v>0.97264390000000001</v>
      </c>
      <c r="AB7344">
        <v>32</v>
      </c>
      <c r="AC7344">
        <v>32.116599999999998</v>
      </c>
      <c r="AD7344">
        <v>-1.1084097106313999</v>
      </c>
      <c r="AE7344">
        <v>7.0681099999999901</v>
      </c>
      <c r="AF7344">
        <v>-7.6697948731416101</v>
      </c>
      <c r="AG7344">
        <v>-1.1084097106313999</v>
      </c>
      <c r="AH7344">
        <v>31.939872539150599</v>
      </c>
      <c r="AI7344">
        <v>91.9326413147582</v>
      </c>
      <c r="AJ7344">
        <v>103.502900147896</v>
      </c>
      <c r="AK7344">
        <v>32.866545046595299</v>
      </c>
      <c r="AL7344">
        <v>93.924492573522102</v>
      </c>
      <c r="AM7344">
        <v>102.143495356923</v>
      </c>
      <c r="AN7344">
        <v>0.99999999163147102</v>
      </c>
    </row>
    <row r="7345" spans="1:40" x14ac:dyDescent="0.25">
      <c r="A7345" t="str">
        <f>"20190305135107836"</f>
        <v>20190305135107836</v>
      </c>
      <c r="B7345" t="str">
        <f>"1551765067827395"</f>
        <v>1551765067827395</v>
      </c>
      <c r="C7345" t="s">
        <v>40</v>
      </c>
      <c r="D7345">
        <v>3.771738</v>
      </c>
      <c r="E7345">
        <v>0.49164950000000002</v>
      </c>
      <c r="F7345" t="s">
        <v>115</v>
      </c>
      <c r="G7345">
        <v>-220.54859999999999</v>
      </c>
      <c r="H7345" s="1">
        <v>-6.9523540000000001E-7</v>
      </c>
      <c r="I7345">
        <v>-55.907200000000003</v>
      </c>
      <c r="J7345">
        <v>-252.51079999999999</v>
      </c>
      <c r="K7345">
        <v>1.1084099999999999</v>
      </c>
      <c r="L7345">
        <v>-62.932340000000003</v>
      </c>
      <c r="M7345">
        <v>0.99979989999999996</v>
      </c>
      <c r="N7345">
        <v>-5.8501319999999897E-3</v>
      </c>
      <c r="O7345">
        <v>-1.9136429999999999E-2</v>
      </c>
      <c r="P7345">
        <v>0.97876079999999999</v>
      </c>
      <c r="Q7345">
        <v>-7.4354859999999995E-2</v>
      </c>
      <c r="R7345">
        <v>0.19104740000000001</v>
      </c>
      <c r="S7345">
        <v>2.9322659999999998</v>
      </c>
      <c r="T7345">
        <v>-0.10118820000000001</v>
      </c>
      <c r="U7345">
        <v>0.64105219999999996</v>
      </c>
      <c r="V7345">
        <v>-0.20976110000000001</v>
      </c>
      <c r="W7345">
        <v>-6.8594820000000001E-2</v>
      </c>
      <c r="X7345">
        <v>0.97534350000000003</v>
      </c>
      <c r="Y7345">
        <v>-0.2320692</v>
      </c>
      <c r="Z7345">
        <v>5.1855019999999998E-3</v>
      </c>
      <c r="AA7345">
        <v>0.97268549999999998</v>
      </c>
      <c r="AB7345">
        <v>32</v>
      </c>
      <c r="AC7345">
        <v>31.962199999999999</v>
      </c>
      <c r="AD7345">
        <v>-1.10841069523539</v>
      </c>
      <c r="AE7345">
        <v>7.0251399999999897</v>
      </c>
      <c r="AF7345">
        <v>-7.6267569128347503</v>
      </c>
      <c r="AG7345">
        <v>-1.10841069523539</v>
      </c>
      <c r="AH7345">
        <v>31.785444359156202</v>
      </c>
      <c r="AI7345">
        <v>91.942108031183906</v>
      </c>
      <c r="AJ7345">
        <v>103.49275098854</v>
      </c>
      <c r="AK7345">
        <v>32.7064285483115</v>
      </c>
      <c r="AL7345">
        <v>93.933282491421906</v>
      </c>
      <c r="AM7345">
        <v>102.13737524291901</v>
      </c>
      <c r="AN7345">
        <v>0.99999995569814504</v>
      </c>
    </row>
    <row r="7346" spans="1:40" x14ac:dyDescent="0.25">
      <c r="A7346" t="str">
        <f>"20190305135107846"</f>
        <v>20190305135107846</v>
      </c>
      <c r="B7346" t="str">
        <f>"1551765067837155"</f>
        <v>1551765067837155</v>
      </c>
      <c r="C7346" t="s">
        <v>40</v>
      </c>
      <c r="D7346">
        <v>3.7733129999999999</v>
      </c>
      <c r="E7346">
        <v>0.49144929999999898</v>
      </c>
      <c r="F7346" t="s">
        <v>115</v>
      </c>
      <c r="G7346">
        <v>-220.1388</v>
      </c>
      <c r="H7346" s="1">
        <v>-5.755553E-7</v>
      </c>
      <c r="I7346">
        <v>-55.843380000000003</v>
      </c>
      <c r="J7346">
        <v>-252.35069999999999</v>
      </c>
      <c r="K7346">
        <v>1.1084130000000001</v>
      </c>
      <c r="L7346">
        <v>-62.935459999999999</v>
      </c>
      <c r="M7346">
        <v>0.99979770000000001</v>
      </c>
      <c r="N7346">
        <v>-5.9063839999999998E-3</v>
      </c>
      <c r="O7346">
        <v>-1.922797E-2</v>
      </c>
      <c r="P7346">
        <v>0.97875979999999996</v>
      </c>
      <c r="Q7346">
        <v>-7.4114520000000003E-2</v>
      </c>
      <c r="R7346">
        <v>0.19114539999999999</v>
      </c>
      <c r="S7346">
        <v>2.9321290000000002</v>
      </c>
      <c r="T7346">
        <v>-0.1003954</v>
      </c>
      <c r="U7346">
        <v>0.64208980000000004</v>
      </c>
      <c r="V7346">
        <v>-0.2099491</v>
      </c>
      <c r="W7346">
        <v>-6.8295949999999994E-2</v>
      </c>
      <c r="X7346">
        <v>0.97532410000000003</v>
      </c>
      <c r="Y7346">
        <v>-0.23249810000000001</v>
      </c>
      <c r="Z7346">
        <v>5.1661249999999997E-3</v>
      </c>
      <c r="AA7346">
        <v>0.97258310000000003</v>
      </c>
      <c r="AB7346">
        <v>32</v>
      </c>
      <c r="AC7346">
        <v>32.211899999999901</v>
      </c>
      <c r="AD7346">
        <v>-1.1084135755553</v>
      </c>
      <c r="AE7346">
        <v>7.0920799999999904</v>
      </c>
      <c r="AF7346">
        <v>-7.7014517232436797</v>
      </c>
      <c r="AG7346">
        <v>-1.1084135755553</v>
      </c>
      <c r="AH7346">
        <v>32.033400326339802</v>
      </c>
      <c r="AI7346">
        <v>91.926883973723605</v>
      </c>
      <c r="AJ7346">
        <v>103.518453646106</v>
      </c>
      <c r="AK7346">
        <v>32.964824825372197</v>
      </c>
      <c r="AL7346">
        <v>93.916117954291906</v>
      </c>
      <c r="AM7346">
        <v>102.148164964636</v>
      </c>
      <c r="AN7346">
        <v>1.00000003070901</v>
      </c>
    </row>
    <row r="7347" spans="1:40" x14ac:dyDescent="0.25">
      <c r="A7347" t="str">
        <f>"20190305135107858"</f>
        <v>20190305135107858</v>
      </c>
      <c r="B7347" t="str">
        <f>"1551765067846916"</f>
        <v>1551765067846916</v>
      </c>
      <c r="C7347" t="s">
        <v>40</v>
      </c>
      <c r="D7347">
        <v>3.9355419999999999</v>
      </c>
      <c r="E7347">
        <v>0.49150329999999898</v>
      </c>
      <c r="F7347" t="s">
        <v>116</v>
      </c>
      <c r="G7347">
        <v>-219.32499999999999</v>
      </c>
      <c r="H7347" s="1">
        <v>-3.8036509999999998E-6</v>
      </c>
      <c r="I7347">
        <v>-55.680630000000001</v>
      </c>
      <c r="J7347">
        <v>-252.18520000000001</v>
      </c>
      <c r="K7347">
        <v>1.108433</v>
      </c>
      <c r="L7347">
        <v>-62.938720000000004</v>
      </c>
      <c r="M7347">
        <v>0.99979530000000005</v>
      </c>
      <c r="N7347">
        <v>-6.0215219999999996E-3</v>
      </c>
      <c r="O7347">
        <v>-1.9321120000000001E-2</v>
      </c>
      <c r="P7347">
        <v>0.97875270000000003</v>
      </c>
      <c r="Q7347">
        <v>-7.4385000000000007E-2</v>
      </c>
      <c r="R7347">
        <v>0.19107650000000001</v>
      </c>
      <c r="S7347">
        <v>2.93187</v>
      </c>
      <c r="T7347">
        <v>-9.8399879999999995E-2</v>
      </c>
      <c r="U7347">
        <v>0.64404300000000003</v>
      </c>
      <c r="V7347">
        <v>-0.20997250000000001</v>
      </c>
      <c r="W7347">
        <v>-6.8450839999999999E-2</v>
      </c>
      <c r="X7347">
        <v>0.97530819999999996</v>
      </c>
      <c r="Y7347">
        <v>-0.23322979999999999</v>
      </c>
      <c r="Z7347">
        <v>5.1034510000000002E-3</v>
      </c>
      <c r="AA7347">
        <v>0.97240819999999994</v>
      </c>
      <c r="AB7347">
        <v>32</v>
      </c>
      <c r="AC7347">
        <v>32.860199999999999</v>
      </c>
      <c r="AD7347">
        <v>-1.1084368036509999</v>
      </c>
      <c r="AE7347">
        <v>7.2580899999999797</v>
      </c>
      <c r="AF7347">
        <v>-7.8830899420422202</v>
      </c>
      <c r="AG7347">
        <v>-1.1084368036509999</v>
      </c>
      <c r="AH7347">
        <v>32.678375667278203</v>
      </c>
      <c r="AI7347">
        <v>91.888570958617805</v>
      </c>
      <c r="AJ7347">
        <v>103.562491721021</v>
      </c>
      <c r="AK7347">
        <v>33.634030020706298</v>
      </c>
      <c r="AL7347">
        <v>93.925013330301098</v>
      </c>
      <c r="AM7347">
        <v>102.149670906694</v>
      </c>
      <c r="AN7347">
        <v>1.0000000266200899</v>
      </c>
    </row>
    <row r="7348" spans="1:40" x14ac:dyDescent="0.25">
      <c r="A7348" t="str">
        <f>"20190305135107869"</f>
        <v>20190305135107869</v>
      </c>
      <c r="B7348" t="str">
        <f>"1551765067856674"</f>
        <v>1551765067856674</v>
      </c>
      <c r="C7348" t="s">
        <v>40</v>
      </c>
      <c r="D7348">
        <v>3.7804220000000002</v>
      </c>
      <c r="E7348">
        <v>0.49131439999999998</v>
      </c>
      <c r="F7348" t="s">
        <v>116</v>
      </c>
      <c r="G7348">
        <v>-219.56440000000001</v>
      </c>
      <c r="H7348" s="1">
        <v>-3.888687E-6</v>
      </c>
      <c r="I7348">
        <v>-55.780169999999998</v>
      </c>
      <c r="J7348">
        <v>-252.02549999999999</v>
      </c>
      <c r="K7348">
        <v>1.1084510000000001</v>
      </c>
      <c r="L7348">
        <v>-62.941890000000001</v>
      </c>
      <c r="M7348">
        <v>0.99979280000000004</v>
      </c>
      <c r="N7348">
        <v>-6.1494109999999996E-3</v>
      </c>
      <c r="O7348">
        <v>-1.9410259999999999E-2</v>
      </c>
      <c r="P7348">
        <v>0.97873270000000001</v>
      </c>
      <c r="Q7348">
        <v>-7.4478810000000006E-2</v>
      </c>
      <c r="R7348">
        <v>0.19114200000000001</v>
      </c>
      <c r="S7348">
        <v>2.9319459999999999</v>
      </c>
      <c r="T7348">
        <v>-9.9625829999999999E-2</v>
      </c>
      <c r="U7348">
        <v>0.64340209999999998</v>
      </c>
      <c r="V7348">
        <v>-0.21012549999999999</v>
      </c>
      <c r="W7348">
        <v>-6.8416870000000005E-2</v>
      </c>
      <c r="X7348">
        <v>0.97527759999999997</v>
      </c>
      <c r="Y7348">
        <v>-0.23310439999999999</v>
      </c>
      <c r="Z7348">
        <v>5.1721689999999999E-3</v>
      </c>
      <c r="AA7348">
        <v>0.97243800000000002</v>
      </c>
      <c r="AB7348">
        <v>32</v>
      </c>
      <c r="AC7348">
        <v>32.461099999999902</v>
      </c>
      <c r="AD7348">
        <v>-1.108454888687</v>
      </c>
      <c r="AE7348">
        <v>7.1617199999999999</v>
      </c>
      <c r="AF7348">
        <v>-7.7818082911044604</v>
      </c>
      <c r="AG7348">
        <v>-1.108454888687</v>
      </c>
      <c r="AH7348">
        <v>32.280078287533897</v>
      </c>
      <c r="AI7348">
        <v>91.911957766947395</v>
      </c>
      <c r="AJ7348">
        <v>103.55377031096801</v>
      </c>
      <c r="AK7348">
        <v>33.2233151080544</v>
      </c>
      <c r="AL7348">
        <v>93.923062541564505</v>
      </c>
      <c r="AM7348">
        <v>102.158630801581</v>
      </c>
      <c r="AN7348">
        <v>0.99999999545630303</v>
      </c>
    </row>
    <row r="7349" spans="1:40" x14ac:dyDescent="0.25">
      <c r="A7349" t="str">
        <f>"20190305135107882"</f>
        <v>20190305135107882</v>
      </c>
      <c r="B7349" t="str">
        <f>"1551765067877171"</f>
        <v>1551765067877171</v>
      </c>
      <c r="C7349" t="s">
        <v>40</v>
      </c>
      <c r="D7349">
        <v>3.9097930000000001</v>
      </c>
      <c r="E7349">
        <v>0.49144460000000001</v>
      </c>
      <c r="F7349" t="s">
        <v>116</v>
      </c>
      <c r="G7349">
        <v>-219.0583</v>
      </c>
      <c r="H7349" s="1">
        <v>-3.6880390000000001E-6</v>
      </c>
      <c r="I7349">
        <v>-55.687429999999999</v>
      </c>
      <c r="J7349">
        <v>-251.85640000000001</v>
      </c>
      <c r="K7349">
        <v>1.1084959999999999</v>
      </c>
      <c r="L7349">
        <v>-62.945250000000001</v>
      </c>
      <c r="M7349">
        <v>0.9997895</v>
      </c>
      <c r="N7349">
        <v>-6.3767609999999999E-3</v>
      </c>
      <c r="O7349">
        <v>-1.9507489999999999E-2</v>
      </c>
      <c r="P7349">
        <v>0.9786627</v>
      </c>
      <c r="Q7349">
        <v>-7.4619630000000006E-2</v>
      </c>
      <c r="R7349">
        <v>0.19144600000000001</v>
      </c>
      <c r="S7349">
        <v>2.9316710000000001</v>
      </c>
      <c r="T7349">
        <v>-9.8571420000000007E-2</v>
      </c>
      <c r="U7349">
        <v>0.64511109999999905</v>
      </c>
      <c r="V7349">
        <v>-0.2105243</v>
      </c>
      <c r="W7349">
        <v>-6.8332660000000003E-2</v>
      </c>
      <c r="X7349">
        <v>0.97519750000000005</v>
      </c>
      <c r="Y7349">
        <v>-0.23376069999999999</v>
      </c>
      <c r="Z7349">
        <v>5.1621699999999998E-3</v>
      </c>
      <c r="AA7349">
        <v>0.97228040000000004</v>
      </c>
      <c r="AB7349">
        <v>32</v>
      </c>
      <c r="AC7349">
        <v>32.798099999999998</v>
      </c>
      <c r="AD7349">
        <v>-1.1084996880389999</v>
      </c>
      <c r="AE7349">
        <v>7.2578199999999899</v>
      </c>
      <c r="AF7349">
        <v>-7.8876710479798096</v>
      </c>
      <c r="AG7349">
        <v>-1.1084996880389999</v>
      </c>
      <c r="AH7349">
        <v>32.614757787057897</v>
      </c>
      <c r="AI7349">
        <v>91.892095705289407</v>
      </c>
      <c r="AJ7349">
        <v>103.595569979061</v>
      </c>
      <c r="AK7349">
        <v>33.5733011726279</v>
      </c>
      <c r="AL7349">
        <v>93.918226333263306</v>
      </c>
      <c r="AM7349">
        <v>102.181989013842</v>
      </c>
      <c r="AN7349">
        <v>0.99999999865970701</v>
      </c>
    </row>
    <row r="7350" spans="1:40" x14ac:dyDescent="0.25">
      <c r="A7350" t="str">
        <f>"20190305135107893"</f>
        <v>20190305135107893</v>
      </c>
      <c r="B7350" t="str">
        <f>"1551765067886931"</f>
        <v>1551765067886931</v>
      </c>
      <c r="C7350" t="s">
        <v>40</v>
      </c>
      <c r="D7350">
        <v>3.7754859999999999</v>
      </c>
      <c r="E7350">
        <v>0.49128450000000001</v>
      </c>
      <c r="F7350" t="s">
        <v>116</v>
      </c>
      <c r="G7350">
        <v>-219.5547</v>
      </c>
      <c r="H7350" s="1">
        <v>-3.8742320000000001E-6</v>
      </c>
      <c r="I7350">
        <v>-55.838410000000003</v>
      </c>
      <c r="J7350">
        <v>-251.6841</v>
      </c>
      <c r="K7350">
        <v>1.1085449999999999</v>
      </c>
      <c r="L7350">
        <v>-62.948700000000002</v>
      </c>
      <c r="M7350">
        <v>0.99978599999999995</v>
      </c>
      <c r="N7350">
        <v>-6.6255519999999998E-3</v>
      </c>
      <c r="O7350">
        <v>-1.9603880000000001E-2</v>
      </c>
      <c r="P7350">
        <v>0.97858210000000001</v>
      </c>
      <c r="Q7350">
        <v>-7.4846270000000006E-2</v>
      </c>
      <c r="R7350">
        <v>0.19176889999999999</v>
      </c>
      <c r="S7350">
        <v>2.9315950000000002</v>
      </c>
      <c r="T7350">
        <v>-0.1006039</v>
      </c>
      <c r="U7350">
        <v>0.64498900000000003</v>
      </c>
      <c r="V7350">
        <v>-0.21094019999999999</v>
      </c>
      <c r="W7350">
        <v>-6.8313349999999995E-2</v>
      </c>
      <c r="X7350">
        <v>0.975109</v>
      </c>
      <c r="Y7350">
        <v>-0.2338141</v>
      </c>
      <c r="Z7350">
        <v>5.2840489999999999E-3</v>
      </c>
      <c r="AA7350">
        <v>0.97226699999999999</v>
      </c>
      <c r="AB7350">
        <v>33</v>
      </c>
      <c r="AC7350">
        <v>32.129399999999997</v>
      </c>
      <c r="AD7350">
        <v>-1.108548874232</v>
      </c>
      <c r="AE7350">
        <v>7.11029</v>
      </c>
      <c r="AF7350">
        <v>-7.7300257287027501</v>
      </c>
      <c r="AG7350">
        <v>-1.108548874232</v>
      </c>
      <c r="AH7350">
        <v>31.947577165395501</v>
      </c>
      <c r="AI7350">
        <v>91.931614306145207</v>
      </c>
      <c r="AJ7350">
        <v>103.601852493092</v>
      </c>
      <c r="AK7350">
        <v>32.888141709617301</v>
      </c>
      <c r="AL7350">
        <v>93.917117269497098</v>
      </c>
      <c r="AM7350">
        <v>102.206408795165</v>
      </c>
      <c r="AN7350">
        <v>1.0000000218226299</v>
      </c>
    </row>
    <row r="7351" spans="1:40" x14ac:dyDescent="0.25">
      <c r="A7351" t="str">
        <f>"20190305135107903"</f>
        <v>20190305135107903</v>
      </c>
      <c r="B7351" t="str">
        <f>"1551765067896690"</f>
        <v>1551765067896690</v>
      </c>
      <c r="C7351" t="s">
        <v>40</v>
      </c>
      <c r="D7351">
        <v>3.800449</v>
      </c>
      <c r="E7351">
        <v>0.49114390000000002</v>
      </c>
      <c r="F7351" t="s">
        <v>116</v>
      </c>
      <c r="G7351">
        <v>-219.15629999999999</v>
      </c>
      <c r="H7351" s="1">
        <v>-3.7161950000000002E-6</v>
      </c>
      <c r="I7351">
        <v>-55.765689999999999</v>
      </c>
      <c r="J7351">
        <v>-251.52670000000001</v>
      </c>
      <c r="K7351">
        <v>1.1085959999999999</v>
      </c>
      <c r="L7351">
        <v>-62.951900000000002</v>
      </c>
      <c r="M7351">
        <v>0.99978250000000002</v>
      </c>
      <c r="N7351">
        <v>-6.8893469999999997E-3</v>
      </c>
      <c r="O7351">
        <v>-1.968485E-2</v>
      </c>
      <c r="P7351">
        <v>0.97854969999999997</v>
      </c>
      <c r="Q7351">
        <v>-7.5009370000000006E-2</v>
      </c>
      <c r="R7351">
        <v>0.19187009999999999</v>
      </c>
      <c r="S7351">
        <v>2.9311829999999999</v>
      </c>
      <c r="T7351">
        <v>-9.9894759999999999E-2</v>
      </c>
      <c r="U7351">
        <v>0.64727780000000001</v>
      </c>
      <c r="V7351">
        <v>-0.21112110000000001</v>
      </c>
      <c r="W7351">
        <v>-6.8215739999999997E-2</v>
      </c>
      <c r="X7351">
        <v>0.97507670000000002</v>
      </c>
      <c r="Y7351">
        <v>-0.2346461</v>
      </c>
      <c r="Z7351">
        <v>5.2969640000000004E-3</v>
      </c>
      <c r="AA7351">
        <v>0.9720664</v>
      </c>
      <c r="AB7351">
        <v>32</v>
      </c>
      <c r="AC7351">
        <v>32.370399999999997</v>
      </c>
      <c r="AD7351">
        <v>-1.1085997161950001</v>
      </c>
      <c r="AE7351">
        <v>7.18621</v>
      </c>
      <c r="AF7351">
        <v>-7.8133054451824098</v>
      </c>
      <c r="AG7351">
        <v>-1.1085997161950001</v>
      </c>
      <c r="AH7351">
        <v>32.186686639365597</v>
      </c>
      <c r="AI7351">
        <v>91.917016878607399</v>
      </c>
      <c r="AJ7351">
        <v>103.644600648837</v>
      </c>
      <c r="AK7351">
        <v>33.1399989760287</v>
      </c>
      <c r="AL7351">
        <v>93.911511486668203</v>
      </c>
      <c r="AM7351">
        <v>102.216955134434</v>
      </c>
      <c r="AN7351">
        <v>1.00000003846592</v>
      </c>
    </row>
    <row r="7352" spans="1:40" x14ac:dyDescent="0.25">
      <c r="A7352" t="str">
        <f>"20190305135107915"</f>
        <v>20190305135107915</v>
      </c>
      <c r="B7352" t="str">
        <f>"1551765067907427"</f>
        <v>1551765067907427</v>
      </c>
      <c r="C7352" t="s">
        <v>40</v>
      </c>
      <c r="D7352">
        <v>4.1484040000000002</v>
      </c>
      <c r="E7352">
        <v>0.49108610000000003</v>
      </c>
      <c r="F7352" t="s">
        <v>116</v>
      </c>
      <c r="G7352">
        <v>-218.82740000000001</v>
      </c>
      <c r="H7352" s="1">
        <v>-3.584126E-6</v>
      </c>
      <c r="I7352">
        <v>-55.714829999999999</v>
      </c>
      <c r="J7352">
        <v>-251.3681</v>
      </c>
      <c r="K7352">
        <v>1.108644</v>
      </c>
      <c r="L7352">
        <v>-62.955109999999998</v>
      </c>
      <c r="M7352">
        <v>0.99977910000000003</v>
      </c>
      <c r="N7352">
        <v>-7.1544929999999996E-3</v>
      </c>
      <c r="O7352">
        <v>-1.9768109999999998E-2</v>
      </c>
      <c r="P7352">
        <v>0.97848369999999996</v>
      </c>
      <c r="Q7352">
        <v>-7.5187370000000003E-2</v>
      </c>
      <c r="R7352">
        <v>0.19213749999999999</v>
      </c>
      <c r="S7352">
        <v>2.9309690000000002</v>
      </c>
      <c r="T7352">
        <v>-9.9368100000000001E-2</v>
      </c>
      <c r="U7352">
        <v>0.64868159999999997</v>
      </c>
      <c r="V7352">
        <v>-0.2114692</v>
      </c>
      <c r="W7352">
        <v>-6.8132990000000004E-2</v>
      </c>
      <c r="X7352">
        <v>0.97500699999999996</v>
      </c>
      <c r="Y7352">
        <v>-0.23518620000000001</v>
      </c>
      <c r="Z7352">
        <v>5.3123379999999998E-3</v>
      </c>
      <c r="AA7352">
        <v>0.97193580000000002</v>
      </c>
      <c r="AB7352">
        <v>32</v>
      </c>
      <c r="AC7352">
        <v>32.540699999999902</v>
      </c>
      <c r="AD7352">
        <v>-1.108647584126</v>
      </c>
      <c r="AE7352">
        <v>7.2402799999999896</v>
      </c>
      <c r="AF7352">
        <v>-7.8734417593218504</v>
      </c>
      <c r="AG7352">
        <v>-1.108647584126</v>
      </c>
      <c r="AH7352">
        <v>32.355426113443301</v>
      </c>
      <c r="AI7352">
        <v>91.906849804562199</v>
      </c>
      <c r="AJ7352">
        <v>103.676662072391</v>
      </c>
      <c r="AK7352">
        <v>33.318069925878198</v>
      </c>
      <c r="AL7352">
        <v>93.906759400194602</v>
      </c>
      <c r="AM7352">
        <v>102.237340570174</v>
      </c>
      <c r="AN7352">
        <v>0.99999998846199001</v>
      </c>
    </row>
    <row r="7353" spans="1:40" x14ac:dyDescent="0.25">
      <c r="A7353" t="str">
        <f>"20190305135107924"</f>
        <v>20190305135107924</v>
      </c>
      <c r="B7353" t="str">
        <f>"1551765067917187"</f>
        <v>1551765067917187</v>
      </c>
      <c r="C7353" t="s">
        <v>40</v>
      </c>
      <c r="D7353">
        <v>4.015244</v>
      </c>
      <c r="E7353">
        <v>0.49153289999999999</v>
      </c>
      <c r="F7353" t="s">
        <v>116</v>
      </c>
      <c r="G7353">
        <v>-219.0591</v>
      </c>
      <c r="H7353" s="1">
        <v>-3.6701860000000001E-6</v>
      </c>
      <c r="I7353">
        <v>-55.790120000000002</v>
      </c>
      <c r="J7353">
        <v>-251.21129999999999</v>
      </c>
      <c r="K7353">
        <v>1.10869</v>
      </c>
      <c r="L7353">
        <v>-62.958280000000002</v>
      </c>
      <c r="M7353">
        <v>0.99977550000000004</v>
      </c>
      <c r="N7353">
        <v>-7.4156259999999998E-3</v>
      </c>
      <c r="O7353">
        <v>-1.9852450000000001E-2</v>
      </c>
      <c r="P7353">
        <v>0.97840950000000004</v>
      </c>
      <c r="Q7353">
        <v>-7.5542940000000003E-2</v>
      </c>
      <c r="R7353">
        <v>0.19237470000000001</v>
      </c>
      <c r="S7353">
        <v>2.9306179999999999</v>
      </c>
      <c r="T7353">
        <v>-0.100561</v>
      </c>
      <c r="U7353">
        <v>0.64990230000000004</v>
      </c>
      <c r="V7353">
        <v>-0.21178759999999999</v>
      </c>
      <c r="W7353">
        <v>-6.8233150000000006E-2</v>
      </c>
      <c r="X7353">
        <v>0.97493090000000004</v>
      </c>
      <c r="Y7353">
        <v>-0.23567360000000001</v>
      </c>
      <c r="Z7353">
        <v>5.4062509999999999E-3</v>
      </c>
      <c r="AA7353">
        <v>0.97181719999999905</v>
      </c>
      <c r="AB7353">
        <v>32</v>
      </c>
      <c r="AC7353">
        <v>32.152199999999901</v>
      </c>
      <c r="AD7353">
        <v>-1.108693670186</v>
      </c>
      <c r="AE7353">
        <v>7.1681600000000003</v>
      </c>
      <c r="AF7353">
        <v>-7.7962334714205603</v>
      </c>
      <c r="AG7353">
        <v>-1.108693670186</v>
      </c>
      <c r="AH7353">
        <v>31.967342614257898</v>
      </c>
      <c r="AI7353">
        <v>91.929822710022506</v>
      </c>
      <c r="AJ7353">
        <v>103.705811732055</v>
      </c>
      <c r="AK7353">
        <v>32.922962379053303</v>
      </c>
      <c r="AL7353">
        <v>93.912511466848002</v>
      </c>
      <c r="AM7353">
        <v>102.256137033505</v>
      </c>
      <c r="AN7353">
        <v>1.0000000050237401</v>
      </c>
    </row>
    <row r="7354" spans="1:40" x14ac:dyDescent="0.25">
      <c r="A7354" t="str">
        <f>"20190305135107936"</f>
        <v>20190305135107936</v>
      </c>
      <c r="B7354" t="str">
        <f>"1551765067926947"</f>
        <v>1551765067926947</v>
      </c>
      <c r="C7354" t="s">
        <v>40</v>
      </c>
      <c r="D7354">
        <v>3.8505919999999998</v>
      </c>
      <c r="E7354">
        <v>0.49153289999999999</v>
      </c>
      <c r="F7354" t="s">
        <v>116</v>
      </c>
      <c r="G7354">
        <v>-219.202</v>
      </c>
      <c r="H7354" s="1">
        <v>-3.713411E-6</v>
      </c>
      <c r="I7354">
        <v>-55.891930000000002</v>
      </c>
      <c r="J7354">
        <v>-251.0497</v>
      </c>
      <c r="K7354">
        <v>1.1087309999999999</v>
      </c>
      <c r="L7354">
        <v>-62.961579999999998</v>
      </c>
      <c r="M7354">
        <v>0.99977169999999904</v>
      </c>
      <c r="N7354">
        <v>-7.6730369999999997E-3</v>
      </c>
      <c r="O7354">
        <v>-1.994143E-2</v>
      </c>
      <c r="P7354">
        <v>0.97839569999999998</v>
      </c>
      <c r="Q7354">
        <v>-7.5775980000000007E-2</v>
      </c>
      <c r="R7354">
        <v>0.192354</v>
      </c>
      <c r="S7354">
        <v>2.9311069999999999</v>
      </c>
      <c r="T7354">
        <v>-0.10152360000000001</v>
      </c>
      <c r="U7354">
        <v>0.64706419999999998</v>
      </c>
      <c r="V7354">
        <v>-0.21185390000000001</v>
      </c>
      <c r="W7354">
        <v>-6.8214979999999995E-2</v>
      </c>
      <c r="X7354">
        <v>0.97491779999999995</v>
      </c>
      <c r="Y7354">
        <v>-0.23482539999999999</v>
      </c>
      <c r="Z7354">
        <v>5.4607459999999998E-3</v>
      </c>
      <c r="AA7354">
        <v>0.97202219999999995</v>
      </c>
      <c r="AB7354">
        <v>32</v>
      </c>
      <c r="AC7354">
        <v>31.8477</v>
      </c>
      <c r="AD7354">
        <v>-1.1087347134109999</v>
      </c>
      <c r="AE7354">
        <v>7.0696500000000002</v>
      </c>
      <c r="AF7354">
        <v>-7.6944638342748997</v>
      </c>
      <c r="AG7354">
        <v>-1.1087347134109999</v>
      </c>
      <c r="AH7354">
        <v>31.663809634994401</v>
      </c>
      <c r="AI7354">
        <v>91.948772177075398</v>
      </c>
      <c r="AJ7354">
        <v>103.65841824442801</v>
      </c>
      <c r="AK7354">
        <v>32.604154750013798</v>
      </c>
      <c r="AL7354">
        <v>93.911467843603603</v>
      </c>
      <c r="AM7354">
        <v>102.26001753759201</v>
      </c>
      <c r="AN7354">
        <v>1.00000003759922</v>
      </c>
    </row>
    <row r="7355" spans="1:40" x14ac:dyDescent="0.25">
      <c r="A7355" t="str">
        <f>"20190305135107947"</f>
        <v>20190305135107947</v>
      </c>
      <c r="B7355" t="str">
        <f>"1551765067936709"</f>
        <v>1551765067936709</v>
      </c>
      <c r="C7355" t="s">
        <v>40</v>
      </c>
      <c r="D7355">
        <v>3.7214900000000002</v>
      </c>
      <c r="E7355">
        <v>0.54801659999999996</v>
      </c>
      <c r="F7355" t="s">
        <v>116</v>
      </c>
      <c r="G7355">
        <v>-219.25399999999999</v>
      </c>
      <c r="H7355" s="1">
        <v>-3.7265950000000001E-6</v>
      </c>
      <c r="I7355">
        <v>-55.943399999999997</v>
      </c>
      <c r="J7355">
        <v>-250.8844</v>
      </c>
      <c r="K7355">
        <v>1.108771</v>
      </c>
      <c r="L7355">
        <v>-62.964970000000001</v>
      </c>
      <c r="M7355">
        <v>0.99976779999999998</v>
      </c>
      <c r="N7355">
        <v>-7.9291350000000003E-3</v>
      </c>
      <c r="O7355">
        <v>-2.0034010000000001E-2</v>
      </c>
      <c r="P7355">
        <v>0.97836369999999895</v>
      </c>
      <c r="Q7355">
        <v>-7.6148690000000005E-2</v>
      </c>
      <c r="R7355">
        <v>0.19236900000000001</v>
      </c>
      <c r="S7355">
        <v>2.9311219999999998</v>
      </c>
      <c r="T7355">
        <v>-0.10220990000000001</v>
      </c>
      <c r="U7355">
        <v>0.64697269999999996</v>
      </c>
      <c r="V7355">
        <v>-0.21195800000000001</v>
      </c>
      <c r="W7355">
        <v>-6.8338419999999997E-2</v>
      </c>
      <c r="X7355">
        <v>0.97488649999999999</v>
      </c>
      <c r="Y7355">
        <v>-0.23488239999999999</v>
      </c>
      <c r="Z7355">
        <v>5.521565E-3</v>
      </c>
      <c r="AA7355">
        <v>0.97200810000000004</v>
      </c>
      <c r="AB7355">
        <v>32</v>
      </c>
      <c r="AC7355">
        <v>31.630399999999899</v>
      </c>
      <c r="AD7355">
        <v>-1.1087747265950001</v>
      </c>
      <c r="AE7355">
        <v>7.0215699999999899</v>
      </c>
      <c r="AF7355">
        <v>-7.6449115826082803</v>
      </c>
      <c r="AG7355">
        <v>-1.1087747265950001</v>
      </c>
      <c r="AH7355">
        <v>31.446550302165001</v>
      </c>
      <c r="AI7355">
        <v>91.962249808071604</v>
      </c>
      <c r="AJ7355">
        <v>103.663997153509</v>
      </c>
      <c r="AK7355">
        <v>32.381469707331497</v>
      </c>
      <c r="AL7355">
        <v>93.918557083179493</v>
      </c>
      <c r="AM7355">
        <v>102.266241368976</v>
      </c>
      <c r="AN7355">
        <v>1.00000001064717</v>
      </c>
    </row>
    <row r="7356" spans="1:40" x14ac:dyDescent="0.25">
      <c r="A7356" t="str">
        <f>"20190305135107960"</f>
        <v>20190305135107960</v>
      </c>
      <c r="B7356" t="str">
        <f>"1551765067957204"</f>
        <v>1551765067957204</v>
      </c>
      <c r="C7356" t="s">
        <v>40</v>
      </c>
      <c r="D7356">
        <v>4.0735190000000001</v>
      </c>
      <c r="E7356">
        <v>0.55229709999999999</v>
      </c>
      <c r="F7356" t="s">
        <v>115</v>
      </c>
      <c r="G7356">
        <v>-228.6842</v>
      </c>
      <c r="H7356" s="1">
        <v>-3.084189E-6</v>
      </c>
      <c r="I7356">
        <v>-61.465949999999999</v>
      </c>
      <c r="J7356">
        <v>-250.71680000000001</v>
      </c>
      <c r="K7356">
        <v>1.1088039999999999</v>
      </c>
      <c r="L7356">
        <v>-62.968409999999999</v>
      </c>
      <c r="M7356">
        <v>0.99976419999999999</v>
      </c>
      <c r="N7356">
        <v>-8.1739540000000006E-3</v>
      </c>
      <c r="O7356">
        <v>-2.0123450000000001E-2</v>
      </c>
      <c r="P7356">
        <v>0.97840150000000004</v>
      </c>
      <c r="Q7356">
        <v>-7.6265150000000004E-2</v>
      </c>
      <c r="R7356">
        <v>0.19213089999999999</v>
      </c>
      <c r="S7356">
        <v>3.0145870000000001</v>
      </c>
      <c r="T7356">
        <v>-0.15056159999999999</v>
      </c>
      <c r="U7356">
        <v>0.20355219999999999</v>
      </c>
      <c r="V7356">
        <v>-0.21180740000000001</v>
      </c>
      <c r="W7356">
        <v>-6.8217109999999997E-2</v>
      </c>
      <c r="X7356">
        <v>0.97492769999999995</v>
      </c>
      <c r="Y7356">
        <v>-8.7290179999999995E-2</v>
      </c>
      <c r="Z7356">
        <v>3.3726239999999998E-3</v>
      </c>
      <c r="AA7356">
        <v>0.99617719999999998</v>
      </c>
      <c r="AB7356">
        <v>32</v>
      </c>
      <c r="AC7356">
        <v>22.032599999999999</v>
      </c>
      <c r="AD7356">
        <v>-1.1088070841889901</v>
      </c>
      <c r="AE7356">
        <v>1.5024599999999899</v>
      </c>
      <c r="AF7356">
        <v>-1.94065012613608</v>
      </c>
      <c r="AG7356">
        <v>-1.1088070841889901</v>
      </c>
      <c r="AH7356">
        <v>21.942586142999701</v>
      </c>
      <c r="AI7356">
        <v>92.881592099630495</v>
      </c>
      <c r="AJ7356">
        <v>95.054212899857205</v>
      </c>
      <c r="AK7356">
        <v>22.056125287660699</v>
      </c>
      <c r="AL7356">
        <v>93.911590376545306</v>
      </c>
      <c r="AM7356">
        <v>102.257287234468</v>
      </c>
      <c r="AN7356">
        <v>0.99999998450939998</v>
      </c>
    </row>
    <row r="7357" spans="1:40" x14ac:dyDescent="0.25">
      <c r="A7357" t="str">
        <f>"20190305135107971"</f>
        <v>20190305135107971</v>
      </c>
      <c r="B7357" t="str">
        <f>"1551765067966963"</f>
        <v>1551765067966963</v>
      </c>
      <c r="C7357" t="s">
        <v>40</v>
      </c>
      <c r="D7357">
        <v>3.7916150000000002</v>
      </c>
      <c r="E7357">
        <v>0.55247089999999999</v>
      </c>
      <c r="F7357" t="s">
        <v>115</v>
      </c>
      <c r="G7357">
        <v>-222.05590000000001</v>
      </c>
      <c r="H7357" s="1">
        <v>-2.1586400000000001E-7</v>
      </c>
      <c r="I7357">
        <v>-61.3542699999999</v>
      </c>
      <c r="J7357">
        <v>-250.5513</v>
      </c>
      <c r="K7357">
        <v>1.108833</v>
      </c>
      <c r="L7357">
        <v>-62.971829999999997</v>
      </c>
      <c r="M7357">
        <v>0.99976039999999999</v>
      </c>
      <c r="N7357">
        <v>-8.4114559999999994E-3</v>
      </c>
      <c r="O7357">
        <v>-2.0208719999999999E-2</v>
      </c>
      <c r="P7357">
        <v>0.97844569999999997</v>
      </c>
      <c r="Q7357">
        <v>-7.6348570000000004E-2</v>
      </c>
      <c r="R7357">
        <v>0.1918726</v>
      </c>
      <c r="S7357">
        <v>3.0236360000000002</v>
      </c>
      <c r="T7357">
        <v>-0.1169755</v>
      </c>
      <c r="U7357">
        <v>0.1702881</v>
      </c>
      <c r="V7357">
        <v>-0.2116333</v>
      </c>
      <c r="W7357">
        <v>-6.8070080000000005E-2</v>
      </c>
      <c r="X7357">
        <v>0.97497579999999995</v>
      </c>
      <c r="Y7357">
        <v>-7.6317270000000006E-2</v>
      </c>
      <c r="Z7357">
        <v>2.4070889999999998E-3</v>
      </c>
      <c r="AA7357">
        <v>0.99708070000000004</v>
      </c>
      <c r="AB7357">
        <v>32</v>
      </c>
      <c r="AC7357">
        <v>28.495399999999901</v>
      </c>
      <c r="AD7357">
        <v>-1.108833215864</v>
      </c>
      <c r="AE7357">
        <v>1.6175600000000101</v>
      </c>
      <c r="AF7357">
        <v>-2.18980043203723</v>
      </c>
      <c r="AG7357">
        <v>-1.108833215864</v>
      </c>
      <c r="AH7357">
        <v>28.414004107680501</v>
      </c>
      <c r="AI7357">
        <v>92.228186257365294</v>
      </c>
      <c r="AJ7357">
        <v>94.4069397813156</v>
      </c>
      <c r="AK7357">
        <v>28.5198240959519</v>
      </c>
      <c r="AL7357">
        <v>93.903146489825403</v>
      </c>
      <c r="AM7357">
        <v>102.24693032149899</v>
      </c>
      <c r="AN7357">
        <v>1.0000000000228599</v>
      </c>
    </row>
    <row r="7358" spans="1:40" x14ac:dyDescent="0.25">
      <c r="A7358" t="str">
        <f>"20190305135107982"</f>
        <v>20190305135107982</v>
      </c>
      <c r="B7358" t="str">
        <f>"1551765067976723"</f>
        <v>1551765067976723</v>
      </c>
      <c r="C7358" t="s">
        <v>40</v>
      </c>
      <c r="D7358">
        <v>3.8086039999999999</v>
      </c>
      <c r="E7358">
        <v>0.55265220000000004</v>
      </c>
      <c r="F7358" t="s">
        <v>115</v>
      </c>
      <c r="G7358">
        <v>-220.1474</v>
      </c>
      <c r="H7358" s="1">
        <v>6.1935669999999905E-7</v>
      </c>
      <c r="I7358">
        <v>-61.2802199999999</v>
      </c>
      <c r="J7358">
        <v>-250.38720000000001</v>
      </c>
      <c r="K7358">
        <v>1.1088629999999999</v>
      </c>
      <c r="L7358">
        <v>-62.975250000000003</v>
      </c>
      <c r="M7358">
        <v>0.99975709999999995</v>
      </c>
      <c r="N7358">
        <v>-8.6331930000000008E-3</v>
      </c>
      <c r="O7358">
        <v>-2.0277710000000001E-2</v>
      </c>
      <c r="P7358">
        <v>0.97850950000000003</v>
      </c>
      <c r="Q7358">
        <v>-7.6480889999999996E-2</v>
      </c>
      <c r="R7358">
        <v>0.19149430000000001</v>
      </c>
      <c r="S7358">
        <v>3.0244450000000001</v>
      </c>
      <c r="T7358">
        <v>-0.1103016</v>
      </c>
      <c r="U7358">
        <v>0.1682739</v>
      </c>
      <c r="V7358">
        <v>-0.2113225</v>
      </c>
      <c r="W7358">
        <v>-6.7988019999999996E-2</v>
      </c>
      <c r="X7358">
        <v>0.97504900000000005</v>
      </c>
      <c r="Y7358">
        <v>-7.5717820000000005E-2</v>
      </c>
      <c r="Z7358">
        <v>2.2703369999999999E-3</v>
      </c>
      <c r="AA7358">
        <v>0.99712670000000003</v>
      </c>
      <c r="AB7358">
        <v>32</v>
      </c>
      <c r="AC7358">
        <v>30.239799999999999</v>
      </c>
      <c r="AD7358">
        <v>-1.1088623806433</v>
      </c>
      <c r="AE7358">
        <v>1.69503</v>
      </c>
      <c r="AF7358">
        <v>-2.3048088363957899</v>
      </c>
      <c r="AG7358">
        <v>-1.1088623806433</v>
      </c>
      <c r="AH7358">
        <v>30.158784308490301</v>
      </c>
      <c r="AI7358">
        <v>92.099556006912195</v>
      </c>
      <c r="AJ7358">
        <v>94.370190412832102</v>
      </c>
      <c r="AK7358">
        <v>30.2670446280699</v>
      </c>
      <c r="AL7358">
        <v>93.898433642036096</v>
      </c>
      <c r="AM7358">
        <v>102.22859596175699</v>
      </c>
      <c r="AN7358">
        <v>1.0000000611353801</v>
      </c>
    </row>
    <row r="7359" spans="1:40" x14ac:dyDescent="0.25">
      <c r="A7359" t="str">
        <f>"20190305135107994"</f>
        <v>20190305135107994</v>
      </c>
      <c r="B7359" t="str">
        <f>"1551765067987459"</f>
        <v>1551765067987459</v>
      </c>
      <c r="C7359" t="s">
        <v>40</v>
      </c>
      <c r="D7359">
        <v>3.7942939999999998</v>
      </c>
      <c r="E7359">
        <v>0.55298230000000004</v>
      </c>
      <c r="F7359" t="s">
        <v>116</v>
      </c>
      <c r="G7359">
        <v>-217.95869999999999</v>
      </c>
      <c r="H7359" s="1">
        <v>-2.599782E-6</v>
      </c>
      <c r="I7359">
        <v>-61.197310000000002</v>
      </c>
      <c r="J7359">
        <v>-250.22069999999999</v>
      </c>
      <c r="K7359">
        <v>1.1088910000000001</v>
      </c>
      <c r="L7359">
        <v>-62.978729999999999</v>
      </c>
      <c r="M7359">
        <v>0.99975400000000003</v>
      </c>
      <c r="N7359">
        <v>-8.8518629999999997E-3</v>
      </c>
      <c r="O7359">
        <v>-2.0341789999999998E-2</v>
      </c>
      <c r="P7359">
        <v>0.97858920000000005</v>
      </c>
      <c r="Q7359">
        <v>-7.6482069999999999E-2</v>
      </c>
      <c r="R7359">
        <v>0.19108549999999999</v>
      </c>
      <c r="S7359">
        <v>3.0253450000000002</v>
      </c>
      <c r="T7359">
        <v>-0.10344920000000001</v>
      </c>
      <c r="U7359">
        <v>0.16586300000000001</v>
      </c>
      <c r="V7359">
        <v>-0.21097679999999999</v>
      </c>
      <c r="W7359">
        <v>-6.777859E-2</v>
      </c>
      <c r="X7359">
        <v>0.97513839999999996</v>
      </c>
      <c r="Y7359">
        <v>-7.4981500000000006E-2</v>
      </c>
      <c r="Z7359">
        <v>2.1279010000000002E-3</v>
      </c>
      <c r="AA7359">
        <v>0.99718269999999998</v>
      </c>
      <c r="AB7359">
        <v>32</v>
      </c>
      <c r="AC7359">
        <v>32.262</v>
      </c>
      <c r="AD7359">
        <v>-1.108893599782</v>
      </c>
      <c r="AE7359">
        <v>1.78142000000001</v>
      </c>
      <c r="AF7359">
        <v>-2.4344764924865201</v>
      </c>
      <c r="AG7359">
        <v>-1.108893599782</v>
      </c>
      <c r="AH7359">
        <v>32.181181977084101</v>
      </c>
      <c r="AI7359">
        <v>91.967888800936805</v>
      </c>
      <c r="AJ7359">
        <v>94.326132495165893</v>
      </c>
      <c r="AK7359">
        <v>32.292178530571597</v>
      </c>
      <c r="AL7359">
        <v>93.886406591481204</v>
      </c>
      <c r="AM7359">
        <v>102.20810615498</v>
      </c>
      <c r="AN7359">
        <v>1.0000000232775901</v>
      </c>
    </row>
    <row r="7360" spans="1:40" x14ac:dyDescent="0.25">
      <c r="A7360" t="str">
        <f>"20190305135108004"</f>
        <v>20190305135108004</v>
      </c>
      <c r="B7360" t="str">
        <f>"1551765067997218"</f>
        <v>1551765067997218</v>
      </c>
      <c r="C7360" t="s">
        <v>40</v>
      </c>
      <c r="D7360">
        <v>3.7779440000000002</v>
      </c>
      <c r="E7360">
        <v>0.55314200000000002</v>
      </c>
      <c r="F7360" t="s">
        <v>116</v>
      </c>
      <c r="G7360">
        <v>-216.2448</v>
      </c>
      <c r="H7360" s="1">
        <v>-1.854316E-6</v>
      </c>
      <c r="I7360">
        <v>-61.159010000000002</v>
      </c>
      <c r="J7360">
        <v>-250.06870000000001</v>
      </c>
      <c r="K7360">
        <v>1.108919</v>
      </c>
      <c r="L7360">
        <v>-62.981870000000001</v>
      </c>
      <c r="M7360">
        <v>0.99975130000000001</v>
      </c>
      <c r="N7360">
        <v>-9.041304E-3</v>
      </c>
      <c r="O7360">
        <v>-2.0390120000000001E-2</v>
      </c>
      <c r="P7360">
        <v>0.9787072</v>
      </c>
      <c r="Q7360">
        <v>-7.6682840000000002E-2</v>
      </c>
      <c r="R7360">
        <v>0.19039909999999999</v>
      </c>
      <c r="S7360">
        <v>3.0262760000000002</v>
      </c>
      <c r="T7360">
        <v>-9.8770259999999999E-2</v>
      </c>
      <c r="U7360">
        <v>0.1620789</v>
      </c>
      <c r="V7360">
        <v>-0.21033850000000001</v>
      </c>
      <c r="W7360">
        <v>-6.7798129999999998E-2</v>
      </c>
      <c r="X7360">
        <v>0.97527489999999994</v>
      </c>
      <c r="Y7360">
        <v>-7.3775489999999999E-2</v>
      </c>
      <c r="Z7360">
        <v>2.017329E-3</v>
      </c>
      <c r="AA7360">
        <v>0.99727279999999996</v>
      </c>
      <c r="AB7360">
        <v>32</v>
      </c>
      <c r="AC7360">
        <v>33.823900000000002</v>
      </c>
      <c r="AD7360">
        <v>-1.1089208543160001</v>
      </c>
      <c r="AE7360">
        <v>1.8228599999999899</v>
      </c>
      <c r="AF7360">
        <v>-2.5094929566311701</v>
      </c>
      <c r="AG7360">
        <v>-1.1089208543160001</v>
      </c>
      <c r="AH7360">
        <v>33.7435328936132</v>
      </c>
      <c r="AI7360">
        <v>91.877065914390798</v>
      </c>
      <c r="AJ7360">
        <v>94.2532342724232</v>
      </c>
      <c r="AK7360">
        <v>33.854885504205697</v>
      </c>
      <c r="AL7360">
        <v>93.887528819769003</v>
      </c>
      <c r="AM7360">
        <v>102.17062121695299</v>
      </c>
      <c r="AN7360">
        <v>1.0000000007918699</v>
      </c>
    </row>
    <row r="7361" spans="1:40" x14ac:dyDescent="0.25">
      <c r="A7361" t="str">
        <f>"20190305135108014"</f>
        <v>20190305135108014</v>
      </c>
      <c r="B7361" t="str">
        <f>"1551765068006980"</f>
        <v>1551765068006980</v>
      </c>
      <c r="C7361" t="s">
        <v>40</v>
      </c>
      <c r="D7361">
        <v>3.8033809999999999</v>
      </c>
      <c r="E7361">
        <v>0.55332959999999998</v>
      </c>
      <c r="F7361" t="s">
        <v>116</v>
      </c>
      <c r="G7361">
        <v>-214.79589999999999</v>
      </c>
      <c r="H7361" s="1">
        <v>-1.2253459999999999E-6</v>
      </c>
      <c r="I7361">
        <v>-61.131149999999998</v>
      </c>
      <c r="J7361">
        <v>-249.9111</v>
      </c>
      <c r="K7361">
        <v>1.1089469999999999</v>
      </c>
      <c r="L7361">
        <v>-62.985169999999997</v>
      </c>
      <c r="M7361">
        <v>0.99974870000000005</v>
      </c>
      <c r="N7361">
        <v>-9.2288460000000006E-3</v>
      </c>
      <c r="O7361">
        <v>-2.0431149999999999E-2</v>
      </c>
      <c r="P7361">
        <v>0.97881669999999998</v>
      </c>
      <c r="Q7361">
        <v>-7.674636E-2</v>
      </c>
      <c r="R7361">
        <v>0.18981010000000001</v>
      </c>
      <c r="S7361">
        <v>3.0269010000000001</v>
      </c>
      <c r="T7361">
        <v>-9.5160960000000003E-2</v>
      </c>
      <c r="U7361">
        <v>0.1588135</v>
      </c>
      <c r="V7361">
        <v>-0.20979</v>
      </c>
      <c r="W7361">
        <v>-6.7683880000000002E-2</v>
      </c>
      <c r="X7361">
        <v>0.97540099999999996</v>
      </c>
      <c r="Y7361">
        <v>-7.2736869999999995E-2</v>
      </c>
      <c r="Z7361">
        <v>1.9316750000000001E-3</v>
      </c>
      <c r="AA7361">
        <v>0.99734929999999999</v>
      </c>
      <c r="AB7361">
        <v>32</v>
      </c>
      <c r="AC7361">
        <v>35.115200000000002</v>
      </c>
      <c r="AD7361">
        <v>-1.1089482253459999</v>
      </c>
      <c r="AE7361">
        <v>1.85401999999999</v>
      </c>
      <c r="AF7361">
        <v>-2.56855287802389</v>
      </c>
      <c r="AG7361">
        <v>-1.1089482253459999</v>
      </c>
      <c r="AH7361">
        <v>35.035144202418103</v>
      </c>
      <c r="AI7361">
        <v>91.808097218967802</v>
      </c>
      <c r="AJ7361">
        <v>94.193058734677606</v>
      </c>
      <c r="AK7361">
        <v>35.146672094779198</v>
      </c>
      <c r="AL7361">
        <v>93.880967587274597</v>
      </c>
      <c r="AM7361">
        <v>102.138303514193</v>
      </c>
      <c r="AN7361">
        <v>1.0000000312564199</v>
      </c>
    </row>
    <row r="7362" spans="1:40" x14ac:dyDescent="0.25">
      <c r="A7362" t="str">
        <f>"20190305135108026"</f>
        <v>20190305135108026</v>
      </c>
      <c r="B7362" t="str">
        <f>"1551765068016739"</f>
        <v>1551765068016739</v>
      </c>
      <c r="C7362" t="s">
        <v>40</v>
      </c>
      <c r="D7362">
        <v>3.79603</v>
      </c>
      <c r="E7362">
        <v>0.55343679999999995</v>
      </c>
      <c r="F7362" t="s">
        <v>116</v>
      </c>
      <c r="G7362">
        <v>-212.77459999999999</v>
      </c>
      <c r="H7362" s="1">
        <v>-3.4354989999999998E-7</v>
      </c>
      <c r="I7362">
        <v>-61.076070000000001</v>
      </c>
      <c r="J7362">
        <v>-249.74440000000001</v>
      </c>
      <c r="K7362">
        <v>1.108976</v>
      </c>
      <c r="L7362">
        <v>-62.98865</v>
      </c>
      <c r="M7362">
        <v>0.99974620000000003</v>
      </c>
      <c r="N7362">
        <v>-9.4177180000000003E-3</v>
      </c>
      <c r="O7362">
        <v>-2.0464880000000001E-2</v>
      </c>
      <c r="P7362">
        <v>0.97891289999999997</v>
      </c>
      <c r="Q7362">
        <v>-7.6617050000000006E-2</v>
      </c>
      <c r="R7362">
        <v>0.1893659</v>
      </c>
      <c r="S7362">
        <v>3.0276640000000001</v>
      </c>
      <c r="T7362">
        <v>-9.0410110000000002E-2</v>
      </c>
      <c r="U7362">
        <v>0.15563959999999999</v>
      </c>
      <c r="V7362">
        <v>-0.2093785</v>
      </c>
      <c r="W7362">
        <v>-6.7377450000000005E-2</v>
      </c>
      <c r="X7362">
        <v>0.97551060000000001</v>
      </c>
      <c r="Y7362">
        <v>-7.171988E-2</v>
      </c>
      <c r="Z7362">
        <v>1.8259820000000001E-3</v>
      </c>
      <c r="AA7362">
        <v>0.99742310000000001</v>
      </c>
      <c r="AB7362">
        <v>32</v>
      </c>
      <c r="AC7362">
        <v>36.969799999999999</v>
      </c>
      <c r="AD7362">
        <v>-1.1089763435498901</v>
      </c>
      <c r="AE7362">
        <v>1.9125799999999999</v>
      </c>
      <c r="AF7362">
        <v>-2.6664026547819399</v>
      </c>
      <c r="AG7362">
        <v>-1.1089763435498901</v>
      </c>
      <c r="AH7362">
        <v>36.889809177221103</v>
      </c>
      <c r="AI7362">
        <v>91.717421491884494</v>
      </c>
      <c r="AJ7362">
        <v>94.134160662640397</v>
      </c>
      <c r="AK7362">
        <v>37.002669535856</v>
      </c>
      <c r="AL7362">
        <v>93.863370376827703</v>
      </c>
      <c r="AM7362">
        <v>102.113877483149</v>
      </c>
      <c r="AN7362">
        <v>1.00000000387155</v>
      </c>
    </row>
    <row r="7363" spans="1:40" x14ac:dyDescent="0.25">
      <c r="A7363" t="str">
        <f>"20190305135108037"</f>
        <v>20190305135108037</v>
      </c>
      <c r="B7363" t="str">
        <f>"1551765068027475"</f>
        <v>1551765068027475</v>
      </c>
      <c r="C7363" t="s">
        <v>40</v>
      </c>
      <c r="D7363">
        <v>3.8559679999999998</v>
      </c>
      <c r="E7363">
        <v>0.55347219999999997</v>
      </c>
      <c r="F7363" t="s">
        <v>116</v>
      </c>
      <c r="G7363">
        <v>-211.34610000000001</v>
      </c>
      <c r="H7363" s="1">
        <v>2.781086E-7</v>
      </c>
      <c r="I7363">
        <v>-61.042819999999899</v>
      </c>
      <c r="J7363">
        <v>-249.58690000000001</v>
      </c>
      <c r="K7363">
        <v>1.109002</v>
      </c>
      <c r="L7363">
        <v>-62.991909999999997</v>
      </c>
      <c r="M7363">
        <v>0.99974419999999997</v>
      </c>
      <c r="N7363">
        <v>-9.5837749999999992E-3</v>
      </c>
      <c r="O7363">
        <v>-2.0487289999999998E-2</v>
      </c>
      <c r="P7363">
        <v>0.97900549999999997</v>
      </c>
      <c r="Q7363">
        <v>-7.6920230000000006E-2</v>
      </c>
      <c r="R7363">
        <v>0.18876370000000001</v>
      </c>
      <c r="S7363">
        <v>3.028076</v>
      </c>
      <c r="T7363">
        <v>-8.7453370000000002E-2</v>
      </c>
      <c r="U7363">
        <v>0.15344240000000001</v>
      </c>
      <c r="V7363">
        <v>-0.20879719999999999</v>
      </c>
      <c r="W7363">
        <v>-6.7526230000000007E-2</v>
      </c>
      <c r="X7363">
        <v>0.97562490000000002</v>
      </c>
      <c r="Y7363">
        <v>-7.1016480000000007E-2</v>
      </c>
      <c r="Z7363">
        <v>1.760312E-3</v>
      </c>
      <c r="AA7363">
        <v>0.99747359999999896</v>
      </c>
      <c r="AB7363">
        <v>32</v>
      </c>
      <c r="AC7363">
        <v>38.2408</v>
      </c>
      <c r="AD7363">
        <v>-1.1090017218913999</v>
      </c>
      <c r="AE7363">
        <v>1.94909</v>
      </c>
      <c r="AF7363">
        <v>-2.7298772445456101</v>
      </c>
      <c r="AG7363">
        <v>-1.1090017218913999</v>
      </c>
      <c r="AH7363">
        <v>38.160828458826998</v>
      </c>
      <c r="AI7363">
        <v>91.660378358280596</v>
      </c>
      <c r="AJ7363">
        <v>94.091746995896301</v>
      </c>
      <c r="AK7363">
        <v>38.274416301930302</v>
      </c>
      <c r="AL7363">
        <v>93.8719143009682</v>
      </c>
      <c r="AM7363">
        <v>102.079861123051</v>
      </c>
      <c r="AN7363">
        <v>1.00000000398293</v>
      </c>
    </row>
    <row r="7364" spans="1:40" x14ac:dyDescent="0.25">
      <c r="A7364" t="str">
        <f>"20190305135108047"</f>
        <v>20190305135108047</v>
      </c>
      <c r="B7364" t="str">
        <f>"1551765068037234"</f>
        <v>1551765068037234</v>
      </c>
      <c r="C7364" t="s">
        <v>40</v>
      </c>
      <c r="D7364">
        <v>3.8106</v>
      </c>
      <c r="E7364">
        <v>0.55347069999999998</v>
      </c>
      <c r="F7364" t="s">
        <v>43</v>
      </c>
      <c r="G7364">
        <v>-208.23560000000001</v>
      </c>
      <c r="H7364">
        <v>-0.05</v>
      </c>
      <c r="I7364">
        <v>-60.923839999999998</v>
      </c>
      <c r="J7364">
        <v>-249.43020000000001</v>
      </c>
      <c r="K7364">
        <v>1.10903</v>
      </c>
      <c r="L7364">
        <v>-62.995179999999998</v>
      </c>
      <c r="M7364">
        <v>0.99974229999999997</v>
      </c>
      <c r="N7364">
        <v>-9.7439620000000001E-3</v>
      </c>
      <c r="O7364">
        <v>-2.0505969999999998E-2</v>
      </c>
      <c r="P7364">
        <v>0.97901439999999995</v>
      </c>
      <c r="Q7364">
        <v>-7.720014E-2</v>
      </c>
      <c r="R7364">
        <v>0.18860299999999999</v>
      </c>
      <c r="S7364">
        <v>3.0284580000000001</v>
      </c>
      <c r="T7364">
        <v>-8.4882139999999995E-2</v>
      </c>
      <c r="U7364">
        <v>0.1514587</v>
      </c>
      <c r="V7364">
        <v>-0.20865249999999999</v>
      </c>
      <c r="W7364">
        <v>-6.7658599999999999E-2</v>
      </c>
      <c r="X7364">
        <v>0.97564669999999998</v>
      </c>
      <c r="Y7364">
        <v>-7.0379670000000005E-2</v>
      </c>
      <c r="Z7364">
        <v>1.7033669999999999E-3</v>
      </c>
      <c r="AA7364">
        <v>0.99751880000000004</v>
      </c>
      <c r="AB7364">
        <v>32</v>
      </c>
      <c r="AC7364">
        <v>41.194600000000001</v>
      </c>
      <c r="AD7364">
        <v>-1.15903</v>
      </c>
      <c r="AE7364">
        <v>2.0713400000000002</v>
      </c>
      <c r="AF7364">
        <v>-2.9133792796684199</v>
      </c>
      <c r="AG7364">
        <v>-1.15903</v>
      </c>
      <c r="AH7364">
        <v>41.110998740788901</v>
      </c>
      <c r="AI7364">
        <v>91.610857211146296</v>
      </c>
      <c r="AJ7364">
        <v>94.053556195633206</v>
      </c>
      <c r="AK7364">
        <v>41.230393483851699</v>
      </c>
      <c r="AL7364">
        <v>93.879515875290494</v>
      </c>
      <c r="AM7364">
        <v>102.07147339145099</v>
      </c>
      <c r="AN7364">
        <v>1.0000000175655399</v>
      </c>
    </row>
    <row r="7365" spans="1:40" x14ac:dyDescent="0.25">
      <c r="A7365" t="str">
        <f>"20190305135108059"</f>
        <v>20190305135108059</v>
      </c>
      <c r="B7365" t="str">
        <f>"1551765068056755"</f>
        <v>1551765068056755</v>
      </c>
      <c r="C7365" t="s">
        <v>40</v>
      </c>
      <c r="D7365">
        <v>3.7920060000000002</v>
      </c>
      <c r="E7365">
        <v>0.55347679999999999</v>
      </c>
      <c r="F7365" t="s">
        <v>85</v>
      </c>
      <c r="G7365">
        <v>-209.4547</v>
      </c>
      <c r="H7365" s="1">
        <v>-4.0430059999999999E-7</v>
      </c>
      <c r="I7365">
        <v>-61.002070000000003</v>
      </c>
      <c r="J7365">
        <v>-249.26249999999999</v>
      </c>
      <c r="K7365">
        <v>1.1090519999999999</v>
      </c>
      <c r="L7365">
        <v>-62.998660000000001</v>
      </c>
      <c r="M7365">
        <v>0.99974050000000003</v>
      </c>
      <c r="N7365">
        <v>-9.9000630000000006E-3</v>
      </c>
      <c r="O7365">
        <v>-2.0515240000000001E-2</v>
      </c>
      <c r="P7365">
        <v>0.97906740000000003</v>
      </c>
      <c r="Q7365">
        <v>-7.7066209999999996E-2</v>
      </c>
      <c r="R7365">
        <v>0.1883821</v>
      </c>
      <c r="S7365">
        <v>3.0285799999999998</v>
      </c>
      <c r="T7365">
        <v>-8.4021090000000007E-2</v>
      </c>
      <c r="U7365">
        <v>0.151001</v>
      </c>
      <c r="V7365">
        <v>-0.20843880000000001</v>
      </c>
      <c r="W7365">
        <v>-6.7380309999999999E-2</v>
      </c>
      <c r="X7365">
        <v>0.97571160000000001</v>
      </c>
      <c r="Y7365">
        <v>-7.0237259999999996E-2</v>
      </c>
      <c r="Z7365">
        <v>1.687275E-3</v>
      </c>
      <c r="AA7365">
        <v>0.99752890000000005</v>
      </c>
      <c r="AB7365">
        <v>32</v>
      </c>
      <c r="AC7365">
        <v>39.807799999999901</v>
      </c>
      <c r="AD7365">
        <v>-1.1090524043006</v>
      </c>
      <c r="AE7365">
        <v>1.9965900000000001</v>
      </c>
      <c r="AF7365">
        <v>-2.8107002093512699</v>
      </c>
      <c r="AG7365">
        <v>-1.1090524043006</v>
      </c>
      <c r="AH7365">
        <v>39.727699862059097</v>
      </c>
      <c r="AI7365">
        <v>91.595088756680695</v>
      </c>
      <c r="AJ7365">
        <v>94.046883409467299</v>
      </c>
      <c r="AK7365">
        <v>39.842441808104297</v>
      </c>
      <c r="AL7365">
        <v>93.863534696958595</v>
      </c>
      <c r="AM7365">
        <v>102.05869333123201</v>
      </c>
      <c r="AN7365">
        <v>0.99999998294784698</v>
      </c>
    </row>
    <row r="7366" spans="1:40" x14ac:dyDescent="0.25">
      <c r="A7366" t="str">
        <f>"20190305135108071"</f>
        <v>20190305135108071</v>
      </c>
      <c r="B7366" t="str">
        <f>"1551765068067491"</f>
        <v>1551765068067491</v>
      </c>
      <c r="C7366" t="s">
        <v>40</v>
      </c>
      <c r="D7366">
        <v>3.8108379999999999</v>
      </c>
      <c r="E7366">
        <v>0.55332819999999905</v>
      </c>
      <c r="F7366" t="s">
        <v>85</v>
      </c>
      <c r="G7366">
        <v>-207.7843</v>
      </c>
      <c r="H7366" s="1">
        <v>-1.4573800000000001E-6</v>
      </c>
      <c r="I7366">
        <v>-60.939979999999998</v>
      </c>
      <c r="J7366">
        <v>-249.1003</v>
      </c>
      <c r="K7366">
        <v>1.1090709999999999</v>
      </c>
      <c r="L7366">
        <v>-63.002009999999999</v>
      </c>
      <c r="M7366">
        <v>0.99973909999999999</v>
      </c>
      <c r="N7366">
        <v>-1.0046879999999999E-2</v>
      </c>
      <c r="O7366">
        <v>-2.052054E-2</v>
      </c>
      <c r="P7366">
        <v>0.97907909999999998</v>
      </c>
      <c r="Q7366">
        <v>-7.7302010000000004E-2</v>
      </c>
      <c r="R7366">
        <v>0.188225</v>
      </c>
      <c r="S7366">
        <v>3.0288240000000002</v>
      </c>
      <c r="T7366">
        <v>-8.0985550000000003E-2</v>
      </c>
      <c r="U7366">
        <v>0.15032960000000001</v>
      </c>
      <c r="V7366">
        <v>-0.20828469999999999</v>
      </c>
      <c r="W7366">
        <v>-6.7480639999999995E-2</v>
      </c>
      <c r="X7366">
        <v>0.97573759999999998</v>
      </c>
      <c r="Y7366">
        <v>-7.0020659999999998E-2</v>
      </c>
      <c r="Z7366">
        <v>1.629712E-3</v>
      </c>
      <c r="AA7366">
        <v>0.99754419999999999</v>
      </c>
      <c r="AB7366">
        <v>32</v>
      </c>
      <c r="AC7366">
        <v>41.316000000000003</v>
      </c>
      <c r="AD7366">
        <v>-1.1090724573799999</v>
      </c>
      <c r="AE7366">
        <v>2.0620299999999898</v>
      </c>
      <c r="AF7366">
        <v>-2.9073752577354801</v>
      </c>
      <c r="AG7366">
        <v>-1.1090724573799999</v>
      </c>
      <c r="AH7366">
        <v>41.235343569450201</v>
      </c>
      <c r="AI7366">
        <v>91.536851658142396</v>
      </c>
      <c r="AJ7366">
        <v>94.033072164796295</v>
      </c>
      <c r="AK7366">
        <v>41.352586761841302</v>
      </c>
      <c r="AL7366">
        <v>93.869296196980102</v>
      </c>
      <c r="AM7366">
        <v>102.04972722358001</v>
      </c>
      <c r="AN7366">
        <v>1.0000000085413201</v>
      </c>
    </row>
    <row r="7367" spans="1:40" x14ac:dyDescent="0.25">
      <c r="A7367" t="str">
        <f>"20190305135108082"</f>
        <v>20190305135108082</v>
      </c>
      <c r="B7367" t="str">
        <f>"1551765068077254"</f>
        <v>1551765068077254</v>
      </c>
      <c r="C7367" t="s">
        <v>40</v>
      </c>
      <c r="D7367">
        <v>3.9360810000000002</v>
      </c>
      <c r="E7367">
        <v>0.55332819999999905</v>
      </c>
      <c r="F7367" t="s">
        <v>85</v>
      </c>
      <c r="G7367">
        <v>-207.9607</v>
      </c>
      <c r="H7367" s="1">
        <v>-1.3467650000000001E-6</v>
      </c>
      <c r="I7367">
        <v>-60.950890000000001</v>
      </c>
      <c r="J7367">
        <v>-248.93170000000001</v>
      </c>
      <c r="K7367">
        <v>1.109092</v>
      </c>
      <c r="L7367">
        <v>-63.005459999999999</v>
      </c>
      <c r="M7367">
        <v>0.99973780000000001</v>
      </c>
      <c r="N7367">
        <v>-1.0185049999999999E-2</v>
      </c>
      <c r="O7367">
        <v>-2.0507339999999999E-2</v>
      </c>
      <c r="P7367">
        <v>0.97907840000000002</v>
      </c>
      <c r="Q7367">
        <v>-7.7577859999999998E-2</v>
      </c>
      <c r="R7367">
        <v>0.18811459999999999</v>
      </c>
      <c r="S7367">
        <v>3.0286249999999999</v>
      </c>
      <c r="T7367">
        <v>-8.1647990000000004E-2</v>
      </c>
      <c r="U7367">
        <v>0.151001</v>
      </c>
      <c r="V7367">
        <v>-0.20815929999999999</v>
      </c>
      <c r="W7367">
        <v>-6.7629140000000004E-2</v>
      </c>
      <c r="X7367">
        <v>0.97575409999999996</v>
      </c>
      <c r="Y7367">
        <v>-7.0230589999999996E-2</v>
      </c>
      <c r="Z7367">
        <v>1.647623E-3</v>
      </c>
      <c r="AA7367">
        <v>0.99752940000000001</v>
      </c>
      <c r="AB7367">
        <v>32</v>
      </c>
      <c r="AC7367">
        <v>40.970999999999997</v>
      </c>
      <c r="AD7367">
        <v>-1.1090933467649999</v>
      </c>
      <c r="AE7367">
        <v>2.0545699999999898</v>
      </c>
      <c r="AF7367">
        <v>-2.8922735829441999</v>
      </c>
      <c r="AG7367">
        <v>-1.1090933467649999</v>
      </c>
      <c r="AH7367">
        <v>40.890357923396998</v>
      </c>
      <c r="AI7367">
        <v>91.549816167983494</v>
      </c>
      <c r="AJ7367">
        <v>94.045930213462896</v>
      </c>
      <c r="AK7367">
        <v>41.007520110754797</v>
      </c>
      <c r="AL7367">
        <v>93.877824021394204</v>
      </c>
      <c r="AM7367">
        <v>102.04248670418001</v>
      </c>
      <c r="AN7367">
        <v>1.00000002921021</v>
      </c>
    </row>
    <row r="7368" spans="1:40" x14ac:dyDescent="0.25">
      <c r="A7368" t="str">
        <f>"20190305135108093"</f>
        <v>20190305135108093</v>
      </c>
      <c r="B7368" t="str">
        <f>"1551765068087011"</f>
        <v>1551765068087011</v>
      </c>
      <c r="C7368" t="s">
        <v>40</v>
      </c>
      <c r="D7368">
        <v>3.8008600000000001</v>
      </c>
      <c r="E7368">
        <v>0.55306269999999902</v>
      </c>
      <c r="F7368" t="s">
        <v>85</v>
      </c>
      <c r="G7368">
        <v>-208.21010000000001</v>
      </c>
      <c r="H7368" s="1">
        <v>-1.1922790000000001E-6</v>
      </c>
      <c r="I7368">
        <v>-60.979689999999998</v>
      </c>
      <c r="J7368">
        <v>-248.7741</v>
      </c>
      <c r="K7368">
        <v>1.109113</v>
      </c>
      <c r="L7368">
        <v>-63.00873</v>
      </c>
      <c r="M7368">
        <v>0.99973690000000004</v>
      </c>
      <c r="N7368">
        <v>-1.0309219999999999E-2</v>
      </c>
      <c r="O7368">
        <v>-2.0487999999999999E-2</v>
      </c>
      <c r="P7368">
        <v>0.97904570000000002</v>
      </c>
      <c r="Q7368">
        <v>-7.7475119999999995E-2</v>
      </c>
      <c r="R7368">
        <v>0.18832740000000001</v>
      </c>
      <c r="S7368">
        <v>3.0286249999999999</v>
      </c>
      <c r="T7368">
        <v>-8.2487580000000005E-2</v>
      </c>
      <c r="U7368">
        <v>0.150665299999999</v>
      </c>
      <c r="V7368">
        <v>-0.2083499</v>
      </c>
      <c r="W7368">
        <v>-6.7412719999999995E-2</v>
      </c>
      <c r="X7368">
        <v>0.97572840000000005</v>
      </c>
      <c r="Y7368">
        <v>-7.0100300000000004E-2</v>
      </c>
      <c r="Z7368">
        <v>1.66207799999999E-3</v>
      </c>
      <c r="AA7368">
        <v>0.99753860000000005</v>
      </c>
      <c r="AB7368">
        <v>32</v>
      </c>
      <c r="AC7368">
        <v>40.563999999999901</v>
      </c>
      <c r="AD7368">
        <v>-1.109114192279</v>
      </c>
      <c r="AE7368">
        <v>2.0290400000000002</v>
      </c>
      <c r="AF7368">
        <v>-2.8576024743819199</v>
      </c>
      <c r="AG7368">
        <v>-1.109114192279</v>
      </c>
      <c r="AH7368">
        <v>40.483721273779999</v>
      </c>
      <c r="AI7368">
        <v>91.565420972210703</v>
      </c>
      <c r="AJ7368">
        <v>94.037609270461104</v>
      </c>
      <c r="AK7368">
        <v>40.599602391725703</v>
      </c>
      <c r="AL7368">
        <v>93.865395690863394</v>
      </c>
      <c r="AM7368">
        <v>102.053499221877</v>
      </c>
      <c r="AN7368">
        <v>1.0000000331071801</v>
      </c>
    </row>
    <row r="7369" spans="1:40" x14ac:dyDescent="0.25">
      <c r="A7369" t="str">
        <f>"20190305135108103"</f>
        <v>20190305135108103</v>
      </c>
      <c r="B7369" t="str">
        <f>"1551765068096867"</f>
        <v>1551765068096867</v>
      </c>
      <c r="C7369" t="s">
        <v>40</v>
      </c>
      <c r="D7369">
        <v>3.8333119999999998</v>
      </c>
      <c r="E7369">
        <v>0.55285169999999995</v>
      </c>
      <c r="F7369" t="s">
        <v>85</v>
      </c>
      <c r="G7369">
        <v>-208.01130000000001</v>
      </c>
      <c r="H7369" s="1">
        <v>-1.3136819999999999E-6</v>
      </c>
      <c r="I7369">
        <v>-60.944049999999997</v>
      </c>
      <c r="J7369">
        <v>-248.61510000000001</v>
      </c>
      <c r="K7369">
        <v>1.109137</v>
      </c>
      <c r="L7369">
        <v>-63.011989999999997</v>
      </c>
      <c r="M7369">
        <v>0.99973639999999997</v>
      </c>
      <c r="N7369">
        <v>-1.042526E-2</v>
      </c>
      <c r="O7369">
        <v>-2.0454779999999999E-2</v>
      </c>
      <c r="P7369">
        <v>0.97902049999999996</v>
      </c>
      <c r="Q7369">
        <v>-7.7660679999999996E-2</v>
      </c>
      <c r="R7369">
        <v>0.18838199999999999</v>
      </c>
      <c r="S7369">
        <v>3.0281829999999998</v>
      </c>
      <c r="T7369">
        <v>-8.2393649999999999E-2</v>
      </c>
      <c r="U7369">
        <v>0.1533813</v>
      </c>
      <c r="V7369">
        <v>-0.20836969999999999</v>
      </c>
      <c r="W7369">
        <v>-6.7492720000000006E-2</v>
      </c>
      <c r="X7369">
        <v>0.97571859999999999</v>
      </c>
      <c r="Y7369">
        <v>-7.0966429999999997E-2</v>
      </c>
      <c r="Z7369">
        <v>1.677989E-3</v>
      </c>
      <c r="AA7369">
        <v>0.99747730000000001</v>
      </c>
      <c r="AB7369">
        <v>32</v>
      </c>
      <c r="AC7369">
        <v>40.6038</v>
      </c>
      <c r="AD7369">
        <v>-1.1091383136820001</v>
      </c>
      <c r="AE7369">
        <v>2.0679400000000001</v>
      </c>
      <c r="AF7369">
        <v>-2.8959389762557999</v>
      </c>
      <c r="AG7369">
        <v>-1.1091383136820001</v>
      </c>
      <c r="AH7369">
        <v>40.522843632618098</v>
      </c>
      <c r="AI7369">
        <v>91.563847423028406</v>
      </c>
      <c r="AJ7369">
        <v>94.087656746283699</v>
      </c>
      <c r="AK7369">
        <v>40.641327567227599</v>
      </c>
      <c r="AL7369">
        <v>93.869989972710698</v>
      </c>
      <c r="AM7369">
        <v>102.054728725475</v>
      </c>
      <c r="AN7369">
        <v>0.99999999275852403</v>
      </c>
    </row>
    <row r="7370" spans="1:40" x14ac:dyDescent="0.25">
      <c r="A7370" t="str">
        <f>"20190305135108115"</f>
        <v>20190305135108115</v>
      </c>
      <c r="B7370" t="str">
        <f>"1551765068106628"</f>
        <v>1551765068106628</v>
      </c>
      <c r="C7370" t="s">
        <v>40</v>
      </c>
      <c r="D7370">
        <v>3.7944399999999998</v>
      </c>
      <c r="E7370">
        <v>0.55256400000000006</v>
      </c>
      <c r="F7370" t="s">
        <v>85</v>
      </c>
      <c r="G7370">
        <v>-208.27119999999999</v>
      </c>
      <c r="H7370" s="1">
        <v>-1.1485169999999999E-6</v>
      </c>
      <c r="I7370">
        <v>-60.944279999999999</v>
      </c>
      <c r="J7370">
        <v>-248.4537</v>
      </c>
      <c r="K7370">
        <v>1.109159</v>
      </c>
      <c r="L7370">
        <v>-63.015259999999998</v>
      </c>
      <c r="M7370">
        <v>0.99973610000000002</v>
      </c>
      <c r="N7370">
        <v>-1.053596E-2</v>
      </c>
      <c r="O7370">
        <v>-2.0412199999999998E-2</v>
      </c>
      <c r="P7370">
        <v>0.9789371</v>
      </c>
      <c r="Q7370">
        <v>-7.7598500000000001E-2</v>
      </c>
      <c r="R7370">
        <v>0.18884090000000001</v>
      </c>
      <c r="S7370">
        <v>3.0278170000000002</v>
      </c>
      <c r="T7370">
        <v>-8.3240990000000001E-2</v>
      </c>
      <c r="U7370">
        <v>0.15518189999999901</v>
      </c>
      <c r="V7370">
        <v>-0.20878179999999999</v>
      </c>
      <c r="W7370">
        <v>-6.7332829999999996E-2</v>
      </c>
      <c r="X7370">
        <v>0.97564150000000005</v>
      </c>
      <c r="Y7370">
        <v>-7.1520570000000006E-2</v>
      </c>
      <c r="Z7370">
        <v>1.7052790000000001E-3</v>
      </c>
      <c r="AA7370">
        <v>0.99743769999999998</v>
      </c>
      <c r="AB7370">
        <v>32</v>
      </c>
      <c r="AC7370">
        <v>40.182499999999997</v>
      </c>
      <c r="AD7370">
        <v>-1.109160148517</v>
      </c>
      <c r="AE7370">
        <v>2.0709799999999898</v>
      </c>
      <c r="AF7370">
        <v>-2.8886121567759502</v>
      </c>
      <c r="AG7370">
        <v>-1.109160148517</v>
      </c>
      <c r="AH7370">
        <v>40.101377950362298</v>
      </c>
      <c r="AI7370">
        <v>91.580242188337607</v>
      </c>
      <c r="AJ7370">
        <v>94.120055924976697</v>
      </c>
      <c r="AK7370">
        <v>40.220577195574101</v>
      </c>
      <c r="AL7370">
        <v>93.860808254554001</v>
      </c>
      <c r="AM7370">
        <v>102.07879684739299</v>
      </c>
      <c r="AN7370">
        <v>0.99999994326464703</v>
      </c>
    </row>
    <row r="7371" spans="1:40" x14ac:dyDescent="0.25">
      <c r="A7371" t="str">
        <f>"20190305135108126"</f>
        <v>20190305135108126</v>
      </c>
      <c r="B7371" t="str">
        <f>"1551765068117363"</f>
        <v>1551765068117363</v>
      </c>
      <c r="C7371" t="s">
        <v>40</v>
      </c>
      <c r="D7371">
        <v>3.826873</v>
      </c>
      <c r="E7371">
        <v>0.55235480000000003</v>
      </c>
      <c r="F7371" t="s">
        <v>85</v>
      </c>
      <c r="G7371">
        <v>-208.3776</v>
      </c>
      <c r="H7371" s="1">
        <v>-1.076486E-6</v>
      </c>
      <c r="I7371">
        <v>-60.91283</v>
      </c>
      <c r="J7371">
        <v>-248.297</v>
      </c>
      <c r="K7371">
        <v>1.109183</v>
      </c>
      <c r="L7371">
        <v>-63.018430000000002</v>
      </c>
      <c r="M7371">
        <v>0.99973619999999996</v>
      </c>
      <c r="N7371">
        <v>-1.063741E-2</v>
      </c>
      <c r="O7371">
        <v>-2.0363340000000001E-2</v>
      </c>
      <c r="P7371">
        <v>0.97890560000000004</v>
      </c>
      <c r="Q7371">
        <v>-7.7755480000000002E-2</v>
      </c>
      <c r="R7371">
        <v>0.18894</v>
      </c>
      <c r="S7371">
        <v>3.0272670000000002</v>
      </c>
      <c r="T7371">
        <v>-8.3783750000000004E-2</v>
      </c>
      <c r="U7371">
        <v>0.1588135</v>
      </c>
      <c r="V7371">
        <v>-0.20882919999999999</v>
      </c>
      <c r="W7371">
        <v>-6.7401829999999996E-2</v>
      </c>
      <c r="X7371">
        <v>0.97562660000000001</v>
      </c>
      <c r="Y7371">
        <v>-7.2673210000000002E-2</v>
      </c>
      <c r="Z7371">
        <v>1.738395E-3</v>
      </c>
      <c r="AA7371">
        <v>0.99735430000000003</v>
      </c>
      <c r="AB7371">
        <v>32</v>
      </c>
      <c r="AC7371">
        <v>39.919400000000003</v>
      </c>
      <c r="AD7371">
        <v>-1.1091840764859999</v>
      </c>
      <c r="AE7371">
        <v>2.1055999999999901</v>
      </c>
      <c r="AF7371">
        <v>-2.9158566282977598</v>
      </c>
      <c r="AG7371">
        <v>-1.1091840764859999</v>
      </c>
      <c r="AH7371">
        <v>39.837571310086297</v>
      </c>
      <c r="AI7371">
        <v>91.590602265544604</v>
      </c>
      <c r="AJ7371">
        <v>94.186221360151393</v>
      </c>
      <c r="AK7371">
        <v>39.959536997799802</v>
      </c>
      <c r="AL7371">
        <v>93.864770631227898</v>
      </c>
      <c r="AM7371">
        <v>102.08163764540799</v>
      </c>
      <c r="AN7371">
        <v>0.99999995204377301</v>
      </c>
    </row>
    <row r="7372" spans="1:40" x14ac:dyDescent="0.25">
      <c r="A7372" t="str">
        <f>"20190305135108137"</f>
        <v>20190305135108137</v>
      </c>
      <c r="B7372" t="str">
        <f>"1551765068127123"</f>
        <v>1551765068127123</v>
      </c>
      <c r="C7372" t="s">
        <v>40</v>
      </c>
      <c r="D7372">
        <v>3.803077</v>
      </c>
      <c r="E7372">
        <v>0.55210789999999998</v>
      </c>
      <c r="F7372" t="s">
        <v>85</v>
      </c>
      <c r="G7372">
        <v>-209.04050000000001</v>
      </c>
      <c r="H7372" s="1">
        <v>-6.5799680000000003E-7</v>
      </c>
      <c r="I7372">
        <v>-60.933369999999996</v>
      </c>
      <c r="J7372">
        <v>-248.1362</v>
      </c>
      <c r="K7372">
        <v>1.1092109999999999</v>
      </c>
      <c r="L7372">
        <v>-63.021669999999901</v>
      </c>
      <c r="M7372">
        <v>0.99973630000000002</v>
      </c>
      <c r="N7372">
        <v>-1.0733080000000001E-2</v>
      </c>
      <c r="O7372">
        <v>-2.0296169999999999E-2</v>
      </c>
      <c r="P7372">
        <v>0.97881010000000002</v>
      </c>
      <c r="Q7372">
        <v>-7.7787330000000002E-2</v>
      </c>
      <c r="R7372">
        <v>0.18941930000000001</v>
      </c>
      <c r="S7372">
        <v>3.0268250000000001</v>
      </c>
      <c r="T7372">
        <v>-8.5522290000000001E-2</v>
      </c>
      <c r="U7372">
        <v>0.16076660000000001</v>
      </c>
      <c r="V7372">
        <v>-0.2092369</v>
      </c>
      <c r="W7372">
        <v>-6.7353679999999999E-2</v>
      </c>
      <c r="X7372">
        <v>0.97554260000000004</v>
      </c>
      <c r="Y7372">
        <v>-7.3253659999999998E-2</v>
      </c>
      <c r="Z7372">
        <v>1.782809E-3</v>
      </c>
      <c r="AA7372">
        <v>0.99731179999999997</v>
      </c>
      <c r="AB7372">
        <v>32</v>
      </c>
      <c r="AC7372">
        <v>39.095700000000001</v>
      </c>
      <c r="AD7372">
        <v>-1.1092116579968001</v>
      </c>
      <c r="AE7372">
        <v>2.0882999999999901</v>
      </c>
      <c r="AF7372">
        <v>-2.8790975984461298</v>
      </c>
      <c r="AG7372">
        <v>-1.1092116579968001</v>
      </c>
      <c r="AH7372">
        <v>39.013943800889002</v>
      </c>
      <c r="AI7372">
        <v>91.624132650887404</v>
      </c>
      <c r="AJ7372">
        <v>94.220584882242804</v>
      </c>
      <c r="AK7372">
        <v>39.135755574442904</v>
      </c>
      <c r="AL7372">
        <v>93.862005441951396</v>
      </c>
      <c r="AM7372">
        <v>102.10554136670601</v>
      </c>
      <c r="AN7372">
        <v>0.99999998147295599</v>
      </c>
    </row>
    <row r="7373" spans="1:40" x14ac:dyDescent="0.25">
      <c r="A7373" t="str">
        <f>"20190305135108148"</f>
        <v>20190305135108148</v>
      </c>
      <c r="B7373" t="str">
        <f>"1551765068136883"</f>
        <v>1551765068136883</v>
      </c>
      <c r="C7373" t="s">
        <v>40</v>
      </c>
      <c r="D7373">
        <v>3.8052169999999998</v>
      </c>
      <c r="E7373">
        <v>0.551849699999999</v>
      </c>
      <c r="F7373" t="s">
        <v>85</v>
      </c>
      <c r="G7373">
        <v>-209.42410000000001</v>
      </c>
      <c r="H7373" s="1">
        <v>-4.1268400000000002E-7</v>
      </c>
      <c r="I7373">
        <v>-60.922600000000003</v>
      </c>
      <c r="J7373">
        <v>-247.97329999999999</v>
      </c>
      <c r="K7373">
        <v>1.1092409999999999</v>
      </c>
      <c r="L7373">
        <v>-63.024929999999998</v>
      </c>
      <c r="M7373">
        <v>0.99973699999999999</v>
      </c>
      <c r="N7373">
        <v>-1.0826540000000001E-2</v>
      </c>
      <c r="O7373">
        <v>-2.022123E-2</v>
      </c>
      <c r="P7373">
        <v>0.97870889999999999</v>
      </c>
      <c r="Q7373">
        <v>-7.7948409999999996E-2</v>
      </c>
      <c r="R7373">
        <v>0.18987609999999999</v>
      </c>
      <c r="S7373">
        <v>3.0262910000000001</v>
      </c>
      <c r="T7373">
        <v>-8.6711759999999999E-2</v>
      </c>
      <c r="U7373">
        <v>0.16409299999999999</v>
      </c>
      <c r="V7373">
        <v>-0.20961440000000001</v>
      </c>
      <c r="W7373">
        <v>-6.7437720000000007E-2</v>
      </c>
      <c r="X7373">
        <v>0.97545579999999998</v>
      </c>
      <c r="Y7373">
        <v>-7.4279510000000007E-2</v>
      </c>
      <c r="Z7373">
        <v>1.8258510000000001E-3</v>
      </c>
      <c r="AA7373">
        <v>0.99723580000000001</v>
      </c>
      <c r="AB7373">
        <v>32</v>
      </c>
      <c r="AC7373">
        <v>38.5491999999999</v>
      </c>
      <c r="AD7373">
        <v>-1.109241412684</v>
      </c>
      <c r="AE7373">
        <v>2.1023299999999998</v>
      </c>
      <c r="AF7373">
        <v>-2.8790811827954901</v>
      </c>
      <c r="AG7373">
        <v>-1.109241412684</v>
      </c>
      <c r="AH7373">
        <v>38.467047124345498</v>
      </c>
      <c r="AI7373">
        <v>91.647127310739904</v>
      </c>
      <c r="AJ7373">
        <v>94.280344334397398</v>
      </c>
      <c r="AK7373">
        <v>38.590584854797903</v>
      </c>
      <c r="AL7373">
        <v>93.866831363421497</v>
      </c>
      <c r="AM7373">
        <v>102.12778314942101</v>
      </c>
      <c r="AN7373">
        <v>1.0000000302598899</v>
      </c>
    </row>
    <row r="7374" spans="1:40" x14ac:dyDescent="0.25">
      <c r="A7374" t="str">
        <f>"20190305135108160"</f>
        <v>20190305135108160</v>
      </c>
      <c r="B7374" t="str">
        <f>"1551765068157379"</f>
        <v>1551765068157379</v>
      </c>
      <c r="C7374" t="s">
        <v>40</v>
      </c>
      <c r="D7374">
        <v>3.804586</v>
      </c>
      <c r="E7374">
        <v>0.55150909999999997</v>
      </c>
      <c r="F7374" t="s">
        <v>85</v>
      </c>
      <c r="G7374">
        <v>-209.9477</v>
      </c>
      <c r="H7374" s="1">
        <v>-1.4509610000000001E-7</v>
      </c>
      <c r="I7374">
        <v>-60.920529999999999</v>
      </c>
      <c r="J7374">
        <v>-247.80869999999999</v>
      </c>
      <c r="K7374">
        <v>1.109272</v>
      </c>
      <c r="L7374">
        <v>-63.028170000000003</v>
      </c>
      <c r="M7374">
        <v>0.99973829999999997</v>
      </c>
      <c r="N7374">
        <v>-1.0910970000000001E-2</v>
      </c>
      <c r="O7374">
        <v>-2.011605E-2</v>
      </c>
      <c r="P7374">
        <v>0.97861869999999995</v>
      </c>
      <c r="Q7374">
        <v>-7.7859460000000005E-2</v>
      </c>
      <c r="R7374">
        <v>0.19037750000000001</v>
      </c>
      <c r="S7374">
        <v>3.0257420000000002</v>
      </c>
      <c r="T7374">
        <v>-8.8263750000000002E-2</v>
      </c>
      <c r="U7374">
        <v>0.16744999999999999</v>
      </c>
      <c r="V7374">
        <v>-0.2100069</v>
      </c>
      <c r="W7374">
        <v>-6.7281450000000007E-2</v>
      </c>
      <c r="X7374">
        <v>0.97538210000000003</v>
      </c>
      <c r="Y7374">
        <v>-7.5285320000000003E-2</v>
      </c>
      <c r="Z7374">
        <v>1.8751709999999999E-3</v>
      </c>
      <c r="AA7374">
        <v>0.9971603</v>
      </c>
      <c r="AB7374">
        <v>32</v>
      </c>
      <c r="AC7374">
        <v>37.860999999999898</v>
      </c>
      <c r="AD7374">
        <v>-1.1092721450961001</v>
      </c>
      <c r="AE7374">
        <v>2.10763999999998</v>
      </c>
      <c r="AF7374">
        <v>-2.8664194916082701</v>
      </c>
      <c r="AG7374">
        <v>-1.1092721450961001</v>
      </c>
      <c r="AH7374">
        <v>37.778608929595698</v>
      </c>
      <c r="AI7374">
        <v>91.677043089562105</v>
      </c>
      <c r="AJ7374">
        <v>94.338954495847801</v>
      </c>
      <c r="AK7374">
        <v>37.903431745016</v>
      </c>
      <c r="AL7374">
        <v>93.857857617357297</v>
      </c>
      <c r="AM7374">
        <v>102.15070893918001</v>
      </c>
      <c r="AN7374">
        <v>0.99999996628106003</v>
      </c>
    </row>
    <row r="7375" spans="1:40" x14ac:dyDescent="0.25">
      <c r="A7375" t="str">
        <f>"20190305135108172"</f>
        <v>20190305135108172</v>
      </c>
      <c r="B7375" t="str">
        <f>"1551765068167139"</f>
        <v>1551765068167139</v>
      </c>
      <c r="C7375" t="s">
        <v>40</v>
      </c>
      <c r="D7375">
        <v>3.8587389999999999</v>
      </c>
      <c r="E7375">
        <v>0.5513479</v>
      </c>
      <c r="F7375" t="s">
        <v>116</v>
      </c>
      <c r="G7375">
        <v>-210.1293</v>
      </c>
      <c r="H7375" s="1">
        <v>8.4046080000000004E-7</v>
      </c>
      <c r="I7375">
        <v>-60.891089999999998</v>
      </c>
      <c r="J7375">
        <v>-247.63509999999999</v>
      </c>
      <c r="K7375">
        <v>1.109302</v>
      </c>
      <c r="L7375">
        <v>-63.031559999999999</v>
      </c>
      <c r="M7375">
        <v>0.99973970000000001</v>
      </c>
      <c r="N7375">
        <v>-1.0999139999999999E-2</v>
      </c>
      <c r="O7375">
        <v>-1.9993819999999999E-2</v>
      </c>
      <c r="P7375">
        <v>0.97857190000000005</v>
      </c>
      <c r="Q7375">
        <v>-7.7965129999999994E-2</v>
      </c>
      <c r="R7375">
        <v>0.1905742</v>
      </c>
      <c r="S7375">
        <v>3.0250849999999998</v>
      </c>
      <c r="T7375">
        <v>-8.9057799999999895E-2</v>
      </c>
      <c r="U7375">
        <v>0.17156979999999999</v>
      </c>
      <c r="V7375">
        <v>-0.2100785</v>
      </c>
      <c r="W7375">
        <v>-6.7316669999999995E-2</v>
      </c>
      <c r="X7375">
        <v>0.97536429999999996</v>
      </c>
      <c r="Y7375">
        <v>-7.6527499999999998E-2</v>
      </c>
      <c r="Z7375">
        <v>1.915045E-3</v>
      </c>
      <c r="AA7375">
        <v>0.9970656</v>
      </c>
      <c r="AB7375">
        <v>32</v>
      </c>
      <c r="AC7375">
        <v>37.505800000000001</v>
      </c>
      <c r="AD7375">
        <v>-1.1093011595391999</v>
      </c>
      <c r="AE7375">
        <v>2.1404699999999899</v>
      </c>
      <c r="AF7375">
        <v>-2.88745387420721</v>
      </c>
      <c r="AG7375">
        <v>-1.1093011595391999</v>
      </c>
      <c r="AH7375">
        <v>37.422872319490203</v>
      </c>
      <c r="AI7375">
        <v>91.692854676840298</v>
      </c>
      <c r="AJ7375">
        <v>94.412055433906403</v>
      </c>
      <c r="AK7375">
        <v>37.550490164298701</v>
      </c>
      <c r="AL7375">
        <v>93.859879975845601</v>
      </c>
      <c r="AM7375">
        <v>102.154943683666</v>
      </c>
      <c r="AN7375">
        <v>1.0000000139683101</v>
      </c>
    </row>
    <row r="7376" spans="1:40" x14ac:dyDescent="0.25">
      <c r="A7376" t="str">
        <f>"20190305135108183"</f>
        <v>20190305135108183</v>
      </c>
      <c r="B7376" t="str">
        <f>"1551765068176899"</f>
        <v>1551765068176899</v>
      </c>
      <c r="C7376" t="s">
        <v>40</v>
      </c>
      <c r="D7376">
        <v>3.8319779999999999</v>
      </c>
      <c r="E7376">
        <v>0.55120019999999903</v>
      </c>
      <c r="F7376" t="s">
        <v>116</v>
      </c>
      <c r="G7376">
        <v>-210.16909999999999</v>
      </c>
      <c r="H7376" s="1">
        <v>8.2555359999999895E-7</v>
      </c>
      <c r="I7376">
        <v>-60.882939999999998</v>
      </c>
      <c r="J7376">
        <v>-247.46549999999999</v>
      </c>
      <c r="K7376">
        <v>1.1093390000000001</v>
      </c>
      <c r="L7376">
        <v>-63.034790000000001</v>
      </c>
      <c r="M7376">
        <v>0.99974160000000001</v>
      </c>
      <c r="N7376">
        <v>-1.108523E-2</v>
      </c>
      <c r="O7376">
        <v>-1.9842720000000001E-2</v>
      </c>
      <c r="P7376">
        <v>0.97845110000000002</v>
      </c>
      <c r="Q7376">
        <v>-7.7920649999999994E-2</v>
      </c>
      <c r="R7376">
        <v>0.19121160000000001</v>
      </c>
      <c r="S7376">
        <v>3.0247799999999998</v>
      </c>
      <c r="T7376">
        <v>-8.9558479999999996E-2</v>
      </c>
      <c r="U7376">
        <v>0.1734619</v>
      </c>
      <c r="V7376">
        <v>-0.2105609</v>
      </c>
      <c r="W7376">
        <v>-6.7205379999999995E-2</v>
      </c>
      <c r="X7376">
        <v>0.97526789999999997</v>
      </c>
      <c r="Y7376">
        <v>-7.7003340000000003E-2</v>
      </c>
      <c r="Z7376">
        <v>1.9332900000000001E-3</v>
      </c>
      <c r="AA7376">
        <v>0.9970289</v>
      </c>
      <c r="AB7376">
        <v>32</v>
      </c>
      <c r="AC7376">
        <v>37.296399999999998</v>
      </c>
      <c r="AD7376">
        <v>-1.1093381744463999</v>
      </c>
      <c r="AE7376">
        <v>2.1518499999999898</v>
      </c>
      <c r="AF7376">
        <v>-2.8889864234602798</v>
      </c>
      <c r="AG7376">
        <v>-1.1093381744463999</v>
      </c>
      <c r="AH7376">
        <v>37.213541325719703</v>
      </c>
      <c r="AI7376">
        <v>91.702366185066296</v>
      </c>
      <c r="AJ7376">
        <v>94.439120457449206</v>
      </c>
      <c r="AK7376">
        <v>37.341994212163797</v>
      </c>
      <c r="AL7376">
        <v>93.853489240033895</v>
      </c>
      <c r="AM7376">
        <v>102.183190370088</v>
      </c>
      <c r="AN7376">
        <v>0.99999996624008103</v>
      </c>
    </row>
    <row r="7377" spans="1:40" x14ac:dyDescent="0.25">
      <c r="A7377" t="str">
        <f>"20190305135108195"</f>
        <v>20190305135108195</v>
      </c>
      <c r="B7377" t="str">
        <f>"1551765068186659"</f>
        <v>1551765068186659</v>
      </c>
      <c r="C7377" t="s">
        <v>40</v>
      </c>
      <c r="D7377">
        <v>3.8060969999999998</v>
      </c>
      <c r="E7377">
        <v>0.55108310000000005</v>
      </c>
      <c r="F7377" t="s">
        <v>43</v>
      </c>
      <c r="G7377">
        <v>-208.3295</v>
      </c>
      <c r="H7377">
        <v>-0.05</v>
      </c>
      <c r="I7377">
        <v>-60.750320000000002</v>
      </c>
      <c r="J7377">
        <v>-247.3064</v>
      </c>
      <c r="K7377">
        <v>1.109299</v>
      </c>
      <c r="L7377">
        <v>-63.037840000000003</v>
      </c>
      <c r="M7377">
        <v>0.99974640000000004</v>
      </c>
      <c r="N7377">
        <v>-1.091983E-2</v>
      </c>
      <c r="O7377">
        <v>-1.9694159999999999E-2</v>
      </c>
      <c r="P7377">
        <v>0.97842220000000002</v>
      </c>
      <c r="Q7377">
        <v>-7.7667360000000005E-2</v>
      </c>
      <c r="R7377">
        <v>0.19146270000000001</v>
      </c>
      <c r="S7377">
        <v>3.024429</v>
      </c>
      <c r="T7377">
        <v>-8.9593770000000003E-2</v>
      </c>
      <c r="U7377">
        <v>0.17654420000000001</v>
      </c>
      <c r="V7377">
        <v>-0.2106635</v>
      </c>
      <c r="W7377">
        <v>-6.7123459999999996E-2</v>
      </c>
      <c r="X7377">
        <v>0.97525139999999999</v>
      </c>
      <c r="Y7377">
        <v>-7.7874009999999994E-2</v>
      </c>
      <c r="Z7377">
        <v>1.9459080000000001E-3</v>
      </c>
      <c r="AA7377">
        <v>0.99696130000000005</v>
      </c>
      <c r="AB7377">
        <v>32</v>
      </c>
      <c r="AC7377">
        <v>38.976900000000001</v>
      </c>
      <c r="AD7377">
        <v>-1.1592990000000001</v>
      </c>
      <c r="AE7377">
        <v>2.2875200000000002</v>
      </c>
      <c r="AF7377">
        <v>-3.0520486165388299</v>
      </c>
      <c r="AG7377">
        <v>-1.1592990000000001</v>
      </c>
      <c r="AH7377">
        <v>38.889999777866599</v>
      </c>
      <c r="AI7377">
        <v>91.702233175314703</v>
      </c>
      <c r="AJ7377">
        <v>94.487318641933797</v>
      </c>
      <c r="AK7377">
        <v>39.0267992237589</v>
      </c>
      <c r="AL7377">
        <v>93.848784889446193</v>
      </c>
      <c r="AM7377">
        <v>102.189149470584</v>
      </c>
      <c r="AN7377">
        <v>0.99999998115829003</v>
      </c>
    </row>
    <row r="7378" spans="1:40" x14ac:dyDescent="0.25">
      <c r="A7378" t="str">
        <f>"20190305135108206"</f>
        <v>20190305135108206</v>
      </c>
      <c r="B7378" t="str">
        <f>"1551765068197396"</f>
        <v>1551765068197396</v>
      </c>
      <c r="C7378" t="s">
        <v>40</v>
      </c>
      <c r="D7378">
        <v>3.8005339999999999</v>
      </c>
      <c r="E7378">
        <v>0.55098579999999997</v>
      </c>
      <c r="F7378" t="s">
        <v>85</v>
      </c>
      <c r="G7378">
        <v>-209.67169999999999</v>
      </c>
      <c r="H7378" s="1">
        <v>-2.4113100000000002E-7</v>
      </c>
      <c r="I7378">
        <v>-60.820740000000001</v>
      </c>
      <c r="J7378">
        <v>-247.14689999999999</v>
      </c>
      <c r="K7378">
        <v>1.109181</v>
      </c>
      <c r="L7378">
        <v>-63.040860000000002</v>
      </c>
      <c r="M7378">
        <v>0.99975409999999998</v>
      </c>
      <c r="N7378">
        <v>-1.048178E-2</v>
      </c>
      <c r="O7378">
        <v>-1.9537720000000001E-2</v>
      </c>
      <c r="P7378">
        <v>0.97838729999999996</v>
      </c>
      <c r="Q7378">
        <v>-7.7057329999999993E-2</v>
      </c>
      <c r="R7378">
        <v>0.1918868</v>
      </c>
      <c r="S7378">
        <v>3.0242460000000002</v>
      </c>
      <c r="T7378">
        <v>-8.9141010000000007E-2</v>
      </c>
      <c r="U7378">
        <v>0.1781616</v>
      </c>
      <c r="V7378">
        <v>-0.21093290000000001</v>
      </c>
      <c r="W7378">
        <v>-6.6945420000000005E-2</v>
      </c>
      <c r="X7378">
        <v>0.9752054</v>
      </c>
      <c r="Y7378">
        <v>-7.8253409999999995E-2</v>
      </c>
      <c r="Z7378">
        <v>1.9333779999999999E-3</v>
      </c>
      <c r="AA7378">
        <v>0.99693160000000003</v>
      </c>
      <c r="AB7378">
        <v>32</v>
      </c>
      <c r="AC7378">
        <v>37.475200000000001</v>
      </c>
      <c r="AD7378">
        <v>-1.109181241131</v>
      </c>
      <c r="AE7378">
        <v>2.2201199999999899</v>
      </c>
      <c r="AF7378">
        <v>-2.9493417574763798</v>
      </c>
      <c r="AG7378">
        <v>-1.109181241131</v>
      </c>
      <c r="AH7378">
        <v>37.392025663597401</v>
      </c>
      <c r="AI7378">
        <v>91.693841701884296</v>
      </c>
      <c r="AJ7378">
        <v>94.509937356453904</v>
      </c>
      <c r="AK7378">
        <v>37.524558399203002</v>
      </c>
      <c r="AL7378">
        <v>93.838560975718593</v>
      </c>
      <c r="AM7378">
        <v>102.204828630078</v>
      </c>
      <c r="AN7378">
        <v>0.99999997487527204</v>
      </c>
    </row>
    <row r="7379" spans="1:40" x14ac:dyDescent="0.25">
      <c r="A7379" t="str">
        <f>"20190305135108216"</f>
        <v>20190305135108216</v>
      </c>
      <c r="B7379" t="str">
        <f>"1551765068207156"</f>
        <v>1551765068207156</v>
      </c>
      <c r="C7379" t="s">
        <v>40</v>
      </c>
      <c r="D7379">
        <v>3.7962669999999998</v>
      </c>
      <c r="E7379">
        <v>0.55086809999999997</v>
      </c>
      <c r="F7379" t="s">
        <v>85</v>
      </c>
      <c r="G7379">
        <v>-209.0214</v>
      </c>
      <c r="H7379" s="1">
        <v>-6.4720319999999999E-7</v>
      </c>
      <c r="I7379">
        <v>-60.76849</v>
      </c>
      <c r="J7379">
        <v>-246.99449999999999</v>
      </c>
      <c r="K7379">
        <v>1.109048</v>
      </c>
      <c r="L7379">
        <v>-63.043700000000001</v>
      </c>
      <c r="M7379">
        <v>0.9997625</v>
      </c>
      <c r="N7379">
        <v>-9.9754990000000005E-3</v>
      </c>
      <c r="O7379">
        <v>-1.9383149999999998E-2</v>
      </c>
      <c r="P7379">
        <v>0.97838780000000003</v>
      </c>
      <c r="Q7379">
        <v>-7.6454159999999993E-2</v>
      </c>
      <c r="R7379">
        <v>0.1921253</v>
      </c>
      <c r="S7379">
        <v>3.023987</v>
      </c>
      <c r="T7379">
        <v>-8.7976460000000006E-2</v>
      </c>
      <c r="U7379">
        <v>0.1802368</v>
      </c>
      <c r="V7379">
        <v>-0.21102000000000001</v>
      </c>
      <c r="W7379">
        <v>-6.6838309999999998E-2</v>
      </c>
      <c r="X7379">
        <v>0.97519389999999995</v>
      </c>
      <c r="Y7379">
        <v>-7.8787209999999996E-2</v>
      </c>
      <c r="Z7379">
        <v>1.9084589999999999E-3</v>
      </c>
      <c r="AA7379">
        <v>0.99688969999999999</v>
      </c>
      <c r="AB7379">
        <v>32</v>
      </c>
      <c r="AC7379">
        <v>37.973099999999903</v>
      </c>
      <c r="AD7379">
        <v>-1.1090486472032</v>
      </c>
      <c r="AE7379">
        <v>2.27521</v>
      </c>
      <c r="AF7379">
        <v>-3.0083004275625398</v>
      </c>
      <c r="AG7379">
        <v>-1.1090486472032</v>
      </c>
      <c r="AH7379">
        <v>37.889658056259499</v>
      </c>
      <c r="AI7379">
        <v>91.671339912291799</v>
      </c>
      <c r="AJ7379">
        <v>94.539552776508998</v>
      </c>
      <c r="AK7379">
        <v>38.025071308080499</v>
      </c>
      <c r="AL7379">
        <v>93.832410261975298</v>
      </c>
      <c r="AM7379">
        <v>102.209856839073</v>
      </c>
      <c r="AN7379">
        <v>0.99999997134043195</v>
      </c>
    </row>
    <row r="7380" spans="1:40" x14ac:dyDescent="0.25">
      <c r="A7380" t="str">
        <f>"20190305135108226"</f>
        <v>20190305135108226</v>
      </c>
      <c r="B7380" t="str">
        <f>"1551765068216915"</f>
        <v>1551765068216915</v>
      </c>
      <c r="C7380" t="s">
        <v>40</v>
      </c>
      <c r="D7380">
        <v>3.8204069999999999</v>
      </c>
      <c r="E7380">
        <v>0.55075659999999904</v>
      </c>
      <c r="F7380" t="s">
        <v>85</v>
      </c>
      <c r="G7380">
        <v>-208.1259</v>
      </c>
      <c r="H7380" s="1">
        <v>-1.2076380000000001E-6</v>
      </c>
      <c r="I7380">
        <v>-60.7057</v>
      </c>
      <c r="J7380">
        <v>-246.8289</v>
      </c>
      <c r="K7380">
        <v>1.1088960000000001</v>
      </c>
      <c r="L7380">
        <v>-63.046810000000001</v>
      </c>
      <c r="M7380">
        <v>0.99977169999999904</v>
      </c>
      <c r="N7380">
        <v>-9.3675679999999997E-3</v>
      </c>
      <c r="O7380">
        <v>-1.9211829999999999E-2</v>
      </c>
      <c r="P7380">
        <v>0.97836939999999994</v>
      </c>
      <c r="Q7380">
        <v>-7.5836539999999994E-2</v>
      </c>
      <c r="R7380">
        <v>0.192464</v>
      </c>
      <c r="S7380">
        <v>3.0238040000000002</v>
      </c>
      <c r="T7380">
        <v>-8.6279030000000007E-2</v>
      </c>
      <c r="U7380">
        <v>0.18188480000000001</v>
      </c>
      <c r="V7380">
        <v>-0.2111905</v>
      </c>
      <c r="W7380">
        <v>-6.6815120000000006E-2</v>
      </c>
      <c r="X7380">
        <v>0.97515859999999999</v>
      </c>
      <c r="Y7380">
        <v>-7.9163189999999994E-2</v>
      </c>
      <c r="Z7380">
        <v>1.8672269999999999E-3</v>
      </c>
      <c r="AA7380">
        <v>0.99685990000000002</v>
      </c>
      <c r="AB7380">
        <v>33</v>
      </c>
      <c r="AC7380">
        <v>38.703000000000003</v>
      </c>
      <c r="AD7380">
        <v>-1.1088972076379999</v>
      </c>
      <c r="AE7380">
        <v>2.34111</v>
      </c>
      <c r="AF7380">
        <v>-3.0817452490770498</v>
      </c>
      <c r="AG7380">
        <v>-1.1088972076379999</v>
      </c>
      <c r="AH7380">
        <v>38.619289988016597</v>
      </c>
      <c r="AI7380">
        <v>91.6395049359094</v>
      </c>
      <c r="AJ7380">
        <v>94.562425567661194</v>
      </c>
      <c r="AK7380">
        <v>38.757920041919597</v>
      </c>
      <c r="AL7380">
        <v>93.831078519217598</v>
      </c>
      <c r="AM7380">
        <v>102.219854886826</v>
      </c>
      <c r="AN7380">
        <v>0.99999999135241202</v>
      </c>
    </row>
    <row r="7381" spans="1:40" x14ac:dyDescent="0.25">
      <c r="A7381" t="str">
        <f>"20190305135108238"</f>
        <v>20190305135108238</v>
      </c>
      <c r="B7381" t="str">
        <f>"1551765068226675"</f>
        <v>1551765068226675</v>
      </c>
      <c r="C7381" t="s">
        <v>40</v>
      </c>
      <c r="D7381">
        <v>3.7984239999999998</v>
      </c>
      <c r="E7381">
        <v>0.55066479999999995</v>
      </c>
      <c r="F7381" t="s">
        <v>85</v>
      </c>
      <c r="G7381">
        <v>-207.2653</v>
      </c>
      <c r="H7381" s="1">
        <v>-1.745704E-6</v>
      </c>
      <c r="I7381">
        <v>-60.641300000000001</v>
      </c>
      <c r="J7381">
        <v>-246.6634</v>
      </c>
      <c r="K7381">
        <v>1.1087560000000001</v>
      </c>
      <c r="L7381">
        <v>-63.049869999999999</v>
      </c>
      <c r="M7381">
        <v>0.99978069999999997</v>
      </c>
      <c r="N7381">
        <v>-8.7518470000000001E-3</v>
      </c>
      <c r="O7381">
        <v>-1.9028139999999999E-2</v>
      </c>
      <c r="P7381">
        <v>0.97838309999999995</v>
      </c>
      <c r="Q7381">
        <v>-7.5160820000000003E-2</v>
      </c>
      <c r="R7381">
        <v>0.19265940000000001</v>
      </c>
      <c r="S7381">
        <v>3.02359</v>
      </c>
      <c r="T7381">
        <v>-8.4745760000000003E-2</v>
      </c>
      <c r="U7381">
        <v>0.1838379</v>
      </c>
      <c r="V7381">
        <v>-0.21120639999999999</v>
      </c>
      <c r="W7381">
        <v>-6.674136E-2</v>
      </c>
      <c r="X7381">
        <v>0.97516020000000003</v>
      </c>
      <c r="Y7381">
        <v>-7.962748E-2</v>
      </c>
      <c r="Z7381">
        <v>1.8299600000000001E-3</v>
      </c>
      <c r="AA7381">
        <v>0.99682300000000001</v>
      </c>
      <c r="AB7381">
        <v>33</v>
      </c>
      <c r="AC7381">
        <v>39.398099999999999</v>
      </c>
      <c r="AD7381">
        <v>-1.1087577457040001</v>
      </c>
      <c r="AE7381">
        <v>2.4085699999999899</v>
      </c>
      <c r="AF7381">
        <v>-3.1553454091891102</v>
      </c>
      <c r="AG7381">
        <v>-1.1087577457040001</v>
      </c>
      <c r="AH7381">
        <v>39.314113342366298</v>
      </c>
      <c r="AI7381">
        <v>91.610282772939996</v>
      </c>
      <c r="AJ7381">
        <v>94.588715407677199</v>
      </c>
      <c r="AK7381">
        <v>39.456115575235899</v>
      </c>
      <c r="AL7381">
        <v>93.826842955770204</v>
      </c>
      <c r="AM7381">
        <v>102.22072779120801</v>
      </c>
      <c r="AN7381">
        <v>0.99999998409982405</v>
      </c>
    </row>
    <row r="7382" spans="1:40" x14ac:dyDescent="0.25">
      <c r="A7382" t="str">
        <f>"20190305135108249"</f>
        <v>20190305135108249</v>
      </c>
      <c r="B7382" t="str">
        <f>"1551765068247171"</f>
        <v>1551765068247171</v>
      </c>
      <c r="C7382" t="s">
        <v>40</v>
      </c>
      <c r="D7382">
        <v>3.8656060000000001</v>
      </c>
      <c r="E7382">
        <v>0.55065759999999997</v>
      </c>
      <c r="F7382" t="s">
        <v>85</v>
      </c>
      <c r="G7382">
        <v>-206.2885</v>
      </c>
      <c r="H7382" s="1">
        <v>-2.357743E-6</v>
      </c>
      <c r="I7382">
        <v>-60.577779999999997</v>
      </c>
      <c r="J7382">
        <v>-246.499</v>
      </c>
      <c r="K7382">
        <v>1.1086259999999999</v>
      </c>
      <c r="L7382">
        <v>-63.052889999999998</v>
      </c>
      <c r="M7382">
        <v>0.99978940000000005</v>
      </c>
      <c r="N7382">
        <v>-8.1377759999999993E-3</v>
      </c>
      <c r="O7382">
        <v>-1.8842029999999999E-2</v>
      </c>
      <c r="P7382">
        <v>0.97841769999999995</v>
      </c>
      <c r="Q7382">
        <v>-7.4470960000000003E-2</v>
      </c>
      <c r="R7382">
        <v>0.19275110000000001</v>
      </c>
      <c r="S7382">
        <v>3.0234380000000001</v>
      </c>
      <c r="T7382">
        <v>-8.3028320000000003E-2</v>
      </c>
      <c r="U7382">
        <v>0.1851196</v>
      </c>
      <c r="V7382">
        <v>-0.211117</v>
      </c>
      <c r="W7382">
        <v>-6.6651719999999998E-2</v>
      </c>
      <c r="X7382">
        <v>0.97518570000000004</v>
      </c>
      <c r="Y7382">
        <v>-7.986791E-2</v>
      </c>
      <c r="Z7382">
        <v>1.7845249999999999E-3</v>
      </c>
      <c r="AA7382">
        <v>0.99680389999999996</v>
      </c>
      <c r="AB7382">
        <v>33</v>
      </c>
      <c r="AC7382">
        <v>40.210500000000003</v>
      </c>
      <c r="AD7382">
        <v>-1.1086283577429901</v>
      </c>
      <c r="AE7382">
        <v>2.4751099999999999</v>
      </c>
      <c r="AF7382">
        <v>-3.2298971704698598</v>
      </c>
      <c r="AG7382">
        <v>-1.1086283577429901</v>
      </c>
      <c r="AH7382">
        <v>40.1263369836499</v>
      </c>
      <c r="AI7382">
        <v>91.577491221790496</v>
      </c>
      <c r="AJ7382">
        <v>94.601998593949403</v>
      </c>
      <c r="AK7382">
        <v>40.271382050940701</v>
      </c>
      <c r="AL7382">
        <v>93.821695460491696</v>
      </c>
      <c r="AM7382">
        <v>102.215400504315</v>
      </c>
      <c r="AN7382">
        <v>0.99999999447622401</v>
      </c>
    </row>
    <row r="7383" spans="1:40" x14ac:dyDescent="0.25">
      <c r="A7383" t="str">
        <f>"20190305135108261"</f>
        <v>20190305135108261</v>
      </c>
      <c r="B7383" t="str">
        <f>"1551765068256932"</f>
        <v>1551765068256932</v>
      </c>
      <c r="C7383" t="s">
        <v>40</v>
      </c>
      <c r="D7383">
        <v>3.8532090000000001</v>
      </c>
      <c r="E7383">
        <v>0.55065500000000001</v>
      </c>
      <c r="F7383" t="s">
        <v>85</v>
      </c>
      <c r="G7383">
        <v>-205.12180000000001</v>
      </c>
      <c r="H7383" s="1">
        <v>-3.090511E-6</v>
      </c>
      <c r="I7383">
        <v>-60.514470000000003</v>
      </c>
      <c r="J7383">
        <v>-246.32400000000001</v>
      </c>
      <c r="K7383">
        <v>1.1085199999999999</v>
      </c>
      <c r="L7383">
        <v>-63.056060000000002</v>
      </c>
      <c r="M7383">
        <v>0.99979859999999998</v>
      </c>
      <c r="N7383">
        <v>-7.495916E-3</v>
      </c>
      <c r="O7383">
        <v>-1.862113E-2</v>
      </c>
      <c r="P7383">
        <v>0.97842059999999997</v>
      </c>
      <c r="Q7383">
        <v>-7.3593829999999999E-2</v>
      </c>
      <c r="R7383">
        <v>0.1930741</v>
      </c>
      <c r="S7383">
        <v>3.0234990000000002</v>
      </c>
      <c r="T7383">
        <v>-8.1009390000000001E-2</v>
      </c>
      <c r="U7383">
        <v>0.18548580000000001</v>
      </c>
      <c r="V7383">
        <v>-0.21122279999999999</v>
      </c>
      <c r="W7383">
        <v>-6.6406610000000005E-2</v>
      </c>
      <c r="X7383">
        <v>0.97517960000000004</v>
      </c>
      <c r="Y7383">
        <v>-7.9769069999999997E-2</v>
      </c>
      <c r="Z7383">
        <v>1.725758E-3</v>
      </c>
      <c r="AA7383">
        <v>0.99681189999999997</v>
      </c>
      <c r="AB7383">
        <v>33</v>
      </c>
      <c r="AC7383">
        <v>41.202199999999998</v>
      </c>
      <c r="AD7383">
        <v>-1.108523090511</v>
      </c>
      <c r="AE7383">
        <v>2.5415899999999998</v>
      </c>
      <c r="AF7383">
        <v>-3.30601831376869</v>
      </c>
      <c r="AG7383">
        <v>-1.108523090511</v>
      </c>
      <c r="AH7383">
        <v>41.118076516003498</v>
      </c>
      <c r="AI7383">
        <v>91.539326743219902</v>
      </c>
      <c r="AJ7383">
        <v>94.596866111123902</v>
      </c>
      <c r="AK7383">
        <v>41.265661231938203</v>
      </c>
      <c r="AL7383">
        <v>93.807620179843994</v>
      </c>
      <c r="AM7383">
        <v>102.22141237138899</v>
      </c>
      <c r="AN7383">
        <v>1.0000000806738401</v>
      </c>
    </row>
    <row r="7384" spans="1:40" x14ac:dyDescent="0.25">
      <c r="A7384" t="str">
        <f>"20190305135108272"</f>
        <v>20190305135108272</v>
      </c>
      <c r="B7384" t="str">
        <f>"1551765068266691"</f>
        <v>1551765068266691</v>
      </c>
      <c r="C7384" t="s">
        <v>40</v>
      </c>
      <c r="D7384">
        <v>3.8706239999999998</v>
      </c>
      <c r="E7384">
        <v>0.55063240000000002</v>
      </c>
      <c r="F7384" t="s">
        <v>85</v>
      </c>
      <c r="G7384">
        <v>-203.6189</v>
      </c>
      <c r="H7384" s="1">
        <v>-3.860954E-6</v>
      </c>
      <c r="I7384">
        <v>-60.421489999999999</v>
      </c>
      <c r="J7384">
        <v>-246.1617</v>
      </c>
      <c r="K7384">
        <v>1.1084290000000001</v>
      </c>
      <c r="L7384">
        <v>-63.058990000000001</v>
      </c>
      <c r="M7384">
        <v>0.99980670000000005</v>
      </c>
      <c r="N7384">
        <v>-6.9042569999999996E-3</v>
      </c>
      <c r="O7384">
        <v>-1.8408819999999999E-2</v>
      </c>
      <c r="P7384">
        <v>0.97843270000000004</v>
      </c>
      <c r="Q7384">
        <v>-7.2741E-2</v>
      </c>
      <c r="R7384">
        <v>0.1933349</v>
      </c>
      <c r="S7384">
        <v>3.0234380000000001</v>
      </c>
      <c r="T7384">
        <v>-7.8481319999999993E-2</v>
      </c>
      <c r="U7384">
        <v>0.18652340000000001</v>
      </c>
      <c r="V7384">
        <v>-0.2112745</v>
      </c>
      <c r="W7384">
        <v>-6.6137779999999993E-2</v>
      </c>
      <c r="X7384">
        <v>0.97518660000000001</v>
      </c>
      <c r="Y7384">
        <v>-7.9902020000000004E-2</v>
      </c>
      <c r="Z7384">
        <v>1.6624420000000001E-3</v>
      </c>
      <c r="AA7384">
        <v>0.9968013</v>
      </c>
      <c r="AB7384">
        <v>33</v>
      </c>
      <c r="AC7384">
        <v>42.5428</v>
      </c>
      <c r="AD7384">
        <v>-1.108432860954</v>
      </c>
      <c r="AE7384">
        <v>2.63749999999999</v>
      </c>
      <c r="AF7384">
        <v>-3.417923119628</v>
      </c>
      <c r="AG7384">
        <v>-1.108432860954</v>
      </c>
      <c r="AH7384">
        <v>42.458324073257998</v>
      </c>
      <c r="AI7384">
        <v>91.4906254314363</v>
      </c>
      <c r="AJ7384">
        <v>94.6024234195567</v>
      </c>
      <c r="AK7384">
        <v>42.610093932878499</v>
      </c>
      <c r="AL7384">
        <v>93.792183678872405</v>
      </c>
      <c r="AM7384">
        <v>102.22422869427</v>
      </c>
      <c r="AN7384">
        <v>1.00000001255656</v>
      </c>
    </row>
    <row r="7385" spans="1:40" x14ac:dyDescent="0.25">
      <c r="A7385" t="str">
        <f>"20190305135108283"</f>
        <v>20190305135108283</v>
      </c>
      <c r="B7385" t="str">
        <f>"1551765068277427"</f>
        <v>1551765068277427</v>
      </c>
      <c r="C7385" t="s">
        <v>40</v>
      </c>
      <c r="D7385">
        <v>3.841628</v>
      </c>
      <c r="E7385">
        <v>0.55059559999999996</v>
      </c>
      <c r="F7385" t="s">
        <v>85</v>
      </c>
      <c r="G7385">
        <v>-202.1807</v>
      </c>
      <c r="H7385" s="1">
        <v>-4.603231E-6</v>
      </c>
      <c r="I7385">
        <v>-60.331000000000003</v>
      </c>
      <c r="J7385">
        <v>-245.98869999999999</v>
      </c>
      <c r="K7385">
        <v>1.108357</v>
      </c>
      <c r="L7385">
        <v>-63.062040000000003</v>
      </c>
      <c r="M7385">
        <v>0.99981549999999997</v>
      </c>
      <c r="N7385">
        <v>-6.2868689999999996E-3</v>
      </c>
      <c r="O7385">
        <v>-1.815578E-2</v>
      </c>
      <c r="P7385">
        <v>0.97841710000000004</v>
      </c>
      <c r="Q7385">
        <v>-7.2147009999999998E-2</v>
      </c>
      <c r="R7385">
        <v>0.193636</v>
      </c>
      <c r="S7385">
        <v>3.0233919999999999</v>
      </c>
      <c r="T7385">
        <v>-7.6197269999999998E-2</v>
      </c>
      <c r="U7385">
        <v>0.18753049999999999</v>
      </c>
      <c r="V7385">
        <v>-0.2113244</v>
      </c>
      <c r="W7385">
        <v>-6.6159010000000004E-2</v>
      </c>
      <c r="X7385">
        <v>0.9751744</v>
      </c>
      <c r="Y7385">
        <v>-7.9983789999999999E-2</v>
      </c>
      <c r="Z7385">
        <v>1.6015859999999999E-3</v>
      </c>
      <c r="AA7385">
        <v>0.99679490000000004</v>
      </c>
      <c r="AB7385">
        <v>34</v>
      </c>
      <c r="AC7385">
        <v>43.8079999999999</v>
      </c>
      <c r="AD7385">
        <v>-1.108361603231</v>
      </c>
      <c r="AE7385">
        <v>2.7310400000000001</v>
      </c>
      <c r="AF7385">
        <v>-3.52372703028048</v>
      </c>
      <c r="AG7385">
        <v>-1.108361603231</v>
      </c>
      <c r="AH7385">
        <v>43.723314242502497</v>
      </c>
      <c r="AI7385">
        <v>91.447414179585294</v>
      </c>
      <c r="AJ7385">
        <v>94.607594021514501</v>
      </c>
      <c r="AK7385">
        <v>43.879076175052603</v>
      </c>
      <c r="AL7385">
        <v>93.793402544608298</v>
      </c>
      <c r="AM7385">
        <v>102.227177395501</v>
      </c>
      <c r="AN7385">
        <v>1.00000006352744</v>
      </c>
    </row>
    <row r="7386" spans="1:40" x14ac:dyDescent="0.25">
      <c r="A7386" t="str">
        <f>"20190305135108294"</f>
        <v>20190305135108294</v>
      </c>
      <c r="B7386" t="str">
        <f>"1551765068287187"</f>
        <v>1551765068287187</v>
      </c>
      <c r="C7386" t="s">
        <v>40</v>
      </c>
      <c r="D7386">
        <v>3.816767</v>
      </c>
      <c r="E7386">
        <v>0.55056949999999905</v>
      </c>
      <c r="F7386" t="s">
        <v>85</v>
      </c>
      <c r="G7386">
        <v>-201.14420000000001</v>
      </c>
      <c r="H7386" s="1">
        <v>-5.146607E-6</v>
      </c>
      <c r="I7386">
        <v>-60.262329999999999</v>
      </c>
      <c r="J7386">
        <v>-245.82579999999999</v>
      </c>
      <c r="K7386">
        <v>1.108303</v>
      </c>
      <c r="L7386">
        <v>-63.06485</v>
      </c>
      <c r="M7386">
        <v>0.99982349999999998</v>
      </c>
      <c r="N7386">
        <v>-5.7202900000000003E-3</v>
      </c>
      <c r="O7386">
        <v>-1.789781E-2</v>
      </c>
      <c r="P7386">
        <v>0.97839860000000001</v>
      </c>
      <c r="Q7386">
        <v>-7.1683750000000004E-2</v>
      </c>
      <c r="R7386">
        <v>0.19390109999999999</v>
      </c>
      <c r="S7386">
        <v>3.0233150000000002</v>
      </c>
      <c r="T7386">
        <v>-7.4723239999999996E-2</v>
      </c>
      <c r="U7386">
        <v>0.18875120000000001</v>
      </c>
      <c r="V7386">
        <v>-0.2113322</v>
      </c>
      <c r="W7386">
        <v>-6.6263890000000006E-2</v>
      </c>
      <c r="X7386">
        <v>0.97516550000000002</v>
      </c>
      <c r="Y7386">
        <v>-8.0130649999999998E-2</v>
      </c>
      <c r="Z7386">
        <v>1.558224E-3</v>
      </c>
      <c r="AA7386">
        <v>0.99678310000000003</v>
      </c>
      <c r="AB7386">
        <v>34</v>
      </c>
      <c r="AC7386">
        <v>44.681599999999897</v>
      </c>
      <c r="AD7386">
        <v>-1.1083081466069999</v>
      </c>
      <c r="AE7386">
        <v>2.8025199999999901</v>
      </c>
      <c r="AF7386">
        <v>-3.5995808944921301</v>
      </c>
      <c r="AG7386">
        <v>-1.1083081466069999</v>
      </c>
      <c r="AH7386">
        <v>44.596951431169103</v>
      </c>
      <c r="AI7386">
        <v>91.418989306049696</v>
      </c>
      <c r="AJ7386">
        <v>94.614545713670395</v>
      </c>
      <c r="AK7386">
        <v>44.755708088665997</v>
      </c>
      <c r="AL7386">
        <v>93.799425269776805</v>
      </c>
      <c r="AM7386">
        <v>102.227723362486</v>
      </c>
      <c r="AN7386">
        <v>0.99999997713250999</v>
      </c>
    </row>
    <row r="7387" spans="1:40" x14ac:dyDescent="0.25">
      <c r="A7387" t="str">
        <f>"20190305135108305"</f>
        <v>20190305135108305</v>
      </c>
      <c r="B7387" t="str">
        <f>"1551765068297247"</f>
        <v>1551765068297247</v>
      </c>
      <c r="C7387" t="s">
        <v>40</v>
      </c>
      <c r="D7387">
        <v>3.8553920000000002</v>
      </c>
      <c r="E7387">
        <v>0.55058079999999998</v>
      </c>
      <c r="F7387" t="s">
        <v>85</v>
      </c>
      <c r="G7387">
        <v>-200.20570000000001</v>
      </c>
      <c r="H7387" s="1">
        <v>-5.6381850000000003E-6</v>
      </c>
      <c r="I7387">
        <v>-60.201949999999997</v>
      </c>
      <c r="J7387">
        <v>-245.66040000000001</v>
      </c>
      <c r="K7387">
        <v>1.1082749999999999</v>
      </c>
      <c r="L7387">
        <v>-63.067689999999999</v>
      </c>
      <c r="M7387">
        <v>0.99983160000000004</v>
      </c>
      <c r="N7387">
        <v>-5.1656790000000003E-3</v>
      </c>
      <c r="O7387">
        <v>-1.7609389999999999E-2</v>
      </c>
      <c r="P7387">
        <v>0.97840950000000004</v>
      </c>
      <c r="Q7387">
        <v>-7.093737E-2</v>
      </c>
      <c r="R7387">
        <v>0.19411999999999999</v>
      </c>
      <c r="S7387">
        <v>3.023285</v>
      </c>
      <c r="T7387">
        <v>-7.3448659999999999E-2</v>
      </c>
      <c r="U7387">
        <v>0.1897278</v>
      </c>
      <c r="V7387">
        <v>-0.2112636</v>
      </c>
      <c r="W7387">
        <v>-6.6078460000000006E-2</v>
      </c>
      <c r="X7387">
        <v>0.97519299999999998</v>
      </c>
      <c r="Y7387">
        <v>-8.0165860000000005E-2</v>
      </c>
      <c r="Z7387">
        <v>1.516496E-3</v>
      </c>
      <c r="AA7387">
        <v>0.99678040000000001</v>
      </c>
      <c r="AB7387">
        <v>34</v>
      </c>
      <c r="AC7387">
        <v>45.454700000000003</v>
      </c>
      <c r="AD7387">
        <v>-1.1082806381850001</v>
      </c>
      <c r="AE7387">
        <v>2.8657400000000002</v>
      </c>
      <c r="AF7387">
        <v>-3.6635665343922401</v>
      </c>
      <c r="AG7387">
        <v>-1.1082806381850001</v>
      </c>
      <c r="AH7387">
        <v>45.370321867311198</v>
      </c>
      <c r="AI7387">
        <v>91.394772768771901</v>
      </c>
      <c r="AJ7387">
        <v>94.616508169109494</v>
      </c>
      <c r="AK7387">
        <v>45.531484843658603</v>
      </c>
      <c r="AL7387">
        <v>93.788777378085598</v>
      </c>
      <c r="AM7387">
        <v>102.223539180617</v>
      </c>
      <c r="AN7387">
        <v>1.00000002940496</v>
      </c>
    </row>
    <row r="7388" spans="1:40" x14ac:dyDescent="0.25">
      <c r="A7388" t="str">
        <f>"20190305135108315"</f>
        <v>20190305135108315</v>
      </c>
      <c r="B7388" t="str">
        <f>"1551765068307007"</f>
        <v>1551765068307007</v>
      </c>
      <c r="C7388" t="s">
        <v>40</v>
      </c>
      <c r="D7388">
        <v>3.818994</v>
      </c>
      <c r="E7388">
        <v>0.55048949999999996</v>
      </c>
      <c r="F7388" t="s">
        <v>85</v>
      </c>
      <c r="G7388">
        <v>-198.6095</v>
      </c>
      <c r="H7388" s="1">
        <v>-7.2329209999999998E-6</v>
      </c>
      <c r="I7388">
        <v>-60.105429999999998</v>
      </c>
      <c r="J7388">
        <v>-245.4958</v>
      </c>
      <c r="K7388">
        <v>1.1082700000000001</v>
      </c>
      <c r="L7388">
        <v>-63.070399999999999</v>
      </c>
      <c r="M7388">
        <v>0.99983979999999995</v>
      </c>
      <c r="N7388">
        <v>-4.6589070000000003E-3</v>
      </c>
      <c r="O7388">
        <v>-1.728091E-2</v>
      </c>
      <c r="P7388">
        <v>0.97842580000000001</v>
      </c>
      <c r="Q7388">
        <v>-7.0306850000000004E-2</v>
      </c>
      <c r="R7388">
        <v>0.1942682</v>
      </c>
      <c r="S7388">
        <v>3.0232389999999998</v>
      </c>
      <c r="T7388">
        <v>-7.1212289999999998E-2</v>
      </c>
      <c r="U7388">
        <v>0.19033810000000001</v>
      </c>
      <c r="V7388">
        <v>-0.21108379999999999</v>
      </c>
      <c r="W7388">
        <v>-6.5968789999999999E-2</v>
      </c>
      <c r="X7388">
        <v>0.97523930000000003</v>
      </c>
      <c r="Y7388">
        <v>-8.0041940000000006E-2</v>
      </c>
      <c r="Z7388">
        <v>1.454519E-3</v>
      </c>
      <c r="AA7388">
        <v>0.99679039999999997</v>
      </c>
      <c r="AB7388">
        <v>34</v>
      </c>
      <c r="AC7388">
        <v>46.886299999999999</v>
      </c>
      <c r="AD7388">
        <v>-1.108277232921</v>
      </c>
      <c r="AE7388">
        <v>2.9649699999999899</v>
      </c>
      <c r="AF7388">
        <v>-3.77267445824948</v>
      </c>
      <c r="AG7388">
        <v>-1.108277232921</v>
      </c>
      <c r="AH7388">
        <v>46.802014855065202</v>
      </c>
      <c r="AI7388">
        <v>91.352133072595706</v>
      </c>
      <c r="AJ7388">
        <v>94.608603999369507</v>
      </c>
      <c r="AK7388">
        <v>46.966902660135901</v>
      </c>
      <c r="AL7388">
        <v>93.782480226831098</v>
      </c>
      <c r="AM7388">
        <v>102.212886078593</v>
      </c>
      <c r="AN7388">
        <v>0.99999997207049596</v>
      </c>
    </row>
    <row r="7389" spans="1:40" x14ac:dyDescent="0.25">
      <c r="A7389" t="str">
        <f>"20190305135108329"</f>
        <v>20190305135108329</v>
      </c>
      <c r="B7389" t="str">
        <f>"1551765068327502"</f>
        <v>1551765068327502</v>
      </c>
      <c r="C7389" t="s">
        <v>40</v>
      </c>
      <c r="D7389">
        <v>3.9123899999999998</v>
      </c>
      <c r="E7389">
        <v>0.55054119999999995</v>
      </c>
      <c r="F7389" t="s">
        <v>85</v>
      </c>
      <c r="G7389">
        <v>-197.62020000000001</v>
      </c>
      <c r="H7389" s="1">
        <v>-7.1452349999999997E-6</v>
      </c>
      <c r="I7389">
        <v>-60.038220000000003</v>
      </c>
      <c r="J7389">
        <v>-245.28370000000001</v>
      </c>
      <c r="K7389">
        <v>1.10829</v>
      </c>
      <c r="L7389">
        <v>-63.07385</v>
      </c>
      <c r="M7389">
        <v>0.99985049999999998</v>
      </c>
      <c r="N7389">
        <v>-4.0490919999999998E-3</v>
      </c>
      <c r="O7389">
        <v>-1.6818509999999998E-2</v>
      </c>
      <c r="P7389">
        <v>0.97842989999999996</v>
      </c>
      <c r="Q7389">
        <v>-6.9605860000000006E-2</v>
      </c>
      <c r="R7389">
        <v>0.19449900000000001</v>
      </c>
      <c r="S7389">
        <v>3.0231020000000002</v>
      </c>
      <c r="T7389">
        <v>-6.9982050000000004E-2</v>
      </c>
      <c r="U7389">
        <v>0.19146730000000001</v>
      </c>
      <c r="V7389">
        <v>-0.21085039999999999</v>
      </c>
      <c r="W7389">
        <v>-6.5903349999999999E-2</v>
      </c>
      <c r="X7389">
        <v>0.9752942</v>
      </c>
      <c r="Y7389">
        <v>-7.9956020000000003E-2</v>
      </c>
      <c r="Z7389">
        <v>1.40738E-3</v>
      </c>
      <c r="AA7389">
        <v>0.99679739999999994</v>
      </c>
      <c r="AB7389">
        <v>34</v>
      </c>
      <c r="AC7389">
        <v>47.663499999999999</v>
      </c>
      <c r="AD7389">
        <v>-1.1082971452349999</v>
      </c>
      <c r="AE7389">
        <v>3.0356299999999998</v>
      </c>
      <c r="AF7389">
        <v>-3.8347711317425999</v>
      </c>
      <c r="AG7389">
        <v>-1.1082971452349999</v>
      </c>
      <c r="AH7389">
        <v>47.580081440730297</v>
      </c>
      <c r="AI7389">
        <v>91.330055228191895</v>
      </c>
      <c r="AJ7389">
        <v>94.607859014761303</v>
      </c>
      <c r="AK7389">
        <v>47.747229679862102</v>
      </c>
      <c r="AL7389">
        <v>93.778722660831505</v>
      </c>
      <c r="AM7389">
        <v>102.199120544587</v>
      </c>
      <c r="AN7389">
        <v>0.99999995963750998</v>
      </c>
    </row>
    <row r="7390" spans="1:40" x14ac:dyDescent="0.25">
      <c r="A7390" t="str">
        <f>"20190305135108338"</f>
        <v>20190305135108338</v>
      </c>
      <c r="B7390" t="str">
        <f>"1551765068327502"</f>
        <v>1551765068327502</v>
      </c>
      <c r="C7390" t="s">
        <v>40</v>
      </c>
      <c r="D7390">
        <v>3.9123899999999998</v>
      </c>
      <c r="E7390">
        <v>0.55054119999999995</v>
      </c>
      <c r="F7390" t="s">
        <v>85</v>
      </c>
      <c r="G7390">
        <v>-195.96799999999999</v>
      </c>
      <c r="H7390" s="1">
        <v>-6.9915620000000003E-6</v>
      </c>
      <c r="I7390">
        <v>-59.946579999999997</v>
      </c>
      <c r="J7390">
        <v>-245.1525</v>
      </c>
      <c r="K7390">
        <v>1.108366</v>
      </c>
      <c r="L7390">
        <v>-63.075809999999997</v>
      </c>
      <c r="M7390">
        <v>0.99985740000000001</v>
      </c>
      <c r="N7390">
        <v>-3.8127429999999999E-3</v>
      </c>
      <c r="O7390">
        <v>-1.6455910000000001E-2</v>
      </c>
      <c r="P7390">
        <v>0.97841230000000001</v>
      </c>
      <c r="Q7390">
        <v>-6.9538409999999995E-2</v>
      </c>
      <c r="R7390">
        <v>0.19461229999999999</v>
      </c>
      <c r="S7390">
        <v>3.023209</v>
      </c>
      <c r="T7390">
        <v>-6.7942139999999998E-2</v>
      </c>
      <c r="U7390">
        <v>0.1917114</v>
      </c>
      <c r="V7390">
        <v>-0.2105968</v>
      </c>
      <c r="W7390">
        <v>-6.6106479999999995E-2</v>
      </c>
      <c r="X7390">
        <v>0.97533530000000002</v>
      </c>
      <c r="Y7390">
        <v>-7.9674289999999995E-2</v>
      </c>
      <c r="Z7390">
        <v>1.35310799999999E-3</v>
      </c>
      <c r="AA7390">
        <v>0.99682000000000004</v>
      </c>
      <c r="AB7390">
        <v>34</v>
      </c>
      <c r="AC7390">
        <v>49.1845</v>
      </c>
      <c r="AD7390">
        <v>-1.108372991562</v>
      </c>
      <c r="AE7390">
        <v>3.12922999999999</v>
      </c>
      <c r="AF7390">
        <v>-3.9361969516426201</v>
      </c>
      <c r="AG7390">
        <v>-1.108372991562</v>
      </c>
      <c r="AH7390">
        <v>49.101510726277702</v>
      </c>
      <c r="AI7390">
        <v>91.288989671478902</v>
      </c>
      <c r="AJ7390">
        <v>94.583285074545302</v>
      </c>
      <c r="AK7390">
        <v>49.271497772376598</v>
      </c>
      <c r="AL7390">
        <v>93.790386385449594</v>
      </c>
      <c r="AM7390">
        <v>102.184388610334</v>
      </c>
      <c r="AN7390">
        <v>1.00000001314716</v>
      </c>
    </row>
    <row r="7391" spans="1:40" x14ac:dyDescent="0.25">
      <c r="A7391" t="str">
        <f>"20190305135108349"</f>
        <v>20190305135108349</v>
      </c>
      <c r="B7391" t="str">
        <f>"1551765068347022"</f>
        <v>1551765068347022</v>
      </c>
      <c r="C7391" t="s">
        <v>40</v>
      </c>
      <c r="D7391">
        <v>3.8647659999999999</v>
      </c>
      <c r="E7391">
        <v>0.56927539999999999</v>
      </c>
      <c r="F7391" t="s">
        <v>85</v>
      </c>
      <c r="G7391">
        <v>-195.84289999999999</v>
      </c>
      <c r="H7391" s="1">
        <v>-6.9782469999999998E-6</v>
      </c>
      <c r="I7391">
        <v>-59.944420000000001</v>
      </c>
      <c r="J7391">
        <v>-244.97749999999999</v>
      </c>
      <c r="K7391">
        <v>1.1084689999999999</v>
      </c>
      <c r="L7391">
        <v>-63.078429999999997</v>
      </c>
      <c r="M7391">
        <v>0.99986640000000004</v>
      </c>
      <c r="N7391">
        <v>-3.4975710000000001E-3</v>
      </c>
      <c r="O7391">
        <v>-1.5972509999999999E-2</v>
      </c>
      <c r="P7391">
        <v>0.97843930000000001</v>
      </c>
      <c r="Q7391">
        <v>-6.9343699999999994E-2</v>
      </c>
      <c r="R7391">
        <v>0.1945453</v>
      </c>
      <c r="S7391">
        <v>3.0231780000000001</v>
      </c>
      <c r="T7391">
        <v>-6.7954539999999994E-2</v>
      </c>
      <c r="U7391">
        <v>0.19198609999999999</v>
      </c>
      <c r="V7391">
        <v>-0.21004149999999999</v>
      </c>
      <c r="W7391">
        <v>-6.6271919999999998E-2</v>
      </c>
      <c r="X7391">
        <v>0.97544379999999997</v>
      </c>
      <c r="Y7391">
        <v>-7.928354E-2</v>
      </c>
      <c r="Z7391">
        <v>1.3317209999999999E-3</v>
      </c>
      <c r="AA7391">
        <v>0.99685119999999905</v>
      </c>
      <c r="AB7391">
        <v>34</v>
      </c>
      <c r="AC7391">
        <v>49.134599999999999</v>
      </c>
      <c r="AD7391">
        <v>-1.1084759782469999</v>
      </c>
      <c r="AE7391">
        <v>3.1340100000000102</v>
      </c>
      <c r="AF7391">
        <v>-3.9164326126646101</v>
      </c>
      <c r="AG7391">
        <v>-1.1084759782469999</v>
      </c>
      <c r="AH7391">
        <v>49.053408858701303</v>
      </c>
      <c r="AI7391">
        <v>91.290406331309597</v>
      </c>
      <c r="AJ7391">
        <v>94.564821923784294</v>
      </c>
      <c r="AK7391">
        <v>49.221987810965203</v>
      </c>
      <c r="AL7391">
        <v>93.799886269899005</v>
      </c>
      <c r="AM7391">
        <v>102.151905499942</v>
      </c>
      <c r="AN7391">
        <v>1.00000000303058</v>
      </c>
    </row>
    <row r="7392" spans="1:40" x14ac:dyDescent="0.25">
      <c r="A7392" t="str">
        <f>"20190305135108361"</f>
        <v>20190305135108361</v>
      </c>
      <c r="B7392" t="str">
        <f>"1551765068356783"</f>
        <v>1551765068356783</v>
      </c>
      <c r="C7392" t="s">
        <v>40</v>
      </c>
      <c r="D7392">
        <v>3.935835</v>
      </c>
      <c r="E7392">
        <v>0.57177650000000002</v>
      </c>
      <c r="F7392" t="s">
        <v>116</v>
      </c>
      <c r="G7392">
        <v>-217.33070000000001</v>
      </c>
      <c r="H7392" s="1">
        <v>-2.7249820000000001E-6</v>
      </c>
      <c r="I7392">
        <v>-62.680419999999998</v>
      </c>
      <c r="J7392">
        <v>-244.8004</v>
      </c>
      <c r="K7392">
        <v>1.108689</v>
      </c>
      <c r="L7392">
        <v>-63.080750000000002</v>
      </c>
      <c r="M7392">
        <v>0.99987570000000003</v>
      </c>
      <c r="N7392">
        <v>-3.4794069999999999E-3</v>
      </c>
      <c r="O7392">
        <v>-1.5377699999999999E-2</v>
      </c>
      <c r="P7392">
        <v>0.97833210000000004</v>
      </c>
      <c r="Q7392">
        <v>-6.9589139999999994E-2</v>
      </c>
      <c r="R7392">
        <v>0.19499720000000001</v>
      </c>
      <c r="S7392">
        <v>3.048737</v>
      </c>
      <c r="T7392">
        <v>-0.12223589999999999</v>
      </c>
      <c r="U7392">
        <v>4.3884279999999998E-2</v>
      </c>
      <c r="V7392">
        <v>-0.2098884</v>
      </c>
      <c r="W7392">
        <v>-6.6608879999999995E-2</v>
      </c>
      <c r="X7392">
        <v>0.97545380000000004</v>
      </c>
      <c r="Y7392">
        <v>-2.9731E-2</v>
      </c>
      <c r="Z7392">
        <v>1.2102839999999901E-3</v>
      </c>
      <c r="AA7392">
        <v>0.99955720000000003</v>
      </c>
      <c r="AB7392">
        <v>34</v>
      </c>
      <c r="AC7392">
        <v>27.4696999999999</v>
      </c>
      <c r="AD7392">
        <v>-1.1086917249820001</v>
      </c>
      <c r="AE7392">
        <v>0.40033000000000302</v>
      </c>
      <c r="AF7392">
        <v>-0.82136832415491701</v>
      </c>
      <c r="AG7392">
        <v>-1.1086917249820001</v>
      </c>
      <c r="AH7392">
        <v>27.4156457937579</v>
      </c>
      <c r="AI7392">
        <v>92.314748262175996</v>
      </c>
      <c r="AJ7392">
        <v>91.716058991490101</v>
      </c>
      <c r="AK7392">
        <v>27.4503456727554</v>
      </c>
      <c r="AL7392">
        <v>93.819235422706697</v>
      </c>
      <c r="AM7392">
        <v>102.14319010491199</v>
      </c>
      <c r="AN7392">
        <v>0.99999999964192698</v>
      </c>
    </row>
    <row r="7393" spans="1:40" x14ac:dyDescent="0.25">
      <c r="A7393" t="str">
        <f>"20190305135108373"</f>
        <v>20190305135108373</v>
      </c>
      <c r="B7393" t="str">
        <f>"1551765068367519"</f>
        <v>1551765068367519</v>
      </c>
      <c r="C7393" t="s">
        <v>40</v>
      </c>
      <c r="D7393">
        <v>3.9145479999999999</v>
      </c>
      <c r="E7393">
        <v>0.57303040000000005</v>
      </c>
      <c r="F7393" t="s">
        <v>116</v>
      </c>
      <c r="G7393">
        <v>-219.10730000000001</v>
      </c>
      <c r="H7393" s="1">
        <v>-3.399301E-6</v>
      </c>
      <c r="I7393">
        <v>-62.866169999999997</v>
      </c>
      <c r="J7393">
        <v>-244.6215</v>
      </c>
      <c r="K7393">
        <v>1.1089249999999999</v>
      </c>
      <c r="L7393">
        <v>-63.082979999999999</v>
      </c>
      <c r="M7393">
        <v>0.99988509999999997</v>
      </c>
      <c r="N7393">
        <v>-3.5271360000000002E-3</v>
      </c>
      <c r="O7393">
        <v>-1.4747120000000001E-2</v>
      </c>
      <c r="P7393">
        <v>0.97837339999999995</v>
      </c>
      <c r="Q7393">
        <v>-6.9609459999999998E-2</v>
      </c>
      <c r="R7393">
        <v>0.1947818</v>
      </c>
      <c r="S7393">
        <v>3.051987</v>
      </c>
      <c r="T7393">
        <v>-0.13169719999999999</v>
      </c>
      <c r="U7393">
        <v>2.548218E-2</v>
      </c>
      <c r="V7393">
        <v>-0.20903469999999999</v>
      </c>
      <c r="W7393">
        <v>-6.6655510000000001E-2</v>
      </c>
      <c r="X7393">
        <v>0.97563390000000005</v>
      </c>
      <c r="Y7393">
        <v>-2.3060089999999998E-2</v>
      </c>
      <c r="Z7393">
        <v>1.1220360000000001E-3</v>
      </c>
      <c r="AA7393">
        <v>0.99973339999999999</v>
      </c>
      <c r="AB7393">
        <v>35</v>
      </c>
      <c r="AC7393">
        <v>25.514199999999899</v>
      </c>
      <c r="AD7393">
        <v>-1.108928399301</v>
      </c>
      <c r="AE7393">
        <v>0.216810000000009</v>
      </c>
      <c r="AF7393">
        <v>-0.591931600900091</v>
      </c>
      <c r="AG7393">
        <v>-1.108928399301</v>
      </c>
      <c r="AH7393">
        <v>25.460136130989</v>
      </c>
      <c r="AI7393">
        <v>92.493295863913403</v>
      </c>
      <c r="AJ7393">
        <v>91.331849662887294</v>
      </c>
      <c r="AK7393">
        <v>25.491148209200201</v>
      </c>
      <c r="AL7393">
        <v>93.821913132426701</v>
      </c>
      <c r="AM7393">
        <v>102.09308905585701</v>
      </c>
      <c r="AN7393">
        <v>0.99999998482332897</v>
      </c>
    </row>
    <row r="7394" spans="1:40" x14ac:dyDescent="0.25">
      <c r="A7394" t="str">
        <f>"20190305135108383"</f>
        <v>20190305135108383</v>
      </c>
      <c r="B7394" t="str">
        <f>"1551765068377279"</f>
        <v>1551765068377279</v>
      </c>
      <c r="C7394" t="s">
        <v>40</v>
      </c>
      <c r="D7394">
        <v>3.9021560000000002</v>
      </c>
      <c r="E7394">
        <v>0.57327569999999906</v>
      </c>
      <c r="F7394" t="s">
        <v>116</v>
      </c>
      <c r="G7394">
        <v>-218.65549999999999</v>
      </c>
      <c r="H7394" s="1">
        <v>-3.2612709999999998E-6</v>
      </c>
      <c r="I7394">
        <v>-62.954749999999997</v>
      </c>
      <c r="J7394">
        <v>-244.4503</v>
      </c>
      <c r="K7394">
        <v>1.109189</v>
      </c>
      <c r="L7394">
        <v>-63.084870000000002</v>
      </c>
      <c r="M7394">
        <v>0.99989399999999995</v>
      </c>
      <c r="N7394">
        <v>-3.7474800000000001E-3</v>
      </c>
      <c r="O7394">
        <v>-1.406517E-2</v>
      </c>
      <c r="P7394">
        <v>0.97835150000000004</v>
      </c>
      <c r="Q7394">
        <v>-6.9771379999999994E-2</v>
      </c>
      <c r="R7394">
        <v>0.19483429999999999</v>
      </c>
      <c r="S7394">
        <v>3.0540310000000002</v>
      </c>
      <c r="T7394">
        <v>-0.13042860000000001</v>
      </c>
      <c r="U7394">
        <v>1.5075679999999999E-2</v>
      </c>
      <c r="V7394">
        <v>-0.20839840000000001</v>
      </c>
      <c r="W7394">
        <v>-6.667323E-2</v>
      </c>
      <c r="X7394">
        <v>0.97576879999999999</v>
      </c>
      <c r="Y7394">
        <v>-1.8971390000000001E-2</v>
      </c>
      <c r="Z7394">
        <v>9.8819100000000003E-4</v>
      </c>
      <c r="AA7394">
        <v>0.99981949999999997</v>
      </c>
      <c r="AB7394">
        <v>35</v>
      </c>
      <c r="AC7394">
        <v>25.794799999999999</v>
      </c>
      <c r="AD7394">
        <v>-1.1091922612709999</v>
      </c>
      <c r="AE7394">
        <v>0.13011999999999799</v>
      </c>
      <c r="AF7394">
        <v>-0.49200821814289603</v>
      </c>
      <c r="AG7394">
        <v>-1.1091922612709999</v>
      </c>
      <c r="AH7394">
        <v>25.7428195614586</v>
      </c>
      <c r="AI7394">
        <v>92.466752621732894</v>
      </c>
      <c r="AJ7394">
        <v>91.094929116226396</v>
      </c>
      <c r="AK7394">
        <v>25.771401563225002</v>
      </c>
      <c r="AL7394">
        <v>93.822930688468603</v>
      </c>
      <c r="AM7394">
        <v>102.05573840721399</v>
      </c>
      <c r="AN7394">
        <v>0.99999998188731598</v>
      </c>
    </row>
    <row r="7395" spans="1:40" x14ac:dyDescent="0.25">
      <c r="A7395" t="str">
        <f>"20190305135108394"</f>
        <v>20190305135108394</v>
      </c>
      <c r="B7395" t="str">
        <f>"1551765068387039"</f>
        <v>1551765068387039</v>
      </c>
      <c r="C7395" t="s">
        <v>40</v>
      </c>
      <c r="D7395">
        <v>3.9144359999999998</v>
      </c>
      <c r="E7395">
        <v>0.57348759999999999</v>
      </c>
      <c r="F7395" t="s">
        <v>116</v>
      </c>
      <c r="G7395">
        <v>-219.98089999999999</v>
      </c>
      <c r="H7395" s="1">
        <v>-3.7167790000000002E-6</v>
      </c>
      <c r="I7395">
        <v>-62.979909999999997</v>
      </c>
      <c r="J7395">
        <v>-244.2774</v>
      </c>
      <c r="K7395">
        <v>1.1094459999999999</v>
      </c>
      <c r="L7395">
        <v>-63.08661</v>
      </c>
      <c r="M7395">
        <v>0.99990330000000005</v>
      </c>
      <c r="N7395">
        <v>-4.0205600000000003E-3</v>
      </c>
      <c r="O7395">
        <v>-1.3316150000000001E-2</v>
      </c>
      <c r="P7395">
        <v>0.97837929999999995</v>
      </c>
      <c r="Q7395">
        <v>-6.9742990000000005E-2</v>
      </c>
      <c r="R7395">
        <v>0.19470489999999999</v>
      </c>
      <c r="S7395">
        <v>3.053909</v>
      </c>
      <c r="T7395">
        <v>-0.1384331</v>
      </c>
      <c r="U7395">
        <v>1.3092039999999999E-2</v>
      </c>
      <c r="V7395">
        <v>-0.20751749999999999</v>
      </c>
      <c r="W7395">
        <v>-6.6443059999999998E-2</v>
      </c>
      <c r="X7395">
        <v>0.97597219999999996</v>
      </c>
      <c r="Y7395">
        <v>-1.7571699999999999E-2</v>
      </c>
      <c r="Z7395">
        <v>9.8318160000000006E-4</v>
      </c>
      <c r="AA7395">
        <v>0.99984510000000004</v>
      </c>
      <c r="AB7395">
        <v>35</v>
      </c>
      <c r="AC7395">
        <v>24.296500000000002</v>
      </c>
      <c r="AD7395">
        <v>-1.1094497167789901</v>
      </c>
      <c r="AE7395">
        <v>0.106700000000003</v>
      </c>
      <c r="AF7395">
        <v>-0.42933378913215098</v>
      </c>
      <c r="AG7395">
        <v>-1.1094497167789901</v>
      </c>
      <c r="AH7395">
        <v>24.242377984087899</v>
      </c>
      <c r="AI7395">
        <v>92.619896360700494</v>
      </c>
      <c r="AJ7395">
        <v>91.014605201924596</v>
      </c>
      <c r="AK7395">
        <v>24.2715491161965</v>
      </c>
      <c r="AL7395">
        <v>93.809713678256102</v>
      </c>
      <c r="AM7395">
        <v>102.003830921608</v>
      </c>
      <c r="AN7395">
        <v>0.99999996410062597</v>
      </c>
    </row>
    <row r="7396" spans="1:40" x14ac:dyDescent="0.25">
      <c r="A7396" t="str">
        <f>"20190305135108405"</f>
        <v>20190305135108405</v>
      </c>
      <c r="B7396" t="str">
        <f>"1551765068396799"</f>
        <v>1551765068396799</v>
      </c>
      <c r="C7396" t="s">
        <v>40</v>
      </c>
      <c r="D7396">
        <v>3.849021</v>
      </c>
      <c r="E7396">
        <v>0.5739244</v>
      </c>
      <c r="F7396" t="s">
        <v>115</v>
      </c>
      <c r="G7396">
        <v>-220.55840000000001</v>
      </c>
      <c r="H7396" s="1">
        <v>6.0243050000000002E-8</v>
      </c>
      <c r="I7396">
        <v>-63.001750000000001</v>
      </c>
      <c r="J7396">
        <v>-244.1062</v>
      </c>
      <c r="K7396">
        <v>1.109694</v>
      </c>
      <c r="L7396">
        <v>-63.08813</v>
      </c>
      <c r="M7396">
        <v>0.99991240000000003</v>
      </c>
      <c r="N7396">
        <v>-4.3471220000000001E-3</v>
      </c>
      <c r="O7396">
        <v>-1.2507330000000001E-2</v>
      </c>
      <c r="P7396">
        <v>0.97840400000000005</v>
      </c>
      <c r="Q7396">
        <v>-6.9781410000000002E-2</v>
      </c>
      <c r="R7396">
        <v>0.19456709999999999</v>
      </c>
      <c r="S7396">
        <v>3.0539550000000002</v>
      </c>
      <c r="T7396">
        <v>-0.1428471</v>
      </c>
      <c r="U7396">
        <v>1.0925290000000001E-2</v>
      </c>
      <c r="V7396">
        <v>-0.20657200000000001</v>
      </c>
      <c r="W7396">
        <v>-6.6220080000000001E-2</v>
      </c>
      <c r="X7396">
        <v>0.9761879</v>
      </c>
      <c r="Y7396">
        <v>-1.605405E-2</v>
      </c>
      <c r="Z7396">
        <v>9.40518E-4</v>
      </c>
      <c r="AA7396">
        <v>0.9998707</v>
      </c>
      <c r="AB7396">
        <v>34</v>
      </c>
      <c r="AC7396">
        <v>23.547799999999899</v>
      </c>
      <c r="AD7396">
        <v>-1.1096939397569501</v>
      </c>
      <c r="AE7396">
        <v>8.6380000000005397E-2</v>
      </c>
      <c r="AF7396">
        <v>-0.380052109938881</v>
      </c>
      <c r="AG7396">
        <v>-1.1096939397569501</v>
      </c>
      <c r="AH7396">
        <v>23.492706214269599</v>
      </c>
      <c r="AI7396">
        <v>92.704041623286201</v>
      </c>
      <c r="AJ7396">
        <v>90.926818834022896</v>
      </c>
      <c r="AK7396">
        <v>23.521970697970499</v>
      </c>
      <c r="AL7396">
        <v>93.796909707426096</v>
      </c>
      <c r="AM7396">
        <v>101.948149773222</v>
      </c>
      <c r="AN7396">
        <v>0.99999995314280699</v>
      </c>
    </row>
    <row r="7397" spans="1:40" x14ac:dyDescent="0.25">
      <c r="A7397" t="str">
        <f>"20190305135108416"</f>
        <v>20190305135108416</v>
      </c>
      <c r="B7397" t="str">
        <f>"1551765068407535"</f>
        <v>1551765068407535</v>
      </c>
      <c r="C7397" t="s">
        <v>40</v>
      </c>
      <c r="D7397">
        <v>3.9324810000000001</v>
      </c>
      <c r="E7397">
        <v>0.57366209999999995</v>
      </c>
      <c r="F7397" t="s">
        <v>116</v>
      </c>
      <c r="G7397">
        <v>-219.5033</v>
      </c>
      <c r="H7397" s="1">
        <v>-3.563044E-6</v>
      </c>
      <c r="I7397">
        <v>-63.029589999999999</v>
      </c>
      <c r="J7397">
        <v>-243.9426</v>
      </c>
      <c r="K7397">
        <v>1.109896</v>
      </c>
      <c r="L7397">
        <v>-63.089390000000002</v>
      </c>
      <c r="M7397">
        <v>0.99992130000000001</v>
      </c>
      <c r="N7397">
        <v>-4.6729170000000004E-3</v>
      </c>
      <c r="O7397">
        <v>-1.1653719999999999E-2</v>
      </c>
      <c r="P7397">
        <v>0.97842150000000006</v>
      </c>
      <c r="Q7397">
        <v>-7.0070129999999994E-2</v>
      </c>
      <c r="R7397">
        <v>0.1943753</v>
      </c>
      <c r="S7397">
        <v>3.0549469999999999</v>
      </c>
      <c r="T7397">
        <v>-0.13779129999999901</v>
      </c>
      <c r="U7397">
        <v>7.2631839999999998E-3</v>
      </c>
      <c r="V7397">
        <v>-0.20553179999999999</v>
      </c>
      <c r="W7397">
        <v>-6.6234660000000001E-2</v>
      </c>
      <c r="X7397">
        <v>0.97640649999999996</v>
      </c>
      <c r="Y7397">
        <v>-1.400593E-2</v>
      </c>
      <c r="Z7397">
        <v>8.1937079999999999E-4</v>
      </c>
      <c r="AA7397">
        <v>0.99990159999999995</v>
      </c>
      <c r="AB7397">
        <v>34</v>
      </c>
      <c r="AC7397">
        <v>24.439299999999999</v>
      </c>
      <c r="AD7397">
        <v>-1.1098995630440001</v>
      </c>
      <c r="AE7397">
        <v>5.9800000000002698E-2</v>
      </c>
      <c r="AF7397">
        <v>-0.34389849240646603</v>
      </c>
      <c r="AG7397">
        <v>-1.1098995630440001</v>
      </c>
      <c r="AH7397">
        <v>24.386646786539501</v>
      </c>
      <c r="AI7397">
        <v>92.605622581107596</v>
      </c>
      <c r="AJ7397">
        <v>90.807926829351999</v>
      </c>
      <c r="AK7397">
        <v>24.414313111463201</v>
      </c>
      <c r="AL7397">
        <v>93.797746731704507</v>
      </c>
      <c r="AM7397">
        <v>101.88711488033501</v>
      </c>
      <c r="AN7397">
        <v>1.0000000021194</v>
      </c>
    </row>
    <row r="7398" spans="1:40" x14ac:dyDescent="0.25">
      <c r="A7398" t="str">
        <f>"20190305135108427"</f>
        <v>20190305135108427</v>
      </c>
      <c r="B7398" t="str">
        <f>"1551765068417294"</f>
        <v>1551765068417294</v>
      </c>
      <c r="C7398" t="s">
        <v>40</v>
      </c>
      <c r="D7398">
        <v>3.974062</v>
      </c>
      <c r="E7398">
        <v>0.57372190000000001</v>
      </c>
      <c r="F7398" t="s">
        <v>115</v>
      </c>
      <c r="G7398">
        <v>-220.4289</v>
      </c>
      <c r="H7398" s="1">
        <v>1.109476E-7</v>
      </c>
      <c r="I7398">
        <v>-63.023600000000002</v>
      </c>
      <c r="J7398">
        <v>-243.77619999999999</v>
      </c>
      <c r="K7398">
        <v>1.1100859999999999</v>
      </c>
      <c r="L7398">
        <v>-63.090519999999998</v>
      </c>
      <c r="M7398">
        <v>0.99992979999999998</v>
      </c>
      <c r="N7398">
        <v>-5.0111959999999999E-3</v>
      </c>
      <c r="O7398">
        <v>-1.0744109999999999E-2</v>
      </c>
      <c r="P7398">
        <v>0.97835320000000003</v>
      </c>
      <c r="Q7398">
        <v>-7.0550059999999998E-2</v>
      </c>
      <c r="R7398">
        <v>0.19454550000000001</v>
      </c>
      <c r="S7398">
        <v>3.054138</v>
      </c>
      <c r="T7398">
        <v>-0.1441617</v>
      </c>
      <c r="U7398">
        <v>8.5449219999999999E-3</v>
      </c>
      <c r="V7398">
        <v>-0.2047987</v>
      </c>
      <c r="W7398">
        <v>-6.6424999999999998E-2</v>
      </c>
      <c r="X7398">
        <v>0.97654759999999996</v>
      </c>
      <c r="Y7398">
        <v>-1.3515640000000001E-2</v>
      </c>
      <c r="Z7398">
        <v>8.0573190000000005E-4</v>
      </c>
      <c r="AA7398">
        <v>0.99990829999999997</v>
      </c>
      <c r="AB7398">
        <v>34</v>
      </c>
      <c r="AC7398">
        <v>23.347299999999901</v>
      </c>
      <c r="AD7398">
        <v>-1.1100858890523999</v>
      </c>
      <c r="AE7398">
        <v>6.6919999999996094E-2</v>
      </c>
      <c r="AF7398">
        <v>-0.31704848670910302</v>
      </c>
      <c r="AG7398">
        <v>-1.1100858890523999</v>
      </c>
      <c r="AH7398">
        <v>23.292576644537601</v>
      </c>
      <c r="AI7398">
        <v>92.728305697937103</v>
      </c>
      <c r="AJ7398">
        <v>90.779837229654504</v>
      </c>
      <c r="AK7398">
        <v>23.321169292418801</v>
      </c>
      <c r="AL7398">
        <v>93.808676482346499</v>
      </c>
      <c r="AM7398">
        <v>101.84425216141</v>
      </c>
      <c r="AN7398">
        <v>1.00000000160622</v>
      </c>
    </row>
    <row r="7399" spans="1:40" x14ac:dyDescent="0.25">
      <c r="A7399" t="str">
        <f>"20190305135108439"</f>
        <v>20190305135108439</v>
      </c>
      <c r="B7399" t="str">
        <f>"1551765068427055"</f>
        <v>1551765068427055</v>
      </c>
      <c r="C7399" t="s">
        <v>40</v>
      </c>
      <c r="D7399">
        <v>3.958672</v>
      </c>
      <c r="E7399">
        <v>0.57376850000000001</v>
      </c>
      <c r="F7399" t="s">
        <v>115</v>
      </c>
      <c r="G7399">
        <v>-221.34280000000001</v>
      </c>
      <c r="H7399" s="1">
        <v>-2.8216139999999998E-7</v>
      </c>
      <c r="I7399">
        <v>-63.028190000000002</v>
      </c>
      <c r="J7399">
        <v>-243.60210000000001</v>
      </c>
      <c r="K7399">
        <v>1.11025</v>
      </c>
      <c r="L7399">
        <v>-63.091430000000003</v>
      </c>
      <c r="M7399">
        <v>0.99993849999999995</v>
      </c>
      <c r="N7399">
        <v>-5.360498E-3</v>
      </c>
      <c r="O7399">
        <v>-9.7125890000000006E-3</v>
      </c>
      <c r="P7399">
        <v>0.97822620000000005</v>
      </c>
      <c r="Q7399">
        <v>-7.1102230000000002E-2</v>
      </c>
      <c r="R7399">
        <v>0.19498280000000001</v>
      </c>
      <c r="S7399">
        <v>3.0538020000000001</v>
      </c>
      <c r="T7399">
        <v>-0.1511132</v>
      </c>
      <c r="U7399">
        <v>8.4838869999999903E-3</v>
      </c>
      <c r="V7399">
        <v>-0.2042156</v>
      </c>
      <c r="W7399">
        <v>-6.6668309999999995E-2</v>
      </c>
      <c r="X7399">
        <v>0.9766532</v>
      </c>
      <c r="Y7399">
        <v>-1.2464340000000001E-2</v>
      </c>
      <c r="Z7399">
        <v>7.6991009999999999E-4</v>
      </c>
      <c r="AA7399">
        <v>0.99992199999999998</v>
      </c>
      <c r="AB7399">
        <v>34</v>
      </c>
      <c r="AC7399">
        <v>22.2593</v>
      </c>
      <c r="AD7399">
        <v>-1.1102502821614</v>
      </c>
      <c r="AE7399">
        <v>6.3240000000000393E-2</v>
      </c>
      <c r="AF7399">
        <v>-0.27874209338720901</v>
      </c>
      <c r="AG7399">
        <v>-1.1102502821614</v>
      </c>
      <c r="AH7399">
        <v>22.202400695231699</v>
      </c>
      <c r="AI7399">
        <v>92.862515298252902</v>
      </c>
      <c r="AJ7399">
        <v>90.7192873748685</v>
      </c>
      <c r="AK7399">
        <v>22.231890371160301</v>
      </c>
      <c r="AL7399">
        <v>93.822647812151899</v>
      </c>
      <c r="AM7399">
        <v>101.810236760813</v>
      </c>
      <c r="AN7399">
        <v>1.0000000739559201</v>
      </c>
    </row>
    <row r="7400" spans="1:40" x14ac:dyDescent="0.25">
      <c r="A7400" t="str">
        <f>"20190305135108450"</f>
        <v>20190305135108450</v>
      </c>
      <c r="B7400" t="str">
        <f>"1551765068447551"</f>
        <v>1551765068447551</v>
      </c>
      <c r="C7400" t="s">
        <v>40</v>
      </c>
      <c r="D7400">
        <v>3.632422</v>
      </c>
      <c r="E7400">
        <v>0.57374029999999998</v>
      </c>
      <c r="F7400" t="s">
        <v>115</v>
      </c>
      <c r="G7400">
        <v>-221.88839999999999</v>
      </c>
      <c r="H7400" s="1">
        <v>-5.1540200000000002E-7</v>
      </c>
      <c r="I7400">
        <v>-63.024590000000003</v>
      </c>
      <c r="J7400">
        <v>-243.43010000000001</v>
      </c>
      <c r="K7400">
        <v>1.1103970000000001</v>
      </c>
      <c r="L7400">
        <v>-63.092219999999998</v>
      </c>
      <c r="M7400">
        <v>0.99994620000000001</v>
      </c>
      <c r="N7400">
        <v>-5.7039760000000004E-3</v>
      </c>
      <c r="O7400">
        <v>-8.6737029999999996E-3</v>
      </c>
      <c r="P7400">
        <v>0.97807129999999998</v>
      </c>
      <c r="Q7400">
        <v>-7.1326810000000004E-2</v>
      </c>
      <c r="R7400">
        <v>0.19567619999999999</v>
      </c>
      <c r="S7400">
        <v>3.053528</v>
      </c>
      <c r="T7400">
        <v>-0.15613079999999999</v>
      </c>
      <c r="U7400">
        <v>9.399414E-3</v>
      </c>
      <c r="V7400">
        <v>-0.20388319999999999</v>
      </c>
      <c r="W7400">
        <v>-6.6587439999999998E-2</v>
      </c>
      <c r="X7400">
        <v>0.97672809999999999</v>
      </c>
      <c r="Y7400">
        <v>-1.1725910000000001E-2</v>
      </c>
      <c r="Z7400">
        <v>7.2680879999999996E-4</v>
      </c>
      <c r="AA7400">
        <v>0.99993100000000001</v>
      </c>
      <c r="AB7400">
        <v>34</v>
      </c>
      <c r="AC7400">
        <v>21.541699999999999</v>
      </c>
      <c r="AD7400">
        <v>-1.1103975154019901</v>
      </c>
      <c r="AE7400">
        <v>6.7629999999994E-2</v>
      </c>
      <c r="AF7400">
        <v>-0.25380243249866202</v>
      </c>
      <c r="AG7400">
        <v>-1.1103975154019901</v>
      </c>
      <c r="AH7400">
        <v>21.483221945892598</v>
      </c>
      <c r="AI7400">
        <v>92.958592502318893</v>
      </c>
      <c r="AJ7400">
        <v>90.676859912874903</v>
      </c>
      <c r="AK7400">
        <v>21.513396372805399</v>
      </c>
      <c r="AL7400">
        <v>93.818004213480805</v>
      </c>
      <c r="AM7400">
        <v>101.790673057085</v>
      </c>
      <c r="AN7400">
        <v>1.0000000138688001</v>
      </c>
    </row>
    <row r="7401" spans="1:40" x14ac:dyDescent="0.25">
      <c r="A7401" t="str">
        <f>"20190305135108462"</f>
        <v>20190305135108462</v>
      </c>
      <c r="B7401" t="str">
        <f>"1551765068457311"</f>
        <v>1551765068457311</v>
      </c>
      <c r="C7401" t="s">
        <v>40</v>
      </c>
      <c r="D7401">
        <v>3.9711639999999999</v>
      </c>
      <c r="E7401">
        <v>0.57383499999999998</v>
      </c>
      <c r="F7401" t="s">
        <v>115</v>
      </c>
      <c r="G7401">
        <v>-222.32859999999999</v>
      </c>
      <c r="H7401" s="1">
        <v>-7.0138530000000001E-7</v>
      </c>
      <c r="I7401">
        <v>-63.011659999999999</v>
      </c>
      <c r="J7401">
        <v>-243.24959999999999</v>
      </c>
      <c r="K7401">
        <v>1.1105130000000001</v>
      </c>
      <c r="L7401">
        <v>-63.092709999999997</v>
      </c>
      <c r="M7401">
        <v>0.99995339999999999</v>
      </c>
      <c r="N7401">
        <v>-6.0521419999999999E-3</v>
      </c>
      <c r="O7401">
        <v>-7.5256809999999898E-3</v>
      </c>
      <c r="P7401">
        <v>0.97786099999999998</v>
      </c>
      <c r="Q7401">
        <v>-7.1565989999999996E-2</v>
      </c>
      <c r="R7401">
        <v>0.1966379</v>
      </c>
      <c r="S7401">
        <v>3.053223</v>
      </c>
      <c r="T7401">
        <v>-0.16066610000000001</v>
      </c>
      <c r="U7401">
        <v>1.165771E-2</v>
      </c>
      <c r="V7401">
        <v>-0.2037147</v>
      </c>
      <c r="W7401">
        <v>-6.6509520000000003E-2</v>
      </c>
      <c r="X7401">
        <v>0.97676859999999999</v>
      </c>
      <c r="Y7401">
        <v>-1.1318180000000001E-2</v>
      </c>
      <c r="Z7401">
        <v>6.8208029999999897E-4</v>
      </c>
      <c r="AA7401">
        <v>0.99993569999999998</v>
      </c>
      <c r="AB7401">
        <v>35</v>
      </c>
      <c r="AC7401">
        <v>20.9209999999999</v>
      </c>
      <c r="AD7401">
        <v>-1.1105137013852999</v>
      </c>
      <c r="AE7401">
        <v>8.1049999999997596E-2</v>
      </c>
      <c r="AF7401">
        <v>-0.23782526324146</v>
      </c>
      <c r="AG7401">
        <v>-1.1105137013852999</v>
      </c>
      <c r="AH7401">
        <v>20.861019944574799</v>
      </c>
      <c r="AI7401">
        <v>93.047004592264599</v>
      </c>
      <c r="AJ7401">
        <v>90.653170055192504</v>
      </c>
      <c r="AK7401">
        <v>20.891911225753098</v>
      </c>
      <c r="AL7401">
        <v>93.813529682514698</v>
      </c>
      <c r="AM7401">
        <v>101.780726235392</v>
      </c>
      <c r="AN7401">
        <v>1.0000000465963299</v>
      </c>
    </row>
    <row r="7402" spans="1:40" x14ac:dyDescent="0.25">
      <c r="A7402" t="str">
        <f>"20190305135108473"</f>
        <v>20190305135108473</v>
      </c>
      <c r="B7402" t="str">
        <f>"1551765068467071"</f>
        <v>1551765068467071</v>
      </c>
      <c r="C7402" t="s">
        <v>40</v>
      </c>
      <c r="D7402">
        <v>3.929246</v>
      </c>
      <c r="E7402">
        <v>0.57385459999999899</v>
      </c>
      <c r="F7402" t="s">
        <v>115</v>
      </c>
      <c r="G7402">
        <v>-222.1463</v>
      </c>
      <c r="H7402" s="1">
        <v>-6.1972999999999995E-7</v>
      </c>
      <c r="I7402">
        <v>-62.996110000000002</v>
      </c>
      <c r="J7402">
        <v>-243.07220000000001</v>
      </c>
      <c r="K7402">
        <v>1.110617</v>
      </c>
      <c r="L7402">
        <v>-63.093110000000003</v>
      </c>
      <c r="M7402">
        <v>0.99995919999999905</v>
      </c>
      <c r="N7402">
        <v>-6.3896090000000001E-3</v>
      </c>
      <c r="O7402">
        <v>-6.3885340000000004E-3</v>
      </c>
      <c r="P7402">
        <v>0.97761960000000003</v>
      </c>
      <c r="Q7402">
        <v>-7.1747430000000001E-2</v>
      </c>
      <c r="R7402">
        <v>0.19776820000000001</v>
      </c>
      <c r="S7402">
        <v>3.0533290000000002</v>
      </c>
      <c r="T7402">
        <v>-0.1606746</v>
      </c>
      <c r="U7402">
        <v>1.397705E-2</v>
      </c>
      <c r="V7402">
        <v>-0.2037272</v>
      </c>
      <c r="W7402">
        <v>-6.6383120000000004E-2</v>
      </c>
      <c r="X7402">
        <v>0.97677460000000005</v>
      </c>
      <c r="Y7402">
        <v>-1.09423E-2</v>
      </c>
      <c r="Z7402">
        <v>6.1784429999999998E-4</v>
      </c>
      <c r="AA7402">
        <v>0.99993989999999999</v>
      </c>
      <c r="AB7402">
        <v>35</v>
      </c>
      <c r="AC7402">
        <v>20.925899999999999</v>
      </c>
      <c r="AD7402">
        <v>-1.1106176197299999</v>
      </c>
      <c r="AE7402">
        <v>9.7000000000001294E-2</v>
      </c>
      <c r="AF7402">
        <v>-0.23003860434867901</v>
      </c>
      <c r="AG7402">
        <v>-1.1106176197299999</v>
      </c>
      <c r="AH7402">
        <v>20.866078291477901</v>
      </c>
      <c r="AI7402">
        <v>93.046564668998997</v>
      </c>
      <c r="AJ7402">
        <v>90.631633171931298</v>
      </c>
      <c r="AK7402">
        <v>20.896880449551102</v>
      </c>
      <c r="AL7402">
        <v>93.806271423905798</v>
      </c>
      <c r="AM7402">
        <v>101.781358554113</v>
      </c>
      <c r="AN7402">
        <v>1.00000005492296</v>
      </c>
    </row>
    <row r="7403" spans="1:40" x14ac:dyDescent="0.25">
      <c r="A7403" t="str">
        <f>"20190305135108483"</f>
        <v>20190305135108483</v>
      </c>
      <c r="B7403" t="str">
        <f>"1551765068476831"</f>
        <v>1551765068476831</v>
      </c>
      <c r="C7403" t="s">
        <v>40</v>
      </c>
      <c r="D7403">
        <v>3.9416380000000002</v>
      </c>
      <c r="E7403">
        <v>0.57389499999999904</v>
      </c>
      <c r="F7403" t="s">
        <v>115</v>
      </c>
      <c r="G7403">
        <v>-222.07679999999999</v>
      </c>
      <c r="H7403" s="1">
        <v>-5.8491049999999998E-7</v>
      </c>
      <c r="I7403">
        <v>-62.973709999999997</v>
      </c>
      <c r="J7403">
        <v>-242.90350000000001</v>
      </c>
      <c r="K7403">
        <v>1.1107</v>
      </c>
      <c r="L7403">
        <v>-63.093229999999998</v>
      </c>
      <c r="M7403">
        <v>0.99996359999999995</v>
      </c>
      <c r="N7403">
        <v>-6.7005880000000004E-3</v>
      </c>
      <c r="O7403">
        <v>-5.2894409999999998E-3</v>
      </c>
      <c r="P7403">
        <v>0.97745179999999998</v>
      </c>
      <c r="Q7403">
        <v>-7.1662110000000001E-2</v>
      </c>
      <c r="R7403">
        <v>0.19862740000000001</v>
      </c>
      <c r="S7403">
        <v>3.0533139999999999</v>
      </c>
      <c r="T7403">
        <v>-0.161514299999999</v>
      </c>
      <c r="U7403">
        <v>1.7364500000000001E-2</v>
      </c>
      <c r="V7403">
        <v>-0.20350770000000001</v>
      </c>
      <c r="W7403">
        <v>-6.6009429999999994E-2</v>
      </c>
      <c r="X7403">
        <v>0.97684559999999998</v>
      </c>
      <c r="Y7403">
        <v>-1.095351E-2</v>
      </c>
      <c r="Z7403">
        <v>5.7041419999999995E-4</v>
      </c>
      <c r="AA7403">
        <v>0.99993989999999999</v>
      </c>
      <c r="AB7403">
        <v>35</v>
      </c>
      <c r="AC7403">
        <v>20.826699999999999</v>
      </c>
      <c r="AD7403">
        <v>-1.1107005849105001</v>
      </c>
      <c r="AE7403">
        <v>0.11952000000000799</v>
      </c>
      <c r="AF7403">
        <v>-0.22903101964879399</v>
      </c>
      <c r="AG7403">
        <v>-1.1107005849105001</v>
      </c>
      <c r="AH7403">
        <v>20.7667146447004</v>
      </c>
      <c r="AI7403">
        <v>93.061342171191995</v>
      </c>
      <c r="AJ7403">
        <v>90.6318755287664</v>
      </c>
      <c r="AK7403">
        <v>20.797657275080201</v>
      </c>
      <c r="AL7403">
        <v>93.784813793124798</v>
      </c>
      <c r="AM7403">
        <v>101.768187746729</v>
      </c>
      <c r="AN7403">
        <v>0.999999977523787</v>
      </c>
    </row>
    <row r="7404" spans="1:40" x14ac:dyDescent="0.25">
      <c r="A7404" t="str">
        <f>"20190305135108496"</f>
        <v>20190305135108496</v>
      </c>
      <c r="B7404" t="str">
        <f>"1551765068486591"</f>
        <v>1551765068486591</v>
      </c>
      <c r="C7404" t="s">
        <v>40</v>
      </c>
      <c r="D7404">
        <v>3.943082</v>
      </c>
      <c r="E7404">
        <v>0.57402540000000002</v>
      </c>
      <c r="F7404" t="s">
        <v>115</v>
      </c>
      <c r="G7404">
        <v>-221.82230000000001</v>
      </c>
      <c r="H7404" s="1">
        <v>-4.7206979999999998E-7</v>
      </c>
      <c r="I7404">
        <v>-62.957120000000003</v>
      </c>
      <c r="J7404">
        <v>-242.72800000000001</v>
      </c>
      <c r="K7404">
        <v>1.110776</v>
      </c>
      <c r="L7404">
        <v>-63.093169999999901</v>
      </c>
      <c r="M7404">
        <v>0.99996700000000005</v>
      </c>
      <c r="N7404">
        <v>-7.0126340000000002E-3</v>
      </c>
      <c r="O7404">
        <v>-4.1436550000000004E-3</v>
      </c>
      <c r="P7404">
        <v>0.97723450000000001</v>
      </c>
      <c r="Q7404">
        <v>-7.1931030000000007E-2</v>
      </c>
      <c r="R7404">
        <v>0.19959669999999999</v>
      </c>
      <c r="S7404">
        <v>3.0534210000000002</v>
      </c>
      <c r="T7404">
        <v>-0.1608752</v>
      </c>
      <c r="U7404">
        <v>1.971436E-2</v>
      </c>
      <c r="V7404">
        <v>-0.20335239999999999</v>
      </c>
      <c r="W7404">
        <v>-6.5988160000000004E-2</v>
      </c>
      <c r="X7404">
        <v>0.97687939999999995</v>
      </c>
      <c r="Y7404">
        <v>-1.057901E-2</v>
      </c>
      <c r="Z7404">
        <v>5.047373E-4</v>
      </c>
      <c r="AA7404">
        <v>0.9999439</v>
      </c>
      <c r="AB7404">
        <v>35</v>
      </c>
      <c r="AC7404">
        <v>20.9056999999999</v>
      </c>
      <c r="AD7404">
        <v>-1.1107764720697999</v>
      </c>
      <c r="AE7404">
        <v>0.13604999999999701</v>
      </c>
      <c r="AF7404">
        <v>-0.222050115552093</v>
      </c>
      <c r="AG7404">
        <v>-1.1107764720697999</v>
      </c>
      <c r="AH7404">
        <v>20.846108918331101</v>
      </c>
      <c r="AI7404">
        <v>93.049925235846302</v>
      </c>
      <c r="AJ7404">
        <v>90.610284315775701</v>
      </c>
      <c r="AK7404">
        <v>20.876862495586899</v>
      </c>
      <c r="AL7404">
        <v>93.783592367616507</v>
      </c>
      <c r="AM7404">
        <v>101.759061877261</v>
      </c>
      <c r="AN7404">
        <v>0.99999999899515202</v>
      </c>
    </row>
    <row r="7405" spans="1:40" x14ac:dyDescent="0.25">
      <c r="A7405" t="str">
        <f>"20190305135108506"</f>
        <v>20190305135108506</v>
      </c>
      <c r="B7405" t="str">
        <f>"1551765068497327"</f>
        <v>1551765068497327</v>
      </c>
      <c r="C7405" t="s">
        <v>40</v>
      </c>
      <c r="D7405">
        <v>3.9755310000000001</v>
      </c>
      <c r="E7405">
        <v>0.57399699999999998</v>
      </c>
      <c r="F7405" t="s">
        <v>115</v>
      </c>
      <c r="G7405">
        <v>-221.61660000000001</v>
      </c>
      <c r="H7405" s="1">
        <v>-3.8070109999999998E-7</v>
      </c>
      <c r="I7405">
        <v>-62.943159999999999</v>
      </c>
      <c r="J7405">
        <v>-242.566</v>
      </c>
      <c r="K7405">
        <v>1.1108309999999999</v>
      </c>
      <c r="L7405">
        <v>-63.092959999999998</v>
      </c>
      <c r="M7405">
        <v>0.99996879999999999</v>
      </c>
      <c r="N7405">
        <v>-7.2910479999999996E-3</v>
      </c>
      <c r="O7405">
        <v>-3.0834629999999998E-3</v>
      </c>
      <c r="P7405">
        <v>0.97702739999999999</v>
      </c>
      <c r="Q7405">
        <v>-7.177973E-2</v>
      </c>
      <c r="R7405">
        <v>0.2006628</v>
      </c>
      <c r="S7405">
        <v>3.0536349999999999</v>
      </c>
      <c r="T7405">
        <v>-0.1606668</v>
      </c>
      <c r="U7405">
        <v>2.1697999999999999E-2</v>
      </c>
      <c r="V7405">
        <v>-0.2033807</v>
      </c>
      <c r="W7405">
        <v>-6.5577510000000006E-2</v>
      </c>
      <c r="X7405">
        <v>0.97690120000000003</v>
      </c>
      <c r="Y7405">
        <v>-1.01697E-2</v>
      </c>
      <c r="Z7405">
        <v>4.4410899999999999E-4</v>
      </c>
      <c r="AA7405">
        <v>0.99994819999999995</v>
      </c>
      <c r="AB7405">
        <v>35</v>
      </c>
      <c r="AC7405">
        <v>20.949399999999901</v>
      </c>
      <c r="AD7405">
        <v>-1.1108313807011001</v>
      </c>
      <c r="AE7405">
        <v>0.14979999999999899</v>
      </c>
      <c r="AF7405">
        <v>-0.21379661673682299</v>
      </c>
      <c r="AG7405">
        <v>-1.1108313807011001</v>
      </c>
      <c r="AH7405">
        <v>20.890106925648801</v>
      </c>
      <c r="AI7405">
        <v>93.043677091135805</v>
      </c>
      <c r="AJ7405">
        <v>90.586364454721405</v>
      </c>
      <c r="AK7405">
        <v>20.920712767845998</v>
      </c>
      <c r="AL7405">
        <v>93.760012639136903</v>
      </c>
      <c r="AM7405">
        <v>101.760397641914</v>
      </c>
      <c r="AN7405">
        <v>1.0000000367558599</v>
      </c>
    </row>
    <row r="7406" spans="1:40" x14ac:dyDescent="0.25">
      <c r="A7406" t="str">
        <f>"20190305135108517"</f>
        <v>20190305135108517</v>
      </c>
      <c r="B7406" t="str">
        <f>"1551765068507087"</f>
        <v>1551765068507087</v>
      </c>
      <c r="C7406" t="s">
        <v>40</v>
      </c>
      <c r="D7406">
        <v>4.0136409999999998</v>
      </c>
      <c r="E7406">
        <v>0.57392290000000001</v>
      </c>
      <c r="F7406" t="s">
        <v>115</v>
      </c>
      <c r="G7406">
        <v>-221.6241</v>
      </c>
      <c r="H7406" s="1">
        <v>-3.7884929999999998E-7</v>
      </c>
      <c r="I7406">
        <v>-62.920279999999998</v>
      </c>
      <c r="J7406">
        <v>-242.39670000000001</v>
      </c>
      <c r="K7406">
        <v>1.1108800000000001</v>
      </c>
      <c r="L7406">
        <v>-63.092500000000001</v>
      </c>
      <c r="M7406">
        <v>0.99996940000000001</v>
      </c>
      <c r="N7406">
        <v>-7.5655480000000001E-3</v>
      </c>
      <c r="O7406">
        <v>-1.9805059999999999E-3</v>
      </c>
      <c r="P7406">
        <v>0.97680820000000002</v>
      </c>
      <c r="Q7406">
        <v>-7.1676379999999998E-2</v>
      </c>
      <c r="R7406">
        <v>0.2017629</v>
      </c>
      <c r="S7406">
        <v>3.0534819999999998</v>
      </c>
      <c r="T7406">
        <v>-0.1619679</v>
      </c>
      <c r="U7406">
        <v>2.5177000000000001E-2</v>
      </c>
      <c r="V7406">
        <v>-0.20340140000000001</v>
      </c>
      <c r="W7406">
        <v>-6.5217200000000003E-2</v>
      </c>
      <c r="X7406">
        <v>0.97692100000000004</v>
      </c>
      <c r="Y7406">
        <v>-1.02071E-2</v>
      </c>
      <c r="Z7406">
        <v>3.9916289999999998E-4</v>
      </c>
      <c r="AA7406">
        <v>0.99994780000000005</v>
      </c>
      <c r="AB7406">
        <v>35</v>
      </c>
      <c r="AC7406">
        <v>20.772600000000001</v>
      </c>
      <c r="AD7406">
        <v>-1.11088037884929</v>
      </c>
      <c r="AE7406">
        <v>0.17221999999999499</v>
      </c>
      <c r="AF7406">
        <v>-0.21275268696643401</v>
      </c>
      <c r="AG7406">
        <v>-1.11088037884929</v>
      </c>
      <c r="AH7406">
        <v>20.712984895256</v>
      </c>
      <c r="AI7406">
        <v>93.069788762347201</v>
      </c>
      <c r="AJ7406">
        <v>90.588490864266205</v>
      </c>
      <c r="AK7406">
        <v>20.7438439589443</v>
      </c>
      <c r="AL7406">
        <v>93.739324148087704</v>
      </c>
      <c r="AM7406">
        <v>101.761329527781</v>
      </c>
      <c r="AN7406">
        <v>1.00000002646939</v>
      </c>
    </row>
    <row r="7407" spans="1:40" x14ac:dyDescent="0.25">
      <c r="A7407" t="str">
        <f>"20190305135108527"</f>
        <v>20190305135108527</v>
      </c>
      <c r="B7407" t="str">
        <f>"1551765068516847"</f>
        <v>1551765068516847</v>
      </c>
      <c r="C7407" t="s">
        <v>40</v>
      </c>
      <c r="D7407">
        <v>3.9664000000000001</v>
      </c>
      <c r="E7407">
        <v>0.57378379999999995</v>
      </c>
      <c r="F7407" t="s">
        <v>115</v>
      </c>
      <c r="G7407">
        <v>-221.86099999999999</v>
      </c>
      <c r="H7407" s="1">
        <v>-4.7521529999999999E-7</v>
      </c>
      <c r="I7407">
        <v>-62.896680000000003</v>
      </c>
      <c r="J7407">
        <v>-242.22669999999999</v>
      </c>
      <c r="K7407">
        <v>1.1109260000000001</v>
      </c>
      <c r="L7407">
        <v>-63.091949999999997</v>
      </c>
      <c r="M7407">
        <v>0.999969</v>
      </c>
      <c r="N7407">
        <v>-7.8334049999999999E-3</v>
      </c>
      <c r="O7407">
        <v>-8.751869E-4</v>
      </c>
      <c r="P7407">
        <v>0.97659430000000003</v>
      </c>
      <c r="Q7407">
        <v>-7.1994840000000004E-2</v>
      </c>
      <c r="R7407">
        <v>0.2026831</v>
      </c>
      <c r="S7407">
        <v>3.0530849999999998</v>
      </c>
      <c r="T7407">
        <v>-0.16515659999999999</v>
      </c>
      <c r="U7407">
        <v>2.9113770000000001E-2</v>
      </c>
      <c r="V7407">
        <v>-0.20323840000000001</v>
      </c>
      <c r="W7407">
        <v>-6.5283389999999997E-2</v>
      </c>
      <c r="X7407">
        <v>0.97695050000000005</v>
      </c>
      <c r="Y7407">
        <v>-1.039226E-2</v>
      </c>
      <c r="Z7407">
        <v>3.62068E-4</v>
      </c>
      <c r="AA7407">
        <v>0.99994590000000005</v>
      </c>
      <c r="AB7407">
        <v>35</v>
      </c>
      <c r="AC7407">
        <v>20.3657</v>
      </c>
      <c r="AD7407">
        <v>-1.1109264752153001</v>
      </c>
      <c r="AE7407">
        <v>0.195269999999993</v>
      </c>
      <c r="AF7407">
        <v>-0.212462124391779</v>
      </c>
      <c r="AG7407">
        <v>-1.1109264752153001</v>
      </c>
      <c r="AH7407">
        <v>20.305107335402301</v>
      </c>
      <c r="AI7407">
        <v>93.1314548964652</v>
      </c>
      <c r="AJ7407">
        <v>90.599491477884797</v>
      </c>
      <c r="AK7407">
        <v>20.336584808906402</v>
      </c>
      <c r="AL7407">
        <v>93.743124664612694</v>
      </c>
      <c r="AM7407">
        <v>101.751821580542</v>
      </c>
      <c r="AN7407">
        <v>1.0000000238473501</v>
      </c>
    </row>
    <row r="7408" spans="1:40" x14ac:dyDescent="0.25">
      <c r="A7408" t="str">
        <f>"20190305135108540"</f>
        <v>20190305135108540</v>
      </c>
      <c r="B7408" t="str">
        <f>"1551765068537343"</f>
        <v>1551765068537343</v>
      </c>
      <c r="C7408" t="s">
        <v>40</v>
      </c>
      <c r="D7408">
        <v>4.0018399999999996</v>
      </c>
      <c r="E7408">
        <v>0.57363809999999904</v>
      </c>
      <c r="F7408" t="s">
        <v>115</v>
      </c>
      <c r="G7408">
        <v>-222.232</v>
      </c>
      <c r="H7408" s="1">
        <v>-6.2980100000000002E-7</v>
      </c>
      <c r="I7408">
        <v>-62.876060000000003</v>
      </c>
      <c r="J7408">
        <v>-242.04470000000001</v>
      </c>
      <c r="K7408">
        <v>1.1109639999999901</v>
      </c>
      <c r="L7408">
        <v>-63.091030000000003</v>
      </c>
      <c r="M7408">
        <v>0.9999673</v>
      </c>
      <c r="N7408">
        <v>-8.0930129999999996E-3</v>
      </c>
      <c r="O7408">
        <v>2.957859E-4</v>
      </c>
      <c r="P7408">
        <v>0.97636310000000004</v>
      </c>
      <c r="Q7408">
        <v>-7.2183280000000002E-2</v>
      </c>
      <c r="R7408">
        <v>0.2037272</v>
      </c>
      <c r="S7408">
        <v>3.0525359999999999</v>
      </c>
      <c r="T7408">
        <v>-0.16960249999999999</v>
      </c>
      <c r="U7408">
        <v>3.2958979999999999E-2</v>
      </c>
      <c r="V7408">
        <v>-0.2031366</v>
      </c>
      <c r="W7408">
        <v>-6.5225690000000003E-2</v>
      </c>
      <c r="X7408">
        <v>0.9769755</v>
      </c>
      <c r="Y7408">
        <v>-1.048265E-2</v>
      </c>
      <c r="Z7408">
        <v>3.1940990000000003E-4</v>
      </c>
      <c r="AA7408">
        <v>0.99994499999999997</v>
      </c>
      <c r="AB7408">
        <v>35</v>
      </c>
      <c r="AC7408">
        <v>19.8127</v>
      </c>
      <c r="AD7408">
        <v>-1.1109646298010001</v>
      </c>
      <c r="AE7408">
        <v>0.21497000000000799</v>
      </c>
      <c r="AF7408">
        <v>-0.20845413308947899</v>
      </c>
      <c r="AG7408">
        <v>-1.1109646298010001</v>
      </c>
      <c r="AH7408">
        <v>19.7506695498463</v>
      </c>
      <c r="AI7408">
        <v>93.219285518708503</v>
      </c>
      <c r="AJ7408">
        <v>90.604693353430804</v>
      </c>
      <c r="AK7408">
        <v>19.782988732785</v>
      </c>
      <c r="AL7408">
        <v>93.739811732869299</v>
      </c>
      <c r="AM7408">
        <v>101.745806580997</v>
      </c>
      <c r="AN7408">
        <v>0.99999999824789298</v>
      </c>
    </row>
    <row r="7409" spans="1:40" x14ac:dyDescent="0.25">
      <c r="A7409" t="str">
        <f>"20190305135108551"</f>
        <v>20190305135108551</v>
      </c>
      <c r="B7409" t="str">
        <f>"1551765068547103"</f>
        <v>1551765068547103</v>
      </c>
      <c r="C7409" t="s">
        <v>40</v>
      </c>
      <c r="D7409">
        <v>3.962269</v>
      </c>
      <c r="E7409">
        <v>0.5735654</v>
      </c>
      <c r="F7409" t="s">
        <v>115</v>
      </c>
      <c r="G7409">
        <v>-222.6645</v>
      </c>
      <c r="H7409" s="1">
        <v>-8.1049510000000002E-7</v>
      </c>
      <c r="I7409">
        <v>-62.854410000000001</v>
      </c>
      <c r="J7409">
        <v>-241.87200000000001</v>
      </c>
      <c r="K7409">
        <v>1.1109929999999999</v>
      </c>
      <c r="L7409">
        <v>-63.090060000000001</v>
      </c>
      <c r="M7409">
        <v>0.99996439999999998</v>
      </c>
      <c r="N7409">
        <v>-8.3311909999999999E-3</v>
      </c>
      <c r="O7409">
        <v>1.4029239999999901E-3</v>
      </c>
      <c r="P7409">
        <v>0.97608930000000005</v>
      </c>
      <c r="Q7409">
        <v>-7.2419960000000005E-2</v>
      </c>
      <c r="R7409">
        <v>0.20495169999999999</v>
      </c>
      <c r="S7409">
        <v>3.0519099999999999</v>
      </c>
      <c r="T7409">
        <v>-0.17494960000000001</v>
      </c>
      <c r="U7409">
        <v>3.7261959999999997E-2</v>
      </c>
      <c r="V7409">
        <v>-0.20327819999999999</v>
      </c>
      <c r="W7409">
        <v>-6.5237539999999997E-2</v>
      </c>
      <c r="X7409">
        <v>0.97694530000000002</v>
      </c>
      <c r="Y7409">
        <v>-1.0787E-2</v>
      </c>
      <c r="Z7409">
        <v>2.8522079999999998E-4</v>
      </c>
      <c r="AA7409">
        <v>0.99994179999999999</v>
      </c>
      <c r="AB7409">
        <v>35</v>
      </c>
      <c r="AC7409">
        <v>19.2075</v>
      </c>
      <c r="AD7409">
        <v>-1.1109938104951</v>
      </c>
      <c r="AE7409">
        <v>0.23565000000000599</v>
      </c>
      <c r="AF7409">
        <v>-0.208006359049902</v>
      </c>
      <c r="AG7409">
        <v>-1.1109938104951</v>
      </c>
      <c r="AH7409">
        <v>19.1437728220459</v>
      </c>
      <c r="AI7409">
        <v>93.321194493784205</v>
      </c>
      <c r="AJ7409">
        <v>90.622521883532002</v>
      </c>
      <c r="AK7409">
        <v>19.177111663503101</v>
      </c>
      <c r="AL7409">
        <v>93.740491976102305</v>
      </c>
      <c r="AM7409">
        <v>101.754119731095</v>
      </c>
      <c r="AN7409">
        <v>1.0000000412062899</v>
      </c>
    </row>
    <row r="7410" spans="1:40" x14ac:dyDescent="0.25">
      <c r="A7410" t="str">
        <f>"20190305135108562"</f>
        <v>20190305135108562</v>
      </c>
      <c r="B7410" t="str">
        <f>"1551765068556863"</f>
        <v>1551765068556863</v>
      </c>
      <c r="C7410" t="s">
        <v>40</v>
      </c>
      <c r="D7410">
        <v>3.9099539999999999</v>
      </c>
      <c r="E7410">
        <v>0.57364579999999998</v>
      </c>
      <c r="F7410" t="s">
        <v>115</v>
      </c>
      <c r="G7410">
        <v>-222.86500000000001</v>
      </c>
      <c r="H7410" s="1">
        <v>-8.9121259999999895E-7</v>
      </c>
      <c r="I7410">
        <v>-62.830590000000001</v>
      </c>
      <c r="J7410">
        <v>-241.697</v>
      </c>
      <c r="K7410">
        <v>1.111008</v>
      </c>
      <c r="L7410">
        <v>-63.088839999999998</v>
      </c>
      <c r="M7410">
        <v>0.99996039999999997</v>
      </c>
      <c r="N7410">
        <v>-8.543999E-3</v>
      </c>
      <c r="O7410">
        <v>2.5105959999999999E-3</v>
      </c>
      <c r="P7410">
        <v>0.97582480000000005</v>
      </c>
      <c r="Q7410">
        <v>-7.272882E-2</v>
      </c>
      <c r="R7410">
        <v>0.2060988</v>
      </c>
      <c r="S7410">
        <v>3.0515140000000001</v>
      </c>
      <c r="T7410">
        <v>-0.1783661</v>
      </c>
      <c r="U7410">
        <v>4.1656489999999997E-2</v>
      </c>
      <c r="V7410">
        <v>-0.20334289999999999</v>
      </c>
      <c r="W7410">
        <v>-6.5342839999999999E-2</v>
      </c>
      <c r="X7410">
        <v>0.97692480000000004</v>
      </c>
      <c r="Y7410">
        <v>-1.1120690000000001E-2</v>
      </c>
      <c r="Z7410">
        <v>2.470948E-4</v>
      </c>
      <c r="AA7410">
        <v>0.99993810000000005</v>
      </c>
      <c r="AB7410">
        <v>35</v>
      </c>
      <c r="AC7410">
        <v>18.831999999999901</v>
      </c>
      <c r="AD7410">
        <v>-1.1110088912125999</v>
      </c>
      <c r="AE7410">
        <v>0.25825000000000298</v>
      </c>
      <c r="AF7410">
        <v>-0.210236327988053</v>
      </c>
      <c r="AG7410">
        <v>-1.1110088912125999</v>
      </c>
      <c r="AH7410">
        <v>18.767281706966401</v>
      </c>
      <c r="AI7410">
        <v>93.387700765059094</v>
      </c>
      <c r="AJ7410">
        <v>90.6418164679407</v>
      </c>
      <c r="AK7410">
        <v>18.801313856712099</v>
      </c>
      <c r="AL7410">
        <v>93.746538114175394</v>
      </c>
      <c r="AM7410">
        <v>101.757996592561</v>
      </c>
      <c r="AN7410">
        <v>1.0000000432873499</v>
      </c>
    </row>
    <row r="7411" spans="1:40" x14ac:dyDescent="0.25">
      <c r="A7411" t="str">
        <f>"20190305135108574"</f>
        <v>20190305135108574</v>
      </c>
      <c r="B7411" t="str">
        <f>"1551765068567599"</f>
        <v>1551765068567599</v>
      </c>
      <c r="C7411" t="s">
        <v>40</v>
      </c>
      <c r="D7411">
        <v>4.003349</v>
      </c>
      <c r="E7411">
        <v>0.57358869999999995</v>
      </c>
      <c r="F7411" t="s">
        <v>115</v>
      </c>
      <c r="G7411">
        <v>-222.63740000000001</v>
      </c>
      <c r="H7411" s="1">
        <v>-7.8908480000000002E-7</v>
      </c>
      <c r="I7411">
        <v>-62.810369999999899</v>
      </c>
      <c r="J7411">
        <v>-241.5153</v>
      </c>
      <c r="K7411">
        <v>1.1110169999999999</v>
      </c>
      <c r="L7411">
        <v>-63.087339999999998</v>
      </c>
      <c r="M7411">
        <v>0.99995509999999999</v>
      </c>
      <c r="N7411">
        <v>-8.7526180000000002E-3</v>
      </c>
      <c r="O7411">
        <v>3.6535890000000001E-3</v>
      </c>
      <c r="P7411">
        <v>0.97556129999999996</v>
      </c>
      <c r="Q7411">
        <v>-7.3013659999999994E-2</v>
      </c>
      <c r="R7411">
        <v>0.20724200000000001</v>
      </c>
      <c r="S7411">
        <v>3.0516510000000001</v>
      </c>
      <c r="T7411">
        <v>-0.17788470000000001</v>
      </c>
      <c r="U7411">
        <v>4.4586180000000003E-2</v>
      </c>
      <c r="V7411">
        <v>-0.2033693</v>
      </c>
      <c r="W7411">
        <v>-6.5426799999999993E-2</v>
      </c>
      <c r="X7411">
        <v>0.97691360000000005</v>
      </c>
      <c r="Y7411">
        <v>-1.0938639999999999E-2</v>
      </c>
      <c r="Z7411">
        <v>1.8562329999999999E-4</v>
      </c>
      <c r="AA7411">
        <v>0.99994019999999995</v>
      </c>
      <c r="AB7411">
        <v>35</v>
      </c>
      <c r="AC7411">
        <v>18.877899999999901</v>
      </c>
      <c r="AD7411">
        <v>-1.1110177890848001</v>
      </c>
      <c r="AE7411">
        <v>0.27697000000001198</v>
      </c>
      <c r="AF7411">
        <v>-0.20727564999508999</v>
      </c>
      <c r="AG7411">
        <v>-1.1110177890848001</v>
      </c>
      <c r="AH7411">
        <v>18.813636039451101</v>
      </c>
      <c r="AI7411">
        <v>93.379407212505896</v>
      </c>
      <c r="AJ7411">
        <v>90.631219794115694</v>
      </c>
      <c r="AK7411">
        <v>18.847552221646101</v>
      </c>
      <c r="AL7411">
        <v>93.751359296184404</v>
      </c>
      <c r="AM7411">
        <v>101.75961168994399</v>
      </c>
      <c r="AN7411">
        <v>0.99999996010284398</v>
      </c>
    </row>
    <row r="7412" spans="1:40" x14ac:dyDescent="0.25">
      <c r="A7412" t="str">
        <f>"20190305135108585"</f>
        <v>20190305135108585</v>
      </c>
      <c r="B7412" t="str">
        <f>"1551765068577359"</f>
        <v>1551765068577359</v>
      </c>
      <c r="C7412" t="s">
        <v>40</v>
      </c>
      <c r="D7412">
        <v>3.9769990000000002</v>
      </c>
      <c r="E7412">
        <v>0.57363109999999995</v>
      </c>
      <c r="F7412" t="s">
        <v>115</v>
      </c>
      <c r="G7412">
        <v>-222.76570000000001</v>
      </c>
      <c r="H7412" s="1">
        <v>-8.3943589999999995E-7</v>
      </c>
      <c r="I7412">
        <v>-62.789180000000002</v>
      </c>
      <c r="J7412">
        <v>-241.34540000000001</v>
      </c>
      <c r="K7412">
        <v>1.1110199999999999</v>
      </c>
      <c r="L7412">
        <v>-63.08578</v>
      </c>
      <c r="M7412">
        <v>0.99994910000000004</v>
      </c>
      <c r="N7412">
        <v>-8.9297700000000001E-3</v>
      </c>
      <c r="O7412">
        <v>4.712445E-3</v>
      </c>
      <c r="P7412">
        <v>0.97530300000000003</v>
      </c>
      <c r="Q7412">
        <v>-7.3289899999999894E-2</v>
      </c>
      <c r="R7412">
        <v>0.20835719999999999</v>
      </c>
      <c r="S7412">
        <v>3.051285</v>
      </c>
      <c r="T7412">
        <v>-0.1808063</v>
      </c>
      <c r="U7412">
        <v>4.8522950000000002E-2</v>
      </c>
      <c r="V7412">
        <v>-0.2034513</v>
      </c>
      <c r="W7412">
        <v>-6.553117E-2</v>
      </c>
      <c r="X7412">
        <v>0.97688960000000002</v>
      </c>
      <c r="Y7412">
        <v>-1.117165E-2</v>
      </c>
      <c r="Z7412">
        <v>1.436907E-4</v>
      </c>
      <c r="AA7412">
        <v>0.99993759999999998</v>
      </c>
      <c r="AB7412">
        <v>35</v>
      </c>
      <c r="AC7412">
        <v>18.579699999999999</v>
      </c>
      <c r="AD7412">
        <v>-1.11102083943589</v>
      </c>
      <c r="AE7412">
        <v>0.29660000000000503</v>
      </c>
      <c r="AF7412">
        <v>-0.20829279455286201</v>
      </c>
      <c r="AG7412">
        <v>-1.11102083943589</v>
      </c>
      <c r="AH7412">
        <v>18.514704381168499</v>
      </c>
      <c r="AI7412">
        <v>93.433840888511796</v>
      </c>
      <c r="AJ7412">
        <v>90.644557662588198</v>
      </c>
      <c r="AK7412">
        <v>18.549178728881301</v>
      </c>
      <c r="AL7412">
        <v>93.757351861791605</v>
      </c>
      <c r="AM7412">
        <v>101.76450209864799</v>
      </c>
      <c r="AN7412">
        <v>1.0000000281507</v>
      </c>
    </row>
    <row r="7413" spans="1:40" x14ac:dyDescent="0.25">
      <c r="A7413" t="str">
        <f>"20190305135108596"</f>
        <v>20190305135108596</v>
      </c>
      <c r="B7413" t="str">
        <f>"1551765068587119"</f>
        <v>1551765068587119</v>
      </c>
      <c r="C7413" t="s">
        <v>40</v>
      </c>
      <c r="D7413">
        <v>3.9710130000000001</v>
      </c>
      <c r="E7413">
        <v>0.57365219999999995</v>
      </c>
      <c r="F7413" t="s">
        <v>115</v>
      </c>
      <c r="G7413">
        <v>-222.91820000000001</v>
      </c>
      <c r="H7413" s="1">
        <v>-9.0143759999999998E-7</v>
      </c>
      <c r="I7413">
        <v>-62.77393</v>
      </c>
      <c r="J7413">
        <v>-241.17580000000001</v>
      </c>
      <c r="K7413">
        <v>1.111016</v>
      </c>
      <c r="L7413">
        <v>-63.08408</v>
      </c>
      <c r="M7413">
        <v>0.9999422</v>
      </c>
      <c r="N7413">
        <v>-9.0881420000000004E-3</v>
      </c>
      <c r="O7413">
        <v>5.7580729999999998E-3</v>
      </c>
      <c r="P7413">
        <v>0.97508839999999997</v>
      </c>
      <c r="Q7413">
        <v>-7.3461059999999995E-2</v>
      </c>
      <c r="R7413">
        <v>0.20930000000000001</v>
      </c>
      <c r="S7413">
        <v>3.0511020000000002</v>
      </c>
      <c r="T7413">
        <v>-0.18395839999999999</v>
      </c>
      <c r="U7413">
        <v>5.1635739999999999E-2</v>
      </c>
      <c r="V7413">
        <v>-0.20337469999999999</v>
      </c>
      <c r="W7413">
        <v>-6.5545720000000002E-2</v>
      </c>
      <c r="X7413">
        <v>0.97690460000000001</v>
      </c>
      <c r="Y7413">
        <v>-1.114769E-2</v>
      </c>
      <c r="Z7413" s="1">
        <v>9.1910609999999994E-5</v>
      </c>
      <c r="AA7413">
        <v>0.99993779999999999</v>
      </c>
      <c r="AB7413">
        <v>35</v>
      </c>
      <c r="AC7413">
        <v>18.2576</v>
      </c>
      <c r="AD7413">
        <v>-1.1110169014375999</v>
      </c>
      <c r="AE7413">
        <v>0.31014999999999998</v>
      </c>
      <c r="AF7413">
        <v>-0.204255789210711</v>
      </c>
      <c r="AG7413">
        <v>-1.1110169014375999</v>
      </c>
      <c r="AH7413">
        <v>18.1917386313965</v>
      </c>
      <c r="AI7413">
        <v>93.494642084962095</v>
      </c>
      <c r="AJ7413">
        <v>90.643286667167203</v>
      </c>
      <c r="AK7413">
        <v>18.226777921940901</v>
      </c>
      <c r="AL7413">
        <v>93.758187215172399</v>
      </c>
      <c r="AM7413">
        <v>101.760020567555</v>
      </c>
      <c r="AN7413">
        <v>1.00000005375578</v>
      </c>
    </row>
    <row r="7414" spans="1:40" x14ac:dyDescent="0.25">
      <c r="A7414" t="str">
        <f>"20190305135108606"</f>
        <v>20190305135108606</v>
      </c>
      <c r="B7414" t="str">
        <f>"1551765068596947"</f>
        <v>1551765068596947</v>
      </c>
      <c r="C7414" t="s">
        <v>40</v>
      </c>
      <c r="D7414">
        <v>3.9705439999999999</v>
      </c>
      <c r="E7414">
        <v>0.57354810000000001</v>
      </c>
      <c r="F7414" t="s">
        <v>115</v>
      </c>
      <c r="G7414">
        <v>-223.00299999999999</v>
      </c>
      <c r="H7414" s="1">
        <v>-9.3481909999999997E-7</v>
      </c>
      <c r="I7414">
        <v>-62.760330000000003</v>
      </c>
      <c r="J7414">
        <v>-241.0078</v>
      </c>
      <c r="K7414">
        <v>1.1110059999999999</v>
      </c>
      <c r="L7414">
        <v>-63.082239999999999</v>
      </c>
      <c r="M7414">
        <v>0.99993430000000005</v>
      </c>
      <c r="N7414">
        <v>-9.2330650000000004E-3</v>
      </c>
      <c r="O7414">
        <v>6.7877290000000002E-3</v>
      </c>
      <c r="P7414">
        <v>0.97486349999999999</v>
      </c>
      <c r="Q7414">
        <v>-7.3485629999999996E-2</v>
      </c>
      <c r="R7414">
        <v>0.21033560000000001</v>
      </c>
      <c r="S7414">
        <v>3.0509339999999998</v>
      </c>
      <c r="T7414">
        <v>-0.18652279999999999</v>
      </c>
      <c r="U7414">
        <v>5.435181E-2</v>
      </c>
      <c r="V7414">
        <v>-0.2034079</v>
      </c>
      <c r="W7414">
        <v>-6.542626E-2</v>
      </c>
      <c r="X7414">
        <v>0.97690560000000004</v>
      </c>
      <c r="Y7414">
        <v>-1.10101E-2</v>
      </c>
      <c r="Z7414" s="1">
        <v>3.5177649999999997E-5</v>
      </c>
      <c r="AA7414">
        <v>0.99993940000000003</v>
      </c>
      <c r="AB7414">
        <v>35</v>
      </c>
      <c r="AC7414">
        <v>18.004799999999999</v>
      </c>
      <c r="AD7414">
        <v>-1.1110069348190901</v>
      </c>
      <c r="AE7414">
        <v>0.32191000000000197</v>
      </c>
      <c r="AF7414">
        <v>-0.19892845868064901</v>
      </c>
      <c r="AG7414">
        <v>-1.1110069348190901</v>
      </c>
      <c r="AH7414">
        <v>17.938289433348501</v>
      </c>
      <c r="AI7414">
        <v>93.543866491892004</v>
      </c>
      <c r="AJ7414">
        <v>90.635361245282397</v>
      </c>
      <c r="AK7414">
        <v>17.973762453517399</v>
      </c>
      <c r="AL7414">
        <v>93.7513282893037</v>
      </c>
      <c r="AM7414">
        <v>101.761875155618</v>
      </c>
      <c r="AN7414">
        <v>0.99999996029567795</v>
      </c>
    </row>
    <row r="7415" spans="1:40" x14ac:dyDescent="0.25">
      <c r="A7415" t="str">
        <f>"20190305135108617"</f>
        <v>20190305135108617</v>
      </c>
      <c r="B7415" t="str">
        <f>"1551765068607663"</f>
        <v>1551765068607663</v>
      </c>
      <c r="C7415" t="s">
        <v>40</v>
      </c>
      <c r="D7415">
        <v>3.9958589999999998</v>
      </c>
      <c r="E7415">
        <v>0.57363339999999996</v>
      </c>
      <c r="F7415" t="s">
        <v>115</v>
      </c>
      <c r="G7415">
        <v>-222.85159999999999</v>
      </c>
      <c r="H7415" s="1">
        <v>-8.641415E-7</v>
      </c>
      <c r="I7415">
        <v>-62.7346199999999</v>
      </c>
      <c r="J7415">
        <v>-240.8466</v>
      </c>
      <c r="K7415">
        <v>1.110992</v>
      </c>
      <c r="L7415">
        <v>-63.08023</v>
      </c>
      <c r="M7415">
        <v>0.99992630000000005</v>
      </c>
      <c r="N7415">
        <v>-9.3494070000000006E-3</v>
      </c>
      <c r="O7415">
        <v>7.7593000000000002E-3</v>
      </c>
      <c r="P7415">
        <v>0.9746726</v>
      </c>
      <c r="Q7415">
        <v>-7.3331060000000003E-2</v>
      </c>
      <c r="R7415">
        <v>0.2112726</v>
      </c>
      <c r="S7415">
        <v>3.0507049999999998</v>
      </c>
      <c r="T7415">
        <v>-0.18667790000000001</v>
      </c>
      <c r="U7415">
        <v>5.841064E-2</v>
      </c>
      <c r="V7415">
        <v>-0.20340040000000001</v>
      </c>
      <c r="W7415">
        <v>-6.5153030000000001E-2</v>
      </c>
      <c r="X7415">
        <v>0.9769255</v>
      </c>
      <c r="Y7415">
        <v>-1.13702E-2</v>
      </c>
      <c r="Z7415" s="1">
        <v>-1.0813820000000001E-6</v>
      </c>
      <c r="AA7415">
        <v>0.99993529999999997</v>
      </c>
      <c r="AB7415">
        <v>35</v>
      </c>
      <c r="AC7415">
        <v>17.995000000000001</v>
      </c>
      <c r="AD7415">
        <v>-1.1109928641414999</v>
      </c>
      <c r="AE7415">
        <v>0.34561000000001402</v>
      </c>
      <c r="AF7415">
        <v>-0.20518309580695199</v>
      </c>
      <c r="AG7415">
        <v>-1.1109928641414999</v>
      </c>
      <c r="AH7415">
        <v>17.9288259164646</v>
      </c>
      <c r="AI7415">
        <v>93.545673384669101</v>
      </c>
      <c r="AJ7415">
        <v>90.655682210871205</v>
      </c>
      <c r="AK7415">
        <v>17.964387103095699</v>
      </c>
      <c r="AL7415">
        <v>93.735639605009496</v>
      </c>
      <c r="AM7415">
        <v>101.76122064851</v>
      </c>
      <c r="AN7415">
        <v>1.00000003629429</v>
      </c>
    </row>
    <row r="7416" spans="1:40" x14ac:dyDescent="0.25">
      <c r="A7416" t="str">
        <f>"20190305135108629"</f>
        <v>20190305135108629</v>
      </c>
      <c r="B7416" t="str">
        <f>"1551765068617423"</f>
        <v>1551765068617423</v>
      </c>
      <c r="C7416" t="s">
        <v>40</v>
      </c>
      <c r="D7416">
        <v>3.9882960000000001</v>
      </c>
      <c r="E7416">
        <v>0.57373130000000006</v>
      </c>
      <c r="F7416" t="s">
        <v>115</v>
      </c>
      <c r="G7416">
        <v>-222.7201</v>
      </c>
      <c r="H7416" s="1">
        <v>-8.0445069999999998E-7</v>
      </c>
      <c r="I7416">
        <v>-62.719940000000001</v>
      </c>
      <c r="J7416">
        <v>-240.67179999999999</v>
      </c>
      <c r="K7416">
        <v>1.1109719999999901</v>
      </c>
      <c r="L7416">
        <v>-63.078000000000003</v>
      </c>
      <c r="M7416">
        <v>0.99991649999999999</v>
      </c>
      <c r="N7416">
        <v>-9.4678450000000008E-3</v>
      </c>
      <c r="O7416">
        <v>8.8073719999999904E-3</v>
      </c>
      <c r="P7416">
        <v>0.97445879999999996</v>
      </c>
      <c r="Q7416">
        <v>-7.3058380000000006E-2</v>
      </c>
      <c r="R7416">
        <v>0.2123507</v>
      </c>
      <c r="S7416">
        <v>3.0507659999999999</v>
      </c>
      <c r="T7416">
        <v>-0.1869845</v>
      </c>
      <c r="U7416">
        <v>6.063843E-2</v>
      </c>
      <c r="V7416">
        <v>-0.20346059999999999</v>
      </c>
      <c r="W7416">
        <v>-6.4758869999999996E-2</v>
      </c>
      <c r="X7416">
        <v>0.97693909999999995</v>
      </c>
      <c r="Y7416">
        <v>-1.10536E-2</v>
      </c>
      <c r="Z7416" s="1">
        <v>-6.5137369999999995E-5</v>
      </c>
      <c r="AA7416">
        <v>0.99993889999999996</v>
      </c>
      <c r="AB7416">
        <v>35</v>
      </c>
      <c r="AC7416">
        <v>17.951699999999899</v>
      </c>
      <c r="AD7416">
        <v>-1.1109728044506999</v>
      </c>
      <c r="AE7416">
        <v>0.35806000000000099</v>
      </c>
      <c r="AF7416">
        <v>-0.19916923213339399</v>
      </c>
      <c r="AG7416">
        <v>-1.1109728044506999</v>
      </c>
      <c r="AH7416">
        <v>17.885682939774899</v>
      </c>
      <c r="AI7416">
        <v>93.554152530448306</v>
      </c>
      <c r="AJ7416">
        <v>90.638001064492997</v>
      </c>
      <c r="AK7416">
        <v>17.921260646991598</v>
      </c>
      <c r="AL7416">
        <v>93.713008367674405</v>
      </c>
      <c r="AM7416">
        <v>101.764445377687</v>
      </c>
      <c r="AN7416">
        <v>0.99999996605242203</v>
      </c>
    </row>
    <row r="7417" spans="1:40" x14ac:dyDescent="0.25">
      <c r="A7417" t="str">
        <f>"20190305135108640"</f>
        <v>20190305135108640</v>
      </c>
      <c r="B7417" t="str">
        <f>"1551765068636943"</f>
        <v>1551765068636943</v>
      </c>
      <c r="C7417" t="s">
        <v>40</v>
      </c>
      <c r="D7417">
        <v>3.9882710000000001</v>
      </c>
      <c r="E7417">
        <v>0.57388989999999995</v>
      </c>
      <c r="F7417" t="s">
        <v>115</v>
      </c>
      <c r="G7417">
        <v>-222.57130000000001</v>
      </c>
      <c r="H7417" s="1">
        <v>-7.3684039999999999E-7</v>
      </c>
      <c r="I7417">
        <v>-62.702840000000002</v>
      </c>
      <c r="J7417">
        <v>-240.50110000000001</v>
      </c>
      <c r="K7417">
        <v>1.110946</v>
      </c>
      <c r="L7417">
        <v>-63.075530000000001</v>
      </c>
      <c r="M7417">
        <v>0.99990619999999997</v>
      </c>
      <c r="N7417">
        <v>-9.5572450000000007E-3</v>
      </c>
      <c r="O7417">
        <v>9.8071349999999998E-3</v>
      </c>
      <c r="P7417">
        <v>0.97425839999999997</v>
      </c>
      <c r="Q7417">
        <v>-7.3087189999999996E-2</v>
      </c>
      <c r="R7417">
        <v>0.21325849999999999</v>
      </c>
      <c r="S7417">
        <v>3.0508120000000001</v>
      </c>
      <c r="T7417">
        <v>-0.187253</v>
      </c>
      <c r="U7417">
        <v>6.3232419999999998E-2</v>
      </c>
      <c r="V7417">
        <v>-0.2033972</v>
      </c>
      <c r="W7417">
        <v>-6.4691360000000003E-2</v>
      </c>
      <c r="X7417">
        <v>0.97695679999999996</v>
      </c>
      <c r="Y7417">
        <v>-1.090494E-2</v>
      </c>
      <c r="Z7417">
        <v>-1.2115449999999999E-4</v>
      </c>
      <c r="AA7417">
        <v>0.99994050000000001</v>
      </c>
      <c r="AB7417">
        <v>35</v>
      </c>
      <c r="AC7417">
        <v>17.9298</v>
      </c>
      <c r="AD7417">
        <v>-1.1109467368404</v>
      </c>
      <c r="AE7417">
        <v>0.37269000000000502</v>
      </c>
      <c r="AF7417">
        <v>-0.196071644498201</v>
      </c>
      <c r="AG7417">
        <v>-1.1109467368404</v>
      </c>
      <c r="AH7417">
        <v>17.8640396571639</v>
      </c>
      <c r="AI7417">
        <v>93.558370520926204</v>
      </c>
      <c r="AJ7417">
        <v>90.628840220130897</v>
      </c>
      <c r="AK7417">
        <v>17.899624566302901</v>
      </c>
      <c r="AL7417">
        <v>93.709132108820199</v>
      </c>
      <c r="AM7417">
        <v>101.76067446079399</v>
      </c>
      <c r="AN7417">
        <v>0.99999999104636395</v>
      </c>
    </row>
    <row r="7418" spans="1:40" x14ac:dyDescent="0.25">
      <c r="A7418" t="str">
        <f>"20190305135108652"</f>
        <v>20190305135108652</v>
      </c>
      <c r="B7418" t="str">
        <f>"1551765068647679"</f>
        <v>1551765068647679</v>
      </c>
      <c r="C7418" t="s">
        <v>40</v>
      </c>
      <c r="D7418">
        <v>3.9531540000000001</v>
      </c>
      <c r="E7418">
        <v>0.57392730000000003</v>
      </c>
      <c r="F7418" t="s">
        <v>115</v>
      </c>
      <c r="G7418">
        <v>-222.59520000000001</v>
      </c>
      <c r="H7418" s="1">
        <v>-7.4540740000000005E-7</v>
      </c>
      <c r="I7418">
        <v>-62.695279999999997</v>
      </c>
      <c r="J7418">
        <v>-240.31319999999999</v>
      </c>
      <c r="K7418">
        <v>1.1109150000000001</v>
      </c>
      <c r="L7418">
        <v>-63.072749999999999</v>
      </c>
      <c r="M7418">
        <v>0.99989410000000001</v>
      </c>
      <c r="N7418">
        <v>-9.6481520000000001E-3</v>
      </c>
      <c r="O7418">
        <v>1.08977E-2</v>
      </c>
      <c r="P7418">
        <v>0.97398580000000001</v>
      </c>
      <c r="Q7418">
        <v>-7.3270009999999997E-2</v>
      </c>
      <c r="R7418">
        <v>0.2144373</v>
      </c>
      <c r="S7418">
        <v>3.050888</v>
      </c>
      <c r="T7418">
        <v>-0.1892887</v>
      </c>
      <c r="U7418">
        <v>6.4788819999999997E-2</v>
      </c>
      <c r="V7418">
        <v>-0.20351720000000001</v>
      </c>
      <c r="W7418">
        <v>-6.4776E-2</v>
      </c>
      <c r="X7418">
        <v>0.97692619999999997</v>
      </c>
      <c r="Y7418">
        <v>-1.032625E-2</v>
      </c>
      <c r="Z7418">
        <v>-2.004543E-4</v>
      </c>
      <c r="AA7418">
        <v>0.99994669999999997</v>
      </c>
      <c r="AB7418">
        <v>35</v>
      </c>
      <c r="AC7418">
        <v>17.7179999999999</v>
      </c>
      <c r="AD7418">
        <v>-1.1109157454073999</v>
      </c>
      <c r="AE7418">
        <v>0.37746999999999498</v>
      </c>
      <c r="AF7418">
        <v>-0.18363157485537801</v>
      </c>
      <c r="AG7418">
        <v>-1.1109157454073999</v>
      </c>
      <c r="AH7418">
        <v>17.651699412312301</v>
      </c>
      <c r="AI7418">
        <v>93.600985585591005</v>
      </c>
      <c r="AJ7418">
        <v>90.596029563625194</v>
      </c>
      <c r="AK7418">
        <v>17.687576049060599</v>
      </c>
      <c r="AL7418">
        <v>93.713991818324104</v>
      </c>
      <c r="AM7418">
        <v>101.76777789401601</v>
      </c>
      <c r="AN7418">
        <v>0.99999999055913902</v>
      </c>
    </row>
    <row r="7419" spans="1:40" x14ac:dyDescent="0.25">
      <c r="A7419" t="str">
        <f>"20190305135108662"</f>
        <v>20190305135108662</v>
      </c>
      <c r="B7419" t="str">
        <f>"1551765068657442"</f>
        <v>1551765068657442</v>
      </c>
      <c r="C7419" t="s">
        <v>40</v>
      </c>
      <c r="D7419">
        <v>3.9983610000000001</v>
      </c>
      <c r="E7419">
        <v>0.57399679999999997</v>
      </c>
      <c r="F7419" t="s">
        <v>115</v>
      </c>
      <c r="G7419">
        <v>-222.5164</v>
      </c>
      <c r="H7419" s="1">
        <v>-7.0711910000000001E-7</v>
      </c>
      <c r="I7419">
        <v>-62.675220000000003</v>
      </c>
      <c r="J7419">
        <v>-240.1447</v>
      </c>
      <c r="K7419">
        <v>1.1108800000000001</v>
      </c>
      <c r="L7419">
        <v>-63.070039999999999</v>
      </c>
      <c r="M7419">
        <v>0.99988259999999995</v>
      </c>
      <c r="N7419">
        <v>-9.7107359999999993E-3</v>
      </c>
      <c r="O7419">
        <v>1.1851820000000001E-2</v>
      </c>
      <c r="P7419">
        <v>0.97379360000000004</v>
      </c>
      <c r="Q7419">
        <v>-7.3345820000000006E-2</v>
      </c>
      <c r="R7419">
        <v>0.21528249999999999</v>
      </c>
      <c r="S7419">
        <v>3.0507659999999999</v>
      </c>
      <c r="T7419">
        <v>-0.19043479999999999</v>
      </c>
      <c r="U7419">
        <v>6.8145750000000005E-2</v>
      </c>
      <c r="V7419">
        <v>-0.2034357</v>
      </c>
      <c r="W7419">
        <v>-6.4778870000000002E-2</v>
      </c>
      <c r="X7419">
        <v>0.97694300000000001</v>
      </c>
      <c r="Y7419">
        <v>-1.047359E-2</v>
      </c>
      <c r="Z7419">
        <v>-2.465255E-4</v>
      </c>
      <c r="AA7419">
        <v>0.99994510000000003</v>
      </c>
      <c r="AB7419">
        <v>35</v>
      </c>
      <c r="AC7419">
        <v>17.6282999999999</v>
      </c>
      <c r="AD7419">
        <v>-1.11088070711909</v>
      </c>
      <c r="AE7419">
        <v>0.394820000000009</v>
      </c>
      <c r="AF7419">
        <v>-0.18512020718049699</v>
      </c>
      <c r="AG7419">
        <v>-1.11088070711909</v>
      </c>
      <c r="AH7419">
        <v>17.562035171740401</v>
      </c>
      <c r="AI7419">
        <v>93.619202870924198</v>
      </c>
      <c r="AJ7419">
        <v>90.603928511632205</v>
      </c>
      <c r="AK7419">
        <v>17.598107989497102</v>
      </c>
      <c r="AL7419">
        <v>93.714156547209896</v>
      </c>
      <c r="AM7419">
        <v>101.76300008591301</v>
      </c>
      <c r="AN7419">
        <v>1.0000000056409799</v>
      </c>
    </row>
    <row r="7420" spans="1:40" x14ac:dyDescent="0.25">
      <c r="A7420" t="str">
        <f>"20190305135108674"</f>
        <v>20190305135108674</v>
      </c>
      <c r="B7420" t="str">
        <f>"1551765068667199"</f>
        <v>1551765068667199</v>
      </c>
      <c r="C7420" t="s">
        <v>40</v>
      </c>
      <c r="D7420">
        <v>3.9791859999999999</v>
      </c>
      <c r="E7420">
        <v>0.57407280000000005</v>
      </c>
      <c r="F7420" t="s">
        <v>115</v>
      </c>
      <c r="G7420">
        <v>-222.44239999999999</v>
      </c>
      <c r="H7420" s="1">
        <v>-6.7254980000000004E-7</v>
      </c>
      <c r="I7420">
        <v>-62.662399999999998</v>
      </c>
      <c r="J7420">
        <v>-239.9691</v>
      </c>
      <c r="K7420">
        <v>1.110838</v>
      </c>
      <c r="L7420">
        <v>-63.06711</v>
      </c>
      <c r="M7420">
        <v>0.99987000000000004</v>
      </c>
      <c r="N7420">
        <v>-9.7689079999999998E-3</v>
      </c>
      <c r="O7420">
        <v>1.2832990000000001E-2</v>
      </c>
      <c r="P7420">
        <v>0.9735606</v>
      </c>
      <c r="Q7420">
        <v>-7.3364670000000007E-2</v>
      </c>
      <c r="R7420">
        <v>0.2163273</v>
      </c>
      <c r="S7420">
        <v>3.0507810000000002</v>
      </c>
      <c r="T7420">
        <v>-0.19144739999999999</v>
      </c>
      <c r="U7420">
        <v>7.0251460000000002E-2</v>
      </c>
      <c r="V7420">
        <v>-0.2035295</v>
      </c>
      <c r="W7420">
        <v>-6.4729090000000003E-2</v>
      </c>
      <c r="X7420">
        <v>0.97692670000000004</v>
      </c>
      <c r="Y7420">
        <v>-1.018401E-2</v>
      </c>
      <c r="Z7420">
        <v>-3.1012550000000002E-4</v>
      </c>
      <c r="AA7420">
        <v>0.99994810000000001</v>
      </c>
      <c r="AB7420">
        <v>35</v>
      </c>
      <c r="AC7420">
        <v>17.526700000000002</v>
      </c>
      <c r="AD7420">
        <v>-1.1108386725498001</v>
      </c>
      <c r="AE7420">
        <v>0.40471000000000101</v>
      </c>
      <c r="AF7420">
        <v>-0.179027217909279</v>
      </c>
      <c r="AG7420">
        <v>-1.1108386725498001</v>
      </c>
      <c r="AH7420">
        <v>17.4603496701877</v>
      </c>
      <c r="AI7420">
        <v>93.640097337546194</v>
      </c>
      <c r="AJ7420">
        <v>90.587453559569795</v>
      </c>
      <c r="AK7420">
        <v>17.496566060413301</v>
      </c>
      <c r="AL7420">
        <v>93.711298590785603</v>
      </c>
      <c r="AM7420">
        <v>101.768463415141</v>
      </c>
      <c r="AN7420">
        <v>0.99999994481768195</v>
      </c>
    </row>
    <row r="7421" spans="1:40" x14ac:dyDescent="0.25">
      <c r="A7421" t="str">
        <f>"20190305135108684"</f>
        <v>20190305135108684</v>
      </c>
      <c r="B7421" t="str">
        <f>"1551765068676959"</f>
        <v>1551765068676959</v>
      </c>
      <c r="C7421" t="s">
        <v>40</v>
      </c>
      <c r="D7421">
        <v>3.9902310000000001</v>
      </c>
      <c r="E7421">
        <v>0.57411239999999997</v>
      </c>
      <c r="F7421" t="s">
        <v>115</v>
      </c>
      <c r="G7421">
        <v>-222.30449999999999</v>
      </c>
      <c r="H7421" s="1">
        <v>-6.0944759999999896E-7</v>
      </c>
      <c r="I7421">
        <v>-62.64479</v>
      </c>
      <c r="J7421">
        <v>-239.80410000000001</v>
      </c>
      <c r="K7421">
        <v>1.110806</v>
      </c>
      <c r="L7421">
        <v>-63.06418</v>
      </c>
      <c r="M7421">
        <v>0.99985749999999995</v>
      </c>
      <c r="N7421">
        <v>-9.8141099999999992E-3</v>
      </c>
      <c r="O7421">
        <v>1.373683E-2</v>
      </c>
      <c r="P7421">
        <v>0.97340530000000003</v>
      </c>
      <c r="Q7421">
        <v>-7.3430389999999998E-2</v>
      </c>
      <c r="R7421">
        <v>0.21700269999999999</v>
      </c>
      <c r="S7421">
        <v>3.050827</v>
      </c>
      <c r="T7421">
        <v>-0.19185140000000001</v>
      </c>
      <c r="U7421">
        <v>7.2937009999999997E-2</v>
      </c>
      <c r="V7421">
        <v>-0.2033286</v>
      </c>
      <c r="W7421">
        <v>-6.4736950000000001E-2</v>
      </c>
      <c r="X7421">
        <v>0.97696810000000001</v>
      </c>
      <c r="Y7421">
        <v>-1.016076E-2</v>
      </c>
      <c r="Z7421">
        <v>-3.5907099999999998E-4</v>
      </c>
      <c r="AA7421">
        <v>0.99994830000000001</v>
      </c>
      <c r="AB7421">
        <v>35</v>
      </c>
      <c r="AC7421">
        <v>17.499600000000001</v>
      </c>
      <c r="AD7421">
        <v>-1.1108066094475999</v>
      </c>
      <c r="AE7421">
        <v>0.41939000000000698</v>
      </c>
      <c r="AF7421">
        <v>-0.17823209785083399</v>
      </c>
      <c r="AG7421">
        <v>-1.1108066094475999</v>
      </c>
      <c r="AH7421">
        <v>17.433506975268401</v>
      </c>
      <c r="AI7421">
        <v>93.645583124222497</v>
      </c>
      <c r="AJ7421">
        <v>90.585745095968903</v>
      </c>
      <c r="AK7421">
        <v>17.469768843949499</v>
      </c>
      <c r="AL7421">
        <v>93.711749564265205</v>
      </c>
      <c r="AM7421">
        <v>101.756686150794</v>
      </c>
      <c r="AN7421">
        <v>1.0000000303454299</v>
      </c>
    </row>
    <row r="7422" spans="1:40" x14ac:dyDescent="0.25">
      <c r="A7422" t="str">
        <f>"20190305135108696"</f>
        <v>20190305135108696</v>
      </c>
      <c r="B7422" t="str">
        <f>"1551765068687695"</f>
        <v>1551765068687695</v>
      </c>
      <c r="C7422" t="s">
        <v>40</v>
      </c>
      <c r="D7422">
        <v>3.9889600000000001</v>
      </c>
      <c r="E7422">
        <v>0.5742121</v>
      </c>
      <c r="F7422" t="s">
        <v>115</v>
      </c>
      <c r="G7422">
        <v>-222.21260000000001</v>
      </c>
      <c r="H7422" s="1">
        <v>-5.674414E-7</v>
      </c>
      <c r="I7422">
        <v>-62.633220000000001</v>
      </c>
      <c r="J7422">
        <v>-239.63040000000001</v>
      </c>
      <c r="K7422">
        <v>1.1107670000000001</v>
      </c>
      <c r="L7422">
        <v>-63.060969999999998</v>
      </c>
      <c r="M7422">
        <v>0.99984390000000001</v>
      </c>
      <c r="N7422">
        <v>-9.8526199999999994E-3</v>
      </c>
      <c r="O7422">
        <v>1.4667660000000001E-2</v>
      </c>
      <c r="P7422">
        <v>0.97323159999999997</v>
      </c>
      <c r="Q7422">
        <v>-7.330826E-2</v>
      </c>
      <c r="R7422">
        <v>0.21782170000000001</v>
      </c>
      <c r="S7422">
        <v>3.0507659999999999</v>
      </c>
      <c r="T7422">
        <v>-0.19263820000000001</v>
      </c>
      <c r="U7422">
        <v>7.473755E-2</v>
      </c>
      <c r="V7422">
        <v>-0.20324610000000001</v>
      </c>
      <c r="W7422">
        <v>-6.4562599999999998E-2</v>
      </c>
      <c r="X7422">
        <v>0.9769968</v>
      </c>
      <c r="Y7422">
        <v>-9.8221960000000001E-3</v>
      </c>
      <c r="Z7422">
        <v>-4.2246169999999997E-4</v>
      </c>
      <c r="AA7422">
        <v>0.9999517</v>
      </c>
      <c r="AB7422">
        <v>35</v>
      </c>
      <c r="AC7422">
        <v>17.4178</v>
      </c>
      <c r="AD7422">
        <v>-1.1107675674413999</v>
      </c>
      <c r="AE7422">
        <v>0.42775000000000302</v>
      </c>
      <c r="AF7422">
        <v>-0.17151610302165601</v>
      </c>
      <c r="AG7422">
        <v>-1.1107675674413999</v>
      </c>
      <c r="AH7422">
        <v>17.3516760837107</v>
      </c>
      <c r="AI7422">
        <v>93.662613140409903</v>
      </c>
      <c r="AJ7422">
        <v>90.566333115699507</v>
      </c>
      <c r="AK7422">
        <v>17.388038568984499</v>
      </c>
      <c r="AL7422">
        <v>93.701739116634201</v>
      </c>
      <c r="AM7422">
        <v>101.751712981642</v>
      </c>
      <c r="AN7422">
        <v>1.0000000268471001</v>
      </c>
    </row>
    <row r="7423" spans="1:40" x14ac:dyDescent="0.25">
      <c r="A7423" t="str">
        <f>"20190305135108707"</f>
        <v>20190305135108707</v>
      </c>
      <c r="B7423" t="str">
        <f>"1551765068697479"</f>
        <v>1551765068697479</v>
      </c>
      <c r="C7423" t="s">
        <v>40</v>
      </c>
      <c r="D7423">
        <v>4.0062499999999996</v>
      </c>
      <c r="E7423">
        <v>0.57425719999999902</v>
      </c>
      <c r="F7423" t="s">
        <v>115</v>
      </c>
      <c r="G7423">
        <v>-222.10499999999999</v>
      </c>
      <c r="H7423" s="1">
        <v>-5.1873209999999998E-7</v>
      </c>
      <c r="I7423">
        <v>-62.621650000000002</v>
      </c>
      <c r="J7423">
        <v>-239.4538</v>
      </c>
      <c r="K7423">
        <v>1.1107309999999999</v>
      </c>
      <c r="L7423">
        <v>-63.057589999999998</v>
      </c>
      <c r="M7423">
        <v>0.99982959999999999</v>
      </c>
      <c r="N7423">
        <v>-9.8852139999999998E-3</v>
      </c>
      <c r="O7423">
        <v>1.559836E-2</v>
      </c>
      <c r="P7423">
        <v>0.9730316</v>
      </c>
      <c r="Q7423">
        <v>-7.306936E-2</v>
      </c>
      <c r="R7423">
        <v>0.21879370000000001</v>
      </c>
      <c r="S7423">
        <v>3.0507970000000002</v>
      </c>
      <c r="T7423">
        <v>-0.1933608</v>
      </c>
      <c r="U7423">
        <v>7.6477050000000005E-2</v>
      </c>
      <c r="V7423">
        <v>-0.2033179</v>
      </c>
      <c r="W7423">
        <v>-6.4277310000000004E-2</v>
      </c>
      <c r="X7423">
        <v>0.97700070000000006</v>
      </c>
      <c r="Y7423">
        <v>-9.4630879999999997E-3</v>
      </c>
      <c r="Z7423">
        <v>-4.869777E-4</v>
      </c>
      <c r="AA7423">
        <v>0.99995509999999999</v>
      </c>
      <c r="AB7423">
        <v>35</v>
      </c>
      <c r="AC7423">
        <v>17.348800000000001</v>
      </c>
      <c r="AD7423">
        <v>-1.1107315187321001</v>
      </c>
      <c r="AE7423">
        <v>0.43594000000000199</v>
      </c>
      <c r="AF7423">
        <v>-0.164586723959909</v>
      </c>
      <c r="AG7423">
        <v>-1.1107315187321001</v>
      </c>
      <c r="AH7423">
        <v>17.282692108494199</v>
      </c>
      <c r="AI7423">
        <v>93.677086302516599</v>
      </c>
      <c r="AJ7423">
        <v>90.545623304839694</v>
      </c>
      <c r="AK7423">
        <v>17.319129880378402</v>
      </c>
      <c r="AL7423">
        <v>93.685359079188302</v>
      </c>
      <c r="AM7423">
        <v>101.755703330568</v>
      </c>
      <c r="AN7423">
        <v>1.00000005442086</v>
      </c>
    </row>
    <row r="7424" spans="1:40" x14ac:dyDescent="0.25">
      <c r="A7424" t="str">
        <f>"20190305135108718"</f>
        <v>20190305135108718</v>
      </c>
      <c r="B7424" t="str">
        <f>"1551765068707220"</f>
        <v>1551765068707220</v>
      </c>
      <c r="C7424" t="s">
        <v>40</v>
      </c>
      <c r="D7424">
        <v>5.1699469999999996</v>
      </c>
      <c r="E7424">
        <v>0.57437490000000002</v>
      </c>
      <c r="F7424" t="s">
        <v>115</v>
      </c>
      <c r="G7424">
        <v>-221.96090000000001</v>
      </c>
      <c r="H7424" s="1">
        <v>-4.5293620000000001E-7</v>
      </c>
      <c r="I7424">
        <v>-62.603679999999997</v>
      </c>
      <c r="J7424">
        <v>-239.28739999999999</v>
      </c>
      <c r="K7424">
        <v>1.11069</v>
      </c>
      <c r="L7424">
        <v>-63.054229999999997</v>
      </c>
      <c r="M7424">
        <v>0.99981580000000003</v>
      </c>
      <c r="N7424">
        <v>-9.9052250000000001E-3</v>
      </c>
      <c r="O7424">
        <v>1.6443799999999901E-2</v>
      </c>
      <c r="P7424">
        <v>0.97286099999999998</v>
      </c>
      <c r="Q7424">
        <v>-7.2955030000000004E-2</v>
      </c>
      <c r="R7424">
        <v>0.21958849999999999</v>
      </c>
      <c r="S7424">
        <v>3.0507970000000002</v>
      </c>
      <c r="T7424">
        <v>-0.19371430000000001</v>
      </c>
      <c r="U7424">
        <v>7.91626E-2</v>
      </c>
      <c r="V7424">
        <v>-0.20329559999999999</v>
      </c>
      <c r="W7424">
        <v>-6.4128119999999997E-2</v>
      </c>
      <c r="X7424">
        <v>0.97701510000000003</v>
      </c>
      <c r="Y7424">
        <v>-9.4983259999999996E-3</v>
      </c>
      <c r="Z7424">
        <v>-5.3176639999999995E-4</v>
      </c>
      <c r="AA7424">
        <v>0.99995480000000003</v>
      </c>
      <c r="AB7424">
        <v>35</v>
      </c>
      <c r="AC7424">
        <v>17.3264999999999</v>
      </c>
      <c r="AD7424">
        <v>-1.1106904529361901</v>
      </c>
      <c r="AE7424">
        <v>0.45054999999999901</v>
      </c>
      <c r="AF7424">
        <v>-0.16488452128876599</v>
      </c>
      <c r="AG7424">
        <v>-1.1106904529361901</v>
      </c>
      <c r="AH7424">
        <v>17.260685357355602</v>
      </c>
      <c r="AI7424">
        <v>93.681624791774198</v>
      </c>
      <c r="AJ7424">
        <v>90.547307342548706</v>
      </c>
      <c r="AK7424">
        <v>17.2971696873574</v>
      </c>
      <c r="AL7424">
        <v>93.676793609525504</v>
      </c>
      <c r="AM7424">
        <v>101.75428141043299</v>
      </c>
      <c r="AN7424">
        <v>1.0000000111910501</v>
      </c>
    </row>
    <row r="7425" spans="1:40" x14ac:dyDescent="0.25">
      <c r="A7425" t="str">
        <f>"20190305135108730"</f>
        <v>20190305135108730</v>
      </c>
      <c r="B7425" t="str">
        <f>"1551765068727717"</f>
        <v>1551765068727717</v>
      </c>
      <c r="C7425" t="s">
        <v>40</v>
      </c>
      <c r="D7425">
        <v>3.9378899999999999</v>
      </c>
      <c r="E7425">
        <v>0.57444069999999903</v>
      </c>
      <c r="F7425" t="s">
        <v>115</v>
      </c>
      <c r="G7425">
        <v>-221.7927</v>
      </c>
      <c r="H7425" s="1">
        <v>-3.779577E-7</v>
      </c>
      <c r="I7425">
        <v>-62.591019999999901</v>
      </c>
      <c r="J7425">
        <v>-239.10890000000001</v>
      </c>
      <c r="K7425">
        <v>1.1106480000000001</v>
      </c>
      <c r="L7425">
        <v>-63.050569999999901</v>
      </c>
      <c r="M7425">
        <v>0.99980040000000003</v>
      </c>
      <c r="N7425">
        <v>-9.9238290000000003E-3</v>
      </c>
      <c r="O7425">
        <v>1.7341789999999999E-2</v>
      </c>
      <c r="P7425">
        <v>0.97271169999999996</v>
      </c>
      <c r="Q7425">
        <v>-7.2876259999999998E-2</v>
      </c>
      <c r="R7425">
        <v>0.22027559999999999</v>
      </c>
      <c r="S7425">
        <v>3.0509189999999999</v>
      </c>
      <c r="T7425">
        <v>-0.19369449999999999</v>
      </c>
      <c r="U7425">
        <v>8.0780030000000003E-2</v>
      </c>
      <c r="V7425">
        <v>-0.20311309999999999</v>
      </c>
      <c r="W7425">
        <v>-6.4013470000000003E-2</v>
      </c>
      <c r="X7425">
        <v>0.97706059999999995</v>
      </c>
      <c r="Y7425">
        <v>-9.1310379999999993E-3</v>
      </c>
      <c r="Z7425">
        <v>-5.9275840000000001E-4</v>
      </c>
      <c r="AA7425">
        <v>0.99995820000000002</v>
      </c>
      <c r="AB7425">
        <v>35</v>
      </c>
      <c r="AC7425">
        <v>17.316199999999998</v>
      </c>
      <c r="AD7425">
        <v>-1.1106483779577001</v>
      </c>
      <c r="AE7425">
        <v>0.45955000000000001</v>
      </c>
      <c r="AF7425">
        <v>-0.158520533054129</v>
      </c>
      <c r="AG7425">
        <v>-1.1106483779577001</v>
      </c>
      <c r="AH7425">
        <v>17.250648983332098</v>
      </c>
      <c r="AI7425">
        <v>93.683634197128001</v>
      </c>
      <c r="AJ7425">
        <v>90.526490445730005</v>
      </c>
      <c r="AK7425">
        <v>17.287092263448901</v>
      </c>
      <c r="AL7425">
        <v>93.670211032987396</v>
      </c>
      <c r="AM7425">
        <v>101.743490993758</v>
      </c>
      <c r="AN7425">
        <v>1.0000000359026999</v>
      </c>
    </row>
    <row r="7426" spans="1:40" x14ac:dyDescent="0.25">
      <c r="A7426" t="str">
        <f>"20190305135108741"</f>
        <v>20190305135108741</v>
      </c>
      <c r="B7426" t="str">
        <f>"1551765068737476"</f>
        <v>1551765068737476</v>
      </c>
      <c r="C7426" t="s">
        <v>40</v>
      </c>
      <c r="D7426">
        <v>3.8560289999999999</v>
      </c>
      <c r="E7426">
        <v>0.57444069999999903</v>
      </c>
      <c r="F7426" t="s">
        <v>115</v>
      </c>
      <c r="G7426">
        <v>-221.6617</v>
      </c>
      <c r="H7426" s="1">
        <v>-3.1921039999999998E-7</v>
      </c>
      <c r="I7426">
        <v>-62.579540000000001</v>
      </c>
      <c r="J7426">
        <v>-238.93520000000001</v>
      </c>
      <c r="K7426">
        <v>1.1106049999999901</v>
      </c>
      <c r="L7426">
        <v>-63.046750000000003</v>
      </c>
      <c r="M7426">
        <v>0.9997857</v>
      </c>
      <c r="N7426">
        <v>-9.9285580000000005E-3</v>
      </c>
      <c r="O7426">
        <v>1.8173709999999999E-2</v>
      </c>
      <c r="P7426">
        <v>0.97255860000000005</v>
      </c>
      <c r="Q7426">
        <v>-7.2738269999999994E-2</v>
      </c>
      <c r="R7426">
        <v>0.22099559999999999</v>
      </c>
      <c r="S7426">
        <v>3.050964</v>
      </c>
      <c r="T7426">
        <v>-0.19421720000000001</v>
      </c>
      <c r="U7426">
        <v>8.236694E-2</v>
      </c>
      <c r="V7426">
        <v>-0.2030295</v>
      </c>
      <c r="W7426">
        <v>-6.3852909999999999E-2</v>
      </c>
      <c r="X7426">
        <v>0.97708850000000003</v>
      </c>
      <c r="Y7426">
        <v>-8.8202980000000007E-3</v>
      </c>
      <c r="Z7426">
        <v>-6.5087079999999996E-4</v>
      </c>
      <c r="AA7426">
        <v>0.99996090000000004</v>
      </c>
      <c r="AB7426">
        <v>35</v>
      </c>
      <c r="AC7426">
        <v>17.273499999999999</v>
      </c>
      <c r="AD7426">
        <v>-1.11060531921039</v>
      </c>
      <c r="AE7426">
        <v>0.46721000000000101</v>
      </c>
      <c r="AF7426">
        <v>-0.152563604654677</v>
      </c>
      <c r="AG7426">
        <v>-1.11060531921039</v>
      </c>
      <c r="AH7426">
        <v>17.208054080982802</v>
      </c>
      <c r="AI7426">
        <v>93.692595040747094</v>
      </c>
      <c r="AJ7426">
        <v>90.507961074190803</v>
      </c>
      <c r="AK7426">
        <v>17.244530874528099</v>
      </c>
      <c r="AL7426">
        <v>93.660992696196104</v>
      </c>
      <c r="AM7426">
        <v>101.738465717579</v>
      </c>
      <c r="AN7426">
        <v>1.00000005440898</v>
      </c>
    </row>
    <row r="7427" spans="1:40" x14ac:dyDescent="0.25">
      <c r="A7427" t="str">
        <f>"20190305135108753"</f>
        <v>20190305135108753</v>
      </c>
      <c r="B7427" t="str">
        <f>"1551765068747239"</f>
        <v>1551765068747239</v>
      </c>
      <c r="C7427" t="s">
        <v>40</v>
      </c>
      <c r="D7427">
        <v>3.872789</v>
      </c>
      <c r="E7427">
        <v>0.55247489999999999</v>
      </c>
      <c r="F7427" t="s">
        <v>115</v>
      </c>
      <c r="G7427">
        <v>-221.45419999999999</v>
      </c>
      <c r="H7427" s="1">
        <v>-2.2624409999999999E-7</v>
      </c>
      <c r="I7427">
        <v>-62.5618699999999</v>
      </c>
      <c r="J7427">
        <v>-238.75299999999999</v>
      </c>
      <c r="K7427">
        <v>1.1105609999999999</v>
      </c>
      <c r="L7427">
        <v>-63.04269</v>
      </c>
      <c r="M7427">
        <v>0.99976960000000004</v>
      </c>
      <c r="N7427">
        <v>-9.9311529999999999E-3</v>
      </c>
      <c r="O7427">
        <v>1.9035349999999999E-2</v>
      </c>
      <c r="P7427">
        <v>0.97243710000000005</v>
      </c>
      <c r="Q7427">
        <v>-7.256013E-2</v>
      </c>
      <c r="R7427">
        <v>0.2215879</v>
      </c>
      <c r="S7427">
        <v>3.0509339999999998</v>
      </c>
      <c r="T7427">
        <v>-0.19383239999999999</v>
      </c>
      <c r="U7427">
        <v>8.4625240000000004E-2</v>
      </c>
      <c r="V7427">
        <v>-0.20278930000000001</v>
      </c>
      <c r="W7427">
        <v>-6.3652490000000006E-2</v>
      </c>
      <c r="X7427">
        <v>0.9771514</v>
      </c>
      <c r="Y7427">
        <v>-8.6998459999999903E-3</v>
      </c>
      <c r="Z7427">
        <v>-6.996134E-4</v>
      </c>
      <c r="AA7427">
        <v>0.99996189999999996</v>
      </c>
      <c r="AB7427">
        <v>35</v>
      </c>
      <c r="AC7427">
        <v>17.2988</v>
      </c>
      <c r="AD7427">
        <v>-1.1105612262441</v>
      </c>
      <c r="AE7427">
        <v>0.48082000000000802</v>
      </c>
      <c r="AF7427">
        <v>-0.150806889542345</v>
      </c>
      <c r="AG7427">
        <v>-1.1105612262441</v>
      </c>
      <c r="AH7427">
        <v>17.233844281966299</v>
      </c>
      <c r="AI7427">
        <v>93.686942130399004</v>
      </c>
      <c r="AJ7427">
        <v>90.5013610204618</v>
      </c>
      <c r="AK7427">
        <v>17.2702483389855</v>
      </c>
      <c r="AL7427">
        <v>93.649486271182099</v>
      </c>
      <c r="AM7427">
        <v>101.72422902746401</v>
      </c>
      <c r="AN7427">
        <v>0.99999999909982495</v>
      </c>
    </row>
    <row r="7428" spans="1:40" x14ac:dyDescent="0.25">
      <c r="A7428" t="str">
        <f>"20190305135108763"</f>
        <v>20190305135108763</v>
      </c>
      <c r="B7428" t="str">
        <f>"1551765068756995"</f>
        <v>1551765068756995</v>
      </c>
      <c r="C7428" t="s">
        <v>40</v>
      </c>
      <c r="D7428">
        <v>4.0445869999999999</v>
      </c>
      <c r="E7428">
        <v>0.55140349999999905</v>
      </c>
      <c r="F7428" t="s">
        <v>115</v>
      </c>
      <c r="G7428">
        <v>-221.64340000000001</v>
      </c>
      <c r="H7428" s="1">
        <v>-8.9397129999999998E-8</v>
      </c>
      <c r="I7428">
        <v>-61.581420000000001</v>
      </c>
      <c r="J7428">
        <v>-238.57769999999999</v>
      </c>
      <c r="K7428">
        <v>1.110517</v>
      </c>
      <c r="L7428">
        <v>-63.038640000000001</v>
      </c>
      <c r="M7428">
        <v>0.99975400000000003</v>
      </c>
      <c r="N7428">
        <v>-9.9270690000000002E-3</v>
      </c>
      <c r="O7428">
        <v>1.9834919999999999E-2</v>
      </c>
      <c r="P7428">
        <v>0.97234609999999999</v>
      </c>
      <c r="Q7428">
        <v>-7.231949E-2</v>
      </c>
      <c r="R7428">
        <v>0.2220657</v>
      </c>
      <c r="S7428">
        <v>3.0118559999999999</v>
      </c>
      <c r="T7428">
        <v>-0.19549559999999999</v>
      </c>
      <c r="U7428">
        <v>0.25723269999999998</v>
      </c>
      <c r="V7428">
        <v>-0.20249349999999999</v>
      </c>
      <c r="W7428">
        <v>-6.3396449999999993E-2</v>
      </c>
      <c r="X7428">
        <v>0.97722940000000003</v>
      </c>
      <c r="Y7428">
        <v>-6.5188789999999996E-2</v>
      </c>
      <c r="Z7428">
        <v>1.3471449999999999E-3</v>
      </c>
      <c r="AA7428">
        <v>0.99787210000000004</v>
      </c>
      <c r="AB7428">
        <v>35</v>
      </c>
      <c r="AC7428">
        <v>16.934299999999901</v>
      </c>
      <c r="AD7428">
        <v>-1.1105170893971299</v>
      </c>
      <c r="AE7428">
        <v>1.45722</v>
      </c>
      <c r="AF7428">
        <v>-1.11626109580763</v>
      </c>
      <c r="AG7428">
        <v>-1.1105170893971299</v>
      </c>
      <c r="AH7428">
        <v>16.887781845130899</v>
      </c>
      <c r="AI7428">
        <v>93.754105737126594</v>
      </c>
      <c r="AJ7428">
        <v>93.781677778159505</v>
      </c>
      <c r="AK7428">
        <v>16.961027760386099</v>
      </c>
      <c r="AL7428">
        <v>93.634786516904896</v>
      </c>
      <c r="AM7428">
        <v>101.70669112425</v>
      </c>
      <c r="AN7428">
        <v>1.0000000138195999</v>
      </c>
    </row>
    <row r="7429" spans="1:40" x14ac:dyDescent="0.25">
      <c r="A7429" t="str">
        <f>"20190305135108776"</f>
        <v>20190305135108776</v>
      </c>
      <c r="B7429" t="str">
        <f>"1551765068767731"</f>
        <v>1551765068767731</v>
      </c>
      <c r="C7429" t="s">
        <v>40</v>
      </c>
      <c r="D7429">
        <v>3.8515470000000001</v>
      </c>
      <c r="E7429">
        <v>0.55115909999999901</v>
      </c>
      <c r="F7429" t="s">
        <v>116</v>
      </c>
      <c r="G7429">
        <v>-218.34880000000001</v>
      </c>
      <c r="H7429" s="1">
        <v>-2.7786150000000002E-6</v>
      </c>
      <c r="I7429">
        <v>-61.240409999999997</v>
      </c>
      <c r="J7429">
        <v>-238.39609999999999</v>
      </c>
      <c r="K7429">
        <v>1.1104719999999999</v>
      </c>
      <c r="L7429">
        <v>-63.034329999999997</v>
      </c>
      <c r="M7429">
        <v>0.99973780000000001</v>
      </c>
      <c r="N7429">
        <v>-9.9194390000000004E-3</v>
      </c>
      <c r="O7429">
        <v>2.064181E-2</v>
      </c>
      <c r="P7429">
        <v>0.97225150000000005</v>
      </c>
      <c r="Q7429">
        <v>-7.2551060000000001E-2</v>
      </c>
      <c r="R7429">
        <v>0.2224042</v>
      </c>
      <c r="S7429">
        <v>3.0118870000000002</v>
      </c>
      <c r="T7429">
        <v>-0.16534579999999999</v>
      </c>
      <c r="U7429">
        <v>0.26773069999999999</v>
      </c>
      <c r="V7429">
        <v>-0.2020507</v>
      </c>
      <c r="W7429">
        <v>-6.3614840000000006E-2</v>
      </c>
      <c r="X7429">
        <v>0.97730680000000003</v>
      </c>
      <c r="Y7429">
        <v>-6.7862500000000006E-2</v>
      </c>
      <c r="Z7429">
        <v>1.2697349999999999E-3</v>
      </c>
      <c r="AA7429">
        <v>0.99769390000000002</v>
      </c>
      <c r="AB7429">
        <v>35</v>
      </c>
      <c r="AC7429">
        <v>20.0472999999999</v>
      </c>
      <c r="AD7429">
        <v>-1.110474778615</v>
      </c>
      <c r="AE7429">
        <v>1.79392</v>
      </c>
      <c r="AF7429">
        <v>-1.3755178046355101</v>
      </c>
      <c r="AG7429">
        <v>-1.110474778615</v>
      </c>
      <c r="AH7429">
        <v>20.0191219617342</v>
      </c>
      <c r="AI7429">
        <v>93.167530357095401</v>
      </c>
      <c r="AJ7429">
        <v>93.930626424576701</v>
      </c>
      <c r="AK7429">
        <v>20.0970258392529</v>
      </c>
      <c r="AL7429">
        <v>93.647324857014794</v>
      </c>
      <c r="AM7429">
        <v>101.680896227747</v>
      </c>
      <c r="AN7429">
        <v>0.99999995728247604</v>
      </c>
    </row>
    <row r="7430" spans="1:40" x14ac:dyDescent="0.25">
      <c r="A7430" t="str">
        <f>"20190305135108787"</f>
        <v>20190305135108787</v>
      </c>
      <c r="B7430" t="str">
        <f>"1551765068777492"</f>
        <v>1551765068777492</v>
      </c>
      <c r="C7430" t="s">
        <v>40</v>
      </c>
      <c r="D7430">
        <v>3.864557</v>
      </c>
      <c r="E7430">
        <v>0.55127469999999901</v>
      </c>
      <c r="F7430" t="s">
        <v>116</v>
      </c>
      <c r="G7430">
        <v>-216.90719999999999</v>
      </c>
      <c r="H7430" s="1">
        <v>-2.1232109999999999E-6</v>
      </c>
      <c r="I7430">
        <v>-61.101559999999999</v>
      </c>
      <c r="J7430">
        <v>-238.21190000000001</v>
      </c>
      <c r="K7430">
        <v>1.1104270000000001</v>
      </c>
      <c r="L7430">
        <v>-63.029850000000003</v>
      </c>
      <c r="M7430">
        <v>0.99972110000000003</v>
      </c>
      <c r="N7430">
        <v>-9.9084450000000001E-3</v>
      </c>
      <c r="O7430">
        <v>2.143917E-2</v>
      </c>
      <c r="P7430">
        <v>0.97216029999999998</v>
      </c>
      <c r="Q7430">
        <v>-7.2508020000000006E-2</v>
      </c>
      <c r="R7430">
        <v>0.22281619999999999</v>
      </c>
      <c r="S7430">
        <v>3.012054</v>
      </c>
      <c r="T7430">
        <v>-0.15565300000000001</v>
      </c>
      <c r="U7430">
        <v>0.27090449999999999</v>
      </c>
      <c r="V7430">
        <v>-0.2016917</v>
      </c>
      <c r="W7430">
        <v>-6.3561980000000004E-2</v>
      </c>
      <c r="X7430">
        <v>0.97738440000000004</v>
      </c>
      <c r="Y7430">
        <v>-6.8114910000000001E-2</v>
      </c>
      <c r="Z7430">
        <v>1.2010219999999999E-3</v>
      </c>
      <c r="AA7430">
        <v>0.99767680000000003</v>
      </c>
      <c r="AB7430">
        <v>35</v>
      </c>
      <c r="AC7430">
        <v>21.3047</v>
      </c>
      <c r="AD7430">
        <v>-1.110429123211</v>
      </c>
      <c r="AE7430">
        <v>1.9282900000000001</v>
      </c>
      <c r="AF7430">
        <v>-1.4671160314433001</v>
      </c>
      <c r="AG7430">
        <v>-1.110429123211</v>
      </c>
      <c r="AH7430">
        <v>21.283795272366</v>
      </c>
      <c r="AI7430">
        <v>92.979499718647801</v>
      </c>
      <c r="AJ7430">
        <v>93.943225233877499</v>
      </c>
      <c r="AK7430">
        <v>21.3631791520687</v>
      </c>
      <c r="AL7430">
        <v>93.644290027436</v>
      </c>
      <c r="AM7430">
        <v>101.659810212197</v>
      </c>
      <c r="AN7430">
        <v>0.99999996625688403</v>
      </c>
    </row>
    <row r="7431" spans="1:40" x14ac:dyDescent="0.25">
      <c r="A7431" t="str">
        <f>"20190305135108798"</f>
        <v>20190305135108798</v>
      </c>
      <c r="B7431" t="str">
        <f>"1551765068787251"</f>
        <v>1551765068787251</v>
      </c>
      <c r="C7431" t="s">
        <v>40</v>
      </c>
      <c r="D7431">
        <v>3.8555839999999999</v>
      </c>
      <c r="E7431">
        <v>0.55094560000000004</v>
      </c>
      <c r="F7431" t="s">
        <v>116</v>
      </c>
      <c r="G7431">
        <v>-215.6729</v>
      </c>
      <c r="H7431" s="1">
        <v>-1.5664369999999999E-6</v>
      </c>
      <c r="I7431">
        <v>-60.999139999999997</v>
      </c>
      <c r="J7431">
        <v>-238.0454</v>
      </c>
      <c r="K7431">
        <v>1.1103860000000001</v>
      </c>
      <c r="L7431">
        <v>-63.025669999999998</v>
      </c>
      <c r="M7431">
        <v>0.99970630000000005</v>
      </c>
      <c r="N7431">
        <v>-9.8957449999999992E-3</v>
      </c>
      <c r="O7431">
        <v>2.2127069999999999E-2</v>
      </c>
      <c r="P7431">
        <v>0.97214160000000005</v>
      </c>
      <c r="Q7431">
        <v>-7.251196E-2</v>
      </c>
      <c r="R7431">
        <v>0.22289690000000001</v>
      </c>
      <c r="S7431">
        <v>3.0126339999999998</v>
      </c>
      <c r="T7431">
        <v>-0.14842339999999901</v>
      </c>
      <c r="U7431">
        <v>0.27142329999999998</v>
      </c>
      <c r="V7431">
        <v>-0.2011058</v>
      </c>
      <c r="W7431">
        <v>-6.3557959999999997E-2</v>
      </c>
      <c r="X7431">
        <v>0.97750539999999997</v>
      </c>
      <c r="Y7431">
        <v>-6.7589969999999999E-2</v>
      </c>
      <c r="Z7431">
        <v>1.127514E-3</v>
      </c>
      <c r="AA7431">
        <v>0.99771259999999995</v>
      </c>
      <c r="AB7431">
        <v>35</v>
      </c>
      <c r="AC7431">
        <v>22.372499999999999</v>
      </c>
      <c r="AD7431">
        <v>-1.110387566437</v>
      </c>
      <c r="AE7431">
        <v>2.02652999999999</v>
      </c>
      <c r="AF7431">
        <v>-1.5272402703002601</v>
      </c>
      <c r="AG7431">
        <v>-1.110387566437</v>
      </c>
      <c r="AH7431">
        <v>22.357240531076499</v>
      </c>
      <c r="AI7431">
        <v>92.8366975946808</v>
      </c>
      <c r="AJ7431">
        <v>93.907847769035797</v>
      </c>
      <c r="AK7431">
        <v>22.4368363981051</v>
      </c>
      <c r="AL7431">
        <v>93.644059174097706</v>
      </c>
      <c r="AM7431">
        <v>101.62546276245</v>
      </c>
      <c r="AN7431">
        <v>0.99999998205107998</v>
      </c>
    </row>
    <row r="7432" spans="1:40" x14ac:dyDescent="0.25">
      <c r="A7432" t="str">
        <f>"20190305135108808"</f>
        <v>20190305135108808</v>
      </c>
      <c r="B7432" t="str">
        <f>"1551765068797012"</f>
        <v>1551765068797012</v>
      </c>
      <c r="C7432" t="s">
        <v>40</v>
      </c>
      <c r="D7432">
        <v>3.8082029999999998</v>
      </c>
      <c r="E7432">
        <v>0.55086059999999903</v>
      </c>
      <c r="F7432" t="s">
        <v>116</v>
      </c>
      <c r="G7432">
        <v>-215.0993</v>
      </c>
      <c r="H7432" s="1">
        <v>-1.3036610000000001E-6</v>
      </c>
      <c r="I7432">
        <v>-60.936369999999997</v>
      </c>
      <c r="J7432">
        <v>-237.8845</v>
      </c>
      <c r="K7432">
        <v>1.110344</v>
      </c>
      <c r="L7432">
        <v>-63.021549999999998</v>
      </c>
      <c r="M7432">
        <v>0.99969169999999996</v>
      </c>
      <c r="N7432">
        <v>-9.8828089999999993E-3</v>
      </c>
      <c r="O7432">
        <v>2.278409E-2</v>
      </c>
      <c r="P7432">
        <v>0.97209350000000005</v>
      </c>
      <c r="Q7432">
        <v>-7.2613250000000004E-2</v>
      </c>
      <c r="R7432">
        <v>0.22307340000000001</v>
      </c>
      <c r="S7432">
        <v>3.012222</v>
      </c>
      <c r="T7432">
        <v>-0.14576449999999999</v>
      </c>
      <c r="U7432">
        <v>0.27426149999999999</v>
      </c>
      <c r="V7432">
        <v>-0.20064599999999999</v>
      </c>
      <c r="W7432">
        <v>-6.3652929999999996E-2</v>
      </c>
      <c r="X7432">
        <v>0.97759370000000001</v>
      </c>
      <c r="Y7432">
        <v>-6.7881369999999996E-2</v>
      </c>
      <c r="Z7432">
        <v>1.0998519999999999E-3</v>
      </c>
      <c r="AA7432">
        <v>0.99769280000000005</v>
      </c>
      <c r="AB7432">
        <v>35</v>
      </c>
      <c r="AC7432">
        <v>22.7852</v>
      </c>
      <c r="AD7432">
        <v>-1.110345303661</v>
      </c>
      <c r="AE7432">
        <v>2.0851799999999998</v>
      </c>
      <c r="AF7432">
        <v>-1.5617953176648101</v>
      </c>
      <c r="AG7432">
        <v>-1.110345303661</v>
      </c>
      <c r="AH7432">
        <v>22.7731653389366</v>
      </c>
      <c r="AI7432">
        <v>92.784814077069498</v>
      </c>
      <c r="AJ7432">
        <v>93.923230843684394</v>
      </c>
      <c r="AK7432">
        <v>22.853645898678501</v>
      </c>
      <c r="AL7432">
        <v>93.649511611317493</v>
      </c>
      <c r="AM7432">
        <v>101.598584594447</v>
      </c>
      <c r="AN7432">
        <v>0.99999997754663705</v>
      </c>
    </row>
    <row r="7433" spans="1:40" x14ac:dyDescent="0.25">
      <c r="A7433" t="str">
        <f>"20190305135108819"</f>
        <v>20190305135108819</v>
      </c>
      <c r="B7433" t="str">
        <f>"1551765068807748"</f>
        <v>1551765068807748</v>
      </c>
      <c r="C7433" t="s">
        <v>40</v>
      </c>
      <c r="D7433">
        <v>3.811887</v>
      </c>
      <c r="E7433">
        <v>0.55089829999999995</v>
      </c>
      <c r="F7433" t="s">
        <v>116</v>
      </c>
      <c r="G7433">
        <v>-214.95410000000001</v>
      </c>
      <c r="H7433" s="1">
        <v>-1.2379160000000001E-6</v>
      </c>
      <c r="I7433">
        <v>-60.923310000000001</v>
      </c>
      <c r="J7433">
        <v>-237.71559999999999</v>
      </c>
      <c r="K7433">
        <v>1.110301</v>
      </c>
      <c r="L7433">
        <v>-63.017090000000003</v>
      </c>
      <c r="M7433">
        <v>0.99967680000000003</v>
      </c>
      <c r="N7433">
        <v>-9.8717749999999993E-3</v>
      </c>
      <c r="O7433">
        <v>2.343363E-2</v>
      </c>
      <c r="P7433">
        <v>0.9720299</v>
      </c>
      <c r="Q7433">
        <v>-7.2715059999999998E-2</v>
      </c>
      <c r="R7433">
        <v>0.2233175</v>
      </c>
      <c r="S7433">
        <v>3.0119929999999999</v>
      </c>
      <c r="T7433">
        <v>-0.14584829999999999</v>
      </c>
      <c r="U7433">
        <v>0.27560420000000002</v>
      </c>
      <c r="V7433">
        <v>-0.200262</v>
      </c>
      <c r="W7433">
        <v>-6.3745289999999996E-2</v>
      </c>
      <c r="X7433">
        <v>0.97766640000000005</v>
      </c>
      <c r="Y7433">
        <v>-6.7681779999999997E-2</v>
      </c>
      <c r="Z7433">
        <v>1.0688169999999999E-3</v>
      </c>
      <c r="AA7433">
        <v>0.99770639999999999</v>
      </c>
      <c r="AB7433">
        <v>35</v>
      </c>
      <c r="AC7433">
        <v>22.761499999999899</v>
      </c>
      <c r="AD7433">
        <v>-1.1103022379159999</v>
      </c>
      <c r="AE7433">
        <v>2.0937800000000002</v>
      </c>
      <c r="AF7433">
        <v>-1.5561228156998499</v>
      </c>
      <c r="AG7433">
        <v>-1.1103022379159999</v>
      </c>
      <c r="AH7433">
        <v>22.750635934520702</v>
      </c>
      <c r="AI7433">
        <v>92.787493935229193</v>
      </c>
      <c r="AJ7433">
        <v>93.912884766442005</v>
      </c>
      <c r="AK7433">
        <v>22.830806483831601</v>
      </c>
      <c r="AL7433">
        <v>93.6548142820495</v>
      </c>
      <c r="AM7433">
        <v>101.576149182196</v>
      </c>
      <c r="AN7433">
        <v>0.99999996016507098</v>
      </c>
    </row>
    <row r="7434" spans="1:40" x14ac:dyDescent="0.25">
      <c r="A7434" t="str">
        <f>"20190305135108831"</f>
        <v>20190305135108831</v>
      </c>
      <c r="B7434" t="str">
        <f>"1551765068827268"</f>
        <v>1551765068827268</v>
      </c>
      <c r="C7434" t="s">
        <v>40</v>
      </c>
      <c r="D7434">
        <v>3.8082050000000001</v>
      </c>
      <c r="E7434">
        <v>0.55114449999999904</v>
      </c>
      <c r="F7434" t="s">
        <v>116</v>
      </c>
      <c r="G7434">
        <v>-214.8827</v>
      </c>
      <c r="H7434" s="1">
        <v>-1.207551E-6</v>
      </c>
      <c r="I7434">
        <v>-60.9242699999999</v>
      </c>
      <c r="J7434">
        <v>-237.54159999999999</v>
      </c>
      <c r="K7434">
        <v>1.110258</v>
      </c>
      <c r="L7434">
        <v>-63.012479999999996</v>
      </c>
      <c r="M7434">
        <v>0.99966100000000002</v>
      </c>
      <c r="N7434">
        <v>-9.8617199999999992E-3</v>
      </c>
      <c r="O7434">
        <v>2.4095479999999999E-2</v>
      </c>
      <c r="P7434">
        <v>0.97201530000000003</v>
      </c>
      <c r="Q7434">
        <v>-7.2714970000000004E-2</v>
      </c>
      <c r="R7434">
        <v>0.22338069999999999</v>
      </c>
      <c r="S7434">
        <v>3.0119479999999998</v>
      </c>
      <c r="T7434">
        <v>-0.1464628</v>
      </c>
      <c r="U7434">
        <v>0.27606199999999997</v>
      </c>
      <c r="V7434">
        <v>-0.199685</v>
      </c>
      <c r="W7434">
        <v>-6.3733029999999996E-2</v>
      </c>
      <c r="X7434">
        <v>0.97778520000000002</v>
      </c>
      <c r="Y7434">
        <v>-6.7173650000000001E-2</v>
      </c>
      <c r="Z7434">
        <v>1.029971E-3</v>
      </c>
      <c r="AA7434">
        <v>0.99774070000000004</v>
      </c>
      <c r="AB7434">
        <v>35</v>
      </c>
      <c r="AC7434">
        <v>22.6588999999999</v>
      </c>
      <c r="AD7434">
        <v>-1.110259207551</v>
      </c>
      <c r="AE7434">
        <v>2.0882100000000099</v>
      </c>
      <c r="AF7434">
        <v>-1.53793870453378</v>
      </c>
      <c r="AG7434">
        <v>-1.110259207551</v>
      </c>
      <c r="AH7434">
        <v>22.648720485642102</v>
      </c>
      <c r="AI7434">
        <v>92.800002818497006</v>
      </c>
      <c r="AJ7434">
        <v>93.884649261915499</v>
      </c>
      <c r="AK7434">
        <v>22.7280107049341</v>
      </c>
      <c r="AL7434">
        <v>93.654110449598406</v>
      </c>
      <c r="AM7434">
        <v>101.54232731515</v>
      </c>
      <c r="AN7434">
        <v>0.99999994783850898</v>
      </c>
    </row>
    <row r="7435" spans="1:40" x14ac:dyDescent="0.25">
      <c r="A7435" t="str">
        <f>"20190305135108841"</f>
        <v>20190305135108841</v>
      </c>
      <c r="B7435" t="str">
        <f>"1551765068837028"</f>
        <v>1551765068837028</v>
      </c>
      <c r="C7435" t="s">
        <v>40</v>
      </c>
      <c r="D7435">
        <v>3.8404660000000002</v>
      </c>
      <c r="E7435">
        <v>0.55125199999999996</v>
      </c>
      <c r="F7435" t="s">
        <v>116</v>
      </c>
      <c r="G7435">
        <v>-215.26439999999999</v>
      </c>
      <c r="H7435" s="1">
        <v>-1.387245E-6</v>
      </c>
      <c r="I7435">
        <v>-60.984250000000003</v>
      </c>
      <c r="J7435">
        <v>-237.35059999999999</v>
      </c>
      <c r="K7435">
        <v>1.1102179999999999</v>
      </c>
      <c r="L7435">
        <v>-63.00723</v>
      </c>
      <c r="M7435">
        <v>0.99964439999999999</v>
      </c>
      <c r="N7435">
        <v>-9.8653730000000002E-3</v>
      </c>
      <c r="O7435">
        <v>2.4774109999999998E-2</v>
      </c>
      <c r="P7435">
        <v>0.97200169999999997</v>
      </c>
      <c r="Q7435">
        <v>-7.2935390000000003E-2</v>
      </c>
      <c r="R7435">
        <v>0.2233676</v>
      </c>
      <c r="S7435">
        <v>3.0121150000000001</v>
      </c>
      <c r="T7435">
        <v>-0.150118899999999</v>
      </c>
      <c r="U7435">
        <v>0.274231</v>
      </c>
      <c r="V7435">
        <v>-0.19901479999999999</v>
      </c>
      <c r="W7435">
        <v>-6.3924789999999995E-2</v>
      </c>
      <c r="X7435">
        <v>0.97790940000000004</v>
      </c>
      <c r="Y7435">
        <v>-6.5888920000000004E-2</v>
      </c>
      <c r="Z7435">
        <v>9.7634920000000001E-4</v>
      </c>
      <c r="AA7435">
        <v>0.99782649999999995</v>
      </c>
      <c r="AB7435">
        <v>35</v>
      </c>
      <c r="AC7435">
        <v>22.086199999999899</v>
      </c>
      <c r="AD7435">
        <v>-1.1102193872449999</v>
      </c>
      <c r="AE7435">
        <v>2.02298</v>
      </c>
      <c r="AF7435">
        <v>-1.4714792213260299</v>
      </c>
      <c r="AG7435">
        <v>-1.1102193872449999</v>
      </c>
      <c r="AH7435">
        <v>22.074226787206602</v>
      </c>
      <c r="AI7435">
        <v>92.872889888398603</v>
      </c>
      <c r="AJ7435">
        <v>93.813723659054901</v>
      </c>
      <c r="AK7435">
        <v>22.151057005019801</v>
      </c>
      <c r="AL7435">
        <v>93.665119629912795</v>
      </c>
      <c r="AM7435">
        <v>101.50320032566</v>
      </c>
      <c r="AN7435">
        <v>1.00000003200197</v>
      </c>
    </row>
    <row r="7436" spans="1:40" x14ac:dyDescent="0.25">
      <c r="A7436" t="str">
        <f>"20190305135108853"</f>
        <v>20190305135108853</v>
      </c>
      <c r="B7436" t="str">
        <f>"1551765068847764"</f>
        <v>1551765068847764</v>
      </c>
      <c r="C7436" t="s">
        <v>40</v>
      </c>
      <c r="D7436">
        <v>3.8493040000000001</v>
      </c>
      <c r="E7436">
        <v>0.55142979999999997</v>
      </c>
      <c r="F7436" t="s">
        <v>116</v>
      </c>
      <c r="G7436">
        <v>-215.12370000000001</v>
      </c>
      <c r="H7436" s="1">
        <v>-1.3283559999999999E-6</v>
      </c>
      <c r="I7436">
        <v>-60.989769999999901</v>
      </c>
      <c r="J7436">
        <v>-237.1859</v>
      </c>
      <c r="K7436">
        <v>1.1101859999999999</v>
      </c>
      <c r="L7436">
        <v>-63.002659999999999</v>
      </c>
      <c r="M7436">
        <v>0.99963009999999997</v>
      </c>
      <c r="N7436">
        <v>-9.8767209999999998E-3</v>
      </c>
      <c r="O7436">
        <v>2.534606E-2</v>
      </c>
      <c r="P7436">
        <v>0.97196400000000005</v>
      </c>
      <c r="Q7436">
        <v>-7.2944809999999999E-2</v>
      </c>
      <c r="R7436">
        <v>0.22352949999999999</v>
      </c>
      <c r="S7436">
        <v>3.012283</v>
      </c>
      <c r="T7436">
        <v>-0.1504614</v>
      </c>
      <c r="U7436">
        <v>0.27340700000000001</v>
      </c>
      <c r="V7436">
        <v>-0.19862440000000001</v>
      </c>
      <c r="W7436">
        <v>-6.3902390000000003E-2</v>
      </c>
      <c r="X7436">
        <v>0.97799020000000003</v>
      </c>
      <c r="Y7436">
        <v>-6.504364E-2</v>
      </c>
      <c r="Z7436">
        <v>9.2984169999999996E-4</v>
      </c>
      <c r="AA7436">
        <v>0.99788200000000005</v>
      </c>
      <c r="AB7436">
        <v>35</v>
      </c>
      <c r="AC7436">
        <v>22.062199999999901</v>
      </c>
      <c r="AD7436">
        <v>-1.110187328356</v>
      </c>
      <c r="AE7436">
        <v>2.0128900000000001</v>
      </c>
      <c r="AF7436">
        <v>-1.4493864236823</v>
      </c>
      <c r="AG7436">
        <v>-1.110187328356</v>
      </c>
      <c r="AH7436">
        <v>22.0507572829837</v>
      </c>
      <c r="AI7436">
        <v>92.876035742742999</v>
      </c>
      <c r="AJ7436">
        <v>93.760616455679298</v>
      </c>
      <c r="AK7436">
        <v>22.126209202261901</v>
      </c>
      <c r="AL7436">
        <v>93.663833694281294</v>
      </c>
      <c r="AM7436">
        <v>101.48031134291099</v>
      </c>
      <c r="AN7436">
        <v>0.99999999950955598</v>
      </c>
    </row>
    <row r="7437" spans="1:40" x14ac:dyDescent="0.25">
      <c r="A7437" t="str">
        <f>"20190305135108864"</f>
        <v>20190305135108864</v>
      </c>
      <c r="B7437" t="str">
        <f>"1551765068857523"</f>
        <v>1551765068857523</v>
      </c>
      <c r="C7437" t="s">
        <v>40</v>
      </c>
      <c r="D7437">
        <v>3.8497870000000001</v>
      </c>
      <c r="E7437">
        <v>0.55146219999999901</v>
      </c>
      <c r="F7437" t="s">
        <v>116</v>
      </c>
      <c r="G7437">
        <v>-214.9691</v>
      </c>
      <c r="H7437" s="1">
        <v>-1.2627669999999999E-6</v>
      </c>
      <c r="I7437">
        <v>-60.992600000000003</v>
      </c>
      <c r="J7437">
        <v>-237.01150000000001</v>
      </c>
      <c r="K7437">
        <v>1.1101559999999999</v>
      </c>
      <c r="L7437">
        <v>-62.997709999999998</v>
      </c>
      <c r="M7437">
        <v>0.99961500000000003</v>
      </c>
      <c r="N7437">
        <v>-9.9062830000000001E-3</v>
      </c>
      <c r="O7437">
        <v>2.5922509999999999E-2</v>
      </c>
      <c r="P7437">
        <v>0.9719217</v>
      </c>
      <c r="Q7437">
        <v>-7.2903830000000003E-2</v>
      </c>
      <c r="R7437">
        <v>0.22372629999999999</v>
      </c>
      <c r="S7437">
        <v>3.0125579999999998</v>
      </c>
      <c r="T7437">
        <v>-0.15053920000000001</v>
      </c>
      <c r="U7437">
        <v>0.27255249999999998</v>
      </c>
      <c r="V7437">
        <v>-0.198266</v>
      </c>
      <c r="W7437">
        <v>-6.3810930000000002E-2</v>
      </c>
      <c r="X7437">
        <v>0.97806890000000002</v>
      </c>
      <c r="Y7437">
        <v>-6.4180849999999998E-2</v>
      </c>
      <c r="Z7437">
        <v>8.8291800000000001E-4</v>
      </c>
      <c r="AA7437">
        <v>0.99793790000000004</v>
      </c>
      <c r="AB7437">
        <v>35</v>
      </c>
      <c r="AC7437">
        <v>22.042400000000001</v>
      </c>
      <c r="AD7437">
        <v>-1.110157262767</v>
      </c>
      <c r="AE7437">
        <v>2.00510999999999</v>
      </c>
      <c r="AF7437">
        <v>-1.42941773044659</v>
      </c>
      <c r="AG7437">
        <v>-1.110157262767</v>
      </c>
      <c r="AH7437">
        <v>22.031545591036799</v>
      </c>
      <c r="AI7437">
        <v>92.878620291922601</v>
      </c>
      <c r="AJ7437">
        <v>93.712175976131903</v>
      </c>
      <c r="AK7437">
        <v>22.1057613604717</v>
      </c>
      <c r="AL7437">
        <v>93.658582676731896</v>
      </c>
      <c r="AM7437">
        <v>101.459246975819</v>
      </c>
      <c r="AN7437">
        <v>1.0000000073453299</v>
      </c>
    </row>
    <row r="7438" spans="1:40" x14ac:dyDescent="0.25">
      <c r="A7438" t="str">
        <f>"20190305135108875"</f>
        <v>20190305135108875</v>
      </c>
      <c r="B7438" t="str">
        <f>"1551765068867284"</f>
        <v>1551765068867284</v>
      </c>
      <c r="C7438" t="s">
        <v>40</v>
      </c>
      <c r="D7438">
        <v>3.8540019999999999</v>
      </c>
      <c r="E7438">
        <v>0.55160769999999903</v>
      </c>
      <c r="F7438" t="s">
        <v>116</v>
      </c>
      <c r="G7438">
        <v>-214.92250000000001</v>
      </c>
      <c r="H7438" s="1">
        <v>-1.243867E-6</v>
      </c>
      <c r="I7438">
        <v>-60.99671</v>
      </c>
      <c r="J7438">
        <v>-236.8365</v>
      </c>
      <c r="K7438">
        <v>1.110141</v>
      </c>
      <c r="L7438">
        <v>-62.99268</v>
      </c>
      <c r="M7438">
        <v>0.99959960000000003</v>
      </c>
      <c r="N7438">
        <v>-9.9741220000000002E-3</v>
      </c>
      <c r="O7438">
        <v>2.6476400000000001E-2</v>
      </c>
      <c r="P7438">
        <v>0.97193890000000005</v>
      </c>
      <c r="Q7438">
        <v>-7.2931019999999999E-2</v>
      </c>
      <c r="R7438">
        <v>0.2236426</v>
      </c>
      <c r="S7438">
        <v>3.0124970000000002</v>
      </c>
      <c r="T7438">
        <v>-0.1514027</v>
      </c>
      <c r="U7438">
        <v>0.27288820000000003</v>
      </c>
      <c r="V7438">
        <v>-0.19764590000000001</v>
      </c>
      <c r="W7438">
        <v>-6.3748719999999995E-2</v>
      </c>
      <c r="X7438">
        <v>0.97819840000000002</v>
      </c>
      <c r="Y7438">
        <v>-6.3740190000000002E-2</v>
      </c>
      <c r="Z7438">
        <v>8.5315539999999902E-4</v>
      </c>
      <c r="AA7438">
        <v>0.99796620000000003</v>
      </c>
      <c r="AB7438">
        <v>35</v>
      </c>
      <c r="AC7438">
        <v>21.913999999999898</v>
      </c>
      <c r="AD7438">
        <v>-1.1101422438669999</v>
      </c>
      <c r="AE7438">
        <v>1.99597</v>
      </c>
      <c r="AF7438">
        <v>-1.4114450397312299</v>
      </c>
      <c r="AG7438">
        <v>-1.1101422438669999</v>
      </c>
      <c r="AH7438">
        <v>21.9034166746826</v>
      </c>
      <c r="AI7438">
        <v>92.895473828728399</v>
      </c>
      <c r="AJ7438">
        <v>93.687013177344795</v>
      </c>
      <c r="AK7438">
        <v>21.976902760092599</v>
      </c>
      <c r="AL7438">
        <v>93.655011224455393</v>
      </c>
      <c r="AM7438">
        <v>101.422878012827</v>
      </c>
      <c r="AN7438">
        <v>0.99999995542550302</v>
      </c>
    </row>
    <row r="7439" spans="1:40" x14ac:dyDescent="0.25">
      <c r="A7439" t="str">
        <f>"20190305135108885"</f>
        <v>20190305135108885</v>
      </c>
      <c r="B7439" t="str">
        <f>"1551765068877044"</f>
        <v>1551765068877044</v>
      </c>
      <c r="C7439" t="s">
        <v>40</v>
      </c>
      <c r="D7439">
        <v>3.8404310000000002</v>
      </c>
      <c r="E7439">
        <v>0.5516723</v>
      </c>
      <c r="F7439" t="s">
        <v>116</v>
      </c>
      <c r="G7439">
        <v>-214.6986</v>
      </c>
      <c r="H7439" s="1">
        <v>-1.148007E-6</v>
      </c>
      <c r="I7439">
        <v>-60.997309999999999</v>
      </c>
      <c r="J7439">
        <v>-236.66759999999999</v>
      </c>
      <c r="K7439">
        <v>1.110131</v>
      </c>
      <c r="L7439">
        <v>-62.987760000000002</v>
      </c>
      <c r="M7439">
        <v>0.9995851</v>
      </c>
      <c r="N7439">
        <v>-1.0073749999999999E-2</v>
      </c>
      <c r="O7439">
        <v>2.69876E-2</v>
      </c>
      <c r="P7439">
        <v>0.97191919999999998</v>
      </c>
      <c r="Q7439">
        <v>-7.2765109999999994E-2</v>
      </c>
      <c r="R7439">
        <v>0.22378229999999999</v>
      </c>
      <c r="S7439">
        <v>3.0127869999999999</v>
      </c>
      <c r="T7439">
        <v>-0.15108170000000001</v>
      </c>
      <c r="U7439">
        <v>0.27154539999999999</v>
      </c>
      <c r="V7439">
        <v>-0.1972932</v>
      </c>
      <c r="W7439">
        <v>-6.3464119999999999E-2</v>
      </c>
      <c r="X7439">
        <v>0.97828820000000005</v>
      </c>
      <c r="Y7439">
        <v>-6.2781790000000004E-2</v>
      </c>
      <c r="Z7439">
        <v>8.0916359999999999E-4</v>
      </c>
      <c r="AA7439">
        <v>0.998027</v>
      </c>
      <c r="AB7439">
        <v>35</v>
      </c>
      <c r="AC7439">
        <v>21.968999999999902</v>
      </c>
      <c r="AD7439">
        <v>-1.1101321480070001</v>
      </c>
      <c r="AE7439">
        <v>1.9904499999999901</v>
      </c>
      <c r="AF7439">
        <v>-1.3932756212353401</v>
      </c>
      <c r="AG7439">
        <v>-1.1101321480070001</v>
      </c>
      <c r="AH7439">
        <v>21.959102456234699</v>
      </c>
      <c r="AI7439">
        <v>92.888299400434306</v>
      </c>
      <c r="AJ7439">
        <v>93.630473869095994</v>
      </c>
      <c r="AK7439">
        <v>22.031245789246199</v>
      </c>
      <c r="AL7439">
        <v>93.638671407344603</v>
      </c>
      <c r="AM7439">
        <v>101.40200901092</v>
      </c>
      <c r="AN7439">
        <v>1.00000005177642</v>
      </c>
    </row>
    <row r="7440" spans="1:40" x14ac:dyDescent="0.25">
      <c r="A7440" t="str">
        <f>"20190305135108897"</f>
        <v>20190305135108897</v>
      </c>
      <c r="B7440" t="str">
        <f>"1551765068887780"</f>
        <v>1551765068887780</v>
      </c>
      <c r="C7440" t="s">
        <v>40</v>
      </c>
      <c r="D7440">
        <v>3.9081800000000002</v>
      </c>
      <c r="E7440">
        <v>0.5516723</v>
      </c>
      <c r="F7440" t="s">
        <v>116</v>
      </c>
      <c r="G7440">
        <v>-214.47649999999999</v>
      </c>
      <c r="H7440" s="1">
        <v>-1.050332E-6</v>
      </c>
      <c r="I7440">
        <v>-60.988329999999998</v>
      </c>
      <c r="J7440">
        <v>-236.49690000000001</v>
      </c>
      <c r="K7440">
        <v>1.1101289999999999</v>
      </c>
      <c r="L7440">
        <v>-62.982700000000001</v>
      </c>
      <c r="M7440">
        <v>0.99957039999999997</v>
      </c>
      <c r="N7440">
        <v>-1.022175E-2</v>
      </c>
      <c r="O7440">
        <v>2.7467160000000001E-2</v>
      </c>
      <c r="P7440">
        <v>0.97188050000000004</v>
      </c>
      <c r="Q7440">
        <v>-7.2701440000000006E-2</v>
      </c>
      <c r="R7440">
        <v>0.22397069999999999</v>
      </c>
      <c r="S7440">
        <v>3.0128629999999998</v>
      </c>
      <c r="T7440">
        <v>-0.15072149999999901</v>
      </c>
      <c r="U7440">
        <v>0.27145390000000003</v>
      </c>
      <c r="V7440">
        <v>-0.1970208</v>
      </c>
      <c r="W7440">
        <v>-6.3233570000000003E-2</v>
      </c>
      <c r="X7440">
        <v>0.97835799999999995</v>
      </c>
      <c r="Y7440">
        <v>-6.227162E-2</v>
      </c>
      <c r="Z7440">
        <v>7.8292450000000001E-4</v>
      </c>
      <c r="AA7440">
        <v>0.99805889999999997</v>
      </c>
      <c r="AB7440">
        <v>35</v>
      </c>
      <c r="AC7440">
        <v>22.020399999999999</v>
      </c>
      <c r="AD7440">
        <v>-1.110130050332</v>
      </c>
      <c r="AE7440">
        <v>1.99436999999999</v>
      </c>
      <c r="AF7440">
        <v>-1.3852559397056201</v>
      </c>
      <c r="AG7440">
        <v>-1.110130050332</v>
      </c>
      <c r="AH7440">
        <v>22.0113858084088</v>
      </c>
      <c r="AI7440">
        <v>92.881538253742605</v>
      </c>
      <c r="AJ7440">
        <v>93.601080980409407</v>
      </c>
      <c r="AK7440">
        <v>22.082853709467901</v>
      </c>
      <c r="AL7440">
        <v>93.625435366546796</v>
      </c>
      <c r="AM7440">
        <v>101.385886781887</v>
      </c>
      <c r="AN7440">
        <v>1.0000000280857899</v>
      </c>
    </row>
    <row r="7441" spans="1:40" x14ac:dyDescent="0.25">
      <c r="A7441" t="str">
        <f>"20190305135108908"</f>
        <v>20190305135108908</v>
      </c>
      <c r="B7441" t="str">
        <f>"1551765068897539"</f>
        <v>1551765068897539</v>
      </c>
      <c r="C7441" t="s">
        <v>40</v>
      </c>
      <c r="D7441">
        <v>3.8338960000000002</v>
      </c>
      <c r="E7441">
        <v>0.55168879999999998</v>
      </c>
      <c r="F7441" t="s">
        <v>116</v>
      </c>
      <c r="G7441">
        <v>-214.24889999999999</v>
      </c>
      <c r="H7441" s="1">
        <v>-9.4865030000000004E-7</v>
      </c>
      <c r="I7441">
        <v>-60.973179999999999</v>
      </c>
      <c r="J7441">
        <v>-236.32060000000001</v>
      </c>
      <c r="K7441">
        <v>1.1101289999999999</v>
      </c>
      <c r="L7441">
        <v>-62.977420000000002</v>
      </c>
      <c r="M7441">
        <v>0.99955550000000004</v>
      </c>
      <c r="N7441">
        <v>-1.039674E-2</v>
      </c>
      <c r="O7441">
        <v>2.7944589999999998E-2</v>
      </c>
      <c r="P7441">
        <v>0.97179539999999998</v>
      </c>
      <c r="Q7441">
        <v>-7.2753650000000003E-2</v>
      </c>
      <c r="R7441">
        <v>0.22432350000000001</v>
      </c>
      <c r="S7441">
        <v>3.0128629999999998</v>
      </c>
      <c r="T7441">
        <v>-0.15033569999999999</v>
      </c>
      <c r="U7441">
        <v>0.27212520000000001</v>
      </c>
      <c r="V7441">
        <v>-0.19691620000000001</v>
      </c>
      <c r="W7441">
        <v>-6.3092120000000002E-2</v>
      </c>
      <c r="X7441">
        <v>0.97838809999999998</v>
      </c>
      <c r="Y7441">
        <v>-6.201607E-2</v>
      </c>
      <c r="Z7441">
        <v>7.662433E-4</v>
      </c>
      <c r="AA7441">
        <v>0.99807480000000004</v>
      </c>
      <c r="AB7441">
        <v>35</v>
      </c>
      <c r="AC7441">
        <v>22.0717</v>
      </c>
      <c r="AD7441">
        <v>-1.1101299486503</v>
      </c>
      <c r="AE7441">
        <v>2.0042399999999798</v>
      </c>
      <c r="AF7441">
        <v>-1.38316887818413</v>
      </c>
      <c r="AG7441">
        <v>-1.1101299486503</v>
      </c>
      <c r="AH7441">
        <v>22.063731125109001</v>
      </c>
      <c r="AI7441">
        <v>92.874756931380404</v>
      </c>
      <c r="AJ7441">
        <v>93.587161463922001</v>
      </c>
      <c r="AK7441">
        <v>22.1348994985198</v>
      </c>
      <c r="AL7441">
        <v>93.617314983304297</v>
      </c>
      <c r="AM7441">
        <v>101.379658716809</v>
      </c>
      <c r="AN7441">
        <v>0.99999993982506996</v>
      </c>
    </row>
    <row r="7442" spans="1:40" x14ac:dyDescent="0.25">
      <c r="A7442" t="str">
        <f>"20190305135108919"</f>
        <v>20190305135108919</v>
      </c>
      <c r="B7442" t="str">
        <f>"1551765068917060"</f>
        <v>1551765068917060</v>
      </c>
      <c r="C7442" t="s">
        <v>40</v>
      </c>
      <c r="D7442">
        <v>3.9117500000000001</v>
      </c>
      <c r="E7442">
        <v>0.55170920000000001</v>
      </c>
      <c r="F7442" t="s">
        <v>116</v>
      </c>
      <c r="G7442">
        <v>-214.00720000000001</v>
      </c>
      <c r="H7442" s="1">
        <v>-8.4002809999999998E-7</v>
      </c>
      <c r="I7442">
        <v>-60.954709999999999</v>
      </c>
      <c r="J7442">
        <v>-236.14580000000001</v>
      </c>
      <c r="K7442">
        <v>1.110125</v>
      </c>
      <c r="L7442">
        <v>-62.972079999999998</v>
      </c>
      <c r="M7442">
        <v>0.99954140000000002</v>
      </c>
      <c r="N7442">
        <v>-1.0597209999999999E-2</v>
      </c>
      <c r="O7442">
        <v>2.83699E-2</v>
      </c>
      <c r="P7442">
        <v>0.97168589999999999</v>
      </c>
      <c r="Q7442">
        <v>-7.3170209999999999E-2</v>
      </c>
      <c r="R7442">
        <v>0.224661</v>
      </c>
      <c r="S7442">
        <v>3.0128020000000002</v>
      </c>
      <c r="T7442">
        <v>-0.14989149999999901</v>
      </c>
      <c r="U7442">
        <v>0.27310180000000001</v>
      </c>
      <c r="V7442">
        <v>-0.196848</v>
      </c>
      <c r="W7442">
        <v>-6.3288300000000006E-2</v>
      </c>
      <c r="X7442">
        <v>0.97838919999999996</v>
      </c>
      <c r="Y7442">
        <v>-6.191431E-2</v>
      </c>
      <c r="Z7442">
        <v>7.5797149999999895E-4</v>
      </c>
      <c r="AA7442">
        <v>0.9980812</v>
      </c>
      <c r="AB7442">
        <v>35</v>
      </c>
      <c r="AC7442">
        <v>22.1386</v>
      </c>
      <c r="AD7442">
        <v>-1.1101258400281</v>
      </c>
      <c r="AE7442">
        <v>2.0173700000000001</v>
      </c>
      <c r="AF7442">
        <v>-1.38499897763805</v>
      </c>
      <c r="AG7442">
        <v>-1.1101258400281</v>
      </c>
      <c r="AH7442">
        <v>22.131732872103701</v>
      </c>
      <c r="AI7442">
        <v>92.865947763745595</v>
      </c>
      <c r="AJ7442">
        <v>93.580887632428698</v>
      </c>
      <c r="AK7442">
        <v>22.202797154208099</v>
      </c>
      <c r="AL7442">
        <v>93.628577613296699</v>
      </c>
      <c r="AM7442">
        <v>101.37580780696899</v>
      </c>
      <c r="AN7442">
        <v>0.999999985348764</v>
      </c>
    </row>
    <row r="7443" spans="1:40" x14ac:dyDescent="0.25">
      <c r="A7443" t="str">
        <f>"20190305135108931"</f>
        <v>20190305135108931</v>
      </c>
      <c r="B7443" t="str">
        <f>"1551765068926820"</f>
        <v>1551765068926820</v>
      </c>
      <c r="C7443" t="s">
        <v>40</v>
      </c>
      <c r="D7443">
        <v>3.7045159999999999</v>
      </c>
      <c r="E7443">
        <v>0.54477759999999997</v>
      </c>
      <c r="F7443" t="s">
        <v>116</v>
      </c>
      <c r="G7443">
        <v>-214.07339999999999</v>
      </c>
      <c r="H7443" s="1">
        <v>-8.7103999999999899E-7</v>
      </c>
      <c r="I7443">
        <v>-60.964410000000001</v>
      </c>
      <c r="J7443">
        <v>-235.97</v>
      </c>
      <c r="K7443">
        <v>1.1101209999999999</v>
      </c>
      <c r="L7443">
        <v>-62.966709999999999</v>
      </c>
      <c r="M7443">
        <v>0.99952730000000001</v>
      </c>
      <c r="N7443">
        <v>-1.080217E-2</v>
      </c>
      <c r="O7443">
        <v>2.8785169999999999E-2</v>
      </c>
      <c r="P7443">
        <v>0.97157859999999996</v>
      </c>
      <c r="Q7443">
        <v>-7.3602890000000004E-2</v>
      </c>
      <c r="R7443">
        <v>0.22498389999999999</v>
      </c>
      <c r="S7443">
        <v>3.0126499999999998</v>
      </c>
      <c r="T7443">
        <v>-0.1515203</v>
      </c>
      <c r="U7443">
        <v>0.27401730000000002</v>
      </c>
      <c r="V7443">
        <v>-0.1967749</v>
      </c>
      <c r="W7443">
        <v>-6.3495449999999995E-2</v>
      </c>
      <c r="X7443">
        <v>0.97839050000000005</v>
      </c>
      <c r="Y7443">
        <v>-6.1803660000000003E-2</v>
      </c>
      <c r="Z7443">
        <v>7.5184229999999996E-4</v>
      </c>
      <c r="AA7443">
        <v>0.99808810000000003</v>
      </c>
      <c r="AB7443">
        <v>35</v>
      </c>
      <c r="AC7443">
        <v>21.896599999999999</v>
      </c>
      <c r="AD7443">
        <v>-1.11012187103999</v>
      </c>
      <c r="AE7443">
        <v>2.0022999999999902</v>
      </c>
      <c r="AF7443">
        <v>-1.3676499392263499</v>
      </c>
      <c r="AG7443">
        <v>-1.11012187103999</v>
      </c>
      <c r="AH7443">
        <v>21.889369141288299</v>
      </c>
      <c r="AI7443">
        <v>92.897633978671905</v>
      </c>
      <c r="AJ7443">
        <v>93.575198536341006</v>
      </c>
      <c r="AK7443">
        <v>21.960130198348399</v>
      </c>
      <c r="AL7443">
        <v>93.640470293365993</v>
      </c>
      <c r="AM7443">
        <v>101.371678743472</v>
      </c>
      <c r="AN7443">
        <v>1.00000000196548</v>
      </c>
    </row>
    <row r="7444" spans="1:40" x14ac:dyDescent="0.25">
      <c r="A7444" t="str">
        <f>"20190305135108942"</f>
        <v>20190305135108942</v>
      </c>
      <c r="B7444" t="str">
        <f>"1551765068937556"</f>
        <v>1551765068937556</v>
      </c>
      <c r="C7444" t="s">
        <v>40</v>
      </c>
      <c r="D7444">
        <v>3.8656929999999998</v>
      </c>
      <c r="E7444">
        <v>0.54477759999999997</v>
      </c>
      <c r="F7444" t="s">
        <v>115</v>
      </c>
      <c r="G7444">
        <v>-224.101</v>
      </c>
      <c r="H7444" s="1">
        <v>-1.164583E-6</v>
      </c>
      <c r="I7444">
        <v>-61.675260000000002</v>
      </c>
      <c r="J7444">
        <v>-235.78559999999999</v>
      </c>
      <c r="K7444">
        <v>1.1101000000000001</v>
      </c>
      <c r="L7444">
        <v>-62.960999999999999</v>
      </c>
      <c r="M7444">
        <v>0.99951400000000001</v>
      </c>
      <c r="N7444">
        <v>-1.1017239999999999E-2</v>
      </c>
      <c r="O7444">
        <v>2.9166339999999999E-2</v>
      </c>
      <c r="P7444">
        <v>0.97148319999999999</v>
      </c>
      <c r="Q7444">
        <v>-7.4194369999999996E-2</v>
      </c>
      <c r="R7444">
        <v>0.2252017</v>
      </c>
      <c r="S7444">
        <v>2.9912109999999998</v>
      </c>
      <c r="T7444">
        <v>-0.27977249999999998</v>
      </c>
      <c r="U7444">
        <v>0.32546999999999998</v>
      </c>
      <c r="V7444">
        <v>-0.19663059999999999</v>
      </c>
      <c r="W7444">
        <v>-6.3847669999999995E-2</v>
      </c>
      <c r="X7444">
        <v>0.97839659999999995</v>
      </c>
      <c r="Y7444">
        <v>-7.8844670000000006E-2</v>
      </c>
      <c r="Z7444">
        <v>1.7123430000000001E-3</v>
      </c>
      <c r="AA7444">
        <v>0.99688540000000003</v>
      </c>
      <c r="AB7444">
        <v>35</v>
      </c>
      <c r="AC7444">
        <v>11.6845999999999</v>
      </c>
      <c r="AD7444">
        <v>-1.1101011645829999</v>
      </c>
      <c r="AE7444">
        <v>1.2857400000000101</v>
      </c>
      <c r="AF7444">
        <v>-0.93602773881238199</v>
      </c>
      <c r="AG7444">
        <v>-1.1101011645829999</v>
      </c>
      <c r="AH7444">
        <v>11.613560587420601</v>
      </c>
      <c r="AI7444">
        <v>95.442579252035898</v>
      </c>
      <c r="AJ7444">
        <v>94.607954737125198</v>
      </c>
      <c r="AK7444">
        <v>11.7039848787122</v>
      </c>
      <c r="AL7444">
        <v>93.660692006604904</v>
      </c>
      <c r="AM7444">
        <v>101.363487644</v>
      </c>
      <c r="AN7444">
        <v>1.0000000123561701</v>
      </c>
    </row>
    <row r="7445" spans="1:40" x14ac:dyDescent="0.25">
      <c r="A7445" t="str">
        <f>"20190305135108954"</f>
        <v>20190305135108954</v>
      </c>
      <c r="B7445" t="str">
        <f>"1551765068947316"</f>
        <v>1551765068947316</v>
      </c>
      <c r="C7445" t="s">
        <v>40</v>
      </c>
      <c r="D7445">
        <v>3.847998</v>
      </c>
      <c r="E7445">
        <v>0.5520834</v>
      </c>
      <c r="F7445" t="s">
        <v>115</v>
      </c>
      <c r="G7445">
        <v>-223.99170000000001</v>
      </c>
      <c r="H7445" s="1">
        <v>-1.1176779999999999E-6</v>
      </c>
      <c r="I7445">
        <v>-61.67521</v>
      </c>
      <c r="J7445">
        <v>-235.61449999999999</v>
      </c>
      <c r="K7445">
        <v>1.1100840000000001</v>
      </c>
      <c r="L7445">
        <v>-62.955660000000002</v>
      </c>
      <c r="M7445">
        <v>0.999502</v>
      </c>
      <c r="N7445">
        <v>-1.121338E-2</v>
      </c>
      <c r="O7445">
        <v>2.949966E-2</v>
      </c>
      <c r="P7445">
        <v>0.97137459999999998</v>
      </c>
      <c r="Q7445">
        <v>-7.4542159999999996E-2</v>
      </c>
      <c r="R7445">
        <v>0.2255548</v>
      </c>
      <c r="S7445">
        <v>2.9909669999999999</v>
      </c>
      <c r="T7445">
        <v>-0.28152440000000001</v>
      </c>
      <c r="U7445">
        <v>0.32608029999999999</v>
      </c>
      <c r="V7445">
        <v>-0.19666900000000001</v>
      </c>
      <c r="W7445">
        <v>-6.3977039999999999E-2</v>
      </c>
      <c r="X7445">
        <v>0.97838040000000004</v>
      </c>
      <c r="Y7445">
        <v>-7.8719380000000005E-2</v>
      </c>
      <c r="Z7445">
        <v>1.697825E-3</v>
      </c>
      <c r="AA7445">
        <v>0.99689539999999999</v>
      </c>
      <c r="AB7445">
        <v>35</v>
      </c>
      <c r="AC7445">
        <v>11.6227999999999</v>
      </c>
      <c r="AD7445">
        <v>-1.110085117678</v>
      </c>
      <c r="AE7445">
        <v>1.2804499999999901</v>
      </c>
      <c r="AF7445">
        <v>-0.92863306513354904</v>
      </c>
      <c r="AG7445">
        <v>-1.110085117678</v>
      </c>
      <c r="AH7445">
        <v>11.551407590839499</v>
      </c>
      <c r="AI7445">
        <v>95.471697300351096</v>
      </c>
      <c r="AJ7445">
        <v>94.5961997621378</v>
      </c>
      <c r="AK7445">
        <v>11.6417209066295</v>
      </c>
      <c r="AL7445">
        <v>93.668119657934099</v>
      </c>
      <c r="AM7445">
        <v>101.36583235961</v>
      </c>
      <c r="AN7445">
        <v>0.99999998215616004</v>
      </c>
    </row>
    <row r="7446" spans="1:40" x14ac:dyDescent="0.25">
      <c r="A7446" t="str">
        <f>"20190305135108963"</f>
        <v>20190305135108963</v>
      </c>
      <c r="B7446" t="str">
        <f>"1551765068957076"</f>
        <v>1551765068957076</v>
      </c>
      <c r="C7446" t="s">
        <v>40</v>
      </c>
      <c r="D7446">
        <v>3.9259740000000001</v>
      </c>
      <c r="E7446">
        <v>0.55276709999999996</v>
      </c>
      <c r="F7446" t="s">
        <v>116</v>
      </c>
      <c r="G7446">
        <v>-215.41229999999999</v>
      </c>
      <c r="H7446" s="1">
        <v>-1.48695699999999E-6</v>
      </c>
      <c r="I7446">
        <v>-61.120480000000001</v>
      </c>
      <c r="J7446">
        <v>-235.45179999999999</v>
      </c>
      <c r="K7446">
        <v>1.1100620000000001</v>
      </c>
      <c r="L7446">
        <v>-62.950560000000003</v>
      </c>
      <c r="M7446">
        <v>0.99949160000000004</v>
      </c>
      <c r="N7446">
        <v>-1.1393790000000001E-2</v>
      </c>
      <c r="O7446">
        <v>2.9782579999999999E-2</v>
      </c>
      <c r="P7446">
        <v>0.97126590000000002</v>
      </c>
      <c r="Q7446">
        <v>-7.482635E-2</v>
      </c>
      <c r="R7446">
        <v>0.2259285</v>
      </c>
      <c r="S7446">
        <v>3.0121769999999999</v>
      </c>
      <c r="T7446">
        <v>-0.16551589999999999</v>
      </c>
      <c r="U7446">
        <v>0.27362059999999999</v>
      </c>
      <c r="V7446">
        <v>-0.1967776</v>
      </c>
      <c r="W7446">
        <v>-6.4059210000000005E-2</v>
      </c>
      <c r="X7446">
        <v>0.97835320000000003</v>
      </c>
      <c r="Y7446">
        <v>-6.068142E-2</v>
      </c>
      <c r="Z7446">
        <v>7.1664539999999896E-4</v>
      </c>
      <c r="AA7446">
        <v>0.99815690000000001</v>
      </c>
      <c r="AB7446">
        <v>35</v>
      </c>
      <c r="AC7446">
        <v>20.0395</v>
      </c>
      <c r="AD7446">
        <v>-1.1100634869570001</v>
      </c>
      <c r="AE7446">
        <v>1.8300799999999799</v>
      </c>
      <c r="AF7446">
        <v>-1.2286624691677901</v>
      </c>
      <c r="AG7446">
        <v>-1.1100634869570001</v>
      </c>
      <c r="AH7446">
        <v>20.024181973159902</v>
      </c>
      <c r="AI7446">
        <v>93.167065383646502</v>
      </c>
      <c r="AJ7446">
        <v>93.511205926432694</v>
      </c>
      <c r="AK7446">
        <v>20.0925288627997</v>
      </c>
      <c r="AL7446">
        <v>93.672837281810203</v>
      </c>
      <c r="AM7446">
        <v>101.372252968903</v>
      </c>
      <c r="AN7446">
        <v>0.99999999509891202</v>
      </c>
    </row>
    <row r="7447" spans="1:40" x14ac:dyDescent="0.25">
      <c r="A7447" t="str">
        <f>"20190305135108976"</f>
        <v>20190305135108976</v>
      </c>
      <c r="B7447" t="str">
        <f>"1551765068966837"</f>
        <v>1551765068966837</v>
      </c>
      <c r="C7447" t="s">
        <v>40</v>
      </c>
      <c r="D7447">
        <v>3.8473470000000001</v>
      </c>
      <c r="E7447">
        <v>0.55284119999999903</v>
      </c>
      <c r="F7447" t="s">
        <v>116</v>
      </c>
      <c r="G7447">
        <v>-214.26130000000001</v>
      </c>
      <c r="H7447" s="1">
        <v>-9.7549920000000008E-7</v>
      </c>
      <c r="I7447">
        <v>-61.05415</v>
      </c>
      <c r="J7447">
        <v>-235.2611</v>
      </c>
      <c r="K7447">
        <v>1.110033</v>
      </c>
      <c r="L7447">
        <v>-62.944580000000002</v>
      </c>
      <c r="M7447">
        <v>0.99948040000000005</v>
      </c>
      <c r="N7447">
        <v>-1.159848E-2</v>
      </c>
      <c r="O7447">
        <v>3.0076530000000001E-2</v>
      </c>
      <c r="P7447">
        <v>0.97113289999999997</v>
      </c>
      <c r="Q7447">
        <v>-7.5295970000000004E-2</v>
      </c>
      <c r="R7447">
        <v>0.22634380000000001</v>
      </c>
      <c r="S7447">
        <v>3.0138850000000001</v>
      </c>
      <c r="T7447">
        <v>-0.15788150000000001</v>
      </c>
      <c r="U7447">
        <v>0.26971440000000002</v>
      </c>
      <c r="V7447">
        <v>-0.1969188</v>
      </c>
      <c r="W7447">
        <v>-6.4297999999999994E-2</v>
      </c>
      <c r="X7447">
        <v>0.97830919999999999</v>
      </c>
      <c r="Y7447">
        <v>-5.906177E-2</v>
      </c>
      <c r="Z7447">
        <v>6.6382089999999995E-4</v>
      </c>
      <c r="AA7447">
        <v>0.99825410000000003</v>
      </c>
      <c r="AB7447">
        <v>35</v>
      </c>
      <c r="AC7447">
        <v>20.9998</v>
      </c>
      <c r="AD7447">
        <v>-1.1100339754991999</v>
      </c>
      <c r="AE7447">
        <v>1.8904300000000001</v>
      </c>
      <c r="AF7447">
        <v>-1.25445421456933</v>
      </c>
      <c r="AG7447">
        <v>-1.1100339754991999</v>
      </c>
      <c r="AH7447">
        <v>20.988985852268598</v>
      </c>
      <c r="AI7447">
        <v>93.021970199256103</v>
      </c>
      <c r="AJ7447">
        <v>93.420343100753996</v>
      </c>
      <c r="AK7447">
        <v>21.0557203132533</v>
      </c>
      <c r="AL7447">
        <v>93.686546933377699</v>
      </c>
      <c r="AM7447">
        <v>101.38069887334299</v>
      </c>
      <c r="AN7447">
        <v>1.00000006870103</v>
      </c>
    </row>
    <row r="7448" spans="1:40" x14ac:dyDescent="0.25">
      <c r="A7448" t="str">
        <f>"20190305135108987"</f>
        <v>20190305135108987</v>
      </c>
      <c r="B7448" t="str">
        <f>"1551765068977573"</f>
        <v>1551765068977573</v>
      </c>
      <c r="C7448" t="s">
        <v>40</v>
      </c>
      <c r="D7448">
        <v>3.8657560000000002</v>
      </c>
      <c r="E7448">
        <v>0.55269899999999905</v>
      </c>
      <c r="F7448" t="s">
        <v>116</v>
      </c>
      <c r="G7448">
        <v>-213.99199999999999</v>
      </c>
      <c r="H7448" s="1">
        <v>-8.5494159999999999E-7</v>
      </c>
      <c r="I7448">
        <v>-61.035139999999998</v>
      </c>
      <c r="J7448">
        <v>-235.0889</v>
      </c>
      <c r="K7448">
        <v>1.110001</v>
      </c>
      <c r="L7448">
        <v>-62.939120000000003</v>
      </c>
      <c r="M7448">
        <v>0.99947109999999995</v>
      </c>
      <c r="N7448">
        <v>-1.177828E-2</v>
      </c>
      <c r="O7448">
        <v>3.0314399999999998E-2</v>
      </c>
      <c r="P7448">
        <v>0.9710126</v>
      </c>
      <c r="Q7448">
        <v>-7.5745720000000002E-2</v>
      </c>
      <c r="R7448">
        <v>0.22670989999999999</v>
      </c>
      <c r="S7448">
        <v>3.0139309999999999</v>
      </c>
      <c r="T7448">
        <v>-0.15729689999999999</v>
      </c>
      <c r="U7448">
        <v>0.2705688</v>
      </c>
      <c r="V7448">
        <v>-0.19706489999999999</v>
      </c>
      <c r="W7448">
        <v>-6.4543749999999997E-2</v>
      </c>
      <c r="X7448">
        <v>0.97826349999999995</v>
      </c>
      <c r="Y7448">
        <v>-5.9103589999999998E-2</v>
      </c>
      <c r="Z7448">
        <v>6.6641460000000003E-4</v>
      </c>
      <c r="AA7448">
        <v>0.99825160000000002</v>
      </c>
      <c r="AB7448">
        <v>35</v>
      </c>
      <c r="AC7448">
        <v>21.096899999999899</v>
      </c>
      <c r="AD7448">
        <v>-1.1100018549416</v>
      </c>
      <c r="AE7448">
        <v>1.90397999999998</v>
      </c>
      <c r="AF7448">
        <v>-1.26006063784851</v>
      </c>
      <c r="AG7448">
        <v>-1.1100018549416</v>
      </c>
      <c r="AH7448">
        <v>21.087021627791401</v>
      </c>
      <c r="AI7448">
        <v>93.007861867601207</v>
      </c>
      <c r="AJ7448">
        <v>93.419658370906404</v>
      </c>
      <c r="AK7448">
        <v>21.153778340050099</v>
      </c>
      <c r="AL7448">
        <v>93.700657033585401</v>
      </c>
      <c r="AM7448">
        <v>101.389440106831</v>
      </c>
      <c r="AN7448">
        <v>0.99999997295415999</v>
      </c>
    </row>
    <row r="7449" spans="1:40" x14ac:dyDescent="0.25">
      <c r="A7449" t="str">
        <f>"20190305135108999"</f>
        <v>20190305135108999</v>
      </c>
      <c r="B7449" t="str">
        <f>"1551765068987333"</f>
        <v>1551765068987333</v>
      </c>
      <c r="C7449" t="s">
        <v>40</v>
      </c>
      <c r="D7449">
        <v>4.0139509999999996</v>
      </c>
      <c r="E7449">
        <v>0.55291840000000003</v>
      </c>
      <c r="F7449" t="s">
        <v>116</v>
      </c>
      <c r="G7449">
        <v>-214.55680000000001</v>
      </c>
      <c r="H7449" s="1">
        <v>-1.1092750000000001E-6</v>
      </c>
      <c r="I7449">
        <v>-61.080399999999997</v>
      </c>
      <c r="J7449">
        <v>-234.917</v>
      </c>
      <c r="K7449">
        <v>1.1099619999999999</v>
      </c>
      <c r="L7449">
        <v>-62.933689999999999</v>
      </c>
      <c r="M7449">
        <v>0.99946349999999995</v>
      </c>
      <c r="N7449">
        <v>-1.1948169999999999E-2</v>
      </c>
      <c r="O7449">
        <v>3.0499970000000001E-2</v>
      </c>
      <c r="P7449">
        <v>0.97090980000000005</v>
      </c>
      <c r="Q7449">
        <v>-7.5997350000000005E-2</v>
      </c>
      <c r="R7449">
        <v>0.2270654</v>
      </c>
      <c r="S7449">
        <v>3.0131679999999998</v>
      </c>
      <c r="T7449">
        <v>-0.16289729999999999</v>
      </c>
      <c r="U7449">
        <v>0.27276610000000001</v>
      </c>
      <c r="V7449">
        <v>-0.19725119999999999</v>
      </c>
      <c r="W7449">
        <v>-6.4600080000000004E-2</v>
      </c>
      <c r="X7449">
        <v>0.97822229999999999</v>
      </c>
      <c r="Y7449">
        <v>-5.9657330000000001E-2</v>
      </c>
      <c r="Z7449">
        <v>6.8566949999999895E-4</v>
      </c>
      <c r="AA7449">
        <v>0.99821870000000001</v>
      </c>
      <c r="AB7449">
        <v>35</v>
      </c>
      <c r="AC7449">
        <v>20.360199999999899</v>
      </c>
      <c r="AD7449">
        <v>-1.109963109275</v>
      </c>
      <c r="AE7449">
        <v>1.8532900000000001</v>
      </c>
      <c r="AF7449">
        <v>-1.2277789300420101</v>
      </c>
      <c r="AG7449">
        <v>-1.109963109275</v>
      </c>
      <c r="AH7449">
        <v>20.347279975658498</v>
      </c>
      <c r="AI7449">
        <v>93.116785594702904</v>
      </c>
      <c r="AJ7449">
        <v>93.453108147991699</v>
      </c>
      <c r="AK7449">
        <v>20.4144865625574</v>
      </c>
      <c r="AL7449">
        <v>93.703891016177707</v>
      </c>
      <c r="AM7449">
        <v>101.40039314841501</v>
      </c>
      <c r="AN7449">
        <v>1.0000000372273601</v>
      </c>
    </row>
    <row r="7450" spans="1:40" x14ac:dyDescent="0.25">
      <c r="A7450" t="str">
        <f>"20190305135109010"</f>
        <v>20190305135109010</v>
      </c>
      <c r="B7450" t="str">
        <f>"1551765069006852"</f>
        <v>1551765069006852</v>
      </c>
      <c r="C7450" t="s">
        <v>40</v>
      </c>
      <c r="D7450">
        <v>3.842044</v>
      </c>
      <c r="E7450">
        <v>0.55350359999999998</v>
      </c>
      <c r="F7450" t="s">
        <v>116</v>
      </c>
      <c r="G7450">
        <v>-213.7559</v>
      </c>
      <c r="H7450" s="1">
        <v>-7.4999460000000002E-7</v>
      </c>
      <c r="I7450">
        <v>-61.021450000000002</v>
      </c>
      <c r="J7450">
        <v>-234.73910000000001</v>
      </c>
      <c r="K7450">
        <v>1.10992</v>
      </c>
      <c r="L7450">
        <v>-62.928069999999998</v>
      </c>
      <c r="M7450">
        <v>0.99945589999999995</v>
      </c>
      <c r="N7450">
        <v>-1.2121079999999999E-2</v>
      </c>
      <c r="O7450">
        <v>3.0677579999999999E-2</v>
      </c>
      <c r="P7450">
        <v>0.97077199999999997</v>
      </c>
      <c r="Q7450">
        <v>-7.6436329999999997E-2</v>
      </c>
      <c r="R7450">
        <v>0.22750680000000001</v>
      </c>
      <c r="S7450">
        <v>3.0138240000000001</v>
      </c>
      <c r="T7450">
        <v>-0.15808420000000001</v>
      </c>
      <c r="U7450">
        <v>0.27233889999999999</v>
      </c>
      <c r="V7450">
        <v>-0.19753309999999999</v>
      </c>
      <c r="W7450">
        <v>-6.4840019999999998E-2</v>
      </c>
      <c r="X7450">
        <v>0.97814950000000001</v>
      </c>
      <c r="Y7450">
        <v>-5.9323840000000003E-2</v>
      </c>
      <c r="Z7450">
        <v>6.7927539999999896E-4</v>
      </c>
      <c r="AA7450">
        <v>0.99823859999999998</v>
      </c>
      <c r="AB7450">
        <v>35</v>
      </c>
      <c r="AC7450">
        <v>20.9832</v>
      </c>
      <c r="AD7450">
        <v>-1.1099207499946</v>
      </c>
      <c r="AE7450">
        <v>1.90661999999999</v>
      </c>
      <c r="AF7450">
        <v>-1.25846913178016</v>
      </c>
      <c r="AG7450">
        <v>-1.1099207499946</v>
      </c>
      <c r="AH7450">
        <v>20.973614554317201</v>
      </c>
      <c r="AI7450">
        <v>93.023830588886796</v>
      </c>
      <c r="AJ7450">
        <v>93.433772610312602</v>
      </c>
      <c r="AK7450">
        <v>21.040631551832799</v>
      </c>
      <c r="AL7450">
        <v>93.717667589933001</v>
      </c>
      <c r="AM7450">
        <v>101.41708576312701</v>
      </c>
      <c r="AN7450">
        <v>0.99999999906973003</v>
      </c>
    </row>
    <row r="7451" spans="1:40" x14ac:dyDescent="0.25">
      <c r="A7451" t="str">
        <f>"20190305135109019"</f>
        <v>20190305135109019</v>
      </c>
      <c r="B7451" t="str">
        <f>"1551765069006852"</f>
        <v>1551765069006852</v>
      </c>
      <c r="C7451" t="s">
        <v>40</v>
      </c>
      <c r="D7451">
        <v>3.842044</v>
      </c>
      <c r="E7451">
        <v>0.55350359999999998</v>
      </c>
      <c r="F7451" t="s">
        <v>116</v>
      </c>
      <c r="G7451">
        <v>-212.97239999999999</v>
      </c>
      <c r="H7451" s="1">
        <v>-4.037114E-7</v>
      </c>
      <c r="I7451">
        <v>-60.9833</v>
      </c>
      <c r="J7451">
        <v>-234.59379999999999</v>
      </c>
      <c r="K7451">
        <v>1.1098840000000001</v>
      </c>
      <c r="L7451">
        <v>-62.923459999999999</v>
      </c>
      <c r="M7451">
        <v>0.99945139999999999</v>
      </c>
      <c r="N7451">
        <v>-1.225162E-2</v>
      </c>
      <c r="O7451">
        <v>3.0774889999999999E-2</v>
      </c>
      <c r="P7451">
        <v>0.97067990000000004</v>
      </c>
      <c r="Q7451">
        <v>-7.6888949999999998E-2</v>
      </c>
      <c r="R7451">
        <v>0.22774730000000001</v>
      </c>
      <c r="S7451">
        <v>3.015091</v>
      </c>
      <c r="T7451">
        <v>-0.15374399999999999</v>
      </c>
      <c r="U7451">
        <v>0.26937870000000003</v>
      </c>
      <c r="V7451">
        <v>-0.19768930000000001</v>
      </c>
      <c r="W7451">
        <v>-6.5140370000000003E-2</v>
      </c>
      <c r="X7451">
        <v>0.97809800000000002</v>
      </c>
      <c r="Y7451">
        <v>-5.8221469999999997E-2</v>
      </c>
      <c r="Z7451">
        <v>6.5004530000000002E-4</v>
      </c>
      <c r="AA7451">
        <v>0.99830350000000001</v>
      </c>
      <c r="AB7451">
        <v>35</v>
      </c>
      <c r="AC7451">
        <v>21.621399999999898</v>
      </c>
      <c r="AD7451">
        <v>-1.1098844037114</v>
      </c>
      <c r="AE7451">
        <v>1.9401599999999899</v>
      </c>
      <c r="AF7451">
        <v>-1.2704738222679199</v>
      </c>
      <c r="AG7451">
        <v>-1.1098844037114</v>
      </c>
      <c r="AH7451">
        <v>21.6143700998953</v>
      </c>
      <c r="AI7451">
        <v>92.934464681067595</v>
      </c>
      <c r="AJ7451">
        <v>93.363925403977603</v>
      </c>
      <c r="AK7451">
        <v>21.6801047492376</v>
      </c>
      <c r="AL7451">
        <v>93.734912785771002</v>
      </c>
      <c r="AM7451">
        <v>101.42646228199099</v>
      </c>
      <c r="AN7451">
        <v>1.0000000123711099</v>
      </c>
    </row>
    <row r="7452" spans="1:40" x14ac:dyDescent="0.25">
      <c r="A7452" t="str">
        <f>"20190305135109031"</f>
        <v>20190305135109031</v>
      </c>
      <c r="B7452" t="str">
        <f>"1551765069027348"</f>
        <v>1551765069027348</v>
      </c>
      <c r="C7452" t="s">
        <v>40</v>
      </c>
      <c r="D7452">
        <v>3.8554659999999998</v>
      </c>
      <c r="E7452">
        <v>0.55389109999999997</v>
      </c>
      <c r="F7452" t="s">
        <v>116</v>
      </c>
      <c r="G7452">
        <v>-212.995</v>
      </c>
      <c r="H7452" s="1">
        <v>-4.1470210000000002E-7</v>
      </c>
      <c r="I7452">
        <v>-60.988140000000001</v>
      </c>
      <c r="J7452">
        <v>-234.4134</v>
      </c>
      <c r="K7452">
        <v>1.1098380000000001</v>
      </c>
      <c r="L7452">
        <v>-62.917760000000001</v>
      </c>
      <c r="M7452">
        <v>0.99944569999999999</v>
      </c>
      <c r="N7452">
        <v>-1.241197E-2</v>
      </c>
      <c r="O7452">
        <v>3.0890540000000001E-2</v>
      </c>
      <c r="P7452">
        <v>0.97065000000000001</v>
      </c>
      <c r="Q7452">
        <v>-7.6564789999999994E-2</v>
      </c>
      <c r="R7452">
        <v>0.22798389999999999</v>
      </c>
      <c r="S7452">
        <v>3.0149539999999999</v>
      </c>
      <c r="T7452">
        <v>-0.1549276</v>
      </c>
      <c r="U7452">
        <v>0.27014159999999998</v>
      </c>
      <c r="V7452">
        <v>-0.1978241</v>
      </c>
      <c r="W7452">
        <v>-6.4628179999999993E-2</v>
      </c>
      <c r="X7452">
        <v>0.97810469999999905</v>
      </c>
      <c r="Y7452">
        <v>-5.835912E-2</v>
      </c>
      <c r="Z7452">
        <v>6.5890509999999905E-4</v>
      </c>
      <c r="AA7452">
        <v>0.99829540000000005</v>
      </c>
      <c r="AB7452">
        <v>35</v>
      </c>
      <c r="AC7452">
        <v>21.418399999999899</v>
      </c>
      <c r="AD7452">
        <v>-1.1098384147021001</v>
      </c>
      <c r="AE7452">
        <v>1.9296199999999899</v>
      </c>
      <c r="AF7452">
        <v>-1.26365646708212</v>
      </c>
      <c r="AG7452">
        <v>-1.1098384147021001</v>
      </c>
      <c r="AH7452">
        <v>21.410763382269302</v>
      </c>
      <c r="AI7452">
        <v>92.962156371057603</v>
      </c>
      <c r="AJ7452">
        <v>93.377660551450404</v>
      </c>
      <c r="AK7452">
        <v>21.476716638841001</v>
      </c>
      <c r="AL7452">
        <v>93.705504573560304</v>
      </c>
      <c r="AM7452">
        <v>101.433972321832</v>
      </c>
      <c r="AN7452">
        <v>0.99999999017650598</v>
      </c>
    </row>
    <row r="7453" spans="1:40" x14ac:dyDescent="0.25">
      <c r="A7453" t="str">
        <f>"20190305135109042"</f>
        <v>20190305135109042</v>
      </c>
      <c r="B7453" t="str">
        <f>"1551765069037108"</f>
        <v>1551765069037108</v>
      </c>
      <c r="C7453" t="s">
        <v>40</v>
      </c>
      <c r="D7453">
        <v>3.8742429999999999</v>
      </c>
      <c r="E7453">
        <v>0.55405660000000001</v>
      </c>
      <c r="F7453" t="s">
        <v>116</v>
      </c>
      <c r="G7453">
        <v>-212.36580000000001</v>
      </c>
      <c r="H7453" s="1">
        <v>-1.3694570000000001E-7</v>
      </c>
      <c r="I7453">
        <v>-60.95861</v>
      </c>
      <c r="J7453">
        <v>-234.22380000000001</v>
      </c>
      <c r="K7453">
        <v>1.109793</v>
      </c>
      <c r="L7453">
        <v>-62.911769999999997</v>
      </c>
      <c r="M7453">
        <v>0.99944140000000004</v>
      </c>
      <c r="N7453">
        <v>-1.256708E-2</v>
      </c>
      <c r="O7453">
        <v>3.096842E-2</v>
      </c>
      <c r="P7453">
        <v>0.97064240000000002</v>
      </c>
      <c r="Q7453">
        <v>-7.6365450000000001E-2</v>
      </c>
      <c r="R7453">
        <v>0.2280827</v>
      </c>
      <c r="S7453">
        <v>3.0157929999999999</v>
      </c>
      <c r="T7453">
        <v>-0.1518099</v>
      </c>
      <c r="U7453">
        <v>0.26797490000000002</v>
      </c>
      <c r="V7453">
        <v>-0.1978569</v>
      </c>
      <c r="W7453">
        <v>-6.4246830000000005E-2</v>
      </c>
      <c r="X7453">
        <v>0.97812319999999997</v>
      </c>
      <c r="Y7453">
        <v>-5.754811E-2</v>
      </c>
      <c r="Z7453">
        <v>6.4159139999999998E-4</v>
      </c>
      <c r="AA7453">
        <v>0.99834250000000002</v>
      </c>
      <c r="AB7453">
        <v>35</v>
      </c>
      <c r="AC7453">
        <v>21.858000000000001</v>
      </c>
      <c r="AD7453">
        <v>-1.1097931369456999</v>
      </c>
      <c r="AE7453">
        <v>1.95315999999999</v>
      </c>
      <c r="AF7453">
        <v>-1.27200877618811</v>
      </c>
      <c r="AG7453">
        <v>-1.1097931369456999</v>
      </c>
      <c r="AH7453">
        <v>21.852119520807499</v>
      </c>
      <c r="AI7453">
        <v>92.9024507004155</v>
      </c>
      <c r="AJ7453">
        <v>93.331419874340099</v>
      </c>
      <c r="AK7453">
        <v>21.917225524348801</v>
      </c>
      <c r="AL7453">
        <v>93.683609283066502</v>
      </c>
      <c r="AM7453">
        <v>101.435607577507</v>
      </c>
      <c r="AN7453">
        <v>1.00000000121044</v>
      </c>
    </row>
    <row r="7454" spans="1:40" x14ac:dyDescent="0.25">
      <c r="A7454" t="str">
        <f>"20190305135109053"</f>
        <v>20190305135109053</v>
      </c>
      <c r="B7454" t="str">
        <f>"1551765069046869"</f>
        <v>1551765069046869</v>
      </c>
      <c r="C7454" t="s">
        <v>40</v>
      </c>
      <c r="D7454">
        <v>3.9074279999999999</v>
      </c>
      <c r="E7454">
        <v>0.55426370000000003</v>
      </c>
      <c r="F7454" t="s">
        <v>116</v>
      </c>
      <c r="G7454">
        <v>-211.87690000000001</v>
      </c>
      <c r="H7454" s="1">
        <v>7.9608240000000004E-8</v>
      </c>
      <c r="I7454">
        <v>-60.933070000000001</v>
      </c>
      <c r="J7454">
        <v>-234.06270000000001</v>
      </c>
      <c r="K7454">
        <v>1.1097549999999901</v>
      </c>
      <c r="L7454">
        <v>-62.906680000000001</v>
      </c>
      <c r="M7454">
        <v>0.9994381</v>
      </c>
      <c r="N7454">
        <v>-1.269409E-2</v>
      </c>
      <c r="O7454">
        <v>3.101947E-2</v>
      </c>
      <c r="P7454">
        <v>0.97057680000000002</v>
      </c>
      <c r="Q7454">
        <v>-7.6450969999999993E-2</v>
      </c>
      <c r="R7454">
        <v>0.2283327</v>
      </c>
      <c r="S7454">
        <v>3.0161899999999999</v>
      </c>
      <c r="T7454">
        <v>-0.14978959999999999</v>
      </c>
      <c r="U7454">
        <v>0.2670593</v>
      </c>
      <c r="V7454">
        <v>-0.1980672</v>
      </c>
      <c r="W7454">
        <v>-6.4184149999999995E-2</v>
      </c>
      <c r="X7454">
        <v>0.97808470000000003</v>
      </c>
      <c r="Y7454">
        <v>-5.7186479999999998E-2</v>
      </c>
      <c r="Z7454">
        <v>6.3751080000000004E-4</v>
      </c>
      <c r="AA7454">
        <v>0.99836329999999995</v>
      </c>
      <c r="AB7454">
        <v>35</v>
      </c>
      <c r="AC7454">
        <v>22.1858</v>
      </c>
      <c r="AD7454">
        <v>-1.1097549203917501</v>
      </c>
      <c r="AE7454">
        <v>1.9736100000000001</v>
      </c>
      <c r="AF7454">
        <v>-1.2812322519164701</v>
      </c>
      <c r="AG7454">
        <v>-1.1097549203917501</v>
      </c>
      <c r="AH7454">
        <v>22.181283362101802</v>
      </c>
      <c r="AI7454">
        <v>92.859426793654606</v>
      </c>
      <c r="AJ7454">
        <v>93.305837666749895</v>
      </c>
      <c r="AK7454">
        <v>22.245953422061699</v>
      </c>
      <c r="AL7454">
        <v>93.680010742538897</v>
      </c>
      <c r="AM7454">
        <v>101.447880338837</v>
      </c>
      <c r="AN7454">
        <v>0.999999950600575</v>
      </c>
    </row>
    <row r="7455" spans="1:40" x14ac:dyDescent="0.25">
      <c r="A7455" t="str">
        <f>"20190305135109063"</f>
        <v>20190305135109063</v>
      </c>
      <c r="B7455" t="str">
        <f>"1551765069057604"</f>
        <v>1551765069057604</v>
      </c>
      <c r="C7455" t="s">
        <v>40</v>
      </c>
      <c r="D7455">
        <v>3.9011900000000002</v>
      </c>
      <c r="E7455">
        <v>0.55446930000000005</v>
      </c>
      <c r="F7455" t="s">
        <v>116</v>
      </c>
      <c r="G7455">
        <v>-211.5181</v>
      </c>
      <c r="H7455" s="1">
        <v>2.3793850000000001E-7</v>
      </c>
      <c r="I7455">
        <v>-60.916449999999998</v>
      </c>
      <c r="J7455">
        <v>-233.89940000000001</v>
      </c>
      <c r="K7455">
        <v>1.1097159999999999</v>
      </c>
      <c r="L7455">
        <v>-62.90155</v>
      </c>
      <c r="M7455">
        <v>0.99943579999999999</v>
      </c>
      <c r="N7455">
        <v>-1.2814600000000001E-2</v>
      </c>
      <c r="O7455">
        <v>3.104589E-2</v>
      </c>
      <c r="P7455">
        <v>0.97058129999999998</v>
      </c>
      <c r="Q7455">
        <v>-7.6338249999999996E-2</v>
      </c>
      <c r="R7455">
        <v>0.22835179999999999</v>
      </c>
      <c r="S7455">
        <v>3.0166019999999998</v>
      </c>
      <c r="T7455">
        <v>-0.14849200000000001</v>
      </c>
      <c r="U7455">
        <v>0.26629639999999999</v>
      </c>
      <c r="V7455">
        <v>-0.19806760000000001</v>
      </c>
      <c r="W7455">
        <v>-6.3929840000000002E-2</v>
      </c>
      <c r="X7455">
        <v>0.97810129999999995</v>
      </c>
      <c r="Y7455">
        <v>-5.6898570000000002E-2</v>
      </c>
      <c r="Z7455">
        <v>6.3586890000000003E-4</v>
      </c>
      <c r="AA7455">
        <v>0.99837980000000004</v>
      </c>
      <c r="AB7455">
        <v>35</v>
      </c>
      <c r="AC7455">
        <v>22.3813</v>
      </c>
      <c r="AD7455">
        <v>-1.1097157620614999</v>
      </c>
      <c r="AE7455">
        <v>1.9851000000000001</v>
      </c>
      <c r="AF7455">
        <v>-1.2861014259874599</v>
      </c>
      <c r="AG7455">
        <v>-1.1097157620614999</v>
      </c>
      <c r="AH7455">
        <v>22.377560164270701</v>
      </c>
      <c r="AI7455">
        <v>92.834334548225399</v>
      </c>
      <c r="AJ7455">
        <v>93.289331359593803</v>
      </c>
      <c r="AK7455">
        <v>22.4419412007083</v>
      </c>
      <c r="AL7455">
        <v>93.665409772788195</v>
      </c>
      <c r="AM7455">
        <v>101.447713687369</v>
      </c>
      <c r="AN7455">
        <v>0.99999997583693701</v>
      </c>
    </row>
    <row r="7456" spans="1:40" x14ac:dyDescent="0.25">
      <c r="A7456" t="str">
        <f>"20190305135109075"</f>
        <v>20190305135109075</v>
      </c>
      <c r="B7456" t="str">
        <f>"1551765069067364"</f>
        <v>1551765069067364</v>
      </c>
      <c r="C7456" t="s">
        <v>40</v>
      </c>
      <c r="D7456">
        <v>3.871826</v>
      </c>
      <c r="E7456">
        <v>0.5545679</v>
      </c>
      <c r="F7456" t="s">
        <v>116</v>
      </c>
      <c r="G7456">
        <v>-211.1799</v>
      </c>
      <c r="H7456" s="1">
        <v>3.8537389999999998E-7</v>
      </c>
      <c r="I7456">
        <v>-60.90766</v>
      </c>
      <c r="J7456">
        <v>-233.72389999999999</v>
      </c>
      <c r="K7456">
        <v>1.1096710000000001</v>
      </c>
      <c r="L7456">
        <v>-62.896059999999999</v>
      </c>
      <c r="M7456">
        <v>0.99943419999999905</v>
      </c>
      <c r="N7456">
        <v>-1.2937250000000001E-2</v>
      </c>
      <c r="O7456">
        <v>3.105167E-2</v>
      </c>
      <c r="P7456">
        <v>0.97064249999999996</v>
      </c>
      <c r="Q7456">
        <v>-7.6190620000000001E-2</v>
      </c>
      <c r="R7456">
        <v>0.22814090000000001</v>
      </c>
      <c r="S7456">
        <v>3.0170439999999998</v>
      </c>
      <c r="T7456">
        <v>-0.14736459999999901</v>
      </c>
      <c r="U7456">
        <v>0.26477050000000002</v>
      </c>
      <c r="V7456">
        <v>-0.19785720000000001</v>
      </c>
      <c r="W7456">
        <v>-6.3636869999999998E-2</v>
      </c>
      <c r="X7456">
        <v>0.978163</v>
      </c>
      <c r="Y7456">
        <v>-5.6380090000000001E-2</v>
      </c>
      <c r="Z7456">
        <v>6.2794339999999998E-4</v>
      </c>
      <c r="AA7456">
        <v>0.9984092</v>
      </c>
      <c r="AB7456">
        <v>35</v>
      </c>
      <c r="AC7456">
        <v>22.543999999999901</v>
      </c>
      <c r="AD7456">
        <v>-1.1096706146260999</v>
      </c>
      <c r="AE7456">
        <v>1.98839999999999</v>
      </c>
      <c r="AF7456">
        <v>-1.28426609818094</v>
      </c>
      <c r="AG7456">
        <v>-1.1096706146260999</v>
      </c>
      <c r="AH7456">
        <v>22.540684244037401</v>
      </c>
      <c r="AI7456">
        <v>92.813821309940906</v>
      </c>
      <c r="AJ7456">
        <v>93.260928518334893</v>
      </c>
      <c r="AK7456">
        <v>22.6044941211543</v>
      </c>
      <c r="AL7456">
        <v>93.648589531021997</v>
      </c>
      <c r="AM7456">
        <v>101.43517141956301</v>
      </c>
      <c r="AN7456">
        <v>0.99999998869211804</v>
      </c>
    </row>
    <row r="7457" spans="1:40" x14ac:dyDescent="0.25">
      <c r="A7457" t="str">
        <f>"20190305135109085"</f>
        <v>20190305135109085</v>
      </c>
      <c r="B7457" t="str">
        <f>"1551765069077124"</f>
        <v>1551765069077124</v>
      </c>
      <c r="C7457" t="s">
        <v>40</v>
      </c>
      <c r="D7457">
        <v>3.861024</v>
      </c>
      <c r="E7457">
        <v>0.55465249999999999</v>
      </c>
      <c r="F7457" t="s">
        <v>116</v>
      </c>
      <c r="G7457">
        <v>-210.85329999999999</v>
      </c>
      <c r="H7457" s="1">
        <v>5.2758380000000004E-7</v>
      </c>
      <c r="I7457">
        <v>-60.899749999999997</v>
      </c>
      <c r="J7457">
        <v>-233.55330000000001</v>
      </c>
      <c r="K7457">
        <v>1.109632</v>
      </c>
      <c r="L7457">
        <v>-62.890720000000002</v>
      </c>
      <c r="M7457">
        <v>0.99943309999999996</v>
      </c>
      <c r="N7457">
        <v>-1.305013E-2</v>
      </c>
      <c r="O7457">
        <v>3.1036560000000001E-2</v>
      </c>
      <c r="P7457">
        <v>0.97072910000000001</v>
      </c>
      <c r="Q7457">
        <v>-7.6449080000000003E-2</v>
      </c>
      <c r="R7457">
        <v>0.2276852</v>
      </c>
      <c r="S7457">
        <v>3.0173489999999998</v>
      </c>
      <c r="T7457">
        <v>-0.1464</v>
      </c>
      <c r="U7457">
        <v>0.26336670000000001</v>
      </c>
      <c r="V7457">
        <v>-0.1974214</v>
      </c>
      <c r="W7457">
        <v>-6.3760739999999996E-2</v>
      </c>
      <c r="X7457">
        <v>0.97824299999999997</v>
      </c>
      <c r="Y7457">
        <v>-5.5926389999999999E-2</v>
      </c>
      <c r="Z7457">
        <v>6.2213519999999997E-4</v>
      </c>
      <c r="AA7457">
        <v>0.99843470000000001</v>
      </c>
      <c r="AB7457">
        <v>35</v>
      </c>
      <c r="AC7457">
        <v>22.7</v>
      </c>
      <c r="AD7457">
        <v>-1.1096314724162</v>
      </c>
      <c r="AE7457">
        <v>1.9909699999999899</v>
      </c>
      <c r="AF7457">
        <v>-1.28237996179196</v>
      </c>
      <c r="AG7457">
        <v>-1.1096314724162</v>
      </c>
      <c r="AH7457">
        <v>22.697040128479799</v>
      </c>
      <c r="AI7457">
        <v>92.794444854043803</v>
      </c>
      <c r="AJ7457">
        <v>93.233766402860596</v>
      </c>
      <c r="AK7457">
        <v>22.760303402301201</v>
      </c>
      <c r="AL7457">
        <v>93.655701145528198</v>
      </c>
      <c r="AM7457">
        <v>101.409737065271</v>
      </c>
      <c r="AN7457">
        <v>1.0000000040961501</v>
      </c>
    </row>
    <row r="7458" spans="1:40" x14ac:dyDescent="0.25">
      <c r="A7458" t="str">
        <f>"20190305135109097"</f>
        <v>20190305135109097</v>
      </c>
      <c r="B7458" t="str">
        <f>"1551765069086884"</f>
        <v>1551765069086884</v>
      </c>
      <c r="C7458" t="s">
        <v>40</v>
      </c>
      <c r="D7458">
        <v>3.9070849999999999</v>
      </c>
      <c r="E7458">
        <v>0.55471999999999999</v>
      </c>
      <c r="F7458" t="s">
        <v>116</v>
      </c>
      <c r="G7458">
        <v>-210.71889999999999</v>
      </c>
      <c r="H7458" s="1">
        <v>5.8152390000000005E-7</v>
      </c>
      <c r="I7458">
        <v>-60.913699999999999</v>
      </c>
      <c r="J7458">
        <v>-233.38300000000001</v>
      </c>
      <c r="K7458">
        <v>1.1095919999999999</v>
      </c>
      <c r="L7458">
        <v>-62.88541</v>
      </c>
      <c r="M7458">
        <v>0.99943309999999996</v>
      </c>
      <c r="N7458">
        <v>-1.315407E-2</v>
      </c>
      <c r="O7458">
        <v>3.0992829999999999E-2</v>
      </c>
      <c r="P7458">
        <v>0.97074740000000004</v>
      </c>
      <c r="Q7458">
        <v>-7.6927239999999994E-2</v>
      </c>
      <c r="R7458">
        <v>0.22744610000000001</v>
      </c>
      <c r="S7458">
        <v>3.017639</v>
      </c>
      <c r="T7458">
        <v>-0.146641299999999</v>
      </c>
      <c r="U7458">
        <v>0.26126100000000002</v>
      </c>
      <c r="V7458">
        <v>-0.19723180000000001</v>
      </c>
      <c r="W7458">
        <v>-6.4114729999999995E-2</v>
      </c>
      <c r="X7458">
        <v>0.97825810000000002</v>
      </c>
      <c r="Y7458">
        <v>-5.5270769999999997E-2</v>
      </c>
      <c r="Z7458">
        <v>6.0936230000000001E-4</v>
      </c>
      <c r="AA7458">
        <v>0.9984712</v>
      </c>
      <c r="AB7458">
        <v>35</v>
      </c>
      <c r="AC7458">
        <v>22.664099999999902</v>
      </c>
      <c r="AD7458">
        <v>-1.1095914184761</v>
      </c>
      <c r="AE7458">
        <v>1.9717100000000001</v>
      </c>
      <c r="AF7458">
        <v>-1.26526736729871</v>
      </c>
      <c r="AG7458">
        <v>-1.1095914184761</v>
      </c>
      <c r="AH7458">
        <v>22.660417918232</v>
      </c>
      <c r="AI7458">
        <v>92.798956867495207</v>
      </c>
      <c r="AJ7458">
        <v>93.195849399475506</v>
      </c>
      <c r="AK7458">
        <v>22.722821894642401</v>
      </c>
      <c r="AL7458">
        <v>93.6760248933724</v>
      </c>
      <c r="AM7458">
        <v>101.398895012431</v>
      </c>
      <c r="AN7458">
        <v>0.99999999587491095</v>
      </c>
    </row>
    <row r="7459" spans="1:40" x14ac:dyDescent="0.25">
      <c r="A7459" t="str">
        <f>"20190305135109108"</f>
        <v>20190305135109108</v>
      </c>
      <c r="B7459" t="str">
        <f>"1551765069097620"</f>
        <v>1551765069097620</v>
      </c>
      <c r="C7459" t="s">
        <v>40</v>
      </c>
      <c r="D7459">
        <v>3.8664369999999999</v>
      </c>
      <c r="E7459">
        <v>0.55480810000000003</v>
      </c>
      <c r="F7459" t="s">
        <v>116</v>
      </c>
      <c r="G7459">
        <v>-210.5367</v>
      </c>
      <c r="H7459" s="1">
        <v>6.5880440000000002E-7</v>
      </c>
      <c r="I7459">
        <v>-60.916989999999998</v>
      </c>
      <c r="J7459">
        <v>-233.20689999999999</v>
      </c>
      <c r="K7459">
        <v>1.10955</v>
      </c>
      <c r="L7459">
        <v>-62.879969999999901</v>
      </c>
      <c r="M7459">
        <v>0.99943360000000003</v>
      </c>
      <c r="N7459">
        <v>-1.3257990000000001E-2</v>
      </c>
      <c r="O7459">
        <v>3.0935649999999999E-2</v>
      </c>
      <c r="P7459">
        <v>0.97083529999999996</v>
      </c>
      <c r="Q7459">
        <v>-7.7653710000000001E-2</v>
      </c>
      <c r="R7459">
        <v>0.22682359999999999</v>
      </c>
      <c r="S7459">
        <v>3.017868</v>
      </c>
      <c r="T7459">
        <v>-0.1465707</v>
      </c>
      <c r="U7459">
        <v>0.26000980000000001</v>
      </c>
      <c r="V7459">
        <v>-0.1966704</v>
      </c>
      <c r="W7459">
        <v>-6.4715770000000006E-2</v>
      </c>
      <c r="X7459">
        <v>0.97833159999999997</v>
      </c>
      <c r="Y7459">
        <v>-5.4910729999999998E-2</v>
      </c>
      <c r="Z7459">
        <v>6.0643839999999997E-4</v>
      </c>
      <c r="AA7459">
        <v>0.99849109999999996</v>
      </c>
      <c r="AB7459">
        <v>35</v>
      </c>
      <c r="AC7459">
        <v>22.670199999999902</v>
      </c>
      <c r="AD7459">
        <v>-1.1095493411955999</v>
      </c>
      <c r="AE7459">
        <v>1.96297999999998</v>
      </c>
      <c r="AF7459">
        <v>-1.2576711640448399</v>
      </c>
      <c r="AG7459">
        <v>-1.1095493411955999</v>
      </c>
      <c r="AH7459">
        <v>22.666187939533799</v>
      </c>
      <c r="AI7459">
        <v>92.798193694979801</v>
      </c>
      <c r="AJ7459">
        <v>93.175895079097003</v>
      </c>
      <c r="AK7459">
        <v>22.728152415180698</v>
      </c>
      <c r="AL7459">
        <v>93.710533422779505</v>
      </c>
      <c r="AM7459">
        <v>101.36646334536201</v>
      </c>
      <c r="AN7459">
        <v>1.0000000483407001</v>
      </c>
    </row>
    <row r="7460" spans="1:40" x14ac:dyDescent="0.25">
      <c r="A7460" t="str">
        <f>"20190305135109121"</f>
        <v>20190305135109121</v>
      </c>
      <c r="B7460" t="str">
        <f>"1551765069117140"</f>
        <v>1551765069117140</v>
      </c>
      <c r="C7460" t="s">
        <v>40</v>
      </c>
      <c r="D7460">
        <v>3.8700749999999999</v>
      </c>
      <c r="E7460">
        <v>0.55456549999999905</v>
      </c>
      <c r="F7460" t="s">
        <v>116</v>
      </c>
      <c r="G7460">
        <v>-210.7072</v>
      </c>
      <c r="H7460" s="1">
        <v>5.7397759999999998E-7</v>
      </c>
      <c r="I7460">
        <v>-60.960900000000002</v>
      </c>
      <c r="J7460">
        <v>-233.035</v>
      </c>
      <c r="K7460">
        <v>1.1095090000000001</v>
      </c>
      <c r="L7460">
        <v>-62.874659999999999</v>
      </c>
      <c r="M7460">
        <v>0.99943499999999996</v>
      </c>
      <c r="N7460">
        <v>-1.334891E-2</v>
      </c>
      <c r="O7460">
        <v>3.0846160000000001E-2</v>
      </c>
      <c r="P7460">
        <v>0.97084179999999998</v>
      </c>
      <c r="Q7460">
        <v>-7.8653710000000002E-2</v>
      </c>
      <c r="R7460">
        <v>0.22645119999999999</v>
      </c>
      <c r="S7460">
        <v>3.0180820000000002</v>
      </c>
      <c r="T7460">
        <v>-0.14883379999999999</v>
      </c>
      <c r="U7460">
        <v>0.25741579999999997</v>
      </c>
      <c r="V7460">
        <v>-0.19639209999999999</v>
      </c>
      <c r="W7460">
        <v>-6.5605529999999995E-2</v>
      </c>
      <c r="X7460">
        <v>0.97832819999999998</v>
      </c>
      <c r="Y7460">
        <v>-5.4141549999999997E-2</v>
      </c>
      <c r="Z7460">
        <v>5.883002E-4</v>
      </c>
      <c r="AA7460">
        <v>0.99853309999999995</v>
      </c>
      <c r="AB7460">
        <v>35</v>
      </c>
      <c r="AC7460">
        <v>22.3278</v>
      </c>
      <c r="AD7460">
        <v>-1.1095084260224</v>
      </c>
      <c r="AE7460">
        <v>1.9137599999999899</v>
      </c>
      <c r="AF7460">
        <v>-1.2210677382569299</v>
      </c>
      <c r="AG7460">
        <v>-1.1095084260224</v>
      </c>
      <c r="AH7460">
        <v>22.321494774226501</v>
      </c>
      <c r="AI7460">
        <v>92.841351108754495</v>
      </c>
      <c r="AJ7460">
        <v>93.131168710359702</v>
      </c>
      <c r="AK7460">
        <v>22.382384688067699</v>
      </c>
      <c r="AL7460">
        <v>93.761621652186506</v>
      </c>
      <c r="AM7460">
        <v>101.350835396717</v>
      </c>
      <c r="AN7460">
        <v>1.00000000471211</v>
      </c>
    </row>
    <row r="7461" spans="1:40" x14ac:dyDescent="0.25">
      <c r="A7461" t="str">
        <f>"20190305135109131"</f>
        <v>20190305135109131</v>
      </c>
      <c r="B7461" t="str">
        <f>"1551765069126900"</f>
        <v>1551765069126900</v>
      </c>
      <c r="C7461" t="s">
        <v>40</v>
      </c>
      <c r="D7461">
        <v>3.8875470000000001</v>
      </c>
      <c r="E7461">
        <v>0.55449329999999997</v>
      </c>
      <c r="F7461" t="s">
        <v>116</v>
      </c>
      <c r="G7461">
        <v>-211.24619999999999</v>
      </c>
      <c r="H7461" s="1">
        <v>3.2955889999999997E-7</v>
      </c>
      <c r="I7461">
        <v>-61.0105199999999</v>
      </c>
      <c r="J7461">
        <v>-232.8605</v>
      </c>
      <c r="K7461">
        <v>1.1094679999999999</v>
      </c>
      <c r="L7461">
        <v>-62.869320000000002</v>
      </c>
      <c r="M7461">
        <v>0.99943680000000001</v>
      </c>
      <c r="N7461">
        <v>-1.343885E-2</v>
      </c>
      <c r="O7461">
        <v>3.0747710000000001E-2</v>
      </c>
      <c r="P7461">
        <v>0.97087610000000002</v>
      </c>
      <c r="Q7461">
        <v>-7.9409129999999994E-2</v>
      </c>
      <c r="R7461">
        <v>0.22603960000000001</v>
      </c>
      <c r="S7461">
        <v>3.0174259999999999</v>
      </c>
      <c r="T7461">
        <v>-0.15365039999999999</v>
      </c>
      <c r="U7461">
        <v>0.25814819999999999</v>
      </c>
      <c r="V7461">
        <v>-0.1960837</v>
      </c>
      <c r="W7461">
        <v>-6.6251290000000004E-2</v>
      </c>
      <c r="X7461">
        <v>0.97834650000000001</v>
      </c>
      <c r="Y7461">
        <v>-5.4494920000000002E-2</v>
      </c>
      <c r="Z7461">
        <v>6.0252509999999995E-4</v>
      </c>
      <c r="AA7461">
        <v>0.99851389999999995</v>
      </c>
      <c r="AB7461">
        <v>35</v>
      </c>
      <c r="AC7461">
        <v>21.6143</v>
      </c>
      <c r="AD7461">
        <v>-1.1094676704411</v>
      </c>
      <c r="AE7461">
        <v>1.8588</v>
      </c>
      <c r="AF7461">
        <v>-1.19015788787985</v>
      </c>
      <c r="AG7461">
        <v>-1.1094676704411</v>
      </c>
      <c r="AH7461">
        <v>21.6047312819193</v>
      </c>
      <c r="AI7461">
        <v>92.935284944160799</v>
      </c>
      <c r="AJ7461">
        <v>93.153113514332105</v>
      </c>
      <c r="AK7461">
        <v>21.665913506560901</v>
      </c>
      <c r="AL7461">
        <v>93.798701808914203</v>
      </c>
      <c r="AM7461">
        <v>101.33326603087799</v>
      </c>
      <c r="AN7461">
        <v>0.99999996244730105</v>
      </c>
    </row>
    <row r="7462" spans="1:40" x14ac:dyDescent="0.25">
      <c r="A7462" t="str">
        <f>"20190305135109143"</f>
        <v>20190305135109143</v>
      </c>
      <c r="B7462" t="str">
        <f>"1551765069137639"</f>
        <v>1551765069137639</v>
      </c>
      <c r="C7462" t="s">
        <v>40</v>
      </c>
      <c r="D7462">
        <v>3.878374</v>
      </c>
      <c r="E7462">
        <v>0.55437329999999996</v>
      </c>
      <c r="F7462" t="s">
        <v>116</v>
      </c>
      <c r="G7462">
        <v>-211.4554</v>
      </c>
      <c r="H7462" s="1">
        <v>2.311612E-7</v>
      </c>
      <c r="I7462">
        <v>-61.043100000000003</v>
      </c>
      <c r="J7462">
        <v>-232.67420000000001</v>
      </c>
      <c r="K7462">
        <v>1.1094250000000001</v>
      </c>
      <c r="L7462">
        <v>-62.863680000000002</v>
      </c>
      <c r="M7462">
        <v>0.99944</v>
      </c>
      <c r="N7462">
        <v>-1.352545E-2</v>
      </c>
      <c r="O7462">
        <v>3.0611269999999999E-2</v>
      </c>
      <c r="P7462">
        <v>0.97087429999999997</v>
      </c>
      <c r="Q7462">
        <v>-8.0284579999999994E-2</v>
      </c>
      <c r="R7462">
        <v>0.22573799999999999</v>
      </c>
      <c r="S7462">
        <v>3.017258</v>
      </c>
      <c r="T7462">
        <v>-0.15639</v>
      </c>
      <c r="U7462">
        <v>0.25741579999999997</v>
      </c>
      <c r="V7462">
        <v>-0.19592300000000001</v>
      </c>
      <c r="W7462">
        <v>-6.7020129999999997E-2</v>
      </c>
      <c r="X7462">
        <v>0.97832640000000004</v>
      </c>
      <c r="Y7462">
        <v>-5.4393339999999998E-2</v>
      </c>
      <c r="Z7462">
        <v>6.0627420000000003E-4</v>
      </c>
      <c r="AA7462">
        <v>0.99851939999999995</v>
      </c>
      <c r="AB7462">
        <v>35</v>
      </c>
      <c r="AC7462">
        <v>21.218800000000002</v>
      </c>
      <c r="AD7462">
        <v>-1.1094247688387999</v>
      </c>
      <c r="AE7462">
        <v>1.8205800000000001</v>
      </c>
      <c r="AF7462">
        <v>-1.1669660732416001</v>
      </c>
      <c r="AG7462">
        <v>-1.1094247688387999</v>
      </c>
      <c r="AH7462">
        <v>21.207039227652199</v>
      </c>
      <c r="AI7462">
        <v>92.990125370348196</v>
      </c>
      <c r="AJ7462">
        <v>93.149655456468494</v>
      </c>
      <c r="AK7462">
        <v>21.268078096927098</v>
      </c>
      <c r="AL7462">
        <v>93.842850957563201</v>
      </c>
      <c r="AM7462">
        <v>101.324444619815</v>
      </c>
      <c r="AN7462">
        <v>1.00000003234558</v>
      </c>
    </row>
    <row r="7463" spans="1:40" x14ac:dyDescent="0.25">
      <c r="A7463" t="str">
        <f>"20190305135109154"</f>
        <v>20190305135109154</v>
      </c>
      <c r="B7463" t="str">
        <f>"1551765069147396"</f>
        <v>1551765069147396</v>
      </c>
      <c r="C7463" t="s">
        <v>40</v>
      </c>
      <c r="D7463">
        <v>3.8945910000000001</v>
      </c>
      <c r="E7463">
        <v>0.55426589999999998</v>
      </c>
      <c r="F7463" t="s">
        <v>116</v>
      </c>
      <c r="G7463">
        <v>-211.6764</v>
      </c>
      <c r="H7463" s="1">
        <v>1.2870270000000001E-7</v>
      </c>
      <c r="I7463">
        <v>-61.071800000000003</v>
      </c>
      <c r="J7463">
        <v>-232.51060000000001</v>
      </c>
      <c r="K7463">
        <v>1.1093919999999999</v>
      </c>
      <c r="L7463">
        <v>-62.858759999999997</v>
      </c>
      <c r="M7463">
        <v>0.99944290000000002</v>
      </c>
      <c r="N7463">
        <v>-1.359781E-2</v>
      </c>
      <c r="O7463">
        <v>3.04801E-2</v>
      </c>
      <c r="P7463">
        <v>0.97083090000000005</v>
      </c>
      <c r="Q7463">
        <v>-8.0976179999999995E-2</v>
      </c>
      <c r="R7463">
        <v>0.2256775</v>
      </c>
      <c r="S7463">
        <v>3.016937</v>
      </c>
      <c r="T7463">
        <v>-0.1594005</v>
      </c>
      <c r="U7463">
        <v>0.25744630000000002</v>
      </c>
      <c r="V7463">
        <v>-0.19599900000000001</v>
      </c>
      <c r="W7463">
        <v>-6.7622920000000003E-2</v>
      </c>
      <c r="X7463">
        <v>0.97826970000000002</v>
      </c>
      <c r="Y7463">
        <v>-5.4540789999999999E-2</v>
      </c>
      <c r="Z7463">
        <v>6.1707760000000004E-4</v>
      </c>
      <c r="AA7463">
        <v>0.99851140000000005</v>
      </c>
      <c r="AB7463">
        <v>35</v>
      </c>
      <c r="AC7463">
        <v>20.834199999999999</v>
      </c>
      <c r="AD7463">
        <v>-1.1093918712973001</v>
      </c>
      <c r="AE7463">
        <v>1.7869599999999899</v>
      </c>
      <c r="AF7463">
        <v>-1.1478116244608201</v>
      </c>
      <c r="AG7463">
        <v>-1.1093918712973001</v>
      </c>
      <c r="AH7463">
        <v>20.820386577676</v>
      </c>
      <c r="AI7463">
        <v>93.045443855530095</v>
      </c>
      <c r="AJ7463">
        <v>93.155477348245398</v>
      </c>
      <c r="AK7463">
        <v>20.8814922621258</v>
      </c>
      <c r="AL7463">
        <v>93.877466795146702</v>
      </c>
      <c r="AM7463">
        <v>101.329363504553</v>
      </c>
      <c r="AN7463">
        <v>1.0000000366241999</v>
      </c>
    </row>
    <row r="7464" spans="1:40" x14ac:dyDescent="0.25">
      <c r="A7464" t="str">
        <f>"20190305135109163"</f>
        <v>20190305135109163</v>
      </c>
      <c r="B7464" t="str">
        <f>"1551765069157156"</f>
        <v>1551765069157156</v>
      </c>
      <c r="C7464" t="s">
        <v>40</v>
      </c>
      <c r="D7464">
        <v>3.906628</v>
      </c>
      <c r="E7464">
        <v>0.55415059999999905</v>
      </c>
      <c r="F7464" t="s">
        <v>116</v>
      </c>
      <c r="G7464">
        <v>-211.85910000000001</v>
      </c>
      <c r="H7464" s="1">
        <v>4.5137540000000003E-8</v>
      </c>
      <c r="I7464">
        <v>-61.0912199999999</v>
      </c>
      <c r="J7464">
        <v>-232.345</v>
      </c>
      <c r="K7464">
        <v>1.1093599999999999</v>
      </c>
      <c r="L7464">
        <v>-62.853819999999899</v>
      </c>
      <c r="M7464">
        <v>0.99944650000000002</v>
      </c>
      <c r="N7464">
        <v>-1.3665760000000001E-2</v>
      </c>
      <c r="O7464">
        <v>3.0330909999999999E-2</v>
      </c>
      <c r="P7464">
        <v>0.97082259999999998</v>
      </c>
      <c r="Q7464">
        <v>-8.1247100000000003E-2</v>
      </c>
      <c r="R7464">
        <v>0.22561580000000001</v>
      </c>
      <c r="S7464">
        <v>3.0165860000000002</v>
      </c>
      <c r="T7464">
        <v>-0.16205039999999901</v>
      </c>
      <c r="U7464">
        <v>0.25817869999999998</v>
      </c>
      <c r="V7464">
        <v>-0.19608929999999999</v>
      </c>
      <c r="W7464">
        <v>-6.7809690000000006E-2</v>
      </c>
      <c r="X7464">
        <v>0.97823859999999996</v>
      </c>
      <c r="Y7464">
        <v>-5.4937489999999999E-2</v>
      </c>
      <c r="Z7464">
        <v>6.3748880000000002E-4</v>
      </c>
      <c r="AA7464">
        <v>0.99848959999999998</v>
      </c>
      <c r="AB7464">
        <v>34</v>
      </c>
      <c r="AC7464">
        <v>20.485899999999901</v>
      </c>
      <c r="AD7464">
        <v>-1.10935995486246</v>
      </c>
      <c r="AE7464">
        <v>1.76259999999999</v>
      </c>
      <c r="AF7464">
        <v>-1.1370649714060901</v>
      </c>
      <c r="AG7464">
        <v>-1.10935995486246</v>
      </c>
      <c r="AH7464">
        <v>20.470351426021899</v>
      </c>
      <c r="AI7464">
        <v>93.097259051208397</v>
      </c>
      <c r="AJ7464">
        <v>93.179336856603896</v>
      </c>
      <c r="AK7464">
        <v>20.5318991757579</v>
      </c>
      <c r="AL7464">
        <v>93.888192833610702</v>
      </c>
      <c r="AM7464">
        <v>101.33479906018199</v>
      </c>
      <c r="AN7464">
        <v>0.99999996308117201</v>
      </c>
    </row>
    <row r="7465" spans="1:40" x14ac:dyDescent="0.25">
      <c r="A7465" t="str">
        <f>"20190305135109176"</f>
        <v>20190305135109176</v>
      </c>
      <c r="B7465" t="str">
        <f>"1551765069166916"</f>
        <v>1551765069166916</v>
      </c>
      <c r="C7465" t="s">
        <v>40</v>
      </c>
      <c r="D7465">
        <v>3.9264790000000001</v>
      </c>
      <c r="E7465">
        <v>0.55413009999999996</v>
      </c>
      <c r="F7465" t="s">
        <v>116</v>
      </c>
      <c r="G7465">
        <v>-211.79490000000001</v>
      </c>
      <c r="H7465" s="1">
        <v>7.3063459999999998E-8</v>
      </c>
      <c r="I7465">
        <v>-61.089840000000002</v>
      </c>
      <c r="J7465">
        <v>-232.1687</v>
      </c>
      <c r="K7465">
        <v>1.1093249999999999</v>
      </c>
      <c r="L7465">
        <v>-62.848599999999998</v>
      </c>
      <c r="M7465">
        <v>0.99945090000000003</v>
      </c>
      <c r="N7465">
        <v>-1.373313E-2</v>
      </c>
      <c r="O7465">
        <v>3.0155970000000001E-2</v>
      </c>
      <c r="P7465">
        <v>0.97081039999999996</v>
      </c>
      <c r="Q7465">
        <v>-8.1547040000000001E-2</v>
      </c>
      <c r="R7465">
        <v>0.2255605</v>
      </c>
      <c r="S7465">
        <v>3.0163730000000002</v>
      </c>
      <c r="T7465">
        <v>-0.16283349999999999</v>
      </c>
      <c r="U7465">
        <v>0.25891110000000001</v>
      </c>
      <c r="V7465">
        <v>-0.19621230000000001</v>
      </c>
      <c r="W7465">
        <v>-6.8026110000000001E-2</v>
      </c>
      <c r="X7465">
        <v>0.97819889999999998</v>
      </c>
      <c r="Y7465">
        <v>-5.5357299999999998E-2</v>
      </c>
      <c r="Z7465">
        <v>6.6184570000000001E-4</v>
      </c>
      <c r="AA7465">
        <v>0.99846639999999998</v>
      </c>
      <c r="AB7465">
        <v>34</v>
      </c>
      <c r="AC7465">
        <v>20.3737999999999</v>
      </c>
      <c r="AD7465">
        <v>-1.1093249269365399</v>
      </c>
      <c r="AE7465">
        <v>1.7587599999999901</v>
      </c>
      <c r="AF7465">
        <v>-1.1401551943934201</v>
      </c>
      <c r="AG7465">
        <v>-1.1093249269365399</v>
      </c>
      <c r="AH7465">
        <v>20.357667528665001</v>
      </c>
      <c r="AI7465">
        <v>93.114191851631006</v>
      </c>
      <c r="AJ7465">
        <v>93.205568918602296</v>
      </c>
      <c r="AK7465">
        <v>20.419725337733698</v>
      </c>
      <c r="AL7465">
        <v>93.900621524377996</v>
      </c>
      <c r="AM7465">
        <v>101.34217312936801</v>
      </c>
      <c r="AN7465">
        <v>0.99999995313711398</v>
      </c>
    </row>
    <row r="7466" spans="1:40" x14ac:dyDescent="0.25">
      <c r="A7466" t="str">
        <f>"20190305135109187"</f>
        <v>20190305135109187</v>
      </c>
      <c r="B7466" t="str">
        <f>"1551765069177652"</f>
        <v>1551765069177652</v>
      </c>
      <c r="C7466" t="s">
        <v>40</v>
      </c>
      <c r="D7466">
        <v>3.8896280000000001</v>
      </c>
      <c r="E7466">
        <v>0.5540735</v>
      </c>
      <c r="F7466" t="s">
        <v>116</v>
      </c>
      <c r="G7466">
        <v>-211.68799999999999</v>
      </c>
      <c r="H7466" s="1">
        <v>1.1878020000000001E-7</v>
      </c>
      <c r="I7466">
        <v>-61.090350000000001</v>
      </c>
      <c r="J7466">
        <v>-231.99449999999999</v>
      </c>
      <c r="K7466">
        <v>1.1092949999999999</v>
      </c>
      <c r="L7466">
        <v>-62.84348</v>
      </c>
      <c r="M7466">
        <v>0.99945569999999895</v>
      </c>
      <c r="N7466">
        <v>-1.37961E-2</v>
      </c>
      <c r="O7466">
        <v>2.997143E-2</v>
      </c>
      <c r="P7466">
        <v>0.97076110000000004</v>
      </c>
      <c r="Q7466">
        <v>-8.1441600000000003E-2</v>
      </c>
      <c r="R7466">
        <v>0.22581090000000001</v>
      </c>
      <c r="S7466">
        <v>3.016327</v>
      </c>
      <c r="T7466">
        <v>-0.16337750000000001</v>
      </c>
      <c r="U7466">
        <v>0.2589417</v>
      </c>
      <c r="V7466">
        <v>-0.1966495</v>
      </c>
      <c r="W7466">
        <v>-6.7842799999999995E-2</v>
      </c>
      <c r="X7466">
        <v>0.97812390000000005</v>
      </c>
      <c r="Y7466">
        <v>-5.555189E-2</v>
      </c>
      <c r="Z7466">
        <v>6.7906539999999902E-4</v>
      </c>
      <c r="AA7466">
        <v>0.9984556</v>
      </c>
      <c r="AB7466">
        <v>34</v>
      </c>
      <c r="AC7466">
        <v>20.3065</v>
      </c>
      <c r="AD7466">
        <v>-1.1092948812198</v>
      </c>
      <c r="AE7466">
        <v>1.7531300000000001</v>
      </c>
      <c r="AF7466">
        <v>-1.1402919394134701</v>
      </c>
      <c r="AG7466">
        <v>-1.1092948812198</v>
      </c>
      <c r="AH7466">
        <v>20.2898241226581</v>
      </c>
      <c r="AI7466">
        <v>93.124465930178701</v>
      </c>
      <c r="AJ7466">
        <v>93.216649899337796</v>
      </c>
      <c r="AK7466">
        <v>20.352094825078598</v>
      </c>
      <c r="AL7466">
        <v>93.890094063438298</v>
      </c>
      <c r="AM7466">
        <v>101.367637414855</v>
      </c>
      <c r="AN7466">
        <v>1.0000000175566499</v>
      </c>
    </row>
    <row r="7467" spans="1:40" x14ac:dyDescent="0.25">
      <c r="A7467" t="str">
        <f>"20190305135109200"</f>
        <v>20190305135109200</v>
      </c>
      <c r="B7467" t="str">
        <f>"1551765069197172"</f>
        <v>1551765069197172</v>
      </c>
      <c r="C7467" t="s">
        <v>40</v>
      </c>
      <c r="D7467">
        <v>3.934361</v>
      </c>
      <c r="E7467">
        <v>0.55399739999999997</v>
      </c>
      <c r="F7467" t="s">
        <v>116</v>
      </c>
      <c r="G7467">
        <v>-211.52119999999999</v>
      </c>
      <c r="H7467" s="1">
        <v>1.9384960000000001E-7</v>
      </c>
      <c r="I7467">
        <v>-61.077240000000003</v>
      </c>
      <c r="J7467">
        <v>-231.80959999999999</v>
      </c>
      <c r="K7467">
        <v>1.1092690000000001</v>
      </c>
      <c r="L7467">
        <v>-62.838099999999997</v>
      </c>
      <c r="M7467">
        <v>0.99946140000000006</v>
      </c>
      <c r="N7467">
        <v>-1.3856190000000001E-2</v>
      </c>
      <c r="O7467">
        <v>2.9752529999999999E-2</v>
      </c>
      <c r="P7467">
        <v>0.9706439</v>
      </c>
      <c r="Q7467">
        <v>-8.1296270000000004E-2</v>
      </c>
      <c r="R7467">
        <v>0.2263665</v>
      </c>
      <c r="S7467">
        <v>3.0161289999999998</v>
      </c>
      <c r="T7467">
        <v>-0.16342119999999999</v>
      </c>
      <c r="U7467">
        <v>0.2601929</v>
      </c>
      <c r="V7467">
        <v>-0.19742850000000001</v>
      </c>
      <c r="W7467">
        <v>-6.7623669999999997E-2</v>
      </c>
      <c r="X7467">
        <v>0.97798209999999997</v>
      </c>
      <c r="Y7467">
        <v>-5.6185739999999998E-2</v>
      </c>
      <c r="Z7467">
        <v>7.128239E-4</v>
      </c>
      <c r="AA7467">
        <v>0.99842010000000003</v>
      </c>
      <c r="AB7467">
        <v>34</v>
      </c>
      <c r="AC7467">
        <v>20.288399999999999</v>
      </c>
      <c r="AD7467">
        <v>-1.1092688061503999</v>
      </c>
      <c r="AE7467">
        <v>1.7608599999999901</v>
      </c>
      <c r="AF7467">
        <v>-1.15297034165542</v>
      </c>
      <c r="AG7467">
        <v>-1.1092688061503999</v>
      </c>
      <c r="AH7467">
        <v>20.271665364857199</v>
      </c>
      <c r="AI7467">
        <v>93.1270669583608</v>
      </c>
      <c r="AJ7467">
        <v>93.255245138332398</v>
      </c>
      <c r="AK7467">
        <v>20.3347051750888</v>
      </c>
      <c r="AL7467">
        <v>93.877510082988493</v>
      </c>
      <c r="AM7467">
        <v>101.413100690531</v>
      </c>
      <c r="AN7467">
        <v>0.99999998063846396</v>
      </c>
    </row>
    <row r="7468" spans="1:40" x14ac:dyDescent="0.25">
      <c r="A7468" t="str">
        <f>"20190305135109209"</f>
        <v>20190305135109209</v>
      </c>
      <c r="B7468" t="str">
        <f>"1551765069206934"</f>
        <v>1551765069206934</v>
      </c>
      <c r="C7468" t="s">
        <v>40</v>
      </c>
      <c r="D7468">
        <v>3.8852419999999999</v>
      </c>
      <c r="E7468">
        <v>0.55394469999999996</v>
      </c>
      <c r="F7468" t="s">
        <v>116</v>
      </c>
      <c r="G7468">
        <v>-211.25069999999999</v>
      </c>
      <c r="H7468" s="1">
        <v>3.1749350000000001E-7</v>
      </c>
      <c r="I7468">
        <v>-61.04853</v>
      </c>
      <c r="J7468">
        <v>-231.6542</v>
      </c>
      <c r="K7468">
        <v>1.1092519999999999</v>
      </c>
      <c r="L7468">
        <v>-62.833620000000003</v>
      </c>
      <c r="M7468">
        <v>0.99946619999999997</v>
      </c>
      <c r="N7468">
        <v>-1.390549E-2</v>
      </c>
      <c r="O7468">
        <v>2.9564509999999999E-2</v>
      </c>
      <c r="P7468">
        <v>0.97054620000000003</v>
      </c>
      <c r="Q7468">
        <v>-8.0861639999999999E-2</v>
      </c>
      <c r="R7468">
        <v>0.22693949999999999</v>
      </c>
      <c r="S7468">
        <v>3.0158839999999998</v>
      </c>
      <c r="T7468">
        <v>-0.16272400000000001</v>
      </c>
      <c r="U7468">
        <v>0.26251219999999997</v>
      </c>
      <c r="V7468">
        <v>-0.19819200000000001</v>
      </c>
      <c r="W7468">
        <v>-6.712833E-2</v>
      </c>
      <c r="X7468">
        <v>0.9778618</v>
      </c>
      <c r="Y7468">
        <v>-5.7141030000000002E-2</v>
      </c>
      <c r="Z7468">
        <v>7.5591979999999905E-4</v>
      </c>
      <c r="AA7468">
        <v>0.99836579999999997</v>
      </c>
      <c r="AB7468">
        <v>34</v>
      </c>
      <c r="AC7468">
        <v>20.403500000000001</v>
      </c>
      <c r="AD7468">
        <v>-1.1092516825065</v>
      </c>
      <c r="AE7468">
        <v>1.7850899999999801</v>
      </c>
      <c r="AF7468">
        <v>-1.1775777131165299</v>
      </c>
      <c r="AG7468">
        <v>-1.1092516825065</v>
      </c>
      <c r="AH7468">
        <v>20.387559339469998</v>
      </c>
      <c r="AI7468">
        <v>93.109121427605899</v>
      </c>
      <c r="AJ7468">
        <v>93.305709668856906</v>
      </c>
      <c r="AK7468">
        <v>20.451643073014601</v>
      </c>
      <c r="AL7468">
        <v>93.849064513787994</v>
      </c>
      <c r="AM7468">
        <v>101.457444960221</v>
      </c>
      <c r="AN7468">
        <v>0.99999999072591395</v>
      </c>
    </row>
    <row r="7469" spans="1:40" x14ac:dyDescent="0.25">
      <c r="A7469" t="str">
        <f>"20190305135109219"</f>
        <v>20190305135109219</v>
      </c>
      <c r="B7469" t="str">
        <f>"1551765069217669"</f>
        <v>1551765069217669</v>
      </c>
      <c r="C7469" t="s">
        <v>40</v>
      </c>
      <c r="D7469">
        <v>3.922504</v>
      </c>
      <c r="E7469">
        <v>0.55392069999999904</v>
      </c>
      <c r="F7469" t="s">
        <v>116</v>
      </c>
      <c r="G7469">
        <v>-210.9265</v>
      </c>
      <c r="H7469" s="1">
        <v>4.6574710000000001E-7</v>
      </c>
      <c r="I7469">
        <v>-61.014139999999998</v>
      </c>
      <c r="J7469">
        <v>-231.49160000000001</v>
      </c>
      <c r="K7469">
        <v>1.1092329999999999</v>
      </c>
      <c r="L7469">
        <v>-62.829009999999997</v>
      </c>
      <c r="M7469">
        <v>0.99947200000000003</v>
      </c>
      <c r="N7469">
        <v>-1.395076E-2</v>
      </c>
      <c r="O7469">
        <v>2.93443E-2</v>
      </c>
      <c r="P7469">
        <v>0.97041010000000005</v>
      </c>
      <c r="Q7469">
        <v>-8.061662E-2</v>
      </c>
      <c r="R7469">
        <v>0.22760749999999999</v>
      </c>
      <c r="S7469">
        <v>3.015701</v>
      </c>
      <c r="T7469">
        <v>-0.16138659999999999</v>
      </c>
      <c r="U7469">
        <v>0.26470949999999999</v>
      </c>
      <c r="V7469">
        <v>-0.19908319999999999</v>
      </c>
      <c r="W7469">
        <v>-6.6827639999999994E-2</v>
      </c>
      <c r="X7469">
        <v>0.97770140000000005</v>
      </c>
      <c r="Y7469">
        <v>-5.8087100000000003E-2</v>
      </c>
      <c r="Z7469">
        <v>7.995303E-4</v>
      </c>
      <c r="AA7469">
        <v>0.99831119999999995</v>
      </c>
      <c r="AB7469">
        <v>34</v>
      </c>
      <c r="AC7469">
        <v>20.565100000000001</v>
      </c>
      <c r="AD7469">
        <v>-1.1092325342528999</v>
      </c>
      <c r="AE7469">
        <v>1.81486999999999</v>
      </c>
      <c r="AF7469">
        <v>-1.2070765285833001</v>
      </c>
      <c r="AG7469">
        <v>-1.1092325342528999</v>
      </c>
      <c r="AH7469">
        <v>20.550179526100699</v>
      </c>
      <c r="AI7469">
        <v>93.084337657478798</v>
      </c>
      <c r="AJ7469">
        <v>93.361577295050395</v>
      </c>
      <c r="AK7469">
        <v>20.6154628644586</v>
      </c>
      <c r="AL7469">
        <v>93.831797279605496</v>
      </c>
      <c r="AM7469">
        <v>101.50943119033199</v>
      </c>
      <c r="AN7469">
        <v>1.0000000407760801</v>
      </c>
    </row>
    <row r="7470" spans="1:40" x14ac:dyDescent="0.25">
      <c r="A7470" t="str">
        <f>"20190305135109232"</f>
        <v>20190305135109232</v>
      </c>
      <c r="B7470" t="str">
        <f>"1551765069227429"</f>
        <v>1551765069227429</v>
      </c>
      <c r="C7470" t="s">
        <v>40</v>
      </c>
      <c r="D7470">
        <v>3.9160240000000002</v>
      </c>
      <c r="E7470">
        <v>0.55385930000000005</v>
      </c>
      <c r="F7470" t="s">
        <v>116</v>
      </c>
      <c r="G7470">
        <v>-210.64179999999999</v>
      </c>
      <c r="H7470" s="1">
        <v>5.961E-7</v>
      </c>
      <c r="I7470">
        <v>-60.9833</v>
      </c>
      <c r="J7470">
        <v>-231.31399999999999</v>
      </c>
      <c r="K7470">
        <v>1.1092120000000001</v>
      </c>
      <c r="L7470">
        <v>-62.824010000000001</v>
      </c>
      <c r="M7470">
        <v>0.99947850000000005</v>
      </c>
      <c r="N7470">
        <v>-1.3999019999999999E-2</v>
      </c>
      <c r="O7470">
        <v>2.909958E-2</v>
      </c>
      <c r="P7470">
        <v>0.97024889999999997</v>
      </c>
      <c r="Q7470">
        <v>-8.0023120000000003E-2</v>
      </c>
      <c r="R7470">
        <v>0.22850300000000001</v>
      </c>
      <c r="S7470">
        <v>3.0155180000000001</v>
      </c>
      <c r="T7470">
        <v>-0.1604285</v>
      </c>
      <c r="U7470">
        <v>0.26693729999999999</v>
      </c>
      <c r="V7470">
        <v>-0.2002266</v>
      </c>
      <c r="W7470">
        <v>-6.6174629999999998E-2</v>
      </c>
      <c r="X7470">
        <v>0.97751220000000005</v>
      </c>
      <c r="Y7470">
        <v>-5.9067290000000001E-2</v>
      </c>
      <c r="Z7470">
        <v>8.4488110000000005E-4</v>
      </c>
      <c r="AA7470">
        <v>0.99825359999999996</v>
      </c>
      <c r="AB7470">
        <v>34</v>
      </c>
      <c r="AC7470">
        <v>20.6722</v>
      </c>
      <c r="AD7470">
        <v>-1.1092114039000001</v>
      </c>
      <c r="AE7470">
        <v>1.8407099999999901</v>
      </c>
      <c r="AF7470">
        <v>-1.23479194550978</v>
      </c>
      <c r="AG7470">
        <v>-1.1092114039000001</v>
      </c>
      <c r="AH7470">
        <v>20.658004704657198</v>
      </c>
      <c r="AI7470">
        <v>93.068024195155004</v>
      </c>
      <c r="AJ7470">
        <v>93.420673546399797</v>
      </c>
      <c r="AK7470">
        <v>20.724580079337599</v>
      </c>
      <c r="AL7470">
        <v>93.794299950669696</v>
      </c>
      <c r="AM7470">
        <v>101.575934621052</v>
      </c>
      <c r="AN7470">
        <v>0.99999993707601598</v>
      </c>
    </row>
    <row r="7471" spans="1:40" x14ac:dyDescent="0.25">
      <c r="A7471" t="str">
        <f>"20190305135109243"</f>
        <v>20190305135109243</v>
      </c>
      <c r="B7471" t="str">
        <f>"1551765069237188"</f>
        <v>1551765069237188</v>
      </c>
      <c r="C7471" t="s">
        <v>40</v>
      </c>
      <c r="D7471">
        <v>4.0986929999999999</v>
      </c>
      <c r="E7471">
        <v>0.55388179999999998</v>
      </c>
      <c r="F7471" t="s">
        <v>116</v>
      </c>
      <c r="G7471">
        <v>-210.238</v>
      </c>
      <c r="H7471" s="1">
        <v>7.8210629999999998E-7</v>
      </c>
      <c r="I7471">
        <v>-60.935290000000002</v>
      </c>
      <c r="J7471">
        <v>-231.1344</v>
      </c>
      <c r="K7471">
        <v>1.1092010000000001</v>
      </c>
      <c r="L7471">
        <v>-62.819000000000003</v>
      </c>
      <c r="M7471">
        <v>0.99948570000000003</v>
      </c>
      <c r="N7471">
        <v>-1.404267E-2</v>
      </c>
      <c r="O7471">
        <v>2.8834849999999999E-2</v>
      </c>
      <c r="P7471">
        <v>0.97009900000000004</v>
      </c>
      <c r="Q7471">
        <v>-8.0038059999999994E-2</v>
      </c>
      <c r="R7471">
        <v>0.22913320000000001</v>
      </c>
      <c r="S7471">
        <v>3.0152589999999999</v>
      </c>
      <c r="T7471">
        <v>-0.1586901</v>
      </c>
      <c r="U7471">
        <v>0.27020260000000001</v>
      </c>
      <c r="V7471">
        <v>-0.2011233</v>
      </c>
      <c r="W7471">
        <v>-6.6135669999999994E-2</v>
      </c>
      <c r="X7471">
        <v>0.97733080000000006</v>
      </c>
      <c r="Y7471">
        <v>-6.0410440000000003E-2</v>
      </c>
      <c r="Z7471">
        <v>9.0207099999999995E-4</v>
      </c>
      <c r="AA7471">
        <v>0.99817319999999998</v>
      </c>
      <c r="AB7471">
        <v>34</v>
      </c>
      <c r="AC7471">
        <v>20.8964</v>
      </c>
      <c r="AD7471">
        <v>-1.1092002178936999</v>
      </c>
      <c r="AE7471">
        <v>1.88370999999999</v>
      </c>
      <c r="AF7471">
        <v>-1.2767543279265801</v>
      </c>
      <c r="AG7471">
        <v>-1.1092002178936999</v>
      </c>
      <c r="AH7471">
        <v>20.8836639975498</v>
      </c>
      <c r="AI7471">
        <v>93.034655524720804</v>
      </c>
      <c r="AJ7471">
        <v>93.498509558304505</v>
      </c>
      <c r="AK7471">
        <v>20.9520368627925</v>
      </c>
      <c r="AL7471">
        <v>93.792062564767704</v>
      </c>
      <c r="AM7471">
        <v>101.628467354387</v>
      </c>
      <c r="AN7471">
        <v>1.00000000063893</v>
      </c>
    </row>
    <row r="7472" spans="1:40" x14ac:dyDescent="0.25">
      <c r="A7472" t="str">
        <f>"20190305135109254"</f>
        <v>20190305135109254</v>
      </c>
      <c r="B7472" t="str">
        <f>"1551765069246948"</f>
        <v>1551765069246948</v>
      </c>
      <c r="C7472" t="s">
        <v>40</v>
      </c>
      <c r="D7472">
        <v>4.1349689999999999</v>
      </c>
      <c r="E7472">
        <v>0.55388179999999998</v>
      </c>
      <c r="F7472" t="s">
        <v>85</v>
      </c>
      <c r="G7472">
        <v>-209.95439999999999</v>
      </c>
      <c r="H7472" s="1">
        <v>-1.392592E-7</v>
      </c>
      <c r="I7472">
        <v>-60.908119999999997</v>
      </c>
      <c r="J7472">
        <v>-230.97049999999999</v>
      </c>
      <c r="K7472">
        <v>1.1091869999999999</v>
      </c>
      <c r="L7472">
        <v>-62.814480000000003</v>
      </c>
      <c r="M7472">
        <v>0.99949219999999905</v>
      </c>
      <c r="N7472">
        <v>-1.408037E-2</v>
      </c>
      <c r="O7472">
        <v>2.8586070000000002E-2</v>
      </c>
      <c r="P7472">
        <v>0.9699314</v>
      </c>
      <c r="Q7472">
        <v>-7.9765379999999997E-2</v>
      </c>
      <c r="R7472">
        <v>0.22993669999999999</v>
      </c>
      <c r="S7472">
        <v>3.0151819999999998</v>
      </c>
      <c r="T7472">
        <v>-0.15790580000000001</v>
      </c>
      <c r="U7472">
        <v>0.27203369999999999</v>
      </c>
      <c r="V7472">
        <v>-0.20217750000000001</v>
      </c>
      <c r="W7472">
        <v>-6.5816479999999997E-2</v>
      </c>
      <c r="X7472">
        <v>0.97713479999999997</v>
      </c>
      <c r="Y7472">
        <v>-6.1261309999999999E-2</v>
      </c>
      <c r="Z7472">
        <v>9.4165510000000004E-4</v>
      </c>
      <c r="AA7472">
        <v>0.99812129999999999</v>
      </c>
      <c r="AB7472">
        <v>34</v>
      </c>
      <c r="AC7472">
        <v>21.016099999999899</v>
      </c>
      <c r="AD7472">
        <v>-1.1091871392591901</v>
      </c>
      <c r="AE7472">
        <v>1.9063600000000001</v>
      </c>
      <c r="AF7472">
        <v>-1.30115872093139</v>
      </c>
      <c r="AG7472">
        <v>-1.1091871392591901</v>
      </c>
      <c r="AH7472">
        <v>21.0039810775747</v>
      </c>
      <c r="AI7472">
        <v>93.017118941523407</v>
      </c>
      <c r="AJ7472">
        <v>93.544840233021205</v>
      </c>
      <c r="AK7472">
        <v>21.073455607329102</v>
      </c>
      <c r="AL7472">
        <v>93.773734454547807</v>
      </c>
      <c r="AM7472">
        <v>101.690025896165</v>
      </c>
      <c r="AN7472">
        <v>0.99999998395844003</v>
      </c>
    </row>
    <row r="7473" spans="1:40" x14ac:dyDescent="0.25">
      <c r="A7473" t="str">
        <f>"20190305135109265"</f>
        <v>20190305135109265</v>
      </c>
      <c r="B7473" t="str">
        <f>"1551765069257685"</f>
        <v>1551765069257685</v>
      </c>
      <c r="C7473" t="s">
        <v>40</v>
      </c>
      <c r="D7473">
        <v>4.676069</v>
      </c>
      <c r="E7473">
        <v>0.56392719999999996</v>
      </c>
      <c r="F7473" t="s">
        <v>85</v>
      </c>
      <c r="G7473">
        <v>-209.68610000000001</v>
      </c>
      <c r="H7473" s="1">
        <v>-2.397096E-7</v>
      </c>
      <c r="I7473">
        <v>-60.876620000000003</v>
      </c>
      <c r="J7473">
        <v>-230.80549999999999</v>
      </c>
      <c r="K7473">
        <v>1.109173</v>
      </c>
      <c r="L7473">
        <v>-62.8099699999999</v>
      </c>
      <c r="M7473">
        <v>0.99949909999999997</v>
      </c>
      <c r="N7473">
        <v>-1.41155E-2</v>
      </c>
      <c r="O7473">
        <v>2.8325349999999999E-2</v>
      </c>
      <c r="P7473">
        <v>0.96983149999999996</v>
      </c>
      <c r="Q7473">
        <v>-7.9574899999999907E-2</v>
      </c>
      <c r="R7473">
        <v>0.23042319999999999</v>
      </c>
      <c r="S7473">
        <v>3.014999</v>
      </c>
      <c r="T7473">
        <v>-0.15712010000000001</v>
      </c>
      <c r="U7473">
        <v>0.27450560000000002</v>
      </c>
      <c r="V7473">
        <v>-0.20292460000000001</v>
      </c>
      <c r="W7473">
        <v>-6.5582000000000001E-2</v>
      </c>
      <c r="X7473">
        <v>0.97699570000000002</v>
      </c>
      <c r="Y7473">
        <v>-6.2337240000000002E-2</v>
      </c>
      <c r="Z7473">
        <v>9.8864780000000011E-4</v>
      </c>
      <c r="AA7473">
        <v>0.99805469999999996</v>
      </c>
      <c r="AB7473">
        <v>34</v>
      </c>
      <c r="AC7473">
        <v>21.119399999999899</v>
      </c>
      <c r="AD7473">
        <v>-1.1091732397095999</v>
      </c>
      <c r="AE7473">
        <v>1.9333499999999899</v>
      </c>
      <c r="AF7473">
        <v>-1.33066029887336</v>
      </c>
      <c r="AG7473">
        <v>-1.1091732397095999</v>
      </c>
      <c r="AH7473">
        <v>21.107955137491398</v>
      </c>
      <c r="AI7473">
        <v>93.002043047007803</v>
      </c>
      <c r="AJ7473">
        <v>93.607192702156695</v>
      </c>
      <c r="AK7473">
        <v>21.1789209402423</v>
      </c>
      <c r="AL7473">
        <v>93.760270609727201</v>
      </c>
      <c r="AM7473">
        <v>101.73365245054801</v>
      </c>
      <c r="AN7473">
        <v>0.99999999491382496</v>
      </c>
    </row>
    <row r="7474" spans="1:40" x14ac:dyDescent="0.25">
      <c r="A7474" t="str">
        <f>"20190305135109276"</f>
        <v>20190305135109276</v>
      </c>
      <c r="B7474" t="str">
        <f>"1551765069267444"</f>
        <v>1551765069267444</v>
      </c>
      <c r="C7474" t="s">
        <v>40</v>
      </c>
      <c r="D7474">
        <v>4.2389939999999999</v>
      </c>
      <c r="E7474">
        <v>0.56392719999999996</v>
      </c>
      <c r="F7474" t="s">
        <v>116</v>
      </c>
      <c r="G7474">
        <v>-217.31180000000001</v>
      </c>
      <c r="H7474" s="1">
        <v>-2.5200890000000001E-6</v>
      </c>
      <c r="I7474">
        <v>-61.940899999999999</v>
      </c>
      <c r="J7474">
        <v>-230.63570000000001</v>
      </c>
      <c r="K7474">
        <v>1.1091580000000001</v>
      </c>
      <c r="L7474">
        <v>-62.805390000000003</v>
      </c>
      <c r="M7474">
        <v>0.99950649999999996</v>
      </c>
      <c r="N7474">
        <v>-1.414901E-2</v>
      </c>
      <c r="O7474">
        <v>2.8047659999999999E-2</v>
      </c>
      <c r="P7474">
        <v>0.96975489999999998</v>
      </c>
      <c r="Q7474">
        <v>-7.9364489999999996E-2</v>
      </c>
      <c r="R7474">
        <v>0.23081769999999999</v>
      </c>
      <c r="S7474">
        <v>3.0265960000000001</v>
      </c>
      <c r="T7474">
        <v>-0.24878439999999999</v>
      </c>
      <c r="U7474">
        <v>0.1949158</v>
      </c>
      <c r="V7474">
        <v>-0.20359559999999999</v>
      </c>
      <c r="W7474">
        <v>-6.5329189999999995E-2</v>
      </c>
      <c r="X7474">
        <v>0.97687299999999999</v>
      </c>
      <c r="Y7474">
        <v>-3.6172089999999997E-2</v>
      </c>
      <c r="Z7474">
        <v>-1.6316E-4</v>
      </c>
      <c r="AA7474">
        <v>0.9993455</v>
      </c>
      <c r="AB7474">
        <v>34</v>
      </c>
      <c r="AC7474">
        <v>13.3239</v>
      </c>
      <c r="AD7474">
        <v>-1.109160520089</v>
      </c>
      <c r="AE7474">
        <v>0.86449000000000298</v>
      </c>
      <c r="AF7474">
        <v>-0.48704718903199901</v>
      </c>
      <c r="AG7474">
        <v>-1.109160520089</v>
      </c>
      <c r="AH7474">
        <v>13.251460362447199</v>
      </c>
      <c r="AI7474">
        <v>94.781348251073396</v>
      </c>
      <c r="AJ7474">
        <v>92.104914632632898</v>
      </c>
      <c r="AK7474">
        <v>13.3067146118483</v>
      </c>
      <c r="AL7474">
        <v>93.745754646707198</v>
      </c>
      <c r="AM7474">
        <v>101.77280787054301</v>
      </c>
      <c r="AN7474">
        <v>0.99999996476720698</v>
      </c>
    </row>
    <row r="7475" spans="1:40" x14ac:dyDescent="0.25">
      <c r="A7475" t="str">
        <f>"20190305135109286"</f>
        <v>20190305135109286</v>
      </c>
      <c r="B7475" t="str">
        <f>"1551765069277204"</f>
        <v>1551765069277204</v>
      </c>
      <c r="C7475" t="s">
        <v>40</v>
      </c>
      <c r="D7475">
        <v>4.2007770000000004</v>
      </c>
      <c r="E7475">
        <v>0.61554390000000003</v>
      </c>
      <c r="F7475" t="s">
        <v>116</v>
      </c>
      <c r="G7475">
        <v>-217.10749999999999</v>
      </c>
      <c r="H7475" s="1">
        <v>-2.4292960000000001E-6</v>
      </c>
      <c r="I7475">
        <v>-61.928919999999998</v>
      </c>
      <c r="J7475">
        <v>-230.46690000000001</v>
      </c>
      <c r="K7475">
        <v>1.1091409999999999</v>
      </c>
      <c r="L7475">
        <v>-62.800899999999999</v>
      </c>
      <c r="M7475">
        <v>0.99951389999999996</v>
      </c>
      <c r="N7475">
        <v>-1.4180460000000001E-2</v>
      </c>
      <c r="O7475">
        <v>2.7765000000000001E-2</v>
      </c>
      <c r="P7475">
        <v>0.96969919999999998</v>
      </c>
      <c r="Q7475">
        <v>-7.9106259999999998E-2</v>
      </c>
      <c r="R7475">
        <v>0.23114019999999999</v>
      </c>
      <c r="S7475">
        <v>3.0265960000000001</v>
      </c>
      <c r="T7475">
        <v>-0.24814820000000001</v>
      </c>
      <c r="U7475">
        <v>0.19607540000000001</v>
      </c>
      <c r="V7475">
        <v>-0.20419809999999999</v>
      </c>
      <c r="W7475">
        <v>-6.5030840000000006E-2</v>
      </c>
      <c r="X7475">
        <v>0.97676719999999895</v>
      </c>
      <c r="Y7475">
        <v>-3.6832940000000002E-2</v>
      </c>
      <c r="Z7475">
        <v>-1.0880569999999999E-4</v>
      </c>
      <c r="AA7475">
        <v>0.99932149999999997</v>
      </c>
      <c r="AB7475">
        <v>34</v>
      </c>
      <c r="AC7475">
        <v>13.359400000000001</v>
      </c>
      <c r="AD7475">
        <v>-1.1091434292959901</v>
      </c>
      <c r="AE7475">
        <v>0.87197999999999998</v>
      </c>
      <c r="AF7475">
        <v>-0.49726964228377801</v>
      </c>
      <c r="AG7475">
        <v>-1.1091434292959901</v>
      </c>
      <c r="AH7475">
        <v>13.287262442646099</v>
      </c>
      <c r="AI7475">
        <v>94.768333580146404</v>
      </c>
      <c r="AJ7475">
        <v>92.143267765053096</v>
      </c>
      <c r="AK7475">
        <v>13.342744075475601</v>
      </c>
      <c r="AL7475">
        <v>93.728623821333599</v>
      </c>
      <c r="AM7475">
        <v>101.807913539835</v>
      </c>
      <c r="AN7475">
        <v>1.00000001859527</v>
      </c>
    </row>
    <row r="7476" spans="1:40" x14ac:dyDescent="0.25">
      <c r="A7476" t="str">
        <f>"20190305135109298"</f>
        <v>20190305135109298</v>
      </c>
      <c r="B7476" t="str">
        <f>"1551765069286965"</f>
        <v>1551765069286965</v>
      </c>
      <c r="C7476" t="s">
        <v>40</v>
      </c>
      <c r="D7476">
        <v>4.1927149999999997</v>
      </c>
      <c r="E7476">
        <v>0.62619950000000002</v>
      </c>
      <c r="F7476" t="s">
        <v>41</v>
      </c>
      <c r="G7476">
        <v>-229.7457</v>
      </c>
      <c r="H7476">
        <v>0.94460330000000003</v>
      </c>
      <c r="I7476">
        <v>-62.852209999999999</v>
      </c>
      <c r="J7476">
        <v>-230.2936</v>
      </c>
      <c r="K7476">
        <v>1.109127</v>
      </c>
      <c r="L7476">
        <v>-62.79636</v>
      </c>
      <c r="M7476">
        <v>0.99952189999999996</v>
      </c>
      <c r="N7476">
        <v>-1.420953E-2</v>
      </c>
      <c r="O7476">
        <v>2.7462690000000001E-2</v>
      </c>
      <c r="P7476">
        <v>0.96966390000000002</v>
      </c>
      <c r="Q7476">
        <v>-7.9341199999999903E-2</v>
      </c>
      <c r="R7476">
        <v>0.23120779999999999</v>
      </c>
      <c r="S7476">
        <v>3.0885470000000002</v>
      </c>
      <c r="T7476">
        <v>-0.70465979999999995</v>
      </c>
      <c r="U7476">
        <v>-0.21932979999999999</v>
      </c>
      <c r="V7476">
        <v>-0.20456569999999999</v>
      </c>
      <c r="W7476">
        <v>-6.5228389999999997E-2</v>
      </c>
      <c r="X7476">
        <v>0.97667709999999996</v>
      </c>
      <c r="Y7476">
        <v>9.5001500000000003E-2</v>
      </c>
      <c r="Z7476">
        <v>-1.7166420000000002E-2</v>
      </c>
      <c r="AA7476">
        <v>0.99532909999999997</v>
      </c>
      <c r="AB7476">
        <v>34</v>
      </c>
      <c r="AC7476">
        <v>0.54789999999999806</v>
      </c>
      <c r="AD7476">
        <v>-0.164523699999999</v>
      </c>
      <c r="AE7476">
        <v>-5.5849999999999497E-2</v>
      </c>
      <c r="AF7476">
        <v>6.5070309631012999E-2</v>
      </c>
      <c r="AG7476">
        <v>-0.164523699999999</v>
      </c>
      <c r="AH7476">
        <v>0.50141272769063405</v>
      </c>
      <c r="AI7476">
        <v>108.02446027940201</v>
      </c>
      <c r="AJ7476">
        <v>82.605824773932298</v>
      </c>
      <c r="AK7476">
        <v>0.53171130940325895</v>
      </c>
      <c r="AL7476">
        <v>93.739966706097405</v>
      </c>
      <c r="AM7476">
        <v>101.829632411421</v>
      </c>
      <c r="AN7476">
        <v>1.0000000130714399</v>
      </c>
    </row>
    <row r="7477" spans="1:40" x14ac:dyDescent="0.25">
      <c r="A7477" t="str">
        <f>"20190305135109309"</f>
        <v>20190305135109309</v>
      </c>
      <c r="B7477" t="str">
        <f>"1551765069297701"</f>
        <v>1551765069297701</v>
      </c>
      <c r="C7477" t="s">
        <v>40</v>
      </c>
      <c r="D7477">
        <v>4.1345890000000001</v>
      </c>
      <c r="E7477">
        <v>0.63334979999999996</v>
      </c>
      <c r="F7477" t="s">
        <v>41</v>
      </c>
      <c r="G7477">
        <v>-229.45509999999999</v>
      </c>
      <c r="H7477">
        <v>0.90960280000000004</v>
      </c>
      <c r="I7477">
        <v>-62.87829</v>
      </c>
      <c r="J7477">
        <v>-230.12549999999999</v>
      </c>
      <c r="K7477">
        <v>1.10911</v>
      </c>
      <c r="L7477">
        <v>-62.792020000000001</v>
      </c>
      <c r="M7477">
        <v>0.99952949999999996</v>
      </c>
      <c r="N7477">
        <v>-1.4236850000000001E-2</v>
      </c>
      <c r="O7477">
        <v>2.7166139999999998E-2</v>
      </c>
      <c r="P7477">
        <v>0.96969519999999998</v>
      </c>
      <c r="Q7477">
        <v>-7.9241199999999998E-2</v>
      </c>
      <c r="R7477">
        <v>0.23111090000000001</v>
      </c>
      <c r="S7477">
        <v>3.105667</v>
      </c>
      <c r="T7477">
        <v>-0.73899689999999996</v>
      </c>
      <c r="U7477">
        <v>-0.30307009999999901</v>
      </c>
      <c r="V7477">
        <v>-0.20476030000000001</v>
      </c>
      <c r="W7477">
        <v>-6.5092549999999999E-2</v>
      </c>
      <c r="X7477">
        <v>0.9766454</v>
      </c>
      <c r="Y7477">
        <v>0.1199394</v>
      </c>
      <c r="Z7477">
        <v>-2.089098E-2</v>
      </c>
      <c r="AA7477">
        <v>0.99256140000000004</v>
      </c>
      <c r="AB7477">
        <v>34</v>
      </c>
      <c r="AC7477">
        <v>0.6704</v>
      </c>
      <c r="AD7477">
        <v>-0.1995072</v>
      </c>
      <c r="AE7477">
        <v>-8.6270000000005995E-2</v>
      </c>
      <c r="AF7477">
        <v>9.6081584441877005E-2</v>
      </c>
      <c r="AG7477">
        <v>-0.1995072</v>
      </c>
      <c r="AH7477">
        <v>0.61429176549199904</v>
      </c>
      <c r="AI7477">
        <v>107.79012191142</v>
      </c>
      <c r="AJ7477">
        <v>81.110373156201902</v>
      </c>
      <c r="AK7477">
        <v>0.65298481366106698</v>
      </c>
      <c r="AL7477">
        <v>93.732167012432697</v>
      </c>
      <c r="AM7477">
        <v>101.84094169079199</v>
      </c>
      <c r="AN7477">
        <v>1.00000002893137</v>
      </c>
    </row>
    <row r="7478" spans="1:40" x14ac:dyDescent="0.25">
      <c r="A7478" t="str">
        <f>"20190305135109321"</f>
        <v>20190305135109321</v>
      </c>
      <c r="B7478" t="str">
        <f>"1551765069317219"</f>
        <v>1551765069317219</v>
      </c>
      <c r="C7478" t="s">
        <v>40</v>
      </c>
      <c r="D7478">
        <v>4.1229509999999996</v>
      </c>
      <c r="E7478">
        <v>0.63831249999999995</v>
      </c>
      <c r="F7478" t="s">
        <v>41</v>
      </c>
      <c r="G7478">
        <v>-229.4434</v>
      </c>
      <c r="H7478">
        <v>0.93524609999999997</v>
      </c>
      <c r="I7478">
        <v>-62.871139999999997</v>
      </c>
      <c r="J7478">
        <v>-229.95189999999999</v>
      </c>
      <c r="K7478">
        <v>1.109097</v>
      </c>
      <c r="L7478">
        <v>-62.787599999999998</v>
      </c>
      <c r="M7478">
        <v>0.99953789999999998</v>
      </c>
      <c r="N7478">
        <v>-1.426142E-2</v>
      </c>
      <c r="O7478">
        <v>2.684603E-2</v>
      </c>
      <c r="P7478">
        <v>0.96973830000000005</v>
      </c>
      <c r="Q7478">
        <v>-7.9209929999999998E-2</v>
      </c>
      <c r="R7478">
        <v>0.23094100000000001</v>
      </c>
      <c r="S7478">
        <v>3.114868</v>
      </c>
      <c r="T7478">
        <v>-0.79394049999999905</v>
      </c>
      <c r="U7478">
        <v>-0.3608093</v>
      </c>
      <c r="V7478">
        <v>-0.20490410000000001</v>
      </c>
      <c r="W7478">
        <v>-6.5028589999999997E-2</v>
      </c>
      <c r="X7478">
        <v>0.97661949999999997</v>
      </c>
      <c r="Y7478">
        <v>0.13638049999999999</v>
      </c>
      <c r="Z7478">
        <v>-2.4384429999999999E-2</v>
      </c>
      <c r="AA7478">
        <v>0.99035640000000003</v>
      </c>
      <c r="AB7478">
        <v>34</v>
      </c>
      <c r="AC7478">
        <v>0.50849999999999795</v>
      </c>
      <c r="AD7478">
        <v>-0.1738509</v>
      </c>
      <c r="AE7478">
        <v>-8.3540000000006304E-2</v>
      </c>
      <c r="AF7478">
        <v>8.7233820588918001E-2</v>
      </c>
      <c r="AG7478">
        <v>-0.1738509</v>
      </c>
      <c r="AH7478">
        <v>0.45436002588954599</v>
      </c>
      <c r="AI7478">
        <v>110.59447115674899</v>
      </c>
      <c r="AJ7478">
        <v>79.131876535337099</v>
      </c>
      <c r="AK7478">
        <v>0.49424377387246698</v>
      </c>
      <c r="AL7478">
        <v>93.728494598210204</v>
      </c>
      <c r="AM7478">
        <v>101.849327755213</v>
      </c>
      <c r="AN7478">
        <v>1.0000000277472201</v>
      </c>
    </row>
    <row r="7479" spans="1:40" x14ac:dyDescent="0.25">
      <c r="A7479" t="str">
        <f>"20190305135109332"</f>
        <v>20190305135109332</v>
      </c>
      <c r="B7479" t="str">
        <f>"1551765069326980"</f>
        <v>1551765069326980</v>
      </c>
      <c r="C7479" t="s">
        <v>40</v>
      </c>
      <c r="D7479">
        <v>4.1594429999999996</v>
      </c>
      <c r="E7479">
        <v>0.63909499999999997</v>
      </c>
      <c r="F7479" t="s">
        <v>41</v>
      </c>
      <c r="G7479">
        <v>-229.15209999999999</v>
      </c>
      <c r="H7479">
        <v>0.90049080000000004</v>
      </c>
      <c r="I7479">
        <v>-62.890250000000002</v>
      </c>
      <c r="J7479">
        <v>-229.77289999999999</v>
      </c>
      <c r="K7479">
        <v>1.1090819999999999</v>
      </c>
      <c r="L7479">
        <v>-62.783079999999998</v>
      </c>
      <c r="M7479">
        <v>0.9995465</v>
      </c>
      <c r="N7479">
        <v>-1.4285880000000001E-2</v>
      </c>
      <c r="O7479">
        <v>2.65122E-2</v>
      </c>
      <c r="P7479">
        <v>0.9697981</v>
      </c>
      <c r="Q7479">
        <v>-7.9173880000000002E-2</v>
      </c>
      <c r="R7479">
        <v>0.23070209999999999</v>
      </c>
      <c r="S7479">
        <v>3.1225130000000001</v>
      </c>
      <c r="T7479">
        <v>-0.81440599999999996</v>
      </c>
      <c r="U7479">
        <v>-0.4006653</v>
      </c>
      <c r="V7479">
        <v>-0.2049927</v>
      </c>
      <c r="W7479">
        <v>-6.4959760000000005E-2</v>
      </c>
      <c r="X7479">
        <v>0.97660550000000002</v>
      </c>
      <c r="Y7479">
        <v>0.14760390000000001</v>
      </c>
      <c r="Z7479">
        <v>-2.6340869999999999E-2</v>
      </c>
      <c r="AA7479">
        <v>0.98869569999999996</v>
      </c>
      <c r="AB7479">
        <v>34</v>
      </c>
      <c r="AC7479">
        <v>0.62080000000000202</v>
      </c>
      <c r="AD7479">
        <v>-0.20859119999999901</v>
      </c>
      <c r="AE7479">
        <v>-0.107169999999996</v>
      </c>
      <c r="AF7479">
        <v>0.11138182915686901</v>
      </c>
      <c r="AG7479">
        <v>-0.20859119999999901</v>
      </c>
      <c r="AH7479">
        <v>0.55670752125137102</v>
      </c>
      <c r="AI7479">
        <v>110.173631938594</v>
      </c>
      <c r="AJ7479">
        <v>78.686077005682094</v>
      </c>
      <c r="AK7479">
        <v>0.60484664568931501</v>
      </c>
      <c r="AL7479">
        <v>93.724542527934304</v>
      </c>
      <c r="AM7479">
        <v>101.854471562684</v>
      </c>
      <c r="AN7479">
        <v>1.00000004005139</v>
      </c>
    </row>
    <row r="7480" spans="1:40" x14ac:dyDescent="0.25">
      <c r="A7480" t="str">
        <f>"20190305135109343"</f>
        <v>20190305135109343</v>
      </c>
      <c r="B7480" t="str">
        <f>"1551765069336740"</f>
        <v>1551765069336740</v>
      </c>
      <c r="C7480" t="s">
        <v>40</v>
      </c>
      <c r="D7480">
        <v>4.1342869999999996</v>
      </c>
      <c r="E7480">
        <v>0.6404687</v>
      </c>
      <c r="F7480" t="s">
        <v>41</v>
      </c>
      <c r="G7480">
        <v>-228.8578</v>
      </c>
      <c r="H7480">
        <v>0.87217429999999996</v>
      </c>
      <c r="I7480">
        <v>-62.902500000000003</v>
      </c>
      <c r="J7480">
        <v>-229.60339999999999</v>
      </c>
      <c r="K7480">
        <v>1.1090679999999999</v>
      </c>
      <c r="L7480">
        <v>-62.778869999999998</v>
      </c>
      <c r="M7480">
        <v>0.99955479999999997</v>
      </c>
      <c r="N7480">
        <v>-1.43067E-2</v>
      </c>
      <c r="O7480">
        <v>2.6186540000000001E-2</v>
      </c>
      <c r="P7480">
        <v>0.96988529999999995</v>
      </c>
      <c r="Q7480">
        <v>-7.9093239999999995E-2</v>
      </c>
      <c r="R7480">
        <v>0.23036290000000001</v>
      </c>
      <c r="S7480">
        <v>3.1242830000000001</v>
      </c>
      <c r="T7480">
        <v>-0.80877880000000002</v>
      </c>
      <c r="U7480">
        <v>-0.40725709999999998</v>
      </c>
      <c r="V7480">
        <v>-0.2049713</v>
      </c>
      <c r="W7480">
        <v>-6.4850729999999995E-2</v>
      </c>
      <c r="X7480">
        <v>0.97661719999999996</v>
      </c>
      <c r="Y7480">
        <v>0.14930089999999999</v>
      </c>
      <c r="Z7480">
        <v>-2.630267E-2</v>
      </c>
      <c r="AA7480">
        <v>0.98844189999999998</v>
      </c>
      <c r="AB7480">
        <v>34</v>
      </c>
      <c r="AC7480">
        <v>0.74559999999999504</v>
      </c>
      <c r="AD7480">
        <v>-0.23689369999999901</v>
      </c>
      <c r="AE7480">
        <v>-0.123630000000005</v>
      </c>
      <c r="AF7480">
        <v>0.130311645472901</v>
      </c>
      <c r="AG7480">
        <v>-0.23689369999999901</v>
      </c>
      <c r="AH7480">
        <v>0.67571957470898303</v>
      </c>
      <c r="AI7480">
        <v>108.99536539031899</v>
      </c>
      <c r="AJ7480">
        <v>79.084583641217094</v>
      </c>
      <c r="AK7480">
        <v>0.727802647487926</v>
      </c>
      <c r="AL7480">
        <v>93.718282506695601</v>
      </c>
      <c r="AM7480">
        <v>101.853131051555</v>
      </c>
      <c r="AN7480">
        <v>1.0000000031705301</v>
      </c>
    </row>
    <row r="7481" spans="1:40" x14ac:dyDescent="0.25">
      <c r="A7481" t="str">
        <f>"20190305135109355"</f>
        <v>20190305135109355</v>
      </c>
      <c r="B7481" t="str">
        <f>"1551765069347476"</f>
        <v>1551765069347476</v>
      </c>
      <c r="C7481" t="s">
        <v>40</v>
      </c>
      <c r="D7481">
        <v>4.1679899999999996</v>
      </c>
      <c r="E7481">
        <v>0.64068199999999997</v>
      </c>
      <c r="F7481" t="s">
        <v>41</v>
      </c>
      <c r="G7481">
        <v>-228.8434</v>
      </c>
      <c r="H7481">
        <v>0.90933200000000003</v>
      </c>
      <c r="I7481">
        <v>-62.880960000000002</v>
      </c>
      <c r="J7481">
        <v>-229.43459999999999</v>
      </c>
      <c r="K7481">
        <v>1.109056</v>
      </c>
      <c r="L7481">
        <v>-62.774749999999997</v>
      </c>
      <c r="M7481">
        <v>0.99956299999999998</v>
      </c>
      <c r="N7481">
        <v>-1.4326169999999999E-2</v>
      </c>
      <c r="O7481">
        <v>2.5857040000000001E-2</v>
      </c>
      <c r="P7481">
        <v>0.96994080000000005</v>
      </c>
      <c r="Q7481">
        <v>-7.9294130000000004E-2</v>
      </c>
      <c r="R7481">
        <v>0.23005909999999999</v>
      </c>
      <c r="S7481">
        <v>3.1257779999999999</v>
      </c>
      <c r="T7481">
        <v>-0.82143429999999995</v>
      </c>
      <c r="U7481">
        <v>-0.41934199999999999</v>
      </c>
      <c r="V7481">
        <v>-0.20499029999999999</v>
      </c>
      <c r="W7481">
        <v>-6.5025280000000005E-2</v>
      </c>
      <c r="X7481">
        <v>0.97660159999999996</v>
      </c>
      <c r="Y7481">
        <v>0.15239920000000001</v>
      </c>
      <c r="Z7481">
        <v>-2.7015040000000001E-2</v>
      </c>
      <c r="AA7481">
        <v>0.98794970000000004</v>
      </c>
      <c r="AB7481">
        <v>34</v>
      </c>
      <c r="AC7481">
        <v>0.59119999999998596</v>
      </c>
      <c r="AD7481">
        <v>-0.19972400000000001</v>
      </c>
      <c r="AE7481">
        <v>-0.106209999999997</v>
      </c>
      <c r="AF7481">
        <v>0.10937074825519399</v>
      </c>
      <c r="AG7481">
        <v>-0.19972400000000001</v>
      </c>
      <c r="AH7481">
        <v>0.52969308822152195</v>
      </c>
      <c r="AI7481">
        <v>110.267505286429</v>
      </c>
      <c r="AJ7481">
        <v>78.333548778538898</v>
      </c>
      <c r="AK7481">
        <v>0.57656431077508896</v>
      </c>
      <c r="AL7481">
        <v>93.7283046593964</v>
      </c>
      <c r="AM7481">
        <v>101.85438270077999</v>
      </c>
      <c r="AN7481">
        <v>0.99999999762786396</v>
      </c>
    </row>
    <row r="7482" spans="1:40" x14ac:dyDescent="0.25">
      <c r="A7482" t="str">
        <f>"20190305135109366"</f>
        <v>20190305135109366</v>
      </c>
      <c r="B7482" t="str">
        <f>"1551765069357237"</f>
        <v>1551765069357237</v>
      </c>
      <c r="C7482" t="s">
        <v>40</v>
      </c>
      <c r="D7482">
        <v>4.168323</v>
      </c>
      <c r="E7482">
        <v>0.64089449999999903</v>
      </c>
      <c r="F7482" t="s">
        <v>41</v>
      </c>
      <c r="G7482">
        <v>-228.5504</v>
      </c>
      <c r="H7482">
        <v>0.87871549999999998</v>
      </c>
      <c r="I7482">
        <v>-62.894120000000001</v>
      </c>
      <c r="J7482">
        <v>-229.26429999999999</v>
      </c>
      <c r="K7482">
        <v>1.1090450000000001</v>
      </c>
      <c r="L7482">
        <v>-62.770659999999999</v>
      </c>
      <c r="M7482">
        <v>0.9995714</v>
      </c>
      <c r="N7482">
        <v>-1.4344290000000001E-2</v>
      </c>
      <c r="O7482">
        <v>2.551838E-2</v>
      </c>
      <c r="P7482">
        <v>0.97005189999999997</v>
      </c>
      <c r="Q7482">
        <v>-7.9261029999999996E-2</v>
      </c>
      <c r="R7482">
        <v>0.2296021</v>
      </c>
      <c r="S7482">
        <v>3.1264189999999998</v>
      </c>
      <c r="T7482">
        <v>-0.81448399999999999</v>
      </c>
      <c r="U7482">
        <v>-0.42184450000000001</v>
      </c>
      <c r="V7482">
        <v>-0.2048635</v>
      </c>
      <c r="W7482">
        <v>-6.49671E-2</v>
      </c>
      <c r="X7482">
        <v>0.9766321</v>
      </c>
      <c r="Y7482">
        <v>0.1529102</v>
      </c>
      <c r="Z7482">
        <v>-2.6781389999999999E-2</v>
      </c>
      <c r="AA7482">
        <v>0.98787709999999995</v>
      </c>
      <c r="AB7482">
        <v>34</v>
      </c>
      <c r="AC7482">
        <v>0.71389999999999498</v>
      </c>
      <c r="AD7482">
        <v>-0.23032949999999999</v>
      </c>
      <c r="AE7482">
        <v>-0.12345999999999401</v>
      </c>
      <c r="AF7482">
        <v>0.12863770316027501</v>
      </c>
      <c r="AG7482">
        <v>-0.23032949999999999</v>
      </c>
      <c r="AH7482">
        <v>0.64529599082314004</v>
      </c>
      <c r="AI7482">
        <v>109.29252907167201</v>
      </c>
      <c r="AJ7482">
        <v>78.726057145608607</v>
      </c>
      <c r="AK7482">
        <v>0.69714148708638701</v>
      </c>
      <c r="AL7482">
        <v>93.724964050561596</v>
      </c>
      <c r="AM7482">
        <v>101.846897742707</v>
      </c>
      <c r="AN7482">
        <v>1.0000000182325299</v>
      </c>
    </row>
    <row r="7483" spans="1:40" x14ac:dyDescent="0.25">
      <c r="A7483" t="str">
        <f>"20190305135109376"</f>
        <v>20190305135109376</v>
      </c>
      <c r="B7483" t="str">
        <f>"1551765069366996"</f>
        <v>1551765069366996</v>
      </c>
      <c r="C7483" t="s">
        <v>40</v>
      </c>
      <c r="D7483">
        <v>4.1671940000000003</v>
      </c>
      <c r="E7483">
        <v>0.64116660000000003</v>
      </c>
      <c r="F7483" t="s">
        <v>41</v>
      </c>
      <c r="G7483">
        <v>-228.5341</v>
      </c>
      <c r="H7483">
        <v>0.92024640000000002</v>
      </c>
      <c r="I7483">
        <v>-62.869970000000002</v>
      </c>
      <c r="J7483">
        <v>-229.10290000000001</v>
      </c>
      <c r="K7483">
        <v>1.1090390000000001</v>
      </c>
      <c r="L7483">
        <v>-62.766849999999998</v>
      </c>
      <c r="M7483">
        <v>0.99957960000000001</v>
      </c>
      <c r="N7483">
        <v>-1.435998E-2</v>
      </c>
      <c r="O7483">
        <v>2.519062E-2</v>
      </c>
      <c r="P7483">
        <v>0.97013970000000005</v>
      </c>
      <c r="Q7483">
        <v>-7.9200389999999996E-2</v>
      </c>
      <c r="R7483">
        <v>0.22925180000000001</v>
      </c>
      <c r="S7483">
        <v>3.1271360000000001</v>
      </c>
      <c r="T7483">
        <v>-0.80854950000000003</v>
      </c>
      <c r="U7483">
        <v>-0.42501830000000002</v>
      </c>
      <c r="V7483">
        <v>-0.20483299999999999</v>
      </c>
      <c r="W7483">
        <v>-6.4884709999999998E-2</v>
      </c>
      <c r="X7483">
        <v>0.97664399999999996</v>
      </c>
      <c r="Y7483">
        <v>0.1536149</v>
      </c>
      <c r="Z7483">
        <v>-2.6606990000000001E-2</v>
      </c>
      <c r="AA7483">
        <v>0.98777250000000005</v>
      </c>
      <c r="AB7483">
        <v>34</v>
      </c>
      <c r="AC7483">
        <v>0.56880000000000996</v>
      </c>
      <c r="AD7483">
        <v>-0.18879259999999901</v>
      </c>
      <c r="AE7483">
        <v>-0.10311999999999701</v>
      </c>
      <c r="AF7483">
        <v>0.10610038477973199</v>
      </c>
      <c r="AG7483">
        <v>-0.18879259999999901</v>
      </c>
      <c r="AH7483">
        <v>0.51146780839781003</v>
      </c>
      <c r="AI7483">
        <v>109.871103122487</v>
      </c>
      <c r="AJ7483">
        <v>78.280613528729205</v>
      </c>
      <c r="AK7483">
        <v>0.55542709376877297</v>
      </c>
      <c r="AL7483">
        <v>93.720233377588102</v>
      </c>
      <c r="AM7483">
        <v>101.845043561393</v>
      </c>
      <c r="AN7483">
        <v>1.00000004310839</v>
      </c>
    </row>
    <row r="7484" spans="1:40" x14ac:dyDescent="0.25">
      <c r="A7484" t="str">
        <f>"20190305135109388"</f>
        <v>20190305135109388</v>
      </c>
      <c r="B7484" t="str">
        <f>"1551765069377732"</f>
        <v>1551765069377732</v>
      </c>
      <c r="C7484" t="s">
        <v>40</v>
      </c>
      <c r="D7484">
        <v>4.1651239999999996</v>
      </c>
      <c r="E7484">
        <v>0.64156369999999996</v>
      </c>
      <c r="F7484" t="s">
        <v>41</v>
      </c>
      <c r="G7484">
        <v>-228.24250000000001</v>
      </c>
      <c r="H7484">
        <v>0.88758479999999995</v>
      </c>
      <c r="I7484">
        <v>-62.884860000000003</v>
      </c>
      <c r="J7484">
        <v>-228.9264</v>
      </c>
      <c r="K7484">
        <v>1.1090329999999999</v>
      </c>
      <c r="L7484">
        <v>-62.762729999999998</v>
      </c>
      <c r="M7484">
        <v>0.99958849999999999</v>
      </c>
      <c r="N7484">
        <v>-1.437623E-2</v>
      </c>
      <c r="O7484">
        <v>2.482821E-2</v>
      </c>
      <c r="P7484">
        <v>0.9701843</v>
      </c>
      <c r="Q7484">
        <v>-7.9119309999999998E-2</v>
      </c>
      <c r="R7484">
        <v>0.22909119999999999</v>
      </c>
      <c r="S7484">
        <v>3.1278990000000002</v>
      </c>
      <c r="T7484">
        <v>-0.80493239999999999</v>
      </c>
      <c r="U7484">
        <v>-0.4285583</v>
      </c>
      <c r="V7484">
        <v>-0.20502670000000001</v>
      </c>
      <c r="W7484">
        <v>-6.4781350000000001E-2</v>
      </c>
      <c r="X7484">
        <v>0.97661019999999998</v>
      </c>
      <c r="Y7484">
        <v>0.15436269999999999</v>
      </c>
      <c r="Z7484">
        <v>-2.6501340000000002E-2</v>
      </c>
      <c r="AA7484">
        <v>0.9876587</v>
      </c>
      <c r="AB7484">
        <v>34</v>
      </c>
      <c r="AC7484">
        <v>0.68389999999999396</v>
      </c>
      <c r="AD7484">
        <v>-0.22144820000000001</v>
      </c>
      <c r="AE7484">
        <v>-0.122129999999991</v>
      </c>
      <c r="AF7484">
        <v>0.126246521945658</v>
      </c>
      <c r="AG7484">
        <v>-0.22144820000000001</v>
      </c>
      <c r="AH7484">
        <v>0.61787576988717496</v>
      </c>
      <c r="AI7484">
        <v>109.348599357372</v>
      </c>
      <c r="AJ7484">
        <v>78.452077691691898</v>
      </c>
      <c r="AK7484">
        <v>0.66839206802615803</v>
      </c>
      <c r="AL7484">
        <v>93.714298860821401</v>
      </c>
      <c r="AM7484">
        <v>101.856326649308</v>
      </c>
      <c r="AN7484">
        <v>1.0000000268823701</v>
      </c>
    </row>
    <row r="7485" spans="1:40" x14ac:dyDescent="0.25">
      <c r="A7485" t="str">
        <f>"20190305135109400"</f>
        <v>20190305135109400</v>
      </c>
      <c r="B7485" t="str">
        <f>"1551765069387494"</f>
        <v>1551765069387494</v>
      </c>
      <c r="C7485" t="s">
        <v>40</v>
      </c>
      <c r="D7485">
        <v>4.1871470000000004</v>
      </c>
      <c r="E7485">
        <v>0.64171840000000002</v>
      </c>
      <c r="F7485" t="s">
        <v>41</v>
      </c>
      <c r="G7485">
        <v>-228.22579999999999</v>
      </c>
      <c r="H7485">
        <v>0.92929220000000001</v>
      </c>
      <c r="I7485">
        <v>-62.859630000000003</v>
      </c>
      <c r="J7485">
        <v>-228.7567</v>
      </c>
      <c r="K7485">
        <v>1.1090260000000001</v>
      </c>
      <c r="L7485">
        <v>-62.758850000000002</v>
      </c>
      <c r="M7485">
        <v>0.99959699999999996</v>
      </c>
      <c r="N7485">
        <v>-1.439005E-2</v>
      </c>
      <c r="O7485">
        <v>2.447278E-2</v>
      </c>
      <c r="P7485">
        <v>0.97028550000000002</v>
      </c>
      <c r="Q7485">
        <v>-7.8696929999999998E-2</v>
      </c>
      <c r="R7485">
        <v>0.22880729999999999</v>
      </c>
      <c r="S7485">
        <v>3.1288299999999998</v>
      </c>
      <c r="T7485">
        <v>-0.80258249999999998</v>
      </c>
      <c r="U7485">
        <v>-0.43222050000000001</v>
      </c>
      <c r="V7485">
        <v>-0.2050884</v>
      </c>
      <c r="W7485">
        <v>-6.4339519999999997E-2</v>
      </c>
      <c r="X7485">
        <v>0.97662649999999995</v>
      </c>
      <c r="Y7485">
        <v>0.15512879999999901</v>
      </c>
      <c r="Z7485">
        <v>-2.643759E-2</v>
      </c>
      <c r="AA7485">
        <v>0.98754039999999998</v>
      </c>
      <c r="AB7485">
        <v>34</v>
      </c>
      <c r="AC7485">
        <v>0.53090000000000204</v>
      </c>
      <c r="AD7485">
        <v>-0.1797338</v>
      </c>
      <c r="AE7485">
        <v>-0.10077999999999999</v>
      </c>
      <c r="AF7485">
        <v>0.102414033807553</v>
      </c>
      <c r="AG7485">
        <v>-0.1797338</v>
      </c>
      <c r="AH7485">
        <v>0.47565430628960698</v>
      </c>
      <c r="AI7485">
        <v>110.274274101988</v>
      </c>
      <c r="AJ7485">
        <v>77.849039780987496</v>
      </c>
      <c r="AK7485">
        <v>0.51869055541336195</v>
      </c>
      <c r="AL7485">
        <v>93.688930773822307</v>
      </c>
      <c r="AM7485">
        <v>101.859601282348</v>
      </c>
      <c r="AN7485">
        <v>1.00000007307531</v>
      </c>
    </row>
    <row r="7486" spans="1:40" x14ac:dyDescent="0.25">
      <c r="A7486" t="str">
        <f>"20190305135109411"</f>
        <v>20190305135109411</v>
      </c>
      <c r="B7486" t="str">
        <f>"1551765069407014"</f>
        <v>1551765069407014</v>
      </c>
      <c r="C7486" t="s">
        <v>40</v>
      </c>
      <c r="D7486">
        <v>4.1571189999999998</v>
      </c>
      <c r="E7486">
        <v>0.64211600000000002</v>
      </c>
      <c r="F7486" t="s">
        <v>41</v>
      </c>
      <c r="G7486">
        <v>-227.93379999999999</v>
      </c>
      <c r="H7486">
        <v>0.8993158</v>
      </c>
      <c r="I7486">
        <v>-62.873130000000003</v>
      </c>
      <c r="J7486">
        <v>-228.577</v>
      </c>
      <c r="K7486">
        <v>1.1090199999999999</v>
      </c>
      <c r="L7486">
        <v>-62.75479</v>
      </c>
      <c r="M7486">
        <v>0.99960599999999999</v>
      </c>
      <c r="N7486">
        <v>-1.4404109999999999E-2</v>
      </c>
      <c r="O7486">
        <v>2.4094270000000001E-2</v>
      </c>
      <c r="P7486">
        <v>0.97036960000000005</v>
      </c>
      <c r="Q7486">
        <v>-7.8496990000000003E-2</v>
      </c>
      <c r="R7486">
        <v>0.2285198</v>
      </c>
      <c r="S7486">
        <v>3.129623</v>
      </c>
      <c r="T7486">
        <v>-0.79761859999999996</v>
      </c>
      <c r="U7486">
        <v>-0.43441770000000002</v>
      </c>
      <c r="V7486">
        <v>-0.20516960000000001</v>
      </c>
      <c r="W7486">
        <v>-6.4120090000000005E-2</v>
      </c>
      <c r="X7486">
        <v>0.97662380000000004</v>
      </c>
      <c r="Y7486">
        <v>0.15547459999999999</v>
      </c>
      <c r="Z7486">
        <v>-2.6233530000000001E-2</v>
      </c>
      <c r="AA7486">
        <v>0.98749149999999997</v>
      </c>
      <c r="AB7486">
        <v>34</v>
      </c>
      <c r="AC7486">
        <v>0.64320000000000699</v>
      </c>
      <c r="AD7486">
        <v>-0.20970419999999901</v>
      </c>
      <c r="AE7486">
        <v>-0.118340000000003</v>
      </c>
      <c r="AF7486">
        <v>0.12132991994848701</v>
      </c>
      <c r="AG7486">
        <v>-0.20970419999999901</v>
      </c>
      <c r="AH7486">
        <v>0.58047864365690205</v>
      </c>
      <c r="AI7486">
        <v>109.474558761127</v>
      </c>
      <c r="AJ7486">
        <v>78.194172955218207</v>
      </c>
      <c r="AK7486">
        <v>0.62900894803977403</v>
      </c>
      <c r="AL7486">
        <v>93.676332621507001</v>
      </c>
      <c r="AM7486">
        <v>101.86419563685099</v>
      </c>
      <c r="AN7486">
        <v>0.99999999871610401</v>
      </c>
    </row>
    <row r="7487" spans="1:40" x14ac:dyDescent="0.25">
      <c r="A7487" t="str">
        <f>"20190305135109422"</f>
        <v>20190305135109422</v>
      </c>
      <c r="B7487" t="str">
        <f>"1551765069417750"</f>
        <v>1551765069417750</v>
      </c>
      <c r="C7487" t="s">
        <v>40</v>
      </c>
      <c r="D7487">
        <v>4.1439130000000004</v>
      </c>
      <c r="E7487">
        <v>0.64227990000000001</v>
      </c>
      <c r="F7487" t="s">
        <v>41</v>
      </c>
      <c r="G7487">
        <v>-227.64070000000001</v>
      </c>
      <c r="H7487">
        <v>0.87156180000000005</v>
      </c>
      <c r="I7487">
        <v>-62.886049999999997</v>
      </c>
      <c r="J7487">
        <v>-228.40710000000001</v>
      </c>
      <c r="K7487">
        <v>1.1090150000000001</v>
      </c>
      <c r="L7487">
        <v>-62.751069999999999</v>
      </c>
      <c r="M7487">
        <v>0.99961440000000001</v>
      </c>
      <c r="N7487">
        <v>-1.441563E-2</v>
      </c>
      <c r="O7487">
        <v>2.3731269999999999E-2</v>
      </c>
      <c r="P7487">
        <v>0.97039470000000005</v>
      </c>
      <c r="Q7487">
        <v>-7.8309509999999999E-2</v>
      </c>
      <c r="R7487">
        <v>0.22847690000000001</v>
      </c>
      <c r="S7487">
        <v>3.13063</v>
      </c>
      <c r="T7487">
        <v>-0.79395039999999995</v>
      </c>
      <c r="U7487">
        <v>-0.43835449999999998</v>
      </c>
      <c r="V7487">
        <v>-0.2054819</v>
      </c>
      <c r="W7487">
        <v>-6.3917249999999995E-2</v>
      </c>
      <c r="X7487">
        <v>0.97657139999999998</v>
      </c>
      <c r="Y7487">
        <v>0.15632929999999901</v>
      </c>
      <c r="Z7487">
        <v>-2.6138149999999999E-2</v>
      </c>
      <c r="AA7487">
        <v>0.98735899999999999</v>
      </c>
      <c r="AB7487">
        <v>34</v>
      </c>
      <c r="AC7487">
        <v>0.76640000000000397</v>
      </c>
      <c r="AD7487">
        <v>-0.237453199999999</v>
      </c>
      <c r="AE7487">
        <v>-0.13497999999999799</v>
      </c>
      <c r="AF7487">
        <v>0.140088420100385</v>
      </c>
      <c r="AG7487">
        <v>-0.237453199999999</v>
      </c>
      <c r="AH7487">
        <v>0.697993084808466</v>
      </c>
      <c r="AI7487">
        <v>108.445748145301</v>
      </c>
      <c r="AJ7487">
        <v>78.651412936287002</v>
      </c>
      <c r="AK7487">
        <v>0.75046860965459405</v>
      </c>
      <c r="AL7487">
        <v>93.6646869888271</v>
      </c>
      <c r="AM7487">
        <v>101.882361258865</v>
      </c>
      <c r="AN7487">
        <v>0.99999996268656499</v>
      </c>
    </row>
    <row r="7488" spans="1:40" x14ac:dyDescent="0.25">
      <c r="A7488" t="str">
        <f>"20190305135109433"</f>
        <v>20190305135109433</v>
      </c>
      <c r="B7488" t="str">
        <f>"1551765069427508"</f>
        <v>1551765069427508</v>
      </c>
      <c r="C7488" t="s">
        <v>40</v>
      </c>
      <c r="D7488">
        <v>4.188377</v>
      </c>
      <c r="E7488">
        <v>0.64291089999999995</v>
      </c>
      <c r="F7488" t="s">
        <v>41</v>
      </c>
      <c r="G7488">
        <v>-227.62549999999999</v>
      </c>
      <c r="H7488">
        <v>0.91128120000000001</v>
      </c>
      <c r="I7488">
        <v>-62.860979999999998</v>
      </c>
      <c r="J7488">
        <v>-228.2406</v>
      </c>
      <c r="K7488">
        <v>1.1090120000000001</v>
      </c>
      <c r="L7488">
        <v>-62.747439999999997</v>
      </c>
      <c r="M7488">
        <v>0.99962280000000003</v>
      </c>
      <c r="N7488">
        <v>-1.4426400000000001E-2</v>
      </c>
      <c r="O7488">
        <v>2.3373600000000001E-2</v>
      </c>
      <c r="P7488">
        <v>0.97047079999999997</v>
      </c>
      <c r="Q7488">
        <v>-7.8022659999999994E-2</v>
      </c>
      <c r="R7488">
        <v>0.2282518</v>
      </c>
      <c r="S7488">
        <v>3.131119</v>
      </c>
      <c r="T7488">
        <v>-0.79208590000000001</v>
      </c>
      <c r="U7488">
        <v>-0.43966670000000002</v>
      </c>
      <c r="V7488">
        <v>-0.2056046</v>
      </c>
      <c r="W7488">
        <v>-6.3615809999999995E-2</v>
      </c>
      <c r="X7488">
        <v>0.97656529999999997</v>
      </c>
      <c r="Y7488">
        <v>0.15639700000000001</v>
      </c>
      <c r="Z7488">
        <v>-2.6001750000000001E-2</v>
      </c>
      <c r="AA7488">
        <v>0.98735200000000001</v>
      </c>
      <c r="AB7488">
        <v>34</v>
      </c>
      <c r="AC7488">
        <v>0.61510000000001197</v>
      </c>
      <c r="AD7488">
        <v>-0.19773080000000001</v>
      </c>
      <c r="AE7488">
        <v>-0.11354</v>
      </c>
      <c r="AF7488">
        <v>0.116268577816658</v>
      </c>
      <c r="AG7488">
        <v>-0.19773080000000001</v>
      </c>
      <c r="AH7488">
        <v>0.55665041745525301</v>
      </c>
      <c r="AI7488">
        <v>109.173150506002</v>
      </c>
      <c r="AJ7488">
        <v>78.2021454265616</v>
      </c>
      <c r="AK7488">
        <v>0.60205941460063195</v>
      </c>
      <c r="AL7488">
        <v>93.647380376119301</v>
      </c>
      <c r="AM7488">
        <v>101.889326884078</v>
      </c>
      <c r="AN7488">
        <v>1.0000000039935999</v>
      </c>
    </row>
    <row r="7489" spans="1:40" x14ac:dyDescent="0.25">
      <c r="A7489" t="str">
        <f>"20190305135109444"</f>
        <v>20190305135109444</v>
      </c>
      <c r="B7489" t="str">
        <f>"1551765069437269"</f>
        <v>1551765069437269</v>
      </c>
      <c r="C7489" t="s">
        <v>40</v>
      </c>
      <c r="D7489">
        <v>4.1755750000000003</v>
      </c>
      <c r="E7489">
        <v>0.64291089999999995</v>
      </c>
      <c r="F7489" t="s">
        <v>41</v>
      </c>
      <c r="G7489">
        <v>-227.334</v>
      </c>
      <c r="H7489">
        <v>0.88015309999999902</v>
      </c>
      <c r="I7489">
        <v>-62.876390000000001</v>
      </c>
      <c r="J7489">
        <v>-228.07679999999999</v>
      </c>
      <c r="K7489">
        <v>1.109005</v>
      </c>
      <c r="L7489">
        <v>-62.743929999999999</v>
      </c>
      <c r="M7489">
        <v>0.99963089999999999</v>
      </c>
      <c r="N7489">
        <v>-1.443593E-2</v>
      </c>
      <c r="O7489">
        <v>2.301949E-2</v>
      </c>
      <c r="P7489">
        <v>0.97051779999999999</v>
      </c>
      <c r="Q7489">
        <v>-7.7545100000000006E-2</v>
      </c>
      <c r="R7489">
        <v>0.22821540000000001</v>
      </c>
      <c r="S7489">
        <v>3.1323699999999999</v>
      </c>
      <c r="T7489">
        <v>-0.79072739999999997</v>
      </c>
      <c r="U7489">
        <v>-0.44500729999999999</v>
      </c>
      <c r="V7489">
        <v>-0.20591329999999999</v>
      </c>
      <c r="W7489">
        <v>-6.3125730000000005E-2</v>
      </c>
      <c r="X7489">
        <v>0.97653199999999996</v>
      </c>
      <c r="Y7489">
        <v>0.15763769999999999</v>
      </c>
      <c r="Z7489">
        <v>-2.6027959999999999E-2</v>
      </c>
      <c r="AA7489">
        <v>0.98715390000000003</v>
      </c>
      <c r="AB7489">
        <v>34</v>
      </c>
      <c r="AC7489">
        <v>0.74279999999998803</v>
      </c>
      <c r="AD7489">
        <v>-0.2288519</v>
      </c>
      <c r="AE7489">
        <v>-0.132459999999994</v>
      </c>
      <c r="AF7489">
        <v>0.13692863898004201</v>
      </c>
      <c r="AG7489">
        <v>-0.2288519</v>
      </c>
      <c r="AH7489">
        <v>0.67724930409923101</v>
      </c>
      <c r="AI7489">
        <v>108.32548789600401</v>
      </c>
      <c r="AJ7489">
        <v>78.569824252240096</v>
      </c>
      <c r="AK7489">
        <v>0.72786624060292104</v>
      </c>
      <c r="AL7489">
        <v>93.619244518613698</v>
      </c>
      <c r="AM7489">
        <v>101.907063108344</v>
      </c>
      <c r="AN7489">
        <v>0.99999994596445996</v>
      </c>
    </row>
    <row r="7490" spans="1:40" x14ac:dyDescent="0.25">
      <c r="A7490" t="str">
        <f>"20190305135109456"</f>
        <v>20190305135109456</v>
      </c>
      <c r="B7490" t="str">
        <f>"1551765069447030"</f>
        <v>1551765069447030</v>
      </c>
      <c r="C7490" t="s">
        <v>40</v>
      </c>
      <c r="D7490">
        <v>4.2055300000000004</v>
      </c>
      <c r="E7490">
        <v>0.6715139</v>
      </c>
      <c r="F7490" t="s">
        <v>41</v>
      </c>
      <c r="G7490">
        <v>-227.31950000000001</v>
      </c>
      <c r="H7490">
        <v>0.91806980000000005</v>
      </c>
      <c r="I7490">
        <v>-62.85163</v>
      </c>
      <c r="J7490">
        <v>-227.89869999999999</v>
      </c>
      <c r="K7490">
        <v>1.109005</v>
      </c>
      <c r="L7490">
        <v>-62.7401699999999</v>
      </c>
      <c r="M7490">
        <v>0.99963959999999996</v>
      </c>
      <c r="N7490">
        <v>-1.444549E-2</v>
      </c>
      <c r="O7490">
        <v>2.2632900000000001E-2</v>
      </c>
      <c r="P7490">
        <v>0.97061450000000005</v>
      </c>
      <c r="Q7490">
        <v>-7.6991480000000001E-2</v>
      </c>
      <c r="R7490">
        <v>0.22799140000000001</v>
      </c>
      <c r="S7490">
        <v>3.1326450000000001</v>
      </c>
      <c r="T7490">
        <v>-0.78981769999999996</v>
      </c>
      <c r="U7490">
        <v>-0.44488529999999998</v>
      </c>
      <c r="V7490">
        <v>-0.206064</v>
      </c>
      <c r="W7490">
        <v>-6.2559500000000004E-2</v>
      </c>
      <c r="X7490">
        <v>0.97653670000000004</v>
      </c>
      <c r="Y7490">
        <v>0.15724340000000001</v>
      </c>
      <c r="Z7490">
        <v>-2.5856580000000001E-2</v>
      </c>
      <c r="AA7490">
        <v>0.98722129999999997</v>
      </c>
      <c r="AB7490">
        <v>34</v>
      </c>
      <c r="AC7490">
        <v>0.57919999999998595</v>
      </c>
      <c r="AD7490">
        <v>-0.1909352</v>
      </c>
      <c r="AE7490">
        <v>-0.11146000000001501</v>
      </c>
      <c r="AF7490">
        <v>0.112728853179274</v>
      </c>
      <c r="AG7490">
        <v>-0.1909352</v>
      </c>
      <c r="AH7490">
        <v>0.52184426853013</v>
      </c>
      <c r="AI7490">
        <v>109.678881727008</v>
      </c>
      <c r="AJ7490">
        <v>77.810266272467302</v>
      </c>
      <c r="AK7490">
        <v>0.56699690081683995</v>
      </c>
      <c r="AL7490">
        <v>93.5867375004038</v>
      </c>
      <c r="AM7490">
        <v>101.915472710416</v>
      </c>
      <c r="AN7490">
        <v>0.99999999479156998</v>
      </c>
    </row>
    <row r="7491" spans="1:40" x14ac:dyDescent="0.25">
      <c r="A7491" t="str">
        <f>"20190305135109465"</f>
        <v>20190305135109465</v>
      </c>
      <c r="B7491" t="str">
        <f>"1551765069456789"</f>
        <v>1551765069456789</v>
      </c>
      <c r="C7491" t="s">
        <v>40</v>
      </c>
      <c r="D7491">
        <v>4.1723400000000002</v>
      </c>
      <c r="E7491">
        <v>0.67385689999999998</v>
      </c>
      <c r="F7491" t="s">
        <v>41</v>
      </c>
      <c r="G7491">
        <v>-227.02600000000001</v>
      </c>
      <c r="H7491">
        <v>0.88257059999999998</v>
      </c>
      <c r="I7491">
        <v>-62.923650000000002</v>
      </c>
      <c r="J7491">
        <v>-227.74039999999999</v>
      </c>
      <c r="K7491">
        <v>1.109005</v>
      </c>
      <c r="L7491">
        <v>-62.736939999999997</v>
      </c>
      <c r="M7491">
        <v>0.99964710000000001</v>
      </c>
      <c r="N7491">
        <v>-1.445334E-2</v>
      </c>
      <c r="O7491">
        <v>2.228807E-2</v>
      </c>
      <c r="P7491">
        <v>0.97067510000000001</v>
      </c>
      <c r="Q7491">
        <v>-7.6698779999999994E-2</v>
      </c>
      <c r="R7491">
        <v>0.22783210000000001</v>
      </c>
      <c r="S7491">
        <v>3.1824189999999999</v>
      </c>
      <c r="T7491">
        <v>-0.82560549999999999</v>
      </c>
      <c r="U7491">
        <v>-0.66867069999999995</v>
      </c>
      <c r="V7491">
        <v>-0.20624020000000001</v>
      </c>
      <c r="W7491">
        <v>-6.2256909999999999E-2</v>
      </c>
      <c r="X7491">
        <v>0.97651889999999997</v>
      </c>
      <c r="Y7491">
        <v>0.21937419999999999</v>
      </c>
      <c r="Z7491">
        <v>-3.465157E-2</v>
      </c>
      <c r="AA7491">
        <v>0.97502520000000004</v>
      </c>
      <c r="AB7491">
        <v>34</v>
      </c>
      <c r="AC7491">
        <v>0.71440000000001103</v>
      </c>
      <c r="AD7491">
        <v>-0.22643440000000001</v>
      </c>
      <c r="AE7491">
        <v>-0.18670999999999799</v>
      </c>
      <c r="AF7491">
        <v>0.18517431618524399</v>
      </c>
      <c r="AG7491">
        <v>-0.22643440000000001</v>
      </c>
      <c r="AH7491">
        <v>0.64902699569154199</v>
      </c>
      <c r="AI7491">
        <v>108.54634435428299</v>
      </c>
      <c r="AJ7491">
        <v>74.075987417683905</v>
      </c>
      <c r="AK7491">
        <v>0.711897538986069</v>
      </c>
      <c r="AL7491">
        <v>93.569366302948495</v>
      </c>
      <c r="AM7491">
        <v>101.92558087901401</v>
      </c>
      <c r="AN7491">
        <v>1.00000005249799</v>
      </c>
    </row>
    <row r="7492" spans="1:40" x14ac:dyDescent="0.25">
      <c r="A7492" t="str">
        <f>"20190305135109477"</f>
        <v>20190305135109477</v>
      </c>
      <c r="B7492" t="str">
        <f>"1551765069467525"</f>
        <v>1551765069467525</v>
      </c>
      <c r="C7492" t="s">
        <v>40</v>
      </c>
      <c r="D7492">
        <v>4.1404180000000004</v>
      </c>
      <c r="E7492">
        <v>0.67412850000000002</v>
      </c>
      <c r="F7492" t="s">
        <v>41</v>
      </c>
      <c r="G7492">
        <v>-227.0128</v>
      </c>
      <c r="H7492">
        <v>0.91817780000000004</v>
      </c>
      <c r="I7492">
        <v>-62.894030000000001</v>
      </c>
      <c r="J7492">
        <v>-227.5735</v>
      </c>
      <c r="K7492">
        <v>1.109005</v>
      </c>
      <c r="L7492">
        <v>-62.733550000000001</v>
      </c>
      <c r="M7492">
        <v>0.99965510000000002</v>
      </c>
      <c r="N7492">
        <v>-1.4460819999999999E-2</v>
      </c>
      <c r="O7492">
        <v>2.1923720000000001E-2</v>
      </c>
      <c r="P7492">
        <v>0.97065559999999995</v>
      </c>
      <c r="Q7492">
        <v>-7.653691E-2</v>
      </c>
      <c r="R7492">
        <v>0.22796859999999999</v>
      </c>
      <c r="S7492">
        <v>3.185959</v>
      </c>
      <c r="T7492">
        <v>-0.83558580000000005</v>
      </c>
      <c r="U7492">
        <v>-0.6875</v>
      </c>
      <c r="V7492">
        <v>-0.20673269999999999</v>
      </c>
      <c r="W7492">
        <v>-6.2086509999999998E-2</v>
      </c>
      <c r="X7492">
        <v>0.97642549999999995</v>
      </c>
      <c r="Y7492">
        <v>0.22400339999999999</v>
      </c>
      <c r="Z7492">
        <v>-3.5526219999999997E-2</v>
      </c>
      <c r="AA7492">
        <v>0.97394060000000005</v>
      </c>
      <c r="AB7492">
        <v>34</v>
      </c>
      <c r="AC7492">
        <v>0.56069999999999698</v>
      </c>
      <c r="AD7492">
        <v>-0.1908272</v>
      </c>
      <c r="AE7492">
        <v>-0.16048000000000601</v>
      </c>
      <c r="AF7492">
        <v>0.15603076721322501</v>
      </c>
      <c r="AG7492">
        <v>-0.1908272</v>
      </c>
      <c r="AH7492">
        <v>0.50317670023768701</v>
      </c>
      <c r="AI7492">
        <v>109.911865063146</v>
      </c>
      <c r="AJ7492">
        <v>72.771786256766802</v>
      </c>
      <c r="AK7492">
        <v>0.56031010363822198</v>
      </c>
      <c r="AL7492">
        <v>93.559584542286501</v>
      </c>
      <c r="AM7492">
        <v>101.954351344275</v>
      </c>
      <c r="AN7492">
        <v>0.99999995051175805</v>
      </c>
    </row>
    <row r="7493" spans="1:40" x14ac:dyDescent="0.25">
      <c r="A7493" t="str">
        <f>"20190305135109488"</f>
        <v>20190305135109488</v>
      </c>
      <c r="B7493" t="str">
        <f>"1551765069477284"</f>
        <v>1551765069477284</v>
      </c>
      <c r="C7493" t="s">
        <v>40</v>
      </c>
      <c r="D7493">
        <v>4.1446990000000001</v>
      </c>
      <c r="E7493">
        <v>0.67370169999999996</v>
      </c>
      <c r="F7493" t="s">
        <v>41</v>
      </c>
      <c r="G7493">
        <v>-226.72210000000001</v>
      </c>
      <c r="H7493">
        <v>0.88577220000000001</v>
      </c>
      <c r="I7493">
        <v>-62.917729999999999</v>
      </c>
      <c r="J7493">
        <v>-227.40780000000001</v>
      </c>
      <c r="K7493">
        <v>1.109008</v>
      </c>
      <c r="L7493">
        <v>-62.730289999999997</v>
      </c>
      <c r="M7493">
        <v>0.99966290000000002</v>
      </c>
      <c r="N7493">
        <v>-1.4467900000000001E-2</v>
      </c>
      <c r="O7493">
        <v>2.1561279999999999E-2</v>
      </c>
      <c r="P7493">
        <v>0.9706631</v>
      </c>
      <c r="Q7493">
        <v>-7.6628550000000004E-2</v>
      </c>
      <c r="R7493">
        <v>0.22790589999999999</v>
      </c>
      <c r="S7493">
        <v>3.1866759999999998</v>
      </c>
      <c r="T7493">
        <v>-0.83546710000000002</v>
      </c>
      <c r="U7493">
        <v>-0.68905640000000001</v>
      </c>
      <c r="V7493">
        <v>-0.2070245</v>
      </c>
      <c r="W7493">
        <v>-6.217023E-2</v>
      </c>
      <c r="X7493">
        <v>0.97635839999999996</v>
      </c>
      <c r="Y7493">
        <v>0.22407479999999999</v>
      </c>
      <c r="Z7493">
        <v>-3.543553E-2</v>
      </c>
      <c r="AA7493">
        <v>0.97392749999999995</v>
      </c>
      <c r="AB7493">
        <v>34</v>
      </c>
      <c r="AC7493">
        <v>0.68569999999999698</v>
      </c>
      <c r="AD7493">
        <v>-0.22323580000000001</v>
      </c>
      <c r="AE7493">
        <v>-0.18744000000000199</v>
      </c>
      <c r="AF7493">
        <v>0.184033267670938</v>
      </c>
      <c r="AG7493">
        <v>-0.22323580000000001</v>
      </c>
      <c r="AH7493">
        <v>0.62032278172455702</v>
      </c>
      <c r="AI7493">
        <v>109.034822972404</v>
      </c>
      <c r="AJ7493">
        <v>73.4757780742232</v>
      </c>
      <c r="AK7493">
        <v>0.68447265799137402</v>
      </c>
      <c r="AL7493">
        <v>93.564390441792995</v>
      </c>
      <c r="AM7493">
        <v>101.971537243898</v>
      </c>
      <c r="AN7493">
        <v>1.00000000317453</v>
      </c>
    </row>
    <row r="7494" spans="1:40" x14ac:dyDescent="0.25">
      <c r="A7494" t="str">
        <f>"20190305135109500"</f>
        <v>20190305135109500</v>
      </c>
      <c r="B7494" t="str">
        <f>"1551765069496806"</f>
        <v>1551765069496806</v>
      </c>
      <c r="C7494" t="s">
        <v>40</v>
      </c>
      <c r="D7494">
        <v>4.1271820000000004</v>
      </c>
      <c r="E7494">
        <v>0.67356070000000001</v>
      </c>
      <c r="F7494" t="s">
        <v>41</v>
      </c>
      <c r="G7494">
        <v>-226.70769999999999</v>
      </c>
      <c r="H7494">
        <v>0.9254966</v>
      </c>
      <c r="I7494">
        <v>-62.881050000000002</v>
      </c>
      <c r="J7494">
        <v>-227.23249999999999</v>
      </c>
      <c r="K7494">
        <v>1.1090100000000001</v>
      </c>
      <c r="L7494">
        <v>-62.726869999999998</v>
      </c>
      <c r="M7494">
        <v>0.99967099999999998</v>
      </c>
      <c r="N7494">
        <v>-1.4474269999999999E-2</v>
      </c>
      <c r="O7494">
        <v>2.1177290000000001E-2</v>
      </c>
      <c r="P7494">
        <v>0.97067999999999999</v>
      </c>
      <c r="Q7494">
        <v>-7.6584860000000005E-2</v>
      </c>
      <c r="R7494">
        <v>0.2278492</v>
      </c>
      <c r="S7494">
        <v>3.1857449999999998</v>
      </c>
      <c r="T7494">
        <v>-0.83504859999999903</v>
      </c>
      <c r="U7494">
        <v>-0.68572999999999995</v>
      </c>
      <c r="V7494">
        <v>-0.2073422</v>
      </c>
      <c r="W7494">
        <v>-6.2119599999999997E-2</v>
      </c>
      <c r="X7494">
        <v>0.9762942</v>
      </c>
      <c r="Y7494">
        <v>0.22284280000000001</v>
      </c>
      <c r="Z7494">
        <v>-3.5173500000000003E-2</v>
      </c>
      <c r="AA7494">
        <v>0.97421959999999996</v>
      </c>
      <c r="AB7494">
        <v>34</v>
      </c>
      <c r="AC7494">
        <v>0.52479999999999805</v>
      </c>
      <c r="AD7494">
        <v>-0.18351339999999999</v>
      </c>
      <c r="AE7494">
        <v>-0.15418000000000301</v>
      </c>
      <c r="AF7494">
        <v>0.14854035460994</v>
      </c>
      <c r="AG7494">
        <v>-0.18351339999999999</v>
      </c>
      <c r="AH7494">
        <v>0.468662971085756</v>
      </c>
      <c r="AI7494">
        <v>110.469012005607</v>
      </c>
      <c r="AJ7494">
        <v>72.414251891908293</v>
      </c>
      <c r="AK7494">
        <v>0.52477269878885102</v>
      </c>
      <c r="AL7494">
        <v>93.561483954285805</v>
      </c>
      <c r="AM7494">
        <v>101.990143140849</v>
      </c>
      <c r="AN7494">
        <v>0.99999999877932</v>
      </c>
    </row>
    <row r="7495" spans="1:40" x14ac:dyDescent="0.25">
      <c r="A7495" t="str">
        <f>"20190305135109512"</f>
        <v>20190305135109512</v>
      </c>
      <c r="B7495" t="str">
        <f>"1551765069507541"</f>
        <v>1551765069507541</v>
      </c>
      <c r="C7495" t="s">
        <v>40</v>
      </c>
      <c r="D7495">
        <v>4.1219999999999999</v>
      </c>
      <c r="E7495">
        <v>0.67344110000000001</v>
      </c>
      <c r="F7495" t="s">
        <v>41</v>
      </c>
      <c r="G7495">
        <v>-226.41669999999999</v>
      </c>
      <c r="H7495">
        <v>0.89486659999999996</v>
      </c>
      <c r="I7495">
        <v>-62.902410000000003</v>
      </c>
      <c r="J7495">
        <v>-227.0488</v>
      </c>
      <c r="K7495">
        <v>1.1090089999999999</v>
      </c>
      <c r="L7495">
        <v>-62.72336</v>
      </c>
      <c r="M7495">
        <v>0.99967930000000005</v>
      </c>
      <c r="N7495">
        <v>-1.448059E-2</v>
      </c>
      <c r="O7495">
        <v>2.0775189999999999E-2</v>
      </c>
      <c r="P7495">
        <v>0.97075330000000004</v>
      </c>
      <c r="Q7495">
        <v>-7.6701169999999999E-2</v>
      </c>
      <c r="R7495">
        <v>0.227497</v>
      </c>
      <c r="S7495">
        <v>3.1853790000000002</v>
      </c>
      <c r="T7495">
        <v>-0.83606139999999995</v>
      </c>
      <c r="U7495">
        <v>-0.68466190000000005</v>
      </c>
      <c r="V7495">
        <v>-0.2073808</v>
      </c>
      <c r="W7495">
        <v>-6.2228899999999997E-2</v>
      </c>
      <c r="X7495">
        <v>0.97627900000000001</v>
      </c>
      <c r="Y7495">
        <v>0.22217509999999999</v>
      </c>
      <c r="Z7495">
        <v>-3.5031329999999999E-2</v>
      </c>
      <c r="AA7495">
        <v>0.9743773</v>
      </c>
      <c r="AB7495">
        <v>34</v>
      </c>
      <c r="AC7495">
        <v>0.63210000000000799</v>
      </c>
      <c r="AD7495">
        <v>-0.21414240000000001</v>
      </c>
      <c r="AE7495">
        <v>-0.17904999999999599</v>
      </c>
      <c r="AF7495">
        <v>0.17369069838123899</v>
      </c>
      <c r="AG7495">
        <v>-0.21414240000000001</v>
      </c>
      <c r="AH7495">
        <v>0.56790541157301</v>
      </c>
      <c r="AI7495">
        <v>109.828606667643</v>
      </c>
      <c r="AJ7495">
        <v>72.994040771522506</v>
      </c>
      <c r="AK7495">
        <v>0.63130181583441702</v>
      </c>
      <c r="AL7495">
        <v>93.567758664369293</v>
      </c>
      <c r="AM7495">
        <v>101.992491983126</v>
      </c>
      <c r="AN7495">
        <v>0.999999959022424</v>
      </c>
    </row>
    <row r="7496" spans="1:40" x14ac:dyDescent="0.25">
      <c r="A7496" t="str">
        <f>"20190305135109523"</f>
        <v>20190305135109523</v>
      </c>
      <c r="B7496" t="str">
        <f>"1551765069517301"</f>
        <v>1551765069517301</v>
      </c>
      <c r="C7496" t="s">
        <v>40</v>
      </c>
      <c r="D7496">
        <v>4.1168509999999996</v>
      </c>
      <c r="E7496">
        <v>0.67340199999999995</v>
      </c>
      <c r="F7496" t="s">
        <v>41</v>
      </c>
      <c r="G7496">
        <v>-226.12530000000001</v>
      </c>
      <c r="H7496">
        <v>0.86602619999999897</v>
      </c>
      <c r="I7496">
        <v>-62.9221199999999</v>
      </c>
      <c r="J7496">
        <v>-226.8853</v>
      </c>
      <c r="K7496">
        <v>1.109011</v>
      </c>
      <c r="L7496">
        <v>-62.720280000000002</v>
      </c>
      <c r="M7496">
        <v>0.99968670000000004</v>
      </c>
      <c r="N7496">
        <v>-1.4485499999999899E-2</v>
      </c>
      <c r="O7496">
        <v>2.0416980000000001E-2</v>
      </c>
      <c r="P7496">
        <v>0.97084210000000004</v>
      </c>
      <c r="Q7496">
        <v>-7.6585940000000005E-2</v>
      </c>
      <c r="R7496">
        <v>0.22715740000000001</v>
      </c>
      <c r="S7496">
        <v>3.1846770000000002</v>
      </c>
      <c r="T7496">
        <v>-0.83784499999999995</v>
      </c>
      <c r="U7496">
        <v>-0.68487549999999997</v>
      </c>
      <c r="V7496">
        <v>-0.2073893</v>
      </c>
      <c r="W7496">
        <v>-6.2108070000000001E-2</v>
      </c>
      <c r="X7496">
        <v>0.97628490000000001</v>
      </c>
      <c r="Y7496">
        <v>0.22191520000000001</v>
      </c>
      <c r="Z7496">
        <v>-3.4986419999999997E-2</v>
      </c>
      <c r="AA7496">
        <v>0.97443809999999997</v>
      </c>
      <c r="AB7496">
        <v>34</v>
      </c>
      <c r="AC7496">
        <v>0.75999999999999002</v>
      </c>
      <c r="AD7496">
        <v>-0.2429848</v>
      </c>
      <c r="AE7496">
        <v>-0.20183999999999</v>
      </c>
      <c r="AF7496">
        <v>0.19837479969017999</v>
      </c>
      <c r="AG7496">
        <v>-0.2429848</v>
      </c>
      <c r="AH7496">
        <v>0.68985037177230002</v>
      </c>
      <c r="AI7496">
        <v>108.701483999057</v>
      </c>
      <c r="AJ7496">
        <v>73.9567720039351</v>
      </c>
      <c r="AK7496">
        <v>0.75781772849250495</v>
      </c>
      <c r="AL7496">
        <v>93.560822158333394</v>
      </c>
      <c r="AM7496">
        <v>101.992898913511</v>
      </c>
      <c r="AN7496">
        <v>0.99999997004081198</v>
      </c>
    </row>
    <row r="7497" spans="1:40" x14ac:dyDescent="0.25">
      <c r="A7497" t="str">
        <f>"20190305135109534"</f>
        <v>20190305135109534</v>
      </c>
      <c r="B7497" t="str">
        <f>"1551765069527061"</f>
        <v>1551765069527061</v>
      </c>
      <c r="C7497" t="s">
        <v>40</v>
      </c>
      <c r="D7497">
        <v>4.0712669999999997</v>
      </c>
      <c r="E7497">
        <v>0.67309169999999996</v>
      </c>
      <c r="F7497" t="s">
        <v>41</v>
      </c>
      <c r="G7497">
        <v>-226.11099999999999</v>
      </c>
      <c r="H7497">
        <v>0.9053947</v>
      </c>
      <c r="I7497">
        <v>-62.887070000000001</v>
      </c>
      <c r="J7497">
        <v>-226.7123</v>
      </c>
      <c r="K7497">
        <v>1.109013</v>
      </c>
      <c r="L7497">
        <v>-62.717129999999997</v>
      </c>
      <c r="M7497">
        <v>0.99969430000000004</v>
      </c>
      <c r="N7497">
        <v>-1.4490329999999999E-2</v>
      </c>
      <c r="O7497">
        <v>2.0038150000000001E-2</v>
      </c>
      <c r="P7497">
        <v>0.97095160000000003</v>
      </c>
      <c r="Q7497">
        <v>-7.6733739999999995E-2</v>
      </c>
      <c r="R7497">
        <v>0.2266389</v>
      </c>
      <c r="S7497">
        <v>3.1843870000000001</v>
      </c>
      <c r="T7497">
        <v>-0.83738099999999904</v>
      </c>
      <c r="U7497">
        <v>-0.68536379999999997</v>
      </c>
      <c r="V7497">
        <v>-0.20723849999999999</v>
      </c>
      <c r="W7497">
        <v>-6.2250479999999997E-2</v>
      </c>
      <c r="X7497">
        <v>0.97630790000000001</v>
      </c>
      <c r="Y7497">
        <v>0.2217325</v>
      </c>
      <c r="Z7497">
        <v>-3.4854870000000003E-2</v>
      </c>
      <c r="AA7497">
        <v>0.97448440000000003</v>
      </c>
      <c r="AB7497">
        <v>34</v>
      </c>
      <c r="AC7497">
        <v>0.60130000000000905</v>
      </c>
      <c r="AD7497">
        <v>-0.2036183</v>
      </c>
      <c r="AE7497">
        <v>-0.16993999999998899</v>
      </c>
      <c r="AF7497">
        <v>0.16448919847666599</v>
      </c>
      <c r="AG7497">
        <v>-0.2036183</v>
      </c>
      <c r="AH7497">
        <v>0.54039031498795798</v>
      </c>
      <c r="AI7497">
        <v>109.82266950680101</v>
      </c>
      <c r="AJ7497">
        <v>73.070295753326505</v>
      </c>
      <c r="AK7497">
        <v>0.60044883299342899</v>
      </c>
      <c r="AL7497">
        <v>93.5689973024419</v>
      </c>
      <c r="AM7497">
        <v>101.984156514424</v>
      </c>
      <c r="AN7497">
        <v>1.0000000168724399</v>
      </c>
    </row>
    <row r="7498" spans="1:40" x14ac:dyDescent="0.25">
      <c r="A7498" t="str">
        <f>"20190305135109544"</f>
        <v>20190305135109544</v>
      </c>
      <c r="B7498" t="str">
        <f>"1551765069536821"</f>
        <v>1551765069536821</v>
      </c>
      <c r="C7498" t="s">
        <v>40</v>
      </c>
      <c r="D7498">
        <v>4.0500480000000003</v>
      </c>
      <c r="E7498">
        <v>0.67296990000000001</v>
      </c>
      <c r="F7498" t="s">
        <v>41</v>
      </c>
      <c r="G7498">
        <v>-225.82060000000001</v>
      </c>
      <c r="H7498">
        <v>0.87503299999999995</v>
      </c>
      <c r="I7498">
        <v>-62.908869999999901</v>
      </c>
      <c r="J7498">
        <v>-226.55029999999999</v>
      </c>
      <c r="K7498">
        <v>1.109016</v>
      </c>
      <c r="L7498">
        <v>-62.714230000000001</v>
      </c>
      <c r="M7498">
        <v>0.99970119999999896</v>
      </c>
      <c r="N7498">
        <v>-1.449434E-2</v>
      </c>
      <c r="O7498">
        <v>1.9683760000000002E-2</v>
      </c>
      <c r="P7498">
        <v>0.97108059999999996</v>
      </c>
      <c r="Q7498">
        <v>-7.6595380000000005E-2</v>
      </c>
      <c r="R7498">
        <v>0.22613240000000001</v>
      </c>
      <c r="S7498">
        <v>3.1834259999999999</v>
      </c>
      <c r="T7498">
        <v>-0.83530450000000001</v>
      </c>
      <c r="U7498">
        <v>-0.68411250000000001</v>
      </c>
      <c r="V7498">
        <v>-0.20707510000000001</v>
      </c>
      <c r="W7498">
        <v>-6.21074E-2</v>
      </c>
      <c r="X7498">
        <v>0.97635170000000004</v>
      </c>
      <c r="Y7498">
        <v>0.22114619999999999</v>
      </c>
      <c r="Z7498">
        <v>-3.4620779999999997E-2</v>
      </c>
      <c r="AA7498">
        <v>0.97462590000000004</v>
      </c>
      <c r="AB7498">
        <v>34</v>
      </c>
      <c r="AC7498">
        <v>0.72969999999997903</v>
      </c>
      <c r="AD7498">
        <v>-0.233983</v>
      </c>
      <c r="AE7498">
        <v>-0.19463999999998499</v>
      </c>
      <c r="AF7498">
        <v>0.19066495020097701</v>
      </c>
      <c r="AG7498">
        <v>-0.233983</v>
      </c>
      <c r="AH7498">
        <v>0.66216518380271605</v>
      </c>
      <c r="AI7498">
        <v>108.75564019496601</v>
      </c>
      <c r="AJ7498">
        <v>73.936685494085197</v>
      </c>
      <c r="AK7498">
        <v>0.72771141131950501</v>
      </c>
      <c r="AL7498">
        <v>93.560783467390706</v>
      </c>
      <c r="AM7498">
        <v>101.97445862234601</v>
      </c>
      <c r="AN7498">
        <v>1.00000003413382</v>
      </c>
    </row>
    <row r="7499" spans="1:40" x14ac:dyDescent="0.25">
      <c r="A7499" t="str">
        <f>"20190305135109556"</f>
        <v>20190305135109556</v>
      </c>
      <c r="B7499" t="str">
        <f>"1551765069547558"</f>
        <v>1551765069547558</v>
      </c>
      <c r="C7499" t="s">
        <v>40</v>
      </c>
      <c r="D7499">
        <v>4.0275829999999999</v>
      </c>
      <c r="E7499">
        <v>0.6728963</v>
      </c>
      <c r="F7499" t="s">
        <v>41</v>
      </c>
      <c r="G7499">
        <v>-225.8064</v>
      </c>
      <c r="H7499">
        <v>0.91396750000000004</v>
      </c>
      <c r="I7499">
        <v>-62.874279999999999</v>
      </c>
      <c r="J7499">
        <v>-226.39</v>
      </c>
      <c r="K7499">
        <v>1.109019</v>
      </c>
      <c r="L7499">
        <v>-62.711399999999998</v>
      </c>
      <c r="M7499">
        <v>0.99970800000000004</v>
      </c>
      <c r="N7499">
        <v>-1.4497889999999999E-2</v>
      </c>
      <c r="O7499">
        <v>1.933404E-2</v>
      </c>
      <c r="P7499">
        <v>0.97125099999999998</v>
      </c>
      <c r="Q7499">
        <v>-7.6493240000000004E-2</v>
      </c>
      <c r="R7499">
        <v>0.22543379999999999</v>
      </c>
      <c r="S7499">
        <v>3.1828609999999999</v>
      </c>
      <c r="T7499">
        <v>-0.83448089999999997</v>
      </c>
      <c r="U7499">
        <v>-0.68426509999999996</v>
      </c>
      <c r="V7499">
        <v>-0.2067147</v>
      </c>
      <c r="W7499">
        <v>-6.2000960000000001E-2</v>
      </c>
      <c r="X7499">
        <v>0.97643480000000005</v>
      </c>
      <c r="Y7499">
        <v>0.2209168</v>
      </c>
      <c r="Z7499">
        <v>-3.4479450000000002E-2</v>
      </c>
      <c r="AA7499">
        <v>0.97468299999999997</v>
      </c>
      <c r="AB7499">
        <v>34</v>
      </c>
      <c r="AC7499">
        <v>0.58359999999998902</v>
      </c>
      <c r="AD7499">
        <v>-0.19505149999999999</v>
      </c>
      <c r="AE7499">
        <v>-0.16288000000000799</v>
      </c>
      <c r="AF7499">
        <v>0.157782806155119</v>
      </c>
      <c r="AG7499">
        <v>-0.19505149999999999</v>
      </c>
      <c r="AH7499">
        <v>0.52584709368492599</v>
      </c>
      <c r="AI7499">
        <v>109.55907874277599</v>
      </c>
      <c r="AJ7499">
        <v>73.297889082487799</v>
      </c>
      <c r="AK7499">
        <v>0.58262824125450496</v>
      </c>
      <c r="AL7499">
        <v>93.554673241664403</v>
      </c>
      <c r="AM7499">
        <v>101.953229858387</v>
      </c>
      <c r="AN7499">
        <v>1.0000000024440201</v>
      </c>
    </row>
    <row r="7500" spans="1:40" x14ac:dyDescent="0.25">
      <c r="A7500" t="str">
        <f>"20190305135109566"</f>
        <v>20190305135109566</v>
      </c>
      <c r="B7500" t="str">
        <f>"1551765069557317"</f>
        <v>1551765069557317</v>
      </c>
      <c r="C7500" t="s">
        <v>40</v>
      </c>
      <c r="D7500">
        <v>4.0481360000000004</v>
      </c>
      <c r="E7500">
        <v>0.67291990000000002</v>
      </c>
      <c r="F7500" t="s">
        <v>41</v>
      </c>
      <c r="G7500">
        <v>-225.51750000000001</v>
      </c>
      <c r="H7500">
        <v>0.88042119999999902</v>
      </c>
      <c r="I7500">
        <v>-62.899470000000001</v>
      </c>
      <c r="J7500">
        <v>-226.22479999999999</v>
      </c>
      <c r="K7500">
        <v>1.10902099999999</v>
      </c>
      <c r="L7500">
        <v>-62.708559999999999</v>
      </c>
      <c r="M7500">
        <v>0.99971489999999996</v>
      </c>
      <c r="N7500">
        <v>-1.450123E-2</v>
      </c>
      <c r="O7500">
        <v>1.8973899999999998E-2</v>
      </c>
      <c r="P7500">
        <v>0.97144680000000005</v>
      </c>
      <c r="Q7500">
        <v>-7.6257690000000003E-2</v>
      </c>
      <c r="R7500">
        <v>0.22466900000000001</v>
      </c>
      <c r="S7500">
        <v>3.1822970000000002</v>
      </c>
      <c r="T7500">
        <v>-0.83371499999999998</v>
      </c>
      <c r="U7500">
        <v>-0.68563839999999998</v>
      </c>
      <c r="V7500">
        <v>-0.20629729999999999</v>
      </c>
      <c r="W7500">
        <v>-6.1761249999999997E-2</v>
      </c>
      <c r="X7500">
        <v>0.97653820000000002</v>
      </c>
      <c r="Y7500">
        <v>0.221023</v>
      </c>
      <c r="Z7500">
        <v>-3.4382070000000001E-2</v>
      </c>
      <c r="AA7500">
        <v>0.97466240000000004</v>
      </c>
      <c r="AB7500">
        <v>34</v>
      </c>
      <c r="AC7500">
        <v>0.70729999999997495</v>
      </c>
      <c r="AD7500">
        <v>-0.22859979999999899</v>
      </c>
      <c r="AE7500">
        <v>-0.190909999999995</v>
      </c>
      <c r="AF7500">
        <v>0.18617071639967001</v>
      </c>
      <c r="AG7500">
        <v>-0.22859979999999899</v>
      </c>
      <c r="AH7500">
        <v>0.641126514002065</v>
      </c>
      <c r="AI7500">
        <v>108.901989736414</v>
      </c>
      <c r="AJ7500">
        <v>73.807726736232098</v>
      </c>
      <c r="AK7500">
        <v>0.70566324203634601</v>
      </c>
      <c r="AL7500">
        <v>93.540912712492698</v>
      </c>
      <c r="AM7500">
        <v>101.928559036934</v>
      </c>
      <c r="AN7500">
        <v>0.99999994202404396</v>
      </c>
    </row>
    <row r="7501" spans="1:40" x14ac:dyDescent="0.25">
      <c r="A7501" t="str">
        <f>"20190305135109577"</f>
        <v>20190305135109577</v>
      </c>
      <c r="B7501" t="str">
        <f>"1551765069567077"</f>
        <v>1551765069567077</v>
      </c>
      <c r="C7501" t="s">
        <v>40</v>
      </c>
      <c r="D7501">
        <v>4.0165540000000002</v>
      </c>
      <c r="E7501">
        <v>0.6729773</v>
      </c>
      <c r="F7501" t="s">
        <v>41</v>
      </c>
      <c r="G7501">
        <v>-225.50290000000001</v>
      </c>
      <c r="H7501">
        <v>0.92018160000000004</v>
      </c>
      <c r="I7501">
        <v>-62.864730000000002</v>
      </c>
      <c r="J7501">
        <v>-226.05539999999999</v>
      </c>
      <c r="K7501">
        <v>1.109027</v>
      </c>
      <c r="L7501">
        <v>-62.7057199999999</v>
      </c>
      <c r="M7501">
        <v>0.99972159999999999</v>
      </c>
      <c r="N7501">
        <v>-1.4511339999999999E-2</v>
      </c>
      <c r="O7501">
        <v>1.8608659999999999E-2</v>
      </c>
      <c r="P7501">
        <v>0.97165900000000005</v>
      </c>
      <c r="Q7501">
        <v>-7.5822520000000004E-2</v>
      </c>
      <c r="R7501">
        <v>0.22389709999999999</v>
      </c>
      <c r="S7501">
        <v>3.1819609999999998</v>
      </c>
      <c r="T7501">
        <v>-0.83230759999999904</v>
      </c>
      <c r="U7501">
        <v>-0.6879883</v>
      </c>
      <c r="V7501">
        <v>-0.2058769</v>
      </c>
      <c r="W7501">
        <v>-6.1315700000000001E-2</v>
      </c>
      <c r="X7501">
        <v>0.9766551</v>
      </c>
      <c r="Y7501">
        <v>0.22140000000000001</v>
      </c>
      <c r="Z7501">
        <v>-3.4292929999999999E-2</v>
      </c>
      <c r="AA7501">
        <v>0.97457990000000005</v>
      </c>
      <c r="AB7501">
        <v>34</v>
      </c>
      <c r="AC7501">
        <v>0.55249999999998001</v>
      </c>
      <c r="AD7501">
        <v>-0.1888454</v>
      </c>
      <c r="AE7501">
        <v>-0.15901000000000901</v>
      </c>
      <c r="AF7501">
        <v>0.152781016224427</v>
      </c>
      <c r="AG7501">
        <v>-0.1888454</v>
      </c>
      <c r="AH7501">
        <v>0.49593747513458902</v>
      </c>
      <c r="AI7501">
        <v>109.99684457145</v>
      </c>
      <c r="AJ7501">
        <v>72.877762180805902</v>
      </c>
      <c r="AK7501">
        <v>0.55223057074251203</v>
      </c>
      <c r="AL7501">
        <v>93.515335725754895</v>
      </c>
      <c r="AM7501">
        <v>101.903560594186</v>
      </c>
      <c r="AN7501">
        <v>1.00000004868805</v>
      </c>
    </row>
    <row r="7502" spans="1:40" x14ac:dyDescent="0.25">
      <c r="A7502" t="str">
        <f>"20190305135109589"</f>
        <v>20190305135109589</v>
      </c>
      <c r="B7502" t="str">
        <f>"1551765069576837"</f>
        <v>1551765069576837</v>
      </c>
      <c r="C7502" t="s">
        <v>40</v>
      </c>
      <c r="D7502">
        <v>4.0121520000000004</v>
      </c>
      <c r="E7502">
        <v>0.67296899999999904</v>
      </c>
      <c r="F7502" t="s">
        <v>41</v>
      </c>
      <c r="G7502">
        <v>-225.21350000000001</v>
      </c>
      <c r="H7502">
        <v>0.88904069999999902</v>
      </c>
      <c r="I7502">
        <v>-62.888629999999999</v>
      </c>
      <c r="J7502">
        <v>-225.8827</v>
      </c>
      <c r="K7502">
        <v>1.109035</v>
      </c>
      <c r="L7502">
        <v>-62.70288</v>
      </c>
      <c r="M7502">
        <v>0.99972830000000001</v>
      </c>
      <c r="N7502">
        <v>-1.452415E-2</v>
      </c>
      <c r="O7502">
        <v>1.8237449999999999E-2</v>
      </c>
      <c r="P7502">
        <v>0.97187920000000005</v>
      </c>
      <c r="Q7502">
        <v>-7.5563859999999997E-2</v>
      </c>
      <c r="R7502">
        <v>0.22302749999999999</v>
      </c>
      <c r="S7502">
        <v>3.1817630000000001</v>
      </c>
      <c r="T7502">
        <v>-0.83139110000000005</v>
      </c>
      <c r="U7502">
        <v>-0.69058229999999998</v>
      </c>
      <c r="V7502">
        <v>-0.20536479999999999</v>
      </c>
      <c r="W7502">
        <v>-6.1044319999999999E-2</v>
      </c>
      <c r="X7502">
        <v>0.97677990000000003</v>
      </c>
      <c r="Y7502">
        <v>0.22182389999999999</v>
      </c>
      <c r="Z7502">
        <v>-3.4226279999999998E-2</v>
      </c>
      <c r="AA7502">
        <v>0.97448590000000002</v>
      </c>
      <c r="AB7502">
        <v>34</v>
      </c>
      <c r="AC7502">
        <v>0.66919999999998903</v>
      </c>
      <c r="AD7502">
        <v>-0.2199943</v>
      </c>
      <c r="AE7502">
        <v>-0.185749999999998</v>
      </c>
      <c r="AF7502">
        <v>0.17987600668204301</v>
      </c>
      <c r="AG7502">
        <v>-0.2199943</v>
      </c>
      <c r="AH7502">
        <v>0.60499509406443897</v>
      </c>
      <c r="AI7502">
        <v>109.216025328615</v>
      </c>
      <c r="AJ7502">
        <v>73.441832227705802</v>
      </c>
      <c r="AK7502">
        <v>0.66841000415494001</v>
      </c>
      <c r="AL7502">
        <v>93.499757641071895</v>
      </c>
      <c r="AM7502">
        <v>101.873319073589</v>
      </c>
      <c r="AN7502">
        <v>1.0000000415636501</v>
      </c>
    </row>
    <row r="7503" spans="1:40" x14ac:dyDescent="0.25">
      <c r="A7503" t="str">
        <f>"20190305135109601"</f>
        <v>20190305135109601</v>
      </c>
      <c r="B7503" t="str">
        <f>"1551765069597332"</f>
        <v>1551765069597332</v>
      </c>
      <c r="C7503" t="s">
        <v>40</v>
      </c>
      <c r="D7503">
        <v>3.9820449999999998</v>
      </c>
      <c r="E7503">
        <v>0.67298690000000005</v>
      </c>
      <c r="F7503" t="s">
        <v>41</v>
      </c>
      <c r="G7503">
        <v>-225.19839999999999</v>
      </c>
      <c r="H7503">
        <v>0.93021109999999896</v>
      </c>
      <c r="I7503">
        <v>-62.852089999999997</v>
      </c>
      <c r="J7503">
        <v>-225.7139</v>
      </c>
      <c r="K7503">
        <v>1.109051</v>
      </c>
      <c r="L7503">
        <v>-62.700159999999997</v>
      </c>
      <c r="M7503">
        <v>0.99973420000000002</v>
      </c>
      <c r="N7503">
        <v>-1.4552320000000001E-2</v>
      </c>
      <c r="O7503">
        <v>1.7883670000000001E-2</v>
      </c>
      <c r="P7503">
        <v>0.97215079999999998</v>
      </c>
      <c r="Q7503">
        <v>-7.5145470000000006E-2</v>
      </c>
      <c r="R7503">
        <v>0.22198180000000001</v>
      </c>
      <c r="S7503">
        <v>3.181152</v>
      </c>
      <c r="T7503">
        <v>-0.83130249999999895</v>
      </c>
      <c r="U7503">
        <v>-0.69274899999999995</v>
      </c>
      <c r="V7503">
        <v>-0.2046586</v>
      </c>
      <c r="W7503">
        <v>-6.0598880000000001E-2</v>
      </c>
      <c r="X7503">
        <v>0.97695580000000004</v>
      </c>
      <c r="Y7503">
        <v>0.2221505</v>
      </c>
      <c r="Z7503">
        <v>-3.418844E-2</v>
      </c>
      <c r="AA7503">
        <v>0.97441279999999997</v>
      </c>
      <c r="AB7503">
        <v>34</v>
      </c>
      <c r="AC7503">
        <v>0.51550000000000296</v>
      </c>
      <c r="AD7503">
        <v>-0.1788399</v>
      </c>
      <c r="AE7503">
        <v>-0.151930000000007</v>
      </c>
      <c r="AF7503">
        <v>0.14506183236593201</v>
      </c>
      <c r="AG7503">
        <v>-0.1788399</v>
      </c>
      <c r="AH7503">
        <v>0.46158512388131101</v>
      </c>
      <c r="AI7503">
        <v>110.285524864282</v>
      </c>
      <c r="AJ7503">
        <v>72.553690258675203</v>
      </c>
      <c r="AK7503">
        <v>0.51583667146675105</v>
      </c>
      <c r="AL7503">
        <v>93.474188613645893</v>
      </c>
      <c r="AM7503">
        <v>101.831572161572</v>
      </c>
      <c r="AN7503">
        <v>1.0000000009824199</v>
      </c>
    </row>
    <row r="7504" spans="1:40" x14ac:dyDescent="0.25">
      <c r="A7504" t="str">
        <f>"20190305135109612"</f>
        <v>20190305135109612</v>
      </c>
      <c r="B7504" t="str">
        <f>"1551765069607092"</f>
        <v>1551765069607092</v>
      </c>
      <c r="C7504" t="s">
        <v>40</v>
      </c>
      <c r="D7504">
        <v>3.9464890000000001</v>
      </c>
      <c r="E7504">
        <v>0.67305740000000003</v>
      </c>
      <c r="F7504" t="s">
        <v>41</v>
      </c>
      <c r="G7504">
        <v>-224.90960000000001</v>
      </c>
      <c r="H7504">
        <v>0.89901980000000004</v>
      </c>
      <c r="I7504">
        <v>-62.876199999999997</v>
      </c>
      <c r="J7504">
        <v>-225.54050000000001</v>
      </c>
      <c r="K7504">
        <v>1.1090660000000001</v>
      </c>
      <c r="L7504">
        <v>-62.697389999999999</v>
      </c>
      <c r="M7504">
        <v>0.99974019999999997</v>
      </c>
      <c r="N7504">
        <v>-1.4583850000000001E-2</v>
      </c>
      <c r="O7504">
        <v>1.7522799999999901E-2</v>
      </c>
      <c r="P7504">
        <v>0.97241520000000004</v>
      </c>
      <c r="Q7504">
        <v>-7.4840809999999994E-2</v>
      </c>
      <c r="R7504">
        <v>0.2209245</v>
      </c>
      <c r="S7504">
        <v>3.1806640000000002</v>
      </c>
      <c r="T7504">
        <v>-0.83051559999999902</v>
      </c>
      <c r="U7504">
        <v>-0.69583130000000004</v>
      </c>
      <c r="V7504">
        <v>-0.20394760000000001</v>
      </c>
      <c r="W7504">
        <v>-6.0264499999999999E-2</v>
      </c>
      <c r="X7504">
        <v>0.97712520000000003</v>
      </c>
      <c r="Y7504">
        <v>0.22273570000000001</v>
      </c>
      <c r="Z7504">
        <v>-3.4155249999999998E-2</v>
      </c>
      <c r="AA7504">
        <v>0.97428040000000005</v>
      </c>
      <c r="AB7504">
        <v>34</v>
      </c>
      <c r="AC7504">
        <v>0.63089999999999602</v>
      </c>
      <c r="AD7504">
        <v>-0.21004619999999899</v>
      </c>
      <c r="AE7504">
        <v>-0.178809999999991</v>
      </c>
      <c r="AF7504">
        <v>0.172173597044531</v>
      </c>
      <c r="AG7504">
        <v>-0.21004619999999899</v>
      </c>
      <c r="AH7504">
        <v>0.569262407224155</v>
      </c>
      <c r="AI7504">
        <v>109.45216397660801</v>
      </c>
      <c r="AJ7504">
        <v>73.172041891984094</v>
      </c>
      <c r="AK7504">
        <v>0.63073198898766203</v>
      </c>
      <c r="AL7504">
        <v>93.4549948190446</v>
      </c>
      <c r="AM7504">
        <v>101.78963406340699</v>
      </c>
      <c r="AN7504">
        <v>1.00000004499052</v>
      </c>
    </row>
    <row r="7505" spans="1:40" x14ac:dyDescent="0.25">
      <c r="A7505" t="str">
        <f>"20190305135109623"</f>
        <v>20190305135109623</v>
      </c>
      <c r="B7505" t="str">
        <f>"1551765069616852"</f>
        <v>1551765069616852</v>
      </c>
      <c r="C7505" t="s">
        <v>40</v>
      </c>
      <c r="D7505">
        <v>3.9709020000000002</v>
      </c>
      <c r="E7505">
        <v>0.67310760000000003</v>
      </c>
      <c r="F7505" t="s">
        <v>41</v>
      </c>
      <c r="G7505">
        <v>-224.6207</v>
      </c>
      <c r="H7505">
        <v>0.86885599999999996</v>
      </c>
      <c r="I7505">
        <v>-62.899880000000003</v>
      </c>
      <c r="J7505">
        <v>-225.3717</v>
      </c>
      <c r="K7505">
        <v>1.109084</v>
      </c>
      <c r="L7505">
        <v>-62.694819999999901</v>
      </c>
      <c r="M7505">
        <v>0.99974549999999995</v>
      </c>
      <c r="N7505">
        <v>-1.4622299999999901E-2</v>
      </c>
      <c r="O7505">
        <v>1.718041E-2</v>
      </c>
      <c r="P7505">
        <v>0.97270279999999998</v>
      </c>
      <c r="Q7505">
        <v>-7.4470969999999997E-2</v>
      </c>
      <c r="R7505">
        <v>0.2197807</v>
      </c>
      <c r="S7505">
        <v>3.180069</v>
      </c>
      <c r="T7505">
        <v>-0.83039439999999998</v>
      </c>
      <c r="U7505">
        <v>-0.69924929999999996</v>
      </c>
      <c r="V7505">
        <v>-0.20313200000000001</v>
      </c>
      <c r="W7505">
        <v>-5.9859500000000003E-2</v>
      </c>
      <c r="X7505">
        <v>0.97731990000000002</v>
      </c>
      <c r="Y7505">
        <v>0.2234266</v>
      </c>
      <c r="Z7505">
        <v>-3.4167610000000001E-2</v>
      </c>
      <c r="AA7505">
        <v>0.97412169999999998</v>
      </c>
      <c r="AB7505">
        <v>34</v>
      </c>
      <c r="AC7505">
        <v>0.751000000000004</v>
      </c>
      <c r="AD7505">
        <v>-0.240228</v>
      </c>
      <c r="AE7505">
        <v>-0.20506000000001001</v>
      </c>
      <c r="AF7505">
        <v>0.19898572951555299</v>
      </c>
      <c r="AG7505">
        <v>-0.240228</v>
      </c>
      <c r="AH7505">
        <v>0.68238729900667705</v>
      </c>
      <c r="AI7505">
        <v>108.67344175150301</v>
      </c>
      <c r="AJ7505">
        <v>73.743192325548193</v>
      </c>
      <c r="AK7505">
        <v>0.75030476366638199</v>
      </c>
      <c r="AL7505">
        <v>93.431748290654696</v>
      </c>
      <c r="AM7505">
        <v>101.741523878693</v>
      </c>
      <c r="AN7505">
        <v>0.99999997805012897</v>
      </c>
    </row>
    <row r="7506" spans="1:40" x14ac:dyDescent="0.25">
      <c r="A7506" t="str">
        <f>"20190305135109634"</f>
        <v>20190305135109634</v>
      </c>
      <c r="B7506" t="str">
        <f>"1551765069627588"</f>
        <v>1551765069627588</v>
      </c>
      <c r="C7506" t="s">
        <v>40</v>
      </c>
      <c r="D7506">
        <v>3.9677120000000001</v>
      </c>
      <c r="E7506">
        <v>0.67301709999999904</v>
      </c>
      <c r="F7506" t="s">
        <v>41</v>
      </c>
      <c r="G7506">
        <v>-224.60589999999999</v>
      </c>
      <c r="H7506">
        <v>0.90925109999999998</v>
      </c>
      <c r="I7506">
        <v>-62.864359999999998</v>
      </c>
      <c r="J7506">
        <v>-225.20519999999999</v>
      </c>
      <c r="K7506">
        <v>1.109103</v>
      </c>
      <c r="L7506">
        <v>-62.69229</v>
      </c>
      <c r="M7506">
        <v>0.99975060000000004</v>
      </c>
      <c r="N7506">
        <v>-1.4661240000000001E-2</v>
      </c>
      <c r="O7506">
        <v>1.6847520000000001E-2</v>
      </c>
      <c r="P7506">
        <v>0.97295379999999998</v>
      </c>
      <c r="Q7506">
        <v>-7.418719E-2</v>
      </c>
      <c r="R7506">
        <v>0.2187636</v>
      </c>
      <c r="S7506">
        <v>3.1794889999999998</v>
      </c>
      <c r="T7506">
        <v>-0.82956779999999997</v>
      </c>
      <c r="U7506">
        <v>-0.70288090000000003</v>
      </c>
      <c r="V7506">
        <v>-0.202434</v>
      </c>
      <c r="W7506">
        <v>-5.9540929999999999E-2</v>
      </c>
      <c r="X7506">
        <v>0.97748420000000003</v>
      </c>
      <c r="Y7506">
        <v>0.22419839999999999</v>
      </c>
      <c r="Z7506">
        <v>-3.4165859999999999E-2</v>
      </c>
      <c r="AA7506">
        <v>0.97394440000000004</v>
      </c>
      <c r="AB7506">
        <v>34</v>
      </c>
      <c r="AC7506">
        <v>0.59929999999999894</v>
      </c>
      <c r="AD7506">
        <v>-0.1998519</v>
      </c>
      <c r="AE7506">
        <v>-0.172069999999997</v>
      </c>
      <c r="AF7506">
        <v>0.16517395729999901</v>
      </c>
      <c r="AG7506">
        <v>-0.1998519</v>
      </c>
      <c r="AH7506">
        <v>0.54075980675241198</v>
      </c>
      <c r="AI7506">
        <v>109.466225459654</v>
      </c>
      <c r="AJ7506">
        <v>73.0148174113544</v>
      </c>
      <c r="AK7506">
        <v>0.59970358236603705</v>
      </c>
      <c r="AL7506">
        <v>93.413462870489994</v>
      </c>
      <c r="AM7506">
        <v>101.700379586106</v>
      </c>
      <c r="AN7506">
        <v>1.00000000397545</v>
      </c>
    </row>
    <row r="7507" spans="1:40" x14ac:dyDescent="0.25">
      <c r="A7507" t="str">
        <f>"20190305135109645"</f>
        <v>20190305135109645</v>
      </c>
      <c r="B7507" t="str">
        <f>"1551765069637348"</f>
        <v>1551765069637348</v>
      </c>
      <c r="C7507" t="s">
        <v>40</v>
      </c>
      <c r="D7507">
        <v>3.9156599999999999</v>
      </c>
      <c r="E7507">
        <v>0.67287280000000005</v>
      </c>
      <c r="F7507" t="s">
        <v>41</v>
      </c>
      <c r="G7507">
        <v>-224.31829999999999</v>
      </c>
      <c r="H7507">
        <v>0.87759200000000004</v>
      </c>
      <c r="I7507">
        <v>-62.889040000000001</v>
      </c>
      <c r="J7507">
        <v>-225.0461</v>
      </c>
      <c r="K7507">
        <v>1.1091230000000001</v>
      </c>
      <c r="L7507">
        <v>-62.689970000000002</v>
      </c>
      <c r="M7507">
        <v>0.99975530000000001</v>
      </c>
      <c r="N7507">
        <v>-1.469963E-2</v>
      </c>
      <c r="O7507">
        <v>1.653551E-2</v>
      </c>
      <c r="P7507">
        <v>0.973217</v>
      </c>
      <c r="Q7507">
        <v>-7.3973730000000001E-2</v>
      </c>
      <c r="R7507">
        <v>0.21766179999999999</v>
      </c>
      <c r="S7507">
        <v>3.1786799999999999</v>
      </c>
      <c r="T7507">
        <v>-0.82973889999999995</v>
      </c>
      <c r="U7507">
        <v>-0.70516969999999901</v>
      </c>
      <c r="V7507">
        <v>-0.20163049999999999</v>
      </c>
      <c r="W7507">
        <v>-5.9293810000000002E-2</v>
      </c>
      <c r="X7507">
        <v>0.97766520000000001</v>
      </c>
      <c r="Y7507">
        <v>0.2246041</v>
      </c>
      <c r="Z7507">
        <v>-3.4161619999999997E-2</v>
      </c>
      <c r="AA7507">
        <v>0.97385109999999997</v>
      </c>
      <c r="AB7507">
        <v>34</v>
      </c>
      <c r="AC7507">
        <v>0.727800000000002</v>
      </c>
      <c r="AD7507">
        <v>-0.23153099999999899</v>
      </c>
      <c r="AE7507">
        <v>-0.19907000000000599</v>
      </c>
      <c r="AF7507">
        <v>0.19291407775706701</v>
      </c>
      <c r="AG7507">
        <v>-0.23153099999999899</v>
      </c>
      <c r="AH7507">
        <v>0.66206883817125395</v>
      </c>
      <c r="AI7507">
        <v>108.55926099199699</v>
      </c>
      <c r="AJ7507">
        <v>73.754896875794302</v>
      </c>
      <c r="AK7507">
        <v>0.72743219054101105</v>
      </c>
      <c r="AL7507">
        <v>93.399279133214506</v>
      </c>
      <c r="AM7507">
        <v>101.653112760452</v>
      </c>
      <c r="AN7507">
        <v>0.99999992886279998</v>
      </c>
    </row>
    <row r="7508" spans="1:40" x14ac:dyDescent="0.25">
      <c r="A7508" t="str">
        <f>"20190305135109656"</f>
        <v>20190305135109656</v>
      </c>
      <c r="B7508" t="str">
        <f>"1551765069647108"</f>
        <v>1551765069647108</v>
      </c>
      <c r="C7508" t="s">
        <v>40</v>
      </c>
      <c r="D7508">
        <v>3.9281980000000001</v>
      </c>
      <c r="E7508">
        <v>0.67279540000000004</v>
      </c>
      <c r="F7508" t="s">
        <v>41</v>
      </c>
      <c r="G7508">
        <v>-224.30420000000001</v>
      </c>
      <c r="H7508">
        <v>0.91571499999999995</v>
      </c>
      <c r="I7508">
        <v>-62.8551199999999</v>
      </c>
      <c r="J7508">
        <v>-224.88239999999999</v>
      </c>
      <c r="K7508">
        <v>1.109143</v>
      </c>
      <c r="L7508">
        <v>-62.687559999999998</v>
      </c>
      <c r="M7508">
        <v>0.99975990000000003</v>
      </c>
      <c r="N7508">
        <v>-1.4738589999999999E-2</v>
      </c>
      <c r="O7508">
        <v>1.622415E-2</v>
      </c>
      <c r="P7508">
        <v>0.97340649999999995</v>
      </c>
      <c r="Q7508">
        <v>-7.3657239999999999E-2</v>
      </c>
      <c r="R7508">
        <v>0.21692030000000001</v>
      </c>
      <c r="S7508">
        <v>3.1778110000000002</v>
      </c>
      <c r="T7508">
        <v>-0.82846640000000005</v>
      </c>
      <c r="U7508">
        <v>-0.70742799999999995</v>
      </c>
      <c r="V7508">
        <v>-0.20118759999999999</v>
      </c>
      <c r="W7508">
        <v>-5.8944660000000003E-2</v>
      </c>
      <c r="X7508">
        <v>0.97777760000000002</v>
      </c>
      <c r="Y7508">
        <v>0.2250317</v>
      </c>
      <c r="Z7508">
        <v>-3.4105990000000003E-2</v>
      </c>
      <c r="AA7508">
        <v>0.97375429999999996</v>
      </c>
      <c r="AB7508">
        <v>34</v>
      </c>
      <c r="AC7508">
        <v>0.57819999999998095</v>
      </c>
      <c r="AD7508">
        <v>-0.19342799999999999</v>
      </c>
      <c r="AE7508">
        <v>-0.16755999999999399</v>
      </c>
      <c r="AF7508">
        <v>0.16036336862456699</v>
      </c>
      <c r="AG7508">
        <v>-0.19342799999999999</v>
      </c>
      <c r="AH7508">
        <v>0.52155787360212702</v>
      </c>
      <c r="AI7508">
        <v>109.51880266596601</v>
      </c>
      <c r="AJ7508">
        <v>72.908910535221196</v>
      </c>
      <c r="AK7508">
        <v>0.57892436180989204</v>
      </c>
      <c r="AL7508">
        <v>93.379239088795998</v>
      </c>
      <c r="AM7508">
        <v>101.62691315073199</v>
      </c>
      <c r="AN7508">
        <v>0.99999997919901695</v>
      </c>
    </row>
    <row r="7509" spans="1:40" x14ac:dyDescent="0.25">
      <c r="A7509" t="str">
        <f>"20190305135109667"</f>
        <v>20190305135109667</v>
      </c>
      <c r="B7509" t="str">
        <f>"1551765069656869"</f>
        <v>1551765069656869</v>
      </c>
      <c r="C7509" t="s">
        <v>40</v>
      </c>
      <c r="D7509">
        <v>3.910784</v>
      </c>
      <c r="E7509">
        <v>0.67273619999999901</v>
      </c>
      <c r="F7509" t="s">
        <v>41</v>
      </c>
      <c r="G7509">
        <v>-224.0172</v>
      </c>
      <c r="H7509">
        <v>0.88364599999999904</v>
      </c>
      <c r="I7509">
        <v>-62.880659999999999</v>
      </c>
      <c r="J7509">
        <v>-224.71190000000001</v>
      </c>
      <c r="K7509">
        <v>1.1091679999999999</v>
      </c>
      <c r="L7509">
        <v>-62.685119999999998</v>
      </c>
      <c r="M7509">
        <v>0.99976430000000005</v>
      </c>
      <c r="N7509">
        <v>-1.477876E-2</v>
      </c>
      <c r="O7509">
        <v>1.5906859999999998E-2</v>
      </c>
      <c r="P7509">
        <v>0.97362150000000003</v>
      </c>
      <c r="Q7509">
        <v>-7.3445399999999994E-2</v>
      </c>
      <c r="R7509">
        <v>0.2160252</v>
      </c>
      <c r="S7509">
        <v>3.1772770000000001</v>
      </c>
      <c r="T7509">
        <v>-0.82811190000000001</v>
      </c>
      <c r="U7509">
        <v>-0.70892330000000003</v>
      </c>
      <c r="V7509">
        <v>-0.20059689999999999</v>
      </c>
      <c r="W7509">
        <v>-5.869986E-2</v>
      </c>
      <c r="X7509">
        <v>0.9779137</v>
      </c>
      <c r="Y7509">
        <v>0.22520180000000001</v>
      </c>
      <c r="Z7509">
        <v>-3.4047130000000002E-2</v>
      </c>
      <c r="AA7509">
        <v>0.9737171</v>
      </c>
      <c r="AB7509">
        <v>33</v>
      </c>
      <c r="AC7509">
        <v>0.69470000000001098</v>
      </c>
      <c r="AD7509">
        <v>-0.225521999999999</v>
      </c>
      <c r="AE7509">
        <v>-0.19554000000000099</v>
      </c>
      <c r="AF7509">
        <v>0.188190264757259</v>
      </c>
      <c r="AG7509">
        <v>-0.225521999999999</v>
      </c>
      <c r="AH7509">
        <v>0.62998370337466003</v>
      </c>
      <c r="AI7509">
        <v>108.93215719752899</v>
      </c>
      <c r="AJ7509">
        <v>73.367934572394404</v>
      </c>
      <c r="AK7509">
        <v>0.69509367336428696</v>
      </c>
      <c r="AL7509">
        <v>93.365188692272895</v>
      </c>
      <c r="AM7509">
        <v>101.592131440201</v>
      </c>
      <c r="AN7509">
        <v>0.99999999725065902</v>
      </c>
    </row>
    <row r="7510" spans="1:40" x14ac:dyDescent="0.25">
      <c r="A7510" t="str">
        <f>"20190305135109678"</f>
        <v>20190305135109678</v>
      </c>
      <c r="B7510" t="str">
        <f>"1551765069667605"</f>
        <v>1551765069667605</v>
      </c>
      <c r="C7510" t="s">
        <v>40</v>
      </c>
      <c r="D7510">
        <v>3.9358010000000001</v>
      </c>
      <c r="E7510">
        <v>0.67271689999999995</v>
      </c>
      <c r="F7510" t="s">
        <v>41</v>
      </c>
      <c r="G7510">
        <v>-224.00219999999999</v>
      </c>
      <c r="H7510">
        <v>0.92430520000000005</v>
      </c>
      <c r="I7510">
        <v>-62.844079999999998</v>
      </c>
      <c r="J7510">
        <v>-224.5498</v>
      </c>
      <c r="K7510">
        <v>1.109192</v>
      </c>
      <c r="L7510">
        <v>-62.682859999999998</v>
      </c>
      <c r="M7510">
        <v>0.9997684</v>
      </c>
      <c r="N7510">
        <v>-1.481554E-2</v>
      </c>
      <c r="O7510">
        <v>1.562212E-2</v>
      </c>
      <c r="P7510">
        <v>0.97375080000000003</v>
      </c>
      <c r="Q7510">
        <v>-7.3485289999999995E-2</v>
      </c>
      <c r="R7510">
        <v>0.2154286</v>
      </c>
      <c r="S7510">
        <v>3.1766510000000001</v>
      </c>
      <c r="T7510">
        <v>-0.82736960000000004</v>
      </c>
      <c r="U7510">
        <v>-0.71124270000000001</v>
      </c>
      <c r="V7510">
        <v>-0.20027410000000001</v>
      </c>
      <c r="W7510">
        <v>-5.8711670000000001E-2</v>
      </c>
      <c r="X7510">
        <v>0.97797920000000005</v>
      </c>
      <c r="Y7510">
        <v>0.2256473</v>
      </c>
      <c r="Z7510">
        <v>-3.4018020000000003E-2</v>
      </c>
      <c r="AA7510">
        <v>0.97361489999999995</v>
      </c>
      <c r="AB7510">
        <v>33</v>
      </c>
      <c r="AC7510">
        <v>0.54760000000001696</v>
      </c>
      <c r="AD7510">
        <v>-0.18488679999999999</v>
      </c>
      <c r="AE7510">
        <v>-0.161220000000007</v>
      </c>
      <c r="AF7510">
        <v>0.15363889934712399</v>
      </c>
      <c r="AG7510">
        <v>-0.18488679999999999</v>
      </c>
      <c r="AH7510">
        <v>0.493269331821237</v>
      </c>
      <c r="AI7510">
        <v>109.690364079446</v>
      </c>
      <c r="AJ7510">
        <v>72.6997235325356</v>
      </c>
      <c r="AK7510">
        <v>0.54872823321039899</v>
      </c>
      <c r="AL7510">
        <v>93.365866361951603</v>
      </c>
      <c r="AM7510">
        <v>101.57322688403499</v>
      </c>
      <c r="AN7510">
        <v>1.0000000454788101</v>
      </c>
    </row>
    <row r="7511" spans="1:40" x14ac:dyDescent="0.25">
      <c r="A7511" t="str">
        <f>"20190305135109690"</f>
        <v>20190305135109690</v>
      </c>
      <c r="B7511" t="str">
        <f>"1551765069687125"</f>
        <v>1551765069687125</v>
      </c>
      <c r="C7511" t="s">
        <v>40</v>
      </c>
      <c r="D7511">
        <v>3.9239039999999998</v>
      </c>
      <c r="E7511">
        <v>0.67259049999999998</v>
      </c>
      <c r="F7511" t="s">
        <v>41</v>
      </c>
      <c r="G7511">
        <v>-223.7159</v>
      </c>
      <c r="H7511">
        <v>0.89192719999999903</v>
      </c>
      <c r="I7511">
        <v>-62.870130000000003</v>
      </c>
      <c r="J7511">
        <v>-224.37860000000001</v>
      </c>
      <c r="K7511">
        <v>1.109219</v>
      </c>
      <c r="L7511">
        <v>-62.680480000000003</v>
      </c>
      <c r="M7511">
        <v>0.99977229999999995</v>
      </c>
      <c r="N7511">
        <v>-1.485407E-2</v>
      </c>
      <c r="O7511">
        <v>1.532644E-2</v>
      </c>
      <c r="P7511">
        <v>0.9738734</v>
      </c>
      <c r="Q7511">
        <v>-7.3523660000000005E-2</v>
      </c>
      <c r="R7511">
        <v>0.2148602</v>
      </c>
      <c r="S7511">
        <v>3.176132</v>
      </c>
      <c r="T7511">
        <v>-0.82736520000000002</v>
      </c>
      <c r="U7511">
        <v>-0.71289060000000004</v>
      </c>
      <c r="V7511">
        <v>-0.19999</v>
      </c>
      <c r="W7511">
        <v>-5.8721160000000001E-2</v>
      </c>
      <c r="X7511">
        <v>0.97803669999999998</v>
      </c>
      <c r="Y7511">
        <v>0.22587309999999999</v>
      </c>
      <c r="Z7511">
        <v>-3.3984800000000003E-2</v>
      </c>
      <c r="AA7511">
        <v>0.97356370000000003</v>
      </c>
      <c r="AB7511">
        <v>33</v>
      </c>
      <c r="AC7511">
        <v>0.66270000000000095</v>
      </c>
      <c r="AD7511">
        <v>-0.21729180000000001</v>
      </c>
      <c r="AE7511">
        <v>-0.18965000000000001</v>
      </c>
      <c r="AF7511">
        <v>0.18172699220229499</v>
      </c>
      <c r="AG7511">
        <v>-0.21729180000000001</v>
      </c>
      <c r="AH7511">
        <v>0.60008333929972901</v>
      </c>
      <c r="AI7511">
        <v>109.114259224788</v>
      </c>
      <c r="AJ7511">
        <v>73.151784740049393</v>
      </c>
      <c r="AK7511">
        <v>0.66358152486883404</v>
      </c>
      <c r="AL7511">
        <v>93.366411257131304</v>
      </c>
      <c r="AM7511">
        <v>101.556590441357</v>
      </c>
      <c r="AN7511">
        <v>0.99999998063931705</v>
      </c>
    </row>
    <row r="7512" spans="1:40" x14ac:dyDescent="0.25">
      <c r="A7512" t="str">
        <f>"20190305135109700"</f>
        <v>20190305135109700</v>
      </c>
      <c r="B7512" t="str">
        <f>"1551765069696885"</f>
        <v>1551765069696885</v>
      </c>
      <c r="C7512" t="s">
        <v>40</v>
      </c>
      <c r="D7512">
        <v>3.8899339999999998</v>
      </c>
      <c r="E7512">
        <v>0.67244689999999996</v>
      </c>
      <c r="F7512" t="s">
        <v>41</v>
      </c>
      <c r="G7512">
        <v>-223.429</v>
      </c>
      <c r="H7512">
        <v>0.86165499999999995</v>
      </c>
      <c r="I7512">
        <v>-62.894019999999998</v>
      </c>
      <c r="J7512">
        <v>-224.21350000000001</v>
      </c>
      <c r="K7512">
        <v>1.109243</v>
      </c>
      <c r="L7512">
        <v>-62.678220000000003</v>
      </c>
      <c r="M7512">
        <v>0.99977550000000004</v>
      </c>
      <c r="N7512">
        <v>-1.489308E-2</v>
      </c>
      <c r="O7512">
        <v>1.506643E-2</v>
      </c>
      <c r="P7512">
        <v>0.97394950000000002</v>
      </c>
      <c r="Q7512">
        <v>-7.3429880000000003E-2</v>
      </c>
      <c r="R7512">
        <v>0.2145474</v>
      </c>
      <c r="S7512">
        <v>3.1754150000000001</v>
      </c>
      <c r="T7512">
        <v>-0.82790959999999902</v>
      </c>
      <c r="U7512">
        <v>-0.71353149999999999</v>
      </c>
      <c r="V7512">
        <v>-0.1999271</v>
      </c>
      <c r="W7512">
        <v>-5.8599329999999998E-2</v>
      </c>
      <c r="X7512">
        <v>0.97805690000000001</v>
      </c>
      <c r="Y7512">
        <v>0.2258484</v>
      </c>
      <c r="Z7512">
        <v>-3.3950340000000002E-2</v>
      </c>
      <c r="AA7512">
        <v>0.97357070000000001</v>
      </c>
      <c r="AB7512">
        <v>33</v>
      </c>
      <c r="AC7512">
        <v>0.78450000000000797</v>
      </c>
      <c r="AD7512">
        <v>-0.247588</v>
      </c>
      <c r="AE7512">
        <v>-0.21580000000000099</v>
      </c>
      <c r="AF7512">
        <v>0.20830784323665399</v>
      </c>
      <c r="AG7512">
        <v>-0.247588</v>
      </c>
      <c r="AH7512">
        <v>0.71495672787268705</v>
      </c>
      <c r="AI7512">
        <v>108.390604341344</v>
      </c>
      <c r="AJ7512">
        <v>73.756133757345495</v>
      </c>
      <c r="AK7512">
        <v>0.78476435828108704</v>
      </c>
      <c r="AL7512">
        <v>93.359418761762797</v>
      </c>
      <c r="AM7512">
        <v>101.55282125719199</v>
      </c>
      <c r="AN7512">
        <v>1.0000000132142299</v>
      </c>
    </row>
    <row r="7513" spans="1:40" x14ac:dyDescent="0.25">
      <c r="A7513" t="str">
        <f>"20190305135109712"</f>
        <v>20190305135109712</v>
      </c>
      <c r="B7513" t="str">
        <f>"1551765069707625"</f>
        <v>1551765069707625</v>
      </c>
      <c r="C7513" t="s">
        <v>40</v>
      </c>
      <c r="D7513">
        <v>3.9273509999999998</v>
      </c>
      <c r="E7513">
        <v>0.67230649999999903</v>
      </c>
      <c r="F7513" t="s">
        <v>41</v>
      </c>
      <c r="G7513">
        <v>-223.41470000000001</v>
      </c>
      <c r="H7513">
        <v>0.90111629999999998</v>
      </c>
      <c r="I7513">
        <v>-62.857900000000001</v>
      </c>
      <c r="J7513">
        <v>-224.0376</v>
      </c>
      <c r="K7513">
        <v>1.109273</v>
      </c>
      <c r="L7513">
        <v>-62.675870000000003</v>
      </c>
      <c r="M7513">
        <v>0.99977899999999997</v>
      </c>
      <c r="N7513">
        <v>-1.4937219999999999E-2</v>
      </c>
      <c r="O7513">
        <v>1.479629E-2</v>
      </c>
      <c r="P7513">
        <v>0.97402200000000005</v>
      </c>
      <c r="Q7513">
        <v>-7.3560860000000006E-2</v>
      </c>
      <c r="R7513">
        <v>0.21417349999999999</v>
      </c>
      <c r="S7513">
        <v>3.175049</v>
      </c>
      <c r="T7513">
        <v>-0.82722709999999999</v>
      </c>
      <c r="U7513">
        <v>-0.71347050000000001</v>
      </c>
      <c r="V7513">
        <v>-0.19981299999999999</v>
      </c>
      <c r="W7513">
        <v>-5.8698170000000001E-2</v>
      </c>
      <c r="X7513">
        <v>0.97807429999999995</v>
      </c>
      <c r="Y7513">
        <v>0.22561729999999999</v>
      </c>
      <c r="Z7513">
        <v>-3.3836900000000003E-2</v>
      </c>
      <c r="AA7513">
        <v>0.97362820000000005</v>
      </c>
      <c r="AB7513">
        <v>33</v>
      </c>
      <c r="AC7513">
        <v>0.62289999999998702</v>
      </c>
      <c r="AD7513">
        <v>-0.208156699999999</v>
      </c>
      <c r="AE7513">
        <v>-0.18203000000000399</v>
      </c>
      <c r="AF7513">
        <v>0.17338850868286201</v>
      </c>
      <c r="AG7513">
        <v>-0.208156699999999</v>
      </c>
      <c r="AH7513">
        <v>0.56228685377808096</v>
      </c>
      <c r="AI7513">
        <v>109.481712217262</v>
      </c>
      <c r="AJ7513">
        <v>72.862168873720506</v>
      </c>
      <c r="AK7513">
        <v>0.62414685181438601</v>
      </c>
      <c r="AL7513">
        <v>93.365091607647599</v>
      </c>
      <c r="AM7513">
        <v>101.546205187072</v>
      </c>
      <c r="AN7513">
        <v>1.00000002322541</v>
      </c>
    </row>
    <row r="7514" spans="1:40" x14ac:dyDescent="0.25">
      <c r="A7514" t="str">
        <f>"20190305135109723"</f>
        <v>20190305135109723</v>
      </c>
      <c r="B7514" t="str">
        <f>"1551765069717380"</f>
        <v>1551765069717380</v>
      </c>
      <c r="C7514" t="s">
        <v>40</v>
      </c>
      <c r="D7514">
        <v>3.9282430000000002</v>
      </c>
      <c r="E7514">
        <v>0.67213800000000001</v>
      </c>
      <c r="F7514" t="s">
        <v>41</v>
      </c>
      <c r="G7514">
        <v>-223.12819999999999</v>
      </c>
      <c r="H7514">
        <v>0.87200149999999998</v>
      </c>
      <c r="I7514">
        <v>-62.880330000000001</v>
      </c>
      <c r="J7514">
        <v>-223.87260000000001</v>
      </c>
      <c r="K7514">
        <v>1.1093029999999999</v>
      </c>
      <c r="L7514">
        <v>-62.67371</v>
      </c>
      <c r="M7514">
        <v>0.99978180000000005</v>
      </c>
      <c r="N7514">
        <v>-1.498533E-2</v>
      </c>
      <c r="O7514">
        <v>1.456228E-2</v>
      </c>
      <c r="P7514">
        <v>0.97404400000000002</v>
      </c>
      <c r="Q7514">
        <v>-7.3546280000000006E-2</v>
      </c>
      <c r="R7514">
        <v>0.21407789999999999</v>
      </c>
      <c r="S7514">
        <v>3.1743320000000002</v>
      </c>
      <c r="T7514">
        <v>-0.82823469999999999</v>
      </c>
      <c r="U7514">
        <v>-0.71343990000000002</v>
      </c>
      <c r="V7514">
        <v>-0.19994229999999999</v>
      </c>
      <c r="W7514">
        <v>-5.8647610000000003E-2</v>
      </c>
      <c r="X7514">
        <v>0.97805089999999995</v>
      </c>
      <c r="Y7514">
        <v>0.2254178</v>
      </c>
      <c r="Z7514">
        <v>-3.3804140000000003E-2</v>
      </c>
      <c r="AA7514">
        <v>0.97367550000000003</v>
      </c>
      <c r="AB7514">
        <v>33</v>
      </c>
      <c r="AC7514">
        <v>0.74440000000001205</v>
      </c>
      <c r="AD7514">
        <v>-0.2373015</v>
      </c>
      <c r="AE7514">
        <v>-0.20662000000000799</v>
      </c>
      <c r="AF7514">
        <v>0.19869227001926801</v>
      </c>
      <c r="AG7514">
        <v>-0.2373015</v>
      </c>
      <c r="AH7514">
        <v>0.67739743681434395</v>
      </c>
      <c r="AI7514">
        <v>108.580147213609</v>
      </c>
      <c r="AJ7514">
        <v>73.652683442737597</v>
      </c>
      <c r="AK7514">
        <v>0.74475358842391803</v>
      </c>
      <c r="AL7514">
        <v>93.362189764182105</v>
      </c>
      <c r="AM7514">
        <v>101.55374494719101</v>
      </c>
      <c r="AN7514">
        <v>1.0000000142394001</v>
      </c>
    </row>
    <row r="7515" spans="1:40" x14ac:dyDescent="0.25">
      <c r="A7515" t="str">
        <f>"20190305135109734"</f>
        <v>20190305135109734</v>
      </c>
      <c r="B7515" t="str">
        <f>"1551765069727142"</f>
        <v>1551765069727142</v>
      </c>
      <c r="C7515" t="s">
        <v>40</v>
      </c>
      <c r="D7515">
        <v>3.9149859999999999</v>
      </c>
      <c r="E7515">
        <v>0.67201299999999997</v>
      </c>
      <c r="F7515" t="s">
        <v>41</v>
      </c>
      <c r="G7515">
        <v>-223.1138</v>
      </c>
      <c r="H7515">
        <v>0.91117020000000004</v>
      </c>
      <c r="I7515">
        <v>-62.844009999999997</v>
      </c>
      <c r="J7515">
        <v>-223.71619999999999</v>
      </c>
      <c r="K7515">
        <v>1.109334</v>
      </c>
      <c r="L7515">
        <v>-62.671660000000003</v>
      </c>
      <c r="M7515">
        <v>0.99978409999999995</v>
      </c>
      <c r="N7515">
        <v>-1.5036829999999999E-2</v>
      </c>
      <c r="O7515">
        <v>1.435207E-2</v>
      </c>
      <c r="P7515">
        <v>0.97405240000000004</v>
      </c>
      <c r="Q7515">
        <v>-7.3414499999999994E-2</v>
      </c>
      <c r="R7515">
        <v>0.214085</v>
      </c>
      <c r="S7515">
        <v>3.1738590000000002</v>
      </c>
      <c r="T7515">
        <v>-0.82878289999999999</v>
      </c>
      <c r="U7515">
        <v>-0.71206669999999905</v>
      </c>
      <c r="V7515">
        <v>-0.20015140000000001</v>
      </c>
      <c r="W7515">
        <v>-5.8476399999999998E-2</v>
      </c>
      <c r="X7515">
        <v>0.97801830000000001</v>
      </c>
      <c r="Y7515">
        <v>0.2248539</v>
      </c>
      <c r="Z7515">
        <v>-3.370981E-2</v>
      </c>
      <c r="AA7515">
        <v>0.97380919999999904</v>
      </c>
      <c r="AB7515">
        <v>33</v>
      </c>
      <c r="AC7515">
        <v>0.60239999999998795</v>
      </c>
      <c r="AD7515">
        <v>-0.1981638</v>
      </c>
      <c r="AE7515">
        <v>-0.172350000000001</v>
      </c>
      <c r="AF7515">
        <v>0.16452252204909801</v>
      </c>
      <c r="AG7515">
        <v>-0.1981638</v>
      </c>
      <c r="AH7515">
        <v>0.54531852908601697</v>
      </c>
      <c r="AI7515">
        <v>109.182897333993</v>
      </c>
      <c r="AJ7515">
        <v>73.211444768140197</v>
      </c>
      <c r="AK7515">
        <v>0.60308278872504095</v>
      </c>
      <c r="AL7515">
        <v>93.352363559721795</v>
      </c>
      <c r="AM7515">
        <v>101.565877603017</v>
      </c>
      <c r="AN7515">
        <v>0.99999993370690199</v>
      </c>
    </row>
    <row r="7516" spans="1:40" x14ac:dyDescent="0.25">
      <c r="A7516" t="str">
        <f>"20190305135109744"</f>
        <v>20190305135109744</v>
      </c>
      <c r="B7516" t="str">
        <f>"1551765069736901"</f>
        <v>1551765069736901</v>
      </c>
      <c r="C7516" t="s">
        <v>40</v>
      </c>
      <c r="D7516">
        <v>3.8890199999999999</v>
      </c>
      <c r="E7516">
        <v>0.67184339999999998</v>
      </c>
      <c r="F7516" t="s">
        <v>41</v>
      </c>
      <c r="G7516">
        <v>-222.8297</v>
      </c>
      <c r="H7516">
        <v>0.87774959999999902</v>
      </c>
      <c r="I7516">
        <v>-62.870220000000003</v>
      </c>
      <c r="J7516">
        <v>-223.55330000000001</v>
      </c>
      <c r="K7516">
        <v>1.10937</v>
      </c>
      <c r="L7516">
        <v>-62.669559999999997</v>
      </c>
      <c r="M7516">
        <v>0.99978599999999995</v>
      </c>
      <c r="N7516">
        <v>-1.5097859999999999E-2</v>
      </c>
      <c r="O7516">
        <v>1.4148320000000001E-2</v>
      </c>
      <c r="P7516">
        <v>0.97405310000000001</v>
      </c>
      <c r="Q7516">
        <v>-7.3012579999999994E-2</v>
      </c>
      <c r="R7516">
        <v>0.21421899999999999</v>
      </c>
      <c r="S7516">
        <v>3.1735989999999998</v>
      </c>
      <c r="T7516">
        <v>-0.8291636</v>
      </c>
      <c r="U7516">
        <v>-0.71057130000000002</v>
      </c>
      <c r="V7516">
        <v>-0.2004803</v>
      </c>
      <c r="W7516">
        <v>-5.8026620000000001E-2</v>
      </c>
      <c r="X7516">
        <v>0.97797780000000001</v>
      </c>
      <c r="Y7516">
        <v>0.22425120000000001</v>
      </c>
      <c r="Z7516">
        <v>-3.3604330000000002E-2</v>
      </c>
      <c r="AA7516">
        <v>0.97395180000000003</v>
      </c>
      <c r="AB7516">
        <v>33</v>
      </c>
      <c r="AC7516">
        <v>0.72360000000000402</v>
      </c>
      <c r="AD7516">
        <v>-0.2316204</v>
      </c>
      <c r="AE7516">
        <v>-0.20065999999999901</v>
      </c>
      <c r="AF7516">
        <v>0.19255806346049401</v>
      </c>
      <c r="AG7516">
        <v>-0.2316204</v>
      </c>
      <c r="AH7516">
        <v>0.65807624694399403</v>
      </c>
      <c r="AI7516">
        <v>108.665056231318</v>
      </c>
      <c r="AJ7516">
        <v>73.690126852366802</v>
      </c>
      <c r="AK7516">
        <v>0.72373404251265405</v>
      </c>
      <c r="AL7516">
        <v>93.326548979337204</v>
      </c>
      <c r="AM7516">
        <v>101.58483673134</v>
      </c>
      <c r="AN7516">
        <v>1.00000000830477</v>
      </c>
    </row>
    <row r="7517" spans="1:40" x14ac:dyDescent="0.25">
      <c r="A7517" t="str">
        <f>"20190305135109756"</f>
        <v>20190305135109756</v>
      </c>
      <c r="B7517" t="str">
        <f>"1551765069747637"</f>
        <v>1551765069747637</v>
      </c>
      <c r="C7517" t="s">
        <v>40</v>
      </c>
      <c r="D7517">
        <v>3.9667870000000001</v>
      </c>
      <c r="E7517">
        <v>0.67184390000000005</v>
      </c>
      <c r="F7517" t="s">
        <v>41</v>
      </c>
      <c r="G7517">
        <v>-222.81530000000001</v>
      </c>
      <c r="H7517">
        <v>0.91677070000000005</v>
      </c>
      <c r="I7517">
        <v>-62.834389999999999</v>
      </c>
      <c r="J7517">
        <v>-223.3869</v>
      </c>
      <c r="K7517">
        <v>1.1094189999999999</v>
      </c>
      <c r="L7517">
        <v>-62.6674199999999</v>
      </c>
      <c r="M7517">
        <v>0.99978739999999999</v>
      </c>
      <c r="N7517">
        <v>-1.518252E-2</v>
      </c>
      <c r="O7517">
        <v>1.395587E-2</v>
      </c>
      <c r="P7517">
        <v>0.97403989999999996</v>
      </c>
      <c r="Q7517">
        <v>-7.2702089999999997E-2</v>
      </c>
      <c r="R7517">
        <v>0.21438470000000001</v>
      </c>
      <c r="S7517">
        <v>3.1735989999999998</v>
      </c>
      <c r="T7517">
        <v>-0.82820680000000002</v>
      </c>
      <c r="U7517">
        <v>-0.70837399999999995</v>
      </c>
      <c r="V7517">
        <v>-0.2008308</v>
      </c>
      <c r="W7517">
        <v>-5.7646570000000001E-2</v>
      </c>
      <c r="X7517">
        <v>0.97792829999999997</v>
      </c>
      <c r="Y7517">
        <v>0.2234681</v>
      </c>
      <c r="Z7517">
        <v>-3.3427699999999998E-2</v>
      </c>
      <c r="AA7517">
        <v>0.9741379</v>
      </c>
      <c r="AB7517">
        <v>33</v>
      </c>
      <c r="AC7517">
        <v>0.57159999999998901</v>
      </c>
      <c r="AD7517">
        <v>-0.19264829999999999</v>
      </c>
      <c r="AE7517">
        <v>-0.166970000000006</v>
      </c>
      <c r="AF7517">
        <v>0.15835793163810399</v>
      </c>
      <c r="AG7517">
        <v>-0.19264829999999999</v>
      </c>
      <c r="AH7517">
        <v>0.51528373370286895</v>
      </c>
      <c r="AI7517">
        <v>109.66550533223101</v>
      </c>
      <c r="AJ7517">
        <v>72.916664876439199</v>
      </c>
      <c r="AK7517">
        <v>0.57245779602024605</v>
      </c>
      <c r="AL7517">
        <v>93.304737404375103</v>
      </c>
      <c r="AM7517">
        <v>101.605113066724</v>
      </c>
      <c r="AN7517">
        <v>0.99999994860114605</v>
      </c>
    </row>
    <row r="7518" spans="1:40" x14ac:dyDescent="0.25">
      <c r="A7518" t="str">
        <f>"20190305135109768"</f>
        <v>20190305135109768</v>
      </c>
      <c r="B7518" t="str">
        <f>"1551765069757396"</f>
        <v>1551765069757396</v>
      </c>
      <c r="C7518" t="s">
        <v>40</v>
      </c>
      <c r="D7518">
        <v>4.3753989999999998</v>
      </c>
      <c r="E7518">
        <v>0.67184390000000005</v>
      </c>
      <c r="F7518" t="s">
        <v>41</v>
      </c>
      <c r="G7518">
        <v>-222.53120000000001</v>
      </c>
      <c r="H7518">
        <v>0.88598369999999904</v>
      </c>
      <c r="I7518">
        <v>-62.858269999999997</v>
      </c>
      <c r="J7518">
        <v>-223.21729999999999</v>
      </c>
      <c r="K7518">
        <v>1.1094729999999999</v>
      </c>
      <c r="L7518">
        <v>-62.665280000000003</v>
      </c>
      <c r="M7518">
        <v>0.99978849999999997</v>
      </c>
      <c r="N7518">
        <v>-1.528273E-2</v>
      </c>
      <c r="O7518">
        <v>1.3769770000000001E-2</v>
      </c>
      <c r="P7518">
        <v>0.97408249999999996</v>
      </c>
      <c r="Q7518">
        <v>-7.2054969999999996E-2</v>
      </c>
      <c r="R7518">
        <v>0.21440989999999999</v>
      </c>
      <c r="S7518">
        <v>3.1738279999999999</v>
      </c>
      <c r="T7518">
        <v>-0.82871459999999997</v>
      </c>
      <c r="U7518">
        <v>-0.7075806</v>
      </c>
      <c r="V7518">
        <v>-0.2010323</v>
      </c>
      <c r="W7518">
        <v>-5.6914989999999999E-2</v>
      </c>
      <c r="X7518">
        <v>0.97792979999999996</v>
      </c>
      <c r="Y7518">
        <v>0.2230482</v>
      </c>
      <c r="Z7518">
        <v>-3.3354330000000001E-2</v>
      </c>
      <c r="AA7518">
        <v>0.97423660000000001</v>
      </c>
      <c r="AB7518">
        <v>33</v>
      </c>
      <c r="AC7518">
        <v>0.68609999999998195</v>
      </c>
      <c r="AD7518">
        <v>-0.2234893</v>
      </c>
      <c r="AE7518">
        <v>-0.192989999999994</v>
      </c>
      <c r="AF7518">
        <v>0.184298873747299</v>
      </c>
      <c r="AG7518">
        <v>-0.2234893</v>
      </c>
      <c r="AH7518">
        <v>0.62219888623674802</v>
      </c>
      <c r="AI7518">
        <v>109.00379899245399</v>
      </c>
      <c r="AJ7518">
        <v>73.500409144421795</v>
      </c>
      <c r="AK7518">
        <v>0.68632717862056303</v>
      </c>
      <c r="AL7518">
        <v>93.262751858966197</v>
      </c>
      <c r="AM7518">
        <v>101.616423197922</v>
      </c>
      <c r="AN7518">
        <v>0.99999999772901405</v>
      </c>
    </row>
    <row r="7519" spans="1:40" x14ac:dyDescent="0.25">
      <c r="A7519" t="str">
        <f>"20190305135109779"</f>
        <v>20190305135109779</v>
      </c>
      <c r="B7519" t="str">
        <f>"1551765069767157"</f>
        <v>1551765069767157</v>
      </c>
      <c r="C7519" t="s">
        <v>40</v>
      </c>
      <c r="D7519">
        <v>3.7932640000000002</v>
      </c>
      <c r="E7519">
        <v>0.67184390000000005</v>
      </c>
      <c r="F7519" t="s">
        <v>41</v>
      </c>
      <c r="G7519">
        <v>-222.51599999999999</v>
      </c>
      <c r="H7519">
        <v>0.92669080000000004</v>
      </c>
      <c r="I7519">
        <v>-62.821599999999997</v>
      </c>
      <c r="J7519">
        <v>-223.05600000000001</v>
      </c>
      <c r="K7519">
        <v>1.109534</v>
      </c>
      <c r="L7519">
        <v>-62.663240000000002</v>
      </c>
      <c r="M7519">
        <v>0.99978860000000003</v>
      </c>
      <c r="N7519">
        <v>-1.541243E-2</v>
      </c>
      <c r="O7519">
        <v>1.3613399999999999E-2</v>
      </c>
      <c r="P7519">
        <v>0.97405370000000002</v>
      </c>
      <c r="Q7519">
        <v>-7.1279700000000001E-2</v>
      </c>
      <c r="R7519">
        <v>0.21479889999999999</v>
      </c>
      <c r="S7519">
        <v>3.1743009999999998</v>
      </c>
      <c r="T7519">
        <v>-0.82732779999999995</v>
      </c>
      <c r="U7519">
        <v>-0.70718380000000003</v>
      </c>
      <c r="V7519">
        <v>-0.20156979999999999</v>
      </c>
      <c r="W7519">
        <v>-5.6027220000000003E-2</v>
      </c>
      <c r="X7519">
        <v>0.97787040000000003</v>
      </c>
      <c r="Y7519">
        <v>0.22278680000000001</v>
      </c>
      <c r="Z7519">
        <v>-3.3239230000000002E-2</v>
      </c>
      <c r="AA7519">
        <v>0.97430039999999996</v>
      </c>
      <c r="AB7519">
        <v>33</v>
      </c>
      <c r="AC7519">
        <v>0.53999999999999204</v>
      </c>
      <c r="AD7519">
        <v>-0.18284319999999901</v>
      </c>
      <c r="AE7519">
        <v>-0.15835999999999401</v>
      </c>
      <c r="AF7519">
        <v>0.14987513580091499</v>
      </c>
      <c r="AG7519">
        <v>-0.18284319999999901</v>
      </c>
      <c r="AH7519">
        <v>0.48644043293259598</v>
      </c>
      <c r="AI7519">
        <v>109.75911930823401</v>
      </c>
      <c r="AJ7519">
        <v>72.875629330618494</v>
      </c>
      <c r="AK7519">
        <v>0.54084978220318602</v>
      </c>
      <c r="AL7519">
        <v>93.211805152341896</v>
      </c>
      <c r="AM7519">
        <v>101.647322728644</v>
      </c>
      <c r="AN7519">
        <v>0.99999997642456395</v>
      </c>
    </row>
    <row r="7520" spans="1:40" x14ac:dyDescent="0.25">
      <c r="A7520" t="str">
        <f>"20190305135109790"</f>
        <v>20190305135109790</v>
      </c>
      <c r="B7520" t="str">
        <f>"1551765069787654"</f>
        <v>1551765069787654</v>
      </c>
      <c r="C7520" t="s">
        <v>40</v>
      </c>
      <c r="D7520">
        <v>3.8143799999999999</v>
      </c>
      <c r="E7520">
        <v>0.54718239999999996</v>
      </c>
      <c r="F7520" t="s">
        <v>41</v>
      </c>
      <c r="G7520">
        <v>-222.2329</v>
      </c>
      <c r="H7520">
        <v>0.89549269999999903</v>
      </c>
      <c r="I7520">
        <v>-62.846209999999999</v>
      </c>
      <c r="J7520">
        <v>-222.88810000000001</v>
      </c>
      <c r="K7520">
        <v>1.109599</v>
      </c>
      <c r="L7520">
        <v>-62.66113</v>
      </c>
      <c r="M7520">
        <v>0.99978860000000003</v>
      </c>
      <c r="N7520">
        <v>-1.555607E-2</v>
      </c>
      <c r="O7520">
        <v>1.3455760000000001E-2</v>
      </c>
      <c r="P7520">
        <v>0.97402909999999998</v>
      </c>
      <c r="Q7520">
        <v>-7.0548639999999996E-2</v>
      </c>
      <c r="R7520">
        <v>0.2151518</v>
      </c>
      <c r="S7520">
        <v>3.1750639999999999</v>
      </c>
      <c r="T7520">
        <v>-0.82561039999999997</v>
      </c>
      <c r="U7520">
        <v>-0.70547490000000002</v>
      </c>
      <c r="V7520">
        <v>-0.2020718</v>
      </c>
      <c r="W7520">
        <v>-5.5170740000000003E-2</v>
      </c>
      <c r="X7520">
        <v>0.97781549999999995</v>
      </c>
      <c r="Y7520">
        <v>0.2221407</v>
      </c>
      <c r="Z7520">
        <v>-3.3060039999999999E-2</v>
      </c>
      <c r="AA7520">
        <v>0.97445400000000004</v>
      </c>
      <c r="AB7520">
        <v>33</v>
      </c>
      <c r="AC7520">
        <v>0.655200000000007</v>
      </c>
      <c r="AD7520">
        <v>-0.2141063</v>
      </c>
      <c r="AE7520">
        <v>-0.185079999999992</v>
      </c>
      <c r="AF7520">
        <v>0.17643240571736299</v>
      </c>
      <c r="AG7520">
        <v>-0.2141063</v>
      </c>
      <c r="AH7520">
        <v>0.59391529090912198</v>
      </c>
      <c r="AI7520">
        <v>109.06381174898399</v>
      </c>
      <c r="AJ7520">
        <v>73.455073117075699</v>
      </c>
      <c r="AK7520">
        <v>0.65551908764167499</v>
      </c>
      <c r="AL7520">
        <v>93.162656401246807</v>
      </c>
      <c r="AM7520">
        <v>101.676171940887</v>
      </c>
      <c r="AN7520">
        <v>0.99999998747381802</v>
      </c>
    </row>
    <row r="7521" spans="1:40" x14ac:dyDescent="0.25">
      <c r="A7521" t="str">
        <f>"20190305135109802"</f>
        <v>20190305135109802</v>
      </c>
      <c r="B7521" t="str">
        <f>"1551765069797412"</f>
        <v>1551765069797412</v>
      </c>
      <c r="C7521" t="s">
        <v>40</v>
      </c>
      <c r="D7521">
        <v>3.9346990000000002</v>
      </c>
      <c r="E7521">
        <v>0.54004969999999997</v>
      </c>
      <c r="F7521" t="s">
        <v>116</v>
      </c>
      <c r="G7521">
        <v>-212.50290000000001</v>
      </c>
      <c r="H7521" s="1">
        <v>-3.9416199999999998E-7</v>
      </c>
      <c r="I7521">
        <v>-61.70431</v>
      </c>
      <c r="J7521">
        <v>-222.7199</v>
      </c>
      <c r="K7521">
        <v>1.109674</v>
      </c>
      <c r="L7521">
        <v>-62.659030000000001</v>
      </c>
      <c r="M7521">
        <v>0.99978739999999999</v>
      </c>
      <c r="N7521">
        <v>-1.5734999999999999E-2</v>
      </c>
      <c r="O7521">
        <v>1.332122E-2</v>
      </c>
      <c r="P7521">
        <v>0.97401800000000005</v>
      </c>
      <c r="Q7521">
        <v>-6.9874790000000006E-2</v>
      </c>
      <c r="R7521">
        <v>0.215422</v>
      </c>
      <c r="S7521">
        <v>2.9958650000000002</v>
      </c>
      <c r="T7521">
        <v>-0.32009100000000001</v>
      </c>
      <c r="U7521">
        <v>0.276001</v>
      </c>
      <c r="V7521">
        <v>-0.20246939999999999</v>
      </c>
      <c r="W7521">
        <v>-5.4336490000000001E-2</v>
      </c>
      <c r="X7521">
        <v>0.97777999999999998</v>
      </c>
      <c r="Y7521">
        <v>-7.8012799999999993E-2</v>
      </c>
      <c r="Z7521">
        <v>3.5568409999999998E-3</v>
      </c>
      <c r="AA7521">
        <v>0.996946</v>
      </c>
      <c r="AB7521">
        <v>33</v>
      </c>
      <c r="AC7521">
        <v>10.216999999999899</v>
      </c>
      <c r="AD7521">
        <v>-1.109674394162</v>
      </c>
      <c r="AE7521">
        <v>0.95472000000000101</v>
      </c>
      <c r="AF7521">
        <v>-0.80905429975088905</v>
      </c>
      <c r="AG7521">
        <v>-1.109674394162</v>
      </c>
      <c r="AH7521">
        <v>10.110578210689001</v>
      </c>
      <c r="AI7521">
        <v>96.243561217956596</v>
      </c>
      <c r="AJ7521">
        <v>94.575092721861694</v>
      </c>
      <c r="AK7521">
        <v>10.203417950641001</v>
      </c>
      <c r="AL7521">
        <v>93.114785481800993</v>
      </c>
      <c r="AM7521">
        <v>101.69892659811499</v>
      </c>
      <c r="AN7521">
        <v>1.00000002024093</v>
      </c>
    </row>
    <row r="7522" spans="1:40" x14ac:dyDescent="0.25">
      <c r="A7522" t="str">
        <f>"20190305135109814"</f>
        <v>20190305135109814</v>
      </c>
      <c r="B7522" t="str">
        <f>"1551765069807172"</f>
        <v>1551765069807172</v>
      </c>
      <c r="C7522" t="s">
        <v>40</v>
      </c>
      <c r="D7522">
        <v>3.8592680000000001</v>
      </c>
      <c r="E7522">
        <v>0.53475059999999996</v>
      </c>
      <c r="F7522" t="s">
        <v>116</v>
      </c>
      <c r="G7522">
        <v>-210.63910000000001</v>
      </c>
      <c r="H7522" s="1">
        <v>5.1001009999999999E-7</v>
      </c>
      <c r="I7522">
        <v>-61.311120000000003</v>
      </c>
      <c r="J7522">
        <v>-222.54519999999999</v>
      </c>
      <c r="K7522">
        <v>1.1097459999999999</v>
      </c>
      <c r="L7522">
        <v>-62.656829999999999</v>
      </c>
      <c r="M7522">
        <v>0.99978610000000001</v>
      </c>
      <c r="N7522">
        <v>-1.5928319999999999E-2</v>
      </c>
      <c r="O7522">
        <v>1.319007E-2</v>
      </c>
      <c r="P7522">
        <v>0.97393419999999997</v>
      </c>
      <c r="Q7522">
        <v>-6.9552749999999997E-2</v>
      </c>
      <c r="R7522">
        <v>0.2159047</v>
      </c>
      <c r="S7522">
        <v>2.9866640000000002</v>
      </c>
      <c r="T7522">
        <v>-0.27433839999999998</v>
      </c>
      <c r="U7522">
        <v>0.3332214</v>
      </c>
      <c r="V7522">
        <v>-0.2030768</v>
      </c>
      <c r="W7522">
        <v>-5.3840880000000001E-2</v>
      </c>
      <c r="X7522">
        <v>0.97768140000000003</v>
      </c>
      <c r="Y7522">
        <v>-9.7323480000000004E-2</v>
      </c>
      <c r="Z7522">
        <v>4.2302210000000002E-3</v>
      </c>
      <c r="AA7522">
        <v>0.99524380000000001</v>
      </c>
      <c r="AB7522">
        <v>33</v>
      </c>
      <c r="AC7522">
        <v>11.906099999999901</v>
      </c>
      <c r="AD7522">
        <v>-1.10974548998989</v>
      </c>
      <c r="AE7522">
        <v>1.34571000000001</v>
      </c>
      <c r="AF7522">
        <v>-1.17842197464946</v>
      </c>
      <c r="AG7522">
        <v>-1.10974548998989</v>
      </c>
      <c r="AH7522">
        <v>11.821410172723599</v>
      </c>
      <c r="AI7522">
        <v>95.336679134667307</v>
      </c>
      <c r="AJ7522">
        <v>95.692745668276004</v>
      </c>
      <c r="AK7522">
        <v>11.931720407161</v>
      </c>
      <c r="AL7522">
        <v>93.086347635893006</v>
      </c>
      <c r="AM7522">
        <v>101.734201794778</v>
      </c>
      <c r="AN7522">
        <v>0.99999997348168601</v>
      </c>
    </row>
    <row r="7523" spans="1:40" x14ac:dyDescent="0.25">
      <c r="A7523" t="str">
        <f>"20190305135109824"</f>
        <v>20190305135109824</v>
      </c>
      <c r="B7523" t="str">
        <f>"1551765069816933"</f>
        <v>1551765069816933</v>
      </c>
      <c r="C7523" t="s">
        <v>40</v>
      </c>
      <c r="D7523">
        <v>3.8379720000000002</v>
      </c>
      <c r="E7523">
        <v>0.53173429999999999</v>
      </c>
      <c r="F7523" t="s">
        <v>85</v>
      </c>
      <c r="G7523">
        <v>-209.12360000000001</v>
      </c>
      <c r="H7523" s="1">
        <v>-6.0897280000000003E-7</v>
      </c>
      <c r="I7523">
        <v>-60.960850000000001</v>
      </c>
      <c r="J7523">
        <v>-222.37719999999999</v>
      </c>
      <c r="K7523">
        <v>1.109809</v>
      </c>
      <c r="L7523">
        <v>-62.65475</v>
      </c>
      <c r="M7523">
        <v>0.99978449999999996</v>
      </c>
      <c r="N7523">
        <v>-1.612794E-2</v>
      </c>
      <c r="O7523">
        <v>1.3079530000000001E-2</v>
      </c>
      <c r="P7523">
        <v>0.97384530000000002</v>
      </c>
      <c r="Q7523">
        <v>-6.8982879999999996E-2</v>
      </c>
      <c r="R7523">
        <v>0.21648809999999999</v>
      </c>
      <c r="S7523">
        <v>2.9792480000000001</v>
      </c>
      <c r="T7523">
        <v>-0.24633540000000001</v>
      </c>
      <c r="U7523">
        <v>0.37646479999999999</v>
      </c>
      <c r="V7523">
        <v>-0.20376559999999999</v>
      </c>
      <c r="W7523">
        <v>-5.3089709999999998E-2</v>
      </c>
      <c r="X7523">
        <v>0.97757919999999998</v>
      </c>
      <c r="Y7523">
        <v>-0.1119547</v>
      </c>
      <c r="Z7523">
        <v>4.6453400000000004E-3</v>
      </c>
      <c r="AA7523">
        <v>0.99370250000000004</v>
      </c>
      <c r="AB7523">
        <v>33</v>
      </c>
      <c r="AC7523">
        <v>13.253599999999899</v>
      </c>
      <c r="AD7523">
        <v>-1.1098096089728</v>
      </c>
      <c r="AE7523">
        <v>1.69389999999999</v>
      </c>
      <c r="AF7523">
        <v>-1.50996427952485</v>
      </c>
      <c r="AG7523">
        <v>-1.1098096089728</v>
      </c>
      <c r="AH7523">
        <v>13.1836688071413</v>
      </c>
      <c r="AI7523">
        <v>94.780742337589004</v>
      </c>
      <c r="AJ7523">
        <v>96.533783428905707</v>
      </c>
      <c r="AK7523">
        <v>13.316185366312601</v>
      </c>
      <c r="AL7523">
        <v>93.043246991271303</v>
      </c>
      <c r="AM7523">
        <v>101.77408948888301</v>
      </c>
      <c r="AN7523">
        <v>1.0000000146619401</v>
      </c>
    </row>
    <row r="7524" spans="1:40" x14ac:dyDescent="0.25">
      <c r="A7524" t="str">
        <f>"20190305135109835"</f>
        <v>20190305135109835</v>
      </c>
      <c r="B7524" t="str">
        <f>"1551765069827669"</f>
        <v>1551765069827669</v>
      </c>
      <c r="C7524" t="s">
        <v>40</v>
      </c>
      <c r="D7524">
        <v>3.8116349999999999</v>
      </c>
      <c r="E7524">
        <v>0.53064619999999996</v>
      </c>
      <c r="F7524" t="s">
        <v>85</v>
      </c>
      <c r="G7524">
        <v>-207.93530000000001</v>
      </c>
      <c r="H7524" s="1">
        <v>-1.328473E-6</v>
      </c>
      <c r="I7524">
        <v>-60.703240000000001</v>
      </c>
      <c r="J7524">
        <v>-222.23699999999999</v>
      </c>
      <c r="K7524">
        <v>1.1098699999999999</v>
      </c>
      <c r="L7524">
        <v>-62.653019999999998</v>
      </c>
      <c r="M7524">
        <v>0.99978279999999997</v>
      </c>
      <c r="N7524">
        <v>-1.6295859999999999E-2</v>
      </c>
      <c r="O7524">
        <v>1.299846E-2</v>
      </c>
      <c r="P7524">
        <v>0.973719</v>
      </c>
      <c r="Q7524">
        <v>-6.8736140000000001E-2</v>
      </c>
      <c r="R7524">
        <v>0.21713350000000001</v>
      </c>
      <c r="S7524">
        <v>2.975006</v>
      </c>
      <c r="T7524">
        <v>-0.22861870000000001</v>
      </c>
      <c r="U7524">
        <v>0.40200809999999998</v>
      </c>
      <c r="V7524">
        <v>-0.2044887</v>
      </c>
      <c r="W7524">
        <v>-5.2690290000000001E-2</v>
      </c>
      <c r="X7524">
        <v>0.97744980000000004</v>
      </c>
      <c r="Y7524">
        <v>-0.120615899999999</v>
      </c>
      <c r="Z7524">
        <v>4.8138010000000004E-3</v>
      </c>
      <c r="AA7524">
        <v>0.9926876</v>
      </c>
      <c r="AB7524">
        <v>33</v>
      </c>
      <c r="AC7524">
        <v>14.301699999999901</v>
      </c>
      <c r="AD7524">
        <v>-1.109871328473</v>
      </c>
      <c r="AE7524">
        <v>1.9497799999999901</v>
      </c>
      <c r="AF7524">
        <v>-1.7533239341493401</v>
      </c>
      <c r="AG7524">
        <v>-1.109871328473</v>
      </c>
      <c r="AH7524">
        <v>14.241635080259901</v>
      </c>
      <c r="AI7524">
        <v>94.422878722292793</v>
      </c>
      <c r="AJ7524">
        <v>97.018512244550394</v>
      </c>
      <c r="AK7524">
        <v>14.392016152822899</v>
      </c>
      <c r="AL7524">
        <v>93.020329869412095</v>
      </c>
      <c r="AM7524">
        <v>101.81621975145001</v>
      </c>
      <c r="AN7524">
        <v>1.000000003304</v>
      </c>
    </row>
    <row r="7525" spans="1:40" x14ac:dyDescent="0.25">
      <c r="A7525" t="str">
        <f>"20190305135109845"</f>
        <v>20190305135109845</v>
      </c>
      <c r="B7525" t="str">
        <f>"1551765069837429"</f>
        <v>1551765069837429</v>
      </c>
      <c r="C7525" t="s">
        <v>40</v>
      </c>
      <c r="D7525">
        <v>3.795255</v>
      </c>
      <c r="E7525">
        <v>0.52925659999999997</v>
      </c>
      <c r="F7525" t="s">
        <v>85</v>
      </c>
      <c r="G7525">
        <v>-208.35650000000001</v>
      </c>
      <c r="H7525" s="1">
        <v>-1.0641380000000001E-6</v>
      </c>
      <c r="I7525">
        <v>-60.727910000000001</v>
      </c>
      <c r="J7525">
        <v>-222.07759999999999</v>
      </c>
      <c r="K7525">
        <v>1.1099270000000001</v>
      </c>
      <c r="L7525">
        <v>-62.651029999999999</v>
      </c>
      <c r="M7525">
        <v>0.99978069999999997</v>
      </c>
      <c r="N7525">
        <v>-1.6488070000000001E-2</v>
      </c>
      <c r="O7525">
        <v>1.291671E-2</v>
      </c>
      <c r="P7525">
        <v>0.97352150000000004</v>
      </c>
      <c r="Q7525">
        <v>-6.8441639999999998E-2</v>
      </c>
      <c r="R7525">
        <v>0.21810860000000001</v>
      </c>
      <c r="S7525">
        <v>2.9722749999999998</v>
      </c>
      <c r="T7525">
        <v>-0.23766119999999999</v>
      </c>
      <c r="U7525">
        <v>0.41223140000000003</v>
      </c>
      <c r="V7525">
        <v>-0.20554320000000001</v>
      </c>
      <c r="W7525">
        <v>-5.2220959999999997E-2</v>
      </c>
      <c r="X7525">
        <v>0.97725379999999995</v>
      </c>
      <c r="Y7525">
        <v>-0.1241251</v>
      </c>
      <c r="Z7525">
        <v>5.1469920000000004E-3</v>
      </c>
      <c r="AA7525">
        <v>0.99225319999999995</v>
      </c>
      <c r="AB7525">
        <v>33</v>
      </c>
      <c r="AC7525">
        <v>13.7210999999999</v>
      </c>
      <c r="AD7525">
        <v>-1.109928064138</v>
      </c>
      <c r="AE7525">
        <v>1.9231200000000099</v>
      </c>
      <c r="AF7525">
        <v>-1.7345724209728699</v>
      </c>
      <c r="AG7525">
        <v>-1.109928064138</v>
      </c>
      <c r="AH7525">
        <v>13.657154538875499</v>
      </c>
      <c r="AI7525">
        <v>94.609396005932993</v>
      </c>
      <c r="AJ7525">
        <v>97.238286872031694</v>
      </c>
      <c r="AK7525">
        <v>13.8115369126643</v>
      </c>
      <c r="AL7525">
        <v>92.993402140434199</v>
      </c>
      <c r="AM7525">
        <v>101.87774140322399</v>
      </c>
      <c r="AN7525">
        <v>1.0000000126719999</v>
      </c>
    </row>
    <row r="7526" spans="1:40" x14ac:dyDescent="0.25">
      <c r="A7526" t="str">
        <f>"20190305135109857"</f>
        <v>20190305135109857</v>
      </c>
      <c r="B7526" t="str">
        <f>"1551765069847188"</f>
        <v>1551765069847188</v>
      </c>
      <c r="C7526" t="s">
        <v>40</v>
      </c>
      <c r="D7526">
        <v>3.7667639999999998</v>
      </c>
      <c r="E7526">
        <v>0.52834139999999996</v>
      </c>
      <c r="F7526" t="s">
        <v>85</v>
      </c>
      <c r="G7526">
        <v>-207.90729999999999</v>
      </c>
      <c r="H7526" s="1">
        <v>-1.3343160000000001E-6</v>
      </c>
      <c r="I7526">
        <v>-60.617669999999997</v>
      </c>
      <c r="J7526">
        <v>-221.9136</v>
      </c>
      <c r="K7526">
        <v>1.1099840000000001</v>
      </c>
      <c r="L7526">
        <v>-62.648989999999998</v>
      </c>
      <c r="M7526">
        <v>0.99977830000000001</v>
      </c>
      <c r="N7526">
        <v>-1.6681319999999999E-2</v>
      </c>
      <c r="O7526">
        <v>1.2848770000000001E-2</v>
      </c>
      <c r="P7526">
        <v>0.97334960000000004</v>
      </c>
      <c r="Q7526">
        <v>-6.8198670000000003E-2</v>
      </c>
      <c r="R7526">
        <v>0.2189506</v>
      </c>
      <c r="S7526">
        <v>2.9697719999999999</v>
      </c>
      <c r="T7526">
        <v>-0.2326162</v>
      </c>
      <c r="U7526">
        <v>0.42614750000000001</v>
      </c>
      <c r="V7526">
        <v>-0.20645069999999999</v>
      </c>
      <c r="W7526">
        <v>-5.1801989999999999E-2</v>
      </c>
      <c r="X7526">
        <v>0.97708479999999998</v>
      </c>
      <c r="Y7526">
        <v>-0.12886139999999999</v>
      </c>
      <c r="Z7526">
        <v>5.3092769999999899E-3</v>
      </c>
      <c r="AA7526">
        <v>0.99164839999999999</v>
      </c>
      <c r="AB7526">
        <v>33</v>
      </c>
      <c r="AC7526">
        <v>14.0063</v>
      </c>
      <c r="AD7526">
        <v>-1.109985334316</v>
      </c>
      <c r="AE7526">
        <v>2.03132</v>
      </c>
      <c r="AF7526">
        <v>-1.83984655241726</v>
      </c>
      <c r="AG7526">
        <v>-1.109985334316</v>
      </c>
      <c r="AH7526">
        <v>13.945468110289999</v>
      </c>
      <c r="AI7526">
        <v>94.511912081007793</v>
      </c>
      <c r="AJ7526">
        <v>97.515712850623999</v>
      </c>
      <c r="AK7526">
        <v>14.1100383980326</v>
      </c>
      <c r="AL7526">
        <v>92.969364364564299</v>
      </c>
      <c r="AM7526">
        <v>101.93068812476101</v>
      </c>
      <c r="AN7526">
        <v>1.00000002204474</v>
      </c>
    </row>
    <row r="7527" spans="1:40" x14ac:dyDescent="0.25">
      <c r="A7527" t="str">
        <f>"20190305135109867"</f>
        <v>20190305135109867</v>
      </c>
      <c r="B7527" t="str">
        <f>"1551765069856949"</f>
        <v>1551765069856949</v>
      </c>
      <c r="C7527" t="s">
        <v>40</v>
      </c>
      <c r="D7527">
        <v>3.7790020000000002</v>
      </c>
      <c r="E7527">
        <v>0.5276014</v>
      </c>
      <c r="F7527" t="s">
        <v>85</v>
      </c>
      <c r="G7527">
        <v>-207.37639999999999</v>
      </c>
      <c r="H7527" s="1">
        <v>-1.6574030000000001E-6</v>
      </c>
      <c r="I7527">
        <v>-60.51435</v>
      </c>
      <c r="J7527">
        <v>-221.75640000000001</v>
      </c>
      <c r="K7527">
        <v>1.1100380000000001</v>
      </c>
      <c r="L7527">
        <v>-62.647060000000003</v>
      </c>
      <c r="M7527">
        <v>0.99977609999999995</v>
      </c>
      <c r="N7527">
        <v>-1.6864339999999998E-2</v>
      </c>
      <c r="O7527">
        <v>1.2791500000000001E-2</v>
      </c>
      <c r="P7527">
        <v>0.97317419999999999</v>
      </c>
      <c r="Q7527">
        <v>-6.7612389999999994E-2</v>
      </c>
      <c r="R7527">
        <v>0.2199102</v>
      </c>
      <c r="S7527">
        <v>2.968216</v>
      </c>
      <c r="T7527">
        <v>-0.22663820000000001</v>
      </c>
      <c r="U7527">
        <v>0.43585210000000002</v>
      </c>
      <c r="V7527">
        <v>-0.2074655</v>
      </c>
      <c r="W7527">
        <v>-5.1049299999999999E-2</v>
      </c>
      <c r="X7527">
        <v>0.97690940000000004</v>
      </c>
      <c r="Y7527">
        <v>-0.13217309999999999</v>
      </c>
      <c r="Z7527">
        <v>5.3789759999999997E-3</v>
      </c>
      <c r="AA7527">
        <v>0.99121210000000004</v>
      </c>
      <c r="AB7527">
        <v>33</v>
      </c>
      <c r="AC7527">
        <v>14.38</v>
      </c>
      <c r="AD7527">
        <v>-1.11003965740299</v>
      </c>
      <c r="AE7527">
        <v>2.1327099999999901</v>
      </c>
      <c r="AF7527">
        <v>-1.93727218254258</v>
      </c>
      <c r="AG7527">
        <v>-1.11003965740299</v>
      </c>
      <c r="AH7527">
        <v>14.322598892486299</v>
      </c>
      <c r="AI7527">
        <v>94.391882263660406</v>
      </c>
      <c r="AJ7527">
        <v>97.703067538588797</v>
      </c>
      <c r="AK7527">
        <v>14.4955872797659</v>
      </c>
      <c r="AL7527">
        <v>92.926181417108495</v>
      </c>
      <c r="AM7527">
        <v>101.989730431792</v>
      </c>
      <c r="AN7527">
        <v>0.99999997026454901</v>
      </c>
    </row>
    <row r="7528" spans="1:40" x14ac:dyDescent="0.25">
      <c r="A7528" t="str">
        <f>"20190305135109879"</f>
        <v>20190305135109879</v>
      </c>
      <c r="B7528" t="str">
        <f>"1551765069867686"</f>
        <v>1551765069867686</v>
      </c>
      <c r="C7528" t="s">
        <v>40</v>
      </c>
      <c r="D7528">
        <v>3.7755939999999999</v>
      </c>
      <c r="E7528">
        <v>0.52701330000000002</v>
      </c>
      <c r="F7528" t="s">
        <v>85</v>
      </c>
      <c r="G7528">
        <v>-207.01840000000001</v>
      </c>
      <c r="H7528" s="1">
        <v>-1.874369E-6</v>
      </c>
      <c r="I7528">
        <v>-60.438499999999998</v>
      </c>
      <c r="J7528">
        <v>-221.5926</v>
      </c>
      <c r="K7528">
        <v>1.1100890000000001</v>
      </c>
      <c r="L7528">
        <v>-62.645020000000002</v>
      </c>
      <c r="M7528">
        <v>0.99977340000000003</v>
      </c>
      <c r="N7528">
        <v>-1.7045689999999999E-2</v>
      </c>
      <c r="O7528">
        <v>1.275066E-2</v>
      </c>
      <c r="P7528">
        <v>0.97299369999999996</v>
      </c>
      <c r="Q7528">
        <v>-6.7198560000000004E-2</v>
      </c>
      <c r="R7528">
        <v>0.22083420000000001</v>
      </c>
      <c r="S7528">
        <v>2.9667210000000002</v>
      </c>
      <c r="T7528">
        <v>-0.22344910000000001</v>
      </c>
      <c r="U7528">
        <v>0.44458009999999898</v>
      </c>
      <c r="V7528">
        <v>-0.2084288</v>
      </c>
      <c r="W7528">
        <v>-5.0471620000000002E-2</v>
      </c>
      <c r="X7528">
        <v>0.9767344</v>
      </c>
      <c r="Y7528">
        <v>-0.1351376</v>
      </c>
      <c r="Z7528">
        <v>5.4766090000000003E-3</v>
      </c>
      <c r="AA7528">
        <v>0.99081169999999996</v>
      </c>
      <c r="AB7528">
        <v>33</v>
      </c>
      <c r="AC7528">
        <v>14.5741999999999</v>
      </c>
      <c r="AD7528">
        <v>-1.1100908743689999</v>
      </c>
      <c r="AE7528">
        <v>2.20651999999999</v>
      </c>
      <c r="AF7528">
        <v>-2.0090881650655401</v>
      </c>
      <c r="AG7528">
        <v>-1.1100908743689999</v>
      </c>
      <c r="AH7528">
        <v>14.5188087426585</v>
      </c>
      <c r="AI7528">
        <v>94.331148790351506</v>
      </c>
      <c r="AJ7528">
        <v>97.878460125762402</v>
      </c>
      <c r="AK7528">
        <v>14.6991341347122</v>
      </c>
      <c r="AL7528">
        <v>92.893039925792706</v>
      </c>
      <c r="AM7528">
        <v>102.04587389813101</v>
      </c>
      <c r="AN7528">
        <v>1.00000001861911</v>
      </c>
    </row>
    <row r="7529" spans="1:40" x14ac:dyDescent="0.25">
      <c r="A7529" t="str">
        <f>"20190305135109891"</f>
        <v>20190305135109891</v>
      </c>
      <c r="B7529" t="str">
        <f>"1551765069887205"</f>
        <v>1551765069887205</v>
      </c>
      <c r="C7529" t="s">
        <v>40</v>
      </c>
      <c r="D7529">
        <v>3.797031</v>
      </c>
      <c r="E7529">
        <v>0.52623929999999997</v>
      </c>
      <c r="F7529" t="s">
        <v>85</v>
      </c>
      <c r="G7529">
        <v>-206.65049999999999</v>
      </c>
      <c r="H7529" s="1">
        <v>-2.104941E-6</v>
      </c>
      <c r="I7529">
        <v>-60.367400000000004</v>
      </c>
      <c r="J7529">
        <v>-221.4281</v>
      </c>
      <c r="K7529">
        <v>1.1101399999999999</v>
      </c>
      <c r="L7529">
        <v>-62.642969999999998</v>
      </c>
      <c r="M7529">
        <v>0.99977090000000002</v>
      </c>
      <c r="N7529">
        <v>-1.7225009999999999E-2</v>
      </c>
      <c r="O7529">
        <v>1.271454E-2</v>
      </c>
      <c r="P7529">
        <v>0.97276030000000002</v>
      </c>
      <c r="Q7529">
        <v>-6.7152260000000005E-2</v>
      </c>
      <c r="R7529">
        <v>0.22187419999999999</v>
      </c>
      <c r="S7529">
        <v>2.9654690000000001</v>
      </c>
      <c r="T7529">
        <v>-0.22031339999999999</v>
      </c>
      <c r="U7529">
        <v>0.45202639999999999</v>
      </c>
      <c r="V7529">
        <v>-0.209504</v>
      </c>
      <c r="W7529">
        <v>-5.0264530000000002E-2</v>
      </c>
      <c r="X7529">
        <v>0.97651500000000002</v>
      </c>
      <c r="Y7529">
        <v>-0.1376677</v>
      </c>
      <c r="Z7529">
        <v>5.5520989999999996E-3</v>
      </c>
      <c r="AA7529">
        <v>0.99046290000000003</v>
      </c>
      <c r="AB7529">
        <v>32</v>
      </c>
      <c r="AC7529">
        <v>14.7776</v>
      </c>
      <c r="AD7529">
        <v>-1.1101421049410001</v>
      </c>
      <c r="AE7529">
        <v>2.2755699999999899</v>
      </c>
      <c r="AF7529">
        <v>-2.0760230790877801</v>
      </c>
      <c r="AG7529">
        <v>-1.1101421049410001</v>
      </c>
      <c r="AH7529">
        <v>14.7241709826261</v>
      </c>
      <c r="AI7529">
        <v>94.269637577655701</v>
      </c>
      <c r="AJ7529">
        <v>98.025472607938397</v>
      </c>
      <c r="AK7529">
        <v>14.911187023294801</v>
      </c>
      <c r="AL7529">
        <v>92.881159525443195</v>
      </c>
      <c r="AM7529">
        <v>102.108824866429</v>
      </c>
      <c r="AN7529">
        <v>0.99999999710856002</v>
      </c>
    </row>
    <row r="7530" spans="1:40" x14ac:dyDescent="0.25">
      <c r="A7530" t="str">
        <f>"20190305135109902"</f>
        <v>20190305135109902</v>
      </c>
      <c r="B7530" t="str">
        <f>"1551765069896964"</f>
        <v>1551765069896964</v>
      </c>
      <c r="C7530" t="s">
        <v>40</v>
      </c>
      <c r="D7530">
        <v>3.750283</v>
      </c>
      <c r="E7530">
        <v>0.52555229999999997</v>
      </c>
      <c r="F7530" t="s">
        <v>85</v>
      </c>
      <c r="G7530">
        <v>-206.49529999999999</v>
      </c>
      <c r="H7530" s="1">
        <v>-2.2165260000000002E-6</v>
      </c>
      <c r="I7530">
        <v>-60.31888</v>
      </c>
      <c r="J7530">
        <v>-221.2568</v>
      </c>
      <c r="K7530">
        <v>1.1101840000000001</v>
      </c>
      <c r="L7530">
        <v>-62.640839999999997</v>
      </c>
      <c r="M7530">
        <v>0.99976799999999999</v>
      </c>
      <c r="N7530">
        <v>-1.739984E-2</v>
      </c>
      <c r="O7530">
        <v>1.269554E-2</v>
      </c>
      <c r="P7530">
        <v>0.97251270000000001</v>
      </c>
      <c r="Q7530">
        <v>-6.7009120000000005E-2</v>
      </c>
      <c r="R7530">
        <v>0.22299959999999999</v>
      </c>
      <c r="S7530">
        <v>2.9635929999999999</v>
      </c>
      <c r="T7530">
        <v>-0.2203203</v>
      </c>
      <c r="U7530">
        <v>0.46124270000000001</v>
      </c>
      <c r="V7530">
        <v>-0.21064830000000001</v>
      </c>
      <c r="W7530">
        <v>-4.9966480000000001E-2</v>
      </c>
      <c r="X7530">
        <v>0.97628409999999999</v>
      </c>
      <c r="Y7530">
        <v>-0.14077619999999999</v>
      </c>
      <c r="Z7530">
        <v>5.7114509999999898E-3</v>
      </c>
      <c r="AA7530">
        <v>0.99002500000000004</v>
      </c>
      <c r="AB7530">
        <v>32</v>
      </c>
      <c r="AC7530">
        <v>14.7615</v>
      </c>
      <c r="AD7530">
        <v>-1.1101862165259999</v>
      </c>
      <c r="AE7530">
        <v>2.32195999999999</v>
      </c>
      <c r="AF7530">
        <v>-2.1226229712070102</v>
      </c>
      <c r="AG7530">
        <v>-1.1101862165259999</v>
      </c>
      <c r="AH7530">
        <v>14.7086058311816</v>
      </c>
      <c r="AI7530">
        <v>94.272333703998399</v>
      </c>
      <c r="AJ7530">
        <v>98.211755265652599</v>
      </c>
      <c r="AK7530">
        <v>14.902386627997799</v>
      </c>
      <c r="AL7530">
        <v>92.864061025442098</v>
      </c>
      <c r="AM7530">
        <v>102.17578852029</v>
      </c>
      <c r="AN7530">
        <v>0.99999999966464503</v>
      </c>
    </row>
    <row r="7531" spans="1:40" x14ac:dyDescent="0.25">
      <c r="A7531" t="str">
        <f>"20190305135109914"</f>
        <v>20190305135109914</v>
      </c>
      <c r="B7531" t="str">
        <f>"1551765069906725"</f>
        <v>1551765069906725</v>
      </c>
      <c r="C7531" t="s">
        <v>40</v>
      </c>
      <c r="D7531">
        <v>3.780694</v>
      </c>
      <c r="E7531">
        <v>0.52531369999999999</v>
      </c>
      <c r="F7531" t="s">
        <v>85</v>
      </c>
      <c r="G7531">
        <v>-206.8091</v>
      </c>
      <c r="H7531" s="1">
        <v>-2.0091299999999999E-6</v>
      </c>
      <c r="I7531">
        <v>-60.348570000000002</v>
      </c>
      <c r="J7531">
        <v>-221.09479999999999</v>
      </c>
      <c r="K7531">
        <v>1.110231</v>
      </c>
      <c r="L7531">
        <v>-62.638820000000003</v>
      </c>
      <c r="M7531">
        <v>0.99976529999999997</v>
      </c>
      <c r="N7531">
        <v>-1.756021E-2</v>
      </c>
      <c r="O7531">
        <v>1.268674E-2</v>
      </c>
      <c r="P7531">
        <v>0.97218570000000004</v>
      </c>
      <c r="Q7531">
        <v>-6.6899139999999996E-2</v>
      </c>
      <c r="R7531">
        <v>0.22445390000000001</v>
      </c>
      <c r="S7531">
        <v>2.9613649999999998</v>
      </c>
      <c r="T7531">
        <v>-0.22755649999999999</v>
      </c>
      <c r="U7531">
        <v>0.46984860000000001</v>
      </c>
      <c r="V7531">
        <v>-0.21211240000000001</v>
      </c>
      <c r="W7531">
        <v>-4.9716980000000001E-2</v>
      </c>
      <c r="X7531">
        <v>0.97597979999999995</v>
      </c>
      <c r="Y7531">
        <v>-0.14366699999999999</v>
      </c>
      <c r="Z7531">
        <v>6.0032459999999899E-3</v>
      </c>
      <c r="AA7531">
        <v>0.98960789999999998</v>
      </c>
      <c r="AB7531">
        <v>32</v>
      </c>
      <c r="AC7531">
        <v>14.285699999999901</v>
      </c>
      <c r="AD7531">
        <v>-1.1102330091299999</v>
      </c>
      <c r="AE7531">
        <v>2.2902499999999999</v>
      </c>
      <c r="AF7531">
        <v>-2.0964537575126898</v>
      </c>
      <c r="AG7531">
        <v>-1.1102330091299999</v>
      </c>
      <c r="AH7531">
        <v>14.229818044807599</v>
      </c>
      <c r="AI7531">
        <v>94.413816121896005</v>
      </c>
      <c r="AJ7531">
        <v>98.380994053379197</v>
      </c>
      <c r="AK7531">
        <v>14.426207307545599</v>
      </c>
      <c r="AL7531">
        <v>92.8497479119725</v>
      </c>
      <c r="AM7531">
        <v>102.26157163145</v>
      </c>
      <c r="AN7531">
        <v>1.0000000091710599</v>
      </c>
    </row>
    <row r="7532" spans="1:40" x14ac:dyDescent="0.25">
      <c r="A7532" t="str">
        <f>"20190305135109925"</f>
        <v>20190305135109925</v>
      </c>
      <c r="B7532" t="str">
        <f>"1551765069917461"</f>
        <v>1551765069917461</v>
      </c>
      <c r="C7532" t="s">
        <v>40</v>
      </c>
      <c r="D7532">
        <v>3.7475960000000001</v>
      </c>
      <c r="E7532">
        <v>0.52468909999999902</v>
      </c>
      <c r="F7532" t="s">
        <v>85</v>
      </c>
      <c r="G7532">
        <v>-206.43520000000001</v>
      </c>
      <c r="H7532" s="1">
        <v>-2.2648089999999999E-6</v>
      </c>
      <c r="I7532">
        <v>-60.280810000000002</v>
      </c>
      <c r="J7532">
        <v>-220.93090000000001</v>
      </c>
      <c r="K7532">
        <v>1.110277</v>
      </c>
      <c r="L7532">
        <v>-62.636749999999999</v>
      </c>
      <c r="M7532">
        <v>0.9997627</v>
      </c>
      <c r="N7532">
        <v>-1.7713900000000001E-2</v>
      </c>
      <c r="O7532">
        <v>1.26924E-2</v>
      </c>
      <c r="P7532">
        <v>0.97186439999999996</v>
      </c>
      <c r="Q7532">
        <v>-6.6330639999999996E-2</v>
      </c>
      <c r="R7532">
        <v>0.22600919999999999</v>
      </c>
      <c r="S7532">
        <v>2.960464</v>
      </c>
      <c r="T7532">
        <v>-0.22420950000000001</v>
      </c>
      <c r="U7532">
        <v>0.47619630000000002</v>
      </c>
      <c r="V7532">
        <v>-0.21366280000000001</v>
      </c>
      <c r="W7532">
        <v>-4.901664E-2</v>
      </c>
      <c r="X7532">
        <v>0.97567700000000002</v>
      </c>
      <c r="Y7532">
        <v>-0.14578099999999999</v>
      </c>
      <c r="Z7532">
        <v>6.0488620000000003E-3</v>
      </c>
      <c r="AA7532">
        <v>0.98929840000000002</v>
      </c>
      <c r="AB7532">
        <v>32</v>
      </c>
      <c r="AC7532">
        <v>14.495699999999999</v>
      </c>
      <c r="AD7532">
        <v>-1.1102792648090001</v>
      </c>
      <c r="AE7532">
        <v>2.3559399999999999</v>
      </c>
      <c r="AF7532">
        <v>-2.1593938336720901</v>
      </c>
      <c r="AG7532">
        <v>-1.1102792648090001</v>
      </c>
      <c r="AH7532">
        <v>14.4418948645437</v>
      </c>
      <c r="AI7532">
        <v>94.348050289746297</v>
      </c>
      <c r="AJ7532">
        <v>98.504028794026993</v>
      </c>
      <c r="AK7532">
        <v>14.6445904365162</v>
      </c>
      <c r="AL7532">
        <v>92.809572381518393</v>
      </c>
      <c r="AM7532">
        <v>102.352170075375</v>
      </c>
      <c r="AN7532">
        <v>1.0000000157148601</v>
      </c>
    </row>
    <row r="7533" spans="1:40" x14ac:dyDescent="0.25">
      <c r="A7533" t="str">
        <f>"20190305135109936"</f>
        <v>20190305135109936</v>
      </c>
      <c r="B7533" t="str">
        <f>"1551765069927221"</f>
        <v>1551765069927221</v>
      </c>
      <c r="C7533" t="s">
        <v>40</v>
      </c>
      <c r="D7533">
        <v>3.8428629999999999</v>
      </c>
      <c r="E7533">
        <v>0.52443769999999901</v>
      </c>
      <c r="F7533" t="s">
        <v>85</v>
      </c>
      <c r="G7533">
        <v>-206.6497</v>
      </c>
      <c r="H7533" s="1">
        <v>-2.1254040000000001E-6</v>
      </c>
      <c r="I7533">
        <v>-60.292310000000001</v>
      </c>
      <c r="J7533">
        <v>-220.78890000000001</v>
      </c>
      <c r="K7533">
        <v>1.110325</v>
      </c>
      <c r="L7533">
        <v>-62.634950000000003</v>
      </c>
      <c r="M7533">
        <v>0.99975999999999998</v>
      </c>
      <c r="N7533">
        <v>-1.7840209999999999E-2</v>
      </c>
      <c r="O7533">
        <v>1.271798E-2</v>
      </c>
      <c r="P7533">
        <v>0.97151810000000005</v>
      </c>
      <c r="Q7533">
        <v>-6.5986970000000006E-2</v>
      </c>
      <c r="R7533">
        <v>0.22759260000000001</v>
      </c>
      <c r="S7533">
        <v>2.9582060000000001</v>
      </c>
      <c r="T7533">
        <v>-0.2299833</v>
      </c>
      <c r="U7533">
        <v>0.48562620000000001</v>
      </c>
      <c r="V7533">
        <v>-0.2152221</v>
      </c>
      <c r="W7533">
        <v>-4.8568859999999998E-2</v>
      </c>
      <c r="X7533">
        <v>0.97535660000000002</v>
      </c>
      <c r="Y7533">
        <v>-0.14891089999999901</v>
      </c>
      <c r="Z7533">
        <v>6.3259099999999997E-3</v>
      </c>
      <c r="AA7533">
        <v>0.9888304</v>
      </c>
      <c r="AB7533">
        <v>32</v>
      </c>
      <c r="AC7533">
        <v>14.139200000000001</v>
      </c>
      <c r="AD7533">
        <v>-1.1103271254039999</v>
      </c>
      <c r="AE7533">
        <v>2.3426399999999998</v>
      </c>
      <c r="AF7533">
        <v>-2.1496974591922999</v>
      </c>
      <c r="AG7533">
        <v>-1.1103271254039999</v>
      </c>
      <c r="AH7533">
        <v>14.083327330260399</v>
      </c>
      <c r="AI7533">
        <v>94.456459172844006</v>
      </c>
      <c r="AJ7533">
        <v>98.678713446693806</v>
      </c>
      <c r="AK7533">
        <v>14.2896512967506</v>
      </c>
      <c r="AL7533">
        <v>92.783885949549102</v>
      </c>
      <c r="AM7533">
        <v>102.443478087453</v>
      </c>
      <c r="AN7533">
        <v>0.99999999182683397</v>
      </c>
    </row>
    <row r="7534" spans="1:40" x14ac:dyDescent="0.25">
      <c r="A7534" t="str">
        <f>"20190305135109945"</f>
        <v>20190305135109945</v>
      </c>
      <c r="B7534" t="str">
        <f>"1551765069936981"</f>
        <v>1551765069936981</v>
      </c>
      <c r="C7534" t="s">
        <v>40</v>
      </c>
      <c r="D7534">
        <v>3.8603079999999999</v>
      </c>
      <c r="E7534">
        <v>0.52425059999999901</v>
      </c>
      <c r="F7534" t="s">
        <v>85</v>
      </c>
      <c r="G7534">
        <v>-206.44059999999999</v>
      </c>
      <c r="H7534" s="1">
        <v>-2.2707320000000002E-6</v>
      </c>
      <c r="I7534">
        <v>-60.245690000000003</v>
      </c>
      <c r="J7534">
        <v>-220.63079999999999</v>
      </c>
      <c r="K7534">
        <v>1.1103749999999999</v>
      </c>
      <c r="L7534">
        <v>-62.632930000000002</v>
      </c>
      <c r="M7534">
        <v>0.99975700000000001</v>
      </c>
      <c r="N7534">
        <v>-1.7974980000000002E-2</v>
      </c>
      <c r="O7534">
        <v>1.276354E-2</v>
      </c>
      <c r="P7534">
        <v>0.97118150000000003</v>
      </c>
      <c r="Q7534">
        <v>-6.5307260000000006E-2</v>
      </c>
      <c r="R7534">
        <v>0.22921900000000001</v>
      </c>
      <c r="S7534">
        <v>2.9570470000000002</v>
      </c>
      <c r="T7534">
        <v>-0.22882739999999999</v>
      </c>
      <c r="U7534">
        <v>0.49240109999999898</v>
      </c>
      <c r="V7534">
        <v>-0.21680430000000001</v>
      </c>
      <c r="W7534">
        <v>-4.778027E-2</v>
      </c>
      <c r="X7534">
        <v>0.9750451</v>
      </c>
      <c r="Y7534">
        <v>-0.15112829999999999</v>
      </c>
      <c r="Z7534">
        <v>6.4175309999999998E-3</v>
      </c>
      <c r="AA7534">
        <v>0.98849330000000002</v>
      </c>
      <c r="AB7534">
        <v>32</v>
      </c>
      <c r="AC7534">
        <v>14.190200000000001</v>
      </c>
      <c r="AD7534">
        <v>-1.1103772707320001</v>
      </c>
      <c r="AE7534">
        <v>2.38723999999999</v>
      </c>
      <c r="AF7534">
        <v>-2.1928418117440001</v>
      </c>
      <c r="AG7534">
        <v>-1.1103772707320001</v>
      </c>
      <c r="AH7534">
        <v>14.135349702154199</v>
      </c>
      <c r="AI7534">
        <v>94.438668057811498</v>
      </c>
      <c r="AJ7534">
        <v>98.818105545624505</v>
      </c>
      <c r="AK7534">
        <v>14.347459848240799</v>
      </c>
      <c r="AL7534">
        <v>92.738650517577895</v>
      </c>
      <c r="AM7534">
        <v>102.535953338298</v>
      </c>
      <c r="AN7534">
        <v>1.0000000028668801</v>
      </c>
    </row>
    <row r="7535" spans="1:40" x14ac:dyDescent="0.25">
      <c r="A7535" t="str">
        <f>"20190305135109957"</f>
        <v>20190305135109957</v>
      </c>
      <c r="B7535" t="str">
        <f>"1551765069946741"</f>
        <v>1551765069946741</v>
      </c>
      <c r="C7535" t="s">
        <v>40</v>
      </c>
      <c r="D7535">
        <v>3.8402579999999999</v>
      </c>
      <c r="E7535">
        <v>0.52408569999999999</v>
      </c>
      <c r="F7535" t="s">
        <v>85</v>
      </c>
      <c r="G7535">
        <v>-206.172</v>
      </c>
      <c r="H7535" s="1">
        <v>-2.455475E-6</v>
      </c>
      <c r="I7535">
        <v>-60.193080000000002</v>
      </c>
      <c r="J7535">
        <v>-220.47149999999999</v>
      </c>
      <c r="K7535">
        <v>1.110433</v>
      </c>
      <c r="L7535">
        <v>-62.630830000000003</v>
      </c>
      <c r="M7535">
        <v>0.99975369999999997</v>
      </c>
      <c r="N7535">
        <v>-1.810134E-2</v>
      </c>
      <c r="O7535">
        <v>1.285495E-2</v>
      </c>
      <c r="P7535">
        <v>0.97084590000000004</v>
      </c>
      <c r="Q7535">
        <v>-6.4660999999999996E-2</v>
      </c>
      <c r="R7535">
        <v>0.23081960000000001</v>
      </c>
      <c r="S7535">
        <v>2.9560089999999999</v>
      </c>
      <c r="T7535">
        <v>-0.22700880000000001</v>
      </c>
      <c r="U7535">
        <v>0.49880980000000003</v>
      </c>
      <c r="V7535">
        <v>-0.21831539999999999</v>
      </c>
      <c r="W7535">
        <v>-4.7039490000000003E-2</v>
      </c>
      <c r="X7535">
        <v>0.9747439</v>
      </c>
      <c r="Y7535">
        <v>-0.15317749999999999</v>
      </c>
      <c r="Z7535">
        <v>6.4829769999999896E-3</v>
      </c>
      <c r="AA7535">
        <v>0.98817739999999998</v>
      </c>
      <c r="AB7535">
        <v>32</v>
      </c>
      <c r="AC7535">
        <v>14.299499999999901</v>
      </c>
      <c r="AD7535">
        <v>-1.110435455475</v>
      </c>
      <c r="AE7535">
        <v>2.4377499999999999</v>
      </c>
      <c r="AF7535">
        <v>-2.2405691604792501</v>
      </c>
      <c r="AG7535">
        <v>-1.110435455475</v>
      </c>
      <c r="AH7535">
        <v>14.246176707895801</v>
      </c>
      <c r="AI7535">
        <v>94.403070459448401</v>
      </c>
      <c r="AJ7535">
        <v>98.937985466911499</v>
      </c>
      <c r="AK7535">
        <v>14.463981742807199</v>
      </c>
      <c r="AL7535">
        <v>92.696159178795995</v>
      </c>
      <c r="AM7535">
        <v>102.62431255360001</v>
      </c>
      <c r="AN7535">
        <v>0.99999999904191395</v>
      </c>
    </row>
    <row r="7536" spans="1:40" x14ac:dyDescent="0.25">
      <c r="A7536" t="str">
        <f>"20190305135109968"</f>
        <v>20190305135109968</v>
      </c>
      <c r="B7536" t="str">
        <f>"1551765069957477"</f>
        <v>1551765069957477</v>
      </c>
      <c r="C7536" t="s">
        <v>40</v>
      </c>
      <c r="D7536">
        <v>3.8392719999999998</v>
      </c>
      <c r="E7536">
        <v>0.52398999999999996</v>
      </c>
      <c r="F7536" t="s">
        <v>85</v>
      </c>
      <c r="G7536">
        <v>-205.99510000000001</v>
      </c>
      <c r="H7536" s="1">
        <v>-2.5775529999999999E-6</v>
      </c>
      <c r="I7536">
        <v>-60.156930000000003</v>
      </c>
      <c r="J7536">
        <v>-220.31389999999999</v>
      </c>
      <c r="K7536">
        <v>1.110493</v>
      </c>
      <c r="L7536">
        <v>-62.628720000000001</v>
      </c>
      <c r="M7536">
        <v>0.99974989999999997</v>
      </c>
      <c r="N7536">
        <v>-1.82224E-2</v>
      </c>
      <c r="O7536">
        <v>1.296426E-2</v>
      </c>
      <c r="P7536">
        <v>0.97047119999999998</v>
      </c>
      <c r="Q7536">
        <v>-6.4753900000000003E-2</v>
      </c>
      <c r="R7536">
        <v>0.23236319999999999</v>
      </c>
      <c r="S7536">
        <v>2.9549409999999998</v>
      </c>
      <c r="T7536">
        <v>-0.2266629</v>
      </c>
      <c r="U7536">
        <v>0.50497440000000005</v>
      </c>
      <c r="V7536">
        <v>-0.21975130000000001</v>
      </c>
      <c r="W7536">
        <v>-4.7046119999999997E-2</v>
      </c>
      <c r="X7536">
        <v>0.97442090000000003</v>
      </c>
      <c r="Y7536">
        <v>-0.15512519999999999</v>
      </c>
      <c r="Z7536">
        <v>6.5732250000000002E-3</v>
      </c>
      <c r="AA7536">
        <v>0.987873</v>
      </c>
      <c r="AB7536">
        <v>32</v>
      </c>
      <c r="AC7536">
        <v>14.3187999999999</v>
      </c>
      <c r="AD7536">
        <v>-1.1104955775530001</v>
      </c>
      <c r="AE7536">
        <v>2.4717899999999902</v>
      </c>
      <c r="AF7536">
        <v>-2.2726448053878898</v>
      </c>
      <c r="AG7536">
        <v>-1.1104955775530001</v>
      </c>
      <c r="AH7536">
        <v>14.266320665114501</v>
      </c>
      <c r="AI7536">
        <v>94.395744642750003</v>
      </c>
      <c r="AJ7536">
        <v>99.051244757493393</v>
      </c>
      <c r="AK7536">
        <v>14.488823974329099</v>
      </c>
      <c r="AL7536">
        <v>92.696539385124396</v>
      </c>
      <c r="AM7536">
        <v>102.70873283272201</v>
      </c>
      <c r="AN7536">
        <v>1.0000000308077699</v>
      </c>
    </row>
    <row r="7537" spans="1:40" x14ac:dyDescent="0.25">
      <c r="A7537" t="str">
        <f>"20190305135109981"</f>
        <v>20190305135109981</v>
      </c>
      <c r="B7537" t="str">
        <f>"1551765069976996"</f>
        <v>1551765069976996</v>
      </c>
      <c r="C7537" t="s">
        <v>40</v>
      </c>
      <c r="D7537">
        <v>3.8127970000000002</v>
      </c>
      <c r="E7537">
        <v>0.52388880000000004</v>
      </c>
      <c r="F7537" t="s">
        <v>85</v>
      </c>
      <c r="G7537">
        <v>-205.9367</v>
      </c>
      <c r="H7537" s="1">
        <v>-2.6179579999999999E-6</v>
      </c>
      <c r="I7537">
        <v>-60.144579999999998</v>
      </c>
      <c r="J7537">
        <v>-220.15280000000001</v>
      </c>
      <c r="K7537">
        <v>1.110571</v>
      </c>
      <c r="L7537">
        <v>-62.626460000000002</v>
      </c>
      <c r="M7537">
        <v>0.99974549999999995</v>
      </c>
      <c r="N7537">
        <v>-1.833446E-2</v>
      </c>
      <c r="O7537">
        <v>1.3153400000000001E-2</v>
      </c>
      <c r="P7537">
        <v>0.9701033</v>
      </c>
      <c r="Q7537">
        <v>-6.4639360000000007E-2</v>
      </c>
      <c r="R7537">
        <v>0.2339262</v>
      </c>
      <c r="S7537">
        <v>2.9538570000000002</v>
      </c>
      <c r="T7537">
        <v>-0.22815489999999999</v>
      </c>
      <c r="U7537">
        <v>0.51037600000000005</v>
      </c>
      <c r="V7537">
        <v>-0.2211274</v>
      </c>
      <c r="W7537">
        <v>-4.6864280000000001E-2</v>
      </c>
      <c r="X7537">
        <v>0.97411829999999999</v>
      </c>
      <c r="Y7537">
        <v>-0.156740299999999</v>
      </c>
      <c r="Z7537">
        <v>6.6826669999999998E-3</v>
      </c>
      <c r="AA7537">
        <v>0.98761730000000003</v>
      </c>
      <c r="AB7537">
        <v>32</v>
      </c>
      <c r="AC7537">
        <v>14.216100000000001</v>
      </c>
      <c r="AD7537">
        <v>-1.1105736179579999</v>
      </c>
      <c r="AE7537">
        <v>2.4818799999999799</v>
      </c>
      <c r="AF7537">
        <v>-2.2811340648035001</v>
      </c>
      <c r="AG7537">
        <v>-1.1105736179579999</v>
      </c>
      <c r="AH7537">
        <v>14.1636382711196</v>
      </c>
      <c r="AI7537">
        <v>94.426588127609605</v>
      </c>
      <c r="AJ7537">
        <v>99.149242111812299</v>
      </c>
      <c r="AK7537">
        <v>14.38907903438</v>
      </c>
      <c r="AL7537">
        <v>92.686109231759303</v>
      </c>
      <c r="AM7537">
        <v>102.789548966185</v>
      </c>
      <c r="AN7537">
        <v>1.0000000250827801</v>
      </c>
    </row>
    <row r="7538" spans="1:40" x14ac:dyDescent="0.25">
      <c r="A7538" t="str">
        <f>"20190305135109992"</f>
        <v>20190305135109992</v>
      </c>
      <c r="B7538" t="str">
        <f>"1551765069986756"</f>
        <v>1551765069986756</v>
      </c>
      <c r="C7538" t="s">
        <v>40</v>
      </c>
      <c r="D7538">
        <v>3.9385500000000002</v>
      </c>
      <c r="E7538">
        <v>0.52393329999999905</v>
      </c>
      <c r="F7538" t="s">
        <v>85</v>
      </c>
      <c r="G7538">
        <v>-206.18430000000001</v>
      </c>
      <c r="H7538" s="1">
        <v>-2.449578E-6</v>
      </c>
      <c r="I7538">
        <v>-60.185789999999997</v>
      </c>
      <c r="J7538">
        <v>-219.98830000000001</v>
      </c>
      <c r="K7538">
        <v>1.110657</v>
      </c>
      <c r="L7538">
        <v>-62.62415</v>
      </c>
      <c r="M7538">
        <v>0.99974059999999998</v>
      </c>
      <c r="N7538">
        <v>-1.844558E-2</v>
      </c>
      <c r="O7538">
        <v>1.3374230000000001E-2</v>
      </c>
      <c r="P7538">
        <v>0.96957559999999998</v>
      </c>
      <c r="Q7538">
        <v>-6.484827E-2</v>
      </c>
      <c r="R7538">
        <v>0.2360468</v>
      </c>
      <c r="S7538">
        <v>2.952423</v>
      </c>
      <c r="T7538">
        <v>-0.23473430000000001</v>
      </c>
      <c r="U7538">
        <v>0.51586909999999997</v>
      </c>
      <c r="V7538">
        <v>-0.22303120000000001</v>
      </c>
      <c r="W7538">
        <v>-4.701408E-2</v>
      </c>
      <c r="X7538">
        <v>0.97367689999999996</v>
      </c>
      <c r="Y7538">
        <v>-0.1583513</v>
      </c>
      <c r="Z7538">
        <v>6.903551E-3</v>
      </c>
      <c r="AA7538">
        <v>0.98735870000000003</v>
      </c>
      <c r="AB7538">
        <v>32</v>
      </c>
      <c r="AC7538">
        <v>13.804</v>
      </c>
      <c r="AD7538">
        <v>-1.110659449578</v>
      </c>
      <c r="AE7538">
        <v>2.4383599999999901</v>
      </c>
      <c r="AF7538">
        <v>-2.23943385253708</v>
      </c>
      <c r="AG7538">
        <v>-1.110659449578</v>
      </c>
      <c r="AH7538">
        <v>13.7490676767378</v>
      </c>
      <c r="AI7538">
        <v>94.558551257149105</v>
      </c>
      <c r="AJ7538">
        <v>99.251039213049495</v>
      </c>
      <c r="AK7538">
        <v>13.974458500147399</v>
      </c>
      <c r="AL7538">
        <v>92.694701751423906</v>
      </c>
      <c r="AM7538">
        <v>102.90164494572601</v>
      </c>
      <c r="AN7538">
        <v>0.99999997274264696</v>
      </c>
    </row>
    <row r="7539" spans="1:40" x14ac:dyDescent="0.25">
      <c r="A7539" t="str">
        <f>"20190305135110003"</f>
        <v>20190305135110003</v>
      </c>
      <c r="B7539" t="str">
        <f>"1551765069997493"</f>
        <v>1551765069997493</v>
      </c>
      <c r="C7539" t="s">
        <v>40</v>
      </c>
      <c r="D7539">
        <v>3.880045</v>
      </c>
      <c r="E7539">
        <v>0.52419669999999996</v>
      </c>
      <c r="F7539" t="s">
        <v>85</v>
      </c>
      <c r="G7539">
        <v>-206.04599999999999</v>
      </c>
      <c r="H7539" s="1">
        <v>-2.5448210000000001E-6</v>
      </c>
      <c r="I7539">
        <v>-60.158320000000003</v>
      </c>
      <c r="J7539">
        <v>-219.82689999999999</v>
      </c>
      <c r="K7539">
        <v>1.11076</v>
      </c>
      <c r="L7539">
        <v>-62.621699999999997</v>
      </c>
      <c r="M7539">
        <v>0.99973449999999997</v>
      </c>
      <c r="N7539">
        <v>-1.8544729999999999E-2</v>
      </c>
      <c r="O7539">
        <v>1.3682369999999999E-2</v>
      </c>
      <c r="P7539">
        <v>0.9690571</v>
      </c>
      <c r="Q7539">
        <v>-6.4908969999999996E-2</v>
      </c>
      <c r="R7539">
        <v>0.2381499</v>
      </c>
      <c r="S7539">
        <v>2.9513400000000001</v>
      </c>
      <c r="T7539">
        <v>-0.23510719999999999</v>
      </c>
      <c r="U7539">
        <v>0.52197269999999996</v>
      </c>
      <c r="V7539">
        <v>-0.22483110000000001</v>
      </c>
      <c r="W7539">
        <v>-4.703686E-2</v>
      </c>
      <c r="X7539">
        <v>0.97326179999999995</v>
      </c>
      <c r="Y7539">
        <v>-0.16008039999999901</v>
      </c>
      <c r="Z7539">
        <v>6.9879769999999898E-3</v>
      </c>
      <c r="AA7539">
        <v>0.98707929999999999</v>
      </c>
      <c r="AB7539">
        <v>32</v>
      </c>
      <c r="AC7539">
        <v>13.780900000000001</v>
      </c>
      <c r="AD7539">
        <v>-1.1107625448209999</v>
      </c>
      <c r="AE7539">
        <v>2.4633799999999999</v>
      </c>
      <c r="AF7539">
        <v>-2.2603317134038399</v>
      </c>
      <c r="AG7539">
        <v>-1.1107625448209999</v>
      </c>
      <c r="AH7539">
        <v>13.7269030499845</v>
      </c>
      <c r="AI7539">
        <v>94.565008193278899</v>
      </c>
      <c r="AJ7539">
        <v>99.350663045690496</v>
      </c>
      <c r="AK7539">
        <v>13.9560295295356</v>
      </c>
      <c r="AL7539">
        <v>92.6960082929116</v>
      </c>
      <c r="AM7539">
        <v>103.007595824448</v>
      </c>
      <c r="AN7539">
        <v>1.0000000105325499</v>
      </c>
    </row>
    <row r="7540" spans="1:40" x14ac:dyDescent="0.25">
      <c r="A7540" t="str">
        <f>"20190305135110016"</f>
        <v>20190305135110016</v>
      </c>
      <c r="B7540" t="str">
        <f>"1551765070007252"</f>
        <v>1551765070007252</v>
      </c>
      <c r="C7540" t="s">
        <v>40</v>
      </c>
      <c r="D7540">
        <v>3.9033850000000001</v>
      </c>
      <c r="E7540">
        <v>0.524258</v>
      </c>
      <c r="F7540" t="s">
        <v>85</v>
      </c>
      <c r="G7540">
        <v>-205.82839999999999</v>
      </c>
      <c r="H7540" s="1">
        <v>-2.6921020000000001E-6</v>
      </c>
      <c r="I7540">
        <v>-60.124600000000001</v>
      </c>
      <c r="J7540">
        <v>-219.6645</v>
      </c>
      <c r="K7540">
        <v>1.110867</v>
      </c>
      <c r="L7540">
        <v>-62.619169999999997</v>
      </c>
      <c r="M7540">
        <v>0.99972780000000006</v>
      </c>
      <c r="N7540">
        <v>-1.863594E-2</v>
      </c>
      <c r="O7540">
        <v>1.404351E-2</v>
      </c>
      <c r="P7540">
        <v>0.96855000000000002</v>
      </c>
      <c r="Q7540">
        <v>-6.4635689999999996E-2</v>
      </c>
      <c r="R7540">
        <v>0.24027770000000001</v>
      </c>
      <c r="S7540">
        <v>2.9507750000000001</v>
      </c>
      <c r="T7540">
        <v>-0.23413919999999999</v>
      </c>
      <c r="U7540">
        <v>0.52636719999999904</v>
      </c>
      <c r="V7540">
        <v>-0.2266039</v>
      </c>
      <c r="W7540">
        <v>-4.6737340000000002E-2</v>
      </c>
      <c r="X7540">
        <v>0.97286499999999998</v>
      </c>
      <c r="Y7540">
        <v>-0.1611812</v>
      </c>
      <c r="Z7540">
        <v>7.0074789999999996E-3</v>
      </c>
      <c r="AA7540">
        <v>0.9869</v>
      </c>
      <c r="AB7540">
        <v>32</v>
      </c>
      <c r="AC7540">
        <v>13.8361</v>
      </c>
      <c r="AD7540">
        <v>-1.110869692102</v>
      </c>
      <c r="AE7540">
        <v>2.4945699999999902</v>
      </c>
      <c r="AF7540">
        <v>-2.2857126440987399</v>
      </c>
      <c r="AG7540">
        <v>-1.110869692102</v>
      </c>
      <c r="AH7540">
        <v>13.7837193606757</v>
      </c>
      <c r="AI7540">
        <v>94.545860393685302</v>
      </c>
      <c r="AJ7540">
        <v>99.415505986840998</v>
      </c>
      <c r="AK7540">
        <v>14.016041994018501</v>
      </c>
      <c r="AL7540">
        <v>92.678828174932903</v>
      </c>
      <c r="AM7540">
        <v>103.111794533078</v>
      </c>
      <c r="AN7540">
        <v>1.00000000733524</v>
      </c>
    </row>
    <row r="7541" spans="1:40" x14ac:dyDescent="0.25">
      <c r="A7541" t="str">
        <f>"20190305135110026"</f>
        <v>20190305135110026</v>
      </c>
      <c r="B7541" t="str">
        <f>"1551765070017012"</f>
        <v>1551765070017012</v>
      </c>
      <c r="C7541" t="s">
        <v>40</v>
      </c>
      <c r="D7541">
        <v>3.8891249999999999</v>
      </c>
      <c r="E7541">
        <v>0.52449069999999998</v>
      </c>
      <c r="F7541" t="s">
        <v>85</v>
      </c>
      <c r="G7541">
        <v>-205.65389999999999</v>
      </c>
      <c r="H7541" s="1">
        <v>-2.811935E-6</v>
      </c>
      <c r="I7541">
        <v>-60.091090000000001</v>
      </c>
      <c r="J7541">
        <v>-219.50030000000001</v>
      </c>
      <c r="K7541">
        <v>1.1109819999999999</v>
      </c>
      <c r="L7541">
        <v>-62.616489999999999</v>
      </c>
      <c r="M7541">
        <v>0.9997201</v>
      </c>
      <c r="N7541">
        <v>-1.8716920000000001E-2</v>
      </c>
      <c r="O7541">
        <v>1.447435E-2</v>
      </c>
      <c r="P7541">
        <v>0.96799729999999995</v>
      </c>
      <c r="Q7541">
        <v>-6.4379049999999993E-2</v>
      </c>
      <c r="R7541">
        <v>0.2425628</v>
      </c>
      <c r="S7541">
        <v>2.9497529999999998</v>
      </c>
      <c r="T7541">
        <v>-0.2338799</v>
      </c>
      <c r="U7541">
        <v>0.53225710000000004</v>
      </c>
      <c r="V7541">
        <v>-0.22846659999999999</v>
      </c>
      <c r="W7541">
        <v>-4.6470640000000001E-2</v>
      </c>
      <c r="X7541">
        <v>0.97244200000000003</v>
      </c>
      <c r="Y7541">
        <v>-0.16271930000000001</v>
      </c>
      <c r="Z7541">
        <v>7.0596359999999898E-3</v>
      </c>
      <c r="AA7541">
        <v>0.9866471</v>
      </c>
      <c r="AB7541">
        <v>32</v>
      </c>
      <c r="AC7541">
        <v>13.846399999999999</v>
      </c>
      <c r="AD7541">
        <v>-1.1109848119350001</v>
      </c>
      <c r="AE7541">
        <v>2.5253999999999901</v>
      </c>
      <c r="AF7541">
        <v>-2.3102880934823702</v>
      </c>
      <c r="AG7541">
        <v>-1.1109848119350001</v>
      </c>
      <c r="AH7541">
        <v>13.795554119334099</v>
      </c>
      <c r="AI7541">
        <v>94.541243621359897</v>
      </c>
      <c r="AJ7541">
        <v>99.506884437147306</v>
      </c>
      <c r="AK7541">
        <v>14.0317152118589</v>
      </c>
      <c r="AL7541">
        <v>92.663530853884893</v>
      </c>
      <c r="AM7541">
        <v>103.221353425839</v>
      </c>
      <c r="AN7541">
        <v>0.99999997553078401</v>
      </c>
    </row>
    <row r="7542" spans="1:40" x14ac:dyDescent="0.25">
      <c r="A7542" t="str">
        <f>"20190305135110037"</f>
        <v>20190305135110037</v>
      </c>
      <c r="B7542" t="str">
        <f>"1551765070026773"</f>
        <v>1551765070026773</v>
      </c>
      <c r="C7542" t="s">
        <v>40</v>
      </c>
      <c r="D7542">
        <v>3.8815400000000002</v>
      </c>
      <c r="E7542">
        <v>0.52451179999999997</v>
      </c>
      <c r="F7542" t="s">
        <v>85</v>
      </c>
      <c r="G7542">
        <v>-205.37629999999999</v>
      </c>
      <c r="H7542" s="1">
        <v>-3.00127E-6</v>
      </c>
      <c r="I7542">
        <v>-60.04251</v>
      </c>
      <c r="J7542">
        <v>-219.3468</v>
      </c>
      <c r="K7542">
        <v>1.1110949999999999</v>
      </c>
      <c r="L7542">
        <v>-62.613799999999998</v>
      </c>
      <c r="M7542">
        <v>0.99971169999999998</v>
      </c>
      <c r="N7542">
        <v>-1.8778090000000001E-2</v>
      </c>
      <c r="O7542">
        <v>1.49695E-2</v>
      </c>
      <c r="P7542">
        <v>0.96748979999999996</v>
      </c>
      <c r="Q7542">
        <v>-6.4110479999999997E-2</v>
      </c>
      <c r="R7542">
        <v>0.2446499</v>
      </c>
      <c r="S7542">
        <v>2.9490810000000001</v>
      </c>
      <c r="T7542">
        <v>-0.23197319999999999</v>
      </c>
      <c r="U7542">
        <v>0.53744510000000001</v>
      </c>
      <c r="V7542">
        <v>-0.23006789999999999</v>
      </c>
      <c r="W7542">
        <v>-4.6211170000000003E-2</v>
      </c>
      <c r="X7542">
        <v>0.97207679999999996</v>
      </c>
      <c r="Y7542">
        <v>-0.1639544</v>
      </c>
      <c r="Z7542">
        <v>7.0538659999999998E-3</v>
      </c>
      <c r="AA7542">
        <v>0.98644270000000001</v>
      </c>
      <c r="AB7542">
        <v>32</v>
      </c>
      <c r="AC7542">
        <v>13.970499999999999</v>
      </c>
      <c r="AD7542">
        <v>-1.11109800127</v>
      </c>
      <c r="AE7542">
        <v>2.5712899999999901</v>
      </c>
      <c r="AF7542">
        <v>-2.3474715833017998</v>
      </c>
      <c r="AG7542">
        <v>-1.11109800127</v>
      </c>
      <c r="AH7542">
        <v>13.922254760218999</v>
      </c>
      <c r="AI7542">
        <v>94.499702878709201</v>
      </c>
      <c r="AJ7542">
        <v>99.570784327606006</v>
      </c>
      <c r="AK7542">
        <v>14.1624270240406</v>
      </c>
      <c r="AL7542">
        <v>92.648648243037997</v>
      </c>
      <c r="AM7542">
        <v>103.315555647208</v>
      </c>
      <c r="AN7542">
        <v>1.0000000079707001</v>
      </c>
    </row>
    <row r="7543" spans="1:40" x14ac:dyDescent="0.25">
      <c r="A7543" t="str">
        <f>"20190305135110047"</f>
        <v>20190305135110047</v>
      </c>
      <c r="B7543" t="str">
        <f>"1551765070037509"</f>
        <v>1551765070037509</v>
      </c>
      <c r="C7543" t="s">
        <v>40</v>
      </c>
      <c r="D7543">
        <v>3.8536739999999998</v>
      </c>
      <c r="E7543">
        <v>0.52453890000000003</v>
      </c>
      <c r="F7543" t="s">
        <v>85</v>
      </c>
      <c r="G7543">
        <v>-205.20949999999999</v>
      </c>
      <c r="H7543" s="1">
        <v>-3.1168299999999999E-6</v>
      </c>
      <c r="I7543">
        <v>-60.006860000000003</v>
      </c>
      <c r="J7543">
        <v>-219.20169999999999</v>
      </c>
      <c r="K7543">
        <v>1.1112029999999999</v>
      </c>
      <c r="L7543">
        <v>-62.611150000000002</v>
      </c>
      <c r="M7543">
        <v>0.99970300000000001</v>
      </c>
      <c r="N7543">
        <v>-1.8830110000000001E-2</v>
      </c>
      <c r="O7543">
        <v>1.5473580000000001E-2</v>
      </c>
      <c r="P7543">
        <v>0.96694769999999997</v>
      </c>
      <c r="Q7543">
        <v>-6.3586149999999994E-2</v>
      </c>
      <c r="R7543">
        <v>0.246919</v>
      </c>
      <c r="S7543">
        <v>2.9479829999999998</v>
      </c>
      <c r="T7543">
        <v>-0.23169110000000001</v>
      </c>
      <c r="U7543">
        <v>0.54360959999999903</v>
      </c>
      <c r="V7543">
        <v>-0.23184450000000001</v>
      </c>
      <c r="W7543">
        <v>-4.5704990000000001E-2</v>
      </c>
      <c r="X7543">
        <v>0.97167859999999995</v>
      </c>
      <c r="Y7543">
        <v>-0.1655132</v>
      </c>
      <c r="Z7543">
        <v>7.0994869999999998E-3</v>
      </c>
      <c r="AA7543">
        <v>0.986182</v>
      </c>
      <c r="AB7543">
        <v>31</v>
      </c>
      <c r="AC7543">
        <v>13.992199999999899</v>
      </c>
      <c r="AD7543">
        <v>-1.11120611683</v>
      </c>
      <c r="AE7543">
        <v>2.6042900000000002</v>
      </c>
      <c r="AF7543">
        <v>-2.3729652870127702</v>
      </c>
      <c r="AG7543">
        <v>-1.11120611683</v>
      </c>
      <c r="AH7543">
        <v>13.945818853268801</v>
      </c>
      <c r="AI7543">
        <v>94.491429520726101</v>
      </c>
      <c r="AJ7543">
        <v>99.656734310023097</v>
      </c>
      <c r="AK7543">
        <v>14.189841675495799</v>
      </c>
      <c r="AL7543">
        <v>92.619615452109201</v>
      </c>
      <c r="AM7543">
        <v>103.419974625347</v>
      </c>
      <c r="AN7543">
        <v>1.00000005999455</v>
      </c>
    </row>
    <row r="7544" spans="1:40" x14ac:dyDescent="0.25">
      <c r="A7544" t="str">
        <f>"20190305135110058"</f>
        <v>20190305135110058</v>
      </c>
      <c r="B7544" t="str">
        <f>"1551765070047269"</f>
        <v>1551765070047269</v>
      </c>
      <c r="C7544" t="s">
        <v>40</v>
      </c>
      <c r="D7544">
        <v>3.7982420000000001</v>
      </c>
      <c r="E7544">
        <v>0.52476750000000005</v>
      </c>
      <c r="F7544" t="s">
        <v>85</v>
      </c>
      <c r="G7544">
        <v>-204.9682</v>
      </c>
      <c r="H7544" s="1">
        <v>-3.266309E-6</v>
      </c>
      <c r="I7544">
        <v>-59.953229999999998</v>
      </c>
      <c r="J7544">
        <v>-219.05969999999999</v>
      </c>
      <c r="K7544">
        <v>1.11131</v>
      </c>
      <c r="L7544">
        <v>-62.608400000000003</v>
      </c>
      <c r="M7544">
        <v>0.9996929</v>
      </c>
      <c r="N7544">
        <v>-1.8860519999999999E-2</v>
      </c>
      <c r="O7544">
        <v>1.607927E-2</v>
      </c>
      <c r="P7544">
        <v>0.96645179999999997</v>
      </c>
      <c r="Q7544">
        <v>-6.3001810000000005E-2</v>
      </c>
      <c r="R7544">
        <v>0.2490018</v>
      </c>
      <c r="S7544">
        <v>2.9468990000000002</v>
      </c>
      <c r="T7544">
        <v>-0.23006389999999999</v>
      </c>
      <c r="U7544">
        <v>0.55029300000000003</v>
      </c>
      <c r="V7544">
        <v>-0.23333590000000001</v>
      </c>
      <c r="W7544">
        <v>-4.5162260000000003E-2</v>
      </c>
      <c r="X7544">
        <v>0.97134690000000001</v>
      </c>
      <c r="Y7544">
        <v>-0.16714419999999999</v>
      </c>
      <c r="Z7544">
        <v>7.110005E-3</v>
      </c>
      <c r="AA7544">
        <v>0.98590679999999997</v>
      </c>
      <c r="AB7544">
        <v>31</v>
      </c>
      <c r="AC7544">
        <v>14.0914999999999</v>
      </c>
      <c r="AD7544">
        <v>-1.111313266309</v>
      </c>
      <c r="AE7544">
        <v>2.6551699999999898</v>
      </c>
      <c r="AF7544">
        <v>-2.41370783914298</v>
      </c>
      <c r="AG7544">
        <v>-1.111313266309</v>
      </c>
      <c r="AH7544">
        <v>14.048001881304801</v>
      </c>
      <c r="AI7544">
        <v>94.458093465788906</v>
      </c>
      <c r="AJ7544">
        <v>99.749285451480404</v>
      </c>
      <c r="AK7544">
        <v>14.297110182332601</v>
      </c>
      <c r="AL7544">
        <v>92.588487232887204</v>
      </c>
      <c r="AM7544">
        <v>103.50759256246501</v>
      </c>
      <c r="AN7544">
        <v>1.0000000360483601</v>
      </c>
    </row>
    <row r="7545" spans="1:40" x14ac:dyDescent="0.25">
      <c r="A7545" t="str">
        <f>"20190305135110068"</f>
        <v>20190305135110068</v>
      </c>
      <c r="B7545" t="str">
        <f>"1551765070057029"</f>
        <v>1551765070057029</v>
      </c>
      <c r="C7545" t="s">
        <v>40</v>
      </c>
      <c r="D7545">
        <v>3.7399719999999999</v>
      </c>
      <c r="E7545">
        <v>0.52470810000000001</v>
      </c>
      <c r="F7545" t="s">
        <v>85</v>
      </c>
      <c r="G7545">
        <v>-204.6508</v>
      </c>
      <c r="H7545" s="1">
        <v>-3.4413590000000001E-6</v>
      </c>
      <c r="I7545">
        <v>-59.8947</v>
      </c>
      <c r="J7545">
        <v>-218.905</v>
      </c>
      <c r="K7545">
        <v>1.1114329999999999</v>
      </c>
      <c r="L7545">
        <v>-62.605289999999997</v>
      </c>
      <c r="M7545">
        <v>0.99968109999999999</v>
      </c>
      <c r="N7545">
        <v>-1.888857E-2</v>
      </c>
      <c r="O7545">
        <v>1.6766240000000002E-2</v>
      </c>
      <c r="P7545">
        <v>0.96594880000000005</v>
      </c>
      <c r="Q7545">
        <v>-6.2370670000000003E-2</v>
      </c>
      <c r="R7545">
        <v>0.25110349999999998</v>
      </c>
      <c r="S7545">
        <v>2.9463349999999999</v>
      </c>
      <c r="T7545">
        <v>-0.2272431</v>
      </c>
      <c r="U7545">
        <v>0.55490109999999904</v>
      </c>
      <c r="V7545">
        <v>-0.23476739999999999</v>
      </c>
      <c r="W7545">
        <v>-4.4582190000000001E-2</v>
      </c>
      <c r="X7545">
        <v>0.97102869999999997</v>
      </c>
      <c r="Y7545">
        <v>-0.16800079999999901</v>
      </c>
      <c r="Z7545">
        <v>7.0507479999999999E-3</v>
      </c>
      <c r="AA7545">
        <v>0.98576160000000002</v>
      </c>
      <c r="AB7545">
        <v>31</v>
      </c>
      <c r="AC7545">
        <v>14.2541999999999</v>
      </c>
      <c r="AD7545">
        <v>-1.1114364413590001</v>
      </c>
      <c r="AE7545">
        <v>2.7105899999999998</v>
      </c>
      <c r="AF7545">
        <v>-2.4567617393904801</v>
      </c>
      <c r="AG7545">
        <v>-1.1114364413590001</v>
      </c>
      <c r="AH7545">
        <v>14.214247469001201</v>
      </c>
      <c r="AI7545">
        <v>94.405897153771406</v>
      </c>
      <c r="AJ7545">
        <v>99.806007538504502</v>
      </c>
      <c r="AK7545">
        <v>14.467750354402799</v>
      </c>
      <c r="AL7545">
        <v>92.555218201048802</v>
      </c>
      <c r="AM7545">
        <v>103.591684795917</v>
      </c>
      <c r="AN7545">
        <v>1.0000000199958201</v>
      </c>
    </row>
    <row r="7546" spans="1:40" x14ac:dyDescent="0.25">
      <c r="A7546" t="str">
        <f>"20190305135110081"</f>
        <v>20190305135110081</v>
      </c>
      <c r="B7546" t="str">
        <f>"1551765070077526"</f>
        <v>1551765070077526</v>
      </c>
      <c r="C7546" t="s">
        <v>40</v>
      </c>
      <c r="D7546">
        <v>3.966545</v>
      </c>
      <c r="E7546">
        <v>0.52470810000000001</v>
      </c>
      <c r="F7546" t="s">
        <v>85</v>
      </c>
      <c r="G7546">
        <v>-204.39920000000001</v>
      </c>
      <c r="H7546" s="1">
        <v>-3.5820120000000001E-6</v>
      </c>
      <c r="I7546">
        <v>-59.838720000000002</v>
      </c>
      <c r="J7546">
        <v>-218.74610000000001</v>
      </c>
      <c r="K7546">
        <v>1.1115600000000001</v>
      </c>
      <c r="L7546">
        <v>-62.601779999999998</v>
      </c>
      <c r="M7546">
        <v>0.9996661</v>
      </c>
      <c r="N7546">
        <v>-1.889445E-2</v>
      </c>
      <c r="O7546">
        <v>1.7626159999999998E-2</v>
      </c>
      <c r="P7546">
        <v>0.96536310000000003</v>
      </c>
      <c r="Q7546">
        <v>-6.2040169999999999E-2</v>
      </c>
      <c r="R7546">
        <v>0.25342689999999901</v>
      </c>
      <c r="S7546">
        <v>2.9451749999999999</v>
      </c>
      <c r="T7546">
        <v>-0.22565930000000001</v>
      </c>
      <c r="U7546">
        <v>0.5617065</v>
      </c>
      <c r="V7546">
        <v>-0.2362524</v>
      </c>
      <c r="W7546">
        <v>-4.4333310000000001E-2</v>
      </c>
      <c r="X7546">
        <v>0.97067990000000004</v>
      </c>
      <c r="Y7546">
        <v>-0.1694252</v>
      </c>
      <c r="Z7546">
        <v>7.0353719999999998E-3</v>
      </c>
      <c r="AA7546">
        <v>0.98551789999999995</v>
      </c>
      <c r="AB7546">
        <v>31</v>
      </c>
      <c r="AC7546">
        <v>14.3469</v>
      </c>
      <c r="AD7546">
        <v>-1.111563582012</v>
      </c>
      <c r="AE7546">
        <v>2.7630599999999998</v>
      </c>
      <c r="AF7546">
        <v>-2.4952618741231798</v>
      </c>
      <c r="AG7546">
        <v>-1.111563582012</v>
      </c>
      <c r="AH7546">
        <v>14.3105503608141</v>
      </c>
      <c r="AI7546">
        <v>94.375739953244704</v>
      </c>
      <c r="AJ7546">
        <v>99.890950725177404</v>
      </c>
      <c r="AK7546">
        <v>14.5689312252719</v>
      </c>
      <c r="AL7546">
        <v>92.540944229234398</v>
      </c>
      <c r="AM7546">
        <v>103.67916873978901</v>
      </c>
      <c r="AN7546">
        <v>1.0000000535726601</v>
      </c>
    </row>
    <row r="7547" spans="1:40" x14ac:dyDescent="0.25">
      <c r="A7547" t="str">
        <f>"20190305135110092"</f>
        <v>20190305135110092</v>
      </c>
      <c r="B7547" t="str">
        <f>"1551765070087285"</f>
        <v>1551765070087285</v>
      </c>
      <c r="C7547" t="s">
        <v>40</v>
      </c>
      <c r="D7547">
        <v>3.8691270000000002</v>
      </c>
      <c r="E7547">
        <v>0.42508319999999999</v>
      </c>
      <c r="F7547" t="s">
        <v>85</v>
      </c>
      <c r="G7547">
        <v>-204.16990000000001</v>
      </c>
      <c r="H7547" s="1">
        <v>-3.7106760000000001E-6</v>
      </c>
      <c r="I7547">
        <v>-59.785359999999997</v>
      </c>
      <c r="J7547">
        <v>-218.5873</v>
      </c>
      <c r="K7547">
        <v>1.111688</v>
      </c>
      <c r="L7547">
        <v>-62.598179999999999</v>
      </c>
      <c r="M7547">
        <v>0.99964989999999998</v>
      </c>
      <c r="N7547">
        <v>-1.889534E-2</v>
      </c>
      <c r="O7547">
        <v>1.8525960000000001E-2</v>
      </c>
      <c r="P7547">
        <v>0.96479760000000003</v>
      </c>
      <c r="Q7547">
        <v>-6.1774879999999997E-2</v>
      </c>
      <c r="R7547">
        <v>0.25563590000000003</v>
      </c>
      <c r="S7547">
        <v>2.9438780000000002</v>
      </c>
      <c r="T7547">
        <v>-0.2244968</v>
      </c>
      <c r="U7547">
        <v>0.56881709999999996</v>
      </c>
      <c r="V7547">
        <v>-0.2375842</v>
      </c>
      <c r="W7547">
        <v>-4.4155100000000003E-2</v>
      </c>
      <c r="X7547">
        <v>0.97036279999999997</v>
      </c>
      <c r="Y7547">
        <v>-0.17091489999999901</v>
      </c>
      <c r="Z7547">
        <v>7.030105E-3</v>
      </c>
      <c r="AA7547">
        <v>0.98526069999999999</v>
      </c>
      <c r="AB7547">
        <v>31</v>
      </c>
      <c r="AC7547">
        <v>14.417399999999899</v>
      </c>
      <c r="AD7547">
        <v>-1.111691710676</v>
      </c>
      <c r="AE7547">
        <v>2.8128199999999999</v>
      </c>
      <c r="AF7547">
        <v>-2.5306984750813002</v>
      </c>
      <c r="AG7547">
        <v>-1.111691710676</v>
      </c>
      <c r="AH7547">
        <v>14.384655081888299</v>
      </c>
      <c r="AI7547">
        <v>94.352630969350201</v>
      </c>
      <c r="AJ7547">
        <v>99.977962632350895</v>
      </c>
      <c r="AK7547">
        <v>14.6478187815204</v>
      </c>
      <c r="AL7547">
        <v>92.530723817005693</v>
      </c>
      <c r="AM7547">
        <v>103.757684016811</v>
      </c>
      <c r="AN7547">
        <v>0.99999994428474304</v>
      </c>
    </row>
    <row r="7548" spans="1:40" x14ac:dyDescent="0.25">
      <c r="A7548" t="str">
        <f>"20190305135110102"</f>
        <v>20190305135110102</v>
      </c>
      <c r="B7548" t="str">
        <f>"1551765070097044"</f>
        <v>1551765070097044</v>
      </c>
      <c r="C7548" t="s">
        <v>40</v>
      </c>
      <c r="D7548">
        <v>3.9098850000000001</v>
      </c>
      <c r="E7548">
        <v>0.4181339</v>
      </c>
      <c r="F7548" t="s">
        <v>85</v>
      </c>
      <c r="G7548">
        <v>-186.03200000000001</v>
      </c>
      <c r="H7548" s="1">
        <v>-4.7208109999999999E-6</v>
      </c>
      <c r="I7548">
        <v>-46.636189999999999</v>
      </c>
      <c r="J7548">
        <v>-218.43549999999999</v>
      </c>
      <c r="K7548">
        <v>1.1118110000000001</v>
      </c>
      <c r="L7548">
        <v>-62.594389999999997</v>
      </c>
      <c r="M7548">
        <v>0.99963150000000001</v>
      </c>
      <c r="N7548">
        <v>-1.888287E-2</v>
      </c>
      <c r="O7548">
        <v>1.9507480000000001E-2</v>
      </c>
      <c r="P7548">
        <v>0.96425249999999996</v>
      </c>
      <c r="Q7548">
        <v>-6.1459989999999999E-2</v>
      </c>
      <c r="R7548">
        <v>0.25775940000000003</v>
      </c>
      <c r="S7548">
        <v>2.7466279999999998</v>
      </c>
      <c r="T7548">
        <v>-9.3791250000000007E-2</v>
      </c>
      <c r="U7548">
        <v>1.3466800000000001</v>
      </c>
      <c r="V7548">
        <v>-0.23875279999999999</v>
      </c>
      <c r="W7548">
        <v>-4.3938320000000003E-2</v>
      </c>
      <c r="X7548">
        <v>0.97008589999999995</v>
      </c>
      <c r="Y7548">
        <v>-0.42230309999999999</v>
      </c>
      <c r="Z7548">
        <v>1.074395E-2</v>
      </c>
      <c r="AA7548">
        <v>0.90639099999999995</v>
      </c>
      <c r="AB7548">
        <v>31</v>
      </c>
      <c r="AC7548">
        <v>32.403499999999902</v>
      </c>
      <c r="AD7548">
        <v>-1.111815720811</v>
      </c>
      <c r="AE7548">
        <v>15.9582</v>
      </c>
      <c r="AF7548">
        <v>-15.3084344951343</v>
      </c>
      <c r="AG7548">
        <v>-1.111815720811</v>
      </c>
      <c r="AH7548">
        <v>32.677729933668402</v>
      </c>
      <c r="AI7548">
        <v>91.764745974647198</v>
      </c>
      <c r="AJ7548">
        <v>115.10153452277601</v>
      </c>
      <c r="AK7548">
        <v>36.102885404170003</v>
      </c>
      <c r="AL7548">
        <v>92.518290868238196</v>
      </c>
      <c r="AM7548">
        <v>103.826558442977</v>
      </c>
      <c r="AN7548">
        <v>1.00000006442553</v>
      </c>
    </row>
    <row r="7549" spans="1:40" x14ac:dyDescent="0.25">
      <c r="A7549" t="str">
        <f>"20190305135110114"</f>
        <v>20190305135110114</v>
      </c>
      <c r="B7549" t="str">
        <f>"1551765070107534"</f>
        <v>1551765070107534</v>
      </c>
      <c r="C7549" t="s">
        <v>40</v>
      </c>
      <c r="D7549">
        <v>3.8950230000000001</v>
      </c>
      <c r="E7549">
        <v>0.41578310000000002</v>
      </c>
      <c r="F7549" t="s">
        <v>85</v>
      </c>
      <c r="G7549">
        <v>-179.95779999999999</v>
      </c>
      <c r="H7549">
        <v>8.9137139999999997E-3</v>
      </c>
      <c r="I7549">
        <v>-42.769660000000002</v>
      </c>
      <c r="J7549">
        <v>-218.27860000000001</v>
      </c>
      <c r="K7549">
        <v>1.1119349999999999</v>
      </c>
      <c r="L7549">
        <v>-62.590299999999999</v>
      </c>
      <c r="M7549">
        <v>0.9996102</v>
      </c>
      <c r="N7549">
        <v>-1.8862E-2</v>
      </c>
      <c r="O7549">
        <v>2.0581539999999999E-2</v>
      </c>
      <c r="P7549">
        <v>0.96363169999999998</v>
      </c>
      <c r="Q7549">
        <v>-6.1443589999999999E-2</v>
      </c>
      <c r="R7549">
        <v>0.26007419999999998</v>
      </c>
      <c r="S7549">
        <v>2.7302089999999999</v>
      </c>
      <c r="T7549">
        <v>-7.8256850000000003E-2</v>
      </c>
      <c r="U7549">
        <v>1.406677</v>
      </c>
      <c r="V7549">
        <v>-0.24002470000000001</v>
      </c>
      <c r="W7549">
        <v>-4.4030800000000002E-2</v>
      </c>
      <c r="X7549">
        <v>0.96976770000000001</v>
      </c>
      <c r="Y7549">
        <v>-0.4393553</v>
      </c>
      <c r="Z7549">
        <v>1.0125790000000001E-2</v>
      </c>
      <c r="AA7549">
        <v>0.89825630000000001</v>
      </c>
      <c r="AB7549">
        <v>31</v>
      </c>
      <c r="AC7549">
        <v>38.320799999999998</v>
      </c>
      <c r="AD7549">
        <v>-1.1030212859999999</v>
      </c>
      <c r="AE7549">
        <v>19.820640000000001</v>
      </c>
      <c r="AF7549">
        <v>-19.015169442383399</v>
      </c>
      <c r="AG7549">
        <v>-1.1030212859999999</v>
      </c>
      <c r="AH7549">
        <v>38.695398764152998</v>
      </c>
      <c r="AI7549">
        <v>91.465488982054495</v>
      </c>
      <c r="AJ7549">
        <v>116.16980054109</v>
      </c>
      <c r="AK7549">
        <v>43.129192090702801</v>
      </c>
      <c r="AL7549">
        <v>92.523594927884105</v>
      </c>
      <c r="AM7549">
        <v>103.901751285103</v>
      </c>
      <c r="AN7549">
        <v>0.99999997996100898</v>
      </c>
    </row>
    <row r="7550" spans="1:40" x14ac:dyDescent="0.25">
      <c r="A7550" t="str">
        <f>"20190305135110125"</f>
        <v>20190305135110125</v>
      </c>
      <c r="B7550" t="str">
        <f>"1551765070117294"</f>
        <v>1551765070117294</v>
      </c>
      <c r="C7550" t="s">
        <v>40</v>
      </c>
      <c r="D7550">
        <v>3.880039</v>
      </c>
      <c r="E7550">
        <v>0.41531309999999999</v>
      </c>
      <c r="F7550" t="s">
        <v>85</v>
      </c>
      <c r="G7550">
        <v>-178.36969999999999</v>
      </c>
      <c r="H7550">
        <v>7.9987119999999995E-2</v>
      </c>
      <c r="I7550">
        <v>-41.605449999999998</v>
      </c>
      <c r="J7550">
        <v>-218.131</v>
      </c>
      <c r="K7550">
        <v>1.112042</v>
      </c>
      <c r="L7550">
        <v>-62.586239999999997</v>
      </c>
      <c r="M7550">
        <v>0.99958789999999997</v>
      </c>
      <c r="N7550">
        <v>-1.8832209999999999E-2</v>
      </c>
      <c r="O7550">
        <v>2.1668369999999999E-2</v>
      </c>
      <c r="P7550">
        <v>0.96308930000000004</v>
      </c>
      <c r="Q7550">
        <v>-6.1364580000000002E-2</v>
      </c>
      <c r="R7550">
        <v>0.26209470000000001</v>
      </c>
      <c r="S7550">
        <v>2.722397</v>
      </c>
      <c r="T7550">
        <v>-7.0394639999999994E-2</v>
      </c>
      <c r="U7550">
        <v>1.4314880000000001</v>
      </c>
      <c r="V7550">
        <v>-0.2409898</v>
      </c>
      <c r="W7550">
        <v>-4.4060349999999998E-2</v>
      </c>
      <c r="X7550">
        <v>0.96952700000000003</v>
      </c>
      <c r="Y7550">
        <v>-0.4458878</v>
      </c>
      <c r="Z7550">
        <v>9.7270619999999999E-3</v>
      </c>
      <c r="AA7550">
        <v>0.89503600000000005</v>
      </c>
      <c r="AB7550">
        <v>31</v>
      </c>
      <c r="AC7550">
        <v>39.761299999999899</v>
      </c>
      <c r="AD7550">
        <v>-1.03205488</v>
      </c>
      <c r="AE7550">
        <v>20.980789999999999</v>
      </c>
      <c r="AF7550">
        <v>-20.103552463637602</v>
      </c>
      <c r="AG7550">
        <v>-1.03205488</v>
      </c>
      <c r="AH7550">
        <v>40.185483862797</v>
      </c>
      <c r="AI7550">
        <v>91.3157643707749</v>
      </c>
      <c r="AJ7550">
        <v>116.57738062858201</v>
      </c>
      <c r="AK7550">
        <v>44.945423262226299</v>
      </c>
      <c r="AL7550">
        <v>92.525289609898394</v>
      </c>
      <c r="AM7550">
        <v>103.958796594272</v>
      </c>
      <c r="AN7550">
        <v>1.00000000093758</v>
      </c>
    </row>
    <row r="7551" spans="1:40" x14ac:dyDescent="0.25">
      <c r="A7551" t="str">
        <f>"20190305135110136"</f>
        <v>20190305135110136</v>
      </c>
      <c r="B7551" t="str">
        <f>"1551765070127053"</f>
        <v>1551765070127053</v>
      </c>
      <c r="C7551" t="s">
        <v>40</v>
      </c>
      <c r="D7551">
        <v>3.8149899999999999</v>
      </c>
      <c r="E7551">
        <v>0.41518110000000003</v>
      </c>
      <c r="F7551" t="s">
        <v>42</v>
      </c>
      <c r="G7551">
        <v>-175.72460000000001</v>
      </c>
      <c r="H7551">
        <v>7.9985609999999999E-2</v>
      </c>
      <c r="I7551">
        <v>-40.109189999999998</v>
      </c>
      <c r="J7551">
        <v>-217.97989999999999</v>
      </c>
      <c r="K7551">
        <v>1.112147</v>
      </c>
      <c r="L7551">
        <v>-62.581789999999998</v>
      </c>
      <c r="M7551">
        <v>0.99956210000000001</v>
      </c>
      <c r="N7551">
        <v>-1.8794669999999999E-2</v>
      </c>
      <c r="O7551">
        <v>2.2857410000000002E-2</v>
      </c>
      <c r="P7551">
        <v>0.96242209999999995</v>
      </c>
      <c r="Q7551">
        <v>-6.1536380000000002E-2</v>
      </c>
      <c r="R7551">
        <v>0.2644939</v>
      </c>
      <c r="S7551">
        <v>2.7186279999999998</v>
      </c>
      <c r="T7551">
        <v>-6.6164020000000004E-2</v>
      </c>
      <c r="U7551">
        <v>1.440979</v>
      </c>
      <c r="V7551">
        <v>-0.24223790000000001</v>
      </c>
      <c r="W7551">
        <v>-4.4349239999999998E-2</v>
      </c>
      <c r="X7551">
        <v>0.96920280000000003</v>
      </c>
      <c r="Y7551">
        <v>-0.44779469999999999</v>
      </c>
      <c r="Z7551">
        <v>9.4638580000000003E-3</v>
      </c>
      <c r="AA7551">
        <v>0.8940863</v>
      </c>
      <c r="AB7551">
        <v>31</v>
      </c>
      <c r="AC7551">
        <v>42.255299999999899</v>
      </c>
      <c r="AD7551">
        <v>-1.03216139</v>
      </c>
      <c r="AE7551">
        <v>22.4726</v>
      </c>
      <c r="AF7551">
        <v>-21.4907136870901</v>
      </c>
      <c r="AG7551">
        <v>-1.03216139</v>
      </c>
      <c r="AH7551">
        <v>42.7381343230646</v>
      </c>
      <c r="AI7551">
        <v>91.236052722183501</v>
      </c>
      <c r="AJ7551">
        <v>116.69536840836</v>
      </c>
      <c r="AK7551">
        <v>47.848346443025598</v>
      </c>
      <c r="AL7551">
        <v>92.541857829626295</v>
      </c>
      <c r="AM7551">
        <v>104.032749287729</v>
      </c>
      <c r="AN7551">
        <v>1.00000006140641</v>
      </c>
    </row>
    <row r="7552" spans="1:40" x14ac:dyDescent="0.25">
      <c r="A7552" t="str">
        <f>"20190305135110146"</f>
        <v>20190305135110146</v>
      </c>
      <c r="B7552" t="str">
        <f>"1551765070136814"</f>
        <v>1551765070136814</v>
      </c>
      <c r="C7552" t="s">
        <v>40</v>
      </c>
      <c r="D7552">
        <v>3.8467500000000001</v>
      </c>
      <c r="E7552">
        <v>0.41543049999999998</v>
      </c>
      <c r="F7552" t="s">
        <v>43</v>
      </c>
      <c r="G7552">
        <v>-169.33070000000001</v>
      </c>
      <c r="H7552">
        <v>-0.05</v>
      </c>
      <c r="I7552">
        <v>-36.618499999999997</v>
      </c>
      <c r="J7552">
        <v>-217.82939999999999</v>
      </c>
      <c r="K7552">
        <v>1.1122459999999901</v>
      </c>
      <c r="L7552">
        <v>-62.577150000000003</v>
      </c>
      <c r="M7552">
        <v>0.99953380000000003</v>
      </c>
      <c r="N7552">
        <v>-1.875243E-2</v>
      </c>
      <c r="O7552">
        <v>2.4092720000000001E-2</v>
      </c>
      <c r="P7552">
        <v>0.96181490000000003</v>
      </c>
      <c r="Q7552">
        <v>-6.1103169999999998E-2</v>
      </c>
      <c r="R7552">
        <v>0.26679259999999999</v>
      </c>
      <c r="S7552">
        <v>2.7148129999999999</v>
      </c>
      <c r="T7552">
        <v>-6.4852359999999998E-2</v>
      </c>
      <c r="U7552">
        <v>1.4488529999999999</v>
      </c>
      <c r="V7552">
        <v>-0.24334339999999999</v>
      </c>
      <c r="W7552">
        <v>-4.4033360000000001E-2</v>
      </c>
      <c r="X7552">
        <v>0.96894020000000003</v>
      </c>
      <c r="Y7552">
        <v>-0.44923479999999999</v>
      </c>
      <c r="Z7552">
        <v>9.3921400000000002E-3</v>
      </c>
      <c r="AA7552">
        <v>0.89336439999999995</v>
      </c>
      <c r="AB7552">
        <v>31</v>
      </c>
      <c r="AC7552">
        <v>48.4986999999999</v>
      </c>
      <c r="AD7552">
        <v>-1.1622459999999999</v>
      </c>
      <c r="AE7552">
        <v>25.958649999999999</v>
      </c>
      <c r="AF7552">
        <v>-24.7713830327762</v>
      </c>
      <c r="AG7552">
        <v>-1.1622459999999999</v>
      </c>
      <c r="AH7552">
        <v>49.0882284319826</v>
      </c>
      <c r="AI7552">
        <v>91.210924747143096</v>
      </c>
      <c r="AJ7552">
        <v>116.776872461664</v>
      </c>
      <c r="AK7552">
        <v>54.996603565234203</v>
      </c>
      <c r="AL7552">
        <v>92.523741623269203</v>
      </c>
      <c r="AM7552">
        <v>104.097911004962</v>
      </c>
      <c r="AN7552">
        <v>1.0000000291462401</v>
      </c>
    </row>
    <row r="7553" spans="1:40" x14ac:dyDescent="0.25">
      <c r="A7553" t="str">
        <f>"20190305135110159"</f>
        <v>20190305135110159</v>
      </c>
      <c r="B7553" t="str">
        <f>"1551765070147550"</f>
        <v>1551765070147550</v>
      </c>
      <c r="C7553" t="s">
        <v>40</v>
      </c>
      <c r="D7553">
        <v>3.8340580000000002</v>
      </c>
      <c r="E7553">
        <v>0.41557830000000001</v>
      </c>
      <c r="F7553" t="s">
        <v>43</v>
      </c>
      <c r="G7553">
        <v>-169.2962</v>
      </c>
      <c r="H7553">
        <v>-0.05</v>
      </c>
      <c r="I7553">
        <v>-36.56758</v>
      </c>
      <c r="J7553">
        <v>-217.6739</v>
      </c>
      <c r="K7553">
        <v>1.1123449999999999</v>
      </c>
      <c r="L7553">
        <v>-62.572020000000002</v>
      </c>
      <c r="M7553">
        <v>0.99950059999999996</v>
      </c>
      <c r="N7553">
        <v>-1.8715519999999999E-2</v>
      </c>
      <c r="O7553">
        <v>2.5460360000000001E-2</v>
      </c>
      <c r="P7553">
        <v>0.96117280000000005</v>
      </c>
      <c r="Q7553">
        <v>-6.0853730000000002E-2</v>
      </c>
      <c r="R7553">
        <v>0.269154</v>
      </c>
      <c r="S7553">
        <v>2.7118380000000002</v>
      </c>
      <c r="T7553">
        <v>-6.4941529999999997E-2</v>
      </c>
      <c r="U7553">
        <v>1.453308</v>
      </c>
      <c r="V7553">
        <v>-0.2443853</v>
      </c>
      <c r="W7553">
        <v>-4.3891779999999998E-2</v>
      </c>
      <c r="X7553">
        <v>0.96868430000000005</v>
      </c>
      <c r="Y7553">
        <v>-0.44956010000000002</v>
      </c>
      <c r="Z7553">
        <v>9.3935029999999992E-3</v>
      </c>
      <c r="AA7553">
        <v>0.89320069999999996</v>
      </c>
      <c r="AB7553">
        <v>31</v>
      </c>
      <c r="AC7553">
        <v>48.377699999999997</v>
      </c>
      <c r="AD7553">
        <v>-1.162345</v>
      </c>
      <c r="AE7553">
        <v>26.004439999999899</v>
      </c>
      <c r="AF7553">
        <v>-24.752991776434602</v>
      </c>
      <c r="AG7553">
        <v>-1.162345</v>
      </c>
      <c r="AH7553">
        <v>49.002264003805699</v>
      </c>
      <c r="AI7553">
        <v>91.212902927225898</v>
      </c>
      <c r="AJ7553">
        <v>116.800155652047</v>
      </c>
      <c r="AK7553">
        <v>54.911597365965797</v>
      </c>
      <c r="AL7553">
        <v>92.515621990229107</v>
      </c>
      <c r="AM7553">
        <v>104.159440145742</v>
      </c>
      <c r="AN7553">
        <v>0.99999996813707304</v>
      </c>
    </row>
    <row r="7554" spans="1:40" x14ac:dyDescent="0.25">
      <c r="A7554" t="str">
        <f>"20190305135110170"</f>
        <v>20190305135110170</v>
      </c>
      <c r="B7554" t="str">
        <f>"1551765070167070"</f>
        <v>1551765070167070</v>
      </c>
      <c r="C7554" t="s">
        <v>40</v>
      </c>
      <c r="D7554">
        <v>3.8476159999999999</v>
      </c>
      <c r="E7554">
        <v>0.41586459999999997</v>
      </c>
      <c r="F7554" t="s">
        <v>43</v>
      </c>
      <c r="G7554">
        <v>-168.7593</v>
      </c>
      <c r="H7554">
        <v>-0.05</v>
      </c>
      <c r="I7554">
        <v>-36.224530000000001</v>
      </c>
      <c r="J7554">
        <v>-217.51769999999999</v>
      </c>
      <c r="K7554">
        <v>1.112441</v>
      </c>
      <c r="L7554">
        <v>-62.566769999999998</v>
      </c>
      <c r="M7554">
        <v>0.99946480000000004</v>
      </c>
      <c r="N7554">
        <v>-1.8680579999999999E-2</v>
      </c>
      <c r="O7554">
        <v>2.6861329999999999E-2</v>
      </c>
      <c r="P7554">
        <v>0.96054949999999995</v>
      </c>
      <c r="Q7554">
        <v>-6.0491450000000002E-2</v>
      </c>
      <c r="R7554">
        <v>0.27145130000000001</v>
      </c>
      <c r="S7554">
        <v>2.7085720000000002</v>
      </c>
      <c r="T7554">
        <v>-6.4363119999999996E-2</v>
      </c>
      <c r="U7554">
        <v>1.4589540000000001</v>
      </c>
      <c r="V7554">
        <v>-0.24533250000000001</v>
      </c>
      <c r="W7554">
        <v>-4.3633020000000002E-2</v>
      </c>
      <c r="X7554">
        <v>0.9684566</v>
      </c>
      <c r="Y7554">
        <v>-0.45020300000000002</v>
      </c>
      <c r="Z7554">
        <v>9.356339E-3</v>
      </c>
      <c r="AA7554">
        <v>0.89287719999999904</v>
      </c>
      <c r="AB7554">
        <v>31</v>
      </c>
      <c r="AC7554">
        <v>48.758400000000002</v>
      </c>
      <c r="AD7554">
        <v>-1.1624410000000001</v>
      </c>
      <c r="AE7554">
        <v>26.34224</v>
      </c>
      <c r="AF7554">
        <v>-25.011783429898198</v>
      </c>
      <c r="AG7554">
        <v>-1.1624410000000001</v>
      </c>
      <c r="AH7554">
        <v>49.426765145748199</v>
      </c>
      <c r="AI7554">
        <v>91.202153902004795</v>
      </c>
      <c r="AJ7554">
        <v>116.84110872536201</v>
      </c>
      <c r="AK7554">
        <v>55.407090631033498</v>
      </c>
      <c r="AL7554">
        <v>92.500781759131698</v>
      </c>
      <c r="AM7554">
        <v>104.21530650106099</v>
      </c>
      <c r="AN7554">
        <v>1.00000003103706</v>
      </c>
    </row>
    <row r="7555" spans="1:40" x14ac:dyDescent="0.25">
      <c r="A7555" t="str">
        <f>"20190305135110181"</f>
        <v>20190305135110181</v>
      </c>
      <c r="B7555" t="str">
        <f>"1551765070176829"</f>
        <v>1551765070176829</v>
      </c>
      <c r="C7555" t="s">
        <v>40</v>
      </c>
      <c r="D7555">
        <v>3.8804959999999999</v>
      </c>
      <c r="E7555">
        <v>0.41628179999999998</v>
      </c>
      <c r="F7555" t="s">
        <v>43</v>
      </c>
      <c r="G7555">
        <v>-169.29599999999999</v>
      </c>
      <c r="H7555">
        <v>-0.05</v>
      </c>
      <c r="I7555">
        <v>-36.48883</v>
      </c>
      <c r="J7555">
        <v>-217.36660000000001</v>
      </c>
      <c r="K7555">
        <v>1.112527</v>
      </c>
      <c r="L7555">
        <v>-62.561190000000003</v>
      </c>
      <c r="M7555">
        <v>0.9994248</v>
      </c>
      <c r="N7555">
        <v>-1.8660659999999999E-2</v>
      </c>
      <c r="O7555">
        <v>2.8314389999999998E-2</v>
      </c>
      <c r="P7555">
        <v>0.95985739999999997</v>
      </c>
      <c r="Q7555">
        <v>-6.0193200000000002E-2</v>
      </c>
      <c r="R7555">
        <v>0.27395370000000002</v>
      </c>
      <c r="S7555">
        <v>2.705597</v>
      </c>
      <c r="T7555">
        <v>-6.5221550000000003E-2</v>
      </c>
      <c r="U7555">
        <v>1.463165</v>
      </c>
      <c r="V7555">
        <v>-0.24643880000000001</v>
      </c>
      <c r="W7555">
        <v>-4.3416000000000003E-2</v>
      </c>
      <c r="X7555">
        <v>0.96818539999999997</v>
      </c>
      <c r="Y7555">
        <v>-0.45038669999999997</v>
      </c>
      <c r="Z7555">
        <v>9.4110800000000005E-3</v>
      </c>
      <c r="AA7555">
        <v>0.89278400000000002</v>
      </c>
      <c r="AB7555">
        <v>31</v>
      </c>
      <c r="AC7555">
        <v>48.070599999999999</v>
      </c>
      <c r="AD7555">
        <v>-1.1625270000000001</v>
      </c>
      <c r="AE7555">
        <v>26.07236</v>
      </c>
      <c r="AF7555">
        <v>-24.689418766589601</v>
      </c>
      <c r="AG7555">
        <v>-1.1625270000000001</v>
      </c>
      <c r="AH7555">
        <v>48.767633061103801</v>
      </c>
      <c r="AI7555">
        <v>91.218374663434304</v>
      </c>
      <c r="AJ7555">
        <v>116.85156567944399</v>
      </c>
      <c r="AK7555">
        <v>54.673585052017799</v>
      </c>
      <c r="AL7555">
        <v>92.488335712283401</v>
      </c>
      <c r="AM7555">
        <v>104.280629288472</v>
      </c>
      <c r="AN7555">
        <v>0.99999999998730005</v>
      </c>
    </row>
    <row r="7556" spans="1:40" x14ac:dyDescent="0.25">
      <c r="A7556" t="str">
        <f>"20190305135110193"</f>
        <v>20190305135110193</v>
      </c>
      <c r="B7556" t="str">
        <f>"1551765070187569"</f>
        <v>1551765070187569</v>
      </c>
      <c r="C7556" t="s">
        <v>40</v>
      </c>
      <c r="D7556">
        <v>3.8210310000000001</v>
      </c>
      <c r="E7556">
        <v>0.41639769999999998</v>
      </c>
      <c r="F7556" t="s">
        <v>43</v>
      </c>
      <c r="G7556">
        <v>-169.21350000000001</v>
      </c>
      <c r="H7556">
        <v>-0.05</v>
      </c>
      <c r="I7556">
        <v>-36.423369999999998</v>
      </c>
      <c r="J7556">
        <v>-217.20609999999999</v>
      </c>
      <c r="K7556">
        <v>1.112616</v>
      </c>
      <c r="L7556">
        <v>-62.555149999999998</v>
      </c>
      <c r="M7556">
        <v>0.99937969999999998</v>
      </c>
      <c r="N7556">
        <v>-1.8645410000000001E-2</v>
      </c>
      <c r="O7556">
        <v>2.988089E-2</v>
      </c>
      <c r="P7556">
        <v>0.95913859999999995</v>
      </c>
      <c r="Q7556">
        <v>-6.0110480000000001E-2</v>
      </c>
      <c r="R7556">
        <v>0.2764779</v>
      </c>
      <c r="S7556">
        <v>2.7026979999999998</v>
      </c>
      <c r="T7556">
        <v>-6.524932E-2</v>
      </c>
      <c r="U7556">
        <v>1.467041</v>
      </c>
      <c r="V7556">
        <v>-0.24745809999999999</v>
      </c>
      <c r="W7556">
        <v>-4.3410530000000003E-2</v>
      </c>
      <c r="X7556">
        <v>0.96792560000000005</v>
      </c>
      <c r="Y7556">
        <v>-0.45037739999999998</v>
      </c>
      <c r="Z7556">
        <v>9.4052489999999992E-3</v>
      </c>
      <c r="AA7556">
        <v>0.89278880000000005</v>
      </c>
      <c r="AB7556">
        <v>31</v>
      </c>
      <c r="AC7556">
        <v>47.992599999999896</v>
      </c>
      <c r="AD7556">
        <v>-1.1626160000000001</v>
      </c>
      <c r="AE7556">
        <v>26.131779999999999</v>
      </c>
      <c r="AF7556">
        <v>-24.674627609988299</v>
      </c>
      <c r="AG7556">
        <v>-1.1626160000000001</v>
      </c>
      <c r="AH7556">
        <v>48.730081217854099</v>
      </c>
      <c r="AI7556">
        <v>91.219364045783394</v>
      </c>
      <c r="AJ7556">
        <v>116.85551512413301</v>
      </c>
      <c r="AK7556">
        <v>54.633412296448299</v>
      </c>
      <c r="AL7556">
        <v>92.488022067698395</v>
      </c>
      <c r="AM7556">
        <v>104.340954913166</v>
      </c>
      <c r="AN7556">
        <v>0.99999997625292503</v>
      </c>
    </row>
    <row r="7557" spans="1:40" x14ac:dyDescent="0.25">
      <c r="A7557" t="str">
        <f>"20190305135110204"</f>
        <v>20190305135110204</v>
      </c>
      <c r="B7557" t="str">
        <f>"1551765070197325"</f>
        <v>1551765070197325</v>
      </c>
      <c r="C7557" t="s">
        <v>40</v>
      </c>
      <c r="D7557">
        <v>3.8514520000000001</v>
      </c>
      <c r="E7557">
        <v>0.41667759999999998</v>
      </c>
      <c r="F7557" t="s">
        <v>42</v>
      </c>
      <c r="G7557">
        <v>-175.2852</v>
      </c>
      <c r="H7557">
        <v>7.9985760000000003E-2</v>
      </c>
      <c r="I7557">
        <v>-39.670340000000003</v>
      </c>
      <c r="J7557">
        <v>-217.05160000000001</v>
      </c>
      <c r="K7557">
        <v>1.1126969999999901</v>
      </c>
      <c r="L7557">
        <v>-62.548949999999998</v>
      </c>
      <c r="M7557">
        <v>0.99933150000000004</v>
      </c>
      <c r="N7557">
        <v>-1.8646099999999999E-2</v>
      </c>
      <c r="O7557">
        <v>3.1445500000000001E-2</v>
      </c>
      <c r="P7557">
        <v>0.95837309999999998</v>
      </c>
      <c r="Q7557">
        <v>-5.9875699999999997E-2</v>
      </c>
      <c r="R7557">
        <v>0.27916990000000003</v>
      </c>
      <c r="S7557">
        <v>2.6989290000000001</v>
      </c>
      <c r="T7557">
        <v>-6.6482310000000003E-2</v>
      </c>
      <c r="U7557">
        <v>1.4733579999999999</v>
      </c>
      <c r="V7557">
        <v>-0.24865209999999999</v>
      </c>
      <c r="W7557">
        <v>-4.3231470000000001E-2</v>
      </c>
      <c r="X7557">
        <v>0.96762760000000003</v>
      </c>
      <c r="Y7557">
        <v>-0.45110749999999999</v>
      </c>
      <c r="Z7557">
        <v>9.5015350000000002E-3</v>
      </c>
      <c r="AA7557">
        <v>0.89241899999999996</v>
      </c>
      <c r="AB7557">
        <v>31</v>
      </c>
      <c r="AC7557">
        <v>41.766399999999997</v>
      </c>
      <c r="AD7557">
        <v>-1.03271123999999</v>
      </c>
      <c r="AE7557">
        <v>22.878609999999899</v>
      </c>
      <c r="AF7557">
        <v>-21.543566969934801</v>
      </c>
      <c r="AG7557">
        <v>-1.03271123999999</v>
      </c>
      <c r="AH7557">
        <v>42.445331961798601</v>
      </c>
      <c r="AI7557">
        <v>91.242879969496201</v>
      </c>
      <c r="AJ7557">
        <v>116.910542459613</v>
      </c>
      <c r="AK7557">
        <v>47.610901857038698</v>
      </c>
      <c r="AL7557">
        <v>92.477752986873</v>
      </c>
      <c r="AM7557">
        <v>104.41152942970299</v>
      </c>
      <c r="AN7557">
        <v>0.99999999955726504</v>
      </c>
    </row>
    <row r="7558" spans="1:40" x14ac:dyDescent="0.25">
      <c r="A7558" t="str">
        <f>"20190305135110216"</f>
        <v>20190305135110216</v>
      </c>
      <c r="B7558" t="str">
        <f>"1551765070206860"</f>
        <v>1551765070206860</v>
      </c>
      <c r="C7558" t="s">
        <v>40</v>
      </c>
      <c r="D7558">
        <v>3.8340800000000002</v>
      </c>
      <c r="E7558">
        <v>0.41681699999999999</v>
      </c>
      <c r="F7558" t="s">
        <v>42</v>
      </c>
      <c r="G7558">
        <v>-175.8246</v>
      </c>
      <c r="H7558">
        <v>7.998566E-2</v>
      </c>
      <c r="I7558">
        <v>-39.929040000000001</v>
      </c>
      <c r="J7558">
        <v>-216.89949999999999</v>
      </c>
      <c r="K7558">
        <v>1.112773</v>
      </c>
      <c r="L7558">
        <v>-62.5426</v>
      </c>
      <c r="M7558">
        <v>0.99928059999999996</v>
      </c>
      <c r="N7558">
        <v>-1.8658520000000001E-2</v>
      </c>
      <c r="O7558">
        <v>3.3020029999999999E-2</v>
      </c>
      <c r="P7558">
        <v>0.95753779999999999</v>
      </c>
      <c r="Q7558">
        <v>-5.9762080000000002E-2</v>
      </c>
      <c r="R7558">
        <v>0.28204580000000001</v>
      </c>
      <c r="S7558">
        <v>2.6952970000000001</v>
      </c>
      <c r="T7558">
        <v>-6.7515489999999997E-2</v>
      </c>
      <c r="U7558">
        <v>1.4788209999999999</v>
      </c>
      <c r="V7558">
        <v>-0.25002429999999998</v>
      </c>
      <c r="W7558">
        <v>-4.3160610000000002E-2</v>
      </c>
      <c r="X7558">
        <v>0.9672771</v>
      </c>
      <c r="Y7558">
        <v>-0.45159300000000002</v>
      </c>
      <c r="Z7558">
        <v>9.5812069999999996E-3</v>
      </c>
      <c r="AA7558">
        <v>0.89217259999999998</v>
      </c>
      <c r="AB7558">
        <v>31</v>
      </c>
      <c r="AC7558">
        <v>41.0748999999999</v>
      </c>
      <c r="AD7558">
        <v>-1.0327873400000001</v>
      </c>
      <c r="AE7558">
        <v>22.61356</v>
      </c>
      <c r="AF7558">
        <v>-21.234391622022098</v>
      </c>
      <c r="AG7558">
        <v>-1.0327873400000001</v>
      </c>
      <c r="AH7558">
        <v>41.7790542072579</v>
      </c>
      <c r="AI7558">
        <v>91.2624338866828</v>
      </c>
      <c r="AJ7558">
        <v>116.942158242543</v>
      </c>
      <c r="AK7558">
        <v>46.8770243050907</v>
      </c>
      <c r="AL7558">
        <v>92.473689242203605</v>
      </c>
      <c r="AM7558">
        <v>104.492750591732</v>
      </c>
      <c r="AN7558">
        <v>0.99999998851523497</v>
      </c>
    </row>
    <row r="7559" spans="1:40" x14ac:dyDescent="0.25">
      <c r="A7559" t="str">
        <f>"20190305135110227"</f>
        <v>20190305135110227</v>
      </c>
      <c r="B7559" t="str">
        <f>"1551765070217576"</f>
        <v>1551765070217576</v>
      </c>
      <c r="C7559" t="s">
        <v>40</v>
      </c>
      <c r="D7559">
        <v>3.8511709999999999</v>
      </c>
      <c r="E7559">
        <v>0.41701880000000002</v>
      </c>
      <c r="F7559" t="s">
        <v>85</v>
      </c>
      <c r="G7559">
        <v>-176.79750000000001</v>
      </c>
      <c r="H7559">
        <v>7.9987299999999997E-2</v>
      </c>
      <c r="I7559">
        <v>-40.402619999999999</v>
      </c>
      <c r="J7559">
        <v>-216.7467</v>
      </c>
      <c r="K7559">
        <v>1.112849</v>
      </c>
      <c r="L7559">
        <v>-62.535980000000002</v>
      </c>
      <c r="M7559">
        <v>0.99922549999999999</v>
      </c>
      <c r="N7559">
        <v>-1.8681570000000002E-2</v>
      </c>
      <c r="O7559">
        <v>3.4632919999999998E-2</v>
      </c>
      <c r="P7559">
        <v>0.95672650000000004</v>
      </c>
      <c r="Q7559">
        <v>-5.9678130000000003E-2</v>
      </c>
      <c r="R7559">
        <v>0.28480359999999899</v>
      </c>
      <c r="S7559">
        <v>2.691071</v>
      </c>
      <c r="T7559">
        <v>-6.9305779999999997E-2</v>
      </c>
      <c r="U7559">
        <v>1.4857180000000001</v>
      </c>
      <c r="V7559">
        <v>-0.25124229999999997</v>
      </c>
      <c r="W7559">
        <v>-4.3105110000000002E-2</v>
      </c>
      <c r="X7559">
        <v>0.96696389999999999</v>
      </c>
      <c r="Y7559">
        <v>-0.45248870000000002</v>
      </c>
      <c r="Z7559">
        <v>9.72284E-3</v>
      </c>
      <c r="AA7559">
        <v>0.89171710000000004</v>
      </c>
      <c r="AB7559">
        <v>30</v>
      </c>
      <c r="AC7559">
        <v>39.949199999999898</v>
      </c>
      <c r="AD7559">
        <v>-1.0328617</v>
      </c>
      <c r="AE7559">
        <v>22.13336</v>
      </c>
      <c r="AF7559">
        <v>-20.725678424298199</v>
      </c>
      <c r="AG7559">
        <v>-1.0328617</v>
      </c>
      <c r="AH7559">
        <v>40.671101393331703</v>
      </c>
      <c r="AI7559">
        <v>91.296205677485901</v>
      </c>
      <c r="AJ7559">
        <v>117.003038849579</v>
      </c>
      <c r="AK7559">
        <v>45.659161599676999</v>
      </c>
      <c r="AL7559">
        <v>92.470506425190706</v>
      </c>
      <c r="AM7559">
        <v>104.564874142292</v>
      </c>
      <c r="AN7559">
        <v>0.99999996386030499</v>
      </c>
    </row>
    <row r="7560" spans="1:40" x14ac:dyDescent="0.25">
      <c r="A7560" t="str">
        <f>"20190305135110240"</f>
        <v>20190305135110240</v>
      </c>
      <c r="B7560" t="str">
        <f>"1551765070227337"</f>
        <v>1551765070227337</v>
      </c>
      <c r="C7560" t="s">
        <v>40</v>
      </c>
      <c r="D7560">
        <v>3.8450259999999998</v>
      </c>
      <c r="E7560">
        <v>0.4171742</v>
      </c>
      <c r="F7560" t="s">
        <v>85</v>
      </c>
      <c r="G7560">
        <v>-177.94589999999999</v>
      </c>
      <c r="H7560">
        <v>7.9987230000000006E-2</v>
      </c>
      <c r="I7560">
        <v>-40.99286</v>
      </c>
      <c r="J7560">
        <v>-216.5829</v>
      </c>
      <c r="K7560">
        <v>1.1129260000000001</v>
      </c>
      <c r="L7560">
        <v>-62.528469999999999</v>
      </c>
      <c r="M7560">
        <v>0.99916150000000004</v>
      </c>
      <c r="N7560">
        <v>-1.8727710000000002E-2</v>
      </c>
      <c r="O7560">
        <v>3.6409400000000001E-2</v>
      </c>
      <c r="P7560">
        <v>0.95574119999999996</v>
      </c>
      <c r="Q7560">
        <v>-5.920222E-2</v>
      </c>
      <c r="R7560">
        <v>0.28819080000000002</v>
      </c>
      <c r="S7560">
        <v>2.687103</v>
      </c>
      <c r="T7560">
        <v>-7.1529629999999997E-2</v>
      </c>
      <c r="U7560">
        <v>1.491943</v>
      </c>
      <c r="V7560">
        <v>-0.252942</v>
      </c>
      <c r="W7560">
        <v>-4.2639870000000003E-2</v>
      </c>
      <c r="X7560">
        <v>0.96654130000000005</v>
      </c>
      <c r="Y7560">
        <v>-0.45302959999999898</v>
      </c>
      <c r="Z7560">
        <v>9.8888450000000003E-3</v>
      </c>
      <c r="AA7560">
        <v>0.89144059999999903</v>
      </c>
      <c r="AB7560">
        <v>30</v>
      </c>
      <c r="AC7560">
        <v>38.637</v>
      </c>
      <c r="AD7560">
        <v>-1.0329387699999999</v>
      </c>
      <c r="AE7560">
        <v>21.535609999999998</v>
      </c>
      <c r="AF7560">
        <v>-20.103366625054601</v>
      </c>
      <c r="AG7560">
        <v>-1.0329387699999999</v>
      </c>
      <c r="AH7560">
        <v>39.374137915993998</v>
      </c>
      <c r="AI7560">
        <v>91.338455415747404</v>
      </c>
      <c r="AJ7560">
        <v>117.047623539871</v>
      </c>
      <c r="AK7560">
        <v>44.2214320074741</v>
      </c>
      <c r="AL7560">
        <v>92.443825639644999</v>
      </c>
      <c r="AM7560">
        <v>104.66531058904199</v>
      </c>
      <c r="AN7560">
        <v>0.99999994924165203</v>
      </c>
    </row>
    <row r="7561" spans="1:40" x14ac:dyDescent="0.25">
      <c r="A7561" t="str">
        <f>"20190305135110248"</f>
        <v>20190305135110248</v>
      </c>
      <c r="B7561" t="str">
        <f>"1551765070237099"</f>
        <v>1551765070237099</v>
      </c>
      <c r="C7561" t="s">
        <v>40</v>
      </c>
      <c r="D7561">
        <v>3.8630080000000002</v>
      </c>
      <c r="E7561">
        <v>0.41731299999999999</v>
      </c>
      <c r="F7561" t="s">
        <v>85</v>
      </c>
      <c r="G7561">
        <v>-177.9939</v>
      </c>
      <c r="H7561">
        <v>7.9987219999999998E-2</v>
      </c>
      <c r="I7561">
        <v>-40.943530000000003</v>
      </c>
      <c r="J7561">
        <v>-216.4462</v>
      </c>
      <c r="K7561">
        <v>1.1129910000000001</v>
      </c>
      <c r="L7561">
        <v>-62.522089999999999</v>
      </c>
      <c r="M7561">
        <v>0.99910520000000003</v>
      </c>
      <c r="N7561">
        <v>-1.8771240000000002E-2</v>
      </c>
      <c r="O7561">
        <v>3.790321E-2</v>
      </c>
      <c r="P7561">
        <v>0.95481870000000002</v>
      </c>
      <c r="Q7561">
        <v>-5.884226E-2</v>
      </c>
      <c r="R7561">
        <v>0.291305599999999</v>
      </c>
      <c r="S7561">
        <v>2.6820979999999999</v>
      </c>
      <c r="T7561">
        <v>-7.1793560000000006E-2</v>
      </c>
      <c r="U7561">
        <v>1.5002439999999999</v>
      </c>
      <c r="V7561">
        <v>-0.2546428</v>
      </c>
      <c r="W7561">
        <v>-4.2286740000000003E-2</v>
      </c>
      <c r="X7561">
        <v>0.96611020000000003</v>
      </c>
      <c r="Y7561">
        <v>-0.4545033</v>
      </c>
      <c r="Z7561">
        <v>9.9482149999999998E-3</v>
      </c>
      <c r="AA7561">
        <v>0.89068950000000002</v>
      </c>
      <c r="AB7561">
        <v>30</v>
      </c>
      <c r="AC7561">
        <v>38.452300000000001</v>
      </c>
      <c r="AD7561">
        <v>-1.03300378</v>
      </c>
      <c r="AE7561">
        <v>21.57856</v>
      </c>
      <c r="AF7561">
        <v>-20.094297307717699</v>
      </c>
      <c r="AG7561">
        <v>-1.03300378</v>
      </c>
      <c r="AH7561">
        <v>39.221172914918299</v>
      </c>
      <c r="AI7561">
        <v>91.342799987827206</v>
      </c>
      <c r="AJ7561">
        <v>117.127556635256</v>
      </c>
      <c r="AK7561">
        <v>44.081155678162197</v>
      </c>
      <c r="AL7561">
        <v>92.423574339283107</v>
      </c>
      <c r="AM7561">
        <v>104.76592795010301</v>
      </c>
      <c r="AN7561">
        <v>1.0000000212578499</v>
      </c>
    </row>
    <row r="7562" spans="1:40" x14ac:dyDescent="0.25">
      <c r="A7562" t="str">
        <f>"20190305135110259"</f>
        <v>20190305135110259</v>
      </c>
      <c r="B7562" t="str">
        <f>"1551765070246858"</f>
        <v>1551765070246858</v>
      </c>
      <c r="C7562" t="s">
        <v>40</v>
      </c>
      <c r="D7562">
        <v>3.7714159999999999</v>
      </c>
      <c r="E7562">
        <v>0.41783680000000001</v>
      </c>
      <c r="F7562" t="s">
        <v>85</v>
      </c>
      <c r="G7562">
        <v>-177.5941</v>
      </c>
      <c r="H7562">
        <v>7.9987269999999999E-2</v>
      </c>
      <c r="I7562">
        <v>-40.641649999999998</v>
      </c>
      <c r="J7562">
        <v>-216.31010000000001</v>
      </c>
      <c r="K7562">
        <v>1.113062</v>
      </c>
      <c r="L7562">
        <v>-62.515320000000003</v>
      </c>
      <c r="M7562">
        <v>0.9990445</v>
      </c>
      <c r="N7562">
        <v>-1.8843100000000002E-2</v>
      </c>
      <c r="O7562">
        <v>3.9437369999999999E-2</v>
      </c>
      <c r="P7562">
        <v>0.95387940000000004</v>
      </c>
      <c r="Q7562">
        <v>-5.8555070000000001E-2</v>
      </c>
      <c r="R7562">
        <v>0.29442459999999998</v>
      </c>
      <c r="S7562">
        <v>2.677521</v>
      </c>
      <c r="T7562">
        <v>-7.1190119999999996E-2</v>
      </c>
      <c r="U7562">
        <v>1.5079039999999999</v>
      </c>
      <c r="V7562">
        <v>-0.25631169999999998</v>
      </c>
      <c r="W7562">
        <v>-4.1977189999999998E-2</v>
      </c>
      <c r="X7562">
        <v>0.96568229999999999</v>
      </c>
      <c r="Y7562">
        <v>-0.45572210000000002</v>
      </c>
      <c r="Z7562">
        <v>9.9520310000000001E-3</v>
      </c>
      <c r="AA7562">
        <v>0.89006640000000004</v>
      </c>
      <c r="AB7562">
        <v>30</v>
      </c>
      <c r="AC7562">
        <v>38.716000000000001</v>
      </c>
      <c r="AD7562">
        <v>-1.0330747300000001</v>
      </c>
      <c r="AE7562">
        <v>21.873670000000001</v>
      </c>
      <c r="AF7562">
        <v>-20.3185526561678</v>
      </c>
      <c r="AG7562">
        <v>-1.0330747300000001</v>
      </c>
      <c r="AH7562">
        <v>39.527329194380002</v>
      </c>
      <c r="AI7562">
        <v>91.331572353944594</v>
      </c>
      <c r="AJ7562">
        <v>117.204890061784</v>
      </c>
      <c r="AK7562">
        <v>44.4558272747242</v>
      </c>
      <c r="AL7562">
        <v>92.405822627536807</v>
      </c>
      <c r="AM7562">
        <v>104.864726768765</v>
      </c>
      <c r="AN7562">
        <v>1.0000000382852301</v>
      </c>
    </row>
    <row r="7563" spans="1:40" x14ac:dyDescent="0.25">
      <c r="A7563" t="str">
        <f>"20190305135110271"</f>
        <v>20190305135110271</v>
      </c>
      <c r="B7563" t="str">
        <f>"1551765070267355"</f>
        <v>1551765070267355</v>
      </c>
      <c r="C7563" t="s">
        <v>40</v>
      </c>
      <c r="D7563">
        <v>3.8725209999999999</v>
      </c>
      <c r="E7563">
        <v>0.41787249999999998</v>
      </c>
      <c r="F7563" t="s">
        <v>85</v>
      </c>
      <c r="G7563">
        <v>-179.95779999999999</v>
      </c>
      <c r="H7563">
        <v>3.5076879999999998E-2</v>
      </c>
      <c r="I7563">
        <v>-41.950040000000001</v>
      </c>
      <c r="J7563">
        <v>-216.1626</v>
      </c>
      <c r="K7563">
        <v>1.113135</v>
      </c>
      <c r="L7563">
        <v>-62.507869999999997</v>
      </c>
      <c r="M7563">
        <v>0.99897559999999996</v>
      </c>
      <c r="N7563">
        <v>-1.8924440000000001E-2</v>
      </c>
      <c r="O7563">
        <v>4.1105509999999998E-2</v>
      </c>
      <c r="P7563">
        <v>0.95289460000000004</v>
      </c>
      <c r="Q7563">
        <v>-5.8706950000000001E-2</v>
      </c>
      <c r="R7563">
        <v>0.29756559999999999</v>
      </c>
      <c r="S7563">
        <v>2.6733859999999998</v>
      </c>
      <c r="T7563">
        <v>-7.9276079999999999E-2</v>
      </c>
      <c r="U7563">
        <v>1.5123899999999999</v>
      </c>
      <c r="V7563">
        <v>-0.25787369999999998</v>
      </c>
      <c r="W7563">
        <v>-4.2099669999999999E-2</v>
      </c>
      <c r="X7563">
        <v>0.96526100000000004</v>
      </c>
      <c r="Y7563">
        <v>-0.45591520000000002</v>
      </c>
      <c r="Z7563">
        <v>1.050039E-2</v>
      </c>
      <c r="AA7563">
        <v>0.88996119999999901</v>
      </c>
      <c r="AB7563">
        <v>30</v>
      </c>
      <c r="AC7563">
        <v>36.204799999999999</v>
      </c>
      <c r="AD7563">
        <v>-1.0780581199999999</v>
      </c>
      <c r="AE7563">
        <v>20.557829999999999</v>
      </c>
      <c r="AF7563">
        <v>-19.0391999256031</v>
      </c>
      <c r="AG7563">
        <v>-1.0780581199999999</v>
      </c>
      <c r="AH7563">
        <v>36.994576636722201</v>
      </c>
      <c r="AI7563">
        <v>91.484252678474803</v>
      </c>
      <c r="AJ7563">
        <v>117.23254323096801</v>
      </c>
      <c r="AK7563">
        <v>41.620332094392197</v>
      </c>
      <c r="AL7563">
        <v>92.412846485086305</v>
      </c>
      <c r="AM7563">
        <v>104.957502505623</v>
      </c>
      <c r="AN7563">
        <v>1.0000000127433899</v>
      </c>
    </row>
    <row r="7564" spans="1:40" x14ac:dyDescent="0.25">
      <c r="A7564" t="str">
        <f>"20190305135110281"</f>
        <v>20190305135110281</v>
      </c>
      <c r="B7564" t="str">
        <f>"1551765070277113"</f>
        <v>1551765070277113</v>
      </c>
      <c r="C7564" t="s">
        <v>40</v>
      </c>
      <c r="D7564">
        <v>3.87452</v>
      </c>
      <c r="E7564">
        <v>0.4179291</v>
      </c>
      <c r="F7564" t="s">
        <v>85</v>
      </c>
      <c r="G7564">
        <v>-179.95779999999999</v>
      </c>
      <c r="H7564">
        <v>1.9541510000000002E-2</v>
      </c>
      <c r="I7564">
        <v>-41.871679999999998</v>
      </c>
      <c r="J7564">
        <v>-216.01150000000001</v>
      </c>
      <c r="K7564">
        <v>1.1132150000000001</v>
      </c>
      <c r="L7564">
        <v>-62.499789999999997</v>
      </c>
      <c r="M7564">
        <v>0.99889939999999999</v>
      </c>
      <c r="N7564">
        <v>-1.903765E-2</v>
      </c>
      <c r="O7564">
        <v>4.2867189999999999E-2</v>
      </c>
      <c r="P7564">
        <v>0.95182679999999997</v>
      </c>
      <c r="Q7564">
        <v>-5.8558230000000003E-2</v>
      </c>
      <c r="R7564">
        <v>0.3009928</v>
      </c>
      <c r="S7564">
        <v>2.6683810000000001</v>
      </c>
      <c r="T7564">
        <v>-8.0600379999999999E-2</v>
      </c>
      <c r="U7564">
        <v>1.5209349999999999</v>
      </c>
      <c r="V7564">
        <v>-0.2596388</v>
      </c>
      <c r="W7564">
        <v>-4.1894019999999997E-2</v>
      </c>
      <c r="X7564">
        <v>0.96479669999999895</v>
      </c>
      <c r="Y7564">
        <v>-0.45720549999999999</v>
      </c>
      <c r="Z7564">
        <v>1.064002E-2</v>
      </c>
      <c r="AA7564">
        <v>0.88929740000000002</v>
      </c>
      <c r="AB7564">
        <v>30</v>
      </c>
      <c r="AC7564">
        <v>36.053699999999999</v>
      </c>
      <c r="AD7564">
        <v>-1.09367349</v>
      </c>
      <c r="AE7564">
        <v>20.62811</v>
      </c>
      <c r="AF7564">
        <v>-19.050133949916301</v>
      </c>
      <c r="AG7564">
        <v>-1.09367349</v>
      </c>
      <c r="AH7564">
        <v>36.879409489252502</v>
      </c>
      <c r="AI7564">
        <v>91.509271626525404</v>
      </c>
      <c r="AJ7564">
        <v>117.31870691569701</v>
      </c>
      <c r="AK7564">
        <v>41.5234219385692</v>
      </c>
      <c r="AL7564">
        <v>92.401053128715304</v>
      </c>
      <c r="AM7564">
        <v>105.062166754839</v>
      </c>
      <c r="AN7564">
        <v>1.00000004385404</v>
      </c>
    </row>
    <row r="7565" spans="1:40" x14ac:dyDescent="0.25">
      <c r="A7565" t="str">
        <f>"20190305135110293"</f>
        <v>20190305135110293</v>
      </c>
      <c r="B7565" t="str">
        <f>"1551765070286874"</f>
        <v>1551765070286874</v>
      </c>
      <c r="C7565" t="s">
        <v>40</v>
      </c>
      <c r="D7565">
        <v>3.8640379999999999</v>
      </c>
      <c r="E7565">
        <v>0.41792010000000002</v>
      </c>
      <c r="F7565" t="s">
        <v>85</v>
      </c>
      <c r="G7565">
        <v>-179.95779999999999</v>
      </c>
      <c r="H7565">
        <v>2.104236E-2</v>
      </c>
      <c r="I7565">
        <v>-41.784849999999999</v>
      </c>
      <c r="J7565">
        <v>-215.85919999999999</v>
      </c>
      <c r="K7565">
        <v>1.1132979999999999</v>
      </c>
      <c r="L7565">
        <v>-62.491419999999998</v>
      </c>
      <c r="M7565">
        <v>0.99881850000000005</v>
      </c>
      <c r="N7565">
        <v>-1.9159829999999999E-2</v>
      </c>
      <c r="O7565">
        <v>4.4660459999999999E-2</v>
      </c>
      <c r="P7565">
        <v>0.95079250000000004</v>
      </c>
      <c r="Q7565">
        <v>-5.8680549999999998E-2</v>
      </c>
      <c r="R7565">
        <v>0.30422110000000002</v>
      </c>
      <c r="S7565">
        <v>2.6630250000000002</v>
      </c>
      <c r="T7565">
        <v>-8.0670829999999999E-2</v>
      </c>
      <c r="U7565">
        <v>1.53006</v>
      </c>
      <c r="V7565">
        <v>-0.26117400000000002</v>
      </c>
      <c r="W7565">
        <v>-4.1949130000000001E-2</v>
      </c>
      <c r="X7565">
        <v>0.96437980000000001</v>
      </c>
      <c r="Y7565">
        <v>-0.4586693</v>
      </c>
      <c r="Z7565">
        <v>1.0705549999999999E-2</v>
      </c>
      <c r="AA7565">
        <v>0.88854259999999996</v>
      </c>
      <c r="AB7565">
        <v>30</v>
      </c>
      <c r="AC7565">
        <v>35.901399999999903</v>
      </c>
      <c r="AD7565">
        <v>-1.0922556400000001</v>
      </c>
      <c r="AE7565">
        <v>20.706569999999999</v>
      </c>
      <c r="AF7565">
        <v>-19.0689900020468</v>
      </c>
      <c r="AG7565">
        <v>-1.0922556400000001</v>
      </c>
      <c r="AH7565">
        <v>36.7649646025721</v>
      </c>
      <c r="AI7565">
        <v>91.5106978806336</v>
      </c>
      <c r="AJ7565">
        <v>117.414545144492</v>
      </c>
      <c r="AK7565">
        <v>41.430448034140902</v>
      </c>
      <c r="AL7565">
        <v>92.404213599051005</v>
      </c>
      <c r="AM7565">
        <v>105.15339298506299</v>
      </c>
      <c r="AN7565">
        <v>0.99999999321589805</v>
      </c>
    </row>
    <row r="7566" spans="1:40" x14ac:dyDescent="0.25">
      <c r="A7566" t="str">
        <f>"20190305135110305"</f>
        <v>20190305135110305</v>
      </c>
      <c r="B7566" t="str">
        <f>"1551765070297609"</f>
        <v>1551765070297609</v>
      </c>
      <c r="C7566" t="s">
        <v>40</v>
      </c>
      <c r="D7566">
        <v>3.8165079999999998</v>
      </c>
      <c r="E7566">
        <v>0.41772029999999899</v>
      </c>
      <c r="F7566" t="s">
        <v>85</v>
      </c>
      <c r="G7566">
        <v>-179.95779999999999</v>
      </c>
      <c r="H7566">
        <v>1.828654E-2</v>
      </c>
      <c r="I7566">
        <v>-41.698810000000002</v>
      </c>
      <c r="J7566">
        <v>-215.69970000000001</v>
      </c>
      <c r="K7566">
        <v>1.113381</v>
      </c>
      <c r="L7566">
        <v>-62.482300000000002</v>
      </c>
      <c r="M7566">
        <v>0.99872810000000001</v>
      </c>
      <c r="N7566">
        <v>-1.9305490000000002E-2</v>
      </c>
      <c r="O7566">
        <v>4.6578000000000001E-2</v>
      </c>
      <c r="P7566">
        <v>0.94969579999999998</v>
      </c>
      <c r="Q7566">
        <v>-5.8879010000000002E-2</v>
      </c>
      <c r="R7566">
        <v>0.30758970000000002</v>
      </c>
      <c r="S7566">
        <v>2.6577299999999999</v>
      </c>
      <c r="T7566">
        <v>-8.1062079999999995E-2</v>
      </c>
      <c r="U7566">
        <v>1.5392459999999999</v>
      </c>
      <c r="V7566">
        <v>-0.2627332</v>
      </c>
      <c r="W7566">
        <v>-4.2060050000000002E-2</v>
      </c>
      <c r="X7566">
        <v>0.96395129999999996</v>
      </c>
      <c r="Y7566">
        <v>-0.46002579999999998</v>
      </c>
      <c r="Z7566">
        <v>1.0795020000000001E-2</v>
      </c>
      <c r="AA7566">
        <v>0.88783989999999902</v>
      </c>
      <c r="AB7566">
        <v>30</v>
      </c>
      <c r="AC7566">
        <v>35.741900000000001</v>
      </c>
      <c r="AD7566">
        <v>-1.0950944600000001</v>
      </c>
      <c r="AE7566">
        <v>20.78349</v>
      </c>
      <c r="AF7566">
        <v>-19.0824408110646</v>
      </c>
      <c r="AG7566">
        <v>-1.0950944600000001</v>
      </c>
      <c r="AH7566">
        <v>36.645618874357901</v>
      </c>
      <c r="AI7566">
        <v>91.5182754781912</v>
      </c>
      <c r="AJ7566">
        <v>117.50730547769599</v>
      </c>
      <c r="AK7566">
        <v>41.330862099269098</v>
      </c>
      <c r="AL7566">
        <v>92.410574576083903</v>
      </c>
      <c r="AM7566">
        <v>105.24612221572499</v>
      </c>
      <c r="AN7566">
        <v>0.99999994547996396</v>
      </c>
    </row>
    <row r="7567" spans="1:40" x14ac:dyDescent="0.25">
      <c r="A7567" t="str">
        <f>"20190305135110314"</f>
        <v>20190305135110314</v>
      </c>
      <c r="B7567" t="str">
        <f>"1551765070307137"</f>
        <v>1551765070307137</v>
      </c>
      <c r="C7567" t="s">
        <v>40</v>
      </c>
      <c r="D7567">
        <v>3.8531</v>
      </c>
      <c r="E7567">
        <v>0.41759469999999999</v>
      </c>
      <c r="F7567" t="s">
        <v>85</v>
      </c>
      <c r="G7567">
        <v>-179.95779999999999</v>
      </c>
      <c r="H7567">
        <v>1.7236270000000001E-2</v>
      </c>
      <c r="I7567">
        <v>-41.588909999999998</v>
      </c>
      <c r="J7567">
        <v>-215.5778</v>
      </c>
      <c r="K7567">
        <v>1.1134470000000001</v>
      </c>
      <c r="L7567">
        <v>-62.475070000000002</v>
      </c>
      <c r="M7567">
        <v>0.99865499999999996</v>
      </c>
      <c r="N7567">
        <v>-1.9421000000000001E-2</v>
      </c>
      <c r="O7567">
        <v>4.8072999999999998E-2</v>
      </c>
      <c r="P7567">
        <v>0.94888439999999996</v>
      </c>
      <c r="Q7567">
        <v>-5.895947E-2</v>
      </c>
      <c r="R7567">
        <v>0.31006840000000002</v>
      </c>
      <c r="S7567">
        <v>2.6517940000000002</v>
      </c>
      <c r="T7567">
        <v>-8.1326129999999996E-2</v>
      </c>
      <c r="U7567">
        <v>1.5501400000000001</v>
      </c>
      <c r="V7567">
        <v>-0.26380209999999998</v>
      </c>
      <c r="W7567">
        <v>-4.2069429999999998E-2</v>
      </c>
      <c r="X7567">
        <v>0.96365900000000004</v>
      </c>
      <c r="Y7567">
        <v>-0.46227600000000002</v>
      </c>
      <c r="Z7567">
        <v>1.0895159999999999E-2</v>
      </c>
      <c r="AA7567">
        <v>0.88666919999999905</v>
      </c>
      <c r="AB7567">
        <v>30</v>
      </c>
      <c r="AC7567">
        <v>35.619999999999997</v>
      </c>
      <c r="AD7567">
        <v>-1.0962107299999999</v>
      </c>
      <c r="AE7567">
        <v>20.88616</v>
      </c>
      <c r="AF7567">
        <v>-19.1358328029972</v>
      </c>
      <c r="AG7567">
        <v>-1.0962107299999999</v>
      </c>
      <c r="AH7567">
        <v>36.5572860721065</v>
      </c>
      <c r="AI7567">
        <v>91.521795441083995</v>
      </c>
      <c r="AJ7567">
        <v>117.62971215256</v>
      </c>
      <c r="AK7567">
        <v>41.2773174998893</v>
      </c>
      <c r="AL7567">
        <v>92.411112290948495</v>
      </c>
      <c r="AM7567">
        <v>105.30967052630299</v>
      </c>
      <c r="AN7567">
        <v>1.0000000265929601</v>
      </c>
    </row>
    <row r="7568" spans="1:40" x14ac:dyDescent="0.25">
      <c r="A7568" t="str">
        <f>"20190305135110325"</f>
        <v>20190305135110325</v>
      </c>
      <c r="B7568" t="str">
        <f>"1551765070316881"</f>
        <v>1551765070316881</v>
      </c>
      <c r="C7568" t="s">
        <v>40</v>
      </c>
      <c r="D7568">
        <v>3.8417509999999999</v>
      </c>
      <c r="E7568">
        <v>0.4174291</v>
      </c>
      <c r="F7568" t="s">
        <v>85</v>
      </c>
      <c r="G7568">
        <v>-179.95779999999999</v>
      </c>
      <c r="H7568">
        <v>1.936599E-2</v>
      </c>
      <c r="I7568">
        <v>-41.513599999999997</v>
      </c>
      <c r="J7568">
        <v>-215.42920000000001</v>
      </c>
      <c r="K7568">
        <v>1.1135280000000001</v>
      </c>
      <c r="L7568">
        <v>-62.466030000000003</v>
      </c>
      <c r="M7568">
        <v>0.99856140000000004</v>
      </c>
      <c r="N7568">
        <v>-1.9565909999999999E-2</v>
      </c>
      <c r="O7568">
        <v>4.9924370000000003E-2</v>
      </c>
      <c r="P7568">
        <v>0.94781729999999997</v>
      </c>
      <c r="Q7568">
        <v>-5.9401509999999998E-2</v>
      </c>
      <c r="R7568">
        <v>0.3132315</v>
      </c>
      <c r="S7568">
        <v>2.647446</v>
      </c>
      <c r="T7568">
        <v>-8.1317189999999998E-2</v>
      </c>
      <c r="U7568">
        <v>1.5579529999999999</v>
      </c>
      <c r="V7568">
        <v>-0.2652214</v>
      </c>
      <c r="W7568">
        <v>-4.2424110000000001E-2</v>
      </c>
      <c r="X7568">
        <v>0.96325380000000005</v>
      </c>
      <c r="Y7568">
        <v>-0.46321040000000002</v>
      </c>
      <c r="Z7568">
        <v>1.0948609999999999E-2</v>
      </c>
      <c r="AA7568">
        <v>0.88618069999999904</v>
      </c>
      <c r="AB7568">
        <v>30</v>
      </c>
      <c r="AC7568">
        <v>35.471400000000003</v>
      </c>
      <c r="AD7568">
        <v>-1.09416201</v>
      </c>
      <c r="AE7568">
        <v>20.95243</v>
      </c>
      <c r="AF7568">
        <v>-19.141563989231202</v>
      </c>
      <c r="AG7568">
        <v>-1.09416201</v>
      </c>
      <c r="AH7568">
        <v>36.447677826573397</v>
      </c>
      <c r="AI7568">
        <v>91.522434513209802</v>
      </c>
      <c r="AJ7568">
        <v>117.70752323707799</v>
      </c>
      <c r="AK7568">
        <v>41.18288335471</v>
      </c>
      <c r="AL7568">
        <v>92.431452085035701</v>
      </c>
      <c r="AM7568">
        <v>105.394310767965</v>
      </c>
      <c r="AN7568">
        <v>1.0000000396708399</v>
      </c>
    </row>
    <row r="7569" spans="1:40" x14ac:dyDescent="0.25">
      <c r="A7569" t="str">
        <f>"20190305135110337"</f>
        <v>20190305135110337</v>
      </c>
      <c r="B7569" t="str">
        <f>"1551765070327617"</f>
        <v>1551765070327617</v>
      </c>
      <c r="C7569" t="s">
        <v>40</v>
      </c>
      <c r="D7569">
        <v>3.8405339999999999</v>
      </c>
      <c r="E7569">
        <v>0.41728300000000002</v>
      </c>
      <c r="F7569" t="s">
        <v>85</v>
      </c>
      <c r="G7569">
        <v>-180.05080000000001</v>
      </c>
      <c r="H7569" s="1">
        <v>-6.1114909999999901E-6</v>
      </c>
      <c r="I7569">
        <v>-41.46555</v>
      </c>
      <c r="J7569">
        <v>-215.28450000000001</v>
      </c>
      <c r="K7569">
        <v>1.1136140000000001</v>
      </c>
      <c r="L7569">
        <v>-62.456819999999901</v>
      </c>
      <c r="M7569">
        <v>0.99846389999999996</v>
      </c>
      <c r="N7569">
        <v>-1.970622E-2</v>
      </c>
      <c r="O7569">
        <v>5.178232E-2</v>
      </c>
      <c r="P7569">
        <v>0.94680960000000003</v>
      </c>
      <c r="Q7569">
        <v>-5.93138E-2</v>
      </c>
      <c r="R7569">
        <v>0.31628050000000002</v>
      </c>
      <c r="S7569">
        <v>2.641724</v>
      </c>
      <c r="T7569">
        <v>-8.3148120000000006E-2</v>
      </c>
      <c r="U7569">
        <v>1.5681149999999999</v>
      </c>
      <c r="V7569">
        <v>-0.26652290000000001</v>
      </c>
      <c r="W7569">
        <v>-4.2254470000000002E-2</v>
      </c>
      <c r="X7569">
        <v>0.96290189999999998</v>
      </c>
      <c r="Y7569">
        <v>-0.46491159999999998</v>
      </c>
      <c r="Z7569">
        <v>1.113893E-2</v>
      </c>
      <c r="AA7569">
        <v>0.88528700000000005</v>
      </c>
      <c r="AB7569">
        <v>30</v>
      </c>
      <c r="AC7569">
        <v>35.233699999999999</v>
      </c>
      <c r="AD7569">
        <v>-1.1136201114909901</v>
      </c>
      <c r="AE7569">
        <v>20.99127</v>
      </c>
      <c r="AF7569">
        <v>-19.124159921053302</v>
      </c>
      <c r="AG7569">
        <v>-1.1136201114909901</v>
      </c>
      <c r="AH7569">
        <v>36.246875452273002</v>
      </c>
      <c r="AI7569">
        <v>91.556516953462705</v>
      </c>
      <c r="AJ7569">
        <v>117.81651040277799</v>
      </c>
      <c r="AK7569">
        <v>40.997678257327401</v>
      </c>
      <c r="AL7569">
        <v>92.421723843790105</v>
      </c>
      <c r="AM7569">
        <v>105.47162716081</v>
      </c>
      <c r="AN7569">
        <v>0.99999998274150004</v>
      </c>
    </row>
    <row r="7570" spans="1:40" x14ac:dyDescent="0.25">
      <c r="A7570" t="str">
        <f>"20190305135110348"</f>
        <v>20190305135110348</v>
      </c>
      <c r="B7570" t="str">
        <f>"1551765070337377"</f>
        <v>1551765070337377</v>
      </c>
      <c r="C7570" t="s">
        <v>40</v>
      </c>
      <c r="D7570">
        <v>3.8478850000000002</v>
      </c>
      <c r="E7570">
        <v>0.41715340000000001</v>
      </c>
      <c r="F7570" t="s">
        <v>85</v>
      </c>
      <c r="G7570">
        <v>-180.01220000000001</v>
      </c>
      <c r="H7570" s="1">
        <v>-6.1600159999999999E-6</v>
      </c>
      <c r="I7570">
        <v>-41.346609999999998</v>
      </c>
      <c r="J7570">
        <v>-215.14</v>
      </c>
      <c r="K7570">
        <v>1.113696</v>
      </c>
      <c r="L7570">
        <v>-62.447420000000001</v>
      </c>
      <c r="M7570">
        <v>0.99836190000000002</v>
      </c>
      <c r="N7570">
        <v>-1.9845729999999999E-2</v>
      </c>
      <c r="O7570">
        <v>5.3662670000000003E-2</v>
      </c>
      <c r="P7570">
        <v>0.94581340000000003</v>
      </c>
      <c r="Q7570">
        <v>-5.9218699999999999E-2</v>
      </c>
      <c r="R7570">
        <v>0.31926500000000002</v>
      </c>
      <c r="S7570">
        <v>2.6362760000000001</v>
      </c>
      <c r="T7570">
        <v>-8.3232639999999997E-2</v>
      </c>
      <c r="U7570">
        <v>1.5777890000000001</v>
      </c>
      <c r="V7570">
        <v>-0.26774009999999998</v>
      </c>
      <c r="W7570">
        <v>-4.2079220000000001E-2</v>
      </c>
      <c r="X7570">
        <v>0.96257190000000004</v>
      </c>
      <c r="Y7570">
        <v>-0.46643899999999999</v>
      </c>
      <c r="Z7570">
        <v>1.1213590000000001E-2</v>
      </c>
      <c r="AA7570">
        <v>0.88448230000000005</v>
      </c>
      <c r="AB7570">
        <v>30</v>
      </c>
      <c r="AC7570">
        <v>35.127799999999901</v>
      </c>
      <c r="AD7570">
        <v>-1.113702160016</v>
      </c>
      <c r="AE7570">
        <v>21.100809999999999</v>
      </c>
      <c r="AF7570">
        <v>-19.170811080824901</v>
      </c>
      <c r="AG7570">
        <v>-1.113702160016</v>
      </c>
      <c r="AH7570">
        <v>36.1829876983332</v>
      </c>
      <c r="AI7570">
        <v>91.557949067773507</v>
      </c>
      <c r="AJ7570">
        <v>117.915958606294</v>
      </c>
      <c r="AK7570">
        <v>40.963019038831099</v>
      </c>
      <c r="AL7570">
        <v>92.411673675893596</v>
      </c>
      <c r="AM7570">
        <v>105.543948264704</v>
      </c>
      <c r="AN7570">
        <v>1.0000000422867099</v>
      </c>
    </row>
    <row r="7571" spans="1:40" x14ac:dyDescent="0.25">
      <c r="A7571" t="str">
        <f>"20190305135110359"</f>
        <v>20190305135110359</v>
      </c>
      <c r="B7571" t="str">
        <f>"1551765070347137"</f>
        <v>1551765070347137</v>
      </c>
      <c r="C7571" t="s">
        <v>40</v>
      </c>
      <c r="D7571">
        <v>3.84755</v>
      </c>
      <c r="E7571">
        <v>0.41702040000000001</v>
      </c>
      <c r="F7571" t="s">
        <v>85</v>
      </c>
      <c r="G7571">
        <v>-180.02979999999999</v>
      </c>
      <c r="H7571" s="1">
        <v>-6.1999980000000003E-6</v>
      </c>
      <c r="I7571">
        <v>-41.267519999999998</v>
      </c>
      <c r="J7571">
        <v>-214.9922</v>
      </c>
      <c r="K7571">
        <v>1.1137859999999999</v>
      </c>
      <c r="L7571">
        <v>-62.437260000000002</v>
      </c>
      <c r="M7571">
        <v>0.9982491</v>
      </c>
      <c r="N7571">
        <v>-1.998757E-2</v>
      </c>
      <c r="O7571">
        <v>5.5670009999999999E-2</v>
      </c>
      <c r="P7571">
        <v>0.94476910000000003</v>
      </c>
      <c r="Q7571">
        <v>-5.9270209999999997E-2</v>
      </c>
      <c r="R7571">
        <v>0.32233240000000002</v>
      </c>
      <c r="S7571">
        <v>2.6309049999999998</v>
      </c>
      <c r="T7571">
        <v>-8.3452699999999894E-2</v>
      </c>
      <c r="U7571">
        <v>1.587067</v>
      </c>
      <c r="V7571">
        <v>-0.26891969999999998</v>
      </c>
      <c r="W7571">
        <v>-4.2053779999999999E-2</v>
      </c>
      <c r="X7571">
        <v>0.96224410000000005</v>
      </c>
      <c r="Y7571">
        <v>-0.46774209999999999</v>
      </c>
      <c r="Z7571">
        <v>1.1291020000000001E-2</v>
      </c>
      <c r="AA7571">
        <v>0.88379289999999999</v>
      </c>
      <c r="AB7571">
        <v>30</v>
      </c>
      <c r="AC7571">
        <v>34.962400000000002</v>
      </c>
      <c r="AD7571">
        <v>-1.1137921999980001</v>
      </c>
      <c r="AE7571">
        <v>21.169739999999901</v>
      </c>
      <c r="AF7571">
        <v>-19.1759111438611</v>
      </c>
      <c r="AG7571">
        <v>-1.1137921999980001</v>
      </c>
      <c r="AH7571">
        <v>36.060136328435497</v>
      </c>
      <c r="AI7571">
        <v>91.562121375253895</v>
      </c>
      <c r="AJ7571">
        <v>118.00296851904</v>
      </c>
      <c r="AK7571">
        <v>40.856939842423202</v>
      </c>
      <c r="AL7571">
        <v>92.410214841580199</v>
      </c>
      <c r="AM7571">
        <v>105.614157577809</v>
      </c>
      <c r="AN7571">
        <v>1.00000001672259</v>
      </c>
    </row>
    <row r="7572" spans="1:40" x14ac:dyDescent="0.25">
      <c r="A7572" t="str">
        <f>"20190305135110371"</f>
        <v>20190305135110371</v>
      </c>
      <c r="B7572" t="str">
        <f>"1551765070367632"</f>
        <v>1551765070367632</v>
      </c>
      <c r="C7572" t="s">
        <v>40</v>
      </c>
      <c r="D7572">
        <v>3.864665</v>
      </c>
      <c r="E7572">
        <v>0.41677920000000002</v>
      </c>
      <c r="F7572" t="s">
        <v>85</v>
      </c>
      <c r="G7572">
        <v>-180.37200000000001</v>
      </c>
      <c r="H7572" s="1">
        <v>-6.2068249999999996E-6</v>
      </c>
      <c r="I7572">
        <v>-41.383650000000003</v>
      </c>
      <c r="J7572">
        <v>-214.84209999999999</v>
      </c>
      <c r="K7572">
        <v>1.113877</v>
      </c>
      <c r="L7572">
        <v>-62.426789999999997</v>
      </c>
      <c r="M7572">
        <v>0.99812909999999999</v>
      </c>
      <c r="N7572">
        <v>-2.0131349999999999E-2</v>
      </c>
      <c r="O7572">
        <v>5.7734479999999998E-2</v>
      </c>
      <c r="P7572">
        <v>0.9437567</v>
      </c>
      <c r="Q7572">
        <v>-5.9778520000000002E-2</v>
      </c>
      <c r="R7572">
        <v>0.32519229999999999</v>
      </c>
      <c r="S7572">
        <v>2.6253510000000002</v>
      </c>
      <c r="T7572">
        <v>-8.4462170000000003E-2</v>
      </c>
      <c r="U7572">
        <v>1.5965579999999999</v>
      </c>
      <c r="V7572">
        <v>-0.26983469999999998</v>
      </c>
      <c r="W7572">
        <v>-4.2482659999999998E-2</v>
      </c>
      <c r="X7572">
        <v>0.96196910000000002</v>
      </c>
      <c r="Y7572">
        <v>-0.4690684</v>
      </c>
      <c r="Z7572">
        <v>1.1418920000000001E-2</v>
      </c>
      <c r="AA7572">
        <v>0.88308799999999898</v>
      </c>
      <c r="AB7572">
        <v>29</v>
      </c>
      <c r="AC7572">
        <v>34.470099999999903</v>
      </c>
      <c r="AD7572">
        <v>-1.113883206825</v>
      </c>
      <c r="AE7572">
        <v>21.043140000000001</v>
      </c>
      <c r="AF7572">
        <v>-19.0030528009727</v>
      </c>
      <c r="AG7572">
        <v>-1.113883206825</v>
      </c>
      <c r="AH7572">
        <v>35.600658370389098</v>
      </c>
      <c r="AI7572">
        <v>91.581084562211203</v>
      </c>
      <c r="AJ7572">
        <v>118.092574954474</v>
      </c>
      <c r="AK7572">
        <v>40.370331036048803</v>
      </c>
      <c r="AL7572">
        <v>92.434809765629296</v>
      </c>
      <c r="AM7572">
        <v>105.66893890887199</v>
      </c>
      <c r="AN7572">
        <v>1.0000000455397799</v>
      </c>
    </row>
    <row r="7573" spans="1:40" x14ac:dyDescent="0.25">
      <c r="A7573" t="str">
        <f>"20190305135110382"</f>
        <v>20190305135110382</v>
      </c>
      <c r="B7573" t="str">
        <f>"1551765070377392"</f>
        <v>1551765070377392</v>
      </c>
      <c r="C7573" t="s">
        <v>40</v>
      </c>
      <c r="D7573">
        <v>3.8224390000000001</v>
      </c>
      <c r="E7573">
        <v>0.41664430000000002</v>
      </c>
      <c r="F7573" t="s">
        <v>85</v>
      </c>
      <c r="G7573">
        <v>-181.54660000000001</v>
      </c>
      <c r="H7573" s="1">
        <v>-6.1239919999999999E-6</v>
      </c>
      <c r="I7573">
        <v>-42.010339999999999</v>
      </c>
      <c r="J7573">
        <v>-214.69980000000001</v>
      </c>
      <c r="K7573">
        <v>1.113966</v>
      </c>
      <c r="L7573">
        <v>-62.416289999999996</v>
      </c>
      <c r="M7573">
        <v>0.9980057</v>
      </c>
      <c r="N7573">
        <v>-2.0268789999999998E-2</v>
      </c>
      <c r="O7573">
        <v>5.9781720000000003E-2</v>
      </c>
      <c r="P7573">
        <v>0.94274040000000003</v>
      </c>
      <c r="Q7573">
        <v>-6.045946E-2</v>
      </c>
      <c r="R7573">
        <v>0.32800190000000001</v>
      </c>
      <c r="S7573">
        <v>2.61972</v>
      </c>
      <c r="T7573">
        <v>-8.7641360000000001E-2</v>
      </c>
      <c r="U7573">
        <v>1.606384</v>
      </c>
      <c r="V7573">
        <v>-0.27071650000000003</v>
      </c>
      <c r="W7573">
        <v>-4.3091480000000001E-2</v>
      </c>
      <c r="X7573">
        <v>0.96169420000000005</v>
      </c>
      <c r="Y7573">
        <v>-0.4704892</v>
      </c>
      <c r="Z7573">
        <v>1.16814E-2</v>
      </c>
      <c r="AA7573">
        <v>0.88232849999999996</v>
      </c>
      <c r="AB7573">
        <v>29</v>
      </c>
      <c r="AC7573">
        <v>33.153199999999998</v>
      </c>
      <c r="AD7573">
        <v>-1.113972123992</v>
      </c>
      <c r="AE7573">
        <v>20.405950000000001</v>
      </c>
      <c r="AF7573">
        <v>-18.372032736482101</v>
      </c>
      <c r="AG7573">
        <v>-1.113972123992</v>
      </c>
      <c r="AH7573">
        <v>34.285960040818303</v>
      </c>
      <c r="AI7573">
        <v>91.640402372386603</v>
      </c>
      <c r="AJ7573">
        <v>118.18450319169401</v>
      </c>
      <c r="AK7573">
        <v>38.914002321580703</v>
      </c>
      <c r="AL7573">
        <v>92.469724626891306</v>
      </c>
      <c r="AM7573">
        <v>105.721887881846</v>
      </c>
      <c r="AN7573">
        <v>1.00000001666724</v>
      </c>
    </row>
    <row r="7574" spans="1:40" x14ac:dyDescent="0.25">
      <c r="A7574" t="str">
        <f>"20190305135110394"</f>
        <v>20190305135110394</v>
      </c>
      <c r="B7574" t="str">
        <f>"1551765070387152"</f>
        <v>1551765070387152</v>
      </c>
      <c r="C7574" t="s">
        <v>40</v>
      </c>
      <c r="D7574">
        <v>3.804414</v>
      </c>
      <c r="E7574">
        <v>0.41664430000000002</v>
      </c>
      <c r="F7574" t="s">
        <v>85</v>
      </c>
      <c r="G7574">
        <v>-182.56209999999999</v>
      </c>
      <c r="H7574" s="1">
        <v>-6.0474559999999998E-6</v>
      </c>
      <c r="I7574">
        <v>-42.562750000000001</v>
      </c>
      <c r="J7574">
        <v>-214.54419999999999</v>
      </c>
      <c r="K7574">
        <v>1.1140639999999999</v>
      </c>
      <c r="L7574">
        <v>-62.4045699999999</v>
      </c>
      <c r="M7574">
        <v>0.99786319999999995</v>
      </c>
      <c r="N7574">
        <v>-2.04195E-2</v>
      </c>
      <c r="O7574">
        <v>6.2065410000000001E-2</v>
      </c>
      <c r="P7574">
        <v>0.94163940000000002</v>
      </c>
      <c r="Q7574">
        <v>-6.11043E-2</v>
      </c>
      <c r="R7574">
        <v>0.33103129999999997</v>
      </c>
      <c r="S7574">
        <v>2.6144409999999998</v>
      </c>
      <c r="T7574">
        <v>-9.0623140000000005E-2</v>
      </c>
      <c r="U7574">
        <v>1.6151120000000001</v>
      </c>
      <c r="V7574">
        <v>-0.27159650000000002</v>
      </c>
      <c r="W7574">
        <v>-4.3656569999999999E-2</v>
      </c>
      <c r="X7574">
        <v>0.96142050000000001</v>
      </c>
      <c r="Y7574">
        <v>-0.47137869999999998</v>
      </c>
      <c r="Z7574">
        <v>1.191628E-2</v>
      </c>
      <c r="AA7574">
        <v>0.88185040000000003</v>
      </c>
      <c r="AB7574">
        <v>29</v>
      </c>
      <c r="AC7574">
        <v>31.982099999999999</v>
      </c>
      <c r="AD7574">
        <v>-1.1140700474559999</v>
      </c>
      <c r="AE7574">
        <v>19.841819999999899</v>
      </c>
      <c r="AF7574">
        <v>-17.802556393423401</v>
      </c>
      <c r="AG7574">
        <v>-1.1140700474559999</v>
      </c>
      <c r="AH7574">
        <v>33.123141180195297</v>
      </c>
      <c r="AI7574">
        <v>91.696962032209001</v>
      </c>
      <c r="AJ7574">
        <v>118.25651040081</v>
      </c>
      <c r="AK7574">
        <v>37.620667828400002</v>
      </c>
      <c r="AL7574">
        <v>92.502132523583001</v>
      </c>
      <c r="AM7574">
        <v>105.774721524141</v>
      </c>
      <c r="AN7574">
        <v>0.99999996636833199</v>
      </c>
    </row>
    <row r="7575" spans="1:40" x14ac:dyDescent="0.25">
      <c r="A7575" t="str">
        <f>"20190305135110404"</f>
        <v>20190305135110404</v>
      </c>
      <c r="B7575" t="str">
        <f>"1551765070396913"</f>
        <v>1551765070396913</v>
      </c>
      <c r="C7575" t="s">
        <v>40</v>
      </c>
      <c r="D7575">
        <v>3.8503219999999998</v>
      </c>
      <c r="E7575">
        <v>0.41657240000000001</v>
      </c>
      <c r="F7575" t="s">
        <v>85</v>
      </c>
      <c r="G7575">
        <v>-183.20410000000001</v>
      </c>
      <c r="H7575" s="1">
        <v>-6.0037529999999998E-6</v>
      </c>
      <c r="I7575">
        <v>-42.901899999999998</v>
      </c>
      <c r="J7575">
        <v>-214.41309999999999</v>
      </c>
      <c r="K7575">
        <v>1.1141509999999999</v>
      </c>
      <c r="L7575">
        <v>-62.394289999999998</v>
      </c>
      <c r="M7575">
        <v>0.99773509999999999</v>
      </c>
      <c r="N7575">
        <v>-2.0547429999999998E-2</v>
      </c>
      <c r="O7575">
        <v>6.4051490000000003E-2</v>
      </c>
      <c r="P7575">
        <v>0.9406639</v>
      </c>
      <c r="Q7575">
        <v>-6.1621570000000001E-2</v>
      </c>
      <c r="R7575">
        <v>0.3336982</v>
      </c>
      <c r="S7575">
        <v>2.6091160000000002</v>
      </c>
      <c r="T7575">
        <v>-9.2748049999999999E-2</v>
      </c>
      <c r="U7575">
        <v>1.6236269999999999</v>
      </c>
      <c r="V7575">
        <v>-0.27239790000000003</v>
      </c>
      <c r="W7575">
        <v>-4.4107359999999998E-2</v>
      </c>
      <c r="X7575">
        <v>0.96117319999999995</v>
      </c>
      <c r="Y7575">
        <v>-0.47248990000000002</v>
      </c>
      <c r="Z7575">
        <v>1.2099479999999999E-2</v>
      </c>
      <c r="AA7575">
        <v>0.88125309999999901</v>
      </c>
      <c r="AB7575">
        <v>29</v>
      </c>
      <c r="AC7575">
        <v>31.2089999999999</v>
      </c>
      <c r="AD7575">
        <v>-1.114157003753</v>
      </c>
      <c r="AE7575">
        <v>19.49239</v>
      </c>
      <c r="AF7575">
        <v>-17.4369556495379</v>
      </c>
      <c r="AG7575">
        <v>-1.114157003753</v>
      </c>
      <c r="AH7575">
        <v>32.3639961232928</v>
      </c>
      <c r="AI7575">
        <v>91.735929151706003</v>
      </c>
      <c r="AJ7575">
        <v>118.314736956145</v>
      </c>
      <c r="AK7575">
        <v>36.779301423782897</v>
      </c>
      <c r="AL7575">
        <v>92.527985713569606</v>
      </c>
      <c r="AM7575">
        <v>105.82280783700401</v>
      </c>
      <c r="AN7575">
        <v>0.99999999776440895</v>
      </c>
    </row>
    <row r="7576" spans="1:40" x14ac:dyDescent="0.25">
      <c r="A7576" t="str">
        <f>"20190305135110416"</f>
        <v>20190305135110416</v>
      </c>
      <c r="B7576" t="str">
        <f>"1551765070407649"</f>
        <v>1551765070407649</v>
      </c>
      <c r="C7576" t="s">
        <v>40</v>
      </c>
      <c r="D7576">
        <v>3.8794719999999998</v>
      </c>
      <c r="E7576">
        <v>0.41655449999999999</v>
      </c>
      <c r="F7576" t="s">
        <v>85</v>
      </c>
      <c r="G7576">
        <v>-183.89160000000001</v>
      </c>
      <c r="H7576" s="1">
        <v>-5.9538469999999999E-6</v>
      </c>
      <c r="I7576">
        <v>-43.271790000000003</v>
      </c>
      <c r="J7576">
        <v>-214.26910000000001</v>
      </c>
      <c r="K7576">
        <v>1.114247</v>
      </c>
      <c r="L7576">
        <v>-62.382660000000001</v>
      </c>
      <c r="M7576">
        <v>0.99758530000000001</v>
      </c>
      <c r="N7576">
        <v>-2.0688020000000001E-2</v>
      </c>
      <c r="O7576">
        <v>6.6298889999999999E-2</v>
      </c>
      <c r="P7576">
        <v>0.93956390000000001</v>
      </c>
      <c r="Q7576">
        <v>-6.208234E-2</v>
      </c>
      <c r="R7576">
        <v>0.33669779999999999</v>
      </c>
      <c r="S7576">
        <v>2.604187</v>
      </c>
      <c r="T7576">
        <v>-9.5063449999999994E-2</v>
      </c>
      <c r="U7576">
        <v>1.6315919999999999</v>
      </c>
      <c r="V7576">
        <v>-0.27328909999999901</v>
      </c>
      <c r="W7576">
        <v>-4.4496519999999998E-2</v>
      </c>
      <c r="X7576">
        <v>0.96090229999999999</v>
      </c>
      <c r="Y7576">
        <v>-0.4731744</v>
      </c>
      <c r="Z7576">
        <v>1.2280660000000001E-2</v>
      </c>
      <c r="AA7576">
        <v>0.88088319999999998</v>
      </c>
      <c r="AB7576">
        <v>29</v>
      </c>
      <c r="AC7576">
        <v>30.377500000000001</v>
      </c>
      <c r="AD7576">
        <v>-1.1142529538470001</v>
      </c>
      <c r="AE7576">
        <v>19.110869999999899</v>
      </c>
      <c r="AF7576">
        <v>-17.037955300044501</v>
      </c>
      <c r="AG7576">
        <v>-1.1142529538470001</v>
      </c>
      <c r="AH7576">
        <v>31.5475261158915</v>
      </c>
      <c r="AI7576">
        <v>91.780017033951395</v>
      </c>
      <c r="AJ7576">
        <v>118.37226794523001</v>
      </c>
      <c r="AK7576">
        <v>35.871714267432601</v>
      </c>
      <c r="AL7576">
        <v>92.550304715892693</v>
      </c>
      <c r="AM7576">
        <v>105.876220103074</v>
      </c>
      <c r="AN7576">
        <v>1.0000000513081</v>
      </c>
    </row>
    <row r="7577" spans="1:40" x14ac:dyDescent="0.25">
      <c r="A7577" t="str">
        <f>"20190305135110427"</f>
        <v>20190305135110427</v>
      </c>
      <c r="B7577" t="str">
        <f>"1551765070417409"</f>
        <v>1551765070417409</v>
      </c>
      <c r="C7577" t="s">
        <v>40</v>
      </c>
      <c r="D7577">
        <v>3.8888240000000001</v>
      </c>
      <c r="E7577">
        <v>0.41653319999999999</v>
      </c>
      <c r="F7577" t="s">
        <v>85</v>
      </c>
      <c r="G7577">
        <v>-184.5513</v>
      </c>
      <c r="H7577" s="1">
        <v>-5.9053939999999997E-6</v>
      </c>
      <c r="I7577">
        <v>-43.627899999999997</v>
      </c>
      <c r="J7577">
        <v>-214.1267</v>
      </c>
      <c r="K7577">
        <v>1.1143449999999999</v>
      </c>
      <c r="L7577">
        <v>-62.37079</v>
      </c>
      <c r="M7577">
        <v>0.99742850000000005</v>
      </c>
      <c r="N7577">
        <v>-2.0827120000000001E-2</v>
      </c>
      <c r="O7577">
        <v>6.8574850000000007E-2</v>
      </c>
      <c r="P7577">
        <v>0.9384422</v>
      </c>
      <c r="Q7577">
        <v>-6.220726E-2</v>
      </c>
      <c r="R7577">
        <v>0.33978900000000001</v>
      </c>
      <c r="S7577">
        <v>2.5987849999999999</v>
      </c>
      <c r="T7577">
        <v>-9.7439769999999995E-2</v>
      </c>
      <c r="U7577">
        <v>1.6400760000000001</v>
      </c>
      <c r="V7577">
        <v>-0.27425090000000002</v>
      </c>
      <c r="W7577">
        <v>-4.4552540000000002E-2</v>
      </c>
      <c r="X7577">
        <v>0.96062559999999997</v>
      </c>
      <c r="Y7577">
        <v>-0.47403010000000001</v>
      </c>
      <c r="Z7577">
        <v>1.2468099999999999E-2</v>
      </c>
      <c r="AA7577">
        <v>0.88042039999999999</v>
      </c>
      <c r="AB7577">
        <v>29</v>
      </c>
      <c r="AC7577">
        <v>29.575399999999998</v>
      </c>
      <c r="AD7577">
        <v>-1.1143509053939999</v>
      </c>
      <c r="AE7577">
        <v>18.742889999999999</v>
      </c>
      <c r="AF7577">
        <v>-16.653313209629701</v>
      </c>
      <c r="AG7577">
        <v>-1.1143509053939999</v>
      </c>
      <c r="AH7577">
        <v>30.760162258352601</v>
      </c>
      <c r="AI7577">
        <v>91.824702767442105</v>
      </c>
      <c r="AJ7577">
        <v>118.430770631569</v>
      </c>
      <c r="AK7577">
        <v>34.996602705956498</v>
      </c>
      <c r="AL7577">
        <v>92.553517706440005</v>
      </c>
      <c r="AM7577">
        <v>105.933619074162</v>
      </c>
      <c r="AN7577">
        <v>1.0000000141733101</v>
      </c>
    </row>
    <row r="7578" spans="1:40" x14ac:dyDescent="0.25">
      <c r="A7578" t="str">
        <f>"20190305135110438"</f>
        <v>20190305135110438</v>
      </c>
      <c r="B7578" t="str">
        <f>"1551765070427169"</f>
        <v>1551765070427169</v>
      </c>
      <c r="C7578" t="s">
        <v>40</v>
      </c>
      <c r="D7578">
        <v>3.8915920000000002</v>
      </c>
      <c r="E7578">
        <v>0.41658580000000001</v>
      </c>
      <c r="F7578" t="s">
        <v>85</v>
      </c>
      <c r="G7578">
        <v>-184.86410000000001</v>
      </c>
      <c r="H7578" s="1">
        <v>-5.8970380000000002E-6</v>
      </c>
      <c r="I7578">
        <v>-43.76538</v>
      </c>
      <c r="J7578">
        <v>-213.98689999999999</v>
      </c>
      <c r="K7578">
        <v>1.1144430000000001</v>
      </c>
      <c r="L7578">
        <v>-62.358609999999999</v>
      </c>
      <c r="M7578">
        <v>0.99726219999999999</v>
      </c>
      <c r="N7578">
        <v>-2.0963840000000001E-2</v>
      </c>
      <c r="O7578">
        <v>7.0912799999999998E-2</v>
      </c>
      <c r="P7578">
        <v>0.93725860000000005</v>
      </c>
      <c r="Q7578">
        <v>-6.2523679999999998E-2</v>
      </c>
      <c r="R7578">
        <v>0.34298289999999998</v>
      </c>
      <c r="S7578">
        <v>2.5932460000000002</v>
      </c>
      <c r="T7578">
        <v>-9.875333E-2</v>
      </c>
      <c r="U7578">
        <v>1.6488039999999999</v>
      </c>
      <c r="V7578">
        <v>-0.27526040000000002</v>
      </c>
      <c r="W7578">
        <v>-4.48063E-2</v>
      </c>
      <c r="X7578">
        <v>0.96032499999999998</v>
      </c>
      <c r="Y7578">
        <v>-0.47491699999999998</v>
      </c>
      <c r="Z7578">
        <v>1.2590219999999999E-2</v>
      </c>
      <c r="AA7578">
        <v>0.87994059999999896</v>
      </c>
      <c r="AB7578">
        <v>29</v>
      </c>
      <c r="AC7578">
        <v>29.122799999999899</v>
      </c>
      <c r="AD7578">
        <v>-1.114448897038</v>
      </c>
      <c r="AE7578">
        <v>18.593229999999998</v>
      </c>
      <c r="AF7578">
        <v>-16.463640380289501</v>
      </c>
      <c r="AG7578">
        <v>-1.114448897038</v>
      </c>
      <c r="AH7578">
        <v>30.336679207033601</v>
      </c>
      <c r="AI7578">
        <v>91.849308737348295</v>
      </c>
      <c r="AJ7578">
        <v>118.488573868847</v>
      </c>
      <c r="AK7578">
        <v>34.534150579188697</v>
      </c>
      <c r="AL7578">
        <v>92.568071656218194</v>
      </c>
      <c r="AM7578">
        <v>105.994025796849</v>
      </c>
      <c r="AN7578">
        <v>0.999999998976424</v>
      </c>
    </row>
    <row r="7579" spans="1:40" x14ac:dyDescent="0.25">
      <c r="A7579" t="str">
        <f>"20190305135110450"</f>
        <v>20190305135110450</v>
      </c>
      <c r="B7579" t="str">
        <f>"1551765070447665"</f>
        <v>1551765070447665</v>
      </c>
      <c r="C7579" t="s">
        <v>40</v>
      </c>
      <c r="D7579">
        <v>3.9166620000000001</v>
      </c>
      <c r="E7579">
        <v>0.41663559999999999</v>
      </c>
      <c r="F7579" t="s">
        <v>85</v>
      </c>
      <c r="G7579">
        <v>-185.16370000000001</v>
      </c>
      <c r="H7579" s="1">
        <v>-5.888293E-6</v>
      </c>
      <c r="I7579">
        <v>-43.898670000000003</v>
      </c>
      <c r="J7579">
        <v>-213.84219999999999</v>
      </c>
      <c r="K7579">
        <v>1.11454599999999</v>
      </c>
      <c r="L7579">
        <v>-62.345790000000001</v>
      </c>
      <c r="M7579">
        <v>0.99708189999999997</v>
      </c>
      <c r="N7579">
        <v>-2.1104999999999999E-2</v>
      </c>
      <c r="O7579">
        <v>7.3364620000000005E-2</v>
      </c>
      <c r="P7579">
        <v>0.93600499999999998</v>
      </c>
      <c r="Q7579">
        <v>-6.2655929999999999E-2</v>
      </c>
      <c r="R7579">
        <v>0.34636519999999998</v>
      </c>
      <c r="S7579">
        <v>2.5876769999999998</v>
      </c>
      <c r="T7579">
        <v>-0.1000525</v>
      </c>
      <c r="U7579">
        <v>1.6572880000000001</v>
      </c>
      <c r="V7579">
        <v>-0.2763565</v>
      </c>
      <c r="W7579">
        <v>-4.4876289999999999E-2</v>
      </c>
      <c r="X7579">
        <v>0.9600069</v>
      </c>
      <c r="Y7579">
        <v>-0.47564840000000003</v>
      </c>
      <c r="Z7579">
        <v>1.2705859999999999E-2</v>
      </c>
      <c r="AA7579">
        <v>0.87954370000000004</v>
      </c>
      <c r="AB7579">
        <v>29</v>
      </c>
      <c r="AC7579">
        <v>28.6784999999999</v>
      </c>
      <c r="AD7579">
        <v>-1.1145518882929999</v>
      </c>
      <c r="AE7579">
        <v>18.447120000000002</v>
      </c>
      <c r="AF7579">
        <v>-16.275542405537202</v>
      </c>
      <c r="AG7579">
        <v>-1.1145518882929999</v>
      </c>
      <c r="AH7579">
        <v>29.922881576751202</v>
      </c>
      <c r="AI7579">
        <v>91.874079790445506</v>
      </c>
      <c r="AJ7579">
        <v>118.54248913934001</v>
      </c>
      <c r="AK7579">
        <v>34.080996880408499</v>
      </c>
      <c r="AL7579">
        <v>92.572085765632394</v>
      </c>
      <c r="AM7579">
        <v>106.059484506243</v>
      </c>
      <c r="AN7579">
        <v>1.00000002227201</v>
      </c>
    </row>
    <row r="7580" spans="1:40" x14ac:dyDescent="0.25">
      <c r="A7580" t="str">
        <f>"20190305135110460"</f>
        <v>20190305135110460</v>
      </c>
      <c r="B7580" t="str">
        <f>"1551765070457425"</f>
        <v>1551765070457425</v>
      </c>
      <c r="C7580" t="s">
        <v>40</v>
      </c>
      <c r="D7580">
        <v>3.9127489999999998</v>
      </c>
      <c r="E7580">
        <v>0.41668329999999998</v>
      </c>
      <c r="F7580" t="s">
        <v>85</v>
      </c>
      <c r="G7580">
        <v>-185.5001</v>
      </c>
      <c r="H7580" s="1">
        <v>-5.8757149999999997E-6</v>
      </c>
      <c r="I7580">
        <v>-44.054220000000001</v>
      </c>
      <c r="J7580">
        <v>-213.709</v>
      </c>
      <c r="K7580">
        <v>1.1146499999999999</v>
      </c>
      <c r="L7580">
        <v>-62.33334</v>
      </c>
      <c r="M7580">
        <v>0.99690069999999997</v>
      </c>
      <c r="N7580">
        <v>-2.1231730000000001E-2</v>
      </c>
      <c r="O7580">
        <v>7.5752070000000005E-2</v>
      </c>
      <c r="P7580">
        <v>0.93471490000000002</v>
      </c>
      <c r="Q7580">
        <v>-6.2780470000000005E-2</v>
      </c>
      <c r="R7580">
        <v>0.3498097</v>
      </c>
      <c r="S7580">
        <v>2.5817570000000001</v>
      </c>
      <c r="T7580">
        <v>-0.1015276</v>
      </c>
      <c r="U7580">
        <v>1.666229</v>
      </c>
      <c r="V7580">
        <v>-0.2775822</v>
      </c>
      <c r="W7580">
        <v>-4.4955839999999997E-2</v>
      </c>
      <c r="X7580">
        <v>0.95964950000000004</v>
      </c>
      <c r="Y7580">
        <v>-0.4765993</v>
      </c>
      <c r="Z7580">
        <v>1.283392E-2</v>
      </c>
      <c r="AA7580">
        <v>0.879027</v>
      </c>
      <c r="AB7580">
        <v>28</v>
      </c>
      <c r="AC7580">
        <v>28.2089</v>
      </c>
      <c r="AD7580">
        <v>-1.114655875715</v>
      </c>
      <c r="AE7580">
        <v>18.279119999999999</v>
      </c>
      <c r="AF7580">
        <v>-16.071537371413498</v>
      </c>
      <c r="AG7580">
        <v>-1.114655875715</v>
      </c>
      <c r="AH7580">
        <v>29.480385531049102</v>
      </c>
      <c r="AI7580">
        <v>91.901373254239104</v>
      </c>
      <c r="AJ7580">
        <v>118.597467123321</v>
      </c>
      <c r="AK7580">
        <v>33.5950874721484</v>
      </c>
      <c r="AL7580">
        <v>92.576648218971798</v>
      </c>
      <c r="AM7580">
        <v>106.132710168926</v>
      </c>
      <c r="AN7580">
        <v>1.0000000340785899</v>
      </c>
    </row>
    <row r="7581" spans="1:40" x14ac:dyDescent="0.25">
      <c r="A7581" t="str">
        <f>"20190305135110472"</f>
        <v>20190305135110472</v>
      </c>
      <c r="B7581" t="str">
        <f>"1551765070467195"</f>
        <v>1551765070467195</v>
      </c>
      <c r="C7581" t="s">
        <v>40</v>
      </c>
      <c r="D7581">
        <v>3.9866489999999999</v>
      </c>
      <c r="E7581">
        <v>0.41687109999999999</v>
      </c>
      <c r="F7581" t="s">
        <v>85</v>
      </c>
      <c r="G7581">
        <v>-185.6669</v>
      </c>
      <c r="H7581" s="1">
        <v>-5.887288E-6</v>
      </c>
      <c r="I7581">
        <v>-44.093119999999999</v>
      </c>
      <c r="J7581">
        <v>-213.56649999999999</v>
      </c>
      <c r="K7581">
        <v>1.1147590000000001</v>
      </c>
      <c r="L7581">
        <v>-62.319819999999901</v>
      </c>
      <c r="M7581">
        <v>0.99669810000000003</v>
      </c>
      <c r="N7581">
        <v>-2.1364020000000001E-2</v>
      </c>
      <c r="O7581">
        <v>7.833495E-2</v>
      </c>
      <c r="P7581">
        <v>0.93346030000000002</v>
      </c>
      <c r="Q7581">
        <v>-6.2806029999999999E-2</v>
      </c>
      <c r="R7581">
        <v>0.35313939999999999</v>
      </c>
      <c r="S7581">
        <v>2.575653</v>
      </c>
      <c r="T7581">
        <v>-0.1023805</v>
      </c>
      <c r="U7581">
        <v>1.675354</v>
      </c>
      <c r="V7581">
        <v>-0.27850570000000002</v>
      </c>
      <c r="W7581">
        <v>-4.4931579999999999E-2</v>
      </c>
      <c r="X7581">
        <v>0.95938299999999999</v>
      </c>
      <c r="Y7581">
        <v>-0.47745359999999998</v>
      </c>
      <c r="Z7581">
        <v>1.2921520000000001E-2</v>
      </c>
      <c r="AA7581">
        <v>0.87856199999999995</v>
      </c>
      <c r="AB7581">
        <v>28</v>
      </c>
      <c r="AC7581">
        <v>27.8995999999999</v>
      </c>
      <c r="AD7581">
        <v>-1.1147648872880001</v>
      </c>
      <c r="AE7581">
        <v>18.226699999999902</v>
      </c>
      <c r="AF7581">
        <v>-15.966786707984401</v>
      </c>
      <c r="AG7581">
        <v>-1.1147648872880001</v>
      </c>
      <c r="AH7581">
        <v>29.209258105791601</v>
      </c>
      <c r="AI7581">
        <v>91.918008103071898</v>
      </c>
      <c r="AJ7581">
        <v>118.662535873103</v>
      </c>
      <c r="AK7581">
        <v>33.307082394333897</v>
      </c>
      <c r="AL7581">
        <v>92.575256889136597</v>
      </c>
      <c r="AM7581">
        <v>106.18783762247899</v>
      </c>
      <c r="AN7581">
        <v>1.0000000062513901</v>
      </c>
    </row>
    <row r="7582" spans="1:40" x14ac:dyDescent="0.25">
      <c r="A7582" t="str">
        <f>"20190305135110494"</f>
        <v>20190305135110494</v>
      </c>
      <c r="B7582" t="str">
        <f>"1551765070487681"</f>
        <v>1551765070487681</v>
      </c>
      <c r="C7582" t="s">
        <v>40</v>
      </c>
      <c r="D7582">
        <v>4.421214</v>
      </c>
      <c r="E7582">
        <v>0.41687109999999999</v>
      </c>
      <c r="F7582" t="s">
        <v>85</v>
      </c>
      <c r="G7582">
        <v>-185.8015</v>
      </c>
      <c r="H7582" s="1">
        <v>-5.890055E-6</v>
      </c>
      <c r="I7582">
        <v>-44.138629999999999</v>
      </c>
      <c r="J7582">
        <v>-213.28469999999999</v>
      </c>
      <c r="K7582">
        <v>1.114973</v>
      </c>
      <c r="L7582">
        <v>-62.291440000000001</v>
      </c>
      <c r="M7582">
        <v>0.99625520000000001</v>
      </c>
      <c r="N7582">
        <v>-2.159324E-2</v>
      </c>
      <c r="O7582">
        <v>8.3722519999999995E-2</v>
      </c>
      <c r="P7582">
        <v>0.93077980000000005</v>
      </c>
      <c r="Q7582">
        <v>-6.2642710000000004E-2</v>
      </c>
      <c r="R7582">
        <v>0.36017320000000003</v>
      </c>
      <c r="S7582">
        <v>2.5701749999999999</v>
      </c>
      <c r="T7582">
        <v>-0.1031926</v>
      </c>
      <c r="U7582">
        <v>1.683014</v>
      </c>
      <c r="V7582">
        <v>-0.28053679999999998</v>
      </c>
      <c r="W7582">
        <v>-4.471E-2</v>
      </c>
      <c r="X7582">
        <v>0.95880140000000003</v>
      </c>
      <c r="Y7582">
        <v>-0.47538740000000002</v>
      </c>
      <c r="Z7582">
        <v>1.2905140000000001E-2</v>
      </c>
      <c r="AA7582">
        <v>0.87968189999999902</v>
      </c>
      <c r="AB7582">
        <v>28</v>
      </c>
      <c r="AC7582">
        <v>27.483199999999901</v>
      </c>
      <c r="AD7582">
        <v>-1.1149788900549999</v>
      </c>
      <c r="AE7582">
        <v>18.152809999999999</v>
      </c>
      <c r="AF7582">
        <v>-15.7694775063955</v>
      </c>
      <c r="AG7582">
        <v>-1.1149788900549999</v>
      </c>
      <c r="AH7582">
        <v>28.873729994162399</v>
      </c>
      <c r="AI7582">
        <v>91.941044419119507</v>
      </c>
      <c r="AJ7582">
        <v>118.641297857182</v>
      </c>
      <c r="AK7582">
        <v>32.918260624245903</v>
      </c>
      <c r="AL7582">
        <v>92.562548528757901</v>
      </c>
      <c r="AM7582">
        <v>106.30900855898599</v>
      </c>
      <c r="AN7582">
        <v>1.0000000024480999</v>
      </c>
    </row>
    <row r="7583" spans="1:40" x14ac:dyDescent="0.25">
      <c r="A7583" t="str">
        <f>"20190305135110508"</f>
        <v>20190305135110508</v>
      </c>
      <c r="B7583" t="str">
        <f>"1551765070497441"</f>
        <v>1551765070497441</v>
      </c>
      <c r="C7583" t="s">
        <v>40</v>
      </c>
      <c r="D7583">
        <v>4.2335070000000004</v>
      </c>
      <c r="E7583">
        <v>0.51592839999999995</v>
      </c>
      <c r="F7583" t="s">
        <v>85</v>
      </c>
      <c r="G7583">
        <v>-185.3777</v>
      </c>
      <c r="H7583" s="1">
        <v>-6.0118099999999996E-6</v>
      </c>
      <c r="I7583">
        <v>-43.715290000000003</v>
      </c>
      <c r="J7583">
        <v>-213.11269999999999</v>
      </c>
      <c r="K7583">
        <v>1.115092</v>
      </c>
      <c r="L7583">
        <v>-62.273319999999998</v>
      </c>
      <c r="M7583">
        <v>0.99595889999999998</v>
      </c>
      <c r="N7583">
        <v>-2.1716409999999998E-2</v>
      </c>
      <c r="O7583">
        <v>8.7146829999999995E-2</v>
      </c>
      <c r="P7583">
        <v>0.92916739999999998</v>
      </c>
      <c r="Q7583">
        <v>-6.2631549999999994E-2</v>
      </c>
      <c r="R7583">
        <v>0.36431479999999999</v>
      </c>
      <c r="S7583">
        <v>2.5574650000000001</v>
      </c>
      <c r="T7583">
        <v>-0.1021793</v>
      </c>
      <c r="U7583">
        <v>1.7023619999999999</v>
      </c>
      <c r="V7583">
        <v>-0.28149760000000001</v>
      </c>
      <c r="W7583">
        <v>-4.467753E-2</v>
      </c>
      <c r="X7583">
        <v>0.95852119999999996</v>
      </c>
      <c r="Y7583">
        <v>-0.4789889</v>
      </c>
      <c r="Z7583">
        <v>1.296685E-2</v>
      </c>
      <c r="AA7583">
        <v>0.87772519999999998</v>
      </c>
      <c r="AB7583">
        <v>28</v>
      </c>
      <c r="AC7583">
        <v>27.7349999999999</v>
      </c>
      <c r="AD7583">
        <v>-1.11509801181</v>
      </c>
      <c r="AE7583">
        <v>18.558029999999899</v>
      </c>
      <c r="AF7583">
        <v>-16.051882101091401</v>
      </c>
      <c r="AG7583">
        <v>-1.11509801181</v>
      </c>
      <c r="AH7583">
        <v>29.214466541673101</v>
      </c>
      <c r="AI7583">
        <v>91.915966018308495</v>
      </c>
      <c r="AJ7583">
        <v>118.786584276574</v>
      </c>
      <c r="AK7583">
        <v>33.352532405768201</v>
      </c>
      <c r="AL7583">
        <v>92.560686445023507</v>
      </c>
      <c r="AM7583">
        <v>106.366408857604</v>
      </c>
      <c r="AN7583">
        <v>0.99999993567104795</v>
      </c>
    </row>
    <row r="7584" spans="1:40" x14ac:dyDescent="0.25">
      <c r="A7584" t="str">
        <f>"20190305135110519"</f>
        <v>20190305135110519</v>
      </c>
      <c r="B7584" t="str">
        <f>"1551765070507202"</f>
        <v>1551765070507202</v>
      </c>
      <c r="C7584" t="s">
        <v>40</v>
      </c>
      <c r="D7584">
        <v>4.1030709999999999</v>
      </c>
      <c r="E7584">
        <v>0.51592839999999995</v>
      </c>
      <c r="F7584" t="s">
        <v>85</v>
      </c>
      <c r="G7584">
        <v>-194.19329999999999</v>
      </c>
      <c r="H7584" s="1">
        <v>-8.2651649999999993E-6</v>
      </c>
      <c r="I7584">
        <v>-55.763240000000003</v>
      </c>
      <c r="J7584">
        <v>-212.98859999999999</v>
      </c>
      <c r="K7584">
        <v>1.115186</v>
      </c>
      <c r="L7584">
        <v>-62.25949</v>
      </c>
      <c r="M7584">
        <v>0.995726</v>
      </c>
      <c r="N7584">
        <v>-2.179596E-2</v>
      </c>
      <c r="O7584">
        <v>8.9747419999999994E-2</v>
      </c>
      <c r="P7584">
        <v>0.92778490000000002</v>
      </c>
      <c r="Q7584">
        <v>-6.2543630000000003E-2</v>
      </c>
      <c r="R7584">
        <v>0.3678362</v>
      </c>
      <c r="S7584">
        <v>2.8349609999999998</v>
      </c>
      <c r="T7584">
        <v>-0.16709070000000001</v>
      </c>
      <c r="U7584">
        <v>0.97549439999999998</v>
      </c>
      <c r="V7584">
        <v>-0.28261969999999997</v>
      </c>
      <c r="W7584">
        <v>-4.4592670000000001E-2</v>
      </c>
      <c r="X7584">
        <v>0.95819500000000002</v>
      </c>
      <c r="Y7584">
        <v>-0.23870910000000001</v>
      </c>
      <c r="Z7584">
        <v>6.306819E-3</v>
      </c>
      <c r="AA7584">
        <v>0.97107060000000001</v>
      </c>
      <c r="AB7584">
        <v>28</v>
      </c>
      <c r="AC7584">
        <v>18.795300000000001</v>
      </c>
      <c r="AD7584">
        <v>-1.115194265165</v>
      </c>
      <c r="AE7584">
        <v>6.4962499999999901</v>
      </c>
      <c r="AF7584">
        <v>-4.7677979253551399</v>
      </c>
      <c r="AG7584">
        <v>-1.115194265165</v>
      </c>
      <c r="AH7584">
        <v>19.242064254477601</v>
      </c>
      <c r="AI7584">
        <v>93.219774832957498</v>
      </c>
      <c r="AJ7584">
        <v>103.916464480926</v>
      </c>
      <c r="AK7584">
        <v>19.855291286695401</v>
      </c>
      <c r="AL7584">
        <v>92.555819234168496</v>
      </c>
      <c r="AM7584">
        <v>106.43342841114099</v>
      </c>
      <c r="AN7584">
        <v>1.0000000295353999</v>
      </c>
    </row>
    <row r="7585" spans="1:40" x14ac:dyDescent="0.25">
      <c r="A7585" t="str">
        <f>"20190305135110532"</f>
        <v>20190305135110532</v>
      </c>
      <c r="B7585" t="str">
        <f>"1551765070526721"</f>
        <v>1551765070526721</v>
      </c>
      <c r="C7585" t="s">
        <v>40</v>
      </c>
      <c r="D7585">
        <v>4.0429389999999996</v>
      </c>
      <c r="E7585">
        <v>0.57009540000000003</v>
      </c>
      <c r="F7585" t="s">
        <v>85</v>
      </c>
      <c r="G7585">
        <v>-194.06479999999999</v>
      </c>
      <c r="H7585" s="1">
        <v>-8.2871010000000001E-6</v>
      </c>
      <c r="I7585">
        <v>-55.667589999999997</v>
      </c>
      <c r="J7585">
        <v>-212.82990000000001</v>
      </c>
      <c r="K7585">
        <v>1.115308</v>
      </c>
      <c r="L7585">
        <v>-62.241639999999997</v>
      </c>
      <c r="M7585">
        <v>0.99541409999999997</v>
      </c>
      <c r="N7585">
        <v>-2.1893429999999998E-2</v>
      </c>
      <c r="O7585">
        <v>9.3120560000000005E-2</v>
      </c>
      <c r="P7585">
        <v>0.92607709999999999</v>
      </c>
      <c r="Q7585">
        <v>-6.2063670000000001E-2</v>
      </c>
      <c r="R7585">
        <v>0.37219540000000001</v>
      </c>
      <c r="S7585">
        <v>2.8312529999999998</v>
      </c>
      <c r="T7585">
        <v>-0.1668481</v>
      </c>
      <c r="U7585">
        <v>0.98623660000000002</v>
      </c>
      <c r="V7585">
        <v>-0.28386729999999999</v>
      </c>
      <c r="W7585">
        <v>-4.4118989999999997E-2</v>
      </c>
      <c r="X7585">
        <v>0.95784809999999998</v>
      </c>
      <c r="Y7585">
        <v>-0.2391008</v>
      </c>
      <c r="Z7585">
        <v>6.2239699999999997E-3</v>
      </c>
      <c r="AA7585">
        <v>0.97097480000000003</v>
      </c>
      <c r="AB7585">
        <v>28</v>
      </c>
      <c r="AC7585">
        <v>18.7651</v>
      </c>
      <c r="AD7585">
        <v>-1.1153162871010001</v>
      </c>
      <c r="AE7585">
        <v>6.5740499999999997</v>
      </c>
      <c r="AF7585">
        <v>-4.7825873516733504</v>
      </c>
      <c r="AG7585">
        <v>-1.1153162871010001</v>
      </c>
      <c r="AH7585">
        <v>19.235326915181499</v>
      </c>
      <c r="AI7585">
        <v>93.220608886352807</v>
      </c>
      <c r="AJ7585">
        <v>103.962644860431</v>
      </c>
      <c r="AK7585">
        <v>19.852326657864701</v>
      </c>
      <c r="AL7585">
        <v>92.528652565479305</v>
      </c>
      <c r="AM7585">
        <v>106.507685749662</v>
      </c>
      <c r="AN7585">
        <v>1.00000005598075</v>
      </c>
    </row>
    <row r="7586" spans="1:40" x14ac:dyDescent="0.25">
      <c r="A7586" t="str">
        <f>"20190305135110543"</f>
        <v>20190305135110543</v>
      </c>
      <c r="B7586" t="str">
        <f>"1551765070537457"</f>
        <v>1551765070537457</v>
      </c>
      <c r="C7586" t="s">
        <v>40</v>
      </c>
      <c r="D7586">
        <v>4.1790640000000003</v>
      </c>
      <c r="E7586">
        <v>0.56987769999999904</v>
      </c>
      <c r="F7586" t="s">
        <v>85</v>
      </c>
      <c r="G7586">
        <v>-200.69069999999999</v>
      </c>
      <c r="H7586" s="1">
        <v>-5.4751439999999998E-6</v>
      </c>
      <c r="I7586">
        <v>-59.822809999999997</v>
      </c>
      <c r="J7586">
        <v>-212.68340000000001</v>
      </c>
      <c r="K7586">
        <v>1.115429</v>
      </c>
      <c r="L7586">
        <v>-62.224299999999999</v>
      </c>
      <c r="M7586">
        <v>0.99510069999999995</v>
      </c>
      <c r="N7586">
        <v>-2.197288E-2</v>
      </c>
      <c r="O7586">
        <v>9.6394770000000005E-2</v>
      </c>
      <c r="P7586">
        <v>0.92435940000000005</v>
      </c>
      <c r="Q7586">
        <v>-6.2005079999999997E-2</v>
      </c>
      <c r="R7586">
        <v>0.37645079999999997</v>
      </c>
      <c r="S7586">
        <v>2.9822690000000001</v>
      </c>
      <c r="T7586">
        <v>-0.27400079999999999</v>
      </c>
      <c r="U7586">
        <v>0.5942383</v>
      </c>
      <c r="V7586">
        <v>-0.2851088</v>
      </c>
      <c r="W7586">
        <v>-4.4083480000000001E-2</v>
      </c>
      <c r="X7586">
        <v>0.95748080000000002</v>
      </c>
      <c r="Y7586">
        <v>-9.9667519999999996E-2</v>
      </c>
      <c r="Z7586">
        <v>-9.8610899999999999E-4</v>
      </c>
      <c r="AA7586">
        <v>0.99502029999999997</v>
      </c>
      <c r="AB7586">
        <v>28</v>
      </c>
      <c r="AC7586">
        <v>11.992699999999999</v>
      </c>
      <c r="AD7586">
        <v>-1.115434475144</v>
      </c>
      <c r="AE7586">
        <v>2.4014899999999999</v>
      </c>
      <c r="AF7586">
        <v>-1.22380991458536</v>
      </c>
      <c r="AG7586">
        <v>-1.115434475144</v>
      </c>
      <c r="AH7586">
        <v>12.067999533956399</v>
      </c>
      <c r="AI7586">
        <v>95.253999205515697</v>
      </c>
      <c r="AJ7586">
        <v>95.790541286066201</v>
      </c>
      <c r="AK7586">
        <v>12.181072100884601</v>
      </c>
      <c r="AL7586">
        <v>92.526616325226797</v>
      </c>
      <c r="AM7586">
        <v>106.581938431636</v>
      </c>
      <c r="AN7586">
        <v>0.99999993170749202</v>
      </c>
    </row>
    <row r="7587" spans="1:40" x14ac:dyDescent="0.25">
      <c r="A7587" t="str">
        <f>"20190305135110554"</f>
        <v>20190305135110554</v>
      </c>
      <c r="B7587" t="str">
        <f>"1551765070547217"</f>
        <v>1551765070547217</v>
      </c>
      <c r="C7587" t="s">
        <v>40</v>
      </c>
      <c r="D7587">
        <v>3.9710589999999999</v>
      </c>
      <c r="E7587">
        <v>0.57054399999999905</v>
      </c>
      <c r="F7587" t="s">
        <v>85</v>
      </c>
      <c r="G7587">
        <v>-201.0753</v>
      </c>
      <c r="H7587" s="1">
        <v>-5.2730600000000001E-6</v>
      </c>
      <c r="I7587">
        <v>-59.850380000000001</v>
      </c>
      <c r="J7587">
        <v>-212.565</v>
      </c>
      <c r="K7587">
        <v>1.1155250000000001</v>
      </c>
      <c r="L7587">
        <v>-62.20993</v>
      </c>
      <c r="M7587">
        <v>0.99483339999999998</v>
      </c>
      <c r="N7587">
        <v>-2.2032059999999999E-2</v>
      </c>
      <c r="O7587">
        <v>9.910149E-2</v>
      </c>
      <c r="P7587">
        <v>0.92285039999999996</v>
      </c>
      <c r="Q7587">
        <v>-6.1342859999999999E-2</v>
      </c>
      <c r="R7587">
        <v>0.38024229999999998</v>
      </c>
      <c r="S7587">
        <v>2.9782709999999999</v>
      </c>
      <c r="T7587">
        <v>-0.28618349999999998</v>
      </c>
      <c r="U7587">
        <v>0.60906979999999999</v>
      </c>
      <c r="V7587">
        <v>-0.28642640000000003</v>
      </c>
      <c r="W7587">
        <v>-4.3450830000000003E-2</v>
      </c>
      <c r="X7587">
        <v>0.95711650000000004</v>
      </c>
      <c r="Y7587">
        <v>-0.1019567</v>
      </c>
      <c r="Z7587">
        <v>-1.227863E-3</v>
      </c>
      <c r="AA7587">
        <v>0.99478809999999995</v>
      </c>
      <c r="AB7587">
        <v>28</v>
      </c>
      <c r="AC7587">
        <v>11.489699999999999</v>
      </c>
      <c r="AD7587">
        <v>-1.1155302730600001</v>
      </c>
      <c r="AE7587">
        <v>2.35955</v>
      </c>
      <c r="AF7587">
        <v>-1.19816886647484</v>
      </c>
      <c r="AG7587">
        <v>-1.1155302730600001</v>
      </c>
      <c r="AH7587">
        <v>11.5624228498445</v>
      </c>
      <c r="AI7587">
        <v>95.481606767480798</v>
      </c>
      <c r="AJ7587">
        <v>95.916222015976999</v>
      </c>
      <c r="AK7587">
        <v>11.677741159201499</v>
      </c>
      <c r="AL7587">
        <v>92.490333144681003</v>
      </c>
      <c r="AM7587">
        <v>106.66032267173701</v>
      </c>
      <c r="AN7587">
        <v>1.0000000259084401</v>
      </c>
    </row>
    <row r="7588" spans="1:40" x14ac:dyDescent="0.25">
      <c r="A7588" t="str">
        <f>"20190305135110565"</f>
        <v>20190305135110565</v>
      </c>
      <c r="B7588" t="str">
        <f>"1551765070556978"</f>
        <v>1551765070556978</v>
      </c>
      <c r="C7588" t="s">
        <v>40</v>
      </c>
      <c r="D7588">
        <v>3.956798</v>
      </c>
      <c r="E7588">
        <v>0.57194599999999995</v>
      </c>
      <c r="F7588" t="s">
        <v>85</v>
      </c>
      <c r="G7588">
        <v>-200.53360000000001</v>
      </c>
      <c r="H7588" s="1">
        <v>-5.578252E-6</v>
      </c>
      <c r="I7588">
        <v>-59.718809999999998</v>
      </c>
      <c r="J7588">
        <v>-212.41749999999999</v>
      </c>
      <c r="K7588">
        <v>1.1156440000000001</v>
      </c>
      <c r="L7588">
        <v>-62.191499999999998</v>
      </c>
      <c r="M7588">
        <v>0.99447929999999995</v>
      </c>
      <c r="N7588">
        <v>-2.2096600000000001E-2</v>
      </c>
      <c r="O7588">
        <v>0.1025804</v>
      </c>
      <c r="P7588">
        <v>0.92097530000000005</v>
      </c>
      <c r="Q7588">
        <v>-6.1131860000000003E-2</v>
      </c>
      <c r="R7588">
        <v>0.38479550000000001</v>
      </c>
      <c r="S7588">
        <v>2.9783330000000001</v>
      </c>
      <c r="T7588">
        <v>-0.27614569999999999</v>
      </c>
      <c r="U7588">
        <v>0.61666869999999996</v>
      </c>
      <c r="V7588">
        <v>-0.28779329999999997</v>
      </c>
      <c r="W7588">
        <v>-4.3283509999999997E-2</v>
      </c>
      <c r="X7588">
        <v>0.95671390000000001</v>
      </c>
      <c r="Y7588">
        <v>-0.1009328</v>
      </c>
      <c r="Z7588">
        <v>-1.355874E-3</v>
      </c>
      <c r="AA7588">
        <v>0.99489229999999995</v>
      </c>
      <c r="AB7588">
        <v>28</v>
      </c>
      <c r="AC7588">
        <v>11.883899999999899</v>
      </c>
      <c r="AD7588">
        <v>-1.115649578252</v>
      </c>
      <c r="AE7588">
        <v>2.4726900000000001</v>
      </c>
      <c r="AF7588">
        <v>-1.2298969593593201</v>
      </c>
      <c r="AG7588">
        <v>-1.115649578252</v>
      </c>
      <c r="AH7588">
        <v>11.973740950426899</v>
      </c>
      <c r="AI7588">
        <v>95.295445376941501</v>
      </c>
      <c r="AJ7588">
        <v>95.864636277556698</v>
      </c>
      <c r="AK7588">
        <v>12.088332923113301</v>
      </c>
      <c r="AL7588">
        <v>92.480737535860598</v>
      </c>
      <c r="AM7588">
        <v>106.74204253848499</v>
      </c>
      <c r="AN7588">
        <v>0.99999996610800901</v>
      </c>
    </row>
    <row r="7589" spans="1:40" x14ac:dyDescent="0.25">
      <c r="A7589" t="str">
        <f>"20190305135110576"</f>
        <v>20190305135110576</v>
      </c>
      <c r="B7589" t="str">
        <f>"1551765070567713"</f>
        <v>1551765070567713</v>
      </c>
      <c r="C7589" t="s">
        <v>40</v>
      </c>
      <c r="D7589">
        <v>3.9055759999999999</v>
      </c>
      <c r="E7589">
        <v>0.57280769999999903</v>
      </c>
      <c r="F7589" t="s">
        <v>85</v>
      </c>
      <c r="G7589">
        <v>-199.77180000000001</v>
      </c>
      <c r="H7589" s="1">
        <v>-7.5572019999999999E-6</v>
      </c>
      <c r="I7589">
        <v>-59.554049999999997</v>
      </c>
      <c r="J7589">
        <v>-212.2895</v>
      </c>
      <c r="K7589">
        <v>1.1157520000000001</v>
      </c>
      <c r="L7589">
        <v>-62.174869999999999</v>
      </c>
      <c r="M7589">
        <v>0.99415120000000001</v>
      </c>
      <c r="N7589">
        <v>-2.2143090000000001E-2</v>
      </c>
      <c r="O7589">
        <v>0.1057034</v>
      </c>
      <c r="P7589">
        <v>0.91924669999999997</v>
      </c>
      <c r="Q7589">
        <v>-6.0986650000000003E-2</v>
      </c>
      <c r="R7589">
        <v>0.38892949999999998</v>
      </c>
      <c r="S7589">
        <v>2.98027</v>
      </c>
      <c r="T7589">
        <v>-0.26293149999999998</v>
      </c>
      <c r="U7589">
        <v>0.62158199999999997</v>
      </c>
      <c r="V7589">
        <v>-0.28907519999999998</v>
      </c>
      <c r="W7589">
        <v>-4.3188690000000002E-2</v>
      </c>
      <c r="X7589">
        <v>0.95633170000000001</v>
      </c>
      <c r="Y7589">
        <v>-9.9279560000000003E-2</v>
      </c>
      <c r="Z7589">
        <v>-1.4103779999999999E-3</v>
      </c>
      <c r="AA7589">
        <v>0.99505860000000002</v>
      </c>
      <c r="AB7589">
        <v>28</v>
      </c>
      <c r="AC7589">
        <v>12.5176999999999</v>
      </c>
      <c r="AD7589">
        <v>-1.115759557202</v>
      </c>
      <c r="AE7589">
        <v>2.6208200000000001</v>
      </c>
      <c r="AF7589">
        <v>-1.2729534418762201</v>
      </c>
      <c r="AG7589">
        <v>-1.115759557202</v>
      </c>
      <c r="AH7589">
        <v>12.6285154393829</v>
      </c>
      <c r="AI7589">
        <v>95.023781820069303</v>
      </c>
      <c r="AJ7589">
        <v>95.755968222293006</v>
      </c>
      <c r="AK7589">
        <v>12.7414572187565</v>
      </c>
      <c r="AL7589">
        <v>92.475299513220506</v>
      </c>
      <c r="AM7589">
        <v>106.81875639986799</v>
      </c>
      <c r="AN7589">
        <v>1.0000000273119201</v>
      </c>
    </row>
    <row r="7590" spans="1:40" x14ac:dyDescent="0.25">
      <c r="A7590" t="str">
        <f>"20190305135110589"</f>
        <v>20190305135110589</v>
      </c>
      <c r="B7590" t="str">
        <f>"1551765070577473"</f>
        <v>1551765070577473</v>
      </c>
      <c r="C7590" t="s">
        <v>40</v>
      </c>
      <c r="D7590">
        <v>3.960353</v>
      </c>
      <c r="E7590">
        <v>0.57335029999999998</v>
      </c>
      <c r="F7590" t="s">
        <v>85</v>
      </c>
      <c r="G7590">
        <v>-198.83709999999999</v>
      </c>
      <c r="H7590" s="1">
        <v>-7.5288779999999998E-6</v>
      </c>
      <c r="I7590">
        <v>-59.3352</v>
      </c>
      <c r="J7590">
        <v>-212.13929999999999</v>
      </c>
      <c r="K7590">
        <v>1.115874</v>
      </c>
      <c r="L7590">
        <v>-62.154969999999999</v>
      </c>
      <c r="M7590">
        <v>0.99374629999999997</v>
      </c>
      <c r="N7590">
        <v>-2.219086E-2</v>
      </c>
      <c r="O7590">
        <v>0.1094333</v>
      </c>
      <c r="P7590">
        <v>0.91739729999999997</v>
      </c>
      <c r="Q7590">
        <v>-6.1072179999999997E-2</v>
      </c>
      <c r="R7590">
        <v>0.39325900000000003</v>
      </c>
      <c r="S7590">
        <v>2.9809109999999999</v>
      </c>
      <c r="T7590">
        <v>-0.24724090000000001</v>
      </c>
      <c r="U7590">
        <v>0.62924190000000002</v>
      </c>
      <c r="V7590">
        <v>-0.28998119999999999</v>
      </c>
      <c r="W7590">
        <v>-4.3330430000000003E-2</v>
      </c>
      <c r="X7590">
        <v>0.95605090000000004</v>
      </c>
      <c r="Y7590">
        <v>-9.7978140000000005E-2</v>
      </c>
      <c r="Z7590">
        <v>-1.4001409999999999E-3</v>
      </c>
      <c r="AA7590">
        <v>0.99518759999999995</v>
      </c>
      <c r="AB7590">
        <v>27</v>
      </c>
      <c r="AC7590">
        <v>13.302199999999999</v>
      </c>
      <c r="AD7590">
        <v>-1.115881528878</v>
      </c>
      <c r="AE7590">
        <v>2.8197699999999899</v>
      </c>
      <c r="AF7590">
        <v>-1.33775513589944</v>
      </c>
      <c r="AG7590">
        <v>-1.115881528878</v>
      </c>
      <c r="AH7590">
        <v>13.4404087973146</v>
      </c>
      <c r="AI7590">
        <v>94.722831464420594</v>
      </c>
      <c r="AJ7590">
        <v>95.684061409427798</v>
      </c>
      <c r="AK7590">
        <v>13.5528361987094</v>
      </c>
      <c r="AL7590">
        <v>92.483428361427798</v>
      </c>
      <c r="AM7590">
        <v>106.873152190951</v>
      </c>
      <c r="AN7590">
        <v>0.99999997295411702</v>
      </c>
    </row>
    <row r="7591" spans="1:40" x14ac:dyDescent="0.25">
      <c r="A7591" t="str">
        <f>"20190305135110598"</f>
        <v>20190305135110598</v>
      </c>
      <c r="B7591" t="str">
        <f>"1551765070587234"</f>
        <v>1551765070587234</v>
      </c>
      <c r="C7591" t="s">
        <v>40</v>
      </c>
      <c r="D7591">
        <v>3.943845</v>
      </c>
      <c r="E7591">
        <v>0.57387969999999999</v>
      </c>
      <c r="F7591" t="s">
        <v>85</v>
      </c>
      <c r="G7591">
        <v>-198.49760000000001</v>
      </c>
      <c r="H7591" s="1">
        <v>-7.5286249999999901E-6</v>
      </c>
      <c r="I7591">
        <v>-59.2271199999999</v>
      </c>
      <c r="J7591">
        <v>-212.0292</v>
      </c>
      <c r="K7591">
        <v>1.1159600000000001</v>
      </c>
      <c r="L7591">
        <v>-62.139589999999998</v>
      </c>
      <c r="M7591">
        <v>0.99342580000000003</v>
      </c>
      <c r="N7591">
        <v>-2.2211040000000001E-2</v>
      </c>
      <c r="O7591">
        <v>0.1123021</v>
      </c>
      <c r="P7591">
        <v>0.91584790000000005</v>
      </c>
      <c r="Q7591">
        <v>-6.0871399999999999E-2</v>
      </c>
      <c r="R7591">
        <v>0.39688449999999997</v>
      </c>
      <c r="S7591">
        <v>2.979752</v>
      </c>
      <c r="T7591">
        <v>-0.2437407</v>
      </c>
      <c r="U7591">
        <v>0.63952640000000005</v>
      </c>
      <c r="V7591">
        <v>-0.29099249999999999</v>
      </c>
      <c r="W7591">
        <v>-4.3192099999999997E-2</v>
      </c>
      <c r="X7591">
        <v>0.95574990000000004</v>
      </c>
      <c r="Y7591">
        <v>-9.8474419999999993E-2</v>
      </c>
      <c r="Z7591">
        <v>-1.4676660000000001E-3</v>
      </c>
      <c r="AA7591">
        <v>0.99513850000000004</v>
      </c>
      <c r="AB7591">
        <v>27</v>
      </c>
      <c r="AC7591">
        <v>13.5315999999999</v>
      </c>
      <c r="AD7591">
        <v>-1.1159675286249999</v>
      </c>
      <c r="AE7591">
        <v>2.9124700000000101</v>
      </c>
      <c r="AF7591">
        <v>-1.36516072783001</v>
      </c>
      <c r="AG7591">
        <v>-1.1159675286249999</v>
      </c>
      <c r="AH7591">
        <v>13.684163355779299</v>
      </c>
      <c r="AI7591">
        <v>94.639325914927895</v>
      </c>
      <c r="AJ7591">
        <v>95.697096508681895</v>
      </c>
      <c r="AK7591">
        <v>13.797295897581099</v>
      </c>
      <c r="AL7591">
        <v>92.475495062809898</v>
      </c>
      <c r="AM7591">
        <v>106.933663144403</v>
      </c>
      <c r="AN7591">
        <v>1.0000000319543301</v>
      </c>
    </row>
    <row r="7592" spans="1:40" x14ac:dyDescent="0.25">
      <c r="A7592" t="str">
        <f>"20190305135110608"</f>
        <v>20190305135110608</v>
      </c>
      <c r="B7592" t="str">
        <f>"1551765070596993"</f>
        <v>1551765070596993</v>
      </c>
      <c r="C7592" t="s">
        <v>40</v>
      </c>
      <c r="D7592">
        <v>3.969849</v>
      </c>
      <c r="E7592">
        <v>0.57440100000000005</v>
      </c>
      <c r="F7592" t="s">
        <v>85</v>
      </c>
      <c r="G7592">
        <v>-198.18780000000001</v>
      </c>
      <c r="H7592" s="1">
        <v>-7.5276039999999998E-6</v>
      </c>
      <c r="I7592">
        <v>-59.130769999999998</v>
      </c>
      <c r="J7592">
        <v>-211.90899999999999</v>
      </c>
      <c r="K7592">
        <v>1.1160600000000001</v>
      </c>
      <c r="L7592">
        <v>-62.122770000000003</v>
      </c>
      <c r="M7592">
        <v>0.99306519999999998</v>
      </c>
      <c r="N7592">
        <v>-2.223135E-2</v>
      </c>
      <c r="O7592">
        <v>0.1154439</v>
      </c>
      <c r="P7592">
        <v>0.91431680000000004</v>
      </c>
      <c r="Q7592">
        <v>-6.0412630000000002E-2</v>
      </c>
      <c r="R7592">
        <v>0.40046890000000002</v>
      </c>
      <c r="S7592">
        <v>2.9790649999999999</v>
      </c>
      <c r="T7592">
        <v>-0.24018809999999999</v>
      </c>
      <c r="U7592">
        <v>0.64758300000000002</v>
      </c>
      <c r="V7592">
        <v>-0.29170390000000002</v>
      </c>
      <c r="W7592">
        <v>-4.2795899999999998E-2</v>
      </c>
      <c r="X7592">
        <v>0.95555080000000003</v>
      </c>
      <c r="Y7592">
        <v>-9.7954749999999993E-2</v>
      </c>
      <c r="Z7592">
        <v>-1.5946809999999999E-3</v>
      </c>
      <c r="AA7592">
        <v>0.99518960000000001</v>
      </c>
      <c r="AB7592">
        <v>27</v>
      </c>
      <c r="AC7592">
        <v>13.7212</v>
      </c>
      <c r="AD7592">
        <v>-1.116067527604</v>
      </c>
      <c r="AE7592">
        <v>2.9919999999999898</v>
      </c>
      <c r="AF7592">
        <v>-1.3788566917415499</v>
      </c>
      <c r="AG7592">
        <v>-1.116067527604</v>
      </c>
      <c r="AH7592">
        <v>13.8872004997073</v>
      </c>
      <c r="AI7592">
        <v>94.572406394386604</v>
      </c>
      <c r="AJ7592">
        <v>95.670299003232998</v>
      </c>
      <c r="AK7592">
        <v>14.0000425078499</v>
      </c>
      <c r="AL7592">
        <v>92.452773561532595</v>
      </c>
      <c r="AM7592">
        <v>106.976017537179</v>
      </c>
      <c r="AN7592">
        <v>0.99999999285633001</v>
      </c>
    </row>
    <row r="7593" spans="1:40" x14ac:dyDescent="0.25">
      <c r="A7593" t="str">
        <f>"20190305135110620"</f>
        <v>20190305135110620</v>
      </c>
      <c r="B7593" t="str">
        <f>"1551765070607728"</f>
        <v>1551765070607728</v>
      </c>
      <c r="C7593" t="s">
        <v>40</v>
      </c>
      <c r="D7593">
        <v>3.986586</v>
      </c>
      <c r="E7593">
        <v>0.57429019999999897</v>
      </c>
      <c r="F7593" t="s">
        <v>85</v>
      </c>
      <c r="G7593">
        <v>-197.80529999999999</v>
      </c>
      <c r="H7593" s="1">
        <v>-7.5240170000000001E-6</v>
      </c>
      <c r="I7593">
        <v>-59.0184</v>
      </c>
      <c r="J7593">
        <v>-211.779</v>
      </c>
      <c r="K7593">
        <v>1.116161</v>
      </c>
      <c r="L7593">
        <v>-62.103670000000001</v>
      </c>
      <c r="M7593">
        <v>0.99264569999999996</v>
      </c>
      <c r="N7593">
        <v>-2.2237980000000001E-2</v>
      </c>
      <c r="O7593">
        <v>0.118996</v>
      </c>
      <c r="P7593">
        <v>0.91268369999999999</v>
      </c>
      <c r="Q7593">
        <v>-5.9714299999999998E-2</v>
      </c>
      <c r="R7593">
        <v>0.40428069999999999</v>
      </c>
      <c r="S7593">
        <v>2.9784090000000001</v>
      </c>
      <c r="T7593">
        <v>-0.23569019999999999</v>
      </c>
      <c r="U7593">
        <v>0.65557860000000001</v>
      </c>
      <c r="V7593">
        <v>-0.29226419999999997</v>
      </c>
      <c r="W7593">
        <v>-4.2176020000000002E-2</v>
      </c>
      <c r="X7593">
        <v>0.95540709999999995</v>
      </c>
      <c r="Y7593">
        <v>-9.7001770000000001E-2</v>
      </c>
      <c r="Z7593">
        <v>-1.738435E-3</v>
      </c>
      <c r="AA7593">
        <v>0.99528269999999996</v>
      </c>
      <c r="AB7593">
        <v>27</v>
      </c>
      <c r="AC7593">
        <v>13.973699999999999</v>
      </c>
      <c r="AD7593">
        <v>-1.1161685240170001</v>
      </c>
      <c r="AE7593">
        <v>3.0852699999999902</v>
      </c>
      <c r="AF7593">
        <v>-1.3916454862468</v>
      </c>
      <c r="AG7593">
        <v>-1.1161685240170001</v>
      </c>
      <c r="AH7593">
        <v>14.1554722911276</v>
      </c>
      <c r="AI7593">
        <v>94.486940162144506</v>
      </c>
      <c r="AJ7593">
        <v>95.614790234053501</v>
      </c>
      <c r="AK7593">
        <v>14.2674421364966</v>
      </c>
      <c r="AL7593">
        <v>92.417225051187501</v>
      </c>
      <c r="AM7593">
        <v>107.00915495520999</v>
      </c>
      <c r="AN7593">
        <v>0.99999995299754396</v>
      </c>
    </row>
    <row r="7594" spans="1:40" x14ac:dyDescent="0.25">
      <c r="A7594" t="str">
        <f>"20190305135110632"</f>
        <v>20190305135110632</v>
      </c>
      <c r="B7594" t="str">
        <f>"1551765070627249"</f>
        <v>1551765070627249</v>
      </c>
      <c r="C7594" t="s">
        <v>40</v>
      </c>
      <c r="D7594">
        <v>3.9384359999999998</v>
      </c>
      <c r="E7594">
        <v>0.57448500000000002</v>
      </c>
      <c r="F7594" t="s">
        <v>85</v>
      </c>
      <c r="G7594">
        <v>-197.61250000000001</v>
      </c>
      <c r="H7594" s="1">
        <v>-7.5370169999999998E-6</v>
      </c>
      <c r="I7594">
        <v>-58.919600000000003</v>
      </c>
      <c r="J7594">
        <v>-211.6369</v>
      </c>
      <c r="K7594">
        <v>1.116271</v>
      </c>
      <c r="L7594">
        <v>-62.082459999999998</v>
      </c>
      <c r="M7594">
        <v>0.99216660000000001</v>
      </c>
      <c r="N7594">
        <v>-2.224017E-2</v>
      </c>
      <c r="O7594">
        <v>0.1229254</v>
      </c>
      <c r="P7594">
        <v>0.91086610000000001</v>
      </c>
      <c r="Q7594">
        <v>-5.905535E-2</v>
      </c>
      <c r="R7594">
        <v>0.4084547</v>
      </c>
      <c r="S7594">
        <v>2.9754330000000002</v>
      </c>
      <c r="T7594">
        <v>-0.23443349999999999</v>
      </c>
      <c r="U7594">
        <v>0.66876219999999997</v>
      </c>
      <c r="V7594">
        <v>-0.2928461</v>
      </c>
      <c r="W7594">
        <v>-4.1607020000000002E-2</v>
      </c>
      <c r="X7594">
        <v>0.95525389999999999</v>
      </c>
      <c r="Y7594">
        <v>-9.7476640000000003E-2</v>
      </c>
      <c r="Z7594">
        <v>-1.9022150000000001E-3</v>
      </c>
      <c r="AA7594">
        <v>0.99523600000000001</v>
      </c>
      <c r="AB7594">
        <v>27</v>
      </c>
      <c r="AC7594">
        <v>14.024399999999901</v>
      </c>
      <c r="AD7594">
        <v>-1.1162785370170001</v>
      </c>
      <c r="AE7594">
        <v>3.16285999999999</v>
      </c>
      <c r="AF7594">
        <v>-1.40600253659073</v>
      </c>
      <c r="AG7594">
        <v>-1.1162785370170001</v>
      </c>
      <c r="AH7594">
        <v>14.221140507082101</v>
      </c>
      <c r="AI7594">
        <v>94.466502184669096</v>
      </c>
      <c r="AJ7594">
        <v>95.646316711081496</v>
      </c>
      <c r="AK7594">
        <v>14.33400705411</v>
      </c>
      <c r="AL7594">
        <v>92.384594999746895</v>
      </c>
      <c r="AM7594">
        <v>107.043634549739</v>
      </c>
      <c r="AN7594">
        <v>0.99999999793185002</v>
      </c>
    </row>
    <row r="7595" spans="1:40" x14ac:dyDescent="0.25">
      <c r="A7595" t="str">
        <f>"20190305135110643"</f>
        <v>20190305135110643</v>
      </c>
      <c r="B7595" t="str">
        <f>"1551765070637009"</f>
        <v>1551765070637009</v>
      </c>
      <c r="C7595" t="s">
        <v>40</v>
      </c>
      <c r="D7595">
        <v>3.9990429999999999</v>
      </c>
      <c r="E7595">
        <v>0.57454349999999998</v>
      </c>
      <c r="F7595" t="s">
        <v>85</v>
      </c>
      <c r="G7595">
        <v>-197.2723</v>
      </c>
      <c r="H7595" s="1">
        <v>-7.5436009999999902E-6</v>
      </c>
      <c r="I7595">
        <v>-58.791809999999998</v>
      </c>
      <c r="J7595">
        <v>-211.50190000000001</v>
      </c>
      <c r="K7595">
        <v>1.1163700000000001</v>
      </c>
      <c r="L7595">
        <v>-62.061399999999999</v>
      </c>
      <c r="M7595">
        <v>0.99167850000000002</v>
      </c>
      <c r="N7595">
        <v>-2.2230610000000001E-2</v>
      </c>
      <c r="O7595">
        <v>0.12680539999999901</v>
      </c>
      <c r="P7595">
        <v>0.90908650000000002</v>
      </c>
      <c r="Q7595">
        <v>-5.8248439999999999E-2</v>
      </c>
      <c r="R7595">
        <v>0.41251539999999998</v>
      </c>
      <c r="S7595">
        <v>2.97316</v>
      </c>
      <c r="T7595">
        <v>-0.231045</v>
      </c>
      <c r="U7595">
        <v>0.68109129999999996</v>
      </c>
      <c r="V7595">
        <v>-0.29336489999999998</v>
      </c>
      <c r="W7595">
        <v>-4.0893819999999997E-2</v>
      </c>
      <c r="X7595">
        <v>0.95512549999999996</v>
      </c>
      <c r="Y7595">
        <v>-9.7678340000000002E-2</v>
      </c>
      <c r="Z7595">
        <v>-2.0202850000000001E-3</v>
      </c>
      <c r="AA7595">
        <v>0.99521599999999999</v>
      </c>
      <c r="AB7595">
        <v>27</v>
      </c>
      <c r="AC7595">
        <v>14.2296</v>
      </c>
      <c r="AD7595">
        <v>-1.1163775436009999</v>
      </c>
      <c r="AE7595">
        <v>3.26959</v>
      </c>
      <c r="AF7595">
        <v>-1.42998705162185</v>
      </c>
      <c r="AG7595">
        <v>-1.1163775436009999</v>
      </c>
      <c r="AH7595">
        <v>14.4449286756844</v>
      </c>
      <c r="AI7595">
        <v>94.397911688570005</v>
      </c>
      <c r="AJ7595">
        <v>95.653619878961607</v>
      </c>
      <c r="AK7595">
        <v>14.5584039727324</v>
      </c>
      <c r="AL7595">
        <v>92.343696845019295</v>
      </c>
      <c r="AM7595">
        <v>107.074236000762</v>
      </c>
      <c r="AN7595">
        <v>0.999999994908226</v>
      </c>
    </row>
    <row r="7596" spans="1:40" x14ac:dyDescent="0.25">
      <c r="A7596" t="str">
        <f>"20190305135110654"</f>
        <v>20190305135110654</v>
      </c>
      <c r="B7596" t="str">
        <f>"1551765070647745"</f>
        <v>1551765070647745</v>
      </c>
      <c r="C7596" t="s">
        <v>40</v>
      </c>
      <c r="D7596">
        <v>3.9761250000000001</v>
      </c>
      <c r="E7596">
        <v>0.5745808</v>
      </c>
      <c r="F7596" t="s">
        <v>85</v>
      </c>
      <c r="G7596">
        <v>-197.1909</v>
      </c>
      <c r="H7596" s="1">
        <v>-7.560076E-6</v>
      </c>
      <c r="I7596">
        <v>-58.718800000000002</v>
      </c>
      <c r="J7596">
        <v>-211.37610000000001</v>
      </c>
      <c r="K7596">
        <v>1.1164590000000001</v>
      </c>
      <c r="L7596">
        <v>-62.041319999999899</v>
      </c>
      <c r="M7596">
        <v>0.99120200000000003</v>
      </c>
      <c r="N7596">
        <v>-2.2218430000000001E-2</v>
      </c>
      <c r="O7596">
        <v>0.1304797</v>
      </c>
      <c r="P7596">
        <v>0.90734979999999998</v>
      </c>
      <c r="Q7596">
        <v>-5.7904959999999998E-2</v>
      </c>
      <c r="R7596">
        <v>0.4163693</v>
      </c>
      <c r="S7596">
        <v>2.970367</v>
      </c>
      <c r="T7596">
        <v>-0.2317139</v>
      </c>
      <c r="U7596">
        <v>0.69378660000000003</v>
      </c>
      <c r="V7596">
        <v>-0.29386980000000001</v>
      </c>
      <c r="W7596">
        <v>-4.0639290000000002E-2</v>
      </c>
      <c r="X7596">
        <v>0.95498110000000003</v>
      </c>
      <c r="Y7596">
        <v>-9.8233929999999997E-2</v>
      </c>
      <c r="Z7596">
        <v>-2.2114639999999998E-3</v>
      </c>
      <c r="AA7596">
        <v>0.99516090000000001</v>
      </c>
      <c r="AB7596">
        <v>27</v>
      </c>
      <c r="AC7596">
        <v>14.1852</v>
      </c>
      <c r="AD7596">
        <v>-1.116466560076</v>
      </c>
      <c r="AE7596">
        <v>3.3225199999999901</v>
      </c>
      <c r="AF7596">
        <v>-1.43434076852526</v>
      </c>
      <c r="AG7596">
        <v>-1.116466560076</v>
      </c>
      <c r="AH7596">
        <v>14.4128588134894</v>
      </c>
      <c r="AI7596">
        <v>94.407783559993902</v>
      </c>
      <c r="AJ7596">
        <v>95.683256120730206</v>
      </c>
      <c r="AK7596">
        <v>14.5270206924063</v>
      </c>
      <c r="AL7596">
        <v>92.329101306748598</v>
      </c>
      <c r="AM7596">
        <v>107.10434367887601</v>
      </c>
      <c r="AN7596">
        <v>0.999999956300476</v>
      </c>
    </row>
    <row r="7597" spans="1:40" x14ac:dyDescent="0.25">
      <c r="A7597" t="str">
        <f>"20190305135110664"</f>
        <v>20190305135110664</v>
      </c>
      <c r="B7597" t="str">
        <f>"1551765070657505"</f>
        <v>1551765070657505</v>
      </c>
      <c r="C7597" t="s">
        <v>40</v>
      </c>
      <c r="D7597">
        <v>4.1572170000000002</v>
      </c>
      <c r="E7597">
        <v>0.57405319999999904</v>
      </c>
      <c r="F7597" t="s">
        <v>85</v>
      </c>
      <c r="G7597">
        <v>-197.0898</v>
      </c>
      <c r="H7597" s="1">
        <v>-7.5755769999999902E-6</v>
      </c>
      <c r="I7597">
        <v>-58.642229999999998</v>
      </c>
      <c r="J7597">
        <v>-211.2567</v>
      </c>
      <c r="K7597">
        <v>1.116538</v>
      </c>
      <c r="L7597">
        <v>-62.021729999999998</v>
      </c>
      <c r="M7597">
        <v>0.99072559999999998</v>
      </c>
      <c r="N7597">
        <v>-2.2202699999999999E-2</v>
      </c>
      <c r="O7597">
        <v>0.134051799999999</v>
      </c>
      <c r="P7597">
        <v>0.90559979999999995</v>
      </c>
      <c r="Q7597">
        <v>-5.7721420000000002E-2</v>
      </c>
      <c r="R7597">
        <v>0.42018719999999998</v>
      </c>
      <c r="S7597">
        <v>2.9675289999999999</v>
      </c>
      <c r="T7597">
        <v>-0.23191110000000001</v>
      </c>
      <c r="U7597">
        <v>0.70605469999999904</v>
      </c>
      <c r="V7597">
        <v>-0.29444100000000001</v>
      </c>
      <c r="W7597">
        <v>-4.0542479999999999E-2</v>
      </c>
      <c r="X7597">
        <v>0.95480929999999997</v>
      </c>
      <c r="Y7597">
        <v>-9.8758159999999998E-2</v>
      </c>
      <c r="Z7597">
        <v>-2.3879980000000001E-3</v>
      </c>
      <c r="AA7597">
        <v>0.99510860000000001</v>
      </c>
      <c r="AB7597">
        <v>27</v>
      </c>
      <c r="AC7597">
        <v>14.166899999999901</v>
      </c>
      <c r="AD7597">
        <v>-1.116545575577</v>
      </c>
      <c r="AE7597">
        <v>3.3795000000000002</v>
      </c>
      <c r="AF7597">
        <v>-1.44094730404065</v>
      </c>
      <c r="AG7597">
        <v>-1.116545575577</v>
      </c>
      <c r="AH7597">
        <v>14.40743587103</v>
      </c>
      <c r="AI7597">
        <v>94.409531732414493</v>
      </c>
      <c r="AJ7597">
        <v>95.711395260730598</v>
      </c>
      <c r="AK7597">
        <v>14.5223004903908</v>
      </c>
      <c r="AL7597">
        <v>92.323549831683906</v>
      </c>
      <c r="AM7597">
        <v>107.13854671855201</v>
      </c>
      <c r="AN7597">
        <v>0.99999999726601996</v>
      </c>
    </row>
    <row r="7598" spans="1:40" x14ac:dyDescent="0.25">
      <c r="A7598" t="str">
        <f>"20190305135110674"</f>
        <v>20190305135110674</v>
      </c>
      <c r="B7598" t="str">
        <f>"1551765070667265"</f>
        <v>1551765070667265</v>
      </c>
      <c r="C7598" t="s">
        <v>40</v>
      </c>
      <c r="D7598">
        <v>4.1208900000000002</v>
      </c>
      <c r="E7598">
        <v>0.5736291</v>
      </c>
      <c r="F7598" t="s">
        <v>85</v>
      </c>
      <c r="G7598">
        <v>-197.64609999999999</v>
      </c>
      <c r="H7598" s="1">
        <v>-7.6160410000000001E-6</v>
      </c>
      <c r="I7598">
        <v>-58.705219999999997</v>
      </c>
      <c r="J7598">
        <v>-211.14940000000001</v>
      </c>
      <c r="K7598">
        <v>1.1166</v>
      </c>
      <c r="L7598">
        <v>-62.003720000000001</v>
      </c>
      <c r="M7598">
        <v>0.99027960000000004</v>
      </c>
      <c r="N7598">
        <v>-2.2184450000000001E-2</v>
      </c>
      <c r="O7598">
        <v>0.13731119999999999</v>
      </c>
      <c r="P7598">
        <v>0.90399549999999995</v>
      </c>
      <c r="Q7598">
        <v>-5.7984939999999999E-2</v>
      </c>
      <c r="R7598">
        <v>0.42359190000000002</v>
      </c>
      <c r="S7598">
        <v>2.9623110000000001</v>
      </c>
      <c r="T7598">
        <v>-0.2430139</v>
      </c>
      <c r="U7598">
        <v>0.72183229999999998</v>
      </c>
      <c r="V7598">
        <v>-0.29488309999999901</v>
      </c>
      <c r="W7598">
        <v>-4.088518E-2</v>
      </c>
      <c r="X7598">
        <v>0.95465829999999996</v>
      </c>
      <c r="Y7598">
        <v>-0.10087930000000001</v>
      </c>
      <c r="Z7598">
        <v>-2.7841839999999999E-3</v>
      </c>
      <c r="AA7598">
        <v>0.99489470000000002</v>
      </c>
      <c r="AB7598">
        <v>27</v>
      </c>
      <c r="AC7598">
        <v>13.503299999999999</v>
      </c>
      <c r="AD7598">
        <v>-1.1166076160409999</v>
      </c>
      <c r="AE7598">
        <v>3.29849999999999</v>
      </c>
      <c r="AF7598">
        <v>-1.40357341293053</v>
      </c>
      <c r="AG7598">
        <v>-1.1166076160409999</v>
      </c>
      <c r="AH7598">
        <v>13.739705241365</v>
      </c>
      <c r="AI7598">
        <v>94.622191383362093</v>
      </c>
      <c r="AJ7598">
        <v>95.832791290965901</v>
      </c>
      <c r="AK7598">
        <v>13.856274066764099</v>
      </c>
      <c r="AL7598">
        <v>92.343201253807294</v>
      </c>
      <c r="AM7598">
        <v>107.165324272747</v>
      </c>
      <c r="AN7598">
        <v>1.00000005518406</v>
      </c>
    </row>
    <row r="7599" spans="1:40" x14ac:dyDescent="0.25">
      <c r="A7599" t="str">
        <f>"20190305135110684"</f>
        <v>20190305135110684</v>
      </c>
      <c r="B7599" t="str">
        <f>"1551765070677025"</f>
        <v>1551765070677025</v>
      </c>
      <c r="C7599" t="s">
        <v>40</v>
      </c>
      <c r="D7599">
        <v>4.1684799999999997</v>
      </c>
      <c r="E7599">
        <v>0.57329799999999997</v>
      </c>
      <c r="F7599" t="s">
        <v>85</v>
      </c>
      <c r="G7599">
        <v>-198.09399999999999</v>
      </c>
      <c r="H7599" s="1">
        <v>-7.6483839999999906E-6</v>
      </c>
      <c r="I7599">
        <v>-58.756610000000002</v>
      </c>
      <c r="J7599">
        <v>-211.01650000000001</v>
      </c>
      <c r="K7599">
        <v>1.1166750000000001</v>
      </c>
      <c r="L7599">
        <v>-61.980710000000002</v>
      </c>
      <c r="M7599">
        <v>0.98969859999999998</v>
      </c>
      <c r="N7599">
        <v>-2.2155000000000001E-2</v>
      </c>
      <c r="O7599">
        <v>0.1414427</v>
      </c>
      <c r="P7599">
        <v>0.90197229999999995</v>
      </c>
      <c r="Q7599">
        <v>-5.8473860000000003E-2</v>
      </c>
      <c r="R7599">
        <v>0.42781659999999999</v>
      </c>
      <c r="S7599">
        <v>2.9576720000000001</v>
      </c>
      <c r="T7599">
        <v>-0.252965</v>
      </c>
      <c r="U7599">
        <v>0.73562620000000001</v>
      </c>
      <c r="V7599">
        <v>-0.29535339999999999</v>
      </c>
      <c r="W7599">
        <v>-4.1474249999999997E-2</v>
      </c>
      <c r="X7599">
        <v>0.95448739999999999</v>
      </c>
      <c r="Y7599">
        <v>-0.1014621</v>
      </c>
      <c r="Z7599">
        <v>-3.2994330000000001E-3</v>
      </c>
      <c r="AA7599">
        <v>0.99483390000000005</v>
      </c>
      <c r="AB7599">
        <v>27</v>
      </c>
      <c r="AC7599">
        <v>12.9224999999999</v>
      </c>
      <c r="AD7599">
        <v>-1.116682648384</v>
      </c>
      <c r="AE7599">
        <v>3.2241</v>
      </c>
      <c r="AF7599">
        <v>-1.3539108146707799</v>
      </c>
      <c r="AG7599">
        <v>-1.116682648384</v>
      </c>
      <c r="AH7599">
        <v>13.1561713985901</v>
      </c>
      <c r="AI7599">
        <v>94.826212070641105</v>
      </c>
      <c r="AJ7599">
        <v>95.875664767076501</v>
      </c>
      <c r="AK7599">
        <v>13.272712627807699</v>
      </c>
      <c r="AL7599">
        <v>92.376981332188805</v>
      </c>
      <c r="AM7599">
        <v>107.1939847463</v>
      </c>
      <c r="AN7599">
        <v>0.99999997053168999</v>
      </c>
    </row>
    <row r="7600" spans="1:40" x14ac:dyDescent="0.25">
      <c r="A7600" t="str">
        <f>"20190305135110694"</f>
        <v>20190305135110694</v>
      </c>
      <c r="B7600" t="str">
        <f>"1551765070686785"</f>
        <v>1551765070686785</v>
      </c>
      <c r="C7600" t="s">
        <v>40</v>
      </c>
      <c r="D7600">
        <v>4.133591</v>
      </c>
      <c r="E7600">
        <v>0.57298499999999997</v>
      </c>
      <c r="F7600" t="s">
        <v>85</v>
      </c>
      <c r="G7600">
        <v>-198.51169999999999</v>
      </c>
      <c r="H7600" s="1">
        <v>-7.6806760000000002E-6</v>
      </c>
      <c r="I7600">
        <v>-58.798450000000003</v>
      </c>
      <c r="J7600">
        <v>-210.90360000000001</v>
      </c>
      <c r="K7600">
        <v>1.1167389999999999</v>
      </c>
      <c r="L7600">
        <v>-61.96069</v>
      </c>
      <c r="M7600">
        <v>0.98918130000000004</v>
      </c>
      <c r="N7600">
        <v>-2.2119940000000001E-2</v>
      </c>
      <c r="O7600">
        <v>0.14502109999999999</v>
      </c>
      <c r="P7600">
        <v>0.90006730000000001</v>
      </c>
      <c r="Q7600">
        <v>-5.9287800000000002E-2</v>
      </c>
      <c r="R7600">
        <v>0.4316989</v>
      </c>
      <c r="S7600">
        <v>2.9525450000000002</v>
      </c>
      <c r="T7600">
        <v>-0.26366309999999998</v>
      </c>
      <c r="U7600">
        <v>0.75137330000000002</v>
      </c>
      <c r="V7600">
        <v>-0.29600189999999998</v>
      </c>
      <c r="W7600">
        <v>-4.2387670000000002E-2</v>
      </c>
      <c r="X7600">
        <v>0.95424640000000005</v>
      </c>
      <c r="Y7600">
        <v>-0.1032547</v>
      </c>
      <c r="Z7600">
        <v>-3.7631779999999998E-3</v>
      </c>
      <c r="AA7600">
        <v>0.99464790000000003</v>
      </c>
      <c r="AB7600">
        <v>27</v>
      </c>
      <c r="AC7600">
        <v>12.3919</v>
      </c>
      <c r="AD7600">
        <v>-1.116746680676</v>
      </c>
      <c r="AE7600">
        <v>3.1622399999999899</v>
      </c>
      <c r="AF7600">
        <v>-1.3211934089546</v>
      </c>
      <c r="AG7600">
        <v>-1.116746680676</v>
      </c>
      <c r="AH7600">
        <v>12.6232875845989</v>
      </c>
      <c r="AI7600">
        <v>95.028310318885602</v>
      </c>
      <c r="AJ7600">
        <v>95.975004309403502</v>
      </c>
      <c r="AK7600">
        <v>12.7412740578074</v>
      </c>
      <c r="AL7600">
        <v>92.429362405531094</v>
      </c>
      <c r="AM7600">
        <v>107.23359796235501</v>
      </c>
      <c r="AN7600">
        <v>1.0000000156422899</v>
      </c>
    </row>
    <row r="7601" spans="1:40" x14ac:dyDescent="0.25">
      <c r="A7601" t="str">
        <f>"20190305135110706"</f>
        <v>20190305135110706</v>
      </c>
      <c r="B7601" t="str">
        <f>"1551765070697521"</f>
        <v>1551765070697521</v>
      </c>
      <c r="C7601" t="s">
        <v>40</v>
      </c>
      <c r="D7601">
        <v>4.1524979999999996</v>
      </c>
      <c r="E7601">
        <v>0.57264820000000005</v>
      </c>
      <c r="F7601" t="s">
        <v>85</v>
      </c>
      <c r="G7601">
        <v>-198.94890000000001</v>
      </c>
      <c r="H7601" s="1">
        <v>-7.710266E-6</v>
      </c>
      <c r="I7601">
        <v>-58.8542699999999</v>
      </c>
      <c r="J7601">
        <v>-210.7765</v>
      </c>
      <c r="K7601">
        <v>1.116806</v>
      </c>
      <c r="L7601">
        <v>-61.937620000000003</v>
      </c>
      <c r="M7601">
        <v>0.98857280000000003</v>
      </c>
      <c r="N7601">
        <v>-2.2070559999999999E-2</v>
      </c>
      <c r="O7601">
        <v>0.14912020000000001</v>
      </c>
      <c r="P7601">
        <v>0.89806010000000003</v>
      </c>
      <c r="Q7601">
        <v>-5.9588670000000003E-2</v>
      </c>
      <c r="R7601">
        <v>0.43581799999999998</v>
      </c>
      <c r="S7601">
        <v>2.9475859999999998</v>
      </c>
      <c r="T7601">
        <v>-0.27534839999999999</v>
      </c>
      <c r="U7601">
        <v>0.76593020000000001</v>
      </c>
      <c r="V7601">
        <v>-0.29640709999999998</v>
      </c>
      <c r="W7601">
        <v>-4.2801480000000003E-2</v>
      </c>
      <c r="X7601">
        <v>0.95410220000000001</v>
      </c>
      <c r="Y7601">
        <v>-0.1041417</v>
      </c>
      <c r="Z7601">
        <v>-4.3674320000000001E-3</v>
      </c>
      <c r="AA7601">
        <v>0.99455289999999996</v>
      </c>
      <c r="AB7601">
        <v>26</v>
      </c>
      <c r="AC7601">
        <v>11.827599999999901</v>
      </c>
      <c r="AD7601">
        <v>-1.1168137102660001</v>
      </c>
      <c r="AE7601">
        <v>3.0833499999999998</v>
      </c>
      <c r="AF7601">
        <v>-1.2740581242173401</v>
      </c>
      <c r="AG7601">
        <v>-1.1168137102660001</v>
      </c>
      <c r="AH7601">
        <v>12.0545549038758</v>
      </c>
      <c r="AI7601">
        <v>95.263996901710996</v>
      </c>
      <c r="AJ7601">
        <v>96.033250542370794</v>
      </c>
      <c r="AK7601">
        <v>12.173035401980799</v>
      </c>
      <c r="AL7601">
        <v>92.453093371343797</v>
      </c>
      <c r="AM7601">
        <v>107.258242279911</v>
      </c>
      <c r="AN7601">
        <v>1.00000007183271</v>
      </c>
    </row>
    <row r="7602" spans="1:40" x14ac:dyDescent="0.25">
      <c r="A7602" t="str">
        <f>"20190305135110718"</f>
        <v>20190305135110718</v>
      </c>
      <c r="B7602" t="str">
        <f>"1551765070707281"</f>
        <v>1551765070707281</v>
      </c>
      <c r="C7602" t="s">
        <v>40</v>
      </c>
      <c r="D7602">
        <v>4.1193419999999996</v>
      </c>
      <c r="E7602">
        <v>0.57257590000000003</v>
      </c>
      <c r="F7602" t="s">
        <v>85</v>
      </c>
      <c r="G7602">
        <v>-199.16849999999999</v>
      </c>
      <c r="H7602" s="1">
        <v>-7.7348680000000002E-6</v>
      </c>
      <c r="I7602">
        <v>-58.854529999999997</v>
      </c>
      <c r="J7602">
        <v>-210.64760000000001</v>
      </c>
      <c r="K7602">
        <v>1.116873</v>
      </c>
      <c r="L7602">
        <v>-61.913420000000002</v>
      </c>
      <c r="M7602">
        <v>0.98792329999999995</v>
      </c>
      <c r="N7602">
        <v>-2.2005090000000001E-2</v>
      </c>
      <c r="O7602">
        <v>0.15337329999999999</v>
      </c>
      <c r="P7602">
        <v>0.89584730000000001</v>
      </c>
      <c r="Q7602">
        <v>-5.978402E-2</v>
      </c>
      <c r="R7602">
        <v>0.4403222</v>
      </c>
      <c r="S7602">
        <v>2.9424899999999998</v>
      </c>
      <c r="T7602">
        <v>-0.28309859999999998</v>
      </c>
      <c r="U7602">
        <v>0.78152469999999996</v>
      </c>
      <c r="V7602">
        <v>-0.2970815</v>
      </c>
      <c r="W7602">
        <v>-4.3131019999999999E-2</v>
      </c>
      <c r="X7602">
        <v>0.95387750000000004</v>
      </c>
      <c r="Y7602">
        <v>-0.1052159</v>
      </c>
      <c r="Z7602">
        <v>-4.8737629999999997E-3</v>
      </c>
      <c r="AA7602">
        <v>0.99443749999999997</v>
      </c>
      <c r="AB7602">
        <v>26</v>
      </c>
      <c r="AC7602">
        <v>11.479100000000001</v>
      </c>
      <c r="AD7602">
        <v>-1.1168807348680001</v>
      </c>
      <c r="AE7602">
        <v>3.0588899999999901</v>
      </c>
      <c r="AF7602">
        <v>-1.2506125228086999</v>
      </c>
      <c r="AG7602">
        <v>-1.1168807348680001</v>
      </c>
      <c r="AH7602">
        <v>11.7089863127017</v>
      </c>
      <c r="AI7602">
        <v>95.418133517661602</v>
      </c>
      <c r="AJ7602">
        <v>96.096530447029096</v>
      </c>
      <c r="AK7602">
        <v>11.8284324713447</v>
      </c>
      <c r="AL7602">
        <v>92.471992266841397</v>
      </c>
      <c r="AM7602">
        <v>107.299000347545</v>
      </c>
      <c r="AN7602">
        <v>0.99999999376737003</v>
      </c>
    </row>
    <row r="7603" spans="1:40" x14ac:dyDescent="0.25">
      <c r="A7603" t="str">
        <f>"20190305135110727"</f>
        <v>20190305135110727</v>
      </c>
      <c r="B7603" t="str">
        <f>"1551765070717044"</f>
        <v>1551765070717044</v>
      </c>
      <c r="C7603" t="s">
        <v>40</v>
      </c>
      <c r="D7603">
        <v>4.0819960000000002</v>
      </c>
      <c r="E7603">
        <v>0.57255299999999998</v>
      </c>
      <c r="F7603" t="s">
        <v>85</v>
      </c>
      <c r="G7603">
        <v>-199.29949999999999</v>
      </c>
      <c r="H7603" s="1">
        <v>-7.7557040000000002E-6</v>
      </c>
      <c r="I7603">
        <v>-58.837159999999997</v>
      </c>
      <c r="J7603">
        <v>-210.52359999999999</v>
      </c>
      <c r="K7603">
        <v>1.116938</v>
      </c>
      <c r="L7603">
        <v>-61.889800000000001</v>
      </c>
      <c r="M7603">
        <v>0.98727419999999999</v>
      </c>
      <c r="N7603">
        <v>-2.1934800000000001E-2</v>
      </c>
      <c r="O7603">
        <v>0.15750699999999901</v>
      </c>
      <c r="P7603">
        <v>0.89372399999999996</v>
      </c>
      <c r="Q7603">
        <v>-5.9503849999999997E-2</v>
      </c>
      <c r="R7603">
        <v>0.44465349999999998</v>
      </c>
      <c r="S7603">
        <v>2.938034</v>
      </c>
      <c r="T7603">
        <v>-0.28916140000000001</v>
      </c>
      <c r="U7603">
        <v>0.79644780000000004</v>
      </c>
      <c r="V7603">
        <v>-0.29769790000000002</v>
      </c>
      <c r="W7603">
        <v>-4.298548E-2</v>
      </c>
      <c r="X7603">
        <v>0.95369190000000004</v>
      </c>
      <c r="Y7603">
        <v>-0.1061459</v>
      </c>
      <c r="Z7603">
        <v>-5.3411860000000004E-3</v>
      </c>
      <c r="AA7603">
        <v>0.9943362</v>
      </c>
      <c r="AB7603">
        <v>26</v>
      </c>
      <c r="AC7603">
        <v>11.2240999999999</v>
      </c>
      <c r="AD7603">
        <v>-1.1169457557039999</v>
      </c>
      <c r="AE7603">
        <v>3.0526399999999998</v>
      </c>
      <c r="AF7603">
        <v>-1.2348321079392299</v>
      </c>
      <c r="AG7603">
        <v>-1.1169457557039999</v>
      </c>
      <c r="AH7603">
        <v>11.4591961820396</v>
      </c>
      <c r="AI7603">
        <v>95.535278693473401</v>
      </c>
      <c r="AJ7603">
        <v>96.150405911041304</v>
      </c>
      <c r="AK7603">
        <v>11.5795317389977</v>
      </c>
      <c r="AL7603">
        <v>92.463645644198294</v>
      </c>
      <c r="AM7603">
        <v>107.335916190478</v>
      </c>
      <c r="AN7603">
        <v>1.0000000156404201</v>
      </c>
    </row>
    <row r="7604" spans="1:40" x14ac:dyDescent="0.25">
      <c r="A7604" t="str">
        <f>"20190305135110742"</f>
        <v>20190305135110742</v>
      </c>
      <c r="B7604" t="str">
        <f>"1551765070737537"</f>
        <v>1551765070737537</v>
      </c>
      <c r="C7604" t="s">
        <v>40</v>
      </c>
      <c r="D7604">
        <v>4.0809930000000003</v>
      </c>
      <c r="E7604">
        <v>0.57258690000000001</v>
      </c>
      <c r="F7604" t="s">
        <v>85</v>
      </c>
      <c r="G7604">
        <v>-199.25800000000001</v>
      </c>
      <c r="H7604" s="1">
        <v>-7.7720079999999997E-6</v>
      </c>
      <c r="I7604">
        <v>-58.777430000000003</v>
      </c>
      <c r="J7604">
        <v>-210.39789999999999</v>
      </c>
      <c r="K7604">
        <v>1.117</v>
      </c>
      <c r="L7604">
        <v>-61.864870000000003</v>
      </c>
      <c r="M7604">
        <v>0.98658009999999996</v>
      </c>
      <c r="N7604">
        <v>-2.1851260000000001E-2</v>
      </c>
      <c r="O7604">
        <v>0.16180910000000001</v>
      </c>
      <c r="P7604">
        <v>0.89146009999999998</v>
      </c>
      <c r="Q7604">
        <v>-5.8830420000000001E-2</v>
      </c>
      <c r="R7604">
        <v>0.44926369999999999</v>
      </c>
      <c r="S7604">
        <v>2.9340670000000002</v>
      </c>
      <c r="T7604">
        <v>-0.29090460000000001</v>
      </c>
      <c r="U7604">
        <v>0.81060790000000005</v>
      </c>
      <c r="V7604">
        <v>-0.2984598</v>
      </c>
      <c r="W7604">
        <v>-4.245997E-2</v>
      </c>
      <c r="X7604">
        <v>0.95347729999999997</v>
      </c>
      <c r="Y7604">
        <v>-0.1066256</v>
      </c>
      <c r="Z7604">
        <v>-5.7114449999999999E-3</v>
      </c>
      <c r="AA7604">
        <v>0.99428280000000002</v>
      </c>
      <c r="AB7604">
        <v>26</v>
      </c>
      <c r="AC7604">
        <v>11.139900000000001</v>
      </c>
      <c r="AD7604">
        <v>-1.1170077720080001</v>
      </c>
      <c r="AE7604">
        <v>3.0874399999999902</v>
      </c>
      <c r="AF7604">
        <v>-1.2322609904547699</v>
      </c>
      <c r="AG7604">
        <v>-1.1170077720080001</v>
      </c>
      <c r="AH7604">
        <v>11.386408454251701</v>
      </c>
      <c r="AI7604">
        <v>95.570474894241201</v>
      </c>
      <c r="AJ7604">
        <v>96.176630600900396</v>
      </c>
      <c r="AK7604">
        <v>11.5072355932421</v>
      </c>
      <c r="AL7604">
        <v>92.433508584675494</v>
      </c>
      <c r="AM7604">
        <v>107.38129154977401</v>
      </c>
      <c r="AN7604">
        <v>1.00000003144186</v>
      </c>
    </row>
    <row r="7605" spans="1:40" x14ac:dyDescent="0.25">
      <c r="A7605" t="str">
        <f>"20190305135110753"</f>
        <v>20190305135110753</v>
      </c>
      <c r="B7605" t="str">
        <f>"1551765070747296"</f>
        <v>1551765070747296</v>
      </c>
      <c r="C7605" t="s">
        <v>40</v>
      </c>
      <c r="D7605">
        <v>4.162744</v>
      </c>
      <c r="E7605">
        <v>0.57262019999999902</v>
      </c>
      <c r="F7605" t="s">
        <v>85</v>
      </c>
      <c r="G7605">
        <v>-199.37289999999999</v>
      </c>
      <c r="H7605" s="1">
        <v>-7.7911239999999996E-6</v>
      </c>
      <c r="I7605">
        <v>-58.759770000000003</v>
      </c>
      <c r="J7605">
        <v>-210.25550000000001</v>
      </c>
      <c r="K7605">
        <v>1.117062</v>
      </c>
      <c r="L7605">
        <v>-61.836210000000001</v>
      </c>
      <c r="M7605">
        <v>0.98576390000000003</v>
      </c>
      <c r="N7605">
        <v>-2.175158E-2</v>
      </c>
      <c r="O7605">
        <v>0.16672290000000001</v>
      </c>
      <c r="P7605">
        <v>0.88890609999999903</v>
      </c>
      <c r="Q7605">
        <v>-5.8336350000000002E-2</v>
      </c>
      <c r="R7605">
        <v>0.45436009999999999</v>
      </c>
      <c r="S7605">
        <v>2.92984</v>
      </c>
      <c r="T7605">
        <v>-0.29683969999999998</v>
      </c>
      <c r="U7605">
        <v>0.82516480000000003</v>
      </c>
      <c r="V7605">
        <v>-0.29915950000000002</v>
      </c>
      <c r="W7605">
        <v>-4.213364E-2</v>
      </c>
      <c r="X7605">
        <v>0.95327249999999997</v>
      </c>
      <c r="Y7605">
        <v>-0.1066395</v>
      </c>
      <c r="Z7605">
        <v>-6.3204089999999999E-3</v>
      </c>
      <c r="AA7605">
        <v>0.99427770000000004</v>
      </c>
      <c r="AB7605">
        <v>26</v>
      </c>
      <c r="AC7605">
        <v>10.8826</v>
      </c>
      <c r="AD7605">
        <v>-1.117069791124</v>
      </c>
      <c r="AE7605">
        <v>3.0764399999999901</v>
      </c>
      <c r="AF7605">
        <v>-1.20677884048491</v>
      </c>
      <c r="AG7605">
        <v>-1.117069791124</v>
      </c>
      <c r="AH7605">
        <v>11.134608936163501</v>
      </c>
      <c r="AI7605">
        <v>95.695845137727702</v>
      </c>
      <c r="AJ7605">
        <v>96.185623413084897</v>
      </c>
      <c r="AK7605">
        <v>11.2553843225976</v>
      </c>
      <c r="AL7605">
        <v>92.4147944499353</v>
      </c>
      <c r="AM7605">
        <v>107.42309328337301</v>
      </c>
      <c r="AN7605">
        <v>1.0000000546580701</v>
      </c>
    </row>
    <row r="7606" spans="1:40" x14ac:dyDescent="0.25">
      <c r="A7606" t="str">
        <f>"20190305135110762"</f>
        <v>20190305135110762</v>
      </c>
      <c r="B7606" t="str">
        <f>"1551765070757057"</f>
        <v>1551765070757057</v>
      </c>
      <c r="C7606" t="s">
        <v>40</v>
      </c>
      <c r="D7606">
        <v>4.8521570000000001</v>
      </c>
      <c r="E7606">
        <v>0.57199750000000005</v>
      </c>
      <c r="F7606" t="s">
        <v>85</v>
      </c>
      <c r="G7606">
        <v>-199.4033</v>
      </c>
      <c r="H7606" s="1">
        <v>-7.81031999999999E-6</v>
      </c>
      <c r="I7606">
        <v>-58.71481</v>
      </c>
      <c r="J7606">
        <v>-210.13499999999999</v>
      </c>
      <c r="K7606">
        <v>1.1171089999999999</v>
      </c>
      <c r="L7606">
        <v>-61.811039999999998</v>
      </c>
      <c r="M7606">
        <v>0.98503680000000005</v>
      </c>
      <c r="N7606">
        <v>-2.1658130000000001E-2</v>
      </c>
      <c r="O7606">
        <v>0.1709773</v>
      </c>
      <c r="P7606">
        <v>0.88666579999999995</v>
      </c>
      <c r="Q7606">
        <v>-5.8145179999999998E-2</v>
      </c>
      <c r="R7606">
        <v>0.4587406</v>
      </c>
      <c r="S7606">
        <v>2.9251100000000001</v>
      </c>
      <c r="T7606">
        <v>-0.30109419999999998</v>
      </c>
      <c r="U7606">
        <v>0.84133910000000001</v>
      </c>
      <c r="V7606">
        <v>-0.29974000000000001</v>
      </c>
      <c r="W7606">
        <v>-4.2089290000000001E-2</v>
      </c>
      <c r="X7606">
        <v>0.95309200000000005</v>
      </c>
      <c r="Y7606">
        <v>-0.1078601</v>
      </c>
      <c r="Z7606">
        <v>-6.759167E-3</v>
      </c>
      <c r="AA7606">
        <v>0.99414309999999995</v>
      </c>
      <c r="AB7606">
        <v>26</v>
      </c>
      <c r="AC7606">
        <v>10.731699999999901</v>
      </c>
      <c r="AD7606">
        <v>-1.11711681032</v>
      </c>
      <c r="AE7606">
        <v>3.0962299999999998</v>
      </c>
      <c r="AF7606">
        <v>-1.2032721056522999</v>
      </c>
      <c r="AG7606">
        <v>-1.11711681032</v>
      </c>
      <c r="AH7606">
        <v>10.993144148997599</v>
      </c>
      <c r="AI7606">
        <v>95.768228380250605</v>
      </c>
      <c r="AJ7606">
        <v>96.246533980435004</v>
      </c>
      <c r="AK7606">
        <v>11.1150812866475</v>
      </c>
      <c r="AL7606">
        <v>92.412251334803997</v>
      </c>
      <c r="AM7606">
        <v>107.45795501579801</v>
      </c>
      <c r="AN7606">
        <v>0.99999996819835102</v>
      </c>
    </row>
    <row r="7607" spans="1:40" x14ac:dyDescent="0.25">
      <c r="A7607" t="str">
        <f>"20190305135110774"</f>
        <v>20190305135110774</v>
      </c>
      <c r="B7607" t="str">
        <f>"1551765070766817"</f>
        <v>1551765070766817</v>
      </c>
      <c r="C7607" t="s">
        <v>40</v>
      </c>
      <c r="D7607">
        <v>4.2576869999999998</v>
      </c>
      <c r="E7607">
        <v>0.57199750000000005</v>
      </c>
      <c r="F7607" t="s">
        <v>85</v>
      </c>
      <c r="G7607">
        <v>-199.15860000000001</v>
      </c>
      <c r="H7607" s="1">
        <v>-7.8315499999999996E-6</v>
      </c>
      <c r="I7607">
        <v>-58.57593</v>
      </c>
      <c r="J7607">
        <v>-210.00399999999999</v>
      </c>
      <c r="K7607">
        <v>1.1171519999999999</v>
      </c>
      <c r="L7607">
        <v>-61.783140000000003</v>
      </c>
      <c r="M7607">
        <v>0.98421670000000006</v>
      </c>
      <c r="N7607">
        <v>-2.1550179999999999E-2</v>
      </c>
      <c r="O7607">
        <v>0.1756499</v>
      </c>
      <c r="P7607">
        <v>0.88397130000000002</v>
      </c>
      <c r="Q7607">
        <v>-5.8184390000000002E-2</v>
      </c>
      <c r="R7607">
        <v>0.46390690000000001</v>
      </c>
      <c r="S7607">
        <v>2.9188839999999998</v>
      </c>
      <c r="T7607">
        <v>-0.29706779999999999</v>
      </c>
      <c r="U7607">
        <v>0.86029049999999996</v>
      </c>
      <c r="V7607">
        <v>-0.30076969999999997</v>
      </c>
      <c r="W7607">
        <v>-4.230043E-2</v>
      </c>
      <c r="X7607">
        <v>0.95275829999999995</v>
      </c>
      <c r="Y7607">
        <v>-0.109658199999999</v>
      </c>
      <c r="Z7607">
        <v>-6.8847989999999996E-3</v>
      </c>
      <c r="AA7607">
        <v>0.99394550000000004</v>
      </c>
      <c r="AB7607">
        <v>26</v>
      </c>
      <c r="AC7607">
        <v>10.8454</v>
      </c>
      <c r="AD7607">
        <v>-1.11715983155</v>
      </c>
      <c r="AE7607">
        <v>3.2072099999999901</v>
      </c>
      <c r="AF7607">
        <v>-1.2397900547563401</v>
      </c>
      <c r="AG7607">
        <v>-1.11715983155</v>
      </c>
      <c r="AH7607">
        <v>11.131567218172099</v>
      </c>
      <c r="AI7607">
        <v>95.6960071829713</v>
      </c>
      <c r="AJ7607">
        <v>96.355186413350296</v>
      </c>
      <c r="AK7607">
        <v>11.255972379220999</v>
      </c>
      <c r="AL7607">
        <v>92.424359330573694</v>
      </c>
      <c r="AM7607">
        <v>107.520026459844</v>
      </c>
      <c r="AN7607">
        <v>1.0000000585175799</v>
      </c>
    </row>
    <row r="7608" spans="1:40" x14ac:dyDescent="0.25">
      <c r="A7608" t="str">
        <f>"20190305135110784"</f>
        <v>20190305135110784</v>
      </c>
      <c r="B7608" t="str">
        <f>"1551765070777554"</f>
        <v>1551765070777554</v>
      </c>
      <c r="C7608" t="s">
        <v>40</v>
      </c>
      <c r="D7608">
        <v>4.1124219999999996</v>
      </c>
      <c r="E7608">
        <v>0.50279070000000003</v>
      </c>
      <c r="F7608" t="s">
        <v>85</v>
      </c>
      <c r="G7608">
        <v>-199.03569999999999</v>
      </c>
      <c r="H7608" s="1">
        <v>-7.8510509999999994E-6</v>
      </c>
      <c r="I7608">
        <v>-58.480980000000002</v>
      </c>
      <c r="J7608">
        <v>-209.88990000000001</v>
      </c>
      <c r="K7608">
        <v>1.1171869999999999</v>
      </c>
      <c r="L7608">
        <v>-61.758240000000001</v>
      </c>
      <c r="M7608">
        <v>0.98347300000000004</v>
      </c>
      <c r="N7608">
        <v>-2.144882E-2</v>
      </c>
      <c r="O7608">
        <v>0.17977989999999999</v>
      </c>
      <c r="P7608">
        <v>0.88163950000000002</v>
      </c>
      <c r="Q7608">
        <v>-5.816284E-2</v>
      </c>
      <c r="R7608">
        <v>0.46832570000000001</v>
      </c>
      <c r="S7608">
        <v>2.9138639999999998</v>
      </c>
      <c r="T7608">
        <v>-0.29678700000000002</v>
      </c>
      <c r="U7608">
        <v>0.87725830000000005</v>
      </c>
      <c r="V7608">
        <v>-0.30153170000000001</v>
      </c>
      <c r="W7608">
        <v>-4.2429099999999997E-2</v>
      </c>
      <c r="X7608">
        <v>0.95251169999999996</v>
      </c>
      <c r="Y7608">
        <v>-0.11126999999999999</v>
      </c>
      <c r="Z7608">
        <v>-7.1200219999999897E-3</v>
      </c>
      <c r="AA7608">
        <v>0.99376469999999995</v>
      </c>
      <c r="AB7608">
        <v>26</v>
      </c>
      <c r="AC7608">
        <v>10.854200000000001</v>
      </c>
      <c r="AD7608">
        <v>-1.1171948510509999</v>
      </c>
      <c r="AE7608">
        <v>3.2772599999999898</v>
      </c>
      <c r="AF7608">
        <v>-1.2597911212032</v>
      </c>
      <c r="AG7608">
        <v>-1.1171948510509999</v>
      </c>
      <c r="AH7608">
        <v>11.158255121077101</v>
      </c>
      <c r="AI7608">
        <v>95.681695848165404</v>
      </c>
      <c r="AJ7608">
        <v>96.441539883888197</v>
      </c>
      <c r="AK7608">
        <v>11.284584855072</v>
      </c>
      <c r="AL7608">
        <v>92.431738183022304</v>
      </c>
      <c r="AM7608">
        <v>107.565955348576</v>
      </c>
      <c r="AN7608">
        <v>1.0000000666342901</v>
      </c>
    </row>
    <row r="7609" spans="1:40" x14ac:dyDescent="0.25">
      <c r="A7609" t="str">
        <f>"20190305135110796"</f>
        <v>20190305135110796</v>
      </c>
      <c r="B7609" t="str">
        <f>"1551765070787313"</f>
        <v>1551765070787313</v>
      </c>
      <c r="C7609" t="s">
        <v>40</v>
      </c>
      <c r="D7609">
        <v>4.0709049999999998</v>
      </c>
      <c r="E7609">
        <v>0.4913882</v>
      </c>
      <c r="F7609" t="s">
        <v>85</v>
      </c>
      <c r="G7609">
        <v>-196.0549</v>
      </c>
      <c r="H7609" s="1">
        <v>-8.8968089999999904E-6</v>
      </c>
      <c r="I7609">
        <v>-54.546480000000003</v>
      </c>
      <c r="J7609">
        <v>-209.7672</v>
      </c>
      <c r="K7609">
        <v>1.117219</v>
      </c>
      <c r="L7609">
        <v>-61.730800000000002</v>
      </c>
      <c r="M7609">
        <v>0.9826435</v>
      </c>
      <c r="N7609">
        <v>-2.1333789999999998E-2</v>
      </c>
      <c r="O7609">
        <v>0.18427360000000001</v>
      </c>
      <c r="P7609">
        <v>0.87882280000000002</v>
      </c>
      <c r="Q7609">
        <v>-5.830656E-2</v>
      </c>
      <c r="R7609">
        <v>0.47357260000000001</v>
      </c>
      <c r="S7609">
        <v>2.6537630000000001</v>
      </c>
      <c r="T7609">
        <v>-0.21429609999999999</v>
      </c>
      <c r="U7609">
        <v>1.3833310000000001</v>
      </c>
      <c r="V7609">
        <v>-0.30284620000000001</v>
      </c>
      <c r="W7609">
        <v>-4.2748050000000003E-2</v>
      </c>
      <c r="X7609">
        <v>0.95208020000000004</v>
      </c>
      <c r="Y7609">
        <v>-0.29015639999999998</v>
      </c>
      <c r="Z7609">
        <v>4.2858849999999997E-3</v>
      </c>
      <c r="AA7609">
        <v>0.95696970000000003</v>
      </c>
      <c r="AB7609">
        <v>26</v>
      </c>
      <c r="AC7609">
        <v>13.712300000000001</v>
      </c>
      <c r="AD7609">
        <v>-1.1172278968089999</v>
      </c>
      <c r="AE7609">
        <v>7.1843199999999996</v>
      </c>
      <c r="AF7609">
        <v>-4.5103493924912197</v>
      </c>
      <c r="AG7609">
        <v>-1.1172278968089999</v>
      </c>
      <c r="AH7609">
        <v>14.724854725769999</v>
      </c>
      <c r="AI7609">
        <v>94.149342714889897</v>
      </c>
      <c r="AJ7609">
        <v>107.030276052071</v>
      </c>
      <c r="AK7609">
        <v>15.440621636151301</v>
      </c>
      <c r="AL7609">
        <v>92.450029523025293</v>
      </c>
      <c r="AM7609">
        <v>107.645292788417</v>
      </c>
      <c r="AN7609">
        <v>0.99999996193263996</v>
      </c>
    </row>
    <row r="7610" spans="1:40" x14ac:dyDescent="0.25">
      <c r="A7610" t="str">
        <f>"20190305135110806"</f>
        <v>20190305135110806</v>
      </c>
      <c r="B7610" t="str">
        <f>"1551765070797073"</f>
        <v>1551765070797073</v>
      </c>
      <c r="C7610" t="s">
        <v>40</v>
      </c>
      <c r="D7610">
        <v>4.227214</v>
      </c>
      <c r="E7610">
        <v>0.48539510000000002</v>
      </c>
      <c r="F7610" t="s">
        <v>85</v>
      </c>
      <c r="G7610">
        <v>-194.2259</v>
      </c>
      <c r="H7610" s="1">
        <v>-9.3124829999999995E-6</v>
      </c>
      <c r="I7610">
        <v>-52.8917</v>
      </c>
      <c r="J7610">
        <v>-209.64940000000001</v>
      </c>
      <c r="K7610">
        <v>1.117246</v>
      </c>
      <c r="L7610">
        <v>-61.703980000000001</v>
      </c>
      <c r="M7610">
        <v>0.98181949999999996</v>
      </c>
      <c r="N7610">
        <v>-2.121878E-2</v>
      </c>
      <c r="O7610">
        <v>0.18862780000000001</v>
      </c>
      <c r="P7610">
        <v>0.87620159999999903</v>
      </c>
      <c r="Q7610">
        <v>-5.8054370000000001E-2</v>
      </c>
      <c r="R7610">
        <v>0.47843540000000001</v>
      </c>
      <c r="S7610">
        <v>2.603348</v>
      </c>
      <c r="T7610">
        <v>-0.1871485</v>
      </c>
      <c r="U7610">
        <v>1.4806520000000001</v>
      </c>
      <c r="V7610">
        <v>-0.30389539999999998</v>
      </c>
      <c r="W7610">
        <v>-4.2660749999999997E-2</v>
      </c>
      <c r="X7610">
        <v>0.95174979999999998</v>
      </c>
      <c r="Y7610">
        <v>-0.32083309999999998</v>
      </c>
      <c r="Z7610">
        <v>5.764796E-3</v>
      </c>
      <c r="AA7610">
        <v>0.94711820000000002</v>
      </c>
      <c r="AB7610">
        <v>26</v>
      </c>
      <c r="AC7610">
        <v>15.423500000000001</v>
      </c>
      <c r="AD7610">
        <v>-1.117255312483</v>
      </c>
      <c r="AE7610">
        <v>8.8122799999999994</v>
      </c>
      <c r="AF7610">
        <v>-5.7214264805583603</v>
      </c>
      <c r="AG7610">
        <v>-1.117255312483</v>
      </c>
      <c r="AH7610">
        <v>16.742882893024898</v>
      </c>
      <c r="AI7610">
        <v>93.613148764551696</v>
      </c>
      <c r="AJ7610">
        <v>108.86647259034901</v>
      </c>
      <c r="AK7610">
        <v>17.728708581711601</v>
      </c>
      <c r="AL7610">
        <v>92.445022897520502</v>
      </c>
      <c r="AM7610">
        <v>107.708374926942</v>
      </c>
      <c r="AN7610">
        <v>1.0000000177658801</v>
      </c>
    </row>
    <row r="7611" spans="1:40" x14ac:dyDescent="0.25">
      <c r="A7611" t="str">
        <f>"20190305135110817"</f>
        <v>20190305135110817</v>
      </c>
      <c r="B7611" t="str">
        <f>"1551765070806833"</f>
        <v>1551765070806833</v>
      </c>
      <c r="C7611" t="s">
        <v>40</v>
      </c>
      <c r="D7611">
        <v>4.1193</v>
      </c>
      <c r="E7611">
        <v>0.4798809</v>
      </c>
      <c r="F7611" t="s">
        <v>85</v>
      </c>
      <c r="G7611">
        <v>-194.4785</v>
      </c>
      <c r="H7611" s="1">
        <v>-9.4291510000000004E-6</v>
      </c>
      <c r="I7611">
        <v>-52.6402199999999</v>
      </c>
      <c r="J7611">
        <v>-209.5291</v>
      </c>
      <c r="K7611">
        <v>1.117267</v>
      </c>
      <c r="L7611">
        <v>-61.675750000000001</v>
      </c>
      <c r="M7611">
        <v>0.98094400000000004</v>
      </c>
      <c r="N7611">
        <v>-2.109434E-2</v>
      </c>
      <c r="O7611">
        <v>0.19314200000000001</v>
      </c>
      <c r="P7611">
        <v>0.87335629999999997</v>
      </c>
      <c r="Q7611">
        <v>-5.768144E-2</v>
      </c>
      <c r="R7611">
        <v>0.48365439999999998</v>
      </c>
      <c r="S7611">
        <v>2.5722049999999999</v>
      </c>
      <c r="T7611">
        <v>-0.1894284</v>
      </c>
      <c r="U7611">
        <v>1.536743</v>
      </c>
      <c r="V7611">
        <v>-0.3051893</v>
      </c>
      <c r="W7611">
        <v>-4.2464309999999998E-2</v>
      </c>
      <c r="X7611">
        <v>0.95134439999999998</v>
      </c>
      <c r="Y7611">
        <v>-0.3366613</v>
      </c>
      <c r="Z7611">
        <v>6.2123009999999999E-3</v>
      </c>
      <c r="AA7611">
        <v>0.94160529999999998</v>
      </c>
      <c r="AB7611">
        <v>26</v>
      </c>
      <c r="AC7611">
        <v>15.050599999999999</v>
      </c>
      <c r="AD7611">
        <v>-1.117276429151</v>
      </c>
      <c r="AE7611">
        <v>9.0355299999999996</v>
      </c>
      <c r="AF7611">
        <v>-5.9337353146667597</v>
      </c>
      <c r="AG7611">
        <v>-1.117276429151</v>
      </c>
      <c r="AH7611">
        <v>16.445991098062901</v>
      </c>
      <c r="AI7611">
        <v>93.656450836190302</v>
      </c>
      <c r="AJ7611">
        <v>109.839510726206</v>
      </c>
      <c r="AK7611">
        <v>17.519364845827798</v>
      </c>
      <c r="AL7611">
        <v>92.4337576786223</v>
      </c>
      <c r="AM7611">
        <v>107.786132591654</v>
      </c>
      <c r="AN7611">
        <v>0.99999994693481098</v>
      </c>
    </row>
    <row r="7612" spans="1:40" x14ac:dyDescent="0.25">
      <c r="A7612" t="str">
        <f>"20190305135110831"</f>
        <v>20190305135110831</v>
      </c>
      <c r="B7612" t="str">
        <f>"1551765070827329"</f>
        <v>1551765070827329</v>
      </c>
      <c r="C7612" t="s">
        <v>40</v>
      </c>
      <c r="D7612">
        <v>4.0034070000000002</v>
      </c>
      <c r="E7612">
        <v>0.47518529999999998</v>
      </c>
      <c r="F7612" t="s">
        <v>85</v>
      </c>
      <c r="G7612">
        <v>-192.82669999999999</v>
      </c>
      <c r="H7612" s="1">
        <v>-9.7804039999999997E-6</v>
      </c>
      <c r="I7612">
        <v>-51.220320000000001</v>
      </c>
      <c r="J7612">
        <v>-209.38939999999999</v>
      </c>
      <c r="K7612">
        <v>1.117292</v>
      </c>
      <c r="L7612">
        <v>-61.64255</v>
      </c>
      <c r="M7612">
        <v>0.97989440000000005</v>
      </c>
      <c r="N7612">
        <v>-2.0945390000000001E-2</v>
      </c>
      <c r="O7612">
        <v>0.19841429999999999</v>
      </c>
      <c r="P7612">
        <v>0.87011070000000001</v>
      </c>
      <c r="Q7612">
        <v>-5.7189459999999998E-2</v>
      </c>
      <c r="R7612">
        <v>0.48952709999999999</v>
      </c>
      <c r="S7612">
        <v>2.5424349999999998</v>
      </c>
      <c r="T7612">
        <v>-0.17007159999999999</v>
      </c>
      <c r="U7612">
        <v>1.5915220000000001</v>
      </c>
      <c r="V7612">
        <v>-0.30647560000000001</v>
      </c>
      <c r="W7612">
        <v>-4.2174730000000001E-2</v>
      </c>
      <c r="X7612">
        <v>0.95094369999999995</v>
      </c>
      <c r="Y7612">
        <v>-0.35118830000000001</v>
      </c>
      <c r="Z7612">
        <v>6.7122789999999998E-3</v>
      </c>
      <c r="AA7612">
        <v>0.93628080000000002</v>
      </c>
      <c r="AB7612">
        <v>26</v>
      </c>
      <c r="AC7612">
        <v>16.5627</v>
      </c>
      <c r="AD7612">
        <v>-1.117301780404</v>
      </c>
      <c r="AE7612">
        <v>10.422230000000001</v>
      </c>
      <c r="AF7612">
        <v>-6.9054172671482199</v>
      </c>
      <c r="AG7612">
        <v>-1.117301780404</v>
      </c>
      <c r="AH7612">
        <v>18.242164099705601</v>
      </c>
      <c r="AI7612">
        <v>93.278412006106194</v>
      </c>
      <c r="AJ7612">
        <v>110.73373712980801</v>
      </c>
      <c r="AK7612">
        <v>19.537392403862601</v>
      </c>
      <c r="AL7612">
        <v>92.417151054673496</v>
      </c>
      <c r="AM7612">
        <v>107.863391318247</v>
      </c>
      <c r="AN7612">
        <v>0.99999996090780996</v>
      </c>
    </row>
    <row r="7613" spans="1:40" x14ac:dyDescent="0.25">
      <c r="A7613" t="str">
        <f>"20190305135110840"</f>
        <v>20190305135110840</v>
      </c>
      <c r="B7613" t="str">
        <f>"1551765070837089"</f>
        <v>1551765070837089</v>
      </c>
      <c r="C7613" t="s">
        <v>40</v>
      </c>
      <c r="D7613">
        <v>4.0065049999999998</v>
      </c>
      <c r="E7613">
        <v>0.4747574</v>
      </c>
      <c r="F7613" t="s">
        <v>85</v>
      </c>
      <c r="G7613">
        <v>-193.61189999999999</v>
      </c>
      <c r="H7613" s="1">
        <v>-9.8149180000000007E-6</v>
      </c>
      <c r="I7613">
        <v>-51.341140000000003</v>
      </c>
      <c r="J7613">
        <v>-209.27250000000001</v>
      </c>
      <c r="K7613">
        <v>1.1173059999999999</v>
      </c>
      <c r="L7613">
        <v>-61.613680000000002</v>
      </c>
      <c r="M7613">
        <v>0.97897710000000004</v>
      </c>
      <c r="N7613">
        <v>-2.080332E-2</v>
      </c>
      <c r="O7613">
        <v>0.20290649999999999</v>
      </c>
      <c r="P7613">
        <v>0.8674868</v>
      </c>
      <c r="Q7613">
        <v>-5.6652269999999998E-2</v>
      </c>
      <c r="R7613">
        <v>0.49422379999999999</v>
      </c>
      <c r="S7613">
        <v>2.5130309999999998</v>
      </c>
      <c r="T7613">
        <v>-0.17796389999999901</v>
      </c>
      <c r="U7613">
        <v>1.640808</v>
      </c>
      <c r="V7613">
        <v>-0.30725059999999998</v>
      </c>
      <c r="W7613">
        <v>-4.1813599999999999E-2</v>
      </c>
      <c r="X7613">
        <v>0.95070960000000004</v>
      </c>
      <c r="Y7613">
        <v>-0.36468729999999999</v>
      </c>
      <c r="Z7613">
        <v>7.0055369999999896E-3</v>
      </c>
      <c r="AA7613">
        <v>0.93110369999999998</v>
      </c>
      <c r="AB7613">
        <v>26</v>
      </c>
      <c r="AC7613">
        <v>15.660600000000001</v>
      </c>
      <c r="AD7613">
        <v>-1.11731581491799</v>
      </c>
      <c r="AE7613">
        <v>10.272539999999999</v>
      </c>
      <c r="AF7613">
        <v>-6.8560328927318803</v>
      </c>
      <c r="AG7613">
        <v>-1.11731581491799</v>
      </c>
      <c r="AH7613">
        <v>17.357729112743701</v>
      </c>
      <c r="AI7613">
        <v>93.426149367351002</v>
      </c>
      <c r="AJ7613">
        <v>111.553248661328</v>
      </c>
      <c r="AK7613">
        <v>18.696104984939399</v>
      </c>
      <c r="AL7613">
        <v>92.3964414042035</v>
      </c>
      <c r="AM7613">
        <v>107.909809846359</v>
      </c>
      <c r="AN7613">
        <v>1.0000000259387301</v>
      </c>
    </row>
    <row r="7614" spans="1:40" x14ac:dyDescent="0.25">
      <c r="A7614" t="str">
        <f>"20190305135110852"</f>
        <v>20190305135110852</v>
      </c>
      <c r="B7614" t="str">
        <f>"1551765070846849"</f>
        <v>1551765070846849</v>
      </c>
      <c r="C7614" t="s">
        <v>40</v>
      </c>
      <c r="D7614">
        <v>3.9973960000000002</v>
      </c>
      <c r="E7614">
        <v>0.47449550000000001</v>
      </c>
      <c r="F7614" t="s">
        <v>85</v>
      </c>
      <c r="G7614">
        <v>-192.67670000000001</v>
      </c>
      <c r="H7614" s="1">
        <v>-9.9833259999999992E-6</v>
      </c>
      <c r="I7614">
        <v>-50.621009999999998</v>
      </c>
      <c r="J7614">
        <v>-209.15170000000001</v>
      </c>
      <c r="K7614">
        <v>1.117318</v>
      </c>
      <c r="L7614">
        <v>-61.583620000000003</v>
      </c>
      <c r="M7614">
        <v>0.97800450000000005</v>
      </c>
      <c r="N7614">
        <v>-2.0651240000000001E-2</v>
      </c>
      <c r="O7614">
        <v>0.20755970000000001</v>
      </c>
      <c r="P7614">
        <v>0.86441199999999996</v>
      </c>
      <c r="Q7614">
        <v>-5.6670310000000002E-2</v>
      </c>
      <c r="R7614">
        <v>0.49958039999999998</v>
      </c>
      <c r="S7614">
        <v>2.5027620000000002</v>
      </c>
      <c r="T7614">
        <v>-0.1684995</v>
      </c>
      <c r="U7614">
        <v>1.6577759999999999</v>
      </c>
      <c r="V7614">
        <v>-0.30860389999999999</v>
      </c>
      <c r="W7614">
        <v>-4.2031150000000003E-2</v>
      </c>
      <c r="X7614">
        <v>0.95026149999999998</v>
      </c>
      <c r="Y7614">
        <v>-0.36646260000000003</v>
      </c>
      <c r="Z7614">
        <v>6.8983269999999897E-3</v>
      </c>
      <c r="AA7614">
        <v>0.93040719999999999</v>
      </c>
      <c r="AB7614">
        <v>26</v>
      </c>
      <c r="AC7614">
        <v>16.474999999999898</v>
      </c>
      <c r="AD7614">
        <v>-1.1173279833259999</v>
      </c>
      <c r="AE7614">
        <v>10.9626099999999</v>
      </c>
      <c r="AF7614">
        <v>-7.2802829829527997</v>
      </c>
      <c r="AG7614">
        <v>-1.1173279833259999</v>
      </c>
      <c r="AH7614">
        <v>18.3334930737756</v>
      </c>
      <c r="AI7614">
        <v>93.241888013957805</v>
      </c>
      <c r="AJ7614">
        <v>111.658169713316</v>
      </c>
      <c r="AK7614">
        <v>19.757730396489698</v>
      </c>
      <c r="AL7614">
        <v>92.408917247823098</v>
      </c>
      <c r="AM7614">
        <v>107.991558454859</v>
      </c>
      <c r="AN7614">
        <v>0.99999995152388998</v>
      </c>
    </row>
    <row r="7615" spans="1:40" x14ac:dyDescent="0.25">
      <c r="A7615" t="str">
        <f>"20190305135110864"</f>
        <v>20190305135110864</v>
      </c>
      <c r="B7615" t="str">
        <f>"1551765070857585"</f>
        <v>1551765070857585</v>
      </c>
      <c r="C7615" t="s">
        <v>40</v>
      </c>
      <c r="D7615">
        <v>3.967578</v>
      </c>
      <c r="E7615">
        <v>0.4744312</v>
      </c>
      <c r="F7615" t="s">
        <v>85</v>
      </c>
      <c r="G7615">
        <v>-192.03700000000001</v>
      </c>
      <c r="H7615" s="1">
        <v>-1.517598E-6</v>
      </c>
      <c r="I7615">
        <v>-50.075969999999998</v>
      </c>
      <c r="J7615">
        <v>-209.01840000000001</v>
      </c>
      <c r="K7615">
        <v>1.1173200000000001</v>
      </c>
      <c r="L7615">
        <v>-61.549439999999997</v>
      </c>
      <c r="M7615">
        <v>0.97689150000000002</v>
      </c>
      <c r="N7615">
        <v>-2.0463209999999999E-2</v>
      </c>
      <c r="O7615">
        <v>0.212754</v>
      </c>
      <c r="P7615">
        <v>0.86116859999999995</v>
      </c>
      <c r="Q7615">
        <v>-5.7003949999999998E-2</v>
      </c>
      <c r="R7615">
        <v>0.50511309999999998</v>
      </c>
      <c r="S7615">
        <v>2.4916529999999999</v>
      </c>
      <c r="T7615">
        <v>-0.16266620000000001</v>
      </c>
      <c r="U7615">
        <v>1.675354</v>
      </c>
      <c r="V7615">
        <v>-0.30963990000000002</v>
      </c>
      <c r="W7615">
        <v>-4.259135E-2</v>
      </c>
      <c r="X7615">
        <v>0.94989959999999996</v>
      </c>
      <c r="Y7615">
        <v>-0.36799559999999998</v>
      </c>
      <c r="Z7615">
        <v>6.73831E-3</v>
      </c>
      <c r="AA7615">
        <v>0.92980309999999999</v>
      </c>
      <c r="AB7615">
        <v>26</v>
      </c>
      <c r="AC7615">
        <v>16.981400000000001</v>
      </c>
      <c r="AD7615">
        <v>-1.117321517598</v>
      </c>
      <c r="AE7615">
        <v>11.473470000000001</v>
      </c>
      <c r="AF7615">
        <v>-7.5745511482691104</v>
      </c>
      <c r="AG7615">
        <v>-1.117321517598</v>
      </c>
      <c r="AH7615">
        <v>18.977589627500901</v>
      </c>
      <c r="AI7615">
        <v>93.129885423875294</v>
      </c>
      <c r="AJ7615">
        <v>111.758491954817</v>
      </c>
      <c r="AK7615">
        <v>20.463898468797701</v>
      </c>
      <c r="AL7615">
        <v>92.441042824491106</v>
      </c>
      <c r="AM7615">
        <v>108.054476144959</v>
      </c>
      <c r="AN7615">
        <v>1.0000000704234899</v>
      </c>
    </row>
    <row r="7616" spans="1:40" x14ac:dyDescent="0.25">
      <c r="A7616" t="str">
        <f>"20190305135110875"</f>
        <v>20190305135110875</v>
      </c>
      <c r="B7616" t="str">
        <f>"1551765070867345"</f>
        <v>1551765070867345</v>
      </c>
      <c r="C7616" t="s">
        <v>40</v>
      </c>
      <c r="D7616">
        <v>3.9581</v>
      </c>
      <c r="E7616">
        <v>0.47443360000000001</v>
      </c>
      <c r="F7616" t="s">
        <v>85</v>
      </c>
      <c r="G7616">
        <v>-191.7396</v>
      </c>
      <c r="H7616" s="1">
        <v>-1.6357709999999999E-6</v>
      </c>
      <c r="I7616">
        <v>-49.764589999999998</v>
      </c>
      <c r="J7616">
        <v>-208.9074</v>
      </c>
      <c r="K7616">
        <v>1.1173139999999999</v>
      </c>
      <c r="L7616">
        <v>-61.520420000000001</v>
      </c>
      <c r="M7616">
        <v>0.97593700000000005</v>
      </c>
      <c r="N7616">
        <v>-2.029864E-2</v>
      </c>
      <c r="O7616">
        <v>0.2171062</v>
      </c>
      <c r="P7616">
        <v>0.85828769999999999</v>
      </c>
      <c r="Q7616">
        <v>-5.7237959999999997E-2</v>
      </c>
      <c r="R7616">
        <v>0.5099669</v>
      </c>
      <c r="S7616">
        <v>2.4806370000000002</v>
      </c>
      <c r="T7616">
        <v>-0.16040850000000001</v>
      </c>
      <c r="U7616">
        <v>1.6918949999999999</v>
      </c>
      <c r="V7616">
        <v>-0.3107626</v>
      </c>
      <c r="W7616">
        <v>-4.3025519999999998E-2</v>
      </c>
      <c r="X7616">
        <v>0.9495133</v>
      </c>
      <c r="Y7616">
        <v>-0.37001849999999997</v>
      </c>
      <c r="Z7616">
        <v>6.6161060000000001E-3</v>
      </c>
      <c r="AA7616">
        <v>0.92900090000000002</v>
      </c>
      <c r="AB7616">
        <v>26</v>
      </c>
      <c r="AC7616">
        <v>17.1678</v>
      </c>
      <c r="AD7616">
        <v>-1.1173156357709999</v>
      </c>
      <c r="AE7616">
        <v>11.7558299999999</v>
      </c>
      <c r="AF7616">
        <v>-7.7250335393948202</v>
      </c>
      <c r="AG7616">
        <v>-1.1173156357709999</v>
      </c>
      <c r="AH7616">
        <v>19.255407612534398</v>
      </c>
      <c r="AI7616">
        <v>93.082615867557607</v>
      </c>
      <c r="AJ7616">
        <v>111.86005158328</v>
      </c>
      <c r="AK7616">
        <v>20.7772774862242</v>
      </c>
      <c r="AL7616">
        <v>92.465941811972797</v>
      </c>
      <c r="AM7616">
        <v>108.12255750544701</v>
      </c>
      <c r="AN7616">
        <v>1.0000000479034501</v>
      </c>
    </row>
    <row r="7617" spans="1:40" x14ac:dyDescent="0.25">
      <c r="A7617" t="str">
        <f>"20190305135110884"</f>
        <v>20190305135110884</v>
      </c>
      <c r="B7617" t="str">
        <f>"1551765070877105"</f>
        <v>1551765070877105</v>
      </c>
      <c r="C7617" t="s">
        <v>40</v>
      </c>
      <c r="D7617">
        <v>3.941468</v>
      </c>
      <c r="E7617">
        <v>0.47443619999999997</v>
      </c>
      <c r="F7617" t="s">
        <v>85</v>
      </c>
      <c r="G7617">
        <v>-191.53460000000001</v>
      </c>
      <c r="H7617" s="1">
        <v>-1.7315869999999999E-6</v>
      </c>
      <c r="I7617">
        <v>-49.525709999999997</v>
      </c>
      <c r="J7617">
        <v>-208.78909999999999</v>
      </c>
      <c r="K7617">
        <v>1.1173059999999999</v>
      </c>
      <c r="L7617">
        <v>-61.488950000000003</v>
      </c>
      <c r="M7617">
        <v>0.97489219999999999</v>
      </c>
      <c r="N7617">
        <v>-2.0114360000000001E-2</v>
      </c>
      <c r="O7617">
        <v>0.22176699999999999</v>
      </c>
      <c r="P7617">
        <v>0.85518989999999995</v>
      </c>
      <c r="Q7617">
        <v>-5.775102E-2</v>
      </c>
      <c r="R7617">
        <v>0.51508750000000003</v>
      </c>
      <c r="S7617">
        <v>2.4710390000000002</v>
      </c>
      <c r="T7617">
        <v>-0.15892310000000001</v>
      </c>
      <c r="U7617">
        <v>1.7060850000000001</v>
      </c>
      <c r="V7617">
        <v>-0.31189339999999999</v>
      </c>
      <c r="W7617">
        <v>-4.3756839999999998E-2</v>
      </c>
      <c r="X7617">
        <v>0.94910899999999998</v>
      </c>
      <c r="Y7617">
        <v>-0.37089240000000001</v>
      </c>
      <c r="Z7617">
        <v>6.4235509999999996E-3</v>
      </c>
      <c r="AA7617">
        <v>0.92865370000000003</v>
      </c>
      <c r="AB7617">
        <v>25</v>
      </c>
      <c r="AC7617">
        <v>17.254499999999901</v>
      </c>
      <c r="AD7617">
        <v>-1.1173077315869999</v>
      </c>
      <c r="AE7617">
        <v>11.963240000000001</v>
      </c>
      <c r="AF7617">
        <v>-7.8158432636236297</v>
      </c>
      <c r="AG7617">
        <v>-1.1173077315869999</v>
      </c>
      <c r="AH7617">
        <v>19.423266670978201</v>
      </c>
      <c r="AI7617">
        <v>93.054729929783903</v>
      </c>
      <c r="AJ7617">
        <v>111.919653102388</v>
      </c>
      <c r="AK7617">
        <v>20.9666180072164</v>
      </c>
      <c r="AL7617">
        <v>92.507882922289397</v>
      </c>
      <c r="AM7617">
        <v>108.191404899868</v>
      </c>
      <c r="AN7617">
        <v>1.0000000239456699</v>
      </c>
    </row>
    <row r="7618" spans="1:40" x14ac:dyDescent="0.25">
      <c r="A7618" t="str">
        <f>"20190305135110896"</f>
        <v>20190305135110896</v>
      </c>
      <c r="B7618" t="str">
        <f>"1551765070886865"</f>
        <v>1551765070886865</v>
      </c>
      <c r="C7618" t="s">
        <v>40</v>
      </c>
      <c r="D7618">
        <v>3.9728940000000001</v>
      </c>
      <c r="E7618">
        <v>0.47463959999999999</v>
      </c>
      <c r="F7618" t="s">
        <v>85</v>
      </c>
      <c r="G7618">
        <v>-191.4289</v>
      </c>
      <c r="H7618" s="1">
        <v>-1.812913E-6</v>
      </c>
      <c r="I7618">
        <v>-49.348590000000002</v>
      </c>
      <c r="J7618">
        <v>-208.6738</v>
      </c>
      <c r="K7618">
        <v>1.1172869999999999</v>
      </c>
      <c r="L7618">
        <v>-61.457549999999998</v>
      </c>
      <c r="M7618">
        <v>0.97386159999999999</v>
      </c>
      <c r="N7618">
        <v>-1.9894269999999999E-2</v>
      </c>
      <c r="O7618">
        <v>0.22626930000000001</v>
      </c>
      <c r="P7618">
        <v>0.85197880000000004</v>
      </c>
      <c r="Q7618">
        <v>-5.7592770000000001E-2</v>
      </c>
      <c r="R7618">
        <v>0.5203991</v>
      </c>
      <c r="S7618">
        <v>2.4607999999999999</v>
      </c>
      <c r="T7618">
        <v>-0.1583775</v>
      </c>
      <c r="U7618">
        <v>1.7208859999999999</v>
      </c>
      <c r="V7618">
        <v>-0.31340780000000001</v>
      </c>
      <c r="W7618">
        <v>-4.3853860000000001E-2</v>
      </c>
      <c r="X7618">
        <v>0.94860549999999999</v>
      </c>
      <c r="Y7618">
        <v>-0.37217470000000002</v>
      </c>
      <c r="Z7618">
        <v>6.2280510000000001E-3</v>
      </c>
      <c r="AA7618">
        <v>0.92814180000000002</v>
      </c>
      <c r="AB7618">
        <v>25</v>
      </c>
      <c r="AC7618">
        <v>17.244900000000001</v>
      </c>
      <c r="AD7618">
        <v>-1.1172888129130001</v>
      </c>
      <c r="AE7618">
        <v>12.1089599999999</v>
      </c>
      <c r="AF7618">
        <v>-7.8698956055648397</v>
      </c>
      <c r="AG7618">
        <v>-1.1172888129130001</v>
      </c>
      <c r="AH7618">
        <v>19.483122247971298</v>
      </c>
      <c r="AI7618">
        <v>93.043690599646098</v>
      </c>
      <c r="AJ7618">
        <v>111.995457490386</v>
      </c>
      <c r="AK7618">
        <v>21.042234759248899</v>
      </c>
      <c r="AL7618">
        <v>92.513447154053296</v>
      </c>
      <c r="AM7618">
        <v>108.28293118158901</v>
      </c>
      <c r="AN7618">
        <v>1.0000000023839899</v>
      </c>
    </row>
    <row r="7619" spans="1:40" x14ac:dyDescent="0.25">
      <c r="A7619" t="str">
        <f>"20190305135110907"</f>
        <v>20190305135110907</v>
      </c>
      <c r="B7619" t="str">
        <f>"1551765070897601"</f>
        <v>1551765070897601</v>
      </c>
      <c r="C7619" t="s">
        <v>40</v>
      </c>
      <c r="D7619">
        <v>3.9533670000000001</v>
      </c>
      <c r="E7619">
        <v>0.47488209999999997</v>
      </c>
      <c r="F7619" t="s">
        <v>85</v>
      </c>
      <c r="G7619">
        <v>-191.06899999999999</v>
      </c>
      <c r="H7619" s="1">
        <v>-1.941088E-6</v>
      </c>
      <c r="I7619">
        <v>-48.996850000000002</v>
      </c>
      <c r="J7619">
        <v>-208.55029999999999</v>
      </c>
      <c r="K7619">
        <v>1.1172610000000001</v>
      </c>
      <c r="L7619">
        <v>-61.423459999999999</v>
      </c>
      <c r="M7619">
        <v>0.97274190000000005</v>
      </c>
      <c r="N7619">
        <v>-1.9630999999999999E-2</v>
      </c>
      <c r="O7619">
        <v>0.23105809999999999</v>
      </c>
      <c r="P7619">
        <v>0.84866569999999997</v>
      </c>
      <c r="Q7619">
        <v>-5.7018979999999997E-2</v>
      </c>
      <c r="R7619">
        <v>0.52584730000000002</v>
      </c>
      <c r="S7619">
        <v>2.4510190000000001</v>
      </c>
      <c r="T7619">
        <v>-0.15555379999999999</v>
      </c>
      <c r="U7619">
        <v>1.7348330000000001</v>
      </c>
      <c r="V7619">
        <v>-0.31481219999999999</v>
      </c>
      <c r="W7619">
        <v>-4.357076E-2</v>
      </c>
      <c r="X7619">
        <v>0.94815340000000004</v>
      </c>
      <c r="Y7619">
        <v>-0.37289470000000002</v>
      </c>
      <c r="Z7619">
        <v>6.0132909999999996E-3</v>
      </c>
      <c r="AA7619">
        <v>0.92785419999999996</v>
      </c>
      <c r="AB7619">
        <v>25</v>
      </c>
      <c r="AC7619">
        <v>17.481299999999901</v>
      </c>
      <c r="AD7619">
        <v>-1.117262941088</v>
      </c>
      <c r="AE7619">
        <v>12.426609999999901</v>
      </c>
      <c r="AF7619">
        <v>-8.0284539002543003</v>
      </c>
      <c r="AG7619">
        <v>-1.117262941088</v>
      </c>
      <c r="AH7619">
        <v>19.826093561884701</v>
      </c>
      <c r="AI7619">
        <v>92.990017401748005</v>
      </c>
      <c r="AJ7619">
        <v>112.04518170760799</v>
      </c>
      <c r="AK7619">
        <v>21.4191114295772</v>
      </c>
      <c r="AL7619">
        <v>92.497211202934807</v>
      </c>
      <c r="AM7619">
        <v>108.367541892438</v>
      </c>
      <c r="AN7619">
        <v>1.00000000116368</v>
      </c>
    </row>
    <row r="7620" spans="1:40" x14ac:dyDescent="0.25">
      <c r="A7620" t="str">
        <f>"20190305135110919"</f>
        <v>20190305135110919</v>
      </c>
      <c r="B7620" t="str">
        <f>"1551765070907362"</f>
        <v>1551765070907362</v>
      </c>
      <c r="C7620" t="s">
        <v>40</v>
      </c>
      <c r="D7620">
        <v>3.9698509999999998</v>
      </c>
      <c r="E7620">
        <v>0.47515819999999998</v>
      </c>
      <c r="F7620" t="s">
        <v>85</v>
      </c>
      <c r="G7620">
        <v>-190.6498</v>
      </c>
      <c r="H7620" s="1">
        <v>-2.0841040000000002E-6</v>
      </c>
      <c r="I7620">
        <v>-48.597760000000001</v>
      </c>
      <c r="J7620">
        <v>-208.4333</v>
      </c>
      <c r="K7620">
        <v>1.1171949999999999</v>
      </c>
      <c r="L7620">
        <v>-61.390259999999998</v>
      </c>
      <c r="M7620">
        <v>0.97162879999999996</v>
      </c>
      <c r="N7620">
        <v>-1.941766E-2</v>
      </c>
      <c r="O7620">
        <v>0.23571239999999999</v>
      </c>
      <c r="P7620">
        <v>0.84539509999999995</v>
      </c>
      <c r="Q7620">
        <v>-5.5787759999999999E-2</v>
      </c>
      <c r="R7620">
        <v>0.53122000000000003</v>
      </c>
      <c r="S7620">
        <v>2.4410249999999998</v>
      </c>
      <c r="T7620">
        <v>-0.15235689999999999</v>
      </c>
      <c r="U7620">
        <v>1.748993</v>
      </c>
      <c r="V7620">
        <v>-0.31628650000000003</v>
      </c>
      <c r="W7620">
        <v>-4.2554429999999997E-2</v>
      </c>
      <c r="X7620">
        <v>0.94770880000000002</v>
      </c>
      <c r="Y7620">
        <v>-0.37382910000000003</v>
      </c>
      <c r="Z7620">
        <v>5.8441659999999996E-3</v>
      </c>
      <c r="AA7620">
        <v>0.92747919999999995</v>
      </c>
      <c r="AB7620">
        <v>25</v>
      </c>
      <c r="AC7620">
        <v>17.7835</v>
      </c>
      <c r="AD7620">
        <v>-1.117197084104</v>
      </c>
      <c r="AE7620">
        <v>12.792499999999899</v>
      </c>
      <c r="AF7620">
        <v>-8.2179504954830502</v>
      </c>
      <c r="AG7620">
        <v>-1.117197084104</v>
      </c>
      <c r="AH7620">
        <v>20.245485034224199</v>
      </c>
      <c r="AI7620">
        <v>92.927026417810694</v>
      </c>
      <c r="AJ7620">
        <v>112.092982144071</v>
      </c>
      <c r="AK7620">
        <v>21.878356975374899</v>
      </c>
      <c r="AL7620">
        <v>92.438925717704606</v>
      </c>
      <c r="AM7620">
        <v>108.45581670333399</v>
      </c>
      <c r="AN7620">
        <v>0.99999999959615704</v>
      </c>
    </row>
    <row r="7621" spans="1:40" x14ac:dyDescent="0.25">
      <c r="A7621" t="str">
        <f>"20190305135110929"</f>
        <v>20190305135110929</v>
      </c>
      <c r="B7621" t="str">
        <f>"1551765070926880"</f>
        <v>1551765070926880</v>
      </c>
      <c r="C7621" t="s">
        <v>40</v>
      </c>
      <c r="D7621">
        <v>3.9414419999999999</v>
      </c>
      <c r="E7621">
        <v>0.47413620000000001</v>
      </c>
      <c r="F7621" t="s">
        <v>85</v>
      </c>
      <c r="G7621">
        <v>-190.19659999999999</v>
      </c>
      <c r="H7621" s="1">
        <v>-2.2378489999999999E-6</v>
      </c>
      <c r="I7621">
        <v>-48.167760000000001</v>
      </c>
      <c r="J7621">
        <v>-208.31479999999999</v>
      </c>
      <c r="K7621">
        <v>1.1171199999999999</v>
      </c>
      <c r="L7621">
        <v>-61.356380000000001</v>
      </c>
      <c r="M7621">
        <v>0.97047130000000004</v>
      </c>
      <c r="N7621">
        <v>-1.9210229999999998E-2</v>
      </c>
      <c r="O7621">
        <v>0.240451</v>
      </c>
      <c r="P7621">
        <v>0.84178449999999905</v>
      </c>
      <c r="Q7621">
        <v>-5.4618640000000003E-2</v>
      </c>
      <c r="R7621">
        <v>0.53704339999999995</v>
      </c>
      <c r="S7621">
        <v>2.4311829999999999</v>
      </c>
      <c r="T7621">
        <v>-0.1489365</v>
      </c>
      <c r="U7621">
        <v>1.76272599999999</v>
      </c>
      <c r="V7621">
        <v>-0.31820300000000001</v>
      </c>
      <c r="W7621">
        <v>-4.159728E-2</v>
      </c>
      <c r="X7621">
        <v>0.94710950000000005</v>
      </c>
      <c r="Y7621">
        <v>-0.37454369999999998</v>
      </c>
      <c r="Z7621">
        <v>5.6771360000000002E-3</v>
      </c>
      <c r="AA7621">
        <v>0.92719189999999996</v>
      </c>
      <c r="AB7621">
        <v>25</v>
      </c>
      <c r="AC7621">
        <v>18.118200000000002</v>
      </c>
      <c r="AD7621">
        <v>-1.117122237849</v>
      </c>
      <c r="AE7621">
        <v>13.18862</v>
      </c>
      <c r="AF7621">
        <v>-8.4232636670400201</v>
      </c>
      <c r="AG7621">
        <v>-1.117122237849</v>
      </c>
      <c r="AH7621">
        <v>20.706782617753099</v>
      </c>
      <c r="AI7621">
        <v>92.860868317469297</v>
      </c>
      <c r="AJ7621">
        <v>112.135885162951</v>
      </c>
      <c r="AK7621">
        <v>22.382363129876499</v>
      </c>
      <c r="AL7621">
        <v>92.3840365840625</v>
      </c>
      <c r="AM7621">
        <v>108.570946483176</v>
      </c>
      <c r="AN7621">
        <v>0.99999994395132197</v>
      </c>
    </row>
    <row r="7622" spans="1:40" x14ac:dyDescent="0.25">
      <c r="A7622" t="str">
        <f>"20190305135110941"</f>
        <v>20190305135110941</v>
      </c>
      <c r="B7622" t="str">
        <f>"1551765070937617"</f>
        <v>1551765070937617</v>
      </c>
      <c r="C7622" t="s">
        <v>40</v>
      </c>
      <c r="D7622">
        <v>4.0177239999999896</v>
      </c>
      <c r="E7622">
        <v>0.40589009999999998</v>
      </c>
      <c r="F7622" t="s">
        <v>85</v>
      </c>
      <c r="G7622">
        <v>-189.98570000000001</v>
      </c>
      <c r="H7622" s="1">
        <v>-2.4093189999999998E-6</v>
      </c>
      <c r="I7622">
        <v>-47.798839999999998</v>
      </c>
      <c r="J7622">
        <v>-208.1909</v>
      </c>
      <c r="K7622">
        <v>1.1170249999999999</v>
      </c>
      <c r="L7622">
        <v>-61.319789999999998</v>
      </c>
      <c r="M7622">
        <v>0.96918959999999998</v>
      </c>
      <c r="N7622">
        <v>-1.9039250000000001E-2</v>
      </c>
      <c r="O7622">
        <v>0.2455793</v>
      </c>
      <c r="P7622">
        <v>0.83802869999999996</v>
      </c>
      <c r="Q7622">
        <v>-5.370349E-2</v>
      </c>
      <c r="R7622">
        <v>0.54297689999999998</v>
      </c>
      <c r="S7622">
        <v>2.4147949999999998</v>
      </c>
      <c r="T7622">
        <v>-0.14717729999999901</v>
      </c>
      <c r="U7622">
        <v>1.7861629999999999</v>
      </c>
      <c r="V7622">
        <v>-0.31988860000000002</v>
      </c>
      <c r="W7622">
        <v>-4.0832779999999999E-2</v>
      </c>
      <c r="X7622">
        <v>0.9465749</v>
      </c>
      <c r="Y7622">
        <v>-0.37847219999999998</v>
      </c>
      <c r="Z7622">
        <v>5.6091609999999997E-3</v>
      </c>
      <c r="AA7622">
        <v>0.92559559999999996</v>
      </c>
      <c r="AB7622">
        <v>25</v>
      </c>
      <c r="AC7622">
        <v>18.205199999999898</v>
      </c>
      <c r="AD7622">
        <v>-1.117027409319</v>
      </c>
      <c r="AE7622">
        <v>13.520949999999999</v>
      </c>
      <c r="AF7622">
        <v>-8.6142070922416298</v>
      </c>
      <c r="AG7622">
        <v>-1.117027409319</v>
      </c>
      <c r="AH7622">
        <v>20.9178006699888</v>
      </c>
      <c r="AI7622">
        <v>92.826839505554403</v>
      </c>
      <c r="AJ7622">
        <v>112.382465428548</v>
      </c>
      <c r="AK7622">
        <v>22.6496511878346</v>
      </c>
      <c r="AL7622">
        <v>92.340196488877496</v>
      </c>
      <c r="AM7622">
        <v>108.672335160119</v>
      </c>
      <c r="AN7622">
        <v>1.0000000368212401</v>
      </c>
    </row>
    <row r="7623" spans="1:40" x14ac:dyDescent="0.25">
      <c r="A7623" t="str">
        <f>"20190305135110953"</f>
        <v>20190305135110953</v>
      </c>
      <c r="B7623" t="str">
        <f>"1551765070947381"</f>
        <v>1551765070947381</v>
      </c>
      <c r="C7623" t="s">
        <v>40</v>
      </c>
      <c r="D7623">
        <v>4.013001</v>
      </c>
      <c r="E7623">
        <v>0.40294380000000002</v>
      </c>
      <c r="F7623" t="s">
        <v>59</v>
      </c>
      <c r="G7623">
        <v>-168.45050000000001</v>
      </c>
      <c r="H7623">
        <v>0.80223269999999902</v>
      </c>
      <c r="I7623">
        <v>-18.571179999999998</v>
      </c>
      <c r="J7623">
        <v>-208.06960000000001</v>
      </c>
      <c r="K7623">
        <v>1.116941</v>
      </c>
      <c r="L7623">
        <v>-61.28369</v>
      </c>
      <c r="M7623">
        <v>0.96790350000000003</v>
      </c>
      <c r="N7623">
        <v>-1.8874200000000001E-2</v>
      </c>
      <c r="O7623">
        <v>0.25061250000000002</v>
      </c>
      <c r="P7623">
        <v>0.83440409999999898</v>
      </c>
      <c r="Q7623">
        <v>-5.312911E-2</v>
      </c>
      <c r="R7623">
        <v>0.54858649999999998</v>
      </c>
      <c r="S7623">
        <v>2.1089169999999999</v>
      </c>
      <c r="T7623">
        <v>-1.6705270000000001E-2</v>
      </c>
      <c r="U7623">
        <v>2.2685550000000001</v>
      </c>
      <c r="V7623">
        <v>-0.32132100000000002</v>
      </c>
      <c r="W7623">
        <v>-4.040552E-2</v>
      </c>
      <c r="X7623">
        <v>0.9461079</v>
      </c>
      <c r="Y7623">
        <v>-0.53830889999999998</v>
      </c>
      <c r="Z7623">
        <v>1.024283E-2</v>
      </c>
      <c r="AA7623">
        <v>0.84268539999999903</v>
      </c>
      <c r="AB7623">
        <v>25</v>
      </c>
      <c r="AC7623">
        <v>39.619100000000003</v>
      </c>
      <c r="AD7623">
        <v>-0.3147083</v>
      </c>
      <c r="AE7623">
        <v>42.712509999999902</v>
      </c>
      <c r="AF7623">
        <v>-31.417225342267098</v>
      </c>
      <c r="AG7623">
        <v>-0.3147083</v>
      </c>
      <c r="AH7623">
        <v>49.059061070766198</v>
      </c>
      <c r="AI7623">
        <v>90.309514740799102</v>
      </c>
      <c r="AJ7623">
        <v>122.63533538728301</v>
      </c>
      <c r="AK7623">
        <v>58.257467870360202</v>
      </c>
      <c r="AL7623">
        <v>92.315696218471501</v>
      </c>
      <c r="AM7623">
        <v>108.758722879985</v>
      </c>
      <c r="AN7623">
        <v>0.99999997476493896</v>
      </c>
    </row>
    <row r="7624" spans="1:40" x14ac:dyDescent="0.25">
      <c r="A7624" t="str">
        <f>"20190305135110963"</f>
        <v>20190305135110963</v>
      </c>
      <c r="B7624" t="str">
        <f>"1551765070957137"</f>
        <v>1551765070957137</v>
      </c>
      <c r="C7624" t="s">
        <v>40</v>
      </c>
      <c r="D7624">
        <v>3.966923</v>
      </c>
      <c r="E7624">
        <v>0.40317629999999999</v>
      </c>
      <c r="F7624" t="s">
        <v>59</v>
      </c>
      <c r="G7624">
        <v>-168.45050000000001</v>
      </c>
      <c r="H7624">
        <v>1.1699440000000001</v>
      </c>
      <c r="I7624">
        <v>-17.42221</v>
      </c>
      <c r="J7624">
        <v>-207.95</v>
      </c>
      <c r="K7624">
        <v>1.116884</v>
      </c>
      <c r="L7624">
        <v>-61.247219999999999</v>
      </c>
      <c r="M7624">
        <v>0.96659799999999996</v>
      </c>
      <c r="N7624">
        <v>-1.871608E-2</v>
      </c>
      <c r="O7624">
        <v>0.25561319999999998</v>
      </c>
      <c r="P7624">
        <v>0.83091170000000003</v>
      </c>
      <c r="Q7624">
        <v>-5.25102E-2</v>
      </c>
      <c r="R7624">
        <v>0.55392089999999905</v>
      </c>
      <c r="S7624">
        <v>2.0809169999999999</v>
      </c>
      <c r="T7624">
        <v>2.7837750000000001E-3</v>
      </c>
      <c r="U7624">
        <v>2.303741</v>
      </c>
      <c r="V7624">
        <v>-0.32248979999999999</v>
      </c>
      <c r="W7624">
        <v>-3.9941299999999999E-2</v>
      </c>
      <c r="X7624">
        <v>0.94572990000000001</v>
      </c>
      <c r="Y7624">
        <v>-0.54605999999999999</v>
      </c>
      <c r="Z7624">
        <v>1.013324E-2</v>
      </c>
      <c r="AA7624">
        <v>0.83768480000000001</v>
      </c>
      <c r="AB7624">
        <v>25</v>
      </c>
      <c r="AC7624">
        <v>39.499499999999898</v>
      </c>
      <c r="AD7624">
        <v>5.30600000000001E-2</v>
      </c>
      <c r="AE7624">
        <v>43.825009999999999</v>
      </c>
      <c r="AF7624">
        <v>-32.270198306868402</v>
      </c>
      <c r="AG7624">
        <v>5.30600000000001E-2</v>
      </c>
      <c r="AH7624">
        <v>49.390997886913603</v>
      </c>
      <c r="AI7624">
        <v>89.948471445828702</v>
      </c>
      <c r="AJ7624">
        <v>123.15907267575</v>
      </c>
      <c r="AK7624">
        <v>58.998637157084602</v>
      </c>
      <c r="AL7624">
        <v>92.2890767982705</v>
      </c>
      <c r="AM7624">
        <v>108.829153977177</v>
      </c>
      <c r="AN7624">
        <v>1.0000000111518601</v>
      </c>
    </row>
    <row r="7625" spans="1:40" x14ac:dyDescent="0.25">
      <c r="A7625" t="str">
        <f>"20190305135110975"</f>
        <v>20190305135110975</v>
      </c>
      <c r="B7625" t="str">
        <f>"1551765070966897"</f>
        <v>1551765070966897</v>
      </c>
      <c r="C7625" t="s">
        <v>40</v>
      </c>
      <c r="D7625">
        <v>3.9620579999999999</v>
      </c>
      <c r="E7625">
        <v>0.40415060000000003</v>
      </c>
      <c r="F7625" t="s">
        <v>59</v>
      </c>
      <c r="G7625">
        <v>-157.93819999999999</v>
      </c>
      <c r="H7625">
        <v>1.4227780000000001</v>
      </c>
      <c r="I7625">
        <v>-5.218896</v>
      </c>
      <c r="J7625">
        <v>-207.8321</v>
      </c>
      <c r="K7625">
        <v>1.1168450000000001</v>
      </c>
      <c r="L7625">
        <v>-61.210720000000002</v>
      </c>
      <c r="M7625">
        <v>0.96529279999999995</v>
      </c>
      <c r="N7625">
        <v>-1.8557839999999999E-2</v>
      </c>
      <c r="O7625">
        <v>0.26051000000000002</v>
      </c>
      <c r="P7625">
        <v>0.82761799999999996</v>
      </c>
      <c r="Q7625">
        <v>-5.2007530000000003E-2</v>
      </c>
      <c r="R7625">
        <v>0.55887730000000002</v>
      </c>
      <c r="S7625">
        <v>2.0673370000000002</v>
      </c>
      <c r="T7625">
        <v>1.264465E-2</v>
      </c>
      <c r="U7625">
        <v>2.3160400000000001</v>
      </c>
      <c r="V7625">
        <v>-0.32334590000000002</v>
      </c>
      <c r="W7625">
        <v>-3.9602440000000003E-2</v>
      </c>
      <c r="X7625">
        <v>0.94545179999999995</v>
      </c>
      <c r="Y7625">
        <v>-0.54678400000000005</v>
      </c>
      <c r="Z7625">
        <v>1.0058360000000001E-2</v>
      </c>
      <c r="AA7625">
        <v>0.83721329999999905</v>
      </c>
      <c r="AB7625">
        <v>25</v>
      </c>
      <c r="AC7625">
        <v>49.893900000000002</v>
      </c>
      <c r="AD7625">
        <v>0.30593300000000001</v>
      </c>
      <c r="AE7625">
        <v>55.991824000000001</v>
      </c>
      <c r="AF7625">
        <v>-41.057031186178698</v>
      </c>
      <c r="AG7625">
        <v>0.30593300000000001</v>
      </c>
      <c r="AH7625">
        <v>62.758414709945299</v>
      </c>
      <c r="AI7625">
        <v>89.766271123967599</v>
      </c>
      <c r="AJ7625">
        <v>123.193016089976</v>
      </c>
      <c r="AK7625">
        <v>74.995946701997298</v>
      </c>
      <c r="AL7625">
        <v>92.269646167551699</v>
      </c>
      <c r="AM7625">
        <v>108.880763076682</v>
      </c>
      <c r="AN7625">
        <v>1.0000000152120001</v>
      </c>
    </row>
    <row r="7626" spans="1:40" x14ac:dyDescent="0.25">
      <c r="A7626" t="str">
        <f>"20190305135110985"</f>
        <v>20190305135110985</v>
      </c>
      <c r="B7626" t="str">
        <f>"1551765070977634"</f>
        <v>1551765070977634</v>
      </c>
      <c r="C7626" t="s">
        <v>40</v>
      </c>
      <c r="D7626">
        <v>3.8876539999999999</v>
      </c>
      <c r="E7626">
        <v>0.40533619999999998</v>
      </c>
      <c r="F7626" t="s">
        <v>59</v>
      </c>
      <c r="G7626">
        <v>-157.93819999999999</v>
      </c>
      <c r="H7626">
        <v>1.521039</v>
      </c>
      <c r="I7626">
        <v>-4.9144870000000003</v>
      </c>
      <c r="J7626">
        <v>-207.72110000000001</v>
      </c>
      <c r="K7626">
        <v>1.116833</v>
      </c>
      <c r="L7626">
        <v>-61.175780000000003</v>
      </c>
      <c r="M7626">
        <v>0.96404880000000004</v>
      </c>
      <c r="N7626">
        <v>-1.8406200000000001E-2</v>
      </c>
      <c r="O7626">
        <v>0.26508690000000001</v>
      </c>
      <c r="P7626">
        <v>0.82449969999999995</v>
      </c>
      <c r="Q7626">
        <v>-5.1974590000000001E-2</v>
      </c>
      <c r="R7626">
        <v>0.56347019999999903</v>
      </c>
      <c r="S7626">
        <v>2.057922</v>
      </c>
      <c r="T7626">
        <v>1.66713E-2</v>
      </c>
      <c r="U7626">
        <v>2.3219910000000001</v>
      </c>
      <c r="V7626">
        <v>-0.32411309999999999</v>
      </c>
      <c r="W7626">
        <v>-3.9741310000000002E-2</v>
      </c>
      <c r="X7626">
        <v>0.9451832</v>
      </c>
      <c r="Y7626">
        <v>-0.5457864</v>
      </c>
      <c r="Z7626">
        <v>1.003618E-2</v>
      </c>
      <c r="AA7626">
        <v>0.83786430000000001</v>
      </c>
      <c r="AB7626">
        <v>25</v>
      </c>
      <c r="AC7626">
        <v>49.782899999999998</v>
      </c>
      <c r="AD7626">
        <v>0.40420600000000001</v>
      </c>
      <c r="AE7626">
        <v>56.261293000000002</v>
      </c>
      <c r="AF7626">
        <v>-41.047604266275798</v>
      </c>
      <c r="AG7626">
        <v>0.40420600000000001</v>
      </c>
      <c r="AH7626">
        <v>62.916116024825101</v>
      </c>
      <c r="AI7626">
        <v>89.691714601566503</v>
      </c>
      <c r="AJ7626">
        <v>123.12115124787201</v>
      </c>
      <c r="AK7626">
        <v>75.123277711641904</v>
      </c>
      <c r="AL7626">
        <v>92.277609187148997</v>
      </c>
      <c r="AM7626">
        <v>108.927372146732</v>
      </c>
      <c r="AN7626">
        <v>0.99999997743718205</v>
      </c>
    </row>
    <row r="7627" spans="1:40" x14ac:dyDescent="0.25">
      <c r="A7627" t="str">
        <f>"20190305135110997"</f>
        <v>20190305135110997</v>
      </c>
      <c r="B7627" t="str">
        <f>"1551765070987393"</f>
        <v>1551765070987393</v>
      </c>
      <c r="C7627" t="s">
        <v>40</v>
      </c>
      <c r="D7627">
        <v>3.943165</v>
      </c>
      <c r="E7627">
        <v>0.40627730000000001</v>
      </c>
      <c r="F7627" t="s">
        <v>59</v>
      </c>
      <c r="G7627">
        <v>-157.93819999999999</v>
      </c>
      <c r="H7627">
        <v>1.4516039999999999</v>
      </c>
      <c r="I7627">
        <v>-4.7049139999999996</v>
      </c>
      <c r="J7627">
        <v>-207.60310000000001</v>
      </c>
      <c r="K7627">
        <v>1.11683</v>
      </c>
      <c r="L7627">
        <v>-61.137880000000003</v>
      </c>
      <c r="M7627">
        <v>0.96271870000000004</v>
      </c>
      <c r="N7627">
        <v>-1.824746E-2</v>
      </c>
      <c r="O7627">
        <v>0.26988830000000003</v>
      </c>
      <c r="P7627">
        <v>0.82145489999999999</v>
      </c>
      <c r="Q7627">
        <v>-5.188131E-2</v>
      </c>
      <c r="R7627">
        <v>0.56790859999999999</v>
      </c>
      <c r="S7627">
        <v>2.0501399999999999</v>
      </c>
      <c r="T7627">
        <v>1.3786319999999999E-2</v>
      </c>
      <c r="U7627">
        <v>2.3255620000000001</v>
      </c>
      <c r="V7627">
        <v>-0.32449509999999998</v>
      </c>
      <c r="W7627">
        <v>-3.982633E-2</v>
      </c>
      <c r="X7627">
        <v>0.94504860000000002</v>
      </c>
      <c r="Y7627">
        <v>-0.54381659999999998</v>
      </c>
      <c r="Z7627">
        <v>1.005489E-2</v>
      </c>
      <c r="AA7627">
        <v>0.83914390000000005</v>
      </c>
      <c r="AB7627">
        <v>25</v>
      </c>
      <c r="AC7627">
        <v>49.664900000000003</v>
      </c>
      <c r="AD7627">
        <v>0.33477400000000002</v>
      </c>
      <c r="AE7627">
        <v>56.432966</v>
      </c>
      <c r="AF7627">
        <v>-40.931100446673099</v>
      </c>
      <c r="AG7627">
        <v>0.33477400000000002</v>
      </c>
      <c r="AH7627">
        <v>63.053174537028298</v>
      </c>
      <c r="AI7627">
        <v>89.744843516577205</v>
      </c>
      <c r="AJ7627">
        <v>122.989702275333</v>
      </c>
      <c r="AK7627">
        <v>75.174263392491397</v>
      </c>
      <c r="AL7627">
        <v>92.282484210749203</v>
      </c>
      <c r="AM7627">
        <v>108.950595681541</v>
      </c>
      <c r="AN7627">
        <v>1.0000000314236099</v>
      </c>
    </row>
    <row r="7628" spans="1:40" x14ac:dyDescent="0.25">
      <c r="A7628" t="str">
        <f>"20190305135111007"</f>
        <v>20190305135111007</v>
      </c>
      <c r="B7628" t="str">
        <f>"1551765070997153"</f>
        <v>1551765070997153</v>
      </c>
      <c r="C7628" t="s">
        <v>40</v>
      </c>
      <c r="D7628">
        <v>3.9181539999999999</v>
      </c>
      <c r="E7628">
        <v>0.40727029999999997</v>
      </c>
      <c r="F7628" t="s">
        <v>59</v>
      </c>
      <c r="G7628">
        <v>-157.93819999999999</v>
      </c>
      <c r="H7628">
        <v>1.432536</v>
      </c>
      <c r="I7628">
        <v>-4.4484370000000002</v>
      </c>
      <c r="J7628">
        <v>-207.48859999999999</v>
      </c>
      <c r="K7628">
        <v>1.1168309999999999</v>
      </c>
      <c r="L7628">
        <v>-61.100679999999997</v>
      </c>
      <c r="M7628">
        <v>0.96141279999999996</v>
      </c>
      <c r="N7628">
        <v>-1.80944E-2</v>
      </c>
      <c r="O7628">
        <v>0.27451409999999998</v>
      </c>
      <c r="P7628">
        <v>0.81838049999999996</v>
      </c>
      <c r="Q7628">
        <v>-5.2331030000000001E-2</v>
      </c>
      <c r="R7628">
        <v>0.5722891</v>
      </c>
      <c r="S7628">
        <v>2.0417019999999999</v>
      </c>
      <c r="T7628">
        <v>1.2978429999999999E-2</v>
      </c>
      <c r="U7628">
        <v>2.3304749999999999</v>
      </c>
      <c r="V7628">
        <v>-0.324995599999999</v>
      </c>
      <c r="W7628">
        <v>-4.0455640000000001E-2</v>
      </c>
      <c r="X7628">
        <v>0.94484979999999996</v>
      </c>
      <c r="Y7628">
        <v>-0.54237380000000002</v>
      </c>
      <c r="Z7628">
        <v>1.005904E-2</v>
      </c>
      <c r="AA7628">
        <v>0.84007699999999996</v>
      </c>
      <c r="AB7628">
        <v>25</v>
      </c>
      <c r="AC7628">
        <v>49.550400000000003</v>
      </c>
      <c r="AD7628">
        <v>0.31570500000000001</v>
      </c>
      <c r="AE7628">
        <v>56.652242999999999</v>
      </c>
      <c r="AF7628">
        <v>-40.8698808295566</v>
      </c>
      <c r="AG7628">
        <v>0.31570500000000001</v>
      </c>
      <c r="AH7628">
        <v>63.199464270163801</v>
      </c>
      <c r="AI7628">
        <v>89.759663346628301</v>
      </c>
      <c r="AJ7628">
        <v>122.889973686806</v>
      </c>
      <c r="AK7628">
        <v>75.263663960140207</v>
      </c>
      <c r="AL7628">
        <v>92.318570240077094</v>
      </c>
      <c r="AM7628">
        <v>108.981442240072</v>
      </c>
      <c r="AN7628">
        <v>0.999999971693604</v>
      </c>
    </row>
    <row r="7629" spans="1:40" x14ac:dyDescent="0.25">
      <c r="A7629" t="str">
        <f>"20190305135111019"</f>
        <v>20190305135111019</v>
      </c>
      <c r="B7629" t="str">
        <f>"1551765071017649"</f>
        <v>1551765071017649</v>
      </c>
      <c r="C7629" t="s">
        <v>40</v>
      </c>
      <c r="D7629">
        <v>3.9049930000000002</v>
      </c>
      <c r="E7629">
        <v>0.40921540000000001</v>
      </c>
      <c r="F7629" t="s">
        <v>59</v>
      </c>
      <c r="G7629">
        <v>-157.93819999999999</v>
      </c>
      <c r="H7629">
        <v>1.3240209999999999</v>
      </c>
      <c r="I7629">
        <v>-4.2216329999999997</v>
      </c>
      <c r="J7629">
        <v>-207.36930000000001</v>
      </c>
      <c r="K7629">
        <v>1.116835</v>
      </c>
      <c r="L7629">
        <v>-61.060850000000002</v>
      </c>
      <c r="M7629">
        <v>0.96003669999999997</v>
      </c>
      <c r="N7629">
        <v>-1.7941390000000002E-2</v>
      </c>
      <c r="O7629">
        <v>0.27929870000000001</v>
      </c>
      <c r="P7629">
        <v>0.81512459999999998</v>
      </c>
      <c r="Q7629">
        <v>-5.292347E-2</v>
      </c>
      <c r="R7629">
        <v>0.57686319999999902</v>
      </c>
      <c r="S7629">
        <v>2.0337679999999998</v>
      </c>
      <c r="T7629">
        <v>8.5039139999999996E-3</v>
      </c>
      <c r="U7629">
        <v>2.3345639999999999</v>
      </c>
      <c r="V7629">
        <v>-0.32557819999999998</v>
      </c>
      <c r="W7629">
        <v>-4.1224619999999997E-2</v>
      </c>
      <c r="X7629">
        <v>0.94461600000000001</v>
      </c>
      <c r="Y7629">
        <v>-0.54052829999999996</v>
      </c>
      <c r="Z7629">
        <v>1.0062E-2</v>
      </c>
      <c r="AA7629">
        <v>0.84126569999999901</v>
      </c>
      <c r="AB7629">
        <v>25</v>
      </c>
      <c r="AC7629">
        <v>49.431100000000001</v>
      </c>
      <c r="AD7629">
        <v>0.20718599999999901</v>
      </c>
      <c r="AE7629">
        <v>56.839216999999998</v>
      </c>
      <c r="AF7629">
        <v>-40.767943476131897</v>
      </c>
      <c r="AG7629">
        <v>0.20718599999999901</v>
      </c>
      <c r="AH7629">
        <v>63.340501813666002</v>
      </c>
      <c r="AI7629">
        <v>89.842407487803598</v>
      </c>
      <c r="AJ7629">
        <v>122.766609572221</v>
      </c>
      <c r="AK7629">
        <v>75.326537895476903</v>
      </c>
      <c r="AL7629">
        <v>92.362666248780798</v>
      </c>
      <c r="AM7629">
        <v>109.017395354774</v>
      </c>
      <c r="AN7629">
        <v>1.0000000105326901</v>
      </c>
    </row>
    <row r="7630" spans="1:40" x14ac:dyDescent="0.25">
      <c r="A7630" t="str">
        <f>"20190305135111032"</f>
        <v>20190305135111032</v>
      </c>
      <c r="B7630" t="str">
        <f>"1551765071027409"</f>
        <v>1551765071027409</v>
      </c>
      <c r="C7630" t="s">
        <v>40</v>
      </c>
      <c r="D7630">
        <v>3.719112</v>
      </c>
      <c r="E7630">
        <v>0.40921540000000001</v>
      </c>
      <c r="F7630" t="s">
        <v>59</v>
      </c>
      <c r="G7630">
        <v>-157.93819999999999</v>
      </c>
      <c r="H7630">
        <v>1.1637379999999999</v>
      </c>
      <c r="I7630">
        <v>-4.2356989999999897</v>
      </c>
      <c r="J7630">
        <v>-207.24459999999999</v>
      </c>
      <c r="K7630">
        <v>1.116835</v>
      </c>
      <c r="L7630">
        <v>-61.018949999999997</v>
      </c>
      <c r="M7630">
        <v>0.95857550000000002</v>
      </c>
      <c r="N7630">
        <v>-1.7783739999999999E-2</v>
      </c>
      <c r="O7630">
        <v>0.28428290000000001</v>
      </c>
      <c r="P7630">
        <v>0.81180050000000004</v>
      </c>
      <c r="Q7630">
        <v>-5.3453000000000001E-2</v>
      </c>
      <c r="R7630">
        <v>0.58148339999999998</v>
      </c>
      <c r="S7630">
        <v>2.0294650000000001</v>
      </c>
      <c r="T7630">
        <v>1.925588E-3</v>
      </c>
      <c r="U7630">
        <v>2.3330380000000002</v>
      </c>
      <c r="V7630">
        <v>-0.32603259999999901</v>
      </c>
      <c r="W7630">
        <v>-4.1929580000000001E-2</v>
      </c>
      <c r="X7630">
        <v>0.94442820000000005</v>
      </c>
      <c r="Y7630">
        <v>-0.53674500000000003</v>
      </c>
      <c r="Z7630">
        <v>1.002336E-2</v>
      </c>
      <c r="AA7630">
        <v>0.84368500000000002</v>
      </c>
      <c r="AB7630">
        <v>25</v>
      </c>
      <c r="AC7630">
        <v>49.306399999999996</v>
      </c>
      <c r="AD7630">
        <v>4.6902999999999903E-2</v>
      </c>
      <c r="AE7630">
        <v>56.783251</v>
      </c>
      <c r="AF7630">
        <v>-40.4204429758367</v>
      </c>
      <c r="AG7630">
        <v>4.6902999999999903E-2</v>
      </c>
      <c r="AH7630">
        <v>63.416417944770998</v>
      </c>
      <c r="AI7630">
        <v>89.964265356793305</v>
      </c>
      <c r="AJ7630">
        <v>122.51267723064601</v>
      </c>
      <c r="AK7630">
        <v>75.202769066040005</v>
      </c>
      <c r="AL7630">
        <v>92.403092498823298</v>
      </c>
      <c r="AM7630">
        <v>109.04554055085799</v>
      </c>
      <c r="AN7630">
        <v>0.999999985448488</v>
      </c>
    </row>
    <row r="7631" spans="1:40" x14ac:dyDescent="0.25">
      <c r="A7631" t="str">
        <f>"20190305135111043"</f>
        <v>20190305135111043</v>
      </c>
      <c r="B7631" t="str">
        <f>"1551765071037171"</f>
        <v>1551765071037171</v>
      </c>
      <c r="C7631" t="s">
        <v>40</v>
      </c>
      <c r="D7631">
        <v>3.9161589999999999</v>
      </c>
      <c r="E7631">
        <v>0.41007399999999999</v>
      </c>
      <c r="F7631" t="s">
        <v>59</v>
      </c>
      <c r="G7631">
        <v>-157.3501</v>
      </c>
      <c r="H7631">
        <v>1.1184080000000001</v>
      </c>
      <c r="I7631">
        <v>-2.9890650000000001</v>
      </c>
      <c r="J7631">
        <v>-207.12719999999999</v>
      </c>
      <c r="K7631">
        <v>1.116822</v>
      </c>
      <c r="L7631">
        <v>-60.978450000000002</v>
      </c>
      <c r="M7631">
        <v>0.95717050000000004</v>
      </c>
      <c r="N7631">
        <v>-1.764139E-2</v>
      </c>
      <c r="O7631">
        <v>0.28898689999999999</v>
      </c>
      <c r="P7631">
        <v>0.8086333</v>
      </c>
      <c r="Q7631">
        <v>-5.4174899999999998E-2</v>
      </c>
      <c r="R7631">
        <v>0.58581340000000004</v>
      </c>
      <c r="S7631">
        <v>2.0159910000000001</v>
      </c>
      <c r="T7631" s="1">
        <v>6.3538549999999998E-5</v>
      </c>
      <c r="U7631">
        <v>2.3446959999999999</v>
      </c>
      <c r="V7631">
        <v>-0.3264415</v>
      </c>
      <c r="W7631">
        <v>-4.2797729999999999E-2</v>
      </c>
      <c r="X7631">
        <v>0.94424799999999998</v>
      </c>
      <c r="Y7631">
        <v>-0.53745790000000004</v>
      </c>
      <c r="Z7631">
        <v>1.002366E-2</v>
      </c>
      <c r="AA7631">
        <v>0.84323099999999995</v>
      </c>
      <c r="AB7631">
        <v>25</v>
      </c>
      <c r="AC7631">
        <v>49.777099999999898</v>
      </c>
      <c r="AD7631">
        <v>1.58600000000008E-3</v>
      </c>
      <c r="AE7631">
        <v>57.989384999999999</v>
      </c>
      <c r="AF7631">
        <v>-41.127198801839498</v>
      </c>
      <c r="AG7631">
        <v>1.58600000000008E-3</v>
      </c>
      <c r="AH7631">
        <v>64.413367950848496</v>
      </c>
      <c r="AI7631">
        <v>89.9988109510236</v>
      </c>
      <c r="AJ7631">
        <v>122.55776581395</v>
      </c>
      <c r="AK7631">
        <v>76.4233501920246</v>
      </c>
      <c r="AL7631">
        <v>92.452878510918296</v>
      </c>
      <c r="AM7631">
        <v>109.07107887335501</v>
      </c>
      <c r="AN7631">
        <v>0.99999999205970103</v>
      </c>
    </row>
    <row r="7632" spans="1:40" x14ac:dyDescent="0.25">
      <c r="A7632" t="str">
        <f>"20190305135111054"</f>
        <v>20190305135111054</v>
      </c>
      <c r="B7632" t="str">
        <f>"1551765071046929"</f>
        <v>1551765071046929</v>
      </c>
      <c r="C7632" t="s">
        <v>40</v>
      </c>
      <c r="D7632">
        <v>3.9197630000000001</v>
      </c>
      <c r="E7632">
        <v>0.4109082</v>
      </c>
      <c r="F7632" t="s">
        <v>59</v>
      </c>
      <c r="G7632">
        <v>-157.3501</v>
      </c>
      <c r="H7632">
        <v>0.9887686</v>
      </c>
      <c r="I7632">
        <v>-2.709956</v>
      </c>
      <c r="J7632">
        <v>-207.0052</v>
      </c>
      <c r="K7632">
        <v>1.116806</v>
      </c>
      <c r="L7632">
        <v>-60.93591</v>
      </c>
      <c r="M7632">
        <v>0.95568010000000003</v>
      </c>
      <c r="N7632">
        <v>-1.7496040000000001E-2</v>
      </c>
      <c r="O7632">
        <v>0.29388700000000001</v>
      </c>
      <c r="P7632">
        <v>0.80545529999999999</v>
      </c>
      <c r="Q7632">
        <v>-5.4323000000000003E-2</v>
      </c>
      <c r="R7632">
        <v>0.59016159999999995</v>
      </c>
      <c r="S7632">
        <v>2.007339</v>
      </c>
      <c r="T7632">
        <v>-5.1640269999999999E-3</v>
      </c>
      <c r="U7632">
        <v>2.3497620000000001</v>
      </c>
      <c r="V7632">
        <v>-0.32669049999999999</v>
      </c>
      <c r="W7632">
        <v>-4.3085600000000002E-2</v>
      </c>
      <c r="X7632">
        <v>0.94414880000000001</v>
      </c>
      <c r="Y7632">
        <v>-0.53581350000000005</v>
      </c>
      <c r="Z7632">
        <v>9.9743350000000008E-3</v>
      </c>
      <c r="AA7632">
        <v>0.84427739999999996</v>
      </c>
      <c r="AB7632">
        <v>25</v>
      </c>
      <c r="AC7632">
        <v>49.655099999999997</v>
      </c>
      <c r="AD7632">
        <v>-0.128037399999999</v>
      </c>
      <c r="AE7632">
        <v>58.225954000000002</v>
      </c>
      <c r="AF7632">
        <v>-41.058564224676097</v>
      </c>
      <c r="AG7632">
        <v>-0.128037399999999</v>
      </c>
      <c r="AH7632">
        <v>64.575941278577901</v>
      </c>
      <c r="AI7632">
        <v>90.095865823965994</v>
      </c>
      <c r="AJ7632">
        <v>122.44894675395101</v>
      </c>
      <c r="AK7632">
        <v>76.523684449861605</v>
      </c>
      <c r="AL7632">
        <v>92.469387445509597</v>
      </c>
      <c r="AM7632">
        <v>109.08643385221499</v>
      </c>
      <c r="AN7632">
        <v>1.0000000041295201</v>
      </c>
    </row>
    <row r="7633" spans="1:40" x14ac:dyDescent="0.25">
      <c r="A7633" t="str">
        <f>"20190305135111065"</f>
        <v>20190305135111065</v>
      </c>
      <c r="B7633" t="str">
        <f>"1551765071057666"</f>
        <v>1551765071057666</v>
      </c>
      <c r="C7633" t="s">
        <v>40</v>
      </c>
      <c r="D7633">
        <v>3.877707</v>
      </c>
      <c r="E7633">
        <v>0.41180889999999998</v>
      </c>
      <c r="F7633" t="s">
        <v>59</v>
      </c>
      <c r="G7633">
        <v>-157.3501</v>
      </c>
      <c r="H7633">
        <v>0.90402150000000003</v>
      </c>
      <c r="I7633">
        <v>-2.4264700000000001</v>
      </c>
      <c r="J7633">
        <v>-206.88380000000001</v>
      </c>
      <c r="K7633">
        <v>1.116784</v>
      </c>
      <c r="L7633">
        <v>-60.892819999999901</v>
      </c>
      <c r="M7633">
        <v>0.95416270000000003</v>
      </c>
      <c r="N7633">
        <v>-1.7355639999999999E-2</v>
      </c>
      <c r="O7633">
        <v>0.29878490000000002</v>
      </c>
      <c r="P7633">
        <v>0.80218089999999997</v>
      </c>
      <c r="Q7633">
        <v>-5.4279870000000001E-2</v>
      </c>
      <c r="R7633">
        <v>0.59460869999999999</v>
      </c>
      <c r="S7633">
        <v>1.99855</v>
      </c>
      <c r="T7633">
        <v>-8.5643530000000002E-3</v>
      </c>
      <c r="U7633">
        <v>2.3549190000000002</v>
      </c>
      <c r="V7633">
        <v>-0.327071</v>
      </c>
      <c r="W7633">
        <v>-4.3172179999999998E-2</v>
      </c>
      <c r="X7633">
        <v>0.94401310000000005</v>
      </c>
      <c r="Y7633">
        <v>-0.534215199999999</v>
      </c>
      <c r="Z7633">
        <v>9.91912E-3</v>
      </c>
      <c r="AA7633">
        <v>0.8452904</v>
      </c>
      <c r="AB7633">
        <v>25</v>
      </c>
      <c r="AC7633">
        <v>49.533700000000003</v>
      </c>
      <c r="AD7633">
        <v>-0.21276249999999999</v>
      </c>
      <c r="AE7633">
        <v>58.466349999999899</v>
      </c>
      <c r="AF7633">
        <v>-40.992345186003497</v>
      </c>
      <c r="AG7633">
        <v>-0.21276249999999999</v>
      </c>
      <c r="AH7633">
        <v>64.7413208040131</v>
      </c>
      <c r="AI7633">
        <v>90.159085489136899</v>
      </c>
      <c r="AJ7633">
        <v>122.340816291802</v>
      </c>
      <c r="AK7633">
        <v>76.628038283503102</v>
      </c>
      <c r="AL7633">
        <v>92.474352733111203</v>
      </c>
      <c r="AM7633">
        <v>109.109600405265</v>
      </c>
      <c r="AN7633">
        <v>1.0000000045692801</v>
      </c>
    </row>
    <row r="7634" spans="1:40" x14ac:dyDescent="0.25">
      <c r="A7634" t="str">
        <f>"20190305135111076"</f>
        <v>20190305135111076</v>
      </c>
      <c r="B7634" t="str">
        <f>"1551765071067425"</f>
        <v>1551765071067425</v>
      </c>
      <c r="C7634" t="s">
        <v>40</v>
      </c>
      <c r="D7634">
        <v>3.9196659999999999</v>
      </c>
      <c r="E7634">
        <v>0.4126785</v>
      </c>
      <c r="F7634" t="s">
        <v>59</v>
      </c>
      <c r="G7634">
        <v>-157.3501</v>
      </c>
      <c r="H7634">
        <v>0.84695339999999997</v>
      </c>
      <c r="I7634">
        <v>-2.1339169999999998</v>
      </c>
      <c r="J7634">
        <v>-206.78129999999999</v>
      </c>
      <c r="K7634">
        <v>1.116768</v>
      </c>
      <c r="L7634">
        <v>-60.855800000000002</v>
      </c>
      <c r="M7634">
        <v>0.95285450000000005</v>
      </c>
      <c r="N7634">
        <v>-1.7240430000000001E-2</v>
      </c>
      <c r="O7634">
        <v>0.30293740000000002</v>
      </c>
      <c r="P7634">
        <v>0.79936660000000004</v>
      </c>
      <c r="Q7634">
        <v>-5.3922150000000002E-2</v>
      </c>
      <c r="R7634">
        <v>0.59841919999999904</v>
      </c>
      <c r="S7634">
        <v>1.9896240000000001</v>
      </c>
      <c r="T7634">
        <v>-1.0838270000000001E-2</v>
      </c>
      <c r="U7634">
        <v>2.3601679999999998</v>
      </c>
      <c r="V7634">
        <v>-0.32745049999999998</v>
      </c>
      <c r="W7634">
        <v>-4.2918669999999999E-2</v>
      </c>
      <c r="X7634">
        <v>0.94389310000000004</v>
      </c>
      <c r="Y7634">
        <v>-0.53332109999999899</v>
      </c>
      <c r="Z7634">
        <v>9.8740809999999998E-3</v>
      </c>
      <c r="AA7634">
        <v>0.84585519999999903</v>
      </c>
      <c r="AB7634">
        <v>25</v>
      </c>
      <c r="AC7634">
        <v>49.431199999999897</v>
      </c>
      <c r="AD7634">
        <v>-0.26981459999999902</v>
      </c>
      <c r="AE7634">
        <v>58.721882999999998</v>
      </c>
      <c r="AF7634">
        <v>-40.984436342191202</v>
      </c>
      <c r="AG7634">
        <v>-0.26981459999999902</v>
      </c>
      <c r="AH7634">
        <v>64.898639870804601</v>
      </c>
      <c r="AI7634">
        <v>90.201405455526398</v>
      </c>
      <c r="AJ7634">
        <v>122.27300727613699</v>
      </c>
      <c r="AK7634">
        <v>76.756955901637298</v>
      </c>
      <c r="AL7634">
        <v>92.459814183288302</v>
      </c>
      <c r="AM7634">
        <v>109.13241784226599</v>
      </c>
      <c r="AN7634">
        <v>1.0000000132062099</v>
      </c>
    </row>
    <row r="7635" spans="1:40" x14ac:dyDescent="0.25">
      <c r="A7635" t="str">
        <f>"20190305135111085"</f>
        <v>20190305135111085</v>
      </c>
      <c r="B7635" t="str">
        <f>"1551765071077188"</f>
        <v>1551765071077188</v>
      </c>
      <c r="C7635" t="s">
        <v>40</v>
      </c>
      <c r="D7635">
        <v>3.9167649999999998</v>
      </c>
      <c r="E7635">
        <v>0.41356140000000002</v>
      </c>
      <c r="F7635" t="s">
        <v>59</v>
      </c>
      <c r="G7635">
        <v>-157.3501</v>
      </c>
      <c r="H7635">
        <v>0.8014348</v>
      </c>
      <c r="I7635">
        <v>-1.912771</v>
      </c>
      <c r="J7635">
        <v>-206.67080000000001</v>
      </c>
      <c r="K7635">
        <v>1.1167499999999999</v>
      </c>
      <c r="L7635">
        <v>-60.8155199999999</v>
      </c>
      <c r="M7635">
        <v>0.95141989999999999</v>
      </c>
      <c r="N7635">
        <v>-1.7118520000000002E-2</v>
      </c>
      <c r="O7635">
        <v>0.30742000000000003</v>
      </c>
      <c r="P7635">
        <v>0.79629890000000003</v>
      </c>
      <c r="Q7635">
        <v>-5.3352070000000001E-2</v>
      </c>
      <c r="R7635">
        <v>0.60254589999999997</v>
      </c>
      <c r="S7635">
        <v>1.9824520000000001</v>
      </c>
      <c r="T7635">
        <v>-1.264668E-2</v>
      </c>
      <c r="U7635">
        <v>2.3639220000000001</v>
      </c>
      <c r="V7635">
        <v>-0.32788630000000002</v>
      </c>
      <c r="W7635">
        <v>-4.2457149999999999E-2</v>
      </c>
      <c r="X7635">
        <v>0.94376269999999995</v>
      </c>
      <c r="Y7635">
        <v>-0.53149969999999902</v>
      </c>
      <c r="Z7635">
        <v>9.8133909999999994E-3</v>
      </c>
      <c r="AA7635">
        <v>0.84700169999999997</v>
      </c>
      <c r="AB7635">
        <v>25</v>
      </c>
      <c r="AC7635">
        <v>49.320700000000002</v>
      </c>
      <c r="AD7635">
        <v>-0.31531519999999902</v>
      </c>
      <c r="AE7635">
        <v>58.902748999999901</v>
      </c>
      <c r="AF7635">
        <v>-40.884381752096097</v>
      </c>
      <c r="AG7635">
        <v>-0.31531519999999902</v>
      </c>
      <c r="AH7635">
        <v>65.041016094996493</v>
      </c>
      <c r="AI7635">
        <v>90.235163768773901</v>
      </c>
      <c r="AJ7635">
        <v>122.15321535495301</v>
      </c>
      <c r="AK7635">
        <v>76.824253133994603</v>
      </c>
      <c r="AL7635">
        <v>92.433346857027999</v>
      </c>
      <c r="AM7635">
        <v>109.158480379126</v>
      </c>
      <c r="AN7635">
        <v>1.0000000346125499</v>
      </c>
    </row>
    <row r="7636" spans="1:40" x14ac:dyDescent="0.25">
      <c r="A7636" t="str">
        <f>"20190305135111097"</f>
        <v>20190305135111097</v>
      </c>
      <c r="B7636" t="str">
        <f>"1551765071086946"</f>
        <v>1551765071086946</v>
      </c>
      <c r="C7636" t="s">
        <v>40</v>
      </c>
      <c r="D7636">
        <v>3.9333999999999998</v>
      </c>
      <c r="E7636">
        <v>0.41445530000000003</v>
      </c>
      <c r="F7636" t="s">
        <v>59</v>
      </c>
      <c r="G7636">
        <v>-157.3501</v>
      </c>
      <c r="H7636">
        <v>0.78532429999999998</v>
      </c>
      <c r="I7636">
        <v>-1.65477599999999</v>
      </c>
      <c r="J7636">
        <v>-206.5583</v>
      </c>
      <c r="K7636">
        <v>1.1167320000000001</v>
      </c>
      <c r="L7636">
        <v>-60.773679999999999</v>
      </c>
      <c r="M7636">
        <v>0.94993079999999996</v>
      </c>
      <c r="N7636">
        <v>-1.6994229999999999E-2</v>
      </c>
      <c r="O7636">
        <v>0.311998</v>
      </c>
      <c r="P7636">
        <v>0.79321900000000001</v>
      </c>
      <c r="Q7636">
        <v>-5.2783679999999999E-2</v>
      </c>
      <c r="R7636">
        <v>0.60664459999999998</v>
      </c>
      <c r="S7636">
        <v>1.9744569999999999</v>
      </c>
      <c r="T7636">
        <v>-1.326811E-2</v>
      </c>
      <c r="U7636">
        <v>2.3683779999999999</v>
      </c>
      <c r="V7636">
        <v>-0.32820680000000002</v>
      </c>
      <c r="W7636">
        <v>-4.1997680000000003E-2</v>
      </c>
      <c r="X7636">
        <v>0.94367179999999995</v>
      </c>
      <c r="Y7636">
        <v>-0.52988809999999997</v>
      </c>
      <c r="Z7636">
        <v>9.7624329999999992E-3</v>
      </c>
      <c r="AA7636">
        <v>0.84801139999999997</v>
      </c>
      <c r="AB7636">
        <v>25</v>
      </c>
      <c r="AC7636">
        <v>49.208199999999998</v>
      </c>
      <c r="AD7636">
        <v>-0.33140770000000003</v>
      </c>
      <c r="AE7636">
        <v>59.118904000000001</v>
      </c>
      <c r="AF7636">
        <v>-40.811142285392201</v>
      </c>
      <c r="AG7636">
        <v>-0.33140770000000003</v>
      </c>
      <c r="AH7636">
        <v>65.197567184304205</v>
      </c>
      <c r="AI7636">
        <v>90.246864402471203</v>
      </c>
      <c r="AJ7636">
        <v>122.04496571936799</v>
      </c>
      <c r="AK7636">
        <v>76.918020856324802</v>
      </c>
      <c r="AL7636">
        <v>92.406997776769003</v>
      </c>
      <c r="AM7636">
        <v>109.177552676951</v>
      </c>
      <c r="AN7636">
        <v>0.99999998740343099</v>
      </c>
    </row>
    <row r="7637" spans="1:40" x14ac:dyDescent="0.25">
      <c r="A7637" t="str">
        <f>"20190305135111108"</f>
        <v>20190305135111108</v>
      </c>
      <c r="B7637" t="str">
        <f>"1551765071097682"</f>
        <v>1551765071097682</v>
      </c>
      <c r="C7637" t="s">
        <v>40</v>
      </c>
      <c r="D7637">
        <v>3.893106</v>
      </c>
      <c r="E7637">
        <v>0.4148889</v>
      </c>
      <c r="F7637" t="s">
        <v>59</v>
      </c>
      <c r="G7637">
        <v>-157.3501</v>
      </c>
      <c r="H7637">
        <v>0.76365469999999902</v>
      </c>
      <c r="I7637">
        <v>-1.4020680000000001</v>
      </c>
      <c r="J7637">
        <v>-206.44210000000001</v>
      </c>
      <c r="K7637">
        <v>1.116714</v>
      </c>
      <c r="L7637">
        <v>-60.730159999999998</v>
      </c>
      <c r="M7637">
        <v>0.94836679999999995</v>
      </c>
      <c r="N7637">
        <v>-1.6865930000000001E-2</v>
      </c>
      <c r="O7637">
        <v>0.31672729999999999</v>
      </c>
      <c r="P7637">
        <v>0.78988749999999996</v>
      </c>
      <c r="Q7637">
        <v>-5.200569E-2</v>
      </c>
      <c r="R7637">
        <v>0.6110428</v>
      </c>
      <c r="S7637">
        <v>1.9665220000000001</v>
      </c>
      <c r="T7637">
        <v>-1.411021E-2</v>
      </c>
      <c r="U7637">
        <v>2.372681</v>
      </c>
      <c r="V7637">
        <v>-0.32874409999999998</v>
      </c>
      <c r="W7637">
        <v>-4.1336680000000001E-2</v>
      </c>
      <c r="X7637">
        <v>0.94351399999999996</v>
      </c>
      <c r="Y7637">
        <v>-0.52809519999999999</v>
      </c>
      <c r="Z7637">
        <v>9.7017609999999997E-3</v>
      </c>
      <c r="AA7637">
        <v>0.84912969999999899</v>
      </c>
      <c r="AB7637">
        <v>25</v>
      </c>
      <c r="AC7637">
        <v>49.091999999999999</v>
      </c>
      <c r="AD7637">
        <v>-0.35305930000000002</v>
      </c>
      <c r="AE7637">
        <v>59.328091999999998</v>
      </c>
      <c r="AF7637">
        <v>-40.720947748852602</v>
      </c>
      <c r="AG7637">
        <v>-0.35305930000000002</v>
      </c>
      <c r="AH7637">
        <v>65.355964417317296</v>
      </c>
      <c r="AI7637">
        <v>90.262696708658197</v>
      </c>
      <c r="AJ7637">
        <v>121.925547222286</v>
      </c>
      <c r="AK7637">
        <v>77.004690255540595</v>
      </c>
      <c r="AL7637">
        <v>92.369092230314294</v>
      </c>
      <c r="AM7637">
        <v>109.20962673192101</v>
      </c>
      <c r="AN7637">
        <v>1.00000003629711</v>
      </c>
    </row>
    <row r="7638" spans="1:40" x14ac:dyDescent="0.25">
      <c r="A7638" t="str">
        <f>"20190305135111121"</f>
        <v>20190305135111121</v>
      </c>
      <c r="B7638" t="str">
        <f>"1551765071117202"</f>
        <v>1551765071117202</v>
      </c>
      <c r="C7638" t="s">
        <v>40</v>
      </c>
      <c r="D7638">
        <v>3.9170379999999998</v>
      </c>
      <c r="E7638">
        <v>0.41553099999999998</v>
      </c>
      <c r="F7638" t="s">
        <v>59</v>
      </c>
      <c r="G7638">
        <v>-157.3501</v>
      </c>
      <c r="H7638">
        <v>0.78943160000000001</v>
      </c>
      <c r="I7638">
        <v>-0.96391059999999995</v>
      </c>
      <c r="J7638">
        <v>-206.32550000000001</v>
      </c>
      <c r="K7638">
        <v>1.1167039999999999</v>
      </c>
      <c r="L7638">
        <v>-60.685419999999901</v>
      </c>
      <c r="M7638">
        <v>0.94677069999999997</v>
      </c>
      <c r="N7638">
        <v>-1.6737459999999999E-2</v>
      </c>
      <c r="O7638">
        <v>0.32147350000000002</v>
      </c>
      <c r="P7638">
        <v>0.78658950000000005</v>
      </c>
      <c r="Q7638">
        <v>-5.1445629999999999E-2</v>
      </c>
      <c r="R7638">
        <v>0.61532940000000003</v>
      </c>
      <c r="S7638">
        <v>1.95549</v>
      </c>
      <c r="T7638">
        <v>-1.3036610000000001E-2</v>
      </c>
      <c r="U7638">
        <v>2.3806759999999998</v>
      </c>
      <c r="V7638">
        <v>-0.32914589999999999</v>
      </c>
      <c r="W7638">
        <v>-4.0895330000000001E-2</v>
      </c>
      <c r="X7638">
        <v>0.94339309999999998</v>
      </c>
      <c r="Y7638">
        <v>-0.52759330000000004</v>
      </c>
      <c r="Z7638">
        <v>9.6856000000000008E-3</v>
      </c>
      <c r="AA7638">
        <v>0.84944189999999997</v>
      </c>
      <c r="AB7638">
        <v>25</v>
      </c>
      <c r="AC7638">
        <v>48.9754</v>
      </c>
      <c r="AD7638">
        <v>-0.32727240000000002</v>
      </c>
      <c r="AE7638">
        <v>59.721509400000002</v>
      </c>
      <c r="AF7638">
        <v>-40.803262957105801</v>
      </c>
      <c r="AG7638">
        <v>-0.32727240000000002</v>
      </c>
      <c r="AH7638">
        <v>65.5753613299173</v>
      </c>
      <c r="AI7638">
        <v>90.242785610023603</v>
      </c>
      <c r="AJ7638">
        <v>121.891305719652</v>
      </c>
      <c r="AK7638">
        <v>77.234327787064601</v>
      </c>
      <c r="AL7638">
        <v>92.343783430782096</v>
      </c>
      <c r="AM7638">
        <v>109.233665656371</v>
      </c>
      <c r="AN7638">
        <v>0.99999999631511405</v>
      </c>
    </row>
    <row r="7639" spans="1:40" x14ac:dyDescent="0.25">
      <c r="A7639" t="str">
        <f>"20190305135111131"</f>
        <v>20190305135111131</v>
      </c>
      <c r="B7639" t="str">
        <f>"1551765071126961"</f>
        <v>1551765071126961</v>
      </c>
      <c r="C7639" t="s">
        <v>40</v>
      </c>
      <c r="D7639">
        <v>3.8873760000000002</v>
      </c>
      <c r="E7639">
        <v>0.41605350000000002</v>
      </c>
      <c r="F7639" t="s">
        <v>59</v>
      </c>
      <c r="G7639">
        <v>-157.3501</v>
      </c>
      <c r="H7639">
        <v>0.61687329999999996</v>
      </c>
      <c r="I7639">
        <v>-0.61512089999999997</v>
      </c>
      <c r="J7639">
        <v>-206.21379999999999</v>
      </c>
      <c r="K7639">
        <v>1.1166940000000001</v>
      </c>
      <c r="L7639">
        <v>-60.642299999999999</v>
      </c>
      <c r="M7639">
        <v>0.94521860000000002</v>
      </c>
      <c r="N7639">
        <v>-1.6615370000000001E-2</v>
      </c>
      <c r="O7639">
        <v>0.32601529999999901</v>
      </c>
      <c r="P7639">
        <v>0.78323409999999904</v>
      </c>
      <c r="Q7639">
        <v>-5.0514219999999999E-2</v>
      </c>
      <c r="R7639">
        <v>0.61967139999999998</v>
      </c>
      <c r="S7639">
        <v>1.945724</v>
      </c>
      <c r="T7639">
        <v>-1.9857759999999999E-2</v>
      </c>
      <c r="U7639">
        <v>2.3865050000000001</v>
      </c>
      <c r="V7639">
        <v>-0.3298297</v>
      </c>
      <c r="W7639">
        <v>-4.0083590000000002E-2</v>
      </c>
      <c r="X7639">
        <v>0.9431891</v>
      </c>
      <c r="Y7639">
        <v>-0.52659690000000003</v>
      </c>
      <c r="Z7639">
        <v>9.5217029999999994E-3</v>
      </c>
      <c r="AA7639">
        <v>0.85006179999999998</v>
      </c>
      <c r="AB7639">
        <v>25</v>
      </c>
      <c r="AC7639">
        <v>48.863700000000001</v>
      </c>
      <c r="AD7639">
        <v>-0.49982070000000001</v>
      </c>
      <c r="AE7639">
        <v>60.027179099999998</v>
      </c>
      <c r="AF7639">
        <v>-40.812419615863703</v>
      </c>
      <c r="AG7639">
        <v>-0.49982070000000001</v>
      </c>
      <c r="AH7639">
        <v>65.762985054501399</v>
      </c>
      <c r="AI7639">
        <v>90.370000285961893</v>
      </c>
      <c r="AJ7639">
        <v>121.823682262657</v>
      </c>
      <c r="AK7639">
        <v>77.399441980624502</v>
      </c>
      <c r="AL7639">
        <v>92.2972359702067</v>
      </c>
      <c r="AM7639">
        <v>109.274540906829</v>
      </c>
      <c r="AN7639">
        <v>1.00000000177409</v>
      </c>
    </row>
    <row r="7640" spans="1:40" x14ac:dyDescent="0.25">
      <c r="A7640" t="str">
        <f>"20190305135111143"</f>
        <v>20190305135111143</v>
      </c>
      <c r="B7640" t="str">
        <f>"1551765071137697"</f>
        <v>1551765071137697</v>
      </c>
      <c r="C7640" t="s">
        <v>40</v>
      </c>
      <c r="D7640">
        <v>3.9646889999999999</v>
      </c>
      <c r="E7640">
        <v>0.4166839</v>
      </c>
      <c r="F7640" t="s">
        <v>59</v>
      </c>
      <c r="G7640">
        <v>-157.3501</v>
      </c>
      <c r="H7640">
        <v>0.65777159999999901</v>
      </c>
      <c r="I7640">
        <v>-0.18563940000000001</v>
      </c>
      <c r="J7640">
        <v>-206.0915</v>
      </c>
      <c r="K7640">
        <v>1.1166860000000001</v>
      </c>
      <c r="L7640">
        <v>-60.594090000000001</v>
      </c>
      <c r="M7640">
        <v>0.94349150000000004</v>
      </c>
      <c r="N7640">
        <v>-1.6486919999999999E-2</v>
      </c>
      <c r="O7640">
        <v>0.33098660000000002</v>
      </c>
      <c r="P7640">
        <v>0.77962529999999997</v>
      </c>
      <c r="Q7640">
        <v>-4.9584570000000001E-2</v>
      </c>
      <c r="R7640">
        <v>0.62428019999999995</v>
      </c>
      <c r="S7640">
        <v>1.934998</v>
      </c>
      <c r="T7640">
        <v>-1.817334E-2</v>
      </c>
      <c r="U7640">
        <v>2.3940730000000001</v>
      </c>
      <c r="V7640">
        <v>-0.330422099999999</v>
      </c>
      <c r="W7640">
        <v>-3.9280950000000002E-2</v>
      </c>
      <c r="X7640">
        <v>0.94301550000000001</v>
      </c>
      <c r="Y7640">
        <v>-0.5257444</v>
      </c>
      <c r="Z7640">
        <v>9.5064160000000002E-3</v>
      </c>
      <c r="AA7640">
        <v>0.8505895</v>
      </c>
      <c r="AB7640">
        <v>25</v>
      </c>
      <c r="AC7640">
        <v>48.741399999999999</v>
      </c>
      <c r="AD7640">
        <v>-0.4589144</v>
      </c>
      <c r="AE7640">
        <v>60.408450600000002</v>
      </c>
      <c r="AF7640">
        <v>-40.8662323445811</v>
      </c>
      <c r="AG7640">
        <v>-0.4589144</v>
      </c>
      <c r="AH7640">
        <v>65.988141730482795</v>
      </c>
      <c r="AI7640">
        <v>90.338757825882894</v>
      </c>
      <c r="AJ7640">
        <v>121.769792565274</v>
      </c>
      <c r="AK7640">
        <v>77.618904897647894</v>
      </c>
      <c r="AL7640">
        <v>92.251211848359205</v>
      </c>
      <c r="AM7640">
        <v>109.309890989856</v>
      </c>
      <c r="AN7640">
        <v>0.99999999522078098</v>
      </c>
    </row>
    <row r="7641" spans="1:40" x14ac:dyDescent="0.25">
      <c r="A7641" t="str">
        <f>"20190305135111155"</f>
        <v>20190305135111155</v>
      </c>
      <c r="B7641" t="str">
        <f>"1551765071147457"</f>
        <v>1551765071147457</v>
      </c>
      <c r="C7641" t="s">
        <v>40</v>
      </c>
      <c r="D7641">
        <v>3.947343</v>
      </c>
      <c r="E7641">
        <v>0.41734650000000001</v>
      </c>
      <c r="F7641" t="s">
        <v>59</v>
      </c>
      <c r="G7641">
        <v>-157.3501</v>
      </c>
      <c r="H7641">
        <v>0.72567179999999998</v>
      </c>
      <c r="I7641">
        <v>0.23605490000000001</v>
      </c>
      <c r="J7641">
        <v>-205.9768</v>
      </c>
      <c r="K7641">
        <v>1.116682</v>
      </c>
      <c r="L7641">
        <v>-60.548310000000001</v>
      </c>
      <c r="M7641">
        <v>0.94184509999999999</v>
      </c>
      <c r="N7641">
        <v>-1.6370659999999999E-2</v>
      </c>
      <c r="O7641">
        <v>0.33564860000000002</v>
      </c>
      <c r="P7641">
        <v>0.77599280000000004</v>
      </c>
      <c r="Q7641">
        <v>-4.8500920000000003E-2</v>
      </c>
      <c r="R7641">
        <v>0.62887419999999905</v>
      </c>
      <c r="S7641">
        <v>1.9241490000000001</v>
      </c>
      <c r="T7641">
        <v>-1.543593E-2</v>
      </c>
      <c r="U7641">
        <v>2.401367</v>
      </c>
      <c r="V7641">
        <v>-0.33132060000000002</v>
      </c>
      <c r="W7641">
        <v>-3.8320840000000002E-2</v>
      </c>
      <c r="X7641">
        <v>0.94273969999999896</v>
      </c>
      <c r="Y7641">
        <v>-0.52514640000000001</v>
      </c>
      <c r="Z7641">
        <v>9.5278159999999997E-3</v>
      </c>
      <c r="AA7641">
        <v>0.85095859999999901</v>
      </c>
      <c r="AB7641">
        <v>25</v>
      </c>
      <c r="AC7641">
        <v>48.6267</v>
      </c>
      <c r="AD7641">
        <v>-0.39101019999999898</v>
      </c>
      <c r="AE7641">
        <v>60.7843649</v>
      </c>
      <c r="AF7641">
        <v>-40.932421514200797</v>
      </c>
      <c r="AG7641">
        <v>-0.39101019999999898</v>
      </c>
      <c r="AH7641">
        <v>66.208202450979499</v>
      </c>
      <c r="AI7641">
        <v>90.287810727276195</v>
      </c>
      <c r="AJ7641">
        <v>121.725928641737</v>
      </c>
      <c r="AK7641">
        <v>77.840491338265593</v>
      </c>
      <c r="AL7641">
        <v>92.196160162923704</v>
      </c>
      <c r="AM7641">
        <v>109.363740151051</v>
      </c>
      <c r="AN7641">
        <v>0.99999998435937698</v>
      </c>
    </row>
    <row r="7642" spans="1:40" x14ac:dyDescent="0.25">
      <c r="A7642" t="str">
        <f>"20190305135111165"</f>
        <v>20190305135111165</v>
      </c>
      <c r="B7642" t="str">
        <f>"1551765071157217"</f>
        <v>1551765071157217</v>
      </c>
      <c r="C7642" t="s">
        <v>40</v>
      </c>
      <c r="D7642">
        <v>3.9549729999999998</v>
      </c>
      <c r="E7642">
        <v>0.41792649999999998</v>
      </c>
      <c r="F7642" t="s">
        <v>59</v>
      </c>
      <c r="G7642">
        <v>-157.3501</v>
      </c>
      <c r="H7642">
        <v>0.80708169999999901</v>
      </c>
      <c r="I7642">
        <v>0.66055249999999999</v>
      </c>
      <c r="J7642">
        <v>-205.8673</v>
      </c>
      <c r="K7642">
        <v>1.116682</v>
      </c>
      <c r="L7642">
        <v>-60.503999999999998</v>
      </c>
      <c r="M7642">
        <v>0.940249</v>
      </c>
      <c r="N7642">
        <v>-1.626468E-2</v>
      </c>
      <c r="O7642">
        <v>0.34009899999999998</v>
      </c>
      <c r="P7642">
        <v>0.77265969999999995</v>
      </c>
      <c r="Q7642">
        <v>-4.7229479999999997E-2</v>
      </c>
      <c r="R7642">
        <v>0.63306119999999899</v>
      </c>
      <c r="S7642">
        <v>1.9133910000000001</v>
      </c>
      <c r="T7642">
        <v>-1.218235E-2</v>
      </c>
      <c r="U7642">
        <v>2.4084780000000001</v>
      </c>
      <c r="V7642">
        <v>-0.33195229999999998</v>
      </c>
      <c r="W7642">
        <v>-3.7159009999999999E-2</v>
      </c>
      <c r="X7642">
        <v>0.94256399999999996</v>
      </c>
      <c r="Y7642">
        <v>-0.5246847</v>
      </c>
      <c r="Z7642">
        <v>9.5761010000000001E-3</v>
      </c>
      <c r="AA7642">
        <v>0.85124270000000002</v>
      </c>
      <c r="AB7642">
        <v>25</v>
      </c>
      <c r="AC7642">
        <v>48.517200000000003</v>
      </c>
      <c r="AD7642">
        <v>-0.30960029999999999</v>
      </c>
      <c r="AE7642">
        <v>61.164552499999999</v>
      </c>
      <c r="AF7642">
        <v>-41.014037428687999</v>
      </c>
      <c r="AG7642">
        <v>-0.30960029999999999</v>
      </c>
      <c r="AH7642">
        <v>66.427992683762696</v>
      </c>
      <c r="AI7642">
        <v>90.227217066669297</v>
      </c>
      <c r="AJ7642">
        <v>121.69205301513399</v>
      </c>
      <c r="AK7642">
        <v>78.070002757407494</v>
      </c>
      <c r="AL7642">
        <v>92.129544695529404</v>
      </c>
      <c r="AM7642">
        <v>109.401250232579</v>
      </c>
      <c r="AN7642">
        <v>1.00000000779773</v>
      </c>
    </row>
    <row r="7643" spans="1:40" x14ac:dyDescent="0.25">
      <c r="A7643" t="str">
        <f>"20190305135111175"</f>
        <v>20190305135111175</v>
      </c>
      <c r="B7643" t="str">
        <f>"1551765071166978"</f>
        <v>1551765071166978</v>
      </c>
      <c r="C7643" t="s">
        <v>40</v>
      </c>
      <c r="D7643">
        <v>3.9264519999999998</v>
      </c>
      <c r="E7643">
        <v>0.41850159999999997</v>
      </c>
      <c r="F7643" t="s">
        <v>59</v>
      </c>
      <c r="G7643">
        <v>-157.3501</v>
      </c>
      <c r="H7643">
        <v>0.90544939999999996</v>
      </c>
      <c r="I7643">
        <v>1.0674090000000001</v>
      </c>
      <c r="J7643">
        <v>-205.76140000000001</v>
      </c>
      <c r="K7643">
        <v>1.1166780000000001</v>
      </c>
      <c r="L7643">
        <v>-60.460479999999997</v>
      </c>
      <c r="M7643">
        <v>0.93868059999999998</v>
      </c>
      <c r="N7643">
        <v>-1.6167859999999999E-2</v>
      </c>
      <c r="O7643">
        <v>0.3444084</v>
      </c>
      <c r="P7643">
        <v>0.76919799999999905</v>
      </c>
      <c r="Q7643">
        <v>-4.6217389999999997E-2</v>
      </c>
      <c r="R7643">
        <v>0.63733700000000004</v>
      </c>
      <c r="S7643">
        <v>1.9032290000000001</v>
      </c>
      <c r="T7643">
        <v>-8.2863569999999994E-3</v>
      </c>
      <c r="U7643">
        <v>2.415314</v>
      </c>
      <c r="V7643">
        <v>-0.33284999999999998</v>
      </c>
      <c r="W7643">
        <v>-3.6255089999999997E-2</v>
      </c>
      <c r="X7643">
        <v>0.94228259999999997</v>
      </c>
      <c r="Y7643">
        <v>-0.52417139999999995</v>
      </c>
      <c r="Z7643">
        <v>9.6543400000000008E-3</v>
      </c>
      <c r="AA7643">
        <v>0.85155809999999998</v>
      </c>
      <c r="AB7643">
        <v>25</v>
      </c>
      <c r="AC7643">
        <v>48.411299999999997</v>
      </c>
      <c r="AD7643">
        <v>-0.21122859999999999</v>
      </c>
      <c r="AE7643">
        <v>61.527889000000002</v>
      </c>
      <c r="AF7643">
        <v>-41.086852549840501</v>
      </c>
      <c r="AG7643">
        <v>-0.21122859999999999</v>
      </c>
      <c r="AH7643">
        <v>66.641701703703603</v>
      </c>
      <c r="AI7643">
        <v>90.154586220099802</v>
      </c>
      <c r="AJ7643">
        <v>121.65522979910401</v>
      </c>
      <c r="AK7643">
        <v>78.289785259248205</v>
      </c>
      <c r="AL7643">
        <v>92.077718928023998</v>
      </c>
      <c r="AM7643">
        <v>109.455155193203</v>
      </c>
      <c r="AN7643">
        <v>1.00000002615683</v>
      </c>
    </row>
    <row r="7644" spans="1:40" x14ac:dyDescent="0.25">
      <c r="A7644" t="str">
        <f>"20190305135111187"</f>
        <v>20190305135111187</v>
      </c>
      <c r="B7644" t="str">
        <f>"1551765071177714"</f>
        <v>1551765071177714</v>
      </c>
      <c r="C7644" t="s">
        <v>40</v>
      </c>
      <c r="D7644">
        <v>3.957535</v>
      </c>
      <c r="E7644">
        <v>0.41850159999999997</v>
      </c>
      <c r="F7644" t="s">
        <v>59</v>
      </c>
      <c r="G7644">
        <v>-157.3501</v>
      </c>
      <c r="H7644">
        <v>0.96611210000000003</v>
      </c>
      <c r="I7644">
        <v>1.4901879999999901</v>
      </c>
      <c r="J7644">
        <v>-205.64670000000001</v>
      </c>
      <c r="K7644">
        <v>1.1166769999999999</v>
      </c>
      <c r="L7644">
        <v>-60.412930000000003</v>
      </c>
      <c r="M7644">
        <v>0.93695709999999999</v>
      </c>
      <c r="N7644">
        <v>-1.606697E-2</v>
      </c>
      <c r="O7644">
        <v>0.34907490000000002</v>
      </c>
      <c r="P7644">
        <v>0.76576129999999998</v>
      </c>
      <c r="Q7644">
        <v>-4.5699259999999998E-2</v>
      </c>
      <c r="R7644">
        <v>0.64149929999999999</v>
      </c>
      <c r="S7644">
        <v>1.892838</v>
      </c>
      <c r="T7644">
        <v>-5.8871510000000002E-3</v>
      </c>
      <c r="U7644">
        <v>2.4222109999999999</v>
      </c>
      <c r="V7644">
        <v>-0.33326739999999999</v>
      </c>
      <c r="W7644">
        <v>-3.583969E-2</v>
      </c>
      <c r="X7644">
        <v>0.94215099999999996</v>
      </c>
      <c r="Y7644">
        <v>-0.52338469999999904</v>
      </c>
      <c r="Z7644">
        <v>9.7028960000000008E-3</v>
      </c>
      <c r="AA7644">
        <v>0.85204120000000005</v>
      </c>
      <c r="AB7644">
        <v>25</v>
      </c>
      <c r="AC7644">
        <v>48.296599999999998</v>
      </c>
      <c r="AD7644">
        <v>-0.1505649</v>
      </c>
      <c r="AE7644">
        <v>61.903117999999999</v>
      </c>
      <c r="AF7644">
        <v>-41.1465942659595</v>
      </c>
      <c r="AG7644">
        <v>-0.1505649</v>
      </c>
      <c r="AH7644">
        <v>66.869051366579896</v>
      </c>
      <c r="AI7644">
        <v>90.109874390790196</v>
      </c>
      <c r="AJ7644">
        <v>121.605270334103</v>
      </c>
      <c r="AK7644">
        <v>78.514552282636799</v>
      </c>
      <c r="AL7644">
        <v>92.053902682668294</v>
      </c>
      <c r="AM7644">
        <v>109.480232440587</v>
      </c>
      <c r="AN7644">
        <v>1.0000000750415201</v>
      </c>
    </row>
    <row r="7645" spans="1:40" x14ac:dyDescent="0.25">
      <c r="A7645" t="str">
        <f>"20190305135111199"</f>
        <v>20190305135111199</v>
      </c>
      <c r="B7645" t="str">
        <f>"1551765071187474"</f>
        <v>1551765071187474</v>
      </c>
      <c r="C7645" t="s">
        <v>40</v>
      </c>
      <c r="D7645">
        <v>3.9642559999999998</v>
      </c>
      <c r="E7645">
        <v>0.41912240000000001</v>
      </c>
      <c r="F7645" t="s">
        <v>59</v>
      </c>
      <c r="G7645">
        <v>-157.3501</v>
      </c>
      <c r="H7645">
        <v>0.99784609999999996</v>
      </c>
      <c r="I7645">
        <v>2.0879059999999998</v>
      </c>
      <c r="J7645">
        <v>-205.53819999999999</v>
      </c>
      <c r="K7645">
        <v>1.1166750000000001</v>
      </c>
      <c r="L7645">
        <v>-60.366999999999997</v>
      </c>
      <c r="M7645">
        <v>0.93529709999999999</v>
      </c>
      <c r="N7645">
        <v>-1.5978599999999999E-2</v>
      </c>
      <c r="O7645">
        <v>0.3535027</v>
      </c>
      <c r="P7645">
        <v>0.76242909999999997</v>
      </c>
      <c r="Q7645">
        <v>-4.5774769999999999E-2</v>
      </c>
      <c r="R7645">
        <v>0.64545059999999999</v>
      </c>
      <c r="S7645">
        <v>1.8796539999999999</v>
      </c>
      <c r="T7645">
        <v>-4.6243669999999999E-3</v>
      </c>
      <c r="U7645">
        <v>2.4324650000000001</v>
      </c>
      <c r="V7645">
        <v>-0.33368229999999999</v>
      </c>
      <c r="W7645">
        <v>-3.6007770000000001E-2</v>
      </c>
      <c r="X7645">
        <v>0.94199759999999999</v>
      </c>
      <c r="Y7645">
        <v>-0.5239876</v>
      </c>
      <c r="Z7645">
        <v>9.7453669999999996E-3</v>
      </c>
      <c r="AA7645">
        <v>0.85167009999999899</v>
      </c>
      <c r="AB7645">
        <v>25</v>
      </c>
      <c r="AC7645">
        <v>48.188099999999899</v>
      </c>
      <c r="AD7645">
        <v>-0.1188289</v>
      </c>
      <c r="AE7645">
        <v>62.454906000000001</v>
      </c>
      <c r="AF7645">
        <v>-41.384455601992201</v>
      </c>
      <c r="AG7645">
        <v>-0.1188289</v>
      </c>
      <c r="AH7645">
        <v>67.156584629407206</v>
      </c>
      <c r="AI7645">
        <v>90.086308912779799</v>
      </c>
      <c r="AJ7645">
        <v>121.64296361514501</v>
      </c>
      <c r="AK7645">
        <v>78.884055073680599</v>
      </c>
      <c r="AL7645">
        <v>92.063539419010397</v>
      </c>
      <c r="AM7645">
        <v>109.50559114262499</v>
      </c>
      <c r="AN7645">
        <v>0.99999995761970994</v>
      </c>
    </row>
    <row r="7646" spans="1:40" x14ac:dyDescent="0.25">
      <c r="A7646" t="str">
        <f>"20190305135111209"</f>
        <v>20190305135111209</v>
      </c>
      <c r="B7646" t="str">
        <f>"1551765071197234"</f>
        <v>1551765071197234</v>
      </c>
      <c r="C7646" t="s">
        <v>40</v>
      </c>
      <c r="D7646">
        <v>3.9976950000000002</v>
      </c>
      <c r="E7646">
        <v>0.41912240000000001</v>
      </c>
      <c r="F7646" t="s">
        <v>59</v>
      </c>
      <c r="G7646">
        <v>-157.3501</v>
      </c>
      <c r="H7646">
        <v>0.9740567</v>
      </c>
      <c r="I7646">
        <v>2.4583810000000001</v>
      </c>
      <c r="J7646">
        <v>-205.4248</v>
      </c>
      <c r="K7646">
        <v>1.116673</v>
      </c>
      <c r="L7646">
        <v>-60.318759999999997</v>
      </c>
      <c r="M7646">
        <v>0.93353600000000003</v>
      </c>
      <c r="N7646">
        <v>-1.5888019999999999E-2</v>
      </c>
      <c r="O7646">
        <v>0.3581317</v>
      </c>
      <c r="P7646">
        <v>0.75912219999999997</v>
      </c>
      <c r="Q7646">
        <v>-4.646082E-2</v>
      </c>
      <c r="R7646">
        <v>0.64928809999999904</v>
      </c>
      <c r="S7646">
        <v>1.870239</v>
      </c>
      <c r="T7646">
        <v>-5.5352450000000003E-3</v>
      </c>
      <c r="U7646">
        <v>2.4383240000000002</v>
      </c>
      <c r="V7646">
        <v>-0.33377079999999998</v>
      </c>
      <c r="W7646">
        <v>-3.6782179999999998E-2</v>
      </c>
      <c r="X7646">
        <v>0.94193640000000001</v>
      </c>
      <c r="Y7646">
        <v>-0.5228235</v>
      </c>
      <c r="Z7646">
        <v>9.7071999999999992E-3</v>
      </c>
      <c r="AA7646">
        <v>0.85238570000000002</v>
      </c>
      <c r="AB7646">
        <v>25</v>
      </c>
      <c r="AC7646">
        <v>48.0747</v>
      </c>
      <c r="AD7646">
        <v>-0.1426163</v>
      </c>
      <c r="AE7646">
        <v>62.777141</v>
      </c>
      <c r="AF7646">
        <v>-41.392732832633897</v>
      </c>
      <c r="AG7646">
        <v>-0.1426163</v>
      </c>
      <c r="AH7646">
        <v>67.370224893869207</v>
      </c>
      <c r="AI7646">
        <v>90.103342312701798</v>
      </c>
      <c r="AJ7646">
        <v>121.566853845197</v>
      </c>
      <c r="AK7646">
        <v>79.0703855625692</v>
      </c>
      <c r="AL7646">
        <v>92.1079391124117</v>
      </c>
      <c r="AM7646">
        <v>109.511545653558</v>
      </c>
      <c r="AN7646">
        <v>1.00000002867157</v>
      </c>
    </row>
    <row r="7647" spans="1:40" x14ac:dyDescent="0.25">
      <c r="A7647" t="str">
        <f>"20190305135111221"</f>
        <v>20190305135111221</v>
      </c>
      <c r="B7647" t="str">
        <f>"1551765071217732"</f>
        <v>1551765071217732</v>
      </c>
      <c r="C7647" t="s">
        <v>40</v>
      </c>
      <c r="D7647">
        <v>3.9391050000000001</v>
      </c>
      <c r="E7647">
        <v>0.42032750000000002</v>
      </c>
      <c r="F7647" t="s">
        <v>59</v>
      </c>
      <c r="G7647">
        <v>-157.3501</v>
      </c>
      <c r="H7647">
        <v>0.92432789999999998</v>
      </c>
      <c r="I7647">
        <v>3.0209920000000001</v>
      </c>
      <c r="J7647">
        <v>-205.3142</v>
      </c>
      <c r="K7647">
        <v>1.116668</v>
      </c>
      <c r="L7647">
        <v>-60.270600000000002</v>
      </c>
      <c r="M7647">
        <v>0.93178669999999997</v>
      </c>
      <c r="N7647">
        <v>-1.580821E-2</v>
      </c>
      <c r="O7647">
        <v>0.36266189999999998</v>
      </c>
      <c r="P7647">
        <v>0.75607849999999999</v>
      </c>
      <c r="Q7647">
        <v>-4.7365539999999998E-2</v>
      </c>
      <c r="R7647">
        <v>0.65276480000000003</v>
      </c>
      <c r="S7647">
        <v>1.857864</v>
      </c>
      <c r="T7647">
        <v>-7.4332950000000004E-3</v>
      </c>
      <c r="U7647">
        <v>2.447784</v>
      </c>
      <c r="V7647">
        <v>-0.33352330000000002</v>
      </c>
      <c r="W7647">
        <v>-3.775858E-2</v>
      </c>
      <c r="X7647">
        <v>0.94198539999999997</v>
      </c>
      <c r="Y7647">
        <v>-0.52299879999999999</v>
      </c>
      <c r="Z7647">
        <v>9.652707E-3</v>
      </c>
      <c r="AA7647">
        <v>0.8522788</v>
      </c>
      <c r="AB7647">
        <v>25</v>
      </c>
      <c r="AC7647">
        <v>47.964100000000002</v>
      </c>
      <c r="AD7647">
        <v>-0.19234009999999899</v>
      </c>
      <c r="AE7647">
        <v>63.291592000000001</v>
      </c>
      <c r="AF7647">
        <v>-41.584464232781897</v>
      </c>
      <c r="AG7647">
        <v>-0.19234009999999899</v>
      </c>
      <c r="AH7647">
        <v>67.653816244169505</v>
      </c>
      <c r="AI7647">
        <v>90.138772714269095</v>
      </c>
      <c r="AJ7647">
        <v>121.577606169456</v>
      </c>
      <c r="AK7647">
        <v>79.412489651448695</v>
      </c>
      <c r="AL7647">
        <v>92.163921674383005</v>
      </c>
      <c r="AM7647">
        <v>109.497231384815</v>
      </c>
      <c r="AN7647">
        <v>0.99999999790983296</v>
      </c>
    </row>
    <row r="7648" spans="1:40" x14ac:dyDescent="0.25">
      <c r="A7648" t="str">
        <f>"20190305135111234"</f>
        <v>20190305135111234</v>
      </c>
      <c r="B7648" t="str">
        <f>"1551765071227492"</f>
        <v>1551765071227492</v>
      </c>
      <c r="C7648" t="s">
        <v>40</v>
      </c>
      <c r="D7648">
        <v>4.1720480000000002</v>
      </c>
      <c r="E7648">
        <v>0.42140630000000001</v>
      </c>
      <c r="F7648" t="s">
        <v>59</v>
      </c>
      <c r="G7648">
        <v>-157.3501</v>
      </c>
      <c r="H7648">
        <v>0.83074950000000003</v>
      </c>
      <c r="I7648">
        <v>3.1215099999999998</v>
      </c>
      <c r="J7648">
        <v>-205.1831</v>
      </c>
      <c r="K7648">
        <v>1.1166640000000001</v>
      </c>
      <c r="L7648">
        <v>-60.213039999999999</v>
      </c>
      <c r="M7648">
        <v>0.92968150000000005</v>
      </c>
      <c r="N7648">
        <v>-1.57167E-2</v>
      </c>
      <c r="O7648">
        <v>0.368029</v>
      </c>
      <c r="P7648">
        <v>0.752378199999999</v>
      </c>
      <c r="Q7648">
        <v>-4.8384740000000002E-2</v>
      </c>
      <c r="R7648">
        <v>0.65695209999999904</v>
      </c>
      <c r="S7648">
        <v>1.8528899999999999</v>
      </c>
      <c r="T7648">
        <v>-1.1045340000000001E-2</v>
      </c>
      <c r="U7648">
        <v>2.4488829999999999</v>
      </c>
      <c r="V7648">
        <v>-0.3333277</v>
      </c>
      <c r="W7648">
        <v>-3.8861609999999998E-2</v>
      </c>
      <c r="X7648">
        <v>0.94200980000000001</v>
      </c>
      <c r="Y7648">
        <v>-0.51935419999999999</v>
      </c>
      <c r="Z7648">
        <v>9.4904120000000002E-3</v>
      </c>
      <c r="AA7648">
        <v>0.8545064</v>
      </c>
      <c r="AB7648">
        <v>25</v>
      </c>
      <c r="AC7648">
        <v>47.832999999999998</v>
      </c>
      <c r="AD7648">
        <v>-0.28591449999999902</v>
      </c>
      <c r="AE7648">
        <v>63.33455</v>
      </c>
      <c r="AF7648">
        <v>-41.281590475636001</v>
      </c>
      <c r="AG7648">
        <v>-0.28591449999999902</v>
      </c>
      <c r="AH7648">
        <v>67.785897570838799</v>
      </c>
      <c r="AI7648">
        <v>90.206403836379494</v>
      </c>
      <c r="AJ7648">
        <v>121.341401725019</v>
      </c>
      <c r="AK7648">
        <v>79.367369672830193</v>
      </c>
      <c r="AL7648">
        <v>92.227167016680397</v>
      </c>
      <c r="AM7648">
        <v>109.48619202659501</v>
      </c>
      <c r="AN7648">
        <v>1.00000002180756</v>
      </c>
    </row>
    <row r="7649" spans="1:40" x14ac:dyDescent="0.25">
      <c r="A7649" t="str">
        <f>"20190305135111246"</f>
        <v>20190305135111246</v>
      </c>
      <c r="B7649" t="str">
        <f>"1551765071237252"</f>
        <v>1551765071237252</v>
      </c>
      <c r="C7649" t="s">
        <v>40</v>
      </c>
      <c r="D7649">
        <v>3.9884270000000002</v>
      </c>
      <c r="E7649">
        <v>0.42202699999999999</v>
      </c>
      <c r="F7649" t="s">
        <v>59</v>
      </c>
      <c r="G7649">
        <v>-157.3501</v>
      </c>
      <c r="H7649">
        <v>0.63001249999999998</v>
      </c>
      <c r="I7649">
        <v>3.3789920000000002</v>
      </c>
      <c r="J7649">
        <v>-205.0651</v>
      </c>
      <c r="K7649">
        <v>1.1166590000000001</v>
      </c>
      <c r="L7649">
        <v>-60.160369999999901</v>
      </c>
      <c r="M7649">
        <v>0.92775180000000002</v>
      </c>
      <c r="N7649">
        <v>-1.5640069999999999E-2</v>
      </c>
      <c r="O7649">
        <v>0.37286979999999997</v>
      </c>
      <c r="P7649">
        <v>0.74918719999999905</v>
      </c>
      <c r="Q7649">
        <v>-4.925011E-2</v>
      </c>
      <c r="R7649">
        <v>0.66052469999999996</v>
      </c>
      <c r="S7649">
        <v>1.844727</v>
      </c>
      <c r="T7649">
        <v>-1.8768190000000001E-2</v>
      </c>
      <c r="U7649">
        <v>2.4524840000000001</v>
      </c>
      <c r="V7649">
        <v>-0.3329068</v>
      </c>
      <c r="W7649">
        <v>-3.9791460000000001E-2</v>
      </c>
      <c r="X7649">
        <v>0.94211979999999995</v>
      </c>
      <c r="Y7649">
        <v>-0.51729449999999999</v>
      </c>
      <c r="Z7649">
        <v>9.179329E-3</v>
      </c>
      <c r="AA7649">
        <v>0.85575820000000002</v>
      </c>
      <c r="AB7649">
        <v>25</v>
      </c>
      <c r="AC7649">
        <v>47.715000000000003</v>
      </c>
      <c r="AD7649">
        <v>-0.48664649999999998</v>
      </c>
      <c r="AE7649">
        <v>63.539361999999898</v>
      </c>
      <c r="AF7649">
        <v>-41.160767818503999</v>
      </c>
      <c r="AG7649">
        <v>-0.48664649999999998</v>
      </c>
      <c r="AH7649">
        <v>67.965353805990802</v>
      </c>
      <c r="AI7649">
        <v>90.350910027416802</v>
      </c>
      <c r="AJ7649">
        <v>121.199683255087</v>
      </c>
      <c r="AK7649">
        <v>79.459014279049896</v>
      </c>
      <c r="AL7649">
        <v>92.280484776222195</v>
      </c>
      <c r="AM7649">
        <v>109.461335454926</v>
      </c>
      <c r="AN7649">
        <v>1.0000000076636</v>
      </c>
    </row>
    <row r="7650" spans="1:40" x14ac:dyDescent="0.25">
      <c r="A7650" t="str">
        <f>"20190305135111258"</f>
        <v>20190305135111258</v>
      </c>
      <c r="B7650" t="str">
        <f>"1551765071247012"</f>
        <v>1551765071247012</v>
      </c>
      <c r="C7650" t="s">
        <v>40</v>
      </c>
      <c r="D7650">
        <v>3.9576750000000001</v>
      </c>
      <c r="E7650">
        <v>0.42270350000000001</v>
      </c>
      <c r="F7650" t="s">
        <v>59</v>
      </c>
      <c r="G7650">
        <v>-157.3501</v>
      </c>
      <c r="H7650">
        <v>0.50345329999999999</v>
      </c>
      <c r="I7650">
        <v>3.6952219999999998</v>
      </c>
      <c r="J7650">
        <v>-204.94239999999999</v>
      </c>
      <c r="K7650">
        <v>1.1166529999999999</v>
      </c>
      <c r="L7650">
        <v>-60.10474</v>
      </c>
      <c r="M7650">
        <v>0.92571230000000004</v>
      </c>
      <c r="N7650">
        <v>-1.556602E-2</v>
      </c>
      <c r="O7650">
        <v>0.37790780000000002</v>
      </c>
      <c r="P7650">
        <v>0.74582369999999898</v>
      </c>
      <c r="Q7650">
        <v>-4.9386770000000003E-2</v>
      </c>
      <c r="R7650">
        <v>0.66431010000000001</v>
      </c>
      <c r="S7650">
        <v>1.8362270000000001</v>
      </c>
      <c r="T7650">
        <v>-2.3598190000000002E-2</v>
      </c>
      <c r="U7650">
        <v>2.4573670000000001</v>
      </c>
      <c r="V7650">
        <v>-0.33255679999999999</v>
      </c>
      <c r="W7650">
        <v>-3.9990100000000001E-2</v>
      </c>
      <c r="X7650">
        <v>0.94223500000000004</v>
      </c>
      <c r="Y7650">
        <v>-0.51534099999999905</v>
      </c>
      <c r="Z7650">
        <v>8.9524559999999993E-3</v>
      </c>
      <c r="AA7650">
        <v>0.85693839999999999</v>
      </c>
      <c r="AB7650">
        <v>25</v>
      </c>
      <c r="AC7650">
        <v>47.592300000000002</v>
      </c>
      <c r="AD7650">
        <v>-0.61319970000000001</v>
      </c>
      <c r="AE7650">
        <v>63.799962000000001</v>
      </c>
      <c r="AF7650">
        <v>-41.077450047428897</v>
      </c>
      <c r="AG7650">
        <v>-0.61319970000000001</v>
      </c>
      <c r="AH7650">
        <v>68.171499230198705</v>
      </c>
      <c r="AI7650">
        <v>90.441420600572002</v>
      </c>
      <c r="AJ7650">
        <v>121.071505018552</v>
      </c>
      <c r="AK7650">
        <v>79.593254887358896</v>
      </c>
      <c r="AL7650">
        <v>92.291875060790304</v>
      </c>
      <c r="AM7650">
        <v>109.440211677449</v>
      </c>
      <c r="AN7650">
        <v>1.0000000142746199</v>
      </c>
    </row>
    <row r="7651" spans="1:40" x14ac:dyDescent="0.25">
      <c r="A7651" t="str">
        <f>"20190305135111270"</f>
        <v>20190305135111270</v>
      </c>
      <c r="B7651" t="str">
        <f>"1551765071267508"</f>
        <v>1551765071267508</v>
      </c>
      <c r="C7651" t="s">
        <v>40</v>
      </c>
      <c r="D7651">
        <v>3.992648</v>
      </c>
      <c r="E7651">
        <v>0.42388530000000002</v>
      </c>
      <c r="F7651" t="s">
        <v>59</v>
      </c>
      <c r="G7651">
        <v>-157.3501</v>
      </c>
      <c r="H7651">
        <v>0.45275120000000002</v>
      </c>
      <c r="I7651">
        <v>4.0260530000000001</v>
      </c>
      <c r="J7651">
        <v>-204.82339999999999</v>
      </c>
      <c r="K7651">
        <v>1.1166499999999999</v>
      </c>
      <c r="L7651">
        <v>-60.0503199999999</v>
      </c>
      <c r="M7651">
        <v>0.92370339999999995</v>
      </c>
      <c r="N7651">
        <v>-1.549699E-2</v>
      </c>
      <c r="O7651">
        <v>0.38279489999999999</v>
      </c>
      <c r="P7651">
        <v>0.74240050000000002</v>
      </c>
      <c r="Q7651">
        <v>-4.9832429999999997E-2</v>
      </c>
      <c r="R7651">
        <v>0.66810049999999999</v>
      </c>
      <c r="S7651">
        <v>1.8274079999999999</v>
      </c>
      <c r="T7651">
        <v>-2.5491949999999999E-2</v>
      </c>
      <c r="U7651">
        <v>2.4624329999999999</v>
      </c>
      <c r="V7651">
        <v>-0.33238109999999998</v>
      </c>
      <c r="W7651">
        <v>-4.0496459999999998E-2</v>
      </c>
      <c r="X7651">
        <v>0.94227530000000004</v>
      </c>
      <c r="Y7651">
        <v>-0.51362810000000003</v>
      </c>
      <c r="Z7651">
        <v>8.8317389999999999E-3</v>
      </c>
      <c r="AA7651">
        <v>0.85796740000000005</v>
      </c>
      <c r="AB7651">
        <v>25</v>
      </c>
      <c r="AC7651">
        <v>47.473300000000002</v>
      </c>
      <c r="AD7651">
        <v>-0.66389879999999901</v>
      </c>
      <c r="AE7651">
        <v>64.076372999999904</v>
      </c>
      <c r="AF7651">
        <v>-41.017108279404603</v>
      </c>
      <c r="AG7651">
        <v>-0.66389879999999901</v>
      </c>
      <c r="AH7651">
        <v>68.382828155344697</v>
      </c>
      <c r="AI7651">
        <v>90.477016320897107</v>
      </c>
      <c r="AJ7651">
        <v>120.956000316938</v>
      </c>
      <c r="AK7651">
        <v>79.7436838862141</v>
      </c>
      <c r="AL7651">
        <v>92.320911022565099</v>
      </c>
      <c r="AM7651">
        <v>109.429941808013</v>
      </c>
      <c r="AN7651">
        <v>0.99999994994991404</v>
      </c>
    </row>
    <row r="7652" spans="1:40" x14ac:dyDescent="0.25">
      <c r="A7652" t="str">
        <f>"20190305135111281"</f>
        <v>20190305135111281</v>
      </c>
      <c r="B7652" t="str">
        <f>"1551765071277269"</f>
        <v>1551765071277269</v>
      </c>
      <c r="C7652" t="s">
        <v>40</v>
      </c>
      <c r="D7652">
        <v>3.9768729999999999</v>
      </c>
      <c r="E7652">
        <v>0.4244638</v>
      </c>
      <c r="F7652" t="s">
        <v>59</v>
      </c>
      <c r="G7652">
        <v>-157.3501</v>
      </c>
      <c r="H7652">
        <v>0.31602669999999999</v>
      </c>
      <c r="I7652">
        <v>4.1963429999999997</v>
      </c>
      <c r="J7652">
        <v>-204.71350000000001</v>
      </c>
      <c r="K7652">
        <v>1.11664599999999</v>
      </c>
      <c r="L7652">
        <v>-59.998899999999999</v>
      </c>
      <c r="M7652">
        <v>0.92181550000000001</v>
      </c>
      <c r="N7652">
        <v>-1.543948E-2</v>
      </c>
      <c r="O7652">
        <v>0.38732139999999998</v>
      </c>
      <c r="P7652">
        <v>0.73932469999999995</v>
      </c>
      <c r="Q7652">
        <v>-4.9876440000000001E-2</v>
      </c>
      <c r="R7652">
        <v>0.67149930000000002</v>
      </c>
      <c r="S7652">
        <v>1.8210599999999999</v>
      </c>
      <c r="T7652">
        <v>-3.071165E-2</v>
      </c>
      <c r="U7652">
        <v>2.4644780000000002</v>
      </c>
      <c r="V7652">
        <v>-0.33208149999999997</v>
      </c>
      <c r="W7652">
        <v>-4.0585940000000001E-2</v>
      </c>
      <c r="X7652">
        <v>0.94237720000000003</v>
      </c>
      <c r="Y7652">
        <v>-0.51117069999999998</v>
      </c>
      <c r="Z7652">
        <v>8.5523909999999995E-3</v>
      </c>
      <c r="AA7652">
        <v>0.85943659999999999</v>
      </c>
      <c r="AB7652">
        <v>25</v>
      </c>
      <c r="AC7652">
        <v>47.363399999999999</v>
      </c>
      <c r="AD7652">
        <v>-0.80061929999999903</v>
      </c>
      <c r="AE7652">
        <v>64.195243000000005</v>
      </c>
      <c r="AF7652">
        <v>-40.832065438621299</v>
      </c>
      <c r="AG7652">
        <v>-0.80061929999999903</v>
      </c>
      <c r="AH7652">
        <v>68.525772717474993</v>
      </c>
      <c r="AI7652">
        <v>90.575044970430795</v>
      </c>
      <c r="AJ7652">
        <v>120.78920702397301</v>
      </c>
      <c r="AK7652">
        <v>79.772677564279107</v>
      </c>
      <c r="AL7652">
        <v>92.326041801853506</v>
      </c>
      <c r="AM7652">
        <v>109.411796473382</v>
      </c>
      <c r="AN7652">
        <v>1.00000006412388</v>
      </c>
    </row>
    <row r="7653" spans="1:40" x14ac:dyDescent="0.25">
      <c r="A7653" t="str">
        <f>"20190305135111291"</f>
        <v>20190305135111291</v>
      </c>
      <c r="B7653" t="str">
        <f>"1551765071287028"</f>
        <v>1551765071287028</v>
      </c>
      <c r="C7653" t="s">
        <v>40</v>
      </c>
      <c r="D7653">
        <v>3.9751210000000001</v>
      </c>
      <c r="E7653">
        <v>0.42499239999999999</v>
      </c>
      <c r="F7653" t="s">
        <v>59</v>
      </c>
      <c r="G7653">
        <v>-157.3501</v>
      </c>
      <c r="H7653">
        <v>0.26792050000000001</v>
      </c>
      <c r="I7653">
        <v>4.5187530000000002</v>
      </c>
      <c r="J7653">
        <v>-204.61590000000001</v>
      </c>
      <c r="K7653">
        <v>1.1166400000000001</v>
      </c>
      <c r="L7653">
        <v>-59.953130000000002</v>
      </c>
      <c r="M7653">
        <v>0.92012050000000001</v>
      </c>
      <c r="N7653">
        <v>-1.538952E-2</v>
      </c>
      <c r="O7653">
        <v>0.39133279999999998</v>
      </c>
      <c r="P7653">
        <v>0.73671900000000001</v>
      </c>
      <c r="Q7653">
        <v>-4.9770160000000001E-2</v>
      </c>
      <c r="R7653">
        <v>0.67436499999999999</v>
      </c>
      <c r="S7653">
        <v>1.812775</v>
      </c>
      <c r="T7653">
        <v>-3.2483940000000003E-2</v>
      </c>
      <c r="U7653">
        <v>2.4693299999999998</v>
      </c>
      <c r="V7653">
        <v>-0.33163540000000002</v>
      </c>
      <c r="W7653">
        <v>-4.0514689999999999E-2</v>
      </c>
      <c r="X7653">
        <v>0.94253730000000002</v>
      </c>
      <c r="Y7653">
        <v>-0.51010080000000002</v>
      </c>
      <c r="Z7653">
        <v>8.4335590000000002E-3</v>
      </c>
      <c r="AA7653">
        <v>0.86007330000000004</v>
      </c>
      <c r="AB7653">
        <v>25</v>
      </c>
      <c r="AC7653">
        <v>47.265799999999999</v>
      </c>
      <c r="AD7653">
        <v>-0.84871949999999896</v>
      </c>
      <c r="AE7653">
        <v>64.471882999999906</v>
      </c>
      <c r="AF7653">
        <v>-40.825478438114303</v>
      </c>
      <c r="AG7653">
        <v>-0.84871949999999896</v>
      </c>
      <c r="AH7653">
        <v>68.720589719987004</v>
      </c>
      <c r="AI7653">
        <v>90.6083393664683</v>
      </c>
      <c r="AJ7653">
        <v>120.713669362225</v>
      </c>
      <c r="AK7653">
        <v>79.937222030499697</v>
      </c>
      <c r="AL7653">
        <v>92.321956219233698</v>
      </c>
      <c r="AM7653">
        <v>109.38461875510799</v>
      </c>
      <c r="AN7653">
        <v>1.00000002026512</v>
      </c>
    </row>
    <row r="7654" spans="1:40" x14ac:dyDescent="0.25">
      <c r="A7654" t="str">
        <f>"20190305135111302"</f>
        <v>20190305135111302</v>
      </c>
      <c r="B7654" t="str">
        <f>"1551765071297764"</f>
        <v>1551765071297764</v>
      </c>
      <c r="C7654" t="s">
        <v>40</v>
      </c>
      <c r="D7654">
        <v>3.9824920000000001</v>
      </c>
      <c r="E7654">
        <v>0.42552519999999999</v>
      </c>
      <c r="F7654" t="s">
        <v>59</v>
      </c>
      <c r="G7654">
        <v>-157.3501</v>
      </c>
      <c r="H7654">
        <v>0.2286406</v>
      </c>
      <c r="I7654">
        <v>4.7722329999999999</v>
      </c>
      <c r="J7654">
        <v>-204.5042</v>
      </c>
      <c r="K7654">
        <v>1.116633</v>
      </c>
      <c r="L7654">
        <v>-59.899659999999997</v>
      </c>
      <c r="M7654">
        <v>0.9181494</v>
      </c>
      <c r="N7654">
        <v>-1.53372E-2</v>
      </c>
      <c r="O7654">
        <v>0.3959375</v>
      </c>
      <c r="P7654">
        <v>0.73356940000000004</v>
      </c>
      <c r="Q7654">
        <v>-4.9586209999999999E-2</v>
      </c>
      <c r="R7654">
        <v>0.6778033</v>
      </c>
      <c r="S7654">
        <v>1.806</v>
      </c>
      <c r="T7654">
        <v>-3.3929939999999999E-2</v>
      </c>
      <c r="U7654">
        <v>2.4731139999999998</v>
      </c>
      <c r="V7654">
        <v>-0.33132</v>
      </c>
      <c r="W7654">
        <v>-4.0369120000000001E-2</v>
      </c>
      <c r="X7654">
        <v>0.9426544</v>
      </c>
      <c r="Y7654">
        <v>-0.50794969999999995</v>
      </c>
      <c r="Z7654">
        <v>8.3065440000000008E-3</v>
      </c>
      <c r="AA7654">
        <v>0.86134669999999902</v>
      </c>
      <c r="AB7654">
        <v>25</v>
      </c>
      <c r="AC7654">
        <v>47.1541</v>
      </c>
      <c r="AD7654">
        <v>-0.88799240000000002</v>
      </c>
      <c r="AE7654">
        <v>64.671892999999997</v>
      </c>
      <c r="AF7654">
        <v>-40.708160037270403</v>
      </c>
      <c r="AG7654">
        <v>-0.88799240000000002</v>
      </c>
      <c r="AH7654">
        <v>68.900158399882997</v>
      </c>
      <c r="AI7654">
        <v>90.635733803287707</v>
      </c>
      <c r="AJ7654">
        <v>120.57579367000901</v>
      </c>
      <c r="AK7654">
        <v>80.032335038104705</v>
      </c>
      <c r="AL7654">
        <v>92.313608976171295</v>
      </c>
      <c r="AM7654">
        <v>109.36532947723001</v>
      </c>
      <c r="AN7654">
        <v>0.99999996304446603</v>
      </c>
    </row>
    <row r="7655" spans="1:40" x14ac:dyDescent="0.25">
      <c r="A7655" t="str">
        <f>"20190305135111314"</f>
        <v>20190305135111314</v>
      </c>
      <c r="B7655" t="str">
        <f>"1551765071307524"</f>
        <v>1551765071307524</v>
      </c>
      <c r="C7655" t="s">
        <v>40</v>
      </c>
      <c r="D7655">
        <v>4.01511</v>
      </c>
      <c r="E7655">
        <v>0.42605359999999998</v>
      </c>
      <c r="F7655" t="s">
        <v>59</v>
      </c>
      <c r="G7655">
        <v>-157.3501</v>
      </c>
      <c r="H7655">
        <v>0.21490960000000001</v>
      </c>
      <c r="I7655">
        <v>5.1223320000000001</v>
      </c>
      <c r="J7655">
        <v>-204.39619999999999</v>
      </c>
      <c r="K7655">
        <v>1.11663</v>
      </c>
      <c r="L7655">
        <v>-59.847529999999999</v>
      </c>
      <c r="M7655">
        <v>0.9162188</v>
      </c>
      <c r="N7655">
        <v>-1.528885E-2</v>
      </c>
      <c r="O7655">
        <v>0.40038669999999998</v>
      </c>
      <c r="P7655">
        <v>0.73033300000000001</v>
      </c>
      <c r="Q7655">
        <v>-4.9305580000000002E-2</v>
      </c>
      <c r="R7655">
        <v>0.68130959999999996</v>
      </c>
      <c r="S7655">
        <v>1.797318</v>
      </c>
      <c r="T7655">
        <v>-3.4369950000000003E-2</v>
      </c>
      <c r="U7655">
        <v>2.4783629999999999</v>
      </c>
      <c r="V7655">
        <v>-0.33125979999999999</v>
      </c>
      <c r="W7655">
        <v>-4.0128070000000002E-2</v>
      </c>
      <c r="X7655">
        <v>0.94268589999999997</v>
      </c>
      <c r="Y7655">
        <v>-0.50661389999999995</v>
      </c>
      <c r="Z7655">
        <v>8.2378030000000001E-3</v>
      </c>
      <c r="AA7655">
        <v>0.8621337</v>
      </c>
      <c r="AB7655">
        <v>25</v>
      </c>
      <c r="AC7655">
        <v>47.046100000000003</v>
      </c>
      <c r="AD7655">
        <v>-0.90172039999999998</v>
      </c>
      <c r="AE7655">
        <v>64.969862000000006</v>
      </c>
      <c r="AF7655">
        <v>-40.689587882370198</v>
      </c>
      <c r="AG7655">
        <v>-0.90172039999999998</v>
      </c>
      <c r="AH7655">
        <v>69.116930200262104</v>
      </c>
      <c r="AI7655">
        <v>90.644134343875294</v>
      </c>
      <c r="AJ7655">
        <v>120.485599626058</v>
      </c>
      <c r="AK7655">
        <v>80.2097606406154</v>
      </c>
      <c r="AL7655">
        <v>92.299786516006705</v>
      </c>
      <c r="AM7655">
        <v>109.36147385002199</v>
      </c>
      <c r="AN7655">
        <v>1.00000001157838</v>
      </c>
    </row>
    <row r="7656" spans="1:40" x14ac:dyDescent="0.25">
      <c r="A7656" t="str">
        <f>"20190305135111324"</f>
        <v>20190305135111324</v>
      </c>
      <c r="B7656" t="str">
        <f>"1551765071317285"</f>
        <v>1551765071317285</v>
      </c>
      <c r="C7656" t="s">
        <v>40</v>
      </c>
      <c r="D7656">
        <v>4.2720659999999997</v>
      </c>
      <c r="E7656">
        <v>0.42605359999999998</v>
      </c>
      <c r="F7656" t="s">
        <v>59</v>
      </c>
      <c r="G7656">
        <v>-157.3501</v>
      </c>
      <c r="H7656">
        <v>0.1910181</v>
      </c>
      <c r="I7656">
        <v>5.4863330000000001</v>
      </c>
      <c r="J7656">
        <v>-204.30170000000001</v>
      </c>
      <c r="K7656">
        <v>1.116625</v>
      </c>
      <c r="L7656">
        <v>-59.801270000000002</v>
      </c>
      <c r="M7656">
        <v>0.91450589999999998</v>
      </c>
      <c r="N7656">
        <v>-1.524934E-2</v>
      </c>
      <c r="O7656">
        <v>0.40428500000000001</v>
      </c>
      <c r="P7656">
        <v>0.7276899</v>
      </c>
      <c r="Q7656">
        <v>-4.8569269999999998E-2</v>
      </c>
      <c r="R7656">
        <v>0.68418459999999903</v>
      </c>
      <c r="S7656">
        <v>1.788422</v>
      </c>
      <c r="T7656">
        <v>-3.5186410000000001E-2</v>
      </c>
      <c r="U7656">
        <v>2.4836119999999999</v>
      </c>
      <c r="V7656">
        <v>-0.3309549</v>
      </c>
      <c r="W7656">
        <v>-3.941737E-2</v>
      </c>
      <c r="X7656">
        <v>0.94282290000000002</v>
      </c>
      <c r="Y7656">
        <v>-0.50583659999999997</v>
      </c>
      <c r="Z7656">
        <v>8.1616250000000005E-3</v>
      </c>
      <c r="AA7656">
        <v>0.86259069999999904</v>
      </c>
      <c r="AB7656">
        <v>25</v>
      </c>
      <c r="AC7656">
        <v>46.951599999999999</v>
      </c>
      <c r="AD7656">
        <v>-0.92560689999999901</v>
      </c>
      <c r="AE7656">
        <v>65.287602999999905</v>
      </c>
      <c r="AF7656">
        <v>-40.723412421046</v>
      </c>
      <c r="AG7656">
        <v>-0.92560689999999901</v>
      </c>
      <c r="AH7656">
        <v>69.331193362109204</v>
      </c>
      <c r="AI7656">
        <v>90.659536282402399</v>
      </c>
      <c r="AJ7656">
        <v>120.428912865944</v>
      </c>
      <c r="AK7656">
        <v>80.411861316363698</v>
      </c>
      <c r="AL7656">
        <v>92.259034303998803</v>
      </c>
      <c r="AM7656">
        <v>109.342375168369</v>
      </c>
      <c r="AN7656">
        <v>0.999999947828067</v>
      </c>
    </row>
    <row r="7657" spans="1:40" x14ac:dyDescent="0.25">
      <c r="A7657" t="str">
        <f>"20190305135111333"</f>
        <v>20190305135111333</v>
      </c>
      <c r="B7657" t="str">
        <f>"1551765071327044"</f>
        <v>1551765071327044</v>
      </c>
      <c r="C7657" t="s">
        <v>40</v>
      </c>
      <c r="D7657">
        <v>4.046189</v>
      </c>
      <c r="E7657">
        <v>0.45279459999999999</v>
      </c>
      <c r="F7657" t="s">
        <v>59</v>
      </c>
      <c r="G7657">
        <v>-157.3501</v>
      </c>
      <c r="H7657">
        <v>0.2460108</v>
      </c>
      <c r="I7657">
        <v>5.9462219999999997</v>
      </c>
      <c r="J7657">
        <v>-204.2063</v>
      </c>
      <c r="K7657">
        <v>1.1166199999999999</v>
      </c>
      <c r="L7657">
        <v>-59.754179999999998</v>
      </c>
      <c r="M7657">
        <v>0.91275669999999998</v>
      </c>
      <c r="N7657">
        <v>-1.5211280000000001E-2</v>
      </c>
      <c r="O7657">
        <v>0.40822029999999998</v>
      </c>
      <c r="P7657">
        <v>0.72471929999999996</v>
      </c>
      <c r="Q7657">
        <v>-4.770489E-2</v>
      </c>
      <c r="R7657">
        <v>0.68739079999999997</v>
      </c>
      <c r="S7657">
        <v>1.778656</v>
      </c>
      <c r="T7657">
        <v>-3.2981280000000002E-2</v>
      </c>
      <c r="U7657">
        <v>2.4906920000000001</v>
      </c>
      <c r="V7657">
        <v>-0.33104709999999898</v>
      </c>
      <c r="W7657">
        <v>-3.858516E-2</v>
      </c>
      <c r="X7657">
        <v>0.94282500000000002</v>
      </c>
      <c r="Y7657">
        <v>-0.50552790000000003</v>
      </c>
      <c r="Z7657">
        <v>8.2496649999999998E-3</v>
      </c>
      <c r="AA7657">
        <v>0.86277090000000001</v>
      </c>
      <c r="AB7657">
        <v>25</v>
      </c>
      <c r="AC7657">
        <v>46.856200000000001</v>
      </c>
      <c r="AD7657">
        <v>-0.87060919999999997</v>
      </c>
      <c r="AE7657">
        <v>65.700401999999997</v>
      </c>
      <c r="AF7657">
        <v>-40.840802457002297</v>
      </c>
      <c r="AG7657">
        <v>-0.87060919999999997</v>
      </c>
      <c r="AH7657">
        <v>69.588501204836703</v>
      </c>
      <c r="AI7657">
        <v>90.618188380910496</v>
      </c>
      <c r="AJ7657">
        <v>120.40825068074</v>
      </c>
      <c r="AK7657">
        <v>80.692556073324198</v>
      </c>
      <c r="AL7657">
        <v>92.211315782758007</v>
      </c>
      <c r="AM7657">
        <v>109.347323498648</v>
      </c>
      <c r="AN7657">
        <v>0.99999998880781704</v>
      </c>
    </row>
    <row r="7658" spans="1:40" x14ac:dyDescent="0.25">
      <c r="A7658" t="str">
        <f>"20190305135111344"</f>
        <v>20190305135111344</v>
      </c>
      <c r="B7658" t="str">
        <f>"1551765071337780"</f>
        <v>1551765071337780</v>
      </c>
      <c r="C7658" t="s">
        <v>40</v>
      </c>
      <c r="D7658">
        <v>4.0502310000000001</v>
      </c>
      <c r="E7658">
        <v>0.45085069999999999</v>
      </c>
      <c r="F7658" t="s">
        <v>41</v>
      </c>
      <c r="G7658">
        <v>-203.5703</v>
      </c>
      <c r="H7658">
        <v>1.0758989999999999</v>
      </c>
      <c r="I7658">
        <v>-58.978200000000001</v>
      </c>
      <c r="J7658">
        <v>-204.0967</v>
      </c>
      <c r="K7658">
        <v>1.1166100000000001</v>
      </c>
      <c r="L7658">
        <v>-59.699370000000002</v>
      </c>
      <c r="M7658">
        <v>0.91072140000000001</v>
      </c>
      <c r="N7658">
        <v>-1.517044E-2</v>
      </c>
      <c r="O7658">
        <v>0.41274270000000002</v>
      </c>
      <c r="P7658">
        <v>0.72110369999999901</v>
      </c>
      <c r="Q7658">
        <v>-4.6715020000000003E-2</v>
      </c>
      <c r="R7658">
        <v>0.69125049999999999</v>
      </c>
      <c r="S7658">
        <v>1.9148099999999999</v>
      </c>
      <c r="T7658">
        <v>-0.1226141</v>
      </c>
      <c r="U7658">
        <v>2.3370359999999999</v>
      </c>
      <c r="V7658">
        <v>-0.33139350000000001</v>
      </c>
      <c r="W7658">
        <v>-3.7634130000000002E-2</v>
      </c>
      <c r="X7658">
        <v>0.94274179999999996</v>
      </c>
      <c r="Y7658">
        <v>-0.44258560000000002</v>
      </c>
      <c r="Z7658">
        <v>1.3642050000000001E-3</v>
      </c>
      <c r="AA7658">
        <v>0.8967252</v>
      </c>
      <c r="AB7658">
        <v>25</v>
      </c>
      <c r="AC7658">
        <v>0.52639999999999498</v>
      </c>
      <c r="AD7658">
        <v>-4.0711000000000101E-2</v>
      </c>
      <c r="AE7658">
        <v>0.72116999999999298</v>
      </c>
      <c r="AF7658">
        <v>-0.43865575857547201</v>
      </c>
      <c r="AG7658">
        <v>-4.0711000000000101E-2</v>
      </c>
      <c r="AH7658">
        <v>0.77553838855282098</v>
      </c>
      <c r="AI7658">
        <v>92.6161062808509</v>
      </c>
      <c r="AJ7658">
        <v>119.493129881564</v>
      </c>
      <c r="AK7658">
        <v>0.89192827748173198</v>
      </c>
      <c r="AL7658">
        <v>92.156786050995905</v>
      </c>
      <c r="AM7658">
        <v>109.367643610402</v>
      </c>
      <c r="AN7658">
        <v>1.0000000405251701</v>
      </c>
    </row>
    <row r="7659" spans="1:40" x14ac:dyDescent="0.25">
      <c r="A7659" t="str">
        <f>"20190305135111356"</f>
        <v>20190305135111356</v>
      </c>
      <c r="B7659" t="str">
        <f>"1551765071347543"</f>
        <v>1551765071347543</v>
      </c>
      <c r="C7659" t="s">
        <v>40</v>
      </c>
      <c r="D7659">
        <v>4.0621619999999998</v>
      </c>
      <c r="E7659">
        <v>0.44997599999999999</v>
      </c>
      <c r="F7659" t="s">
        <v>42</v>
      </c>
      <c r="G7659">
        <v>-184.87809999999999</v>
      </c>
      <c r="H7659" s="1">
        <v>-2.9350950000000001E-6</v>
      </c>
      <c r="I7659">
        <v>-35.731720000000003</v>
      </c>
      <c r="J7659">
        <v>-203.99590000000001</v>
      </c>
      <c r="K7659">
        <v>1.1165989999999999</v>
      </c>
      <c r="L7659">
        <v>-59.648350000000001</v>
      </c>
      <c r="M7659">
        <v>0.90882540000000001</v>
      </c>
      <c r="N7659">
        <v>-1.51352E-2</v>
      </c>
      <c r="O7659">
        <v>0.41690199999999999</v>
      </c>
      <c r="P7659">
        <v>0.71774450000000001</v>
      </c>
      <c r="Q7659">
        <v>-4.5971209999999998E-2</v>
      </c>
      <c r="R7659">
        <v>0.6947873</v>
      </c>
      <c r="S7659">
        <v>1.8917079999999999</v>
      </c>
      <c r="T7659">
        <v>-0.1099094</v>
      </c>
      <c r="U7659">
        <v>2.3591609999999998</v>
      </c>
      <c r="V7659">
        <v>-0.33171030000000001</v>
      </c>
      <c r="W7659">
        <v>-3.692368E-2</v>
      </c>
      <c r="X7659">
        <v>0.94265840000000001</v>
      </c>
      <c r="Y7659">
        <v>-0.44797219999999999</v>
      </c>
      <c r="Z7659">
        <v>2.227218E-3</v>
      </c>
      <c r="AA7659">
        <v>0.89404479999999997</v>
      </c>
      <c r="AB7659">
        <v>25</v>
      </c>
      <c r="AC7659">
        <v>19.117799999999999</v>
      </c>
      <c r="AD7659">
        <v>-1.1166019350949901</v>
      </c>
      <c r="AE7659">
        <v>23.916630000000001</v>
      </c>
      <c r="AF7659">
        <v>-13.7490837464122</v>
      </c>
      <c r="AG7659">
        <v>-1.1166019350949901</v>
      </c>
      <c r="AH7659">
        <v>27.312442758159801</v>
      </c>
      <c r="AI7659">
        <v>92.091320952692698</v>
      </c>
      <c r="AJ7659">
        <v>116.720683757587</v>
      </c>
      <c r="AK7659">
        <v>30.598261930460598</v>
      </c>
      <c r="AL7659">
        <v>92.116052099880804</v>
      </c>
      <c r="AM7659">
        <v>109.38636517582999</v>
      </c>
      <c r="AN7659">
        <v>0.99999997018069497</v>
      </c>
    </row>
    <row r="7660" spans="1:40" x14ac:dyDescent="0.25">
      <c r="A7660" t="str">
        <f>"20190305135111367"</f>
        <v>20190305135111367</v>
      </c>
      <c r="B7660" t="str">
        <f>"1551765071357301"</f>
        <v>1551765071357301</v>
      </c>
      <c r="C7660" t="s">
        <v>40</v>
      </c>
      <c r="D7660">
        <v>4.1403189999999999</v>
      </c>
      <c r="E7660">
        <v>0.45207730000000002</v>
      </c>
      <c r="F7660" t="s">
        <v>42</v>
      </c>
      <c r="G7660">
        <v>-182.9014</v>
      </c>
      <c r="H7660" s="1">
        <v>-4.4445520000000001E-6</v>
      </c>
      <c r="I7660">
        <v>-32.942019999999999</v>
      </c>
      <c r="J7660">
        <v>-203.88579999999999</v>
      </c>
      <c r="K7660">
        <v>1.116587</v>
      </c>
      <c r="L7660">
        <v>-59.5920699999999</v>
      </c>
      <c r="M7660">
        <v>0.90672739999999996</v>
      </c>
      <c r="N7660">
        <v>-1.50985999999999E-2</v>
      </c>
      <c r="O7660">
        <v>0.42144710000000002</v>
      </c>
      <c r="P7660">
        <v>0.71388680000000004</v>
      </c>
      <c r="Q7660">
        <v>-4.5432989999999999E-2</v>
      </c>
      <c r="R7660">
        <v>0.69878580000000001</v>
      </c>
      <c r="S7660">
        <v>1.8752439999999999</v>
      </c>
      <c r="T7660">
        <v>-9.9262829999999996E-2</v>
      </c>
      <c r="U7660">
        <v>2.3741150000000002</v>
      </c>
      <c r="V7660">
        <v>-0.33224979999999998</v>
      </c>
      <c r="W7660">
        <v>-3.6424150000000002E-2</v>
      </c>
      <c r="X7660">
        <v>0.94248779999999999</v>
      </c>
      <c r="Y7660">
        <v>-0.45008819999999999</v>
      </c>
      <c r="Z7660">
        <v>2.8677860000000002E-3</v>
      </c>
      <c r="AA7660">
        <v>0.89297950000000004</v>
      </c>
      <c r="AB7660">
        <v>24</v>
      </c>
      <c r="AC7660">
        <v>20.984399999999901</v>
      </c>
      <c r="AD7660">
        <v>-1.116591444552</v>
      </c>
      <c r="AE7660">
        <v>26.65005</v>
      </c>
      <c r="AF7660">
        <v>-15.305675572996799</v>
      </c>
      <c r="AG7660">
        <v>-1.116591444552</v>
      </c>
      <c r="AH7660">
        <v>30.229406179112999</v>
      </c>
      <c r="AI7660">
        <v>91.887441865639801</v>
      </c>
      <c r="AJ7660">
        <v>116.853888993116</v>
      </c>
      <c r="AK7660">
        <v>33.901732686422903</v>
      </c>
      <c r="AL7660">
        <v>92.087411911923596</v>
      </c>
      <c r="AM7660">
        <v>109.418789730458</v>
      </c>
      <c r="AN7660">
        <v>0.99999995072604997</v>
      </c>
    </row>
    <row r="7661" spans="1:40" x14ac:dyDescent="0.25">
      <c r="A7661" t="str">
        <f>"20190305135111377"</f>
        <v>20190305135111377</v>
      </c>
      <c r="B7661" t="str">
        <f>"1551765071367061"</f>
        <v>1551765071367061</v>
      </c>
      <c r="C7661" t="s">
        <v>40</v>
      </c>
      <c r="D7661">
        <v>4.0738729999999999</v>
      </c>
      <c r="E7661">
        <v>0.4520381</v>
      </c>
      <c r="F7661" t="s">
        <v>42</v>
      </c>
      <c r="G7661">
        <v>-186.1514</v>
      </c>
      <c r="H7661" s="1">
        <v>-2.1134380000000002E-6</v>
      </c>
      <c r="I7661">
        <v>-37.150620000000004</v>
      </c>
      <c r="J7661">
        <v>-203.78749999999999</v>
      </c>
      <c r="K7661">
        <v>1.1165780000000001</v>
      </c>
      <c r="L7661">
        <v>-59.540990000000001</v>
      </c>
      <c r="M7661">
        <v>0.90482810000000002</v>
      </c>
      <c r="N7661">
        <v>-1.506859E-2</v>
      </c>
      <c r="O7661">
        <v>0.42551060000000002</v>
      </c>
      <c r="P7661">
        <v>0.71045939999999996</v>
      </c>
      <c r="Q7661">
        <v>-4.536192E-2</v>
      </c>
      <c r="R7661">
        <v>0.70227479999999998</v>
      </c>
      <c r="S7661">
        <v>1.87381</v>
      </c>
      <c r="T7661">
        <v>-0.11797829999999999</v>
      </c>
      <c r="U7661">
        <v>2.3711549999999999</v>
      </c>
      <c r="V7661">
        <v>-0.33263860000000001</v>
      </c>
      <c r="W7661">
        <v>-3.63833E-2</v>
      </c>
      <c r="X7661">
        <v>0.94235230000000003</v>
      </c>
      <c r="Y7661">
        <v>-0.44581599999999999</v>
      </c>
      <c r="Z7661">
        <v>1.32245E-3</v>
      </c>
      <c r="AA7661">
        <v>0.89512369999999997</v>
      </c>
      <c r="AB7661">
        <v>24</v>
      </c>
      <c r="AC7661">
        <v>17.636099999999999</v>
      </c>
      <c r="AD7661">
        <v>-1.116580113438</v>
      </c>
      <c r="AE7661">
        <v>22.390370000000001</v>
      </c>
      <c r="AF7661">
        <v>-12.7369875858124</v>
      </c>
      <c r="AG7661">
        <v>-1.116580113438</v>
      </c>
      <c r="AH7661">
        <v>25.4488126525982</v>
      </c>
      <c r="AI7661">
        <v>92.246887739763906</v>
      </c>
      <c r="AJ7661">
        <v>116.587707181436</v>
      </c>
      <c r="AK7661">
        <v>28.480162733697799</v>
      </c>
      <c r="AL7661">
        <v>92.085069682247294</v>
      </c>
      <c r="AM7661">
        <v>109.44239588556999</v>
      </c>
      <c r="AN7661">
        <v>1.00000002002207</v>
      </c>
    </row>
    <row r="7662" spans="1:40" x14ac:dyDescent="0.25">
      <c r="A7662" t="str">
        <f>"20190305135111389"</f>
        <v>20190305135111389</v>
      </c>
      <c r="B7662" t="str">
        <f>"1551765071377798"</f>
        <v>1551765071377798</v>
      </c>
      <c r="C7662" t="s">
        <v>40</v>
      </c>
      <c r="D7662">
        <v>4.0751580000000001</v>
      </c>
      <c r="E7662">
        <v>0.45228279999999899</v>
      </c>
      <c r="F7662" t="s">
        <v>42</v>
      </c>
      <c r="G7662">
        <v>-185.05029999999999</v>
      </c>
      <c r="H7662" s="1">
        <v>-2.9404759999999998E-6</v>
      </c>
      <c r="I7662">
        <v>-35.581240000000001</v>
      </c>
      <c r="J7662">
        <v>-203.6739</v>
      </c>
      <c r="K7662">
        <v>1.1165670000000001</v>
      </c>
      <c r="L7662">
        <v>-59.481720000000003</v>
      </c>
      <c r="M7662">
        <v>0.90260960000000001</v>
      </c>
      <c r="N7662">
        <v>-1.503498E-2</v>
      </c>
      <c r="O7662">
        <v>0.43019750000000001</v>
      </c>
      <c r="P7662">
        <v>0.70659759999999905</v>
      </c>
      <c r="Q7662">
        <v>-4.5340430000000001E-2</v>
      </c>
      <c r="R7662">
        <v>0.70616159999999994</v>
      </c>
      <c r="S7662">
        <v>1.861969</v>
      </c>
      <c r="T7662">
        <v>-0.110958</v>
      </c>
      <c r="U7662">
        <v>2.380951</v>
      </c>
      <c r="V7662">
        <v>-0.33292070000000001</v>
      </c>
      <c r="W7662">
        <v>-3.6392149999999998E-2</v>
      </c>
      <c r="X7662">
        <v>0.94225230000000004</v>
      </c>
      <c r="Y7662">
        <v>-0.44574750000000002</v>
      </c>
      <c r="Z7662">
        <v>1.665049E-3</v>
      </c>
      <c r="AA7662">
        <v>0.89515719999999999</v>
      </c>
      <c r="AB7662">
        <v>24</v>
      </c>
      <c r="AC7662">
        <v>18.6236</v>
      </c>
      <c r="AD7662">
        <v>-1.1165699404759999</v>
      </c>
      <c r="AE7662">
        <v>23.900479999999899</v>
      </c>
      <c r="AF7662">
        <v>-13.5441165989829</v>
      </c>
      <c r="AG7662">
        <v>-1.1165699404759999</v>
      </c>
      <c r="AH7662">
        <v>27.058084555621399</v>
      </c>
      <c r="AI7662">
        <v>92.113307475405307</v>
      </c>
      <c r="AJ7662">
        <v>116.590581513403</v>
      </c>
      <c r="AK7662">
        <v>30.279196863489901</v>
      </c>
      <c r="AL7662">
        <v>92.085577150720496</v>
      </c>
      <c r="AM7662">
        <v>109.459555856994</v>
      </c>
      <c r="AN7662">
        <v>0.99999998896270104</v>
      </c>
    </row>
    <row r="7663" spans="1:40" x14ac:dyDescent="0.25">
      <c r="A7663" t="str">
        <f>"20190305135111401"</f>
        <v>20190305135111401</v>
      </c>
      <c r="B7663" t="str">
        <f>"1551765071397317"</f>
        <v>1551765071397317</v>
      </c>
      <c r="C7663" t="s">
        <v>40</v>
      </c>
      <c r="D7663">
        <v>4.2095379999999896</v>
      </c>
      <c r="E7663">
        <v>0.45400790000000002</v>
      </c>
      <c r="F7663" t="s">
        <v>42</v>
      </c>
      <c r="G7663">
        <v>-184.2354</v>
      </c>
      <c r="H7663" s="1">
        <v>-3.593102E-6</v>
      </c>
      <c r="I7663">
        <v>-34.375190000000003</v>
      </c>
      <c r="J7663">
        <v>-203.56899999999999</v>
      </c>
      <c r="K7663">
        <v>1.1165560000000001</v>
      </c>
      <c r="L7663">
        <v>-59.425750000000001</v>
      </c>
      <c r="M7663">
        <v>0.90052829999999995</v>
      </c>
      <c r="N7663">
        <v>-1.5007049999999999E-2</v>
      </c>
      <c r="O7663">
        <v>0.43453849999999999</v>
      </c>
      <c r="P7663">
        <v>0.70310090000000003</v>
      </c>
      <c r="Q7663">
        <v>-4.484747E-2</v>
      </c>
      <c r="R7663">
        <v>0.70967449999999999</v>
      </c>
      <c r="S7663">
        <v>1.850403</v>
      </c>
      <c r="T7663">
        <v>-0.1062891</v>
      </c>
      <c r="U7663">
        <v>2.3899539999999999</v>
      </c>
      <c r="V7663">
        <v>-0.33307419999999999</v>
      </c>
      <c r="W7663">
        <v>-3.5921410000000001E-2</v>
      </c>
      <c r="X7663">
        <v>0.94221619999999995</v>
      </c>
      <c r="Y7663">
        <v>-0.44579400000000002</v>
      </c>
      <c r="Z7663">
        <v>1.872592E-3</v>
      </c>
      <c r="AA7663">
        <v>0.89513369999999903</v>
      </c>
      <c r="AB7663">
        <v>24</v>
      </c>
      <c r="AC7663">
        <v>19.333600000000001</v>
      </c>
      <c r="AD7663">
        <v>-1.11655959310199</v>
      </c>
      <c r="AE7663">
        <v>25.050560000000001</v>
      </c>
      <c r="AF7663">
        <v>-14.141531071617001</v>
      </c>
      <c r="AG7663">
        <v>-1.11655959310199</v>
      </c>
      <c r="AH7663">
        <v>28.263881236265298</v>
      </c>
      <c r="AI7663">
        <v>92.023383401935206</v>
      </c>
      <c r="AJ7663">
        <v>116.58060227337999</v>
      </c>
      <c r="AK7663">
        <v>31.623987555527599</v>
      </c>
      <c r="AL7663">
        <v>92.058587922803994</v>
      </c>
      <c r="AM7663">
        <v>109.468543228831</v>
      </c>
      <c r="AN7663">
        <v>1.0000000689722299</v>
      </c>
    </row>
    <row r="7664" spans="1:40" x14ac:dyDescent="0.25">
      <c r="A7664" t="str">
        <f>"20190305135111411"</f>
        <v>20190305135111411</v>
      </c>
      <c r="B7664" t="str">
        <f>"1551765071407077"</f>
        <v>1551765071407077</v>
      </c>
      <c r="C7664" t="s">
        <v>40</v>
      </c>
      <c r="D7664">
        <v>4.211811</v>
      </c>
      <c r="E7664">
        <v>0.45553169999999998</v>
      </c>
      <c r="F7664" t="s">
        <v>42</v>
      </c>
      <c r="G7664">
        <v>-185.45439999999999</v>
      </c>
      <c r="H7664" s="1">
        <v>-2.6857470000000002E-6</v>
      </c>
      <c r="I7664">
        <v>-36.013820000000003</v>
      </c>
      <c r="J7664">
        <v>-203.4639</v>
      </c>
      <c r="K7664">
        <v>1.11654599999999</v>
      </c>
      <c r="L7664">
        <v>-59.369509999999998</v>
      </c>
      <c r="M7664">
        <v>0.89842250000000001</v>
      </c>
      <c r="N7664">
        <v>-1.497977E-2</v>
      </c>
      <c r="O7664">
        <v>0.4388765</v>
      </c>
      <c r="P7664">
        <v>0.69955610000000001</v>
      </c>
      <c r="Q7664">
        <v>-4.4788500000000002E-2</v>
      </c>
      <c r="R7664">
        <v>0.71317269999999999</v>
      </c>
      <c r="S7664">
        <v>1.8483579999999999</v>
      </c>
      <c r="T7664">
        <v>-0.1139305</v>
      </c>
      <c r="U7664">
        <v>2.3888850000000001</v>
      </c>
      <c r="V7664">
        <v>-0.33322960000000001</v>
      </c>
      <c r="W7664">
        <v>-3.5884369999999999E-2</v>
      </c>
      <c r="X7664">
        <v>0.94216259999999996</v>
      </c>
      <c r="Y7664">
        <v>-0.4417413</v>
      </c>
      <c r="Z7664">
        <v>1.048963E-3</v>
      </c>
      <c r="AA7664">
        <v>0.89714179999999999</v>
      </c>
      <c r="AB7664">
        <v>24</v>
      </c>
      <c r="AC7664">
        <v>18.009499999999999</v>
      </c>
      <c r="AD7664">
        <v>-1.11654868574699</v>
      </c>
      <c r="AE7664">
        <v>23.355689999999999</v>
      </c>
      <c r="AF7664">
        <v>-13.062077839163999</v>
      </c>
      <c r="AG7664">
        <v>-1.11654868574699</v>
      </c>
      <c r="AH7664">
        <v>26.395538569823302</v>
      </c>
      <c r="AI7664">
        <v>92.171186228518906</v>
      </c>
      <c r="AJ7664">
        <v>116.328934831585</v>
      </c>
      <c r="AK7664">
        <v>29.471834263158001</v>
      </c>
      <c r="AL7664">
        <v>92.056464440339198</v>
      </c>
      <c r="AM7664">
        <v>109.477967535825</v>
      </c>
      <c r="AN7664">
        <v>1.0000000095826</v>
      </c>
    </row>
    <row r="7665" spans="1:40" x14ac:dyDescent="0.25">
      <c r="A7665" t="str">
        <f>"20190305135111422"</f>
        <v>20190305135111422</v>
      </c>
      <c r="B7665" t="str">
        <f>"1551765071407077"</f>
        <v>1551765071407077</v>
      </c>
      <c r="C7665" t="s">
        <v>40</v>
      </c>
      <c r="D7665">
        <v>4.211811</v>
      </c>
      <c r="E7665">
        <v>0.45553169999999998</v>
      </c>
      <c r="F7665" t="s">
        <v>41</v>
      </c>
      <c r="G7665">
        <v>-202.8374</v>
      </c>
      <c r="H7665">
        <v>1.0743670000000001</v>
      </c>
      <c r="I7665">
        <v>-58.558689999999999</v>
      </c>
      <c r="J7665">
        <v>-203.3647</v>
      </c>
      <c r="K7665">
        <v>1.116538</v>
      </c>
      <c r="L7665">
        <v>-59.3155199999999</v>
      </c>
      <c r="M7665">
        <v>0.89640750000000002</v>
      </c>
      <c r="N7665">
        <v>-1.495633E-2</v>
      </c>
      <c r="O7665">
        <v>0.44297839999999999</v>
      </c>
      <c r="P7665">
        <v>0.6963125</v>
      </c>
      <c r="Q7665">
        <v>-4.4711609999999999E-2</v>
      </c>
      <c r="R7665">
        <v>0.7163448</v>
      </c>
      <c r="S7665">
        <v>1.8451390000000001</v>
      </c>
      <c r="T7665">
        <v>-0.12424060000000001</v>
      </c>
      <c r="U7665">
        <v>2.3888240000000001</v>
      </c>
      <c r="V7665">
        <v>-0.33320480000000002</v>
      </c>
      <c r="W7665">
        <v>-3.5822319999999998E-2</v>
      </c>
      <c r="X7665">
        <v>0.9421737</v>
      </c>
      <c r="Y7665">
        <v>-0.43835980000000002</v>
      </c>
      <c r="Z7665" s="1">
        <v>1.0685059999999999E-5</v>
      </c>
      <c r="AA7665">
        <v>0.89879959999999903</v>
      </c>
      <c r="AB7665">
        <v>24</v>
      </c>
      <c r="AC7665">
        <v>0.52729999999999599</v>
      </c>
      <c r="AD7665">
        <v>-4.2170999999999903E-2</v>
      </c>
      <c r="AE7665">
        <v>0.75682999999998601</v>
      </c>
      <c r="AF7665">
        <v>-0.44396738215862103</v>
      </c>
      <c r="AG7665">
        <v>-4.2170999999999903E-2</v>
      </c>
      <c r="AH7665">
        <v>0.80634002531759197</v>
      </c>
      <c r="AI7665">
        <v>92.623110537986904</v>
      </c>
      <c r="AJ7665">
        <v>118.836993164078</v>
      </c>
      <c r="AK7665">
        <v>0.921449763194366</v>
      </c>
      <c r="AL7665">
        <v>92.052907012485306</v>
      </c>
      <c r="AM7665">
        <v>109.476414859361</v>
      </c>
      <c r="AN7665">
        <v>0.99999997916245598</v>
      </c>
    </row>
    <row r="7666" spans="1:40" x14ac:dyDescent="0.25">
      <c r="A7666" t="str">
        <f>"20190305135111435"</f>
        <v>20190305135111435</v>
      </c>
      <c r="B7666" t="str">
        <f>"1551765071427233"</f>
        <v>1551765071427233</v>
      </c>
      <c r="C7666" t="s">
        <v>40</v>
      </c>
      <c r="D7666">
        <v>4.0969410000000002</v>
      </c>
      <c r="E7666">
        <v>0.45570090000000002</v>
      </c>
      <c r="F7666" t="s">
        <v>41</v>
      </c>
      <c r="G7666">
        <v>-202.75120000000001</v>
      </c>
      <c r="H7666">
        <v>1.0751250000000001</v>
      </c>
      <c r="I7666">
        <v>-58.5139</v>
      </c>
      <c r="J7666">
        <v>-203.24629999999999</v>
      </c>
      <c r="K7666">
        <v>1.1165290000000001</v>
      </c>
      <c r="L7666">
        <v>-59.250489999999999</v>
      </c>
      <c r="M7666">
        <v>0.89397199999999999</v>
      </c>
      <c r="N7666">
        <v>-1.492958E-2</v>
      </c>
      <c r="O7666">
        <v>0.4478742</v>
      </c>
      <c r="P7666">
        <v>0.69237069999999901</v>
      </c>
      <c r="Q7666">
        <v>-4.4496380000000002E-2</v>
      </c>
      <c r="R7666">
        <v>0.72016859999999905</v>
      </c>
      <c r="S7666">
        <v>1.8342290000000001</v>
      </c>
      <c r="T7666">
        <v>-0.1238177</v>
      </c>
      <c r="U7666">
        <v>2.397278</v>
      </c>
      <c r="V7666">
        <v>-0.3332386</v>
      </c>
      <c r="W7666">
        <v>-3.5624790000000003E-2</v>
      </c>
      <c r="X7666">
        <v>0.94216920000000004</v>
      </c>
      <c r="Y7666">
        <v>-0.43755870000000002</v>
      </c>
      <c r="Z7666">
        <v>-1.5610320000000001E-4</v>
      </c>
      <c r="AA7666">
        <v>0.89918980000000004</v>
      </c>
      <c r="AB7666">
        <v>24</v>
      </c>
      <c r="AC7666">
        <v>0.495099999999979</v>
      </c>
      <c r="AD7666">
        <v>-4.1404000000000003E-2</v>
      </c>
      <c r="AE7666">
        <v>0.73658999999999897</v>
      </c>
      <c r="AF7666">
        <v>-0.43584841188797602</v>
      </c>
      <c r="AG7666">
        <v>-4.1404000000000003E-2</v>
      </c>
      <c r="AH7666">
        <v>0.77091346975836805</v>
      </c>
      <c r="AI7666">
        <v>92.676798040068405</v>
      </c>
      <c r="AJ7666">
        <v>119.482349960433</v>
      </c>
      <c r="AK7666">
        <v>0.88655834958346502</v>
      </c>
      <c r="AL7666">
        <v>92.041582216476499</v>
      </c>
      <c r="AM7666">
        <v>109.478327822412</v>
      </c>
      <c r="AN7666">
        <v>0.99999994581056995</v>
      </c>
    </row>
    <row r="7667" spans="1:40" x14ac:dyDescent="0.25">
      <c r="A7667" t="str">
        <f>"20190305135111446"</f>
        <v>20190305135111446</v>
      </c>
      <c r="B7667" t="str">
        <f>"1551765071436994"</f>
        <v>1551765071436994</v>
      </c>
      <c r="C7667" t="s">
        <v>40</v>
      </c>
      <c r="D7667">
        <v>4.1382130000000004</v>
      </c>
      <c r="E7667">
        <v>0.45528770000000002</v>
      </c>
      <c r="F7667" t="s">
        <v>41</v>
      </c>
      <c r="G7667">
        <v>-202.64850000000001</v>
      </c>
      <c r="H7667">
        <v>1.0761780000000001</v>
      </c>
      <c r="I7667">
        <v>-58.4608699999999</v>
      </c>
      <c r="J7667">
        <v>-203.13399999999999</v>
      </c>
      <c r="K7667">
        <v>1.1165240000000001</v>
      </c>
      <c r="L7667">
        <v>-59.188079999999999</v>
      </c>
      <c r="M7667">
        <v>0.89163049999999999</v>
      </c>
      <c r="N7667">
        <v>-1.490588E-2</v>
      </c>
      <c r="O7667">
        <v>0.45251849999999999</v>
      </c>
      <c r="P7667">
        <v>0.68865730000000003</v>
      </c>
      <c r="Q7667">
        <v>-4.4382520000000002E-2</v>
      </c>
      <c r="R7667">
        <v>0.72372729999999996</v>
      </c>
      <c r="S7667">
        <v>1.822052</v>
      </c>
      <c r="T7667">
        <v>-0.1229817</v>
      </c>
      <c r="U7667">
        <v>2.4063720000000002</v>
      </c>
      <c r="V7667">
        <v>-0.33319209999999999</v>
      </c>
      <c r="W7667">
        <v>-3.5524420000000001E-2</v>
      </c>
      <c r="X7667">
        <v>0.94218950000000001</v>
      </c>
      <c r="Y7667">
        <v>-0.43741350000000001</v>
      </c>
      <c r="Z7667">
        <v>-2.593165E-4</v>
      </c>
      <c r="AA7667">
        <v>0.89926049999999902</v>
      </c>
      <c r="AB7667">
        <v>24</v>
      </c>
      <c r="AC7667">
        <v>0.48550000000000099</v>
      </c>
      <c r="AD7667">
        <v>-4.0345999999999903E-2</v>
      </c>
      <c r="AE7667">
        <v>0.72721000000001301</v>
      </c>
      <c r="AF7667">
        <v>-0.42784156907930398</v>
      </c>
      <c r="AG7667">
        <v>-4.0345999999999903E-2</v>
      </c>
      <c r="AH7667">
        <v>0.76042816511008404</v>
      </c>
      <c r="AI7667">
        <v>92.647500948775701</v>
      </c>
      <c r="AJ7667">
        <v>119.36351845093699</v>
      </c>
      <c r="AK7667">
        <v>0.87345704086745402</v>
      </c>
      <c r="AL7667">
        <v>92.035827671909601</v>
      </c>
      <c r="AM7667">
        <v>109.475426381261</v>
      </c>
      <c r="AN7667">
        <v>1.0000000069144901</v>
      </c>
    </row>
    <row r="7668" spans="1:40" x14ac:dyDescent="0.25">
      <c r="A7668" t="str">
        <f>"20190305135111460"</f>
        <v>20190305135111460</v>
      </c>
      <c r="B7668" t="str">
        <f>"1551765071447733"</f>
        <v>1551765071447733</v>
      </c>
      <c r="C7668" t="s">
        <v>40</v>
      </c>
      <c r="D7668">
        <v>4.1267019999999999</v>
      </c>
      <c r="E7668">
        <v>0.45484340000000001</v>
      </c>
      <c r="F7668" t="s">
        <v>42</v>
      </c>
      <c r="G7668">
        <v>-187.0744</v>
      </c>
      <c r="H7668" s="1">
        <v>-1.6796059999999999E-6</v>
      </c>
      <c r="I7668">
        <v>-37.703769999999999</v>
      </c>
      <c r="J7668">
        <v>-203.017</v>
      </c>
      <c r="K7668">
        <v>1.116517</v>
      </c>
      <c r="L7668">
        <v>-59.121980000000001</v>
      </c>
      <c r="M7668">
        <v>0.88915540000000004</v>
      </c>
      <c r="N7668">
        <v>-1.4883159999999999E-2</v>
      </c>
      <c r="O7668">
        <v>0.45736339999999998</v>
      </c>
      <c r="P7668">
        <v>0.68492949999999997</v>
      </c>
      <c r="Q7668">
        <v>-4.377495E-2</v>
      </c>
      <c r="R7668">
        <v>0.72729319999999997</v>
      </c>
      <c r="S7668">
        <v>1.8072809999999999</v>
      </c>
      <c r="T7668">
        <v>-0.12564919999999999</v>
      </c>
      <c r="U7668">
        <v>2.4177550000000001</v>
      </c>
      <c r="V7668">
        <v>-0.33295029999999998</v>
      </c>
      <c r="W7668">
        <v>-3.4924570000000002E-2</v>
      </c>
      <c r="X7668">
        <v>0.94229739999999995</v>
      </c>
      <c r="Y7668">
        <v>-0.43807010000000002</v>
      </c>
      <c r="Z7668">
        <v>-6.3412400000000002E-4</v>
      </c>
      <c r="AA7668">
        <v>0.89894059999999898</v>
      </c>
      <c r="AB7668">
        <v>24</v>
      </c>
      <c r="AC7668">
        <v>15.942600000000001</v>
      </c>
      <c r="AD7668">
        <v>-1.116518679606</v>
      </c>
      <c r="AE7668">
        <v>21.418209999999998</v>
      </c>
      <c r="AF7668">
        <v>-11.7333391861201</v>
      </c>
      <c r="AG7668">
        <v>-1.116518679606</v>
      </c>
      <c r="AH7668">
        <v>23.932159584845</v>
      </c>
      <c r="AI7668">
        <v>92.398707822041899</v>
      </c>
      <c r="AJ7668">
        <v>116.117557645147</v>
      </c>
      <c r="AK7668">
        <v>26.677071143829501</v>
      </c>
      <c r="AL7668">
        <v>92.001437452496006</v>
      </c>
      <c r="AM7668">
        <v>109.46029453391399</v>
      </c>
      <c r="AN7668">
        <v>1.0000000089532599</v>
      </c>
    </row>
    <row r="7669" spans="1:40" x14ac:dyDescent="0.25">
      <c r="A7669" t="str">
        <f>"20190305135111477"</f>
        <v>20190305135111477</v>
      </c>
      <c r="B7669" t="str">
        <f>"1551765071467250"</f>
        <v>1551765071467250</v>
      </c>
      <c r="C7669" t="s">
        <v>40</v>
      </c>
      <c r="D7669">
        <v>4.1656079999999998</v>
      </c>
      <c r="E7669">
        <v>0.45411299999999999</v>
      </c>
      <c r="F7669" t="s">
        <v>41</v>
      </c>
      <c r="G7669">
        <v>-202.43600000000001</v>
      </c>
      <c r="H7669">
        <v>1.075121</v>
      </c>
      <c r="I7669">
        <v>-58.334510000000002</v>
      </c>
      <c r="J7669">
        <v>-202.84479999999999</v>
      </c>
      <c r="K7669">
        <v>1.1164970000000001</v>
      </c>
      <c r="L7669">
        <v>-59.023440000000001</v>
      </c>
      <c r="M7669">
        <v>0.88545439999999997</v>
      </c>
      <c r="N7669">
        <v>-1.485217E-2</v>
      </c>
      <c r="O7669">
        <v>0.46448889999999998</v>
      </c>
      <c r="P7669">
        <v>0.67977509999999997</v>
      </c>
      <c r="Q7669">
        <v>-4.3052729999999997E-2</v>
      </c>
      <c r="R7669">
        <v>0.73215600000000003</v>
      </c>
      <c r="S7669">
        <v>1.7922209999999901</v>
      </c>
      <c r="T7669">
        <v>-0.1277035</v>
      </c>
      <c r="U7669">
        <v>2.4294129999999998</v>
      </c>
      <c r="V7669">
        <v>-0.33208989999999999</v>
      </c>
      <c r="W7669">
        <v>-3.4201000000000002E-2</v>
      </c>
      <c r="X7669">
        <v>0.94262749999999995</v>
      </c>
      <c r="Y7669">
        <v>-0.4365213</v>
      </c>
      <c r="Z7669">
        <v>-1.11495E-3</v>
      </c>
      <c r="AA7669">
        <v>0.89969330000000003</v>
      </c>
      <c r="AB7669">
        <v>24</v>
      </c>
      <c r="AC7669">
        <v>0.40880000000001299</v>
      </c>
      <c r="AD7669">
        <v>-4.1375999999999802E-2</v>
      </c>
      <c r="AE7669">
        <v>0.68893000000000604</v>
      </c>
      <c r="AF7669">
        <v>-0.419061449834084</v>
      </c>
      <c r="AG7669">
        <v>-4.1375999999999802E-2</v>
      </c>
      <c r="AH7669">
        <v>0.68023465945184503</v>
      </c>
      <c r="AI7669">
        <v>92.964559226206802</v>
      </c>
      <c r="AJ7669">
        <v>121.63532233537001</v>
      </c>
      <c r="AK7669">
        <v>0.80002728955493296</v>
      </c>
      <c r="AL7669">
        <v>91.959955164275101</v>
      </c>
      <c r="AM7669">
        <v>109.407481522534</v>
      </c>
      <c r="AN7669">
        <v>1.00000000691963</v>
      </c>
    </row>
    <row r="7670" spans="1:40" x14ac:dyDescent="0.25">
      <c r="A7670" t="str">
        <f>"20190305135111488"</f>
        <v>20190305135111488</v>
      </c>
      <c r="B7670" t="str">
        <f>"1551765071477011"</f>
        <v>1551765071477011</v>
      </c>
      <c r="C7670" t="s">
        <v>40</v>
      </c>
      <c r="D7670">
        <v>4.2769120000000003</v>
      </c>
      <c r="E7670">
        <v>0.45411299999999999</v>
      </c>
      <c r="F7670" t="s">
        <v>41</v>
      </c>
      <c r="G7670">
        <v>-202.27780000000001</v>
      </c>
      <c r="H7670">
        <v>1.07362</v>
      </c>
      <c r="I7670">
        <v>-58.240279999999998</v>
      </c>
      <c r="J7670">
        <v>-202.744</v>
      </c>
      <c r="K7670">
        <v>1.116484</v>
      </c>
      <c r="L7670">
        <v>-58.965089999999996</v>
      </c>
      <c r="M7670">
        <v>0.88325429999999905</v>
      </c>
      <c r="N7670">
        <v>-1.483516E-2</v>
      </c>
      <c r="O7670">
        <v>0.4686594</v>
      </c>
      <c r="P7670">
        <v>0.67674019999999901</v>
      </c>
      <c r="Q7670">
        <v>-4.3203419999999999E-2</v>
      </c>
      <c r="R7670">
        <v>0.73495319999999997</v>
      </c>
      <c r="S7670">
        <v>1.7707820000000001</v>
      </c>
      <c r="T7670">
        <v>-0.13389609999999999</v>
      </c>
      <c r="U7670">
        <v>2.4454959999999999</v>
      </c>
      <c r="V7670">
        <v>-0.33153529999999998</v>
      </c>
      <c r="W7670">
        <v>-3.4349200000000003E-2</v>
      </c>
      <c r="X7670">
        <v>0.94281729999999997</v>
      </c>
      <c r="Y7670">
        <v>-0.44024219999999997</v>
      </c>
      <c r="Z7670">
        <v>-1.69877299999999E-3</v>
      </c>
      <c r="AA7670">
        <v>0.8978775</v>
      </c>
      <c r="AB7670">
        <v>24</v>
      </c>
      <c r="AC7670">
        <v>0.46620000000001399</v>
      </c>
      <c r="AD7670">
        <v>-4.2863999999999999E-2</v>
      </c>
      <c r="AE7670">
        <v>0.72480999999999796</v>
      </c>
      <c r="AF7670">
        <v>-0.420708198896526</v>
      </c>
      <c r="AG7670">
        <v>-4.2863999999999999E-2</v>
      </c>
      <c r="AH7670">
        <v>0.74969029174345303</v>
      </c>
      <c r="AI7670">
        <v>92.854463587395401</v>
      </c>
      <c r="AJ7670">
        <v>119.30009463389101</v>
      </c>
      <c r="AK7670">
        <v>0.860737035713662</v>
      </c>
      <c r="AL7670">
        <v>91.968451420335597</v>
      </c>
      <c r="AM7670">
        <v>109.37387749496401</v>
      </c>
      <c r="AN7670">
        <v>0.99999999193300904</v>
      </c>
    </row>
    <row r="7671" spans="1:40" x14ac:dyDescent="0.25">
      <c r="A7671" t="str">
        <f>"20190305135111501"</f>
        <v>20190305135111501</v>
      </c>
      <c r="B7671" t="str">
        <f>"1551765071497506"</f>
        <v>1551765071497506</v>
      </c>
      <c r="C7671" t="s">
        <v>40</v>
      </c>
      <c r="D7671">
        <v>4.1663160000000001</v>
      </c>
      <c r="E7671">
        <v>0.45425650000000001</v>
      </c>
      <c r="F7671" t="s">
        <v>42</v>
      </c>
      <c r="G7671">
        <v>-188.1165</v>
      </c>
      <c r="H7671" s="1">
        <v>-1.1010440000000001E-6</v>
      </c>
      <c r="I7671">
        <v>-38.589080000000003</v>
      </c>
      <c r="J7671">
        <v>-202.637</v>
      </c>
      <c r="K7671">
        <v>1.1164689999999999</v>
      </c>
      <c r="L7671">
        <v>-58.901949999999999</v>
      </c>
      <c r="M7671">
        <v>0.88088539999999904</v>
      </c>
      <c r="N7671">
        <v>-1.481881E-2</v>
      </c>
      <c r="O7671">
        <v>0.4730975</v>
      </c>
      <c r="P7671">
        <v>0.67339439999999995</v>
      </c>
      <c r="Q7671">
        <v>-4.4071640000000002E-2</v>
      </c>
      <c r="R7671">
        <v>0.73796870000000003</v>
      </c>
      <c r="S7671">
        <v>1.7607569999999999</v>
      </c>
      <c r="T7671">
        <v>-0.13439509999999999</v>
      </c>
      <c r="U7671">
        <v>2.452728</v>
      </c>
      <c r="V7671">
        <v>-0.331016799999999</v>
      </c>
      <c r="W7671">
        <v>-3.5215160000000002E-2</v>
      </c>
      <c r="X7671">
        <v>0.94296749999999996</v>
      </c>
      <c r="Y7671">
        <v>-0.43940289999999999</v>
      </c>
      <c r="Z7671">
        <v>-1.9433390000000001E-3</v>
      </c>
      <c r="AA7671">
        <v>0.89828799999999998</v>
      </c>
      <c r="AB7671">
        <v>24</v>
      </c>
      <c r="AC7671">
        <v>14.520499999999901</v>
      </c>
      <c r="AD7671">
        <v>-1.1164701010439999</v>
      </c>
      <c r="AE7671">
        <v>20.31287</v>
      </c>
      <c r="AF7671">
        <v>-11.002910749812999</v>
      </c>
      <c r="AG7671">
        <v>-1.1164701010439999</v>
      </c>
      <c r="AH7671">
        <v>22.358622691023601</v>
      </c>
      <c r="AI7671">
        <v>92.565330716428704</v>
      </c>
      <c r="AJ7671">
        <v>116.202278518892</v>
      </c>
      <c r="AK7671">
        <v>24.944309152478699</v>
      </c>
      <c r="AL7671">
        <v>92.018097364304793</v>
      </c>
      <c r="AM7671">
        <v>109.342977882995</v>
      </c>
      <c r="AN7671">
        <v>0.99999996771615696</v>
      </c>
    </row>
    <row r="7672" spans="1:40" x14ac:dyDescent="0.25">
      <c r="A7672" t="str">
        <f>"20190305135111515"</f>
        <v>20190305135111515</v>
      </c>
      <c r="B7672" t="str">
        <f>"1551765071507267"</f>
        <v>1551765071507267</v>
      </c>
      <c r="C7672" t="s">
        <v>40</v>
      </c>
      <c r="D7672">
        <v>4.3032709999999996</v>
      </c>
      <c r="E7672">
        <v>0.45490589999999997</v>
      </c>
      <c r="F7672" t="s">
        <v>41</v>
      </c>
      <c r="G7672">
        <v>-202.06299999999999</v>
      </c>
      <c r="H7672">
        <v>1.0665880000000001</v>
      </c>
      <c r="I7672">
        <v>-58.095820000000003</v>
      </c>
      <c r="J7672">
        <v>-202.50790000000001</v>
      </c>
      <c r="K7672">
        <v>1.116455</v>
      </c>
      <c r="L7672">
        <v>-58.825200000000002</v>
      </c>
      <c r="M7672">
        <v>0.87799259999999901</v>
      </c>
      <c r="N7672">
        <v>-1.4799970000000001E-2</v>
      </c>
      <c r="O7672">
        <v>0.47844550000000002</v>
      </c>
      <c r="P7672">
        <v>0.66922899999999996</v>
      </c>
      <c r="Q7672">
        <v>-4.4783450000000002E-2</v>
      </c>
      <c r="R7672">
        <v>0.74170550000000002</v>
      </c>
      <c r="S7672">
        <v>1.7505949999999999</v>
      </c>
      <c r="T7672">
        <v>-0.15213989999999999</v>
      </c>
      <c r="U7672">
        <v>2.45871</v>
      </c>
      <c r="V7672">
        <v>-0.33054440000000002</v>
      </c>
      <c r="W7672">
        <v>-3.5926319999999998E-2</v>
      </c>
      <c r="X7672">
        <v>0.94310640000000001</v>
      </c>
      <c r="Y7672">
        <v>-0.43739630000000002</v>
      </c>
      <c r="Z7672">
        <v>-3.8417019999999998E-3</v>
      </c>
      <c r="AA7672">
        <v>0.89926059999999997</v>
      </c>
      <c r="AB7672">
        <v>24</v>
      </c>
      <c r="AC7672">
        <v>0.444900000000018</v>
      </c>
      <c r="AD7672">
        <v>-4.9867000000000099E-2</v>
      </c>
      <c r="AE7672">
        <v>0.72938000000000602</v>
      </c>
      <c r="AF7672">
        <v>-0.426124924564659</v>
      </c>
      <c r="AG7672">
        <v>-4.9867000000000099E-2</v>
      </c>
      <c r="AH7672">
        <v>0.73715711205894696</v>
      </c>
      <c r="AI7672">
        <v>93.351784845199305</v>
      </c>
      <c r="AJ7672">
        <v>120.03071535780199</v>
      </c>
      <c r="AK7672">
        <v>0.85291838817282195</v>
      </c>
      <c r="AL7672">
        <v>92.058869586790394</v>
      </c>
      <c r="AM7672">
        <v>109.314784991983</v>
      </c>
      <c r="AN7672">
        <v>0.99999999128053096</v>
      </c>
    </row>
    <row r="7673" spans="1:40" x14ac:dyDescent="0.25">
      <c r="A7673" t="str">
        <f>"20190305135111525"</f>
        <v>20190305135111525</v>
      </c>
      <c r="B7673" t="str">
        <f>"1551765071517026"</f>
        <v>1551765071517026</v>
      </c>
      <c r="C7673" t="s">
        <v>40</v>
      </c>
      <c r="D7673">
        <v>4.1306029999999998</v>
      </c>
      <c r="E7673">
        <v>0.45497500000000002</v>
      </c>
      <c r="F7673" t="s">
        <v>41</v>
      </c>
      <c r="G7673">
        <v>-201.93690000000001</v>
      </c>
      <c r="H7673">
        <v>1.0636540000000001</v>
      </c>
      <c r="I7673">
        <v>-58.01688</v>
      </c>
      <c r="J7673">
        <v>-202.40010000000001</v>
      </c>
      <c r="K7673">
        <v>1.1164419999999999</v>
      </c>
      <c r="L7673">
        <v>-58.760350000000003</v>
      </c>
      <c r="M7673">
        <v>0.87554509999999997</v>
      </c>
      <c r="N7673">
        <v>-1.478528E-2</v>
      </c>
      <c r="O7673">
        <v>0.48291000000000001</v>
      </c>
      <c r="P7673">
        <v>0.66569259999999997</v>
      </c>
      <c r="Q7673">
        <v>-4.5163870000000002E-2</v>
      </c>
      <c r="R7673">
        <v>0.74485809999999997</v>
      </c>
      <c r="S7673">
        <v>1.7406919999999999</v>
      </c>
      <c r="T7673">
        <v>-0.1609719</v>
      </c>
      <c r="U7673">
        <v>2.4643860000000002</v>
      </c>
      <c r="V7673">
        <v>-0.33020389999999999</v>
      </c>
      <c r="W7673">
        <v>-3.6306129999999999E-2</v>
      </c>
      <c r="X7673">
        <v>0.94321109999999997</v>
      </c>
      <c r="Y7673">
        <v>-0.43618639999999997</v>
      </c>
      <c r="Z7673">
        <v>-4.9165479999999998E-3</v>
      </c>
      <c r="AA7673">
        <v>0.8998429</v>
      </c>
      <c r="AB7673">
        <v>24</v>
      </c>
      <c r="AC7673">
        <v>0.4632</v>
      </c>
      <c r="AD7673">
        <v>-5.27879999999998E-2</v>
      </c>
      <c r="AE7673">
        <v>0.74346999999999497</v>
      </c>
      <c r="AF7673">
        <v>-0.42575812876659402</v>
      </c>
      <c r="AG7673">
        <v>-5.27879999999998E-2</v>
      </c>
      <c r="AH7673">
        <v>0.76189826357782897</v>
      </c>
      <c r="AI7673">
        <v>93.461149311481606</v>
      </c>
      <c r="AJ7673">
        <v>119.196996198025</v>
      </c>
      <c r="AK7673">
        <v>0.87438293738941597</v>
      </c>
      <c r="AL7673">
        <v>92.080645358584405</v>
      </c>
      <c r="AM7673">
        <v>109.294376213253</v>
      </c>
      <c r="AN7673">
        <v>0.99999996490699705</v>
      </c>
    </row>
    <row r="7674" spans="1:40" x14ac:dyDescent="0.25">
      <c r="A7674" t="str">
        <f>"20190305135111538"</f>
        <v>20190305135111538</v>
      </c>
      <c r="B7674" t="str">
        <f>"1551765071527763"</f>
        <v>1551765071527763</v>
      </c>
      <c r="C7674" t="s">
        <v>40</v>
      </c>
      <c r="D7674">
        <v>4.3637290000000002</v>
      </c>
      <c r="E7674">
        <v>0.45497500000000002</v>
      </c>
      <c r="F7674" t="s">
        <v>85</v>
      </c>
      <c r="G7674">
        <v>-190.5814</v>
      </c>
      <c r="H7674" s="1">
        <v>-5.5839190000000003E-6</v>
      </c>
      <c r="I7674">
        <v>-41.862580000000001</v>
      </c>
      <c r="J7674">
        <v>-202.2911</v>
      </c>
      <c r="K7674">
        <v>1.1164320000000001</v>
      </c>
      <c r="L7674">
        <v>-58.6937</v>
      </c>
      <c r="M7674">
        <v>0.87303359999999997</v>
      </c>
      <c r="N7674">
        <v>-1.47715E-2</v>
      </c>
      <c r="O7674">
        <v>0.48743629999999999</v>
      </c>
      <c r="P7674">
        <v>0.66191339999999999</v>
      </c>
      <c r="Q7674">
        <v>-4.4990570000000001E-2</v>
      </c>
      <c r="R7674">
        <v>0.74822889999999997</v>
      </c>
      <c r="S7674">
        <v>1.7292019999999999</v>
      </c>
      <c r="T7674">
        <v>-0.16334799999999999</v>
      </c>
      <c r="U7674">
        <v>2.472321</v>
      </c>
      <c r="V7674">
        <v>-0.33010830000000002</v>
      </c>
      <c r="W7674">
        <v>-3.6135849999999997E-2</v>
      </c>
      <c r="X7674">
        <v>0.94325110000000001</v>
      </c>
      <c r="Y7674">
        <v>-0.43569140000000001</v>
      </c>
      <c r="Z7674">
        <v>-5.383283E-3</v>
      </c>
      <c r="AA7674">
        <v>0.90007999999999899</v>
      </c>
      <c r="AB7674">
        <v>24</v>
      </c>
      <c r="AC7674">
        <v>11.7096999999999</v>
      </c>
      <c r="AD7674">
        <v>-1.1164375839189999</v>
      </c>
      <c r="AE7674">
        <v>16.831119999999999</v>
      </c>
      <c r="AF7674">
        <v>-8.9608135129918196</v>
      </c>
      <c r="AG7674">
        <v>-1.1164375839189999</v>
      </c>
      <c r="AH7674">
        <v>18.374593131792899</v>
      </c>
      <c r="AI7674">
        <v>93.125923485547304</v>
      </c>
      <c r="AJ7674">
        <v>115.99729364530199</v>
      </c>
      <c r="AK7674">
        <v>20.473599694541601</v>
      </c>
      <c r="AL7674">
        <v>92.070882629513306</v>
      </c>
      <c r="AM7674">
        <v>109.28844524333</v>
      </c>
      <c r="AN7674">
        <v>0.99999996351765996</v>
      </c>
    </row>
    <row r="7675" spans="1:40" x14ac:dyDescent="0.25">
      <c r="A7675" t="str">
        <f>"20190305135111551"</f>
        <v>20190305135111551</v>
      </c>
      <c r="B7675" t="str">
        <f>"1551765071547283"</f>
        <v>1551765071547283</v>
      </c>
      <c r="C7675" t="s">
        <v>40</v>
      </c>
      <c r="D7675">
        <v>4.1334330000000001</v>
      </c>
      <c r="E7675">
        <v>0.45610270000000003</v>
      </c>
      <c r="F7675" t="s">
        <v>41</v>
      </c>
      <c r="G7675">
        <v>-201.7278</v>
      </c>
      <c r="H7675">
        <v>1.0629999999999999</v>
      </c>
      <c r="I7675">
        <v>-57.879730000000002</v>
      </c>
      <c r="J7675">
        <v>-202.18</v>
      </c>
      <c r="K7675">
        <v>1.116417</v>
      </c>
      <c r="L7675">
        <v>-58.625399999999999</v>
      </c>
      <c r="M7675">
        <v>0.87044779999999999</v>
      </c>
      <c r="N7675">
        <v>-1.475804E-2</v>
      </c>
      <c r="O7675">
        <v>0.49203950000000002</v>
      </c>
      <c r="P7675">
        <v>0.65801549999999998</v>
      </c>
      <c r="Q7675">
        <v>-4.445143E-2</v>
      </c>
      <c r="R7675">
        <v>0.751691199999999</v>
      </c>
      <c r="S7675">
        <v>1.71669</v>
      </c>
      <c r="T7675">
        <v>-0.162851</v>
      </c>
      <c r="U7675">
        <v>2.4810180000000002</v>
      </c>
      <c r="V7675">
        <v>-0.3300669</v>
      </c>
      <c r="W7675">
        <v>-3.5600100000000003E-2</v>
      </c>
      <c r="X7675">
        <v>0.94328599999999996</v>
      </c>
      <c r="Y7675">
        <v>-0.43549019999999999</v>
      </c>
      <c r="Z7675">
        <v>-5.5734829999999997E-3</v>
      </c>
      <c r="AA7675">
        <v>0.90017619999999898</v>
      </c>
      <c r="AB7675">
        <v>24</v>
      </c>
      <c r="AC7675">
        <v>0.45220000000000399</v>
      </c>
      <c r="AD7675">
        <v>-5.3416999999999999E-2</v>
      </c>
      <c r="AE7675">
        <v>0.74566999999999695</v>
      </c>
      <c r="AF7675">
        <v>-0.425018361191359</v>
      </c>
      <c r="AG7675">
        <v>-5.3416999999999999E-2</v>
      </c>
      <c r="AH7675">
        <v>0.75775536082862505</v>
      </c>
      <c r="AI7675">
        <v>93.518277747975105</v>
      </c>
      <c r="AJ7675">
        <v>119.287686104391</v>
      </c>
      <c r="AK7675">
        <v>0.87045227904998301</v>
      </c>
      <c r="AL7675">
        <v>92.040166571634501</v>
      </c>
      <c r="AM7675">
        <v>109.285543984151</v>
      </c>
      <c r="AN7675">
        <v>1.0000000016958099</v>
      </c>
    </row>
    <row r="7676" spans="1:40" x14ac:dyDescent="0.25">
      <c r="A7676" t="str">
        <f>"20190305135111562"</f>
        <v>20190305135111562</v>
      </c>
      <c r="B7676" t="str">
        <f>"1551765071557043"</f>
        <v>1551765071557043</v>
      </c>
      <c r="C7676" t="s">
        <v>40</v>
      </c>
      <c r="D7676">
        <v>4.1846209999999999</v>
      </c>
      <c r="E7676">
        <v>0.45612950000000002</v>
      </c>
      <c r="F7676" t="s">
        <v>41</v>
      </c>
      <c r="G7676">
        <v>-201.596</v>
      </c>
      <c r="H7676">
        <v>1.057086</v>
      </c>
      <c r="I7676">
        <v>-57.777439999999999</v>
      </c>
      <c r="J7676">
        <v>-202.0669</v>
      </c>
      <c r="K7676">
        <v>1.116409</v>
      </c>
      <c r="L7676">
        <v>-58.554600000000001</v>
      </c>
      <c r="M7676">
        <v>0.86777519999999997</v>
      </c>
      <c r="N7676">
        <v>-1.474541E-2</v>
      </c>
      <c r="O7676">
        <v>0.49673810000000002</v>
      </c>
      <c r="P7676">
        <v>0.65412879999999995</v>
      </c>
      <c r="Q7676">
        <v>-4.3551729999999997E-2</v>
      </c>
      <c r="R7676">
        <v>0.75512829999999997</v>
      </c>
      <c r="S7676">
        <v>1.7106779999999999</v>
      </c>
      <c r="T7676">
        <v>-0.17376220000000001</v>
      </c>
      <c r="U7676">
        <v>2.4832459999999998</v>
      </c>
      <c r="V7676">
        <v>-0.32989439999999998</v>
      </c>
      <c r="W7676">
        <v>-3.4699819999999999E-2</v>
      </c>
      <c r="X7676">
        <v>0.94337990000000005</v>
      </c>
      <c r="Y7676">
        <v>-0.43246099999999998</v>
      </c>
      <c r="Z7676">
        <v>-7.0032920000000004E-3</v>
      </c>
      <c r="AA7676">
        <v>0.90162549999999997</v>
      </c>
      <c r="AB7676">
        <v>24</v>
      </c>
      <c r="AC7676">
        <v>0.47090000000002802</v>
      </c>
      <c r="AD7676">
        <v>-5.9323000000000001E-2</v>
      </c>
      <c r="AE7676">
        <v>0.77715999999999497</v>
      </c>
      <c r="AF7676">
        <v>-0.43866452760253699</v>
      </c>
      <c r="AG7676">
        <v>-5.9323000000000001E-2</v>
      </c>
      <c r="AH7676">
        <v>0.791393842091071</v>
      </c>
      <c r="AI7676">
        <v>93.751060596009296</v>
      </c>
      <c r="AJ7676">
        <v>118.99932199093</v>
      </c>
      <c r="AK7676">
        <v>0.90678001709644196</v>
      </c>
      <c r="AL7676">
        <v>91.988552405734296</v>
      </c>
      <c r="AM7676">
        <v>109.274431480136</v>
      </c>
      <c r="AN7676">
        <v>1.0000000141917</v>
      </c>
    </row>
    <row r="7677" spans="1:40" x14ac:dyDescent="0.25">
      <c r="A7677" t="str">
        <f>"20190305135111579"</f>
        <v>20190305135111579</v>
      </c>
      <c r="B7677" t="str">
        <f>"1551765071567779"</f>
        <v>1551765071567779</v>
      </c>
      <c r="C7677" t="s">
        <v>40</v>
      </c>
      <c r="D7677">
        <v>4.2725970000000002</v>
      </c>
      <c r="E7677">
        <v>0.4567041</v>
      </c>
      <c r="F7677" t="s">
        <v>85</v>
      </c>
      <c r="G7677">
        <v>-191.01609999999999</v>
      </c>
      <c r="H7677" s="1">
        <v>-5.4397819999999999E-6</v>
      </c>
      <c r="I7677">
        <v>-42.338099999999997</v>
      </c>
      <c r="J7677">
        <v>-201.9265</v>
      </c>
      <c r="K7677">
        <v>1.1164000000000001</v>
      </c>
      <c r="L7677">
        <v>-58.465699999999998</v>
      </c>
      <c r="M7677">
        <v>0.86441089999999998</v>
      </c>
      <c r="N7677">
        <v>-1.473062E-2</v>
      </c>
      <c r="O7677">
        <v>0.50257029999999903</v>
      </c>
      <c r="P7677">
        <v>0.64917860000000005</v>
      </c>
      <c r="Q7677">
        <v>-4.1880880000000002E-2</v>
      </c>
      <c r="R7677">
        <v>0.75948209999999905</v>
      </c>
      <c r="S7677">
        <v>1.698135</v>
      </c>
      <c r="T7677">
        <v>-0.17155419999999999</v>
      </c>
      <c r="U7677">
        <v>2.4919129999999998</v>
      </c>
      <c r="V7677">
        <v>-0.32981630000000001</v>
      </c>
      <c r="W7677">
        <v>-3.3029830000000003E-2</v>
      </c>
      <c r="X7677">
        <v>0.9434671</v>
      </c>
      <c r="Y7677">
        <v>-0.43096069999999997</v>
      </c>
      <c r="Z7677">
        <v>-7.1490089999999996E-3</v>
      </c>
      <c r="AA7677">
        <v>0.90234239999999999</v>
      </c>
      <c r="AB7677">
        <v>24</v>
      </c>
      <c r="AC7677">
        <v>10.910399999999999</v>
      </c>
      <c r="AD7677">
        <v>-1.116405439782</v>
      </c>
      <c r="AE7677">
        <v>16.127600000000001</v>
      </c>
      <c r="AF7677">
        <v>-8.4308323044339595</v>
      </c>
      <c r="AG7677">
        <v>-1.116405439782</v>
      </c>
      <c r="AH7677">
        <v>17.4807577768957</v>
      </c>
      <c r="AI7677">
        <v>93.292258198249797</v>
      </c>
      <c r="AJ7677">
        <v>115.7476485501</v>
      </c>
      <c r="AK7677">
        <v>19.439706451126298</v>
      </c>
      <c r="AL7677">
        <v>91.892814196698794</v>
      </c>
      <c r="AM7677">
        <v>109.268555084203</v>
      </c>
      <c r="AN7677">
        <v>0.99999996509896305</v>
      </c>
    </row>
    <row r="7678" spans="1:40" x14ac:dyDescent="0.25">
      <c r="A7678" t="str">
        <f>"20190305135111591"</f>
        <v>20190305135111591</v>
      </c>
      <c r="B7678" t="str">
        <f>"1551765071587299"</f>
        <v>1551765071587299</v>
      </c>
      <c r="C7678" t="s">
        <v>40</v>
      </c>
      <c r="D7678">
        <v>4.1340469999999998</v>
      </c>
      <c r="E7678">
        <v>0.45682119999999998</v>
      </c>
      <c r="F7678" t="s">
        <v>41</v>
      </c>
      <c r="G7678">
        <v>-201.35919999999999</v>
      </c>
      <c r="H7678">
        <v>1.058816</v>
      </c>
      <c r="I7678">
        <v>-57.624139999999997</v>
      </c>
      <c r="J7678">
        <v>-201.82159999999999</v>
      </c>
      <c r="K7678">
        <v>1.1163890000000001</v>
      </c>
      <c r="L7678">
        <v>-58.398679999999999</v>
      </c>
      <c r="M7678">
        <v>0.86186489999999905</v>
      </c>
      <c r="N7678">
        <v>-1.472015E-2</v>
      </c>
      <c r="O7678">
        <v>0.50692429999999999</v>
      </c>
      <c r="P7678">
        <v>0.64530319999999997</v>
      </c>
      <c r="Q7678">
        <v>-4.1384919999999999E-2</v>
      </c>
      <c r="R7678">
        <v>0.7628047</v>
      </c>
      <c r="S7678">
        <v>1.6851349999999901</v>
      </c>
      <c r="T7678">
        <v>-0.17106930000000001</v>
      </c>
      <c r="U7678">
        <v>2.5002439999999999</v>
      </c>
      <c r="V7678">
        <v>-0.32989269999999998</v>
      </c>
      <c r="W7678">
        <v>-3.2537290000000003E-2</v>
      </c>
      <c r="X7678">
        <v>0.94345749999999995</v>
      </c>
      <c r="Y7678">
        <v>-0.4310331</v>
      </c>
      <c r="Z7678">
        <v>-7.3307340000000002E-3</v>
      </c>
      <c r="AA7678">
        <v>0.90230639999999995</v>
      </c>
      <c r="AB7678">
        <v>24</v>
      </c>
      <c r="AC7678">
        <v>0.46240000000000198</v>
      </c>
      <c r="AD7678">
        <v>-5.7572999999999798E-2</v>
      </c>
      <c r="AE7678">
        <v>0.77454000000000101</v>
      </c>
      <c r="AF7678">
        <v>-0.43143654753536698</v>
      </c>
      <c r="AG7678">
        <v>-5.7572999999999798E-2</v>
      </c>
      <c r="AH7678">
        <v>0.78803519174721903</v>
      </c>
      <c r="AI7678">
        <v>93.666691980713196</v>
      </c>
      <c r="AJ7678">
        <v>118.69999340976</v>
      </c>
      <c r="AK7678">
        <v>0.90025085854461295</v>
      </c>
      <c r="AL7678">
        <v>91.864578561467994</v>
      </c>
      <c r="AM7678">
        <v>109.272871066002</v>
      </c>
      <c r="AN7678">
        <v>0.999999961530041</v>
      </c>
    </row>
    <row r="7679" spans="1:40" x14ac:dyDescent="0.25">
      <c r="A7679" t="str">
        <f>"20190305135111602"</f>
        <v>20190305135111602</v>
      </c>
      <c r="B7679" t="str">
        <f>"1551765071597059"</f>
        <v>1551765071597059</v>
      </c>
      <c r="C7679" t="s">
        <v>40</v>
      </c>
      <c r="D7679">
        <v>4.1732339999999999</v>
      </c>
      <c r="E7679">
        <v>0.45693810000000001</v>
      </c>
      <c r="F7679" t="s">
        <v>41</v>
      </c>
      <c r="G7679">
        <v>-201.25069999999999</v>
      </c>
      <c r="H7679">
        <v>1.0586519999999999</v>
      </c>
      <c r="I7679">
        <v>-57.543059999999997</v>
      </c>
      <c r="J7679">
        <v>-201.7141</v>
      </c>
      <c r="K7679">
        <v>1.116376</v>
      </c>
      <c r="L7679">
        <v>-58.328800000000001</v>
      </c>
      <c r="M7679">
        <v>0.85921999999999998</v>
      </c>
      <c r="N7679">
        <v>-1.4710259999999999E-2</v>
      </c>
      <c r="O7679">
        <v>0.51139480000000004</v>
      </c>
      <c r="P7679">
        <v>0.64146950000000003</v>
      </c>
      <c r="Q7679">
        <v>-4.095849E-2</v>
      </c>
      <c r="R7679">
        <v>0.76605440000000002</v>
      </c>
      <c r="S7679">
        <v>1.6733089999999999</v>
      </c>
      <c r="T7679">
        <v>-0.1692379</v>
      </c>
      <c r="U7679">
        <v>2.5081180000000001</v>
      </c>
      <c r="V7679">
        <v>-0.32974969999999998</v>
      </c>
      <c r="W7679">
        <v>-3.2109119999999998E-2</v>
      </c>
      <c r="X7679">
        <v>0.94352219999999998</v>
      </c>
      <c r="Y7679">
        <v>-0.43060569999999998</v>
      </c>
      <c r="Z7679">
        <v>-7.3916349999999997E-3</v>
      </c>
      <c r="AA7679">
        <v>0.90250989999999998</v>
      </c>
      <c r="AB7679">
        <v>24</v>
      </c>
      <c r="AC7679">
        <v>0.46340000000000697</v>
      </c>
      <c r="AD7679">
        <v>-5.7723999999999803E-2</v>
      </c>
      <c r="AE7679">
        <v>0.78574000000000399</v>
      </c>
      <c r="AF7679">
        <v>-0.43644294129601002</v>
      </c>
      <c r="AG7679">
        <v>-5.7723999999999803E-2</v>
      </c>
      <c r="AH7679">
        <v>0.79688152255922895</v>
      </c>
      <c r="AI7679">
        <v>93.635268704562705</v>
      </c>
      <c r="AJ7679">
        <v>118.709019026167</v>
      </c>
      <c r="AK7679">
        <v>0.91040357104935998</v>
      </c>
      <c r="AL7679">
        <v>91.840033328035204</v>
      </c>
      <c r="AM7679">
        <v>109.263908750056</v>
      </c>
      <c r="AN7679">
        <v>1.00000000106505</v>
      </c>
    </row>
    <row r="7680" spans="1:40" x14ac:dyDescent="0.25">
      <c r="A7680" t="str">
        <f>"20190305135111613"</f>
        <v>20190305135111613</v>
      </c>
      <c r="B7680" t="str">
        <f>"1551765071607795"</f>
        <v>1551765071607795</v>
      </c>
      <c r="C7680" t="s">
        <v>40</v>
      </c>
      <c r="D7680">
        <v>4.1575199999999999</v>
      </c>
      <c r="E7680">
        <v>0.4570941</v>
      </c>
      <c r="F7680" t="s">
        <v>85</v>
      </c>
      <c r="G7680">
        <v>-190.64230000000001</v>
      </c>
      <c r="H7680" s="1">
        <v>-5.7353639999999899E-6</v>
      </c>
      <c r="I7680">
        <v>-41.56073</v>
      </c>
      <c r="J7680">
        <v>-201.61920000000001</v>
      </c>
      <c r="K7680">
        <v>1.1163650000000001</v>
      </c>
      <c r="L7680">
        <v>-58.266629999999999</v>
      </c>
      <c r="M7680">
        <v>0.85685940000000005</v>
      </c>
      <c r="N7680">
        <v>-1.4701820000000001E-2</v>
      </c>
      <c r="O7680">
        <v>0.51534049999999998</v>
      </c>
      <c r="P7680">
        <v>0.63787469999999902</v>
      </c>
      <c r="Q7680">
        <v>-4.0777359999999999E-2</v>
      </c>
      <c r="R7680">
        <v>0.76905999999999997</v>
      </c>
      <c r="S7680">
        <v>1.6613309999999999</v>
      </c>
      <c r="T7680">
        <v>-0.167513299999999</v>
      </c>
      <c r="U7680">
        <v>2.5160520000000002</v>
      </c>
      <c r="V7680">
        <v>-0.32984160000000001</v>
      </c>
      <c r="W7680">
        <v>-3.1930779999999999E-2</v>
      </c>
      <c r="X7680">
        <v>0.94349609999999995</v>
      </c>
      <c r="Y7680">
        <v>-0.4307627</v>
      </c>
      <c r="Z7680">
        <v>-7.4098569999999997E-3</v>
      </c>
      <c r="AA7680">
        <v>0.90243479999999998</v>
      </c>
      <c r="AB7680">
        <v>24</v>
      </c>
      <c r="AC7680">
        <v>10.976900000000001</v>
      </c>
      <c r="AD7680">
        <v>-1.116370735364</v>
      </c>
      <c r="AE7680">
        <v>16.7059</v>
      </c>
      <c r="AF7680">
        <v>-8.6317796814612002</v>
      </c>
      <c r="AG7680">
        <v>-1.116370735364</v>
      </c>
      <c r="AH7680">
        <v>17.960814397969301</v>
      </c>
      <c r="AI7680">
        <v>93.206477837011604</v>
      </c>
      <c r="AJ7680">
        <v>115.66845288934699</v>
      </c>
      <c r="AK7680">
        <v>19.958576049567299</v>
      </c>
      <c r="AL7680">
        <v>91.829810007373197</v>
      </c>
      <c r="AM7680">
        <v>109.269375568789</v>
      </c>
      <c r="AN7680">
        <v>0.99999997325858803</v>
      </c>
    </row>
    <row r="7681" spans="1:40" x14ac:dyDescent="0.25">
      <c r="A7681" t="str">
        <f>"20190305135111625"</f>
        <v>20190305135111625</v>
      </c>
      <c r="B7681" t="str">
        <f>"1551765071617554"</f>
        <v>1551765071617554</v>
      </c>
      <c r="C7681" t="s">
        <v>40</v>
      </c>
      <c r="D7681">
        <v>4.1639860000000004</v>
      </c>
      <c r="E7681">
        <v>0.4572407</v>
      </c>
      <c r="F7681" t="s">
        <v>41</v>
      </c>
      <c r="G7681">
        <v>-201.07220000000001</v>
      </c>
      <c r="H7681">
        <v>1.0610630000000001</v>
      </c>
      <c r="I7681">
        <v>-57.430599999999998</v>
      </c>
      <c r="J7681">
        <v>-201.511</v>
      </c>
      <c r="K7681">
        <v>1.116358</v>
      </c>
      <c r="L7681">
        <v>-58.194980000000001</v>
      </c>
      <c r="M7681">
        <v>0.85413709999999898</v>
      </c>
      <c r="N7681">
        <v>-1.469268E-2</v>
      </c>
      <c r="O7681">
        <v>0.51984030000000003</v>
      </c>
      <c r="P7681">
        <v>0.63368549999999901</v>
      </c>
      <c r="Q7681">
        <v>-4.0888540000000001E-2</v>
      </c>
      <c r="R7681">
        <v>0.77250949999999996</v>
      </c>
      <c r="S7681">
        <v>1.6504669999999999</v>
      </c>
      <c r="T7681">
        <v>-0.16688129999999901</v>
      </c>
      <c r="U7681">
        <v>2.5231020000000002</v>
      </c>
      <c r="V7681">
        <v>-0.33000099999999999</v>
      </c>
      <c r="W7681">
        <v>-3.204597E-2</v>
      </c>
      <c r="X7681">
        <v>0.94343650000000001</v>
      </c>
      <c r="Y7681">
        <v>-0.42989889999999997</v>
      </c>
      <c r="Z7681">
        <v>-7.6055740000000004E-3</v>
      </c>
      <c r="AA7681">
        <v>0.90284500000000001</v>
      </c>
      <c r="AB7681">
        <v>24</v>
      </c>
      <c r="AC7681">
        <v>0.43879999999998598</v>
      </c>
      <c r="AD7681">
        <v>-5.5294999999999997E-2</v>
      </c>
      <c r="AE7681">
        <v>0.76438000000000905</v>
      </c>
      <c r="AF7681">
        <v>-0.42315971288398502</v>
      </c>
      <c r="AG7681">
        <v>-5.5294999999999997E-2</v>
      </c>
      <c r="AH7681">
        <v>0.76920668365818801</v>
      </c>
      <c r="AI7681">
        <v>93.603963508116095</v>
      </c>
      <c r="AJ7681">
        <v>118.81628557139599</v>
      </c>
      <c r="AK7681">
        <v>0.87965936692419999</v>
      </c>
      <c r="AL7681">
        <v>91.836413207580193</v>
      </c>
      <c r="AM7681">
        <v>109.279128801619</v>
      </c>
      <c r="AN7681">
        <v>1.0000000168632399</v>
      </c>
    </row>
    <row r="7682" spans="1:40" x14ac:dyDescent="0.25">
      <c r="A7682" t="str">
        <f>"20190305135111638"</f>
        <v>20190305135111638</v>
      </c>
      <c r="B7682" t="str">
        <f>"1551765071627314"</f>
        <v>1551765071627314</v>
      </c>
      <c r="C7682" t="s">
        <v>40</v>
      </c>
      <c r="D7682">
        <v>4.1584390000000004</v>
      </c>
      <c r="E7682">
        <v>0.45736880000000002</v>
      </c>
      <c r="F7682" t="s">
        <v>85</v>
      </c>
      <c r="G7682">
        <v>-190.60589999999999</v>
      </c>
      <c r="H7682" s="1">
        <v>-5.8314149999999898E-6</v>
      </c>
      <c r="I7682">
        <v>-41.340600000000002</v>
      </c>
      <c r="J7682">
        <v>-201.41200000000001</v>
      </c>
      <c r="K7682">
        <v>1.116349</v>
      </c>
      <c r="L7682">
        <v>-58.128570000000003</v>
      </c>
      <c r="M7682">
        <v>0.85161529999999996</v>
      </c>
      <c r="N7682">
        <v>-1.468475E-2</v>
      </c>
      <c r="O7682">
        <v>0.52396149999999997</v>
      </c>
      <c r="P7682">
        <v>0.62988900000000003</v>
      </c>
      <c r="Q7682">
        <v>-4.0313080000000001E-2</v>
      </c>
      <c r="R7682">
        <v>0.7756383</v>
      </c>
      <c r="S7682">
        <v>1.6377409999999999</v>
      </c>
      <c r="T7682">
        <v>-0.16765529999999901</v>
      </c>
      <c r="U7682">
        <v>2.5311889999999999</v>
      </c>
      <c r="V7682">
        <v>-0.33010420000000001</v>
      </c>
      <c r="W7682">
        <v>-3.1472430000000003E-2</v>
      </c>
      <c r="X7682">
        <v>0.94341969999999997</v>
      </c>
      <c r="Y7682">
        <v>-0.43005300000000002</v>
      </c>
      <c r="Z7682">
        <v>-7.8990750000000002E-3</v>
      </c>
      <c r="AA7682">
        <v>0.90276909999999999</v>
      </c>
      <c r="AB7682">
        <v>24</v>
      </c>
      <c r="AC7682">
        <v>10.806100000000001</v>
      </c>
      <c r="AD7682">
        <v>-1.116354831415</v>
      </c>
      <c r="AE7682">
        <v>16.787969999999898</v>
      </c>
      <c r="AF7682">
        <v>-8.6089274527979107</v>
      </c>
      <c r="AG7682">
        <v>-1.116354831415</v>
      </c>
      <c r="AH7682">
        <v>17.944727539844301</v>
      </c>
      <c r="AI7682">
        <v>93.210353900294805</v>
      </c>
      <c r="AJ7682">
        <v>115.629218720599</v>
      </c>
      <c r="AK7682">
        <v>19.934219986656299</v>
      </c>
      <c r="AL7682">
        <v>91.803535206987107</v>
      </c>
      <c r="AM7682">
        <v>109.285030872549</v>
      </c>
      <c r="AN7682">
        <v>1.0000000135279099</v>
      </c>
    </row>
    <row r="7683" spans="1:40" x14ac:dyDescent="0.25">
      <c r="A7683" t="str">
        <f>"20190305135111652"</f>
        <v>20190305135111652</v>
      </c>
      <c r="B7683" t="str">
        <f>"1551765071647812"</f>
        <v>1551765071647812</v>
      </c>
      <c r="C7683" t="s">
        <v>40</v>
      </c>
      <c r="D7683">
        <v>4.1442889999999997</v>
      </c>
      <c r="E7683">
        <v>0.4576363</v>
      </c>
      <c r="F7683" t="s">
        <v>41</v>
      </c>
      <c r="G7683">
        <v>-200.8672</v>
      </c>
      <c r="H7683">
        <v>1.060692</v>
      </c>
      <c r="I7683">
        <v>-57.277900000000002</v>
      </c>
      <c r="J7683">
        <v>-201.28720000000001</v>
      </c>
      <c r="K7683">
        <v>1.1163400000000001</v>
      </c>
      <c r="L7683">
        <v>-58.044130000000003</v>
      </c>
      <c r="M7683">
        <v>0.84839809999999904</v>
      </c>
      <c r="N7683">
        <v>-1.467517E-2</v>
      </c>
      <c r="O7683">
        <v>0.5291553</v>
      </c>
      <c r="P7683">
        <v>0.62518779999999996</v>
      </c>
      <c r="Q7683">
        <v>-3.9963690000000003E-2</v>
      </c>
      <c r="R7683">
        <v>0.77945050000000005</v>
      </c>
      <c r="S7683">
        <v>1.625885</v>
      </c>
      <c r="T7683">
        <v>-0.1661067</v>
      </c>
      <c r="U7683">
        <v>2.5387879999999998</v>
      </c>
      <c r="V7683">
        <v>-0.3300651</v>
      </c>
      <c r="W7683">
        <v>-3.1121869999999999E-2</v>
      </c>
      <c r="X7683">
        <v>0.94344499999999998</v>
      </c>
      <c r="Y7683">
        <v>-0.4287627</v>
      </c>
      <c r="Z7683">
        <v>-8.0410389999999998E-3</v>
      </c>
      <c r="AA7683">
        <v>0.9033814</v>
      </c>
      <c r="AB7683">
        <v>24</v>
      </c>
      <c r="AC7683">
        <v>0.42000000000001497</v>
      </c>
      <c r="AD7683">
        <v>-5.5647999999999899E-2</v>
      </c>
      <c r="AE7683">
        <v>0.76622999999999997</v>
      </c>
      <c r="AF7683">
        <v>-0.42614054397135598</v>
      </c>
      <c r="AG7683">
        <v>-5.5647999999999899E-2</v>
      </c>
      <c r="AH7683">
        <v>0.758786351146022</v>
      </c>
      <c r="AI7683">
        <v>93.658746235653098</v>
      </c>
      <c r="AJ7683">
        <v>119.318918368946</v>
      </c>
      <c r="AK7683">
        <v>0.87203737867461695</v>
      </c>
      <c r="AL7683">
        <v>91.783439770470693</v>
      </c>
      <c r="AM7683">
        <v>109.28243630748401</v>
      </c>
      <c r="AN7683">
        <v>1.00000000452765</v>
      </c>
    </row>
    <row r="7684" spans="1:40" x14ac:dyDescent="0.25">
      <c r="A7684" t="str">
        <f>"20190305135111665"</f>
        <v>20190305135111665</v>
      </c>
      <c r="B7684" t="str">
        <f>"1551765071657572"</f>
        <v>1551765071657572</v>
      </c>
      <c r="C7684" t="s">
        <v>40</v>
      </c>
      <c r="D7684">
        <v>4.1762990000000002</v>
      </c>
      <c r="E7684">
        <v>0.45779160000000002</v>
      </c>
      <c r="F7684" t="s">
        <v>41</v>
      </c>
      <c r="G7684">
        <v>-200.7415</v>
      </c>
      <c r="H7684">
        <v>1.060295</v>
      </c>
      <c r="I7684">
        <v>-57.182259999999999</v>
      </c>
      <c r="J7684">
        <v>-201.16229999999999</v>
      </c>
      <c r="K7684">
        <v>1.1163270000000001</v>
      </c>
      <c r="L7684">
        <v>-57.958219999999997</v>
      </c>
      <c r="M7684">
        <v>0.84512919999999903</v>
      </c>
      <c r="N7684">
        <v>-1.466629E-2</v>
      </c>
      <c r="O7684">
        <v>0.53436079999999997</v>
      </c>
      <c r="P7684">
        <v>0.62074119999999899</v>
      </c>
      <c r="Q7684">
        <v>-3.970477E-2</v>
      </c>
      <c r="R7684">
        <v>0.78300950000000002</v>
      </c>
      <c r="S7684">
        <v>1.612152</v>
      </c>
      <c r="T7684">
        <v>-0.16561779999999901</v>
      </c>
      <c r="U7684">
        <v>2.547272</v>
      </c>
      <c r="V7684">
        <v>-0.32965119999999998</v>
      </c>
      <c r="W7684">
        <v>-3.085363E-2</v>
      </c>
      <c r="X7684">
        <v>0.94359850000000001</v>
      </c>
      <c r="Y7684">
        <v>-0.42805199999999999</v>
      </c>
      <c r="Z7684">
        <v>-8.2790199999999998E-3</v>
      </c>
      <c r="AA7684">
        <v>0.90371619999999997</v>
      </c>
      <c r="AB7684">
        <v>24</v>
      </c>
      <c r="AC7684">
        <v>0.42079999999998502</v>
      </c>
      <c r="AD7684">
        <v>-5.6031999999999998E-2</v>
      </c>
      <c r="AE7684">
        <v>0.77595999999999699</v>
      </c>
      <c r="AF7684">
        <v>-0.42924423980069498</v>
      </c>
      <c r="AG7684">
        <v>-5.6031999999999998E-2</v>
      </c>
      <c r="AH7684">
        <v>0.767264310636673</v>
      </c>
      <c r="AI7684">
        <v>93.646678203715297</v>
      </c>
      <c r="AJ7684">
        <v>119.224729989615</v>
      </c>
      <c r="AK7684">
        <v>0.88095670994825004</v>
      </c>
      <c r="AL7684">
        <v>91.768063383727707</v>
      </c>
      <c r="AM7684">
        <v>109.257135584171</v>
      </c>
      <c r="AN7684">
        <v>0.99999999467393297</v>
      </c>
    </row>
    <row r="7685" spans="1:40" x14ac:dyDescent="0.25">
      <c r="A7685" t="str">
        <f>"20190305135111681"</f>
        <v>20190305135111681</v>
      </c>
      <c r="B7685" t="str">
        <f>"1551765071677091"</f>
        <v>1551765071677091</v>
      </c>
      <c r="C7685" t="s">
        <v>40</v>
      </c>
      <c r="D7685">
        <v>4.2298749999999998</v>
      </c>
      <c r="E7685">
        <v>0.45731149999999998</v>
      </c>
      <c r="F7685" t="s">
        <v>85</v>
      </c>
      <c r="G7685">
        <v>-190.34710000000001</v>
      </c>
      <c r="H7685" s="1">
        <v>-6.0977250000000001E-6</v>
      </c>
      <c r="I7685">
        <v>-40.670009999999998</v>
      </c>
      <c r="J7685">
        <v>-201.0309</v>
      </c>
      <c r="K7685">
        <v>1.1163130000000001</v>
      </c>
      <c r="L7685">
        <v>-57.8666699999999</v>
      </c>
      <c r="M7685">
        <v>0.84164119999999998</v>
      </c>
      <c r="N7685">
        <v>-1.4657480000000001E-2</v>
      </c>
      <c r="O7685">
        <v>0.53983809999999999</v>
      </c>
      <c r="P7685">
        <v>0.61593900000000001</v>
      </c>
      <c r="Q7685">
        <v>-3.9606509999999998E-2</v>
      </c>
      <c r="R7685">
        <v>0.78679750000000004</v>
      </c>
      <c r="S7685">
        <v>1.59874</v>
      </c>
      <c r="T7685">
        <v>-0.1650201</v>
      </c>
      <c r="U7685">
        <v>2.5556030000000001</v>
      </c>
      <c r="V7685">
        <v>-0.32930310000000002</v>
      </c>
      <c r="W7685">
        <v>-3.0746989999999998E-2</v>
      </c>
      <c r="X7685">
        <v>0.94372350000000005</v>
      </c>
      <c r="Y7685">
        <v>-0.4269232</v>
      </c>
      <c r="Z7685">
        <v>-8.5298539999999999E-3</v>
      </c>
      <c r="AA7685">
        <v>0.90424760000000004</v>
      </c>
      <c r="AB7685">
        <v>24</v>
      </c>
      <c r="AC7685">
        <v>10.6837999999999</v>
      </c>
      <c r="AD7685">
        <v>-1.1163190977249999</v>
      </c>
      <c r="AE7685">
        <v>17.196659999999898</v>
      </c>
      <c r="AF7685">
        <v>-8.6804388543583002</v>
      </c>
      <c r="AG7685">
        <v>-1.1163190977249999</v>
      </c>
      <c r="AH7685">
        <v>18.221900639451299</v>
      </c>
      <c r="AI7685">
        <v>93.165663885386394</v>
      </c>
      <c r="AJ7685">
        <v>115.471913787285</v>
      </c>
      <c r="AK7685">
        <v>20.2146939117622</v>
      </c>
      <c r="AL7685">
        <v>91.761950493114398</v>
      </c>
      <c r="AM7685">
        <v>109.235934765804</v>
      </c>
      <c r="AN7685">
        <v>0.99999997675795904</v>
      </c>
    </row>
    <row r="7686" spans="1:40" x14ac:dyDescent="0.25">
      <c r="A7686" t="str">
        <f>"20190305135111693"</f>
        <v>20190305135111693</v>
      </c>
      <c r="B7686" t="str">
        <f>"1551765071687827"</f>
        <v>1551765071687827</v>
      </c>
      <c r="C7686" t="s">
        <v>40</v>
      </c>
      <c r="D7686">
        <v>4.18642</v>
      </c>
      <c r="E7686">
        <v>0.39883400000000002</v>
      </c>
      <c r="F7686" t="s">
        <v>85</v>
      </c>
      <c r="G7686">
        <v>-190.32249999999999</v>
      </c>
      <c r="H7686" s="1">
        <v>-6.175608E-6</v>
      </c>
      <c r="I7686">
        <v>-40.465020000000003</v>
      </c>
      <c r="J7686">
        <v>-200.92449999999999</v>
      </c>
      <c r="K7686">
        <v>1.116303</v>
      </c>
      <c r="L7686">
        <v>-57.791719999999998</v>
      </c>
      <c r="M7686">
        <v>0.83877939999999995</v>
      </c>
      <c r="N7686">
        <v>-1.4650679999999999E-2</v>
      </c>
      <c r="O7686">
        <v>0.54427419999999904</v>
      </c>
      <c r="P7686">
        <v>0.61194559999999998</v>
      </c>
      <c r="Q7686">
        <v>-3.9630640000000002E-2</v>
      </c>
      <c r="R7686">
        <v>0.78990629999999995</v>
      </c>
      <c r="S7686">
        <v>1.580063</v>
      </c>
      <c r="T7686">
        <v>-0.16471769999999999</v>
      </c>
      <c r="U7686">
        <v>2.567688</v>
      </c>
      <c r="V7686">
        <v>-0.32910040000000002</v>
      </c>
      <c r="W7686">
        <v>-3.0765859999999999E-2</v>
      </c>
      <c r="X7686">
        <v>0.94379360000000001</v>
      </c>
      <c r="Y7686">
        <v>-0.42882029999999899</v>
      </c>
      <c r="Z7686">
        <v>-8.6545540000000001E-3</v>
      </c>
      <c r="AA7686">
        <v>0.90334840000000005</v>
      </c>
      <c r="AB7686">
        <v>24</v>
      </c>
      <c r="AC7686">
        <v>10.602</v>
      </c>
      <c r="AD7686">
        <v>-1.1163091756079999</v>
      </c>
      <c r="AE7686">
        <v>17.326699999999899</v>
      </c>
      <c r="AF7686">
        <v>-8.7374368966521008</v>
      </c>
      <c r="AG7686">
        <v>-1.1163091756079999</v>
      </c>
      <c r="AH7686">
        <v>18.270005095691101</v>
      </c>
      <c r="AI7686">
        <v>93.1550334490111</v>
      </c>
      <c r="AJ7686">
        <v>115.55896562546</v>
      </c>
      <c r="AK7686">
        <v>20.282554964675999</v>
      </c>
      <c r="AL7686">
        <v>91.763032160972202</v>
      </c>
      <c r="AM7686">
        <v>109.22364024350701</v>
      </c>
      <c r="AN7686">
        <v>0.99999998541132895</v>
      </c>
    </row>
    <row r="7687" spans="1:40" x14ac:dyDescent="0.25">
      <c r="A7687" t="str">
        <f>"20190305135111705"</f>
        <v>20190305135111705</v>
      </c>
      <c r="B7687" t="str">
        <f>"1551765071697587"</f>
        <v>1551765071697587</v>
      </c>
      <c r="C7687" t="s">
        <v>40</v>
      </c>
      <c r="D7687">
        <v>4.1826119999999998</v>
      </c>
      <c r="E7687">
        <v>0.3925245</v>
      </c>
      <c r="F7687" t="s">
        <v>41</v>
      </c>
      <c r="G7687">
        <v>-200.52</v>
      </c>
      <c r="H7687">
        <v>1.0701290000000001</v>
      </c>
      <c r="I7687">
        <v>-56.825069999999997</v>
      </c>
      <c r="J7687">
        <v>-200.815</v>
      </c>
      <c r="K7687">
        <v>1.1162939999999999</v>
      </c>
      <c r="L7687">
        <v>-57.713619999999999</v>
      </c>
      <c r="M7687">
        <v>0.83579749999999997</v>
      </c>
      <c r="N7687">
        <v>-1.464408E-2</v>
      </c>
      <c r="O7687">
        <v>0.54884250000000001</v>
      </c>
      <c r="P7687">
        <v>0.60761390000000004</v>
      </c>
      <c r="Q7687">
        <v>-3.9317770000000002E-2</v>
      </c>
      <c r="R7687">
        <v>0.79325880000000004</v>
      </c>
      <c r="S7687">
        <v>1.197586</v>
      </c>
      <c r="T7687">
        <v>-0.1367524</v>
      </c>
      <c r="U7687">
        <v>2.863251</v>
      </c>
      <c r="V7687">
        <v>-0.32913419999999999</v>
      </c>
      <c r="W7687">
        <v>-3.0452150000000001E-2</v>
      </c>
      <c r="X7687">
        <v>0.94379199999999996</v>
      </c>
      <c r="Y7687">
        <v>-0.5589269</v>
      </c>
      <c r="Z7687">
        <v>-1.1463910000000001E-3</v>
      </c>
      <c r="AA7687">
        <v>0.82921619999999996</v>
      </c>
      <c r="AB7687">
        <v>24</v>
      </c>
      <c r="AC7687">
        <v>0.29499999999998699</v>
      </c>
      <c r="AD7687">
        <v>-4.6164999999999998E-2</v>
      </c>
      <c r="AE7687">
        <v>0.88855000000000195</v>
      </c>
      <c r="AF7687">
        <v>-0.57939289262788796</v>
      </c>
      <c r="AG7687">
        <v>-4.6164999999999998E-2</v>
      </c>
      <c r="AH7687">
        <v>0.73253195086291101</v>
      </c>
      <c r="AI7687">
        <v>92.829758824556393</v>
      </c>
      <c r="AJ7687">
        <v>128.34207807714799</v>
      </c>
      <c r="AK7687">
        <v>0.93510982792810704</v>
      </c>
      <c r="AL7687">
        <v>91.7450494550786</v>
      </c>
      <c r="AM7687">
        <v>109.22549990380701</v>
      </c>
      <c r="AN7687">
        <v>0.99999999715663102</v>
      </c>
    </row>
    <row r="7688" spans="1:40" x14ac:dyDescent="0.25">
      <c r="A7688" t="str">
        <f>"20190305135111717"</f>
        <v>20190305135111717</v>
      </c>
      <c r="B7688" t="str">
        <f>"1551765071707347"</f>
        <v>1551765071707347</v>
      </c>
      <c r="C7688" t="s">
        <v>40</v>
      </c>
      <c r="D7688">
        <v>4.1470570000000002</v>
      </c>
      <c r="E7688">
        <v>0.3902465</v>
      </c>
      <c r="F7688" t="s">
        <v>41</v>
      </c>
      <c r="G7688">
        <v>-200.46520000000001</v>
      </c>
      <c r="H7688">
        <v>1.077691</v>
      </c>
      <c r="I7688">
        <v>-56.825310000000002</v>
      </c>
      <c r="J7688">
        <v>-200.72020000000001</v>
      </c>
      <c r="K7688">
        <v>1.1162890000000001</v>
      </c>
      <c r="L7688">
        <v>-57.645229999999998</v>
      </c>
      <c r="M7688">
        <v>0.83318530000000002</v>
      </c>
      <c r="N7688">
        <v>-1.4638669999999999E-2</v>
      </c>
      <c r="O7688">
        <v>0.55280019999999996</v>
      </c>
      <c r="P7688">
        <v>0.60371169999999996</v>
      </c>
      <c r="Q7688">
        <v>-3.906461E-2</v>
      </c>
      <c r="R7688">
        <v>0.79624499999999998</v>
      </c>
      <c r="S7688">
        <v>1.1418299999999999</v>
      </c>
      <c r="T7688">
        <v>-0.1260502</v>
      </c>
      <c r="U7688">
        <v>2.9010009999999999</v>
      </c>
      <c r="V7688">
        <v>-0.32930680000000001</v>
      </c>
      <c r="W7688">
        <v>-3.020128E-2</v>
      </c>
      <c r="X7688">
        <v>0.94373980000000002</v>
      </c>
      <c r="Y7688">
        <v>-0.57249749999999999</v>
      </c>
      <c r="Z7688">
        <v>1.813788E-4</v>
      </c>
      <c r="AA7688">
        <v>0.81990649999999998</v>
      </c>
      <c r="AB7688">
        <v>24</v>
      </c>
      <c r="AC7688">
        <v>0.25499999999999501</v>
      </c>
      <c r="AD7688">
        <v>-3.8597999999999903E-2</v>
      </c>
      <c r="AE7688">
        <v>0.81992000000000997</v>
      </c>
      <c r="AF7688">
        <v>-0.54114585455086095</v>
      </c>
      <c r="AG7688">
        <v>-3.8597999999999903E-2</v>
      </c>
      <c r="AH7688">
        <v>0.66444289905769505</v>
      </c>
      <c r="AI7688">
        <v>92.578994202136698</v>
      </c>
      <c r="AJ7688">
        <v>129.160592597234</v>
      </c>
      <c r="AK7688">
        <v>0.85779543459368901</v>
      </c>
      <c r="AL7688">
        <v>91.730669133521204</v>
      </c>
      <c r="AM7688">
        <v>109.235827186816</v>
      </c>
      <c r="AN7688">
        <v>0.99999994797195702</v>
      </c>
    </row>
    <row r="7689" spans="1:40" x14ac:dyDescent="0.25">
      <c r="A7689" t="str">
        <f>"20190305135111729"</f>
        <v>20190305135111729</v>
      </c>
      <c r="B7689" t="str">
        <f>"1551765071717740"</f>
        <v>1551765071717740</v>
      </c>
      <c r="C7689" t="s">
        <v>40</v>
      </c>
      <c r="D7689">
        <v>4.1115269999999997</v>
      </c>
      <c r="E7689">
        <v>0.389907</v>
      </c>
      <c r="F7689" t="s">
        <v>41</v>
      </c>
      <c r="G7689">
        <v>-200.3586</v>
      </c>
      <c r="H7689">
        <v>1.078533</v>
      </c>
      <c r="I7689">
        <v>-56.696899999999999</v>
      </c>
      <c r="J7689">
        <v>-200.61969999999999</v>
      </c>
      <c r="K7689">
        <v>1.1162840000000001</v>
      </c>
      <c r="L7689">
        <v>-57.572200000000002</v>
      </c>
      <c r="M7689">
        <v>0.83038619999999996</v>
      </c>
      <c r="N7689">
        <v>-1.4633119999999999E-2</v>
      </c>
      <c r="O7689">
        <v>0.55699609999999899</v>
      </c>
      <c r="P7689">
        <v>0.59961219999999904</v>
      </c>
      <c r="Q7689">
        <v>-3.9114019999999999E-2</v>
      </c>
      <c r="R7689">
        <v>0.79933430000000005</v>
      </c>
      <c r="S7689">
        <v>1.1128690000000001</v>
      </c>
      <c r="T7689">
        <v>-0.1161891</v>
      </c>
      <c r="U7689">
        <v>2.9182130000000002</v>
      </c>
      <c r="V7689">
        <v>-0.3293932</v>
      </c>
      <c r="W7689">
        <v>-3.025139E-2</v>
      </c>
      <c r="X7689">
        <v>0.94370810000000005</v>
      </c>
      <c r="Y7689">
        <v>-0.57711250000000003</v>
      </c>
      <c r="Z7689">
        <v>1.1080700000000001E-3</v>
      </c>
      <c r="AA7689">
        <v>0.8166639</v>
      </c>
      <c r="AB7689">
        <v>24</v>
      </c>
      <c r="AC7689">
        <v>0.261099999999999</v>
      </c>
      <c r="AD7689">
        <v>-3.7751E-2</v>
      </c>
      <c r="AE7689">
        <v>0.87530000000000197</v>
      </c>
      <c r="AF7689">
        <v>-0.58047607726934503</v>
      </c>
      <c r="AG7689">
        <v>-3.7751E-2</v>
      </c>
      <c r="AH7689">
        <v>0.703226730229351</v>
      </c>
      <c r="AI7689">
        <v>92.370703104873499</v>
      </c>
      <c r="AJ7689">
        <v>129.53785164195199</v>
      </c>
      <c r="AK7689">
        <v>0.912636536849184</v>
      </c>
      <c r="AL7689">
        <v>91.733541443251795</v>
      </c>
      <c r="AM7689">
        <v>109.241101965767</v>
      </c>
      <c r="AN7689">
        <v>1.00000000240439</v>
      </c>
    </row>
    <row r="7690" spans="1:40" x14ac:dyDescent="0.25">
      <c r="A7690" t="str">
        <f>"20190305135111740"</f>
        <v>20190305135111740</v>
      </c>
      <c r="B7690" t="str">
        <f>"1551765071737260"</f>
        <v>1551765071737260</v>
      </c>
      <c r="C7690" t="s">
        <v>40</v>
      </c>
      <c r="D7690">
        <v>4.11721</v>
      </c>
      <c r="E7690">
        <v>0.39022829999999997</v>
      </c>
      <c r="F7690" t="s">
        <v>42</v>
      </c>
      <c r="G7690">
        <v>-189.96109999999999</v>
      </c>
      <c r="H7690" s="1">
        <v>-5.4614509999999996E-7</v>
      </c>
      <c r="I7690">
        <v>-29.11365</v>
      </c>
      <c r="J7690">
        <v>-200.5291</v>
      </c>
      <c r="K7690">
        <v>1.116274</v>
      </c>
      <c r="L7690">
        <v>-57.505310000000001</v>
      </c>
      <c r="M7690">
        <v>0.82782880000000003</v>
      </c>
      <c r="N7690">
        <v>-1.4628499999999999E-2</v>
      </c>
      <c r="O7690">
        <v>0.56079009999999996</v>
      </c>
      <c r="P7690">
        <v>0.59582669999999904</v>
      </c>
      <c r="Q7690">
        <v>-3.9220049999999999E-2</v>
      </c>
      <c r="R7690">
        <v>0.80215479999999995</v>
      </c>
      <c r="S7690">
        <v>1.0957030000000001</v>
      </c>
      <c r="T7690">
        <v>-0.11475399999999999</v>
      </c>
      <c r="U7690">
        <v>2.9255369999999998</v>
      </c>
      <c r="V7690">
        <v>-0.32953070000000001</v>
      </c>
      <c r="W7690">
        <v>-3.03596E-2</v>
      </c>
      <c r="X7690">
        <v>0.94365659999999896</v>
      </c>
      <c r="Y7690">
        <v>-0.57825559999999998</v>
      </c>
      <c r="Z7690">
        <v>1.1488080000000001E-3</v>
      </c>
      <c r="AA7690">
        <v>0.81585490000000005</v>
      </c>
      <c r="AB7690">
        <v>24</v>
      </c>
      <c r="AC7690">
        <v>10.568</v>
      </c>
      <c r="AD7690">
        <v>-1.1162745461451</v>
      </c>
      <c r="AE7690">
        <v>28.391659999999899</v>
      </c>
      <c r="AF7690">
        <v>-17.555049821896699</v>
      </c>
      <c r="AG7690">
        <v>-1.1162745461451</v>
      </c>
      <c r="AH7690">
        <v>24.639442685031401</v>
      </c>
      <c r="AI7690">
        <v>92.113096095250597</v>
      </c>
      <c r="AJ7690">
        <v>125.46901908542399</v>
      </c>
      <c r="AK7690">
        <v>30.274213101922101</v>
      </c>
      <c r="AL7690">
        <v>91.739744302131101</v>
      </c>
      <c r="AM7690">
        <v>109.24951633770701</v>
      </c>
      <c r="AN7690">
        <v>0.99999998313910399</v>
      </c>
    </row>
    <row r="7691" spans="1:40" x14ac:dyDescent="0.25">
      <c r="A7691" t="str">
        <f>"20190305135111758"</f>
        <v>20190305135111758</v>
      </c>
      <c r="B7691" t="str">
        <f>"1551765071747020"</f>
        <v>1551765071747020</v>
      </c>
      <c r="C7691" t="s">
        <v>40</v>
      </c>
      <c r="D7691">
        <v>4.11416</v>
      </c>
      <c r="E7691">
        <v>0.39056360000000001</v>
      </c>
      <c r="F7691" t="s">
        <v>41</v>
      </c>
      <c r="G7691">
        <v>-200.16650000000001</v>
      </c>
      <c r="H7691">
        <v>1.07834599999999</v>
      </c>
      <c r="I7691">
        <v>-56.525680000000001</v>
      </c>
      <c r="J7691">
        <v>-200.37520000000001</v>
      </c>
      <c r="K7691">
        <v>1.1162700000000001</v>
      </c>
      <c r="L7691">
        <v>-57.390560000000001</v>
      </c>
      <c r="M7691">
        <v>0.82342610000000005</v>
      </c>
      <c r="N7691">
        <v>-1.4621179999999999E-2</v>
      </c>
      <c r="O7691">
        <v>0.56723519999999905</v>
      </c>
      <c r="P7691">
        <v>0.58940680000000001</v>
      </c>
      <c r="Q7691">
        <v>-3.9423680000000003E-2</v>
      </c>
      <c r="R7691">
        <v>0.80687390000000003</v>
      </c>
      <c r="S7691">
        <v>1.0840299999999901</v>
      </c>
      <c r="T7691">
        <v>-0.113397499999999</v>
      </c>
      <c r="U7691">
        <v>2.9291689999999999</v>
      </c>
      <c r="V7691">
        <v>-0.32968389999999997</v>
      </c>
      <c r="W7691">
        <v>-3.056582E-2</v>
      </c>
      <c r="X7691">
        <v>0.94359649999999995</v>
      </c>
      <c r="Y7691">
        <v>-0.57508090000000001</v>
      </c>
      <c r="Z7691">
        <v>9.6858570000000002E-4</v>
      </c>
      <c r="AA7691">
        <v>0.81809600000000005</v>
      </c>
      <c r="AB7691">
        <v>24</v>
      </c>
      <c r="AC7691">
        <v>0.208699999999993</v>
      </c>
      <c r="AD7691">
        <v>-3.7924000000000201E-2</v>
      </c>
      <c r="AE7691">
        <v>0.86487999999999898</v>
      </c>
      <c r="AF7691">
        <v>-0.59276921293623497</v>
      </c>
      <c r="AG7691">
        <v>-3.7924000000000201E-2</v>
      </c>
      <c r="AH7691">
        <v>0.66130864622026397</v>
      </c>
      <c r="AI7691">
        <v>92.445208209421907</v>
      </c>
      <c r="AJ7691">
        <v>131.87171155528799</v>
      </c>
      <c r="AK7691">
        <v>0.88889971039860405</v>
      </c>
      <c r="AL7691">
        <v>91.751565208623205</v>
      </c>
      <c r="AM7691">
        <v>109.25894296361101</v>
      </c>
      <c r="AN7691">
        <v>1.0000000490418599</v>
      </c>
    </row>
    <row r="7692" spans="1:40" x14ac:dyDescent="0.25">
      <c r="A7692" t="str">
        <f>"20190305135111771"</f>
        <v>20190305135111771</v>
      </c>
      <c r="B7692" t="str">
        <f>"1551765071767516"</f>
        <v>1551765071767516</v>
      </c>
      <c r="C7692" t="s">
        <v>40</v>
      </c>
      <c r="D7692">
        <v>4.1052679999999997</v>
      </c>
      <c r="E7692">
        <v>0.39107619999999998</v>
      </c>
      <c r="F7692" t="s">
        <v>41</v>
      </c>
      <c r="G7692">
        <v>-200.01949999999999</v>
      </c>
      <c r="H7692">
        <v>1.0785450000000001</v>
      </c>
      <c r="I7692">
        <v>-56.408019999999901</v>
      </c>
      <c r="J7692">
        <v>-200.274</v>
      </c>
      <c r="K7692">
        <v>1.116268</v>
      </c>
      <c r="L7692">
        <v>-57.314390000000003</v>
      </c>
      <c r="M7692">
        <v>0.82049380000000005</v>
      </c>
      <c r="N7692">
        <v>-1.461675E-2</v>
      </c>
      <c r="O7692">
        <v>0.57146850000000005</v>
      </c>
      <c r="P7692">
        <v>0.58507880000000001</v>
      </c>
      <c r="Q7692">
        <v>-3.9306859999999999E-2</v>
      </c>
      <c r="R7692">
        <v>0.81002339999999995</v>
      </c>
      <c r="S7692">
        <v>1.062759</v>
      </c>
      <c r="T7692">
        <v>-0.112744</v>
      </c>
      <c r="U7692">
        <v>2.9362490000000001</v>
      </c>
      <c r="V7692">
        <v>-0.32988200000000001</v>
      </c>
      <c r="W7692">
        <v>-3.045287E-2</v>
      </c>
      <c r="X7692">
        <v>0.94353089999999995</v>
      </c>
      <c r="Y7692">
        <v>-0.57673839999999998</v>
      </c>
      <c r="Z7692">
        <v>9.3514010000000003E-4</v>
      </c>
      <c r="AA7692">
        <v>0.8169284</v>
      </c>
      <c r="AB7692">
        <v>24</v>
      </c>
      <c r="AC7692">
        <v>0.254500000000007</v>
      </c>
      <c r="AD7692">
        <v>-3.7722999999999902E-2</v>
      </c>
      <c r="AE7692">
        <v>0.906370000000009</v>
      </c>
      <c r="AF7692">
        <v>-0.59733705997801301</v>
      </c>
      <c r="AG7692">
        <v>-3.7722999999999902E-2</v>
      </c>
      <c r="AH7692">
        <v>0.72569005373456597</v>
      </c>
      <c r="AI7692">
        <v>92.298306208500307</v>
      </c>
      <c r="AJ7692">
        <v>129.458811651448</v>
      </c>
      <c r="AK7692">
        <v>0.94067031527600198</v>
      </c>
      <c r="AL7692">
        <v>91.745090660710602</v>
      </c>
      <c r="AM7692">
        <v>109.27090334425</v>
      </c>
      <c r="AN7692">
        <v>1.00000003523502</v>
      </c>
    </row>
    <row r="7693" spans="1:40" x14ac:dyDescent="0.25">
      <c r="A7693" t="str">
        <f>"20190305135111783"</f>
        <v>20190305135111783</v>
      </c>
      <c r="B7693" t="str">
        <f>"1551765071777277"</f>
        <v>1551765071777277</v>
      </c>
      <c r="C7693" t="s">
        <v>40</v>
      </c>
      <c r="D7693">
        <v>4.0686369999999998</v>
      </c>
      <c r="E7693">
        <v>0.39124520000000002</v>
      </c>
      <c r="F7693" t="s">
        <v>42</v>
      </c>
      <c r="G7693">
        <v>-189.90039999999999</v>
      </c>
      <c r="H7693" s="1">
        <v>-9.1315039999999996E-7</v>
      </c>
      <c r="I7693">
        <v>-28.279820000000001</v>
      </c>
      <c r="J7693">
        <v>-200.1678</v>
      </c>
      <c r="K7693">
        <v>1.1162650000000001</v>
      </c>
      <c r="L7693">
        <v>-57.232939999999999</v>
      </c>
      <c r="M7693">
        <v>0.81736350000000002</v>
      </c>
      <c r="N7693">
        <v>-1.461254E-2</v>
      </c>
      <c r="O7693">
        <v>0.57593709999999998</v>
      </c>
      <c r="P7693">
        <v>0.58045150000000001</v>
      </c>
      <c r="Q7693">
        <v>-3.9063550000000002E-2</v>
      </c>
      <c r="R7693">
        <v>0.81335740000000001</v>
      </c>
      <c r="S7693">
        <v>1.0502469999999999</v>
      </c>
      <c r="T7693">
        <v>-0.11301310000000001</v>
      </c>
      <c r="U7693">
        <v>2.939514</v>
      </c>
      <c r="V7693">
        <v>-0.33012599999999998</v>
      </c>
      <c r="W7693">
        <v>-3.021482E-2</v>
      </c>
      <c r="X7693">
        <v>0.94345319999999999</v>
      </c>
      <c r="Y7693">
        <v>-0.57565219999999995</v>
      </c>
      <c r="Z7693">
        <v>7.2333450000000002E-4</v>
      </c>
      <c r="AA7693">
        <v>0.81769429999999999</v>
      </c>
      <c r="AB7693">
        <v>24</v>
      </c>
      <c r="AC7693">
        <v>10.2674</v>
      </c>
      <c r="AD7693">
        <v>-1.1162659131504</v>
      </c>
      <c r="AE7693">
        <v>28.953119999999998</v>
      </c>
      <c r="AF7693">
        <v>-17.730330200828298</v>
      </c>
      <c r="AG7693">
        <v>-1.1162659131504</v>
      </c>
      <c r="AH7693">
        <v>25.036990222502499</v>
      </c>
      <c r="AI7693">
        <v>92.083791309925303</v>
      </c>
      <c r="AJ7693">
        <v>125.304805774774</v>
      </c>
      <c r="AK7693">
        <v>30.699536446352901</v>
      </c>
      <c r="AL7693">
        <v>91.731445137639497</v>
      </c>
      <c r="AM7693">
        <v>109.285576163133</v>
      </c>
      <c r="AN7693">
        <v>1.0000000259069299</v>
      </c>
    </row>
    <row r="7694" spans="1:40" x14ac:dyDescent="0.25">
      <c r="A7694" t="str">
        <f>"20190305135111794"</f>
        <v>20190305135111794</v>
      </c>
      <c r="B7694" t="str">
        <f>"1551765071787036"</f>
        <v>1551765071787036</v>
      </c>
      <c r="C7694" t="s">
        <v>40</v>
      </c>
      <c r="D7694">
        <v>4.103046</v>
      </c>
      <c r="E7694">
        <v>0.39138070000000003</v>
      </c>
      <c r="F7694" t="s">
        <v>42</v>
      </c>
      <c r="G7694">
        <v>-189.85300000000001</v>
      </c>
      <c r="H7694" s="1">
        <v>-1.096353E-6</v>
      </c>
      <c r="I7694">
        <v>-27.872389999999999</v>
      </c>
      <c r="J7694">
        <v>-200.0779</v>
      </c>
      <c r="K7694">
        <v>1.1162669999999999</v>
      </c>
      <c r="L7694">
        <v>-57.163640000000001</v>
      </c>
      <c r="M7694">
        <v>0.81468940000000001</v>
      </c>
      <c r="N7694">
        <v>-1.460912E-2</v>
      </c>
      <c r="O7694">
        <v>0.57971359999999905</v>
      </c>
      <c r="P7694">
        <v>0.57663160000000002</v>
      </c>
      <c r="Q7694">
        <v>-3.8911540000000001E-2</v>
      </c>
      <c r="R7694">
        <v>0.8160771</v>
      </c>
      <c r="S7694">
        <v>1.0345310000000001</v>
      </c>
      <c r="T7694">
        <v>-0.1119566</v>
      </c>
      <c r="U7694">
        <v>2.9447329999999998</v>
      </c>
      <c r="V7694">
        <v>-0.33019130000000002</v>
      </c>
      <c r="W7694">
        <v>-3.006466E-2</v>
      </c>
      <c r="X7694">
        <v>0.94343509999999997</v>
      </c>
      <c r="Y7694">
        <v>-0.57620939999999998</v>
      </c>
      <c r="Z7694">
        <v>7.1892750000000002E-4</v>
      </c>
      <c r="AA7694">
        <v>0.81730179999999997</v>
      </c>
      <c r="AB7694">
        <v>24</v>
      </c>
      <c r="AC7694">
        <v>10.2249</v>
      </c>
      <c r="AD7694">
        <v>-1.1162680963529901</v>
      </c>
      <c r="AE7694">
        <v>29.291250000000002</v>
      </c>
      <c r="AF7694">
        <v>-17.914479167480099</v>
      </c>
      <c r="AG7694">
        <v>-1.1162680963529901</v>
      </c>
      <c r="AH7694">
        <v>25.2806262732683</v>
      </c>
      <c r="AI7694">
        <v>92.063283965951001</v>
      </c>
      <c r="AJ7694">
        <v>125.32233289656401</v>
      </c>
      <c r="AK7694">
        <v>31.004591322474798</v>
      </c>
      <c r="AL7694">
        <v>91.722837766891601</v>
      </c>
      <c r="AM7694">
        <v>109.289451891599</v>
      </c>
      <c r="AN7694">
        <v>0.99999998314430705</v>
      </c>
    </row>
    <row r="7695" spans="1:40" x14ac:dyDescent="0.25">
      <c r="A7695" t="str">
        <f>"20190305135111805"</f>
        <v>20190305135111805</v>
      </c>
      <c r="B7695" t="str">
        <f>"1551765071797772"</f>
        <v>1551765071797772</v>
      </c>
      <c r="C7695" t="s">
        <v>40</v>
      </c>
      <c r="D7695">
        <v>4.086443</v>
      </c>
      <c r="E7695">
        <v>0.39190989999999998</v>
      </c>
      <c r="F7695" t="s">
        <v>41</v>
      </c>
      <c r="G7695">
        <v>-199.73419999999999</v>
      </c>
      <c r="H7695">
        <v>1.0785880000000001</v>
      </c>
      <c r="I7695">
        <v>-56.171410000000002</v>
      </c>
      <c r="J7695">
        <v>-199.98330000000001</v>
      </c>
      <c r="K7695">
        <v>1.1162650000000001</v>
      </c>
      <c r="L7695">
        <v>-57.089869999999998</v>
      </c>
      <c r="M7695">
        <v>0.81184069999999997</v>
      </c>
      <c r="N7695">
        <v>-1.4605740000000001E-2</v>
      </c>
      <c r="O7695">
        <v>0.5836964</v>
      </c>
      <c r="P7695">
        <v>0.57256580000000001</v>
      </c>
      <c r="Q7695">
        <v>-3.8654790000000001E-2</v>
      </c>
      <c r="R7695">
        <v>0.81894699999999998</v>
      </c>
      <c r="S7695">
        <v>1.021698</v>
      </c>
      <c r="T7695">
        <v>-0.111981399999999</v>
      </c>
      <c r="U7695">
        <v>2.9488530000000002</v>
      </c>
      <c r="V7695">
        <v>-0.33027709999999999</v>
      </c>
      <c r="W7695">
        <v>-2.9810449999999999E-2</v>
      </c>
      <c r="X7695">
        <v>0.9434131</v>
      </c>
      <c r="Y7695">
        <v>-0.57573719999999995</v>
      </c>
      <c r="Z7695">
        <v>5.6894729999999998E-4</v>
      </c>
      <c r="AA7695">
        <v>0.81763469999999905</v>
      </c>
      <c r="AB7695">
        <v>24</v>
      </c>
      <c r="AC7695">
        <v>0.249100000000026</v>
      </c>
      <c r="AD7695">
        <v>-3.7677000000000099E-2</v>
      </c>
      <c r="AE7695">
        <v>0.91846000000000305</v>
      </c>
      <c r="AF7695">
        <v>-0.59936892028793098</v>
      </c>
      <c r="AG7695">
        <v>-3.7677000000000099E-2</v>
      </c>
      <c r="AH7695">
        <v>0.73725438477029503</v>
      </c>
      <c r="AI7695">
        <v>92.270799512756696</v>
      </c>
      <c r="AJ7695">
        <v>129.11022673749099</v>
      </c>
      <c r="AK7695">
        <v>0.95089783194576005</v>
      </c>
      <c r="AL7695">
        <v>91.708266129143496</v>
      </c>
      <c r="AM7695">
        <v>109.294510540448</v>
      </c>
      <c r="AN7695">
        <v>0.99999995148261001</v>
      </c>
    </row>
    <row r="7696" spans="1:40" x14ac:dyDescent="0.25">
      <c r="A7696" t="str">
        <f>"20190305135111817"</f>
        <v>20190305135111817</v>
      </c>
      <c r="B7696" t="str">
        <f>"1551765071807532"</f>
        <v>1551765071807532</v>
      </c>
      <c r="C7696" t="s">
        <v>40</v>
      </c>
      <c r="D7696">
        <v>4.1246970000000003</v>
      </c>
      <c r="E7696">
        <v>0.39232460000000002</v>
      </c>
      <c r="F7696" t="s">
        <v>42</v>
      </c>
      <c r="G7696">
        <v>-190.26249999999999</v>
      </c>
      <c r="H7696" s="1">
        <v>-8.0179999999999999E-7</v>
      </c>
      <c r="I7696">
        <v>-28.704650000000001</v>
      </c>
      <c r="J7696">
        <v>-199.8854</v>
      </c>
      <c r="K7696">
        <v>1.1162639999999999</v>
      </c>
      <c r="L7696">
        <v>-57.012540000000001</v>
      </c>
      <c r="M7696">
        <v>0.80885069999999903</v>
      </c>
      <c r="N7696">
        <v>-1.4602540000000001E-2</v>
      </c>
      <c r="O7696">
        <v>0.58783269999999999</v>
      </c>
      <c r="P7696">
        <v>0.56848940000000003</v>
      </c>
      <c r="Q7696">
        <v>-3.8069779999999998E-2</v>
      </c>
      <c r="R7696">
        <v>0.82180929999999996</v>
      </c>
      <c r="S7696">
        <v>1.0106660000000001</v>
      </c>
      <c r="T7696">
        <v>-0.1160566</v>
      </c>
      <c r="U7696">
        <v>2.9511720000000001</v>
      </c>
      <c r="V7696">
        <v>-0.33018069999999999</v>
      </c>
      <c r="W7696">
        <v>-2.922464E-2</v>
      </c>
      <c r="X7696">
        <v>0.9434652</v>
      </c>
      <c r="Y7696">
        <v>-0.57448429999999995</v>
      </c>
      <c r="Z7696" s="1">
        <v>-4.3065290000000002E-5</v>
      </c>
      <c r="AA7696">
        <v>0.81851549999999995</v>
      </c>
      <c r="AB7696">
        <v>24</v>
      </c>
      <c r="AC7696">
        <v>9.6229000000000102</v>
      </c>
      <c r="AD7696">
        <v>-1.1162648018000001</v>
      </c>
      <c r="AE7696">
        <v>28.30789</v>
      </c>
      <c r="AF7696">
        <v>-17.2180399811974</v>
      </c>
      <c r="AG7696">
        <v>-1.1162648018000001</v>
      </c>
      <c r="AH7696">
        <v>24.3923973100792</v>
      </c>
      <c r="AI7696">
        <v>92.141110863578206</v>
      </c>
      <c r="AJ7696">
        <v>125.217400406834</v>
      </c>
      <c r="AK7696">
        <v>29.878018582807801</v>
      </c>
      <c r="AL7696">
        <v>91.674687008800305</v>
      </c>
      <c r="AM7696">
        <v>109.288308456198</v>
      </c>
      <c r="AN7696">
        <v>0.99999997892332904</v>
      </c>
    </row>
    <row r="7697" spans="1:40" x14ac:dyDescent="0.25">
      <c r="A7697" t="str">
        <f>"20190305135111828"</f>
        <v>20190305135111828</v>
      </c>
      <c r="B7697" t="str">
        <f>"1551765071817027"</f>
        <v>1551765071817027</v>
      </c>
      <c r="C7697" t="s">
        <v>40</v>
      </c>
      <c r="D7697">
        <v>4.1215460000000004</v>
      </c>
      <c r="E7697">
        <v>0.39281050000000001</v>
      </c>
      <c r="F7697" t="s">
        <v>41</v>
      </c>
      <c r="G7697">
        <v>-199.55260000000001</v>
      </c>
      <c r="H7697">
        <v>1.0785549999999999</v>
      </c>
      <c r="I7697">
        <v>-56.028509999999997</v>
      </c>
      <c r="J7697">
        <v>-199.79499999999999</v>
      </c>
      <c r="K7697">
        <v>1.116266</v>
      </c>
      <c r="L7697">
        <v>-56.940829999999998</v>
      </c>
      <c r="M7697">
        <v>0.80606650000000002</v>
      </c>
      <c r="N7697">
        <v>-1.459975E-2</v>
      </c>
      <c r="O7697">
        <v>0.59164490000000003</v>
      </c>
      <c r="P7697">
        <v>0.56442910000000002</v>
      </c>
      <c r="Q7697">
        <v>-3.7752689999999998E-2</v>
      </c>
      <c r="R7697">
        <v>0.82461790000000001</v>
      </c>
      <c r="S7697">
        <v>0.99861149999999999</v>
      </c>
      <c r="T7697">
        <v>-0.1131979</v>
      </c>
      <c r="U7697">
        <v>2.954437</v>
      </c>
      <c r="V7697">
        <v>-0.33039600000000002</v>
      </c>
      <c r="W7697">
        <v>-2.8913290000000001E-2</v>
      </c>
      <c r="X7697">
        <v>0.9433994</v>
      </c>
      <c r="Y7697">
        <v>-0.57390149999999995</v>
      </c>
      <c r="Z7697">
        <v>1.122928E-4</v>
      </c>
      <c r="AA7697">
        <v>0.8189244</v>
      </c>
      <c r="AB7697">
        <v>24</v>
      </c>
      <c r="AC7697">
        <v>0.242399999999975</v>
      </c>
      <c r="AD7697">
        <v>-3.7711000000000001E-2</v>
      </c>
      <c r="AE7697">
        <v>0.91232000000000801</v>
      </c>
      <c r="AF7697">
        <v>-0.591095600139529</v>
      </c>
      <c r="AG7697">
        <v>-3.7711000000000001E-2</v>
      </c>
      <c r="AH7697">
        <v>0.734066815247991</v>
      </c>
      <c r="AI7697">
        <v>92.291352600224897</v>
      </c>
      <c r="AJ7697">
        <v>128.842201344573</v>
      </c>
      <c r="AK7697">
        <v>0.94322331251599101</v>
      </c>
      <c r="AL7697">
        <v>91.656840454396701</v>
      </c>
      <c r="AM7697">
        <v>109.30120253515101</v>
      </c>
      <c r="AN7697">
        <v>0.99999996153749104</v>
      </c>
    </row>
    <row r="7698" spans="1:40" x14ac:dyDescent="0.25">
      <c r="A7698" t="str">
        <f>"20190305135111843"</f>
        <v>20190305135111843</v>
      </c>
      <c r="B7698" t="str">
        <f>"1551765071837503"</f>
        <v>1551765071837503</v>
      </c>
      <c r="C7698" t="s">
        <v>40</v>
      </c>
      <c r="D7698">
        <v>4.1083109999999996</v>
      </c>
      <c r="E7698">
        <v>0.39333370000000001</v>
      </c>
      <c r="F7698" t="s">
        <v>42</v>
      </c>
      <c r="G7698">
        <v>-190.321</v>
      </c>
      <c r="H7698" s="1">
        <v>-8.7665499999999898E-7</v>
      </c>
      <c r="I7698">
        <v>-28.56644</v>
      </c>
      <c r="J7698">
        <v>-199.68100000000001</v>
      </c>
      <c r="K7698">
        <v>1.116266</v>
      </c>
      <c r="L7698">
        <v>-56.848820000000003</v>
      </c>
      <c r="M7698">
        <v>0.80249599999999999</v>
      </c>
      <c r="N7698">
        <v>-1.4596690000000001E-2</v>
      </c>
      <c r="O7698">
        <v>0.59647899999999998</v>
      </c>
      <c r="P7698">
        <v>0.55939609999999995</v>
      </c>
      <c r="Q7698">
        <v>-3.7542640000000002E-2</v>
      </c>
      <c r="R7698">
        <v>0.82804979999999995</v>
      </c>
      <c r="S7698">
        <v>0.98730469999999904</v>
      </c>
      <c r="T7698">
        <v>-0.1163279</v>
      </c>
      <c r="U7698">
        <v>2.9569399999999999</v>
      </c>
      <c r="V7698">
        <v>-0.33048260000000002</v>
      </c>
      <c r="W7698">
        <v>-2.87076E-2</v>
      </c>
      <c r="X7698">
        <v>0.94337539999999998</v>
      </c>
      <c r="Y7698">
        <v>-0.57199659999999997</v>
      </c>
      <c r="Z7698">
        <v>-4.5500230000000003E-4</v>
      </c>
      <c r="AA7698">
        <v>0.82025590000000004</v>
      </c>
      <c r="AB7698">
        <v>24</v>
      </c>
      <c r="AC7698">
        <v>9.3599999999999799</v>
      </c>
      <c r="AD7698">
        <v>-1.1162668766549999</v>
      </c>
      <c r="AE7698">
        <v>28.28238</v>
      </c>
      <c r="AF7698">
        <v>-17.091279899768701</v>
      </c>
      <c r="AG7698">
        <v>-1.1162668766549999</v>
      </c>
      <c r="AH7698">
        <v>24.349618167979401</v>
      </c>
      <c r="AI7698">
        <v>92.148876583379902</v>
      </c>
      <c r="AJ7698">
        <v>125.06546270868</v>
      </c>
      <c r="AK7698">
        <v>29.770149567621399</v>
      </c>
      <c r="AL7698">
        <v>91.645050310718304</v>
      </c>
      <c r="AM7698">
        <v>109.306342101352</v>
      </c>
      <c r="AN7698">
        <v>1.0000000102628399</v>
      </c>
    </row>
    <row r="7699" spans="1:40" x14ac:dyDescent="0.25">
      <c r="A7699" t="str">
        <f>"20190305135111859"</f>
        <v>20190305135111859</v>
      </c>
      <c r="B7699" t="str">
        <f>"1551765071857021"</f>
        <v>1551765071857021</v>
      </c>
      <c r="C7699" t="s">
        <v>40</v>
      </c>
      <c r="D7699">
        <v>4.1122339999999999</v>
      </c>
      <c r="E7699">
        <v>0.39386599999999999</v>
      </c>
      <c r="F7699" t="s">
        <v>42</v>
      </c>
      <c r="G7699">
        <v>-190.06989999999999</v>
      </c>
      <c r="H7699" s="1">
        <v>-1.227227E-6</v>
      </c>
      <c r="I7699">
        <v>-27.593530000000001</v>
      </c>
      <c r="J7699">
        <v>-199.54069999999999</v>
      </c>
      <c r="K7699">
        <v>1.1162639999999999</v>
      </c>
      <c r="L7699">
        <v>-56.734189999999998</v>
      </c>
      <c r="M7699">
        <v>0.79802959999999901</v>
      </c>
      <c r="N7699">
        <v>-1.4593389999999999E-2</v>
      </c>
      <c r="O7699">
        <v>0.60244149999999996</v>
      </c>
      <c r="P7699">
        <v>0.55314640000000004</v>
      </c>
      <c r="Q7699">
        <v>-3.7513919999999999E-2</v>
      </c>
      <c r="R7699">
        <v>0.83223899999999995</v>
      </c>
      <c r="S7699">
        <v>0.97268679999999996</v>
      </c>
      <c r="T7699">
        <v>-0.1129708</v>
      </c>
      <c r="U7699">
        <v>2.9607540000000001</v>
      </c>
      <c r="V7699">
        <v>-0.33055699999999999</v>
      </c>
      <c r="W7699">
        <v>-2.8684589999999999E-2</v>
      </c>
      <c r="X7699">
        <v>0.94335000000000002</v>
      </c>
      <c r="Y7699">
        <v>-0.56986490000000001</v>
      </c>
      <c r="Z7699">
        <v>-3.4951790000000002E-4</v>
      </c>
      <c r="AA7699">
        <v>0.82173839999999998</v>
      </c>
      <c r="AB7699">
        <v>24</v>
      </c>
      <c r="AC7699">
        <v>9.4707999999999899</v>
      </c>
      <c r="AD7699">
        <v>-1.1162652272269999</v>
      </c>
      <c r="AE7699">
        <v>29.14066</v>
      </c>
      <c r="AF7699">
        <v>-17.528112744593301</v>
      </c>
      <c r="AG7699">
        <v>-1.1162652272269999</v>
      </c>
      <c r="AH7699">
        <v>25.082907283079699</v>
      </c>
      <c r="AI7699">
        <v>92.089150944383604</v>
      </c>
      <c r="AJ7699">
        <v>124.94612179152099</v>
      </c>
      <c r="AK7699">
        <v>30.620793951435399</v>
      </c>
      <c r="AL7699">
        <v>91.643731442720807</v>
      </c>
      <c r="AM7699">
        <v>109.310848193887</v>
      </c>
      <c r="AN7699">
        <v>0.99999997922623296</v>
      </c>
    </row>
    <row r="7700" spans="1:40" x14ac:dyDescent="0.25">
      <c r="A7700" t="str">
        <f>"20190305135111874"</f>
        <v>20190305135111874</v>
      </c>
      <c r="B7700" t="str">
        <f>"1551765071867757"</f>
        <v>1551765071867757</v>
      </c>
      <c r="C7700" t="s">
        <v>40</v>
      </c>
      <c r="D7700">
        <v>4.0953350000000004</v>
      </c>
      <c r="E7700">
        <v>0.3944607</v>
      </c>
      <c r="F7700" t="s">
        <v>41</v>
      </c>
      <c r="G7700">
        <v>-199.21260000000001</v>
      </c>
      <c r="H7700">
        <v>1.0780289999999999</v>
      </c>
      <c r="I7700">
        <v>-55.71463</v>
      </c>
      <c r="J7700">
        <v>-199.43119999999999</v>
      </c>
      <c r="K7700">
        <v>1.116269</v>
      </c>
      <c r="L7700">
        <v>-56.643650000000001</v>
      </c>
      <c r="M7700">
        <v>0.79448839999999998</v>
      </c>
      <c r="N7700">
        <v>-1.459123E-2</v>
      </c>
      <c r="O7700">
        <v>0.60710419999999998</v>
      </c>
      <c r="P7700">
        <v>0.5480661</v>
      </c>
      <c r="Q7700">
        <v>-3.7423289999999998E-2</v>
      </c>
      <c r="R7700">
        <v>0.83559740000000005</v>
      </c>
      <c r="S7700">
        <v>0.95387270000000002</v>
      </c>
      <c r="T7700">
        <v>-0.1112049</v>
      </c>
      <c r="U7700">
        <v>2.9657589999999998</v>
      </c>
      <c r="V7700">
        <v>-0.33078449999999998</v>
      </c>
      <c r="W7700">
        <v>-2.860236E-2</v>
      </c>
      <c r="X7700">
        <v>0.94327280000000002</v>
      </c>
      <c r="Y7700">
        <v>-0.57018630000000003</v>
      </c>
      <c r="Z7700">
        <v>-3.0135639999999999E-4</v>
      </c>
      <c r="AA7700">
        <v>0.82151540000000001</v>
      </c>
      <c r="AB7700">
        <v>24</v>
      </c>
      <c r="AC7700">
        <v>0.21859999999998</v>
      </c>
      <c r="AD7700">
        <v>-3.8239999999999802E-2</v>
      </c>
      <c r="AE7700">
        <v>0.92901999999999396</v>
      </c>
      <c r="AF7700">
        <v>-0.60447659537160703</v>
      </c>
      <c r="AG7700">
        <v>-3.8239999999999802E-2</v>
      </c>
      <c r="AH7700">
        <v>0.73658305607928998</v>
      </c>
      <c r="AI7700">
        <v>92.298144778218202</v>
      </c>
      <c r="AJ7700">
        <v>129.37400081863001</v>
      </c>
      <c r="AK7700">
        <v>0.95362930452831396</v>
      </c>
      <c r="AL7700">
        <v>91.639017997055703</v>
      </c>
      <c r="AM7700">
        <v>109.324617991373</v>
      </c>
      <c r="AN7700">
        <v>1.0000000278288199</v>
      </c>
    </row>
    <row r="7701" spans="1:40" x14ac:dyDescent="0.25">
      <c r="A7701" t="str">
        <f>"20190305135111886"</f>
        <v>20190305135111886</v>
      </c>
      <c r="B7701" t="str">
        <f>"1551765071877518"</f>
        <v>1551765071877518</v>
      </c>
      <c r="C7701" t="s">
        <v>40</v>
      </c>
      <c r="D7701">
        <v>4.0989849999999999</v>
      </c>
      <c r="E7701">
        <v>0.39475110000000002</v>
      </c>
      <c r="F7701" t="s">
        <v>41</v>
      </c>
      <c r="G7701">
        <v>-199.11449999999999</v>
      </c>
      <c r="H7701">
        <v>1.0778449999999999</v>
      </c>
      <c r="I7701">
        <v>-55.643090000000001</v>
      </c>
      <c r="J7701">
        <v>-199.33090000000001</v>
      </c>
      <c r="K7701">
        <v>1.1162719999999999</v>
      </c>
      <c r="L7701">
        <v>-56.559690000000003</v>
      </c>
      <c r="M7701">
        <v>0.79119609999999996</v>
      </c>
      <c r="N7701">
        <v>-1.4589629999999999E-2</v>
      </c>
      <c r="O7701">
        <v>0.61138840000000005</v>
      </c>
      <c r="P7701">
        <v>0.54358629999999997</v>
      </c>
      <c r="Q7701">
        <v>-3.7550939999999998E-2</v>
      </c>
      <c r="R7701">
        <v>0.83851290000000001</v>
      </c>
      <c r="S7701">
        <v>0.93986510000000001</v>
      </c>
      <c r="T7701">
        <v>-0.114006</v>
      </c>
      <c r="U7701">
        <v>2.968658</v>
      </c>
      <c r="V7701">
        <v>-0.33072879999999999</v>
      </c>
      <c r="W7701">
        <v>-2.873291E-2</v>
      </c>
      <c r="X7701">
        <v>0.94328829999999997</v>
      </c>
      <c r="Y7701">
        <v>-0.56949309999999997</v>
      </c>
      <c r="Z7701">
        <v>-7.9686890000000004E-4</v>
      </c>
      <c r="AA7701">
        <v>0.82199580000000005</v>
      </c>
      <c r="AB7701">
        <v>24</v>
      </c>
      <c r="AC7701">
        <v>0.21640000000002099</v>
      </c>
      <c r="AD7701">
        <v>-3.8426999999999698E-2</v>
      </c>
      <c r="AE7701">
        <v>0.91660000000000197</v>
      </c>
      <c r="AF7701">
        <v>-0.59198351445178998</v>
      </c>
      <c r="AG7701">
        <v>-3.8426999999999698E-2</v>
      </c>
      <c r="AH7701">
        <v>0.730475275720185</v>
      </c>
      <c r="AI7701">
        <v>92.340355686792094</v>
      </c>
      <c r="AJ7701">
        <v>129.021609247416</v>
      </c>
      <c r="AK7701">
        <v>0.94101819544054199</v>
      </c>
      <c r="AL7701">
        <v>91.646501134789901</v>
      </c>
      <c r="AM7701">
        <v>109.32131117191901</v>
      </c>
      <c r="AN7701">
        <v>0.999999968091698</v>
      </c>
    </row>
    <row r="7702" spans="1:40" x14ac:dyDescent="0.25">
      <c r="A7702" t="str">
        <f>"20190305135111904"</f>
        <v>20190305135111904</v>
      </c>
      <c r="B7702" t="str">
        <f>"1551765071897037"</f>
        <v>1551765071897037</v>
      </c>
      <c r="C7702" t="s">
        <v>40</v>
      </c>
      <c r="D7702">
        <v>4.0917029999999999</v>
      </c>
      <c r="E7702">
        <v>0.3953023</v>
      </c>
      <c r="F7702" t="s">
        <v>42</v>
      </c>
      <c r="G7702">
        <v>-190.1951</v>
      </c>
      <c r="H7702" s="1">
        <v>-1.4172569999999901E-6</v>
      </c>
      <c r="I7702">
        <v>-27.22822</v>
      </c>
      <c r="J7702">
        <v>-199.18180000000001</v>
      </c>
      <c r="K7702">
        <v>1.1162749999999999</v>
      </c>
      <c r="L7702">
        <v>-56.432949999999998</v>
      </c>
      <c r="M7702">
        <v>0.78621289999999999</v>
      </c>
      <c r="N7702">
        <v>-1.4587660000000001E-2</v>
      </c>
      <c r="O7702">
        <v>0.61778350000000004</v>
      </c>
      <c r="P7702">
        <v>0.53663359999999904</v>
      </c>
      <c r="Q7702">
        <v>-3.7396020000000002E-2</v>
      </c>
      <c r="R7702">
        <v>0.84298629999999997</v>
      </c>
      <c r="S7702">
        <v>0.92584230000000001</v>
      </c>
      <c r="T7702">
        <v>-0.11312510000000001</v>
      </c>
      <c r="U7702">
        <v>2.9725039999999998</v>
      </c>
      <c r="V7702">
        <v>-0.33088859999999998</v>
      </c>
      <c r="W7702">
        <v>-2.8587270000000001E-2</v>
      </c>
      <c r="X7702">
        <v>0.94323670000000004</v>
      </c>
      <c r="Y7702">
        <v>-0.56666859999999997</v>
      </c>
      <c r="Z7702">
        <v>-9.9161080000000003E-4</v>
      </c>
      <c r="AA7702">
        <v>0.82394529999999999</v>
      </c>
      <c r="AB7702">
        <v>24</v>
      </c>
      <c r="AC7702">
        <v>8.9867000000000097</v>
      </c>
      <c r="AD7702">
        <v>-1.1162764172570001</v>
      </c>
      <c r="AE7702">
        <v>29.204730000000001</v>
      </c>
      <c r="AF7702">
        <v>-17.3879476077833</v>
      </c>
      <c r="AG7702">
        <v>-1.1162764172570001</v>
      </c>
      <c r="AH7702">
        <v>25.076864702100799</v>
      </c>
      <c r="AI7702">
        <v>92.0949885653514</v>
      </c>
      <c r="AJ7702">
        <v>124.73689849344601</v>
      </c>
      <c r="AK7702">
        <v>30.535814027764399</v>
      </c>
      <c r="AL7702">
        <v>91.638153120384899</v>
      </c>
      <c r="AM7702">
        <v>109.33093348430999</v>
      </c>
      <c r="AN7702">
        <v>0.99999998492145104</v>
      </c>
    </row>
    <row r="7703" spans="1:40" x14ac:dyDescent="0.25">
      <c r="A7703" t="str">
        <f>"20190305135111917"</f>
        <v>20190305135111917</v>
      </c>
      <c r="B7703" t="str">
        <f>"1551765071907773"</f>
        <v>1551765071907773</v>
      </c>
      <c r="C7703" t="s">
        <v>40</v>
      </c>
      <c r="D7703">
        <v>4.0975390000000003</v>
      </c>
      <c r="E7703">
        <v>0.39552900000000002</v>
      </c>
      <c r="F7703" t="s">
        <v>42</v>
      </c>
      <c r="G7703">
        <v>-190.00280000000001</v>
      </c>
      <c r="H7703" s="1">
        <v>-1.7954819999999999E-6</v>
      </c>
      <c r="I7703">
        <v>-26.22728</v>
      </c>
      <c r="J7703">
        <v>-199.0883</v>
      </c>
      <c r="K7703">
        <v>1.1162799999999999</v>
      </c>
      <c r="L7703">
        <v>-56.35239</v>
      </c>
      <c r="M7703">
        <v>0.78303330000000004</v>
      </c>
      <c r="N7703">
        <v>-1.458665E-2</v>
      </c>
      <c r="O7703">
        <v>0.62180869999999999</v>
      </c>
      <c r="P7703">
        <v>0.53238169999999996</v>
      </c>
      <c r="Q7703">
        <v>-3.7181169999999999E-2</v>
      </c>
      <c r="R7703">
        <v>0.84568739999999998</v>
      </c>
      <c r="S7703">
        <v>0.90492249999999996</v>
      </c>
      <c r="T7703">
        <v>-0.1100488</v>
      </c>
      <c r="U7703">
        <v>2.9778440000000002</v>
      </c>
      <c r="V7703">
        <v>-0.33080959999999998</v>
      </c>
      <c r="W7703">
        <v>-2.8374980000000001E-2</v>
      </c>
      <c r="X7703">
        <v>0.94327090000000002</v>
      </c>
      <c r="Y7703">
        <v>-0.56815740000000003</v>
      </c>
      <c r="Z7703">
        <v>-7.2228020000000002E-4</v>
      </c>
      <c r="AA7703">
        <v>0.82291959999999997</v>
      </c>
      <c r="AB7703">
        <v>24</v>
      </c>
      <c r="AC7703">
        <v>9.0854999999999908</v>
      </c>
      <c r="AD7703">
        <v>-1.1162817954819999</v>
      </c>
      <c r="AE7703">
        <v>30.125109999999999</v>
      </c>
      <c r="AF7703">
        <v>-17.9188779237437</v>
      </c>
      <c r="AG7703">
        <v>-1.1162817954819999</v>
      </c>
      <c r="AH7703">
        <v>25.816562583922799</v>
      </c>
      <c r="AI7703">
        <v>92.034358716400206</v>
      </c>
      <c r="AJ7703">
        <v>124.763918522726</v>
      </c>
      <c r="AK7703">
        <v>31.445622505248</v>
      </c>
      <c r="AL7703">
        <v>91.625984739338904</v>
      </c>
      <c r="AM7703">
        <v>109.32601167555799</v>
      </c>
      <c r="AN7703">
        <v>1.0000000608644799</v>
      </c>
    </row>
    <row r="7704" spans="1:40" x14ac:dyDescent="0.25">
      <c r="A7704" t="str">
        <f>"20190305135111928"</f>
        <v>20190305135111928</v>
      </c>
      <c r="B7704" t="str">
        <f>"1551765071917215"</f>
        <v>1551765071917215</v>
      </c>
      <c r="C7704" t="s">
        <v>40</v>
      </c>
      <c r="D7704">
        <v>4.0812569999999999</v>
      </c>
      <c r="E7704">
        <v>0.39580019999999999</v>
      </c>
      <c r="F7704" t="s">
        <v>41</v>
      </c>
      <c r="G7704">
        <v>-198.7758</v>
      </c>
      <c r="H7704">
        <v>1.078317</v>
      </c>
      <c r="I7704">
        <v>-55.307110000000002</v>
      </c>
      <c r="J7704">
        <v>-198.99549999999999</v>
      </c>
      <c r="K7704">
        <v>1.1162879999999999</v>
      </c>
      <c r="L7704">
        <v>-56.271790000000003</v>
      </c>
      <c r="M7704">
        <v>0.77983930000000001</v>
      </c>
      <c r="N7704">
        <v>-1.458573E-2</v>
      </c>
      <c r="O7704">
        <v>0.62580979999999997</v>
      </c>
      <c r="P7704">
        <v>0.52801619999999905</v>
      </c>
      <c r="Q7704">
        <v>-3.7570770000000003E-2</v>
      </c>
      <c r="R7704">
        <v>0.84840280000000001</v>
      </c>
      <c r="S7704">
        <v>0.89152529999999997</v>
      </c>
      <c r="T7704">
        <v>-0.1082861</v>
      </c>
      <c r="U7704">
        <v>2.9814150000000001</v>
      </c>
      <c r="V7704">
        <v>-0.33082159999999999</v>
      </c>
      <c r="W7704">
        <v>-2.8769599999999999E-2</v>
      </c>
      <c r="X7704">
        <v>0.9432547</v>
      </c>
      <c r="Y7704">
        <v>-0.56761479999999997</v>
      </c>
      <c r="Z7704">
        <v>-6.5512120000000001E-4</v>
      </c>
      <c r="AA7704">
        <v>0.82329399999999997</v>
      </c>
      <c r="AB7704">
        <v>24</v>
      </c>
      <c r="AC7704">
        <v>0.21969999999998799</v>
      </c>
      <c r="AD7704">
        <v>-3.7970999999999901E-2</v>
      </c>
      <c r="AE7704">
        <v>0.96468000000000798</v>
      </c>
      <c r="AF7704">
        <v>-0.61396605888144695</v>
      </c>
      <c r="AG7704">
        <v>-3.7970999999999901E-2</v>
      </c>
      <c r="AH7704">
        <v>0.77397935094360704</v>
      </c>
      <c r="AI7704">
        <v>92.201082933160805</v>
      </c>
      <c r="AJ7704">
        <v>128.42352477839299</v>
      </c>
      <c r="AK7704">
        <v>0.98865573077108304</v>
      </c>
      <c r="AL7704">
        <v>91.648604092583895</v>
      </c>
      <c r="AM7704">
        <v>109.32696805627801</v>
      </c>
      <c r="AN7704">
        <v>1.0000000249914001</v>
      </c>
    </row>
    <row r="7705" spans="1:40" x14ac:dyDescent="0.25">
      <c r="A7705" t="str">
        <f>"20190305135111941"</f>
        <v>20190305135111941</v>
      </c>
      <c r="B7705" t="str">
        <f>"1551765071937698"</f>
        <v>1551765071937698</v>
      </c>
      <c r="C7705" t="s">
        <v>40</v>
      </c>
      <c r="D7705">
        <v>4.0917709999999996</v>
      </c>
      <c r="E7705">
        <v>0.39657759999999997</v>
      </c>
      <c r="F7705" t="s">
        <v>42</v>
      </c>
      <c r="G7705">
        <v>-189.97659999999999</v>
      </c>
      <c r="H7705" s="1">
        <v>-2.055259E-6</v>
      </c>
      <c r="I7705">
        <v>-25.605530000000002</v>
      </c>
      <c r="J7705">
        <v>-198.8973</v>
      </c>
      <c r="K7705">
        <v>1.116295</v>
      </c>
      <c r="L7705">
        <v>-56.185209999999998</v>
      </c>
      <c r="M7705">
        <v>0.77640540000000002</v>
      </c>
      <c r="N7705">
        <v>-1.458513E-2</v>
      </c>
      <c r="O7705">
        <v>0.63006499999999999</v>
      </c>
      <c r="P7705">
        <v>0.52338180000000001</v>
      </c>
      <c r="Q7705">
        <v>-3.7492459999999998E-2</v>
      </c>
      <c r="R7705">
        <v>0.85127299999999995</v>
      </c>
      <c r="S7705">
        <v>0.87785340000000001</v>
      </c>
      <c r="T7705">
        <v>-0.108655</v>
      </c>
      <c r="U7705">
        <v>2.9849239999999999</v>
      </c>
      <c r="V7705">
        <v>-0.33081059999999901</v>
      </c>
      <c r="W7705">
        <v>-2.8695680000000001E-2</v>
      </c>
      <c r="X7705">
        <v>0.94326080000000001</v>
      </c>
      <c r="Y7705">
        <v>-0.5668455</v>
      </c>
      <c r="Z7705">
        <v>-8.6236419999999997E-4</v>
      </c>
      <c r="AA7705">
        <v>0.82382369999999905</v>
      </c>
      <c r="AB7705">
        <v>24</v>
      </c>
      <c r="AC7705">
        <v>8.9207000000000001</v>
      </c>
      <c r="AD7705">
        <v>-1.1162970552589999</v>
      </c>
      <c r="AE7705">
        <v>30.57968</v>
      </c>
      <c r="AF7705">
        <v>-18.101306133949301</v>
      </c>
      <c r="AG7705">
        <v>-1.1162970552589999</v>
      </c>
      <c r="AH7705">
        <v>26.163921320615501</v>
      </c>
      <c r="AI7705">
        <v>92.009506391381095</v>
      </c>
      <c r="AJ7705">
        <v>124.677122026502</v>
      </c>
      <c r="AK7705">
        <v>31.834795142137999</v>
      </c>
      <c r="AL7705">
        <v>91.644367054164405</v>
      </c>
      <c r="AM7705">
        <v>109.326257356374</v>
      </c>
      <c r="AN7705">
        <v>1.0000000159698299</v>
      </c>
    </row>
    <row r="7706" spans="1:40" x14ac:dyDescent="0.25">
      <c r="A7706" t="str">
        <f>"20190305135111954"</f>
        <v>20190305135111954</v>
      </c>
      <c r="B7706" t="str">
        <f>"1551765071947457"</f>
        <v>1551765071947457</v>
      </c>
      <c r="C7706" t="s">
        <v>40</v>
      </c>
      <c r="D7706">
        <v>4.1122009999999998</v>
      </c>
      <c r="E7706">
        <v>0.39696199999999998</v>
      </c>
      <c r="F7706" t="s">
        <v>42</v>
      </c>
      <c r="G7706">
        <v>-189.94919999999999</v>
      </c>
      <c r="H7706" s="1">
        <v>-2.1564100000000001E-6</v>
      </c>
      <c r="I7706">
        <v>-25.36158</v>
      </c>
      <c r="J7706">
        <v>-198.80070000000001</v>
      </c>
      <c r="K7706">
        <v>1.116301</v>
      </c>
      <c r="L7706">
        <v>-56.099299999999999</v>
      </c>
      <c r="M7706">
        <v>0.77298339999999999</v>
      </c>
      <c r="N7706">
        <v>-1.4578010000000001E-2</v>
      </c>
      <c r="O7706">
        <v>0.63425880000000001</v>
      </c>
      <c r="P7706">
        <v>0.51892910000000003</v>
      </c>
      <c r="Q7706">
        <v>-3.7835319999999999E-2</v>
      </c>
      <c r="R7706">
        <v>0.85397959999999995</v>
      </c>
      <c r="S7706">
        <v>0.86694340000000003</v>
      </c>
      <c r="T7706">
        <v>-0.1081529</v>
      </c>
      <c r="U7706">
        <v>2.9863590000000002</v>
      </c>
      <c r="V7706">
        <v>-0.3306134</v>
      </c>
      <c r="W7706">
        <v>-2.904607E-2</v>
      </c>
      <c r="X7706">
        <v>0.94331920000000002</v>
      </c>
      <c r="Y7706">
        <v>-0.56526909999999997</v>
      </c>
      <c r="Z7706">
        <v>-9.9036469999999989E-4</v>
      </c>
      <c r="AA7706">
        <v>0.82490599999999903</v>
      </c>
      <c r="AB7706">
        <v>24</v>
      </c>
      <c r="AC7706">
        <v>8.8515000000000104</v>
      </c>
      <c r="AD7706">
        <v>-1.1163031564100001</v>
      </c>
      <c r="AE7706">
        <v>30.737719999999999</v>
      </c>
      <c r="AF7706">
        <v>-18.1254577258828</v>
      </c>
      <c r="AG7706">
        <v>-1.1163031564100001</v>
      </c>
      <c r="AH7706">
        <v>26.3084880889323</v>
      </c>
      <c r="AI7706">
        <v>92.001178017335803</v>
      </c>
      <c r="AJ7706">
        <v>124.565231192494</v>
      </c>
      <c r="AK7706">
        <v>31.9674036486429</v>
      </c>
      <c r="AL7706">
        <v>91.664451314577093</v>
      </c>
      <c r="AM7706">
        <v>109.31448297835701</v>
      </c>
      <c r="AN7706">
        <v>1.0000000037653201</v>
      </c>
    </row>
    <row r="7707" spans="1:40" x14ac:dyDescent="0.25">
      <c r="A7707" t="str">
        <f>"20190305135111970"</f>
        <v>20190305135111970</v>
      </c>
      <c r="B7707" t="str">
        <f>"1551765071966978"</f>
        <v>1551765071966978</v>
      </c>
      <c r="C7707" t="s">
        <v>40</v>
      </c>
      <c r="D7707">
        <v>4.0757760000000003</v>
      </c>
      <c r="E7707">
        <v>0.39767180000000002</v>
      </c>
      <c r="F7707" t="s">
        <v>41</v>
      </c>
      <c r="G7707">
        <v>-198.50720000000001</v>
      </c>
      <c r="H7707">
        <v>1.0787679999999999</v>
      </c>
      <c r="I7707">
        <v>-55.071800000000003</v>
      </c>
      <c r="J7707">
        <v>-198.67070000000001</v>
      </c>
      <c r="K7707">
        <v>1.1163110000000001</v>
      </c>
      <c r="L7707">
        <v>-55.9822699999999</v>
      </c>
      <c r="M7707">
        <v>0.76830080000000001</v>
      </c>
      <c r="N7707">
        <v>-1.4548800000000001E-2</v>
      </c>
      <c r="O7707">
        <v>0.63992380000000004</v>
      </c>
      <c r="P7707">
        <v>0.51269160000000003</v>
      </c>
      <c r="Q7707">
        <v>-3.8024809999999999E-2</v>
      </c>
      <c r="R7707">
        <v>0.8577304</v>
      </c>
      <c r="S7707">
        <v>0.85397339999999999</v>
      </c>
      <c r="T7707">
        <v>-0.10919860000000001</v>
      </c>
      <c r="U7707">
        <v>2.9891969999999999</v>
      </c>
      <c r="V7707">
        <v>-0.33054470000000002</v>
      </c>
      <c r="W7707">
        <v>-2.9269460000000001E-2</v>
      </c>
      <c r="X7707">
        <v>0.94333639999999996</v>
      </c>
      <c r="Y7707">
        <v>-0.56271990000000005</v>
      </c>
      <c r="Z7707">
        <v>-1.405508E-3</v>
      </c>
      <c r="AA7707">
        <v>0.8266464</v>
      </c>
      <c r="AB7707">
        <v>23</v>
      </c>
      <c r="AC7707">
        <v>0.16349999999999901</v>
      </c>
      <c r="AD7707">
        <v>-3.7543000000000097E-2</v>
      </c>
      <c r="AE7707">
        <v>0.91046999999998901</v>
      </c>
      <c r="AF7707">
        <v>-0.59397179901020203</v>
      </c>
      <c r="AG7707">
        <v>-3.7543000000000097E-2</v>
      </c>
      <c r="AH7707">
        <v>0.70715865894971597</v>
      </c>
      <c r="AI7707">
        <v>92.327928425511601</v>
      </c>
      <c r="AJ7707">
        <v>130.028289017226</v>
      </c>
      <c r="AK7707">
        <v>0.92427557784243997</v>
      </c>
      <c r="AL7707">
        <v>91.677256016044296</v>
      </c>
      <c r="AM7707">
        <v>109.310440614435</v>
      </c>
      <c r="AN7707">
        <v>1.0000000317758699</v>
      </c>
    </row>
    <row r="7708" spans="1:40" x14ac:dyDescent="0.25">
      <c r="A7708" t="str">
        <f>"20190305135111983"</f>
        <v>20190305135111983</v>
      </c>
      <c r="B7708" t="str">
        <f>"1551765071977714"</f>
        <v>1551765071977714</v>
      </c>
      <c r="C7708" t="s">
        <v>40</v>
      </c>
      <c r="D7708">
        <v>4.104527</v>
      </c>
      <c r="E7708">
        <v>0.39799869999999998</v>
      </c>
      <c r="F7708" t="s">
        <v>41</v>
      </c>
      <c r="G7708">
        <v>-198.38159999999999</v>
      </c>
      <c r="H7708">
        <v>1.078624</v>
      </c>
      <c r="I7708">
        <v>-54.948610000000002</v>
      </c>
      <c r="J7708">
        <v>-198.5746</v>
      </c>
      <c r="K7708">
        <v>1.1163080000000001</v>
      </c>
      <c r="L7708">
        <v>-55.894289999999998</v>
      </c>
      <c r="M7708">
        <v>0.7647699</v>
      </c>
      <c r="N7708">
        <v>-1.4497670000000001E-2</v>
      </c>
      <c r="O7708">
        <v>0.6441405</v>
      </c>
      <c r="P7708">
        <v>0.50797239999999999</v>
      </c>
      <c r="Q7708">
        <v>-3.7850219999999997E-2</v>
      </c>
      <c r="R7708">
        <v>0.86054140000000001</v>
      </c>
      <c r="S7708">
        <v>0.8370514</v>
      </c>
      <c r="T7708">
        <v>-0.10910209999999999</v>
      </c>
      <c r="U7708">
        <v>2.992432</v>
      </c>
      <c r="V7708">
        <v>-0.33054450000000002</v>
      </c>
      <c r="W7708">
        <v>-2.9150530000000001E-2</v>
      </c>
      <c r="X7708">
        <v>0.94334010000000001</v>
      </c>
      <c r="Y7708">
        <v>-0.56274069999999898</v>
      </c>
      <c r="Z7708">
        <v>-1.5849529999999901E-3</v>
      </c>
      <c r="AA7708">
        <v>0.82663189999999998</v>
      </c>
      <c r="AB7708">
        <v>23</v>
      </c>
      <c r="AC7708">
        <v>0.193000000000012</v>
      </c>
      <c r="AD7708">
        <v>-3.7684000000000002E-2</v>
      </c>
      <c r="AE7708">
        <v>0.94568000000000996</v>
      </c>
      <c r="AF7708">
        <v>-0.59805969133729497</v>
      </c>
      <c r="AG7708">
        <v>-3.7684000000000002E-2</v>
      </c>
      <c r="AH7708">
        <v>0.75567888782430903</v>
      </c>
      <c r="AI7708">
        <v>92.239312078731899</v>
      </c>
      <c r="AJ7708">
        <v>128.35881068105701</v>
      </c>
      <c r="AK7708">
        <v>0.96444080158496304</v>
      </c>
      <c r="AL7708">
        <v>91.670439003372493</v>
      </c>
      <c r="AM7708">
        <v>109.310359661907</v>
      </c>
      <c r="AN7708">
        <v>0.99999998207377006</v>
      </c>
    </row>
    <row r="7709" spans="1:40" x14ac:dyDescent="0.25">
      <c r="A7709" t="str">
        <f>"20190305135111996"</f>
        <v>20190305135111996</v>
      </c>
      <c r="B7709" t="str">
        <f>"1551765071987475"</f>
        <v>1551765071987475</v>
      </c>
      <c r="C7709" t="s">
        <v>40</v>
      </c>
      <c r="D7709">
        <v>4.1221050000000004</v>
      </c>
      <c r="E7709">
        <v>0.39839089999999999</v>
      </c>
      <c r="F7709" t="s">
        <v>42</v>
      </c>
      <c r="G7709">
        <v>-190.12139999999999</v>
      </c>
      <c r="H7709" s="1">
        <v>-2.302102E-6</v>
      </c>
      <c r="I7709">
        <v>-25.11992</v>
      </c>
      <c r="J7709">
        <v>-198.4778</v>
      </c>
      <c r="K7709">
        <v>1.116301</v>
      </c>
      <c r="L7709">
        <v>-55.804839999999999</v>
      </c>
      <c r="M7709">
        <v>0.76117049999999997</v>
      </c>
      <c r="N7709">
        <v>-1.4427560000000001E-2</v>
      </c>
      <c r="O7709">
        <v>0.6483913</v>
      </c>
      <c r="P7709">
        <v>0.50316459999999996</v>
      </c>
      <c r="Q7709">
        <v>-3.7783980000000002E-2</v>
      </c>
      <c r="R7709">
        <v>0.86336420000000003</v>
      </c>
      <c r="S7709">
        <v>0.8228607</v>
      </c>
      <c r="T7709">
        <v>-0.10866489999999999</v>
      </c>
      <c r="U7709">
        <v>2.9956670000000001</v>
      </c>
      <c r="V7709">
        <v>-0.33055250000000003</v>
      </c>
      <c r="W7709">
        <v>-2.915819E-2</v>
      </c>
      <c r="X7709">
        <v>0.94333710000000004</v>
      </c>
      <c r="Y7709">
        <v>-0.56200839999999996</v>
      </c>
      <c r="Z7709">
        <v>-1.7526359999999999E-3</v>
      </c>
      <c r="AA7709">
        <v>0.82712969999999897</v>
      </c>
      <c r="AB7709">
        <v>23</v>
      </c>
      <c r="AC7709">
        <v>8.3564000000000007</v>
      </c>
      <c r="AD7709">
        <v>-1.1163033021019999</v>
      </c>
      <c r="AE7709">
        <v>30.684920000000002</v>
      </c>
      <c r="AF7709">
        <v>-17.918029717200501</v>
      </c>
      <c r="AG7709">
        <v>-1.1163033021019999</v>
      </c>
      <c r="AH7709">
        <v>26.226899927416898</v>
      </c>
      <c r="AI7709">
        <v>92.012800661312099</v>
      </c>
      <c r="AJ7709">
        <v>124.34060887808199</v>
      </c>
      <c r="AK7709">
        <v>31.7828916527667</v>
      </c>
      <c r="AL7709">
        <v>91.670878012690906</v>
      </c>
      <c r="AM7709">
        <v>109.310849289743</v>
      </c>
      <c r="AN7709">
        <v>1.0000000197683601</v>
      </c>
    </row>
    <row r="7710" spans="1:40" x14ac:dyDescent="0.25">
      <c r="A7710" t="str">
        <f>"20190305135112007"</f>
        <v>20190305135112007</v>
      </c>
      <c r="B7710" t="str">
        <f>"1551765071997234"</f>
        <v>1551765071997234</v>
      </c>
      <c r="C7710" t="s">
        <v>40</v>
      </c>
      <c r="D7710">
        <v>4.1233110000000002</v>
      </c>
      <c r="E7710">
        <v>0.39879490000000001</v>
      </c>
      <c r="F7710" t="s">
        <v>41</v>
      </c>
      <c r="G7710">
        <v>-198.196</v>
      </c>
      <c r="H7710">
        <v>1.078508</v>
      </c>
      <c r="I7710">
        <v>-54.760150000000003</v>
      </c>
      <c r="J7710">
        <v>-198.38659999999999</v>
      </c>
      <c r="K7710">
        <v>1.1162840000000001</v>
      </c>
      <c r="L7710">
        <v>-55.719850000000001</v>
      </c>
      <c r="M7710">
        <v>0.75773999999999997</v>
      </c>
      <c r="N7710">
        <v>-1.4345770000000001E-2</v>
      </c>
      <c r="O7710">
        <v>0.65239879999999995</v>
      </c>
      <c r="P7710">
        <v>0.49849589999999999</v>
      </c>
      <c r="Q7710">
        <v>-3.7835170000000001E-2</v>
      </c>
      <c r="R7710">
        <v>0.866066</v>
      </c>
      <c r="S7710">
        <v>0.80888369999999998</v>
      </c>
      <c r="T7710">
        <v>-0.1084816</v>
      </c>
      <c r="U7710">
        <v>2.9986269999999999</v>
      </c>
      <c r="V7710">
        <v>-0.33066489999999998</v>
      </c>
      <c r="W7710">
        <v>-2.9296030000000001E-2</v>
      </c>
      <c r="X7710">
        <v>0.94329339999999995</v>
      </c>
      <c r="Y7710">
        <v>-0.56144659999999902</v>
      </c>
      <c r="Z7710">
        <v>-1.9525429999999999E-3</v>
      </c>
      <c r="AA7710">
        <v>0.82751070000000004</v>
      </c>
      <c r="AB7710">
        <v>23</v>
      </c>
      <c r="AC7710">
        <v>0.190599999999989</v>
      </c>
      <c r="AD7710">
        <v>-3.7775999999999997E-2</v>
      </c>
      <c r="AE7710">
        <v>0.959699999999997</v>
      </c>
      <c r="AF7710">
        <v>-0.60202057002967402</v>
      </c>
      <c r="AG7710">
        <v>-3.7775999999999997E-2</v>
      </c>
      <c r="AH7710">
        <v>0.76946474877704896</v>
      </c>
      <c r="AI7710">
        <v>92.214283693496</v>
      </c>
      <c r="AJ7710">
        <v>128.039226741801</v>
      </c>
      <c r="AK7710">
        <v>0.97771764458118504</v>
      </c>
      <c r="AL7710">
        <v>91.678779094880994</v>
      </c>
      <c r="AM7710">
        <v>109.317757971071</v>
      </c>
      <c r="AN7710">
        <v>0.999999985974665</v>
      </c>
    </row>
    <row r="7711" spans="1:40" x14ac:dyDescent="0.25">
      <c r="A7711" t="str">
        <f>"20190305135112020"</f>
        <v>20190305135112020</v>
      </c>
      <c r="B7711" t="str">
        <f>"1551765072006994"</f>
        <v>1551765072006994</v>
      </c>
      <c r="C7711" t="s">
        <v>40</v>
      </c>
      <c r="D7711">
        <v>4.1123190000000003</v>
      </c>
      <c r="E7711">
        <v>0.39922289999999999</v>
      </c>
      <c r="F7711" t="s">
        <v>42</v>
      </c>
      <c r="G7711">
        <v>-190.19659999999999</v>
      </c>
      <c r="H7711" s="1">
        <v>-2.4538640000000002E-6</v>
      </c>
      <c r="I7711">
        <v>-24.812819999999999</v>
      </c>
      <c r="J7711">
        <v>-198.29859999999999</v>
      </c>
      <c r="K7711">
        <v>1.1162620000000001</v>
      </c>
      <c r="L7711">
        <v>-55.636510000000001</v>
      </c>
      <c r="M7711">
        <v>0.75437219999999905</v>
      </c>
      <c r="N7711">
        <v>-1.422533E-2</v>
      </c>
      <c r="O7711">
        <v>0.65629269999999995</v>
      </c>
      <c r="P7711">
        <v>0.4939519</v>
      </c>
      <c r="Q7711">
        <v>-3.7581499999999997E-2</v>
      </c>
      <c r="R7711">
        <v>0.86867669999999997</v>
      </c>
      <c r="S7711">
        <v>0.79533390000000004</v>
      </c>
      <c r="T7711">
        <v>-0.10840329999999999</v>
      </c>
      <c r="U7711">
        <v>3.001404</v>
      </c>
      <c r="V7711">
        <v>-0.33075929999999998</v>
      </c>
      <c r="W7711">
        <v>-2.9163680000000001E-2</v>
      </c>
      <c r="X7711">
        <v>0.9432644</v>
      </c>
      <c r="Y7711">
        <v>-0.56086959999999997</v>
      </c>
      <c r="Z7711">
        <v>-2.197956E-3</v>
      </c>
      <c r="AA7711">
        <v>0.827901199999999</v>
      </c>
      <c r="AB7711">
        <v>23</v>
      </c>
      <c r="AC7711">
        <v>8.1020000000000003</v>
      </c>
      <c r="AD7711">
        <v>-1.1162644538640001</v>
      </c>
      <c r="AE7711">
        <v>30.8236899999999</v>
      </c>
      <c r="AF7711">
        <v>-17.915090321215899</v>
      </c>
      <c r="AG7711">
        <v>-1.1162644538640001</v>
      </c>
      <c r="AH7711">
        <v>26.311675992849999</v>
      </c>
      <c r="AI7711">
        <v>92.008410454470905</v>
      </c>
      <c r="AJ7711">
        <v>124.25016039372601</v>
      </c>
      <c r="AK7711">
        <v>31.851229192937001</v>
      </c>
      <c r="AL7711">
        <v>91.671192764250804</v>
      </c>
      <c r="AM7711">
        <v>109.323414240685</v>
      </c>
      <c r="AN7711">
        <v>0.99999998153749603</v>
      </c>
    </row>
    <row r="7712" spans="1:40" x14ac:dyDescent="0.25">
      <c r="A7712" t="str">
        <f>"20190305135112033"</f>
        <v>20190305135112033</v>
      </c>
      <c r="B7712" t="str">
        <f>"1551765072027490"</f>
        <v>1551765072027490</v>
      </c>
      <c r="C7712" t="s">
        <v>40</v>
      </c>
      <c r="D7712">
        <v>4.1103630000000004</v>
      </c>
      <c r="E7712">
        <v>0.40002330000000003</v>
      </c>
      <c r="F7712" t="s">
        <v>42</v>
      </c>
      <c r="G7712">
        <v>-190.14439999999999</v>
      </c>
      <c r="H7712" s="1">
        <v>-2.6422069999999999E-6</v>
      </c>
      <c r="I7712">
        <v>-24.34141</v>
      </c>
      <c r="J7712">
        <v>-198.20089999999999</v>
      </c>
      <c r="K7712">
        <v>1.1162350000000001</v>
      </c>
      <c r="L7712">
        <v>-55.543430000000001</v>
      </c>
      <c r="M7712">
        <v>0.75059809999999905</v>
      </c>
      <c r="N7712">
        <v>-1.4072019999999999E-2</v>
      </c>
      <c r="O7712">
        <v>0.66060920000000001</v>
      </c>
      <c r="P7712">
        <v>0.48877359999999997</v>
      </c>
      <c r="Q7712">
        <v>-3.7647840000000002E-2</v>
      </c>
      <c r="R7712">
        <v>0.87159799999999998</v>
      </c>
      <c r="S7712">
        <v>0.78266910000000001</v>
      </c>
      <c r="T7712">
        <v>-0.10714410000000001</v>
      </c>
      <c r="U7712">
        <v>3.0038450000000001</v>
      </c>
      <c r="V7712">
        <v>-0.33095770000000002</v>
      </c>
      <c r="W7712">
        <v>-2.9384400000000001E-2</v>
      </c>
      <c r="X7712">
        <v>0.94318800000000003</v>
      </c>
      <c r="Y7712">
        <v>-0.55956209999999995</v>
      </c>
      <c r="Z7712">
        <v>-2.3419529999999999E-3</v>
      </c>
      <c r="AA7712">
        <v>0.82878510000000005</v>
      </c>
      <c r="AB7712">
        <v>23</v>
      </c>
      <c r="AC7712">
        <v>8.0564999999999998</v>
      </c>
      <c r="AD7712">
        <v>-1.1162376422069999</v>
      </c>
      <c r="AE7712">
        <v>31.202020000000001</v>
      </c>
      <c r="AF7712">
        <v>-18.078080129621199</v>
      </c>
      <c r="AG7712">
        <v>-1.1162376422069999</v>
      </c>
      <c r="AH7712">
        <v>26.630222829407099</v>
      </c>
      <c r="AI7712">
        <v>91.986224738450801</v>
      </c>
      <c r="AJ7712">
        <v>124.170847735195</v>
      </c>
      <c r="AK7712">
        <v>32.206082276345903</v>
      </c>
      <c r="AL7712">
        <v>91.683844441793795</v>
      </c>
      <c r="AM7712">
        <v>109.33559508614201</v>
      </c>
      <c r="AN7712">
        <v>1.0000000227483199</v>
      </c>
    </row>
    <row r="7713" spans="1:40" x14ac:dyDescent="0.25">
      <c r="A7713" t="str">
        <f>"20190305135112049"</f>
        <v>20190305135112049</v>
      </c>
      <c r="B7713" t="str">
        <f>"1551765072037250"</f>
        <v>1551765072037250</v>
      </c>
      <c r="C7713" t="s">
        <v>40</v>
      </c>
      <c r="D7713">
        <v>4.1272760000000002</v>
      </c>
      <c r="E7713">
        <v>0.40002330000000003</v>
      </c>
      <c r="F7713" t="s">
        <v>41</v>
      </c>
      <c r="G7713">
        <v>-197.93340000000001</v>
      </c>
      <c r="H7713">
        <v>1.079169</v>
      </c>
      <c r="I7713">
        <v>-54.4998199999999</v>
      </c>
      <c r="J7713">
        <v>-198.07749999999999</v>
      </c>
      <c r="K7713">
        <v>1.11619</v>
      </c>
      <c r="L7713">
        <v>-55.424320000000002</v>
      </c>
      <c r="M7713">
        <v>0.74575469999999999</v>
      </c>
      <c r="N7713">
        <v>-1.3829499999999899E-2</v>
      </c>
      <c r="O7713">
        <v>0.66607709999999998</v>
      </c>
      <c r="P7713">
        <v>0.4822169</v>
      </c>
      <c r="Q7713">
        <v>-3.7154699999999999E-2</v>
      </c>
      <c r="R7713">
        <v>0.87526360000000003</v>
      </c>
      <c r="S7713">
        <v>0.77027889999999999</v>
      </c>
      <c r="T7713">
        <v>-0.1067456</v>
      </c>
      <c r="U7713">
        <v>3.0053709999999998</v>
      </c>
      <c r="V7713">
        <v>-0.33116719999999999</v>
      </c>
      <c r="W7713">
        <v>-2.9128919999999999E-2</v>
      </c>
      <c r="X7713">
        <v>0.94312240000000003</v>
      </c>
      <c r="Y7713">
        <v>-0.55681990000000003</v>
      </c>
      <c r="Z7713">
        <v>-2.7592939999999998E-3</v>
      </c>
      <c r="AA7713">
        <v>0.83062860000000005</v>
      </c>
      <c r="AB7713">
        <v>24</v>
      </c>
      <c r="AC7713">
        <v>0.14409999999997999</v>
      </c>
      <c r="AD7713">
        <v>-3.7020999999999901E-2</v>
      </c>
      <c r="AE7713">
        <v>0.92450000000000199</v>
      </c>
      <c r="AF7713">
        <v>-0.59259754012372901</v>
      </c>
      <c r="AG7713">
        <v>-3.7020999999999901E-2</v>
      </c>
      <c r="AH7713">
        <v>0.72219009271913504</v>
      </c>
      <c r="AI7713">
        <v>92.269360780674404</v>
      </c>
      <c r="AJ7713">
        <v>129.37080177294001</v>
      </c>
      <c r="AK7713">
        <v>0.93493364952993696</v>
      </c>
      <c r="AL7713">
        <v>91.669200227409803</v>
      </c>
      <c r="AM7713">
        <v>109.348171313931</v>
      </c>
      <c r="AN7713">
        <v>1.0000000348589799</v>
      </c>
    </row>
    <row r="7714" spans="1:40" x14ac:dyDescent="0.25">
      <c r="A7714" t="str">
        <f>"20190305135112064"</f>
        <v>20190305135112064</v>
      </c>
      <c r="B7714" t="str">
        <f>"1551765072057746"</f>
        <v>1551765072057746</v>
      </c>
      <c r="C7714" t="s">
        <v>40</v>
      </c>
      <c r="D7714">
        <v>4.1236240000000004</v>
      </c>
      <c r="E7714">
        <v>0.41531289999999998</v>
      </c>
      <c r="F7714" t="s">
        <v>41</v>
      </c>
      <c r="G7714">
        <v>-197.81540000000001</v>
      </c>
      <c r="H7714">
        <v>1.0797479999999999</v>
      </c>
      <c r="I7714">
        <v>-54.369529999999997</v>
      </c>
      <c r="J7714">
        <v>-197.97200000000001</v>
      </c>
      <c r="K7714">
        <v>1.1161460000000001</v>
      </c>
      <c r="L7714">
        <v>-55.320799999999998</v>
      </c>
      <c r="M7714">
        <v>0.74154980000000004</v>
      </c>
      <c r="N7714">
        <v>-1.3597079999999999E-2</v>
      </c>
      <c r="O7714">
        <v>0.67076000000000002</v>
      </c>
      <c r="P7714">
        <v>0.47662900000000002</v>
      </c>
      <c r="Q7714">
        <v>-3.6716560000000002E-2</v>
      </c>
      <c r="R7714">
        <v>0.87833739999999905</v>
      </c>
      <c r="S7714">
        <v>0.74783330000000003</v>
      </c>
      <c r="T7714">
        <v>-0.1040244</v>
      </c>
      <c r="U7714">
        <v>3.0111080000000001</v>
      </c>
      <c r="V7714">
        <v>-0.3312582</v>
      </c>
      <c r="W7714">
        <v>-2.8911200000000001E-2</v>
      </c>
      <c r="X7714">
        <v>0.94309710000000002</v>
      </c>
      <c r="Y7714">
        <v>-0.55780529999999995</v>
      </c>
      <c r="Z7714">
        <v>-2.7124810000000001E-3</v>
      </c>
      <c r="AA7714">
        <v>0.82996740000000002</v>
      </c>
      <c r="AB7714">
        <v>24</v>
      </c>
      <c r="AC7714">
        <v>0.15659999999999699</v>
      </c>
      <c r="AD7714">
        <v>-3.6397999999999903E-2</v>
      </c>
      <c r="AE7714">
        <v>0.95126999999999295</v>
      </c>
      <c r="AF7714">
        <v>-0.59957395105025502</v>
      </c>
      <c r="AG7714">
        <v>-3.6397999999999903E-2</v>
      </c>
      <c r="AH7714">
        <v>0.75319670452598297</v>
      </c>
      <c r="AI7714">
        <v>92.165218317248005</v>
      </c>
      <c r="AJ7714">
        <v>128.52115732175301</v>
      </c>
      <c r="AK7714">
        <v>0.96338933608942101</v>
      </c>
      <c r="AL7714">
        <v>91.656720598539493</v>
      </c>
      <c r="AM7714">
        <v>109.353573278502</v>
      </c>
      <c r="AN7714">
        <v>0.99999999629054503</v>
      </c>
    </row>
    <row r="7715" spans="1:40" x14ac:dyDescent="0.25">
      <c r="A7715" t="str">
        <f>"20190305135112086"</f>
        <v>20190305135112086</v>
      </c>
      <c r="B7715" t="str">
        <f>"1551765072077266"</f>
        <v>1551765072077266</v>
      </c>
      <c r="C7715" t="s">
        <v>40</v>
      </c>
      <c r="D7715">
        <v>4.143256</v>
      </c>
      <c r="E7715">
        <v>0.41629389999999999</v>
      </c>
      <c r="F7715" t="s">
        <v>42</v>
      </c>
      <c r="G7715">
        <v>-188.7312</v>
      </c>
      <c r="H7715" s="1">
        <v>-3.5492089999999999E-6</v>
      </c>
      <c r="I7715">
        <v>-22.61853</v>
      </c>
      <c r="J7715">
        <v>-197.81020000000001</v>
      </c>
      <c r="K7715">
        <v>1.1160779999999999</v>
      </c>
      <c r="L7715">
        <v>-55.159820000000003</v>
      </c>
      <c r="M7715">
        <v>0.73499979999999998</v>
      </c>
      <c r="N7715">
        <v>-1.324206E-2</v>
      </c>
      <c r="O7715">
        <v>0.67793800000000004</v>
      </c>
      <c r="P7715">
        <v>0.4682151</v>
      </c>
      <c r="Q7715">
        <v>-3.5665559999999999E-2</v>
      </c>
      <c r="R7715">
        <v>0.88289439999999997</v>
      </c>
      <c r="S7715">
        <v>0.83578490000000005</v>
      </c>
      <c r="T7715">
        <v>-0.1009504</v>
      </c>
      <c r="U7715">
        <v>2.9577640000000001</v>
      </c>
      <c r="V7715">
        <v>-0.33114779999999999</v>
      </c>
      <c r="W7715">
        <v>-2.8185749999999999E-2</v>
      </c>
      <c r="X7715">
        <v>0.94315789999999999</v>
      </c>
      <c r="Y7715">
        <v>-0.52277890000000005</v>
      </c>
      <c r="Z7715">
        <v>-3.725417E-3</v>
      </c>
      <c r="AA7715">
        <v>0.852460199999999</v>
      </c>
      <c r="AB7715">
        <v>24</v>
      </c>
      <c r="AC7715">
        <v>9.0790000000000006</v>
      </c>
      <c r="AD7715">
        <v>-1.1160815492089999</v>
      </c>
      <c r="AE7715">
        <v>32.541289999999996</v>
      </c>
      <c r="AF7715">
        <v>-17.745034001423001</v>
      </c>
      <c r="AG7715">
        <v>-1.1160815492089999</v>
      </c>
      <c r="AH7715">
        <v>28.7052322842551</v>
      </c>
      <c r="AI7715">
        <v>91.894183141707501</v>
      </c>
      <c r="AJ7715">
        <v>121.723575976402</v>
      </c>
      <c r="AK7715">
        <v>33.765696057229199</v>
      </c>
      <c r="AL7715">
        <v>91.615138317712905</v>
      </c>
      <c r="AM7715">
        <v>109.346447987803</v>
      </c>
      <c r="AN7715">
        <v>1.00000006314015</v>
      </c>
    </row>
    <row r="7716" spans="1:40" x14ac:dyDescent="0.25">
      <c r="A7716" t="str">
        <f>"20190305135112099"</f>
        <v>20190305135112099</v>
      </c>
      <c r="B7716" t="str">
        <f>"1551765072087026"</f>
        <v>1551765072087026</v>
      </c>
      <c r="C7716" t="s">
        <v>40</v>
      </c>
      <c r="D7716">
        <v>4.3836139999999997</v>
      </c>
      <c r="E7716">
        <v>0.4404014</v>
      </c>
      <c r="F7716" t="s">
        <v>42</v>
      </c>
      <c r="G7716">
        <v>-188.70079999999999</v>
      </c>
      <c r="H7716" s="1">
        <v>-3.8064040000000002E-6</v>
      </c>
      <c r="I7716">
        <v>-22.031569999999999</v>
      </c>
      <c r="J7716">
        <v>-197.71629999999999</v>
      </c>
      <c r="K7716">
        <v>1.1160399999999999</v>
      </c>
      <c r="L7716">
        <v>-55.064880000000002</v>
      </c>
      <c r="M7716">
        <v>0.73114109999999999</v>
      </c>
      <c r="N7716">
        <v>-1.3041280000000001E-2</v>
      </c>
      <c r="O7716">
        <v>0.68210170000000003</v>
      </c>
      <c r="P7716">
        <v>0.46357739999999997</v>
      </c>
      <c r="Q7716">
        <v>-3.5265970000000001E-2</v>
      </c>
      <c r="R7716">
        <v>0.88535429999999904</v>
      </c>
      <c r="S7716">
        <v>0.81445310000000004</v>
      </c>
      <c r="T7716">
        <v>-9.9787120000000007E-2</v>
      </c>
      <c r="U7716">
        <v>2.9619450000000001</v>
      </c>
      <c r="V7716">
        <v>-0.33075589999999999</v>
      </c>
      <c r="W7716">
        <v>-2.7960510000000001E-2</v>
      </c>
      <c r="X7716">
        <v>0.94330199999999997</v>
      </c>
      <c r="Y7716">
        <v>-0.52395700000000001</v>
      </c>
      <c r="Z7716">
        <v>-3.8393670000000002E-3</v>
      </c>
      <c r="AA7716">
        <v>0.851736099999999</v>
      </c>
      <c r="AB7716">
        <v>24</v>
      </c>
      <c r="AC7716">
        <v>9.0154999999999994</v>
      </c>
      <c r="AD7716">
        <v>-1.1160438064039999</v>
      </c>
      <c r="AE7716">
        <v>33.03331</v>
      </c>
      <c r="AF7716">
        <v>-17.9849469456184</v>
      </c>
      <c r="AG7716">
        <v>-1.1160438064039999</v>
      </c>
      <c r="AH7716">
        <v>29.095246167511402</v>
      </c>
      <c r="AI7716">
        <v>91.868781158195603</v>
      </c>
      <c r="AJ7716">
        <v>121.72188574524399</v>
      </c>
      <c r="AK7716">
        <v>34.223343202595103</v>
      </c>
      <c r="AL7716">
        <v>91.602228095110206</v>
      </c>
      <c r="AM7716">
        <v>109.322517193458</v>
      </c>
      <c r="AN7716">
        <v>0.99999995935413399</v>
      </c>
    </row>
    <row r="7717" spans="1:40" x14ac:dyDescent="0.25">
      <c r="A7717" t="str">
        <f>"20190305135112112"</f>
        <v>20190305135112112</v>
      </c>
      <c r="B7717" t="str">
        <f>"1551765072107524"</f>
        <v>1551765072107524</v>
      </c>
      <c r="C7717" t="s">
        <v>40</v>
      </c>
      <c r="D7717">
        <v>4.3793540000000002</v>
      </c>
      <c r="E7717">
        <v>0.4477429</v>
      </c>
      <c r="F7717" t="s">
        <v>41</v>
      </c>
      <c r="G7717">
        <v>-197.41120000000001</v>
      </c>
      <c r="H7717">
        <v>1.0360750000000001</v>
      </c>
      <c r="I7717">
        <v>-54.164079999999998</v>
      </c>
      <c r="J7717">
        <v>-197.61879999999999</v>
      </c>
      <c r="K7717">
        <v>1.1160079999999999</v>
      </c>
      <c r="L7717">
        <v>-54.965519999999998</v>
      </c>
      <c r="M7717">
        <v>0.7270993</v>
      </c>
      <c r="N7717">
        <v>-1.283628E-2</v>
      </c>
      <c r="O7717">
        <v>0.68641229999999998</v>
      </c>
      <c r="P7717">
        <v>0.45880510000000002</v>
      </c>
      <c r="Q7717">
        <v>-3.4896999999999997E-2</v>
      </c>
      <c r="R7717">
        <v>0.88785139999999996</v>
      </c>
      <c r="S7717">
        <v>0.97151180000000004</v>
      </c>
      <c r="T7717">
        <v>-0.25471870000000002</v>
      </c>
      <c r="U7717">
        <v>2.8696290000000002</v>
      </c>
      <c r="V7717">
        <v>-0.33027319999999999</v>
      </c>
      <c r="W7717">
        <v>-2.7766720000000002E-2</v>
      </c>
      <c r="X7717">
        <v>0.94347689999999995</v>
      </c>
      <c r="Y7717">
        <v>-0.46831250000000002</v>
      </c>
      <c r="Z7717">
        <v>-3.1290680000000001E-2</v>
      </c>
      <c r="AA7717">
        <v>0.88300869999999998</v>
      </c>
      <c r="AB7717">
        <v>24</v>
      </c>
      <c r="AC7717">
        <v>0.20759999999998499</v>
      </c>
      <c r="AD7717">
        <v>-7.9932999999999796E-2</v>
      </c>
      <c r="AE7717">
        <v>0.80143999999999205</v>
      </c>
      <c r="AF7717">
        <v>-0.43619734067459098</v>
      </c>
      <c r="AG7717">
        <v>-7.9932999999999796E-2</v>
      </c>
      <c r="AH7717">
        <v>0.69464640692982205</v>
      </c>
      <c r="AI7717">
        <v>95.5659083337993</v>
      </c>
      <c r="AJ7717">
        <v>122.12641911877699</v>
      </c>
      <c r="AK7717">
        <v>0.82413047217118296</v>
      </c>
      <c r="AL7717">
        <v>91.5911203377064</v>
      </c>
      <c r="AM7717">
        <v>109.293091235357</v>
      </c>
      <c r="AN7717">
        <v>1.0000000191056999</v>
      </c>
    </row>
    <row r="7718" spans="1:40" x14ac:dyDescent="0.25">
      <c r="A7718" t="str">
        <f>"20190305135112128"</f>
        <v>20190305135112128</v>
      </c>
      <c r="B7718" t="str">
        <f>"1551765072117283"</f>
        <v>1551765072117283</v>
      </c>
      <c r="C7718" t="s">
        <v>40</v>
      </c>
      <c r="D7718">
        <v>4.1772019999999896</v>
      </c>
      <c r="E7718">
        <v>0.44816349999999999</v>
      </c>
      <c r="F7718" t="s">
        <v>41</v>
      </c>
      <c r="G7718">
        <v>-197.27979999999999</v>
      </c>
      <c r="H7718">
        <v>1.03031299999999</v>
      </c>
      <c r="I7718">
        <v>-54.007820000000002</v>
      </c>
      <c r="J7718">
        <v>-197.49809999999999</v>
      </c>
      <c r="K7718">
        <v>1.115966</v>
      </c>
      <c r="L7718">
        <v>-54.840760000000003</v>
      </c>
      <c r="M7718">
        <v>0.72203930000000005</v>
      </c>
      <c r="N7718">
        <v>-1.258943E-2</v>
      </c>
      <c r="O7718">
        <v>0.69173750000000001</v>
      </c>
      <c r="P7718">
        <v>0.45421139999999999</v>
      </c>
      <c r="Q7718">
        <v>-3.4596950000000001E-2</v>
      </c>
      <c r="R7718">
        <v>0.89022190000000001</v>
      </c>
      <c r="S7718">
        <v>1.008087</v>
      </c>
      <c r="T7718">
        <v>-0.25483979999999901</v>
      </c>
      <c r="U7718">
        <v>2.8479920000000001</v>
      </c>
      <c r="V7718">
        <v>-0.32822790000000002</v>
      </c>
      <c r="W7718">
        <v>-2.7648200000000001E-2</v>
      </c>
      <c r="X7718">
        <v>0.94419379999999997</v>
      </c>
      <c r="Y7718">
        <v>-0.44963219999999998</v>
      </c>
      <c r="Z7718">
        <v>-3.2922699999999999E-2</v>
      </c>
      <c r="AA7718">
        <v>0.89260689999999998</v>
      </c>
      <c r="AB7718">
        <v>24</v>
      </c>
      <c r="AC7718">
        <v>0.21829999999999899</v>
      </c>
      <c r="AD7718">
        <v>-8.5653000000000201E-2</v>
      </c>
      <c r="AE7718">
        <v>0.83294000000000001</v>
      </c>
      <c r="AF7718">
        <v>-0.446031423126246</v>
      </c>
      <c r="AG7718">
        <v>-8.5653000000000201E-2</v>
      </c>
      <c r="AH7718">
        <v>0.72666496403435199</v>
      </c>
      <c r="AI7718">
        <v>95.736508362197497</v>
      </c>
      <c r="AJ7718">
        <v>121.54185830060101</v>
      </c>
      <c r="AK7718">
        <v>0.85692615596681998</v>
      </c>
      <c r="AL7718">
        <v>91.584327136099304</v>
      </c>
      <c r="AM7718">
        <v>109.168866399121</v>
      </c>
      <c r="AN7718">
        <v>0.99999995463004399</v>
      </c>
    </row>
    <row r="7719" spans="1:40" x14ac:dyDescent="0.25">
      <c r="A7719" t="str">
        <f>"20190305135112142"</f>
        <v>20190305135112142</v>
      </c>
      <c r="B7719" t="str">
        <f>"1551765072137779"</f>
        <v>1551765072137779</v>
      </c>
      <c r="C7719" t="s">
        <v>40</v>
      </c>
      <c r="D7719">
        <v>4.233727</v>
      </c>
      <c r="E7719">
        <v>0.45057059999999999</v>
      </c>
      <c r="F7719" t="s">
        <v>85</v>
      </c>
      <c r="G7719">
        <v>-192.9478</v>
      </c>
      <c r="H7719" s="1">
        <v>-6.0193769999999999E-6</v>
      </c>
      <c r="I7719">
        <v>-41.813870000000001</v>
      </c>
      <c r="J7719">
        <v>-197.39940000000001</v>
      </c>
      <c r="K7719">
        <v>1.115936</v>
      </c>
      <c r="L7719">
        <v>-54.737090000000002</v>
      </c>
      <c r="M7719">
        <v>0.71785900000000002</v>
      </c>
      <c r="N7719">
        <v>-1.239617E-2</v>
      </c>
      <c r="O7719">
        <v>0.69607810000000003</v>
      </c>
      <c r="P7719">
        <v>0.45003799999999999</v>
      </c>
      <c r="Q7719">
        <v>-3.4393020000000003E-2</v>
      </c>
      <c r="R7719">
        <v>0.8923468</v>
      </c>
      <c r="S7719">
        <v>0.99626159999999997</v>
      </c>
      <c r="T7719">
        <v>-0.24433389999999999</v>
      </c>
      <c r="U7719">
        <v>2.8521420000000002</v>
      </c>
      <c r="V7719">
        <v>-0.32696560000000002</v>
      </c>
      <c r="W7719">
        <v>-2.7593550000000001E-2</v>
      </c>
      <c r="X7719">
        <v>0.94463330000000001</v>
      </c>
      <c r="Y7719">
        <v>-0.44796819999999998</v>
      </c>
      <c r="Z7719">
        <v>-3.1746339999999998E-2</v>
      </c>
      <c r="AA7719">
        <v>0.89348570000000005</v>
      </c>
      <c r="AB7719">
        <v>24</v>
      </c>
      <c r="AC7719">
        <v>4.4516000000000098</v>
      </c>
      <c r="AD7719">
        <v>-1.115942019377</v>
      </c>
      <c r="AE7719">
        <v>12.923220000000001</v>
      </c>
      <c r="AF7719">
        <v>-6.1379498165912603</v>
      </c>
      <c r="AG7719">
        <v>-1.115942019377</v>
      </c>
      <c r="AH7719">
        <v>12.1113979367478</v>
      </c>
      <c r="AI7719">
        <v>94.698459010536396</v>
      </c>
      <c r="AJ7719">
        <v>116.875490215466</v>
      </c>
      <c r="AK7719">
        <v>13.6237188213741</v>
      </c>
      <c r="AL7719">
        <v>91.581194671307998</v>
      </c>
      <c r="AM7719">
        <v>109.09225434534601</v>
      </c>
      <c r="AN7719">
        <v>0.99999998952692604</v>
      </c>
    </row>
    <row r="7720" spans="1:40" x14ac:dyDescent="0.25">
      <c r="A7720" t="str">
        <f>"20190305135112155"</f>
        <v>20190305135112155</v>
      </c>
      <c r="B7720" t="str">
        <f>"1551765072147538"</f>
        <v>1551765072147538</v>
      </c>
      <c r="C7720" t="s">
        <v>40</v>
      </c>
      <c r="D7720">
        <v>4.2758640000000003</v>
      </c>
      <c r="E7720">
        <v>0.45176889999999997</v>
      </c>
      <c r="F7720" t="s">
        <v>41</v>
      </c>
      <c r="G7720">
        <v>-197.07040000000001</v>
      </c>
      <c r="H7720">
        <v>1.029717</v>
      </c>
      <c r="I7720">
        <v>-53.80095</v>
      </c>
      <c r="J7720">
        <v>-197.30680000000001</v>
      </c>
      <c r="K7720">
        <v>1.1159059999999901</v>
      </c>
      <c r="L7720">
        <v>-54.639099999999999</v>
      </c>
      <c r="M7720">
        <v>0.71392029999999995</v>
      </c>
      <c r="N7720">
        <v>-1.2220699999999999E-2</v>
      </c>
      <c r="O7720">
        <v>0.70012039999999998</v>
      </c>
      <c r="P7720">
        <v>0.44635619999999998</v>
      </c>
      <c r="Q7720">
        <v>-3.399133E-2</v>
      </c>
      <c r="R7720">
        <v>0.89420959999999905</v>
      </c>
      <c r="S7720">
        <v>1.000427</v>
      </c>
      <c r="T7720">
        <v>-0.26223469999999999</v>
      </c>
      <c r="U7720">
        <v>2.8472599999999999</v>
      </c>
      <c r="V7720">
        <v>-0.32554300000000003</v>
      </c>
      <c r="W7720">
        <v>-2.7320440000000001E-2</v>
      </c>
      <c r="X7720">
        <v>0.94513250000000004</v>
      </c>
      <c r="Y7720">
        <v>-0.44130459999999999</v>
      </c>
      <c r="Z7720">
        <v>-3.5713179999999997E-2</v>
      </c>
      <c r="AA7720">
        <v>0.89664639999999995</v>
      </c>
      <c r="AB7720">
        <v>24</v>
      </c>
      <c r="AC7720">
        <v>0.236400000000003</v>
      </c>
      <c r="AD7720">
        <v>-8.6188999999999794E-2</v>
      </c>
      <c r="AE7720">
        <v>0.83814999999999795</v>
      </c>
      <c r="AF7720">
        <v>-0.42869693481459498</v>
      </c>
      <c r="AG7720">
        <v>-8.6188999999999794E-2</v>
      </c>
      <c r="AH7720">
        <v>0.748303220966542</v>
      </c>
      <c r="AI7720">
        <v>95.707219243313901</v>
      </c>
      <c r="AJ7720">
        <v>119.808050496566</v>
      </c>
      <c r="AK7720">
        <v>0.86669909204367601</v>
      </c>
      <c r="AL7720">
        <v>91.565540629108497</v>
      </c>
      <c r="AM7720">
        <v>109.005841188047</v>
      </c>
      <c r="AN7720">
        <v>1.00000004692352</v>
      </c>
    </row>
    <row r="7721" spans="1:40" x14ac:dyDescent="0.25">
      <c r="A7721" t="str">
        <f>"20190305135112173"</f>
        <v>20190305135112173</v>
      </c>
      <c r="B7721" t="str">
        <f>"1551765072167058"</f>
        <v>1551765072167058</v>
      </c>
      <c r="C7721" t="s">
        <v>40</v>
      </c>
      <c r="D7721">
        <v>4.1708239999999996</v>
      </c>
      <c r="E7721">
        <v>0.45250570000000001</v>
      </c>
      <c r="F7721" t="s">
        <v>41</v>
      </c>
      <c r="G7721">
        <v>-196.9829</v>
      </c>
      <c r="H7721">
        <v>1.029326</v>
      </c>
      <c r="I7721">
        <v>-53.714280000000002</v>
      </c>
      <c r="J7721">
        <v>-197.17850000000001</v>
      </c>
      <c r="K7721">
        <v>1.1158680000000001</v>
      </c>
      <c r="L7721">
        <v>-54.5015</v>
      </c>
      <c r="M7721">
        <v>0.70842430000000001</v>
      </c>
      <c r="N7721">
        <v>-1.198961E-2</v>
      </c>
      <c r="O7721">
        <v>0.70568489999999995</v>
      </c>
      <c r="P7721">
        <v>0.4419843</v>
      </c>
      <c r="Q7721">
        <v>-3.245025E-2</v>
      </c>
      <c r="R7721">
        <v>0.89643569999999995</v>
      </c>
      <c r="S7721">
        <v>0.99713130000000005</v>
      </c>
      <c r="T7721">
        <v>-0.2665362</v>
      </c>
      <c r="U7721">
        <v>2.8470759999999999</v>
      </c>
      <c r="V7721">
        <v>-0.32282749999999999</v>
      </c>
      <c r="W7721">
        <v>-2.5928340000000001E-2</v>
      </c>
      <c r="X7721">
        <v>0.94610260000000002</v>
      </c>
      <c r="Y7721">
        <v>-0.43521959999999998</v>
      </c>
      <c r="Z7721">
        <v>-3.7491709999999998E-2</v>
      </c>
      <c r="AA7721">
        <v>0.89954330000000005</v>
      </c>
      <c r="AB7721">
        <v>24</v>
      </c>
      <c r="AC7721">
        <v>0.19560000000001301</v>
      </c>
      <c r="AD7721">
        <v>-8.6542000000000105E-2</v>
      </c>
      <c r="AE7721">
        <v>0.78721999999999703</v>
      </c>
      <c r="AF7721">
        <v>-0.41496062872560502</v>
      </c>
      <c r="AG7721">
        <v>-8.6542000000000105E-2</v>
      </c>
      <c r="AH7721">
        <v>0.68633465224066503</v>
      </c>
      <c r="AI7721">
        <v>96.158619678735107</v>
      </c>
      <c r="AJ7721">
        <v>121.157322791216</v>
      </c>
      <c r="AK7721">
        <v>0.80668277285601198</v>
      </c>
      <c r="AL7721">
        <v>91.485750954198906</v>
      </c>
      <c r="AM7721">
        <v>108.840579165004</v>
      </c>
      <c r="AN7721">
        <v>1.00000000164908</v>
      </c>
    </row>
    <row r="7722" spans="1:40" x14ac:dyDescent="0.25">
      <c r="A7722" t="str">
        <f>"20190305135112186"</f>
        <v>20190305135112186</v>
      </c>
      <c r="B7722" t="str">
        <f>"1551765072177795"</f>
        <v>1551765072177795</v>
      </c>
      <c r="C7722" t="s">
        <v>40</v>
      </c>
      <c r="D7722">
        <v>4.1791660000000004</v>
      </c>
      <c r="E7722">
        <v>0.45229249999999999</v>
      </c>
      <c r="F7722" t="s">
        <v>41</v>
      </c>
      <c r="G7722">
        <v>-196.85079999999999</v>
      </c>
      <c r="H7722">
        <v>1.0299229999999999</v>
      </c>
      <c r="I7722">
        <v>-53.557090000000002</v>
      </c>
      <c r="J7722">
        <v>-197.07980000000001</v>
      </c>
      <c r="K7722">
        <v>1.115834</v>
      </c>
      <c r="L7722">
        <v>-54.39423</v>
      </c>
      <c r="M7722">
        <v>0.70417390000000002</v>
      </c>
      <c r="N7722">
        <v>-1.1822589999999999E-2</v>
      </c>
      <c r="O7722">
        <v>0.70992919999999904</v>
      </c>
      <c r="P7722">
        <v>0.43728719999999999</v>
      </c>
      <c r="Q7722">
        <v>-3.1226719999999999E-2</v>
      </c>
      <c r="R7722">
        <v>0.89877960000000001</v>
      </c>
      <c r="S7722">
        <v>0.98876949999999997</v>
      </c>
      <c r="T7722">
        <v>-0.2593316</v>
      </c>
      <c r="U7722">
        <v>2.849701</v>
      </c>
      <c r="V7722">
        <v>-0.32214290000000001</v>
      </c>
      <c r="W7722">
        <v>-2.4832989999999999E-2</v>
      </c>
      <c r="X7722">
        <v>0.94636529999999996</v>
      </c>
      <c r="Y7722">
        <v>-0.43243700000000002</v>
      </c>
      <c r="Z7722">
        <v>-3.6872479999999999E-2</v>
      </c>
      <c r="AA7722">
        <v>0.90090990000000004</v>
      </c>
      <c r="AB7722">
        <v>24</v>
      </c>
      <c r="AC7722">
        <v>0.229000000000013</v>
      </c>
      <c r="AD7722">
        <v>-8.5911000000000001E-2</v>
      </c>
      <c r="AE7722">
        <v>0.83714000000000499</v>
      </c>
      <c r="AF7722">
        <v>-0.42280528726672501</v>
      </c>
      <c r="AG7722">
        <v>-8.5911000000000001E-2</v>
      </c>
      <c r="AH7722">
        <v>0.74828659549163001</v>
      </c>
      <c r="AI7722">
        <v>95.708184514636599</v>
      </c>
      <c r="AJ7722">
        <v>119.467804144827</v>
      </c>
      <c r="AK7722">
        <v>0.86375797527672804</v>
      </c>
      <c r="AL7722">
        <v>91.422971793080706</v>
      </c>
      <c r="AM7722">
        <v>108.798582442842</v>
      </c>
      <c r="AN7722">
        <v>1.00000000322842</v>
      </c>
    </row>
    <row r="7723" spans="1:40" x14ac:dyDescent="0.25">
      <c r="A7723" t="str">
        <f>"20190305135112200"</f>
        <v>20190305135112200</v>
      </c>
      <c r="B7723" t="str">
        <f>"1551765072187554"</f>
        <v>1551765072187554</v>
      </c>
      <c r="C7723" t="s">
        <v>40</v>
      </c>
      <c r="D7723">
        <v>4.1968540000000001</v>
      </c>
      <c r="E7723">
        <v>0.45211839999999998</v>
      </c>
      <c r="F7723" t="s">
        <v>85</v>
      </c>
      <c r="G7723">
        <v>-192.7414</v>
      </c>
      <c r="H7723" s="1">
        <v>-6.0500039999999998E-6</v>
      </c>
      <c r="I7723">
        <v>-41.653030000000001</v>
      </c>
      <c r="J7723">
        <v>-196.99260000000001</v>
      </c>
      <c r="K7723">
        <v>1.115799</v>
      </c>
      <c r="L7723">
        <v>-54.29813</v>
      </c>
      <c r="M7723">
        <v>0.70040309999999995</v>
      </c>
      <c r="N7723">
        <v>-1.168895E-2</v>
      </c>
      <c r="O7723">
        <v>0.71365179999999995</v>
      </c>
      <c r="P7723">
        <v>0.43330790000000002</v>
      </c>
      <c r="Q7723">
        <v>-3.0169189999999999E-2</v>
      </c>
      <c r="R7723">
        <v>0.90074089999999996</v>
      </c>
      <c r="S7723">
        <v>0.97248840000000003</v>
      </c>
      <c r="T7723">
        <v>-0.25012250000000003</v>
      </c>
      <c r="U7723">
        <v>2.8560180000000002</v>
      </c>
      <c r="V7723">
        <v>-0.32135439999999998</v>
      </c>
      <c r="W7723">
        <v>-2.3868770000000001E-2</v>
      </c>
      <c r="X7723">
        <v>0.94665809999999995</v>
      </c>
      <c r="Y7723">
        <v>-0.43287360000000003</v>
      </c>
      <c r="Z7723">
        <v>-3.5639900000000002E-2</v>
      </c>
      <c r="AA7723">
        <v>0.90074980000000004</v>
      </c>
      <c r="AB7723">
        <v>24</v>
      </c>
      <c r="AC7723">
        <v>4.2512000000000096</v>
      </c>
      <c r="AD7723">
        <v>-1.115805050004</v>
      </c>
      <c r="AE7723">
        <v>12.645099999999999</v>
      </c>
      <c r="AF7723">
        <v>-5.7827345951569296</v>
      </c>
      <c r="AG7723">
        <v>-1.115805050004</v>
      </c>
      <c r="AH7723">
        <v>11.919189642782399</v>
      </c>
      <c r="AI7723">
        <v>94.814373854255507</v>
      </c>
      <c r="AJ7723">
        <v>115.880886297966</v>
      </c>
      <c r="AK7723">
        <v>13.2948156079071</v>
      </c>
      <c r="AL7723">
        <v>91.367709722331298</v>
      </c>
      <c r="AM7723">
        <v>108.75039488713701</v>
      </c>
      <c r="AN7723">
        <v>0.99999996343814002</v>
      </c>
    </row>
    <row r="7724" spans="1:40" x14ac:dyDescent="0.25">
      <c r="A7724" t="str">
        <f>"20190305135112218"</f>
        <v>20190305135112218</v>
      </c>
      <c r="B7724" t="str">
        <f>"1551765072207074"</f>
        <v>1551765072207074</v>
      </c>
      <c r="C7724" t="s">
        <v>40</v>
      </c>
      <c r="D7724">
        <v>4.1971530000000001</v>
      </c>
      <c r="E7724">
        <v>0.45279770000000003</v>
      </c>
      <c r="F7724" t="s">
        <v>41</v>
      </c>
      <c r="G7724">
        <v>-196.67009999999999</v>
      </c>
      <c r="H7724">
        <v>1.0343990000000001</v>
      </c>
      <c r="I7724">
        <v>-53.335830000000001</v>
      </c>
      <c r="J7724">
        <v>-196.8623</v>
      </c>
      <c r="K7724">
        <v>1.1157330000000001</v>
      </c>
      <c r="L7724">
        <v>-54.153170000000003</v>
      </c>
      <c r="M7724">
        <v>0.69476210000000005</v>
      </c>
      <c r="N7724">
        <v>-1.150762E-2</v>
      </c>
      <c r="O7724">
        <v>0.7191476</v>
      </c>
      <c r="P7724">
        <v>0.42722379999999999</v>
      </c>
      <c r="Q7724">
        <v>-3.100058E-2</v>
      </c>
      <c r="R7724">
        <v>0.90361429999999998</v>
      </c>
      <c r="S7724">
        <v>0.95861819999999998</v>
      </c>
      <c r="T7724">
        <v>-0.24202789999999999</v>
      </c>
      <c r="U7724">
        <v>2.8613279999999999</v>
      </c>
      <c r="V7724">
        <v>-0.32025120000000001</v>
      </c>
      <c r="W7724">
        <v>-2.4817100000000002E-2</v>
      </c>
      <c r="X7724">
        <v>0.9470075</v>
      </c>
      <c r="Y7724">
        <v>-0.43021680000000001</v>
      </c>
      <c r="Z7724">
        <v>-3.4904360000000002E-2</v>
      </c>
      <c r="AA7724">
        <v>0.90205049999999998</v>
      </c>
      <c r="AB7724">
        <v>24</v>
      </c>
      <c r="AC7724">
        <v>0.192200000000013</v>
      </c>
      <c r="AD7724">
        <v>-8.1334000000000004E-2</v>
      </c>
      <c r="AE7724">
        <v>0.81733999999999396</v>
      </c>
      <c r="AF7724">
        <v>-0.425670845826147</v>
      </c>
      <c r="AG7724">
        <v>-8.1334000000000004E-2</v>
      </c>
      <c r="AH7724">
        <v>0.71466308569204995</v>
      </c>
      <c r="AI7724">
        <v>95.584477558305196</v>
      </c>
      <c r="AJ7724">
        <v>120.779064276757</v>
      </c>
      <c r="AK7724">
        <v>0.83579555789273596</v>
      </c>
      <c r="AL7724">
        <v>91.422061140683695</v>
      </c>
      <c r="AM7724">
        <v>108.684085286811</v>
      </c>
      <c r="AN7724">
        <v>0.99999996230504895</v>
      </c>
    </row>
    <row r="7725" spans="1:40" x14ac:dyDescent="0.25">
      <c r="A7725" t="str">
        <f>"20190305135112231"</f>
        <v>20190305135112231</v>
      </c>
      <c r="B7725" t="str">
        <f>"1551765072227570"</f>
        <v>1551765072227570</v>
      </c>
      <c r="C7725" t="s">
        <v>40</v>
      </c>
      <c r="D7725">
        <v>4.2027700000000001</v>
      </c>
      <c r="E7725">
        <v>0.45278479999999999</v>
      </c>
      <c r="F7725" t="s">
        <v>41</v>
      </c>
      <c r="G7725">
        <v>-196.5436</v>
      </c>
      <c r="H7725">
        <v>1.0336430000000001</v>
      </c>
      <c r="I7725">
        <v>-53.186390000000003</v>
      </c>
      <c r="J7725">
        <v>-196.77</v>
      </c>
      <c r="K7725">
        <v>1.115685</v>
      </c>
      <c r="L7725">
        <v>-54.049349999999997</v>
      </c>
      <c r="M7725">
        <v>0.69075549999999997</v>
      </c>
      <c r="N7725">
        <v>-1.1391979999999999E-2</v>
      </c>
      <c r="O7725">
        <v>0.72299869999999899</v>
      </c>
      <c r="P7725">
        <v>0.42263630000000002</v>
      </c>
      <c r="Q7725">
        <v>-3.2245339999999997E-2</v>
      </c>
      <c r="R7725">
        <v>0.90572560000000002</v>
      </c>
      <c r="S7725">
        <v>0.94429019999999997</v>
      </c>
      <c r="T7725">
        <v>-0.2432687</v>
      </c>
      <c r="U7725">
        <v>2.8652039999999999</v>
      </c>
      <c r="V7725">
        <v>-0.31974279999999999</v>
      </c>
      <c r="W7725">
        <v>-2.613155E-2</v>
      </c>
      <c r="X7725">
        <v>0.94714399999999999</v>
      </c>
      <c r="Y7725">
        <v>-0.42964190000000002</v>
      </c>
      <c r="Z7725">
        <v>-3.5617740000000002E-2</v>
      </c>
      <c r="AA7725">
        <v>0.9022966</v>
      </c>
      <c r="AB7725">
        <v>24</v>
      </c>
      <c r="AC7725">
        <v>0.22640000000001201</v>
      </c>
      <c r="AD7725">
        <v>-8.2041999999999907E-2</v>
      </c>
      <c r="AE7725">
        <v>0.86295999999999395</v>
      </c>
      <c r="AF7725">
        <v>-0.42880934743552801</v>
      </c>
      <c r="AG7725">
        <v>-8.2041999999999907E-2</v>
      </c>
      <c r="AH7725">
        <v>0.77381298563424505</v>
      </c>
      <c r="AI7725">
        <v>95.298230345747598</v>
      </c>
      <c r="AJ7725">
        <v>118.99307840239899</v>
      </c>
      <c r="AK7725">
        <v>0.88847897158473499</v>
      </c>
      <c r="AL7725">
        <v>91.497397923947105</v>
      </c>
      <c r="AM7725">
        <v>108.653975542122</v>
      </c>
      <c r="AN7725">
        <v>1.0000000363966199</v>
      </c>
    </row>
    <row r="7726" spans="1:40" x14ac:dyDescent="0.25">
      <c r="A7726" t="str">
        <f>"20190305135112244"</f>
        <v>20190305135112244</v>
      </c>
      <c r="B7726" t="str">
        <f>"1551765072237330"</f>
        <v>1551765072237330</v>
      </c>
      <c r="C7726" t="s">
        <v>40</v>
      </c>
      <c r="D7726">
        <v>4.3061509999999998</v>
      </c>
      <c r="E7726">
        <v>0.4534068</v>
      </c>
      <c r="F7726" t="s">
        <v>41</v>
      </c>
      <c r="G7726">
        <v>-196.45509999999999</v>
      </c>
      <c r="H7726">
        <v>1.0343560000000001</v>
      </c>
      <c r="I7726">
        <v>-53.077179999999998</v>
      </c>
      <c r="J7726">
        <v>-196.6773</v>
      </c>
      <c r="K7726">
        <v>1.115621</v>
      </c>
      <c r="L7726">
        <v>-53.943660000000001</v>
      </c>
      <c r="M7726">
        <v>0.68673769999999901</v>
      </c>
      <c r="N7726">
        <v>-1.1288909999999999E-2</v>
      </c>
      <c r="O7726">
        <v>0.72681750000000001</v>
      </c>
      <c r="P7726">
        <v>0.41807539999999999</v>
      </c>
      <c r="Q7726">
        <v>-3.3600289999999998E-2</v>
      </c>
      <c r="R7726">
        <v>0.90779069999999995</v>
      </c>
      <c r="S7726">
        <v>0.92955019999999999</v>
      </c>
      <c r="T7726">
        <v>-0.24009630000000001</v>
      </c>
      <c r="U7726">
        <v>2.8699650000000001</v>
      </c>
      <c r="V7726">
        <v>-0.3192045</v>
      </c>
      <c r="W7726">
        <v>-2.7537260000000001E-2</v>
      </c>
      <c r="X7726">
        <v>0.94728570000000001</v>
      </c>
      <c r="Y7726">
        <v>-0.4292764</v>
      </c>
      <c r="Z7726">
        <v>-3.5471900000000001E-2</v>
      </c>
      <c r="AA7726">
        <v>0.90247630000000001</v>
      </c>
      <c r="AB7726">
        <v>24</v>
      </c>
      <c r="AC7726">
        <v>0.222200000000015</v>
      </c>
      <c r="AD7726">
        <v>-8.1264999999999907E-2</v>
      </c>
      <c r="AE7726">
        <v>0.86647999999998804</v>
      </c>
      <c r="AF7726">
        <v>-0.43002417025659201</v>
      </c>
      <c r="AG7726">
        <v>-8.1264999999999907E-2</v>
      </c>
      <c r="AH7726">
        <v>0.77601119657485795</v>
      </c>
      <c r="AI7726">
        <v>95.233558753831602</v>
      </c>
      <c r="AJ7726">
        <v>118.99289096141101</v>
      </c>
      <c r="AK7726">
        <v>0.89090861733368198</v>
      </c>
      <c r="AL7726">
        <v>91.577968240658905</v>
      </c>
      <c r="AM7726">
        <v>108.62214455683301</v>
      </c>
      <c r="AN7726">
        <v>1.0000000054665199</v>
      </c>
    </row>
    <row r="7727" spans="1:40" x14ac:dyDescent="0.25">
      <c r="A7727" t="str">
        <f>"20190305135112264"</f>
        <v>20190305135112264</v>
      </c>
      <c r="B7727" t="str">
        <f>"1551765072257826"</f>
        <v>1551765072257826</v>
      </c>
      <c r="C7727" t="s">
        <v>40</v>
      </c>
      <c r="D7727">
        <v>4.3272459999999997</v>
      </c>
      <c r="E7727">
        <v>0.4545728</v>
      </c>
      <c r="F7727" t="s">
        <v>85</v>
      </c>
      <c r="G7727">
        <v>-192.48480000000001</v>
      </c>
      <c r="H7727" s="1">
        <v>-6.2909220000000004E-6</v>
      </c>
      <c r="I7727">
        <v>-40.847099999999998</v>
      </c>
      <c r="J7727">
        <v>-196.54310000000001</v>
      </c>
      <c r="K7727">
        <v>1.115534</v>
      </c>
      <c r="L7727">
        <v>-53.788879999999999</v>
      </c>
      <c r="M7727">
        <v>0.68091729999999995</v>
      </c>
      <c r="N7727">
        <v>-1.115089E-2</v>
      </c>
      <c r="O7727">
        <v>0.73227549999999997</v>
      </c>
      <c r="P7727">
        <v>0.4115743</v>
      </c>
      <c r="Q7727">
        <v>-3.6176130000000001E-2</v>
      </c>
      <c r="R7727">
        <v>0.91065790000000002</v>
      </c>
      <c r="S7727">
        <v>0.91946410000000001</v>
      </c>
      <c r="T7727">
        <v>-0.24466940000000001</v>
      </c>
      <c r="U7727">
        <v>2.872223</v>
      </c>
      <c r="V7727">
        <v>-0.31831789999999999</v>
      </c>
      <c r="W7727">
        <v>-3.0170760000000001E-2</v>
      </c>
      <c r="X7727">
        <v>0.94750380000000001</v>
      </c>
      <c r="Y7727">
        <v>-0.42516929999999997</v>
      </c>
      <c r="Z7727">
        <v>-3.7119859999999998E-2</v>
      </c>
      <c r="AA7727">
        <v>0.9043523</v>
      </c>
      <c r="AB7727">
        <v>24</v>
      </c>
      <c r="AC7727">
        <v>4.0583</v>
      </c>
      <c r="AD7727">
        <v>-1.115540290922</v>
      </c>
      <c r="AE7727">
        <v>12.94178</v>
      </c>
      <c r="AF7727">
        <v>-5.8016049255974798</v>
      </c>
      <c r="AG7727">
        <v>-1.115540290922</v>
      </c>
      <c r="AH7727">
        <v>12.158824662314199</v>
      </c>
      <c r="AI7727">
        <v>94.733530186703902</v>
      </c>
      <c r="AJ7727">
        <v>115.50822642546299</v>
      </c>
      <c r="AK7727">
        <v>13.518138445151701</v>
      </c>
      <c r="AL7727">
        <v>91.7289195693115</v>
      </c>
      <c r="AM7727">
        <v>108.56999155914001</v>
      </c>
      <c r="AN7727">
        <v>1.00000000561691</v>
      </c>
    </row>
    <row r="7728" spans="1:40" x14ac:dyDescent="0.25">
      <c r="A7728" t="str">
        <f>"20190305135112287"</f>
        <v>20190305135112287</v>
      </c>
      <c r="B7728" t="str">
        <f>"1551765072277346"</f>
        <v>1551765072277346</v>
      </c>
      <c r="C7728" t="s">
        <v>40</v>
      </c>
      <c r="D7728">
        <v>4.2322309999999996</v>
      </c>
      <c r="E7728">
        <v>0.45484409999999997</v>
      </c>
      <c r="F7728" t="s">
        <v>85</v>
      </c>
      <c r="G7728">
        <v>-192.57429999999999</v>
      </c>
      <c r="H7728" s="1">
        <v>-6.1783939999999901E-6</v>
      </c>
      <c r="I7728">
        <v>-41.213329999999999</v>
      </c>
      <c r="J7728">
        <v>-196.38820000000001</v>
      </c>
      <c r="K7728">
        <v>1.11544</v>
      </c>
      <c r="L7728">
        <v>-53.607480000000002</v>
      </c>
      <c r="M7728">
        <v>0.67420979999999997</v>
      </c>
      <c r="N7728">
        <v>-1.101124E-2</v>
      </c>
      <c r="O7728">
        <v>0.738457699999999</v>
      </c>
      <c r="P7728">
        <v>0.4035784</v>
      </c>
      <c r="Q7728">
        <v>-3.7127449999999999E-2</v>
      </c>
      <c r="R7728">
        <v>0.91419150000000005</v>
      </c>
      <c r="S7728">
        <v>0.90710449999999998</v>
      </c>
      <c r="T7728">
        <v>-0.25496530000000001</v>
      </c>
      <c r="U7728">
        <v>2.8742369999999999</v>
      </c>
      <c r="V7728">
        <v>-0.31794299999999998</v>
      </c>
      <c r="W7728">
        <v>-3.1175939999999999E-2</v>
      </c>
      <c r="X7728">
        <v>0.94759709999999997</v>
      </c>
      <c r="Y7728">
        <v>-0.42065760000000002</v>
      </c>
      <c r="Z7728">
        <v>-4.0003280000000002E-2</v>
      </c>
      <c r="AA7728">
        <v>0.90633710000000001</v>
      </c>
      <c r="AB7728">
        <v>24</v>
      </c>
      <c r="AC7728">
        <v>3.8139000000000101</v>
      </c>
      <c r="AD7728">
        <v>-1.115446178394</v>
      </c>
      <c r="AE7728">
        <v>12.39415</v>
      </c>
      <c r="AF7728">
        <v>-5.4994990450102001</v>
      </c>
      <c r="AG7728">
        <v>-1.115446178394</v>
      </c>
      <c r="AH7728">
        <v>11.638522470352299</v>
      </c>
      <c r="AI7728">
        <v>94.952527502221898</v>
      </c>
      <c r="AJ7728">
        <v>115.291930359636</v>
      </c>
      <c r="AK7728">
        <v>12.920677815651</v>
      </c>
      <c r="AL7728">
        <v>91.786539306092095</v>
      </c>
      <c r="AM7728">
        <v>108.547916592994</v>
      </c>
      <c r="AN7728">
        <v>0.99999997720614597</v>
      </c>
    </row>
    <row r="7729" spans="1:40" x14ac:dyDescent="0.25">
      <c r="A7729" t="str">
        <f>"20190305135112307"</f>
        <v>20190305135112307</v>
      </c>
      <c r="B7729" t="str">
        <f>"1551765072297845"</f>
        <v>1551765072297845</v>
      </c>
      <c r="C7729" t="s">
        <v>40</v>
      </c>
      <c r="D7729">
        <v>4.2441519999999997</v>
      </c>
      <c r="E7729">
        <v>0.45512029999999998</v>
      </c>
      <c r="F7729" t="s">
        <v>85</v>
      </c>
      <c r="G7729">
        <v>-192.45769999999999</v>
      </c>
      <c r="H7729" s="1">
        <v>-6.3063220000000003E-6</v>
      </c>
      <c r="I7729">
        <v>-40.791980000000002</v>
      </c>
      <c r="J7729">
        <v>-196.2456</v>
      </c>
      <c r="K7729">
        <v>1.115361</v>
      </c>
      <c r="L7729">
        <v>-53.437769999999901</v>
      </c>
      <c r="M7729">
        <v>0.6680566</v>
      </c>
      <c r="N7729">
        <v>-1.0906539999999999E-2</v>
      </c>
      <c r="O7729">
        <v>0.74403059999999999</v>
      </c>
      <c r="P7729">
        <v>0.39675919999999998</v>
      </c>
      <c r="Q7729">
        <v>-3.6829529999999999E-2</v>
      </c>
      <c r="R7729">
        <v>0.91718359999999999</v>
      </c>
      <c r="S7729">
        <v>0.88369750000000002</v>
      </c>
      <c r="T7729">
        <v>-0.2507838</v>
      </c>
      <c r="U7729">
        <v>2.8812869999999999</v>
      </c>
      <c r="V7729">
        <v>-0.3171504</v>
      </c>
      <c r="W7729">
        <v>-3.0894419999999999E-2</v>
      </c>
      <c r="X7729">
        <v>0.94787189999999999</v>
      </c>
      <c r="Y7729">
        <v>-0.42048429999999998</v>
      </c>
      <c r="Z7729">
        <v>-3.9822370000000003E-2</v>
      </c>
      <c r="AA7729">
        <v>0.9064255</v>
      </c>
      <c r="AB7729">
        <v>24</v>
      </c>
      <c r="AC7729">
        <v>3.7879</v>
      </c>
      <c r="AD7729">
        <v>-1.115367306322</v>
      </c>
      <c r="AE7729">
        <v>12.6457899999999</v>
      </c>
      <c r="AF7729">
        <v>-5.5902168639310501</v>
      </c>
      <c r="AG7729">
        <v>-1.115367306322</v>
      </c>
      <c r="AH7729">
        <v>11.855461603587701</v>
      </c>
      <c r="AI7729">
        <v>94.863857290663304</v>
      </c>
      <c r="AJ7729">
        <v>115.245327501133</v>
      </c>
      <c r="AK7729">
        <v>13.1547154529443</v>
      </c>
      <c r="AL7729">
        <v>91.770401601334697</v>
      </c>
      <c r="AM7729">
        <v>108.49983141450301</v>
      </c>
      <c r="AN7729">
        <v>0.99999999010845297</v>
      </c>
    </row>
    <row r="7730" spans="1:40" x14ac:dyDescent="0.25">
      <c r="A7730" t="str">
        <f>"20190305135112320"</f>
        <v>20190305135112320</v>
      </c>
      <c r="B7730" t="str">
        <f>"1551765072317362"</f>
        <v>1551765072317362</v>
      </c>
      <c r="C7730" t="s">
        <v>40</v>
      </c>
      <c r="D7730">
        <v>4.2192910000000001</v>
      </c>
      <c r="E7730">
        <v>0.45542640000000001</v>
      </c>
      <c r="F7730" t="s">
        <v>42</v>
      </c>
      <c r="G7730">
        <v>-192.28729999999999</v>
      </c>
      <c r="H7730" s="1">
        <v>-6.9398319999999999E-7</v>
      </c>
      <c r="I7730">
        <v>-40.211849999999998</v>
      </c>
      <c r="J7730">
        <v>-196.1617</v>
      </c>
      <c r="K7730">
        <v>1.1153150000000001</v>
      </c>
      <c r="L7730">
        <v>-53.336460000000002</v>
      </c>
      <c r="M7730">
        <v>0.66445129999999997</v>
      </c>
      <c r="N7730">
        <v>-1.085759E-2</v>
      </c>
      <c r="O7730">
        <v>0.74725269999999899</v>
      </c>
      <c r="P7730">
        <v>0.39244709999999999</v>
      </c>
      <c r="Q7730">
        <v>-3.6026320000000001E-2</v>
      </c>
      <c r="R7730">
        <v>0.91906880000000002</v>
      </c>
      <c r="S7730">
        <v>0.86412049999999996</v>
      </c>
      <c r="T7730">
        <v>-0.24349009999999999</v>
      </c>
      <c r="U7730">
        <v>2.8872990000000001</v>
      </c>
      <c r="V7730">
        <v>-0.31705460000000002</v>
      </c>
      <c r="W7730">
        <v>-3.0095150000000001E-2</v>
      </c>
      <c r="X7730">
        <v>0.94792969999999999</v>
      </c>
      <c r="Y7730">
        <v>-0.42225040000000003</v>
      </c>
      <c r="Z7730">
        <v>-3.8665749999999999E-2</v>
      </c>
      <c r="AA7730">
        <v>0.90565419999999996</v>
      </c>
      <c r="AB7730">
        <v>24</v>
      </c>
      <c r="AC7730">
        <v>3.8744000000000001</v>
      </c>
      <c r="AD7730">
        <v>-1.1153156939831901</v>
      </c>
      <c r="AE7730">
        <v>13.124609999999899</v>
      </c>
      <c r="AF7730">
        <v>-5.7874084388221396</v>
      </c>
      <c r="AG7730">
        <v>-1.1153156939831901</v>
      </c>
      <c r="AH7730">
        <v>12.300771491386</v>
      </c>
      <c r="AI7730">
        <v>94.690231200758404</v>
      </c>
      <c r="AJ7730">
        <v>115.196585862281</v>
      </c>
      <c r="AK7730">
        <v>13.6399048683739</v>
      </c>
      <c r="AL7730">
        <v>91.724585430804595</v>
      </c>
      <c r="AM7730">
        <v>108.493572479593</v>
      </c>
      <c r="AN7730">
        <v>1.00000002678838</v>
      </c>
    </row>
    <row r="7731" spans="1:40" x14ac:dyDescent="0.25">
      <c r="A7731" t="str">
        <f>"20190305135112333"</f>
        <v>20190305135112333</v>
      </c>
      <c r="B7731" t="str">
        <f>"1551765072327122"</f>
        <v>1551765072327122</v>
      </c>
      <c r="C7731" t="s">
        <v>40</v>
      </c>
      <c r="D7731">
        <v>4.2292300000000003</v>
      </c>
      <c r="E7731">
        <v>0.4556442</v>
      </c>
      <c r="F7731" t="s">
        <v>42</v>
      </c>
      <c r="G7731">
        <v>-192.12899999999999</v>
      </c>
      <c r="H7731" s="1">
        <v>-8.8776519999999901E-7</v>
      </c>
      <c r="I7731">
        <v>-39.661940000000001</v>
      </c>
      <c r="J7731">
        <v>-196.0685</v>
      </c>
      <c r="K7731">
        <v>1.115265</v>
      </c>
      <c r="L7731">
        <v>-53.223050000000001</v>
      </c>
      <c r="M7731">
        <v>0.66044440000000004</v>
      </c>
      <c r="N7731">
        <v>-1.081065E-2</v>
      </c>
      <c r="O7731">
        <v>0.7507971</v>
      </c>
      <c r="P7731">
        <v>0.38803530000000003</v>
      </c>
      <c r="Q7731">
        <v>-3.5541959999999997E-2</v>
      </c>
      <c r="R7731">
        <v>0.92095890000000002</v>
      </c>
      <c r="S7731">
        <v>0.85255429999999999</v>
      </c>
      <c r="T7731">
        <v>-0.23578640000000001</v>
      </c>
      <c r="U7731">
        <v>2.8908999999999998</v>
      </c>
      <c r="V7731">
        <v>-0.31655169999999999</v>
      </c>
      <c r="W7731">
        <v>-2.9601659999999998E-2</v>
      </c>
      <c r="X7731">
        <v>0.94811330000000005</v>
      </c>
      <c r="Y7731">
        <v>-0.421041</v>
      </c>
      <c r="Z7731">
        <v>-3.7539450000000002E-2</v>
      </c>
      <c r="AA7731">
        <v>0.90626450000000003</v>
      </c>
      <c r="AB7731">
        <v>24</v>
      </c>
      <c r="AC7731">
        <v>3.9394999999999798</v>
      </c>
      <c r="AD7731">
        <v>-1.1152658877652</v>
      </c>
      <c r="AE7731">
        <v>13.561109999999999</v>
      </c>
      <c r="AF7731">
        <v>-5.9617607234557397</v>
      </c>
      <c r="AG7731">
        <v>-1.1152658877652</v>
      </c>
      <c r="AH7731">
        <v>12.7049682825765</v>
      </c>
      <c r="AI7731">
        <v>94.543616109305205</v>
      </c>
      <c r="AJ7731">
        <v>115.138148821065</v>
      </c>
      <c r="AK7731">
        <v>14.0784455102624</v>
      </c>
      <c r="AL7731">
        <v>91.696297922062698</v>
      </c>
      <c r="AM7731">
        <v>108.46289619885999</v>
      </c>
      <c r="AN7731">
        <v>1.0000000333422601</v>
      </c>
    </row>
    <row r="7732" spans="1:40" x14ac:dyDescent="0.25">
      <c r="A7732" t="str">
        <f>"20190305135112345"</f>
        <v>20190305135112345</v>
      </c>
      <c r="B7732" t="str">
        <f>"1551765072336882"</f>
        <v>1551765072336882</v>
      </c>
      <c r="C7732" t="s">
        <v>40</v>
      </c>
      <c r="D7732">
        <v>4.2419840000000004</v>
      </c>
      <c r="E7732">
        <v>0.45587080000000002</v>
      </c>
      <c r="F7732" t="s">
        <v>41</v>
      </c>
      <c r="G7732">
        <v>-195.78139999999999</v>
      </c>
      <c r="H7732">
        <v>1.036165</v>
      </c>
      <c r="I7732">
        <v>-52.23415</v>
      </c>
      <c r="J7732">
        <v>-195.98269999999999</v>
      </c>
      <c r="K7732">
        <v>1.1152230000000001</v>
      </c>
      <c r="L7732">
        <v>-53.117739999999998</v>
      </c>
      <c r="M7732">
        <v>0.65677200000000002</v>
      </c>
      <c r="N7732">
        <v>-1.077821E-2</v>
      </c>
      <c r="O7732">
        <v>0.75401219999999902</v>
      </c>
      <c r="P7732">
        <v>0.38402419999999998</v>
      </c>
      <c r="Q7732">
        <v>-3.5547019999999999E-2</v>
      </c>
      <c r="R7732">
        <v>0.92263850000000003</v>
      </c>
      <c r="S7732">
        <v>0.84030149999999904</v>
      </c>
      <c r="T7732">
        <v>-0.2315267</v>
      </c>
      <c r="U7732">
        <v>2.894501</v>
      </c>
      <c r="V7732">
        <v>-0.31605260000000002</v>
      </c>
      <c r="W7732">
        <v>-2.958827E-2</v>
      </c>
      <c r="X7732">
        <v>0.94828020000000002</v>
      </c>
      <c r="Y7732">
        <v>-0.42045549999999998</v>
      </c>
      <c r="Z7732">
        <v>-3.702047E-2</v>
      </c>
      <c r="AA7732">
        <v>0.90655759999999996</v>
      </c>
      <c r="AB7732">
        <v>24</v>
      </c>
      <c r="AC7732">
        <v>0.201300000000003</v>
      </c>
      <c r="AD7732">
        <v>-7.9057999999999795E-2</v>
      </c>
      <c r="AE7732">
        <v>0.88359000000000498</v>
      </c>
      <c r="AF7732">
        <v>-0.42532247540081902</v>
      </c>
      <c r="AG7732">
        <v>-7.9057999999999795E-2</v>
      </c>
      <c r="AH7732">
        <v>0.79246116755895002</v>
      </c>
      <c r="AI7732">
        <v>95.023516472073396</v>
      </c>
      <c r="AJ7732">
        <v>118.22293620310199</v>
      </c>
      <c r="AK7732">
        <v>0.90285329790280699</v>
      </c>
      <c r="AL7732">
        <v>91.6955304100604</v>
      </c>
      <c r="AM7732">
        <v>108.432730145173</v>
      </c>
      <c r="AN7732">
        <v>1.0000000247001899</v>
      </c>
    </row>
    <row r="7733" spans="1:40" x14ac:dyDescent="0.25">
      <c r="A7733" t="str">
        <f>"20190305135112364"</f>
        <v>20190305135112364</v>
      </c>
      <c r="B7733" t="str">
        <f>"1551765072357378"</f>
        <v>1551765072357378</v>
      </c>
      <c r="C7733" t="s">
        <v>40</v>
      </c>
      <c r="D7733">
        <v>4.2956659999999998</v>
      </c>
      <c r="E7733">
        <v>0.45631969999999999</v>
      </c>
      <c r="F7733" t="s">
        <v>42</v>
      </c>
      <c r="G7733">
        <v>-191.93770000000001</v>
      </c>
      <c r="H7733" s="1">
        <v>-1.128261E-6</v>
      </c>
      <c r="I7733">
        <v>-38.982669999999999</v>
      </c>
      <c r="J7733">
        <v>-195.8646</v>
      </c>
      <c r="K7733">
        <v>1.1151660000000001</v>
      </c>
      <c r="L7733">
        <v>-52.970979999999997</v>
      </c>
      <c r="M7733">
        <v>0.65171969999999901</v>
      </c>
      <c r="N7733">
        <v>-1.074523E-2</v>
      </c>
      <c r="O7733">
        <v>0.75838380000000005</v>
      </c>
      <c r="P7733">
        <v>0.37862089999999998</v>
      </c>
      <c r="Q7733">
        <v>-3.4763740000000001E-2</v>
      </c>
      <c r="R7733">
        <v>0.92489869999999996</v>
      </c>
      <c r="S7733">
        <v>0.82920839999999996</v>
      </c>
      <c r="T7733">
        <v>-0.2286127</v>
      </c>
      <c r="U7733">
        <v>2.897583</v>
      </c>
      <c r="V7733">
        <v>-0.31529810000000003</v>
      </c>
      <c r="W7733">
        <v>-2.877066E-2</v>
      </c>
      <c r="X7733">
        <v>0.94855639999999997</v>
      </c>
      <c r="Y7733">
        <v>-0.41786220000000002</v>
      </c>
      <c r="Z7733">
        <v>-3.6930490000000003E-2</v>
      </c>
      <c r="AA7733">
        <v>0.90775950000000005</v>
      </c>
      <c r="AB7733">
        <v>24</v>
      </c>
      <c r="AC7733">
        <v>3.9268999999999799</v>
      </c>
      <c r="AD7733">
        <v>-1.1151671282609901</v>
      </c>
      <c r="AE7733">
        <v>13.98831</v>
      </c>
      <c r="AF7733">
        <v>-6.1027614840726603</v>
      </c>
      <c r="AG7733">
        <v>-1.1151671282609901</v>
      </c>
      <c r="AH7733">
        <v>13.0913816930875</v>
      </c>
      <c r="AI7733">
        <v>94.414846661858903</v>
      </c>
      <c r="AJ7733">
        <v>114.993348849526</v>
      </c>
      <c r="AK7733">
        <v>14.4869448155759</v>
      </c>
      <c r="AL7733">
        <v>91.648664985878298</v>
      </c>
      <c r="AM7733">
        <v>108.38669553710599</v>
      </c>
      <c r="AN7733">
        <v>0.99999994336070097</v>
      </c>
    </row>
    <row r="7734" spans="1:40" x14ac:dyDescent="0.25">
      <c r="A7734" t="str">
        <f>"20190305135112378"</f>
        <v>20190305135112378</v>
      </c>
      <c r="B7734" t="str">
        <f>"1551765072367138"</f>
        <v>1551765072367138</v>
      </c>
      <c r="C7734" t="s">
        <v>40</v>
      </c>
      <c r="D7734">
        <v>4.528397</v>
      </c>
      <c r="E7734">
        <v>0.45631969999999999</v>
      </c>
      <c r="F7734" t="s">
        <v>42</v>
      </c>
      <c r="G7734">
        <v>-191.7561</v>
      </c>
      <c r="H7734" s="1">
        <v>-1.3501800000000001E-6</v>
      </c>
      <c r="I7734">
        <v>-38.35275</v>
      </c>
      <c r="J7734">
        <v>-195.76390000000001</v>
      </c>
      <c r="K7734">
        <v>1.1151180000000001</v>
      </c>
      <c r="L7734">
        <v>-52.844239999999999</v>
      </c>
      <c r="M7734">
        <v>0.6474143</v>
      </c>
      <c r="N7734">
        <v>-1.072535E-2</v>
      </c>
      <c r="O7734">
        <v>0.76206280000000004</v>
      </c>
      <c r="P7734">
        <v>0.37396360000000001</v>
      </c>
      <c r="Q7734">
        <v>-3.4099409999999997E-2</v>
      </c>
      <c r="R7734">
        <v>0.92681630000000004</v>
      </c>
      <c r="S7734">
        <v>0.81547550000000002</v>
      </c>
      <c r="T7734">
        <v>-0.2213408</v>
      </c>
      <c r="U7734">
        <v>2.901459</v>
      </c>
      <c r="V7734">
        <v>-0.31472630000000001</v>
      </c>
      <c r="W7734">
        <v>-2.8072650000000001E-2</v>
      </c>
      <c r="X7734">
        <v>0.94876719999999903</v>
      </c>
      <c r="Y7734">
        <v>-0.41701389999999999</v>
      </c>
      <c r="Z7734">
        <v>-3.580759E-2</v>
      </c>
      <c r="AA7734">
        <v>0.90819450000000002</v>
      </c>
      <c r="AB7734">
        <v>24</v>
      </c>
      <c r="AC7734">
        <v>4.0077999999999996</v>
      </c>
      <c r="AD7734">
        <v>-1.1151193501799901</v>
      </c>
      <c r="AE7734">
        <v>14.491490000000001</v>
      </c>
      <c r="AF7734">
        <v>-6.29354836232159</v>
      </c>
      <c r="AG7734">
        <v>-1.1151193501799901</v>
      </c>
      <c r="AH7734">
        <v>13.564305371731001</v>
      </c>
      <c r="AI7734">
        <v>94.264869907991795</v>
      </c>
      <c r="AJ7734">
        <v>114.89029449016201</v>
      </c>
      <c r="AK7734">
        <v>14.994753161409401</v>
      </c>
      <c r="AL7734">
        <v>91.608655768281295</v>
      </c>
      <c r="AM7734">
        <v>108.35178282476301</v>
      </c>
      <c r="AN7734">
        <v>0.99999995869277503</v>
      </c>
    </row>
    <row r="7735" spans="1:40" x14ac:dyDescent="0.25">
      <c r="A7735" t="str">
        <f>"20190305135112397"</f>
        <v>20190305135112397</v>
      </c>
      <c r="B7735" t="str">
        <f>"1551765072387637"</f>
        <v>1551765072387637</v>
      </c>
      <c r="C7735" t="s">
        <v>40</v>
      </c>
      <c r="D7735">
        <v>4.3641969999999999</v>
      </c>
      <c r="E7735">
        <v>0.50629799999999903</v>
      </c>
      <c r="F7735" t="s">
        <v>42</v>
      </c>
      <c r="G7735">
        <v>-191.69309999999999</v>
      </c>
      <c r="H7735" s="1">
        <v>-1.453281E-6</v>
      </c>
      <c r="I7735">
        <v>-38.073349999999998</v>
      </c>
      <c r="J7735">
        <v>-195.64340000000001</v>
      </c>
      <c r="K7735">
        <v>1.115062</v>
      </c>
      <c r="L7735">
        <v>-52.691040000000001</v>
      </c>
      <c r="M7735">
        <v>0.64227279999999998</v>
      </c>
      <c r="N7735">
        <v>-1.070893E-2</v>
      </c>
      <c r="O7735">
        <v>0.76640129999999995</v>
      </c>
      <c r="P7735">
        <v>0.36869190000000002</v>
      </c>
      <c r="Q7735">
        <v>-3.2191589999999999E-2</v>
      </c>
      <c r="R7735">
        <v>0.92899410000000004</v>
      </c>
      <c r="S7735">
        <v>0.80079650000000002</v>
      </c>
      <c r="T7735">
        <v>-0.219364</v>
      </c>
      <c r="U7735">
        <v>2.9057010000000001</v>
      </c>
      <c r="V7735">
        <v>-0.31380629999999998</v>
      </c>
      <c r="W7735">
        <v>-2.6114789999999999E-2</v>
      </c>
      <c r="X7735">
        <v>0.94912779999999997</v>
      </c>
      <c r="Y7735">
        <v>-0.41550779999999898</v>
      </c>
      <c r="Z7735">
        <v>-3.5823830000000001E-2</v>
      </c>
      <c r="AA7735">
        <v>0.90888389999999997</v>
      </c>
      <c r="AB7735">
        <v>24</v>
      </c>
      <c r="AC7735">
        <v>3.9503000000000199</v>
      </c>
      <c r="AD7735">
        <v>-1.115063453281</v>
      </c>
      <c r="AE7735">
        <v>14.61769</v>
      </c>
      <c r="AF7735">
        <v>-6.3270834676041403</v>
      </c>
      <c r="AG7735">
        <v>-1.115063453281</v>
      </c>
      <c r="AH7735">
        <v>13.666861212679599</v>
      </c>
      <c r="AI7735">
        <v>94.234426027415097</v>
      </c>
      <c r="AJ7735">
        <v>114.84181223558301</v>
      </c>
      <c r="AK7735">
        <v>15.1016041239836</v>
      </c>
      <c r="AL7735">
        <v>91.496437405619702</v>
      </c>
      <c r="AM7735">
        <v>108.295227198766</v>
      </c>
      <c r="AN7735">
        <v>0.99999997845463595</v>
      </c>
    </row>
    <row r="7736" spans="1:40" x14ac:dyDescent="0.25">
      <c r="A7736" t="str">
        <f>"20190305135112412"</f>
        <v>20190305135112412</v>
      </c>
      <c r="B7736" t="str">
        <f>"1551765072397395"</f>
        <v>1551765072397395</v>
      </c>
      <c r="C7736" t="s">
        <v>40</v>
      </c>
      <c r="D7736">
        <v>4.2564320000000002</v>
      </c>
      <c r="E7736">
        <v>0.51025259999999995</v>
      </c>
      <c r="F7736" t="s">
        <v>42</v>
      </c>
      <c r="G7736">
        <v>-188.37700000000001</v>
      </c>
      <c r="H7736" s="1">
        <v>-2.4676860000000001E-6</v>
      </c>
      <c r="I7736">
        <v>-35.286059999999999</v>
      </c>
      <c r="J7736">
        <v>-195.55619999999999</v>
      </c>
      <c r="K7736">
        <v>1.11502099999999</v>
      </c>
      <c r="L7736">
        <v>-52.579189999999997</v>
      </c>
      <c r="M7736">
        <v>0.63855530000000005</v>
      </c>
      <c r="N7736">
        <v>-1.0700370000000001E-2</v>
      </c>
      <c r="O7736">
        <v>0.76950149999999995</v>
      </c>
      <c r="P7736">
        <v>0.36448390000000003</v>
      </c>
      <c r="Q7736">
        <v>-3.146094E-2</v>
      </c>
      <c r="R7736">
        <v>0.93067809999999995</v>
      </c>
      <c r="S7736">
        <v>1.154358</v>
      </c>
      <c r="T7736">
        <v>-0.17714299999999999</v>
      </c>
      <c r="U7736">
        <v>2.765015</v>
      </c>
      <c r="V7736">
        <v>-0.31353550000000002</v>
      </c>
      <c r="W7736">
        <v>-2.5352090000000001E-2</v>
      </c>
      <c r="X7736">
        <v>0.94923800000000003</v>
      </c>
      <c r="Y7736">
        <v>-0.29290569999999999</v>
      </c>
      <c r="Z7736">
        <v>-3.0537809999999999E-2</v>
      </c>
      <c r="AA7736">
        <v>0.95565350000000004</v>
      </c>
      <c r="AB7736">
        <v>24</v>
      </c>
      <c r="AC7736">
        <v>7.1791999999999803</v>
      </c>
      <c r="AD7736">
        <v>-1.11502346768599</v>
      </c>
      <c r="AE7736">
        <v>17.293130000000001</v>
      </c>
      <c r="AF7736">
        <v>-5.4990300696336902</v>
      </c>
      <c r="AG7736">
        <v>-1.11502346768599</v>
      </c>
      <c r="AH7736">
        <v>17.829204580325101</v>
      </c>
      <c r="AI7736">
        <v>93.419999321970195</v>
      </c>
      <c r="AJ7736">
        <v>107.141239687826</v>
      </c>
      <c r="AK7736">
        <v>18.691258518551098</v>
      </c>
      <c r="AL7736">
        <v>91.452723391254807</v>
      </c>
      <c r="AM7736">
        <v>108.278508373694</v>
      </c>
      <c r="AN7736">
        <v>1.0000000094357999</v>
      </c>
    </row>
    <row r="7737" spans="1:40" x14ac:dyDescent="0.25">
      <c r="A7737" t="str">
        <f>"20190305135112424"</f>
        <v>20190305135112424</v>
      </c>
      <c r="B7737" t="str">
        <f>"1551765072416915"</f>
        <v>1551765072416915</v>
      </c>
      <c r="C7737" t="s">
        <v>40</v>
      </c>
      <c r="D7737">
        <v>4.3573000000000004</v>
      </c>
      <c r="E7737">
        <v>0.51430229999999999</v>
      </c>
      <c r="F7737" t="s">
        <v>42</v>
      </c>
      <c r="G7737">
        <v>-188.71690000000001</v>
      </c>
      <c r="H7737" s="1">
        <v>-1.895919E-6</v>
      </c>
      <c r="I7737">
        <v>-36.478340000000003</v>
      </c>
      <c r="J7737">
        <v>-195.45959999999999</v>
      </c>
      <c r="K7737">
        <v>1.1149690000000001</v>
      </c>
      <c r="L7737">
        <v>-52.453580000000002</v>
      </c>
      <c r="M7737">
        <v>0.63444500000000004</v>
      </c>
      <c r="N7737">
        <v>-1.069351E-2</v>
      </c>
      <c r="O7737">
        <v>0.77289399999999997</v>
      </c>
      <c r="P7737">
        <v>0.360018</v>
      </c>
      <c r="Q7737">
        <v>-3.1415949999999998E-2</v>
      </c>
      <c r="R7737">
        <v>0.93241629999999998</v>
      </c>
      <c r="S7737">
        <v>1.171616</v>
      </c>
      <c r="T7737">
        <v>-0.19100829999999999</v>
      </c>
      <c r="U7737">
        <v>2.7581479999999998</v>
      </c>
      <c r="V7737">
        <v>-0.31303189999999997</v>
      </c>
      <c r="W7737">
        <v>-2.5265820000000001E-2</v>
      </c>
      <c r="X7737">
        <v>0.94940650000000004</v>
      </c>
      <c r="Y7737">
        <v>-0.28192139999999999</v>
      </c>
      <c r="Z7737">
        <v>-3.41459E-2</v>
      </c>
      <c r="AA7737">
        <v>0.95882970000000001</v>
      </c>
      <c r="AB7737">
        <v>24</v>
      </c>
      <c r="AC7737">
        <v>6.7426999999999797</v>
      </c>
      <c r="AD7737">
        <v>-1.1149708959189999</v>
      </c>
      <c r="AE7737">
        <v>15.975239999999999</v>
      </c>
      <c r="AF7737">
        <v>-4.9040242769732298</v>
      </c>
      <c r="AG7737">
        <v>-1.1149708959189999</v>
      </c>
      <c r="AH7737">
        <v>16.5575317419496</v>
      </c>
      <c r="AI7737">
        <v>93.694272880897202</v>
      </c>
      <c r="AJ7737">
        <v>106.498281880081</v>
      </c>
      <c r="AK7737">
        <v>17.304463921010601</v>
      </c>
      <c r="AL7737">
        <v>91.447778889382406</v>
      </c>
      <c r="AM7737">
        <v>108.248072439559</v>
      </c>
      <c r="AN7737">
        <v>1.00000001716006</v>
      </c>
    </row>
    <row r="7738" spans="1:40" x14ac:dyDescent="0.25">
      <c r="A7738" t="str">
        <f>"20190305135112441"</f>
        <v>20190305135112441</v>
      </c>
      <c r="B7738" t="str">
        <f>"1551765072437410"</f>
        <v>1551765072437410</v>
      </c>
      <c r="C7738" t="s">
        <v>40</v>
      </c>
      <c r="D7738">
        <v>4.3361510000000001</v>
      </c>
      <c r="E7738">
        <v>0.51599289999999998</v>
      </c>
      <c r="F7738" t="s">
        <v>42</v>
      </c>
      <c r="G7738">
        <v>-188.09540000000001</v>
      </c>
      <c r="H7738" s="1">
        <v>-2.4704199999999998E-6</v>
      </c>
      <c r="I7738">
        <v>-35.396140000000003</v>
      </c>
      <c r="J7738">
        <v>-195.35720000000001</v>
      </c>
      <c r="K7738">
        <v>1.114892</v>
      </c>
      <c r="L7738">
        <v>-52.319090000000003</v>
      </c>
      <c r="M7738">
        <v>0.63009569999999904</v>
      </c>
      <c r="N7738">
        <v>-1.0687479999999999E-2</v>
      </c>
      <c r="O7738">
        <v>0.77644399999999902</v>
      </c>
      <c r="P7738">
        <v>0.35517189999999998</v>
      </c>
      <c r="Q7738">
        <v>-3.241608E-2</v>
      </c>
      <c r="R7738">
        <v>0.93423880000000004</v>
      </c>
      <c r="S7738">
        <v>1.1883539999999999</v>
      </c>
      <c r="T7738">
        <v>-0.1799212</v>
      </c>
      <c r="U7738">
        <v>2.7525330000000001</v>
      </c>
      <c r="V7738">
        <v>-0.3126004</v>
      </c>
      <c r="W7738">
        <v>-2.622186E-2</v>
      </c>
      <c r="X7738">
        <v>0.94952270000000005</v>
      </c>
      <c r="Y7738">
        <v>-0.27086850000000001</v>
      </c>
      <c r="Z7738">
        <v>-3.2099900000000001E-2</v>
      </c>
      <c r="AA7738">
        <v>0.96208099999999996</v>
      </c>
      <c r="AB7738">
        <v>24</v>
      </c>
      <c r="AC7738">
        <v>7.2617999999999903</v>
      </c>
      <c r="AD7738">
        <v>-1.1148944704199999</v>
      </c>
      <c r="AE7738">
        <v>16.92295</v>
      </c>
      <c r="AF7738">
        <v>-5.0066327238979103</v>
      </c>
      <c r="AG7738">
        <v>-1.1148944704199999</v>
      </c>
      <c r="AH7738">
        <v>17.651663570149701</v>
      </c>
      <c r="AI7738">
        <v>93.477242491787905</v>
      </c>
      <c r="AJ7738">
        <v>105.835201874573</v>
      </c>
      <c r="AK7738">
        <v>18.3818004478867</v>
      </c>
      <c r="AL7738">
        <v>91.502574168704996</v>
      </c>
      <c r="AM7738">
        <v>108.22249909059001</v>
      </c>
      <c r="AN7738">
        <v>0.99999997691865405</v>
      </c>
    </row>
    <row r="7739" spans="1:40" x14ac:dyDescent="0.25">
      <c r="A7739" t="str">
        <f>"20190305135112454"</f>
        <v>20190305135112454</v>
      </c>
      <c r="B7739" t="str">
        <f>"1551765072447171"</f>
        <v>1551765072447171</v>
      </c>
      <c r="C7739" t="s">
        <v>40</v>
      </c>
      <c r="D7739">
        <v>4.3406449999999897</v>
      </c>
      <c r="E7739">
        <v>0.51667259999999904</v>
      </c>
      <c r="F7739" t="s">
        <v>42</v>
      </c>
      <c r="G7739">
        <v>-187.8947</v>
      </c>
      <c r="H7739" s="1">
        <v>-2.6756019999999999E-6</v>
      </c>
      <c r="I7739">
        <v>-35.000819999999997</v>
      </c>
      <c r="J7739">
        <v>-195.26759999999999</v>
      </c>
      <c r="K7739">
        <v>1.1148290000000001</v>
      </c>
      <c r="L7739">
        <v>-52.200380000000003</v>
      </c>
      <c r="M7739">
        <v>0.62629559999999995</v>
      </c>
      <c r="N7739">
        <v>-1.068293E-2</v>
      </c>
      <c r="O7739">
        <v>0.77951250000000005</v>
      </c>
      <c r="P7739">
        <v>0.35076239999999997</v>
      </c>
      <c r="Q7739">
        <v>-3.3714639999999997E-2</v>
      </c>
      <c r="R7739">
        <v>0.93585739999999995</v>
      </c>
      <c r="S7739">
        <v>1.186661</v>
      </c>
      <c r="T7739">
        <v>-0.17728769999999999</v>
      </c>
      <c r="U7739">
        <v>2.7539060000000002</v>
      </c>
      <c r="V7739">
        <v>-0.31239830000000002</v>
      </c>
      <c r="W7739">
        <v>-2.7481780000000001E-2</v>
      </c>
      <c r="X7739">
        <v>0.9495536</v>
      </c>
      <c r="Y7739">
        <v>-0.26683610000000002</v>
      </c>
      <c r="Z7739">
        <v>-3.177046E-2</v>
      </c>
      <c r="AA7739">
        <v>0.96321809999999997</v>
      </c>
      <c r="AB7739">
        <v>24</v>
      </c>
      <c r="AC7739">
        <v>7.37289999999998</v>
      </c>
      <c r="AD7739">
        <v>-1.114831675602</v>
      </c>
      <c r="AE7739">
        <v>17.199559999999899</v>
      </c>
      <c r="AF7739">
        <v>-5.0072562906122</v>
      </c>
      <c r="AG7739">
        <v>-1.114831675602</v>
      </c>
      <c r="AH7739">
        <v>17.962165082937702</v>
      </c>
      <c r="AI7739">
        <v>93.421412645929095</v>
      </c>
      <c r="AJ7739">
        <v>105.576708128313</v>
      </c>
      <c r="AK7739">
        <v>18.6803329652206</v>
      </c>
      <c r="AL7739">
        <v>91.574788287491401</v>
      </c>
      <c r="AM7739">
        <v>108.210942336488</v>
      </c>
      <c r="AN7739">
        <v>0.99999999267390904</v>
      </c>
    </row>
    <row r="7740" spans="1:40" x14ac:dyDescent="0.25">
      <c r="A7740" t="str">
        <f>"20190305135112470"</f>
        <v>20190305135112470</v>
      </c>
      <c r="B7740" t="str">
        <f>"1551765072467666"</f>
        <v>1551765072467666</v>
      </c>
      <c r="C7740" t="s">
        <v>40</v>
      </c>
      <c r="D7740">
        <v>4.2892130000000002</v>
      </c>
      <c r="E7740">
        <v>0.51685990000000004</v>
      </c>
      <c r="F7740" t="s">
        <v>42</v>
      </c>
      <c r="G7740">
        <v>-188.24080000000001</v>
      </c>
      <c r="H7740" s="1">
        <v>-2.2862959999999999E-6</v>
      </c>
      <c r="I7740">
        <v>-35.765219999999999</v>
      </c>
      <c r="J7740">
        <v>-195.17019999999999</v>
      </c>
      <c r="K7740">
        <v>1.1147590000000001</v>
      </c>
      <c r="L7740">
        <v>-52.070250000000001</v>
      </c>
      <c r="M7740">
        <v>0.62217730000000004</v>
      </c>
      <c r="N7740">
        <v>-1.067857E-2</v>
      </c>
      <c r="O7740">
        <v>0.78280349999999999</v>
      </c>
      <c r="P7740">
        <v>0.34583180000000002</v>
      </c>
      <c r="Q7740">
        <v>-3.5139440000000001E-2</v>
      </c>
      <c r="R7740">
        <v>0.93763830000000004</v>
      </c>
      <c r="S7740">
        <v>1.1787719999999999</v>
      </c>
      <c r="T7740">
        <v>-0.1870165</v>
      </c>
      <c r="U7740">
        <v>2.75705</v>
      </c>
      <c r="V7740">
        <v>-0.31234400000000001</v>
      </c>
      <c r="W7740">
        <v>-2.8863050000000001E-2</v>
      </c>
      <c r="X7740">
        <v>0.94953050000000006</v>
      </c>
      <c r="Y7740">
        <v>-0.26451599999999997</v>
      </c>
      <c r="Z7740">
        <v>-3.428759E-2</v>
      </c>
      <c r="AA7740">
        <v>0.96377159999999995</v>
      </c>
      <c r="AB7740">
        <v>24</v>
      </c>
      <c r="AC7740">
        <v>6.9293999999999798</v>
      </c>
      <c r="AD7740">
        <v>-1.1147612862959999</v>
      </c>
      <c r="AE7740">
        <v>16.305029999999999</v>
      </c>
      <c r="AF7740">
        <v>-4.7019141911752502</v>
      </c>
      <c r="AG7740">
        <v>-1.1147612862959999</v>
      </c>
      <c r="AH7740">
        <v>17.008582774974201</v>
      </c>
      <c r="AI7740">
        <v>93.614669337310303</v>
      </c>
      <c r="AJ7740">
        <v>105.453120751962</v>
      </c>
      <c r="AK7740">
        <v>17.6817017789507</v>
      </c>
      <c r="AL7740">
        <v>91.653960631935703</v>
      </c>
      <c r="AM7740">
        <v>108.208399572467</v>
      </c>
      <c r="AN7740">
        <v>1.00000001021077</v>
      </c>
    </row>
    <row r="7741" spans="1:40" x14ac:dyDescent="0.25">
      <c r="A7741" t="str">
        <f>"20190305135112487"</f>
        <v>20190305135112487</v>
      </c>
      <c r="B7741" t="str">
        <f>"1551765072477426"</f>
        <v>1551765072477426</v>
      </c>
      <c r="C7741" t="s">
        <v>40</v>
      </c>
      <c r="D7741">
        <v>4.6536010000000001</v>
      </c>
      <c r="E7741">
        <v>0.51762559999999902</v>
      </c>
      <c r="F7741" t="s">
        <v>42</v>
      </c>
      <c r="G7741">
        <v>-188.928</v>
      </c>
      <c r="H7741" s="1">
        <v>-1.51175E-6</v>
      </c>
      <c r="I7741">
        <v>-37.286529999999999</v>
      </c>
      <c r="J7741">
        <v>-195.05799999999999</v>
      </c>
      <c r="K7741">
        <v>1.11467</v>
      </c>
      <c r="L7741">
        <v>-51.918329999999997</v>
      </c>
      <c r="M7741">
        <v>0.61745689999999998</v>
      </c>
      <c r="N7741">
        <v>-1.067369E-2</v>
      </c>
      <c r="O7741">
        <v>0.78653229999999996</v>
      </c>
      <c r="P7741">
        <v>0.34082249999999997</v>
      </c>
      <c r="Q7741">
        <v>-3.753219E-2</v>
      </c>
      <c r="R7741">
        <v>0.93937820000000005</v>
      </c>
      <c r="S7741">
        <v>1.166061</v>
      </c>
      <c r="T7741">
        <v>-0.2082417</v>
      </c>
      <c r="U7741">
        <v>2.7616580000000002</v>
      </c>
      <c r="V7741">
        <v>-0.31161939999999999</v>
      </c>
      <c r="W7741">
        <v>-3.1191099999999999E-2</v>
      </c>
      <c r="X7741">
        <v>0.94969490000000001</v>
      </c>
      <c r="Y7741">
        <v>-0.26313239999999999</v>
      </c>
      <c r="Z7741">
        <v>-3.9533890000000002E-2</v>
      </c>
      <c r="AA7741">
        <v>0.96394939999999996</v>
      </c>
      <c r="AB7741">
        <v>24</v>
      </c>
      <c r="AC7741">
        <v>6.1299999999999901</v>
      </c>
      <c r="AD7741">
        <v>-1.1146715117499999</v>
      </c>
      <c r="AE7741">
        <v>14.631799999999901</v>
      </c>
      <c r="AF7741">
        <v>-4.1926037241538401</v>
      </c>
      <c r="AG7741">
        <v>-1.1146715117499999</v>
      </c>
      <c r="AH7741">
        <v>15.2191275203015</v>
      </c>
      <c r="AI7741">
        <v>94.039015170555302</v>
      </c>
      <c r="AJ7741">
        <v>105.401951106312</v>
      </c>
      <c r="AK7741">
        <v>15.825367643315399</v>
      </c>
      <c r="AL7741">
        <v>91.787408347196703</v>
      </c>
      <c r="AM7741">
        <v>108.165997974839</v>
      </c>
      <c r="AN7741">
        <v>0.99999996913078903</v>
      </c>
    </row>
    <row r="7742" spans="1:40" x14ac:dyDescent="0.25">
      <c r="A7742" t="str">
        <f>"20190305135112509"</f>
        <v>20190305135112509</v>
      </c>
      <c r="B7742" t="str">
        <f>"1551765072507683"</f>
        <v>1551765072507683</v>
      </c>
      <c r="C7742" t="s">
        <v>40</v>
      </c>
      <c r="D7742">
        <v>4.2278739999999999</v>
      </c>
      <c r="E7742">
        <v>0.51886319999999997</v>
      </c>
      <c r="F7742" t="s">
        <v>42</v>
      </c>
      <c r="G7742">
        <v>-189.0599</v>
      </c>
      <c r="H7742" s="1">
        <v>-1.361153E-6</v>
      </c>
      <c r="I7742">
        <v>-37.583030000000001</v>
      </c>
      <c r="J7742">
        <v>-194.91810000000001</v>
      </c>
      <c r="K7742">
        <v>1.114565</v>
      </c>
      <c r="L7742">
        <v>-51.726840000000003</v>
      </c>
      <c r="M7742">
        <v>0.61159209999999997</v>
      </c>
      <c r="N7742">
        <v>-1.066831E-2</v>
      </c>
      <c r="O7742">
        <v>0.79110130000000001</v>
      </c>
      <c r="P7742">
        <v>0.33487080000000002</v>
      </c>
      <c r="Q7742">
        <v>-3.9098899999999999E-2</v>
      </c>
      <c r="R7742">
        <v>0.94145250000000003</v>
      </c>
      <c r="S7742">
        <v>1.156998</v>
      </c>
      <c r="T7742">
        <v>-0.21501600000000001</v>
      </c>
      <c r="U7742">
        <v>2.765228</v>
      </c>
      <c r="V7742">
        <v>-0.3105176</v>
      </c>
      <c r="W7742">
        <v>-3.2674870000000002E-2</v>
      </c>
      <c r="X7742">
        <v>0.95000589999999996</v>
      </c>
      <c r="Y7742">
        <v>-0.25912479999999999</v>
      </c>
      <c r="Z7742">
        <v>-4.1572999999999999E-2</v>
      </c>
      <c r="AA7742">
        <v>0.96494869999999999</v>
      </c>
      <c r="AB7742">
        <v>24</v>
      </c>
      <c r="AC7742">
        <v>5.8582000000000098</v>
      </c>
      <c r="AD7742">
        <v>-1.1145663611529999</v>
      </c>
      <c r="AE7742">
        <v>14.14381</v>
      </c>
      <c r="AF7742">
        <v>-3.99486659395845</v>
      </c>
      <c r="AG7742">
        <v>-1.1145663611529999</v>
      </c>
      <c r="AH7742">
        <v>14.6949654037138</v>
      </c>
      <c r="AI7742">
        <v>94.1860421290814</v>
      </c>
      <c r="AJ7742">
        <v>105.208470216417</v>
      </c>
      <c r="AK7742">
        <v>15.2690283087459</v>
      </c>
      <c r="AL7742">
        <v>91.872465401986005</v>
      </c>
      <c r="AM7742">
        <v>108.10042551126401</v>
      </c>
      <c r="AN7742">
        <v>1.0000000185370399</v>
      </c>
    </row>
    <row r="7743" spans="1:40" x14ac:dyDescent="0.25">
      <c r="A7743" t="str">
        <f>"20190305135112524"</f>
        <v>20190305135112524</v>
      </c>
      <c r="B7743" t="str">
        <f>"1551765072517443"</f>
        <v>1551765072517443</v>
      </c>
      <c r="C7743" t="s">
        <v>40</v>
      </c>
      <c r="D7743">
        <v>4.296748</v>
      </c>
      <c r="E7743">
        <v>0.51928969999999997</v>
      </c>
      <c r="F7743" t="s">
        <v>42</v>
      </c>
      <c r="G7743">
        <v>-189.3467</v>
      </c>
      <c r="H7743" s="1">
        <v>-1.0012329999999999E-6</v>
      </c>
      <c r="I7743">
        <v>-38.303449999999998</v>
      </c>
      <c r="J7743">
        <v>-194.8245</v>
      </c>
      <c r="K7743">
        <v>1.114501</v>
      </c>
      <c r="L7743">
        <v>-51.59686</v>
      </c>
      <c r="M7743">
        <v>0.607684</v>
      </c>
      <c r="N7743">
        <v>-1.066521E-2</v>
      </c>
      <c r="O7743">
        <v>0.79410729999999996</v>
      </c>
      <c r="P7743">
        <v>0.33074249999999999</v>
      </c>
      <c r="Q7743">
        <v>-3.9590380000000001E-2</v>
      </c>
      <c r="R7743">
        <v>0.94289020000000001</v>
      </c>
      <c r="S7743">
        <v>1.1490020000000001</v>
      </c>
      <c r="T7743">
        <v>-0.22985739999999999</v>
      </c>
      <c r="U7743">
        <v>2.7683110000000002</v>
      </c>
      <c r="V7743">
        <v>-0.30998310000000001</v>
      </c>
      <c r="W7743">
        <v>-3.3116979999999997E-2</v>
      </c>
      <c r="X7743">
        <v>0.95016509999999998</v>
      </c>
      <c r="Y7743">
        <v>-0.25718750000000001</v>
      </c>
      <c r="Z7743">
        <v>-4.537281E-2</v>
      </c>
      <c r="AA7743">
        <v>0.96529569999999998</v>
      </c>
      <c r="AB7743">
        <v>24</v>
      </c>
      <c r="AC7743">
        <v>5.4778000000000002</v>
      </c>
      <c r="AD7743">
        <v>-1.114502001233</v>
      </c>
      <c r="AE7743">
        <v>13.29341</v>
      </c>
      <c r="AF7743">
        <v>-3.70617454848247</v>
      </c>
      <c r="AG7743">
        <v>-1.114502001233</v>
      </c>
      <c r="AH7743">
        <v>13.803017616563199</v>
      </c>
      <c r="AI7743">
        <v>94.458973002786195</v>
      </c>
      <c r="AJ7743">
        <v>105.029689873487</v>
      </c>
      <c r="AK7743">
        <v>14.335310942484901</v>
      </c>
      <c r="AL7743">
        <v>91.897810215785995</v>
      </c>
      <c r="AM7743">
        <v>108.068464994685</v>
      </c>
      <c r="AN7743">
        <v>0.99999998695396997</v>
      </c>
    </row>
    <row r="7744" spans="1:40" x14ac:dyDescent="0.25">
      <c r="A7744" t="str">
        <f>"20190305135112543"</f>
        <v>20190305135112543</v>
      </c>
      <c r="B7744" t="str">
        <f>"1551765072536962"</f>
        <v>1551765072536962</v>
      </c>
      <c r="C7744" t="s">
        <v>40</v>
      </c>
      <c r="D7744">
        <v>4.3118650000000001</v>
      </c>
      <c r="E7744">
        <v>0.52010519999999905</v>
      </c>
      <c r="F7744" t="s">
        <v>42</v>
      </c>
      <c r="G7744">
        <v>-189.3484</v>
      </c>
      <c r="H7744" s="1">
        <v>-1.011631E-6</v>
      </c>
      <c r="I7744">
        <v>-38.278509999999997</v>
      </c>
      <c r="J7744">
        <v>-194.70599999999999</v>
      </c>
      <c r="K7744">
        <v>1.1144259999999999</v>
      </c>
      <c r="L7744">
        <v>-51.430759999999999</v>
      </c>
      <c r="M7744">
        <v>0.60273840000000001</v>
      </c>
      <c r="N7744">
        <v>-1.066197E-2</v>
      </c>
      <c r="O7744">
        <v>0.79786759999999901</v>
      </c>
      <c r="P7744">
        <v>0.32684049999999998</v>
      </c>
      <c r="Q7744">
        <v>-4.0959250000000003E-2</v>
      </c>
      <c r="R7744">
        <v>0.94419149999999996</v>
      </c>
      <c r="S7744">
        <v>1.139832</v>
      </c>
      <c r="T7744">
        <v>-0.2319785</v>
      </c>
      <c r="U7744">
        <v>2.7721559999999998</v>
      </c>
      <c r="V7744">
        <v>-0.30796309999999999</v>
      </c>
      <c r="W7744">
        <v>-3.4410240000000002E-2</v>
      </c>
      <c r="X7744">
        <v>0.95077579999999995</v>
      </c>
      <c r="Y7744">
        <v>-0.25440230000000003</v>
      </c>
      <c r="Z7744">
        <v>-4.6261360000000001E-2</v>
      </c>
      <c r="AA7744">
        <v>0.96599139999999994</v>
      </c>
      <c r="AB7744">
        <v>24</v>
      </c>
      <c r="AC7744">
        <v>5.3575999999999899</v>
      </c>
      <c r="AD7744">
        <v>-1.114427011631</v>
      </c>
      <c r="AE7744">
        <v>13.15225</v>
      </c>
      <c r="AF7744">
        <v>-3.6305619449824098</v>
      </c>
      <c r="AG7744">
        <v>-1.114427011631</v>
      </c>
      <c r="AH7744">
        <v>13.6397741502416</v>
      </c>
      <c r="AI7744">
        <v>94.514430333443102</v>
      </c>
      <c r="AJ7744">
        <v>104.905094394919</v>
      </c>
      <c r="AK7744">
        <v>14.158614567471099</v>
      </c>
      <c r="AL7744">
        <v>91.971950849505205</v>
      </c>
      <c r="AM7744">
        <v>107.947510781666</v>
      </c>
      <c r="AN7744">
        <v>0.99999997872205304</v>
      </c>
    </row>
    <row r="7745" spans="1:40" x14ac:dyDescent="0.25">
      <c r="A7745" t="str">
        <f>"20190305135112567"</f>
        <v>20190305135112567</v>
      </c>
      <c r="B7745" t="str">
        <f>"1551765072557461"</f>
        <v>1551765072557461</v>
      </c>
      <c r="C7745" t="s">
        <v>40</v>
      </c>
      <c r="D7745">
        <v>4.3248540000000002</v>
      </c>
      <c r="E7745">
        <v>0.52076869999999997</v>
      </c>
      <c r="F7745" t="s">
        <v>42</v>
      </c>
      <c r="G7745">
        <v>-189.375</v>
      </c>
      <c r="H7745" s="1">
        <v>-9.5842689999999996E-7</v>
      </c>
      <c r="I7745">
        <v>-38.391530000000003</v>
      </c>
      <c r="J7745">
        <v>-194.5625</v>
      </c>
      <c r="K7745">
        <v>1.1143700000000001</v>
      </c>
      <c r="L7745">
        <v>-51.226959999999998</v>
      </c>
      <c r="M7745">
        <v>0.59673909999999997</v>
      </c>
      <c r="N7745">
        <v>-1.065524E-2</v>
      </c>
      <c r="O7745">
        <v>0.80236459999999998</v>
      </c>
      <c r="P7745">
        <v>0.32153969999999998</v>
      </c>
      <c r="Q7745">
        <v>-4.1882250000000003E-2</v>
      </c>
      <c r="R7745">
        <v>0.94596939999999996</v>
      </c>
      <c r="S7745">
        <v>1.134293</v>
      </c>
      <c r="T7745">
        <v>-0.237119</v>
      </c>
      <c r="U7745">
        <v>2.774384</v>
      </c>
      <c r="V7745">
        <v>-0.30613679999999999</v>
      </c>
      <c r="W7745">
        <v>-3.5270389999999999E-2</v>
      </c>
      <c r="X7745">
        <v>0.95133389999999995</v>
      </c>
      <c r="Y7745">
        <v>-0.24910779999999999</v>
      </c>
      <c r="Z7745">
        <v>-4.8018760000000001E-2</v>
      </c>
      <c r="AA7745">
        <v>0.96728460000000005</v>
      </c>
      <c r="AB7745">
        <v>24</v>
      </c>
      <c r="AC7745">
        <v>5.1875</v>
      </c>
      <c r="AD7745">
        <v>-1.1143709584268999</v>
      </c>
      <c r="AE7745">
        <v>12.835430000000001</v>
      </c>
      <c r="AF7745">
        <v>-3.4748204650042398</v>
      </c>
      <c r="AG7745">
        <v>-1.1143709584268999</v>
      </c>
      <c r="AH7745">
        <v>13.3088064366074</v>
      </c>
      <c r="AI7745">
        <v>94.631757908430401</v>
      </c>
      <c r="AJ7745">
        <v>104.632796096609</v>
      </c>
      <c r="AK7745">
        <v>13.8000191544823</v>
      </c>
      <c r="AL7745">
        <v>92.021263782825699</v>
      </c>
      <c r="AM7745">
        <v>107.838041646056</v>
      </c>
      <c r="AN7745">
        <v>0.99999996500709998</v>
      </c>
    </row>
    <row r="7746" spans="1:40" x14ac:dyDescent="0.25">
      <c r="A7746" t="str">
        <f>"20190305135112587"</f>
        <v>20190305135112587</v>
      </c>
      <c r="B7746" t="str">
        <f>"1551765072576978"</f>
        <v>1551765072576978</v>
      </c>
      <c r="C7746" t="s">
        <v>40</v>
      </c>
      <c r="D7746">
        <v>4.3699979999999998</v>
      </c>
      <c r="E7746">
        <v>0.52151780000000003</v>
      </c>
      <c r="F7746" t="s">
        <v>42</v>
      </c>
      <c r="G7746">
        <v>-189.3939</v>
      </c>
      <c r="H7746" s="1">
        <v>-9.3209959999999997E-7</v>
      </c>
      <c r="I7746">
        <v>-38.445079999999997</v>
      </c>
      <c r="J7746">
        <v>-194.43270000000001</v>
      </c>
      <c r="K7746">
        <v>1.1143529999999999</v>
      </c>
      <c r="L7746">
        <v>-51.03989</v>
      </c>
      <c r="M7746">
        <v>0.59128249999999904</v>
      </c>
      <c r="N7746">
        <v>-1.064561E-2</v>
      </c>
      <c r="O7746">
        <v>0.80639419999999995</v>
      </c>
      <c r="P7746">
        <v>0.31657950000000001</v>
      </c>
      <c r="Q7746">
        <v>-4.1285250000000003E-2</v>
      </c>
      <c r="R7746">
        <v>0.94766709999999998</v>
      </c>
      <c r="S7746">
        <v>1.1236109999999999</v>
      </c>
      <c r="T7746">
        <v>-0.24225579999999999</v>
      </c>
      <c r="U7746">
        <v>2.7786870000000001</v>
      </c>
      <c r="V7746">
        <v>-0.30469200000000002</v>
      </c>
      <c r="W7746">
        <v>-3.4642060000000002E-2</v>
      </c>
      <c r="X7746">
        <v>0.95182069999999996</v>
      </c>
      <c r="Y7746">
        <v>-0.2462869</v>
      </c>
      <c r="Z7746">
        <v>-4.9688950000000003E-2</v>
      </c>
      <c r="AA7746">
        <v>0.96792239999999996</v>
      </c>
      <c r="AB7746">
        <v>24</v>
      </c>
      <c r="AC7746">
        <v>5.0388000000000002</v>
      </c>
      <c r="AD7746">
        <v>-1.1143539320996001</v>
      </c>
      <c r="AE7746">
        <v>12.594810000000001</v>
      </c>
      <c r="AF7746">
        <v>-3.3613407216764801</v>
      </c>
      <c r="AG7746">
        <v>-1.1143539320996001</v>
      </c>
      <c r="AH7746">
        <v>13.048428199534699</v>
      </c>
      <c r="AI7746">
        <v>94.7276834221217</v>
      </c>
      <c r="AJ7746">
        <v>104.44560848312901</v>
      </c>
      <c r="AK7746">
        <v>13.520424350278301</v>
      </c>
      <c r="AL7746">
        <v>91.985241106264496</v>
      </c>
      <c r="AM7746">
        <v>107.75064384552</v>
      </c>
      <c r="AN7746">
        <v>0.999999966066766</v>
      </c>
    </row>
    <row r="7747" spans="1:40" x14ac:dyDescent="0.25">
      <c r="A7747" t="str">
        <f>"20190305135112602"</f>
        <v>20190305135112602</v>
      </c>
      <c r="B7747" t="str">
        <f>"1551765072597475"</f>
        <v>1551765072597475</v>
      </c>
      <c r="C7747" t="s">
        <v>40</v>
      </c>
      <c r="D7747">
        <v>4.3319809999999999</v>
      </c>
      <c r="E7747">
        <v>0.52217769999999997</v>
      </c>
      <c r="F7747" t="s">
        <v>42</v>
      </c>
      <c r="G7747">
        <v>-189.26650000000001</v>
      </c>
      <c r="H7747" s="1">
        <v>-1.0847340000000001E-6</v>
      </c>
      <c r="I7747">
        <v>-38.141979999999997</v>
      </c>
      <c r="J7747">
        <v>-194.34370000000001</v>
      </c>
      <c r="K7747">
        <v>1.114357</v>
      </c>
      <c r="L7747">
        <v>-50.909939999999999</v>
      </c>
      <c r="M7747">
        <v>0.58750469999999999</v>
      </c>
      <c r="N7747">
        <v>-1.063658E-2</v>
      </c>
      <c r="O7747">
        <v>0.80915079999999995</v>
      </c>
      <c r="P7747">
        <v>0.31284250000000002</v>
      </c>
      <c r="Q7747">
        <v>-4.0265519999999999E-2</v>
      </c>
      <c r="R7747">
        <v>0.94895110000000005</v>
      </c>
      <c r="S7747">
        <v>1.114655</v>
      </c>
      <c r="T7747">
        <v>-0.2404318</v>
      </c>
      <c r="U7747">
        <v>2.7828369999999998</v>
      </c>
      <c r="V7747">
        <v>-0.30402899999999999</v>
      </c>
      <c r="W7747">
        <v>-3.362076E-2</v>
      </c>
      <c r="X7747">
        <v>0.95206930000000001</v>
      </c>
      <c r="Y7747">
        <v>-0.24493390000000001</v>
      </c>
      <c r="Z7747">
        <v>-4.9516030000000003E-2</v>
      </c>
      <c r="AA7747">
        <v>0.96827450000000004</v>
      </c>
      <c r="AB7747">
        <v>24</v>
      </c>
      <c r="AC7747">
        <v>5.0772000000000004</v>
      </c>
      <c r="AD7747">
        <v>-1.114358084734</v>
      </c>
      <c r="AE7747">
        <v>12.76796</v>
      </c>
      <c r="AF7747">
        <v>-3.3710356931396399</v>
      </c>
      <c r="AG7747">
        <v>-1.114358084734</v>
      </c>
      <c r="AH7747">
        <v>13.227833641588701</v>
      </c>
      <c r="AI7747">
        <v>94.666948617502598</v>
      </c>
      <c r="AJ7747">
        <v>104.297165846806</v>
      </c>
      <c r="AK7747">
        <v>13.6960307547472</v>
      </c>
      <c r="AL7747">
        <v>91.926690800074496</v>
      </c>
      <c r="AM7747">
        <v>107.710099736307</v>
      </c>
      <c r="AN7747">
        <v>0.99999997017323305</v>
      </c>
    </row>
    <row r="7748" spans="1:40" x14ac:dyDescent="0.25">
      <c r="A7748" t="str">
        <f>"20190305135112620"</f>
        <v>20190305135112620</v>
      </c>
      <c r="B7748" t="str">
        <f>"1551765072616995"</f>
        <v>1551765072616995</v>
      </c>
      <c r="C7748" t="s">
        <v>40</v>
      </c>
      <c r="D7748">
        <v>4.3300349999999996</v>
      </c>
      <c r="E7748">
        <v>0.5227929</v>
      </c>
      <c r="F7748" t="s">
        <v>42</v>
      </c>
      <c r="G7748">
        <v>-189.06700000000001</v>
      </c>
      <c r="H7748" s="1">
        <v>-1.3312939999999999E-6</v>
      </c>
      <c r="I7748">
        <v>-37.649700000000003</v>
      </c>
      <c r="J7748">
        <v>-194.23150000000001</v>
      </c>
      <c r="K7748">
        <v>1.1143780000000001</v>
      </c>
      <c r="L7748">
        <v>-50.74438</v>
      </c>
      <c r="M7748">
        <v>0.58268129999999996</v>
      </c>
      <c r="N7748">
        <v>-1.062428E-2</v>
      </c>
      <c r="O7748">
        <v>0.81263129999999995</v>
      </c>
      <c r="P7748">
        <v>0.308197099999999</v>
      </c>
      <c r="Q7748">
        <v>-3.8003830000000002E-2</v>
      </c>
      <c r="R7748">
        <v>0.95056309999999999</v>
      </c>
      <c r="S7748">
        <v>1.108627</v>
      </c>
      <c r="T7748">
        <v>-0.2341269</v>
      </c>
      <c r="U7748">
        <v>2.7859799999999999</v>
      </c>
      <c r="V7748">
        <v>-0.30310179999999998</v>
      </c>
      <c r="W7748">
        <v>-3.1369010000000003E-2</v>
      </c>
      <c r="X7748">
        <v>0.95244180000000001</v>
      </c>
      <c r="Y7748">
        <v>-0.2413286</v>
      </c>
      <c r="Z7748">
        <v>-4.8360880000000002E-2</v>
      </c>
      <c r="AA7748">
        <v>0.96923769999999998</v>
      </c>
      <c r="AB7748">
        <v>25</v>
      </c>
      <c r="AC7748">
        <v>5.1645000000000003</v>
      </c>
      <c r="AD7748">
        <v>-1.114379331294</v>
      </c>
      <c r="AE7748">
        <v>13.094679999999901</v>
      </c>
      <c r="AF7748">
        <v>-3.4120001907253199</v>
      </c>
      <c r="AG7748">
        <v>-1.114379331294</v>
      </c>
      <c r="AH7748">
        <v>13.566150243912499</v>
      </c>
      <c r="AI7748">
        <v>94.554742740413801</v>
      </c>
      <c r="AJ7748">
        <v>104.1175534974</v>
      </c>
      <c r="AK7748">
        <v>14.0329618768074</v>
      </c>
      <c r="AL7748">
        <v>91.797606686265397</v>
      </c>
      <c r="AM7748">
        <v>107.652972195148</v>
      </c>
      <c r="AN7748">
        <v>1.0000000491694201</v>
      </c>
    </row>
    <row r="7749" spans="1:40" x14ac:dyDescent="0.25">
      <c r="A7749" t="str">
        <f>"20190305135112634"</f>
        <v>20190305135112634</v>
      </c>
      <c r="B7749" t="str">
        <f>"1551765072627731"</f>
        <v>1551765072627731</v>
      </c>
      <c r="C7749" t="s">
        <v>40</v>
      </c>
      <c r="D7749">
        <v>4.3445369999999999</v>
      </c>
      <c r="E7749">
        <v>0.52306390000000003</v>
      </c>
      <c r="F7749" t="s">
        <v>42</v>
      </c>
      <c r="G7749">
        <v>-188.83629999999999</v>
      </c>
      <c r="H7749" s="1">
        <v>-1.6293170000000001E-6</v>
      </c>
      <c r="I7749">
        <v>-37.05039</v>
      </c>
      <c r="J7749">
        <v>-194.14670000000001</v>
      </c>
      <c r="K7749">
        <v>1.1144069999999999</v>
      </c>
      <c r="L7749">
        <v>-50.617919999999998</v>
      </c>
      <c r="M7749">
        <v>0.57897959999999904</v>
      </c>
      <c r="N7749">
        <v>-1.0615380000000001E-2</v>
      </c>
      <c r="O7749">
        <v>0.81527289999999997</v>
      </c>
      <c r="P7749">
        <v>0.3044384</v>
      </c>
      <c r="Q7749">
        <v>-3.7580240000000001E-2</v>
      </c>
      <c r="R7749">
        <v>0.95179040000000004</v>
      </c>
      <c r="S7749">
        <v>1.09939599999999</v>
      </c>
      <c r="T7749">
        <v>-0.22708300000000001</v>
      </c>
      <c r="U7749">
        <v>2.7904969999999998</v>
      </c>
      <c r="V7749">
        <v>-0.30254639999999999</v>
      </c>
      <c r="W7749">
        <v>-3.0964950000000002E-2</v>
      </c>
      <c r="X7749">
        <v>0.95263149999999996</v>
      </c>
      <c r="Y7749">
        <v>-0.24019860000000001</v>
      </c>
      <c r="Z7749">
        <v>-4.6863950000000001E-2</v>
      </c>
      <c r="AA7749">
        <v>0.96959189999999995</v>
      </c>
      <c r="AB7749">
        <v>25</v>
      </c>
      <c r="AC7749">
        <v>5.3104000000000102</v>
      </c>
      <c r="AD7749">
        <v>-1.1144086293169999</v>
      </c>
      <c r="AE7749">
        <v>13.5675299999999</v>
      </c>
      <c r="AF7749">
        <v>-3.5055876304401301</v>
      </c>
      <c r="AG7749">
        <v>-1.1144086293169999</v>
      </c>
      <c r="AH7749">
        <v>14.0544259468689</v>
      </c>
      <c r="AI7749">
        <v>94.399396304700005</v>
      </c>
      <c r="AJ7749">
        <v>104.005471782969</v>
      </c>
      <c r="AK7749">
        <v>14.5278332838663</v>
      </c>
      <c r="AL7749">
        <v>91.774444654193701</v>
      </c>
      <c r="AM7749">
        <v>107.619336427541</v>
      </c>
      <c r="AN7749">
        <v>0.99999996353685505</v>
      </c>
    </row>
    <row r="7750" spans="1:40" x14ac:dyDescent="0.25">
      <c r="A7750" t="str">
        <f>"20190305135112654"</f>
        <v>20190305135112654</v>
      </c>
      <c r="B7750" t="str">
        <f>"1551765072647250"</f>
        <v>1551765072647250</v>
      </c>
      <c r="C7750" t="s">
        <v>40</v>
      </c>
      <c r="D7750">
        <v>4.3282689999999997</v>
      </c>
      <c r="E7750">
        <v>0.52356610000000003</v>
      </c>
      <c r="F7750" t="s">
        <v>42</v>
      </c>
      <c r="G7750">
        <v>-188.77719999999999</v>
      </c>
      <c r="H7750" s="1">
        <v>-1.723065E-6</v>
      </c>
      <c r="I7750">
        <v>-36.856319999999997</v>
      </c>
      <c r="J7750">
        <v>-194.0264</v>
      </c>
      <c r="K7750">
        <v>1.114465</v>
      </c>
      <c r="L7750">
        <v>-50.436160000000001</v>
      </c>
      <c r="M7750">
        <v>0.57361470000000003</v>
      </c>
      <c r="N7750">
        <v>-1.0605460000000001E-2</v>
      </c>
      <c r="O7750">
        <v>0.81905660000000002</v>
      </c>
      <c r="P7750">
        <v>0.29897689999999999</v>
      </c>
      <c r="Q7750">
        <v>-3.6557890000000003E-2</v>
      </c>
      <c r="R7750">
        <v>0.95355979999999996</v>
      </c>
      <c r="S7750">
        <v>1.090271</v>
      </c>
      <c r="T7750">
        <v>-0.2262797</v>
      </c>
      <c r="U7750">
        <v>2.7942809999999998</v>
      </c>
      <c r="V7750">
        <v>-0.30178450000000001</v>
      </c>
      <c r="W7750">
        <v>-2.9982780000000001E-2</v>
      </c>
      <c r="X7750">
        <v>0.95290459999999999</v>
      </c>
      <c r="Y7750">
        <v>-0.2370216</v>
      </c>
      <c r="Z7750">
        <v>-4.705322E-2</v>
      </c>
      <c r="AA7750">
        <v>0.97036429999999996</v>
      </c>
      <c r="AB7750">
        <v>25</v>
      </c>
      <c r="AC7750">
        <v>5.2492000000000001</v>
      </c>
      <c r="AD7750">
        <v>-1.1144667230650001</v>
      </c>
      <c r="AE7750">
        <v>13.5798399999999</v>
      </c>
      <c r="AF7750">
        <v>-3.4700670254796302</v>
      </c>
      <c r="AG7750">
        <v>-1.1144667230650001</v>
      </c>
      <c r="AH7750">
        <v>14.0521308668964</v>
      </c>
      <c r="AI7750">
        <v>94.402889678457299</v>
      </c>
      <c r="AJ7750">
        <v>103.871243192515</v>
      </c>
      <c r="AK7750">
        <v>14.5170859038074</v>
      </c>
      <c r="AL7750">
        <v>91.718144219259102</v>
      </c>
      <c r="AM7750">
        <v>107.572973420709</v>
      </c>
      <c r="AN7750">
        <v>1.00000001411896</v>
      </c>
    </row>
    <row r="7751" spans="1:40" x14ac:dyDescent="0.25">
      <c r="A7751" t="str">
        <f>"20190305135112669"</f>
        <v>20190305135112669</v>
      </c>
      <c r="B7751" t="str">
        <f>"1551765072657010"</f>
        <v>1551765072657010</v>
      </c>
      <c r="C7751" t="s">
        <v>40</v>
      </c>
      <c r="D7751">
        <v>4.3564299999999996</v>
      </c>
      <c r="E7751">
        <v>0.52379509999999996</v>
      </c>
      <c r="F7751" t="s">
        <v>42</v>
      </c>
      <c r="G7751">
        <v>-188.6617</v>
      </c>
      <c r="H7751" s="1">
        <v>-1.8954980000000001E-6</v>
      </c>
      <c r="I7751">
        <v>-36.502110000000002</v>
      </c>
      <c r="J7751">
        <v>-193.9358</v>
      </c>
      <c r="K7751">
        <v>1.114514</v>
      </c>
      <c r="L7751">
        <v>-50.297730000000001</v>
      </c>
      <c r="M7751">
        <v>0.56948829999999995</v>
      </c>
      <c r="N7751">
        <v>-1.0599920000000001E-2</v>
      </c>
      <c r="O7751">
        <v>0.82193109999999903</v>
      </c>
      <c r="P7751">
        <v>0.29415950000000002</v>
      </c>
      <c r="Q7751">
        <v>-3.6909640000000001E-2</v>
      </c>
      <c r="R7751">
        <v>0.95504339999999999</v>
      </c>
      <c r="S7751">
        <v>1.07785</v>
      </c>
      <c r="T7751">
        <v>-0.2239158</v>
      </c>
      <c r="U7751">
        <v>2.7995909999999999</v>
      </c>
      <c r="V7751">
        <v>-0.3017859</v>
      </c>
      <c r="W7751">
        <v>-3.0380899999999999E-2</v>
      </c>
      <c r="X7751">
        <v>0.9528915</v>
      </c>
      <c r="Y7751">
        <v>-0.23649580000000001</v>
      </c>
      <c r="Z7751">
        <v>-4.6701039999999999E-2</v>
      </c>
      <c r="AA7751">
        <v>0.97050950000000002</v>
      </c>
      <c r="AB7751">
        <v>25</v>
      </c>
      <c r="AC7751">
        <v>5.2740999999999998</v>
      </c>
      <c r="AD7751">
        <v>-1.1145158954979999</v>
      </c>
      <c r="AE7751">
        <v>13.79562</v>
      </c>
      <c r="AF7751">
        <v>-3.5017548586274998</v>
      </c>
      <c r="AG7751">
        <v>-1.1145158954979999</v>
      </c>
      <c r="AH7751">
        <v>14.262178772143001</v>
      </c>
      <c r="AI7751">
        <v>94.3399057497097</v>
      </c>
      <c r="AJ7751">
        <v>103.794800806513</v>
      </c>
      <c r="AK7751">
        <v>14.728006521583501</v>
      </c>
      <c r="AL7751">
        <v>91.740965288959202</v>
      </c>
      <c r="AM7751">
        <v>107.573276645137</v>
      </c>
      <c r="AN7751">
        <v>0.99999996964793403</v>
      </c>
    </row>
    <row r="7752" spans="1:40" x14ac:dyDescent="0.25">
      <c r="A7752" t="str">
        <f>"20190305135112696"</f>
        <v>20190305135112696</v>
      </c>
      <c r="B7752" t="str">
        <f>"1551765072687266"</f>
        <v>1551765072687266</v>
      </c>
      <c r="C7752" t="s">
        <v>40</v>
      </c>
      <c r="D7752">
        <v>4.2951449999999998</v>
      </c>
      <c r="E7752">
        <v>0.52452549999999998</v>
      </c>
      <c r="F7752" t="s">
        <v>42</v>
      </c>
      <c r="G7752">
        <v>-188.66079999999999</v>
      </c>
      <c r="H7752" s="1">
        <v>-1.9349139999999999E-6</v>
      </c>
      <c r="I7752">
        <v>-36.410600000000002</v>
      </c>
      <c r="J7752">
        <v>-193.7877</v>
      </c>
      <c r="K7752">
        <v>1.114617</v>
      </c>
      <c r="L7752">
        <v>-50.067079999999997</v>
      </c>
      <c r="M7752">
        <v>0.5624768</v>
      </c>
      <c r="N7752">
        <v>-1.05892E-2</v>
      </c>
      <c r="O7752">
        <v>0.82674530000000002</v>
      </c>
      <c r="P7752">
        <v>0.28611160000000002</v>
      </c>
      <c r="Q7752">
        <v>-3.8584880000000002E-2</v>
      </c>
      <c r="R7752">
        <v>0.95741909999999997</v>
      </c>
      <c r="S7752">
        <v>1.0652469999999901</v>
      </c>
      <c r="T7752">
        <v>-0.22506899999999999</v>
      </c>
      <c r="U7752">
        <v>2.8044129999999998</v>
      </c>
      <c r="V7752">
        <v>-0.30163420000000002</v>
      </c>
      <c r="W7752">
        <v>-3.2151350000000002E-2</v>
      </c>
      <c r="X7752">
        <v>0.95288150000000005</v>
      </c>
      <c r="Y7752">
        <v>-0.23261019999999999</v>
      </c>
      <c r="Z7752">
        <v>-4.7476600000000001E-2</v>
      </c>
      <c r="AA7752">
        <v>0.97141060000000001</v>
      </c>
      <c r="AB7752">
        <v>25</v>
      </c>
      <c r="AC7752">
        <v>5.1269</v>
      </c>
      <c r="AD7752">
        <v>-1.1146189349140001</v>
      </c>
      <c r="AE7752">
        <v>13.656479999999901</v>
      </c>
      <c r="AF7752">
        <v>-3.4230197770816599</v>
      </c>
      <c r="AG7752">
        <v>-1.1146189349140001</v>
      </c>
      <c r="AH7752">
        <v>14.0927047682117</v>
      </c>
      <c r="AI7752">
        <v>94.394954421227595</v>
      </c>
      <c r="AJ7752">
        <v>103.652360839813</v>
      </c>
      <c r="AK7752">
        <v>14.545231777058</v>
      </c>
      <c r="AL7752">
        <v>91.842454131868493</v>
      </c>
      <c r="AM7752">
        <v>107.565159300495</v>
      </c>
      <c r="AN7752">
        <v>1.00000002647935</v>
      </c>
    </row>
    <row r="7753" spans="1:40" x14ac:dyDescent="0.25">
      <c r="A7753" t="str">
        <f>"20190305135112710"</f>
        <v>20190305135112710</v>
      </c>
      <c r="B7753" t="str">
        <f>"1551765072707763"</f>
        <v>1551765072707763</v>
      </c>
      <c r="C7753" t="s">
        <v>40</v>
      </c>
      <c r="D7753">
        <v>4.2864870000000002</v>
      </c>
      <c r="E7753">
        <v>0.52503540000000004</v>
      </c>
      <c r="F7753" t="s">
        <v>42</v>
      </c>
      <c r="G7753">
        <v>-188.7099</v>
      </c>
      <c r="H7753" s="1">
        <v>-1.9166E-6</v>
      </c>
      <c r="I7753">
        <v>-36.433010000000003</v>
      </c>
      <c r="J7753">
        <v>-193.69560000000001</v>
      </c>
      <c r="K7753">
        <v>1.1146969999999901</v>
      </c>
      <c r="L7753">
        <v>-49.921660000000003</v>
      </c>
      <c r="M7753">
        <v>0.55796889999999999</v>
      </c>
      <c r="N7753">
        <v>-1.058223E-2</v>
      </c>
      <c r="O7753">
        <v>0.82979429999999998</v>
      </c>
      <c r="P7753">
        <v>0.281974</v>
      </c>
      <c r="Q7753">
        <v>-3.9878280000000002E-2</v>
      </c>
      <c r="R7753">
        <v>0.95859289999999997</v>
      </c>
      <c r="S7753">
        <v>1.0470120000000001</v>
      </c>
      <c r="T7753">
        <v>-0.22982900000000001</v>
      </c>
      <c r="U7753">
        <v>2.8112789999999999</v>
      </c>
      <c r="V7753">
        <v>-0.30051109999999998</v>
      </c>
      <c r="W7753">
        <v>-3.3500870000000002E-2</v>
      </c>
      <c r="X7753">
        <v>0.95318979999999998</v>
      </c>
      <c r="Y7753">
        <v>-0.233649</v>
      </c>
      <c r="Z7753">
        <v>-4.8901649999999998E-2</v>
      </c>
      <c r="AA7753">
        <v>0.97109049999999997</v>
      </c>
      <c r="AB7753">
        <v>25</v>
      </c>
      <c r="AC7753">
        <v>4.9856999999999996</v>
      </c>
      <c r="AD7753">
        <v>-1.1146989166000001</v>
      </c>
      <c r="AE7753">
        <v>13.48865</v>
      </c>
      <c r="AF7753">
        <v>-3.3690887672669101</v>
      </c>
      <c r="AG7753">
        <v>-1.1146989166000001</v>
      </c>
      <c r="AH7753">
        <v>13.891984603660299</v>
      </c>
      <c r="AI7753">
        <v>94.458899270992205</v>
      </c>
      <c r="AJ7753">
        <v>103.632194866332</v>
      </c>
      <c r="AK7753">
        <v>14.3380803814433</v>
      </c>
      <c r="AL7753">
        <v>91.919817656451798</v>
      </c>
      <c r="AM7753">
        <v>107.498442346056</v>
      </c>
      <c r="AN7753">
        <v>1.000000012169</v>
      </c>
    </row>
    <row r="7754" spans="1:40" x14ac:dyDescent="0.25">
      <c r="A7754" t="str">
        <f>"20190305135112724"</f>
        <v>20190305135112724</v>
      </c>
      <c r="B7754" t="str">
        <f>"1551765072717523"</f>
        <v>1551765072717523</v>
      </c>
      <c r="C7754" t="s">
        <v>40</v>
      </c>
      <c r="D7754">
        <v>4.3005319999999996</v>
      </c>
      <c r="E7754">
        <v>0.52527950000000001</v>
      </c>
      <c r="F7754" t="s">
        <v>42</v>
      </c>
      <c r="G7754">
        <v>-188.7484</v>
      </c>
      <c r="H7754" s="1">
        <v>-1.8745330000000001E-6</v>
      </c>
      <c r="I7754">
        <v>-36.515169999999998</v>
      </c>
      <c r="J7754">
        <v>-193.61449999999999</v>
      </c>
      <c r="K7754">
        <v>1.114781</v>
      </c>
      <c r="L7754">
        <v>-49.791559999999997</v>
      </c>
      <c r="M7754">
        <v>0.55386150000000001</v>
      </c>
      <c r="N7754">
        <v>-1.057832E-2</v>
      </c>
      <c r="O7754">
        <v>0.83254159999999899</v>
      </c>
      <c r="P7754">
        <v>0.27830480000000002</v>
      </c>
      <c r="Q7754">
        <v>-4.0208189999999998E-2</v>
      </c>
      <c r="R7754">
        <v>0.95965089999999997</v>
      </c>
      <c r="S7754">
        <v>1.0385439999999999</v>
      </c>
      <c r="T7754">
        <v>-0.2340034</v>
      </c>
      <c r="U7754">
        <v>2.814362</v>
      </c>
      <c r="V7754">
        <v>-0.2994289</v>
      </c>
      <c r="W7754">
        <v>-3.3881000000000001E-2</v>
      </c>
      <c r="X7754">
        <v>0.95351680000000005</v>
      </c>
      <c r="Y7754">
        <v>-0.2317853</v>
      </c>
      <c r="Z7754">
        <v>-5.0236549999999998E-2</v>
      </c>
      <c r="AA7754">
        <v>0.97146889999999997</v>
      </c>
      <c r="AB7754">
        <v>25</v>
      </c>
      <c r="AC7754">
        <v>4.8660999999999799</v>
      </c>
      <c r="AD7754">
        <v>-1.114782874533</v>
      </c>
      <c r="AE7754">
        <v>13.276389999999999</v>
      </c>
      <c r="AF7754">
        <v>-3.28183706800136</v>
      </c>
      <c r="AG7754">
        <v>-1.114782874533</v>
      </c>
      <c r="AH7754">
        <v>13.664132123219</v>
      </c>
      <c r="AI7754">
        <v>94.5356963184976</v>
      </c>
      <c r="AJ7754">
        <v>103.50542819614201</v>
      </c>
      <c r="AK7754">
        <v>14.096868520314899</v>
      </c>
      <c r="AL7754">
        <v>91.941610016310307</v>
      </c>
      <c r="AM7754">
        <v>107.43363547087699</v>
      </c>
      <c r="AN7754">
        <v>0.99999993809922305</v>
      </c>
    </row>
    <row r="7755" spans="1:40" x14ac:dyDescent="0.25">
      <c r="A7755" t="str">
        <f>"20190305135112743"</f>
        <v>20190305135112743</v>
      </c>
      <c r="B7755" t="str">
        <f>"1551765072737042"</f>
        <v>1551765072737042</v>
      </c>
      <c r="C7755" t="s">
        <v>40</v>
      </c>
      <c r="D7755">
        <v>4.2859879999999997</v>
      </c>
      <c r="E7755">
        <v>0.52577869999999904</v>
      </c>
      <c r="F7755" t="s">
        <v>42</v>
      </c>
      <c r="G7755">
        <v>-188.72300000000001</v>
      </c>
      <c r="H7755" s="1">
        <v>-1.9269230000000001E-6</v>
      </c>
      <c r="I7755">
        <v>-36.403550000000003</v>
      </c>
      <c r="J7755">
        <v>-193.50389999999999</v>
      </c>
      <c r="K7755">
        <v>1.1149070000000001</v>
      </c>
      <c r="L7755">
        <v>-49.611969999999999</v>
      </c>
      <c r="M7755">
        <v>0.54809039999999998</v>
      </c>
      <c r="N7755">
        <v>-1.057259E-2</v>
      </c>
      <c r="O7755">
        <v>0.83635230000000005</v>
      </c>
      <c r="P7755">
        <v>0.27394950000000001</v>
      </c>
      <c r="Q7755">
        <v>-3.9265069999999999E-2</v>
      </c>
      <c r="R7755">
        <v>0.96094219999999997</v>
      </c>
      <c r="S7755">
        <v>1.0295099999999999</v>
      </c>
      <c r="T7755">
        <v>-0.2346261</v>
      </c>
      <c r="U7755">
        <v>2.8177490000000001</v>
      </c>
      <c r="V7755">
        <v>-0.29718220000000001</v>
      </c>
      <c r="W7755">
        <v>-3.299879E-2</v>
      </c>
      <c r="X7755">
        <v>0.95425040000000005</v>
      </c>
      <c r="Y7755">
        <v>-0.2281917</v>
      </c>
      <c r="Z7755">
        <v>-5.0806049999999998E-2</v>
      </c>
      <c r="AA7755">
        <v>0.97228970000000003</v>
      </c>
      <c r="AB7755">
        <v>25</v>
      </c>
      <c r="AC7755">
        <v>4.7808999999999999</v>
      </c>
      <c r="AD7755">
        <v>-1.1149089269229999</v>
      </c>
      <c r="AE7755">
        <v>13.208419999999901</v>
      </c>
      <c r="AF7755">
        <v>-3.2207831165472101</v>
      </c>
      <c r="AG7755">
        <v>-1.1149089269229999</v>
      </c>
      <c r="AH7755">
        <v>13.582458232304401</v>
      </c>
      <c r="AI7755">
        <v>94.566500528905195</v>
      </c>
      <c r="AJ7755">
        <v>103.34004861059</v>
      </c>
      <c r="AK7755">
        <v>14.003558027567999</v>
      </c>
      <c r="AL7755">
        <v>91.891034693900806</v>
      </c>
      <c r="AM7755">
        <v>107.298155350784</v>
      </c>
      <c r="AN7755">
        <v>1.00000000301923</v>
      </c>
    </row>
    <row r="7756" spans="1:40" x14ac:dyDescent="0.25">
      <c r="A7756" t="str">
        <f>"20190305135112767"</f>
        <v>20190305135112767</v>
      </c>
      <c r="B7756" t="str">
        <f>"1551765072757538"</f>
        <v>1551765072757538</v>
      </c>
      <c r="C7756" t="s">
        <v>40</v>
      </c>
      <c r="D7756">
        <v>4.415241</v>
      </c>
      <c r="E7756">
        <v>0.52569160000000004</v>
      </c>
      <c r="F7756" t="s">
        <v>42</v>
      </c>
      <c r="G7756">
        <v>-188.5968</v>
      </c>
      <c r="H7756" s="1">
        <v>-2.1040620000000001E-6</v>
      </c>
      <c r="I7756">
        <v>-36.042819999999999</v>
      </c>
      <c r="J7756">
        <v>-193.3734</v>
      </c>
      <c r="K7756">
        <v>1.1150679999999999</v>
      </c>
      <c r="L7756">
        <v>-49.396059999999999</v>
      </c>
      <c r="M7756">
        <v>0.54097240000000002</v>
      </c>
      <c r="N7756">
        <v>-1.0562E-2</v>
      </c>
      <c r="O7756">
        <v>0.84097409999999995</v>
      </c>
      <c r="P7756">
        <v>0.26893450000000002</v>
      </c>
      <c r="Q7756">
        <v>-3.849441E-2</v>
      </c>
      <c r="R7756">
        <v>0.96238889999999999</v>
      </c>
      <c r="S7756">
        <v>1.020386</v>
      </c>
      <c r="T7756">
        <v>-0.2318337</v>
      </c>
      <c r="U7756">
        <v>2.821564</v>
      </c>
      <c r="V7756">
        <v>-0.29407309999999998</v>
      </c>
      <c r="W7756">
        <v>-3.2307549999999997E-2</v>
      </c>
      <c r="X7756">
        <v>0.95523670000000005</v>
      </c>
      <c r="Y7756">
        <v>-0.22312480000000001</v>
      </c>
      <c r="Z7756">
        <v>-5.0595840000000003E-2</v>
      </c>
      <c r="AA7756">
        <v>0.97347589999999995</v>
      </c>
      <c r="AB7756">
        <v>25</v>
      </c>
      <c r="AC7756">
        <v>4.7766000000000002</v>
      </c>
      <c r="AD7756">
        <v>-1.1150701040619999</v>
      </c>
      <c r="AE7756">
        <v>13.35324</v>
      </c>
      <c r="AF7756">
        <v>-3.18721230070634</v>
      </c>
      <c r="AG7756">
        <v>-1.1150701040619999</v>
      </c>
      <c r="AH7756">
        <v>13.7296290103445</v>
      </c>
      <c r="AI7756">
        <v>94.523398507143895</v>
      </c>
      <c r="AJ7756">
        <v>103.06922680100701</v>
      </c>
      <c r="AK7756">
        <v>14.1387558274567</v>
      </c>
      <c r="AL7756">
        <v>91.851408508256</v>
      </c>
      <c r="AM7756">
        <v>107.11117306007201</v>
      </c>
      <c r="AN7756">
        <v>0.99999995947874998</v>
      </c>
    </row>
    <row r="7757" spans="1:40" x14ac:dyDescent="0.25">
      <c r="A7757" t="str">
        <f>"20190305135112788"</f>
        <v>20190305135112788</v>
      </c>
      <c r="B7757" t="str">
        <f>"1551765072777059"</f>
        <v>1551765072777059</v>
      </c>
      <c r="C7757" t="s">
        <v>40</v>
      </c>
      <c r="D7757">
        <v>4.3341500000000002</v>
      </c>
      <c r="E7757">
        <v>0.48899300000000001</v>
      </c>
      <c r="F7757" t="s">
        <v>42</v>
      </c>
      <c r="G7757">
        <v>-188.53720000000001</v>
      </c>
      <c r="H7757" s="1">
        <v>-2.2216130000000002E-6</v>
      </c>
      <c r="I7757">
        <v>-35.793409999999902</v>
      </c>
      <c r="J7757">
        <v>-193.25290000000001</v>
      </c>
      <c r="K7757">
        <v>1.1152230000000001</v>
      </c>
      <c r="L7757">
        <v>-49.192500000000003</v>
      </c>
      <c r="M7757">
        <v>0.53405519999999995</v>
      </c>
      <c r="N7757">
        <v>-1.05507E-2</v>
      </c>
      <c r="O7757">
        <v>0.84538380000000002</v>
      </c>
      <c r="P7757">
        <v>0.26417750000000001</v>
      </c>
      <c r="Q7757">
        <v>-3.9018079999999997E-2</v>
      </c>
      <c r="R7757">
        <v>0.96368450000000005</v>
      </c>
      <c r="S7757">
        <v>1.005112</v>
      </c>
      <c r="T7757">
        <v>-0.23174919999999999</v>
      </c>
      <c r="U7757">
        <v>2.8270870000000001</v>
      </c>
      <c r="V7757">
        <v>-0.29092240000000003</v>
      </c>
      <c r="W7757">
        <v>-3.2912660000000003E-2</v>
      </c>
      <c r="X7757">
        <v>0.95618040000000004</v>
      </c>
      <c r="Y7757">
        <v>-0.2204043</v>
      </c>
      <c r="Z7757">
        <v>-5.1010640000000003E-2</v>
      </c>
      <c r="AA7757">
        <v>0.97407379999999999</v>
      </c>
      <c r="AB7757">
        <v>25</v>
      </c>
      <c r="AC7757">
        <v>4.7156999999999902</v>
      </c>
      <c r="AD7757">
        <v>-1.1152252216130001</v>
      </c>
      <c r="AE7757">
        <v>13.399089999999999</v>
      </c>
      <c r="AF7757">
        <v>-3.1500368859571202</v>
      </c>
      <c r="AG7757">
        <v>-1.1152252216130001</v>
      </c>
      <c r="AH7757">
        <v>13.761760922895199</v>
      </c>
      <c r="AI7757">
        <v>94.516698005665305</v>
      </c>
      <c r="AJ7757">
        <v>102.89277189011101</v>
      </c>
      <c r="AK7757">
        <v>14.1616568019684</v>
      </c>
      <c r="AL7757">
        <v>91.886097091196902</v>
      </c>
      <c r="AM7757">
        <v>106.92263059872801</v>
      </c>
      <c r="AN7757">
        <v>1.0000000216770899</v>
      </c>
    </row>
    <row r="7758" spans="1:40" x14ac:dyDescent="0.25">
      <c r="A7758" t="str">
        <f>"20190305135112812"</f>
        <v>20190305135112812</v>
      </c>
      <c r="B7758" t="str">
        <f>"1551765072807315"</f>
        <v>1551765072807315</v>
      </c>
      <c r="C7758" t="s">
        <v>40</v>
      </c>
      <c r="D7758">
        <v>4.2762370000000001</v>
      </c>
      <c r="E7758">
        <v>0.4861335</v>
      </c>
      <c r="F7758" t="s">
        <v>42</v>
      </c>
      <c r="G7758">
        <v>-188.7071</v>
      </c>
      <c r="H7758" s="1">
        <v>-4.4616590000000003E-6</v>
      </c>
      <c r="I7758">
        <v>-30.50159</v>
      </c>
      <c r="J7758">
        <v>-193.12880000000001</v>
      </c>
      <c r="K7758">
        <v>1.115402</v>
      </c>
      <c r="L7758">
        <v>-48.978270000000002</v>
      </c>
      <c r="M7758">
        <v>0.52655269999999899</v>
      </c>
      <c r="N7758">
        <v>-1.053867E-2</v>
      </c>
      <c r="O7758">
        <v>0.85007719999999898</v>
      </c>
      <c r="P7758">
        <v>0.25869150000000002</v>
      </c>
      <c r="Q7758">
        <v>-4.1379949999999999E-2</v>
      </c>
      <c r="R7758">
        <v>0.96507330000000002</v>
      </c>
      <c r="S7758">
        <v>0.70819089999999996</v>
      </c>
      <c r="T7758">
        <v>-0.1737417</v>
      </c>
      <c r="U7758">
        <v>2.9118650000000001</v>
      </c>
      <c r="V7758">
        <v>-0.28779900000000003</v>
      </c>
      <c r="W7758">
        <v>-3.5369709999999999E-2</v>
      </c>
      <c r="X7758">
        <v>0.95703740000000004</v>
      </c>
      <c r="Y7758">
        <v>-0.31078679999999997</v>
      </c>
      <c r="Z7758">
        <v>-3.4524840000000001E-2</v>
      </c>
      <c r="AA7758">
        <v>0.94985240000000004</v>
      </c>
      <c r="AB7758">
        <v>25</v>
      </c>
      <c r="AC7758">
        <v>4.4217000000000102</v>
      </c>
      <c r="AD7758">
        <v>-1.115406461659</v>
      </c>
      <c r="AE7758">
        <v>18.476680000000002</v>
      </c>
      <c r="AF7758">
        <v>-5.9499816173468698</v>
      </c>
      <c r="AG7758">
        <v>-1.115406461659</v>
      </c>
      <c r="AH7758">
        <v>17.973908777499702</v>
      </c>
      <c r="AI7758">
        <v>93.371564902715406</v>
      </c>
      <c r="AJ7758">
        <v>108.31631850762901</v>
      </c>
      <c r="AK7758">
        <v>18.9659645039042</v>
      </c>
      <c r="AL7758">
        <v>92.026958017834303</v>
      </c>
      <c r="AM7758">
        <v>106.737012827463</v>
      </c>
      <c r="AN7758">
        <v>0.99999993289261901</v>
      </c>
    </row>
    <row r="7759" spans="1:40" x14ac:dyDescent="0.25">
      <c r="A7759" t="str">
        <f>"20190305135112833"</f>
        <v>20190305135112833</v>
      </c>
      <c r="B7759" t="str">
        <f>"1551765072827811"</f>
        <v>1551765072827811</v>
      </c>
      <c r="C7759" t="s">
        <v>40</v>
      </c>
      <c r="D7759">
        <v>4.260446</v>
      </c>
      <c r="E7759">
        <v>0.48689260000000001</v>
      </c>
      <c r="F7759" t="s">
        <v>42</v>
      </c>
      <c r="G7759">
        <v>-188.7861</v>
      </c>
      <c r="H7759" s="1">
        <v>-4.3418149999999998E-7</v>
      </c>
      <c r="I7759">
        <v>-30.025169999999999</v>
      </c>
      <c r="J7759">
        <v>-193.0068</v>
      </c>
      <c r="K7759">
        <v>1.115586</v>
      </c>
      <c r="L7759">
        <v>-48.762300000000003</v>
      </c>
      <c r="M7759">
        <v>0.51876339999999999</v>
      </c>
      <c r="N7759">
        <v>-1.052265E-2</v>
      </c>
      <c r="O7759">
        <v>0.85485309999999903</v>
      </c>
      <c r="P7759">
        <v>0.25244709999999998</v>
      </c>
      <c r="Q7759">
        <v>-4.233845E-2</v>
      </c>
      <c r="R7759">
        <v>0.96668399999999999</v>
      </c>
      <c r="S7759">
        <v>0.66946410000000001</v>
      </c>
      <c r="T7759">
        <v>-0.17194709999999999</v>
      </c>
      <c r="U7759">
        <v>2.9217529999999998</v>
      </c>
      <c r="V7759">
        <v>-0.28518870000000002</v>
      </c>
      <c r="W7759">
        <v>-3.6434149999999998E-2</v>
      </c>
      <c r="X7759">
        <v>0.95777869999999998</v>
      </c>
      <c r="Y7759">
        <v>-0.31476110000000002</v>
      </c>
      <c r="Z7759">
        <v>-3.4304000000000001E-2</v>
      </c>
      <c r="AA7759">
        <v>0.94855080000000003</v>
      </c>
      <c r="AB7759">
        <v>25</v>
      </c>
      <c r="AC7759">
        <v>4.2206999999999901</v>
      </c>
      <c r="AD7759">
        <v>-1.1155864341814901</v>
      </c>
      <c r="AE7759">
        <v>18.737130000000001</v>
      </c>
      <c r="AF7759">
        <v>-6.09184519105216</v>
      </c>
      <c r="AG7759">
        <v>-1.1155864341814901</v>
      </c>
      <c r="AH7759">
        <v>18.146824644396499</v>
      </c>
      <c r="AI7759">
        <v>93.335389771332501</v>
      </c>
      <c r="AJ7759">
        <v>108.5567776573</v>
      </c>
      <c r="AK7759">
        <v>19.174523608120001</v>
      </c>
      <c r="AL7759">
        <v>92.087985063751205</v>
      </c>
      <c r="AM7759">
        <v>106.581454568365</v>
      </c>
      <c r="AN7759">
        <v>1.0000000400338001</v>
      </c>
    </row>
    <row r="7760" spans="1:40" x14ac:dyDescent="0.25">
      <c r="A7760" t="str">
        <f>"20190305135112847"</f>
        <v>20190305135112847</v>
      </c>
      <c r="B7760" t="str">
        <f>"1551765072837571"</f>
        <v>1551765072837571</v>
      </c>
      <c r="C7760" t="s">
        <v>40</v>
      </c>
      <c r="D7760">
        <v>4.267741</v>
      </c>
      <c r="E7760">
        <v>0.48695090000000002</v>
      </c>
      <c r="F7760" t="s">
        <v>42</v>
      </c>
      <c r="G7760">
        <v>-188.78870000000001</v>
      </c>
      <c r="H7760" s="1">
        <v>-4.5258819999999999E-7</v>
      </c>
      <c r="I7760">
        <v>-29.969069999999999</v>
      </c>
      <c r="J7760">
        <v>-192.93109999999999</v>
      </c>
      <c r="K7760">
        <v>1.115691</v>
      </c>
      <c r="L7760">
        <v>-48.625979999999998</v>
      </c>
      <c r="M7760">
        <v>0.51375870000000001</v>
      </c>
      <c r="N7760">
        <v>-1.051069E-2</v>
      </c>
      <c r="O7760">
        <v>0.85787039999999903</v>
      </c>
      <c r="P7760">
        <v>0.24798100000000001</v>
      </c>
      <c r="Q7760">
        <v>-4.2047679999999997E-2</v>
      </c>
      <c r="R7760">
        <v>0.96785200000000005</v>
      </c>
      <c r="S7760">
        <v>0.65637209999999901</v>
      </c>
      <c r="T7760">
        <v>-0.1735942</v>
      </c>
      <c r="U7760">
        <v>2.9243769999999998</v>
      </c>
      <c r="V7760">
        <v>-0.28401470000000001</v>
      </c>
      <c r="W7760">
        <v>-3.6212540000000001E-2</v>
      </c>
      <c r="X7760">
        <v>0.95813579999999998</v>
      </c>
      <c r="Y7760">
        <v>-0.31344280000000002</v>
      </c>
      <c r="Z7760">
        <v>-3.4965240000000002E-2</v>
      </c>
      <c r="AA7760">
        <v>0.94896309999999995</v>
      </c>
      <c r="AB7760">
        <v>25</v>
      </c>
      <c r="AC7760">
        <v>4.1423999999999799</v>
      </c>
      <c r="AD7760">
        <v>-1.1156914525882</v>
      </c>
      <c r="AE7760">
        <v>18.65691</v>
      </c>
      <c r="AF7760">
        <v>-6.0113531838455501</v>
      </c>
      <c r="AG7760">
        <v>-1.1156914525882</v>
      </c>
      <c r="AH7760">
        <v>18.072812061145001</v>
      </c>
      <c r="AI7760">
        <v>93.352426785487495</v>
      </c>
      <c r="AJ7760">
        <v>108.398084092644</v>
      </c>
      <c r="AK7760">
        <v>19.078985044172999</v>
      </c>
      <c r="AL7760">
        <v>92.075279539379906</v>
      </c>
      <c r="AM7760">
        <v>106.51110145465999</v>
      </c>
      <c r="AN7760">
        <v>0.99999995455548896</v>
      </c>
    </row>
    <row r="7761" spans="1:40" x14ac:dyDescent="0.25">
      <c r="A7761" t="str">
        <f>"20190305135112867"</f>
        <v>20190305135112867</v>
      </c>
      <c r="B7761" t="str">
        <f>"1551765072857091"</f>
        <v>1551765072857091</v>
      </c>
      <c r="C7761" t="s">
        <v>40</v>
      </c>
      <c r="D7761">
        <v>4.2432299999999996</v>
      </c>
      <c r="E7761">
        <v>0.48702859999999998</v>
      </c>
      <c r="F7761" t="s">
        <v>42</v>
      </c>
      <c r="G7761">
        <v>-188.643</v>
      </c>
      <c r="H7761" s="1">
        <v>-7.8424240000000001E-7</v>
      </c>
      <c r="I7761">
        <v>-29.108419999999999</v>
      </c>
      <c r="J7761">
        <v>-192.82910000000001</v>
      </c>
      <c r="K7761">
        <v>1.1158349999999999</v>
      </c>
      <c r="L7761">
        <v>-48.438809999999997</v>
      </c>
      <c r="M7761">
        <v>0.50676330000000003</v>
      </c>
      <c r="N7761">
        <v>-1.048702E-2</v>
      </c>
      <c r="O7761">
        <v>0.86202140000000005</v>
      </c>
      <c r="P7761">
        <v>0.24216589999999999</v>
      </c>
      <c r="Q7761">
        <v>-3.9958880000000002E-2</v>
      </c>
      <c r="R7761">
        <v>0.96941169999999999</v>
      </c>
      <c r="S7761">
        <v>0.64320369999999905</v>
      </c>
      <c r="T7761">
        <v>-0.16735079999999999</v>
      </c>
      <c r="U7761">
        <v>2.9275820000000001</v>
      </c>
      <c r="V7761">
        <v>-0.28203739999999999</v>
      </c>
      <c r="W7761">
        <v>-3.4207199999999903E-2</v>
      </c>
      <c r="X7761">
        <v>0.95879340000000002</v>
      </c>
      <c r="Y7761">
        <v>-0.31000229999999901</v>
      </c>
      <c r="Z7761">
        <v>-3.3699130000000001E-2</v>
      </c>
      <c r="AA7761">
        <v>0.95013840000000005</v>
      </c>
      <c r="AB7761">
        <v>25</v>
      </c>
      <c r="AC7761">
        <v>4.1860999999999997</v>
      </c>
      <c r="AD7761">
        <v>-1.1158357842424</v>
      </c>
      <c r="AE7761">
        <v>19.330389999999898</v>
      </c>
      <c r="AF7761">
        <v>-6.1681327577033498</v>
      </c>
      <c r="AG7761">
        <v>-1.1158357842424</v>
      </c>
      <c r="AH7761">
        <v>18.7260035400896</v>
      </c>
      <c r="AI7761">
        <v>93.239272770314997</v>
      </c>
      <c r="AJ7761">
        <v>108.231295599855</v>
      </c>
      <c r="AK7761">
        <v>19.7472570195836</v>
      </c>
      <c r="AL7761">
        <v>91.960310608463701</v>
      </c>
      <c r="AM7761">
        <v>106.391704090159</v>
      </c>
      <c r="AN7761">
        <v>1.0000000057070799</v>
      </c>
    </row>
    <row r="7762" spans="1:40" x14ac:dyDescent="0.25">
      <c r="A7762" t="str">
        <f>"20190305135112891"</f>
        <v>20190305135112891</v>
      </c>
      <c r="B7762" t="str">
        <f>"1551765072887346"</f>
        <v>1551765072887346</v>
      </c>
      <c r="C7762" t="s">
        <v>40</v>
      </c>
      <c r="D7762">
        <v>4.2308890000000003</v>
      </c>
      <c r="E7762">
        <v>0.48717929999999998</v>
      </c>
      <c r="F7762" t="s">
        <v>42</v>
      </c>
      <c r="G7762">
        <v>-188.29390000000001</v>
      </c>
      <c r="H7762" s="1">
        <v>-1.657792E-6</v>
      </c>
      <c r="I7762">
        <v>-27.208320000000001</v>
      </c>
      <c r="J7762">
        <v>-192.71019999999999</v>
      </c>
      <c r="K7762">
        <v>1.1159859999999999</v>
      </c>
      <c r="L7762">
        <v>-48.21564</v>
      </c>
      <c r="M7762">
        <v>0.49824049999999998</v>
      </c>
      <c r="N7762">
        <v>-1.043466E-2</v>
      </c>
      <c r="O7762">
        <v>0.86697610000000003</v>
      </c>
      <c r="P7762">
        <v>0.23461979999999999</v>
      </c>
      <c r="Q7762">
        <v>-3.8042529999999998E-2</v>
      </c>
      <c r="R7762">
        <v>0.9713425</v>
      </c>
      <c r="S7762">
        <v>0.62629699999999999</v>
      </c>
      <c r="T7762">
        <v>-0.15409289999999901</v>
      </c>
      <c r="U7762">
        <v>2.931854</v>
      </c>
      <c r="V7762">
        <v>-0.2800955</v>
      </c>
      <c r="W7762">
        <v>-3.2412870000000003E-2</v>
      </c>
      <c r="X7762">
        <v>0.95942479999999997</v>
      </c>
      <c r="Y7762">
        <v>-0.30613980000000002</v>
      </c>
      <c r="Z7762">
        <v>-3.0645410000000001E-2</v>
      </c>
      <c r="AA7762">
        <v>0.95149320000000004</v>
      </c>
      <c r="AB7762">
        <v>25</v>
      </c>
      <c r="AC7762">
        <v>4.4162999999999704</v>
      </c>
      <c r="AD7762">
        <v>-1.115987657792</v>
      </c>
      <c r="AE7762">
        <v>21.00732</v>
      </c>
      <c r="AF7762">
        <v>-6.6203396468972402</v>
      </c>
      <c r="AG7762">
        <v>-1.115987657792</v>
      </c>
      <c r="AH7762">
        <v>20.359310083373</v>
      </c>
      <c r="AI7762">
        <v>92.984006609330706</v>
      </c>
      <c r="AJ7762">
        <v>108.013232523155</v>
      </c>
      <c r="AK7762">
        <v>21.437719854582401</v>
      </c>
      <c r="AL7762">
        <v>91.857445958769802</v>
      </c>
      <c r="AM7762">
        <v>106.27469302705001</v>
      </c>
      <c r="AN7762">
        <v>1.00000001505846</v>
      </c>
    </row>
    <row r="7763" spans="1:40" x14ac:dyDescent="0.25">
      <c r="A7763" t="str">
        <f>"20190305135112907"</f>
        <v>20190305135112907</v>
      </c>
      <c r="B7763" t="str">
        <f>"1551765072897108"</f>
        <v>1551765072897108</v>
      </c>
      <c r="C7763" t="s">
        <v>40</v>
      </c>
      <c r="D7763">
        <v>4.233187</v>
      </c>
      <c r="E7763">
        <v>0.48726429999999998</v>
      </c>
      <c r="F7763" t="s">
        <v>42</v>
      </c>
      <c r="G7763">
        <v>-187.89490000000001</v>
      </c>
      <c r="H7763" s="1">
        <v>-2.7514629999999999E-6</v>
      </c>
      <c r="I7763">
        <v>-24.823899999999998</v>
      </c>
      <c r="J7763">
        <v>-192.62190000000001</v>
      </c>
      <c r="K7763">
        <v>1.116079</v>
      </c>
      <c r="L7763">
        <v>-48.045810000000003</v>
      </c>
      <c r="M7763">
        <v>0.49162289999999997</v>
      </c>
      <c r="N7763">
        <v>-1.037136E-2</v>
      </c>
      <c r="O7763">
        <v>0.87074649999999998</v>
      </c>
      <c r="P7763">
        <v>0.22816330000000001</v>
      </c>
      <c r="Q7763">
        <v>-3.698481E-2</v>
      </c>
      <c r="R7763">
        <v>0.97292020000000001</v>
      </c>
      <c r="S7763">
        <v>0.60458369999999995</v>
      </c>
      <c r="T7763">
        <v>-0.14011940000000001</v>
      </c>
      <c r="U7763">
        <v>2.9369809999999998</v>
      </c>
      <c r="V7763">
        <v>-0.27918739999999997</v>
      </c>
      <c r="W7763">
        <v>-3.1475120000000002E-2</v>
      </c>
      <c r="X7763">
        <v>0.95972069999999998</v>
      </c>
      <c r="Y7763">
        <v>-0.30595509999999998</v>
      </c>
      <c r="Z7763">
        <v>-2.723045E-2</v>
      </c>
      <c r="AA7763">
        <v>0.95165650000000002</v>
      </c>
      <c r="AB7763">
        <v>25</v>
      </c>
      <c r="AC7763">
        <v>4.7270000000000003</v>
      </c>
      <c r="AD7763">
        <v>-1.1160817514629999</v>
      </c>
      <c r="AE7763">
        <v>23.221910000000001</v>
      </c>
      <c r="AF7763">
        <v>-7.2846388957717796</v>
      </c>
      <c r="AG7763">
        <v>-1.1160817514629999</v>
      </c>
      <c r="AH7763">
        <v>22.495614157627699</v>
      </c>
      <c r="AI7763">
        <v>92.702367796409504</v>
      </c>
      <c r="AJ7763">
        <v>107.94324191157099</v>
      </c>
      <c r="AK7763">
        <v>23.672014249881599</v>
      </c>
      <c r="AL7763">
        <v>91.803689334644901</v>
      </c>
      <c r="AM7763">
        <v>106.219969322738</v>
      </c>
      <c r="AN7763">
        <v>1.00000005475313</v>
      </c>
    </row>
    <row r="7764" spans="1:40" x14ac:dyDescent="0.25">
      <c r="A7764" t="str">
        <f>"20190305135112923"</f>
        <v>20190305135112923</v>
      </c>
      <c r="B7764" t="str">
        <f>"1551765072917603"</f>
        <v>1551765072917603</v>
      </c>
      <c r="C7764" t="s">
        <v>40</v>
      </c>
      <c r="D7764">
        <v>4.2714759999999998</v>
      </c>
      <c r="E7764">
        <v>0.48738680000000001</v>
      </c>
      <c r="F7764" t="s">
        <v>42</v>
      </c>
      <c r="G7764">
        <v>-187.7671</v>
      </c>
      <c r="H7764" s="1">
        <v>-3.2696489999999999E-6</v>
      </c>
      <c r="I7764">
        <v>-23.668839999999999</v>
      </c>
      <c r="J7764">
        <v>-192.54640000000001</v>
      </c>
      <c r="K7764">
        <v>1.116147</v>
      </c>
      <c r="L7764">
        <v>-47.897889999999997</v>
      </c>
      <c r="M7764">
        <v>0.48579870000000003</v>
      </c>
      <c r="N7764">
        <v>-1.030912E-2</v>
      </c>
      <c r="O7764">
        <v>0.87400990000000001</v>
      </c>
      <c r="P7764">
        <v>0.22278729999999999</v>
      </c>
      <c r="Q7764">
        <v>-3.7718130000000002E-2</v>
      </c>
      <c r="R7764">
        <v>0.97413709999999998</v>
      </c>
      <c r="S7764">
        <v>0.58570859999999902</v>
      </c>
      <c r="T7764">
        <v>-0.13465199999999999</v>
      </c>
      <c r="U7764">
        <v>2.9410099999999999</v>
      </c>
      <c r="V7764">
        <v>-0.27804659999999998</v>
      </c>
      <c r="W7764">
        <v>-3.2305960000000002E-2</v>
      </c>
      <c r="X7764">
        <v>0.96002419999999999</v>
      </c>
      <c r="Y7764">
        <v>-0.30572100000000002</v>
      </c>
      <c r="Z7764">
        <v>-2.600968E-2</v>
      </c>
      <c r="AA7764">
        <v>0.9517658</v>
      </c>
      <c r="AB7764">
        <v>25</v>
      </c>
      <c r="AC7764">
        <v>4.7793000000000001</v>
      </c>
      <c r="AD7764">
        <v>-1.116150269649</v>
      </c>
      <c r="AE7764">
        <v>24.229050000000001</v>
      </c>
      <c r="AF7764">
        <v>-7.5782094988879001</v>
      </c>
      <c r="AG7764">
        <v>-1.116150269649</v>
      </c>
      <c r="AH7764">
        <v>23.451553120394401</v>
      </c>
      <c r="AI7764">
        <v>92.593042359375403</v>
      </c>
      <c r="AJ7764">
        <v>107.90788499089599</v>
      </c>
      <c r="AK7764">
        <v>24.670840974562601</v>
      </c>
      <c r="AL7764">
        <v>91.851317237736396</v>
      </c>
      <c r="AM7764">
        <v>106.15231538309</v>
      </c>
      <c r="AN7764">
        <v>1.00000002570436</v>
      </c>
    </row>
    <row r="7765" spans="1:40" x14ac:dyDescent="0.25">
      <c r="A7765" t="str">
        <f>"20190305135112946"</f>
        <v>20190305135112946</v>
      </c>
      <c r="B7765" t="str">
        <f>"1551765072937153"</f>
        <v>1551765072937153</v>
      </c>
      <c r="C7765" t="s">
        <v>40</v>
      </c>
      <c r="D7765">
        <v>4.2429420000000002</v>
      </c>
      <c r="E7765">
        <v>0.4877611</v>
      </c>
      <c r="F7765" t="s">
        <v>42</v>
      </c>
      <c r="G7765">
        <v>-187.97579999999999</v>
      </c>
      <c r="H7765" s="1">
        <v>-2.9609369999999999E-6</v>
      </c>
      <c r="I7765">
        <v>-24.30217</v>
      </c>
      <c r="J7765">
        <v>-192.42850000000001</v>
      </c>
      <c r="K7765">
        <v>1.116233</v>
      </c>
      <c r="L7765">
        <v>-47.662109999999998</v>
      </c>
      <c r="M7765">
        <v>0.4764217</v>
      </c>
      <c r="N7765">
        <v>-1.0191510000000001E-2</v>
      </c>
      <c r="O7765">
        <v>0.87915779999999999</v>
      </c>
      <c r="P7765">
        <v>0.2127686</v>
      </c>
      <c r="Q7765">
        <v>-3.8738340000000003E-2</v>
      </c>
      <c r="R7765">
        <v>0.97633440000000005</v>
      </c>
      <c r="S7765">
        <v>0.57023619999999997</v>
      </c>
      <c r="T7765">
        <v>-0.13925299999999999</v>
      </c>
      <c r="U7765">
        <v>2.943848</v>
      </c>
      <c r="V7765">
        <v>-0.27759210000000001</v>
      </c>
      <c r="W7765">
        <v>-3.3511829999999999E-2</v>
      </c>
      <c r="X7765">
        <v>0.96011440000000003</v>
      </c>
      <c r="Y7765">
        <v>-0.30053299999999999</v>
      </c>
      <c r="Z7765">
        <v>-2.7689709999999999E-2</v>
      </c>
      <c r="AA7765">
        <v>0.95336940000000003</v>
      </c>
      <c r="AB7765">
        <v>25</v>
      </c>
      <c r="AC7765">
        <v>4.4527000000000196</v>
      </c>
      <c r="AD7765">
        <v>-1.1162359609370001</v>
      </c>
      <c r="AE7765">
        <v>23.359940000000002</v>
      </c>
      <c r="AF7765">
        <v>-7.1990697641872403</v>
      </c>
      <c r="AG7765">
        <v>-1.1162359609370001</v>
      </c>
      <c r="AH7765">
        <v>22.609798203252801</v>
      </c>
      <c r="AI7765">
        <v>92.693351148511994</v>
      </c>
      <c r="AJ7765">
        <v>107.66172829453301</v>
      </c>
      <c r="AK7765">
        <v>23.754485112962101</v>
      </c>
      <c r="AL7765">
        <v>91.920445919609705</v>
      </c>
      <c r="AM7765">
        <v>106.125849820547</v>
      </c>
      <c r="AN7765">
        <v>1.00000003890985</v>
      </c>
    </row>
    <row r="7766" spans="1:40" x14ac:dyDescent="0.25">
      <c r="A7766" t="str">
        <f>"20190305135112961"</f>
        <v>20190305135112961</v>
      </c>
      <c r="B7766" t="str">
        <f>"1551765072957649"</f>
        <v>1551765072957649</v>
      </c>
      <c r="C7766" t="s">
        <v>40</v>
      </c>
      <c r="D7766">
        <v>4.2476200000000004</v>
      </c>
      <c r="E7766">
        <v>0.488151</v>
      </c>
      <c r="F7766" t="s">
        <v>42</v>
      </c>
      <c r="G7766">
        <v>-188.14789999999999</v>
      </c>
      <c r="H7766" s="1">
        <v>-2.885296E-6</v>
      </c>
      <c r="I7766">
        <v>-24.407330000000002</v>
      </c>
      <c r="J7766">
        <v>-192.35640000000001</v>
      </c>
      <c r="K7766">
        <v>1.116271</v>
      </c>
      <c r="L7766">
        <v>-47.514220000000002</v>
      </c>
      <c r="M7766">
        <v>0.47049099999999999</v>
      </c>
      <c r="N7766">
        <v>-1.0103239999999999E-2</v>
      </c>
      <c r="O7766">
        <v>0.88234690000000005</v>
      </c>
      <c r="P7766">
        <v>0.2058509</v>
      </c>
      <c r="Q7766">
        <v>-3.8834470000000003E-2</v>
      </c>
      <c r="R7766">
        <v>0.97781249999999997</v>
      </c>
      <c r="S7766">
        <v>0.54280090000000003</v>
      </c>
      <c r="T7766">
        <v>-0.14154430000000001</v>
      </c>
      <c r="U7766">
        <v>2.9488219999999998</v>
      </c>
      <c r="V7766">
        <v>-0.27791450000000001</v>
      </c>
      <c r="W7766">
        <v>-3.3739089999999999E-2</v>
      </c>
      <c r="X7766">
        <v>0.96001309999999995</v>
      </c>
      <c r="Y7766">
        <v>-0.3029771</v>
      </c>
      <c r="Z7766">
        <v>-2.852559E-2</v>
      </c>
      <c r="AA7766">
        <v>0.95257080000000005</v>
      </c>
      <c r="AB7766">
        <v>25</v>
      </c>
      <c r="AC7766">
        <v>4.2085000000000097</v>
      </c>
      <c r="AD7766">
        <v>-1.1162738852959999</v>
      </c>
      <c r="AE7766">
        <v>23.10689</v>
      </c>
      <c r="AF7766">
        <v>-7.1424588615329796</v>
      </c>
      <c r="AG7766">
        <v>-1.1162738852959999</v>
      </c>
      <c r="AH7766">
        <v>22.319081589719001</v>
      </c>
      <c r="AI7766">
        <v>92.727202116317699</v>
      </c>
      <c r="AJ7766">
        <v>107.745493064615</v>
      </c>
      <c r="AK7766">
        <v>23.4606519300768</v>
      </c>
      <c r="AL7766">
        <v>91.933474451352595</v>
      </c>
      <c r="AM7766">
        <v>106.145218268318</v>
      </c>
      <c r="AN7766">
        <v>0.99999997383794303</v>
      </c>
    </row>
    <row r="7767" spans="1:40" x14ac:dyDescent="0.25">
      <c r="A7767" t="str">
        <f>"20190305135112979"</f>
        <v>20190305135112979</v>
      </c>
      <c r="B7767" t="str">
        <f>"1551765072967409"</f>
        <v>1551765072967409</v>
      </c>
      <c r="C7767" t="s">
        <v>40</v>
      </c>
      <c r="D7767">
        <v>4.2761310000000003</v>
      </c>
      <c r="E7767">
        <v>0.48835650000000003</v>
      </c>
      <c r="F7767" t="s">
        <v>42</v>
      </c>
      <c r="G7767">
        <v>-188.23609999999999</v>
      </c>
      <c r="H7767" s="1">
        <v>-2.893957E-6</v>
      </c>
      <c r="I7767">
        <v>-24.350670000000001</v>
      </c>
      <c r="J7767">
        <v>-192.26939999999999</v>
      </c>
      <c r="K7767">
        <v>1.116301</v>
      </c>
      <c r="L7767">
        <v>-47.33276</v>
      </c>
      <c r="M7767">
        <v>0.46318169999999997</v>
      </c>
      <c r="N7767">
        <v>-9.9813809999999992E-3</v>
      </c>
      <c r="O7767">
        <v>0.88620719999999997</v>
      </c>
      <c r="P7767">
        <v>0.19737689999999999</v>
      </c>
      <c r="Q7767">
        <v>-3.8132060000000002E-2</v>
      </c>
      <c r="R7767">
        <v>0.97958579999999995</v>
      </c>
      <c r="S7767">
        <v>0.52507019999999904</v>
      </c>
      <c r="T7767">
        <v>-0.14225360000000001</v>
      </c>
      <c r="U7767">
        <v>2.9518740000000001</v>
      </c>
      <c r="V7767">
        <v>-0.27830769999999999</v>
      </c>
      <c r="W7767">
        <v>-3.3201370000000001E-2</v>
      </c>
      <c r="X7767">
        <v>0.95991800000000005</v>
      </c>
      <c r="Y7767">
        <v>-0.3008189</v>
      </c>
      <c r="Z7767">
        <v>-2.90751E-2</v>
      </c>
      <c r="AA7767">
        <v>0.95323800000000003</v>
      </c>
      <c r="AB7767">
        <v>25</v>
      </c>
      <c r="AC7767">
        <v>4.0332999999999899</v>
      </c>
      <c r="AD7767">
        <v>-1.116303893957</v>
      </c>
      <c r="AE7767">
        <v>22.982089999999999</v>
      </c>
      <c r="AF7767">
        <v>-7.0547487904044397</v>
      </c>
      <c r="AG7767">
        <v>-1.116303893957</v>
      </c>
      <c r="AH7767">
        <v>22.185372453261099</v>
      </c>
      <c r="AI7767">
        <v>92.745293832165203</v>
      </c>
      <c r="AJ7767">
        <v>107.640195744427</v>
      </c>
      <c r="AK7767">
        <v>23.306787976237601</v>
      </c>
      <c r="AL7767">
        <v>91.902647972249895</v>
      </c>
      <c r="AM7767">
        <v>106.1683863807</v>
      </c>
      <c r="AN7767">
        <v>1.00000003678658</v>
      </c>
    </row>
    <row r="7768" spans="1:40" x14ac:dyDescent="0.25">
      <c r="A7768" t="str">
        <f>"20190305135113000"</f>
        <v>20190305135113000</v>
      </c>
      <c r="B7768" t="str">
        <f>"1551765072997665"</f>
        <v>1551765072997665</v>
      </c>
      <c r="C7768" t="s">
        <v>40</v>
      </c>
      <c r="D7768">
        <v>4.2546339999999896</v>
      </c>
      <c r="E7768">
        <v>0.48895569999999999</v>
      </c>
      <c r="F7768" t="s">
        <v>42</v>
      </c>
      <c r="G7768">
        <v>-188.2818</v>
      </c>
      <c r="H7768" s="1">
        <v>-3.1174209999999999E-6</v>
      </c>
      <c r="I7768">
        <v>-23.810890000000001</v>
      </c>
      <c r="J7768">
        <v>-192.1694</v>
      </c>
      <c r="K7768">
        <v>1.1163110000000001</v>
      </c>
      <c r="L7768">
        <v>-47.118989999999997</v>
      </c>
      <c r="M7768">
        <v>0.4545382</v>
      </c>
      <c r="N7768">
        <v>-9.8212119999999993E-3</v>
      </c>
      <c r="O7768">
        <v>0.8906731</v>
      </c>
      <c r="P7768">
        <v>0.18784090000000001</v>
      </c>
      <c r="Q7768">
        <v>-3.809999E-2</v>
      </c>
      <c r="R7768">
        <v>0.9814602</v>
      </c>
      <c r="S7768">
        <v>0.50114440000000005</v>
      </c>
      <c r="T7768">
        <v>-0.14029029999999901</v>
      </c>
      <c r="U7768">
        <v>2.9560849999999999</v>
      </c>
      <c r="V7768">
        <v>-0.2782985</v>
      </c>
      <c r="W7768">
        <v>-3.3358819999999997E-2</v>
      </c>
      <c r="X7768">
        <v>0.95991519999999997</v>
      </c>
      <c r="Y7768">
        <v>-0.29926609999999998</v>
      </c>
      <c r="Z7768">
        <v>-2.8956909999999999E-2</v>
      </c>
      <c r="AA7768">
        <v>0.95373019999999997</v>
      </c>
      <c r="AB7768">
        <v>25</v>
      </c>
      <c r="AC7768">
        <v>3.8875999999999902</v>
      </c>
      <c r="AD7768">
        <v>-1.1163141174210001</v>
      </c>
      <c r="AE7768">
        <v>23.3081</v>
      </c>
      <c r="AF7768">
        <v>-7.1163033579113497</v>
      </c>
      <c r="AG7768">
        <v>-1.1163141174210001</v>
      </c>
      <c r="AH7768">
        <v>22.477882239739699</v>
      </c>
      <c r="AI7768">
        <v>92.710738932607399</v>
      </c>
      <c r="AJ7768">
        <v>107.56733729499599</v>
      </c>
      <c r="AK7768">
        <v>23.603879356457099</v>
      </c>
      <c r="AL7768">
        <v>91.911674208046904</v>
      </c>
      <c r="AM7768">
        <v>106.167924524489</v>
      </c>
      <c r="AN7768">
        <v>1.0000000285825399</v>
      </c>
    </row>
    <row r="7769" spans="1:40" x14ac:dyDescent="0.25">
      <c r="A7769" t="str">
        <f>"20190305135113015"</f>
        <v>20190305135113015</v>
      </c>
      <c r="B7769" t="str">
        <f>"1551765073007425"</f>
        <v>1551765073007425</v>
      </c>
      <c r="C7769" t="s">
        <v>40</v>
      </c>
      <c r="D7769">
        <v>4.5267670000000004</v>
      </c>
      <c r="E7769">
        <v>0.48895569999999999</v>
      </c>
      <c r="F7769" t="s">
        <v>42</v>
      </c>
      <c r="G7769">
        <v>-188.31569999999999</v>
      </c>
      <c r="H7769" s="1">
        <v>-3.3694849999999999E-6</v>
      </c>
      <c r="I7769">
        <v>-23.209289999999999</v>
      </c>
      <c r="J7769">
        <v>-192.09899999999999</v>
      </c>
      <c r="K7769">
        <v>1.116312</v>
      </c>
      <c r="L7769">
        <v>-46.965519999999998</v>
      </c>
      <c r="M7769">
        <v>0.44832270000000002</v>
      </c>
      <c r="N7769">
        <v>-9.701187E-3</v>
      </c>
      <c r="O7769">
        <v>0.89381919999999904</v>
      </c>
      <c r="P7769">
        <v>0.18106720000000001</v>
      </c>
      <c r="Q7769">
        <v>-3.8803579999999997E-2</v>
      </c>
      <c r="R7769">
        <v>0.98270489999999999</v>
      </c>
      <c r="S7769">
        <v>0.47708129999999999</v>
      </c>
      <c r="T7769">
        <v>-0.1381984</v>
      </c>
      <c r="U7769">
        <v>2.959991</v>
      </c>
      <c r="V7769">
        <v>-0.27820319999999998</v>
      </c>
      <c r="W7769">
        <v>-3.4196289999999997E-2</v>
      </c>
      <c r="X7769">
        <v>0.95991329999999997</v>
      </c>
      <c r="Y7769">
        <v>-0.30037360000000002</v>
      </c>
      <c r="Z7769">
        <v>-2.865407E-2</v>
      </c>
      <c r="AA7769">
        <v>0.95339110000000005</v>
      </c>
      <c r="AB7769">
        <v>25</v>
      </c>
      <c r="AC7769">
        <v>3.7833000000000201</v>
      </c>
      <c r="AD7769">
        <v>-1.1163153694850001</v>
      </c>
      <c r="AE7769">
        <v>23.756229999999999</v>
      </c>
      <c r="AF7769">
        <v>-7.2535921483672201</v>
      </c>
      <c r="AG7769">
        <v>-1.1163153694850001</v>
      </c>
      <c r="AH7769">
        <v>22.881716092531398</v>
      </c>
      <c r="AI7769">
        <v>92.662654452353195</v>
      </c>
      <c r="AJ7769">
        <v>107.588815651998</v>
      </c>
      <c r="AK7769">
        <v>24.029849987010198</v>
      </c>
      <c r="AL7769">
        <v>91.959685205533006</v>
      </c>
      <c r="AM7769">
        <v>106.16270745419</v>
      </c>
      <c r="AN7769">
        <v>0.99999997512844596</v>
      </c>
    </row>
    <row r="7770" spans="1:40" x14ac:dyDescent="0.25">
      <c r="A7770" t="str">
        <f>"20190305135113035"</f>
        <v>20190305135113035</v>
      </c>
      <c r="B7770" t="str">
        <f>"1551765073027921"</f>
        <v>1551765073027921</v>
      </c>
      <c r="C7770" t="s">
        <v>40</v>
      </c>
      <c r="D7770">
        <v>4.2648330000000003</v>
      </c>
      <c r="E7770">
        <v>0.48954789999999998</v>
      </c>
      <c r="F7770" t="s">
        <v>42</v>
      </c>
      <c r="G7770">
        <v>-188.46469999999999</v>
      </c>
      <c r="H7770" s="1">
        <v>-3.2700340000000001E-6</v>
      </c>
      <c r="I7770">
        <v>-23.379519999999999</v>
      </c>
      <c r="J7770">
        <v>-192.00790000000001</v>
      </c>
      <c r="K7770">
        <v>1.1163099999999999</v>
      </c>
      <c r="L7770">
        <v>-46.762419999999999</v>
      </c>
      <c r="M7770">
        <v>0.4400964</v>
      </c>
      <c r="N7770">
        <v>-9.5420239999999996E-3</v>
      </c>
      <c r="O7770">
        <v>0.89789979999999903</v>
      </c>
      <c r="P7770">
        <v>0.1727253</v>
      </c>
      <c r="Q7770">
        <v>-3.956573E-2</v>
      </c>
      <c r="R7770">
        <v>0.98417500000000002</v>
      </c>
      <c r="S7770">
        <v>0.45658870000000001</v>
      </c>
      <c r="T7770">
        <v>-0.14024389999999901</v>
      </c>
      <c r="U7770">
        <v>2.9631349999999999</v>
      </c>
      <c r="V7770">
        <v>-0.27749849999999998</v>
      </c>
      <c r="W7770">
        <v>-3.5119459999999998E-2</v>
      </c>
      <c r="X7770">
        <v>0.96008400000000005</v>
      </c>
      <c r="Y7770">
        <v>-0.29821209999999998</v>
      </c>
      <c r="Z7770">
        <v>-2.962122E-2</v>
      </c>
      <c r="AA7770">
        <v>0.95403990000000005</v>
      </c>
      <c r="AB7770">
        <v>25</v>
      </c>
      <c r="AC7770">
        <v>3.5432000000000099</v>
      </c>
      <c r="AD7770">
        <v>-1.1163132700339999</v>
      </c>
      <c r="AE7770">
        <v>23.382899999999999</v>
      </c>
      <c r="AF7770">
        <v>-7.0938103696530597</v>
      </c>
      <c r="AG7770">
        <v>-1.1163132700339999</v>
      </c>
      <c r="AH7770">
        <v>22.5057354268551</v>
      </c>
      <c r="AI7770">
        <v>92.708467563293098</v>
      </c>
      <c r="AJ7770">
        <v>107.494857420374</v>
      </c>
      <c r="AK7770">
        <v>23.623641293861802</v>
      </c>
      <c r="AL7770">
        <v>92.012610617653394</v>
      </c>
      <c r="AM7770">
        <v>106.12117884205099</v>
      </c>
      <c r="AN7770">
        <v>1.00000004051447</v>
      </c>
    </row>
    <row r="7771" spans="1:40" x14ac:dyDescent="0.25">
      <c r="A7771" t="str">
        <f>"20190305135113051"</f>
        <v>20190305135113051</v>
      </c>
      <c r="B7771" t="str">
        <f>"1551765073047440"</f>
        <v>1551765073047440</v>
      </c>
      <c r="C7771" t="s">
        <v>40</v>
      </c>
      <c r="D7771">
        <v>4.2291569999999998</v>
      </c>
      <c r="E7771">
        <v>0.4908864</v>
      </c>
      <c r="F7771" t="s">
        <v>42</v>
      </c>
      <c r="G7771">
        <v>-188.6234</v>
      </c>
      <c r="H7771" s="1">
        <v>-3.0851680000000001E-6</v>
      </c>
      <c r="I7771">
        <v>-23.744820000000001</v>
      </c>
      <c r="J7771">
        <v>-191.9383</v>
      </c>
      <c r="K7771">
        <v>1.1163160000000001</v>
      </c>
      <c r="L7771">
        <v>-46.604100000000003</v>
      </c>
      <c r="M7771">
        <v>0.43368519999999999</v>
      </c>
      <c r="N7771">
        <v>-9.4196890000000002E-3</v>
      </c>
      <c r="O7771">
        <v>0.90101520000000002</v>
      </c>
      <c r="P7771">
        <v>0.16595070000000001</v>
      </c>
      <c r="Q7771">
        <v>-3.962094E-2</v>
      </c>
      <c r="R7771">
        <v>0.98533780000000004</v>
      </c>
      <c r="S7771">
        <v>0.43611149999999999</v>
      </c>
      <c r="T7771">
        <v>-0.14384149999999901</v>
      </c>
      <c r="U7771">
        <v>2.9659119999999999</v>
      </c>
      <c r="V7771">
        <v>-0.277254099999999</v>
      </c>
      <c r="W7771">
        <v>-3.5302350000000003E-2</v>
      </c>
      <c r="X7771">
        <v>0.96014790000000005</v>
      </c>
      <c r="Y7771">
        <v>-0.2979887</v>
      </c>
      <c r="Z7771">
        <v>-3.0916430000000002E-2</v>
      </c>
      <c r="AA7771">
        <v>0.95406860000000004</v>
      </c>
      <c r="AB7771">
        <v>26</v>
      </c>
      <c r="AC7771">
        <v>3.31489999999999</v>
      </c>
      <c r="AD7771">
        <v>-1.116319085168</v>
      </c>
      <c r="AE7771">
        <v>22.859279999999998</v>
      </c>
      <c r="AF7771">
        <v>-6.9111213823508404</v>
      </c>
      <c r="AG7771">
        <v>-1.116319085168</v>
      </c>
      <c r="AH7771">
        <v>21.983812535790399</v>
      </c>
      <c r="AI7771">
        <v>92.773340892687401</v>
      </c>
      <c r="AJ7771">
        <v>107.451749994713</v>
      </c>
      <c r="AK7771">
        <v>23.071579500984999</v>
      </c>
      <c r="AL7771">
        <v>92.023095943532596</v>
      </c>
      <c r="AM7771">
        <v>106.106700774106</v>
      </c>
      <c r="AN7771">
        <v>1.00000004087837</v>
      </c>
    </row>
    <row r="7772" spans="1:40" x14ac:dyDescent="0.25">
      <c r="A7772" t="str">
        <f>"20190305135113068"</f>
        <v>20190305135113068</v>
      </c>
      <c r="B7772" t="str">
        <f>"1551765073057201"</f>
        <v>1551765073057201</v>
      </c>
      <c r="C7772" t="s">
        <v>40</v>
      </c>
      <c r="D7772">
        <v>4.2193680000000002</v>
      </c>
      <c r="E7772">
        <v>0.49147069999999998</v>
      </c>
      <c r="F7772" t="s">
        <v>42</v>
      </c>
      <c r="G7772">
        <v>-188.66640000000001</v>
      </c>
      <c r="H7772" s="1">
        <v>-3.0425219999999999E-6</v>
      </c>
      <c r="I7772">
        <v>-23.826450000000001</v>
      </c>
      <c r="J7772">
        <v>-191.85599999999999</v>
      </c>
      <c r="K7772">
        <v>1.1163299999999901</v>
      </c>
      <c r="L7772">
        <v>-46.412660000000002</v>
      </c>
      <c r="M7772">
        <v>0.4259425</v>
      </c>
      <c r="N7772">
        <v>-9.2751269999999993E-3</v>
      </c>
      <c r="O7772">
        <v>0.90470269999999997</v>
      </c>
      <c r="P7772">
        <v>0.15922829999999999</v>
      </c>
      <c r="Q7772">
        <v>-3.8352789999999998E-2</v>
      </c>
      <c r="R7772">
        <v>0.98649659999999995</v>
      </c>
      <c r="S7772">
        <v>0.42619319999999999</v>
      </c>
      <c r="T7772">
        <v>-0.1454115</v>
      </c>
      <c r="U7772">
        <v>2.9670100000000001</v>
      </c>
      <c r="V7772">
        <v>-0.27560499999999999</v>
      </c>
      <c r="W7772">
        <v>-3.4157720000000003E-2</v>
      </c>
      <c r="X7772">
        <v>0.96066390000000002</v>
      </c>
      <c r="Y7772">
        <v>-0.29297859999999998</v>
      </c>
      <c r="Z7772">
        <v>-3.1775249999999998E-2</v>
      </c>
      <c r="AA7772">
        <v>0.95559079999999996</v>
      </c>
      <c r="AB7772">
        <v>26</v>
      </c>
      <c r="AC7772">
        <v>3.18959999999998</v>
      </c>
      <c r="AD7772">
        <v>-1.1163330425219899</v>
      </c>
      <c r="AE7772">
        <v>22.586209999999902</v>
      </c>
      <c r="AF7772">
        <v>-6.7189839840551704</v>
      </c>
      <c r="AG7772">
        <v>-1.1163330425219899</v>
      </c>
      <c r="AH7772">
        <v>21.741255977006102</v>
      </c>
      <c r="AI7772">
        <v>92.808510532929006</v>
      </c>
      <c r="AJ7772">
        <v>107.17340040932601</v>
      </c>
      <c r="AK7772">
        <v>22.783177054518099</v>
      </c>
      <c r="AL7772">
        <v>91.957473972034506</v>
      </c>
      <c r="AM7772">
        <v>106.007663341132</v>
      </c>
      <c r="AN7772">
        <v>0.99999999731190403</v>
      </c>
    </row>
    <row r="7773" spans="1:40" x14ac:dyDescent="0.25">
      <c r="A7773" t="str">
        <f>"20190305135113085"</f>
        <v>20190305135113085</v>
      </c>
      <c r="B7773" t="str">
        <f>"1551765073077697"</f>
        <v>1551765073077697</v>
      </c>
      <c r="C7773" t="s">
        <v>40</v>
      </c>
      <c r="D7773">
        <v>4.140441</v>
      </c>
      <c r="E7773">
        <v>0.49342859999999999</v>
      </c>
      <c r="F7773" t="s">
        <v>42</v>
      </c>
      <c r="G7773">
        <v>-188.6533</v>
      </c>
      <c r="H7773" s="1">
        <v>-3.291855E-6</v>
      </c>
      <c r="I7773">
        <v>-23.250679999999999</v>
      </c>
      <c r="J7773">
        <v>-191.78700000000001</v>
      </c>
      <c r="K7773">
        <v>1.1163430000000001</v>
      </c>
      <c r="L7773">
        <v>-46.248139999999999</v>
      </c>
      <c r="M7773">
        <v>0.4193038</v>
      </c>
      <c r="N7773">
        <v>-9.1571900000000008E-3</v>
      </c>
      <c r="O7773">
        <v>0.90779980000000005</v>
      </c>
      <c r="P7773">
        <v>0.15275759999999999</v>
      </c>
      <c r="Q7773">
        <v>-3.7565349999999997E-2</v>
      </c>
      <c r="R7773">
        <v>0.98754949999999997</v>
      </c>
      <c r="S7773">
        <v>0.41056819999999999</v>
      </c>
      <c r="T7773">
        <v>-0.14310780000000001</v>
      </c>
      <c r="U7773">
        <v>2.9692379999999998</v>
      </c>
      <c r="V7773">
        <v>-0.27488780000000002</v>
      </c>
      <c r="W7773">
        <v>-3.3485479999999998E-2</v>
      </c>
      <c r="X7773">
        <v>0.960893</v>
      </c>
      <c r="Y7773">
        <v>-0.29100690000000001</v>
      </c>
      <c r="Z7773">
        <v>-3.1445460000000001E-2</v>
      </c>
      <c r="AA7773">
        <v>0.9562041</v>
      </c>
      <c r="AB7773">
        <v>26</v>
      </c>
      <c r="AC7773">
        <v>3.1337000000000002</v>
      </c>
      <c r="AD7773">
        <v>-1.116346291855</v>
      </c>
      <c r="AE7773">
        <v>22.99746</v>
      </c>
      <c r="AF7773">
        <v>-6.7827440418418998</v>
      </c>
      <c r="AG7773">
        <v>-1.116346291855</v>
      </c>
      <c r="AH7773">
        <v>22.140772112702098</v>
      </c>
      <c r="AI7773">
        <v>92.760032479237594</v>
      </c>
      <c r="AJ7773">
        <v>107.032252674451</v>
      </c>
      <c r="AK7773">
        <v>23.183305103610401</v>
      </c>
      <c r="AL7773">
        <v>91.918935462848097</v>
      </c>
      <c r="AM7773">
        <v>105.96452014724601</v>
      </c>
      <c r="AN7773">
        <v>0.99999996870433405</v>
      </c>
    </row>
    <row r="7774" spans="1:40" x14ac:dyDescent="0.25">
      <c r="A7774" t="str">
        <f>"20190305135113104"</f>
        <v>20190305135113104</v>
      </c>
      <c r="B7774" t="str">
        <f>"1551765073097217"</f>
        <v>1551765073097217</v>
      </c>
      <c r="C7774" t="s">
        <v>40</v>
      </c>
      <c r="D7774">
        <v>4.1921429999999997</v>
      </c>
      <c r="E7774">
        <v>0.52482329999999999</v>
      </c>
      <c r="F7774" t="s">
        <v>42</v>
      </c>
      <c r="G7774">
        <v>-188.5395</v>
      </c>
      <c r="H7774" s="1">
        <v>-3.6233640000000002E-6</v>
      </c>
      <c r="I7774">
        <v>-22.52495</v>
      </c>
      <c r="J7774">
        <v>-191.70840000000001</v>
      </c>
      <c r="K7774">
        <v>1.1163650000000001</v>
      </c>
      <c r="L7774">
        <v>-46.057220000000001</v>
      </c>
      <c r="M7774">
        <v>0.41160459999999899</v>
      </c>
      <c r="N7774">
        <v>-9.0235220000000008E-3</v>
      </c>
      <c r="O7774">
        <v>0.91131790000000001</v>
      </c>
      <c r="P7774">
        <v>0.14697579999999999</v>
      </c>
      <c r="Q7774">
        <v>-3.5885779999999999E-2</v>
      </c>
      <c r="R7774">
        <v>0.9884889</v>
      </c>
      <c r="S7774">
        <v>0.40650940000000002</v>
      </c>
      <c r="T7774">
        <v>-0.1397427</v>
      </c>
      <c r="U7774">
        <v>2.9696349999999998</v>
      </c>
      <c r="V7774">
        <v>-0.27242719999999998</v>
      </c>
      <c r="W7774">
        <v>-3.1905120000000002E-2</v>
      </c>
      <c r="X7774">
        <v>0.96164729999999998</v>
      </c>
      <c r="Y7774">
        <v>-0.28420380000000001</v>
      </c>
      <c r="Z7774">
        <v>-3.0909280000000001E-2</v>
      </c>
      <c r="AA7774">
        <v>0.95826549999999999</v>
      </c>
      <c r="AB7774">
        <v>26</v>
      </c>
      <c r="AC7774">
        <v>3.1688999999999998</v>
      </c>
      <c r="AD7774">
        <v>-1.116368623364</v>
      </c>
      <c r="AE7774">
        <v>23.53227</v>
      </c>
      <c r="AF7774">
        <v>-6.7833973469336701</v>
      </c>
      <c r="AG7774">
        <v>-1.116368623364</v>
      </c>
      <c r="AH7774">
        <v>22.700459498644101</v>
      </c>
      <c r="AI7774">
        <v>92.697750771090696</v>
      </c>
      <c r="AJ7774">
        <v>106.637304161355</v>
      </c>
      <c r="AK7774">
        <v>23.718592283674798</v>
      </c>
      <c r="AL7774">
        <v>91.828338957576193</v>
      </c>
      <c r="AM7774">
        <v>105.817013438923</v>
      </c>
      <c r="AN7774">
        <v>1.0000000227896699</v>
      </c>
    </row>
    <row r="7775" spans="1:40" x14ac:dyDescent="0.25">
      <c r="A7775" t="str">
        <f>"20190305135113126"</f>
        <v>20190305135113126</v>
      </c>
      <c r="B7775" t="str">
        <f>"1551765073117712"</f>
        <v>1551765073117712</v>
      </c>
      <c r="C7775" t="s">
        <v>40</v>
      </c>
      <c r="D7775">
        <v>4.1921889999999999</v>
      </c>
      <c r="E7775">
        <v>0.51805789999999996</v>
      </c>
      <c r="F7775" t="s">
        <v>42</v>
      </c>
      <c r="G7775">
        <v>-182.1189</v>
      </c>
      <c r="H7775" s="1">
        <v>-5.0641329999999998E-6</v>
      </c>
      <c r="I7775">
        <v>-1.821313</v>
      </c>
      <c r="J7775">
        <v>-191.61179999999999</v>
      </c>
      <c r="K7775">
        <v>1.116393</v>
      </c>
      <c r="L7775">
        <v>-45.816009999999999</v>
      </c>
      <c r="M7775">
        <v>0.4018873</v>
      </c>
      <c r="N7775">
        <v>-8.8581300000000005E-3</v>
      </c>
      <c r="O7775">
        <v>0.91564630000000002</v>
      </c>
      <c r="P7775">
        <v>0.13900509999999999</v>
      </c>
      <c r="Q7775">
        <v>-3.4595569999999999E-2</v>
      </c>
      <c r="R7775">
        <v>0.98968719999999999</v>
      </c>
      <c r="S7775">
        <v>0.63681030000000005</v>
      </c>
      <c r="T7775">
        <v>-7.4134469999999994E-2</v>
      </c>
      <c r="U7775">
        <v>2.9375610000000001</v>
      </c>
      <c r="V7775">
        <v>-0.26998149999999999</v>
      </c>
      <c r="W7775">
        <v>-3.0751959999999998E-2</v>
      </c>
      <c r="X7775">
        <v>0.96237430000000002</v>
      </c>
      <c r="Y7775">
        <v>-0.19877069999999999</v>
      </c>
      <c r="Z7775">
        <v>-1.311587E-2</v>
      </c>
      <c r="AA7775">
        <v>0.9799582</v>
      </c>
      <c r="AB7775">
        <v>26</v>
      </c>
      <c r="AC7775">
        <v>9.4928999999999899</v>
      </c>
      <c r="AD7775">
        <v>-1.116398064133</v>
      </c>
      <c r="AE7775">
        <v>43.994697000000002</v>
      </c>
      <c r="AF7775">
        <v>-8.9835963987019092</v>
      </c>
      <c r="AG7775">
        <v>-1.116398064133</v>
      </c>
      <c r="AH7775">
        <v>44.073269899967997</v>
      </c>
      <c r="AI7775">
        <v>91.4217971407449</v>
      </c>
      <c r="AJ7775">
        <v>101.520955933537</v>
      </c>
      <c r="AK7775">
        <v>44.993382497516201</v>
      </c>
      <c r="AL7775">
        <v>91.7622353586288</v>
      </c>
      <c r="AM7775">
        <v>105.670768016352</v>
      </c>
      <c r="AN7775">
        <v>0.99999999334329004</v>
      </c>
    </row>
    <row r="7776" spans="1:40" x14ac:dyDescent="0.25">
      <c r="A7776" t="str">
        <f>"20190305135113146"</f>
        <v>20190305135113146</v>
      </c>
      <c r="B7776" t="str">
        <f>"1551765073137233"</f>
        <v>1551765073137233</v>
      </c>
      <c r="C7776" t="s">
        <v>40</v>
      </c>
      <c r="D7776">
        <v>4.2131610000000004</v>
      </c>
      <c r="E7776">
        <v>0.51347609999999999</v>
      </c>
      <c r="F7776" t="s">
        <v>42</v>
      </c>
      <c r="G7776">
        <v>-185.61670000000001</v>
      </c>
      <c r="H7776" s="1">
        <v>-3.4100110000000001E-6</v>
      </c>
      <c r="I7776">
        <v>-14.23082</v>
      </c>
      <c r="J7776">
        <v>-191.5258</v>
      </c>
      <c r="K7776">
        <v>1.116422</v>
      </c>
      <c r="L7776">
        <v>-45.595030000000001</v>
      </c>
      <c r="M7776">
        <v>0.39299919999999999</v>
      </c>
      <c r="N7776">
        <v>-8.7107179999999992E-3</v>
      </c>
      <c r="O7776">
        <v>0.91949749999999997</v>
      </c>
      <c r="P7776">
        <v>0.13137109999999999</v>
      </c>
      <c r="Q7776">
        <v>-3.323537E-2</v>
      </c>
      <c r="R7776">
        <v>0.99077599999999999</v>
      </c>
      <c r="S7776">
        <v>0.55973819999999996</v>
      </c>
      <c r="T7776">
        <v>-0.1042342</v>
      </c>
      <c r="U7776">
        <v>2.9490050000000001</v>
      </c>
      <c r="V7776">
        <v>-0.26811550000000001</v>
      </c>
      <c r="W7776">
        <v>-2.9521550000000001E-2</v>
      </c>
      <c r="X7776">
        <v>0.96293439999999997</v>
      </c>
      <c r="Y7776">
        <v>-0.21465380000000001</v>
      </c>
      <c r="Z7776">
        <v>-2.2053929999999999E-2</v>
      </c>
      <c r="AA7776">
        <v>0.97644109999999995</v>
      </c>
      <c r="AB7776">
        <v>26</v>
      </c>
      <c r="AC7776">
        <v>5.9090999999999898</v>
      </c>
      <c r="AD7776">
        <v>-1.116425410011</v>
      </c>
      <c r="AE7776">
        <v>31.3642099999999</v>
      </c>
      <c r="AF7776">
        <v>-6.8845446302312903</v>
      </c>
      <c r="AG7776">
        <v>-1.116425410011</v>
      </c>
      <c r="AH7776">
        <v>31.124683668445702</v>
      </c>
      <c r="AI7776">
        <v>92.005845502562494</v>
      </c>
      <c r="AJ7776">
        <v>102.472569695074</v>
      </c>
      <c r="AK7776">
        <v>31.8965404695019</v>
      </c>
      <c r="AL7776">
        <v>91.691705920598807</v>
      </c>
      <c r="AM7776">
        <v>105.55911121048599</v>
      </c>
      <c r="AN7776">
        <v>1.0000000509789999</v>
      </c>
    </row>
    <row r="7777" spans="1:40" x14ac:dyDescent="0.25">
      <c r="A7777" t="str">
        <f>"20190305135113169"</f>
        <v>20190305135113169</v>
      </c>
      <c r="B7777" t="str">
        <f>"1551765073157732"</f>
        <v>1551765073157732</v>
      </c>
      <c r="C7777" t="s">
        <v>40</v>
      </c>
      <c r="D7777">
        <v>4.1989400000000003</v>
      </c>
      <c r="E7777">
        <v>0.51180300000000001</v>
      </c>
      <c r="F7777" t="s">
        <v>42</v>
      </c>
      <c r="G7777">
        <v>-187.24299999999999</v>
      </c>
      <c r="H7777" s="1">
        <v>-7.5323309999999899E-7</v>
      </c>
      <c r="I7777">
        <v>-20.294160000000002</v>
      </c>
      <c r="J7777">
        <v>-191.4366</v>
      </c>
      <c r="K7777">
        <v>1.1164499999999999</v>
      </c>
      <c r="L7777">
        <v>-45.35904</v>
      </c>
      <c r="M7777">
        <v>0.38352039999999998</v>
      </c>
      <c r="N7777">
        <v>-8.5585509999999993E-3</v>
      </c>
      <c r="O7777">
        <v>0.92349270000000006</v>
      </c>
      <c r="P7777">
        <v>0.1238765</v>
      </c>
      <c r="Q7777">
        <v>-3.158714E-2</v>
      </c>
      <c r="R7777">
        <v>0.99179479999999998</v>
      </c>
      <c r="S7777">
        <v>0.50057980000000002</v>
      </c>
      <c r="T7777">
        <v>-0.1304883</v>
      </c>
      <c r="U7777">
        <v>2.9571839999999998</v>
      </c>
      <c r="V7777">
        <v>-0.26553459999999901</v>
      </c>
      <c r="W7777">
        <v>-2.799393E-2</v>
      </c>
      <c r="X7777">
        <v>0.96369479999999996</v>
      </c>
      <c r="Y7777">
        <v>-0.22404180000000001</v>
      </c>
      <c r="Z7777">
        <v>-2.998172E-2</v>
      </c>
      <c r="AA7777">
        <v>0.97411820000000005</v>
      </c>
      <c r="AB7777">
        <v>26</v>
      </c>
      <c r="AC7777">
        <v>4.1936</v>
      </c>
      <c r="AD7777">
        <v>-1.1164507532330901</v>
      </c>
      <c r="AE7777">
        <v>25.064879999999999</v>
      </c>
      <c r="AF7777">
        <v>-5.7292867684464204</v>
      </c>
      <c r="AG7777">
        <v>-1.1164507532330901</v>
      </c>
      <c r="AH7777">
        <v>24.708784620655599</v>
      </c>
      <c r="AI7777">
        <v>92.520337649440805</v>
      </c>
      <c r="AJ7777">
        <v>103.054616823976</v>
      </c>
      <c r="AK7777">
        <v>25.388879979026999</v>
      </c>
      <c r="AL7777">
        <v>91.604143643693305</v>
      </c>
      <c r="AM7777">
        <v>105.404908619521</v>
      </c>
      <c r="AN7777">
        <v>0.99999997573052202</v>
      </c>
    </row>
    <row r="7778" spans="1:40" x14ac:dyDescent="0.25">
      <c r="A7778" t="str">
        <f>"20190305135113190"</f>
        <v>20190305135113190</v>
      </c>
      <c r="B7778" t="str">
        <f>"1551765073187009"</f>
        <v>1551765073187009</v>
      </c>
      <c r="C7778" t="s">
        <v>40</v>
      </c>
      <c r="D7778">
        <v>4.2281709999999997</v>
      </c>
      <c r="E7778">
        <v>0.50938530000000004</v>
      </c>
      <c r="F7778" t="s">
        <v>42</v>
      </c>
      <c r="G7778">
        <v>-187.69710000000001</v>
      </c>
      <c r="H7778" s="1">
        <v>-4.1969999999999998E-6</v>
      </c>
      <c r="I7778">
        <v>-21.53613</v>
      </c>
      <c r="J7778">
        <v>-191.35059999999999</v>
      </c>
      <c r="K7778">
        <v>1.116468</v>
      </c>
      <c r="L7778">
        <v>-45.124479999999998</v>
      </c>
      <c r="M7778">
        <v>0.37412400000000001</v>
      </c>
      <c r="N7778">
        <v>-8.4122609999999903E-3</v>
      </c>
      <c r="O7778">
        <v>0.92734059999999996</v>
      </c>
      <c r="P7778">
        <v>0.11602179999999999</v>
      </c>
      <c r="Q7778">
        <v>-3.048182E-2</v>
      </c>
      <c r="R7778">
        <v>0.99277879999999996</v>
      </c>
      <c r="S7778">
        <v>0.46499629999999997</v>
      </c>
      <c r="T7778">
        <v>-0.138827799999999</v>
      </c>
      <c r="U7778">
        <v>2.9623110000000001</v>
      </c>
      <c r="V7778">
        <v>-0.26340570000000002</v>
      </c>
      <c r="W7778">
        <v>-2.700845E-2</v>
      </c>
      <c r="X7778">
        <v>0.96430700000000003</v>
      </c>
      <c r="Y7778">
        <v>-0.22583259999999999</v>
      </c>
      <c r="Z7778">
        <v>-3.2757670000000003E-2</v>
      </c>
      <c r="AA7778">
        <v>0.97361520000000001</v>
      </c>
      <c r="AB7778">
        <v>26</v>
      </c>
      <c r="AC7778">
        <v>3.6534999999999802</v>
      </c>
      <c r="AD7778">
        <v>-1.116472197</v>
      </c>
      <c r="AE7778">
        <v>23.588349999999998</v>
      </c>
      <c r="AF7778">
        <v>-5.4252517289636</v>
      </c>
      <c r="AG7778">
        <v>-1.116472197</v>
      </c>
      <c r="AH7778">
        <v>23.191379838524401</v>
      </c>
      <c r="AI7778">
        <v>92.683839339790893</v>
      </c>
      <c r="AJ7778">
        <v>103.16665541260799</v>
      </c>
      <c r="AK7778">
        <v>23.8436567099934</v>
      </c>
      <c r="AL7778">
        <v>91.547658386019904</v>
      </c>
      <c r="AM7778">
        <v>105.277949857225</v>
      </c>
      <c r="AN7778">
        <v>1.0000000047064399</v>
      </c>
    </row>
    <row r="7779" spans="1:40" x14ac:dyDescent="0.25">
      <c r="A7779" t="str">
        <f>"20190305135113213"</f>
        <v>20190305135113213</v>
      </c>
      <c r="B7779" t="str">
        <f>"1551765073207505"</f>
        <v>1551765073207505</v>
      </c>
      <c r="C7779" t="s">
        <v>40</v>
      </c>
      <c r="D7779">
        <v>4.2236520000000004</v>
      </c>
      <c r="E7779">
        <v>0.50735249999999998</v>
      </c>
      <c r="F7779" t="s">
        <v>42</v>
      </c>
      <c r="G7779">
        <v>-188.2329</v>
      </c>
      <c r="H7779" s="1">
        <v>-3.3865999999999999E-6</v>
      </c>
      <c r="I7779">
        <v>-23.20364</v>
      </c>
      <c r="J7779">
        <v>-191.26240000000001</v>
      </c>
      <c r="K7779">
        <v>1.116457</v>
      </c>
      <c r="L7779">
        <v>-44.875520000000002</v>
      </c>
      <c r="M7779">
        <v>0.36419279999999998</v>
      </c>
      <c r="N7779">
        <v>-8.2519689999999996E-3</v>
      </c>
      <c r="O7779">
        <v>0.93128699999999998</v>
      </c>
      <c r="P7779">
        <v>0.1074117</v>
      </c>
      <c r="Q7779">
        <v>-2.8715399999999999E-2</v>
      </c>
      <c r="R7779">
        <v>0.99379989999999996</v>
      </c>
      <c r="S7779">
        <v>0.42210389999999998</v>
      </c>
      <c r="T7779">
        <v>-0.1511576</v>
      </c>
      <c r="U7779">
        <v>2.9678339999999999</v>
      </c>
      <c r="V7779">
        <v>-0.26150580000000001</v>
      </c>
      <c r="W7779">
        <v>-2.5372559999999999E-2</v>
      </c>
      <c r="X7779">
        <v>0.96486839999999996</v>
      </c>
      <c r="Y7779">
        <v>-0.22947690000000001</v>
      </c>
      <c r="Z7779">
        <v>-3.6744890000000002E-2</v>
      </c>
      <c r="AA7779">
        <v>0.97262020000000005</v>
      </c>
      <c r="AB7779">
        <v>26</v>
      </c>
      <c r="AC7779">
        <v>3.0295000000000099</v>
      </c>
      <c r="AD7779">
        <v>-1.1164603866</v>
      </c>
      <c r="AE7779">
        <v>21.671879999999899</v>
      </c>
      <c r="AF7779">
        <v>-5.0584139603862397</v>
      </c>
      <c r="AG7779">
        <v>-1.1164603866</v>
      </c>
      <c r="AH7779">
        <v>21.2315198241429</v>
      </c>
      <c r="AI7779">
        <v>92.928314133678995</v>
      </c>
      <c r="AJ7779">
        <v>103.400900096496</v>
      </c>
      <c r="AK7779">
        <v>21.8543238200693</v>
      </c>
      <c r="AL7779">
        <v>91.453896569125405</v>
      </c>
      <c r="AM7779">
        <v>105.16442832904001</v>
      </c>
      <c r="AN7779">
        <v>1.00000003977657</v>
      </c>
    </row>
    <row r="7780" spans="1:40" x14ac:dyDescent="0.25">
      <c r="A7780" t="str">
        <f>"20190305135113235"</f>
        <v>20190305135113235</v>
      </c>
      <c r="B7780" t="str">
        <f>"1551765073227025"</f>
        <v>1551765073227025</v>
      </c>
      <c r="C7780" t="s">
        <v>40</v>
      </c>
      <c r="D7780">
        <v>4.2630650000000001</v>
      </c>
      <c r="E7780">
        <v>0.50673990000000002</v>
      </c>
      <c r="F7780" t="s">
        <v>42</v>
      </c>
      <c r="G7780">
        <v>-188.49629999999999</v>
      </c>
      <c r="H7780" s="1">
        <v>-3.3239620000000001E-6</v>
      </c>
      <c r="I7780">
        <v>-23.240739999999999</v>
      </c>
      <c r="J7780">
        <v>-191.17519999999999</v>
      </c>
      <c r="K7780">
        <v>1.116439</v>
      </c>
      <c r="L7780">
        <v>-44.621189999999999</v>
      </c>
      <c r="M7780">
        <v>0.35409669999999999</v>
      </c>
      <c r="N7780">
        <v>-8.0866830000000008E-3</v>
      </c>
      <c r="O7780">
        <v>0.9351739</v>
      </c>
      <c r="P7780">
        <v>9.8155160000000005E-2</v>
      </c>
      <c r="Q7780">
        <v>-2.8778169999999999E-2</v>
      </c>
      <c r="R7780">
        <v>0.9947549</v>
      </c>
      <c r="S7780">
        <v>0.38014219999999999</v>
      </c>
      <c r="T7780">
        <v>-0.15343189999999901</v>
      </c>
      <c r="U7780">
        <v>2.9732059999999998</v>
      </c>
      <c r="V7780">
        <v>-0.26004429999999901</v>
      </c>
      <c r="W7780">
        <v>-2.55751E-2</v>
      </c>
      <c r="X7780">
        <v>0.9652579</v>
      </c>
      <c r="Y7780">
        <v>-0.23267579999999999</v>
      </c>
      <c r="Z7780">
        <v>-3.7784020000000001E-2</v>
      </c>
      <c r="AA7780">
        <v>0.97182009999999996</v>
      </c>
      <c r="AB7780">
        <v>26</v>
      </c>
      <c r="AC7780">
        <v>2.6788999999999898</v>
      </c>
      <c r="AD7780">
        <v>-1.116442323962</v>
      </c>
      <c r="AE7780">
        <v>21.38045</v>
      </c>
      <c r="AF7780">
        <v>-5.0521121171005596</v>
      </c>
      <c r="AG7780">
        <v>-1.116442323962</v>
      </c>
      <c r="AH7780">
        <v>20.887638121705699</v>
      </c>
      <c r="AI7780">
        <v>92.9739494293012</v>
      </c>
      <c r="AJ7780">
        <v>103.597047439196</v>
      </c>
      <c r="AK7780">
        <v>21.518915089051799</v>
      </c>
      <c r="AL7780">
        <v>91.465505127254403</v>
      </c>
      <c r="AM7780">
        <v>105.07774015488801</v>
      </c>
      <c r="AN7780">
        <v>0.99999996860745399</v>
      </c>
    </row>
    <row r="7781" spans="1:40" x14ac:dyDescent="0.25">
      <c r="A7781" t="str">
        <f>"20190305135113258"</f>
        <v>20190305135113258</v>
      </c>
      <c r="B7781" t="str">
        <f>"1551765073247521"</f>
        <v>1551765073247521</v>
      </c>
      <c r="C7781" t="s">
        <v>40</v>
      </c>
      <c r="D7781">
        <v>4.2702780000000002</v>
      </c>
      <c r="E7781">
        <v>0.50560740000000004</v>
      </c>
      <c r="F7781" t="s">
        <v>42</v>
      </c>
      <c r="G7781">
        <v>-188.70599999999999</v>
      </c>
      <c r="H7781" s="1">
        <v>-3.1909659999999999E-6</v>
      </c>
      <c r="I7781">
        <v>-23.464040000000001</v>
      </c>
      <c r="J7781">
        <v>-191.095</v>
      </c>
      <c r="K7781">
        <v>1.1164019999999999</v>
      </c>
      <c r="L7781">
        <v>-44.379359999999998</v>
      </c>
      <c r="M7781">
        <v>0.34456179999999997</v>
      </c>
      <c r="N7781">
        <v>-7.9219459999999992E-3</v>
      </c>
      <c r="O7781">
        <v>0.93873019999999996</v>
      </c>
      <c r="P7781">
        <v>8.9639979999999994E-2</v>
      </c>
      <c r="Q7781">
        <v>-3.0073889999999999E-2</v>
      </c>
      <c r="R7781">
        <v>0.99552010000000002</v>
      </c>
      <c r="S7781">
        <v>0.34744259999999999</v>
      </c>
      <c r="T7781">
        <v>-0.15709289999999901</v>
      </c>
      <c r="U7781">
        <v>2.9769899999999998</v>
      </c>
      <c r="V7781">
        <v>-0.258441799999999</v>
      </c>
      <c r="W7781">
        <v>-2.6998910000000001E-2</v>
      </c>
      <c r="X7781">
        <v>0.96564950000000005</v>
      </c>
      <c r="Y7781">
        <v>-0.23345730000000001</v>
      </c>
      <c r="Z7781">
        <v>-3.9252769999999999E-2</v>
      </c>
      <c r="AA7781">
        <v>0.97157439999999995</v>
      </c>
      <c r="AB7781">
        <v>26</v>
      </c>
      <c r="AC7781">
        <v>2.38900000000001</v>
      </c>
      <c r="AD7781">
        <v>-1.116405190966</v>
      </c>
      <c r="AE7781">
        <v>20.915320000000001</v>
      </c>
      <c r="AF7781">
        <v>-4.9502274015853702</v>
      </c>
      <c r="AG7781">
        <v>-1.116405190966</v>
      </c>
      <c r="AH7781">
        <v>20.400268036642998</v>
      </c>
      <c r="AI7781">
        <v>93.044219739509799</v>
      </c>
      <c r="AJ7781">
        <v>103.63948270592</v>
      </c>
      <c r="AK7781">
        <v>21.0219420569248</v>
      </c>
      <c r="AL7781">
        <v>91.547111544213806</v>
      </c>
      <c r="AM7781">
        <v>104.98321353534899</v>
      </c>
      <c r="AN7781">
        <v>1.00000003098933</v>
      </c>
    </row>
    <row r="7782" spans="1:40" x14ac:dyDescent="0.25">
      <c r="A7782" t="str">
        <f>"20190305135113281"</f>
        <v>20190305135113281</v>
      </c>
      <c r="B7782" t="str">
        <f>"1551765073277777"</f>
        <v>1551765073277777</v>
      </c>
      <c r="C7782" t="s">
        <v>40</v>
      </c>
      <c r="D7782">
        <v>4.2688470000000001</v>
      </c>
      <c r="E7782">
        <v>0.50483940000000005</v>
      </c>
      <c r="F7782" t="s">
        <v>42</v>
      </c>
      <c r="G7782">
        <v>-189.0043</v>
      </c>
      <c r="H7782" s="1">
        <v>-2.7107690000000002E-6</v>
      </c>
      <c r="I7782">
        <v>-24.460039999999999</v>
      </c>
      <c r="J7782">
        <v>-191.01240000000001</v>
      </c>
      <c r="K7782">
        <v>1.116336</v>
      </c>
      <c r="L7782">
        <v>-44.121920000000003</v>
      </c>
      <c r="M7782">
        <v>0.33451330000000001</v>
      </c>
      <c r="N7782">
        <v>-7.7298829999999999E-3</v>
      </c>
      <c r="O7782">
        <v>0.94235930000000001</v>
      </c>
      <c r="P7782">
        <v>8.0195080000000002E-2</v>
      </c>
      <c r="Q7782">
        <v>-3.111647E-2</v>
      </c>
      <c r="R7782">
        <v>0.9962934</v>
      </c>
      <c r="S7782">
        <v>0.31280520000000001</v>
      </c>
      <c r="T7782">
        <v>-0.16703399999999999</v>
      </c>
      <c r="U7782">
        <v>2.980286</v>
      </c>
      <c r="V7782">
        <v>-0.25725110000000001</v>
      </c>
      <c r="W7782">
        <v>-2.8191839999999999E-2</v>
      </c>
      <c r="X7782">
        <v>0.96593329999999999</v>
      </c>
      <c r="Y7782">
        <v>-0.2343594</v>
      </c>
      <c r="Z7782">
        <v>-4.2655970000000001E-2</v>
      </c>
      <c r="AA7782">
        <v>0.97121380000000002</v>
      </c>
      <c r="AB7782">
        <v>26</v>
      </c>
      <c r="AC7782">
        <v>2.00810000000001</v>
      </c>
      <c r="AD7782">
        <v>-1.1163387107689999</v>
      </c>
      <c r="AE7782">
        <v>19.66188</v>
      </c>
      <c r="AF7782">
        <v>-4.6700497504152398</v>
      </c>
      <c r="AG7782">
        <v>-1.1163387107689999</v>
      </c>
      <c r="AH7782">
        <v>19.139803519845099</v>
      </c>
      <c r="AI7782">
        <v>93.243093393619006</v>
      </c>
      <c r="AJ7782">
        <v>103.712060816427</v>
      </c>
      <c r="AK7782">
        <v>19.732907934888601</v>
      </c>
      <c r="AL7782">
        <v>91.615487450672902</v>
      </c>
      <c r="AM7782">
        <v>104.913079063246</v>
      </c>
      <c r="AN7782">
        <v>1.00000002417134</v>
      </c>
    </row>
    <row r="7783" spans="1:40" x14ac:dyDescent="0.25">
      <c r="A7783" t="str">
        <f>"20190305135113306"</f>
        <v>20190305135113306</v>
      </c>
      <c r="B7783" t="str">
        <f>"1551765073297297"</f>
        <v>1551765073297297</v>
      </c>
      <c r="C7783" t="s">
        <v>40</v>
      </c>
      <c r="D7783">
        <v>4.2588290000000004</v>
      </c>
      <c r="E7783">
        <v>0.50426599999999999</v>
      </c>
      <c r="F7783" t="s">
        <v>42</v>
      </c>
      <c r="G7783">
        <v>-189.23230000000001</v>
      </c>
      <c r="H7783" s="1">
        <v>-2.4151759999999999E-6</v>
      </c>
      <c r="I7783">
        <v>-25.05481</v>
      </c>
      <c r="J7783">
        <v>-190.928</v>
      </c>
      <c r="K7783">
        <v>1.116241</v>
      </c>
      <c r="L7783">
        <v>-43.849640000000001</v>
      </c>
      <c r="M7783">
        <v>0.32403599999999999</v>
      </c>
      <c r="N7783">
        <v>-7.5081189999999997E-3</v>
      </c>
      <c r="O7783">
        <v>0.94601489999999999</v>
      </c>
      <c r="P7783">
        <v>7.0446910000000001E-2</v>
      </c>
      <c r="Q7783">
        <v>-3.2728019999999997E-2</v>
      </c>
      <c r="R7783">
        <v>0.99697849999999999</v>
      </c>
      <c r="S7783">
        <v>0.27851870000000001</v>
      </c>
      <c r="T7783">
        <v>-0.17466619999999999</v>
      </c>
      <c r="U7783">
        <v>2.9833069999999999</v>
      </c>
      <c r="V7783">
        <v>-0.25593470000000001</v>
      </c>
      <c r="W7783">
        <v>-2.9964060000000001E-2</v>
      </c>
      <c r="X7783">
        <v>0.96622960000000002</v>
      </c>
      <c r="Y7783">
        <v>-0.23473720000000001</v>
      </c>
      <c r="Z7783">
        <v>-4.5431920000000001E-2</v>
      </c>
      <c r="AA7783">
        <v>0.97099659999999999</v>
      </c>
      <c r="AB7783">
        <v>27</v>
      </c>
      <c r="AC7783">
        <v>1.69569999999998</v>
      </c>
      <c r="AD7783">
        <v>-1.1162434151759999</v>
      </c>
      <c r="AE7783">
        <v>18.794829999999902</v>
      </c>
      <c r="AF7783">
        <v>-4.4705292320095698</v>
      </c>
      <c r="AG7783">
        <v>-1.1162434151759999</v>
      </c>
      <c r="AH7783">
        <v>18.2662645517428</v>
      </c>
      <c r="AI7783">
        <v>93.396959064292901</v>
      </c>
      <c r="AJ7783">
        <v>103.752375657206</v>
      </c>
      <c r="AK7783">
        <v>18.838472646433701</v>
      </c>
      <c r="AL7783">
        <v>91.717071136763806</v>
      </c>
      <c r="AM7783">
        <v>104.835791637752</v>
      </c>
      <c r="AN7783">
        <v>1.00000002773596</v>
      </c>
    </row>
    <row r="7784" spans="1:40" x14ac:dyDescent="0.25">
      <c r="A7784" t="str">
        <f>"20190305135113326"</f>
        <v>20190305135113326</v>
      </c>
      <c r="B7784" t="str">
        <f>"1551765073317793"</f>
        <v>1551765073317793</v>
      </c>
      <c r="C7784" t="s">
        <v>40</v>
      </c>
      <c r="D7784">
        <v>4.2782239999999998</v>
      </c>
      <c r="E7784">
        <v>0.50404450000000001</v>
      </c>
      <c r="F7784" t="s">
        <v>42</v>
      </c>
      <c r="G7784">
        <v>-189.4299</v>
      </c>
      <c r="H7784" s="1">
        <v>-2.1558729999999999E-6</v>
      </c>
      <c r="I7784">
        <v>-25.577549999999999</v>
      </c>
      <c r="J7784">
        <v>-190.85769999999999</v>
      </c>
      <c r="K7784">
        <v>1.116133</v>
      </c>
      <c r="L7784">
        <v>-43.615169999999999</v>
      </c>
      <c r="M7784">
        <v>0.31518459999999998</v>
      </c>
      <c r="N7784">
        <v>-7.3091240000000002E-3</v>
      </c>
      <c r="O7784">
        <v>0.94900229999999997</v>
      </c>
      <c r="P7784">
        <v>6.3222710000000001E-2</v>
      </c>
      <c r="Q7784">
        <v>-3.385113E-2</v>
      </c>
      <c r="R7784">
        <v>0.99742520000000001</v>
      </c>
      <c r="S7784">
        <v>0.24479680000000001</v>
      </c>
      <c r="T7784">
        <v>-0.18240319999999999</v>
      </c>
      <c r="U7784">
        <v>2.9858090000000002</v>
      </c>
      <c r="V7784">
        <v>-0.25387789999999999</v>
      </c>
      <c r="W7784">
        <v>-3.120059E-2</v>
      </c>
      <c r="X7784">
        <v>0.96673290000000001</v>
      </c>
      <c r="Y7784">
        <v>-0.23662269999999999</v>
      </c>
      <c r="Z7784">
        <v>-4.81783E-2</v>
      </c>
      <c r="AA7784">
        <v>0.9704064</v>
      </c>
      <c r="AB7784">
        <v>27</v>
      </c>
      <c r="AC7784">
        <v>1.42779999999999</v>
      </c>
      <c r="AD7784">
        <v>-1.1161351558729999</v>
      </c>
      <c r="AE7784">
        <v>18.03762</v>
      </c>
      <c r="AF7784">
        <v>-4.3138953064136096</v>
      </c>
      <c r="AG7784">
        <v>-1.1161351558729999</v>
      </c>
      <c r="AH7784">
        <v>17.5016367460087</v>
      </c>
      <c r="AI7784">
        <v>93.543227966928498</v>
      </c>
      <c r="AJ7784">
        <v>103.846552840436</v>
      </c>
      <c r="AK7784">
        <v>18.0599761680384</v>
      </c>
      <c r="AL7784">
        <v>91.787952325139003</v>
      </c>
      <c r="AM7784">
        <v>104.71443136185999</v>
      </c>
      <c r="AN7784">
        <v>0.99999998243358301</v>
      </c>
    </row>
    <row r="7785" spans="1:40" x14ac:dyDescent="0.25">
      <c r="A7785" t="str">
        <f>"20190305135113349"</f>
        <v>20190305135113349</v>
      </c>
      <c r="B7785" t="str">
        <f>"1551765073337316"</f>
        <v>1551765073337316</v>
      </c>
      <c r="C7785" t="s">
        <v>40</v>
      </c>
      <c r="D7785">
        <v>4.2550140000000001</v>
      </c>
      <c r="E7785">
        <v>0.50364730000000002</v>
      </c>
      <c r="F7785" t="s">
        <v>42</v>
      </c>
      <c r="G7785">
        <v>-189.53899999999999</v>
      </c>
      <c r="H7785" s="1">
        <v>-2.0298270000000001E-6</v>
      </c>
      <c r="I7785">
        <v>-25.826239999999999</v>
      </c>
      <c r="J7785">
        <v>-190.7824</v>
      </c>
      <c r="K7785">
        <v>1.1160110000000001</v>
      </c>
      <c r="L7785">
        <v>-43.35568</v>
      </c>
      <c r="M7785">
        <v>0.30559969999999997</v>
      </c>
      <c r="N7785">
        <v>-7.0919090000000004E-3</v>
      </c>
      <c r="O7785">
        <v>0.95213369999999997</v>
      </c>
      <c r="P7785">
        <v>5.6027090000000002E-2</v>
      </c>
      <c r="Q7785">
        <v>-3.4011470000000002E-2</v>
      </c>
      <c r="R7785">
        <v>0.99784980000000001</v>
      </c>
      <c r="S7785">
        <v>0.2214508</v>
      </c>
      <c r="T7785">
        <v>-0.1874371</v>
      </c>
      <c r="U7785">
        <v>2.9873660000000002</v>
      </c>
      <c r="V7785">
        <v>-0.25110110000000002</v>
      </c>
      <c r="W7785">
        <v>-3.1458819999999998E-2</v>
      </c>
      <c r="X7785">
        <v>0.96744949999999996</v>
      </c>
      <c r="Y7785">
        <v>-0.23441190000000001</v>
      </c>
      <c r="Z7785">
        <v>-5.019829E-2</v>
      </c>
      <c r="AA7785">
        <v>0.9708405</v>
      </c>
      <c r="AB7785">
        <v>27</v>
      </c>
      <c r="AC7785">
        <v>1.2433999999999801</v>
      </c>
      <c r="AD7785">
        <v>-1.1160130298269999</v>
      </c>
      <c r="AE7785">
        <v>17.529440000000001</v>
      </c>
      <c r="AF7785">
        <v>-4.1564506390933298</v>
      </c>
      <c r="AG7785">
        <v>-1.1160130298269999</v>
      </c>
      <c r="AH7785">
        <v>17.002212988511001</v>
      </c>
      <c r="AI7785">
        <v>93.648333239486107</v>
      </c>
      <c r="AJ7785">
        <v>103.737394398191</v>
      </c>
      <c r="AK7785">
        <v>17.538438171760198</v>
      </c>
      <c r="AL7785">
        <v>91.802755090246094</v>
      </c>
      <c r="AM7785">
        <v>104.550039849455</v>
      </c>
      <c r="AN7785">
        <v>0.99999997741362601</v>
      </c>
    </row>
    <row r="7786" spans="1:40" x14ac:dyDescent="0.25">
      <c r="A7786" t="str">
        <f>"20190305135113371"</f>
        <v>20190305135113371</v>
      </c>
      <c r="B7786" t="str">
        <f>"1551765073367569"</f>
        <v>1551765073367569</v>
      </c>
      <c r="C7786" t="s">
        <v>40</v>
      </c>
      <c r="D7786">
        <v>4.2318870000000004</v>
      </c>
      <c r="E7786">
        <v>0.50339309999999904</v>
      </c>
      <c r="F7786" t="s">
        <v>42</v>
      </c>
      <c r="G7786">
        <v>-189.63499999999999</v>
      </c>
      <c r="H7786" s="1">
        <v>-1.9784009999999998E-6</v>
      </c>
      <c r="I7786">
        <v>-25.90643</v>
      </c>
      <c r="J7786">
        <v>-190.7105</v>
      </c>
      <c r="K7786">
        <v>1.1158729999999999</v>
      </c>
      <c r="L7786">
        <v>-43.099429999999998</v>
      </c>
      <c r="M7786">
        <v>0.29640260000000002</v>
      </c>
      <c r="N7786">
        <v>-6.8895909999999996E-3</v>
      </c>
      <c r="O7786">
        <v>0.95503819999999995</v>
      </c>
      <c r="P7786">
        <v>4.9333969999999998E-2</v>
      </c>
      <c r="Q7786">
        <v>-3.2863490000000002E-2</v>
      </c>
      <c r="R7786">
        <v>0.9982415</v>
      </c>
      <c r="S7786">
        <v>0.19653319999999999</v>
      </c>
      <c r="T7786">
        <v>-0.19116440000000001</v>
      </c>
      <c r="U7786">
        <v>2.9889220000000001</v>
      </c>
      <c r="V7786">
        <v>-0.2482943</v>
      </c>
      <c r="W7786">
        <v>-3.0383239999999999E-2</v>
      </c>
      <c r="X7786">
        <v>0.96820799999999996</v>
      </c>
      <c r="Y7786">
        <v>-0.23313310000000001</v>
      </c>
      <c r="Z7786">
        <v>-5.1790879999999997E-2</v>
      </c>
      <c r="AA7786">
        <v>0.9710647</v>
      </c>
      <c r="AB7786">
        <v>27</v>
      </c>
      <c r="AC7786">
        <v>1.0754999999999999</v>
      </c>
      <c r="AD7786">
        <v>-1.11587497840099</v>
      </c>
      <c r="AE7786">
        <v>17.192999999999898</v>
      </c>
      <c r="AF7786">
        <v>-4.0520009834070798</v>
      </c>
      <c r="AG7786">
        <v>-1.11587497840099</v>
      </c>
      <c r="AH7786">
        <v>16.669207247546002</v>
      </c>
      <c r="AI7786">
        <v>93.721735541924303</v>
      </c>
      <c r="AJ7786">
        <v>103.662638689293</v>
      </c>
      <c r="AK7786">
        <v>17.1908801170445</v>
      </c>
      <c r="AL7786">
        <v>91.741099429406603</v>
      </c>
      <c r="AM7786">
        <v>104.38338455708499</v>
      </c>
      <c r="AN7786">
        <v>0.99999996597469298</v>
      </c>
    </row>
    <row r="7787" spans="1:40" x14ac:dyDescent="0.25">
      <c r="A7787" t="str">
        <f>"20190305135113392"</f>
        <v>20190305135113392</v>
      </c>
      <c r="B7787" t="str">
        <f>"1551765073387089"</f>
        <v>1551765073387089</v>
      </c>
      <c r="C7787" t="s">
        <v>40</v>
      </c>
      <c r="D7787">
        <v>4.2942960000000001</v>
      </c>
      <c r="E7787">
        <v>0.50331309999999996</v>
      </c>
      <c r="F7787" t="s">
        <v>42</v>
      </c>
      <c r="G7787">
        <v>-189.7158</v>
      </c>
      <c r="H7787" s="1">
        <v>-1.91008E-6</v>
      </c>
      <c r="I7787">
        <v>-26.03227</v>
      </c>
      <c r="J7787">
        <v>-190.64269999999999</v>
      </c>
      <c r="K7787">
        <v>1.11574</v>
      </c>
      <c r="L7787">
        <v>-42.849519999999998</v>
      </c>
      <c r="M7787">
        <v>0.28769430000000001</v>
      </c>
      <c r="N7787">
        <v>-6.7081930000000003E-3</v>
      </c>
      <c r="O7787">
        <v>0.95769879999999996</v>
      </c>
      <c r="P7787">
        <v>4.2545180000000002E-2</v>
      </c>
      <c r="Q7787">
        <v>-3.05706E-2</v>
      </c>
      <c r="R7787">
        <v>0.99862669999999998</v>
      </c>
      <c r="S7787">
        <v>0.1742706</v>
      </c>
      <c r="T7787">
        <v>-0.19550590000000001</v>
      </c>
      <c r="U7787">
        <v>2.9902340000000001</v>
      </c>
      <c r="V7787">
        <v>-0.24612700000000001</v>
      </c>
      <c r="W7787">
        <v>-2.8151510000000001E-2</v>
      </c>
      <c r="X7787">
        <v>0.96882869999999999</v>
      </c>
      <c r="Y7787">
        <v>-0.23151379999999999</v>
      </c>
      <c r="Z7787">
        <v>-5.3544120000000001E-2</v>
      </c>
      <c r="AA7787">
        <v>0.97135700000000003</v>
      </c>
      <c r="AB7787">
        <v>27</v>
      </c>
      <c r="AC7787">
        <v>0.92689999999998895</v>
      </c>
      <c r="AD7787">
        <v>-1.1157419100799999</v>
      </c>
      <c r="AE7787">
        <v>16.817249999999898</v>
      </c>
      <c r="AF7787">
        <v>-3.9333638984007</v>
      </c>
      <c r="AG7787">
        <v>-1.1157419100799999</v>
      </c>
      <c r="AH7787">
        <v>16.301356480205001</v>
      </c>
      <c r="AI7787">
        <v>93.806578383105204</v>
      </c>
      <c r="AJ7787">
        <v>103.5656307724</v>
      </c>
      <c r="AK7787">
        <v>16.806262364424501</v>
      </c>
      <c r="AL7787">
        <v>91.613175786984499</v>
      </c>
      <c r="AM7787">
        <v>104.25421412611099</v>
      </c>
      <c r="AN7787">
        <v>1.0000000287939801</v>
      </c>
    </row>
    <row r="7788" spans="1:40" x14ac:dyDescent="0.25">
      <c r="A7788" t="str">
        <f>"20190305135113414"</f>
        <v>20190305135113414</v>
      </c>
      <c r="B7788" t="str">
        <f>"1551765073407585"</f>
        <v>1551765073407585</v>
      </c>
      <c r="C7788" t="s">
        <v>40</v>
      </c>
      <c r="D7788">
        <v>4.3507389999999999</v>
      </c>
      <c r="E7788">
        <v>0.50356639999999997</v>
      </c>
      <c r="F7788" t="s">
        <v>42</v>
      </c>
      <c r="G7788">
        <v>-189.7379</v>
      </c>
      <c r="H7788" s="1">
        <v>-2.2542579999999999E-6</v>
      </c>
      <c r="I7788">
        <v>-25.220839999999999</v>
      </c>
      <c r="J7788">
        <v>-190.57429999999999</v>
      </c>
      <c r="K7788">
        <v>1.115615</v>
      </c>
      <c r="L7788">
        <v>-42.588810000000002</v>
      </c>
      <c r="M7788">
        <v>0.2788429</v>
      </c>
      <c r="N7788">
        <v>-6.5383380000000003E-3</v>
      </c>
      <c r="O7788">
        <v>0.96031449999999996</v>
      </c>
      <c r="P7788">
        <v>3.6108870000000001E-2</v>
      </c>
      <c r="Q7788">
        <v>-2.9420780000000001E-2</v>
      </c>
      <c r="R7788">
        <v>0.99891470000000004</v>
      </c>
      <c r="S7788">
        <v>0.1535492</v>
      </c>
      <c r="T7788">
        <v>-0.18935440000000001</v>
      </c>
      <c r="U7788">
        <v>2.9917910000000001</v>
      </c>
      <c r="V7788">
        <v>-0.24346139999999999</v>
      </c>
      <c r="W7788">
        <v>-2.705047E-2</v>
      </c>
      <c r="X7788">
        <v>0.96953330000000004</v>
      </c>
      <c r="Y7788">
        <v>-0.229271</v>
      </c>
      <c r="Z7788">
        <v>-5.205982E-2</v>
      </c>
      <c r="AA7788">
        <v>0.97196939999999998</v>
      </c>
      <c r="AB7788">
        <v>27</v>
      </c>
      <c r="AC7788">
        <v>0.83639999999999703</v>
      </c>
      <c r="AD7788">
        <v>-1.1156172542579901</v>
      </c>
      <c r="AE7788">
        <v>17.3679699999999</v>
      </c>
      <c r="AF7788">
        <v>-4.0232526714559897</v>
      </c>
      <c r="AG7788">
        <v>-1.1156172542579901</v>
      </c>
      <c r="AH7788">
        <v>16.8429649207987</v>
      </c>
      <c r="AI7788">
        <v>93.686125481475997</v>
      </c>
      <c r="AJ7788">
        <v>103.434414704395</v>
      </c>
      <c r="AK7788">
        <v>17.352712503802699</v>
      </c>
      <c r="AL7788">
        <v>91.5500668411226</v>
      </c>
      <c r="AM7788">
        <v>104.09619029040999</v>
      </c>
      <c r="AN7788">
        <v>1.0000000005130301</v>
      </c>
    </row>
    <row r="7789" spans="1:40" x14ac:dyDescent="0.25">
      <c r="A7789" t="str">
        <f>"20190305135113437"</f>
        <v>20190305135113437</v>
      </c>
      <c r="B7789" t="str">
        <f>"1551765073427626"</f>
        <v>1551765073427626</v>
      </c>
      <c r="C7789" t="s">
        <v>40</v>
      </c>
      <c r="D7789">
        <v>4.1563339999999904</v>
      </c>
      <c r="E7789">
        <v>0.49460019999999999</v>
      </c>
      <c r="F7789" t="s">
        <v>42</v>
      </c>
      <c r="G7789">
        <v>-189.76859999999999</v>
      </c>
      <c r="H7789" s="1">
        <v>-2.3806370000000001E-6</v>
      </c>
      <c r="I7789">
        <v>-24.91356</v>
      </c>
      <c r="J7789">
        <v>-190.50649999999999</v>
      </c>
      <c r="K7789">
        <v>1.115486</v>
      </c>
      <c r="L7789">
        <v>-42.321660000000001</v>
      </c>
      <c r="M7789">
        <v>0.27002359999999997</v>
      </c>
      <c r="N7789">
        <v>-6.3827939999999998E-3</v>
      </c>
      <c r="O7789">
        <v>0.96283249999999998</v>
      </c>
      <c r="P7789">
        <v>3.0718869999999999E-2</v>
      </c>
      <c r="Q7789">
        <v>-2.938139E-2</v>
      </c>
      <c r="R7789">
        <v>0.99909619999999999</v>
      </c>
      <c r="S7789">
        <v>0.1364136</v>
      </c>
      <c r="T7789">
        <v>-0.18889610000000001</v>
      </c>
      <c r="U7789">
        <v>2.9927670000000002</v>
      </c>
      <c r="V7789">
        <v>-0.23980470000000001</v>
      </c>
      <c r="W7789">
        <v>-2.7034369999999999E-2</v>
      </c>
      <c r="X7789">
        <v>0.97044470000000005</v>
      </c>
      <c r="Y7789">
        <v>-0.22591359999999999</v>
      </c>
      <c r="Z7789">
        <v>-5.2315830000000001E-2</v>
      </c>
      <c r="AA7789">
        <v>0.97274150000000004</v>
      </c>
      <c r="AB7789">
        <v>27</v>
      </c>
      <c r="AC7789">
        <v>0.737899999999996</v>
      </c>
      <c r="AD7789">
        <v>-1.115488380637</v>
      </c>
      <c r="AE7789">
        <v>17.408099999999902</v>
      </c>
      <c r="AF7789">
        <v>-3.9739172405306999</v>
      </c>
      <c r="AG7789">
        <v>-1.115488380637</v>
      </c>
      <c r="AH7789">
        <v>16.891447901570199</v>
      </c>
      <c r="AI7789">
        <v>93.678118806836594</v>
      </c>
      <c r="AJ7789">
        <v>103.23878081034</v>
      </c>
      <c r="AK7789">
        <v>17.388425597890802</v>
      </c>
      <c r="AL7789">
        <v>91.549143990431403</v>
      </c>
      <c r="AM7789">
        <v>103.88018813124999</v>
      </c>
      <c r="AN7789">
        <v>1.00000003353073</v>
      </c>
    </row>
    <row r="7790" spans="1:40" x14ac:dyDescent="0.25">
      <c r="A7790" t="str">
        <f>"20190305135113459"</f>
        <v>20190305135113459</v>
      </c>
      <c r="B7790" t="str">
        <f>"1551765073447142"</f>
        <v>1551765073447142</v>
      </c>
      <c r="C7790" t="s">
        <v>40</v>
      </c>
      <c r="D7790">
        <v>4.2190339999999997</v>
      </c>
      <c r="E7790">
        <v>0.50384669999999998</v>
      </c>
      <c r="F7790" t="s">
        <v>42</v>
      </c>
      <c r="G7790">
        <v>-190.34829999999999</v>
      </c>
      <c r="H7790" s="1">
        <v>-3.4993329999999898E-6</v>
      </c>
      <c r="I7790">
        <v>-32.469859999999997</v>
      </c>
      <c r="J7790">
        <v>-190.44290000000001</v>
      </c>
      <c r="K7790">
        <v>1.1153660000000001</v>
      </c>
      <c r="L7790">
        <v>-42.062440000000002</v>
      </c>
      <c r="M7790">
        <v>0.26171</v>
      </c>
      <c r="N7790">
        <v>-6.242109E-3</v>
      </c>
      <c r="O7790">
        <v>0.96512640000000005</v>
      </c>
      <c r="P7790">
        <v>2.6260579999999999E-2</v>
      </c>
      <c r="Q7790">
        <v>-2.9787379999999999E-2</v>
      </c>
      <c r="R7790">
        <v>0.99921130000000002</v>
      </c>
      <c r="S7790">
        <v>4.8034670000000002E-2</v>
      </c>
      <c r="T7790">
        <v>-0.33869280000000002</v>
      </c>
      <c r="U7790">
        <v>2.9912719999999999</v>
      </c>
      <c r="V7790">
        <v>-0.23575979999999999</v>
      </c>
      <c r="W7790">
        <v>-2.7447030000000001E-2</v>
      </c>
      <c r="X7790">
        <v>0.9714237</v>
      </c>
      <c r="Y7790">
        <v>-0.2461469</v>
      </c>
      <c r="Z7790">
        <v>-9.8714120000000002E-2</v>
      </c>
      <c r="AA7790">
        <v>0.96419250000000001</v>
      </c>
      <c r="AB7790">
        <v>28</v>
      </c>
      <c r="AC7790">
        <v>9.4600000000014006E-2</v>
      </c>
      <c r="AD7790">
        <v>-1.1153694993329999</v>
      </c>
      <c r="AE7790">
        <v>9.5925799999999999</v>
      </c>
      <c r="AF7790">
        <v>-2.38695250335175</v>
      </c>
      <c r="AG7790">
        <v>-1.1153694993329999</v>
      </c>
      <c r="AH7790">
        <v>9.1591734355970598</v>
      </c>
      <c r="AI7790">
        <v>96.720757366211302</v>
      </c>
      <c r="AJ7790">
        <v>104.606833397142</v>
      </c>
      <c r="AK7790">
        <v>9.5305849451461508</v>
      </c>
      <c r="AL7790">
        <v>91.572796474510398</v>
      </c>
      <c r="AM7790">
        <v>103.641653086697</v>
      </c>
      <c r="AN7790">
        <v>1.00000001383677</v>
      </c>
    </row>
    <row r="7791" spans="1:40" x14ac:dyDescent="0.25">
      <c r="A7791" t="str">
        <f>"20190305135113482"</f>
        <v>20190305135113482</v>
      </c>
      <c r="B7791" t="str">
        <f>"1551765073477399"</f>
        <v>1551765073477399</v>
      </c>
      <c r="C7791" t="s">
        <v>40</v>
      </c>
      <c r="D7791">
        <v>4.278435</v>
      </c>
      <c r="E7791">
        <v>0.50396719999999995</v>
      </c>
      <c r="F7791" t="s">
        <v>42</v>
      </c>
      <c r="G7791">
        <v>-189.946</v>
      </c>
      <c r="H7791" s="1">
        <v>-8.475276E-7</v>
      </c>
      <c r="I7791">
        <v>-28.41395</v>
      </c>
      <c r="J7791">
        <v>-190.37880000000001</v>
      </c>
      <c r="K7791">
        <v>1.1152470000000001</v>
      </c>
      <c r="L7791">
        <v>-41.792360000000002</v>
      </c>
      <c r="M7791">
        <v>0.25330520000000001</v>
      </c>
      <c r="N7791">
        <v>-6.0982930000000003E-3</v>
      </c>
      <c r="O7791">
        <v>0.96736719999999998</v>
      </c>
      <c r="P7791">
        <v>2.1323689999999999E-2</v>
      </c>
      <c r="Q7791">
        <v>-2.83355E-2</v>
      </c>
      <c r="R7791">
        <v>0.99937100000000001</v>
      </c>
      <c r="S7791">
        <v>0.1089478</v>
      </c>
      <c r="T7791">
        <v>-0.24452670000000001</v>
      </c>
      <c r="U7791">
        <v>2.9922179999999998</v>
      </c>
      <c r="V7791">
        <v>-0.2321471</v>
      </c>
      <c r="W7791">
        <v>-2.6007289999999999E-2</v>
      </c>
      <c r="X7791">
        <v>0.972333</v>
      </c>
      <c r="Y7791">
        <v>-0.21796660000000001</v>
      </c>
      <c r="Z7791">
        <v>-7.0420259999999998E-2</v>
      </c>
      <c r="AA7791">
        <v>0.97341230000000001</v>
      </c>
      <c r="AB7791">
        <v>28</v>
      </c>
      <c r="AC7791">
        <v>0.43280000000001401</v>
      </c>
      <c r="AD7791">
        <v>-1.1152478475276</v>
      </c>
      <c r="AE7791">
        <v>13.378409999999899</v>
      </c>
      <c r="AF7791">
        <v>-2.94972277232992</v>
      </c>
      <c r="AG7791">
        <v>-1.1152478475276</v>
      </c>
      <c r="AH7791">
        <v>12.961728855920599</v>
      </c>
      <c r="AI7791">
        <v>94.795688365021405</v>
      </c>
      <c r="AJ7791">
        <v>102.82055396568001</v>
      </c>
      <c r="AK7791">
        <v>13.339829726402799</v>
      </c>
      <c r="AL7791">
        <v>91.490275896384503</v>
      </c>
      <c r="AM7791">
        <v>103.42813973018001</v>
      </c>
      <c r="AN7791">
        <v>1.00000005903027</v>
      </c>
    </row>
    <row r="7792" spans="1:40" x14ac:dyDescent="0.25">
      <c r="A7792" t="str">
        <f>"20190305135113506"</f>
        <v>20190305135113506</v>
      </c>
      <c r="B7792" t="str">
        <f>"1551765073497895"</f>
        <v>1551765073497895</v>
      </c>
      <c r="C7792" t="s">
        <v>40</v>
      </c>
      <c r="D7792">
        <v>4.120298</v>
      </c>
      <c r="E7792">
        <v>0.52191350000000003</v>
      </c>
      <c r="F7792" t="s">
        <v>42</v>
      </c>
      <c r="G7792">
        <v>-189.91630000000001</v>
      </c>
      <c r="H7792" s="1">
        <v>-1.3460999999999999E-6</v>
      </c>
      <c r="I7792">
        <v>-27.264050000000001</v>
      </c>
      <c r="J7792">
        <v>-190.3116</v>
      </c>
      <c r="K7792">
        <v>1.115103</v>
      </c>
      <c r="L7792">
        <v>-41.498840000000001</v>
      </c>
      <c r="M7792">
        <v>0.24445649999999999</v>
      </c>
      <c r="N7792">
        <v>-5.9411259999999997E-3</v>
      </c>
      <c r="O7792">
        <v>0.969642</v>
      </c>
      <c r="P7792">
        <v>1.5972239999999999E-2</v>
      </c>
      <c r="Q7792">
        <v>-2.713788E-2</v>
      </c>
      <c r="R7792">
        <v>0.99950410000000001</v>
      </c>
      <c r="S7792">
        <v>9.5306399999999999E-2</v>
      </c>
      <c r="T7792">
        <v>-0.22978080000000001</v>
      </c>
      <c r="U7792">
        <v>2.993347</v>
      </c>
      <c r="V7792">
        <v>-0.2285016</v>
      </c>
      <c r="W7792">
        <v>-2.4824789999999999E-2</v>
      </c>
      <c r="X7792">
        <v>0.97322699999999995</v>
      </c>
      <c r="Y7792">
        <v>-0.21348990000000001</v>
      </c>
      <c r="Z7792">
        <v>-6.6261399999999998E-2</v>
      </c>
      <c r="AA7792">
        <v>0.9746956</v>
      </c>
      <c r="AB7792">
        <v>28</v>
      </c>
      <c r="AC7792">
        <v>0.39529999999999099</v>
      </c>
      <c r="AD7792">
        <v>-1.1151043461000001</v>
      </c>
      <c r="AE7792">
        <v>14.23479</v>
      </c>
      <c r="AF7792">
        <v>-3.07767036098531</v>
      </c>
      <c r="AG7792">
        <v>-1.1151043461000001</v>
      </c>
      <c r="AH7792">
        <v>13.814819101557999</v>
      </c>
      <c r="AI7792">
        <v>94.504829958752595</v>
      </c>
      <c r="AJ7792">
        <v>102.559278106058</v>
      </c>
      <c r="AK7792">
        <v>14.197349730226</v>
      </c>
      <c r="AL7792">
        <v>91.422501795435906</v>
      </c>
      <c r="AM7792">
        <v>103.213016155861</v>
      </c>
      <c r="AN7792">
        <v>1.00000002246505</v>
      </c>
    </row>
    <row r="7793" spans="1:40" x14ac:dyDescent="0.25">
      <c r="A7793" t="str">
        <f>"20190305135113528"</f>
        <v>20190305135113528</v>
      </c>
      <c r="B7793" t="str">
        <f>"1551765073517414"</f>
        <v>1551765073517414</v>
      </c>
      <c r="C7793" t="s">
        <v>40</v>
      </c>
      <c r="D7793">
        <v>4.264964</v>
      </c>
      <c r="E7793">
        <v>0.52558959999999999</v>
      </c>
      <c r="F7793" t="s">
        <v>42</v>
      </c>
      <c r="G7793">
        <v>-189.46369999999999</v>
      </c>
      <c r="H7793" s="1">
        <v>-2.2097109999999999E-7</v>
      </c>
      <c r="I7793">
        <v>-30.121919999999999</v>
      </c>
      <c r="J7793">
        <v>-190.2517</v>
      </c>
      <c r="K7793">
        <v>1.1149500000000001</v>
      </c>
      <c r="L7793">
        <v>-41.227870000000003</v>
      </c>
      <c r="M7793">
        <v>0.23655119999999999</v>
      </c>
      <c r="N7793">
        <v>-5.7942719999999996E-3</v>
      </c>
      <c r="O7793">
        <v>0.97160179999999996</v>
      </c>
      <c r="P7793">
        <v>1.200436E-2</v>
      </c>
      <c r="Q7793">
        <v>-2.736657E-2</v>
      </c>
      <c r="R7793">
        <v>0.99955340000000004</v>
      </c>
      <c r="S7793">
        <v>0.22283939999999999</v>
      </c>
      <c r="T7793">
        <v>-0.29305920000000002</v>
      </c>
      <c r="U7793">
        <v>2.98996</v>
      </c>
      <c r="V7793">
        <v>-0.2244382</v>
      </c>
      <c r="W7793">
        <v>-2.5056760000000001E-2</v>
      </c>
      <c r="X7793">
        <v>0.97416619999999998</v>
      </c>
      <c r="Y7793">
        <v>-0.16391939999999999</v>
      </c>
      <c r="Z7793">
        <v>-8.6910520000000005E-2</v>
      </c>
      <c r="AA7793">
        <v>0.98263780000000001</v>
      </c>
      <c r="AB7793">
        <v>28</v>
      </c>
      <c r="AC7793">
        <v>0.78800000000001003</v>
      </c>
      <c r="AD7793">
        <v>-1.1149502209711</v>
      </c>
      <c r="AE7793">
        <v>11.10595</v>
      </c>
      <c r="AF7793">
        <v>-1.84305242306397</v>
      </c>
      <c r="AG7793">
        <v>-1.1149502209711</v>
      </c>
      <c r="AH7793">
        <v>10.868160080710201</v>
      </c>
      <c r="AI7793">
        <v>95.775518143448096</v>
      </c>
      <c r="AJ7793">
        <v>99.6248082871207</v>
      </c>
      <c r="AK7793">
        <v>11.0795694758122</v>
      </c>
      <c r="AL7793">
        <v>91.435796770255493</v>
      </c>
      <c r="AM7793">
        <v>102.973988125905</v>
      </c>
      <c r="AN7793">
        <v>1.0000000660316799</v>
      </c>
    </row>
    <row r="7794" spans="1:40" x14ac:dyDescent="0.25">
      <c r="A7794" t="str">
        <f>"20190305135113553"</f>
        <v>20190305135113553</v>
      </c>
      <c r="B7794" t="str">
        <f>"1551765073537505"</f>
        <v>1551765073537505</v>
      </c>
      <c r="C7794" t="s">
        <v>40</v>
      </c>
      <c r="D7794">
        <v>4.2201300000000002</v>
      </c>
      <c r="E7794">
        <v>0.52457419999999899</v>
      </c>
      <c r="F7794" t="s">
        <v>42</v>
      </c>
      <c r="G7794">
        <v>-189.3783</v>
      </c>
      <c r="H7794" s="1">
        <v>-1.6129189999999899E-7</v>
      </c>
      <c r="I7794">
        <v>-30.364059999999998</v>
      </c>
      <c r="J7794">
        <v>-190.1926</v>
      </c>
      <c r="K7794">
        <v>1.1148009999999999</v>
      </c>
      <c r="L7794">
        <v>-40.950620000000001</v>
      </c>
      <c r="M7794">
        <v>0.22872439999999999</v>
      </c>
      <c r="N7794">
        <v>-5.6390989999999998E-3</v>
      </c>
      <c r="O7794">
        <v>0.97347490000000003</v>
      </c>
      <c r="P7794">
        <v>6.1192529999999998E-3</v>
      </c>
      <c r="Q7794">
        <v>-2.521518E-2</v>
      </c>
      <c r="R7794">
        <v>0.99966330000000003</v>
      </c>
      <c r="S7794">
        <v>0.24040220000000001</v>
      </c>
      <c r="T7794">
        <v>-0.30686819999999998</v>
      </c>
      <c r="U7794">
        <v>2.9900509999999998</v>
      </c>
      <c r="V7794">
        <v>-0.22238459999999999</v>
      </c>
      <c r="W7794">
        <v>-2.2948489999999998E-2</v>
      </c>
      <c r="X7794">
        <v>0.97468889999999997</v>
      </c>
      <c r="Y7794">
        <v>-0.15026919999999999</v>
      </c>
      <c r="Z7794">
        <v>-9.1760809999999998E-2</v>
      </c>
      <c r="AA7794">
        <v>0.98437750000000002</v>
      </c>
      <c r="AB7794">
        <v>28</v>
      </c>
      <c r="AC7794">
        <v>0.81430000000000202</v>
      </c>
      <c r="AD7794">
        <v>-1.11480116129189</v>
      </c>
      <c r="AE7794">
        <v>10.58656</v>
      </c>
      <c r="AF7794">
        <v>-1.61097115233819</v>
      </c>
      <c r="AG7794">
        <v>-1.11480116129189</v>
      </c>
      <c r="AH7794">
        <v>10.3777670862692</v>
      </c>
      <c r="AI7794">
        <v>96.059296819275701</v>
      </c>
      <c r="AJ7794">
        <v>98.823765107363201</v>
      </c>
      <c r="AK7794">
        <v>10.5610633640621</v>
      </c>
      <c r="AL7794">
        <v>91.314967061069595</v>
      </c>
      <c r="AM7794">
        <v>102.852573428863</v>
      </c>
      <c r="AN7794">
        <v>0.99999999764682501</v>
      </c>
    </row>
    <row r="7795" spans="1:40" x14ac:dyDescent="0.25">
      <c r="A7795" t="str">
        <f>"20190305135113572"</f>
        <v>20190305135113572</v>
      </c>
      <c r="B7795" t="str">
        <f>"1551765073557026"</f>
        <v>1551765073557026</v>
      </c>
      <c r="C7795" t="s">
        <v>40</v>
      </c>
      <c r="D7795">
        <v>4.1274110000000004</v>
      </c>
      <c r="E7795">
        <v>0.52477339999999995</v>
      </c>
      <c r="F7795" t="s">
        <v>42</v>
      </c>
      <c r="G7795">
        <v>-189.3871</v>
      </c>
      <c r="H7795" s="1">
        <v>-3.9421770000000001E-7</v>
      </c>
      <c r="I7795">
        <v>-29.701699999999999</v>
      </c>
      <c r="J7795">
        <v>-190.1387</v>
      </c>
      <c r="K7795">
        <v>1.1146769999999999</v>
      </c>
      <c r="L7795">
        <v>-40.689</v>
      </c>
      <c r="M7795">
        <v>0.22157360000000001</v>
      </c>
      <c r="N7795">
        <v>-5.4877009999999898E-3</v>
      </c>
      <c r="O7795">
        <v>0.9751282</v>
      </c>
      <c r="P7795">
        <v>-1.5309049999999999E-3</v>
      </c>
      <c r="Q7795">
        <v>-2.0069429999999999E-2</v>
      </c>
      <c r="R7795">
        <v>0.99979739999999995</v>
      </c>
      <c r="S7795">
        <v>0.21424869999999999</v>
      </c>
      <c r="T7795">
        <v>-0.29653780000000002</v>
      </c>
      <c r="U7795">
        <v>2.9922179999999998</v>
      </c>
      <c r="V7795">
        <v>-0.2227934</v>
      </c>
      <c r="W7795">
        <v>-1.7888290000000001E-2</v>
      </c>
      <c r="X7795">
        <v>0.9747015</v>
      </c>
      <c r="Y7795">
        <v>-0.15160699999999999</v>
      </c>
      <c r="Z7795">
        <v>-8.8851650000000004E-2</v>
      </c>
      <c r="AA7795">
        <v>0.98443930000000002</v>
      </c>
      <c r="AB7795">
        <v>28</v>
      </c>
      <c r="AC7795">
        <v>0.75159999999999605</v>
      </c>
      <c r="AD7795">
        <v>-1.1146773942177</v>
      </c>
      <c r="AE7795">
        <v>10.987299999999999</v>
      </c>
      <c r="AF7795">
        <v>-1.68435955008597</v>
      </c>
      <c r="AG7795">
        <v>-1.1146773942177</v>
      </c>
      <c r="AH7795">
        <v>10.7703879575286</v>
      </c>
      <c r="AI7795">
        <v>95.838305315175006</v>
      </c>
      <c r="AJ7795">
        <v>98.888377982263293</v>
      </c>
      <c r="AK7795">
        <v>10.9581398760384</v>
      </c>
      <c r="AL7795">
        <v>91.024978237765396</v>
      </c>
      <c r="AM7795">
        <v>102.875252150539</v>
      </c>
      <c r="AN7795">
        <v>0.99999995205246495</v>
      </c>
    </row>
    <row r="7796" spans="1:40" x14ac:dyDescent="0.25">
      <c r="A7796" t="str">
        <f>"20190305135113594"</f>
        <v>20190305135113594</v>
      </c>
      <c r="B7796" t="str">
        <f>"1551765073587281"</f>
        <v>1551765073587281</v>
      </c>
      <c r="C7796" t="s">
        <v>40</v>
      </c>
      <c r="D7796">
        <v>4.0964660000000004</v>
      </c>
      <c r="E7796">
        <v>0.5254605</v>
      </c>
      <c r="F7796" t="s">
        <v>42</v>
      </c>
      <c r="G7796">
        <v>-189.36340000000001</v>
      </c>
      <c r="H7796" s="1">
        <v>-8.4767569999999904E-7</v>
      </c>
      <c r="I7796">
        <v>-28.654509999999998</v>
      </c>
      <c r="J7796">
        <v>-190.084</v>
      </c>
      <c r="K7796">
        <v>1.1145780000000001</v>
      </c>
      <c r="L7796">
        <v>-40.414180000000002</v>
      </c>
      <c r="M7796">
        <v>0.2142618</v>
      </c>
      <c r="N7796">
        <v>-5.3319910000000003E-3</v>
      </c>
      <c r="O7796">
        <v>0.97676169999999995</v>
      </c>
      <c r="P7796">
        <v>-1.0916250000000001E-2</v>
      </c>
      <c r="Q7796">
        <v>-1.577599E-2</v>
      </c>
      <c r="R7796">
        <v>0.99981589999999998</v>
      </c>
      <c r="S7796">
        <v>0.19297790000000001</v>
      </c>
      <c r="T7796">
        <v>-0.27743830000000003</v>
      </c>
      <c r="U7796">
        <v>2.9953310000000002</v>
      </c>
      <c r="V7796">
        <v>-0.2247189</v>
      </c>
      <c r="W7796">
        <v>-1.371694E-2</v>
      </c>
      <c r="X7796">
        <v>0.9743271</v>
      </c>
      <c r="Y7796">
        <v>-0.15120459999999999</v>
      </c>
      <c r="Z7796">
        <v>-8.3134139999999995E-2</v>
      </c>
      <c r="AA7796">
        <v>0.9850004</v>
      </c>
      <c r="AB7796">
        <v>28</v>
      </c>
      <c r="AC7796">
        <v>0.72059999999999003</v>
      </c>
      <c r="AD7796">
        <v>-1.1145788476756999</v>
      </c>
      <c r="AE7796">
        <v>11.75967</v>
      </c>
      <c r="AF7796">
        <v>-1.7997127124486201</v>
      </c>
      <c r="AG7796">
        <v>-1.1145788476756999</v>
      </c>
      <c r="AH7796">
        <v>11.537700173613899</v>
      </c>
      <c r="AI7796">
        <v>95.452306040750997</v>
      </c>
      <c r="AJ7796">
        <v>98.865859086505694</v>
      </c>
      <c r="AK7796">
        <v>11.730293140039</v>
      </c>
      <c r="AL7796">
        <v>90.785947403483306</v>
      </c>
      <c r="AM7796">
        <v>102.987592046535</v>
      </c>
      <c r="AN7796">
        <v>1.0000000181272899</v>
      </c>
    </row>
    <row r="7797" spans="1:40" x14ac:dyDescent="0.25">
      <c r="A7797" t="str">
        <f>"20190305135113616"</f>
        <v>20190305135113616</v>
      </c>
      <c r="B7797" t="str">
        <f>"1551765073607777"</f>
        <v>1551765073607777</v>
      </c>
      <c r="C7797" t="s">
        <v>40</v>
      </c>
      <c r="D7797">
        <v>4.0789260000000001</v>
      </c>
      <c r="E7797">
        <v>0.52577810000000003</v>
      </c>
      <c r="F7797" t="s">
        <v>42</v>
      </c>
      <c r="G7797">
        <v>-189.34190000000001</v>
      </c>
      <c r="H7797" s="1">
        <v>-1.4211729999999999E-6</v>
      </c>
      <c r="I7797">
        <v>-27.326550000000001</v>
      </c>
      <c r="J7797">
        <v>-190.0308</v>
      </c>
      <c r="K7797">
        <v>1.1145</v>
      </c>
      <c r="L7797">
        <v>-40.137509999999999</v>
      </c>
      <c r="M7797">
        <v>0.20709369999999999</v>
      </c>
      <c r="N7797">
        <v>-5.1782069999999998E-3</v>
      </c>
      <c r="O7797">
        <v>0.97830740000000005</v>
      </c>
      <c r="P7797">
        <v>-1.7921880000000001E-2</v>
      </c>
      <c r="Q7797">
        <v>-8.2916550000000002E-3</v>
      </c>
      <c r="R7797">
        <v>0.99980500000000005</v>
      </c>
      <c r="S7797">
        <v>0.17001340000000001</v>
      </c>
      <c r="T7797">
        <v>-0.25535069999999999</v>
      </c>
      <c r="U7797">
        <v>2.998383</v>
      </c>
      <c r="V7797">
        <v>-0.22452369999999999</v>
      </c>
      <c r="W7797">
        <v>-6.328523E-3</v>
      </c>
      <c r="X7797">
        <v>0.97444810000000004</v>
      </c>
      <c r="Y7797">
        <v>-0.15151010000000001</v>
      </c>
      <c r="Z7797">
        <v>-7.6420650000000007E-2</v>
      </c>
      <c r="AA7797">
        <v>0.98549710000000001</v>
      </c>
      <c r="AB7797">
        <v>29</v>
      </c>
      <c r="AC7797">
        <v>0.68889999999998897</v>
      </c>
      <c r="AD7797">
        <v>-1.114501421173</v>
      </c>
      <c r="AE7797">
        <v>12.8109599999999</v>
      </c>
      <c r="AF7797">
        <v>-1.9643160369488799</v>
      </c>
      <c r="AG7797">
        <v>-1.114501421173</v>
      </c>
      <c r="AH7797">
        <v>12.5809520869973</v>
      </c>
      <c r="AI7797">
        <v>95.002122319426604</v>
      </c>
      <c r="AJ7797">
        <v>98.874178518566296</v>
      </c>
      <c r="AK7797">
        <v>12.782057984774299</v>
      </c>
      <c r="AL7797">
        <v>90.362600071293897</v>
      </c>
      <c r="AM7797">
        <v>102.97513568984699</v>
      </c>
      <c r="AN7797">
        <v>1.00000002082933</v>
      </c>
    </row>
    <row r="7798" spans="1:40" x14ac:dyDescent="0.25">
      <c r="A7798" t="str">
        <f>"20190305135113630"</f>
        <v>20190305135113630</v>
      </c>
      <c r="B7798" t="str">
        <f>"1551765073617537"</f>
        <v>1551765073617537</v>
      </c>
      <c r="C7798" t="s">
        <v>40</v>
      </c>
      <c r="D7798">
        <v>4.0502949999999904</v>
      </c>
      <c r="E7798">
        <v>0.52579819999999999</v>
      </c>
      <c r="F7798" t="s">
        <v>42</v>
      </c>
      <c r="G7798">
        <v>-189.30879999999999</v>
      </c>
      <c r="H7798" s="1">
        <v>-2.0735679999999999E-6</v>
      </c>
      <c r="I7798">
        <v>-25.819469999999999</v>
      </c>
      <c r="J7798">
        <v>-189.99639999999999</v>
      </c>
      <c r="K7798">
        <v>1.1144419999999999</v>
      </c>
      <c r="L7798">
        <v>-39.954320000000003</v>
      </c>
      <c r="M7798">
        <v>0.20243700000000001</v>
      </c>
      <c r="N7798">
        <v>-5.0773570000000002E-3</v>
      </c>
      <c r="O7798">
        <v>0.97928210000000004</v>
      </c>
      <c r="P7798">
        <v>-2.2448249999999999E-2</v>
      </c>
      <c r="Q7798">
        <v>-5.0706909999999996E-3</v>
      </c>
      <c r="R7798">
        <v>0.99973520000000005</v>
      </c>
      <c r="S7798">
        <v>0.15133669999999999</v>
      </c>
      <c r="T7798">
        <v>-0.2336239</v>
      </c>
      <c r="U7798">
        <v>3.0013730000000001</v>
      </c>
      <c r="V7798">
        <v>-0.22434680000000001</v>
      </c>
      <c r="W7798">
        <v>-3.1725189999999999E-3</v>
      </c>
      <c r="X7798">
        <v>0.97450420000000004</v>
      </c>
      <c r="Y7798">
        <v>-0.15295590000000001</v>
      </c>
      <c r="Z7798">
        <v>-6.9660250000000007E-2</v>
      </c>
      <c r="AA7798">
        <v>0.98577479999999995</v>
      </c>
      <c r="AB7798">
        <v>29</v>
      </c>
      <c r="AC7798">
        <v>0.68760000000000299</v>
      </c>
      <c r="AD7798">
        <v>-1.1144440735679999</v>
      </c>
      <c r="AE7798">
        <v>14.13485</v>
      </c>
      <c r="AF7798">
        <v>-2.17460436905009</v>
      </c>
      <c r="AG7798">
        <v>-1.1144440735679999</v>
      </c>
      <c r="AH7798">
        <v>13.895208542362999</v>
      </c>
      <c r="AI7798">
        <v>94.5305924341815</v>
      </c>
      <c r="AJ7798">
        <v>98.894658224359603</v>
      </c>
      <c r="AK7798">
        <v>14.108426921197101</v>
      </c>
      <c r="AL7798">
        <v>90.181772255193493</v>
      </c>
      <c r="AM7798">
        <v>102.96453710039501</v>
      </c>
      <c r="AN7798">
        <v>0.99999999368234205</v>
      </c>
    </row>
    <row r="7799" spans="1:40" x14ac:dyDescent="0.25">
      <c r="A7799" t="str">
        <f>"20190305135113651"</f>
        <v>20190305135113651</v>
      </c>
      <c r="B7799" t="str">
        <f>"1551765073647494"</f>
        <v>1551765073647494</v>
      </c>
      <c r="C7799" t="s">
        <v>40</v>
      </c>
      <c r="D7799">
        <v>4.0573509999999997</v>
      </c>
      <c r="E7799">
        <v>0.52638499999999999</v>
      </c>
      <c r="F7799" t="s">
        <v>42</v>
      </c>
      <c r="G7799">
        <v>-189.30279999999999</v>
      </c>
      <c r="H7799" s="1">
        <v>-2.4938199999999999E-6</v>
      </c>
      <c r="I7799">
        <v>-24.842320000000001</v>
      </c>
      <c r="J7799">
        <v>-189.95</v>
      </c>
      <c r="K7799">
        <v>1.114355</v>
      </c>
      <c r="L7799">
        <v>-39.698700000000002</v>
      </c>
      <c r="M7799">
        <v>0.19609989999999999</v>
      </c>
      <c r="N7799">
        <v>-4.9381410000000001E-3</v>
      </c>
      <c r="O7799">
        <v>0.98057150000000004</v>
      </c>
      <c r="P7799">
        <v>-2.7604719999999999E-2</v>
      </c>
      <c r="Q7799">
        <v>-1.898596E-3</v>
      </c>
      <c r="R7799">
        <v>0.99961710000000004</v>
      </c>
      <c r="S7799">
        <v>0.13781740000000001</v>
      </c>
      <c r="T7799">
        <v>-0.2214419</v>
      </c>
      <c r="U7799">
        <v>3.002777</v>
      </c>
      <c r="V7799">
        <v>-0.2231149</v>
      </c>
      <c r="W7799" s="1">
        <v>-7.6337949999999996E-5</v>
      </c>
      <c r="X7799">
        <v>0.97479210000000005</v>
      </c>
      <c r="Y7799">
        <v>-0.15100740000000001</v>
      </c>
      <c r="Z7799">
        <v>-6.604728E-2</v>
      </c>
      <c r="AA7799">
        <v>0.98632370000000003</v>
      </c>
      <c r="AB7799">
        <v>29</v>
      </c>
      <c r="AC7799">
        <v>0.647199999999997</v>
      </c>
      <c r="AD7799">
        <v>-1.11435749382</v>
      </c>
      <c r="AE7799">
        <v>14.85638</v>
      </c>
      <c r="AF7799">
        <v>-2.2660113999024301</v>
      </c>
      <c r="AG7799">
        <v>-1.11435749382</v>
      </c>
      <c r="AH7799">
        <v>14.612777507441001</v>
      </c>
      <c r="AI7799">
        <v>94.309574496226006</v>
      </c>
      <c r="AJ7799">
        <v>98.814680152152206</v>
      </c>
      <c r="AK7799">
        <v>14.829358272376201</v>
      </c>
      <c r="AL7799">
        <v>90.004373842568796</v>
      </c>
      <c r="AM7799">
        <v>102.89205290044001</v>
      </c>
      <c r="AN7799">
        <v>0.99999995132594999</v>
      </c>
    </row>
    <row r="7800" spans="1:40" x14ac:dyDescent="0.25">
      <c r="A7800" t="str">
        <f>"20190305135113670"</f>
        <v>20190305135113670</v>
      </c>
      <c r="B7800" t="str">
        <f>"1551765073667991"</f>
        <v>1551765073667991</v>
      </c>
      <c r="C7800" t="s">
        <v>40</v>
      </c>
      <c r="D7800">
        <v>4.0231760000000003</v>
      </c>
      <c r="E7800">
        <v>0.52667109999999995</v>
      </c>
      <c r="F7800" t="s">
        <v>42</v>
      </c>
      <c r="G7800">
        <v>-189.27109999999999</v>
      </c>
      <c r="H7800" s="1">
        <v>-3.0435920000000002E-6</v>
      </c>
      <c r="I7800">
        <v>-23.573899999999998</v>
      </c>
      <c r="J7800">
        <v>-189.90559999999999</v>
      </c>
      <c r="K7800">
        <v>1.1142529999999999</v>
      </c>
      <c r="L7800">
        <v>-39.445860000000003</v>
      </c>
      <c r="M7800">
        <v>0.18999369999999999</v>
      </c>
      <c r="N7800">
        <v>-4.8055880000000004E-3</v>
      </c>
      <c r="O7800">
        <v>0.98177360000000002</v>
      </c>
      <c r="P7800">
        <v>-3.0927570000000001E-2</v>
      </c>
      <c r="Q7800">
        <v>-1.1985850000000001E-3</v>
      </c>
      <c r="R7800">
        <v>0.99952090000000005</v>
      </c>
      <c r="S7800">
        <v>0.12648010000000001</v>
      </c>
      <c r="T7800">
        <v>-0.2076182</v>
      </c>
      <c r="U7800">
        <v>3.0042420000000001</v>
      </c>
      <c r="V7800">
        <v>-0.22029580000000001</v>
      </c>
      <c r="W7800">
        <v>5.7775179999999999E-4</v>
      </c>
      <c r="X7800">
        <v>0.97543290000000005</v>
      </c>
      <c r="Y7800">
        <v>-0.14858370000000001</v>
      </c>
      <c r="Z7800">
        <v>-6.1876769999999998E-2</v>
      </c>
      <c r="AA7800">
        <v>0.98696209999999995</v>
      </c>
      <c r="AB7800">
        <v>29</v>
      </c>
      <c r="AC7800">
        <v>0.63450000000000195</v>
      </c>
      <c r="AD7800">
        <v>-1.1142560435919999</v>
      </c>
      <c r="AE7800">
        <v>15.8719599999999</v>
      </c>
      <c r="AF7800">
        <v>-2.3809489388681802</v>
      </c>
      <c r="AG7800">
        <v>-1.1142560435919999</v>
      </c>
      <c r="AH7800">
        <v>15.626511501823501</v>
      </c>
      <c r="AI7800">
        <v>94.032220314061703</v>
      </c>
      <c r="AJ7800">
        <v>98.663297760667604</v>
      </c>
      <c r="AK7800">
        <v>15.846082989079701</v>
      </c>
      <c r="AL7800">
        <v>89.966897257016996</v>
      </c>
      <c r="AM7800">
        <v>102.726410044549</v>
      </c>
      <c r="AN7800">
        <v>0.99999995784859497</v>
      </c>
    </row>
    <row r="7801" spans="1:40" x14ac:dyDescent="0.25">
      <c r="A7801" t="str">
        <f>"20190305135113696"</f>
        <v>20190305135113696</v>
      </c>
      <c r="B7801" t="str">
        <f>"1551765073687511"</f>
        <v>1551765073687511</v>
      </c>
      <c r="C7801" t="s">
        <v>40</v>
      </c>
      <c r="D7801">
        <v>4.3432430000000002</v>
      </c>
      <c r="E7801">
        <v>0.52698679999999998</v>
      </c>
      <c r="F7801" t="s">
        <v>42</v>
      </c>
      <c r="G7801">
        <v>-189.26990000000001</v>
      </c>
      <c r="H7801" s="1">
        <v>-3.1587130000000001E-6</v>
      </c>
      <c r="I7801">
        <v>-23.306049999999999</v>
      </c>
      <c r="J7801">
        <v>-189.85220000000001</v>
      </c>
      <c r="K7801">
        <v>1.114136</v>
      </c>
      <c r="L7801">
        <v>-39.130000000000003</v>
      </c>
      <c r="M7801">
        <v>0.18259529999999999</v>
      </c>
      <c r="N7801">
        <v>-4.6488140000000002E-3</v>
      </c>
      <c r="O7801">
        <v>0.98317719999999997</v>
      </c>
      <c r="P7801">
        <v>-3.4111629999999997E-2</v>
      </c>
      <c r="Q7801">
        <v>4.9908850000000002E-4</v>
      </c>
      <c r="R7801">
        <v>0.99941789999999997</v>
      </c>
      <c r="S7801">
        <v>0.1183472</v>
      </c>
      <c r="T7801">
        <v>-0.2074482</v>
      </c>
      <c r="U7801">
        <v>3.0048520000000001</v>
      </c>
      <c r="V7801">
        <v>-0.21607599999999999</v>
      </c>
      <c r="W7801">
        <v>2.2376200000000001E-3</v>
      </c>
      <c r="X7801">
        <v>0.97637399999999996</v>
      </c>
      <c r="Y7801">
        <v>-0.14381289999999999</v>
      </c>
      <c r="Z7801">
        <v>-6.2135160000000002E-2</v>
      </c>
      <c r="AA7801">
        <v>0.98765230000000004</v>
      </c>
      <c r="AB7801">
        <v>29</v>
      </c>
      <c r="AC7801">
        <v>0.58230000000000304</v>
      </c>
      <c r="AD7801">
        <v>-1.1141391587130001</v>
      </c>
      <c r="AE7801">
        <v>15.82395</v>
      </c>
      <c r="AF7801">
        <v>-2.30548614570271</v>
      </c>
      <c r="AG7801">
        <v>-1.1141391587130001</v>
      </c>
      <c r="AH7801">
        <v>15.5870748773093</v>
      </c>
      <c r="AI7801">
        <v>94.044602281625004</v>
      </c>
      <c r="AJ7801">
        <v>98.413623558204193</v>
      </c>
      <c r="AK7801">
        <v>15.795995557857401</v>
      </c>
      <c r="AL7801">
        <v>89.871793712948303</v>
      </c>
      <c r="AM7801">
        <v>102.47869304500399</v>
      </c>
      <c r="AN7801">
        <v>1.0000000162976299</v>
      </c>
    </row>
    <row r="7802" spans="1:40" x14ac:dyDescent="0.25">
      <c r="A7802" t="str">
        <f>"20190305135113719"</f>
        <v>20190305135113719</v>
      </c>
      <c r="B7802" t="str">
        <f>"1551765073708006"</f>
        <v>1551765073708006</v>
      </c>
      <c r="C7802" t="s">
        <v>40</v>
      </c>
      <c r="D7802">
        <v>4.0086009999999996</v>
      </c>
      <c r="E7802">
        <v>0.52708599999999906</v>
      </c>
      <c r="F7802" t="s">
        <v>42</v>
      </c>
      <c r="G7802">
        <v>-189.24789999999999</v>
      </c>
      <c r="H7802" s="1">
        <v>-3.3777209999999998E-6</v>
      </c>
      <c r="I7802">
        <v>-22.804659999999998</v>
      </c>
      <c r="J7802">
        <v>-189.80330000000001</v>
      </c>
      <c r="K7802">
        <v>1.1140219999999901</v>
      </c>
      <c r="L7802">
        <v>-38.828740000000003</v>
      </c>
      <c r="M7802">
        <v>0.17576069999999999</v>
      </c>
      <c r="N7802">
        <v>-4.5107599999999999E-3</v>
      </c>
      <c r="O7802">
        <v>0.98442260000000004</v>
      </c>
      <c r="P7802">
        <v>-3.6118890000000001E-2</v>
      </c>
      <c r="Q7802">
        <v>3.010797E-3</v>
      </c>
      <c r="R7802">
        <v>0.99934299999999998</v>
      </c>
      <c r="S7802">
        <v>0.11126709999999999</v>
      </c>
      <c r="T7802">
        <v>-0.20512320000000001</v>
      </c>
      <c r="U7802">
        <v>3.005646</v>
      </c>
      <c r="V7802">
        <v>-0.21128079999999999</v>
      </c>
      <c r="W7802">
        <v>4.7362309999999996E-3</v>
      </c>
      <c r="X7802">
        <v>0.97741400000000001</v>
      </c>
      <c r="Y7802">
        <v>-0.13927059999999999</v>
      </c>
      <c r="Z7802">
        <v>-6.1660239999999998E-2</v>
      </c>
      <c r="AA7802">
        <v>0.98833280000000001</v>
      </c>
      <c r="AB7802">
        <v>29</v>
      </c>
      <c r="AC7802">
        <v>0.55540000000001999</v>
      </c>
      <c r="AD7802">
        <v>-1.1140253777210001</v>
      </c>
      <c r="AE7802">
        <v>16.024079999999898</v>
      </c>
      <c r="AF7802">
        <v>-2.2587740287013101</v>
      </c>
      <c r="AG7802">
        <v>-1.1140253777210001</v>
      </c>
      <c r="AH7802">
        <v>15.7959900724048</v>
      </c>
      <c r="AI7802">
        <v>93.993661801967306</v>
      </c>
      <c r="AJ7802">
        <v>98.137936805311895</v>
      </c>
      <c r="AK7802">
        <v>15.995512340105099</v>
      </c>
      <c r="AL7802">
        <v>89.728632956764997</v>
      </c>
      <c r="AM7802">
        <v>102.197559027898</v>
      </c>
      <c r="AN7802">
        <v>1.0000000678643599</v>
      </c>
    </row>
    <row r="7803" spans="1:40" x14ac:dyDescent="0.25">
      <c r="A7803" t="str">
        <f>"20190305135113741"</f>
        <v>20190305135113741</v>
      </c>
      <c r="B7803" t="str">
        <f>"1551765073737855"</f>
        <v>1551765073737855</v>
      </c>
      <c r="C7803" t="s">
        <v>40</v>
      </c>
      <c r="D7803">
        <v>3.9906899999999998</v>
      </c>
      <c r="E7803">
        <v>0.52647379999999999</v>
      </c>
      <c r="F7803" t="s">
        <v>42</v>
      </c>
      <c r="G7803">
        <v>-189.20740000000001</v>
      </c>
      <c r="H7803" s="1">
        <v>-3.7524479999999999E-6</v>
      </c>
      <c r="I7803">
        <v>-21.947900000000001</v>
      </c>
      <c r="J7803">
        <v>-189.75790000000001</v>
      </c>
      <c r="K7803">
        <v>1.1138920000000001</v>
      </c>
      <c r="L7803">
        <v>-38.539000000000001</v>
      </c>
      <c r="M7803">
        <v>0.16941030000000001</v>
      </c>
      <c r="N7803">
        <v>-4.3883359999999996E-3</v>
      </c>
      <c r="O7803">
        <v>0.98553590000000002</v>
      </c>
      <c r="P7803">
        <v>-3.6875810000000002E-2</v>
      </c>
      <c r="Q7803">
        <v>4.0539460000000001E-3</v>
      </c>
      <c r="R7803">
        <v>0.99931159999999997</v>
      </c>
      <c r="S7803">
        <v>0.10612489999999999</v>
      </c>
      <c r="T7803">
        <v>-0.19840350000000001</v>
      </c>
      <c r="U7803">
        <v>3.0064090000000001</v>
      </c>
      <c r="V7803">
        <v>-0.20572589999999999</v>
      </c>
      <c r="W7803">
        <v>5.7900269999999997E-3</v>
      </c>
      <c r="X7803">
        <v>0.97859249999999998</v>
      </c>
      <c r="Y7803">
        <v>-0.13458020000000001</v>
      </c>
      <c r="Z7803">
        <v>-5.9739449999999999E-2</v>
      </c>
      <c r="AA7803">
        <v>0.98910030000000004</v>
      </c>
      <c r="AB7803">
        <v>29</v>
      </c>
      <c r="AC7803">
        <v>0.55049999999999899</v>
      </c>
      <c r="AD7803">
        <v>-1.113895752448</v>
      </c>
      <c r="AE7803">
        <v>16.591100000000001</v>
      </c>
      <c r="AF7803">
        <v>-2.25802051752602</v>
      </c>
      <c r="AG7803">
        <v>-1.113895752448</v>
      </c>
      <c r="AH7803">
        <v>16.3708315349622</v>
      </c>
      <c r="AI7803">
        <v>93.856094889532201</v>
      </c>
      <c r="AJ7803">
        <v>97.853226712582</v>
      </c>
      <c r="AK7803">
        <v>16.563319279389798</v>
      </c>
      <c r="AL7803">
        <v>89.668254027955896</v>
      </c>
      <c r="AM7803">
        <v>101.872198034063</v>
      </c>
      <c r="AN7803">
        <v>0.99999997569985999</v>
      </c>
    </row>
    <row r="7804" spans="1:40" x14ac:dyDescent="0.25">
      <c r="A7804" t="str">
        <f>"20190305135113762"</f>
        <v>20190305135113762</v>
      </c>
      <c r="B7804" t="str">
        <f>"1551765073757374"</f>
        <v>1551765073757374</v>
      </c>
      <c r="C7804" t="s">
        <v>40</v>
      </c>
      <c r="D7804">
        <v>3.8406820000000002</v>
      </c>
      <c r="E7804">
        <v>0.50906039999999997</v>
      </c>
      <c r="F7804" t="s">
        <v>42</v>
      </c>
      <c r="G7804">
        <v>-189.17869999999999</v>
      </c>
      <c r="H7804" s="1">
        <v>-4.1547810000000001E-6</v>
      </c>
      <c r="I7804">
        <v>-21.021920000000001</v>
      </c>
      <c r="J7804">
        <v>-189.71780000000001</v>
      </c>
      <c r="K7804">
        <v>1.113748</v>
      </c>
      <c r="L7804">
        <v>-38.273620000000001</v>
      </c>
      <c r="M7804">
        <v>0.16380839999999999</v>
      </c>
      <c r="N7804">
        <v>-4.2830430000000003E-3</v>
      </c>
      <c r="O7804">
        <v>0.98648290000000005</v>
      </c>
      <c r="P7804">
        <v>-3.6665860000000002E-2</v>
      </c>
      <c r="Q7804">
        <v>3.7387729999999999E-3</v>
      </c>
      <c r="R7804">
        <v>0.9993206</v>
      </c>
      <c r="S7804">
        <v>9.9411009999999994E-2</v>
      </c>
      <c r="T7804">
        <v>-0.19118070000000001</v>
      </c>
      <c r="U7804">
        <v>3.0065</v>
      </c>
      <c r="V7804">
        <v>-0.19995099999999999</v>
      </c>
      <c r="W7804">
        <v>5.5048830000000003E-3</v>
      </c>
      <c r="X7804">
        <v>0.97979039999999995</v>
      </c>
      <c r="Y7804">
        <v>-0.13115460000000001</v>
      </c>
      <c r="Z7804">
        <v>-5.7622970000000003E-2</v>
      </c>
      <c r="AA7804">
        <v>0.98968579999999995</v>
      </c>
      <c r="AB7804">
        <v>30</v>
      </c>
      <c r="AC7804">
        <v>0.53910000000001901</v>
      </c>
      <c r="AD7804">
        <v>-1.1137521547810001</v>
      </c>
      <c r="AE7804">
        <v>17.2517</v>
      </c>
      <c r="AF7804">
        <v>-2.2846685367286499</v>
      </c>
      <c r="AG7804">
        <v>-1.1137521547810001</v>
      </c>
      <c r="AH7804">
        <v>17.036038064651098</v>
      </c>
      <c r="AI7804">
        <v>93.707363853112298</v>
      </c>
      <c r="AJ7804">
        <v>97.638247272615999</v>
      </c>
      <c r="AK7804">
        <v>17.224597154222199</v>
      </c>
      <c r="AL7804">
        <v>89.684591833967801</v>
      </c>
      <c r="AM7804">
        <v>101.534271213963</v>
      </c>
      <c r="AN7804">
        <v>0.99999996703500105</v>
      </c>
    </row>
    <row r="7805" spans="1:40" x14ac:dyDescent="0.25">
      <c r="A7805" t="str">
        <f>"20190305135113783"</f>
        <v>20190305135113783</v>
      </c>
      <c r="B7805" t="str">
        <f>"1551765073777870"</f>
        <v>1551765073777870</v>
      </c>
      <c r="C7805" t="s">
        <v>40</v>
      </c>
      <c r="D7805">
        <v>3.8144140000000002</v>
      </c>
      <c r="E7805">
        <v>0.51027250000000002</v>
      </c>
      <c r="F7805" t="s">
        <v>42</v>
      </c>
      <c r="G7805">
        <v>-190.2886</v>
      </c>
      <c r="H7805" s="1">
        <v>-3.1051850000000002E-6</v>
      </c>
      <c r="I7805">
        <v>6.6483689999999998</v>
      </c>
      <c r="J7805">
        <v>-189.6748</v>
      </c>
      <c r="K7805">
        <v>1.1135710000000001</v>
      </c>
      <c r="L7805">
        <v>-37.978850000000001</v>
      </c>
      <c r="M7805">
        <v>0.15783910000000001</v>
      </c>
      <c r="N7805">
        <v>-4.1721249999999996E-3</v>
      </c>
      <c r="O7805">
        <v>0.987456</v>
      </c>
      <c r="P7805">
        <v>-3.6377809999999997E-2</v>
      </c>
      <c r="Q7805">
        <v>1.9948460000000002E-3</v>
      </c>
      <c r="R7805">
        <v>0.99933609999999995</v>
      </c>
      <c r="S7805">
        <v>-3.8131709999999999E-2</v>
      </c>
      <c r="T7805">
        <v>-7.4401739999999994E-2</v>
      </c>
      <c r="U7805">
        <v>3.0009160000000001</v>
      </c>
      <c r="V7805">
        <v>-0.193716</v>
      </c>
      <c r="W7805">
        <v>3.8006849999999998E-3</v>
      </c>
      <c r="X7805">
        <v>0.98105030000000004</v>
      </c>
      <c r="Y7805">
        <v>-0.17036089999999901</v>
      </c>
      <c r="Z7805">
        <v>-1.996185E-2</v>
      </c>
      <c r="AA7805">
        <v>0.98517949999999999</v>
      </c>
      <c r="AB7805">
        <v>30</v>
      </c>
      <c r="AC7805">
        <v>-0.61379999999999701</v>
      </c>
      <c r="AD7805">
        <v>-1.1135741051850001</v>
      </c>
      <c r="AE7805">
        <v>44.627218999999997</v>
      </c>
      <c r="AF7805">
        <v>-7.6453279819623798</v>
      </c>
      <c r="AG7805">
        <v>-1.1135741051850001</v>
      </c>
      <c r="AH7805">
        <v>43.943561593769402</v>
      </c>
      <c r="AI7805">
        <v>91.430147808638395</v>
      </c>
      <c r="AJ7805">
        <v>99.869564942613906</v>
      </c>
      <c r="AK7805">
        <v>44.617571569785397</v>
      </c>
      <c r="AL7805">
        <v>89.782236268686702</v>
      </c>
      <c r="AM7805">
        <v>101.169807216357</v>
      </c>
      <c r="AN7805">
        <v>1.00000001249627</v>
      </c>
    </row>
    <row r="7806" spans="1:40" x14ac:dyDescent="0.25">
      <c r="A7806" t="str">
        <f>"20190305135113807"</f>
        <v>20190305135113807</v>
      </c>
      <c r="B7806" t="str">
        <f>"1551765073797391"</f>
        <v>1551765073797391</v>
      </c>
      <c r="C7806" t="s">
        <v>40</v>
      </c>
      <c r="D7806">
        <v>3.91526</v>
      </c>
      <c r="E7806">
        <v>0.51102269999999905</v>
      </c>
      <c r="F7806" t="s">
        <v>42</v>
      </c>
      <c r="G7806">
        <v>-190.0496</v>
      </c>
      <c r="H7806" s="1">
        <v>-1.5624799999999999E-6</v>
      </c>
      <c r="I7806">
        <v>3.2005530000000002</v>
      </c>
      <c r="J7806">
        <v>-189.631</v>
      </c>
      <c r="K7806">
        <v>1.113367</v>
      </c>
      <c r="L7806">
        <v>-37.667450000000002</v>
      </c>
      <c r="M7806">
        <v>0.15182989999999999</v>
      </c>
      <c r="N7806">
        <v>-4.0621040000000004E-3</v>
      </c>
      <c r="O7806">
        <v>0.98839829999999995</v>
      </c>
      <c r="P7806">
        <v>-3.605771E-2</v>
      </c>
      <c r="Q7806">
        <v>-1.1563439999999999E-3</v>
      </c>
      <c r="R7806">
        <v>0.99934909999999999</v>
      </c>
      <c r="S7806">
        <v>-2.7313230000000001E-2</v>
      </c>
      <c r="T7806">
        <v>-8.115733E-2</v>
      </c>
      <c r="U7806">
        <v>3.00116</v>
      </c>
      <c r="V7806">
        <v>-0.1873919</v>
      </c>
      <c r="W7806">
        <v>6.9791470000000002E-4</v>
      </c>
      <c r="X7806">
        <v>0.98228499999999996</v>
      </c>
      <c r="Y7806">
        <v>-0.16080700000000001</v>
      </c>
      <c r="Z7806">
        <v>-2.2321850000000001E-2</v>
      </c>
      <c r="AA7806">
        <v>0.98673339999999998</v>
      </c>
      <c r="AB7806">
        <v>30</v>
      </c>
      <c r="AC7806">
        <v>-0.41860000000002601</v>
      </c>
      <c r="AD7806">
        <v>-1.11336856248</v>
      </c>
      <c r="AE7806">
        <v>40.868003000000002</v>
      </c>
      <c r="AF7806">
        <v>-6.6138746915129198</v>
      </c>
      <c r="AG7806">
        <v>-1.11336856248</v>
      </c>
      <c r="AH7806">
        <v>40.300733673356497</v>
      </c>
      <c r="AI7806">
        <v>91.561600741843094</v>
      </c>
      <c r="AJ7806">
        <v>99.319904178027599</v>
      </c>
      <c r="AK7806">
        <v>40.8550126985877</v>
      </c>
      <c r="AL7806">
        <v>89.960012430633299</v>
      </c>
      <c r="AM7806">
        <v>100.80061992110799</v>
      </c>
      <c r="AN7806">
        <v>1.00000001624776</v>
      </c>
    </row>
    <row r="7807" spans="1:40" x14ac:dyDescent="0.25">
      <c r="A7807" t="str">
        <f>"20190305135113822"</f>
        <v>20190305135113822</v>
      </c>
      <c r="B7807" t="str">
        <f>"1551765073807152"</f>
        <v>1551765073807152</v>
      </c>
      <c r="C7807" t="s">
        <v>40</v>
      </c>
      <c r="D7807">
        <v>3.8903490000000001</v>
      </c>
      <c r="E7807">
        <v>0.5113337</v>
      </c>
      <c r="F7807" t="s">
        <v>42</v>
      </c>
      <c r="G7807">
        <v>-189.9033</v>
      </c>
      <c r="H7807" s="1">
        <v>-1.5158149999999999E-6</v>
      </c>
      <c r="I7807">
        <v>3.1261920000000001</v>
      </c>
      <c r="J7807">
        <v>-189.6045</v>
      </c>
      <c r="K7807">
        <v>1.1132390000000001</v>
      </c>
      <c r="L7807">
        <v>-37.472929999999998</v>
      </c>
      <c r="M7807">
        <v>0.1482599</v>
      </c>
      <c r="N7807">
        <v>-3.9971820000000002E-3</v>
      </c>
      <c r="O7807">
        <v>0.98894040000000005</v>
      </c>
      <c r="P7807">
        <v>-3.63121E-2</v>
      </c>
      <c r="Q7807">
        <v>-2.4106010000000001E-3</v>
      </c>
      <c r="R7807">
        <v>0.99933760000000005</v>
      </c>
      <c r="S7807">
        <v>-2.003479E-2</v>
      </c>
      <c r="T7807">
        <v>-8.190894E-2</v>
      </c>
      <c r="U7807">
        <v>3.0011290000000002</v>
      </c>
      <c r="V7807">
        <v>-0.1840794</v>
      </c>
      <c r="W7807">
        <v>-5.3053159999999998E-4</v>
      </c>
      <c r="X7807">
        <v>0.98291119999999998</v>
      </c>
      <c r="Y7807">
        <v>-0.15484779999999901</v>
      </c>
      <c r="Z7807">
        <v>-2.266752E-2</v>
      </c>
      <c r="AA7807">
        <v>0.98767819999999995</v>
      </c>
      <c r="AB7807">
        <v>30</v>
      </c>
      <c r="AC7807">
        <v>-0.29879999999999901</v>
      </c>
      <c r="AD7807">
        <v>-1.1132405158149901</v>
      </c>
      <c r="AE7807">
        <v>40.599122000000001</v>
      </c>
      <c r="AF7807">
        <v>-6.31002324012446</v>
      </c>
      <c r="AG7807">
        <v>-1.1132405158149901</v>
      </c>
      <c r="AH7807">
        <v>40.076000035896499</v>
      </c>
      <c r="AI7807">
        <v>91.571812216855307</v>
      </c>
      <c r="AJ7807">
        <v>98.947842758649699</v>
      </c>
      <c r="AK7807">
        <v>40.584990780017897</v>
      </c>
      <c r="AL7807">
        <v>90.030397224006506</v>
      </c>
      <c r="AM7807">
        <v>100.60746601597999</v>
      </c>
      <c r="AN7807">
        <v>0.99999996702678795</v>
      </c>
    </row>
    <row r="7808" spans="1:40" x14ac:dyDescent="0.25">
      <c r="A7808" t="str">
        <f>"20190305135113839"</f>
        <v>20190305135113839</v>
      </c>
      <c r="B7808" t="str">
        <f>"1551765073827646"</f>
        <v>1551765073827646</v>
      </c>
      <c r="C7808" t="s">
        <v>40</v>
      </c>
      <c r="D7808">
        <v>3.7591130000000001</v>
      </c>
      <c r="E7808">
        <v>0.51123779999999996</v>
      </c>
      <c r="F7808" t="s">
        <v>42</v>
      </c>
      <c r="G7808">
        <v>-189.8459</v>
      </c>
      <c r="H7808" s="1">
        <v>-1.1408059999999999E-6</v>
      </c>
      <c r="I7808">
        <v>2.2283279999999999</v>
      </c>
      <c r="J7808">
        <v>-189.57339999999999</v>
      </c>
      <c r="K7808">
        <v>1.113076</v>
      </c>
      <c r="L7808">
        <v>-37.238950000000003</v>
      </c>
      <c r="M7808">
        <v>0.14411499999999999</v>
      </c>
      <c r="N7808">
        <v>-3.9212120000000003E-3</v>
      </c>
      <c r="O7808">
        <v>0.98955320000000002</v>
      </c>
      <c r="P7808">
        <v>-3.4639049999999998E-2</v>
      </c>
      <c r="Q7808">
        <v>-4.4348479999999999E-3</v>
      </c>
      <c r="R7808">
        <v>0.99939009999999995</v>
      </c>
      <c r="S7808">
        <v>-1.824951E-2</v>
      </c>
      <c r="T7808">
        <v>-8.4152939999999996E-2</v>
      </c>
      <c r="U7808">
        <v>3.0011290000000002</v>
      </c>
      <c r="V7808">
        <v>-0.1782888</v>
      </c>
      <c r="W7808">
        <v>-2.5015549999999999E-3</v>
      </c>
      <c r="X7808">
        <v>0.98397500000000004</v>
      </c>
      <c r="Y7808">
        <v>-0.15011930000000001</v>
      </c>
      <c r="Z7808">
        <v>-2.3509809999999999E-2</v>
      </c>
      <c r="AA7808">
        <v>0.9883883</v>
      </c>
      <c r="AB7808">
        <v>30</v>
      </c>
      <c r="AC7808">
        <v>-0.27250000000000801</v>
      </c>
      <c r="AD7808">
        <v>-1.1130771408059901</v>
      </c>
      <c r="AE7808">
        <v>39.467278</v>
      </c>
      <c r="AF7808">
        <v>-5.95279116217666</v>
      </c>
      <c r="AG7808">
        <v>-1.1130771408059901</v>
      </c>
      <c r="AH7808">
        <v>38.984992470688397</v>
      </c>
      <c r="AI7808">
        <v>91.616703450081602</v>
      </c>
      <c r="AJ7808">
        <v>98.6816879096652</v>
      </c>
      <c r="AK7808">
        <v>39.452557601269703</v>
      </c>
      <c r="AL7808">
        <v>90.143328696459605</v>
      </c>
      <c r="AM7808">
        <v>100.270135804823</v>
      </c>
      <c r="AN7808">
        <v>0.99999997730392798</v>
      </c>
    </row>
    <row r="7809" spans="1:40" x14ac:dyDescent="0.25">
      <c r="A7809" t="str">
        <f>"20190305135113861"</f>
        <v>20190305135113861</v>
      </c>
      <c r="B7809" t="str">
        <f>"1551765073857903"</f>
        <v>1551765073857903</v>
      </c>
      <c r="C7809" t="s">
        <v>40</v>
      </c>
      <c r="D7809">
        <v>3.876306</v>
      </c>
      <c r="E7809">
        <v>0.51171449999999996</v>
      </c>
      <c r="F7809" t="s">
        <v>42</v>
      </c>
      <c r="G7809">
        <v>-189.73650000000001</v>
      </c>
      <c r="H7809" s="1">
        <v>-3.4826139999999999E-6</v>
      </c>
      <c r="I7809">
        <v>-2.3580890000000001</v>
      </c>
      <c r="J7809">
        <v>-189.53450000000001</v>
      </c>
      <c r="K7809">
        <v>1.1128819999999999</v>
      </c>
      <c r="L7809">
        <v>-36.938229999999997</v>
      </c>
      <c r="M7809">
        <v>0.13903859999999901</v>
      </c>
      <c r="N7809">
        <v>-3.825953E-3</v>
      </c>
      <c r="O7809">
        <v>0.99027960000000004</v>
      </c>
      <c r="P7809">
        <v>-3.5178870000000001E-2</v>
      </c>
      <c r="Q7809">
        <v>-4.5217479999999999E-3</v>
      </c>
      <c r="R7809">
        <v>0.9993708</v>
      </c>
      <c r="S7809">
        <v>-1.403809E-2</v>
      </c>
      <c r="T7809">
        <v>-9.5761899999999997E-2</v>
      </c>
      <c r="U7809">
        <v>3.0009160000000001</v>
      </c>
      <c r="V7809">
        <v>-0.173771799999999</v>
      </c>
      <c r="W7809">
        <v>-2.5563890000000001E-3</v>
      </c>
      <c r="X7809">
        <v>0.98478259999999995</v>
      </c>
      <c r="Y7809">
        <v>-0.1436586</v>
      </c>
      <c r="Z7809">
        <v>-2.743891E-2</v>
      </c>
      <c r="AA7809">
        <v>0.98924679999999998</v>
      </c>
      <c r="AB7809">
        <v>30</v>
      </c>
      <c r="AC7809">
        <v>-0.20199999999999799</v>
      </c>
      <c r="AD7809">
        <v>-1.112885482614</v>
      </c>
      <c r="AE7809">
        <v>34.580140999999998</v>
      </c>
      <c r="AF7809">
        <v>-5.0028659322703399</v>
      </c>
      <c r="AG7809">
        <v>-1.112885482614</v>
      </c>
      <c r="AH7809">
        <v>34.180770949712198</v>
      </c>
      <c r="AI7809">
        <v>91.845178260188007</v>
      </c>
      <c r="AJ7809">
        <v>98.326966318624201</v>
      </c>
      <c r="AK7809">
        <v>34.562874364704903</v>
      </c>
      <c r="AL7809">
        <v>90.1464704642122</v>
      </c>
      <c r="AM7809">
        <v>100.00722570956999</v>
      </c>
      <c r="AN7809">
        <v>0.99999997143135899</v>
      </c>
    </row>
    <row r="7810" spans="1:40" x14ac:dyDescent="0.25">
      <c r="A7810" t="str">
        <f>"20190305135113885"</f>
        <v>20190305135113885</v>
      </c>
      <c r="B7810" t="str">
        <f>"1551765073877422"</f>
        <v>1551765073877422</v>
      </c>
      <c r="C7810" t="s">
        <v>40</v>
      </c>
      <c r="D7810">
        <v>3.7148539999999999</v>
      </c>
      <c r="E7810">
        <v>0.51167640000000003</v>
      </c>
      <c r="F7810" t="s">
        <v>42</v>
      </c>
      <c r="G7810">
        <v>-189.6798</v>
      </c>
      <c r="H7810" s="1">
        <v>-5.9744630000000002E-7</v>
      </c>
      <c r="I7810">
        <v>0.89303429999999995</v>
      </c>
      <c r="J7810">
        <v>-189.49459999999999</v>
      </c>
      <c r="K7810">
        <v>1.11269</v>
      </c>
      <c r="L7810">
        <v>-36.61786</v>
      </c>
      <c r="M7810">
        <v>0.1339128</v>
      </c>
      <c r="N7810">
        <v>-3.7265789999999998E-3</v>
      </c>
      <c r="O7810">
        <v>0.99098609999999998</v>
      </c>
      <c r="P7810">
        <v>-3.6715999999999999E-2</v>
      </c>
      <c r="Q7810">
        <v>-4.2773489999999997E-3</v>
      </c>
      <c r="R7810">
        <v>0.9993166</v>
      </c>
      <c r="S7810">
        <v>-1.152039E-2</v>
      </c>
      <c r="T7810">
        <v>-8.8282470000000002E-2</v>
      </c>
      <c r="U7810">
        <v>3.0010680000000001</v>
      </c>
      <c r="V7810">
        <v>-0.17019310000000001</v>
      </c>
      <c r="W7810">
        <v>-2.2981849999999999E-3</v>
      </c>
      <c r="X7810">
        <v>0.98540810000000001</v>
      </c>
      <c r="Y7810">
        <v>-0.13770689999999999</v>
      </c>
      <c r="Z7810">
        <v>-2.514075E-2</v>
      </c>
      <c r="AA7810">
        <v>0.99015390000000003</v>
      </c>
      <c r="AB7810">
        <v>31</v>
      </c>
      <c r="AC7810">
        <v>-0.185200000000008</v>
      </c>
      <c r="AD7810">
        <v>-1.1126905974462999</v>
      </c>
      <c r="AE7810">
        <v>37.510894299999997</v>
      </c>
      <c r="AF7810">
        <v>-5.20217843680516</v>
      </c>
      <c r="AG7810">
        <v>-1.1126905974462999</v>
      </c>
      <c r="AH7810">
        <v>37.115575345971799</v>
      </c>
      <c r="AI7810">
        <v>91.700547420183398</v>
      </c>
      <c r="AJ7810">
        <v>97.978691220169296</v>
      </c>
      <c r="AK7810">
        <v>37.494888639873501</v>
      </c>
      <c r="AL7810">
        <v>90.131676410599397</v>
      </c>
      <c r="AM7810">
        <v>99.799072140128899</v>
      </c>
      <c r="AN7810">
        <v>1.0000000482437501</v>
      </c>
    </row>
    <row r="7811" spans="1:40" x14ac:dyDescent="0.25">
      <c r="A7811" t="str">
        <f>"20190305135113908"</f>
        <v>20190305135113908</v>
      </c>
      <c r="B7811" t="str">
        <f>"1551765073897918"</f>
        <v>1551765073897918</v>
      </c>
      <c r="C7811" t="s">
        <v>40</v>
      </c>
      <c r="D7811">
        <v>3.7231640000000001</v>
      </c>
      <c r="E7811">
        <v>0.51160159999999999</v>
      </c>
      <c r="F7811" t="s">
        <v>42</v>
      </c>
      <c r="G7811">
        <v>-189.70089999999999</v>
      </c>
      <c r="H7811" s="1">
        <v>-5.60601E-7</v>
      </c>
      <c r="I7811">
        <v>0.81588329999999998</v>
      </c>
      <c r="J7811">
        <v>-189.45679999999999</v>
      </c>
      <c r="K7811">
        <v>1.11252</v>
      </c>
      <c r="L7811">
        <v>-36.304319999999997</v>
      </c>
      <c r="M7811">
        <v>0.1291583</v>
      </c>
      <c r="N7811">
        <v>-3.6252580000000001E-3</v>
      </c>
      <c r="O7811">
        <v>0.99161739999999998</v>
      </c>
      <c r="P7811">
        <v>-3.8574169999999998E-2</v>
      </c>
      <c r="Q7811">
        <v>-4.530488E-3</v>
      </c>
      <c r="R7811">
        <v>0.99924550000000001</v>
      </c>
      <c r="S7811">
        <v>-1.6540530000000001E-2</v>
      </c>
      <c r="T7811">
        <v>-8.9204549999999994E-2</v>
      </c>
      <c r="U7811">
        <v>3.0010680000000001</v>
      </c>
      <c r="V7811">
        <v>-0.167295899999999</v>
      </c>
      <c r="W7811">
        <v>-2.5566859999999999E-3</v>
      </c>
      <c r="X7811">
        <v>0.98590339999999999</v>
      </c>
      <c r="Y7811">
        <v>-0.13461229999999999</v>
      </c>
      <c r="Z7811">
        <v>-2.5577280000000001E-2</v>
      </c>
      <c r="AA7811">
        <v>0.99056820000000001</v>
      </c>
      <c r="AB7811">
        <v>31</v>
      </c>
      <c r="AC7811">
        <v>-0.24410000000000301</v>
      </c>
      <c r="AD7811">
        <v>-1.112520560601</v>
      </c>
      <c r="AE7811">
        <v>37.1202033</v>
      </c>
      <c r="AF7811">
        <v>-5.0319493294369897</v>
      </c>
      <c r="AG7811">
        <v>-1.112520560601</v>
      </c>
      <c r="AH7811">
        <v>36.7447478007849</v>
      </c>
      <c r="AI7811">
        <v>91.718187843771801</v>
      </c>
      <c r="AJ7811">
        <v>97.797772987833795</v>
      </c>
      <c r="AK7811">
        <v>37.104375846994998</v>
      </c>
      <c r="AL7811">
        <v>90.146487479205405</v>
      </c>
      <c r="AM7811">
        <v>99.630665950251796</v>
      </c>
      <c r="AN7811">
        <v>0.99999998446583604</v>
      </c>
    </row>
    <row r="7812" spans="1:40" x14ac:dyDescent="0.25">
      <c r="A7812" t="str">
        <f>"20190305135113932"</f>
        <v>20190305135113932</v>
      </c>
      <c r="B7812" t="str">
        <f>"1551765073927198"</f>
        <v>1551765073927198</v>
      </c>
      <c r="C7812" t="s">
        <v>40</v>
      </c>
      <c r="D7812">
        <v>3.8006549999999999</v>
      </c>
      <c r="E7812">
        <v>0.51141619999999999</v>
      </c>
      <c r="F7812" t="s">
        <v>42</v>
      </c>
      <c r="G7812">
        <v>-189.7379</v>
      </c>
      <c r="H7812" s="1">
        <v>-5.4052069999999997E-7</v>
      </c>
      <c r="I7812">
        <v>0.78439530000000002</v>
      </c>
      <c r="J7812">
        <v>-189.42009999999999</v>
      </c>
      <c r="K7812">
        <v>1.1123510000000001</v>
      </c>
      <c r="L7812">
        <v>-35.989069999999998</v>
      </c>
      <c r="M7812">
        <v>0.124636</v>
      </c>
      <c r="N7812">
        <v>-3.5132200000000001E-3</v>
      </c>
      <c r="O7812">
        <v>0.99219630000000003</v>
      </c>
      <c r="P7812">
        <v>-4.0024379999999998E-2</v>
      </c>
      <c r="Q7812">
        <v>-4.6816389999999996E-3</v>
      </c>
      <c r="R7812">
        <v>0.99918770000000001</v>
      </c>
      <c r="S7812">
        <v>-2.275085E-2</v>
      </c>
      <c r="T7812">
        <v>-9.0017910000000007E-2</v>
      </c>
      <c r="U7812">
        <v>3.0009769999999998</v>
      </c>
      <c r="V7812">
        <v>-0.1642294</v>
      </c>
      <c r="W7812">
        <v>-2.7279019999999999E-3</v>
      </c>
      <c r="X7812">
        <v>0.98641840000000003</v>
      </c>
      <c r="Y7812">
        <v>-0.1321444</v>
      </c>
      <c r="Z7812">
        <v>-2.598665E-2</v>
      </c>
      <c r="AA7812">
        <v>0.99088980000000004</v>
      </c>
      <c r="AB7812">
        <v>31</v>
      </c>
      <c r="AC7812">
        <v>-0.31780000000000502</v>
      </c>
      <c r="AD7812">
        <v>-1.1123515405206901</v>
      </c>
      <c r="AE7812">
        <v>36.773465299999998</v>
      </c>
      <c r="AF7812">
        <v>-4.8941701344551003</v>
      </c>
      <c r="AG7812">
        <v>-1.1123515405206901</v>
      </c>
      <c r="AH7812">
        <v>36.413796641193301</v>
      </c>
      <c r="AI7812">
        <v>91.734117190600003</v>
      </c>
      <c r="AJ7812">
        <v>97.654923833041707</v>
      </c>
      <c r="AK7812">
        <v>36.758057797996798</v>
      </c>
      <c r="AL7812">
        <v>90.156297465596396</v>
      </c>
      <c r="AM7812">
        <v>99.452507189854202</v>
      </c>
      <c r="AN7812">
        <v>0.99999999856611999</v>
      </c>
    </row>
    <row r="7813" spans="1:40" x14ac:dyDescent="0.25">
      <c r="A7813" t="str">
        <f>"20190305135113950"</f>
        <v>20190305135113950</v>
      </c>
      <c r="B7813" t="str">
        <f>"1551765073937934"</f>
        <v>1551765073937934</v>
      </c>
      <c r="C7813" t="s">
        <v>40</v>
      </c>
      <c r="D7813">
        <v>3.6838790000000001</v>
      </c>
      <c r="E7813">
        <v>0.51136300000000001</v>
      </c>
      <c r="F7813" t="s">
        <v>42</v>
      </c>
      <c r="G7813">
        <v>-189.7698</v>
      </c>
      <c r="H7813" s="1">
        <v>-4.7952890000000004E-7</v>
      </c>
      <c r="I7813">
        <v>0.65540790000000004</v>
      </c>
      <c r="J7813">
        <v>-189.38939999999999</v>
      </c>
      <c r="K7813">
        <v>1.11222</v>
      </c>
      <c r="L7813">
        <v>-35.716799999999999</v>
      </c>
      <c r="M7813">
        <v>0.12091399999999999</v>
      </c>
      <c r="N7813">
        <v>-3.4114710000000001E-3</v>
      </c>
      <c r="O7813">
        <v>0.99265709999999996</v>
      </c>
      <c r="P7813">
        <v>-4.071193E-2</v>
      </c>
      <c r="Q7813">
        <v>-3.680128E-3</v>
      </c>
      <c r="R7813">
        <v>0.99916419999999995</v>
      </c>
      <c r="S7813">
        <v>-2.864075E-2</v>
      </c>
      <c r="T7813">
        <v>-9.1091630000000007E-2</v>
      </c>
      <c r="U7813">
        <v>3.0008539999999999</v>
      </c>
      <c r="V7813">
        <v>-0.16121779999999999</v>
      </c>
      <c r="W7813">
        <v>-1.7494819999999999E-3</v>
      </c>
      <c r="X7813">
        <v>0.9869173</v>
      </c>
      <c r="Y7813">
        <v>-0.13037180000000001</v>
      </c>
      <c r="Z7813">
        <v>-2.646511E-2</v>
      </c>
      <c r="AA7813">
        <v>0.99111190000000005</v>
      </c>
      <c r="AB7813">
        <v>31</v>
      </c>
      <c r="AC7813">
        <v>-0.38040000000000801</v>
      </c>
      <c r="AD7813">
        <v>-1.1122204795288999</v>
      </c>
      <c r="AE7813">
        <v>36.372207899999999</v>
      </c>
      <c r="AF7813">
        <v>-4.7710830200211296</v>
      </c>
      <c r="AG7813">
        <v>-1.1122204795288999</v>
      </c>
      <c r="AH7813">
        <v>36.0256627299851</v>
      </c>
      <c r="AI7813">
        <v>91.753034312150604</v>
      </c>
      <c r="AJ7813">
        <v>97.544103872879802</v>
      </c>
      <c r="AK7813">
        <v>36.357236455947202</v>
      </c>
      <c r="AL7813">
        <v>90.100237986229203</v>
      </c>
      <c r="AM7813">
        <v>99.277603086361097</v>
      </c>
      <c r="AN7813">
        <v>0.99999999838169895</v>
      </c>
    </row>
    <row r="7814" spans="1:40" x14ac:dyDescent="0.25">
      <c r="A7814" t="str">
        <f>"20190305135113974"</f>
        <v>20190305135113974</v>
      </c>
      <c r="B7814" t="str">
        <f>"1551765073967215"</f>
        <v>1551765073967215</v>
      </c>
      <c r="C7814" t="s">
        <v>40</v>
      </c>
      <c r="D7814">
        <v>3.6916980000000001</v>
      </c>
      <c r="E7814">
        <v>0.5115712</v>
      </c>
      <c r="F7814" t="s">
        <v>42</v>
      </c>
      <c r="G7814">
        <v>-189.77010000000001</v>
      </c>
      <c r="H7814" s="1">
        <v>-5.9917700000000002E-7</v>
      </c>
      <c r="I7814">
        <v>0.93441779999999997</v>
      </c>
      <c r="J7814">
        <v>-189.3546</v>
      </c>
      <c r="K7814">
        <v>1.1120810000000001</v>
      </c>
      <c r="L7814">
        <v>-35.398130000000002</v>
      </c>
      <c r="M7814">
        <v>0.1167369</v>
      </c>
      <c r="N7814">
        <v>-3.2944480000000002E-3</v>
      </c>
      <c r="O7814">
        <v>0.99315739999999997</v>
      </c>
      <c r="P7814">
        <v>-4.195666E-2</v>
      </c>
      <c r="Q7814">
        <v>-2.555243E-3</v>
      </c>
      <c r="R7814">
        <v>0.99911620000000001</v>
      </c>
      <c r="S7814">
        <v>-3.117371E-2</v>
      </c>
      <c r="T7814">
        <v>-9.1065999999999994E-2</v>
      </c>
      <c r="U7814">
        <v>3.0009160000000001</v>
      </c>
      <c r="V7814">
        <v>-0.15830429999999901</v>
      </c>
      <c r="W7814">
        <v>-6.659363E-4</v>
      </c>
      <c r="X7814">
        <v>0.9873902</v>
      </c>
      <c r="Y7814">
        <v>-0.1270367</v>
      </c>
      <c r="Z7814">
        <v>-2.6602230000000001E-2</v>
      </c>
      <c r="AA7814">
        <v>0.99154120000000001</v>
      </c>
      <c r="AB7814">
        <v>31</v>
      </c>
      <c r="AC7814">
        <v>-0.41550000000000797</v>
      </c>
      <c r="AD7814">
        <v>-1.1120815991769999</v>
      </c>
      <c r="AE7814">
        <v>36.332547799999901</v>
      </c>
      <c r="AF7814">
        <v>-4.6496756106228503</v>
      </c>
      <c r="AG7814">
        <v>-1.1120815991769999</v>
      </c>
      <c r="AH7814">
        <v>36.001905599837201</v>
      </c>
      <c r="AI7814">
        <v>91.754712074762296</v>
      </c>
      <c r="AJ7814">
        <v>97.359061079553598</v>
      </c>
      <c r="AK7814">
        <v>36.317948945209501</v>
      </c>
      <c r="AL7814">
        <v>90.038155340290103</v>
      </c>
      <c r="AM7814">
        <v>99.1084869863774</v>
      </c>
      <c r="AN7814">
        <v>1.0000000509628399</v>
      </c>
    </row>
    <row r="7815" spans="1:40" x14ac:dyDescent="0.25">
      <c r="A7815" t="str">
        <f>"20190305135113996"</f>
        <v>20190305135113996</v>
      </c>
      <c r="B7815" t="str">
        <f>"1551765073987711"</f>
        <v>1551765073987711</v>
      </c>
      <c r="C7815" t="s">
        <v>40</v>
      </c>
      <c r="D7815">
        <v>3.8004869999999999</v>
      </c>
      <c r="E7815">
        <v>0.51179520000000001</v>
      </c>
      <c r="F7815" t="s">
        <v>42</v>
      </c>
      <c r="G7815">
        <v>-189.78800000000001</v>
      </c>
      <c r="H7815" s="1">
        <v>-1.723833E-6</v>
      </c>
      <c r="I7815">
        <v>3.5634350000000001</v>
      </c>
      <c r="J7815">
        <v>-189.3212</v>
      </c>
      <c r="K7815">
        <v>1.1119619999999999</v>
      </c>
      <c r="L7815">
        <v>-35.081969999999998</v>
      </c>
      <c r="M7815">
        <v>0.11274969999999999</v>
      </c>
      <c r="N7815">
        <v>-3.1799459999999999E-3</v>
      </c>
      <c r="O7815">
        <v>0.99361840000000001</v>
      </c>
      <c r="P7815">
        <v>-4.2804429999999997E-2</v>
      </c>
      <c r="Q7815">
        <v>-2.17257E-3</v>
      </c>
      <c r="R7815">
        <v>0.99908110000000006</v>
      </c>
      <c r="S7815">
        <v>-3.3386230000000003E-2</v>
      </c>
      <c r="T7815">
        <v>-8.5658789999999999E-2</v>
      </c>
      <c r="U7815">
        <v>3.0010379999999999</v>
      </c>
      <c r="V7815">
        <v>-0.1551805</v>
      </c>
      <c r="W7815">
        <v>-3.2899719999999999E-4</v>
      </c>
      <c r="X7815">
        <v>0.98788609999999999</v>
      </c>
      <c r="Y7815">
        <v>-0.1237866</v>
      </c>
      <c r="Z7815">
        <v>-2.4967130000000001E-2</v>
      </c>
      <c r="AA7815">
        <v>0.99199470000000001</v>
      </c>
      <c r="AB7815">
        <v>31</v>
      </c>
      <c r="AC7815">
        <v>-0.46679999999997701</v>
      </c>
      <c r="AD7815">
        <v>-1.111963723833</v>
      </c>
      <c r="AE7815">
        <v>38.645404999999997</v>
      </c>
      <c r="AF7815">
        <v>-4.8171153693333304</v>
      </c>
      <c r="AG7815">
        <v>-1.111963723833</v>
      </c>
      <c r="AH7815">
        <v>38.314628667789599</v>
      </c>
      <c r="AI7815">
        <v>91.649388928934698</v>
      </c>
      <c r="AJ7815">
        <v>97.165925842768402</v>
      </c>
      <c r="AK7815">
        <v>38.632264155174603</v>
      </c>
      <c r="AL7815">
        <v>90.018850150972099</v>
      </c>
      <c r="AM7815">
        <v>98.927265103832696</v>
      </c>
      <c r="AN7815">
        <v>1.0000000211963</v>
      </c>
    </row>
    <row r="7816" spans="1:40" x14ac:dyDescent="0.25">
      <c r="A7816" t="str">
        <f>"20190305135114018"</f>
        <v>20190305135114018</v>
      </c>
      <c r="B7816" t="str">
        <f>"1551765074007245"</f>
        <v>1551765074007245</v>
      </c>
      <c r="C7816" t="s">
        <v>40</v>
      </c>
      <c r="D7816">
        <v>3.8129529999999998</v>
      </c>
      <c r="E7816">
        <v>0.51196109999999995</v>
      </c>
      <c r="F7816" t="s">
        <v>42</v>
      </c>
      <c r="G7816">
        <v>-189.79470000000001</v>
      </c>
      <c r="H7816" s="1">
        <v>-2.9449049999999999E-6</v>
      </c>
      <c r="I7816">
        <v>6.4125249999999996</v>
      </c>
      <c r="J7816">
        <v>-189.28880000000001</v>
      </c>
      <c r="K7816">
        <v>1.1118399999999999</v>
      </c>
      <c r="L7816">
        <v>-34.764130000000002</v>
      </c>
      <c r="M7816">
        <v>0.1088881</v>
      </c>
      <c r="N7816">
        <v>-3.0686730000000001E-3</v>
      </c>
      <c r="O7816">
        <v>0.99404930000000002</v>
      </c>
      <c r="P7816">
        <v>-4.416523E-2</v>
      </c>
      <c r="Q7816">
        <v>-2.235271E-3</v>
      </c>
      <c r="R7816">
        <v>0.99902179999999996</v>
      </c>
      <c r="S7816">
        <v>-3.4240720000000002E-2</v>
      </c>
      <c r="T7816">
        <v>-8.0423120000000001E-2</v>
      </c>
      <c r="U7816">
        <v>3.001099</v>
      </c>
      <c r="V7816">
        <v>-0.15268619999999999</v>
      </c>
      <c r="W7816">
        <v>-4.4613230000000001E-4</v>
      </c>
      <c r="X7816">
        <v>0.9882746</v>
      </c>
      <c r="Y7816">
        <v>-0.1202135</v>
      </c>
      <c r="Z7816">
        <v>-2.338173E-2</v>
      </c>
      <c r="AA7816">
        <v>0.99247260000000004</v>
      </c>
      <c r="AB7816">
        <v>32</v>
      </c>
      <c r="AC7816">
        <v>-0.50589999999999602</v>
      </c>
      <c r="AD7816">
        <v>-1.111842944905</v>
      </c>
      <c r="AE7816">
        <v>41.176654999999997</v>
      </c>
      <c r="AF7816">
        <v>-4.9829281473285203</v>
      </c>
      <c r="AG7816">
        <v>-1.111842944905</v>
      </c>
      <c r="AH7816">
        <v>40.846953255904602</v>
      </c>
      <c r="AI7816">
        <v>91.5477223894746</v>
      </c>
      <c r="AJ7816">
        <v>96.955158354103403</v>
      </c>
      <c r="AK7816">
        <v>41.164782981884301</v>
      </c>
      <c r="AL7816">
        <v>90.025561499257293</v>
      </c>
      <c r="AM7816">
        <v>98.782629071011897</v>
      </c>
      <c r="AN7816">
        <v>0.99999997985481404</v>
      </c>
    </row>
    <row r="7817" spans="1:40" x14ac:dyDescent="0.25">
      <c r="A7817" t="str">
        <f>"20190305135114034"</f>
        <v>20190305135114034</v>
      </c>
      <c r="B7817" t="str">
        <f>"1551765074027727"</f>
        <v>1551765074027727</v>
      </c>
      <c r="C7817" t="s">
        <v>40</v>
      </c>
      <c r="D7817">
        <v>3.7728980000000001</v>
      </c>
      <c r="E7817">
        <v>0.51216030000000001</v>
      </c>
      <c r="F7817" t="s">
        <v>42</v>
      </c>
      <c r="G7817">
        <v>-189.8236</v>
      </c>
      <c r="H7817" s="1">
        <v>-3.8669360000000003E-6</v>
      </c>
      <c r="I7817">
        <v>8.5737570000000005</v>
      </c>
      <c r="J7817">
        <v>-189.26589999999999</v>
      </c>
      <c r="K7817">
        <v>1.111766</v>
      </c>
      <c r="L7817">
        <v>-34.533290000000001</v>
      </c>
      <c r="M7817">
        <v>0.10616440000000001</v>
      </c>
      <c r="N7817">
        <v>-2.9908970000000002E-3</v>
      </c>
      <c r="O7817">
        <v>0.99434409999999895</v>
      </c>
      <c r="P7817">
        <v>-4.5585809999999997E-2</v>
      </c>
      <c r="Q7817">
        <v>-2.7346290000000001E-3</v>
      </c>
      <c r="R7817">
        <v>0.99895670000000003</v>
      </c>
      <c r="S7817">
        <v>-3.7033080000000003E-2</v>
      </c>
      <c r="T7817">
        <v>-7.6994660000000006E-2</v>
      </c>
      <c r="U7817">
        <v>3.0011290000000002</v>
      </c>
      <c r="V7817">
        <v>-0.15137929999999999</v>
      </c>
      <c r="W7817">
        <v>-9.8909090000000007E-4</v>
      </c>
      <c r="X7817">
        <v>0.98847529999999995</v>
      </c>
      <c r="Y7817">
        <v>-0.1184176</v>
      </c>
      <c r="Z7817">
        <v>-2.2346169999999999E-2</v>
      </c>
      <c r="AA7817">
        <v>0.99271240000000005</v>
      </c>
      <c r="AB7817">
        <v>32</v>
      </c>
      <c r="AC7817">
        <v>-0.55770000000001096</v>
      </c>
      <c r="AD7817">
        <v>-1.1117698669359899</v>
      </c>
      <c r="AE7817">
        <v>43.107046999999902</v>
      </c>
      <c r="AF7817">
        <v>-5.1275922431213798</v>
      </c>
      <c r="AG7817">
        <v>-1.1117698669359899</v>
      </c>
      <c r="AH7817">
        <v>42.775772670809197</v>
      </c>
      <c r="AI7817">
        <v>91.478241101206194</v>
      </c>
      <c r="AJ7817">
        <v>96.835510304404906</v>
      </c>
      <c r="AK7817">
        <v>43.096345112242297</v>
      </c>
      <c r="AL7817">
        <v>90.056670740829503</v>
      </c>
      <c r="AM7817">
        <v>98.706871369439796</v>
      </c>
      <c r="AN7817">
        <v>1.00000004473969</v>
      </c>
    </row>
    <row r="7818" spans="1:40" x14ac:dyDescent="0.25">
      <c r="A7818" t="str">
        <f>"20190305135114051"</f>
        <v>20190305135114051</v>
      </c>
      <c r="B7818" t="str">
        <f>"1551765074047246"</f>
        <v>1551765074047246</v>
      </c>
      <c r="C7818" t="s">
        <v>40</v>
      </c>
      <c r="D7818">
        <v>3.7435299999999998</v>
      </c>
      <c r="E7818">
        <v>0.51212049999999998</v>
      </c>
      <c r="F7818" t="s">
        <v>42</v>
      </c>
      <c r="G7818">
        <v>-189.84909999999999</v>
      </c>
      <c r="H7818" s="1">
        <v>-4.2438360000000001E-6</v>
      </c>
      <c r="I7818">
        <v>9.4628630000000005</v>
      </c>
      <c r="J7818">
        <v>-189.24369999999999</v>
      </c>
      <c r="K7818">
        <v>1.111691</v>
      </c>
      <c r="L7818">
        <v>-34.303649999999998</v>
      </c>
      <c r="M7818">
        <v>0.10351920000000001</v>
      </c>
      <c r="N7818">
        <v>-2.9169819999999998E-3</v>
      </c>
      <c r="O7818">
        <v>0.99462320000000004</v>
      </c>
      <c r="P7818">
        <v>-4.5883309999999997E-2</v>
      </c>
      <c r="Q7818">
        <v>-4.3288149999999997E-3</v>
      </c>
      <c r="R7818">
        <v>0.99893739999999998</v>
      </c>
      <c r="S7818">
        <v>-3.9779660000000001E-2</v>
      </c>
      <c r="T7818">
        <v>-7.5836899999999902E-2</v>
      </c>
      <c r="U7818">
        <v>3.001099</v>
      </c>
      <c r="V7818">
        <v>-0.14903060000000001</v>
      </c>
      <c r="W7818">
        <v>-2.6160049999999998E-3</v>
      </c>
      <c r="X7818">
        <v>0.98882910000000002</v>
      </c>
      <c r="Y7818">
        <v>-0.116685</v>
      </c>
      <c r="Z7818">
        <v>-2.2052499999999999E-2</v>
      </c>
      <c r="AA7818">
        <v>0.99292409999999998</v>
      </c>
      <c r="AB7818">
        <v>32</v>
      </c>
      <c r="AC7818">
        <v>-0.60540000000000205</v>
      </c>
      <c r="AD7818">
        <v>-1.1116952438359999</v>
      </c>
      <c r="AE7818">
        <v>43.766513000000003</v>
      </c>
      <c r="AF7818">
        <v>-5.1295321337464204</v>
      </c>
      <c r="AG7818">
        <v>-1.1116952438359999</v>
      </c>
      <c r="AH7818">
        <v>43.440680547044103</v>
      </c>
      <c r="AI7818">
        <v>91.455832700637899</v>
      </c>
      <c r="AJ7818">
        <v>96.734376227686994</v>
      </c>
      <c r="AK7818">
        <v>43.756607416670597</v>
      </c>
      <c r="AL7818">
        <v>90.149886220223095</v>
      </c>
      <c r="AM7818">
        <v>98.570782353360002</v>
      </c>
      <c r="AN7818">
        <v>0.999999976112664</v>
      </c>
    </row>
    <row r="7819" spans="1:40" x14ac:dyDescent="0.25">
      <c r="A7819" t="str">
        <f>"20190305135114074"</f>
        <v>20190305135114074</v>
      </c>
      <c r="B7819" t="str">
        <f>"1551765074067743"</f>
        <v>1551765074067743</v>
      </c>
      <c r="C7819" t="s">
        <v>40</v>
      </c>
      <c r="D7819">
        <v>3.7996599999999998</v>
      </c>
      <c r="E7819">
        <v>0.51231320000000002</v>
      </c>
      <c r="F7819" t="s">
        <v>42</v>
      </c>
      <c r="G7819">
        <v>-189.77959999999999</v>
      </c>
      <c r="H7819" s="1">
        <v>-2.372786E-6</v>
      </c>
      <c r="I7819">
        <v>5.0726879999999896</v>
      </c>
      <c r="J7819">
        <v>-189.21270000000001</v>
      </c>
      <c r="K7819">
        <v>1.1115790000000001</v>
      </c>
      <c r="L7819">
        <v>-33.973269999999999</v>
      </c>
      <c r="M7819">
        <v>9.9849170000000001E-2</v>
      </c>
      <c r="N7819">
        <v>-2.8196380000000002E-3</v>
      </c>
      <c r="O7819">
        <v>0.99499859999999896</v>
      </c>
      <c r="P7819">
        <v>-4.5389949999999998E-2</v>
      </c>
      <c r="Q7819">
        <v>-6.8987110000000001E-3</v>
      </c>
      <c r="R7819">
        <v>0.99894550000000004</v>
      </c>
      <c r="S7819">
        <v>-4.084778E-2</v>
      </c>
      <c r="T7819">
        <v>-8.4724309999999997E-2</v>
      </c>
      <c r="U7819">
        <v>3.0009459999999999</v>
      </c>
      <c r="V7819">
        <v>-0.14487149999999999</v>
      </c>
      <c r="W7819">
        <v>-5.2195210000000004E-3</v>
      </c>
      <c r="X7819">
        <v>0.98943669999999995</v>
      </c>
      <c r="Y7819">
        <v>-0.1133733</v>
      </c>
      <c r="Z7819">
        <v>-2.5096899999999998E-2</v>
      </c>
      <c r="AA7819">
        <v>0.99323550000000005</v>
      </c>
      <c r="AB7819">
        <v>32</v>
      </c>
      <c r="AC7819">
        <v>-0.56689999999997498</v>
      </c>
      <c r="AD7819">
        <v>-1.111581372786</v>
      </c>
      <c r="AE7819">
        <v>39.045957999999999</v>
      </c>
      <c r="AF7819">
        <v>-4.4591756861654801</v>
      </c>
      <c r="AG7819">
        <v>-1.111581372786</v>
      </c>
      <c r="AH7819">
        <v>38.762813855713702</v>
      </c>
      <c r="AI7819">
        <v>91.6318354070509</v>
      </c>
      <c r="AJ7819">
        <v>96.562314732209899</v>
      </c>
      <c r="AK7819">
        <v>39.034287478588901</v>
      </c>
      <c r="AL7819">
        <v>90.299057885539597</v>
      </c>
      <c r="AM7819">
        <v>98.329952477913693</v>
      </c>
      <c r="AN7819">
        <v>0.99999998910930399</v>
      </c>
    </row>
    <row r="7820" spans="1:40" x14ac:dyDescent="0.25">
      <c r="A7820" t="str">
        <f>"20190305135114110"</f>
        <v>20190305135114110</v>
      </c>
      <c r="B7820" t="str">
        <f>"1551765074107759"</f>
        <v>1551765074107759</v>
      </c>
      <c r="C7820" t="s">
        <v>40</v>
      </c>
      <c r="D7820">
        <v>3.8022170000000002</v>
      </c>
      <c r="E7820">
        <v>0.51245989999999997</v>
      </c>
      <c r="F7820" t="s">
        <v>42</v>
      </c>
      <c r="G7820">
        <v>-189.6765</v>
      </c>
      <c r="H7820" s="1">
        <v>-1.4435700000000001E-6</v>
      </c>
      <c r="I7820">
        <v>2.8640159999999999</v>
      </c>
      <c r="J7820">
        <v>-189.16630000000001</v>
      </c>
      <c r="K7820">
        <v>1.111415</v>
      </c>
      <c r="L7820">
        <v>-33.45599</v>
      </c>
      <c r="M7820">
        <v>9.4360159999999998E-2</v>
      </c>
      <c r="N7820">
        <v>-2.6819449999999998E-3</v>
      </c>
      <c r="O7820">
        <v>0.99553449999999999</v>
      </c>
      <c r="P7820">
        <v>-4.6331619999999997E-2</v>
      </c>
      <c r="Q7820">
        <v>-9.568699E-3</v>
      </c>
      <c r="R7820">
        <v>0.99888030000000005</v>
      </c>
      <c r="S7820">
        <v>-3.7780759999999997E-2</v>
      </c>
      <c r="T7820">
        <v>-9.0551140000000002E-2</v>
      </c>
      <c r="U7820">
        <v>3.0008240000000002</v>
      </c>
      <c r="V7820">
        <v>-0.14032539999999999</v>
      </c>
      <c r="W7820">
        <v>-7.9459209999999999E-3</v>
      </c>
      <c r="X7820">
        <v>0.9900736</v>
      </c>
      <c r="Y7820">
        <v>-0.1068765</v>
      </c>
      <c r="Z7820">
        <v>-2.7189830000000002E-2</v>
      </c>
      <c r="AA7820">
        <v>0.99390049999999996</v>
      </c>
      <c r="AB7820">
        <v>32</v>
      </c>
      <c r="AC7820">
        <v>-0.51019999999999699</v>
      </c>
      <c r="AD7820">
        <v>-1.11141644357</v>
      </c>
      <c r="AE7820">
        <v>36.320005999999999</v>
      </c>
      <c r="AF7820">
        <v>-3.9314168281567001</v>
      </c>
      <c r="AG7820">
        <v>-1.11141644357</v>
      </c>
      <c r="AH7820">
        <v>36.076031844268599</v>
      </c>
      <c r="AI7820">
        <v>91.7542091303863</v>
      </c>
      <c r="AJ7820">
        <v>96.219315046868203</v>
      </c>
      <c r="AK7820">
        <v>36.306629675810299</v>
      </c>
      <c r="AL7820">
        <v>90.455272508285603</v>
      </c>
      <c r="AM7820">
        <v>98.066932176490795</v>
      </c>
      <c r="AN7820">
        <v>1.00000004448132</v>
      </c>
    </row>
    <row r="7821" spans="1:40" x14ac:dyDescent="0.25">
      <c r="A7821" t="str">
        <f>"20190305135114131"</f>
        <v>20190305135114131</v>
      </c>
      <c r="B7821" t="str">
        <f>"1551765074127278"</f>
        <v>1551765074127278</v>
      </c>
      <c r="C7821" t="s">
        <v>40</v>
      </c>
      <c r="D7821">
        <v>3.9169209999999999</v>
      </c>
      <c r="E7821">
        <v>0.51249929999999999</v>
      </c>
      <c r="F7821" t="s">
        <v>42</v>
      </c>
      <c r="G7821">
        <v>-189.61080000000001</v>
      </c>
      <c r="H7821" s="1">
        <v>-3.7406050000000002E-7</v>
      </c>
      <c r="I7821">
        <v>0.34378360000000002</v>
      </c>
      <c r="J7821">
        <v>-189.13990000000001</v>
      </c>
      <c r="K7821">
        <v>1.1113189999999999</v>
      </c>
      <c r="L7821">
        <v>-33.148560000000003</v>
      </c>
      <c r="M7821">
        <v>9.1271270000000002E-2</v>
      </c>
      <c r="N7821">
        <v>-2.6112190000000001E-3</v>
      </c>
      <c r="O7821">
        <v>0.99582269999999995</v>
      </c>
      <c r="P7821">
        <v>-4.5909360000000003E-2</v>
      </c>
      <c r="Q7821">
        <v>-8.9466839999999999E-3</v>
      </c>
      <c r="R7821">
        <v>0.9989055</v>
      </c>
      <c r="S7821">
        <v>-3.9459229999999998E-2</v>
      </c>
      <c r="T7821">
        <v>-9.8666069999999995E-2</v>
      </c>
      <c r="U7821">
        <v>3.0005799999999998</v>
      </c>
      <c r="V7821">
        <v>-0.13684060000000001</v>
      </c>
      <c r="W7821">
        <v>-7.3405279999999998E-3</v>
      </c>
      <c r="X7821">
        <v>0.9905659</v>
      </c>
      <c r="Y7821">
        <v>-0.1043473</v>
      </c>
      <c r="Z7821">
        <v>-2.9956199999999999E-2</v>
      </c>
      <c r="AA7821">
        <v>0.99408969999999997</v>
      </c>
      <c r="AB7821">
        <v>33</v>
      </c>
      <c r="AC7821">
        <v>-0.47089999999999999</v>
      </c>
      <c r="AD7821">
        <v>-1.1113193740605001</v>
      </c>
      <c r="AE7821">
        <v>33.492343599999998</v>
      </c>
      <c r="AF7821">
        <v>-3.52195656401017</v>
      </c>
      <c r="AG7821">
        <v>-1.1113193740605001</v>
      </c>
      <c r="AH7821">
        <v>33.272941853794897</v>
      </c>
      <c r="AI7821">
        <v>91.902353532959097</v>
      </c>
      <c r="AJ7821">
        <v>96.042285703047398</v>
      </c>
      <c r="AK7821">
        <v>33.477273909265001</v>
      </c>
      <c r="AL7821">
        <v>90.420585043498903</v>
      </c>
      <c r="AM7821">
        <v>97.865279471344607</v>
      </c>
      <c r="AN7821">
        <v>1.00000001770124</v>
      </c>
    </row>
    <row r="7822" spans="1:40" x14ac:dyDescent="0.25">
      <c r="A7822" t="str">
        <f>"20190305135114153"</f>
        <v>20190305135114153</v>
      </c>
      <c r="B7822" t="str">
        <f>"1551765074147775"</f>
        <v>1551765074147775</v>
      </c>
      <c r="C7822" t="s">
        <v>40</v>
      </c>
      <c r="D7822">
        <v>3.877796</v>
      </c>
      <c r="E7822">
        <v>0.51232460000000002</v>
      </c>
      <c r="F7822" t="s">
        <v>42</v>
      </c>
      <c r="G7822">
        <v>-189.57040000000001</v>
      </c>
      <c r="H7822" s="1">
        <v>-6.1445800000000001E-7</v>
      </c>
      <c r="I7822">
        <v>0.88746139999999996</v>
      </c>
      <c r="J7822">
        <v>-189.11269999999999</v>
      </c>
      <c r="K7822">
        <v>1.1112299999999999</v>
      </c>
      <c r="L7822">
        <v>-32.819180000000003</v>
      </c>
      <c r="M7822">
        <v>8.8086929999999994E-2</v>
      </c>
      <c r="N7822">
        <v>-2.544995E-3</v>
      </c>
      <c r="O7822">
        <v>0.99610949999999998</v>
      </c>
      <c r="P7822">
        <v>-4.6592439999999999E-2</v>
      </c>
      <c r="Q7822">
        <v>-8.2531849999999997E-3</v>
      </c>
      <c r="R7822">
        <v>0.99887990000000004</v>
      </c>
      <c r="S7822">
        <v>-3.7948610000000001E-2</v>
      </c>
      <c r="T7822">
        <v>-9.7975729999999997E-2</v>
      </c>
      <c r="U7822">
        <v>3.0006710000000001</v>
      </c>
      <c r="V7822">
        <v>-0.1343568</v>
      </c>
      <c r="W7822">
        <v>-6.6676280000000001E-3</v>
      </c>
      <c r="X7822">
        <v>0.99091059999999997</v>
      </c>
      <c r="Y7822">
        <v>-0.1006664</v>
      </c>
      <c r="Z7822">
        <v>-2.981425E-2</v>
      </c>
      <c r="AA7822">
        <v>0.99447339999999995</v>
      </c>
      <c r="AB7822">
        <v>33</v>
      </c>
      <c r="AC7822">
        <v>-0.45770000000001598</v>
      </c>
      <c r="AD7822">
        <v>-1.111230614458</v>
      </c>
      <c r="AE7822">
        <v>33.706641399999903</v>
      </c>
      <c r="AF7822">
        <v>-3.4213272573275799</v>
      </c>
      <c r="AG7822">
        <v>-1.111230614458</v>
      </c>
      <c r="AH7822">
        <v>33.498896046605999</v>
      </c>
      <c r="AI7822">
        <v>91.890102745626805</v>
      </c>
      <c r="AJ7822">
        <v>95.831543063218504</v>
      </c>
      <c r="AK7822">
        <v>33.691487797684999</v>
      </c>
      <c r="AL7822">
        <v>90.382029769849893</v>
      </c>
      <c r="AM7822">
        <v>97.721600999772207</v>
      </c>
      <c r="AN7822">
        <v>1.0000000120808701</v>
      </c>
    </row>
    <row r="7823" spans="1:40" x14ac:dyDescent="0.25">
      <c r="A7823" t="str">
        <f>"20190305135114175"</f>
        <v>20190305135114175</v>
      </c>
      <c r="B7823" t="str">
        <f>"1551765074167295"</f>
        <v>1551765074167295</v>
      </c>
      <c r="C7823" t="s">
        <v>40</v>
      </c>
      <c r="D7823">
        <v>3.9418060000000001</v>
      </c>
      <c r="E7823">
        <v>0.51240719999999995</v>
      </c>
      <c r="F7823" t="s">
        <v>42</v>
      </c>
      <c r="G7823">
        <v>-189.57669999999999</v>
      </c>
      <c r="H7823" s="1">
        <v>-6.1955209999999995E-7</v>
      </c>
      <c r="I7823">
        <v>0.90194479999999999</v>
      </c>
      <c r="J7823">
        <v>-189.08670000000001</v>
      </c>
      <c r="K7823">
        <v>1.1111279999999999</v>
      </c>
      <c r="L7823">
        <v>-32.494869999999999</v>
      </c>
      <c r="M7823">
        <v>8.5099820000000007E-2</v>
      </c>
      <c r="N7823">
        <v>-2.4851309999999998E-3</v>
      </c>
      <c r="O7823">
        <v>0.99636939999999996</v>
      </c>
      <c r="P7823">
        <v>-4.7717959999999997E-2</v>
      </c>
      <c r="Q7823">
        <v>-8.9096460000000002E-3</v>
      </c>
      <c r="R7823">
        <v>0.99882110000000002</v>
      </c>
      <c r="S7823">
        <v>-4.1290279999999999E-2</v>
      </c>
      <c r="T7823">
        <v>-9.8881720000000006E-2</v>
      </c>
      <c r="U7823">
        <v>3.0006409999999999</v>
      </c>
      <c r="V7823">
        <v>-0.13249810000000001</v>
      </c>
      <c r="W7823">
        <v>-7.3412479999999999E-3</v>
      </c>
      <c r="X7823">
        <v>0.99115609999999998</v>
      </c>
      <c r="Y7823">
        <v>-9.8790530000000001E-2</v>
      </c>
      <c r="Z7823">
        <v>-3.0188989999999999E-2</v>
      </c>
      <c r="AA7823">
        <v>0.99465020000000004</v>
      </c>
      <c r="AB7823">
        <v>33</v>
      </c>
      <c r="AC7823">
        <v>-0.48999999999998001</v>
      </c>
      <c r="AD7823">
        <v>-1.1111286195521</v>
      </c>
      <c r="AE7823">
        <v>33.396814800000001</v>
      </c>
      <c r="AF7823">
        <v>-3.3266124693519901</v>
      </c>
      <c r="AG7823">
        <v>-1.1111286195521</v>
      </c>
      <c r="AH7823">
        <v>33.1972268055396</v>
      </c>
      <c r="AI7823">
        <v>91.907458304936</v>
      </c>
      <c r="AJ7823">
        <v>95.722366389282897</v>
      </c>
      <c r="AK7823">
        <v>33.381983537664098</v>
      </c>
      <c r="AL7823">
        <v>90.420626293450795</v>
      </c>
      <c r="AM7823">
        <v>97.614178096777394</v>
      </c>
      <c r="AN7823">
        <v>1.0000000274965</v>
      </c>
    </row>
    <row r="7824" spans="1:40" x14ac:dyDescent="0.25">
      <c r="A7824" t="str">
        <f>"20190305135114197"</f>
        <v>20190305135114197</v>
      </c>
      <c r="B7824" t="str">
        <f>"1551765074187791"</f>
        <v>1551765074187791</v>
      </c>
      <c r="C7824" t="s">
        <v>40</v>
      </c>
      <c r="D7824">
        <v>3.9335599999999999</v>
      </c>
      <c r="E7824">
        <v>0.51231709999999997</v>
      </c>
      <c r="F7824" t="s">
        <v>42</v>
      </c>
      <c r="G7824">
        <v>-189.5558</v>
      </c>
      <c r="H7824" s="1">
        <v>-4.3029410000000004E-6</v>
      </c>
      <c r="I7824">
        <v>-0.52062509999999995</v>
      </c>
      <c r="J7824">
        <v>-189.06100000000001</v>
      </c>
      <c r="K7824">
        <v>1.1110089999999999</v>
      </c>
      <c r="L7824">
        <v>-32.163330000000002</v>
      </c>
      <c r="M7824">
        <v>8.2210699999999998E-2</v>
      </c>
      <c r="N7824">
        <v>-2.4246530000000001E-3</v>
      </c>
      <c r="O7824">
        <v>0.99661200000000005</v>
      </c>
      <c r="P7824">
        <v>-4.9143359999999997E-2</v>
      </c>
      <c r="Q7824">
        <v>-9.7347010000000001E-3</v>
      </c>
      <c r="R7824">
        <v>0.99874430000000003</v>
      </c>
      <c r="S7824">
        <v>-4.4021610000000003E-2</v>
      </c>
      <c r="T7824">
        <v>-0.1042706</v>
      </c>
      <c r="U7824">
        <v>3.0005190000000002</v>
      </c>
      <c r="V7824">
        <v>-0.13103429999999999</v>
      </c>
      <c r="W7824">
        <v>-8.18336699999999E-3</v>
      </c>
      <c r="X7824">
        <v>0.991344</v>
      </c>
      <c r="Y7824">
        <v>-9.6810149999999998E-2</v>
      </c>
      <c r="Z7824">
        <v>-3.2045369999999997E-2</v>
      </c>
      <c r="AA7824">
        <v>0.99478690000000003</v>
      </c>
      <c r="AB7824">
        <v>33</v>
      </c>
      <c r="AC7824">
        <v>-0.494800000000026</v>
      </c>
      <c r="AD7824">
        <v>-1.1110133029410001</v>
      </c>
      <c r="AE7824">
        <v>31.642704899999998</v>
      </c>
      <c r="AF7824">
        <v>-3.0906924378484302</v>
      </c>
      <c r="AG7824">
        <v>-1.1110133029410001</v>
      </c>
      <c r="AH7824">
        <v>31.4561452830485</v>
      </c>
      <c r="AI7824">
        <v>92.013127911372607</v>
      </c>
      <c r="AJ7824">
        <v>95.611528771137401</v>
      </c>
      <c r="AK7824">
        <v>31.6271371826939</v>
      </c>
      <c r="AL7824">
        <v>90.468877652422293</v>
      </c>
      <c r="AM7824">
        <v>97.529618667139204</v>
      </c>
      <c r="AN7824">
        <v>0.99999994080397103</v>
      </c>
    </row>
    <row r="7825" spans="1:40" x14ac:dyDescent="0.25">
      <c r="A7825" t="str">
        <f>"20190305135114219"</f>
        <v>20190305135114219</v>
      </c>
      <c r="B7825" t="str">
        <f>"1551765074207314"</f>
        <v>1551765074207314</v>
      </c>
      <c r="C7825" t="s">
        <v>40</v>
      </c>
      <c r="D7825">
        <v>4.2191299999999998</v>
      </c>
      <c r="E7825">
        <v>0.51238589999999995</v>
      </c>
      <c r="F7825" t="s">
        <v>42</v>
      </c>
      <c r="G7825">
        <v>-189.5549</v>
      </c>
      <c r="H7825" s="1">
        <v>-3.717369E-6</v>
      </c>
      <c r="I7825">
        <v>-1.8859570000000001</v>
      </c>
      <c r="J7825">
        <v>-189.0369</v>
      </c>
      <c r="K7825">
        <v>1.1108819999999999</v>
      </c>
      <c r="L7825">
        <v>-31.843019999999999</v>
      </c>
      <c r="M7825">
        <v>7.9573270000000002E-2</v>
      </c>
      <c r="N7825">
        <v>-2.3633619999999999E-3</v>
      </c>
      <c r="O7825">
        <v>0.9968262</v>
      </c>
      <c r="P7825">
        <v>-5.0934269999999997E-2</v>
      </c>
      <c r="Q7825">
        <v>-1.011097E-2</v>
      </c>
      <c r="R7825">
        <v>0.99865079999999995</v>
      </c>
      <c r="S7825">
        <v>-4.8950199999999902E-2</v>
      </c>
      <c r="T7825">
        <v>-0.1100947</v>
      </c>
      <c r="U7825">
        <v>3.000305</v>
      </c>
      <c r="V7825">
        <v>-0.13018769999999999</v>
      </c>
      <c r="W7825">
        <v>-8.5813709999999904E-3</v>
      </c>
      <c r="X7825">
        <v>0.99145220000000001</v>
      </c>
      <c r="Y7825">
        <v>-9.5810049999999994E-2</v>
      </c>
      <c r="Z7825">
        <v>-3.4045209999999999E-2</v>
      </c>
      <c r="AA7825">
        <v>0.99481730000000002</v>
      </c>
      <c r="AB7825">
        <v>33</v>
      </c>
      <c r="AC7825">
        <v>-0.51800000000000002</v>
      </c>
      <c r="AD7825">
        <v>-1.1108857173690001</v>
      </c>
      <c r="AE7825">
        <v>29.957063000000002</v>
      </c>
      <c r="AF7825">
        <v>-2.8961642057984101</v>
      </c>
      <c r="AG7825">
        <v>-1.1108857173690001</v>
      </c>
      <c r="AH7825">
        <v>29.7799114581961</v>
      </c>
      <c r="AI7825">
        <v>92.1263024875432</v>
      </c>
      <c r="AJ7825">
        <v>95.554676930239097</v>
      </c>
      <c r="AK7825">
        <v>29.9410247092848</v>
      </c>
      <c r="AL7825">
        <v>90.491682389685906</v>
      </c>
      <c r="AM7825">
        <v>97.480716150637903</v>
      </c>
      <c r="AN7825">
        <v>0.99999997102218396</v>
      </c>
    </row>
    <row r="7826" spans="1:40" x14ac:dyDescent="0.25">
      <c r="A7826" t="str">
        <f>"20190305135114240"</f>
        <v>20190305135114240</v>
      </c>
      <c r="B7826" t="str">
        <f>"1551765074227810"</f>
        <v>1551765074227810</v>
      </c>
      <c r="C7826" t="s">
        <v>40</v>
      </c>
      <c r="D7826">
        <v>3.977239</v>
      </c>
      <c r="E7826">
        <v>0.51236119999999996</v>
      </c>
      <c r="F7826" t="s">
        <v>42</v>
      </c>
      <c r="G7826">
        <v>-189.5598</v>
      </c>
      <c r="H7826" s="1">
        <v>-3.385254E-6</v>
      </c>
      <c r="I7826">
        <v>-2.6581130000000002</v>
      </c>
      <c r="J7826">
        <v>-189.01400000000001</v>
      </c>
      <c r="K7826">
        <v>1.1107689999999999</v>
      </c>
      <c r="L7826">
        <v>-31.529209999999999</v>
      </c>
      <c r="M7826">
        <v>7.7128879999999997E-2</v>
      </c>
      <c r="N7826">
        <v>-2.302265E-3</v>
      </c>
      <c r="O7826">
        <v>0.99701850000000003</v>
      </c>
      <c r="P7826">
        <v>-5.2176439999999998E-2</v>
      </c>
      <c r="Q7826">
        <v>-9.3996789999999993E-3</v>
      </c>
      <c r="R7826">
        <v>0.99859359999999997</v>
      </c>
      <c r="S7826">
        <v>-5.3756709999999999E-2</v>
      </c>
      <c r="T7826">
        <v>-0.1141969</v>
      </c>
      <c r="U7826">
        <v>3.0001530000000001</v>
      </c>
      <c r="V7826">
        <v>-0.12899649999999999</v>
      </c>
      <c r="W7826">
        <v>-7.8906979999999998E-3</v>
      </c>
      <c r="X7826">
        <v>0.99161370000000004</v>
      </c>
      <c r="Y7826">
        <v>-9.4962599999999994E-2</v>
      </c>
      <c r="Z7826">
        <v>-3.547492E-2</v>
      </c>
      <c r="AA7826">
        <v>0.99484850000000002</v>
      </c>
      <c r="AB7826">
        <v>34</v>
      </c>
      <c r="AC7826">
        <v>-0.54579999999998496</v>
      </c>
      <c r="AD7826">
        <v>-1.1107723852539999</v>
      </c>
      <c r="AE7826">
        <v>28.871096999999999</v>
      </c>
      <c r="AF7826">
        <v>-2.7668812379074401</v>
      </c>
      <c r="AG7826">
        <v>-1.1107723852539999</v>
      </c>
      <c r="AH7826">
        <v>28.700528626356299</v>
      </c>
      <c r="AI7826">
        <v>92.206146097398502</v>
      </c>
      <c r="AJ7826">
        <v>95.506595847664997</v>
      </c>
      <c r="AK7826">
        <v>28.854978608705</v>
      </c>
      <c r="AL7826">
        <v>90.452108364127497</v>
      </c>
      <c r="AM7826">
        <v>97.411839454207893</v>
      </c>
      <c r="AN7826">
        <v>1.00000004507743</v>
      </c>
    </row>
    <row r="7827" spans="1:40" x14ac:dyDescent="0.25">
      <c r="A7827" t="str">
        <f>"20190305135114263"</f>
        <v>20190305135114263</v>
      </c>
      <c r="B7827" t="str">
        <f>"1551765074257087"</f>
        <v>1551765074257087</v>
      </c>
      <c r="C7827" t="s">
        <v>40</v>
      </c>
      <c r="D7827">
        <v>3.902056</v>
      </c>
      <c r="E7827">
        <v>0.51266020000000001</v>
      </c>
      <c r="F7827" t="s">
        <v>42</v>
      </c>
      <c r="G7827">
        <v>-189.57669999999999</v>
      </c>
      <c r="H7827" s="1">
        <v>-3.530164E-6</v>
      </c>
      <c r="I7827">
        <v>-2.3133490000000001</v>
      </c>
      <c r="J7827">
        <v>-188.9881</v>
      </c>
      <c r="K7827">
        <v>1.1106499999999999</v>
      </c>
      <c r="L7827">
        <v>-31.16357</v>
      </c>
      <c r="M7827">
        <v>7.4434799999999995E-2</v>
      </c>
      <c r="N7827">
        <v>-2.2346359999999999E-3</v>
      </c>
      <c r="O7827">
        <v>0.99722339999999998</v>
      </c>
      <c r="P7827">
        <v>-5.3894640000000001E-2</v>
      </c>
      <c r="Q7827">
        <v>-7.9061059999999996E-3</v>
      </c>
      <c r="R7827">
        <v>0.99851529999999999</v>
      </c>
      <c r="S7827">
        <v>-5.7785030000000001E-2</v>
      </c>
      <c r="T7827">
        <v>-0.1140631</v>
      </c>
      <c r="U7827">
        <v>3.0001220000000002</v>
      </c>
      <c r="V7827">
        <v>-0.12803510000000001</v>
      </c>
      <c r="W7827">
        <v>-6.4236999999999897E-3</v>
      </c>
      <c r="X7827">
        <v>0.99174879999999999</v>
      </c>
      <c r="Y7827">
        <v>-9.3608570000000002E-2</v>
      </c>
      <c r="Z7827">
        <v>-3.5512330000000002E-2</v>
      </c>
      <c r="AA7827">
        <v>0.99497550000000001</v>
      </c>
      <c r="AB7827">
        <v>34</v>
      </c>
      <c r="AC7827">
        <v>-0.58859999999998502</v>
      </c>
      <c r="AD7827">
        <v>-1.1106535301639999</v>
      </c>
      <c r="AE7827">
        <v>28.850221000000001</v>
      </c>
      <c r="AF7827">
        <v>-2.7303880412372101</v>
      </c>
      <c r="AG7827">
        <v>-1.1106535301639999</v>
      </c>
      <c r="AH7827">
        <v>28.683881392493301</v>
      </c>
      <c r="AI7827">
        <v>92.207443846005702</v>
      </c>
      <c r="AJ7827">
        <v>95.437540503591194</v>
      </c>
      <c r="AK7827">
        <v>28.834937521319901</v>
      </c>
      <c r="AL7827">
        <v>90.368053442428902</v>
      </c>
      <c r="AM7827">
        <v>97.356215838703406</v>
      </c>
      <c r="AN7827">
        <v>0.99999996652756895</v>
      </c>
    </row>
    <row r="7828" spans="1:40" x14ac:dyDescent="0.25">
      <c r="A7828" t="str">
        <f>"20190305135114420"</f>
        <v>20190305135114420</v>
      </c>
      <c r="B7828" t="str">
        <f>"1551765074417151"</f>
        <v>1551765074417151</v>
      </c>
      <c r="C7828" t="s">
        <v>40</v>
      </c>
      <c r="D7828">
        <v>3.989055</v>
      </c>
      <c r="E7828">
        <v>0.55859700000000001</v>
      </c>
      <c r="F7828" t="s">
        <v>42</v>
      </c>
      <c r="G7828">
        <v>-189.59569999999999</v>
      </c>
      <c r="H7828" s="1">
        <v>-4.0639399999999996E-6</v>
      </c>
      <c r="I7828">
        <v>-1.0612509999999999</v>
      </c>
      <c r="J7828">
        <v>-188.83879999999999</v>
      </c>
      <c r="K7828">
        <v>1.1104849999999999</v>
      </c>
      <c r="L7828">
        <v>-28.76511</v>
      </c>
      <c r="M7828">
        <v>5.8861249999999997E-2</v>
      </c>
      <c r="N7828">
        <v>-1.9635550000000001E-3</v>
      </c>
      <c r="O7828">
        <v>0.99826429999999999</v>
      </c>
      <c r="P7828">
        <v>-7.4227420000000002E-2</v>
      </c>
      <c r="Q7828">
        <v>3.6594359999999999E-2</v>
      </c>
      <c r="R7828">
        <v>0.9965697</v>
      </c>
      <c r="S7828">
        <v>-6.0562129999999999E-2</v>
      </c>
      <c r="T7828">
        <v>-0.1106992</v>
      </c>
      <c r="U7828">
        <v>3.000305</v>
      </c>
      <c r="V7828">
        <v>-0.1329516</v>
      </c>
      <c r="W7828">
        <v>3.7866900000000002E-2</v>
      </c>
      <c r="X7828">
        <v>0.99039889999999997</v>
      </c>
      <c r="Y7828">
        <v>-7.8980300000000003E-2</v>
      </c>
      <c r="Z7828">
        <v>-3.4750209999999997E-2</v>
      </c>
      <c r="AA7828">
        <v>0.99627030000000005</v>
      </c>
      <c r="AB7828">
        <v>35</v>
      </c>
      <c r="AC7828">
        <v>-0.75690000000000102</v>
      </c>
      <c r="AD7828">
        <v>-1.11048906394</v>
      </c>
      <c r="AE7828">
        <v>27.703859000000001</v>
      </c>
      <c r="AF7828">
        <v>-2.3824493394597401</v>
      </c>
      <c r="AG7828">
        <v>-1.11048906394</v>
      </c>
      <c r="AH7828">
        <v>27.567012740983699</v>
      </c>
      <c r="AI7828">
        <v>92.298255635301402</v>
      </c>
      <c r="AJ7828">
        <v>94.939452592409395</v>
      </c>
      <c r="AK7828">
        <v>27.692046552715802</v>
      </c>
      <c r="AL7828">
        <v>87.8298676217957</v>
      </c>
      <c r="AM7828">
        <v>97.645703741862803</v>
      </c>
      <c r="AN7828">
        <v>1.0000000055896801</v>
      </c>
    </row>
    <row r="7829" spans="1:40" x14ac:dyDescent="0.25">
      <c r="A7829" t="str">
        <f>"20190305135114441"</f>
        <v>20190305135114441</v>
      </c>
      <c r="B7829" t="str">
        <f>"1551765074437647"</f>
        <v>1551765074437647</v>
      </c>
      <c r="C7829" t="s">
        <v>40</v>
      </c>
      <c r="D7829">
        <v>3.9997310000000001</v>
      </c>
      <c r="E7829">
        <v>0.54954959999999997</v>
      </c>
      <c r="F7829" t="s">
        <v>53</v>
      </c>
      <c r="G7829">
        <v>-161.08690000000001</v>
      </c>
      <c r="H7829">
        <v>36.08954</v>
      </c>
      <c r="I7829">
        <v>314.52839999999998</v>
      </c>
      <c r="J7829">
        <v>-188.8203</v>
      </c>
      <c r="K7829">
        <v>1.1104689999999999</v>
      </c>
      <c r="L7829">
        <v>-28.420929999999998</v>
      </c>
      <c r="M7829">
        <v>5.6743300000000003E-2</v>
      </c>
      <c r="N7829">
        <v>-1.9470309999999999E-3</v>
      </c>
      <c r="O7829">
        <v>0.99838689999999997</v>
      </c>
      <c r="P7829">
        <v>-7.5468519999999997E-2</v>
      </c>
      <c r="Q7829">
        <v>3.9265889999999998E-2</v>
      </c>
      <c r="R7829">
        <v>0.9963748</v>
      </c>
      <c r="S7829">
        <v>0.24391170000000001</v>
      </c>
      <c r="T7829">
        <v>0.30743150000000002</v>
      </c>
      <c r="U7829">
        <v>3.0172119999999998</v>
      </c>
      <c r="V7829">
        <v>-0.1320905</v>
      </c>
      <c r="W7829">
        <v>4.0530370000000003E-2</v>
      </c>
      <c r="X7829">
        <v>0.99040870000000003</v>
      </c>
      <c r="Y7829">
        <v>2.346262E-2</v>
      </c>
      <c r="Z7829">
        <v>0.102879399999999</v>
      </c>
      <c r="AA7829">
        <v>0.99441710000000005</v>
      </c>
      <c r="AB7829">
        <v>35</v>
      </c>
      <c r="AC7829">
        <v>27.7333999999999</v>
      </c>
      <c r="AD7829">
        <v>34.979070999999998</v>
      </c>
      <c r="AE7829">
        <v>342.94932999999997</v>
      </c>
      <c r="AF7829">
        <v>8.1444265371270195</v>
      </c>
      <c r="AG7829">
        <v>34.979070999999998</v>
      </c>
      <c r="AH7829">
        <v>340.45176289193301</v>
      </c>
      <c r="AI7829">
        <v>84.135503449660405</v>
      </c>
      <c r="AJ7829">
        <v>88.629608268226306</v>
      </c>
      <c r="AK7829">
        <v>342.34086806553898</v>
      </c>
      <c r="AL7829">
        <v>87.677144602120507</v>
      </c>
      <c r="AM7829">
        <v>97.596689983206602</v>
      </c>
      <c r="AN7829">
        <v>1.00000000205913</v>
      </c>
    </row>
    <row r="7830" spans="1:40" x14ac:dyDescent="0.25">
      <c r="A7830" t="str">
        <f>"20190305135114465"</f>
        <v>20190305135114465</v>
      </c>
      <c r="B7830" t="str">
        <f>"1551765074457167"</f>
        <v>1551765074457167</v>
      </c>
      <c r="C7830" t="s">
        <v>40</v>
      </c>
      <c r="D7830">
        <v>4.0429940000000002</v>
      </c>
      <c r="E7830">
        <v>0.54345730000000003</v>
      </c>
      <c r="F7830" t="s">
        <v>53</v>
      </c>
      <c r="G7830">
        <v>-168.9896</v>
      </c>
      <c r="H7830">
        <v>23.260570000000001</v>
      </c>
      <c r="I7830">
        <v>327.68369999999999</v>
      </c>
      <c r="J7830">
        <v>-188.80029999999999</v>
      </c>
      <c r="K7830">
        <v>1.11043799999999</v>
      </c>
      <c r="L7830">
        <v>-28.03546</v>
      </c>
      <c r="M7830">
        <v>5.4398639999999998E-2</v>
      </c>
      <c r="N7830">
        <v>-1.927116E-3</v>
      </c>
      <c r="O7830">
        <v>0.99851749999999995</v>
      </c>
      <c r="P7830">
        <v>-7.7055360000000003E-2</v>
      </c>
      <c r="Q7830">
        <v>3.787393E-2</v>
      </c>
      <c r="R7830">
        <v>0.99630719999999995</v>
      </c>
      <c r="S7830">
        <v>0.167968799999999</v>
      </c>
      <c r="T7830">
        <v>0.187615</v>
      </c>
      <c r="U7830">
        <v>3.0162659999999999</v>
      </c>
      <c r="V7830">
        <v>-0.13133649999999999</v>
      </c>
      <c r="W7830">
        <v>3.9126719999999997E-2</v>
      </c>
      <c r="X7830">
        <v>0.99056540000000004</v>
      </c>
      <c r="Y7830">
        <v>1.0911530000000001E-3</v>
      </c>
      <c r="Z7830">
        <v>6.3816090000000006E-2</v>
      </c>
      <c r="AA7830">
        <v>0.99796110000000005</v>
      </c>
      <c r="AB7830">
        <v>35</v>
      </c>
      <c r="AC7830">
        <v>19.810700000000001</v>
      </c>
      <c r="AD7830">
        <v>22.150131999999999</v>
      </c>
      <c r="AE7830">
        <v>355.71915999999999</v>
      </c>
      <c r="AF7830">
        <v>0.42903449922679399</v>
      </c>
      <c r="AG7830">
        <v>22.150131999999999</v>
      </c>
      <c r="AH7830">
        <v>354.89830104775899</v>
      </c>
      <c r="AI7830">
        <v>86.428655408604797</v>
      </c>
      <c r="AJ7830">
        <v>89.930735497961507</v>
      </c>
      <c r="AK7830">
        <v>355.589111904182</v>
      </c>
      <c r="AL7830">
        <v>87.757631675771407</v>
      </c>
      <c r="AM7830">
        <v>97.552647486573605</v>
      </c>
      <c r="AN7830">
        <v>0.99999999406368401</v>
      </c>
    </row>
    <row r="7831" spans="1:40" x14ac:dyDescent="0.25">
      <c r="A7831" t="str">
        <f>"20190305135114487"</f>
        <v>20190305135114487</v>
      </c>
      <c r="B7831" t="str">
        <f>"1551765074477663"</f>
        <v>1551765074477663</v>
      </c>
      <c r="C7831" t="s">
        <v>40</v>
      </c>
      <c r="D7831">
        <v>4.0970459999999997</v>
      </c>
      <c r="E7831">
        <v>0.53957869999999997</v>
      </c>
      <c r="F7831" t="s">
        <v>47</v>
      </c>
      <c r="G7831">
        <v>0</v>
      </c>
      <c r="H7831">
        <v>0</v>
      </c>
      <c r="I7831">
        <v>0</v>
      </c>
      <c r="J7831">
        <v>-188.78290000000001</v>
      </c>
      <c r="K7831">
        <v>1.1104130000000001</v>
      </c>
      <c r="L7831">
        <v>-27.68637</v>
      </c>
      <c r="M7831">
        <v>5.2304410000000003E-2</v>
      </c>
      <c r="N7831">
        <v>-1.9060870000000001E-3</v>
      </c>
      <c r="O7831">
        <v>0.9986294</v>
      </c>
      <c r="P7831">
        <v>-7.7567849999999994E-2</v>
      </c>
      <c r="Q7831">
        <v>3.682974E-2</v>
      </c>
      <c r="R7831">
        <v>0.99630660000000004</v>
      </c>
      <c r="S7831">
        <v>0.1143951</v>
      </c>
      <c r="T7831">
        <v>0.1123511</v>
      </c>
      <c r="U7831">
        <v>3.0156860000000001</v>
      </c>
      <c r="V7831">
        <v>-0.12976360000000001</v>
      </c>
      <c r="W7831">
        <v>3.8074650000000002E-2</v>
      </c>
      <c r="X7831">
        <v>0.99081370000000002</v>
      </c>
      <c r="Y7831">
        <v>-1.4442109999999999E-2</v>
      </c>
      <c r="Z7831">
        <v>3.9040869999999998E-2</v>
      </c>
      <c r="AA7831">
        <v>0.99913320000000005</v>
      </c>
      <c r="AB7831">
        <v>36</v>
      </c>
      <c r="AC7831">
        <v>0.1143951</v>
      </c>
      <c r="AD7831">
        <v>0.1123511</v>
      </c>
      <c r="AE7831">
        <v>3.0156860000000001</v>
      </c>
      <c r="AF7831">
        <v>-4.34352440266291E-2</v>
      </c>
      <c r="AG7831">
        <v>0.1123511</v>
      </c>
      <c r="AH7831">
        <v>3.0133649824985098</v>
      </c>
      <c r="AI7831">
        <v>87.8649795697321</v>
      </c>
      <c r="AJ7831">
        <v>90.825815606625596</v>
      </c>
      <c r="AK7831">
        <v>3.0157715277923698</v>
      </c>
      <c r="AL7831">
        <v>87.817955885622595</v>
      </c>
      <c r="AM7831">
        <v>97.461372679534406</v>
      </c>
      <c r="AN7831">
        <v>1.0000000294826299</v>
      </c>
    </row>
    <row r="7832" spans="1:40" x14ac:dyDescent="0.25">
      <c r="A7832" t="str">
        <f>"20190305135114510"</f>
        <v>20190305135114510</v>
      </c>
      <c r="B7832" t="str">
        <f>"1551765074506944"</f>
        <v>1551765074506944</v>
      </c>
      <c r="C7832" t="s">
        <v>40</v>
      </c>
      <c r="D7832">
        <v>4.1388860000000003</v>
      </c>
      <c r="E7832">
        <v>0.53650050000000005</v>
      </c>
      <c r="F7832" t="s">
        <v>58</v>
      </c>
      <c r="G7832">
        <v>-177.40719999999999</v>
      </c>
      <c r="H7832">
        <v>9.511253</v>
      </c>
      <c r="I7832">
        <v>391.00349999999997</v>
      </c>
      <c r="J7832">
        <v>-188.7654</v>
      </c>
      <c r="K7832">
        <v>1.1103860000000001</v>
      </c>
      <c r="L7832">
        <v>-27.319980000000001</v>
      </c>
      <c r="M7832">
        <v>5.0138090000000003E-2</v>
      </c>
      <c r="N7832">
        <v>-1.882714E-3</v>
      </c>
      <c r="O7832">
        <v>0.99874050000000003</v>
      </c>
      <c r="P7832">
        <v>-7.7764189999999997E-2</v>
      </c>
      <c r="Q7832">
        <v>3.6889819999999997E-2</v>
      </c>
      <c r="R7832">
        <v>0.99628910000000004</v>
      </c>
      <c r="S7832">
        <v>8.1924440000000001E-2</v>
      </c>
      <c r="T7832">
        <v>6.0499909999999997E-2</v>
      </c>
      <c r="U7832">
        <v>3.0152589999999999</v>
      </c>
      <c r="V7832">
        <v>-0.127808</v>
      </c>
      <c r="W7832">
        <v>3.8125649999999997E-2</v>
      </c>
      <c r="X7832">
        <v>0.99106590000000006</v>
      </c>
      <c r="Y7832">
        <v>-2.300083E-2</v>
      </c>
      <c r="Z7832">
        <v>2.1897380000000001E-2</v>
      </c>
      <c r="AA7832">
        <v>0.99949560000000004</v>
      </c>
      <c r="AB7832">
        <v>36</v>
      </c>
      <c r="AC7832">
        <v>11.3582</v>
      </c>
      <c r="AD7832">
        <v>8.4008669999999999</v>
      </c>
      <c r="AE7832">
        <v>418.32348000000002</v>
      </c>
      <c r="AF7832">
        <v>-9.6261838670696296</v>
      </c>
      <c r="AG7832">
        <v>8.4008669999999999</v>
      </c>
      <c r="AH7832">
        <v>418.19829669256501</v>
      </c>
      <c r="AI7832">
        <v>88.849488186208305</v>
      </c>
      <c r="AJ7832">
        <v>91.318614481847902</v>
      </c>
      <c r="AK7832">
        <v>418.39341933012901</v>
      </c>
      <c r="AL7832">
        <v>87.8150316878491</v>
      </c>
      <c r="AM7832">
        <v>97.348315089814605</v>
      </c>
      <c r="AN7832">
        <v>1.00000003409736</v>
      </c>
    </row>
    <row r="7833" spans="1:40" x14ac:dyDescent="0.25">
      <c r="A7833" t="str">
        <f>"20190305135114534"</f>
        <v>20190305135114534</v>
      </c>
      <c r="B7833" t="str">
        <f>"1551765074527439"</f>
        <v>1551765074527439</v>
      </c>
      <c r="C7833" t="s">
        <v>40</v>
      </c>
      <c r="D7833">
        <v>4.1576230000000001</v>
      </c>
      <c r="E7833">
        <v>0.53534999999999999</v>
      </c>
      <c r="F7833" t="s">
        <v>58</v>
      </c>
      <c r="G7833">
        <v>-180.9211</v>
      </c>
      <c r="H7833">
        <v>5.0874230000000003</v>
      </c>
      <c r="I7833">
        <v>391.87</v>
      </c>
      <c r="J7833">
        <v>-188.74780000000001</v>
      </c>
      <c r="K7833">
        <v>1.1103499999999999</v>
      </c>
      <c r="L7833">
        <v>-26.930420000000002</v>
      </c>
      <c r="M7833">
        <v>4.7875519999999998E-2</v>
      </c>
      <c r="N7833">
        <v>-1.8602650000000001E-3</v>
      </c>
      <c r="O7833">
        <v>0.99885159999999995</v>
      </c>
      <c r="P7833">
        <v>-7.7010830000000002E-2</v>
      </c>
      <c r="Q7833">
        <v>3.438426E-2</v>
      </c>
      <c r="R7833">
        <v>0.99643720000000002</v>
      </c>
      <c r="S7833">
        <v>5.6411740000000002E-2</v>
      </c>
      <c r="T7833">
        <v>2.86001E-2</v>
      </c>
      <c r="U7833">
        <v>3.014526</v>
      </c>
      <c r="V7833">
        <v>-0.1248035</v>
      </c>
      <c r="W7833">
        <v>3.5617749999999997E-2</v>
      </c>
      <c r="X7833">
        <v>0.99154200000000003</v>
      </c>
      <c r="Y7833">
        <v>-2.9180060000000001E-2</v>
      </c>
      <c r="Z7833">
        <v>1.1327169999999999E-2</v>
      </c>
      <c r="AA7833">
        <v>0.99951000000000001</v>
      </c>
      <c r="AB7833">
        <v>36</v>
      </c>
      <c r="AC7833">
        <v>7.8267000000000104</v>
      </c>
      <c r="AD7833">
        <v>3.9770729999999999</v>
      </c>
      <c r="AE7833">
        <v>418.80041999999997</v>
      </c>
      <c r="AF7833">
        <v>-12.2314942999908</v>
      </c>
      <c r="AG7833">
        <v>3.9770729999999999</v>
      </c>
      <c r="AH7833">
        <v>418.65715045862999</v>
      </c>
      <c r="AI7833">
        <v>89.455961847530205</v>
      </c>
      <c r="AJ7833">
        <v>91.673478412712498</v>
      </c>
      <c r="AK7833">
        <v>418.85467192404298</v>
      </c>
      <c r="AL7833">
        <v>87.958821589720401</v>
      </c>
      <c r="AM7833">
        <v>97.173983931213996</v>
      </c>
      <c r="AN7833">
        <v>1.0000000377456499</v>
      </c>
    </row>
    <row r="7834" spans="1:40" x14ac:dyDescent="0.25">
      <c r="A7834" t="str">
        <f>"20190305135114557"</f>
        <v>20190305135114557</v>
      </c>
      <c r="B7834" t="str">
        <f>"1551765074546959"</f>
        <v>1551765074546959</v>
      </c>
      <c r="C7834" t="s">
        <v>40</v>
      </c>
      <c r="D7834">
        <v>4.1543919999999996</v>
      </c>
      <c r="E7834">
        <v>0.53457569999999999</v>
      </c>
      <c r="F7834" t="s">
        <v>58</v>
      </c>
      <c r="G7834">
        <v>-181.86179999999999</v>
      </c>
      <c r="H7834">
        <v>2.442307</v>
      </c>
      <c r="I7834">
        <v>391.87</v>
      </c>
      <c r="J7834">
        <v>-188.73169999999999</v>
      </c>
      <c r="K7834">
        <v>1.110304</v>
      </c>
      <c r="L7834">
        <v>-26.55997</v>
      </c>
      <c r="M7834">
        <v>4.575502E-2</v>
      </c>
      <c r="N7834">
        <v>-1.84312E-3</v>
      </c>
      <c r="O7834">
        <v>0.99895100000000003</v>
      </c>
      <c r="P7834">
        <v>-7.6605640000000003E-2</v>
      </c>
      <c r="Q7834">
        <v>3.0156039999999999E-2</v>
      </c>
      <c r="R7834">
        <v>0.99660530000000003</v>
      </c>
      <c r="S7834">
        <v>4.9560550000000002E-2</v>
      </c>
      <c r="T7834">
        <v>9.586453E-3</v>
      </c>
      <c r="U7834">
        <v>3.014221</v>
      </c>
      <c r="V7834">
        <v>-0.1222801</v>
      </c>
      <c r="W7834">
        <v>3.1387720000000001E-2</v>
      </c>
      <c r="X7834">
        <v>0.99199919999999997</v>
      </c>
      <c r="Y7834">
        <v>-2.9326359999999999E-2</v>
      </c>
      <c r="Z7834">
        <v>5.016909E-3</v>
      </c>
      <c r="AA7834">
        <v>0.99955729999999998</v>
      </c>
      <c r="AB7834">
        <v>36</v>
      </c>
      <c r="AC7834">
        <v>6.8699000000000003</v>
      </c>
      <c r="AD7834">
        <v>1.3320029999999901</v>
      </c>
      <c r="AE7834">
        <v>418.42997000000003</v>
      </c>
      <c r="AF7834">
        <v>-12.282474482351599</v>
      </c>
      <c r="AG7834">
        <v>1.3320029999999901</v>
      </c>
      <c r="AH7834">
        <v>418.30183806760903</v>
      </c>
      <c r="AI7834">
        <v>89.817631654124497</v>
      </c>
      <c r="AJ7834">
        <v>91.6818759674956</v>
      </c>
      <c r="AK7834">
        <v>418.484242406021</v>
      </c>
      <c r="AL7834">
        <v>88.201320715297001</v>
      </c>
      <c r="AM7834">
        <v>97.027191738294704</v>
      </c>
      <c r="AN7834">
        <v>1.0000000123117201</v>
      </c>
    </row>
    <row r="7835" spans="1:40" x14ac:dyDescent="0.25">
      <c r="A7835" t="str">
        <f>"20190305135114578"</f>
        <v>20190305135114578</v>
      </c>
      <c r="B7835" t="str">
        <f>"1551765074567456"</f>
        <v>1551765074567456</v>
      </c>
      <c r="C7835" t="s">
        <v>40</v>
      </c>
      <c r="D7835">
        <v>4.1316139999999999</v>
      </c>
      <c r="E7835">
        <v>0.53411459999999999</v>
      </c>
      <c r="F7835" t="s">
        <v>42</v>
      </c>
      <c r="G7835">
        <v>-185.57140000000001</v>
      </c>
      <c r="H7835" s="1">
        <v>-3.7933580000000001E-6</v>
      </c>
      <c r="I7835">
        <v>186.64400000000001</v>
      </c>
      <c r="J7835">
        <v>-188.71719999999999</v>
      </c>
      <c r="K7835">
        <v>1.1102529999999999</v>
      </c>
      <c r="L7835">
        <v>-26.211120000000001</v>
      </c>
      <c r="M7835">
        <v>4.3788970000000003E-2</v>
      </c>
      <c r="N7835">
        <v>-1.83143E-3</v>
      </c>
      <c r="O7835">
        <v>0.99903909999999996</v>
      </c>
      <c r="P7835">
        <v>-7.6300560000000003E-2</v>
      </c>
      <c r="Q7835">
        <v>2.4086819999999998E-2</v>
      </c>
      <c r="R7835">
        <v>0.99679390000000001</v>
      </c>
      <c r="S7835">
        <v>4.4677729999999999E-2</v>
      </c>
      <c r="T7835">
        <v>-1.5696760000000001E-2</v>
      </c>
      <c r="U7835">
        <v>3.0141300000000002</v>
      </c>
      <c r="V7835">
        <v>-0.1200006</v>
      </c>
      <c r="W7835">
        <v>2.532146E-2</v>
      </c>
      <c r="X7835">
        <v>0.99245079999999997</v>
      </c>
      <c r="Y7835">
        <v>-2.8977220000000001E-2</v>
      </c>
      <c r="Z7835">
        <v>-3.367966E-3</v>
      </c>
      <c r="AA7835">
        <v>0.99957439999999997</v>
      </c>
      <c r="AB7835">
        <v>36</v>
      </c>
      <c r="AC7835">
        <v>3.1457999999999799</v>
      </c>
      <c r="AD7835">
        <v>-1.1102567933580001</v>
      </c>
      <c r="AE7835">
        <v>212.85512</v>
      </c>
      <c r="AF7835">
        <v>-6.1777717331673001</v>
      </c>
      <c r="AG7835">
        <v>-1.1102567933580001</v>
      </c>
      <c r="AH7835">
        <v>212.782912999513</v>
      </c>
      <c r="AI7835">
        <v>90.298828779691405</v>
      </c>
      <c r="AJ7835">
        <v>91.663013435211397</v>
      </c>
      <c r="AK7835">
        <v>212.87546969600001</v>
      </c>
      <c r="AL7835">
        <v>88.549032063577897</v>
      </c>
      <c r="AM7835">
        <v>96.894358846702801</v>
      </c>
      <c r="AN7835">
        <v>0.99999995537876396</v>
      </c>
    </row>
    <row r="7836" spans="1:40" x14ac:dyDescent="0.25">
      <c r="A7836" t="str">
        <f>"20190305135114600"</f>
        <v>20190305135114600</v>
      </c>
      <c r="B7836" t="str">
        <f>"1551765074587951"</f>
        <v>1551765074587951</v>
      </c>
      <c r="C7836" t="s">
        <v>40</v>
      </c>
      <c r="D7836">
        <v>4.1574920000000004</v>
      </c>
      <c r="E7836">
        <v>0.53365109999999905</v>
      </c>
      <c r="F7836" t="s">
        <v>42</v>
      </c>
      <c r="G7836">
        <v>-187.62799999999999</v>
      </c>
      <c r="H7836" s="1">
        <v>-1.5322649999999901E-6</v>
      </c>
      <c r="I7836">
        <v>52.22372</v>
      </c>
      <c r="J7836">
        <v>-188.70310000000001</v>
      </c>
      <c r="K7836">
        <v>1.1102160000000001</v>
      </c>
      <c r="L7836">
        <v>-25.854520000000001</v>
      </c>
      <c r="M7836">
        <v>4.1821039999999997E-2</v>
      </c>
      <c r="N7836">
        <v>-1.8239619999999999E-3</v>
      </c>
      <c r="O7836">
        <v>0.99912350000000005</v>
      </c>
      <c r="P7836">
        <v>-7.7407450000000003E-2</v>
      </c>
      <c r="Q7836">
        <v>2.1996330000000001E-2</v>
      </c>
      <c r="R7836">
        <v>0.99675689999999995</v>
      </c>
      <c r="S7836">
        <v>4.1854860000000001E-2</v>
      </c>
      <c r="T7836">
        <v>-4.2661909999999997E-2</v>
      </c>
      <c r="U7836">
        <v>3.0138850000000001</v>
      </c>
      <c r="V7836">
        <v>-0.1191391</v>
      </c>
      <c r="W7836">
        <v>2.3231149999999999E-2</v>
      </c>
      <c r="X7836">
        <v>0.99260570000000004</v>
      </c>
      <c r="Y7836">
        <v>-2.7943869999999999E-2</v>
      </c>
      <c r="Z7836">
        <v>-1.2308410000000001E-2</v>
      </c>
      <c r="AA7836">
        <v>0.99953369999999997</v>
      </c>
      <c r="AB7836">
        <v>37</v>
      </c>
      <c r="AC7836">
        <v>1.0751000000000199</v>
      </c>
      <c r="AD7836">
        <v>-1.1102175322650001</v>
      </c>
      <c r="AE7836">
        <v>78.078239999999994</v>
      </c>
      <c r="AF7836">
        <v>-2.1907162112955101</v>
      </c>
      <c r="AG7836">
        <v>-1.1102175322650001</v>
      </c>
      <c r="AH7836">
        <v>78.039116764286007</v>
      </c>
      <c r="AI7836">
        <v>90.814738129679995</v>
      </c>
      <c r="AJ7836">
        <v>91.607986386560796</v>
      </c>
      <c r="AK7836">
        <v>78.077753334975299</v>
      </c>
      <c r="AL7836">
        <v>88.668833322924101</v>
      </c>
      <c r="AM7836">
        <v>96.844276562611796</v>
      </c>
      <c r="AN7836">
        <v>0.99999994357580901</v>
      </c>
    </row>
    <row r="7837" spans="1:40" x14ac:dyDescent="0.25">
      <c r="A7837" t="str">
        <f>"20190305135114620"</f>
        <v>20190305135114620</v>
      </c>
      <c r="B7837" t="str">
        <f>"1551765074607471"</f>
        <v>1551765074607471</v>
      </c>
      <c r="C7837" t="s">
        <v>40</v>
      </c>
      <c r="D7837">
        <v>4.1448859999999996</v>
      </c>
      <c r="E7837">
        <v>0.53321549999999995</v>
      </c>
      <c r="F7837" t="s">
        <v>42</v>
      </c>
      <c r="G7837">
        <v>-188.01259999999999</v>
      </c>
      <c r="H7837" s="1">
        <v>-2.1734260000000001E-6</v>
      </c>
      <c r="I7837">
        <v>33.877339999999997</v>
      </c>
      <c r="J7837">
        <v>-188.69059999999999</v>
      </c>
      <c r="K7837">
        <v>1.110177</v>
      </c>
      <c r="L7837">
        <v>-25.524570000000001</v>
      </c>
      <c r="M7837">
        <v>4.0052110000000002E-2</v>
      </c>
      <c r="N7837">
        <v>-1.8208689999999999E-3</v>
      </c>
      <c r="O7837">
        <v>0.99919590000000003</v>
      </c>
      <c r="P7837">
        <v>-7.7324680000000007E-2</v>
      </c>
      <c r="Q7837">
        <v>2.0144619999999998E-2</v>
      </c>
      <c r="R7837">
        <v>0.99680239999999998</v>
      </c>
      <c r="S7837">
        <v>3.4835820000000003E-2</v>
      </c>
      <c r="T7837">
        <v>-5.601478E-2</v>
      </c>
      <c r="U7837">
        <v>3.0137019999999999</v>
      </c>
      <c r="V7837">
        <v>-0.1172907</v>
      </c>
      <c r="W7837">
        <v>2.1391489999999999E-2</v>
      </c>
      <c r="X7837">
        <v>0.99286719999999895</v>
      </c>
      <c r="Y7837">
        <v>-2.8501490000000001E-2</v>
      </c>
      <c r="Z7837">
        <v>-1.6736569999999999E-2</v>
      </c>
      <c r="AA7837">
        <v>0.99945360000000005</v>
      </c>
      <c r="AB7837">
        <v>37</v>
      </c>
      <c r="AC7837">
        <v>0.67799999999999705</v>
      </c>
      <c r="AD7837">
        <v>-1.110179173426</v>
      </c>
      <c r="AE7837">
        <v>59.401910000000001</v>
      </c>
      <c r="AF7837">
        <v>-1.7011257831555</v>
      </c>
      <c r="AG7837">
        <v>-1.110179173426</v>
      </c>
      <c r="AH7837">
        <v>59.360669317735201</v>
      </c>
      <c r="AI7837">
        <v>91.070996556020404</v>
      </c>
      <c r="AJ7837">
        <v>91.641502031242197</v>
      </c>
      <c r="AK7837">
        <v>59.395415551848203</v>
      </c>
      <c r="AL7837">
        <v>88.774264399807706</v>
      </c>
      <c r="AM7837">
        <v>96.737315693787096</v>
      </c>
      <c r="AN7837">
        <v>0.99999999049337396</v>
      </c>
    </row>
    <row r="7838" spans="1:40" x14ac:dyDescent="0.25">
      <c r="A7838" t="str">
        <f>"20190305135114635"</f>
        <v>20190305135114635</v>
      </c>
      <c r="B7838" t="str">
        <f>"1551765074626992"</f>
        <v>1551765074626992</v>
      </c>
      <c r="C7838" t="s">
        <v>40</v>
      </c>
      <c r="D7838">
        <v>4.1762030000000001</v>
      </c>
      <c r="E7838">
        <v>0.53287189999999995</v>
      </c>
      <c r="F7838" t="s">
        <v>42</v>
      </c>
      <c r="G7838">
        <v>-188.1711</v>
      </c>
      <c r="H7838" s="1">
        <v>-2.227267E-6</v>
      </c>
      <c r="I7838">
        <v>24.068339999999999</v>
      </c>
      <c r="J7838">
        <v>-188.68090000000001</v>
      </c>
      <c r="K7838">
        <v>1.1101379999999901</v>
      </c>
      <c r="L7838">
        <v>-25.256989999999998</v>
      </c>
      <c r="M7838">
        <v>3.8661889999999997E-2</v>
      </c>
      <c r="N7838">
        <v>-1.820842E-3</v>
      </c>
      <c r="O7838">
        <v>0.99925070000000005</v>
      </c>
      <c r="P7838">
        <v>-7.8025800000000006E-2</v>
      </c>
      <c r="Q7838">
        <v>1.983677E-2</v>
      </c>
      <c r="R7838">
        <v>0.99675400000000003</v>
      </c>
      <c r="S7838">
        <v>3.1570429999999997E-2</v>
      </c>
      <c r="T7838">
        <v>-6.7458149999999995E-2</v>
      </c>
      <c r="U7838">
        <v>3.0134280000000002</v>
      </c>
      <c r="V7838">
        <v>-0.1166049</v>
      </c>
      <c r="W7838">
        <v>2.109449E-2</v>
      </c>
      <c r="X7838">
        <v>0.99295429999999996</v>
      </c>
      <c r="Y7838">
        <v>-2.8193240000000001E-2</v>
      </c>
      <c r="Z7838">
        <v>-2.0530039999999999E-2</v>
      </c>
      <c r="AA7838">
        <v>0.99939160000000005</v>
      </c>
      <c r="AB7838">
        <v>37</v>
      </c>
      <c r="AC7838">
        <v>0.50980000000001202</v>
      </c>
      <c r="AD7838">
        <v>-1.11014022726699</v>
      </c>
      <c r="AE7838">
        <v>49.325330000000001</v>
      </c>
      <c r="AF7838">
        <v>-1.39688727276354</v>
      </c>
      <c r="AG7838">
        <v>-1.11014022726699</v>
      </c>
      <c r="AH7838">
        <v>49.283200284570597</v>
      </c>
      <c r="AI7838">
        <v>91.289893361733306</v>
      </c>
      <c r="AJ7838">
        <v>91.6235618185693</v>
      </c>
      <c r="AK7838">
        <v>49.315489814723598</v>
      </c>
      <c r="AL7838">
        <v>88.791285051804607</v>
      </c>
      <c r="AM7838">
        <v>96.697699302232706</v>
      </c>
      <c r="AN7838">
        <v>0.99999996105042899</v>
      </c>
    </row>
    <row r="7839" spans="1:40" x14ac:dyDescent="0.25">
      <c r="A7839" t="str">
        <f>"20190305135114655"</f>
        <v>20190305135114655</v>
      </c>
      <c r="B7839" t="str">
        <f>"1551765074647488"</f>
        <v>1551765074647488</v>
      </c>
      <c r="C7839" t="s">
        <v>40</v>
      </c>
      <c r="D7839">
        <v>4.1299400000000004</v>
      </c>
      <c r="E7839">
        <v>0.53265869999999904</v>
      </c>
      <c r="F7839" t="s">
        <v>42</v>
      </c>
      <c r="G7839">
        <v>-188.256</v>
      </c>
      <c r="H7839" s="1">
        <v>-1.608004E-6</v>
      </c>
      <c r="I7839">
        <v>22.659960000000002</v>
      </c>
      <c r="J7839">
        <v>-188.66970000000001</v>
      </c>
      <c r="K7839">
        <v>1.110077</v>
      </c>
      <c r="L7839">
        <v>-24.938479999999998</v>
      </c>
      <c r="M7839">
        <v>3.7070899999999997E-2</v>
      </c>
      <c r="N7839">
        <v>-1.823669E-3</v>
      </c>
      <c r="O7839">
        <v>0.99931099999999995</v>
      </c>
      <c r="P7839">
        <v>-7.8304360000000003E-2</v>
      </c>
      <c r="Q7839">
        <v>1.7489310000000001E-2</v>
      </c>
      <c r="R7839">
        <v>0.99677610000000005</v>
      </c>
      <c r="S7839">
        <v>2.6718140000000001E-2</v>
      </c>
      <c r="T7839">
        <v>-6.9810869999999997E-2</v>
      </c>
      <c r="U7839">
        <v>3.013245</v>
      </c>
      <c r="V7839">
        <v>-0.11529010000000001</v>
      </c>
      <c r="W7839">
        <v>1.8767989999999998E-2</v>
      </c>
      <c r="X7839">
        <v>0.99315450000000005</v>
      </c>
      <c r="Y7839">
        <v>-2.8210409999999998E-2</v>
      </c>
      <c r="Z7839">
        <v>-2.1309930000000001E-2</v>
      </c>
      <c r="AA7839">
        <v>0.99937480000000001</v>
      </c>
      <c r="AB7839">
        <v>37</v>
      </c>
      <c r="AC7839">
        <v>0.41370000000003398</v>
      </c>
      <c r="AD7839">
        <v>-1.1100786080039999</v>
      </c>
      <c r="AE7839">
        <v>47.598439999999997</v>
      </c>
      <c r="AF7839">
        <v>-1.3503698445185901</v>
      </c>
      <c r="AG7839">
        <v>-1.1100786080039999</v>
      </c>
      <c r="AH7839">
        <v>47.555195294330801</v>
      </c>
      <c r="AI7839">
        <v>91.336671156702593</v>
      </c>
      <c r="AJ7839">
        <v>91.626524867017196</v>
      </c>
      <c r="AK7839">
        <v>47.587313148725599</v>
      </c>
      <c r="AL7839">
        <v>88.924610193833303</v>
      </c>
      <c r="AM7839">
        <v>96.621529660673701</v>
      </c>
      <c r="AN7839">
        <v>0.99999995273844899</v>
      </c>
    </row>
    <row r="7840" spans="1:40" x14ac:dyDescent="0.25">
      <c r="A7840" t="str">
        <f>"20190305135114677"</f>
        <v>20190305135114677</v>
      </c>
      <c r="B7840" t="str">
        <f>"1551765074667982"</f>
        <v>1551765074667982</v>
      </c>
      <c r="C7840" t="s">
        <v>40</v>
      </c>
      <c r="D7840">
        <v>4.1408459999999998</v>
      </c>
      <c r="E7840">
        <v>0.53234389999999998</v>
      </c>
      <c r="F7840" t="s">
        <v>42</v>
      </c>
      <c r="G7840">
        <v>-188.3279</v>
      </c>
      <c r="H7840" s="1">
        <v>-3.6782440000000002E-6</v>
      </c>
      <c r="I7840">
        <v>17.515450000000001</v>
      </c>
      <c r="J7840">
        <v>-188.65710000000001</v>
      </c>
      <c r="K7840">
        <v>1.110001</v>
      </c>
      <c r="L7840">
        <v>-24.55978</v>
      </c>
      <c r="M7840">
        <v>3.5282929999999997E-2</v>
      </c>
      <c r="N7840">
        <v>-1.8309769999999999E-3</v>
      </c>
      <c r="O7840">
        <v>0.99937569999999998</v>
      </c>
      <c r="P7840">
        <v>-7.8667979999999998E-2</v>
      </c>
      <c r="Q7840">
        <v>1.616103E-2</v>
      </c>
      <c r="R7840">
        <v>0.99676980000000004</v>
      </c>
      <c r="S7840">
        <v>2.426147E-2</v>
      </c>
      <c r="T7840">
        <v>-7.8783629999999993E-2</v>
      </c>
      <c r="U7840">
        <v>3.0129999999999999</v>
      </c>
      <c r="V7840">
        <v>-0.1138677</v>
      </c>
      <c r="W7840">
        <v>1.7471199999999999E-2</v>
      </c>
      <c r="X7840">
        <v>0.99334230000000001</v>
      </c>
      <c r="Y7840">
        <v>-2.723654E-2</v>
      </c>
      <c r="Z7840">
        <v>-2.4279149999999999E-2</v>
      </c>
      <c r="AA7840">
        <v>0.9993341</v>
      </c>
      <c r="AB7840">
        <v>37</v>
      </c>
      <c r="AC7840">
        <v>0.32920000000001398</v>
      </c>
      <c r="AD7840">
        <v>-1.1100046782439901</v>
      </c>
      <c r="AE7840">
        <v>42.075229999999998</v>
      </c>
      <c r="AF7840">
        <v>-1.1547412082022801</v>
      </c>
      <c r="AG7840">
        <v>-1.1100046782439901</v>
      </c>
      <c r="AH7840">
        <v>42.031396291259298</v>
      </c>
      <c r="AI7840">
        <v>91.512198942010997</v>
      </c>
      <c r="AJ7840">
        <v>91.573708349311602</v>
      </c>
      <c r="AK7840">
        <v>42.061904519844603</v>
      </c>
      <c r="AL7840">
        <v>88.998923054435295</v>
      </c>
      <c r="AM7840">
        <v>96.539322440618406</v>
      </c>
      <c r="AN7840">
        <v>1.0000000104510101</v>
      </c>
    </row>
    <row r="7841" spans="1:40" x14ac:dyDescent="0.25">
      <c r="A7841" t="str">
        <f>"20190305135114700"</f>
        <v>20190305135114700</v>
      </c>
      <c r="B7841" t="str">
        <f>"1551765074687503"</f>
        <v>1551765074687503</v>
      </c>
      <c r="C7841" t="s">
        <v>40</v>
      </c>
      <c r="D7841">
        <v>4.1677030000000004</v>
      </c>
      <c r="E7841">
        <v>0.53210990000000002</v>
      </c>
      <c r="F7841" t="s">
        <v>42</v>
      </c>
      <c r="G7841">
        <v>-188.38249999999999</v>
      </c>
      <c r="H7841" s="1">
        <v>-2.7294230000000001E-6</v>
      </c>
      <c r="I7841">
        <v>15.326320000000001</v>
      </c>
      <c r="J7841">
        <v>-188.64519999999999</v>
      </c>
      <c r="K7841">
        <v>1.109923</v>
      </c>
      <c r="L7841">
        <v>-24.19049</v>
      </c>
      <c r="M7841">
        <v>3.3653860000000001E-2</v>
      </c>
      <c r="N7841">
        <v>-1.8419160000000001E-3</v>
      </c>
      <c r="O7841">
        <v>0.99943179999999998</v>
      </c>
      <c r="P7841">
        <v>-7.8535740000000007E-2</v>
      </c>
      <c r="Q7841">
        <v>1.7184319999999999E-2</v>
      </c>
      <c r="R7841">
        <v>0.99676319999999996</v>
      </c>
      <c r="S7841">
        <v>2.0736689999999999E-2</v>
      </c>
      <c r="T7841">
        <v>-8.3842159999999999E-2</v>
      </c>
      <c r="U7841">
        <v>3.0127259999999998</v>
      </c>
      <c r="V7841">
        <v>-0.1121166</v>
      </c>
      <c r="W7841">
        <v>1.853343E-2</v>
      </c>
      <c r="X7841">
        <v>0.99352220000000002</v>
      </c>
      <c r="Y7841">
        <v>-2.6775730000000001E-2</v>
      </c>
      <c r="Z7841">
        <v>-2.5948579999999999E-2</v>
      </c>
      <c r="AA7841">
        <v>0.99930469999999905</v>
      </c>
      <c r="AB7841">
        <v>38</v>
      </c>
      <c r="AC7841">
        <v>0.26269999999999499</v>
      </c>
      <c r="AD7841">
        <v>-1.1099257294230001</v>
      </c>
      <c r="AE7841">
        <v>39.51681</v>
      </c>
      <c r="AF7841">
        <v>-1.0665029914914499</v>
      </c>
      <c r="AG7841">
        <v>-1.1099257294230001</v>
      </c>
      <c r="AH7841">
        <v>39.472128108682703</v>
      </c>
      <c r="AI7841">
        <v>91.610101301655106</v>
      </c>
      <c r="AJ7841">
        <v>91.547706187623305</v>
      </c>
      <c r="AK7841">
        <v>39.502129830984501</v>
      </c>
      <c r="AL7841">
        <v>88.938051871167104</v>
      </c>
      <c r="AM7841">
        <v>96.438453309448306</v>
      </c>
      <c r="AN7841">
        <v>0.99999999095798198</v>
      </c>
    </row>
    <row r="7842" spans="1:40" x14ac:dyDescent="0.25">
      <c r="A7842" t="str">
        <f>"20190305135114721"</f>
        <v>20190305135114721</v>
      </c>
      <c r="B7842" t="str">
        <f>"1551765074707999"</f>
        <v>1551765074707999</v>
      </c>
      <c r="C7842" t="s">
        <v>40</v>
      </c>
      <c r="D7842">
        <v>4.1587480000000001</v>
      </c>
      <c r="E7842">
        <v>0.53213520000000003</v>
      </c>
      <c r="F7842" t="s">
        <v>42</v>
      </c>
      <c r="G7842">
        <v>-188.38579999999999</v>
      </c>
      <c r="H7842" s="1">
        <v>-3.2426289999999998E-6</v>
      </c>
      <c r="I7842">
        <v>16.523979999999899</v>
      </c>
      <c r="J7842">
        <v>-188.63399999999999</v>
      </c>
      <c r="K7842">
        <v>1.109836</v>
      </c>
      <c r="L7842">
        <v>-23.824400000000001</v>
      </c>
      <c r="M7842">
        <v>3.2164789999999999E-2</v>
      </c>
      <c r="N7842">
        <v>-1.8562260000000001E-3</v>
      </c>
      <c r="O7842">
        <v>0.99948079999999995</v>
      </c>
      <c r="P7842">
        <v>-7.8914139999999994E-2</v>
      </c>
      <c r="Q7842">
        <v>1.7679859999999999E-2</v>
      </c>
      <c r="R7842">
        <v>0.99672459999999996</v>
      </c>
      <c r="S7842">
        <v>1.919556E-2</v>
      </c>
      <c r="T7842">
        <v>-8.2128880000000001E-2</v>
      </c>
      <c r="U7842">
        <v>3.0126650000000001</v>
      </c>
      <c r="V7842">
        <v>-0.1110116</v>
      </c>
      <c r="W7842">
        <v>1.90712E-2</v>
      </c>
      <c r="X7842">
        <v>0.99363610000000002</v>
      </c>
      <c r="Y7842">
        <v>-2.579735E-2</v>
      </c>
      <c r="Z7842">
        <v>-2.536973E-2</v>
      </c>
      <c r="AA7842">
        <v>0.99934520000000004</v>
      </c>
      <c r="AB7842">
        <v>38</v>
      </c>
      <c r="AC7842">
        <v>0.24820000000002501</v>
      </c>
      <c r="AD7842">
        <v>-1.109839242629</v>
      </c>
      <c r="AE7842">
        <v>40.348379999999999</v>
      </c>
      <c r="AF7842">
        <v>-1.0489343051620501</v>
      </c>
      <c r="AG7842">
        <v>-1.109839242629</v>
      </c>
      <c r="AH7842">
        <v>40.304992436378299</v>
      </c>
      <c r="AI7842">
        <v>91.576765783134803</v>
      </c>
      <c r="AJ7842">
        <v>91.4907817159594</v>
      </c>
      <c r="AK7842">
        <v>40.333911558607099</v>
      </c>
      <c r="AL7842">
        <v>88.9072344731035</v>
      </c>
      <c r="AM7842">
        <v>96.374797399941599</v>
      </c>
      <c r="AN7842">
        <v>0.99999999261360495</v>
      </c>
    </row>
    <row r="7843" spans="1:40" x14ac:dyDescent="0.25">
      <c r="A7843" t="str">
        <f>"20190305135114747"</f>
        <v>20190305135114747</v>
      </c>
      <c r="B7843" t="str">
        <f>"1551765074737280"</f>
        <v>1551765074737280</v>
      </c>
      <c r="C7843" t="s">
        <v>40</v>
      </c>
      <c r="D7843">
        <v>4.1690759999999996</v>
      </c>
      <c r="E7843">
        <v>0.53178570000000003</v>
      </c>
      <c r="F7843" t="s">
        <v>42</v>
      </c>
      <c r="G7843">
        <v>-188.38229999999999</v>
      </c>
      <c r="H7843" s="1">
        <v>-3.632148E-6</v>
      </c>
      <c r="I7843">
        <v>17.430489999999999</v>
      </c>
      <c r="J7843">
        <v>-188.62129999999999</v>
      </c>
      <c r="K7843">
        <v>1.1097189999999999</v>
      </c>
      <c r="L7843">
        <v>-23.39011</v>
      </c>
      <c r="M7843">
        <v>3.05752E-2</v>
      </c>
      <c r="N7843">
        <v>-1.8771440000000001E-3</v>
      </c>
      <c r="O7843">
        <v>0.99953069999999999</v>
      </c>
      <c r="P7843">
        <v>-7.9704259999999999E-2</v>
      </c>
      <c r="Q7843">
        <v>1.859382E-2</v>
      </c>
      <c r="R7843">
        <v>0.99664509999999995</v>
      </c>
      <c r="S7843">
        <v>1.8386840000000002E-2</v>
      </c>
      <c r="T7843">
        <v>-8.1049200000000002E-2</v>
      </c>
      <c r="U7843">
        <v>3.012756</v>
      </c>
      <c r="V7843">
        <v>-0.1102163</v>
      </c>
      <c r="W7843">
        <v>2.00409E-2</v>
      </c>
      <c r="X7843">
        <v>0.99370559999999997</v>
      </c>
      <c r="Y7843">
        <v>-2.4475899999999998E-2</v>
      </c>
      <c r="Z7843">
        <v>-2.4992810000000001E-2</v>
      </c>
      <c r="AA7843">
        <v>0.99938800000000005</v>
      </c>
      <c r="AB7843">
        <v>38</v>
      </c>
      <c r="AC7843">
        <v>0.23900000000000399</v>
      </c>
      <c r="AD7843">
        <v>-1.109722632148</v>
      </c>
      <c r="AE7843">
        <v>40.820599999999999</v>
      </c>
      <c r="AF7843">
        <v>-1.00846668116474</v>
      </c>
      <c r="AG7843">
        <v>-1.109722632148</v>
      </c>
      <c r="AH7843">
        <v>40.7786863355498</v>
      </c>
      <c r="AI7843">
        <v>91.558346297839904</v>
      </c>
      <c r="AJ7843">
        <v>91.416649598589501</v>
      </c>
      <c r="AK7843">
        <v>40.806246441206497</v>
      </c>
      <c r="AL7843">
        <v>88.851664186091199</v>
      </c>
      <c r="AM7843">
        <v>96.329060492487102</v>
      </c>
      <c r="AN7843">
        <v>1.00000004496492</v>
      </c>
    </row>
    <row r="7844" spans="1:40" x14ac:dyDescent="0.25">
      <c r="A7844" t="str">
        <f>"20190305135114767"</f>
        <v>20190305135114767</v>
      </c>
      <c r="B7844" t="str">
        <f>"1551765074757775"</f>
        <v>1551765074757775</v>
      </c>
      <c r="C7844" t="s">
        <v>40</v>
      </c>
      <c r="D7844">
        <v>4.1504180000000002</v>
      </c>
      <c r="E7844">
        <v>0.53168850000000001</v>
      </c>
      <c r="F7844" t="s">
        <v>42</v>
      </c>
      <c r="G7844">
        <v>-188.4374</v>
      </c>
      <c r="H7844" s="1">
        <v>-4.0792489999999997E-6</v>
      </c>
      <c r="I7844">
        <v>18.495480000000001</v>
      </c>
      <c r="J7844">
        <v>-188.6113</v>
      </c>
      <c r="K7844">
        <v>1.1096079999999999</v>
      </c>
      <c r="L7844">
        <v>-23.035740000000001</v>
      </c>
      <c r="M7844">
        <v>2.944509E-2</v>
      </c>
      <c r="N7844">
        <v>-1.8972349999999999E-3</v>
      </c>
      <c r="O7844">
        <v>0.99956460000000003</v>
      </c>
      <c r="P7844">
        <v>-8.0250429999999998E-2</v>
      </c>
      <c r="Q7844">
        <v>1.875839E-2</v>
      </c>
      <c r="R7844">
        <v>0.99659819999999999</v>
      </c>
      <c r="S7844">
        <v>1.3229370000000001E-2</v>
      </c>
      <c r="T7844">
        <v>-7.9818009999999995E-2</v>
      </c>
      <c r="U7844">
        <v>3.0126650000000001</v>
      </c>
      <c r="V7844">
        <v>-0.10963249999999999</v>
      </c>
      <c r="W7844">
        <v>2.0257339999999999E-2</v>
      </c>
      <c r="X7844">
        <v>0.99376569999999997</v>
      </c>
      <c r="Y7844">
        <v>-2.5056200000000001E-2</v>
      </c>
      <c r="Z7844">
        <v>-2.4566859999999999E-2</v>
      </c>
      <c r="AA7844">
        <v>0.99938419999999895</v>
      </c>
      <c r="AB7844">
        <v>38</v>
      </c>
      <c r="AC7844">
        <v>0.173900000000003</v>
      </c>
      <c r="AD7844">
        <v>-1.1096120792489901</v>
      </c>
      <c r="AE7844">
        <v>41.531219999999998</v>
      </c>
      <c r="AF7844">
        <v>-1.0483198077051299</v>
      </c>
      <c r="AG7844">
        <v>-1.1096120792489901</v>
      </c>
      <c r="AH7844">
        <v>41.488717233337098</v>
      </c>
      <c r="AI7844">
        <v>91.531516769450803</v>
      </c>
      <c r="AJ7844">
        <v>91.447418159833802</v>
      </c>
      <c r="AK7844">
        <v>41.516790230621702</v>
      </c>
      <c r="AL7844">
        <v>88.839260466356706</v>
      </c>
      <c r="AM7844">
        <v>96.295428575883406</v>
      </c>
      <c r="AN7844">
        <v>0.99999995568830602</v>
      </c>
    </row>
    <row r="7845" spans="1:40" x14ac:dyDescent="0.25">
      <c r="A7845" t="str">
        <f>"20190305135114789"</f>
        <v>20190305135114789</v>
      </c>
      <c r="B7845" t="str">
        <f>"1551765074777299"</f>
        <v>1551765074777299</v>
      </c>
      <c r="C7845" t="s">
        <v>40</v>
      </c>
      <c r="D7845">
        <v>4.1484589999999999</v>
      </c>
      <c r="E7845">
        <v>0.53161359999999902</v>
      </c>
      <c r="F7845" t="s">
        <v>42</v>
      </c>
      <c r="G7845">
        <v>-188.4623</v>
      </c>
      <c r="H7845" s="1">
        <v>-4.0550259999999996E-6</v>
      </c>
      <c r="I7845">
        <v>18.449310000000001</v>
      </c>
      <c r="J7845">
        <v>-188.60120000000001</v>
      </c>
      <c r="K7845">
        <v>1.1094809999999999</v>
      </c>
      <c r="L7845">
        <v>-22.66705</v>
      </c>
      <c r="M7845">
        <v>2.843561E-2</v>
      </c>
      <c r="N7845">
        <v>-1.920756E-3</v>
      </c>
      <c r="O7845">
        <v>0.99959379999999998</v>
      </c>
      <c r="P7845">
        <v>-8.0711379999999999E-2</v>
      </c>
      <c r="Q7845">
        <v>1.8621820000000001E-2</v>
      </c>
      <c r="R7845">
        <v>0.99656359999999999</v>
      </c>
      <c r="S7845">
        <v>1.081848E-2</v>
      </c>
      <c r="T7845">
        <v>-8.057976E-2</v>
      </c>
      <c r="U7845">
        <v>3.0126339999999998</v>
      </c>
      <c r="V7845">
        <v>-0.1090821</v>
      </c>
      <c r="W7845">
        <v>2.0180590000000002E-2</v>
      </c>
      <c r="X7845">
        <v>0.99382789999999999</v>
      </c>
      <c r="Y7845">
        <v>-2.4846340000000001E-2</v>
      </c>
      <c r="Z7845">
        <v>-2.4797260000000002E-2</v>
      </c>
      <c r="AA7845">
        <v>0.99938369999999999</v>
      </c>
      <c r="AB7845">
        <v>38</v>
      </c>
      <c r="AC7845">
        <v>0.13890000000000599</v>
      </c>
      <c r="AD7845">
        <v>-1.109485055026</v>
      </c>
      <c r="AE7845">
        <v>41.11636</v>
      </c>
      <c r="AF7845">
        <v>-1.0295774139620899</v>
      </c>
      <c r="AG7845">
        <v>-1.109485055026</v>
      </c>
      <c r="AH7845">
        <v>41.073776248527103</v>
      </c>
      <c r="AI7845">
        <v>91.546811993195504</v>
      </c>
      <c r="AJ7845">
        <v>91.435906200087004</v>
      </c>
      <c r="AK7845">
        <v>41.101655466084701</v>
      </c>
      <c r="AL7845">
        <v>88.843658900139999</v>
      </c>
      <c r="AM7845">
        <v>96.263685894373793</v>
      </c>
      <c r="AN7845">
        <v>1.0000000277857799</v>
      </c>
    </row>
    <row r="7846" spans="1:40" x14ac:dyDescent="0.25">
      <c r="A7846" t="str">
        <f>"20190305135114811"</f>
        <v>20190305135114811</v>
      </c>
      <c r="B7846" t="str">
        <f>"1551765074807551"</f>
        <v>1551765074807551</v>
      </c>
      <c r="C7846" t="s">
        <v>40</v>
      </c>
      <c r="D7846">
        <v>4.0038410000000004</v>
      </c>
      <c r="E7846">
        <v>0.53153660000000003</v>
      </c>
      <c r="F7846" t="s">
        <v>42</v>
      </c>
      <c r="G7846">
        <v>-188.48349999999999</v>
      </c>
      <c r="H7846" s="1">
        <v>-3.8943680000000003E-6</v>
      </c>
      <c r="I7846">
        <v>18.083590000000001</v>
      </c>
      <c r="J7846">
        <v>-188.59110000000001</v>
      </c>
      <c r="K7846">
        <v>1.1093309999999901</v>
      </c>
      <c r="L7846">
        <v>-22.291350000000001</v>
      </c>
      <c r="M7846">
        <v>2.7600340000000001E-2</v>
      </c>
      <c r="N7846">
        <v>-1.947383E-3</v>
      </c>
      <c r="O7846">
        <v>0.99961719999999998</v>
      </c>
      <c r="P7846">
        <v>-8.1021319999999994E-2</v>
      </c>
      <c r="Q7846">
        <v>1.9007420000000001E-2</v>
      </c>
      <c r="R7846">
        <v>0.9965311</v>
      </c>
      <c r="S7846">
        <v>8.6975100000000003E-3</v>
      </c>
      <c r="T7846">
        <v>-8.2020880000000004E-2</v>
      </c>
      <c r="U7846">
        <v>3.0125730000000002</v>
      </c>
      <c r="V7846">
        <v>-0.1085541</v>
      </c>
      <c r="W7846">
        <v>2.0633970000000001E-2</v>
      </c>
      <c r="X7846">
        <v>0.99387639999999999</v>
      </c>
      <c r="Y7846">
        <v>-2.471454E-2</v>
      </c>
      <c r="Z7846">
        <v>-2.52497E-2</v>
      </c>
      <c r="AA7846">
        <v>0.99937560000000003</v>
      </c>
      <c r="AB7846">
        <v>38</v>
      </c>
      <c r="AC7846">
        <v>0.107600000000019</v>
      </c>
      <c r="AD7846">
        <v>-1.1093348943679999</v>
      </c>
      <c r="AE7846">
        <v>40.374940000000002</v>
      </c>
      <c r="AF7846">
        <v>-1.00604563092518</v>
      </c>
      <c r="AG7846">
        <v>-1.1093348943679999</v>
      </c>
      <c r="AH7846">
        <v>40.332081106555698</v>
      </c>
      <c r="AI7846">
        <v>91.575034937702895</v>
      </c>
      <c r="AJ7846">
        <v>91.428892743227195</v>
      </c>
      <c r="AK7846">
        <v>40.359875100217501</v>
      </c>
      <c r="AL7846">
        <v>88.817676727113707</v>
      </c>
      <c r="AM7846">
        <v>96.233304666105695</v>
      </c>
      <c r="AN7846">
        <v>1.0000000259108599</v>
      </c>
    </row>
    <row r="7847" spans="1:40" x14ac:dyDescent="0.25">
      <c r="A7847" t="str">
        <f>"20190305135114833"</f>
        <v>20190305135114833</v>
      </c>
      <c r="B7847" t="str">
        <f>"1551765074827071"</f>
        <v>1551765074827071</v>
      </c>
      <c r="C7847" t="s">
        <v>40</v>
      </c>
      <c r="D7847">
        <v>4.10311</v>
      </c>
      <c r="E7847">
        <v>0.53161049999999999</v>
      </c>
      <c r="F7847" t="s">
        <v>42</v>
      </c>
      <c r="G7847">
        <v>-188.50069999999999</v>
      </c>
      <c r="H7847" s="1">
        <v>-3.5873960000000001E-6</v>
      </c>
      <c r="I7847">
        <v>17.375119999999999</v>
      </c>
      <c r="J7847">
        <v>-188.5805</v>
      </c>
      <c r="K7847">
        <v>1.1091549999999999</v>
      </c>
      <c r="L7847">
        <v>-21.890689999999999</v>
      </c>
      <c r="M7847">
        <v>2.6931400000000001E-2</v>
      </c>
      <c r="N7847">
        <v>-1.9784669999999998E-3</v>
      </c>
      <c r="O7847">
        <v>0.9996353</v>
      </c>
      <c r="P7847">
        <v>-8.0885509999999994E-2</v>
      </c>
      <c r="Q7847">
        <v>1.9427839999999998E-2</v>
      </c>
      <c r="R7847">
        <v>0.99653400000000003</v>
      </c>
      <c r="S7847">
        <v>6.8664549999999996E-3</v>
      </c>
      <c r="T7847">
        <v>-8.425212E-2</v>
      </c>
      <c r="U7847">
        <v>3.0126040000000001</v>
      </c>
      <c r="V7847">
        <v>-0.1077458</v>
      </c>
      <c r="W7847">
        <v>2.1132629999999999E-2</v>
      </c>
      <c r="X7847">
        <v>0.9939538</v>
      </c>
      <c r="Y7847">
        <v>-2.465301E-2</v>
      </c>
      <c r="Z7847">
        <v>-2.5958439999999999E-2</v>
      </c>
      <c r="AA7847">
        <v>0.999359</v>
      </c>
      <c r="AB7847">
        <v>39</v>
      </c>
      <c r="AC7847">
        <v>7.9800000000005797E-2</v>
      </c>
      <c r="AD7847">
        <v>-1.1091585873959999</v>
      </c>
      <c r="AE7847">
        <v>39.265809999999902</v>
      </c>
      <c r="AF7847">
        <v>-0.97693476718863703</v>
      </c>
      <c r="AG7847">
        <v>-1.1091585873959999</v>
      </c>
      <c r="AH7847">
        <v>39.222420598998298</v>
      </c>
      <c r="AI7847">
        <v>91.619315817572001</v>
      </c>
      <c r="AJ7847">
        <v>91.426803018545698</v>
      </c>
      <c r="AK7847">
        <v>39.250260024056601</v>
      </c>
      <c r="AL7847">
        <v>88.789099291280095</v>
      </c>
      <c r="AM7847">
        <v>96.186774379129901</v>
      </c>
      <c r="AN7847">
        <v>0.99999995100139705</v>
      </c>
    </row>
    <row r="7848" spans="1:40" x14ac:dyDescent="0.25">
      <c r="A7848" t="str">
        <f>"20190305135114856"</f>
        <v>20190305135114856</v>
      </c>
      <c r="B7848" t="str">
        <f>"1551765074847567"</f>
        <v>1551765074847567</v>
      </c>
      <c r="C7848" t="s">
        <v>40</v>
      </c>
      <c r="D7848">
        <v>4.1002130000000001</v>
      </c>
      <c r="E7848">
        <v>0.53161049999999999</v>
      </c>
      <c r="F7848" t="s">
        <v>42</v>
      </c>
      <c r="G7848">
        <v>-188.47810000000001</v>
      </c>
      <c r="H7848" s="1">
        <v>-3.535704E-6</v>
      </c>
      <c r="I7848">
        <v>17.245290000000001</v>
      </c>
      <c r="J7848">
        <v>-188.57050000000001</v>
      </c>
      <c r="K7848">
        <v>1.1089819999999999</v>
      </c>
      <c r="L7848">
        <v>-21.50339</v>
      </c>
      <c r="M7848">
        <v>2.6456420000000001E-2</v>
      </c>
      <c r="N7848">
        <v>-2.0108639999999998E-3</v>
      </c>
      <c r="O7848">
        <v>0.99964790000000003</v>
      </c>
      <c r="P7848">
        <v>-8.0741960000000002E-2</v>
      </c>
      <c r="Q7848">
        <v>1.9304470000000001E-2</v>
      </c>
      <c r="R7848">
        <v>0.99654810000000005</v>
      </c>
      <c r="S7848">
        <v>7.8887939999999993E-3</v>
      </c>
      <c r="T7848">
        <v>-8.5384959999999996E-2</v>
      </c>
      <c r="U7848">
        <v>3.012756</v>
      </c>
      <c r="V7848">
        <v>-0.1071222</v>
      </c>
      <c r="W7848">
        <v>2.1084950000000002E-2</v>
      </c>
      <c r="X7848">
        <v>0.99402230000000003</v>
      </c>
      <c r="Y7848">
        <v>-2.3839030000000001E-2</v>
      </c>
      <c r="Z7848">
        <v>-2.6300779999999999E-2</v>
      </c>
      <c r="AA7848">
        <v>0.99936979999999997</v>
      </c>
      <c r="AB7848">
        <v>39</v>
      </c>
      <c r="AC7848">
        <v>9.2399999999997803E-2</v>
      </c>
      <c r="AD7848">
        <v>-1.1089855357039999</v>
      </c>
      <c r="AE7848">
        <v>38.74868</v>
      </c>
      <c r="AF7848">
        <v>-0.93202239758893901</v>
      </c>
      <c r="AG7848">
        <v>-1.1089855357039999</v>
      </c>
      <c r="AH7848">
        <v>38.705857369608196</v>
      </c>
      <c r="AI7848">
        <v>91.640692610409701</v>
      </c>
      <c r="AJ7848">
        <v>91.379394124971796</v>
      </c>
      <c r="AK7848">
        <v>38.732956372893298</v>
      </c>
      <c r="AL7848">
        <v>88.791831866781195</v>
      </c>
      <c r="AM7848">
        <v>96.150821860546898</v>
      </c>
      <c r="AN7848">
        <v>1.00000003687331</v>
      </c>
    </row>
    <row r="7849" spans="1:40" x14ac:dyDescent="0.25">
      <c r="A7849" t="str">
        <f>"20190305135114878"</f>
        <v>20190305135114878</v>
      </c>
      <c r="B7849" t="str">
        <f>"1551765074867088"</f>
        <v>1551765074867088</v>
      </c>
      <c r="C7849" t="s">
        <v>40</v>
      </c>
      <c r="D7849">
        <v>3.9888080000000001</v>
      </c>
      <c r="E7849">
        <v>0.53167900000000001</v>
      </c>
      <c r="F7849" t="s">
        <v>42</v>
      </c>
      <c r="G7849">
        <v>-188.46360000000001</v>
      </c>
      <c r="H7849" s="1">
        <v>-3.169258E-6</v>
      </c>
      <c r="I7849">
        <v>16.385100000000001</v>
      </c>
      <c r="J7849">
        <v>-188.56030000000001</v>
      </c>
      <c r="K7849">
        <v>1.1088260000000001</v>
      </c>
      <c r="L7849">
        <v>-21.108609999999999</v>
      </c>
      <c r="M7849">
        <v>2.6128149999999999E-2</v>
      </c>
      <c r="N7849">
        <v>-2.0459829999999999E-3</v>
      </c>
      <c r="O7849">
        <v>0.99965649999999995</v>
      </c>
      <c r="P7849">
        <v>-8.0997479999999997E-2</v>
      </c>
      <c r="Q7849">
        <v>1.8568609999999999E-2</v>
      </c>
      <c r="R7849">
        <v>0.99654129999999996</v>
      </c>
      <c r="S7849">
        <v>8.4991459999999904E-3</v>
      </c>
      <c r="T7849">
        <v>-8.8183399999999995E-2</v>
      </c>
      <c r="U7849">
        <v>3.0127869999999999</v>
      </c>
      <c r="V7849">
        <v>-0.1070421</v>
      </c>
      <c r="W7849">
        <v>2.042325E-2</v>
      </c>
      <c r="X7849">
        <v>0.9940447</v>
      </c>
      <c r="Y7849">
        <v>-2.3308349999999999E-2</v>
      </c>
      <c r="Z7849">
        <v>-2.7193080000000001E-2</v>
      </c>
      <c r="AA7849">
        <v>0.99935839999999998</v>
      </c>
      <c r="AB7849">
        <v>39</v>
      </c>
      <c r="AC7849">
        <v>9.6699999999998398E-2</v>
      </c>
      <c r="AD7849">
        <v>-1.1088291692579999</v>
      </c>
      <c r="AE7849">
        <v>37.49371</v>
      </c>
      <c r="AF7849">
        <v>-0.88220477397085795</v>
      </c>
      <c r="AG7849">
        <v>-1.1088291692579999</v>
      </c>
      <c r="AH7849">
        <v>37.450681878281401</v>
      </c>
      <c r="AI7849">
        <v>91.695431693695298</v>
      </c>
      <c r="AJ7849">
        <v>91.349435077128106</v>
      </c>
      <c r="AK7849">
        <v>37.477478043993997</v>
      </c>
      <c r="AL7849">
        <v>88.829752599717295</v>
      </c>
      <c r="AM7849">
        <v>96.146120393801695</v>
      </c>
      <c r="AN7849">
        <v>0.99999999295553099</v>
      </c>
    </row>
    <row r="7850" spans="1:40" x14ac:dyDescent="0.25">
      <c r="A7850" t="str">
        <f>"20190305135114900"</f>
        <v>20190305135114900</v>
      </c>
      <c r="B7850" t="str">
        <f>"1551765074887584"</f>
        <v>1551765074887584</v>
      </c>
      <c r="C7850" t="s">
        <v>40</v>
      </c>
      <c r="D7850">
        <v>4.0576809999999996</v>
      </c>
      <c r="E7850">
        <v>0.53134130000000002</v>
      </c>
      <c r="F7850" t="s">
        <v>42</v>
      </c>
      <c r="G7850">
        <v>-188.46809999999999</v>
      </c>
      <c r="H7850" s="1">
        <v>-2.0634809999999999E-6</v>
      </c>
      <c r="I7850">
        <v>13.80939</v>
      </c>
      <c r="J7850">
        <v>-188.5506</v>
      </c>
      <c r="K7850">
        <v>1.1086830000000001</v>
      </c>
      <c r="L7850">
        <v>-20.734220000000001</v>
      </c>
      <c r="M7850">
        <v>2.5948499999999999E-2</v>
      </c>
      <c r="N7850">
        <v>-2.08062E-3</v>
      </c>
      <c r="O7850">
        <v>0.99966109999999997</v>
      </c>
      <c r="P7850">
        <v>-8.0802100000000002E-2</v>
      </c>
      <c r="Q7850">
        <v>1.8204669999999999E-2</v>
      </c>
      <c r="R7850">
        <v>0.99656389999999995</v>
      </c>
      <c r="S7850">
        <v>7.9498290000000003E-3</v>
      </c>
      <c r="T7850">
        <v>-9.5673560000000005E-2</v>
      </c>
      <c r="U7850">
        <v>3.012848</v>
      </c>
      <c r="V7850">
        <v>-0.1066617</v>
      </c>
      <c r="W7850">
        <v>2.0129580000000001E-2</v>
      </c>
      <c r="X7850">
        <v>0.99409159999999996</v>
      </c>
      <c r="Y7850">
        <v>-2.331107E-2</v>
      </c>
      <c r="Z7850">
        <v>-2.9639229999999999E-2</v>
      </c>
      <c r="AA7850">
        <v>0.99928879999999998</v>
      </c>
      <c r="AB7850">
        <v>39</v>
      </c>
      <c r="AC7850">
        <v>8.2500000000010204E-2</v>
      </c>
      <c r="AD7850">
        <v>-1.1086850634809999</v>
      </c>
      <c r="AE7850">
        <v>34.543610000000001</v>
      </c>
      <c r="AF7850">
        <v>-0.81304707977364299</v>
      </c>
      <c r="AG7850">
        <v>-1.1086850634809999</v>
      </c>
      <c r="AH7850">
        <v>34.498582300040297</v>
      </c>
      <c r="AI7850">
        <v>91.840177184078897</v>
      </c>
      <c r="AJ7850">
        <v>91.350071256420406</v>
      </c>
      <c r="AK7850">
        <v>34.525967167286801</v>
      </c>
      <c r="AL7850">
        <v>88.846582135352307</v>
      </c>
      <c r="AM7850">
        <v>96.124158206125998</v>
      </c>
      <c r="AN7850">
        <v>1.00000001371421</v>
      </c>
    </row>
    <row r="7851" spans="1:40" x14ac:dyDescent="0.25">
      <c r="A7851" t="str">
        <f>"20190305135114923"</f>
        <v>20190305135114923</v>
      </c>
      <c r="B7851" t="str">
        <f>"1551765074917840"</f>
        <v>1551765074917840</v>
      </c>
      <c r="C7851" t="s">
        <v>40</v>
      </c>
      <c r="D7851">
        <v>3.9290509999999998</v>
      </c>
      <c r="E7851">
        <v>0.53075950000000005</v>
      </c>
      <c r="F7851" t="s">
        <v>42</v>
      </c>
      <c r="G7851">
        <v>-188.48490000000001</v>
      </c>
      <c r="H7851" s="1">
        <v>-1.8859860000000001E-6</v>
      </c>
      <c r="I7851">
        <v>13.40259</v>
      </c>
      <c r="J7851">
        <v>-188.5401</v>
      </c>
      <c r="K7851">
        <v>1.108527</v>
      </c>
      <c r="L7851">
        <v>-20.325530000000001</v>
      </c>
      <c r="M7851">
        <v>2.589019E-2</v>
      </c>
      <c r="N7851">
        <v>-2.11963E-3</v>
      </c>
      <c r="O7851">
        <v>0.99966250000000001</v>
      </c>
      <c r="P7851">
        <v>-8.0877900000000003E-2</v>
      </c>
      <c r="Q7851">
        <v>1.7917099999999998E-2</v>
      </c>
      <c r="R7851">
        <v>0.99656299999999998</v>
      </c>
      <c r="S7851">
        <v>5.7983399999999999E-3</v>
      </c>
      <c r="T7851">
        <v>-9.7842449999999997E-2</v>
      </c>
      <c r="U7851">
        <v>3.0126040000000001</v>
      </c>
      <c r="V7851">
        <v>-0.10667210000000001</v>
      </c>
      <c r="W7851">
        <v>1.9917420000000002E-2</v>
      </c>
      <c r="X7851">
        <v>0.9940947</v>
      </c>
      <c r="Y7851">
        <v>-2.3966169999999998E-2</v>
      </c>
      <c r="Z7851">
        <v>-3.0321049999999999E-2</v>
      </c>
      <c r="AA7851">
        <v>0.9992529</v>
      </c>
      <c r="AB7851">
        <v>39</v>
      </c>
      <c r="AC7851">
        <v>5.5199999999984997E-2</v>
      </c>
      <c r="AD7851">
        <v>-1.1085288859860001</v>
      </c>
      <c r="AE7851">
        <v>33.728119999999997</v>
      </c>
      <c r="AF7851">
        <v>-0.81716522930212299</v>
      </c>
      <c r="AG7851">
        <v>-1.1085288859860001</v>
      </c>
      <c r="AH7851">
        <v>33.6818596674823</v>
      </c>
      <c r="AI7851">
        <v>91.884469731654903</v>
      </c>
      <c r="AJ7851">
        <v>91.389796651537907</v>
      </c>
      <c r="AK7851">
        <v>33.710002461628697</v>
      </c>
      <c r="AL7851">
        <v>88.858740380169493</v>
      </c>
      <c r="AM7851">
        <v>96.124731846655607</v>
      </c>
      <c r="AN7851">
        <v>0.99999995655297702</v>
      </c>
    </row>
    <row r="7852" spans="1:40" x14ac:dyDescent="0.25">
      <c r="A7852" t="str">
        <f>"20190305135114946"</f>
        <v>20190305135114946</v>
      </c>
      <c r="B7852" t="str">
        <f>"1551765074937360"</f>
        <v>1551765074937360</v>
      </c>
      <c r="C7852" t="s">
        <v>40</v>
      </c>
      <c r="D7852">
        <v>4.2817669999999897</v>
      </c>
      <c r="E7852">
        <v>0.53049860000000004</v>
      </c>
      <c r="F7852" t="s">
        <v>42</v>
      </c>
      <c r="G7852">
        <v>-188.52940000000001</v>
      </c>
      <c r="H7852" s="1">
        <v>-2.231105E-6</v>
      </c>
      <c r="I7852">
        <v>14.225479999999999</v>
      </c>
      <c r="J7852">
        <v>-188.5292</v>
      </c>
      <c r="K7852">
        <v>1.1083780000000001</v>
      </c>
      <c r="L7852">
        <v>-19.904170000000001</v>
      </c>
      <c r="M7852">
        <v>2.5964370000000001E-2</v>
      </c>
      <c r="N7852">
        <v>-2.161048E-3</v>
      </c>
      <c r="O7852">
        <v>0.99966060000000001</v>
      </c>
      <c r="P7852">
        <v>-8.0874920000000003E-2</v>
      </c>
      <c r="Q7852">
        <v>1.6911619999999999E-2</v>
      </c>
      <c r="R7852">
        <v>0.99658080000000004</v>
      </c>
      <c r="S7852">
        <v>9.307861E-4</v>
      </c>
      <c r="T7852">
        <v>-9.6642259999999994E-2</v>
      </c>
      <c r="U7852">
        <v>3.0121769999999999</v>
      </c>
      <c r="V7852">
        <v>-0.1067361</v>
      </c>
      <c r="W7852">
        <v>1.8989679999999998E-2</v>
      </c>
      <c r="X7852">
        <v>0.99410609999999999</v>
      </c>
      <c r="Y7852">
        <v>-2.5654710000000001E-2</v>
      </c>
      <c r="Z7852">
        <v>-2.9885869999999998E-2</v>
      </c>
      <c r="AA7852">
        <v>0.999224</v>
      </c>
      <c r="AB7852">
        <v>40</v>
      </c>
      <c r="AC7852">
        <v>-2.0000000000663901E-4</v>
      </c>
      <c r="AD7852">
        <v>-1.1083802311049999</v>
      </c>
      <c r="AE7852">
        <v>34.129649999999998</v>
      </c>
      <c r="AF7852">
        <v>-0.88542297987568297</v>
      </c>
      <c r="AG7852">
        <v>-1.1083802311049999</v>
      </c>
      <c r="AH7852">
        <v>34.082193347264301</v>
      </c>
      <c r="AI7852">
        <v>91.862020387159603</v>
      </c>
      <c r="AJ7852">
        <v>91.488155147864305</v>
      </c>
      <c r="AK7852">
        <v>34.111704500805899</v>
      </c>
      <c r="AL7852">
        <v>88.9119061558727</v>
      </c>
      <c r="AM7852">
        <v>96.128308801347202</v>
      </c>
      <c r="AN7852">
        <v>1.00000007052345</v>
      </c>
    </row>
    <row r="7853" spans="1:40" x14ac:dyDescent="0.25">
      <c r="A7853" t="str">
        <f>"20190305135114969"</f>
        <v>20190305135114969</v>
      </c>
      <c r="B7853" t="str">
        <f>"1551765074957855"</f>
        <v>1551765074957855</v>
      </c>
      <c r="C7853" t="s">
        <v>40</v>
      </c>
      <c r="D7853">
        <v>4.0456510000000003</v>
      </c>
      <c r="E7853">
        <v>0.53026289999999998</v>
      </c>
      <c r="F7853" t="s">
        <v>42</v>
      </c>
      <c r="G7853">
        <v>-188.54249999999999</v>
      </c>
      <c r="H7853" s="1">
        <v>-2.2617759999999999E-6</v>
      </c>
      <c r="I7853">
        <v>14.302390000000001</v>
      </c>
      <c r="J7853">
        <v>-188.51840000000001</v>
      </c>
      <c r="K7853">
        <v>1.1082379999999901</v>
      </c>
      <c r="L7853">
        <v>-19.492280000000001</v>
      </c>
      <c r="M7853">
        <v>2.6148810000000001E-2</v>
      </c>
      <c r="N7853">
        <v>-2.202571E-3</v>
      </c>
      <c r="O7853">
        <v>0.99965570000000004</v>
      </c>
      <c r="P7853">
        <v>-8.1001279999999995E-2</v>
      </c>
      <c r="Q7853">
        <v>1.6411780000000001E-2</v>
      </c>
      <c r="R7853">
        <v>0.99657890000000005</v>
      </c>
      <c r="S7853">
        <v>-1.1749270000000001E-3</v>
      </c>
      <c r="T7853">
        <v>-9.7591399999999995E-2</v>
      </c>
      <c r="U7853">
        <v>3.011841</v>
      </c>
      <c r="V7853">
        <v>-0.10703989999999999</v>
      </c>
      <c r="W7853">
        <v>1.8564890000000001E-2</v>
      </c>
      <c r="X7853">
        <v>0.9940814</v>
      </c>
      <c r="Y7853">
        <v>-2.6537649999999999E-2</v>
      </c>
      <c r="Z7853">
        <v>-3.0161759999999999E-2</v>
      </c>
      <c r="AA7853">
        <v>0.99919270000000004</v>
      </c>
      <c r="AB7853">
        <v>40</v>
      </c>
      <c r="AC7853">
        <v>-2.4099999999975801E-2</v>
      </c>
      <c r="AD7853">
        <v>-1.1082402617760001</v>
      </c>
      <c r="AE7853">
        <v>33.794670000000004</v>
      </c>
      <c r="AF7853">
        <v>-0.90680906502147396</v>
      </c>
      <c r="AG7853">
        <v>-1.1082402617760001</v>
      </c>
      <c r="AH7853">
        <v>33.746193301275902</v>
      </c>
      <c r="AI7853">
        <v>91.880265093877796</v>
      </c>
      <c r="AJ7853">
        <v>91.539250123721601</v>
      </c>
      <c r="AK7853">
        <v>33.7765608297426</v>
      </c>
      <c r="AL7853">
        <v>88.936249058750903</v>
      </c>
      <c r="AM7853">
        <v>96.145769876930103</v>
      </c>
      <c r="AN7853">
        <v>1.00000001257934</v>
      </c>
    </row>
    <row r="7854" spans="1:40" x14ac:dyDescent="0.25">
      <c r="A7854" t="str">
        <f>"20190305135114991"</f>
        <v>20190305135114991</v>
      </c>
      <c r="B7854" t="str">
        <f>"1551765074987136"</f>
        <v>1551765074987136</v>
      </c>
      <c r="C7854" t="s">
        <v>40</v>
      </c>
      <c r="D7854">
        <v>4.2106789999999998</v>
      </c>
      <c r="E7854">
        <v>0.52996769999999904</v>
      </c>
      <c r="F7854" t="s">
        <v>42</v>
      </c>
      <c r="G7854">
        <v>-188.55719999999999</v>
      </c>
      <c r="H7854" s="1">
        <v>-2.0327699999999999E-6</v>
      </c>
      <c r="I7854">
        <v>13.774620000000001</v>
      </c>
      <c r="J7854">
        <v>-188.5087</v>
      </c>
      <c r="K7854">
        <v>1.108136</v>
      </c>
      <c r="L7854">
        <v>-19.123139999999999</v>
      </c>
      <c r="M7854">
        <v>2.639238E-2</v>
      </c>
      <c r="N7854">
        <v>-2.2405070000000001E-3</v>
      </c>
      <c r="O7854">
        <v>0.99964920000000002</v>
      </c>
      <c r="P7854">
        <v>-8.0675259999999999E-2</v>
      </c>
      <c r="Q7854">
        <v>1.5581569999999999E-2</v>
      </c>
      <c r="R7854">
        <v>0.99661860000000002</v>
      </c>
      <c r="S7854">
        <v>-3.5095209999999998E-3</v>
      </c>
      <c r="T7854">
        <v>-0.10032919999999999</v>
      </c>
      <c r="U7854">
        <v>3.0116580000000002</v>
      </c>
      <c r="V7854">
        <v>-0.1069522</v>
      </c>
      <c r="W7854">
        <v>1.7799700000000002E-2</v>
      </c>
      <c r="X7854">
        <v>0.99410480000000001</v>
      </c>
      <c r="Y7854">
        <v>-2.7555670000000001E-2</v>
      </c>
      <c r="Z7854">
        <v>-3.103202E-2</v>
      </c>
      <c r="AA7854">
        <v>0.99913850000000004</v>
      </c>
      <c r="AB7854">
        <v>40</v>
      </c>
      <c r="AC7854">
        <v>-4.8499999999990002E-2</v>
      </c>
      <c r="AD7854">
        <v>-1.1081380327699999</v>
      </c>
      <c r="AE7854">
        <v>32.897759999999998</v>
      </c>
      <c r="AF7854">
        <v>-0.91569644775805503</v>
      </c>
      <c r="AG7854">
        <v>-1.1081380327699999</v>
      </c>
      <c r="AH7854">
        <v>32.8477502889072</v>
      </c>
      <c r="AI7854">
        <v>91.931424032118002</v>
      </c>
      <c r="AJ7854">
        <v>91.596820386594899</v>
      </c>
      <c r="AK7854">
        <v>32.879190515073702</v>
      </c>
      <c r="AL7854">
        <v>88.980098430231607</v>
      </c>
      <c r="AM7854">
        <v>96.140629566242396</v>
      </c>
      <c r="AN7854">
        <v>0.99999997789398398</v>
      </c>
    </row>
    <row r="7855" spans="1:40" x14ac:dyDescent="0.25">
      <c r="A7855" t="str">
        <f>"20190305135115004"</f>
        <v>20190305135115004</v>
      </c>
      <c r="B7855" t="str">
        <f>"1551765074997872"</f>
        <v>1551765074997872</v>
      </c>
      <c r="C7855" t="s">
        <v>40</v>
      </c>
      <c r="D7855">
        <v>3.9131260000000001</v>
      </c>
      <c r="E7855">
        <v>0.52982280000000004</v>
      </c>
      <c r="F7855" t="s">
        <v>42</v>
      </c>
      <c r="G7855">
        <v>-188.55940000000001</v>
      </c>
      <c r="H7855" s="1">
        <v>-2.0433649999999999E-6</v>
      </c>
      <c r="I7855">
        <v>13.800219999999999</v>
      </c>
      <c r="J7855">
        <v>-188.50139999999999</v>
      </c>
      <c r="K7855">
        <v>1.1080650000000001</v>
      </c>
      <c r="L7855">
        <v>-18.851990000000001</v>
      </c>
      <c r="M7855">
        <v>2.6609000000000001E-2</v>
      </c>
      <c r="N7855">
        <v>-2.2688270000000002E-3</v>
      </c>
      <c r="O7855">
        <v>0.99964330000000001</v>
      </c>
      <c r="P7855">
        <v>-8.0227560000000003E-2</v>
      </c>
      <c r="Q7855">
        <v>1.542366E-2</v>
      </c>
      <c r="R7855">
        <v>0.99665729999999997</v>
      </c>
      <c r="S7855">
        <v>-4.6386719999999999E-3</v>
      </c>
      <c r="T7855">
        <v>-0.1013575</v>
      </c>
      <c r="U7855">
        <v>3.0113829999999999</v>
      </c>
      <c r="V7855">
        <v>-0.1067178</v>
      </c>
      <c r="W7855">
        <v>1.7687649999999999E-2</v>
      </c>
      <c r="X7855">
        <v>0.99413200000000002</v>
      </c>
      <c r="Y7855">
        <v>-2.8146959999999999E-2</v>
      </c>
      <c r="Z7855">
        <v>-3.1346840000000001E-2</v>
      </c>
      <c r="AA7855">
        <v>0.99911220000000001</v>
      </c>
      <c r="AB7855">
        <v>40</v>
      </c>
      <c r="AC7855">
        <v>-5.8000000000021097E-2</v>
      </c>
      <c r="AD7855">
        <v>-1.1080670433649999</v>
      </c>
      <c r="AE7855">
        <v>32.652209999999997</v>
      </c>
      <c r="AF7855">
        <v>-0.92575827996009397</v>
      </c>
      <c r="AG7855">
        <v>-1.1080670433649999</v>
      </c>
      <c r="AH7855">
        <v>32.601560755995699</v>
      </c>
      <c r="AI7855">
        <v>91.945844993380007</v>
      </c>
      <c r="AJ7855">
        <v>91.626541530754395</v>
      </c>
      <c r="AK7855">
        <v>32.633519649164199</v>
      </c>
      <c r="AL7855">
        <v>88.986519443188598</v>
      </c>
      <c r="AM7855">
        <v>96.127107671847497</v>
      </c>
      <c r="AN7855">
        <v>0.99999998761168096</v>
      </c>
    </row>
    <row r="7856" spans="1:40" x14ac:dyDescent="0.25">
      <c r="A7856" t="str">
        <f>"20190305135115024"</f>
        <v>20190305135115024</v>
      </c>
      <c r="B7856" t="str">
        <f>"1551765075017391"</f>
        <v>1551765075017391</v>
      </c>
      <c r="C7856" t="s">
        <v>40</v>
      </c>
      <c r="D7856">
        <v>4.0308270000000004</v>
      </c>
      <c r="E7856">
        <v>0.52962940000000003</v>
      </c>
      <c r="F7856" t="s">
        <v>42</v>
      </c>
      <c r="G7856">
        <v>-188.5497</v>
      </c>
      <c r="H7856" s="1">
        <v>-2.0811280000000002E-6</v>
      </c>
      <c r="I7856">
        <v>13.884230000000001</v>
      </c>
      <c r="J7856">
        <v>-188.4924</v>
      </c>
      <c r="K7856">
        <v>1.107988</v>
      </c>
      <c r="L7856">
        <v>-18.519259999999999</v>
      </c>
      <c r="M7856">
        <v>2.6899639999999999E-2</v>
      </c>
      <c r="N7856">
        <v>-2.3038300000000002E-3</v>
      </c>
      <c r="O7856">
        <v>0.99963550000000001</v>
      </c>
      <c r="P7856">
        <v>-7.9310240000000004E-2</v>
      </c>
      <c r="Q7856">
        <v>1.442913E-2</v>
      </c>
      <c r="R7856">
        <v>0.99674549999999995</v>
      </c>
      <c r="S7856">
        <v>-4.4403079999999996E-3</v>
      </c>
      <c r="T7856">
        <v>-0.1019273</v>
      </c>
      <c r="U7856">
        <v>3.0112920000000001</v>
      </c>
      <c r="V7856">
        <v>-0.1060895</v>
      </c>
      <c r="W7856">
        <v>1.674747E-2</v>
      </c>
      <c r="X7856">
        <v>0.99421550000000003</v>
      </c>
      <c r="Y7856">
        <v>-2.8371779999999999E-2</v>
      </c>
      <c r="Z7856">
        <v>-3.1501149999999999E-2</v>
      </c>
      <c r="AA7856">
        <v>0.99910100000000002</v>
      </c>
      <c r="AB7856">
        <v>40</v>
      </c>
      <c r="AC7856">
        <v>-5.7299999999997901E-2</v>
      </c>
      <c r="AD7856">
        <v>-1.1079900811279999</v>
      </c>
      <c r="AE7856">
        <v>32.403489999999998</v>
      </c>
      <c r="AF7856">
        <v>-0.927838956311545</v>
      </c>
      <c r="AG7856">
        <v>-1.1079900811279999</v>
      </c>
      <c r="AH7856">
        <v>32.352396783790603</v>
      </c>
      <c r="AI7856">
        <v>91.960667489652096</v>
      </c>
      <c r="AJ7856">
        <v>91.642743469215105</v>
      </c>
      <c r="AK7856">
        <v>32.384658479047602</v>
      </c>
      <c r="AL7856">
        <v>89.040395751683306</v>
      </c>
      <c r="AM7856">
        <v>96.090798640343095</v>
      </c>
      <c r="AN7856">
        <v>0.99999996010094905</v>
      </c>
    </row>
    <row r="7857" spans="1:40" x14ac:dyDescent="0.25">
      <c r="A7857" t="str">
        <f>"20190305135115047"</f>
        <v>20190305135115047</v>
      </c>
      <c r="B7857" t="str">
        <f>"1551765075037612"</f>
        <v>1551765075037612</v>
      </c>
      <c r="C7857" t="s">
        <v>40</v>
      </c>
      <c r="D7857">
        <v>4.0132849999999998</v>
      </c>
      <c r="E7857">
        <v>0.52943499999999999</v>
      </c>
      <c r="F7857" t="s">
        <v>42</v>
      </c>
      <c r="G7857">
        <v>-188.5258</v>
      </c>
      <c r="H7857" s="1">
        <v>-1.668967E-6</v>
      </c>
      <c r="I7857">
        <v>12.91362</v>
      </c>
      <c r="J7857">
        <v>-188.48060000000001</v>
      </c>
      <c r="K7857">
        <v>1.1079049999999999</v>
      </c>
      <c r="L7857">
        <v>-18.09064</v>
      </c>
      <c r="M7857">
        <v>2.7307029999999999E-2</v>
      </c>
      <c r="N7857">
        <v>-2.3492140000000001E-3</v>
      </c>
      <c r="O7857">
        <v>0.99962430000000002</v>
      </c>
      <c r="P7857">
        <v>-7.8297720000000001E-2</v>
      </c>
      <c r="Q7857">
        <v>1.332766E-2</v>
      </c>
      <c r="R7857">
        <v>0.99684099999999998</v>
      </c>
      <c r="S7857">
        <v>-3.2043459999999998E-3</v>
      </c>
      <c r="T7857">
        <v>-0.1061387</v>
      </c>
      <c r="U7857">
        <v>3.0110779999999999</v>
      </c>
      <c r="V7857">
        <v>-0.1054821</v>
      </c>
      <c r="W7857">
        <v>1.571144E-2</v>
      </c>
      <c r="X7857">
        <v>0.99429710000000004</v>
      </c>
      <c r="Y7857">
        <v>-2.836905E-2</v>
      </c>
      <c r="Z7857">
        <v>-3.2852840000000001E-2</v>
      </c>
      <c r="AA7857">
        <v>0.99905750000000004</v>
      </c>
      <c r="AB7857">
        <v>40</v>
      </c>
      <c r="AC7857">
        <v>-4.5199999999994099E-2</v>
      </c>
      <c r="AD7857">
        <v>-1.1079066689670001</v>
      </c>
      <c r="AE7857">
        <v>31.004259999999999</v>
      </c>
      <c r="AF7857">
        <v>-0.89068243909844202</v>
      </c>
      <c r="AG7857">
        <v>-1.1079066689670001</v>
      </c>
      <c r="AH7857">
        <v>30.951940903540599</v>
      </c>
      <c r="AI7857">
        <v>92.049146266947005</v>
      </c>
      <c r="AJ7857">
        <v>91.6483058554102</v>
      </c>
      <c r="AK7857">
        <v>30.9845674181636</v>
      </c>
      <c r="AL7857">
        <v>89.099763778848001</v>
      </c>
      <c r="AM7857">
        <v>96.055693230060697</v>
      </c>
      <c r="AN7857">
        <v>1.0000000229178401</v>
      </c>
    </row>
    <row r="7858" spans="1:40" x14ac:dyDescent="0.25">
      <c r="A7858" t="str">
        <f>"20190305135115068"</f>
        <v>20190305135115068</v>
      </c>
      <c r="B7858" t="str">
        <f>"1551765075057132"</f>
        <v>1551765075057132</v>
      </c>
      <c r="C7858" t="s">
        <v>40</v>
      </c>
      <c r="D7858">
        <v>3.990046</v>
      </c>
      <c r="E7858">
        <v>0.52928730000000002</v>
      </c>
      <c r="F7858" t="s">
        <v>42</v>
      </c>
      <c r="G7858">
        <v>-188.4965</v>
      </c>
      <c r="H7858" s="1">
        <v>-1.6867760000000001E-6</v>
      </c>
      <c r="I7858">
        <v>12.943</v>
      </c>
      <c r="J7858">
        <v>-188.46960000000001</v>
      </c>
      <c r="K7858">
        <v>1.107836</v>
      </c>
      <c r="L7858">
        <v>-17.695399999999999</v>
      </c>
      <c r="M7858">
        <v>2.770688E-2</v>
      </c>
      <c r="N7858">
        <v>-2.39142E-3</v>
      </c>
      <c r="O7858">
        <v>0.99961319999999998</v>
      </c>
      <c r="P7858">
        <v>-7.7526040000000004E-2</v>
      </c>
      <c r="Q7858">
        <v>1.260039E-2</v>
      </c>
      <c r="R7858">
        <v>0.99691070000000004</v>
      </c>
      <c r="S7858">
        <v>-1.5411379999999901E-3</v>
      </c>
      <c r="T7858">
        <v>-0.10748729999999999</v>
      </c>
      <c r="U7858">
        <v>3.010834</v>
      </c>
      <c r="V7858">
        <v>-0.10510899999999999</v>
      </c>
      <c r="W7858">
        <v>1.5041560000000001E-2</v>
      </c>
      <c r="X7858">
        <v>0.99434690000000003</v>
      </c>
      <c r="Y7858">
        <v>-2.821705E-2</v>
      </c>
      <c r="Z7858">
        <v>-3.3259789999999997E-2</v>
      </c>
      <c r="AA7858">
        <v>0.99904839999999995</v>
      </c>
      <c r="AB7858">
        <v>41</v>
      </c>
      <c r="AC7858">
        <v>-2.6899999999983399E-2</v>
      </c>
      <c r="AD7858">
        <v>-1.107837686776</v>
      </c>
      <c r="AE7858">
        <v>30.638400000000001</v>
      </c>
      <c r="AF7858">
        <v>-0.87464305987618096</v>
      </c>
      <c r="AG7858">
        <v>-1.107837686776</v>
      </c>
      <c r="AH7858">
        <v>30.585903198818801</v>
      </c>
      <c r="AI7858">
        <v>92.073529893078799</v>
      </c>
      <c r="AJ7858">
        <v>91.637999776054599</v>
      </c>
      <c r="AK7858">
        <v>30.618454881165199</v>
      </c>
      <c r="AL7858">
        <v>89.138149554222196</v>
      </c>
      <c r="AM7858">
        <v>96.034132009419906</v>
      </c>
      <c r="AN7858">
        <v>0.99999995397392005</v>
      </c>
    </row>
    <row r="7859" spans="1:40" x14ac:dyDescent="0.25">
      <c r="A7859" t="str">
        <f>"20190305135115090"</f>
        <v>20190305135115090</v>
      </c>
      <c r="B7859" t="str">
        <f>"1551765075077631"</f>
        <v>1551765075077631</v>
      </c>
      <c r="C7859" t="s">
        <v>40</v>
      </c>
      <c r="D7859">
        <v>4.01037</v>
      </c>
      <c r="E7859">
        <v>0.52913669999999902</v>
      </c>
      <c r="F7859" t="s">
        <v>42</v>
      </c>
      <c r="G7859">
        <v>-188.47300000000001</v>
      </c>
      <c r="H7859" s="1">
        <v>-1.8095720000000001E-6</v>
      </c>
      <c r="I7859">
        <v>13.21954</v>
      </c>
      <c r="J7859">
        <v>-188.45859999999999</v>
      </c>
      <c r="K7859">
        <v>1.1077760000000001</v>
      </c>
      <c r="L7859">
        <v>-17.309570000000001</v>
      </c>
      <c r="M7859">
        <v>2.8110759999999999E-2</v>
      </c>
      <c r="N7859">
        <v>-2.4330369999999999E-3</v>
      </c>
      <c r="O7859">
        <v>0.99960179999999998</v>
      </c>
      <c r="P7859">
        <v>-7.6690809999999998E-2</v>
      </c>
      <c r="Q7859">
        <v>1.2253409999999999E-2</v>
      </c>
      <c r="R7859">
        <v>0.99697970000000002</v>
      </c>
      <c r="S7859">
        <v>-3.3569339999999902E-4</v>
      </c>
      <c r="T7859">
        <v>-0.1078868</v>
      </c>
      <c r="U7859">
        <v>3.0106510000000002</v>
      </c>
      <c r="V7859">
        <v>-0.10467609999999999</v>
      </c>
      <c r="W7859">
        <v>1.474786E-2</v>
      </c>
      <c r="X7859">
        <v>0.99439699999999998</v>
      </c>
      <c r="Y7859">
        <v>-2.822092E-2</v>
      </c>
      <c r="Z7859">
        <v>-3.3352109999999997E-2</v>
      </c>
      <c r="AA7859">
        <v>0.99904510000000002</v>
      </c>
      <c r="AB7859">
        <v>41</v>
      </c>
      <c r="AC7859">
        <v>-1.4399999999994801E-2</v>
      </c>
      <c r="AD7859">
        <v>-1.1077778095719999</v>
      </c>
      <c r="AE7859">
        <v>30.529109999999999</v>
      </c>
      <c r="AF7859">
        <v>-0.87144597277277802</v>
      </c>
      <c r="AG7859">
        <v>-1.1077778095719999</v>
      </c>
      <c r="AH7859">
        <v>30.476512959366499</v>
      </c>
      <c r="AI7859">
        <v>92.080853702575695</v>
      </c>
      <c r="AJ7859">
        <v>91.637870287743993</v>
      </c>
      <c r="AK7859">
        <v>30.5090876940179</v>
      </c>
      <c r="AL7859">
        <v>89.154979222429702</v>
      </c>
      <c r="AM7859">
        <v>96.009161622430398</v>
      </c>
      <c r="AN7859">
        <v>0.99999998944739399</v>
      </c>
    </row>
    <row r="7860" spans="1:40" x14ac:dyDescent="0.25">
      <c r="A7860" t="str">
        <f>"20190305135115124"</f>
        <v>20190305135115124</v>
      </c>
      <c r="B7860" t="str">
        <f>"1551765075117644"</f>
        <v>1551765075117644</v>
      </c>
      <c r="C7860" t="s">
        <v>40</v>
      </c>
      <c r="D7860">
        <v>3.872868</v>
      </c>
      <c r="E7860">
        <v>0.52889629999999999</v>
      </c>
      <c r="F7860" t="s">
        <v>42</v>
      </c>
      <c r="G7860">
        <v>-188.44659999999999</v>
      </c>
      <c r="H7860" s="1">
        <v>-2.1101419999999998E-6</v>
      </c>
      <c r="I7860">
        <v>13.909269999999999</v>
      </c>
      <c r="J7860">
        <v>-188.4401</v>
      </c>
      <c r="K7860">
        <v>1.107718</v>
      </c>
      <c r="L7860">
        <v>-16.66901</v>
      </c>
      <c r="M7860">
        <v>2.879806E-2</v>
      </c>
      <c r="N7860">
        <v>-2.5028310000000001E-3</v>
      </c>
      <c r="O7860">
        <v>0.99958210000000003</v>
      </c>
      <c r="P7860">
        <v>-7.6543009999999995E-2</v>
      </c>
      <c r="Q7860">
        <v>1.334428E-2</v>
      </c>
      <c r="R7860">
        <v>0.996977</v>
      </c>
      <c r="S7860">
        <v>1.159668E-3</v>
      </c>
      <c r="T7860">
        <v>-0.1068254</v>
      </c>
      <c r="U7860">
        <v>3.0104980000000001</v>
      </c>
      <c r="V7860">
        <v>-0.1052086</v>
      </c>
      <c r="W7860">
        <v>1.592503E-2</v>
      </c>
      <c r="X7860">
        <v>0.9943227</v>
      </c>
      <c r="Y7860">
        <v>-2.8411949999999998E-2</v>
      </c>
      <c r="Z7860">
        <v>-3.2931389999999998E-2</v>
      </c>
      <c r="AA7860">
        <v>0.99905370000000004</v>
      </c>
      <c r="AB7860">
        <v>41</v>
      </c>
      <c r="AC7860">
        <v>-6.4999999999883996E-3</v>
      </c>
      <c r="AD7860">
        <v>-1.107720110142</v>
      </c>
      <c r="AE7860">
        <v>30.578279999999999</v>
      </c>
      <c r="AF7860">
        <v>-0.88593260728370105</v>
      </c>
      <c r="AG7860">
        <v>-1.107720110142</v>
      </c>
      <c r="AH7860">
        <v>30.525351890818499</v>
      </c>
      <c r="AI7860">
        <v>92.077393632565801</v>
      </c>
      <c r="AJ7860">
        <v>91.662419961772997</v>
      </c>
      <c r="AK7860">
        <v>30.558289030725501</v>
      </c>
      <c r="AL7860">
        <v>89.087524461381804</v>
      </c>
      <c r="AM7860">
        <v>96.039953545222104</v>
      </c>
      <c r="AN7860">
        <v>1.00000004391487</v>
      </c>
    </row>
    <row r="7861" spans="1:40" x14ac:dyDescent="0.25">
      <c r="A7861" t="str">
        <f>"20190305135115147"</f>
        <v>20190305135115147</v>
      </c>
      <c r="B7861" t="str">
        <f>"1551765075137723"</f>
        <v>1551765075137723</v>
      </c>
      <c r="C7861" t="s">
        <v>40</v>
      </c>
      <c r="D7861">
        <v>3.9910450000000002</v>
      </c>
      <c r="E7861">
        <v>0.5287309</v>
      </c>
      <c r="F7861" t="s">
        <v>42</v>
      </c>
      <c r="G7861">
        <v>-188.43950000000001</v>
      </c>
      <c r="H7861" s="1">
        <v>-3.008503E-6</v>
      </c>
      <c r="I7861">
        <v>16.000409999999999</v>
      </c>
      <c r="J7861">
        <v>-188.42779999999999</v>
      </c>
      <c r="K7861">
        <v>1.107688</v>
      </c>
      <c r="L7861">
        <v>-16.250699999999998</v>
      </c>
      <c r="M7861">
        <v>2.9255010000000001E-2</v>
      </c>
      <c r="N7861">
        <v>-2.5488450000000001E-3</v>
      </c>
      <c r="O7861">
        <v>0.99956880000000004</v>
      </c>
      <c r="P7861">
        <v>-7.6665759999999999E-2</v>
      </c>
      <c r="Q7861">
        <v>1.337031E-2</v>
      </c>
      <c r="R7861">
        <v>0.99696719999999905</v>
      </c>
      <c r="S7861" s="1">
        <v>6.1035159999999999E-5</v>
      </c>
      <c r="T7861">
        <v>-0.10207579999999999</v>
      </c>
      <c r="U7861">
        <v>3.0104679999999999</v>
      </c>
      <c r="V7861">
        <v>-0.105784</v>
      </c>
      <c r="W7861">
        <v>1.600656E-2</v>
      </c>
      <c r="X7861">
        <v>0.99426029999999999</v>
      </c>
      <c r="Y7861">
        <v>-2.9233490000000001E-2</v>
      </c>
      <c r="Z7861">
        <v>-3.1310999999999999E-2</v>
      </c>
      <c r="AA7861">
        <v>0.99908209999999997</v>
      </c>
      <c r="AB7861">
        <v>41</v>
      </c>
      <c r="AC7861">
        <v>-1.17000000000189E-2</v>
      </c>
      <c r="AD7861">
        <v>-1.1076910085030001</v>
      </c>
      <c r="AE7861">
        <v>32.251109999999997</v>
      </c>
      <c r="AF7861">
        <v>-0.95407907170084605</v>
      </c>
      <c r="AG7861">
        <v>-1.1076910085030001</v>
      </c>
      <c r="AH7861">
        <v>32.198980462935999</v>
      </c>
      <c r="AI7861">
        <v>91.969416126429294</v>
      </c>
      <c r="AJ7861">
        <v>91.697218781438906</v>
      </c>
      <c r="AK7861">
        <v>32.232151481058601</v>
      </c>
      <c r="AL7861">
        <v>89.082852504936895</v>
      </c>
      <c r="AM7861">
        <v>96.073118969712198</v>
      </c>
      <c r="AN7861">
        <v>1.0000000043875601</v>
      </c>
    </row>
    <row r="7862" spans="1:40" x14ac:dyDescent="0.25">
      <c r="A7862" t="str">
        <f>"20190305135115169"</f>
        <v>20190305135115169</v>
      </c>
      <c r="B7862" t="str">
        <f>"1551765075157244"</f>
        <v>1551765075157244</v>
      </c>
      <c r="C7862" t="s">
        <v>40</v>
      </c>
      <c r="D7862">
        <v>3.9772110000000001</v>
      </c>
      <c r="E7862">
        <v>0.52854950000000001</v>
      </c>
      <c r="F7862" t="s">
        <v>42</v>
      </c>
      <c r="G7862">
        <v>-188.44640000000001</v>
      </c>
      <c r="H7862" s="1">
        <v>-3.437227E-6</v>
      </c>
      <c r="I7862">
        <v>17.00263</v>
      </c>
      <c r="J7862">
        <v>-188.4152</v>
      </c>
      <c r="K7862">
        <v>1.107653</v>
      </c>
      <c r="L7862">
        <v>-15.8288299999999</v>
      </c>
      <c r="M7862">
        <v>2.973377E-2</v>
      </c>
      <c r="N7862">
        <v>-2.5956870000000002E-3</v>
      </c>
      <c r="O7862">
        <v>0.99955450000000001</v>
      </c>
      <c r="P7862">
        <v>-7.6916689999999996E-2</v>
      </c>
      <c r="Q7862">
        <v>1.343974E-2</v>
      </c>
      <c r="R7862">
        <v>0.99694689999999997</v>
      </c>
      <c r="S7862">
        <v>-1.6784669999999999E-3</v>
      </c>
      <c r="T7862">
        <v>-0.1002767</v>
      </c>
      <c r="U7862">
        <v>3.010345</v>
      </c>
      <c r="V7862">
        <v>-0.1065087</v>
      </c>
      <c r="W7862">
        <v>1.613291E-2</v>
      </c>
      <c r="X7862">
        <v>0.99418090000000003</v>
      </c>
      <c r="Y7862">
        <v>-3.0289509999999999E-2</v>
      </c>
      <c r="Z7862">
        <v>-3.0668129999999998E-2</v>
      </c>
      <c r="AA7862">
        <v>0.99907060000000003</v>
      </c>
      <c r="AB7862">
        <v>41</v>
      </c>
      <c r="AC7862">
        <v>-3.1200000000012499E-2</v>
      </c>
      <c r="AD7862">
        <v>-1.1076564372269999</v>
      </c>
      <c r="AE7862">
        <v>32.83146</v>
      </c>
      <c r="AF7862">
        <v>-1.0062472187877001</v>
      </c>
      <c r="AG7862">
        <v>-1.1076564372269999</v>
      </c>
      <c r="AH7862">
        <v>32.778706247770401</v>
      </c>
      <c r="AI7862">
        <v>91.934489122425603</v>
      </c>
      <c r="AJ7862">
        <v>91.758324993750804</v>
      </c>
      <c r="AK7862">
        <v>32.812848390925602</v>
      </c>
      <c r="AL7862">
        <v>89.075612260844494</v>
      </c>
      <c r="AM7862">
        <v>96.114894928419005</v>
      </c>
      <c r="AN7862">
        <v>1.0000000179427799</v>
      </c>
    </row>
    <row r="7863" spans="1:40" x14ac:dyDescent="0.25">
      <c r="A7863" t="str">
        <f>"20190305135115191"</f>
        <v>20190305135115191</v>
      </c>
      <c r="B7863" t="str">
        <f>"1551765075187501"</f>
        <v>1551765075187501</v>
      </c>
      <c r="C7863" t="s">
        <v>40</v>
      </c>
      <c r="D7863">
        <v>3.9606110000000001</v>
      </c>
      <c r="E7863">
        <v>0.52831359999999905</v>
      </c>
      <c r="F7863" t="s">
        <v>42</v>
      </c>
      <c r="G7863">
        <v>-188.4606</v>
      </c>
      <c r="H7863" s="1">
        <v>-3.6984590000000002E-6</v>
      </c>
      <c r="I7863">
        <v>17.617470000000001</v>
      </c>
      <c r="J7863">
        <v>-188.4034</v>
      </c>
      <c r="K7863">
        <v>1.107618</v>
      </c>
      <c r="L7863">
        <v>-15.440799999999999</v>
      </c>
      <c r="M7863">
        <v>3.0209260000000002E-2</v>
      </c>
      <c r="N7863">
        <v>-2.6391750000000001E-3</v>
      </c>
      <c r="O7863">
        <v>0.99954010000000004</v>
      </c>
      <c r="P7863">
        <v>-7.7136979999999994E-2</v>
      </c>
      <c r="Q7863">
        <v>1.3475640000000001E-2</v>
      </c>
      <c r="R7863">
        <v>0.99692939999999997</v>
      </c>
      <c r="S7863">
        <v>-4.0893550000000002E-3</v>
      </c>
      <c r="T7863">
        <v>-9.969103E-2</v>
      </c>
      <c r="U7863">
        <v>3.0102229999999999</v>
      </c>
      <c r="V7863">
        <v>-0.10719969999999999</v>
      </c>
      <c r="W7863">
        <v>1.6223499999999998E-2</v>
      </c>
      <c r="X7863">
        <v>0.99410520000000002</v>
      </c>
      <c r="Y7863">
        <v>-3.1565080000000002E-2</v>
      </c>
      <c r="Z7863">
        <v>-3.0430519999999999E-2</v>
      </c>
      <c r="AA7863">
        <v>0.99903830000000005</v>
      </c>
      <c r="AB7863">
        <v>41</v>
      </c>
      <c r="AC7863">
        <v>-5.7199999999994498E-2</v>
      </c>
      <c r="AD7863">
        <v>-1.1076216984589999</v>
      </c>
      <c r="AE7863">
        <v>33.05827</v>
      </c>
      <c r="AF7863">
        <v>-1.05465930648009</v>
      </c>
      <c r="AG7863">
        <v>-1.1076216984589999</v>
      </c>
      <c r="AH7863">
        <v>33.004403567098002</v>
      </c>
      <c r="AI7863">
        <v>91.921134534629502</v>
      </c>
      <c r="AJ7863">
        <v>91.830270056402298</v>
      </c>
      <c r="AK7863">
        <v>33.039821229835901</v>
      </c>
      <c r="AL7863">
        <v>89.070421198907397</v>
      </c>
      <c r="AM7863">
        <v>96.154728310838394</v>
      </c>
      <c r="AN7863">
        <v>1.0000000631496799</v>
      </c>
    </row>
    <row r="7864" spans="1:40" x14ac:dyDescent="0.25">
      <c r="A7864" t="str">
        <f>"20190305135115213"</f>
        <v>20190305135115213</v>
      </c>
      <c r="B7864" t="str">
        <f>"1551765075207020"</f>
        <v>1551765075207020</v>
      </c>
      <c r="C7864" t="s">
        <v>40</v>
      </c>
      <c r="D7864">
        <v>4.3377800000000004</v>
      </c>
      <c r="E7864">
        <v>0.52830059999999901</v>
      </c>
      <c r="F7864" t="s">
        <v>42</v>
      </c>
      <c r="G7864">
        <v>-188.4803</v>
      </c>
      <c r="H7864" s="1">
        <v>-4.1117090000000004E-6</v>
      </c>
      <c r="I7864">
        <v>18.588899999999999</v>
      </c>
      <c r="J7864">
        <v>-188.39</v>
      </c>
      <c r="K7864">
        <v>1.107561</v>
      </c>
      <c r="L7864">
        <v>-15.00958</v>
      </c>
      <c r="M7864">
        <v>3.0793999999999998E-2</v>
      </c>
      <c r="N7864">
        <v>-2.687881E-3</v>
      </c>
      <c r="O7864">
        <v>0.99952209999999997</v>
      </c>
      <c r="P7864">
        <v>-7.7293039999999993E-2</v>
      </c>
      <c r="Q7864">
        <v>1.363843E-2</v>
      </c>
      <c r="R7864">
        <v>0.99691510000000005</v>
      </c>
      <c r="S7864">
        <v>-6.8054200000000004E-3</v>
      </c>
      <c r="T7864">
        <v>-9.7972870000000004E-2</v>
      </c>
      <c r="U7864">
        <v>3.01004</v>
      </c>
      <c r="V7864">
        <v>-0.107934</v>
      </c>
      <c r="W7864">
        <v>1.6449970000000001E-2</v>
      </c>
      <c r="X7864">
        <v>0.99402199999999996</v>
      </c>
      <c r="Y7864">
        <v>-3.3051289999999997E-2</v>
      </c>
      <c r="Z7864">
        <v>-2.9812729999999999E-2</v>
      </c>
      <c r="AA7864">
        <v>0.99900889999999998</v>
      </c>
      <c r="AB7864">
        <v>42</v>
      </c>
      <c r="AC7864">
        <v>-9.03000000000133E-2</v>
      </c>
      <c r="AD7864">
        <v>-1.107565111709</v>
      </c>
      <c r="AE7864">
        <v>33.598479999999903</v>
      </c>
      <c r="AF7864">
        <v>-1.1236714895119799</v>
      </c>
      <c r="AG7864">
        <v>-1.107565111709</v>
      </c>
      <c r="AH7864">
        <v>33.543314789776403</v>
      </c>
      <c r="AI7864">
        <v>91.890100072358706</v>
      </c>
      <c r="AJ7864">
        <v>91.918640649696997</v>
      </c>
      <c r="AK7864">
        <v>33.580400610758801</v>
      </c>
      <c r="AL7864">
        <v>89.0574436737936</v>
      </c>
      <c r="AM7864">
        <v>96.197074917648393</v>
      </c>
      <c r="AN7864">
        <v>1.0000000431764899</v>
      </c>
    </row>
    <row r="7865" spans="1:40" x14ac:dyDescent="0.25">
      <c r="A7865" t="str">
        <f>"20190305135115236"</f>
        <v>20190305135115236</v>
      </c>
      <c r="B7865" t="str">
        <f>"1551765075227517"</f>
        <v>1551765075227517</v>
      </c>
      <c r="C7865" t="s">
        <v>40</v>
      </c>
      <c r="D7865">
        <v>3.9684949999999999</v>
      </c>
      <c r="E7865">
        <v>0.52815310000000004</v>
      </c>
      <c r="F7865" t="s">
        <v>42</v>
      </c>
      <c r="G7865">
        <v>-188.47399999999999</v>
      </c>
      <c r="H7865" s="1">
        <v>-4.5508410000000002E-6</v>
      </c>
      <c r="I7865">
        <v>19.609929999999999</v>
      </c>
      <c r="J7865">
        <v>-188.37639999999999</v>
      </c>
      <c r="K7865">
        <v>1.1075060000000001</v>
      </c>
      <c r="L7865">
        <v>-14.58203</v>
      </c>
      <c r="M7865">
        <v>3.1428690000000002E-2</v>
      </c>
      <c r="N7865">
        <v>-2.7365710000000001E-3</v>
      </c>
      <c r="O7865">
        <v>0.99950220000000001</v>
      </c>
      <c r="P7865">
        <v>-7.7652490000000005E-2</v>
      </c>
      <c r="Q7865">
        <v>1.419078E-2</v>
      </c>
      <c r="R7865">
        <v>0.99687950000000003</v>
      </c>
      <c r="S7865">
        <v>-7.3089599999999998E-3</v>
      </c>
      <c r="T7865">
        <v>-9.6298809999999999E-2</v>
      </c>
      <c r="U7865">
        <v>3.01004</v>
      </c>
      <c r="V7865">
        <v>-0.10892060000000001</v>
      </c>
      <c r="W7865">
        <v>1.706738E-2</v>
      </c>
      <c r="X7865">
        <v>0.99390389999999995</v>
      </c>
      <c r="Y7865">
        <v>-3.3853059999999997E-2</v>
      </c>
      <c r="Z7865">
        <v>-2.9207879999999999E-2</v>
      </c>
      <c r="AA7865">
        <v>0.999</v>
      </c>
      <c r="AB7865">
        <v>42</v>
      </c>
      <c r="AC7865">
        <v>-9.7600000000028303E-2</v>
      </c>
      <c r="AD7865">
        <v>-1.1075105508409999</v>
      </c>
      <c r="AE7865">
        <v>34.191959999999902</v>
      </c>
      <c r="AF7865">
        <v>-1.17093586810047</v>
      </c>
      <c r="AG7865">
        <v>-1.1075105508409999</v>
      </c>
      <c r="AH7865">
        <v>34.136186951933098</v>
      </c>
      <c r="AI7865">
        <v>91.857154414003801</v>
      </c>
      <c r="AJ7865">
        <v>91.964583477296699</v>
      </c>
      <c r="AK7865">
        <v>34.174214402744603</v>
      </c>
      <c r="AL7865">
        <v>89.0220636546604</v>
      </c>
      <c r="AM7865">
        <v>96.254011363249006</v>
      </c>
      <c r="AN7865">
        <v>0.99999997749981595</v>
      </c>
    </row>
    <row r="7866" spans="1:40" x14ac:dyDescent="0.25">
      <c r="A7866" t="str">
        <f>"20190305135115259"</f>
        <v>20190305135115259</v>
      </c>
      <c r="B7866" t="str">
        <f>"1551765075247736"</f>
        <v>1551765075247736</v>
      </c>
      <c r="C7866" t="s">
        <v>40</v>
      </c>
      <c r="D7866">
        <v>3.9600590000000002</v>
      </c>
      <c r="E7866">
        <v>0.52802169999999904</v>
      </c>
      <c r="F7866" t="s">
        <v>42</v>
      </c>
      <c r="G7866">
        <v>-188.4924</v>
      </c>
      <c r="H7866" s="1">
        <v>-8.8491049999999996E-7</v>
      </c>
      <c r="I7866">
        <v>21.069690000000001</v>
      </c>
      <c r="J7866">
        <v>-188.3622</v>
      </c>
      <c r="K7866">
        <v>1.107443</v>
      </c>
      <c r="L7866">
        <v>-14.144170000000001</v>
      </c>
      <c r="M7866">
        <v>3.2146889999999997E-2</v>
      </c>
      <c r="N7866">
        <v>-2.78663E-3</v>
      </c>
      <c r="O7866">
        <v>0.99947929999999996</v>
      </c>
      <c r="P7866">
        <v>-7.75174E-2</v>
      </c>
      <c r="Q7866">
        <v>1.441053E-2</v>
      </c>
      <c r="R7866">
        <v>0.99688679999999996</v>
      </c>
      <c r="S7866">
        <v>-9.7961430000000002E-3</v>
      </c>
      <c r="T7866">
        <v>-9.3502879999999997E-2</v>
      </c>
      <c r="U7866">
        <v>3.0099490000000002</v>
      </c>
      <c r="V7866">
        <v>-0.10949680000000001</v>
      </c>
      <c r="W7866">
        <v>1.7355349999999999E-2</v>
      </c>
      <c r="X7866">
        <v>0.99383560000000004</v>
      </c>
      <c r="Y7866">
        <v>-3.5396770000000001E-2</v>
      </c>
      <c r="Z7866">
        <v>-2.82302E-2</v>
      </c>
      <c r="AA7866">
        <v>0.99897460000000005</v>
      </c>
      <c r="AB7866">
        <v>42</v>
      </c>
      <c r="AC7866">
        <v>-0.13020000000000201</v>
      </c>
      <c r="AD7866">
        <v>-1.1074438849104999</v>
      </c>
      <c r="AE7866">
        <v>35.213859999999997</v>
      </c>
      <c r="AF7866">
        <v>-1.2609060758475501</v>
      </c>
      <c r="AG7866">
        <v>-1.1074438849104999</v>
      </c>
      <c r="AH7866">
        <v>35.1567031195884</v>
      </c>
      <c r="AI7866">
        <v>91.803074535460496</v>
      </c>
      <c r="AJ7866">
        <v>92.054050505811404</v>
      </c>
      <c r="AK7866">
        <v>35.196734086122397</v>
      </c>
      <c r="AL7866">
        <v>89.005561745334902</v>
      </c>
      <c r="AM7866">
        <v>96.287260028283001</v>
      </c>
      <c r="AN7866">
        <v>0.99999997860561096</v>
      </c>
    </row>
    <row r="7867" spans="1:40" x14ac:dyDescent="0.25">
      <c r="A7867" t="str">
        <f>"20190305135115280"</f>
        <v>20190305135115280</v>
      </c>
      <c r="B7867" t="str">
        <f>"1551765075277993"</f>
        <v>1551765075277993</v>
      </c>
      <c r="C7867" t="s">
        <v>40</v>
      </c>
      <c r="D7867">
        <v>4.3145449999999999</v>
      </c>
      <c r="E7867">
        <v>0.52803059999999902</v>
      </c>
      <c r="F7867" t="s">
        <v>42</v>
      </c>
      <c r="G7867">
        <v>-188.48769999999999</v>
      </c>
      <c r="H7867" s="1">
        <v>-1.357532E-6</v>
      </c>
      <c r="I7867">
        <v>22.17191</v>
      </c>
      <c r="J7867">
        <v>-188.34880000000001</v>
      </c>
      <c r="K7867">
        <v>1.10737</v>
      </c>
      <c r="L7867">
        <v>-13.742520000000001</v>
      </c>
      <c r="M7867">
        <v>3.2880029999999998E-2</v>
      </c>
      <c r="N7867">
        <v>-2.83285E-3</v>
      </c>
      <c r="O7867">
        <v>0.99945530000000005</v>
      </c>
      <c r="P7867">
        <v>-7.7687469999999995E-2</v>
      </c>
      <c r="Q7867">
        <v>1.4094399999999899E-2</v>
      </c>
      <c r="R7867">
        <v>0.99687809999999999</v>
      </c>
      <c r="S7867">
        <v>-1.0406489999999999E-2</v>
      </c>
      <c r="T7867">
        <v>-9.1785309999999995E-2</v>
      </c>
      <c r="U7867">
        <v>3.0098880000000001</v>
      </c>
      <c r="V7867">
        <v>-0.1103929</v>
      </c>
      <c r="W7867">
        <v>1.7104569999999999E-2</v>
      </c>
      <c r="X7867">
        <v>0.99374090000000004</v>
      </c>
      <c r="Y7867">
        <v>-3.633248E-2</v>
      </c>
      <c r="Z7867">
        <v>-2.7613740000000001E-2</v>
      </c>
      <c r="AA7867">
        <v>0.99895820000000002</v>
      </c>
      <c r="AB7867">
        <v>42</v>
      </c>
      <c r="AC7867">
        <v>-0.13889999999997801</v>
      </c>
      <c r="AD7867">
        <v>-1.1073713575319999</v>
      </c>
      <c r="AE7867">
        <v>35.914429999999903</v>
      </c>
      <c r="AF7867">
        <v>-1.31844371989478</v>
      </c>
      <c r="AG7867">
        <v>-1.1073713575319999</v>
      </c>
      <c r="AH7867">
        <v>35.856355530849797</v>
      </c>
      <c r="AI7867">
        <v>91.767740639946297</v>
      </c>
      <c r="AJ7867">
        <v>92.105825929802407</v>
      </c>
      <c r="AK7867">
        <v>35.897671193556803</v>
      </c>
      <c r="AL7867">
        <v>89.019932601700702</v>
      </c>
      <c r="AM7867">
        <v>96.338895733474999</v>
      </c>
      <c r="AN7867">
        <v>1.0000000675090499</v>
      </c>
    </row>
    <row r="7868" spans="1:40" x14ac:dyDescent="0.25">
      <c r="A7868" t="str">
        <f>"20190305135115301"</f>
        <v>20190305135115301</v>
      </c>
      <c r="B7868" t="str">
        <f>"1551765075297512"</f>
        <v>1551765075297512</v>
      </c>
      <c r="C7868" t="s">
        <v>40</v>
      </c>
      <c r="D7868">
        <v>3.9399730000000002</v>
      </c>
      <c r="E7868">
        <v>0.52799059999999998</v>
      </c>
      <c r="F7868" t="s">
        <v>42</v>
      </c>
      <c r="G7868">
        <v>-188.47989999999999</v>
      </c>
      <c r="H7868" s="1">
        <v>-1.6158230000000001E-6</v>
      </c>
      <c r="I7868">
        <v>22.77074</v>
      </c>
      <c r="J7868">
        <v>-188.33510000000001</v>
      </c>
      <c r="K7868">
        <v>1.107289</v>
      </c>
      <c r="L7868">
        <v>-13.340909999999999</v>
      </c>
      <c r="M7868">
        <v>3.3691289999999999E-2</v>
      </c>
      <c r="N7868">
        <v>-2.8793970000000001E-3</v>
      </c>
      <c r="O7868">
        <v>0.99942819999999999</v>
      </c>
      <c r="P7868">
        <v>-7.7471929999999994E-2</v>
      </c>
      <c r="Q7868">
        <v>1.444762E-2</v>
      </c>
      <c r="R7868">
        <v>0.99688980000000005</v>
      </c>
      <c r="S7868">
        <v>-1.0803220000000001E-2</v>
      </c>
      <c r="T7868">
        <v>-9.1282730000000006E-2</v>
      </c>
      <c r="U7868">
        <v>3.0098569999999998</v>
      </c>
      <c r="V7868">
        <v>-0.1109806</v>
      </c>
      <c r="W7868">
        <v>1.7525559999999999E-2</v>
      </c>
      <c r="X7868">
        <v>0.993668</v>
      </c>
      <c r="Y7868">
        <v>-3.7275309999999999E-2</v>
      </c>
      <c r="Z7868">
        <v>-2.7399179999999999E-2</v>
      </c>
      <c r="AA7868">
        <v>0.99892930000000002</v>
      </c>
      <c r="AB7868">
        <v>42</v>
      </c>
      <c r="AC7868">
        <v>-0.144799999999975</v>
      </c>
      <c r="AD7868">
        <v>-1.107290615823</v>
      </c>
      <c r="AE7868">
        <v>36.111649999999997</v>
      </c>
      <c r="AF7868">
        <v>-1.3600920745891001</v>
      </c>
      <c r="AG7868">
        <v>-1.107290615823</v>
      </c>
      <c r="AH7868">
        <v>36.052373726182097</v>
      </c>
      <c r="AI7868">
        <v>91.757944873973798</v>
      </c>
      <c r="AJ7868">
        <v>92.160484596021007</v>
      </c>
      <c r="AK7868">
        <v>36.095007885461897</v>
      </c>
      <c r="AL7868">
        <v>88.995807934836193</v>
      </c>
      <c r="AM7868">
        <v>96.372828973965497</v>
      </c>
      <c r="AN7868">
        <v>0.99999996652683598</v>
      </c>
    </row>
    <row r="7869" spans="1:40" x14ac:dyDescent="0.25">
      <c r="A7869" t="str">
        <f>"20190305135115324"</f>
        <v>20190305135115324</v>
      </c>
      <c r="B7869" t="str">
        <f>"1551765075317032"</f>
        <v>1551765075317032</v>
      </c>
      <c r="C7869" t="s">
        <v>40</v>
      </c>
      <c r="D7869">
        <v>3.9244620000000001</v>
      </c>
      <c r="E7869">
        <v>0.52795000000000003</v>
      </c>
      <c r="F7869" t="s">
        <v>42</v>
      </c>
      <c r="G7869">
        <v>-188.46539999999999</v>
      </c>
      <c r="H7869" s="1">
        <v>-2.1551910000000001E-6</v>
      </c>
      <c r="I7869">
        <v>24.022040000000001</v>
      </c>
      <c r="J7869">
        <v>-188.3193</v>
      </c>
      <c r="K7869">
        <v>1.1071959999999901</v>
      </c>
      <c r="L7869">
        <v>-12.890689999999999</v>
      </c>
      <c r="M7869">
        <v>3.4689650000000002E-2</v>
      </c>
      <c r="N7869">
        <v>-2.9318E-3</v>
      </c>
      <c r="O7869">
        <v>0.9993938</v>
      </c>
      <c r="P7869">
        <v>-7.660612E-2</v>
      </c>
      <c r="Q7869">
        <v>1.373076E-2</v>
      </c>
      <c r="R7869">
        <v>0.99696689999999999</v>
      </c>
      <c r="S7869">
        <v>-1.049805E-2</v>
      </c>
      <c r="T7869">
        <v>-8.9199420000000001E-2</v>
      </c>
      <c r="U7869">
        <v>3.009827</v>
      </c>
      <c r="V7869">
        <v>-0.111108399999999</v>
      </c>
      <c r="W7869">
        <v>1.6884779999999999E-2</v>
      </c>
      <c r="X7869">
        <v>0.99366489999999996</v>
      </c>
      <c r="Y7869">
        <v>-3.8172329999999997E-2</v>
      </c>
      <c r="Z7869">
        <v>-2.665462E-2</v>
      </c>
      <c r="AA7869">
        <v>0.99891560000000001</v>
      </c>
      <c r="AB7869">
        <v>43</v>
      </c>
      <c r="AC7869">
        <v>-0.14609999999998899</v>
      </c>
      <c r="AD7869">
        <v>-1.107198155191</v>
      </c>
      <c r="AE7869">
        <v>36.912730000000003</v>
      </c>
      <c r="AF7869">
        <v>-1.42522503890449</v>
      </c>
      <c r="AG7869">
        <v>-1.107198155191</v>
      </c>
      <c r="AH7869">
        <v>36.852289537066703</v>
      </c>
      <c r="AI7869">
        <v>91.719604389743694</v>
      </c>
      <c r="AJ7869">
        <v>92.214752599553606</v>
      </c>
      <c r="AK7869">
        <v>36.896455091108301</v>
      </c>
      <c r="AL7869">
        <v>89.032527445086401</v>
      </c>
      <c r="AM7869">
        <v>96.380126882117196</v>
      </c>
      <c r="AN7869">
        <v>1.0000000529191</v>
      </c>
    </row>
    <row r="7870" spans="1:40" x14ac:dyDescent="0.25">
      <c r="A7870" t="str">
        <f>"20190305135115348"</f>
        <v>20190305135115348</v>
      </c>
      <c r="B7870" t="str">
        <f>"1551765075337094"</f>
        <v>1551765075337094</v>
      </c>
      <c r="C7870" t="s">
        <v>40</v>
      </c>
      <c r="D7870">
        <v>4.2796949999999896</v>
      </c>
      <c r="E7870">
        <v>0.527945</v>
      </c>
      <c r="F7870" t="s">
        <v>42</v>
      </c>
      <c r="G7870">
        <v>-188.42080000000001</v>
      </c>
      <c r="H7870" s="1">
        <v>-2.1201860000000001E-6</v>
      </c>
      <c r="I7870">
        <v>23.921990000000001</v>
      </c>
      <c r="J7870">
        <v>-188.30279999999999</v>
      </c>
      <c r="K7870">
        <v>1.107113</v>
      </c>
      <c r="L7870">
        <v>-12.43683</v>
      </c>
      <c r="M7870">
        <v>3.5777009999999998E-2</v>
      </c>
      <c r="N7870">
        <v>-2.9845480000000001E-3</v>
      </c>
      <c r="O7870">
        <v>0.99935529999999995</v>
      </c>
      <c r="P7870">
        <v>-7.5174030000000003E-2</v>
      </c>
      <c r="Q7870">
        <v>1.379732E-2</v>
      </c>
      <c r="R7870">
        <v>0.99707500000000004</v>
      </c>
      <c r="S7870">
        <v>-8.3007810000000001E-3</v>
      </c>
      <c r="T7870">
        <v>-9.0522409999999998E-2</v>
      </c>
      <c r="U7870">
        <v>3.009735</v>
      </c>
      <c r="V7870">
        <v>-0.11075839999999899</v>
      </c>
      <c r="W7870">
        <v>1.7026389999999999E-2</v>
      </c>
      <c r="X7870">
        <v>0.99370150000000002</v>
      </c>
      <c r="Y7870">
        <v>-3.8530330000000002E-2</v>
      </c>
      <c r="Z7870">
        <v>-2.7039379999999998E-2</v>
      </c>
      <c r="AA7870">
        <v>0.99889150000000004</v>
      </c>
      <c r="AB7870">
        <v>43</v>
      </c>
      <c r="AC7870">
        <v>-0.118000000000023</v>
      </c>
      <c r="AD7870">
        <v>-1.1071151201859999</v>
      </c>
      <c r="AE7870">
        <v>36.358820000000001</v>
      </c>
      <c r="AF7870">
        <v>-1.4174259682558801</v>
      </c>
      <c r="AG7870">
        <v>-1.1071151201859999</v>
      </c>
      <c r="AH7870">
        <v>36.2976668224305</v>
      </c>
      <c r="AI7870">
        <v>91.745707228843301</v>
      </c>
      <c r="AJ7870">
        <v>92.236267233458094</v>
      </c>
      <c r="AK7870">
        <v>36.342198846753902</v>
      </c>
      <c r="AL7870">
        <v>89.024412568192702</v>
      </c>
      <c r="AM7870">
        <v>96.359961606327403</v>
      </c>
      <c r="AN7870">
        <v>0.99999999611462098</v>
      </c>
    </row>
    <row r="7871" spans="1:40" x14ac:dyDescent="0.25">
      <c r="A7871" t="str">
        <f>"20190305135115373"</f>
        <v>20190305135115373</v>
      </c>
      <c r="B7871" t="str">
        <f>"1551765075367334"</f>
        <v>1551765075367334</v>
      </c>
      <c r="C7871" t="s">
        <v>40</v>
      </c>
      <c r="D7871">
        <v>3.9399250000000001</v>
      </c>
      <c r="E7871">
        <v>0.56268280000000004</v>
      </c>
      <c r="F7871" t="s">
        <v>42</v>
      </c>
      <c r="G7871">
        <v>-188.3509</v>
      </c>
      <c r="H7871" s="1">
        <v>-2.4898319999999999E-6</v>
      </c>
      <c r="I7871">
        <v>24.754750000000001</v>
      </c>
      <c r="J7871">
        <v>-188.2859</v>
      </c>
      <c r="K7871">
        <v>1.107035</v>
      </c>
      <c r="L7871">
        <v>-11.98462</v>
      </c>
      <c r="M7871">
        <v>3.6925680000000002E-2</v>
      </c>
      <c r="N7871">
        <v>-3.036679E-3</v>
      </c>
      <c r="O7871">
        <v>0.99931340000000002</v>
      </c>
      <c r="P7871">
        <v>-7.3603139999999997E-2</v>
      </c>
      <c r="Q7871">
        <v>1.26353E-2</v>
      </c>
      <c r="R7871">
        <v>0.99720759999999997</v>
      </c>
      <c r="S7871">
        <v>-3.8909909999999999E-3</v>
      </c>
      <c r="T7871">
        <v>-8.9593530000000005E-2</v>
      </c>
      <c r="U7871">
        <v>3.009735</v>
      </c>
      <c r="V7871">
        <v>-0.1103354</v>
      </c>
      <c r="W7871">
        <v>1.5936479999999999E-2</v>
      </c>
      <c r="X7871">
        <v>0.9937667</v>
      </c>
      <c r="Y7871">
        <v>-3.821538E-2</v>
      </c>
      <c r="Z7871">
        <v>-2.6677880000000001E-2</v>
      </c>
      <c r="AA7871">
        <v>0.9989133</v>
      </c>
      <c r="AB7871">
        <v>43</v>
      </c>
      <c r="AC7871">
        <v>-6.4999999999997699E-2</v>
      </c>
      <c r="AD7871">
        <v>-1.1070374898319999</v>
      </c>
      <c r="AE7871">
        <v>36.739370000000001</v>
      </c>
      <c r="AF7871">
        <v>-1.4202985924687199</v>
      </c>
      <c r="AG7871">
        <v>-1.1070374898319999</v>
      </c>
      <c r="AH7871">
        <v>36.6786116832468</v>
      </c>
      <c r="AI7871">
        <v>91.727488193159004</v>
      </c>
      <c r="AJ7871">
        <v>92.2175451587417</v>
      </c>
      <c r="AK7871">
        <v>36.722790404680197</v>
      </c>
      <c r="AL7871">
        <v>89.086868358862603</v>
      </c>
      <c r="AM7871">
        <v>96.335457721528797</v>
      </c>
      <c r="AN7871">
        <v>1.00000006295841</v>
      </c>
    </row>
    <row r="7872" spans="1:40" x14ac:dyDescent="0.25">
      <c r="A7872" t="str">
        <f>"20190305135115392"</f>
        <v>20190305135115392</v>
      </c>
      <c r="B7872" t="str">
        <f>"1551765075387829"</f>
        <v>1551765075387829</v>
      </c>
      <c r="C7872" t="s">
        <v>40</v>
      </c>
      <c r="D7872">
        <v>3.9163399999999999</v>
      </c>
      <c r="E7872">
        <v>0.56558189999999997</v>
      </c>
      <c r="F7872" t="s">
        <v>42</v>
      </c>
      <c r="G7872">
        <v>-182.8963</v>
      </c>
      <c r="H7872" s="1">
        <v>-4.3896320000000003E-6</v>
      </c>
      <c r="I7872">
        <v>46.927819999999997</v>
      </c>
      <c r="J7872">
        <v>-188.27090000000001</v>
      </c>
      <c r="K7872">
        <v>1.1069739999999999</v>
      </c>
      <c r="L7872">
        <v>-11.59674</v>
      </c>
      <c r="M7872">
        <v>3.7945470000000002E-2</v>
      </c>
      <c r="N7872">
        <v>-3.0810009999999999E-3</v>
      </c>
      <c r="O7872">
        <v>0.99927509999999997</v>
      </c>
      <c r="P7872">
        <v>-7.2297630000000002E-2</v>
      </c>
      <c r="Q7872">
        <v>1.188781E-2</v>
      </c>
      <c r="R7872">
        <v>0.99731219999999998</v>
      </c>
      <c r="S7872">
        <v>0.27716059999999998</v>
      </c>
      <c r="T7872">
        <v>-5.6929470000000003E-2</v>
      </c>
      <c r="U7872">
        <v>3.0295719999999999</v>
      </c>
      <c r="V7872">
        <v>-0.1100484</v>
      </c>
      <c r="W7872">
        <v>1.524706E-2</v>
      </c>
      <c r="X7872">
        <v>0.99380930000000001</v>
      </c>
      <c r="Y7872">
        <v>5.3238250000000001E-2</v>
      </c>
      <c r="Z7872">
        <v>-1.5640060000000001E-2</v>
      </c>
      <c r="AA7872">
        <v>0.99845930000000005</v>
      </c>
      <c r="AB7872">
        <v>43</v>
      </c>
      <c r="AC7872">
        <v>5.3746000000000098</v>
      </c>
      <c r="AD7872">
        <v>-1.10697838963199</v>
      </c>
      <c r="AE7872">
        <v>58.524560000000001</v>
      </c>
      <c r="AF7872">
        <v>3.1488597056752701</v>
      </c>
      <c r="AG7872">
        <v>-1.10697838963199</v>
      </c>
      <c r="AH7872">
        <v>58.665540415227198</v>
      </c>
      <c r="AI7872">
        <v>91.079450207164498</v>
      </c>
      <c r="AJ7872">
        <v>86.927610139226303</v>
      </c>
      <c r="AK7872">
        <v>58.760414828452198</v>
      </c>
      <c r="AL7872">
        <v>89.126373981678995</v>
      </c>
      <c r="AM7872">
        <v>96.318842985972296</v>
      </c>
      <c r="AN7872">
        <v>1.00000002397384</v>
      </c>
    </row>
    <row r="7873" spans="1:40" x14ac:dyDescent="0.25">
      <c r="A7873" t="str">
        <f>"20190305135115414"</f>
        <v>20190305135115414</v>
      </c>
      <c r="B7873" t="str">
        <f>"1551765075407349"</f>
        <v>1551765075407349</v>
      </c>
      <c r="C7873" t="s">
        <v>40</v>
      </c>
      <c r="D7873">
        <v>3.9103159999999999</v>
      </c>
      <c r="E7873">
        <v>0.56657080000000004</v>
      </c>
      <c r="F7873" t="s">
        <v>42</v>
      </c>
      <c r="G7873">
        <v>-183.25059999999999</v>
      </c>
      <c r="H7873" s="1">
        <v>-4.9740180000000002E-6</v>
      </c>
      <c r="I7873">
        <v>38.436570000000003</v>
      </c>
      <c r="J7873">
        <v>-188.25380000000001</v>
      </c>
      <c r="K7873">
        <v>1.1069279999999999</v>
      </c>
      <c r="L7873">
        <v>-11.164429999999999</v>
      </c>
      <c r="M7873">
        <v>3.9107679999999999E-2</v>
      </c>
      <c r="N7873">
        <v>-3.1302399999999998E-3</v>
      </c>
      <c r="O7873">
        <v>0.99923010000000001</v>
      </c>
      <c r="P7873">
        <v>-7.0689859999999993E-2</v>
      </c>
      <c r="Q7873">
        <v>1.28145E-2</v>
      </c>
      <c r="R7873">
        <v>0.99741599999999997</v>
      </c>
      <c r="S7873">
        <v>0.30412289999999997</v>
      </c>
      <c r="T7873">
        <v>-6.7059160000000007E-2</v>
      </c>
      <c r="U7873">
        <v>3.030945</v>
      </c>
      <c r="V7873">
        <v>-0.109597</v>
      </c>
      <c r="W7873">
        <v>1.6235889999999999E-2</v>
      </c>
      <c r="X7873">
        <v>0.99384349999999999</v>
      </c>
      <c r="Y7873">
        <v>6.0828920000000002E-2</v>
      </c>
      <c r="Z7873">
        <v>-1.8894870000000001E-2</v>
      </c>
      <c r="AA7873">
        <v>0.99796929999999995</v>
      </c>
      <c r="AB7873">
        <v>43</v>
      </c>
      <c r="AC7873">
        <v>5.0032000000000201</v>
      </c>
      <c r="AD7873">
        <v>-1.1069329740180001</v>
      </c>
      <c r="AE7873">
        <v>49.600999999999999</v>
      </c>
      <c r="AF7873">
        <v>3.0580752923061501</v>
      </c>
      <c r="AG7873">
        <v>-1.1069329740180001</v>
      </c>
      <c r="AH7873">
        <v>49.734199467113399</v>
      </c>
      <c r="AI7873">
        <v>91.272617676892096</v>
      </c>
      <c r="AJ7873">
        <v>86.481405339942896</v>
      </c>
      <c r="AK7873">
        <v>49.840422567801298</v>
      </c>
      <c r="AL7873">
        <v>89.069711156177306</v>
      </c>
      <c r="AM7873">
        <v>96.292917710945503</v>
      </c>
      <c r="AN7873">
        <v>1.00000000451267</v>
      </c>
    </row>
    <row r="7874" spans="1:40" x14ac:dyDescent="0.25">
      <c r="A7874" t="str">
        <f>"20190305135115436"</f>
        <v>20190305135115436</v>
      </c>
      <c r="B7874" t="str">
        <f>"1551765075427846"</f>
        <v>1551765075427846</v>
      </c>
      <c r="C7874" t="s">
        <v>40</v>
      </c>
      <c r="D7874">
        <v>3.8891339999999999</v>
      </c>
      <c r="E7874">
        <v>0.56675089999999995</v>
      </c>
      <c r="F7874" t="s">
        <v>42</v>
      </c>
      <c r="G7874">
        <v>-183.97710000000001</v>
      </c>
      <c r="H7874" s="1">
        <v>-1.6452879999999901E-6</v>
      </c>
      <c r="I7874">
        <v>29.773710000000001</v>
      </c>
      <c r="J7874">
        <v>-188.23609999999999</v>
      </c>
      <c r="K7874">
        <v>1.106881</v>
      </c>
      <c r="L7874">
        <v>-10.72977</v>
      </c>
      <c r="M7874">
        <v>4.0288490000000003E-2</v>
      </c>
      <c r="N7874">
        <v>-3.1793360000000001E-3</v>
      </c>
      <c r="O7874">
        <v>0.99918309999999999</v>
      </c>
      <c r="P7874">
        <v>-6.8576719999999994E-2</v>
      </c>
      <c r="Q7874">
        <v>1.37518E-2</v>
      </c>
      <c r="R7874">
        <v>0.99755110000000002</v>
      </c>
      <c r="S7874">
        <v>0.31666559999999999</v>
      </c>
      <c r="T7874">
        <v>-8.1963060000000004E-2</v>
      </c>
      <c r="U7874">
        <v>3.0312809999999999</v>
      </c>
      <c r="V7874">
        <v>-0.1086606</v>
      </c>
      <c r="W7874">
        <v>1.7231389999999999E-2</v>
      </c>
      <c r="X7874">
        <v>0.99392959999999997</v>
      </c>
      <c r="Y7874">
        <v>6.3713279999999997E-2</v>
      </c>
      <c r="Z7874">
        <v>-2.372409E-2</v>
      </c>
      <c r="AA7874">
        <v>0.99768619999999997</v>
      </c>
      <c r="AB7874">
        <v>43</v>
      </c>
      <c r="AC7874">
        <v>4.2589999999999799</v>
      </c>
      <c r="AD7874">
        <v>-1.1068826452880001</v>
      </c>
      <c r="AE7874">
        <v>40.503480000000003</v>
      </c>
      <c r="AF7874">
        <v>2.6217732619143099</v>
      </c>
      <c r="AG7874">
        <v>-1.1068826452880001</v>
      </c>
      <c r="AH7874">
        <v>40.612185511315097</v>
      </c>
      <c r="AI7874">
        <v>91.557965044702897</v>
      </c>
      <c r="AJ7874">
        <v>86.306320766322798</v>
      </c>
      <c r="AK7874">
        <v>40.711773435123199</v>
      </c>
      <c r="AL7874">
        <v>89.012665261373797</v>
      </c>
      <c r="AM7874">
        <v>96.239040484992003</v>
      </c>
      <c r="AN7874">
        <v>1.0000000482749201</v>
      </c>
    </row>
    <row r="7875" spans="1:40" x14ac:dyDescent="0.25">
      <c r="A7875" t="str">
        <f>"20190305135115459"</f>
        <v>20190305135115459</v>
      </c>
      <c r="B7875" t="str">
        <f>"1551765075447369"</f>
        <v>1551765075447369</v>
      </c>
      <c r="C7875" t="s">
        <v>40</v>
      </c>
      <c r="D7875">
        <v>3.901751</v>
      </c>
      <c r="E7875">
        <v>0.56726489999999996</v>
      </c>
      <c r="F7875" t="s">
        <v>42</v>
      </c>
      <c r="G7875">
        <v>-184.5241</v>
      </c>
      <c r="H7875" s="1">
        <v>-2.9179160000000001E-6</v>
      </c>
      <c r="I7875">
        <v>23.941040000000001</v>
      </c>
      <c r="J7875">
        <v>-188.21799999999999</v>
      </c>
      <c r="K7875">
        <v>1.106838</v>
      </c>
      <c r="L7875">
        <v>-10.298920000000001</v>
      </c>
      <c r="M7875">
        <v>4.1454900000000003E-2</v>
      </c>
      <c r="N7875">
        <v>-3.2266869999999998E-3</v>
      </c>
      <c r="O7875">
        <v>0.99913510000000005</v>
      </c>
      <c r="P7875">
        <v>-6.6648669999999993E-2</v>
      </c>
      <c r="Q7875">
        <v>1.346486E-2</v>
      </c>
      <c r="R7875">
        <v>0.99768570000000001</v>
      </c>
      <c r="S7875">
        <v>0.32450869999999998</v>
      </c>
      <c r="T7875">
        <v>-9.6766469999999993E-2</v>
      </c>
      <c r="U7875">
        <v>3.0310060000000001</v>
      </c>
      <c r="V7875">
        <v>-0.1078998</v>
      </c>
      <c r="W7875">
        <v>1.6998249999999999E-2</v>
      </c>
      <c r="X7875">
        <v>0.99401649999999997</v>
      </c>
      <c r="Y7875">
        <v>6.5096580000000001E-2</v>
      </c>
      <c r="Z7875">
        <v>-2.8525640000000001E-2</v>
      </c>
      <c r="AA7875">
        <v>0.9974712</v>
      </c>
      <c r="AB7875">
        <v>44</v>
      </c>
      <c r="AC7875">
        <v>3.6938999999999802</v>
      </c>
      <c r="AD7875">
        <v>-1.1068409179159999</v>
      </c>
      <c r="AE7875">
        <v>34.239960000000004</v>
      </c>
      <c r="AF7875">
        <v>2.26895928442524</v>
      </c>
      <c r="AG7875">
        <v>-1.1068409179159999</v>
      </c>
      <c r="AH7875">
        <v>34.3281980200587</v>
      </c>
      <c r="AI7875">
        <v>91.842724762358003</v>
      </c>
      <c r="AJ7875">
        <v>86.218474010337701</v>
      </c>
      <c r="AK7875">
        <v>34.4209013879113</v>
      </c>
      <c r="AL7875">
        <v>89.026025161971901</v>
      </c>
      <c r="AM7875">
        <v>96.195160593483095</v>
      </c>
      <c r="AN7875">
        <v>1.00000005480767</v>
      </c>
    </row>
    <row r="7876" spans="1:40" x14ac:dyDescent="0.25">
      <c r="A7876" t="str">
        <f>"20190305135115480"</f>
        <v>20190305135115480</v>
      </c>
      <c r="B7876" t="str">
        <f>"1551765075467862"</f>
        <v>1551765075467862</v>
      </c>
      <c r="C7876" t="s">
        <v>40</v>
      </c>
      <c r="D7876">
        <v>3.9262229999999998</v>
      </c>
      <c r="E7876">
        <v>0.56742590000000004</v>
      </c>
      <c r="F7876" t="s">
        <v>42</v>
      </c>
      <c r="G7876">
        <v>-184.68459999999999</v>
      </c>
      <c r="H7876" s="1">
        <v>-2.1265249999999999E-6</v>
      </c>
      <c r="I7876">
        <v>21.74098</v>
      </c>
      <c r="J7876">
        <v>-188.19970000000001</v>
      </c>
      <c r="K7876">
        <v>1.1068039999999999</v>
      </c>
      <c r="L7876">
        <v>-9.8732299999999995</v>
      </c>
      <c r="M7876">
        <v>4.2586590000000001E-2</v>
      </c>
      <c r="N7876">
        <v>-3.2706160000000001E-3</v>
      </c>
      <c r="O7876">
        <v>0.99908750000000002</v>
      </c>
      <c r="P7876">
        <v>-6.5486359999999993E-2</v>
      </c>
      <c r="Q7876">
        <v>1.164726E-2</v>
      </c>
      <c r="R7876">
        <v>0.99778549999999999</v>
      </c>
      <c r="S7876">
        <v>0.33422849999999998</v>
      </c>
      <c r="T7876">
        <v>-0.1046976</v>
      </c>
      <c r="U7876">
        <v>3.0307010000000001</v>
      </c>
      <c r="V7876">
        <v>-0.1078731</v>
      </c>
      <c r="W7876">
        <v>1.5229889999999999E-2</v>
      </c>
      <c r="X7876">
        <v>0.99404800000000004</v>
      </c>
      <c r="Y7876">
        <v>6.7129679999999997E-2</v>
      </c>
      <c r="Z7876">
        <v>-3.1074049999999999E-2</v>
      </c>
      <c r="AA7876">
        <v>0.99726029999999999</v>
      </c>
      <c r="AB7876">
        <v>44</v>
      </c>
      <c r="AC7876">
        <v>3.5151000000000101</v>
      </c>
      <c r="AD7876">
        <v>-1.106806126525</v>
      </c>
      <c r="AE7876">
        <v>31.6142099999999</v>
      </c>
      <c r="AF7876">
        <v>2.1629437838643102</v>
      </c>
      <c r="AG7876">
        <v>-1.106806126525</v>
      </c>
      <c r="AH7876">
        <v>31.696849666811801</v>
      </c>
      <c r="AI7876">
        <v>91.995233321903697</v>
      </c>
      <c r="AJ7876">
        <v>86.096276713225507</v>
      </c>
      <c r="AK7876">
        <v>31.7898352372946</v>
      </c>
      <c r="AL7876">
        <v>89.1273578354607</v>
      </c>
      <c r="AM7876">
        <v>96.193444763510996</v>
      </c>
      <c r="AN7876">
        <v>0.99999999077851098</v>
      </c>
    </row>
    <row r="7877" spans="1:40" x14ac:dyDescent="0.25">
      <c r="A7877" t="str">
        <f>"20190305135115503"</f>
        <v>20190305135115503</v>
      </c>
      <c r="B7877" t="str">
        <f>"1551765075497142"</f>
        <v>1551765075497142</v>
      </c>
      <c r="C7877" t="s">
        <v>40</v>
      </c>
      <c r="D7877">
        <v>3.9338980000000001</v>
      </c>
      <c r="E7877">
        <v>0.56763399999999997</v>
      </c>
      <c r="F7877" t="s">
        <v>42</v>
      </c>
      <c r="G7877">
        <v>-184.94900000000001</v>
      </c>
      <c r="H7877" s="1">
        <v>-4.9869700000000003E-6</v>
      </c>
      <c r="I7877">
        <v>19.169029999999999</v>
      </c>
      <c r="J7877">
        <v>-188.179</v>
      </c>
      <c r="K7877">
        <v>1.1067959999999999</v>
      </c>
      <c r="L7877">
        <v>-9.4042659999999998</v>
      </c>
      <c r="M7877">
        <v>4.3788420000000002E-2</v>
      </c>
      <c r="N7877">
        <v>-3.3161670000000001E-3</v>
      </c>
      <c r="O7877">
        <v>0.99903529999999996</v>
      </c>
      <c r="P7877">
        <v>-6.4118800000000004E-2</v>
      </c>
      <c r="Q7877">
        <v>1.103707E-2</v>
      </c>
      <c r="R7877">
        <v>0.99788120000000002</v>
      </c>
      <c r="S7877">
        <v>0.33917239999999999</v>
      </c>
      <c r="T7877">
        <v>-0.11548460000000001</v>
      </c>
      <c r="U7877">
        <v>3.0302730000000002</v>
      </c>
      <c r="V7877">
        <v>-0.1077086</v>
      </c>
      <c r="W7877">
        <v>1.4665859999999999E-2</v>
      </c>
      <c r="X7877">
        <v>0.99407429999999997</v>
      </c>
      <c r="Y7877">
        <v>6.7538689999999998E-2</v>
      </c>
      <c r="Z7877">
        <v>-3.4560510000000003E-2</v>
      </c>
      <c r="AA7877">
        <v>0.9971179</v>
      </c>
      <c r="AB7877">
        <v>44</v>
      </c>
      <c r="AC7877">
        <v>3.22999999999998</v>
      </c>
      <c r="AD7877">
        <v>-1.10680098697</v>
      </c>
      <c r="AE7877">
        <v>28.573295999999999</v>
      </c>
      <c r="AF7877">
        <v>1.9727927352249</v>
      </c>
      <c r="AG7877">
        <v>-1.10680098697</v>
      </c>
      <c r="AH7877">
        <v>28.644888725923799</v>
      </c>
      <c r="AI7877">
        <v>92.207509248040296</v>
      </c>
      <c r="AJ7877">
        <v>86.060222315402001</v>
      </c>
      <c r="AK7877">
        <v>28.734066362446299</v>
      </c>
      <c r="AL7877">
        <v>89.159677969868596</v>
      </c>
      <c r="AM7877">
        <v>96.183911023231701</v>
      </c>
      <c r="AN7877">
        <v>0.99999997194199397</v>
      </c>
    </row>
    <row r="7878" spans="1:40" x14ac:dyDescent="0.25">
      <c r="A7878" t="str">
        <f>"20190305135115527"</f>
        <v>20190305135115527</v>
      </c>
      <c r="B7878" t="str">
        <f>"1551765075517638"</f>
        <v>1551765075517638</v>
      </c>
      <c r="C7878" t="s">
        <v>40</v>
      </c>
      <c r="D7878">
        <v>3.9498180000000001</v>
      </c>
      <c r="E7878">
        <v>0.56758339999999996</v>
      </c>
      <c r="F7878" t="s">
        <v>42</v>
      </c>
      <c r="G7878">
        <v>-185.04750000000001</v>
      </c>
      <c r="H7878" s="1">
        <v>-4.5124490000000001E-6</v>
      </c>
      <c r="I7878">
        <v>18.10361</v>
      </c>
      <c r="J7878">
        <v>-188.1584</v>
      </c>
      <c r="K7878">
        <v>1.106816</v>
      </c>
      <c r="L7878">
        <v>-8.9477840000000004</v>
      </c>
      <c r="M7878">
        <v>4.4891229999999997E-2</v>
      </c>
      <c r="N7878">
        <v>-3.3589549999999998E-3</v>
      </c>
      <c r="O7878">
        <v>0.99898620000000005</v>
      </c>
      <c r="P7878">
        <v>-6.2861059999999996E-2</v>
      </c>
      <c r="Q7878">
        <v>1.1843660000000001E-2</v>
      </c>
      <c r="R7878">
        <v>0.99795199999999995</v>
      </c>
      <c r="S7878">
        <v>0.34492489999999998</v>
      </c>
      <c r="T7878">
        <v>-0.1219094</v>
      </c>
      <c r="U7878">
        <v>3.0298769999999999</v>
      </c>
      <c r="V7878">
        <v>-0.1075503</v>
      </c>
      <c r="W7878">
        <v>1.551072E-2</v>
      </c>
      <c r="X7878">
        <v>0.99407860000000003</v>
      </c>
      <c r="Y7878">
        <v>6.8312380000000006E-2</v>
      </c>
      <c r="Z7878">
        <v>-3.6618779999999997E-2</v>
      </c>
      <c r="AA7878">
        <v>0.99699170000000004</v>
      </c>
      <c r="AB7878">
        <v>44</v>
      </c>
      <c r="AC7878">
        <v>3.11089999999998</v>
      </c>
      <c r="AD7878">
        <v>-1.106820512449</v>
      </c>
      <c r="AE7878">
        <v>27.051393999999998</v>
      </c>
      <c r="AF7878">
        <v>1.89026342355497</v>
      </c>
      <c r="AG7878">
        <v>-1.106820512449</v>
      </c>
      <c r="AH7878">
        <v>27.1189689310559</v>
      </c>
      <c r="AI7878">
        <v>92.331494575374094</v>
      </c>
      <c r="AJ7878">
        <v>86.012782447756805</v>
      </c>
      <c r="AK7878">
        <v>27.207289893349898</v>
      </c>
      <c r="AL7878">
        <v>89.111265529801898</v>
      </c>
      <c r="AM7878">
        <v>96.174866249200093</v>
      </c>
      <c r="AN7878">
        <v>0.99999995622148297</v>
      </c>
    </row>
    <row r="7879" spans="1:40" x14ac:dyDescent="0.25">
      <c r="A7879" t="str">
        <f>"20190305135115552"</f>
        <v>20190305135115552</v>
      </c>
      <c r="B7879" t="str">
        <f>"1551765075547894"</f>
        <v>1551765075547894</v>
      </c>
      <c r="C7879" t="s">
        <v>40</v>
      </c>
      <c r="D7879">
        <v>3.9169749999999999</v>
      </c>
      <c r="E7879">
        <v>0.56821060000000001</v>
      </c>
      <c r="F7879" t="s">
        <v>42</v>
      </c>
      <c r="G7879">
        <v>-185.00829999999999</v>
      </c>
      <c r="H7879" s="1">
        <v>-4.6673939999999998E-6</v>
      </c>
      <c r="I7879">
        <v>18.448599999999999</v>
      </c>
      <c r="J7879">
        <v>-188.136</v>
      </c>
      <c r="K7879">
        <v>1.1068579999999999</v>
      </c>
      <c r="L7879">
        <v>-8.4614259999999994</v>
      </c>
      <c r="M7879">
        <v>4.5963690000000001E-2</v>
      </c>
      <c r="N7879">
        <v>-3.4042090000000001E-3</v>
      </c>
      <c r="O7879">
        <v>0.99893730000000003</v>
      </c>
      <c r="P7879">
        <v>-6.1814540000000001E-2</v>
      </c>
      <c r="Q7879">
        <v>1.290583E-2</v>
      </c>
      <c r="R7879">
        <v>0.99800420000000001</v>
      </c>
      <c r="S7879">
        <v>0.34834290000000001</v>
      </c>
      <c r="T7879">
        <v>-0.12239419999999999</v>
      </c>
      <c r="U7879">
        <v>3.029541</v>
      </c>
      <c r="V7879">
        <v>-0.107573</v>
      </c>
      <c r="W7879">
        <v>1.6607779999999999E-2</v>
      </c>
      <c r="X7879">
        <v>0.99405849999999996</v>
      </c>
      <c r="Y7879">
        <v>6.8363439999999998E-2</v>
      </c>
      <c r="Z7879">
        <v>-3.6731510000000002E-2</v>
      </c>
      <c r="AA7879">
        <v>0.99698410000000004</v>
      </c>
      <c r="AB7879">
        <v>44</v>
      </c>
      <c r="AC7879">
        <v>3.1276999999999999</v>
      </c>
      <c r="AD7879">
        <v>-1.1068626673940001</v>
      </c>
      <c r="AE7879">
        <v>26.910025999999998</v>
      </c>
      <c r="AF7879">
        <v>1.88435751896961</v>
      </c>
      <c r="AG7879">
        <v>-1.1068626673940001</v>
      </c>
      <c r="AH7879">
        <v>26.980308285117999</v>
      </c>
      <c r="AI7879">
        <v>92.343530073527901</v>
      </c>
      <c r="AJ7879">
        <v>86.004838226819203</v>
      </c>
      <c r="AK7879">
        <v>27.0686716220759</v>
      </c>
      <c r="AL7879">
        <v>89.0484005840934</v>
      </c>
      <c r="AM7879">
        <v>96.176283387639899</v>
      </c>
      <c r="AN7879">
        <v>1.00000003505388</v>
      </c>
    </row>
    <row r="7880" spans="1:40" x14ac:dyDescent="0.25">
      <c r="A7880" t="str">
        <f>"20190305135115573"</f>
        <v>20190305135115573</v>
      </c>
      <c r="B7880" t="str">
        <f>"1551765075567415"</f>
        <v>1551765075567415</v>
      </c>
      <c r="C7880" t="s">
        <v>40</v>
      </c>
      <c r="D7880">
        <v>3.920747</v>
      </c>
      <c r="E7880">
        <v>0.56845059999999903</v>
      </c>
      <c r="F7880" t="s">
        <v>42</v>
      </c>
      <c r="G7880">
        <v>-184.7603</v>
      </c>
      <c r="H7880" s="1">
        <v>-1.582144E-6</v>
      </c>
      <c r="I7880">
        <v>20.200489999999999</v>
      </c>
      <c r="J7880">
        <v>-188.11619999999999</v>
      </c>
      <c r="K7880">
        <v>1.1069180000000001</v>
      </c>
      <c r="L7880">
        <v>-8.0419920000000005</v>
      </c>
      <c r="M7880">
        <v>4.6784279999999998E-2</v>
      </c>
      <c r="N7880">
        <v>-3.443261E-3</v>
      </c>
      <c r="O7880">
        <v>0.99889910000000004</v>
      </c>
      <c r="P7880">
        <v>-6.072868E-2</v>
      </c>
      <c r="Q7880">
        <v>1.4358839999999999E-2</v>
      </c>
      <c r="R7880">
        <v>0.99805100000000002</v>
      </c>
      <c r="S7880">
        <v>0.3568115</v>
      </c>
      <c r="T7880">
        <v>-0.1169965</v>
      </c>
      <c r="U7880">
        <v>3.0296020000000001</v>
      </c>
      <c r="V7880">
        <v>-0.10730480000000001</v>
      </c>
      <c r="W7880">
        <v>1.8084800000000002E-2</v>
      </c>
      <c r="X7880">
        <v>0.99406159999999999</v>
      </c>
      <c r="Y7880">
        <v>7.0298730000000004E-2</v>
      </c>
      <c r="Z7880">
        <v>-3.4914199999999999E-2</v>
      </c>
      <c r="AA7880">
        <v>0.99691479999999999</v>
      </c>
      <c r="AB7880">
        <v>44</v>
      </c>
      <c r="AC7880">
        <v>3.3558999999999899</v>
      </c>
      <c r="AD7880">
        <v>-1.1069195821439901</v>
      </c>
      <c r="AE7880">
        <v>28.242481999999999</v>
      </c>
      <c r="AF7880">
        <v>2.0278416579422198</v>
      </c>
      <c r="AG7880">
        <v>-1.1069195821439901</v>
      </c>
      <c r="AH7880">
        <v>28.325654931276201</v>
      </c>
      <c r="AI7880">
        <v>92.232178228034599</v>
      </c>
      <c r="AJ7880">
        <v>85.905164957371596</v>
      </c>
      <c r="AK7880">
        <v>28.419713933056201</v>
      </c>
      <c r="AL7880">
        <v>88.963760715550407</v>
      </c>
      <c r="AM7880">
        <v>96.160984241604197</v>
      </c>
      <c r="AN7880">
        <v>0.999999922344317</v>
      </c>
    </row>
    <row r="7881" spans="1:40" x14ac:dyDescent="0.25">
      <c r="A7881" t="str">
        <f>"20190305135115594"</f>
        <v>20190305135115594</v>
      </c>
      <c r="B7881" t="str">
        <f>"1551765075587910"</f>
        <v>1551765075587910</v>
      </c>
      <c r="C7881" t="s">
        <v>40</v>
      </c>
      <c r="D7881">
        <v>3.8960849999999998</v>
      </c>
      <c r="E7881">
        <v>0.56870719999999997</v>
      </c>
      <c r="F7881" t="s">
        <v>42</v>
      </c>
      <c r="G7881">
        <v>-184.56229999999999</v>
      </c>
      <c r="H7881" s="1">
        <v>-2.14743E-6</v>
      </c>
      <c r="I7881">
        <v>21.706769999999999</v>
      </c>
      <c r="J7881">
        <v>-188.09559999999999</v>
      </c>
      <c r="K7881">
        <v>1.1069869999999999</v>
      </c>
      <c r="L7881">
        <v>-7.6104130000000003</v>
      </c>
      <c r="M7881">
        <v>4.753433E-2</v>
      </c>
      <c r="N7881">
        <v>-3.4839269999999999E-3</v>
      </c>
      <c r="O7881">
        <v>0.99886350000000002</v>
      </c>
      <c r="P7881">
        <v>-5.9222179999999999E-2</v>
      </c>
      <c r="Q7881">
        <v>1.485061E-2</v>
      </c>
      <c r="R7881">
        <v>0.99813439999999998</v>
      </c>
      <c r="S7881">
        <v>0.3619232</v>
      </c>
      <c r="T7881">
        <v>-0.1127249</v>
      </c>
      <c r="U7881">
        <v>3.0295100000000001</v>
      </c>
      <c r="V7881">
        <v>-0.10655199999999999</v>
      </c>
      <c r="W7881">
        <v>1.8597789999999999E-2</v>
      </c>
      <c r="X7881">
        <v>0.99413320000000005</v>
      </c>
      <c r="Y7881">
        <v>7.1217829999999996E-2</v>
      </c>
      <c r="Z7881">
        <v>-3.3469989999999998E-2</v>
      </c>
      <c r="AA7881">
        <v>0.99689910000000004</v>
      </c>
      <c r="AB7881">
        <v>45</v>
      </c>
      <c r="AC7881">
        <v>3.5332999999999899</v>
      </c>
      <c r="AD7881">
        <v>-1.10698914743</v>
      </c>
      <c r="AE7881">
        <v>29.317183</v>
      </c>
      <c r="AF7881">
        <v>2.1327275825201601</v>
      </c>
      <c r="AG7881">
        <v>-1.10698914743</v>
      </c>
      <c r="AH7881">
        <v>29.410664864788199</v>
      </c>
      <c r="AI7881">
        <v>92.1499006335373</v>
      </c>
      <c r="AJ7881">
        <v>85.852430612799694</v>
      </c>
      <c r="AK7881">
        <v>29.508662451942001</v>
      </c>
      <c r="AL7881">
        <v>88.934363702488099</v>
      </c>
      <c r="AM7881">
        <v>96.117653324143703</v>
      </c>
      <c r="AN7881">
        <v>1.0000000129195601</v>
      </c>
    </row>
    <row r="7882" spans="1:40" x14ac:dyDescent="0.25">
      <c r="A7882" t="str">
        <f>"20190305135115615"</f>
        <v>20190305135115615</v>
      </c>
      <c r="B7882" t="str">
        <f>"1551765075607432"</f>
        <v>1551765075607432</v>
      </c>
      <c r="C7882" t="s">
        <v>40</v>
      </c>
      <c r="D7882">
        <v>3.944347</v>
      </c>
      <c r="E7882">
        <v>0.56886740000000002</v>
      </c>
      <c r="F7882" t="s">
        <v>42</v>
      </c>
      <c r="G7882">
        <v>-184.44399999999999</v>
      </c>
      <c r="H7882" s="1">
        <v>-2.4202199999999998E-6</v>
      </c>
      <c r="I7882">
        <v>22.415939999999999</v>
      </c>
      <c r="J7882">
        <v>-188.07480000000001</v>
      </c>
      <c r="K7882">
        <v>1.107054</v>
      </c>
      <c r="L7882">
        <v>-7.1787720000000004</v>
      </c>
      <c r="M7882">
        <v>4.8177909999999997E-2</v>
      </c>
      <c r="N7882">
        <v>-3.5252909999999998E-3</v>
      </c>
      <c r="O7882">
        <v>0.99883250000000001</v>
      </c>
      <c r="P7882">
        <v>-5.7925949999999997E-2</v>
      </c>
      <c r="Q7882">
        <v>1.50501E-2</v>
      </c>
      <c r="R7882">
        <v>0.99820739999999997</v>
      </c>
      <c r="S7882">
        <v>0.36837769999999997</v>
      </c>
      <c r="T7882">
        <v>-0.1116751</v>
      </c>
      <c r="U7882">
        <v>3.0291139999999999</v>
      </c>
      <c r="V7882">
        <v>-0.1059045</v>
      </c>
      <c r="W7882">
        <v>1.8817569999999999E-2</v>
      </c>
      <c r="X7882">
        <v>0.99419829999999998</v>
      </c>
      <c r="Y7882">
        <v>7.2685650000000004E-2</v>
      </c>
      <c r="Z7882">
        <v>-3.3081949999999999E-2</v>
      </c>
      <c r="AA7882">
        <v>0.99680610000000003</v>
      </c>
      <c r="AB7882">
        <v>45</v>
      </c>
      <c r="AC7882">
        <v>3.63079999999999</v>
      </c>
      <c r="AD7882">
        <v>-1.1070564202199999</v>
      </c>
      <c r="AE7882">
        <v>29.594712000000001</v>
      </c>
      <c r="AF7882">
        <v>2.19773376221052</v>
      </c>
      <c r="AG7882">
        <v>-1.1070564202199999</v>
      </c>
      <c r="AH7882">
        <v>29.6943355664203</v>
      </c>
      <c r="AI7882">
        <v>92.129278869384606</v>
      </c>
      <c r="AJ7882">
        <v>85.767148919157293</v>
      </c>
      <c r="AK7882">
        <v>29.796126800949899</v>
      </c>
      <c r="AL7882">
        <v>88.921769084896695</v>
      </c>
      <c r="AM7882">
        <v>96.080361473638305</v>
      </c>
      <c r="AN7882">
        <v>1.00000006189192</v>
      </c>
    </row>
    <row r="7883" spans="1:40" x14ac:dyDescent="0.25">
      <c r="A7883" t="str">
        <f>"20190305135115637"</f>
        <v>20190305135115637</v>
      </c>
      <c r="B7883" t="str">
        <f>"1551765075627926"</f>
        <v>1551765075627926</v>
      </c>
      <c r="C7883" t="s">
        <v>40</v>
      </c>
      <c r="D7883">
        <v>3.9152580000000001</v>
      </c>
      <c r="E7883">
        <v>0.56912069999999904</v>
      </c>
      <c r="F7883" t="s">
        <v>42</v>
      </c>
      <c r="G7883">
        <v>-184.4084</v>
      </c>
      <c r="H7883" s="1">
        <v>-2.4883099999999998E-6</v>
      </c>
      <c r="I7883">
        <v>22.588170000000002</v>
      </c>
      <c r="J7883">
        <v>-188.05330000000001</v>
      </c>
      <c r="K7883">
        <v>1.1071409999999999</v>
      </c>
      <c r="L7883">
        <v>-6.7382200000000001</v>
      </c>
      <c r="M7883">
        <v>4.8711829999999998E-2</v>
      </c>
      <c r="N7883">
        <v>-3.5682270000000002E-3</v>
      </c>
      <c r="O7883">
        <v>0.99880650000000004</v>
      </c>
      <c r="P7883">
        <v>-5.6797739999999999E-2</v>
      </c>
      <c r="Q7883">
        <v>1.40654E-2</v>
      </c>
      <c r="R7883">
        <v>0.99828660000000002</v>
      </c>
      <c r="S7883">
        <v>0.37304690000000001</v>
      </c>
      <c r="T7883">
        <v>-0.11264159999999999</v>
      </c>
      <c r="U7883">
        <v>3.0287480000000002</v>
      </c>
      <c r="V7883">
        <v>-0.105319</v>
      </c>
      <c r="W7883">
        <v>1.7850709999999999E-2</v>
      </c>
      <c r="X7883">
        <v>0.99427829999999995</v>
      </c>
      <c r="Y7883">
        <v>7.3679659999999994E-2</v>
      </c>
      <c r="Z7883">
        <v>-3.3353920000000002E-2</v>
      </c>
      <c r="AA7883">
        <v>0.9967241</v>
      </c>
      <c r="AB7883">
        <v>45</v>
      </c>
      <c r="AC7883">
        <v>3.6448999999999998</v>
      </c>
      <c r="AD7883">
        <v>-1.10714348831</v>
      </c>
      <c r="AE7883">
        <v>29.32639</v>
      </c>
      <c r="AF7883">
        <v>2.20892140120002</v>
      </c>
      <c r="AG7883">
        <v>-1.10714348831</v>
      </c>
      <c r="AH7883">
        <v>29.427822396051301</v>
      </c>
      <c r="AI7883">
        <v>92.148546371931602</v>
      </c>
      <c r="AJ7883">
        <v>85.707294478017999</v>
      </c>
      <c r="AK7883">
        <v>29.531370293874399</v>
      </c>
      <c r="AL7883">
        <v>88.977175370254301</v>
      </c>
      <c r="AM7883">
        <v>96.046512607570406</v>
      </c>
      <c r="AN7883">
        <v>1.0000000387296899</v>
      </c>
    </row>
    <row r="7884" spans="1:40" x14ac:dyDescent="0.25">
      <c r="A7884" t="str">
        <f>"20190305135115652"</f>
        <v>20190305135115652</v>
      </c>
      <c r="B7884" t="str">
        <f>"1551765075647446"</f>
        <v>1551765075647446</v>
      </c>
      <c r="C7884" t="s">
        <v>40</v>
      </c>
      <c r="D7884">
        <v>3.9320170000000001</v>
      </c>
      <c r="E7884">
        <v>0.56924779999999997</v>
      </c>
      <c r="F7884" t="s">
        <v>42</v>
      </c>
      <c r="G7884">
        <v>-184.4606</v>
      </c>
      <c r="H7884" s="1">
        <v>-2.2842659999999998E-6</v>
      </c>
      <c r="I7884">
        <v>22.029409999999999</v>
      </c>
      <c r="J7884">
        <v>-188.03909999999999</v>
      </c>
      <c r="K7884">
        <v>1.1072070000000001</v>
      </c>
      <c r="L7884">
        <v>-6.448944</v>
      </c>
      <c r="M7884">
        <v>4.9000799999999997E-2</v>
      </c>
      <c r="N7884">
        <v>-3.5967820000000002E-3</v>
      </c>
      <c r="O7884">
        <v>0.99879229999999997</v>
      </c>
      <c r="P7884">
        <v>-5.6099339999999998E-2</v>
      </c>
      <c r="Q7884">
        <v>1.338029E-2</v>
      </c>
      <c r="R7884">
        <v>0.99833550000000004</v>
      </c>
      <c r="S7884">
        <v>0.3781891</v>
      </c>
      <c r="T7884">
        <v>-0.1165471</v>
      </c>
      <c r="U7884">
        <v>3.0283199999999999</v>
      </c>
      <c r="V7884">
        <v>-0.1049158</v>
      </c>
      <c r="W7884">
        <v>1.7176090000000001E-2</v>
      </c>
      <c r="X7884">
        <v>0.99433280000000002</v>
      </c>
      <c r="Y7884">
        <v>7.5069339999999998E-2</v>
      </c>
      <c r="Z7884">
        <v>-3.4602290000000001E-2</v>
      </c>
      <c r="AA7884">
        <v>0.99657779999999996</v>
      </c>
      <c r="AB7884">
        <v>45</v>
      </c>
      <c r="AC7884">
        <v>3.5784999999999898</v>
      </c>
      <c r="AD7884">
        <v>-1.107209284266</v>
      </c>
      <c r="AE7884">
        <v>28.478354</v>
      </c>
      <c r="AF7884">
        <v>2.1754928250274301</v>
      </c>
      <c r="AG7884">
        <v>-1.107209284266</v>
      </c>
      <c r="AH7884">
        <v>28.576969344091001</v>
      </c>
      <c r="AI7884">
        <v>92.212409107529894</v>
      </c>
      <c r="AJ7884">
        <v>85.646613270846998</v>
      </c>
      <c r="AK7884">
        <v>28.681036562928199</v>
      </c>
      <c r="AL7884">
        <v>89.015834168981101</v>
      </c>
      <c r="AM7884">
        <v>96.023207108881195</v>
      </c>
      <c r="AN7884">
        <v>1.0000000301565799</v>
      </c>
    </row>
    <row r="7885" spans="1:40" x14ac:dyDescent="0.25">
      <c r="A7885" t="str">
        <f>"20190305135115669"</f>
        <v>20190305135115669</v>
      </c>
      <c r="B7885" t="str">
        <f>"1551765075657206"</f>
        <v>1551765075657206</v>
      </c>
      <c r="C7885" t="s">
        <v>40</v>
      </c>
      <c r="D7885">
        <v>3.9410180000000001</v>
      </c>
      <c r="E7885">
        <v>0.56936969999999898</v>
      </c>
      <c r="F7885" t="s">
        <v>42</v>
      </c>
      <c r="G7885">
        <v>-184.49029999999999</v>
      </c>
      <c r="H7885" s="1">
        <v>-2.172127E-6</v>
      </c>
      <c r="I7885">
        <v>21.72306</v>
      </c>
      <c r="J7885">
        <v>-188.02090000000001</v>
      </c>
      <c r="K7885">
        <v>1.1072930000000001</v>
      </c>
      <c r="L7885">
        <v>-6.0810240000000002</v>
      </c>
      <c r="M7885">
        <v>4.9286610000000002E-2</v>
      </c>
      <c r="N7885">
        <v>-3.6336210000000001E-3</v>
      </c>
      <c r="O7885">
        <v>0.99877800000000005</v>
      </c>
      <c r="P7885">
        <v>-5.6104479999999998E-2</v>
      </c>
      <c r="Q7885">
        <v>1.3543919999999999E-2</v>
      </c>
      <c r="R7885">
        <v>0.99833300000000003</v>
      </c>
      <c r="S7885">
        <v>0.38143919999999998</v>
      </c>
      <c r="T7885">
        <v>-0.1190075</v>
      </c>
      <c r="U7885">
        <v>3.0280459999999998</v>
      </c>
      <c r="V7885">
        <v>-0.1052085</v>
      </c>
      <c r="W7885">
        <v>1.7353919999999998E-2</v>
      </c>
      <c r="X7885">
        <v>0.99429880000000004</v>
      </c>
      <c r="Y7885">
        <v>7.5844590000000003E-2</v>
      </c>
      <c r="Z7885">
        <v>-3.5369699999999997E-2</v>
      </c>
      <c r="AA7885">
        <v>0.99649209999999999</v>
      </c>
      <c r="AB7885">
        <v>45</v>
      </c>
      <c r="AC7885">
        <v>3.5306000000000202</v>
      </c>
      <c r="AD7885">
        <v>-1.1072951721269999</v>
      </c>
      <c r="AE7885">
        <v>27.804084</v>
      </c>
      <c r="AF7885">
        <v>2.15257108567355</v>
      </c>
      <c r="AG7885">
        <v>-1.1072951721269999</v>
      </c>
      <c r="AH7885">
        <v>27.900755999558999</v>
      </c>
      <c r="AI7885">
        <v>92.265973724308196</v>
      </c>
      <c r="AJ7885">
        <v>85.588312945671504</v>
      </c>
      <c r="AK7885">
        <v>28.005568200342299</v>
      </c>
      <c r="AL7885">
        <v>89.005643757013502</v>
      </c>
      <c r="AM7885">
        <v>96.040091955962097</v>
      </c>
      <c r="AN7885">
        <v>1.0000000453465201</v>
      </c>
    </row>
    <row r="7886" spans="1:40" x14ac:dyDescent="0.25">
      <c r="A7886" t="str">
        <f>"20190305135115693"</f>
        <v>20190305135115693</v>
      </c>
      <c r="B7886" t="str">
        <f>"1551765075687463"</f>
        <v>1551765075687463</v>
      </c>
      <c r="C7886" t="s">
        <v>40</v>
      </c>
      <c r="D7886">
        <v>3.9597280000000001</v>
      </c>
      <c r="E7886">
        <v>0.56955019999999901</v>
      </c>
      <c r="F7886" t="s">
        <v>42</v>
      </c>
      <c r="G7886">
        <v>-184.44220000000001</v>
      </c>
      <c r="H7886" s="1">
        <v>-2.3691220000000001E-6</v>
      </c>
      <c r="I7886">
        <v>22.26435</v>
      </c>
      <c r="J7886">
        <v>-187.99709999999999</v>
      </c>
      <c r="K7886">
        <v>1.107426</v>
      </c>
      <c r="L7886">
        <v>-5.6008610000000001</v>
      </c>
      <c r="M7886">
        <v>4.9527349999999998E-2</v>
      </c>
      <c r="N7886">
        <v>-3.6825120000000002E-3</v>
      </c>
      <c r="O7886">
        <v>0.99876600000000004</v>
      </c>
      <c r="P7886">
        <v>-5.6170589999999999E-2</v>
      </c>
      <c r="Q7886">
        <v>1.3486720000000001E-2</v>
      </c>
      <c r="R7886">
        <v>0.9983301</v>
      </c>
      <c r="S7886">
        <v>0.38230900000000001</v>
      </c>
      <c r="T7886">
        <v>-0.1182913</v>
      </c>
      <c r="U7886">
        <v>3.0281069999999999</v>
      </c>
      <c r="V7886">
        <v>-0.10551960000000001</v>
      </c>
      <c r="W7886">
        <v>1.7314349999999999E-2</v>
      </c>
      <c r="X7886">
        <v>0.99426650000000005</v>
      </c>
      <c r="Y7886">
        <v>7.5884720000000003E-2</v>
      </c>
      <c r="Z7886">
        <v>-3.5084539999999997E-2</v>
      </c>
      <c r="AA7886">
        <v>0.99649920000000003</v>
      </c>
      <c r="AB7886">
        <v>45</v>
      </c>
      <c r="AC7886">
        <v>3.5548999999999702</v>
      </c>
      <c r="AD7886">
        <v>-1.1074283691219999</v>
      </c>
      <c r="AE7886">
        <v>27.865210999999999</v>
      </c>
      <c r="AF7886">
        <v>2.1670698968456801</v>
      </c>
      <c r="AG7886">
        <v>-1.1074283691219999</v>
      </c>
      <c r="AH7886">
        <v>27.963619529361701</v>
      </c>
      <c r="AI7886">
        <v>92.261096774631497</v>
      </c>
      <c r="AJ7886">
        <v>85.568660577405694</v>
      </c>
      <c r="AK7886">
        <v>28.069317888282399</v>
      </c>
      <c r="AL7886">
        <v>89.007911269287604</v>
      </c>
      <c r="AM7886">
        <v>96.058015139685395</v>
      </c>
      <c r="AN7886">
        <v>1.0000000228611601</v>
      </c>
    </row>
    <row r="7887" spans="1:40" x14ac:dyDescent="0.25">
      <c r="A7887" t="str">
        <f>"20190305135115706"</f>
        <v>20190305135115706</v>
      </c>
      <c r="B7887" t="str">
        <f>"1551765075697223"</f>
        <v>1551765075697223</v>
      </c>
      <c r="C7887" t="s">
        <v>40</v>
      </c>
      <c r="D7887">
        <v>3.922828</v>
      </c>
      <c r="E7887">
        <v>0.56961669999999998</v>
      </c>
      <c r="F7887" t="s">
        <v>42</v>
      </c>
      <c r="G7887">
        <v>-184.43209999999999</v>
      </c>
      <c r="H7887" s="1">
        <v>-2.4650480000000002E-6</v>
      </c>
      <c r="I7887">
        <v>22.538340000000002</v>
      </c>
      <c r="J7887">
        <v>-187.983</v>
      </c>
      <c r="K7887">
        <v>1.1074999999999999</v>
      </c>
      <c r="L7887">
        <v>-5.3166500000000001</v>
      </c>
      <c r="M7887">
        <v>4.961376E-2</v>
      </c>
      <c r="N7887">
        <v>-3.7117859999999999E-3</v>
      </c>
      <c r="O7887">
        <v>0.99876160000000003</v>
      </c>
      <c r="P7887">
        <v>-5.6006449999999999E-2</v>
      </c>
      <c r="Q7887">
        <v>1.392944E-2</v>
      </c>
      <c r="R7887">
        <v>0.99833320000000003</v>
      </c>
      <c r="S7887">
        <v>0.38365169999999998</v>
      </c>
      <c r="T7887">
        <v>-0.11917709999999999</v>
      </c>
      <c r="U7887">
        <v>3.0282290000000001</v>
      </c>
      <c r="V7887">
        <v>-0.1054443</v>
      </c>
      <c r="W7887">
        <v>1.7767270000000002E-2</v>
      </c>
      <c r="X7887">
        <v>0.99426650000000005</v>
      </c>
      <c r="Y7887">
        <v>7.6227080000000003E-2</v>
      </c>
      <c r="Z7887">
        <v>-3.5341839999999999E-2</v>
      </c>
      <c r="AA7887">
        <v>0.99646400000000002</v>
      </c>
      <c r="AB7887">
        <v>45</v>
      </c>
      <c r="AC7887">
        <v>3.5509000000000102</v>
      </c>
      <c r="AD7887">
        <v>-1.1075024650480001</v>
      </c>
      <c r="AE7887">
        <v>27.854990000000001</v>
      </c>
      <c r="AF7887">
        <v>2.16116485943712</v>
      </c>
      <c r="AG7887">
        <v>-1.1075024650480001</v>
      </c>
      <c r="AH7887">
        <v>27.9533775026737</v>
      </c>
      <c r="AI7887">
        <v>92.262107349541296</v>
      </c>
      <c r="AJ7887">
        <v>85.579074807892198</v>
      </c>
      <c r="AK7887">
        <v>28.058661925807101</v>
      </c>
      <c r="AL7887">
        <v>88.981956873895399</v>
      </c>
      <c r="AM7887">
        <v>96.053724183679293</v>
      </c>
      <c r="AN7887">
        <v>1.00000002465399</v>
      </c>
    </row>
    <row r="7888" spans="1:40" x14ac:dyDescent="0.25">
      <c r="A7888" t="str">
        <f>"20190305135115727"</f>
        <v>20190305135115727</v>
      </c>
      <c r="B7888" t="str">
        <f>"1551765075717718"</f>
        <v>1551765075717718</v>
      </c>
      <c r="C7888" t="s">
        <v>40</v>
      </c>
      <c r="D7888">
        <v>3.9459960000000001</v>
      </c>
      <c r="E7888">
        <v>0.56966740000000005</v>
      </c>
      <c r="F7888" t="s">
        <v>42</v>
      </c>
      <c r="G7888">
        <v>-184.37289999999999</v>
      </c>
      <c r="H7888" s="1">
        <v>-2.675944E-6</v>
      </c>
      <c r="I7888">
        <v>23.111789999999999</v>
      </c>
      <c r="J7888">
        <v>-187.9632</v>
      </c>
      <c r="K7888">
        <v>1.1076029999999999</v>
      </c>
      <c r="L7888">
        <v>-4.9168699999999896</v>
      </c>
      <c r="M7888">
        <v>4.965017E-2</v>
      </c>
      <c r="N7888">
        <v>-3.753447E-3</v>
      </c>
      <c r="O7888">
        <v>0.99875959999999997</v>
      </c>
      <c r="P7888">
        <v>-5.5425509999999997E-2</v>
      </c>
      <c r="Q7888">
        <v>1.32076E-2</v>
      </c>
      <c r="R7888">
        <v>0.99837549999999997</v>
      </c>
      <c r="S7888">
        <v>0.384552</v>
      </c>
      <c r="T7888">
        <v>-0.11797240000000001</v>
      </c>
      <c r="U7888">
        <v>3.0282290000000001</v>
      </c>
      <c r="V7888">
        <v>-0.1049079</v>
      </c>
      <c r="W7888">
        <v>1.705928E-2</v>
      </c>
      <c r="X7888">
        <v>0.99433559999999999</v>
      </c>
      <c r="Y7888">
        <v>7.6484170000000004E-2</v>
      </c>
      <c r="Z7888">
        <v>-3.4905060000000002E-2</v>
      </c>
      <c r="AA7888">
        <v>0.99645969999999995</v>
      </c>
      <c r="AB7888">
        <v>45</v>
      </c>
      <c r="AC7888">
        <v>3.5903000000000098</v>
      </c>
      <c r="AD7888">
        <v>-1.1076056759440001</v>
      </c>
      <c r="AE7888">
        <v>28.028659999999999</v>
      </c>
      <c r="AF7888">
        <v>2.1908683535063598</v>
      </c>
      <c r="AG7888">
        <v>-1.1076056759440001</v>
      </c>
      <c r="AH7888">
        <v>28.129134248143199</v>
      </c>
      <c r="AI7888">
        <v>92.248097808564495</v>
      </c>
      <c r="AJ7888">
        <v>85.546446538671702</v>
      </c>
      <c r="AK7888">
        <v>28.236056523988001</v>
      </c>
      <c r="AL7888">
        <v>89.022527826344202</v>
      </c>
      <c r="AM7888">
        <v>96.022740069110597</v>
      </c>
      <c r="AN7888">
        <v>0.99999998597194395</v>
      </c>
    </row>
    <row r="7889" spans="1:40" x14ac:dyDescent="0.25">
      <c r="A7889" t="str">
        <f>"20190305135115749"</f>
        <v>20190305135115749</v>
      </c>
      <c r="B7889" t="str">
        <f>"1551765075737238"</f>
        <v>1551765075737238</v>
      </c>
      <c r="C7889" t="s">
        <v>40</v>
      </c>
      <c r="D7889">
        <v>3.9663110000000001</v>
      </c>
      <c r="E7889">
        <v>0.56974040000000004</v>
      </c>
      <c r="F7889" t="s">
        <v>42</v>
      </c>
      <c r="G7889">
        <v>-184.4239</v>
      </c>
      <c r="H7889" s="1">
        <v>-2.559315E-6</v>
      </c>
      <c r="I7889">
        <v>22.808949999999999</v>
      </c>
      <c r="J7889">
        <v>-187.9408</v>
      </c>
      <c r="K7889">
        <v>1.107731</v>
      </c>
      <c r="L7889">
        <v>-4.4665220000000003</v>
      </c>
      <c r="M7889">
        <v>4.9573020000000002E-2</v>
      </c>
      <c r="N7889">
        <v>-3.800922E-3</v>
      </c>
      <c r="O7889">
        <v>0.99876330000000002</v>
      </c>
      <c r="P7889">
        <v>-5.5224759999999998E-2</v>
      </c>
      <c r="Q7889">
        <v>1.2323840000000001E-2</v>
      </c>
      <c r="R7889">
        <v>0.99839789999999995</v>
      </c>
      <c r="S7889">
        <v>0.38652039999999999</v>
      </c>
      <c r="T7889">
        <v>-0.12096229999999999</v>
      </c>
      <c r="U7889">
        <v>3.0279539999999998</v>
      </c>
      <c r="V7889">
        <v>-0.1046378</v>
      </c>
      <c r="W7889">
        <v>1.618965E-2</v>
      </c>
      <c r="X7889">
        <v>0.9943786</v>
      </c>
      <c r="Y7889">
        <v>7.7205419999999997E-2</v>
      </c>
      <c r="Z7889">
        <v>-3.5836880000000002E-2</v>
      </c>
      <c r="AA7889">
        <v>0.99637089999999995</v>
      </c>
      <c r="AB7889">
        <v>46</v>
      </c>
      <c r="AC7889">
        <v>3.5168999999999899</v>
      </c>
      <c r="AD7889">
        <v>-1.1077335593149999</v>
      </c>
      <c r="AE7889">
        <v>27.275471999999901</v>
      </c>
      <c r="AF7889">
        <v>2.1569391955960699</v>
      </c>
      <c r="AG7889">
        <v>-1.1077335593149999</v>
      </c>
      <c r="AH7889">
        <v>27.3718721332584</v>
      </c>
      <c r="AI7889">
        <v>92.310328512328596</v>
      </c>
      <c r="AJ7889">
        <v>85.494328719199999</v>
      </c>
      <c r="AK7889">
        <v>27.4790619274272</v>
      </c>
      <c r="AL7889">
        <v>89.072360845072495</v>
      </c>
      <c r="AM7889">
        <v>96.007089346448296</v>
      </c>
      <c r="AN7889">
        <v>0.99999998704696103</v>
      </c>
    </row>
    <row r="7890" spans="1:40" x14ac:dyDescent="0.25">
      <c r="A7890" t="str">
        <f>"20190305135115772"</f>
        <v>20190305135115772</v>
      </c>
      <c r="B7890" t="str">
        <f>"1551765075767493"</f>
        <v>1551765075767493</v>
      </c>
      <c r="C7890" t="s">
        <v>40</v>
      </c>
      <c r="D7890">
        <v>3.94156</v>
      </c>
      <c r="E7890">
        <v>0.56982819999999901</v>
      </c>
      <c r="F7890" t="s">
        <v>42</v>
      </c>
      <c r="G7890">
        <v>-184.49809999999999</v>
      </c>
      <c r="H7890" s="1">
        <v>-2.4068770000000002E-6</v>
      </c>
      <c r="I7890">
        <v>22.419029999999999</v>
      </c>
      <c r="J7890">
        <v>-187.9177</v>
      </c>
      <c r="K7890">
        <v>1.1078749999999999</v>
      </c>
      <c r="L7890">
        <v>-3.9975589999999999</v>
      </c>
      <c r="M7890">
        <v>4.935573E-2</v>
      </c>
      <c r="N7890">
        <v>-3.8556749999999998E-3</v>
      </c>
      <c r="O7890">
        <v>0.99877380000000004</v>
      </c>
      <c r="P7890">
        <v>-5.4882359999999998E-2</v>
      </c>
      <c r="Q7890">
        <v>1.2521279999999999E-2</v>
      </c>
      <c r="R7890">
        <v>0.99841429999999998</v>
      </c>
      <c r="S7890">
        <v>0.38771060000000002</v>
      </c>
      <c r="T7890">
        <v>-0.1247509</v>
      </c>
      <c r="U7890">
        <v>3.0278019999999999</v>
      </c>
      <c r="V7890">
        <v>-0.10408539999999999</v>
      </c>
      <c r="W7890">
        <v>1.6405619999999999E-2</v>
      </c>
      <c r="X7890">
        <v>0.99443300000000001</v>
      </c>
      <c r="Y7890">
        <v>7.7808139999999998E-2</v>
      </c>
      <c r="Z7890">
        <v>-3.7022190000000003E-2</v>
      </c>
      <c r="AA7890">
        <v>0.99628070000000002</v>
      </c>
      <c r="AB7890">
        <v>46</v>
      </c>
      <c r="AC7890">
        <v>3.4196</v>
      </c>
      <c r="AD7890">
        <v>-1.1078774068770001</v>
      </c>
      <c r="AE7890">
        <v>26.416588999999998</v>
      </c>
      <c r="AF7890">
        <v>2.1079660914010301</v>
      </c>
      <c r="AG7890">
        <v>-1.1078774068770001</v>
      </c>
      <c r="AH7890">
        <v>26.507317628010799</v>
      </c>
      <c r="AI7890">
        <v>92.385769744392505</v>
      </c>
      <c r="AJ7890">
        <v>85.453183061508099</v>
      </c>
      <c r="AK7890">
        <v>26.614071489034</v>
      </c>
      <c r="AL7890">
        <v>89.059984999846506</v>
      </c>
      <c r="AM7890">
        <v>95.975282479440494</v>
      </c>
      <c r="AN7890">
        <v>0.999999953174871</v>
      </c>
    </row>
    <row r="7891" spans="1:40" x14ac:dyDescent="0.25">
      <c r="A7891" t="str">
        <f>"20190305135115794"</f>
        <v>20190305135115794</v>
      </c>
      <c r="B7891" t="str">
        <f>"1551765075787990"</f>
        <v>1551765075787990</v>
      </c>
      <c r="C7891" t="s">
        <v>40</v>
      </c>
      <c r="D7891">
        <v>3.9530050000000001</v>
      </c>
      <c r="E7891">
        <v>0.56978600000000001</v>
      </c>
      <c r="F7891" t="s">
        <v>42</v>
      </c>
      <c r="G7891">
        <v>-184.48519999999999</v>
      </c>
      <c r="H7891" s="1">
        <v>-2.5099750000000001E-6</v>
      </c>
      <c r="I7891">
        <v>22.71189</v>
      </c>
      <c r="J7891">
        <v>-187.89500000000001</v>
      </c>
      <c r="K7891">
        <v>1.1080139999999901</v>
      </c>
      <c r="L7891">
        <v>-3.533722</v>
      </c>
      <c r="M7891">
        <v>4.9035429999999998E-2</v>
      </c>
      <c r="N7891">
        <v>-3.9153429999999999E-3</v>
      </c>
      <c r="O7891">
        <v>0.99878940000000005</v>
      </c>
      <c r="P7891">
        <v>-5.4535710000000001E-2</v>
      </c>
      <c r="Q7891">
        <v>1.271128E-2</v>
      </c>
      <c r="R7891">
        <v>0.99843090000000001</v>
      </c>
      <c r="S7891">
        <v>0.38909909999999998</v>
      </c>
      <c r="T7891">
        <v>-0.12558720000000001</v>
      </c>
      <c r="U7891">
        <v>3.0277400000000001</v>
      </c>
      <c r="V7891">
        <v>-0.1034264</v>
      </c>
      <c r="W7891">
        <v>1.66215999999999E-2</v>
      </c>
      <c r="X7891">
        <v>0.9944982</v>
      </c>
      <c r="Y7891">
        <v>7.8578640000000005E-2</v>
      </c>
      <c r="Z7891">
        <v>-3.7235610000000002E-2</v>
      </c>
      <c r="AA7891">
        <v>0.99621230000000005</v>
      </c>
      <c r="AB7891">
        <v>46</v>
      </c>
      <c r="AC7891">
        <v>3.4098000000000099</v>
      </c>
      <c r="AD7891">
        <v>-1.1080165099749999</v>
      </c>
      <c r="AE7891">
        <v>26.245612000000001</v>
      </c>
      <c r="AF7891">
        <v>2.1150163848880501</v>
      </c>
      <c r="AG7891">
        <v>-1.1080165099749999</v>
      </c>
      <c r="AH7891">
        <v>26.335083636967301</v>
      </c>
      <c r="AI7891">
        <v>92.401505791297495</v>
      </c>
      <c r="AJ7891">
        <v>85.408331390973999</v>
      </c>
      <c r="AK7891">
        <v>26.4431016535653</v>
      </c>
      <c r="AL7891">
        <v>89.0476085983194</v>
      </c>
      <c r="AM7891">
        <v>95.9373355751231</v>
      </c>
      <c r="AN7891">
        <v>0.99999998380337896</v>
      </c>
    </row>
    <row r="7892" spans="1:40" x14ac:dyDescent="0.25">
      <c r="A7892" t="str">
        <f>"20190305135115816"</f>
        <v>20190305135115816</v>
      </c>
      <c r="B7892" t="str">
        <f>"1551765075807510"</f>
        <v>1551765075807510</v>
      </c>
      <c r="C7892" t="s">
        <v>40</v>
      </c>
      <c r="D7892">
        <v>3.9715660000000002</v>
      </c>
      <c r="E7892">
        <v>0.56983790000000001</v>
      </c>
      <c r="F7892" t="s">
        <v>42</v>
      </c>
      <c r="G7892">
        <v>-184.45429999999999</v>
      </c>
      <c r="H7892" s="1">
        <v>-2.6814989999999998E-6</v>
      </c>
      <c r="I7892">
        <v>23.191780000000001</v>
      </c>
      <c r="J7892">
        <v>-187.8732</v>
      </c>
      <c r="K7892">
        <v>1.1081259999999999</v>
      </c>
      <c r="L7892">
        <v>-3.0860599999999998</v>
      </c>
      <c r="M7892">
        <v>4.865328E-2</v>
      </c>
      <c r="N7892">
        <v>-3.9757819999999998E-3</v>
      </c>
      <c r="O7892">
        <v>0.99880780000000002</v>
      </c>
      <c r="P7892">
        <v>-5.4258830000000001E-2</v>
      </c>
      <c r="Q7892">
        <v>1.2892290000000001E-2</v>
      </c>
      <c r="R7892">
        <v>0.99844370000000005</v>
      </c>
      <c r="S7892">
        <v>0.38977050000000002</v>
      </c>
      <c r="T7892">
        <v>-0.1255212</v>
      </c>
      <c r="U7892">
        <v>3.0275880000000002</v>
      </c>
      <c r="V7892">
        <v>-0.1027749</v>
      </c>
      <c r="W7892">
        <v>1.6833770000000001E-2</v>
      </c>
      <c r="X7892">
        <v>0.99456219999999995</v>
      </c>
      <c r="Y7892">
        <v>7.9183939999999994E-2</v>
      </c>
      <c r="Z7892">
        <v>-3.715537E-2</v>
      </c>
      <c r="AA7892">
        <v>0.99616740000000004</v>
      </c>
      <c r="AB7892">
        <v>46</v>
      </c>
      <c r="AC7892">
        <v>3.4188999999999998</v>
      </c>
      <c r="AD7892">
        <v>-1.1081286814989999</v>
      </c>
      <c r="AE7892">
        <v>26.277840000000001</v>
      </c>
      <c r="AF7892">
        <v>2.132608540698</v>
      </c>
      <c r="AG7892">
        <v>-1.1081286814989999</v>
      </c>
      <c r="AH7892">
        <v>26.366953969550199</v>
      </c>
      <c r="AI7892">
        <v>92.398739584978301</v>
      </c>
      <c r="AJ7892">
        <v>85.3758761677541</v>
      </c>
      <c r="AK7892">
        <v>26.476257854821501</v>
      </c>
      <c r="AL7892">
        <v>89.035450479370496</v>
      </c>
      <c r="AM7892">
        <v>95.899822989874806</v>
      </c>
      <c r="AN7892">
        <v>1.0000000127756301</v>
      </c>
    </row>
    <row r="7893" spans="1:40" x14ac:dyDescent="0.25">
      <c r="A7893" t="str">
        <f>"20190305135115839"</f>
        <v>20190305135115839</v>
      </c>
      <c r="B7893" t="str">
        <f>"1551765075828006"</f>
        <v>1551765075828006</v>
      </c>
      <c r="C7893" t="s">
        <v>40</v>
      </c>
      <c r="D7893">
        <v>3.9106740000000002</v>
      </c>
      <c r="E7893">
        <v>0.56980900000000001</v>
      </c>
      <c r="F7893" t="s">
        <v>42</v>
      </c>
      <c r="G7893">
        <v>-184.42760000000001</v>
      </c>
      <c r="H7893" s="1">
        <v>-2.8248859999999999E-6</v>
      </c>
      <c r="I7893">
        <v>23.592210000000001</v>
      </c>
      <c r="J7893">
        <v>-187.85040000000001</v>
      </c>
      <c r="K7893">
        <v>1.108239</v>
      </c>
      <c r="L7893">
        <v>-2.6118160000000001</v>
      </c>
      <c r="M7893">
        <v>4.819002E-2</v>
      </c>
      <c r="N7893">
        <v>-4.040666E-3</v>
      </c>
      <c r="O7893">
        <v>0.99883</v>
      </c>
      <c r="P7893">
        <v>-5.4434719999999999E-2</v>
      </c>
      <c r="Q7893">
        <v>1.3391119999999999E-2</v>
      </c>
      <c r="R7893">
        <v>0.99842750000000002</v>
      </c>
      <c r="S7893">
        <v>0.39102170000000003</v>
      </c>
      <c r="T7893">
        <v>-0.12575500000000001</v>
      </c>
      <c r="U7893">
        <v>3.0275569999999998</v>
      </c>
      <c r="V7893">
        <v>-0.10249320000000001</v>
      </c>
      <c r="W7893">
        <v>1.7371080000000001E-2</v>
      </c>
      <c r="X7893">
        <v>0.99458199999999997</v>
      </c>
      <c r="Y7893">
        <v>8.0052170000000006E-2</v>
      </c>
      <c r="Z7893">
        <v>-3.7166379999999999E-2</v>
      </c>
      <c r="AA7893">
        <v>0.99609760000000003</v>
      </c>
      <c r="AB7893">
        <v>46</v>
      </c>
      <c r="AC7893">
        <v>3.4227999999999899</v>
      </c>
      <c r="AD7893">
        <v>-1.108241824886</v>
      </c>
      <c r="AE7893">
        <v>26.204025999999999</v>
      </c>
      <c r="AF7893">
        <v>2.15225529788284</v>
      </c>
      <c r="AG7893">
        <v>-1.108241824886</v>
      </c>
      <c r="AH7893">
        <v>26.292287853083501</v>
      </c>
      <c r="AI7893">
        <v>92.405599219857706</v>
      </c>
      <c r="AJ7893">
        <v>85.320270016761299</v>
      </c>
      <c r="AK7893">
        <v>26.403499831633901</v>
      </c>
      <c r="AL7893">
        <v>89.004660350787802</v>
      </c>
      <c r="AM7893">
        <v>95.883649210259605</v>
      </c>
      <c r="AN7893">
        <v>0.99999998259530298</v>
      </c>
    </row>
    <row r="7894" spans="1:40" x14ac:dyDescent="0.25">
      <c r="A7894" t="str">
        <f>"20190305135115860"</f>
        <v>20190305135115860</v>
      </c>
      <c r="B7894" t="str">
        <f>"1551765075847526"</f>
        <v>1551765075847526</v>
      </c>
      <c r="C7894" t="s">
        <v>40</v>
      </c>
      <c r="D7894">
        <v>3.902183</v>
      </c>
      <c r="E7894">
        <v>0.56974409999999998</v>
      </c>
      <c r="F7894" t="s">
        <v>42</v>
      </c>
      <c r="G7894">
        <v>-184.37549999999999</v>
      </c>
      <c r="H7894" s="1">
        <v>-3.0955260000000001E-6</v>
      </c>
      <c r="I7894">
        <v>24.34676</v>
      </c>
      <c r="J7894">
        <v>-187.8295</v>
      </c>
      <c r="K7894">
        <v>1.1083209999999999</v>
      </c>
      <c r="L7894">
        <v>-2.1734309999999999</v>
      </c>
      <c r="M7894">
        <v>4.7723880000000003E-2</v>
      </c>
      <c r="N7894">
        <v>-4.1002440000000003E-3</v>
      </c>
      <c r="O7894">
        <v>0.99885210000000002</v>
      </c>
      <c r="P7894">
        <v>-5.4634250000000002E-2</v>
      </c>
      <c r="Q7894">
        <v>1.362849E-2</v>
      </c>
      <c r="R7894">
        <v>0.99841340000000001</v>
      </c>
      <c r="S7894">
        <v>0.39025880000000002</v>
      </c>
      <c r="T7894">
        <v>-0.1244651</v>
      </c>
      <c r="U7894">
        <v>3.027679</v>
      </c>
      <c r="V7894">
        <v>-0.102231</v>
      </c>
      <c r="W7894">
        <v>1.7647610000000001E-2</v>
      </c>
      <c r="X7894">
        <v>0.99460409999999999</v>
      </c>
      <c r="Y7894">
        <v>8.0267569999999996E-2</v>
      </c>
      <c r="Z7894">
        <v>-3.6685080000000002E-2</v>
      </c>
      <c r="AA7894">
        <v>0.99609800000000004</v>
      </c>
      <c r="AB7894">
        <v>46</v>
      </c>
      <c r="AC7894">
        <v>3.4540000000000002</v>
      </c>
      <c r="AD7894">
        <v>-1.1083240955260001</v>
      </c>
      <c r="AE7894">
        <v>26.520190999999901</v>
      </c>
      <c r="AF7894">
        <v>2.1806621115557698</v>
      </c>
      <c r="AG7894">
        <v>-1.1083240955260001</v>
      </c>
      <c r="AH7894">
        <v>26.609113275265599</v>
      </c>
      <c r="AI7894">
        <v>92.377147949162307</v>
      </c>
      <c r="AJ7894">
        <v>85.314982973410693</v>
      </c>
      <c r="AK7894">
        <v>26.721313194553499</v>
      </c>
      <c r="AL7894">
        <v>88.988813902120697</v>
      </c>
      <c r="AM7894">
        <v>95.868573247389705</v>
      </c>
      <c r="AN7894">
        <v>0.99999996561825999</v>
      </c>
    </row>
    <row r="7895" spans="1:40" x14ac:dyDescent="0.25">
      <c r="A7895" t="str">
        <f>"20190305135115874"</f>
        <v>20190305135115874</v>
      </c>
      <c r="B7895" t="str">
        <f>"1551765075868022"</f>
        <v>1551765075868022</v>
      </c>
      <c r="C7895" t="s">
        <v>40</v>
      </c>
      <c r="D7895">
        <v>3.9391590000000001</v>
      </c>
      <c r="E7895">
        <v>0.56970849999999995</v>
      </c>
      <c r="F7895" t="s">
        <v>42</v>
      </c>
      <c r="G7895">
        <v>-184.35669999999999</v>
      </c>
      <c r="H7895" s="1">
        <v>-3.2694489999999999E-6</v>
      </c>
      <c r="I7895">
        <v>24.843170000000001</v>
      </c>
      <c r="J7895">
        <v>-187.815</v>
      </c>
      <c r="K7895">
        <v>1.1083719999999999</v>
      </c>
      <c r="L7895">
        <v>-1.8684689999999999</v>
      </c>
      <c r="M7895">
        <v>4.7384750000000003E-2</v>
      </c>
      <c r="N7895">
        <v>-4.14125E-3</v>
      </c>
      <c r="O7895">
        <v>0.99886810000000004</v>
      </c>
      <c r="P7895">
        <v>-5.5152729999999997E-2</v>
      </c>
      <c r="Q7895">
        <v>1.340968E-2</v>
      </c>
      <c r="R7895">
        <v>0.99838789999999999</v>
      </c>
      <c r="S7895">
        <v>0.3891907</v>
      </c>
      <c r="T7895">
        <v>-0.12421069999999999</v>
      </c>
      <c r="U7895">
        <v>3.027771</v>
      </c>
      <c r="V7895">
        <v>-0.102412</v>
      </c>
      <c r="W7895">
        <v>1.7455950000000001E-2</v>
      </c>
      <c r="X7895">
        <v>0.9945889</v>
      </c>
      <c r="Y7895">
        <v>8.0256999999999995E-2</v>
      </c>
      <c r="Z7895">
        <v>-3.6561589999999998E-2</v>
      </c>
      <c r="AA7895">
        <v>0.99610350000000003</v>
      </c>
      <c r="AB7895">
        <v>47</v>
      </c>
      <c r="AC7895">
        <v>3.4582999999999999</v>
      </c>
      <c r="AD7895">
        <v>-1.1083752694489999</v>
      </c>
      <c r="AE7895">
        <v>26.711639000000002</v>
      </c>
      <c r="AF7895">
        <v>2.1849800496047198</v>
      </c>
      <c r="AG7895">
        <v>-1.1083752694489999</v>
      </c>
      <c r="AH7895">
        <v>26.800123031737499</v>
      </c>
      <c r="AI7895">
        <v>92.360414603401793</v>
      </c>
      <c r="AJ7895">
        <v>85.339056497932205</v>
      </c>
      <c r="AK7895">
        <v>26.911878939817001</v>
      </c>
      <c r="AL7895">
        <v>88.999796941848302</v>
      </c>
      <c r="AM7895">
        <v>95.878980064104496</v>
      </c>
      <c r="AN7895">
        <v>1.0000000039688</v>
      </c>
    </row>
    <row r="7896" spans="1:40" x14ac:dyDescent="0.25">
      <c r="A7896" t="str">
        <f>"20190305135115894"</f>
        <v>20190305135115894</v>
      </c>
      <c r="B7896" t="str">
        <f>"1551765075887542"</f>
        <v>1551765075887542</v>
      </c>
      <c r="C7896" t="s">
        <v>40</v>
      </c>
      <c r="D7896">
        <v>3.8816229999999998</v>
      </c>
      <c r="E7896">
        <v>0.56968640000000004</v>
      </c>
      <c r="F7896" t="s">
        <v>42</v>
      </c>
      <c r="G7896">
        <v>-184.38669999999999</v>
      </c>
      <c r="H7896" s="1">
        <v>-3.2964100000000002E-6</v>
      </c>
      <c r="I7896">
        <v>24.94584</v>
      </c>
      <c r="J7896">
        <v>-187.79580000000001</v>
      </c>
      <c r="K7896">
        <v>1.108436</v>
      </c>
      <c r="L7896">
        <v>-1.4581599999999999</v>
      </c>
      <c r="M7896">
        <v>4.6913429999999999E-2</v>
      </c>
      <c r="N7896">
        <v>-4.1957369999999997E-3</v>
      </c>
      <c r="O7896">
        <v>0.99889019999999995</v>
      </c>
      <c r="P7896">
        <v>-5.5698640000000001E-2</v>
      </c>
      <c r="Q7896">
        <v>1.309187E-2</v>
      </c>
      <c r="R7896">
        <v>0.99836179999999997</v>
      </c>
      <c r="S7896">
        <v>0.38713069999999999</v>
      </c>
      <c r="T7896">
        <v>-0.12515989999999999</v>
      </c>
      <c r="U7896">
        <v>3.0279240000000001</v>
      </c>
      <c r="V7896">
        <v>-0.10248930000000001</v>
      </c>
      <c r="W7896">
        <v>1.7177520000000002E-2</v>
      </c>
      <c r="X7896">
        <v>0.99458579999999996</v>
      </c>
      <c r="Y7896">
        <v>8.005292E-2</v>
      </c>
      <c r="Z7896">
        <v>-3.6818969999999999E-2</v>
      </c>
      <c r="AA7896">
        <v>0.99611039999999995</v>
      </c>
      <c r="AB7896">
        <v>47</v>
      </c>
      <c r="AC7896">
        <v>3.40910000000002</v>
      </c>
      <c r="AD7896">
        <v>-1.1084392964100001</v>
      </c>
      <c r="AE7896">
        <v>26.404</v>
      </c>
      <c r="AF7896">
        <v>2.1628841406186798</v>
      </c>
      <c r="AG7896">
        <v>-1.1084392964100001</v>
      </c>
      <c r="AH7896">
        <v>26.488945055705202</v>
      </c>
      <c r="AI7896">
        <v>92.388225471290696</v>
      </c>
      <c r="AJ7896">
        <v>85.332021564257801</v>
      </c>
      <c r="AK7896">
        <v>26.6002051804819</v>
      </c>
      <c r="AL7896">
        <v>89.015752212637096</v>
      </c>
      <c r="AM7896">
        <v>95.883404579165003</v>
      </c>
      <c r="AN7896">
        <v>1.00000001868474</v>
      </c>
    </row>
    <row r="7897" spans="1:40" x14ac:dyDescent="0.25">
      <c r="A7897" t="str">
        <f>"20190305135115916"</f>
        <v>20190305135115916</v>
      </c>
      <c r="B7897" t="str">
        <f>"1551765075908038"</f>
        <v>1551765075908038</v>
      </c>
      <c r="C7897" t="s">
        <v>40</v>
      </c>
      <c r="D7897">
        <v>3.9004490000000001</v>
      </c>
      <c r="E7897">
        <v>0.5696871</v>
      </c>
      <c r="F7897" t="s">
        <v>42</v>
      </c>
      <c r="G7897">
        <v>-184.42080000000001</v>
      </c>
      <c r="H7897" s="1">
        <v>-3.3299699999999902E-6</v>
      </c>
      <c r="I7897">
        <v>25.071110000000001</v>
      </c>
      <c r="J7897">
        <v>-187.7739</v>
      </c>
      <c r="K7897">
        <v>1.108508</v>
      </c>
      <c r="L7897">
        <v>-0.98702999999999996</v>
      </c>
      <c r="M7897">
        <v>4.6360220000000001E-2</v>
      </c>
      <c r="N7897">
        <v>-4.2742070000000004E-3</v>
      </c>
      <c r="O7897">
        <v>0.99891569999999996</v>
      </c>
      <c r="P7897">
        <v>-5.6978710000000002E-2</v>
      </c>
      <c r="Q7897">
        <v>1.340331E-2</v>
      </c>
      <c r="R7897">
        <v>0.99828539999999999</v>
      </c>
      <c r="S7897">
        <v>0.38522339999999999</v>
      </c>
      <c r="T7897">
        <v>-0.1265184</v>
      </c>
      <c r="U7897">
        <v>3.028076</v>
      </c>
      <c r="V7897">
        <v>-0.10321610000000001</v>
      </c>
      <c r="W7897">
        <v>1.7550349999999999E-2</v>
      </c>
      <c r="X7897">
        <v>0.9945041</v>
      </c>
      <c r="Y7897">
        <v>7.9979300000000003E-2</v>
      </c>
      <c r="Z7897">
        <v>-3.7186209999999997E-2</v>
      </c>
      <c r="AA7897">
        <v>0.99610259999999995</v>
      </c>
      <c r="AB7897">
        <v>47</v>
      </c>
      <c r="AC7897">
        <v>3.35309999999998</v>
      </c>
      <c r="AD7897">
        <v>-1.10851132997</v>
      </c>
      <c r="AE7897">
        <v>26.058139999999899</v>
      </c>
      <c r="AF7897">
        <v>2.1376172479357902</v>
      </c>
      <c r="AG7897">
        <v>-1.10851132997</v>
      </c>
      <c r="AH7897">
        <v>26.139041384374501</v>
      </c>
      <c r="AI7897">
        <v>92.420289375791796</v>
      </c>
      <c r="AJ7897">
        <v>85.324828323496206</v>
      </c>
      <c r="AK7897">
        <v>26.2497178910819</v>
      </c>
      <c r="AL7897">
        <v>88.994387379043104</v>
      </c>
      <c r="AM7897">
        <v>95.925314090338503</v>
      </c>
      <c r="AN7897">
        <v>0.99999999150057095</v>
      </c>
    </row>
    <row r="7898" spans="1:40" x14ac:dyDescent="0.25">
      <c r="A7898" t="str">
        <f>"20190305135115931"</f>
        <v>20190305135115931</v>
      </c>
      <c r="B7898" t="str">
        <f>"1551765075927559"</f>
        <v>1551765075927559</v>
      </c>
      <c r="C7898" t="s">
        <v>40</v>
      </c>
      <c r="D7898">
        <v>3.9028770000000002</v>
      </c>
      <c r="E7898">
        <v>0.56973940000000001</v>
      </c>
      <c r="F7898" t="s">
        <v>42</v>
      </c>
      <c r="G7898">
        <v>-184.40549999999999</v>
      </c>
      <c r="H7898" s="1">
        <v>-3.6256000000000001E-6</v>
      </c>
      <c r="I7898">
        <v>25.770879999999998</v>
      </c>
      <c r="J7898">
        <v>-187.7602</v>
      </c>
      <c r="K7898">
        <v>1.108555</v>
      </c>
      <c r="L7898">
        <v>-0.68881230000000004</v>
      </c>
      <c r="M7898">
        <v>4.6007510000000001E-2</v>
      </c>
      <c r="N7898">
        <v>-4.353516E-3</v>
      </c>
      <c r="O7898">
        <v>0.99893160000000003</v>
      </c>
      <c r="P7898">
        <v>-5.7582510000000003E-2</v>
      </c>
      <c r="Q7898">
        <v>1.3357890000000001E-2</v>
      </c>
      <c r="R7898">
        <v>0.99825140000000001</v>
      </c>
      <c r="S7898">
        <v>0.38125609999999999</v>
      </c>
      <c r="T7898">
        <v>-0.12546689999999999</v>
      </c>
      <c r="U7898">
        <v>3.0285950000000001</v>
      </c>
      <c r="V7898">
        <v>-0.1034684</v>
      </c>
      <c r="W7898">
        <v>1.757419E-2</v>
      </c>
      <c r="X7898">
        <v>0.99447750000000001</v>
      </c>
      <c r="Y7898">
        <v>7.9027529999999999E-2</v>
      </c>
      <c r="Z7898">
        <v>-3.6762019999999999E-2</v>
      </c>
      <c r="AA7898">
        <v>0.99619440000000004</v>
      </c>
      <c r="AB7898">
        <v>47</v>
      </c>
      <c r="AC7898">
        <v>3.3546999999999998</v>
      </c>
      <c r="AD7898">
        <v>-1.1085586256</v>
      </c>
      <c r="AE7898">
        <v>26.4596923</v>
      </c>
      <c r="AF7898">
        <v>2.13011171386704</v>
      </c>
      <c r="AG7898">
        <v>-1.1085586256</v>
      </c>
      <c r="AH7898">
        <v>26.540167718812899</v>
      </c>
      <c r="AI7898">
        <v>92.384144496426003</v>
      </c>
      <c r="AJ7898">
        <v>85.411281483428894</v>
      </c>
      <c r="AK7898">
        <v>26.648579337042701</v>
      </c>
      <c r="AL7898">
        <v>88.993021275701196</v>
      </c>
      <c r="AM7898">
        <v>95.939852160488499</v>
      </c>
      <c r="AN7898">
        <v>1.00000002997948</v>
      </c>
    </row>
    <row r="7899" spans="1:40" x14ac:dyDescent="0.25">
      <c r="A7899" t="str">
        <f>"20190305135115949"</f>
        <v>20190305135115949</v>
      </c>
      <c r="B7899" t="str">
        <f>"1551765075937318"</f>
        <v>1551765075937318</v>
      </c>
      <c r="C7899" t="s">
        <v>40</v>
      </c>
      <c r="D7899">
        <v>3.8775200000000001</v>
      </c>
      <c r="E7899">
        <v>0.56975279999999995</v>
      </c>
      <c r="F7899" t="s">
        <v>42</v>
      </c>
      <c r="G7899">
        <v>-184.4014</v>
      </c>
      <c r="H7899" s="1">
        <v>-3.7689719999999999E-6</v>
      </c>
      <c r="I7899">
        <v>26.10342</v>
      </c>
      <c r="J7899">
        <v>-187.74209999999999</v>
      </c>
      <c r="K7899">
        <v>1.1086370000000001</v>
      </c>
      <c r="L7899">
        <v>-0.2919312</v>
      </c>
      <c r="M7899">
        <v>4.5537580000000001E-2</v>
      </c>
      <c r="N7899">
        <v>-4.5568179999999998E-3</v>
      </c>
      <c r="O7899">
        <v>0.99895219999999996</v>
      </c>
      <c r="P7899">
        <v>-5.845036E-2</v>
      </c>
      <c r="Q7899">
        <v>1.247179E-2</v>
      </c>
      <c r="R7899">
        <v>0.9982124</v>
      </c>
      <c r="S7899">
        <v>0.37969969999999997</v>
      </c>
      <c r="T7899">
        <v>-0.12532160000000001</v>
      </c>
      <c r="U7899">
        <v>3.0288390000000001</v>
      </c>
      <c r="V7899">
        <v>-0.103867</v>
      </c>
      <c r="W7899">
        <v>1.6878580000000001E-2</v>
      </c>
      <c r="X7899">
        <v>0.99444790000000005</v>
      </c>
      <c r="Y7899">
        <v>7.8983300000000006E-2</v>
      </c>
      <c r="Z7899">
        <v>-3.6511149999999999E-2</v>
      </c>
      <c r="AA7899">
        <v>0.99620710000000001</v>
      </c>
      <c r="AB7899">
        <v>47</v>
      </c>
      <c r="AC7899">
        <v>3.3406999999999898</v>
      </c>
      <c r="AD7899">
        <v>-1.1086407689719999</v>
      </c>
      <c r="AE7899">
        <v>26.3953512</v>
      </c>
      <c r="AF7899">
        <v>2.1315404398006099</v>
      </c>
      <c r="AG7899">
        <v>-1.1086407689719999</v>
      </c>
      <c r="AH7899">
        <v>26.474130684505599</v>
      </c>
      <c r="AI7899">
        <v>92.390213046273999</v>
      </c>
      <c r="AJ7899">
        <v>85.396812282498701</v>
      </c>
      <c r="AK7899">
        <v>26.582929569583001</v>
      </c>
      <c r="AL7899">
        <v>89.032882613527406</v>
      </c>
      <c r="AM7899">
        <v>95.962746410624504</v>
      </c>
      <c r="AN7899">
        <v>0.99999993298311096</v>
      </c>
    </row>
    <row r="7900" spans="1:40" x14ac:dyDescent="0.25">
      <c r="A7900" t="str">
        <f>"20190305135115965"</f>
        <v>20190305135115965</v>
      </c>
      <c r="B7900" t="str">
        <f>"1551765075957815"</f>
        <v>1551765075957815</v>
      </c>
      <c r="C7900" t="s">
        <v>40</v>
      </c>
      <c r="D7900">
        <v>3.9132069999999999</v>
      </c>
      <c r="E7900">
        <v>0.56977580000000005</v>
      </c>
      <c r="F7900" t="s">
        <v>42</v>
      </c>
      <c r="G7900">
        <v>-184.47479999999999</v>
      </c>
      <c r="H7900" s="1">
        <v>-3.6850630000000001E-6</v>
      </c>
      <c r="I7900">
        <v>25.93817</v>
      </c>
      <c r="J7900">
        <v>-187.7276</v>
      </c>
      <c r="K7900">
        <v>1.1087320000000001</v>
      </c>
      <c r="L7900">
        <v>3.0761719999999999E-2</v>
      </c>
      <c r="M7900">
        <v>4.5156370000000001E-2</v>
      </c>
      <c r="N7900">
        <v>-4.8436649999999996E-3</v>
      </c>
      <c r="O7900">
        <v>0.99896819999999997</v>
      </c>
      <c r="P7900">
        <v>-5.937899E-2</v>
      </c>
      <c r="Q7900">
        <v>1.1990300000000001E-2</v>
      </c>
      <c r="R7900">
        <v>0.99816349999999998</v>
      </c>
      <c r="S7900">
        <v>0.37730409999999998</v>
      </c>
      <c r="T7900">
        <v>-0.1280259</v>
      </c>
      <c r="U7900">
        <v>3.0290530000000002</v>
      </c>
      <c r="V7900">
        <v>-0.1044141</v>
      </c>
      <c r="W7900">
        <v>1.6672139999999998E-2</v>
      </c>
      <c r="X7900">
        <v>0.99439420000000001</v>
      </c>
      <c r="Y7900">
        <v>7.8575779999999998E-2</v>
      </c>
      <c r="Z7900">
        <v>-3.7110440000000001E-2</v>
      </c>
      <c r="AA7900">
        <v>0.99621720000000002</v>
      </c>
      <c r="AB7900">
        <v>47</v>
      </c>
      <c r="AC7900">
        <v>3.2528000000000001</v>
      </c>
      <c r="AD7900">
        <v>-1.1087356850629999</v>
      </c>
      <c r="AE7900">
        <v>25.907408279999999</v>
      </c>
      <c r="AF7900">
        <v>2.0758407079335499</v>
      </c>
      <c r="AG7900">
        <v>-1.1087356850629999</v>
      </c>
      <c r="AH7900">
        <v>25.9810207834132</v>
      </c>
      <c r="AI7900">
        <v>92.4358519079084</v>
      </c>
      <c r="AJ7900">
        <v>85.4318658304134</v>
      </c>
      <c r="AK7900">
        <v>26.087388723522999</v>
      </c>
      <c r="AL7900">
        <v>89.044712526501201</v>
      </c>
      <c r="AM7900">
        <v>95.994247336218294</v>
      </c>
      <c r="AN7900">
        <v>1.0000000447623101</v>
      </c>
    </row>
    <row r="7901" spans="1:40" x14ac:dyDescent="0.25">
      <c r="A7901" t="str">
        <f>"20190305135115985"</f>
        <v>20190305135115985</v>
      </c>
      <c r="B7901" t="str">
        <f>"1551765075977334"</f>
        <v>1551765075977334</v>
      </c>
      <c r="C7901" t="s">
        <v>40</v>
      </c>
      <c r="D7901">
        <v>3.8768210000000001</v>
      </c>
      <c r="E7901">
        <v>0.56975810000000005</v>
      </c>
      <c r="F7901" t="s">
        <v>42</v>
      </c>
      <c r="G7901">
        <v>-184.53039999999999</v>
      </c>
      <c r="H7901" s="1">
        <v>-3.6526840000000002E-6</v>
      </c>
      <c r="I7901">
        <v>25.885670000000001</v>
      </c>
      <c r="J7901">
        <v>-187.7088</v>
      </c>
      <c r="K7901">
        <v>1.1088639999999901</v>
      </c>
      <c r="L7901">
        <v>0.45101930000000001</v>
      </c>
      <c r="M7901">
        <v>4.4655529999999999E-2</v>
      </c>
      <c r="N7901">
        <v>-5.3559619999999997E-3</v>
      </c>
      <c r="O7901">
        <v>0.99898810000000005</v>
      </c>
      <c r="P7901">
        <v>-6.024823E-2</v>
      </c>
      <c r="Q7901">
        <v>1.178129E-2</v>
      </c>
      <c r="R7901">
        <v>0.9981139</v>
      </c>
      <c r="S7901">
        <v>0.37460329999999997</v>
      </c>
      <c r="T7901">
        <v>-0.129908</v>
      </c>
      <c r="U7901">
        <v>3.0293580000000002</v>
      </c>
      <c r="V7901">
        <v>-0.1047829</v>
      </c>
      <c r="W7901">
        <v>1.6966789999999999E-2</v>
      </c>
      <c r="X7901">
        <v>0.99435039999999997</v>
      </c>
      <c r="Y7901">
        <v>7.8186820000000004E-2</v>
      </c>
      <c r="Z7901">
        <v>-3.7215329999999998E-2</v>
      </c>
      <c r="AA7901">
        <v>0.99624389999999996</v>
      </c>
      <c r="AB7901">
        <v>47</v>
      </c>
      <c r="AC7901">
        <v>3.1784000000000101</v>
      </c>
      <c r="AD7901">
        <v>-1.10886765268399</v>
      </c>
      <c r="AE7901">
        <v>25.434650699999999</v>
      </c>
      <c r="AF7901">
        <v>2.03560565862966</v>
      </c>
      <c r="AG7901">
        <v>-1.10886765268399</v>
      </c>
      <c r="AH7901">
        <v>25.503484146347201</v>
      </c>
      <c r="AI7901">
        <v>92.481716236050502</v>
      </c>
      <c r="AJ7901">
        <v>85.436510591269894</v>
      </c>
      <c r="AK7901">
        <v>25.608611470979799</v>
      </c>
      <c r="AL7901">
        <v>89.027827916193601</v>
      </c>
      <c r="AM7901">
        <v>96.015527617839894</v>
      </c>
      <c r="AN7901">
        <v>1.0000000230377299</v>
      </c>
    </row>
    <row r="7902" spans="1:40" x14ac:dyDescent="0.25">
      <c r="A7902" t="str">
        <f>"20190305135116006"</f>
        <v>20190305135116006</v>
      </c>
      <c r="B7902" t="str">
        <f>"1551765075997831"</f>
        <v>1551765075997831</v>
      </c>
      <c r="C7902" t="s">
        <v>40</v>
      </c>
      <c r="D7902">
        <v>3.9059159999999999</v>
      </c>
      <c r="E7902">
        <v>0.56974760000000002</v>
      </c>
      <c r="F7902" t="s">
        <v>42</v>
      </c>
      <c r="G7902">
        <v>-184.56649999999999</v>
      </c>
      <c r="H7902" s="1">
        <v>-3.7241640000000001E-6</v>
      </c>
      <c r="I7902">
        <v>26.067240000000002</v>
      </c>
      <c r="J7902">
        <v>-187.68899999999999</v>
      </c>
      <c r="K7902">
        <v>1.1090199999999999</v>
      </c>
      <c r="L7902">
        <v>0.90054319999999899</v>
      </c>
      <c r="M7902">
        <v>4.4115380000000003E-2</v>
      </c>
      <c r="N7902">
        <v>-6.0823049999999997E-3</v>
      </c>
      <c r="O7902">
        <v>0.99900789999999995</v>
      </c>
      <c r="P7902">
        <v>-6.1343229999999999E-2</v>
      </c>
      <c r="Q7902">
        <v>1.1919020000000001E-2</v>
      </c>
      <c r="R7902">
        <v>0.99804559999999998</v>
      </c>
      <c r="S7902">
        <v>0.3716431</v>
      </c>
      <c r="T7902">
        <v>-0.13114709999999999</v>
      </c>
      <c r="U7902">
        <v>3.0296630000000002</v>
      </c>
      <c r="V7902">
        <v>-0.1053375</v>
      </c>
      <c r="W7902">
        <v>1.782448E-2</v>
      </c>
      <c r="X7902">
        <v>0.99427679999999996</v>
      </c>
      <c r="Y7902">
        <v>7.7754480000000001E-2</v>
      </c>
      <c r="Z7902">
        <v>-3.6896930000000001E-2</v>
      </c>
      <c r="AA7902">
        <v>0.9962896</v>
      </c>
      <c r="AB7902">
        <v>47</v>
      </c>
      <c r="AC7902">
        <v>3.1225000000000298</v>
      </c>
      <c r="AD7902">
        <v>-1.109023724164</v>
      </c>
      <c r="AE7902">
        <v>25.1666968</v>
      </c>
      <c r="AF7902">
        <v>2.0053657929241999</v>
      </c>
      <c r="AG7902">
        <v>-1.109023724164</v>
      </c>
      <c r="AH7902">
        <v>25.231692641406902</v>
      </c>
      <c r="AI7902">
        <v>92.508834671204497</v>
      </c>
      <c r="AJ7902">
        <v>85.455795180758102</v>
      </c>
      <c r="AK7902">
        <v>25.335543000587499</v>
      </c>
      <c r="AL7902">
        <v>88.978678466687398</v>
      </c>
      <c r="AM7902">
        <v>96.047575904400205</v>
      </c>
      <c r="AN7902">
        <v>1.0000000280058701</v>
      </c>
    </row>
    <row r="7903" spans="1:40" x14ac:dyDescent="0.25">
      <c r="A7903" t="str">
        <f>"20190305135116021"</f>
        <v>20190305135116021</v>
      </c>
      <c r="B7903" t="str">
        <f>"1551765076017350"</f>
        <v>1551765076017350</v>
      </c>
      <c r="C7903" t="s">
        <v>40</v>
      </c>
      <c r="D7903">
        <v>3.9078599999999999</v>
      </c>
      <c r="E7903">
        <v>0.56974809999999998</v>
      </c>
      <c r="F7903" t="s">
        <v>42</v>
      </c>
      <c r="G7903">
        <v>-184.57390000000001</v>
      </c>
      <c r="H7903" s="1">
        <v>-3.9221400000000004E-6</v>
      </c>
      <c r="I7903">
        <v>26.531759999999998</v>
      </c>
      <c r="J7903">
        <v>-187.67580000000001</v>
      </c>
      <c r="K7903">
        <v>1.1091150000000001</v>
      </c>
      <c r="L7903">
        <v>1.206604</v>
      </c>
      <c r="M7903">
        <v>4.3736169999999998E-2</v>
      </c>
      <c r="N7903">
        <v>-6.6167480000000004E-3</v>
      </c>
      <c r="O7903">
        <v>0.99902120000000005</v>
      </c>
      <c r="P7903">
        <v>-6.1887629999999999E-2</v>
      </c>
      <c r="Q7903">
        <v>1.11079E-2</v>
      </c>
      <c r="R7903">
        <v>0.9980213</v>
      </c>
      <c r="S7903">
        <v>0.36827090000000001</v>
      </c>
      <c r="T7903">
        <v>-0.13110740000000001</v>
      </c>
      <c r="U7903">
        <v>3.03009</v>
      </c>
      <c r="V7903">
        <v>-0.105503</v>
      </c>
      <c r="W7903">
        <v>1.7545100000000001E-2</v>
      </c>
      <c r="X7903">
        <v>0.99426420000000004</v>
      </c>
      <c r="Y7903">
        <v>7.702465E-2</v>
      </c>
      <c r="Z7903">
        <v>-3.6350140000000003E-2</v>
      </c>
      <c r="AA7903">
        <v>0.99636630000000004</v>
      </c>
      <c r="AB7903">
        <v>47</v>
      </c>
      <c r="AC7903">
        <v>3.1019000000000001</v>
      </c>
      <c r="AD7903">
        <v>-1.10911892214</v>
      </c>
      <c r="AE7903">
        <v>25.325156</v>
      </c>
      <c r="AF7903">
        <v>1.98752637023958</v>
      </c>
      <c r="AG7903">
        <v>-1.10911892214</v>
      </c>
      <c r="AH7903">
        <v>25.388613895879399</v>
      </c>
      <c r="AI7903">
        <v>92.493794617914901</v>
      </c>
      <c r="AJ7903">
        <v>85.523777046211606</v>
      </c>
      <c r="AK7903">
        <v>25.490431958087498</v>
      </c>
      <c r="AL7903">
        <v>88.994688243263596</v>
      </c>
      <c r="AM7903">
        <v>96.057083105205294</v>
      </c>
      <c r="AN7903">
        <v>1.00000000647232</v>
      </c>
    </row>
    <row r="7904" spans="1:40" x14ac:dyDescent="0.25">
      <c r="A7904" t="str">
        <f>"20190305135116039"</f>
        <v>20190305135116039</v>
      </c>
      <c r="B7904" t="str">
        <f>"1551765076028086"</f>
        <v>1551765076028086</v>
      </c>
      <c r="C7904" t="s">
        <v>40</v>
      </c>
      <c r="D7904">
        <v>3.8920940000000002</v>
      </c>
      <c r="E7904">
        <v>0.56977149999999999</v>
      </c>
      <c r="F7904" t="s">
        <v>42</v>
      </c>
      <c r="G7904">
        <v>-184.63570000000001</v>
      </c>
      <c r="H7904" s="1">
        <v>-3.8214119999999999E-6</v>
      </c>
      <c r="I7904">
        <v>26.32253</v>
      </c>
      <c r="J7904">
        <v>-187.6592</v>
      </c>
      <c r="K7904">
        <v>1.109221</v>
      </c>
      <c r="L7904">
        <v>1.59259</v>
      </c>
      <c r="M7904">
        <v>4.3245459999999999E-2</v>
      </c>
      <c r="N7904">
        <v>-7.2690430000000002E-3</v>
      </c>
      <c r="O7904">
        <v>0.99903799999999998</v>
      </c>
      <c r="P7904">
        <v>-6.2518340000000006E-2</v>
      </c>
      <c r="Q7904">
        <v>1.007301E-2</v>
      </c>
      <c r="R7904">
        <v>0.99799300000000002</v>
      </c>
      <c r="S7904">
        <v>0.36677549999999998</v>
      </c>
      <c r="T7904">
        <v>-0.13381279999999901</v>
      </c>
      <c r="U7904">
        <v>3.0301819999999999</v>
      </c>
      <c r="V7904">
        <v>-0.1056426</v>
      </c>
      <c r="W7904">
        <v>1.7159879999999999E-2</v>
      </c>
      <c r="X7904">
        <v>0.99425609999999998</v>
      </c>
      <c r="Y7904">
        <v>7.7023320000000006E-2</v>
      </c>
      <c r="Z7904">
        <v>-3.6585779999999998E-2</v>
      </c>
      <c r="AA7904">
        <v>0.99635779999999996</v>
      </c>
      <c r="AB7904">
        <v>47</v>
      </c>
      <c r="AC7904">
        <v>3.0234999999999799</v>
      </c>
      <c r="AD7904">
        <v>-1.109224821412</v>
      </c>
      <c r="AE7904">
        <v>24.729939999999999</v>
      </c>
      <c r="AF7904">
        <v>1.9473253708032601</v>
      </c>
      <c r="AG7904">
        <v>-1.109224821412</v>
      </c>
      <c r="AH7904">
        <v>24.7884236381303</v>
      </c>
      <c r="AI7904">
        <v>92.554285786921298</v>
      </c>
      <c r="AJ7904">
        <v>85.508191501296807</v>
      </c>
      <c r="AK7904">
        <v>24.8895239461832</v>
      </c>
      <c r="AL7904">
        <v>89.016763047082307</v>
      </c>
      <c r="AM7904">
        <v>96.065087092074194</v>
      </c>
      <c r="AN7904">
        <v>1.00000000640179</v>
      </c>
    </row>
    <row r="7905" spans="1:40" x14ac:dyDescent="0.25">
      <c r="A7905" t="str">
        <f>"20190305135116063"</f>
        <v>20190305135116063</v>
      </c>
      <c r="B7905" t="str">
        <f>"1551765076057367"</f>
        <v>1551765076057367</v>
      </c>
      <c r="C7905" t="s">
        <v>40</v>
      </c>
      <c r="D7905">
        <v>3.9049160000000001</v>
      </c>
      <c r="E7905">
        <v>0.56985959999999902</v>
      </c>
      <c r="F7905" t="s">
        <v>42</v>
      </c>
      <c r="G7905">
        <v>-184.70230000000001</v>
      </c>
      <c r="H7905" s="1">
        <v>-3.7288370000000002E-6</v>
      </c>
      <c r="I7905">
        <v>26.13429</v>
      </c>
      <c r="J7905">
        <v>-187.6387</v>
      </c>
      <c r="K7905">
        <v>1.109313</v>
      </c>
      <c r="L7905">
        <v>2.0755919999999999</v>
      </c>
      <c r="M7905">
        <v>4.2618240000000002E-2</v>
      </c>
      <c r="N7905">
        <v>-8.0068199999999996E-3</v>
      </c>
      <c r="O7905">
        <v>0.99905929999999998</v>
      </c>
      <c r="P7905">
        <v>-6.3667840000000003E-2</v>
      </c>
      <c r="Q7905">
        <v>8.9101089999999994E-3</v>
      </c>
      <c r="R7905">
        <v>0.99793140000000002</v>
      </c>
      <c r="S7905">
        <v>0.365097</v>
      </c>
      <c r="T7905">
        <v>-0.136961</v>
      </c>
      <c r="U7905">
        <v>3.0302730000000002</v>
      </c>
      <c r="V7905">
        <v>-0.10616349999999999</v>
      </c>
      <c r="W7905">
        <v>1.6730780000000001E-2</v>
      </c>
      <c r="X7905">
        <v>0.99420790000000003</v>
      </c>
      <c r="Y7905">
        <v>7.7098180000000002E-2</v>
      </c>
      <c r="Z7905">
        <v>-3.6881280000000002E-2</v>
      </c>
      <c r="AA7905">
        <v>0.99634109999999998</v>
      </c>
      <c r="AB7905">
        <v>47</v>
      </c>
      <c r="AC7905">
        <v>2.9363999999999901</v>
      </c>
      <c r="AD7905">
        <v>-1.1093167288370001</v>
      </c>
      <c r="AE7905">
        <v>24.058698</v>
      </c>
      <c r="AF7905">
        <v>1.9043703248263899</v>
      </c>
      <c r="AG7905">
        <v>-1.1093167288370001</v>
      </c>
      <c r="AH7905">
        <v>24.111476787043799</v>
      </c>
      <c r="AI7905">
        <v>92.626030382604199</v>
      </c>
      <c r="AJ7905">
        <v>85.484045108292705</v>
      </c>
      <c r="AK7905">
        <v>24.211991301648599</v>
      </c>
      <c r="AL7905">
        <v>89.041352169516202</v>
      </c>
      <c r="AM7905">
        <v>96.0950613935333</v>
      </c>
      <c r="AN7905">
        <v>0.999999978077033</v>
      </c>
    </row>
    <row r="7906" spans="1:40" x14ac:dyDescent="0.25">
      <c r="A7906" t="str">
        <f>"20190305135116095"</f>
        <v>20190305135116095</v>
      </c>
      <c r="B7906" t="str">
        <f>"1551765076087622"</f>
        <v>1551765076087622</v>
      </c>
      <c r="C7906" t="s">
        <v>40</v>
      </c>
      <c r="D7906">
        <v>3.8921570000000001</v>
      </c>
      <c r="E7906">
        <v>0.57442890000000002</v>
      </c>
      <c r="F7906" t="s">
        <v>42</v>
      </c>
      <c r="G7906">
        <v>-184.7809</v>
      </c>
      <c r="H7906" s="1">
        <v>-3.648966E-6</v>
      </c>
      <c r="I7906">
        <v>25.980589999999999</v>
      </c>
      <c r="J7906">
        <v>-187.6097</v>
      </c>
      <c r="K7906">
        <v>1.109399</v>
      </c>
      <c r="L7906">
        <v>2.7747799999999998</v>
      </c>
      <c r="M7906">
        <v>4.1713739999999999E-2</v>
      </c>
      <c r="N7906">
        <v>-8.9184150000000007E-3</v>
      </c>
      <c r="O7906">
        <v>0.99908980000000003</v>
      </c>
      <c r="P7906">
        <v>-6.5092269999999994E-2</v>
      </c>
      <c r="Q7906">
        <v>7.0114180000000002E-3</v>
      </c>
      <c r="R7906">
        <v>0.99785460000000004</v>
      </c>
      <c r="S7906">
        <v>0.36230469999999998</v>
      </c>
      <c r="T7906">
        <v>-0.1406347</v>
      </c>
      <c r="U7906">
        <v>3.0305789999999999</v>
      </c>
      <c r="V7906">
        <v>-0.1066829</v>
      </c>
      <c r="W7906">
        <v>1.5737190000000002E-2</v>
      </c>
      <c r="X7906">
        <v>0.99416859999999996</v>
      </c>
      <c r="Y7906">
        <v>7.7079729999999999E-2</v>
      </c>
      <c r="Z7906">
        <v>-3.7173730000000002E-2</v>
      </c>
      <c r="AA7906">
        <v>0.99633170000000004</v>
      </c>
      <c r="AB7906">
        <v>47</v>
      </c>
      <c r="AC7906">
        <v>2.8288000000000002</v>
      </c>
      <c r="AD7906">
        <v>-1.1094026489659901</v>
      </c>
      <c r="AE7906">
        <v>23.20581</v>
      </c>
      <c r="AF7906">
        <v>1.85412241826506</v>
      </c>
      <c r="AG7906">
        <v>-1.1094026489659901</v>
      </c>
      <c r="AH7906">
        <v>23.251251561857298</v>
      </c>
      <c r="AI7906">
        <v>92.723089249228394</v>
      </c>
      <c r="AJ7906">
        <v>85.440715641139406</v>
      </c>
      <c r="AK7906">
        <v>23.351429150529899</v>
      </c>
      <c r="AL7906">
        <v>89.098288257044899</v>
      </c>
      <c r="AM7906">
        <v>96.124895373054798</v>
      </c>
      <c r="AN7906">
        <v>1.0000000527637301</v>
      </c>
    </row>
    <row r="7907" spans="1:40" x14ac:dyDescent="0.25">
      <c r="A7907" t="str">
        <f>"20190305135116118"</f>
        <v>20190305135116118</v>
      </c>
      <c r="B7907" t="str">
        <f>"1551765076107142"</f>
        <v>1551765076107142</v>
      </c>
      <c r="C7907" t="s">
        <v>40</v>
      </c>
      <c r="D7907">
        <v>3.8982570000000001</v>
      </c>
      <c r="E7907">
        <v>0.57415729999999998</v>
      </c>
      <c r="F7907" t="s">
        <v>42</v>
      </c>
      <c r="G7907">
        <v>-184.00030000000001</v>
      </c>
      <c r="H7907" s="1">
        <v>-1.889084E-6</v>
      </c>
      <c r="I7907">
        <v>30.508179999999999</v>
      </c>
      <c r="J7907">
        <v>-187.59010000000001</v>
      </c>
      <c r="K7907">
        <v>1.109437</v>
      </c>
      <c r="L7907">
        <v>3.2550050000000001</v>
      </c>
      <c r="M7907">
        <v>4.1100829999999998E-2</v>
      </c>
      <c r="N7907">
        <v>-9.4559380000000005E-3</v>
      </c>
      <c r="O7907">
        <v>0.99911030000000001</v>
      </c>
      <c r="P7907">
        <v>-6.5985740000000001E-2</v>
      </c>
      <c r="Q7907">
        <v>6.6582630000000002E-3</v>
      </c>
      <c r="R7907">
        <v>0.99779830000000003</v>
      </c>
      <c r="S7907">
        <v>0.39474490000000001</v>
      </c>
      <c r="T7907">
        <v>-0.1213291</v>
      </c>
      <c r="U7907">
        <v>3.0330509999999999</v>
      </c>
      <c r="V7907">
        <v>-0.10696369999999999</v>
      </c>
      <c r="W7907">
        <v>1.5916929999999999E-2</v>
      </c>
      <c r="X7907">
        <v>0.99413549999999995</v>
      </c>
      <c r="Y7907">
        <v>8.8111919999999996E-2</v>
      </c>
      <c r="Z7907">
        <v>-3.0249950000000001E-2</v>
      </c>
      <c r="AA7907">
        <v>0.99565119999999896</v>
      </c>
      <c r="AB7907">
        <v>47</v>
      </c>
      <c r="AC7907">
        <v>3.5897999999999901</v>
      </c>
      <c r="AD7907">
        <v>-1.1094388890839999</v>
      </c>
      <c r="AE7907">
        <v>27.253174999999999</v>
      </c>
      <c r="AF7907">
        <v>2.4625768532610501</v>
      </c>
      <c r="AG7907">
        <v>-1.1094388890839999</v>
      </c>
      <c r="AH7907">
        <v>27.333170680530099</v>
      </c>
      <c r="AI7907">
        <v>92.314963275697096</v>
      </c>
      <c r="AJ7907">
        <v>84.851846851359397</v>
      </c>
      <c r="AK7907">
        <v>27.466294960511501</v>
      </c>
      <c r="AL7907">
        <v>89.087988564157399</v>
      </c>
      <c r="AM7907">
        <v>96.141096589683798</v>
      </c>
      <c r="AN7907">
        <v>0.99999998706928195</v>
      </c>
    </row>
    <row r="7908" spans="1:40" x14ac:dyDescent="0.25">
      <c r="A7908" t="str">
        <f>"20190305135116139"</f>
        <v>20190305135116139</v>
      </c>
      <c r="B7908" t="str">
        <f>"1551765076127642"</f>
        <v>1551765076127642</v>
      </c>
      <c r="C7908" t="s">
        <v>40</v>
      </c>
      <c r="D7908">
        <v>3.8855970000000002</v>
      </c>
      <c r="E7908">
        <v>0.57407969999999997</v>
      </c>
      <c r="F7908" t="s">
        <v>42</v>
      </c>
      <c r="G7908">
        <v>-184.09970000000001</v>
      </c>
      <c r="H7908" s="1">
        <v>-1.827053E-6</v>
      </c>
      <c r="I7908">
        <v>30.403690000000001</v>
      </c>
      <c r="J7908">
        <v>-187.57249999999999</v>
      </c>
      <c r="K7908">
        <v>1.1094649999999999</v>
      </c>
      <c r="L7908">
        <v>3.6949459999999998</v>
      </c>
      <c r="M7908">
        <v>4.0534220000000003E-2</v>
      </c>
      <c r="N7908">
        <v>-9.8958039999999994E-3</v>
      </c>
      <c r="O7908">
        <v>0.99912909999999999</v>
      </c>
      <c r="P7908">
        <v>-6.6176639999999995E-2</v>
      </c>
      <c r="Q7908">
        <v>7.0965799999999999E-3</v>
      </c>
      <c r="R7908">
        <v>0.99778270000000002</v>
      </c>
      <c r="S7908">
        <v>0.38996890000000001</v>
      </c>
      <c r="T7908">
        <v>-0.12395390000000001</v>
      </c>
      <c r="U7908">
        <v>3.0332340000000002</v>
      </c>
      <c r="V7908">
        <v>-0.1065914</v>
      </c>
      <c r="W7908">
        <v>1.6793240000000001E-2</v>
      </c>
      <c r="X7908">
        <v>0.99416110000000002</v>
      </c>
      <c r="Y7908">
        <v>8.7124099999999996E-2</v>
      </c>
      <c r="Z7908">
        <v>-3.0672809999999998E-2</v>
      </c>
      <c r="AA7908">
        <v>0.99572519999999998</v>
      </c>
      <c r="AB7908">
        <v>47</v>
      </c>
      <c r="AC7908">
        <v>3.4727999999999701</v>
      </c>
      <c r="AD7908">
        <v>-1.1094668270529999</v>
      </c>
      <c r="AE7908">
        <v>26.708743999999999</v>
      </c>
      <c r="AF7908">
        <v>2.3832304756446301</v>
      </c>
      <c r="AG7908">
        <v>-1.1094668270529999</v>
      </c>
      <c r="AH7908">
        <v>26.782120471937802</v>
      </c>
      <c r="AI7908">
        <v>92.362832815927305</v>
      </c>
      <c r="AJ7908">
        <v>84.914878746008796</v>
      </c>
      <c r="AK7908">
        <v>26.9108283245567</v>
      </c>
      <c r="AL7908">
        <v>89.037773008797103</v>
      </c>
      <c r="AM7908">
        <v>96.119727856118899</v>
      </c>
      <c r="AN7908">
        <v>1.0000000161084299</v>
      </c>
    </row>
    <row r="7909" spans="1:40" x14ac:dyDescent="0.25">
      <c r="A7909" t="str">
        <f>"20190305135116162"</f>
        <v>20190305135116162</v>
      </c>
      <c r="B7909" t="str">
        <f>"1551765076157894"</f>
        <v>1551765076157894</v>
      </c>
      <c r="C7909" t="s">
        <v>40</v>
      </c>
      <c r="D7909">
        <v>4.029636</v>
      </c>
      <c r="E7909">
        <v>0.5595369</v>
      </c>
      <c r="F7909" t="s">
        <v>42</v>
      </c>
      <c r="G7909">
        <v>-183.9331</v>
      </c>
      <c r="H7909" s="1">
        <v>-2.4433270000000001E-6</v>
      </c>
      <c r="I7909">
        <v>32.084350000000001</v>
      </c>
      <c r="J7909">
        <v>-187.55359999999999</v>
      </c>
      <c r="K7909">
        <v>1.1094790000000001</v>
      </c>
      <c r="L7909">
        <v>4.1730960000000001</v>
      </c>
      <c r="M7909">
        <v>3.9891089999999997E-2</v>
      </c>
      <c r="N7909">
        <v>-1.0320289999999999E-2</v>
      </c>
      <c r="O7909">
        <v>0.99915080000000001</v>
      </c>
      <c r="P7909">
        <v>-6.7000299999999999E-2</v>
      </c>
      <c r="Q7909">
        <v>6.2075330000000003E-3</v>
      </c>
      <c r="R7909">
        <v>0.99773369999999995</v>
      </c>
      <c r="S7909">
        <v>0.38885500000000001</v>
      </c>
      <c r="T7909">
        <v>-0.1185422</v>
      </c>
      <c r="U7909">
        <v>3.0332949999999999</v>
      </c>
      <c r="V7909">
        <v>-0.1067724</v>
      </c>
      <c r="W7909">
        <v>1.6324100000000001E-2</v>
      </c>
      <c r="X7909">
        <v>0.99414939999999996</v>
      </c>
      <c r="Y7909">
        <v>8.7410749999999995E-2</v>
      </c>
      <c r="Z7909">
        <v>-2.8482540000000001E-2</v>
      </c>
      <c r="AA7909">
        <v>0.99576509999999996</v>
      </c>
      <c r="AB7909">
        <v>47</v>
      </c>
      <c r="AC7909">
        <v>3.6204999999999901</v>
      </c>
      <c r="AD7909">
        <v>-1.1094814433269999</v>
      </c>
      <c r="AE7909">
        <v>27.911254</v>
      </c>
      <c r="AF7909">
        <v>2.5002630613974701</v>
      </c>
      <c r="AG7909">
        <v>-1.1094814433269999</v>
      </c>
      <c r="AH7909">
        <v>27.989973797481198</v>
      </c>
      <c r="AI7909">
        <v>92.260939111025394</v>
      </c>
      <c r="AJ7909">
        <v>84.8954825412047</v>
      </c>
      <c r="AK7909">
        <v>28.123315907498501</v>
      </c>
      <c r="AL7909">
        <v>89.064656351760405</v>
      </c>
      <c r="AM7909">
        <v>96.130112142861606</v>
      </c>
      <c r="AN7909">
        <v>0.999999925581462</v>
      </c>
    </row>
    <row r="7910" spans="1:40" x14ac:dyDescent="0.25">
      <c r="A7910" t="str">
        <f>"20190305135116186"</f>
        <v>20190305135116186</v>
      </c>
      <c r="B7910" t="str">
        <f>"1551765076177414"</f>
        <v>1551765076177414</v>
      </c>
      <c r="C7910" t="s">
        <v>40</v>
      </c>
      <c r="D7910">
        <v>4.2274010000000004</v>
      </c>
      <c r="E7910">
        <v>0.54348969999999996</v>
      </c>
      <c r="F7910" t="s">
        <v>42</v>
      </c>
      <c r="G7910">
        <v>-185.36199999999999</v>
      </c>
      <c r="H7910" s="1">
        <v>-4.71274E-6</v>
      </c>
      <c r="I7910">
        <v>28.70055</v>
      </c>
      <c r="J7910">
        <v>-187.5341</v>
      </c>
      <c r="K7910">
        <v>1.109513</v>
      </c>
      <c r="L7910">
        <v>4.6781620000000004</v>
      </c>
      <c r="M7910">
        <v>3.9160630000000002E-2</v>
      </c>
      <c r="N7910">
        <v>-1.0713490000000001E-2</v>
      </c>
      <c r="O7910">
        <v>0.99917549999999999</v>
      </c>
      <c r="P7910">
        <v>-6.7903770000000002E-2</v>
      </c>
      <c r="Q7910">
        <v>4.7118220000000001E-3</v>
      </c>
      <c r="R7910">
        <v>0.99768069999999998</v>
      </c>
      <c r="S7910">
        <v>0.27037050000000001</v>
      </c>
      <c r="T7910">
        <v>-0.13687099999999999</v>
      </c>
      <c r="U7910">
        <v>3.0258180000000001</v>
      </c>
      <c r="V7910">
        <v>-0.106944899999999</v>
      </c>
      <c r="W7910">
        <v>1.5214159999999999E-2</v>
      </c>
      <c r="X7910">
        <v>0.99414860000000005</v>
      </c>
      <c r="Y7910">
        <v>4.9856810000000001E-2</v>
      </c>
      <c r="Z7910">
        <v>-3.433216E-2</v>
      </c>
      <c r="AA7910">
        <v>0.99816609999999995</v>
      </c>
      <c r="AB7910">
        <v>47</v>
      </c>
      <c r="AC7910">
        <v>2.1720999999999999</v>
      </c>
      <c r="AD7910">
        <v>-1.10951771274</v>
      </c>
      <c r="AE7910">
        <v>24.022387999999999</v>
      </c>
      <c r="AF7910">
        <v>1.22705147125559</v>
      </c>
      <c r="AG7910">
        <v>-1.10951771274</v>
      </c>
      <c r="AH7910">
        <v>24.038161774843299</v>
      </c>
      <c r="AI7910">
        <v>92.639266283770297</v>
      </c>
      <c r="AJ7910">
        <v>87.077817254840696</v>
      </c>
      <c r="AK7910">
        <v>24.095018289711501</v>
      </c>
      <c r="AL7910">
        <v>89.128259263377998</v>
      </c>
      <c r="AM7910">
        <v>96.139945182731907</v>
      </c>
      <c r="AN7910">
        <v>1.00000006059123</v>
      </c>
    </row>
    <row r="7911" spans="1:40" x14ac:dyDescent="0.25">
      <c r="A7911" t="str">
        <f>"20190305135116207"</f>
        <v>20190305135116207</v>
      </c>
      <c r="B7911" t="str">
        <f>"1551765076197911"</f>
        <v>1551765076197911</v>
      </c>
      <c r="C7911" t="s">
        <v>40</v>
      </c>
      <c r="D7911">
        <v>3.9382039999999998</v>
      </c>
      <c r="E7911">
        <v>0.53533319999999995</v>
      </c>
      <c r="F7911" t="s">
        <v>42</v>
      </c>
      <c r="G7911">
        <v>-186.59280000000001</v>
      </c>
      <c r="H7911" s="1">
        <v>-2.9145499999999999E-6</v>
      </c>
      <c r="I7911">
        <v>25.01783</v>
      </c>
      <c r="J7911">
        <v>-187.5172</v>
      </c>
      <c r="K7911">
        <v>1.1095549999999901</v>
      </c>
      <c r="L7911">
        <v>5.1231080000000002</v>
      </c>
      <c r="M7911">
        <v>3.8453920000000003E-2</v>
      </c>
      <c r="N7911">
        <v>-1.101544E-2</v>
      </c>
      <c r="O7911">
        <v>0.99919959999999997</v>
      </c>
      <c r="P7911">
        <v>-6.9037080000000001E-2</v>
      </c>
      <c r="Q7911">
        <v>4.3935650000000003E-3</v>
      </c>
      <c r="R7911">
        <v>0.99760439999999995</v>
      </c>
      <c r="S7911">
        <v>0.13963320000000001</v>
      </c>
      <c r="T7911">
        <v>-0.1645887</v>
      </c>
      <c r="U7911">
        <v>3.017242</v>
      </c>
      <c r="V7911">
        <v>-0.107373</v>
      </c>
      <c r="W7911">
        <v>1.518603E-2</v>
      </c>
      <c r="X7911">
        <v>0.99410279999999995</v>
      </c>
      <c r="Y7911">
        <v>7.7332299999999998E-3</v>
      </c>
      <c r="Z7911">
        <v>-4.338558E-2</v>
      </c>
      <c r="AA7911">
        <v>0.99902840000000004</v>
      </c>
      <c r="AB7911">
        <v>47</v>
      </c>
      <c r="AC7911">
        <v>0.92439999999999101</v>
      </c>
      <c r="AD7911">
        <v>-1.1095579145500001</v>
      </c>
      <c r="AE7911">
        <v>19.894722000000002</v>
      </c>
      <c r="AF7911">
        <v>0.15814884071381299</v>
      </c>
      <c r="AG7911">
        <v>-1.1095579145500001</v>
      </c>
      <c r="AH7911">
        <v>19.8539327653641</v>
      </c>
      <c r="AI7911">
        <v>93.1986062825125</v>
      </c>
      <c r="AJ7911">
        <v>89.543613370042394</v>
      </c>
      <c r="AK7911">
        <v>19.8855418853286</v>
      </c>
      <c r="AL7911">
        <v>89.129871106866702</v>
      </c>
      <c r="AM7911">
        <v>96.164616319952998</v>
      </c>
      <c r="AN7911">
        <v>0.99999997680200003</v>
      </c>
    </row>
    <row r="7912" spans="1:40" x14ac:dyDescent="0.25">
      <c r="A7912" t="str">
        <f>"20190305135116230"</f>
        <v>20190305135116230</v>
      </c>
      <c r="B7912" t="str">
        <f>"1551765076217434"</f>
        <v>1551765076217434</v>
      </c>
      <c r="C7912" t="s">
        <v>40</v>
      </c>
      <c r="D7912">
        <v>4.0160710000000002</v>
      </c>
      <c r="E7912">
        <v>0.53077549999999996</v>
      </c>
      <c r="F7912" t="s">
        <v>42</v>
      </c>
      <c r="G7912">
        <v>-186.90039999999999</v>
      </c>
      <c r="H7912" s="1">
        <v>-1.314605E-6</v>
      </c>
      <c r="I7912">
        <v>31.087630000000001</v>
      </c>
      <c r="J7912">
        <v>-187.5</v>
      </c>
      <c r="K7912">
        <v>1.1096200000000001</v>
      </c>
      <c r="L7912">
        <v>5.5877990000000004</v>
      </c>
      <c r="M7912">
        <v>3.7631570000000003E-2</v>
      </c>
      <c r="N7912">
        <v>-1.1292470000000001E-2</v>
      </c>
      <c r="O7912">
        <v>0.99922789999999995</v>
      </c>
      <c r="P7912">
        <v>-7.0724010000000004E-2</v>
      </c>
      <c r="Q7912">
        <v>3.9264800000000004E-3</v>
      </c>
      <c r="R7912">
        <v>0.99748820000000005</v>
      </c>
      <c r="S7912">
        <v>7.1563719999999997E-2</v>
      </c>
      <c r="T7912">
        <v>-0.12874449999999901</v>
      </c>
      <c r="U7912">
        <v>3.0127259999999998</v>
      </c>
      <c r="V7912">
        <v>-0.108238</v>
      </c>
      <c r="W7912">
        <v>1.49772E-2</v>
      </c>
      <c r="X7912">
        <v>0.99401220000000001</v>
      </c>
      <c r="Y7912">
        <v>-1.390052E-2</v>
      </c>
      <c r="Z7912">
        <v>-3.136133E-2</v>
      </c>
      <c r="AA7912">
        <v>0.99941150000000001</v>
      </c>
      <c r="AB7912">
        <v>47</v>
      </c>
      <c r="AC7912">
        <v>0.59960000000000901</v>
      </c>
      <c r="AD7912">
        <v>-1.109621314605</v>
      </c>
      <c r="AE7912">
        <v>25.499831</v>
      </c>
      <c r="AF7912">
        <v>-0.35980367548835601</v>
      </c>
      <c r="AG7912">
        <v>-1.109621314605</v>
      </c>
      <c r="AH7912">
        <v>25.456156356418798</v>
      </c>
      <c r="AI7912">
        <v>92.495665858082802</v>
      </c>
      <c r="AJ7912">
        <v>90.809778943770695</v>
      </c>
      <c r="AK7912">
        <v>25.482869041557301</v>
      </c>
      <c r="AL7912">
        <v>89.141837580683699</v>
      </c>
      <c r="AM7912">
        <v>96.214453614839499</v>
      </c>
      <c r="AN7912">
        <v>1.0000000174563299</v>
      </c>
    </row>
    <row r="7913" spans="1:40" x14ac:dyDescent="0.25">
      <c r="A7913" t="str">
        <f>"20190305135116252"</f>
        <v>20190305135116252</v>
      </c>
      <c r="B7913" t="str">
        <f>"1551765076247686"</f>
        <v>1551765076247686</v>
      </c>
      <c r="C7913" t="s">
        <v>40</v>
      </c>
      <c r="D7913">
        <v>3.9840230000000001</v>
      </c>
      <c r="E7913">
        <v>0.52815290000000004</v>
      </c>
      <c r="F7913" t="s">
        <v>42</v>
      </c>
      <c r="G7913">
        <v>-187.24690000000001</v>
      </c>
      <c r="H7913" s="1">
        <v>-1.120665E-6</v>
      </c>
      <c r="I7913">
        <v>30.788620000000002</v>
      </c>
      <c r="J7913">
        <v>-187.4829</v>
      </c>
      <c r="K7913">
        <v>1.109715</v>
      </c>
      <c r="L7913">
        <v>6.0610049999999998</v>
      </c>
      <c r="M7913">
        <v>3.666614E-2</v>
      </c>
      <c r="N7913">
        <v>-1.153593E-2</v>
      </c>
      <c r="O7913">
        <v>0.99926099999999995</v>
      </c>
      <c r="P7913">
        <v>-7.2681750000000003E-2</v>
      </c>
      <c r="Q7913">
        <v>3.585787E-3</v>
      </c>
      <c r="R7913">
        <v>0.99734869999999998</v>
      </c>
      <c r="S7913">
        <v>3.022766E-2</v>
      </c>
      <c r="T7913">
        <v>-0.13254360000000001</v>
      </c>
      <c r="U7913">
        <v>3.0102229999999999</v>
      </c>
      <c r="V7913">
        <v>-0.1092311</v>
      </c>
      <c r="W7913">
        <v>1.485323E-2</v>
      </c>
      <c r="X7913">
        <v>0.99390540000000005</v>
      </c>
      <c r="Y7913">
        <v>-2.662906E-2</v>
      </c>
      <c r="Z7913">
        <v>-3.24097E-2</v>
      </c>
      <c r="AA7913">
        <v>0.99911989999999995</v>
      </c>
      <c r="AB7913">
        <v>47</v>
      </c>
      <c r="AC7913">
        <v>0.235999999999989</v>
      </c>
      <c r="AD7913">
        <v>-1.1097161206649999</v>
      </c>
      <c r="AE7913">
        <v>24.727615</v>
      </c>
      <c r="AF7913">
        <v>-0.66953690484271799</v>
      </c>
      <c r="AG7913">
        <v>-1.1097161206649999</v>
      </c>
      <c r="AH7913">
        <v>24.669958251256801</v>
      </c>
      <c r="AI7913">
        <v>92.574623798608897</v>
      </c>
      <c r="AJ7913">
        <v>91.554612456467396</v>
      </c>
      <c r="AK7913">
        <v>24.703979227123799</v>
      </c>
      <c r="AL7913">
        <v>89.1489413119114</v>
      </c>
      <c r="AM7913">
        <v>96.271688415353594</v>
      </c>
      <c r="AN7913">
        <v>0.99999999789890104</v>
      </c>
    </row>
    <row r="7914" spans="1:40" x14ac:dyDescent="0.25">
      <c r="A7914" t="str">
        <f>"20190305135116275"</f>
        <v>20190305135116275</v>
      </c>
      <c r="B7914" t="str">
        <f>"1551765076267207"</f>
        <v>1551765076267207</v>
      </c>
      <c r="C7914" t="s">
        <v>40</v>
      </c>
      <c r="D7914">
        <v>3.9867880000000002</v>
      </c>
      <c r="E7914">
        <v>0.52689339999999996</v>
      </c>
      <c r="F7914" t="s">
        <v>42</v>
      </c>
      <c r="G7914">
        <v>-187.45330000000001</v>
      </c>
      <c r="H7914" s="1">
        <v>-1.1596869999999999E-6</v>
      </c>
      <c r="I7914">
        <v>31.064689999999999</v>
      </c>
      <c r="J7914">
        <v>-187.46639999999999</v>
      </c>
      <c r="K7914">
        <v>1.1098429999999999</v>
      </c>
      <c r="L7914">
        <v>6.5341800000000001</v>
      </c>
      <c r="M7914">
        <v>3.5560950000000001E-2</v>
      </c>
      <c r="N7914">
        <v>-1.1747870000000001E-2</v>
      </c>
      <c r="O7914">
        <v>0.99929849999999998</v>
      </c>
      <c r="P7914">
        <v>-7.3841299999999999E-2</v>
      </c>
      <c r="Q7914">
        <v>4.0703600000000003E-3</v>
      </c>
      <c r="R7914">
        <v>0.99726170000000003</v>
      </c>
      <c r="S7914">
        <v>3.5552980000000001E-3</v>
      </c>
      <c r="T7914">
        <v>-0.13353229999999999</v>
      </c>
      <c r="U7914">
        <v>3.0086979999999999</v>
      </c>
      <c r="V7914">
        <v>-0.1092935</v>
      </c>
      <c r="W7914">
        <v>1.551787E-2</v>
      </c>
      <c r="X7914">
        <v>0.99388840000000001</v>
      </c>
      <c r="Y7914">
        <v>-3.4371730000000003E-2</v>
      </c>
      <c r="Z7914">
        <v>-3.2544150000000001E-2</v>
      </c>
      <c r="AA7914">
        <v>0.99887910000000002</v>
      </c>
      <c r="AB7914">
        <v>47</v>
      </c>
      <c r="AC7914">
        <v>1.30999999999801E-2</v>
      </c>
      <c r="AD7914">
        <v>-1.1098441596869999</v>
      </c>
      <c r="AE7914">
        <v>24.53051</v>
      </c>
      <c r="AF7914">
        <v>-0.85754133293819601</v>
      </c>
      <c r="AG7914">
        <v>-1.1098441596869999</v>
      </c>
      <c r="AH7914">
        <v>24.465378613474101</v>
      </c>
      <c r="AI7914">
        <v>92.595785446305896</v>
      </c>
      <c r="AJ7914">
        <v>92.007465043690303</v>
      </c>
      <c r="AK7914">
        <v>24.505547981980001</v>
      </c>
      <c r="AL7914">
        <v>89.110855865731807</v>
      </c>
      <c r="AM7914">
        <v>96.275349120944298</v>
      </c>
      <c r="AN7914">
        <v>1.0000000125430699</v>
      </c>
    </row>
    <row r="7915" spans="1:40" x14ac:dyDescent="0.25">
      <c r="A7915" t="str">
        <f>"20190305135116297"</f>
        <v>20190305135116297</v>
      </c>
      <c r="B7915" t="str">
        <f>"1551765076287703"</f>
        <v>1551765076287703</v>
      </c>
      <c r="C7915" t="s">
        <v>40</v>
      </c>
      <c r="D7915">
        <v>4.2598099999999999</v>
      </c>
      <c r="E7915">
        <v>0.52674569999999998</v>
      </c>
      <c r="F7915" t="s">
        <v>42</v>
      </c>
      <c r="G7915">
        <v>-187.55160000000001</v>
      </c>
      <c r="H7915" s="1">
        <v>-1.248209E-6</v>
      </c>
      <c r="I7915">
        <v>31.401679999999999</v>
      </c>
      <c r="J7915">
        <v>-187.4502</v>
      </c>
      <c r="K7915">
        <v>1.109864</v>
      </c>
      <c r="L7915">
        <v>7.0116269999999998</v>
      </c>
      <c r="M7915">
        <v>3.4342060000000001E-2</v>
      </c>
      <c r="N7915">
        <v>-1.1560020000000001E-2</v>
      </c>
      <c r="O7915">
        <v>0.99934330000000005</v>
      </c>
      <c r="P7915">
        <v>-7.4528410000000003E-2</v>
      </c>
      <c r="Q7915">
        <v>4.3682240000000004E-3</v>
      </c>
      <c r="R7915">
        <v>0.99720929999999997</v>
      </c>
      <c r="S7915">
        <v>-1.031494E-2</v>
      </c>
      <c r="T7915">
        <v>-0.13424910000000001</v>
      </c>
      <c r="U7915">
        <v>3.0080260000000001</v>
      </c>
      <c r="V7915">
        <v>-0.1087706</v>
      </c>
      <c r="W7915">
        <v>1.559892E-2</v>
      </c>
      <c r="X7915">
        <v>0.99394450000000001</v>
      </c>
      <c r="Y7915">
        <v>-3.7757110000000003E-2</v>
      </c>
      <c r="Z7915">
        <v>-3.2978260000000002E-2</v>
      </c>
      <c r="AA7915">
        <v>0.99874260000000004</v>
      </c>
      <c r="AB7915">
        <v>47</v>
      </c>
      <c r="AC7915">
        <v>-0.10140000000001199</v>
      </c>
      <c r="AD7915">
        <v>-1.1098652482089999</v>
      </c>
      <c r="AE7915">
        <v>24.390053000000002</v>
      </c>
      <c r="AF7915">
        <v>-0.93706046967894896</v>
      </c>
      <c r="AG7915">
        <v>-1.1098652482089999</v>
      </c>
      <c r="AH7915">
        <v>24.321819711300499</v>
      </c>
      <c r="AI7915">
        <v>92.610802394872707</v>
      </c>
      <c r="AJ7915">
        <v>92.206375558785197</v>
      </c>
      <c r="AK7915">
        <v>24.365155391706899</v>
      </c>
      <c r="AL7915">
        <v>89.106211486840294</v>
      </c>
      <c r="AM7915">
        <v>96.245213664615704</v>
      </c>
      <c r="AN7915">
        <v>1.0000000194048799</v>
      </c>
    </row>
    <row r="7916" spans="1:40" x14ac:dyDescent="0.25">
      <c r="A7916" t="str">
        <f>"20190305135116318"</f>
        <v>20190305135116318</v>
      </c>
      <c r="B7916" t="str">
        <f>"1551765076307222"</f>
        <v>1551765076307222</v>
      </c>
      <c r="C7916" t="s">
        <v>40</v>
      </c>
      <c r="D7916">
        <v>3.9921329999999999</v>
      </c>
      <c r="E7916">
        <v>0.52676269999999903</v>
      </c>
      <c r="F7916" t="s">
        <v>42</v>
      </c>
      <c r="G7916">
        <v>-187.5617</v>
      </c>
      <c r="H7916" s="1">
        <v>-1.2851329999999901E-6</v>
      </c>
      <c r="I7916">
        <v>31.518080000000001</v>
      </c>
      <c r="J7916">
        <v>-187.43530000000001</v>
      </c>
      <c r="K7916">
        <v>1.109591</v>
      </c>
      <c r="L7916">
        <v>7.4650569999999998</v>
      </c>
      <c r="M7916">
        <v>3.3157640000000002E-2</v>
      </c>
      <c r="N7916">
        <v>-1.0497569999999999E-2</v>
      </c>
      <c r="O7916">
        <v>0.99939500000000003</v>
      </c>
      <c r="P7916">
        <v>-7.5376890000000002E-2</v>
      </c>
      <c r="Q7916">
        <v>5.0107249999999997E-3</v>
      </c>
      <c r="R7916">
        <v>0.99714259999999999</v>
      </c>
      <c r="S7916">
        <v>-1.368713E-2</v>
      </c>
      <c r="T7916">
        <v>-0.13622690000000001</v>
      </c>
      <c r="U7916">
        <v>3.007965</v>
      </c>
      <c r="V7916">
        <v>-0.1084381</v>
      </c>
      <c r="W7916">
        <v>1.5175060000000001E-2</v>
      </c>
      <c r="X7916">
        <v>0.99398739999999997</v>
      </c>
      <c r="Y7916">
        <v>-3.7693079999999997E-2</v>
      </c>
      <c r="Z7916">
        <v>-3.4698630000000001E-2</v>
      </c>
      <c r="AA7916">
        <v>0.99868670000000004</v>
      </c>
      <c r="AB7916">
        <v>47</v>
      </c>
      <c r="AC7916">
        <v>-0.12639999999998899</v>
      </c>
      <c r="AD7916">
        <v>-1.109592285133</v>
      </c>
      <c r="AE7916">
        <v>24.053023</v>
      </c>
      <c r="AF7916">
        <v>-0.92195398124967298</v>
      </c>
      <c r="AG7916">
        <v>-1.109592285133</v>
      </c>
      <c r="AH7916">
        <v>23.984564639656199</v>
      </c>
      <c r="AI7916">
        <v>92.646820648704704</v>
      </c>
      <c r="AJ7916">
        <v>92.201335666238705</v>
      </c>
      <c r="AK7916">
        <v>24.027911585000801</v>
      </c>
      <c r="AL7916">
        <v>89.130499758249201</v>
      </c>
      <c r="AM7916">
        <v>96.226006275548002</v>
      </c>
      <c r="AN7916">
        <v>1.00000002766818</v>
      </c>
    </row>
    <row r="7917" spans="1:40" x14ac:dyDescent="0.25">
      <c r="A7917" t="str">
        <f>"20190305135116340"</f>
        <v>20190305135116340</v>
      </c>
      <c r="B7917" t="str">
        <f>"1551765076337479"</f>
        <v>1551765076337479</v>
      </c>
      <c r="C7917" t="s">
        <v>40</v>
      </c>
      <c r="D7917">
        <v>4.0068049999999999</v>
      </c>
      <c r="E7917">
        <v>0.52641019999999905</v>
      </c>
      <c r="F7917" t="s">
        <v>42</v>
      </c>
      <c r="G7917">
        <v>-187.566</v>
      </c>
      <c r="H7917" s="1">
        <v>-1.4904280000000001E-6</v>
      </c>
      <c r="I7917">
        <v>32.100589999999997</v>
      </c>
      <c r="J7917">
        <v>-187.4204</v>
      </c>
      <c r="K7917">
        <v>1.1093059999999999</v>
      </c>
      <c r="L7917">
        <v>7.9308779999999999</v>
      </c>
      <c r="M7917">
        <v>3.1901850000000002E-2</v>
      </c>
      <c r="N7917">
        <v>-9.1751139999999998E-3</v>
      </c>
      <c r="O7917">
        <v>0.99944889999999997</v>
      </c>
      <c r="P7917">
        <v>-7.6298069999999996E-2</v>
      </c>
      <c r="Q7917">
        <v>5.8871959999999999E-3</v>
      </c>
      <c r="R7917">
        <v>0.9970677</v>
      </c>
      <c r="S7917">
        <v>-1.596069E-2</v>
      </c>
      <c r="T7917">
        <v>-0.135485299999999</v>
      </c>
      <c r="U7917">
        <v>3.0080870000000002</v>
      </c>
      <c r="V7917">
        <v>-0.1081071</v>
      </c>
      <c r="W7917">
        <v>1.4729269999999999E-2</v>
      </c>
      <c r="X7917">
        <v>0.99403010000000003</v>
      </c>
      <c r="Y7917">
        <v>-3.7193240000000002E-2</v>
      </c>
      <c r="Z7917">
        <v>-3.5776019999999999E-2</v>
      </c>
      <c r="AA7917">
        <v>0.99866750000000004</v>
      </c>
      <c r="AB7917">
        <v>47</v>
      </c>
      <c r="AC7917">
        <v>-0.145599999999973</v>
      </c>
      <c r="AD7917">
        <v>-1.10930749042799</v>
      </c>
      <c r="AE7917">
        <v>24.169712000000001</v>
      </c>
      <c r="AF7917">
        <v>-0.91469013990222003</v>
      </c>
      <c r="AG7917">
        <v>-1.10930749042799</v>
      </c>
      <c r="AH7917">
        <v>24.101994683501701</v>
      </c>
      <c r="AI7917">
        <v>92.633316897685702</v>
      </c>
      <c r="AJ7917">
        <v>92.173378037587</v>
      </c>
      <c r="AK7917">
        <v>24.1448414549339</v>
      </c>
      <c r="AL7917">
        <v>89.156044448657596</v>
      </c>
      <c r="AM7917">
        <v>96.206885827771501</v>
      </c>
      <c r="AN7917">
        <v>0.99999996808557501</v>
      </c>
    </row>
    <row r="7918" spans="1:40" x14ac:dyDescent="0.25">
      <c r="A7918" t="str">
        <f>"20190305135116364"</f>
        <v>20190305135116364</v>
      </c>
      <c r="B7918" t="str">
        <f>"1551765076357974"</f>
        <v>1551765076357974</v>
      </c>
      <c r="C7918" t="s">
        <v>40</v>
      </c>
      <c r="D7918">
        <v>3.9754</v>
      </c>
      <c r="E7918">
        <v>0.52649069999999998</v>
      </c>
      <c r="F7918" t="s">
        <v>42</v>
      </c>
      <c r="G7918">
        <v>-187.59620000000001</v>
      </c>
      <c r="H7918" s="1">
        <v>-1.636978E-6</v>
      </c>
      <c r="I7918">
        <v>32.454680000000003</v>
      </c>
      <c r="J7918">
        <v>-187.405</v>
      </c>
      <c r="K7918">
        <v>1.1091040000000001</v>
      </c>
      <c r="L7918">
        <v>8.4295349999999996</v>
      </c>
      <c r="M7918">
        <v>3.0445739999999999E-2</v>
      </c>
      <c r="N7918">
        <v>-7.8427340000000005E-3</v>
      </c>
      <c r="O7918">
        <v>0.99950559999999999</v>
      </c>
      <c r="P7918">
        <v>-7.6391440000000005E-2</v>
      </c>
      <c r="Q7918">
        <v>7.0227950000000001E-3</v>
      </c>
      <c r="R7918">
        <v>0.99705310000000003</v>
      </c>
      <c r="S7918">
        <v>-2.1560670000000001E-2</v>
      </c>
      <c r="T7918">
        <v>-0.13606209999999999</v>
      </c>
      <c r="U7918">
        <v>3.007965</v>
      </c>
      <c r="V7918">
        <v>-0.1067531</v>
      </c>
      <c r="W7918">
        <v>1.452902E-2</v>
      </c>
      <c r="X7918">
        <v>0.99417940000000005</v>
      </c>
      <c r="Y7918">
        <v>-3.7597419999999999E-2</v>
      </c>
      <c r="Z7918">
        <v>-3.7302799999999997E-2</v>
      </c>
      <c r="AA7918">
        <v>0.9985965</v>
      </c>
      <c r="AB7918">
        <v>48</v>
      </c>
      <c r="AC7918">
        <v>-0.191200000000009</v>
      </c>
      <c r="AD7918">
        <v>-1.1091056369779999</v>
      </c>
      <c r="AE7918">
        <v>24.025144999999899</v>
      </c>
      <c r="AF7918">
        <v>-0.920635324358685</v>
      </c>
      <c r="AG7918">
        <v>-1.1091056369779999</v>
      </c>
      <c r="AH7918">
        <v>23.957132373796899</v>
      </c>
      <c r="AI7918">
        <v>92.648687687209701</v>
      </c>
      <c r="AJ7918">
        <v>92.200704798056805</v>
      </c>
      <c r="AK7918">
        <v>24.000455751715698</v>
      </c>
      <c r="AL7918">
        <v>89.167519181792301</v>
      </c>
      <c r="AM7918">
        <v>96.128828969223505</v>
      </c>
      <c r="AN7918">
        <v>0.99999999808306494</v>
      </c>
    </row>
    <row r="7919" spans="1:40" x14ac:dyDescent="0.25">
      <c r="A7919" t="str">
        <f>"20190305135116387"</f>
        <v>20190305135116387</v>
      </c>
      <c r="B7919" t="str">
        <f>"1551765076377495"</f>
        <v>1551765076377495</v>
      </c>
      <c r="C7919" t="s">
        <v>40</v>
      </c>
      <c r="D7919">
        <v>3.8017509999999999</v>
      </c>
      <c r="E7919">
        <v>0.52624419999999905</v>
      </c>
      <c r="F7919" t="s">
        <v>42</v>
      </c>
      <c r="G7919">
        <v>-187.57919999999999</v>
      </c>
      <c r="H7919" s="1">
        <v>-1.9834660000000001E-6</v>
      </c>
      <c r="I7919">
        <v>33.255330000000001</v>
      </c>
      <c r="J7919">
        <v>-187.39</v>
      </c>
      <c r="K7919">
        <v>1.1090949999999999</v>
      </c>
      <c r="L7919">
        <v>8.9317630000000001</v>
      </c>
      <c r="M7919">
        <v>2.8835570000000001E-2</v>
      </c>
      <c r="N7919">
        <v>-6.7511389999999998E-3</v>
      </c>
      <c r="O7919">
        <v>0.99956140000000004</v>
      </c>
      <c r="P7919">
        <v>-7.6631989999999997E-2</v>
      </c>
      <c r="Q7919">
        <v>7.6661910000000002E-3</v>
      </c>
      <c r="R7919">
        <v>0.99702999999999997</v>
      </c>
      <c r="S7919">
        <v>-2.111816E-2</v>
      </c>
      <c r="T7919">
        <v>-0.1343935</v>
      </c>
      <c r="U7919">
        <v>3.0082089999999999</v>
      </c>
      <c r="V7919">
        <v>-0.1053946</v>
      </c>
      <c r="W7919">
        <v>1.405414E-2</v>
      </c>
      <c r="X7919">
        <v>0.99433119999999997</v>
      </c>
      <c r="Y7919">
        <v>-3.5841339999999999E-2</v>
      </c>
      <c r="Z7919">
        <v>-3.7842220000000003E-2</v>
      </c>
      <c r="AA7919">
        <v>0.9986408</v>
      </c>
      <c r="AB7919">
        <v>48</v>
      </c>
      <c r="AC7919">
        <v>-0.18919999999999901</v>
      </c>
      <c r="AD7919">
        <v>-1.1090969834660001</v>
      </c>
      <c r="AE7919">
        <v>24.323567000000001</v>
      </c>
      <c r="AF7919">
        <v>-0.88867363468944005</v>
      </c>
      <c r="AG7919">
        <v>-1.1090969834660001</v>
      </c>
      <c r="AH7919">
        <v>24.257564307665799</v>
      </c>
      <c r="AI7919">
        <v>92.616084545763798</v>
      </c>
      <c r="AJ7919">
        <v>92.098087316307598</v>
      </c>
      <c r="AK7919">
        <v>24.2991617774825</v>
      </c>
      <c r="AL7919">
        <v>89.194730613058596</v>
      </c>
      <c r="AM7919">
        <v>96.0505011974235</v>
      </c>
      <c r="AN7919">
        <v>1.0000000379268601</v>
      </c>
    </row>
    <row r="7920" spans="1:40" x14ac:dyDescent="0.25">
      <c r="A7920" t="str">
        <f>"20190305135116410"</f>
        <v>20190305135116410</v>
      </c>
      <c r="B7920" t="str">
        <f>"1551765076407751"</f>
        <v>1551765076407751</v>
      </c>
      <c r="C7920" t="s">
        <v>40</v>
      </c>
      <c r="D7920">
        <v>4.0012619999999997</v>
      </c>
      <c r="E7920">
        <v>0.52599669999999998</v>
      </c>
      <c r="F7920" t="s">
        <v>42</v>
      </c>
      <c r="G7920">
        <v>-187.58840000000001</v>
      </c>
      <c r="H7920" s="1">
        <v>-2.2526420000000001E-6</v>
      </c>
      <c r="I7920">
        <v>33.886580000000002</v>
      </c>
      <c r="J7920">
        <v>-187.37620000000001</v>
      </c>
      <c r="K7920">
        <v>1.1092850000000001</v>
      </c>
      <c r="L7920">
        <v>9.4284970000000001</v>
      </c>
      <c r="M7920">
        <v>2.7101139999999999E-2</v>
      </c>
      <c r="N7920">
        <v>-5.9942440000000001E-3</v>
      </c>
      <c r="O7920">
        <v>0.99961469999999997</v>
      </c>
      <c r="P7920">
        <v>-7.7675820000000007E-2</v>
      </c>
      <c r="Q7920">
        <v>7.8981079999999992E-3</v>
      </c>
      <c r="R7920">
        <v>0.99694740000000004</v>
      </c>
      <c r="S7920">
        <v>-2.3910520000000001E-2</v>
      </c>
      <c r="T7920">
        <v>-0.13369349999999999</v>
      </c>
      <c r="U7920">
        <v>3.0081180000000001</v>
      </c>
      <c r="V7920">
        <v>-0.104716</v>
      </c>
      <c r="W7920">
        <v>1.3476739999999999E-2</v>
      </c>
      <c r="X7920">
        <v>0.99441089999999999</v>
      </c>
      <c r="Y7920">
        <v>-3.5035110000000001E-2</v>
      </c>
      <c r="Z7920">
        <v>-3.8371830000000003E-2</v>
      </c>
      <c r="AA7920">
        <v>0.99864920000000001</v>
      </c>
      <c r="AB7920">
        <v>48</v>
      </c>
      <c r="AC7920">
        <v>-0.212199999999995</v>
      </c>
      <c r="AD7920">
        <v>-1.1092872526419999</v>
      </c>
      <c r="AE7920">
        <v>24.458082999999998</v>
      </c>
      <c r="AF7920">
        <v>-0.87317987898142302</v>
      </c>
      <c r="AG7920">
        <v>-1.1092872526419999</v>
      </c>
      <c r="AH7920">
        <v>24.393174161998498</v>
      </c>
      <c r="AI7920">
        <v>92.602085417370006</v>
      </c>
      <c r="AJ7920">
        <v>92.050088656397605</v>
      </c>
      <c r="AK7920">
        <v>24.433990812135502</v>
      </c>
      <c r="AL7920">
        <v>89.227816339957798</v>
      </c>
      <c r="AM7920">
        <v>96.011351986797493</v>
      </c>
      <c r="AN7920">
        <v>1.0000000506079101</v>
      </c>
    </row>
    <row r="7921" spans="1:40" x14ac:dyDescent="0.25">
      <c r="A7921" t="str">
        <f>"20190305135116430"</f>
        <v>20190305135116430</v>
      </c>
      <c r="B7921" t="str">
        <f>"1551765076417514"</f>
        <v>1551765076417514</v>
      </c>
      <c r="C7921" t="s">
        <v>40</v>
      </c>
      <c r="D7921">
        <v>3.9992359999999998</v>
      </c>
      <c r="E7921">
        <v>0.5258254</v>
      </c>
      <c r="F7921" t="s">
        <v>42</v>
      </c>
      <c r="G7921">
        <v>-187.61840000000001</v>
      </c>
      <c r="H7921" s="1">
        <v>-2.4486510000000001E-6</v>
      </c>
      <c r="I7921">
        <v>34.355870000000003</v>
      </c>
      <c r="J7921">
        <v>-187.3648</v>
      </c>
      <c r="K7921">
        <v>1.1095600000000001</v>
      </c>
      <c r="L7921">
        <v>9.8681950000000001</v>
      </c>
      <c r="M7921">
        <v>2.544913E-2</v>
      </c>
      <c r="N7921">
        <v>-5.5751300000000002E-3</v>
      </c>
      <c r="O7921">
        <v>0.99966060000000001</v>
      </c>
      <c r="P7921">
        <v>-7.8806109999999999E-2</v>
      </c>
      <c r="Q7921">
        <v>9.0663140000000007E-3</v>
      </c>
      <c r="R7921">
        <v>0.99684879999999998</v>
      </c>
      <c r="S7921">
        <v>-2.9220579999999999E-2</v>
      </c>
      <c r="T7921">
        <v>-0.1338568</v>
      </c>
      <c r="U7921">
        <v>3.007965</v>
      </c>
      <c r="V7921">
        <v>-0.1042109</v>
      </c>
      <c r="W7921">
        <v>1.416857E-2</v>
      </c>
      <c r="X7921">
        <v>0.99445430000000001</v>
      </c>
      <c r="Y7921">
        <v>-3.5146869999999997E-2</v>
      </c>
      <c r="Z7921">
        <v>-3.8849410000000001E-2</v>
      </c>
      <c r="AA7921">
        <v>0.99862680000000004</v>
      </c>
      <c r="AB7921">
        <v>49</v>
      </c>
      <c r="AC7921">
        <v>-0.25360000000000499</v>
      </c>
      <c r="AD7921">
        <v>-1.1095624486510001</v>
      </c>
      <c r="AE7921">
        <v>24.487674999999999</v>
      </c>
      <c r="AF7921">
        <v>-0.87492145198109905</v>
      </c>
      <c r="AG7921">
        <v>-1.1095624486510001</v>
      </c>
      <c r="AH7921">
        <v>24.423152049073899</v>
      </c>
      <c r="AI7921">
        <v>92.599537220560507</v>
      </c>
      <c r="AJ7921">
        <v>92.051654881894393</v>
      </c>
      <c r="AK7921">
        <v>24.463993385929001</v>
      </c>
      <c r="AL7921">
        <v>89.188173579605206</v>
      </c>
      <c r="AM7921">
        <v>95.982307694600394</v>
      </c>
      <c r="AN7921">
        <v>1.00000000742157</v>
      </c>
    </row>
    <row r="7922" spans="1:40" x14ac:dyDescent="0.25">
      <c r="A7922" t="str">
        <f>"20190305135116453"</f>
        <v>20190305135116453</v>
      </c>
      <c r="B7922" t="str">
        <f>"1551765076447766"</f>
        <v>1551765076447766</v>
      </c>
      <c r="C7922" t="s">
        <v>40</v>
      </c>
      <c r="D7922">
        <v>4.0020550000000004</v>
      </c>
      <c r="E7922">
        <v>0.52534989999999904</v>
      </c>
      <c r="F7922" t="s">
        <v>42</v>
      </c>
      <c r="G7922">
        <v>-187.65549999999999</v>
      </c>
      <c r="H7922" s="1">
        <v>-2.914538E-6</v>
      </c>
      <c r="I7922">
        <v>35.4572</v>
      </c>
      <c r="J7922">
        <v>-187.35290000000001</v>
      </c>
      <c r="K7922">
        <v>1.1098840000000001</v>
      </c>
      <c r="L7922">
        <v>10.372769999999999</v>
      </c>
      <c r="M7922">
        <v>2.3407279999999999E-2</v>
      </c>
      <c r="N7922">
        <v>-5.26524E-3</v>
      </c>
      <c r="O7922">
        <v>0.99971220000000005</v>
      </c>
      <c r="P7922">
        <v>-8.0936869999999994E-2</v>
      </c>
      <c r="Q7922">
        <v>1.03646E-2</v>
      </c>
      <c r="R7922">
        <v>0.99666540000000003</v>
      </c>
      <c r="S7922">
        <v>-3.4164430000000003E-2</v>
      </c>
      <c r="T7922">
        <v>-0.13042809999999999</v>
      </c>
      <c r="U7922">
        <v>3.007965</v>
      </c>
      <c r="V7922">
        <v>-0.104319</v>
      </c>
      <c r="W7922">
        <v>1.509163E-2</v>
      </c>
      <c r="X7922">
        <v>0.99442929999999996</v>
      </c>
      <c r="Y7922">
        <v>-3.4747559999999997E-2</v>
      </c>
      <c r="Z7922">
        <v>-3.8026329999999997E-2</v>
      </c>
      <c r="AA7922">
        <v>0.99867240000000002</v>
      </c>
      <c r="AB7922">
        <v>49</v>
      </c>
      <c r="AC7922">
        <v>-0.30259999999998399</v>
      </c>
      <c r="AD7922">
        <v>-1.1098869145379999</v>
      </c>
      <c r="AE7922">
        <v>25.084429999999902</v>
      </c>
      <c r="AF7922">
        <v>-0.88794538424247904</v>
      </c>
      <c r="AG7922">
        <v>-1.1098869145379999</v>
      </c>
      <c r="AH7922">
        <v>25.0214960621249</v>
      </c>
      <c r="AI7922">
        <v>92.538227606166899</v>
      </c>
      <c r="AJ7922">
        <v>92.032419735373395</v>
      </c>
      <c r="AK7922">
        <v>25.061834752375798</v>
      </c>
      <c r="AL7922">
        <v>89.135280400985806</v>
      </c>
      <c r="AM7922">
        <v>95.988617643611803</v>
      </c>
      <c r="AN7922">
        <v>0.99999992187776998</v>
      </c>
    </row>
    <row r="7923" spans="1:40" x14ac:dyDescent="0.25">
      <c r="A7923" t="str">
        <f>"20190305135116476"</f>
        <v>20190305135116476</v>
      </c>
      <c r="B7923" t="str">
        <f>"1551765076467287"</f>
        <v>1551765076467287</v>
      </c>
      <c r="C7923" t="s">
        <v>40</v>
      </c>
      <c r="D7923">
        <v>3.9960490000000002</v>
      </c>
      <c r="E7923">
        <v>0.52509640000000002</v>
      </c>
      <c r="F7923" t="s">
        <v>42</v>
      </c>
      <c r="G7923">
        <v>-187.74080000000001</v>
      </c>
      <c r="H7923" s="1">
        <v>-3.4164320000000001E-6</v>
      </c>
      <c r="I7923">
        <v>36.662399999999998</v>
      </c>
      <c r="J7923">
        <v>-187.34270000000001</v>
      </c>
      <c r="K7923">
        <v>1.1101430000000001</v>
      </c>
      <c r="L7923">
        <v>10.850709999999999</v>
      </c>
      <c r="M7923">
        <v>2.1338369999999999E-2</v>
      </c>
      <c r="N7923">
        <v>-5.0573010000000002E-3</v>
      </c>
      <c r="O7923">
        <v>0.99975950000000002</v>
      </c>
      <c r="P7923">
        <v>-8.2883410000000005E-2</v>
      </c>
      <c r="Q7923">
        <v>1.1435000000000001E-2</v>
      </c>
      <c r="R7923">
        <v>0.99649359999999998</v>
      </c>
      <c r="S7923">
        <v>-4.4372559999999998E-2</v>
      </c>
      <c r="T7923">
        <v>-0.12698029999999999</v>
      </c>
      <c r="U7923">
        <v>3.0077509999999998</v>
      </c>
      <c r="V7923">
        <v>-0.1042153</v>
      </c>
      <c r="W7923">
        <v>1.5902630000000001E-2</v>
      </c>
      <c r="X7923">
        <v>0.99442759999999997</v>
      </c>
      <c r="Y7923">
        <v>-3.6069619999999997E-2</v>
      </c>
      <c r="Z7923">
        <v>-3.709556E-2</v>
      </c>
      <c r="AA7923">
        <v>0.99866060000000001</v>
      </c>
      <c r="AB7923">
        <v>49</v>
      </c>
      <c r="AC7923">
        <v>-0.39809999999999901</v>
      </c>
      <c r="AD7923">
        <v>-1.1101464164319901</v>
      </c>
      <c r="AE7923">
        <v>25.811689999999999</v>
      </c>
      <c r="AF7923">
        <v>-0.94704436320923402</v>
      </c>
      <c r="AG7923">
        <v>-1.1101464164319901</v>
      </c>
      <c r="AH7923">
        <v>25.749697122978102</v>
      </c>
      <c r="AI7923">
        <v>92.466997652442004</v>
      </c>
      <c r="AJ7923">
        <v>92.106323748727206</v>
      </c>
      <c r="AK7923">
        <v>25.791010449707201</v>
      </c>
      <c r="AL7923">
        <v>89.088807997483102</v>
      </c>
      <c r="AM7923">
        <v>95.982717912554705</v>
      </c>
      <c r="AN7923">
        <v>0.999999987018383</v>
      </c>
    </row>
    <row r="7924" spans="1:40" x14ac:dyDescent="0.25">
      <c r="A7924" t="str">
        <f>"20190305135116498"</f>
        <v>20190305135116498</v>
      </c>
      <c r="B7924" t="str">
        <f>"1551765076487786"</f>
        <v>1551765076487786</v>
      </c>
      <c r="C7924" t="s">
        <v>40</v>
      </c>
      <c r="D7924">
        <v>4.2760850000000001</v>
      </c>
      <c r="E7924">
        <v>0.52500690000000005</v>
      </c>
      <c r="F7924" t="s">
        <v>42</v>
      </c>
      <c r="G7924">
        <v>-187.8107</v>
      </c>
      <c r="H7924" s="1">
        <v>-3.898447E-6</v>
      </c>
      <c r="I7924">
        <v>37.814900000000002</v>
      </c>
      <c r="J7924">
        <v>-187.3331</v>
      </c>
      <c r="K7924">
        <v>1.110357</v>
      </c>
      <c r="L7924">
        <v>11.35153</v>
      </c>
      <c r="M7924">
        <v>1.903958E-2</v>
      </c>
      <c r="N7924">
        <v>-4.8956579999999998E-3</v>
      </c>
      <c r="O7924">
        <v>0.9998068</v>
      </c>
      <c r="P7924">
        <v>-8.5874720000000002E-2</v>
      </c>
      <c r="Q7924">
        <v>1.1934429999999999E-2</v>
      </c>
      <c r="R7924">
        <v>0.99623450000000002</v>
      </c>
      <c r="S7924">
        <v>-5.2200320000000001E-2</v>
      </c>
      <c r="T7924">
        <v>-0.1238276</v>
      </c>
      <c r="U7924">
        <v>3.0076290000000001</v>
      </c>
      <c r="V7924">
        <v>-0.10492319999999999</v>
      </c>
      <c r="W7924">
        <v>1.6192979999999999E-2</v>
      </c>
      <c r="X7924">
        <v>0.99434849999999997</v>
      </c>
      <c r="Y7924">
        <v>-3.637166E-2</v>
      </c>
      <c r="Z7924">
        <v>-3.6215610000000002E-2</v>
      </c>
      <c r="AA7924">
        <v>0.99868190000000001</v>
      </c>
      <c r="AB7924">
        <v>49</v>
      </c>
      <c r="AC7924">
        <v>-0.47759999999999497</v>
      </c>
      <c r="AD7924">
        <v>-1.1103608984469999</v>
      </c>
      <c r="AE7924">
        <v>26.463370000000001</v>
      </c>
      <c r="AF7924">
        <v>-0.97964676977221699</v>
      </c>
      <c r="AG7924">
        <v>-1.1103608984469999</v>
      </c>
      <c r="AH7924">
        <v>26.403011898460999</v>
      </c>
      <c r="AI7924">
        <v>92.406462540762604</v>
      </c>
      <c r="AJ7924">
        <v>92.124904891010701</v>
      </c>
      <c r="AK7924">
        <v>26.444501251273302</v>
      </c>
      <c r="AL7924">
        <v>89.072170051025594</v>
      </c>
      <c r="AM7924">
        <v>96.023534409645805</v>
      </c>
      <c r="AN7924">
        <v>1.0000000149758801</v>
      </c>
    </row>
    <row r="7925" spans="1:40" x14ac:dyDescent="0.25">
      <c r="A7925" t="str">
        <f>"20190305135116521"</f>
        <v>20190305135116521</v>
      </c>
      <c r="B7925" t="str">
        <f>"1551765076518039"</f>
        <v>1551765076518039</v>
      </c>
      <c r="C7925" t="s">
        <v>40</v>
      </c>
      <c r="D7925">
        <v>3.99532</v>
      </c>
      <c r="E7925">
        <v>0.52395020000000003</v>
      </c>
      <c r="F7925" t="s">
        <v>42</v>
      </c>
      <c r="G7925">
        <v>-187.90360000000001</v>
      </c>
      <c r="H7925" s="1">
        <v>-4.4138809999999999E-6</v>
      </c>
      <c r="I7925">
        <v>39.054819999999999</v>
      </c>
      <c r="J7925">
        <v>-187.3246</v>
      </c>
      <c r="K7925">
        <v>1.110522</v>
      </c>
      <c r="L7925">
        <v>11.853820000000001</v>
      </c>
      <c r="M7925">
        <v>1.6626970000000001E-2</v>
      </c>
      <c r="N7925">
        <v>-4.7769040000000002E-3</v>
      </c>
      <c r="O7925">
        <v>0.99985029999999997</v>
      </c>
      <c r="P7925">
        <v>-8.845828E-2</v>
      </c>
      <c r="Q7925">
        <v>1.1673340000000001E-2</v>
      </c>
      <c r="R7925">
        <v>0.99601150000000005</v>
      </c>
      <c r="S7925">
        <v>-6.1935419999999998E-2</v>
      </c>
      <c r="T7925">
        <v>-0.12053990000000001</v>
      </c>
      <c r="U7925">
        <v>3.0074459999999998</v>
      </c>
      <c r="V7925">
        <v>-0.1051059</v>
      </c>
      <c r="W7925">
        <v>1.577771E-2</v>
      </c>
      <c r="X7925">
        <v>0.99433590000000005</v>
      </c>
      <c r="Y7925">
        <v>-3.7193660000000003E-2</v>
      </c>
      <c r="Z7925">
        <v>-3.5247590000000002E-2</v>
      </c>
      <c r="AA7925">
        <v>0.99868630000000003</v>
      </c>
      <c r="AB7925">
        <v>49</v>
      </c>
      <c r="AC7925">
        <v>-0.57900000000000695</v>
      </c>
      <c r="AD7925">
        <v>-1.110526413881</v>
      </c>
      <c r="AE7925">
        <v>27.201000000000001</v>
      </c>
      <c r="AF7925">
        <v>-1.02948017458055</v>
      </c>
      <c r="AG7925">
        <v>-1.110526413881</v>
      </c>
      <c r="AH7925">
        <v>27.142391662919302</v>
      </c>
      <c r="AI7925">
        <v>92.341258851293205</v>
      </c>
      <c r="AJ7925">
        <v>92.172122819046507</v>
      </c>
      <c r="AK7925">
        <v>27.184600852855901</v>
      </c>
      <c r="AL7925">
        <v>89.095966327106893</v>
      </c>
      <c r="AM7925">
        <v>96.034021615682605</v>
      </c>
      <c r="AN7925">
        <v>1.00000003418823</v>
      </c>
    </row>
    <row r="7926" spans="1:40" x14ac:dyDescent="0.25">
      <c r="A7926" t="str">
        <f>"20190305135116543"</f>
        <v>20190305135116543</v>
      </c>
      <c r="B7926" t="str">
        <f>"1551765076537559"</f>
        <v>1551765076537559</v>
      </c>
      <c r="C7926" t="s">
        <v>40</v>
      </c>
      <c r="D7926">
        <v>4.0165920000000002</v>
      </c>
      <c r="E7926">
        <v>0.52330790000000005</v>
      </c>
      <c r="F7926" t="s">
        <v>42</v>
      </c>
      <c r="G7926">
        <v>-188.07570000000001</v>
      </c>
      <c r="H7926" s="1">
        <v>-8.7304339999999898E-7</v>
      </c>
      <c r="I7926">
        <v>40.708950000000002</v>
      </c>
      <c r="J7926">
        <v>-187.3177</v>
      </c>
      <c r="K7926">
        <v>1.110643</v>
      </c>
      <c r="L7926">
        <v>12.3331</v>
      </c>
      <c r="M7926">
        <v>1.4252839999999999E-2</v>
      </c>
      <c r="N7926">
        <v>-4.6965990000000001E-3</v>
      </c>
      <c r="O7926">
        <v>0.99988739999999998</v>
      </c>
      <c r="P7926">
        <v>-9.0974890000000003E-2</v>
      </c>
      <c r="Q7926">
        <v>1.1402539999999999E-2</v>
      </c>
      <c r="R7926">
        <v>0.99578789999999995</v>
      </c>
      <c r="S7926">
        <v>-7.8247070000000002E-2</v>
      </c>
      <c r="T7926">
        <v>-0.11570510000000001</v>
      </c>
      <c r="U7926">
        <v>3.0064090000000001</v>
      </c>
      <c r="V7926">
        <v>-0.1052597</v>
      </c>
      <c r="W7926">
        <v>1.5398200000000001E-2</v>
      </c>
      <c r="X7926">
        <v>0.99432549999999997</v>
      </c>
      <c r="Y7926">
        <v>-4.0244580000000002E-2</v>
      </c>
      <c r="Z7926">
        <v>-3.3735330000000001E-2</v>
      </c>
      <c r="AA7926">
        <v>0.99862019999999996</v>
      </c>
      <c r="AB7926">
        <v>49</v>
      </c>
      <c r="AC7926">
        <v>-0.758000000000009</v>
      </c>
      <c r="AD7926">
        <v>-1.1106438730433901</v>
      </c>
      <c r="AE7926">
        <v>28.37585</v>
      </c>
      <c r="AF7926">
        <v>-1.1605871870879301</v>
      </c>
      <c r="AG7926">
        <v>-1.1106438730433901</v>
      </c>
      <c r="AH7926">
        <v>28.318811038025899</v>
      </c>
      <c r="AI7926">
        <v>92.244067305080506</v>
      </c>
      <c r="AJ7926">
        <v>92.346834253704401</v>
      </c>
      <c r="AK7926">
        <v>28.364335899840501</v>
      </c>
      <c r="AL7926">
        <v>89.117713219691097</v>
      </c>
      <c r="AM7926">
        <v>96.042848569366697</v>
      </c>
      <c r="AN7926">
        <v>0.99999995447878798</v>
      </c>
    </row>
    <row r="7927" spans="1:40" x14ac:dyDescent="0.25">
      <c r="A7927" t="str">
        <f>"20190305135116565"</f>
        <v>20190305135116565</v>
      </c>
      <c r="B7927" t="str">
        <f>"1551765076558056"</f>
        <v>1551765076558056</v>
      </c>
      <c r="C7927" t="s">
        <v>40</v>
      </c>
      <c r="D7927">
        <v>4.0124230000000001</v>
      </c>
      <c r="E7927">
        <v>0.52284719999999996</v>
      </c>
      <c r="F7927" t="s">
        <v>42</v>
      </c>
      <c r="G7927">
        <v>-188.20750000000001</v>
      </c>
      <c r="H7927" s="1">
        <v>-1.2145289999999999E-6</v>
      </c>
      <c r="I7927">
        <v>41.72269</v>
      </c>
      <c r="J7927">
        <v>-187.3115</v>
      </c>
      <c r="K7927">
        <v>1.1107549999999999</v>
      </c>
      <c r="L7927">
        <v>12.83459</v>
      </c>
      <c r="M7927">
        <v>1.1721479999999999E-2</v>
      </c>
      <c r="N7927">
        <v>-4.6396620000000001E-3</v>
      </c>
      <c r="O7927">
        <v>0.99992049999999999</v>
      </c>
      <c r="P7927">
        <v>-9.3405569999999993E-2</v>
      </c>
      <c r="Q7927">
        <v>1.0284079999999999E-2</v>
      </c>
      <c r="R7927">
        <v>0.99557499999999999</v>
      </c>
      <c r="S7927">
        <v>-9.1003420000000002E-2</v>
      </c>
      <c r="T7927">
        <v>-0.1135857</v>
      </c>
      <c r="U7927">
        <v>3.0056759999999998</v>
      </c>
      <c r="V7927">
        <v>-0.1051658</v>
      </c>
      <c r="W7927">
        <v>1.41986E-2</v>
      </c>
      <c r="X7927">
        <v>0.99435340000000005</v>
      </c>
      <c r="Y7927">
        <v>-4.1956769999999997E-2</v>
      </c>
      <c r="Z7927">
        <v>-3.3096710000000001E-2</v>
      </c>
      <c r="AA7927">
        <v>0.99857110000000004</v>
      </c>
      <c r="AB7927">
        <v>49</v>
      </c>
      <c r="AC7927">
        <v>-0.89600000000001501</v>
      </c>
      <c r="AD7927">
        <v>-1.110756214529</v>
      </c>
      <c r="AE7927">
        <v>28.888100000000001</v>
      </c>
      <c r="AF7927">
        <v>-1.2327326357860799</v>
      </c>
      <c r="AG7927">
        <v>-1.110756214529</v>
      </c>
      <c r="AH7927">
        <v>28.833026294005698</v>
      </c>
      <c r="AI7927">
        <v>92.204145590642796</v>
      </c>
      <c r="AJ7927">
        <v>92.448143602490006</v>
      </c>
      <c r="AK7927">
        <v>28.880734311825801</v>
      </c>
      <c r="AL7927">
        <v>89.186452861037694</v>
      </c>
      <c r="AM7927">
        <v>96.037329551256207</v>
      </c>
      <c r="AN7927">
        <v>1.0000000649115699</v>
      </c>
    </row>
    <row r="7928" spans="1:40" x14ac:dyDescent="0.25">
      <c r="A7928" t="str">
        <f>"20190305135116590"</f>
        <v>20190305135116590</v>
      </c>
      <c r="B7928" t="str">
        <f>"1551765076577574"</f>
        <v>1551765076577574</v>
      </c>
      <c r="C7928" t="s">
        <v>40</v>
      </c>
      <c r="D7928">
        <v>3.9013309999999999</v>
      </c>
      <c r="E7928">
        <v>0.5224645</v>
      </c>
      <c r="F7928" t="s">
        <v>42</v>
      </c>
      <c r="G7928">
        <v>-188.30629999999999</v>
      </c>
      <c r="H7928" s="1">
        <v>-1.3803299999999999E-6</v>
      </c>
      <c r="I7928">
        <v>42.150039999999997</v>
      </c>
      <c r="J7928">
        <v>-187.30619999999999</v>
      </c>
      <c r="K7928">
        <v>1.1108629999999999</v>
      </c>
      <c r="L7928">
        <v>13.369109999999999</v>
      </c>
      <c r="M7928">
        <v>8.9974080000000001E-3</v>
      </c>
      <c r="N7928">
        <v>-4.6016310000000001E-3</v>
      </c>
      <c r="O7928">
        <v>0.99994890000000003</v>
      </c>
      <c r="P7928">
        <v>-9.5841579999999996E-2</v>
      </c>
      <c r="Q7928">
        <v>9.7212930000000006E-3</v>
      </c>
      <c r="R7928">
        <v>0.99534909999999999</v>
      </c>
      <c r="S7928">
        <v>-0.1019745</v>
      </c>
      <c r="T7928">
        <v>-0.11385670000000001</v>
      </c>
      <c r="U7928">
        <v>3.0049440000000001</v>
      </c>
      <c r="V7928">
        <v>-0.10488980000000001</v>
      </c>
      <c r="W7928">
        <v>1.357449E-2</v>
      </c>
      <c r="X7928">
        <v>0.99439120000000003</v>
      </c>
      <c r="Y7928">
        <v>-4.2884079999999998E-2</v>
      </c>
      <c r="Z7928">
        <v>-3.3232589999999999E-2</v>
      </c>
      <c r="AA7928">
        <v>0.99852719999999995</v>
      </c>
      <c r="AB7928">
        <v>50</v>
      </c>
      <c r="AC7928">
        <v>-1.0001</v>
      </c>
      <c r="AD7928">
        <v>-1.11086438033</v>
      </c>
      <c r="AE7928">
        <v>28.780930000000001</v>
      </c>
      <c r="AF7928">
        <v>-1.25714546841233</v>
      </c>
      <c r="AG7928">
        <v>-1.11086438033</v>
      </c>
      <c r="AH7928">
        <v>28.728020731925302</v>
      </c>
      <c r="AI7928">
        <v>92.212313313862694</v>
      </c>
      <c r="AJ7928">
        <v>92.505679224197394</v>
      </c>
      <c r="AK7928">
        <v>28.7769631749802</v>
      </c>
      <c r="AL7928">
        <v>89.222215124331299</v>
      </c>
      <c r="AM7928">
        <v>96.021374365851102</v>
      </c>
      <c r="AN7928">
        <v>0.99999999778011905</v>
      </c>
    </row>
    <row r="7929" spans="1:40" x14ac:dyDescent="0.25">
      <c r="A7929" t="str">
        <f>"20190305135116611"</f>
        <v>20190305135116611</v>
      </c>
      <c r="B7929" t="str">
        <f>"1551765076607831"</f>
        <v>1551765076607831</v>
      </c>
      <c r="C7929" t="s">
        <v>40</v>
      </c>
      <c r="D7929">
        <v>4.0191759999999999</v>
      </c>
      <c r="E7929">
        <v>0.52199129999999905</v>
      </c>
      <c r="F7929" t="s">
        <v>42</v>
      </c>
      <c r="G7929">
        <v>-188.4144</v>
      </c>
      <c r="H7929" s="1">
        <v>-1.722216E-6</v>
      </c>
      <c r="I7929">
        <v>42.991680000000002</v>
      </c>
      <c r="J7929">
        <v>-187.30269999999999</v>
      </c>
      <c r="K7929">
        <v>1.1109530000000001</v>
      </c>
      <c r="L7929">
        <v>13.84976</v>
      </c>
      <c r="M7929">
        <v>6.5398059999999996E-3</v>
      </c>
      <c r="N7929">
        <v>-4.5834980000000001E-3</v>
      </c>
      <c r="O7929">
        <v>0.99996810000000003</v>
      </c>
      <c r="P7929">
        <v>-9.7701670000000004E-2</v>
      </c>
      <c r="Q7929">
        <v>8.8915049999999992E-3</v>
      </c>
      <c r="R7929">
        <v>0.99517599999999995</v>
      </c>
      <c r="S7929">
        <v>-0.1123962</v>
      </c>
      <c r="T7929">
        <v>-0.11266329999999999</v>
      </c>
      <c r="U7929">
        <v>3.0043030000000002</v>
      </c>
      <c r="V7929">
        <v>-0.10430059999999999</v>
      </c>
      <c r="W7929">
        <v>1.270815E-2</v>
      </c>
      <c r="X7929">
        <v>0.99446460000000003</v>
      </c>
      <c r="Y7929">
        <v>-4.3895679999999999E-2</v>
      </c>
      <c r="Z7929">
        <v>-3.2860720000000003E-2</v>
      </c>
      <c r="AA7929">
        <v>0.99849549999999998</v>
      </c>
      <c r="AB7929">
        <v>50</v>
      </c>
      <c r="AC7929">
        <v>-1.1117000000000099</v>
      </c>
      <c r="AD7929">
        <v>-1.1109547222159999</v>
      </c>
      <c r="AE7929">
        <v>29.141919999999999</v>
      </c>
      <c r="AF7929">
        <v>-1.3003736416324001</v>
      </c>
      <c r="AG7929">
        <v>-1.1109547222159999</v>
      </c>
      <c r="AH7929">
        <v>29.091808618110999</v>
      </c>
      <c r="AI7929">
        <v>92.184762758194296</v>
      </c>
      <c r="AJ7929">
        <v>92.559358235848293</v>
      </c>
      <c r="AK7929">
        <v>29.142040434318702</v>
      </c>
      <c r="AL7929">
        <v>89.271857022705007</v>
      </c>
      <c r="AM7929">
        <v>95.987358039398202</v>
      </c>
      <c r="AN7929">
        <v>0.99999997644497096</v>
      </c>
    </row>
    <row r="7930" spans="1:40" x14ac:dyDescent="0.25">
      <c r="A7930" t="str">
        <f>"20190305135116631"</f>
        <v>20190305135116631</v>
      </c>
      <c r="B7930" t="str">
        <f>"1551765076627351"</f>
        <v>1551765076627351</v>
      </c>
      <c r="C7930" t="s">
        <v>40</v>
      </c>
      <c r="D7930">
        <v>4.0143490000000002</v>
      </c>
      <c r="E7930">
        <v>0.52167249999999998</v>
      </c>
      <c r="F7930" t="s">
        <v>42</v>
      </c>
      <c r="G7930">
        <v>-188.52420000000001</v>
      </c>
      <c r="H7930" s="1">
        <v>-2.1446569999999999E-6</v>
      </c>
      <c r="I7930">
        <v>44.02178</v>
      </c>
      <c r="J7930">
        <v>-187.3004</v>
      </c>
      <c r="K7930">
        <v>1.11103</v>
      </c>
      <c r="L7930">
        <v>14.30524</v>
      </c>
      <c r="M7930">
        <v>4.2111750000000002E-3</v>
      </c>
      <c r="N7930">
        <v>-4.5758650000000001E-3</v>
      </c>
      <c r="O7930">
        <v>0.99998069999999895</v>
      </c>
      <c r="P7930">
        <v>-9.9154019999999995E-2</v>
      </c>
      <c r="Q7930">
        <v>8.3125590000000006E-3</v>
      </c>
      <c r="R7930">
        <v>0.99503739999999996</v>
      </c>
      <c r="S7930">
        <v>-0.12159730000000001</v>
      </c>
      <c r="T7930">
        <v>-0.1105947</v>
      </c>
      <c r="U7930">
        <v>3.0036010000000002</v>
      </c>
      <c r="V7930">
        <v>-0.103435</v>
      </c>
      <c r="W7930">
        <v>1.210785E-2</v>
      </c>
      <c r="X7930">
        <v>0.99456250000000002</v>
      </c>
      <c r="Y7930">
        <v>-4.4632930000000001E-2</v>
      </c>
      <c r="Z7930">
        <v>-3.2188389999999997E-2</v>
      </c>
      <c r="AA7930">
        <v>0.9984847</v>
      </c>
      <c r="AB7930">
        <v>50</v>
      </c>
      <c r="AC7930">
        <v>-1.22380000000001</v>
      </c>
      <c r="AD7930">
        <v>-1.111032144657</v>
      </c>
      <c r="AE7930">
        <v>29.716539999999998</v>
      </c>
      <c r="AF7930">
        <v>-1.34705223184857</v>
      </c>
      <c r="AG7930">
        <v>-1.111032144657</v>
      </c>
      <c r="AH7930">
        <v>29.669719572682499</v>
      </c>
      <c r="AI7930">
        <v>92.1423292271691</v>
      </c>
      <c r="AJ7930">
        <v>92.599533919312904</v>
      </c>
      <c r="AK7930">
        <v>29.7210565367957</v>
      </c>
      <c r="AL7930">
        <v>89.306254332884706</v>
      </c>
      <c r="AM7930">
        <v>95.937444595778302</v>
      </c>
      <c r="AN7930">
        <v>0.99999998283143599</v>
      </c>
    </row>
    <row r="7931" spans="1:40" x14ac:dyDescent="0.25">
      <c r="A7931" t="str">
        <f>"20190305135116654"</f>
        <v>20190305135116654</v>
      </c>
      <c r="B7931" t="str">
        <f>"1551765076647535"</f>
        <v>1551765076647535</v>
      </c>
      <c r="C7931" t="s">
        <v>40</v>
      </c>
      <c r="D7931">
        <v>4.0432709999999998</v>
      </c>
      <c r="E7931">
        <v>0.52141090000000001</v>
      </c>
      <c r="F7931" t="s">
        <v>42</v>
      </c>
      <c r="G7931">
        <v>-188.5976</v>
      </c>
      <c r="H7931" s="1">
        <v>-2.3889390000000001E-6</v>
      </c>
      <c r="I7931">
        <v>44.621569999999998</v>
      </c>
      <c r="J7931">
        <v>-187.29920000000001</v>
      </c>
      <c r="K7931">
        <v>1.111113</v>
      </c>
      <c r="L7931">
        <v>14.811489999999999</v>
      </c>
      <c r="M7931">
        <v>1.6246710000000001E-3</v>
      </c>
      <c r="N7931">
        <v>-4.5754869999999996E-3</v>
      </c>
      <c r="O7931">
        <v>0.99998819999999999</v>
      </c>
      <c r="P7931">
        <v>-0.101164</v>
      </c>
      <c r="Q7931">
        <v>7.9267829999999997E-3</v>
      </c>
      <c r="R7931">
        <v>0.99483820000000001</v>
      </c>
      <c r="S7931">
        <v>-0.12849430000000001</v>
      </c>
      <c r="T7931">
        <v>-0.1100569</v>
      </c>
      <c r="U7931">
        <v>3.003082</v>
      </c>
      <c r="V7931">
        <v>-0.1028712</v>
      </c>
      <c r="W7931">
        <v>1.1705429999999999E-2</v>
      </c>
      <c r="X7931">
        <v>0.9946258</v>
      </c>
      <c r="Y7931">
        <v>-4.4345410000000002E-2</v>
      </c>
      <c r="Z7931">
        <v>-3.2015630000000003E-2</v>
      </c>
      <c r="AA7931">
        <v>0.99850309999999998</v>
      </c>
      <c r="AB7931">
        <v>50</v>
      </c>
      <c r="AC7931">
        <v>-1.29839999999998</v>
      </c>
      <c r="AD7931">
        <v>-1.111115388939</v>
      </c>
      <c r="AE7931">
        <v>29.810079999999999</v>
      </c>
      <c r="AF7931">
        <v>-1.34496536133623</v>
      </c>
      <c r="AG7931">
        <v>-1.111115388939</v>
      </c>
      <c r="AH7931">
        <v>29.766655033003101</v>
      </c>
      <c r="AI7931">
        <v>92.135540039042993</v>
      </c>
      <c r="AJ7931">
        <v>92.587071386237099</v>
      </c>
      <c r="AK7931">
        <v>29.817734003182402</v>
      </c>
      <c r="AL7931">
        <v>89.329312941355496</v>
      </c>
      <c r="AM7931">
        <v>95.904937131973995</v>
      </c>
      <c r="AN7931">
        <v>0.999999991453282</v>
      </c>
    </row>
    <row r="7932" spans="1:40" x14ac:dyDescent="0.25">
      <c r="A7932" t="str">
        <f>"20190305135116678"</f>
        <v>20190305135116678</v>
      </c>
      <c r="B7932" t="str">
        <f>"1551765076668034"</f>
        <v>1551765076668034</v>
      </c>
      <c r="C7932" t="s">
        <v>40</v>
      </c>
      <c r="D7932">
        <v>3.840595</v>
      </c>
      <c r="E7932">
        <v>0.52128920000000001</v>
      </c>
      <c r="F7932" t="s">
        <v>42</v>
      </c>
      <c r="G7932">
        <v>-188.6841</v>
      </c>
      <c r="H7932" s="1">
        <v>-2.6634740000000001E-6</v>
      </c>
      <c r="I7932">
        <v>45.297280000000001</v>
      </c>
      <c r="J7932">
        <v>-187.29929999999999</v>
      </c>
      <c r="K7932">
        <v>1.111183</v>
      </c>
      <c r="L7932">
        <v>15.342650000000001</v>
      </c>
      <c r="M7932">
        <v>-1.087366E-3</v>
      </c>
      <c r="N7932">
        <v>-4.5816950000000002E-3</v>
      </c>
      <c r="O7932">
        <v>0.99998889999999996</v>
      </c>
      <c r="P7932">
        <v>-0.10341649999999999</v>
      </c>
      <c r="Q7932">
        <v>8.0077659999999995E-3</v>
      </c>
      <c r="R7932">
        <v>0.99460590000000004</v>
      </c>
      <c r="S7932">
        <v>-0.1363983</v>
      </c>
      <c r="T7932">
        <v>-0.1094345</v>
      </c>
      <c r="U7932">
        <v>3.0025629999999999</v>
      </c>
      <c r="V7932">
        <v>-0.10242900000000001</v>
      </c>
      <c r="W7932">
        <v>1.177696E-2</v>
      </c>
      <c r="X7932">
        <v>0.99467059999999996</v>
      </c>
      <c r="Y7932">
        <v>-4.426708E-2</v>
      </c>
      <c r="Z7932">
        <v>-3.1807290000000002E-2</v>
      </c>
      <c r="AA7932">
        <v>0.99851330000000005</v>
      </c>
      <c r="AB7932">
        <v>50</v>
      </c>
      <c r="AC7932">
        <v>-1.38480000000001</v>
      </c>
      <c r="AD7932">
        <v>-1.1111856634740001</v>
      </c>
      <c r="AE7932">
        <v>29.954629999999899</v>
      </c>
      <c r="AF7932">
        <v>-1.35037292749279</v>
      </c>
      <c r="AG7932">
        <v>-1.1111856634740001</v>
      </c>
      <c r="AH7932">
        <v>29.915040237392699</v>
      </c>
      <c r="AI7932">
        <v>92.125095446274798</v>
      </c>
      <c r="AJ7932">
        <v>92.584592290963698</v>
      </c>
      <c r="AK7932">
        <v>29.966112077258799</v>
      </c>
      <c r="AL7932">
        <v>89.325214297232407</v>
      </c>
      <c r="AM7932">
        <v>95.879469533060998</v>
      </c>
      <c r="AN7932">
        <v>0.99999999966609998</v>
      </c>
    </row>
    <row r="7933" spans="1:40" x14ac:dyDescent="0.25">
      <c r="A7933" t="str">
        <f>"20190305135116700"</f>
        <v>20190305135116700</v>
      </c>
      <c r="B7933" t="str">
        <f>"1551765076687555"</f>
        <v>1551765076687555</v>
      </c>
      <c r="C7933" t="s">
        <v>40</v>
      </c>
      <c r="D7933">
        <v>4.0535050000000004</v>
      </c>
      <c r="E7933">
        <v>0.5211652</v>
      </c>
      <c r="F7933" t="s">
        <v>42</v>
      </c>
      <c r="G7933">
        <v>-188.79839999999999</v>
      </c>
      <c r="H7933" s="1">
        <v>-3.189526E-6</v>
      </c>
      <c r="I7933">
        <v>46.570790000000002</v>
      </c>
      <c r="J7933">
        <v>-187.3006</v>
      </c>
      <c r="K7933">
        <v>1.1112409999999999</v>
      </c>
      <c r="L7933">
        <v>15.83789</v>
      </c>
      <c r="M7933">
        <v>-3.6168260000000001E-3</v>
      </c>
      <c r="N7933">
        <v>-4.5919239999999998E-3</v>
      </c>
      <c r="O7933">
        <v>0.99998290000000001</v>
      </c>
      <c r="P7933">
        <v>-0.10558919999999999</v>
      </c>
      <c r="Q7933">
        <v>8.9209839999999999E-3</v>
      </c>
      <c r="R7933">
        <v>0.99436979999999997</v>
      </c>
      <c r="S7933">
        <v>-0.14411930000000001</v>
      </c>
      <c r="T7933">
        <v>-0.1068245</v>
      </c>
      <c r="U7933">
        <v>3.0021360000000001</v>
      </c>
      <c r="V7933">
        <v>-0.1020949</v>
      </c>
      <c r="W7933">
        <v>1.2687169999999999E-2</v>
      </c>
      <c r="X7933">
        <v>0.99469379999999996</v>
      </c>
      <c r="Y7933">
        <v>-4.4310309999999999E-2</v>
      </c>
      <c r="Z7933">
        <v>-3.0933099999999901E-2</v>
      </c>
      <c r="AA7933">
        <v>0.99853879999999995</v>
      </c>
      <c r="AB7933">
        <v>50</v>
      </c>
      <c r="AC7933">
        <v>-1.49779999999998</v>
      </c>
      <c r="AD7933">
        <v>-1.1112441895259999</v>
      </c>
      <c r="AE7933">
        <v>30.732900000000001</v>
      </c>
      <c r="AF7933">
        <v>-1.3848272303173701</v>
      </c>
      <c r="AG7933">
        <v>-1.1112441895259999</v>
      </c>
      <c r="AH7933">
        <v>30.6980764389059</v>
      </c>
      <c r="AI7933">
        <v>92.071048732059495</v>
      </c>
      <c r="AJ7933">
        <v>92.582930519723206</v>
      </c>
      <c r="AK7933">
        <v>30.749382223965</v>
      </c>
      <c r="AL7933">
        <v>89.2730592344504</v>
      </c>
      <c r="AM7933">
        <v>95.860290003090498</v>
      </c>
      <c r="AN7933">
        <v>1.00000004432352</v>
      </c>
    </row>
    <row r="7934" spans="1:40" x14ac:dyDescent="0.25">
      <c r="A7934" t="str">
        <f>"20190305135116720"</f>
        <v>20190305135116720</v>
      </c>
      <c r="B7934" t="str">
        <f>"1551765076708048"</f>
        <v>1551765076708048</v>
      </c>
      <c r="C7934" t="s">
        <v>40</v>
      </c>
      <c r="D7934">
        <v>4.2782530000000003</v>
      </c>
      <c r="E7934">
        <v>0.52111940000000001</v>
      </c>
      <c r="F7934" t="s">
        <v>42</v>
      </c>
      <c r="G7934">
        <v>-188.94900000000001</v>
      </c>
      <c r="H7934" s="1">
        <v>-3.9797180000000003E-6</v>
      </c>
      <c r="I7934">
        <v>48.475020000000001</v>
      </c>
      <c r="J7934">
        <v>-187.303</v>
      </c>
      <c r="K7934">
        <v>1.111286</v>
      </c>
      <c r="L7934">
        <v>16.304320000000001</v>
      </c>
      <c r="M7934">
        <v>-5.9978949999999996E-3</v>
      </c>
      <c r="N7934">
        <v>-4.6044859999999996E-3</v>
      </c>
      <c r="O7934">
        <v>0.99997139999999995</v>
      </c>
      <c r="P7934">
        <v>-0.10754710000000001</v>
      </c>
      <c r="Q7934">
        <v>9.2656869999999999E-3</v>
      </c>
      <c r="R7934">
        <v>0.99415679999999995</v>
      </c>
      <c r="S7934">
        <v>-0.15161129999999901</v>
      </c>
      <c r="T7934">
        <v>-0.1022068</v>
      </c>
      <c r="U7934">
        <v>3.0018009999999999</v>
      </c>
      <c r="V7934">
        <v>-0.1016899</v>
      </c>
      <c r="W7934">
        <v>1.3034280000000001E-2</v>
      </c>
      <c r="X7934">
        <v>0.99473080000000003</v>
      </c>
      <c r="Y7934">
        <v>-4.4425539999999999E-2</v>
      </c>
      <c r="Z7934">
        <v>-2.9387949999999999E-2</v>
      </c>
      <c r="AA7934">
        <v>0.99858029999999998</v>
      </c>
      <c r="AB7934">
        <v>50</v>
      </c>
      <c r="AC7934">
        <v>-1.6460000000000099</v>
      </c>
      <c r="AD7934">
        <v>-1.111289979718</v>
      </c>
      <c r="AE7934">
        <v>32.170699999999997</v>
      </c>
      <c r="AF7934">
        <v>-1.4512846303737199</v>
      </c>
      <c r="AG7934">
        <v>-1.111289979718</v>
      </c>
      <c r="AH7934">
        <v>32.141740757702301</v>
      </c>
      <c r="AI7934">
        <v>91.978179807786006</v>
      </c>
      <c r="AJ7934">
        <v>92.585300045987495</v>
      </c>
      <c r="AK7934">
        <v>32.193674711544297</v>
      </c>
      <c r="AL7934">
        <v>89.2531696537946</v>
      </c>
      <c r="AM7934">
        <v>95.836988052860093</v>
      </c>
      <c r="AN7934">
        <v>1.00000004634288</v>
      </c>
    </row>
    <row r="7935" spans="1:40" x14ac:dyDescent="0.25">
      <c r="A7935" t="str">
        <f>"20190305135116735"</f>
        <v>20190305135116735</v>
      </c>
      <c r="B7935" t="str">
        <f>"1551765076727568"</f>
        <v>1551765076727568</v>
      </c>
      <c r="C7935" t="s">
        <v>40</v>
      </c>
      <c r="D7935">
        <v>4.0304440000000001</v>
      </c>
      <c r="E7935">
        <v>0.52106960000000002</v>
      </c>
      <c r="F7935" t="s">
        <v>42</v>
      </c>
      <c r="G7935">
        <v>-189.0668</v>
      </c>
      <c r="H7935" s="1">
        <v>-3.1643999999999999E-7</v>
      </c>
      <c r="I7935">
        <v>49.848300000000002</v>
      </c>
      <c r="J7935">
        <v>-187.30549999999999</v>
      </c>
      <c r="K7935">
        <v>1.1113109999999999</v>
      </c>
      <c r="L7935">
        <v>16.645320000000002</v>
      </c>
      <c r="M7935">
        <v>-7.7343489999999997E-3</v>
      </c>
      <c r="N7935">
        <v>-4.614936E-3</v>
      </c>
      <c r="O7935">
        <v>0.9999595</v>
      </c>
      <c r="P7935">
        <v>-0.10924830000000001</v>
      </c>
      <c r="Q7935">
        <v>9.2737310000000003E-3</v>
      </c>
      <c r="R7935">
        <v>0.99397120000000005</v>
      </c>
      <c r="S7935">
        <v>-0.15782170000000001</v>
      </c>
      <c r="T7935">
        <v>-9.9437239999999996E-2</v>
      </c>
      <c r="U7935">
        <v>3.0014949999999998</v>
      </c>
      <c r="V7935">
        <v>-0.1016657</v>
      </c>
      <c r="W7935">
        <v>1.304524E-2</v>
      </c>
      <c r="X7935">
        <v>0.99473310000000004</v>
      </c>
      <c r="Y7935">
        <v>-4.4757989999999997E-2</v>
      </c>
      <c r="Z7935">
        <v>-2.845835E-2</v>
      </c>
      <c r="AA7935">
        <v>0.99859240000000005</v>
      </c>
      <c r="AB7935">
        <v>51</v>
      </c>
      <c r="AC7935">
        <v>-1.7613000000000001</v>
      </c>
      <c r="AD7935">
        <v>-1.1113113164399999</v>
      </c>
      <c r="AE7935">
        <v>33.202979999999997</v>
      </c>
      <c r="AF7935">
        <v>-1.50276240798212</v>
      </c>
      <c r="AG7935">
        <v>-1.1113113164399999</v>
      </c>
      <c r="AH7935">
        <v>33.178545339130899</v>
      </c>
      <c r="AI7935">
        <v>91.916434634212294</v>
      </c>
      <c r="AJ7935">
        <v>92.593336641195606</v>
      </c>
      <c r="AK7935">
        <v>33.231147715925403</v>
      </c>
      <c r="AL7935">
        <v>89.252541616407399</v>
      </c>
      <c r="AM7935">
        <v>95.835595163568797</v>
      </c>
      <c r="AN7935">
        <v>1.0000000165393701</v>
      </c>
    </row>
    <row r="7936" spans="1:40" x14ac:dyDescent="0.25">
      <c r="A7936" t="str">
        <f>"20190305135116754"</f>
        <v>20190305135116754</v>
      </c>
      <c r="B7936" t="str">
        <f>"1551765076747842"</f>
        <v>1551765076747842</v>
      </c>
      <c r="C7936" t="s">
        <v>40</v>
      </c>
      <c r="D7936">
        <v>4.0479940000000001</v>
      </c>
      <c r="E7936">
        <v>0.52095899999999995</v>
      </c>
      <c r="F7936" t="s">
        <v>42</v>
      </c>
      <c r="G7936">
        <v>-189.1695</v>
      </c>
      <c r="H7936" s="1">
        <v>-6.8259609999999997E-7</v>
      </c>
      <c r="I7936">
        <v>50.880510000000001</v>
      </c>
      <c r="J7936">
        <v>-187.30940000000001</v>
      </c>
      <c r="K7936">
        <v>1.111335</v>
      </c>
      <c r="L7936">
        <v>17.077479999999898</v>
      </c>
      <c r="M7936">
        <v>-9.9240760000000004E-3</v>
      </c>
      <c r="N7936">
        <v>-4.6293630000000001E-3</v>
      </c>
      <c r="O7936">
        <v>0.99994000000000005</v>
      </c>
      <c r="P7936">
        <v>-0.1110491</v>
      </c>
      <c r="Q7936">
        <v>9.6596719999999994E-3</v>
      </c>
      <c r="R7936">
        <v>0.99376799999999998</v>
      </c>
      <c r="S7936">
        <v>-0.16340639999999901</v>
      </c>
      <c r="T7936">
        <v>-9.7420930000000003E-2</v>
      </c>
      <c r="U7936">
        <v>3.00116</v>
      </c>
      <c r="V7936">
        <v>-0.1012938</v>
      </c>
      <c r="W7936">
        <v>1.344099E-2</v>
      </c>
      <c r="X7936">
        <v>0.99476580000000003</v>
      </c>
      <c r="Y7936">
        <v>-4.4430249999999998E-2</v>
      </c>
      <c r="Z7936">
        <v>-2.7775600000000001E-2</v>
      </c>
      <c r="AA7936">
        <v>0.99862629999999997</v>
      </c>
      <c r="AB7936">
        <v>51</v>
      </c>
      <c r="AC7936">
        <v>-1.8600999999999801</v>
      </c>
      <c r="AD7936">
        <v>-1.1113356825961</v>
      </c>
      <c r="AE7936">
        <v>33.80303</v>
      </c>
      <c r="AF7936">
        <v>-1.5228998417346</v>
      </c>
      <c r="AG7936">
        <v>-1.1113356825961</v>
      </c>
      <c r="AH7936">
        <v>33.783419577338897</v>
      </c>
      <c r="AI7936">
        <v>91.882206252905505</v>
      </c>
      <c r="AJ7936">
        <v>92.581050224670193</v>
      </c>
      <c r="AK7936">
        <v>33.835982758978503</v>
      </c>
      <c r="AL7936">
        <v>89.229864845573204</v>
      </c>
      <c r="AM7936">
        <v>95.814204862406598</v>
      </c>
      <c r="AN7936">
        <v>1.0000000454901199</v>
      </c>
    </row>
    <row r="7937" spans="1:40" x14ac:dyDescent="0.25">
      <c r="A7937" t="str">
        <f>"20190305135116778"</f>
        <v>20190305135116778</v>
      </c>
      <c r="B7937" t="str">
        <f>"1551765076767365"</f>
        <v>1551765076767365</v>
      </c>
      <c r="C7937" t="s">
        <v>40</v>
      </c>
      <c r="D7937">
        <v>4.0480780000000003</v>
      </c>
      <c r="E7937">
        <v>0.5208893</v>
      </c>
      <c r="F7937" t="s">
        <v>42</v>
      </c>
      <c r="G7937">
        <v>-189.26679999999999</v>
      </c>
      <c r="H7937" s="1">
        <v>-1.019179E-6</v>
      </c>
      <c r="I7937">
        <v>51.705359999999999</v>
      </c>
      <c r="J7937">
        <v>-187.31549999999999</v>
      </c>
      <c r="K7937">
        <v>1.111351</v>
      </c>
      <c r="L7937">
        <v>17.607150000000001</v>
      </c>
      <c r="M7937">
        <v>-1.2580040000000001E-2</v>
      </c>
      <c r="N7937">
        <v>-4.6482310000000001E-3</v>
      </c>
      <c r="O7937">
        <v>0.99991010000000002</v>
      </c>
      <c r="P7937">
        <v>-0.1132671</v>
      </c>
      <c r="Q7937">
        <v>9.9604829999999991E-3</v>
      </c>
      <c r="R7937">
        <v>0.99351469999999997</v>
      </c>
      <c r="S7937">
        <v>-0.16963200000000001</v>
      </c>
      <c r="T7937">
        <v>-9.6306559999999999E-2</v>
      </c>
      <c r="U7937">
        <v>3.0007929999999998</v>
      </c>
      <c r="V7937">
        <v>-0.1008759</v>
      </c>
      <c r="W7937">
        <v>1.3759E-2</v>
      </c>
      <c r="X7937">
        <v>0.99480380000000002</v>
      </c>
      <c r="Y7937">
        <v>-4.3849440000000003E-2</v>
      </c>
      <c r="Z7937">
        <v>-2.7387870000000002E-2</v>
      </c>
      <c r="AA7937">
        <v>0.99866270000000001</v>
      </c>
      <c r="AB7937">
        <v>51</v>
      </c>
      <c r="AC7937">
        <v>-1.9513</v>
      </c>
      <c r="AD7937">
        <v>-1.1113520191790001</v>
      </c>
      <c r="AE7937">
        <v>34.098209999999902</v>
      </c>
      <c r="AF7937">
        <v>-1.5205741150573799</v>
      </c>
      <c r="AG7937">
        <v>-1.1113520191790001</v>
      </c>
      <c r="AH7937">
        <v>34.083970753732103</v>
      </c>
      <c r="AI7937">
        <v>91.865687075549801</v>
      </c>
      <c r="AJ7937">
        <v>92.554419182025498</v>
      </c>
      <c r="AK7937">
        <v>34.135967999914399</v>
      </c>
      <c r="AL7937">
        <v>89.211642438276201</v>
      </c>
      <c r="AM7937">
        <v>95.790161293442495</v>
      </c>
      <c r="AN7937">
        <v>0.99999992888812195</v>
      </c>
    </row>
    <row r="7938" spans="1:40" x14ac:dyDescent="0.25">
      <c r="A7938" t="str">
        <f>"20190305135116801"</f>
        <v>20190305135116801</v>
      </c>
      <c r="B7938" t="str">
        <f>"1551765076787857"</f>
        <v>1551765076787857</v>
      </c>
      <c r="C7938" t="s">
        <v>40</v>
      </c>
      <c r="D7938">
        <v>3.9179249999999999</v>
      </c>
      <c r="E7938">
        <v>0.52075990000000005</v>
      </c>
      <c r="F7938" t="s">
        <v>42</v>
      </c>
      <c r="G7938">
        <v>-189.37780000000001</v>
      </c>
      <c r="H7938" s="1">
        <v>-1.372524E-6</v>
      </c>
      <c r="I7938">
        <v>52.5749</v>
      </c>
      <c r="J7938">
        <v>-187.3229</v>
      </c>
      <c r="K7938">
        <v>1.1113500000000001</v>
      </c>
      <c r="L7938">
        <v>18.133420000000001</v>
      </c>
      <c r="M7938">
        <v>-1.517751E-2</v>
      </c>
      <c r="N7938">
        <v>-4.6677200000000002E-3</v>
      </c>
      <c r="O7938">
        <v>0.99987389999999998</v>
      </c>
      <c r="P7938">
        <v>-0.1154702</v>
      </c>
      <c r="Q7938">
        <v>1.1002899999999999E-2</v>
      </c>
      <c r="R7938">
        <v>0.99324999999999997</v>
      </c>
      <c r="S7938">
        <v>-0.17695620000000001</v>
      </c>
      <c r="T7938">
        <v>-9.5358250000000006E-2</v>
      </c>
      <c r="U7938">
        <v>3.0003660000000001</v>
      </c>
      <c r="V7938">
        <v>-0.1005067</v>
      </c>
      <c r="W7938">
        <v>1.482224E-2</v>
      </c>
      <c r="X7938">
        <v>0.99482599999999999</v>
      </c>
      <c r="Y7938">
        <v>-4.3692500000000002E-2</v>
      </c>
      <c r="Z7938">
        <v>-2.7054350000000001E-2</v>
      </c>
      <c r="AA7938">
        <v>0.99867859999999997</v>
      </c>
      <c r="AB7938">
        <v>51</v>
      </c>
      <c r="AC7938">
        <v>-2.0548999999999999</v>
      </c>
      <c r="AD7938">
        <v>-1.1113513725240001</v>
      </c>
      <c r="AE7938">
        <v>34.441479999999999</v>
      </c>
      <c r="AF7938">
        <v>-1.5303339388274799</v>
      </c>
      <c r="AG7938">
        <v>-1.1113513725240001</v>
      </c>
      <c r="AH7938">
        <v>34.432976518192497</v>
      </c>
      <c r="AI7938">
        <v>91.846802771771806</v>
      </c>
      <c r="AJ7938">
        <v>92.544770214088899</v>
      </c>
      <c r="AK7938">
        <v>34.484879233367401</v>
      </c>
      <c r="AL7938">
        <v>89.150717133347101</v>
      </c>
      <c r="AM7938">
        <v>95.7689849673</v>
      </c>
      <c r="AN7938">
        <v>1.00000003290975</v>
      </c>
    </row>
    <row r="7939" spans="1:40" x14ac:dyDescent="0.25">
      <c r="A7939" t="str">
        <f>"20190305135116824"</f>
        <v>20190305135116824</v>
      </c>
      <c r="B7939" t="str">
        <f>"1551765076817138"</f>
        <v>1551765076817138</v>
      </c>
      <c r="C7939" t="s">
        <v>40</v>
      </c>
      <c r="D7939">
        <v>4.0366860000000004</v>
      </c>
      <c r="E7939">
        <v>0.52073080000000005</v>
      </c>
      <c r="F7939" t="s">
        <v>42</v>
      </c>
      <c r="G7939">
        <v>-189.4905</v>
      </c>
      <c r="H7939" s="1">
        <v>-1.6901149999999999E-6</v>
      </c>
      <c r="I7939">
        <v>53.361800000000002</v>
      </c>
      <c r="J7939">
        <v>-187.3321</v>
      </c>
      <c r="K7939">
        <v>1.111327</v>
      </c>
      <c r="L7939">
        <v>18.683070000000001</v>
      </c>
      <c r="M7939">
        <v>-1.7826970000000001E-2</v>
      </c>
      <c r="N7939">
        <v>-4.6886200000000001E-3</v>
      </c>
      <c r="O7939">
        <v>0.99983010000000005</v>
      </c>
      <c r="P7939">
        <v>-0.11760669999999999</v>
      </c>
      <c r="Q7939">
        <v>1.1225769999999999E-2</v>
      </c>
      <c r="R7939">
        <v>0.99299680000000001</v>
      </c>
      <c r="S7939">
        <v>-0.18458559999999999</v>
      </c>
      <c r="T7939">
        <v>-9.4640249999999995E-2</v>
      </c>
      <c r="U7939">
        <v>2.9999690000000001</v>
      </c>
      <c r="V7939">
        <v>-0.1000125</v>
      </c>
      <c r="W7939">
        <v>1.5073029999999999E-2</v>
      </c>
      <c r="X7939">
        <v>0.99487199999999998</v>
      </c>
      <c r="Y7939">
        <v>-4.3583990000000003E-2</v>
      </c>
      <c r="Z7939">
        <v>-2.6795090000000001E-2</v>
      </c>
      <c r="AA7939">
        <v>0.99869039999999998</v>
      </c>
      <c r="AB7939">
        <v>51</v>
      </c>
      <c r="AC7939">
        <v>-2.1583999999999999</v>
      </c>
      <c r="AD7939">
        <v>-1.1113286901149999</v>
      </c>
      <c r="AE7939">
        <v>34.678730000000002</v>
      </c>
      <c r="AF7939">
        <v>-1.53825986978401</v>
      </c>
      <c r="AG7939">
        <v>-1.1113286901149999</v>
      </c>
      <c r="AH7939">
        <v>34.676223033580499</v>
      </c>
      <c r="AI7939">
        <v>91.833826063544606</v>
      </c>
      <c r="AJ7939">
        <v>92.540012884999001</v>
      </c>
      <c r="AK7939">
        <v>34.7281116497727</v>
      </c>
      <c r="AL7939">
        <v>89.136346288154797</v>
      </c>
      <c r="AM7939">
        <v>95.740544646544805</v>
      </c>
      <c r="AN7939">
        <v>0.99999999638681503</v>
      </c>
    </row>
    <row r="7940" spans="1:40" x14ac:dyDescent="0.25">
      <c r="A7940" t="str">
        <f>"20190305135116844"</f>
        <v>20190305135116844</v>
      </c>
      <c r="B7940" t="str">
        <f>"1551765076837634"</f>
        <v>1551765076837634</v>
      </c>
      <c r="C7940" t="s">
        <v>40</v>
      </c>
      <c r="D7940">
        <v>4.056851</v>
      </c>
      <c r="E7940">
        <v>0.52070070000000002</v>
      </c>
      <c r="F7940" t="s">
        <v>42</v>
      </c>
      <c r="G7940">
        <v>-189.62639999999999</v>
      </c>
      <c r="H7940" s="1">
        <v>-2.2405180000000001E-6</v>
      </c>
      <c r="I7940">
        <v>54.700980000000001</v>
      </c>
      <c r="J7940">
        <v>-187.34039999999999</v>
      </c>
      <c r="K7940">
        <v>1.111294</v>
      </c>
      <c r="L7940">
        <v>19.122890000000002</v>
      </c>
      <c r="M7940">
        <v>-1.9878799999999999E-2</v>
      </c>
      <c r="N7940">
        <v>-4.7053909999999997E-3</v>
      </c>
      <c r="O7940">
        <v>0.99979130000000005</v>
      </c>
      <c r="P7940">
        <v>-0.11903130000000001</v>
      </c>
      <c r="Q7940">
        <v>1.1713309999999999E-2</v>
      </c>
      <c r="R7940">
        <v>0.99282139999999997</v>
      </c>
      <c r="S7940">
        <v>-0.19107060000000001</v>
      </c>
      <c r="T7940">
        <v>-9.2551590000000003E-2</v>
      </c>
      <c r="U7940">
        <v>2.9995729999999998</v>
      </c>
      <c r="V7940">
        <v>-9.9401169999999997E-2</v>
      </c>
      <c r="W7940">
        <v>1.558843E-2</v>
      </c>
      <c r="X7940">
        <v>0.99492530000000001</v>
      </c>
      <c r="Y7940">
        <v>-4.369377E-2</v>
      </c>
      <c r="Z7940">
        <v>-2.6084690000000001E-2</v>
      </c>
      <c r="AA7940">
        <v>0.99870440000000005</v>
      </c>
      <c r="AB7940">
        <v>51</v>
      </c>
      <c r="AC7940">
        <v>-2.286</v>
      </c>
      <c r="AD7940">
        <v>-1.111296240518</v>
      </c>
      <c r="AE7940">
        <v>35.578090000000003</v>
      </c>
      <c r="AF7940">
        <v>-1.5767586463751599</v>
      </c>
      <c r="AG7940">
        <v>-1.111296240518</v>
      </c>
      <c r="AH7940">
        <v>35.581930143780099</v>
      </c>
      <c r="AI7940">
        <v>91.787129860218201</v>
      </c>
      <c r="AJ7940">
        <v>92.537314610309494</v>
      </c>
      <c r="AK7940">
        <v>35.634181622705398</v>
      </c>
      <c r="AL7940">
        <v>89.106812550444701</v>
      </c>
      <c r="AM7940">
        <v>95.705383940015693</v>
      </c>
      <c r="AN7940">
        <v>0.99999997216366099</v>
      </c>
    </row>
    <row r="7941" spans="1:40" x14ac:dyDescent="0.25">
      <c r="A7941" t="str">
        <f>"20190305135116865"</f>
        <v>20190305135116865</v>
      </c>
      <c r="B7941" t="str">
        <f>"1551765076857721"</f>
        <v>1551765076857721</v>
      </c>
      <c r="C7941" t="s">
        <v>40</v>
      </c>
      <c r="D7941">
        <v>4.0276379999999996</v>
      </c>
      <c r="E7941">
        <v>0.52073100000000005</v>
      </c>
      <c r="F7941" t="s">
        <v>42</v>
      </c>
      <c r="G7941">
        <v>-189.75</v>
      </c>
      <c r="H7941" s="1">
        <v>-2.801055E-6</v>
      </c>
      <c r="I7941">
        <v>56.058720000000001</v>
      </c>
      <c r="J7941">
        <v>-187.3511</v>
      </c>
      <c r="K7941">
        <v>1.111229</v>
      </c>
      <c r="L7941">
        <v>19.632629999999999</v>
      </c>
      <c r="M7941">
        <v>-2.216543E-2</v>
      </c>
      <c r="N7941">
        <v>-4.7245569999999999E-3</v>
      </c>
      <c r="O7941">
        <v>0.99974320000000005</v>
      </c>
      <c r="P7941">
        <v>-0.1205126</v>
      </c>
      <c r="Q7941">
        <v>1.1811769999999999E-2</v>
      </c>
      <c r="R7941">
        <v>0.99264149999999995</v>
      </c>
      <c r="S7941">
        <v>-0.19566349999999999</v>
      </c>
      <c r="T7941">
        <v>-9.0240600000000004E-2</v>
      </c>
      <c r="U7941">
        <v>2.999298</v>
      </c>
      <c r="V7941">
        <v>-9.8609130000000003E-2</v>
      </c>
      <c r="W7941">
        <v>1.5724309999999998E-2</v>
      </c>
      <c r="X7941">
        <v>0.99500200000000005</v>
      </c>
      <c r="Y7941">
        <v>-4.2939039999999998E-2</v>
      </c>
      <c r="Z7941">
        <v>-2.5297460000000001E-2</v>
      </c>
      <c r="AA7941">
        <v>0.99875740000000002</v>
      </c>
      <c r="AB7941">
        <v>51</v>
      </c>
      <c r="AC7941">
        <v>-2.39889999999999</v>
      </c>
      <c r="AD7941">
        <v>-1.111231801055</v>
      </c>
      <c r="AE7941">
        <v>36.426090000000002</v>
      </c>
      <c r="AF7941">
        <v>-1.5894288887125201</v>
      </c>
      <c r="AG7941">
        <v>-1.111231801055</v>
      </c>
      <c r="AH7941">
        <v>36.436550686553701</v>
      </c>
      <c r="AI7941">
        <v>91.745190700463198</v>
      </c>
      <c r="AJ7941">
        <v>92.497763049659596</v>
      </c>
      <c r="AK7941">
        <v>36.4881260993456</v>
      </c>
      <c r="AL7941">
        <v>89.099026267926902</v>
      </c>
      <c r="AM7941">
        <v>95.659785672910999</v>
      </c>
      <c r="AN7941">
        <v>0.99999999722416599</v>
      </c>
    </row>
    <row r="7942" spans="1:40" x14ac:dyDescent="0.25">
      <c r="A7942" t="str">
        <f>"20190305135116889"</f>
        <v>20190305135116889</v>
      </c>
      <c r="B7942" t="str">
        <f>"1551765076877241"</f>
        <v>1551765076877241</v>
      </c>
      <c r="C7942" t="s">
        <v>40</v>
      </c>
      <c r="D7942">
        <v>4.0463339999999999</v>
      </c>
      <c r="E7942">
        <v>0.5207638</v>
      </c>
      <c r="F7942" t="s">
        <v>42</v>
      </c>
      <c r="G7942">
        <v>-189.84559999999999</v>
      </c>
      <c r="H7942" s="1">
        <v>-3.2055660000000002E-6</v>
      </c>
      <c r="I7942">
        <v>57.041179999999997</v>
      </c>
      <c r="J7942">
        <v>-187.36349999999999</v>
      </c>
      <c r="K7942">
        <v>1.1111359999999999</v>
      </c>
      <c r="L7942">
        <v>20.169619999999998</v>
      </c>
      <c r="M7942">
        <v>-2.4450400000000001E-2</v>
      </c>
      <c r="N7942">
        <v>-4.744458E-3</v>
      </c>
      <c r="O7942">
        <v>0.99968979999999996</v>
      </c>
      <c r="P7942">
        <v>-0.122074</v>
      </c>
      <c r="Q7942">
        <v>1.0941849999999999E-2</v>
      </c>
      <c r="R7942">
        <v>0.99246069999999997</v>
      </c>
      <c r="S7942">
        <v>-0.19998170000000001</v>
      </c>
      <c r="T7942">
        <v>-8.9086890000000002E-2</v>
      </c>
      <c r="U7942">
        <v>2.9990230000000002</v>
      </c>
      <c r="V7942">
        <v>-9.789059E-2</v>
      </c>
      <c r="W7942">
        <v>1.4897570000000001E-2</v>
      </c>
      <c r="X7942">
        <v>0.99508569999999996</v>
      </c>
      <c r="Y7942">
        <v>-4.2094069999999997E-2</v>
      </c>
      <c r="Z7942">
        <v>-2.4894019999999999E-2</v>
      </c>
      <c r="AA7942">
        <v>0.99880349999999996</v>
      </c>
      <c r="AB7942">
        <v>52</v>
      </c>
      <c r="AC7942">
        <v>-2.4821</v>
      </c>
      <c r="AD7942">
        <v>-1.1111392055660001</v>
      </c>
      <c r="AE7942">
        <v>36.871559999999903</v>
      </c>
      <c r="AF7942">
        <v>-1.57839647836576</v>
      </c>
      <c r="AG7942">
        <v>-1.1111392055660001</v>
      </c>
      <c r="AH7942">
        <v>36.887877488231197</v>
      </c>
      <c r="AI7942">
        <v>91.723769397208699</v>
      </c>
      <c r="AJ7942">
        <v>92.450136210714106</v>
      </c>
      <c r="AK7942">
        <v>36.938346895385301</v>
      </c>
      <c r="AL7942">
        <v>89.146400561421203</v>
      </c>
      <c r="AM7942">
        <v>95.618339506492802</v>
      </c>
      <c r="AN7942">
        <v>1.00000002777347</v>
      </c>
    </row>
    <row r="7943" spans="1:40" x14ac:dyDescent="0.25">
      <c r="A7943" t="str">
        <f>"20190305135116911"</f>
        <v>20190305135116911</v>
      </c>
      <c r="B7943" t="str">
        <f>"1551765076907498"</f>
        <v>1551765076907498</v>
      </c>
      <c r="C7943" t="s">
        <v>40</v>
      </c>
      <c r="D7943">
        <v>4.0237299999999996</v>
      </c>
      <c r="E7943">
        <v>0.52085599999999999</v>
      </c>
      <c r="F7943" t="s">
        <v>42</v>
      </c>
      <c r="G7943">
        <v>-189.85679999999999</v>
      </c>
      <c r="H7943" s="1">
        <v>-3.0804289999999999E-6</v>
      </c>
      <c r="I7943">
        <v>56.754109999999997</v>
      </c>
      <c r="J7943">
        <v>-187.37639999999999</v>
      </c>
      <c r="K7943">
        <v>1.1110329999999999</v>
      </c>
      <c r="L7943">
        <v>20.67651</v>
      </c>
      <c r="M7943">
        <v>-2.6460839999999999E-2</v>
      </c>
      <c r="N7943">
        <v>-4.7631660000000001E-3</v>
      </c>
      <c r="O7943">
        <v>0.99963849999999999</v>
      </c>
      <c r="P7943">
        <v>-0.123505</v>
      </c>
      <c r="Q7943">
        <v>1.051672E-2</v>
      </c>
      <c r="R7943">
        <v>0.99228819999999995</v>
      </c>
      <c r="S7943">
        <v>-0.20436099999999999</v>
      </c>
      <c r="T7943">
        <v>-9.1074820000000001E-2</v>
      </c>
      <c r="U7943">
        <v>2.9986570000000001</v>
      </c>
      <c r="V7943">
        <v>-9.7317929999999997E-2</v>
      </c>
      <c r="W7943">
        <v>1.451758E-2</v>
      </c>
      <c r="X7943">
        <v>0.99514749999999996</v>
      </c>
      <c r="Y7943">
        <v>-4.1543749999999997E-2</v>
      </c>
      <c r="Z7943">
        <v>-2.5536699999999999E-2</v>
      </c>
      <c r="AA7943">
        <v>0.99881030000000004</v>
      </c>
      <c r="AB7943">
        <v>52</v>
      </c>
      <c r="AC7943">
        <v>-2.4803999999999999</v>
      </c>
      <c r="AD7943">
        <v>-1.111036080429</v>
      </c>
      <c r="AE7943">
        <v>36.077599999999997</v>
      </c>
      <c r="AF7943">
        <v>-1.52343903901511</v>
      </c>
      <c r="AG7943">
        <v>-1.111036080429</v>
      </c>
      <c r="AH7943">
        <v>36.096529309436001</v>
      </c>
      <c r="AI7943">
        <v>91.7614164847636</v>
      </c>
      <c r="AJ7943">
        <v>92.416710373602299</v>
      </c>
      <c r="AK7943">
        <v>36.145742430673302</v>
      </c>
      <c r="AL7943">
        <v>89.168174752175105</v>
      </c>
      <c r="AM7943">
        <v>95.585335989991805</v>
      </c>
      <c r="AN7943">
        <v>1.0000000431923901</v>
      </c>
    </row>
    <row r="7944" spans="1:40" x14ac:dyDescent="0.25">
      <c r="A7944" t="str">
        <f>"20190305135116932"</f>
        <v>20190305135116932</v>
      </c>
      <c r="B7944" t="str">
        <f>"1551765076927994"</f>
        <v>1551765076927994</v>
      </c>
      <c r="C7944" t="s">
        <v>40</v>
      </c>
      <c r="D7944">
        <v>4.0090000000000003</v>
      </c>
      <c r="E7944">
        <v>0.52091430000000005</v>
      </c>
      <c r="F7944" t="s">
        <v>42</v>
      </c>
      <c r="G7944">
        <v>-189.88749999999999</v>
      </c>
      <c r="H7944" s="1">
        <v>-3.1267009999999999E-6</v>
      </c>
      <c r="I7944">
        <v>56.874679999999998</v>
      </c>
      <c r="J7944">
        <v>-187.39009999999999</v>
      </c>
      <c r="K7944">
        <v>1.1109180000000001</v>
      </c>
      <c r="L7944">
        <v>21.179929999999999</v>
      </c>
      <c r="M7944">
        <v>-2.8307349999999998E-2</v>
      </c>
      <c r="N7944">
        <v>-4.781914E-3</v>
      </c>
      <c r="O7944">
        <v>0.99958780000000003</v>
      </c>
      <c r="P7944">
        <v>-0.124876</v>
      </c>
      <c r="Q7944">
        <v>9.8313740000000004E-3</v>
      </c>
      <c r="R7944">
        <v>0.99212370000000005</v>
      </c>
      <c r="S7944">
        <v>-0.20800779999999999</v>
      </c>
      <c r="T7944">
        <v>-9.2030760000000003E-2</v>
      </c>
      <c r="U7944">
        <v>2.9984130000000002</v>
      </c>
      <c r="V7944">
        <v>-9.6845719999999996E-2</v>
      </c>
      <c r="W7944">
        <v>1.388059E-2</v>
      </c>
      <c r="X7944">
        <v>0.99520260000000005</v>
      </c>
      <c r="Y7944">
        <v>-4.0912209999999997E-2</v>
      </c>
      <c r="Z7944">
        <v>-2.5835360000000002E-2</v>
      </c>
      <c r="AA7944">
        <v>0.99882859999999996</v>
      </c>
      <c r="AB7944">
        <v>52</v>
      </c>
      <c r="AC7944">
        <v>-2.4973999999999901</v>
      </c>
      <c r="AD7944">
        <v>-1.110921126701</v>
      </c>
      <c r="AE7944">
        <v>35.694749999999999</v>
      </c>
      <c r="AF7944">
        <v>-1.48453286475783</v>
      </c>
      <c r="AG7944">
        <v>-1.110921126701</v>
      </c>
      <c r="AH7944">
        <v>35.716713443930203</v>
      </c>
      <c r="AI7944">
        <v>91.779999185422298</v>
      </c>
      <c r="AJ7944">
        <v>92.380077257621295</v>
      </c>
      <c r="AK7944">
        <v>35.764809559287798</v>
      </c>
      <c r="AL7944">
        <v>89.204675226918098</v>
      </c>
      <c r="AM7944">
        <v>95.558098910712403</v>
      </c>
      <c r="AN7944">
        <v>0.99999998965391301</v>
      </c>
    </row>
    <row r="7945" spans="1:40" x14ac:dyDescent="0.25">
      <c r="A7945" t="str">
        <f>"20190305135116955"</f>
        <v>20190305135116955</v>
      </c>
      <c r="B7945" t="str">
        <f>"1551765076947129"</f>
        <v>1551765076947129</v>
      </c>
      <c r="C7945" t="s">
        <v>40</v>
      </c>
      <c r="D7945">
        <v>4.0422339999999997</v>
      </c>
      <c r="E7945">
        <v>0.52098729999999904</v>
      </c>
      <c r="F7945" t="s">
        <v>42</v>
      </c>
      <c r="G7945">
        <v>-189.90010000000001</v>
      </c>
      <c r="H7945" s="1">
        <v>-3.0655059999999999E-6</v>
      </c>
      <c r="I7945">
        <v>56.737229999999997</v>
      </c>
      <c r="J7945">
        <v>-187.4057</v>
      </c>
      <c r="K7945">
        <v>1.110789</v>
      </c>
      <c r="L7945">
        <v>21.718170000000001</v>
      </c>
      <c r="M7945">
        <v>-3.0131479999999999E-2</v>
      </c>
      <c r="N7945">
        <v>-4.8028630000000001E-3</v>
      </c>
      <c r="O7945">
        <v>0.99953440000000005</v>
      </c>
      <c r="P7945">
        <v>-0.12635779999999999</v>
      </c>
      <c r="Q7945">
        <v>1.012414E-2</v>
      </c>
      <c r="R7945">
        <v>0.99193299999999995</v>
      </c>
      <c r="S7945">
        <v>-0.21163940000000001</v>
      </c>
      <c r="T7945">
        <v>-9.3670249999999997E-2</v>
      </c>
      <c r="U7945">
        <v>2.9981080000000002</v>
      </c>
      <c r="V7945">
        <v>-9.6513989999999994E-2</v>
      </c>
      <c r="W7945">
        <v>1.4226259999999999E-2</v>
      </c>
      <c r="X7945">
        <v>0.99522999999999995</v>
      </c>
      <c r="Y7945">
        <v>-4.0298800000000003E-2</v>
      </c>
      <c r="Z7945">
        <v>-2.635943E-2</v>
      </c>
      <c r="AA7945">
        <v>0.9988399</v>
      </c>
      <c r="AB7945">
        <v>52</v>
      </c>
      <c r="AC7945">
        <v>-2.4944000000000099</v>
      </c>
      <c r="AD7945">
        <v>-1.110792065506</v>
      </c>
      <c r="AE7945">
        <v>35.019059999999897</v>
      </c>
      <c r="AF7945">
        <v>-1.4366409358099601</v>
      </c>
      <c r="AG7945">
        <v>-1.110792065506</v>
      </c>
      <c r="AH7945">
        <v>35.043239576105101</v>
      </c>
      <c r="AI7945">
        <v>91.814017019457395</v>
      </c>
      <c r="AJ7945">
        <v>92.3475967185135</v>
      </c>
      <c r="AK7945">
        <v>35.090261272602902</v>
      </c>
      <c r="AL7945">
        <v>89.1848678834168</v>
      </c>
      <c r="AM7945">
        <v>95.539027559305296</v>
      </c>
      <c r="AN7945">
        <v>1.00000004481965</v>
      </c>
    </row>
    <row r="7946" spans="1:40" x14ac:dyDescent="0.25">
      <c r="A7946" t="str">
        <f>"20190305135116980"</f>
        <v>20190305135116980</v>
      </c>
      <c r="B7946" t="str">
        <f>"1551765076967610"</f>
        <v>1551765076967610</v>
      </c>
      <c r="C7946" t="s">
        <v>40</v>
      </c>
      <c r="D7946">
        <v>4.0335530000000004</v>
      </c>
      <c r="E7946">
        <v>0.52111390000000002</v>
      </c>
      <c r="F7946" t="s">
        <v>42</v>
      </c>
      <c r="G7946">
        <v>-189.999</v>
      </c>
      <c r="H7946" s="1">
        <v>-3.534331E-6</v>
      </c>
      <c r="I7946">
        <v>57.828330000000001</v>
      </c>
      <c r="J7946">
        <v>-187.4228</v>
      </c>
      <c r="K7946">
        <v>1.1106370000000001</v>
      </c>
      <c r="L7946">
        <v>22.27383</v>
      </c>
      <c r="M7946">
        <v>-3.1850160000000002E-2</v>
      </c>
      <c r="N7946">
        <v>-4.8252720000000002E-3</v>
      </c>
      <c r="O7946">
        <v>0.99948099999999995</v>
      </c>
      <c r="P7946">
        <v>-0.12764</v>
      </c>
      <c r="Q7946">
        <v>9.5426380000000009E-3</v>
      </c>
      <c r="R7946">
        <v>0.99177470000000001</v>
      </c>
      <c r="S7946">
        <v>-0.21530150000000001</v>
      </c>
      <c r="T7946">
        <v>-9.2219830000000003E-2</v>
      </c>
      <c r="U7946">
        <v>2.997925</v>
      </c>
      <c r="V7946">
        <v>-9.6080470000000001E-2</v>
      </c>
      <c r="W7946">
        <v>1.370322E-2</v>
      </c>
      <c r="X7946">
        <v>0.99527929999999998</v>
      </c>
      <c r="Y7946">
        <v>-3.9799960000000002E-2</v>
      </c>
      <c r="Z7946">
        <v>-2.5853810000000001E-2</v>
      </c>
      <c r="AA7946">
        <v>0.99887309999999996</v>
      </c>
      <c r="AB7946">
        <v>52</v>
      </c>
      <c r="AC7946">
        <v>-2.57620000000002</v>
      </c>
      <c r="AD7946">
        <v>-1.110640534331</v>
      </c>
      <c r="AE7946">
        <v>35.554499999999997</v>
      </c>
      <c r="AF7946">
        <v>-1.4410644046966401</v>
      </c>
      <c r="AG7946">
        <v>-1.110640534331</v>
      </c>
      <c r="AH7946">
        <v>35.5839732571418</v>
      </c>
      <c r="AI7946">
        <v>91.786261900167801</v>
      </c>
      <c r="AJ7946">
        <v>92.319072525353207</v>
      </c>
      <c r="AK7946">
        <v>35.630455256422998</v>
      </c>
      <c r="AL7946">
        <v>89.214838801351803</v>
      </c>
      <c r="AM7946">
        <v>95.514029678220297</v>
      </c>
      <c r="AN7946">
        <v>1.0000000599811301</v>
      </c>
    </row>
    <row r="7947" spans="1:40" x14ac:dyDescent="0.25">
      <c r="A7947" t="str">
        <f>"20190305135117001"</f>
        <v>20190305135117001</v>
      </c>
      <c r="B7947" t="str">
        <f>"1551765076987126"</f>
        <v>1551765076987126</v>
      </c>
      <c r="C7947" t="s">
        <v>40</v>
      </c>
      <c r="D7947">
        <v>4.0176040000000004</v>
      </c>
      <c r="E7947">
        <v>0.52130799999999999</v>
      </c>
      <c r="F7947" t="s">
        <v>42</v>
      </c>
      <c r="G7947">
        <v>-190.02869999999999</v>
      </c>
      <c r="H7947" s="1">
        <v>-3.6411230000000002E-6</v>
      </c>
      <c r="I7947">
        <v>58.058880000000002</v>
      </c>
      <c r="J7947">
        <v>-187.43899999999999</v>
      </c>
      <c r="K7947">
        <v>1.110487</v>
      </c>
      <c r="L7947">
        <v>22.7775</v>
      </c>
      <c r="M7947">
        <v>-3.3252959999999998E-2</v>
      </c>
      <c r="N7947">
        <v>-4.8459150000000001E-3</v>
      </c>
      <c r="O7947">
        <v>0.99943519999999997</v>
      </c>
      <c r="P7947">
        <v>-0.12860550000000001</v>
      </c>
      <c r="Q7947">
        <v>9.3192380000000005E-3</v>
      </c>
      <c r="R7947">
        <v>0.99165210000000004</v>
      </c>
      <c r="S7947">
        <v>-0.21829219999999999</v>
      </c>
      <c r="T7947">
        <v>-9.3037369999999994E-2</v>
      </c>
      <c r="U7947">
        <v>2.997681</v>
      </c>
      <c r="V7947">
        <v>-9.5646900000000007E-2</v>
      </c>
      <c r="W7947">
        <v>1.353539E-2</v>
      </c>
      <c r="X7947">
        <v>0.99532330000000002</v>
      </c>
      <c r="Y7947">
        <v>-3.9394199999999997E-2</v>
      </c>
      <c r="Z7947">
        <v>-2.6104740000000001E-2</v>
      </c>
      <c r="AA7947">
        <v>0.99888270000000001</v>
      </c>
      <c r="AB7947">
        <v>52</v>
      </c>
      <c r="AC7947">
        <v>-2.5896999999999601</v>
      </c>
      <c r="AD7947">
        <v>-1.110490641123</v>
      </c>
      <c r="AE7947">
        <v>35.281379999999999</v>
      </c>
      <c r="AF7947">
        <v>-1.41365067432491</v>
      </c>
      <c r="AG7947">
        <v>-1.110490641123</v>
      </c>
      <c r="AH7947">
        <v>35.313186975202299</v>
      </c>
      <c r="AI7947">
        <v>91.799741132886695</v>
      </c>
      <c r="AJ7947">
        <v>92.292429517815094</v>
      </c>
      <c r="AK7947">
        <v>35.358913615079302</v>
      </c>
      <c r="AL7947">
        <v>89.224455599893503</v>
      </c>
      <c r="AM7947">
        <v>95.489058366031401</v>
      </c>
      <c r="AN7947">
        <v>1.0000000038924699</v>
      </c>
    </row>
    <row r="7948" spans="1:40" x14ac:dyDescent="0.25">
      <c r="A7948" t="str">
        <f>"20190305135117023"</f>
        <v>20190305135117023</v>
      </c>
      <c r="B7948" t="str">
        <f>"1551765077017382"</f>
        <v>1551765077017382</v>
      </c>
      <c r="C7948" t="s">
        <v>40</v>
      </c>
      <c r="D7948">
        <v>4.0033300000000001</v>
      </c>
      <c r="E7948">
        <v>0.52160870000000004</v>
      </c>
      <c r="F7948" t="s">
        <v>42</v>
      </c>
      <c r="G7948">
        <v>-190.07730000000001</v>
      </c>
      <c r="H7948" s="1">
        <v>-3.9666899999999998E-6</v>
      </c>
      <c r="I7948">
        <v>58.787640000000003</v>
      </c>
      <c r="J7948">
        <v>-187.45650000000001</v>
      </c>
      <c r="K7948">
        <v>1.1103229999999999</v>
      </c>
      <c r="L7948">
        <v>23.29712</v>
      </c>
      <c r="M7948">
        <v>-3.4532390000000003E-2</v>
      </c>
      <c r="N7948">
        <v>-4.8689670000000001E-3</v>
      </c>
      <c r="O7948">
        <v>0.99939169999999999</v>
      </c>
      <c r="P7948">
        <v>-0.1289681</v>
      </c>
      <c r="Q7948">
        <v>8.9643540000000008E-3</v>
      </c>
      <c r="R7948">
        <v>0.99160820000000005</v>
      </c>
      <c r="S7948">
        <v>-0.2196198</v>
      </c>
      <c r="T7948">
        <v>-9.2442389999999999E-2</v>
      </c>
      <c r="U7948">
        <v>2.9976500000000001</v>
      </c>
      <c r="V7948">
        <v>-9.4728859999999998E-2</v>
      </c>
      <c r="W7948">
        <v>1.3247399999999999E-2</v>
      </c>
      <c r="X7948">
        <v>0.99541500000000005</v>
      </c>
      <c r="Y7948">
        <v>-3.8556239999999999E-2</v>
      </c>
      <c r="Z7948">
        <v>-2.5882579999999999E-2</v>
      </c>
      <c r="AA7948">
        <v>0.99892119999999995</v>
      </c>
      <c r="AB7948">
        <v>52</v>
      </c>
      <c r="AC7948">
        <v>-2.6208</v>
      </c>
      <c r="AD7948">
        <v>-1.11032696669</v>
      </c>
      <c r="AE7948">
        <v>35.490519999999997</v>
      </c>
      <c r="AF7948">
        <v>-1.39229450090422</v>
      </c>
      <c r="AG7948">
        <v>-1.11032696669</v>
      </c>
      <c r="AH7948">
        <v>35.525273569902701</v>
      </c>
      <c r="AI7948">
        <v>91.788799534327794</v>
      </c>
      <c r="AJ7948">
        <v>92.244368167253199</v>
      </c>
      <c r="AK7948">
        <v>35.569880125840101</v>
      </c>
      <c r="AL7948">
        <v>89.2409577158068</v>
      </c>
      <c r="AM7948">
        <v>95.436192524292196</v>
      </c>
      <c r="AN7948">
        <v>1.00000003637432</v>
      </c>
    </row>
    <row r="7949" spans="1:40" x14ac:dyDescent="0.25">
      <c r="A7949" t="str">
        <f>"20190305135117045"</f>
        <v>20190305135117045</v>
      </c>
      <c r="B7949" t="str">
        <f>"1551765077037879"</f>
        <v>1551765077037879</v>
      </c>
      <c r="C7949" t="s">
        <v>40</v>
      </c>
      <c r="D7949">
        <v>3.997808</v>
      </c>
      <c r="E7949">
        <v>0.52182510000000004</v>
      </c>
      <c r="F7949" t="s">
        <v>42</v>
      </c>
      <c r="G7949">
        <v>-190.08260000000001</v>
      </c>
      <c r="H7949" s="1">
        <v>-4.2279959999999999E-6</v>
      </c>
      <c r="I7949">
        <v>59.3934199999999</v>
      </c>
      <c r="J7949">
        <v>-187.47489999999999</v>
      </c>
      <c r="K7949">
        <v>1.1101379999999901</v>
      </c>
      <c r="L7949">
        <v>23.827480000000001</v>
      </c>
      <c r="M7949">
        <v>-3.565542E-2</v>
      </c>
      <c r="N7949">
        <v>-4.8955980000000001E-3</v>
      </c>
      <c r="O7949">
        <v>0.99935220000000002</v>
      </c>
      <c r="P7949">
        <v>-0.12958729999999999</v>
      </c>
      <c r="Q7949">
        <v>8.845037E-3</v>
      </c>
      <c r="R7949">
        <v>0.99152859999999998</v>
      </c>
      <c r="S7949">
        <v>-0.2181091</v>
      </c>
      <c r="T7949">
        <v>-9.2214699999999997E-2</v>
      </c>
      <c r="U7949">
        <v>2.9978639999999999</v>
      </c>
      <c r="V7949">
        <v>-9.4225320000000001E-2</v>
      </c>
      <c r="W7949">
        <v>1.3199249999999999E-2</v>
      </c>
      <c r="X7949">
        <v>0.9954634</v>
      </c>
      <c r="Y7949">
        <v>-3.6927729999999999E-2</v>
      </c>
      <c r="Z7949">
        <v>-2.5777999999999999E-2</v>
      </c>
      <c r="AA7949">
        <v>0.99898540000000002</v>
      </c>
      <c r="AB7949">
        <v>53</v>
      </c>
      <c r="AC7949">
        <v>-2.6077000000000199</v>
      </c>
      <c r="AD7949">
        <v>-1.11014222799599</v>
      </c>
      <c r="AE7949">
        <v>35.565939999999998</v>
      </c>
      <c r="AF7949">
        <v>-1.3366128859353701</v>
      </c>
      <c r="AG7949">
        <v>-1.11014222799599</v>
      </c>
      <c r="AH7949">
        <v>35.601803327125097</v>
      </c>
      <c r="AI7949">
        <v>91.7847726477018</v>
      </c>
      <c r="AJ7949">
        <v>92.150068798828201</v>
      </c>
      <c r="AK7949">
        <v>35.644176942616099</v>
      </c>
      <c r="AL7949">
        <v>89.243716725695606</v>
      </c>
      <c r="AM7949">
        <v>95.407206325474306</v>
      </c>
      <c r="AN7949">
        <v>1.0000000059346099</v>
      </c>
    </row>
    <row r="7950" spans="1:40" x14ac:dyDescent="0.25">
      <c r="A7950" t="str">
        <f>"20190305135117069"</f>
        <v>20190305135117069</v>
      </c>
      <c r="B7950" t="str">
        <f>"1551765077057402"</f>
        <v>1551765077057402</v>
      </c>
      <c r="C7950" t="s">
        <v>40</v>
      </c>
      <c r="D7950">
        <v>3.9972599999999998</v>
      </c>
      <c r="E7950">
        <v>0.52208259999999995</v>
      </c>
      <c r="F7950" t="s">
        <v>42</v>
      </c>
      <c r="G7950">
        <v>-190.1086</v>
      </c>
      <c r="H7950" s="1">
        <v>-2.061747E-7</v>
      </c>
      <c r="I7950">
        <v>60.0023699999999</v>
      </c>
      <c r="J7950">
        <v>-187.49430000000001</v>
      </c>
      <c r="K7950">
        <v>1.1099349999999999</v>
      </c>
      <c r="L7950">
        <v>24.3718</v>
      </c>
      <c r="M7950">
        <v>-3.6615109999999999E-2</v>
      </c>
      <c r="N7950">
        <v>-4.9252260000000004E-3</v>
      </c>
      <c r="O7950">
        <v>0.99931729999999996</v>
      </c>
      <c r="P7950">
        <v>-0.12996549999999901</v>
      </c>
      <c r="Q7950">
        <v>8.911001E-3</v>
      </c>
      <c r="R7950">
        <v>0.99147839999999998</v>
      </c>
      <c r="S7950">
        <v>-0.2182617</v>
      </c>
      <c r="T7950">
        <v>-9.2000600000000002E-2</v>
      </c>
      <c r="U7950">
        <v>2.997925</v>
      </c>
      <c r="V7950">
        <v>-9.3642669999999997E-2</v>
      </c>
      <c r="W7950">
        <v>1.3344190000000001E-2</v>
      </c>
      <c r="X7950">
        <v>0.99551639999999997</v>
      </c>
      <c r="Y7950">
        <v>-3.6017399999999998E-2</v>
      </c>
      <c r="Z7950">
        <v>-2.5675699999999999E-2</v>
      </c>
      <c r="AA7950">
        <v>0.9990213</v>
      </c>
      <c r="AB7950">
        <v>53</v>
      </c>
      <c r="AC7950">
        <v>-2.6142999999999801</v>
      </c>
      <c r="AD7950">
        <v>-1.1099352061746901</v>
      </c>
      <c r="AE7950">
        <v>35.630569999999899</v>
      </c>
      <c r="AF7950">
        <v>-1.3066526645424801</v>
      </c>
      <c r="AG7950">
        <v>-1.1099352061746901</v>
      </c>
      <c r="AH7950">
        <v>35.6679743211972</v>
      </c>
      <c r="AI7950">
        <v>91.781191656650705</v>
      </c>
      <c r="AJ7950">
        <v>92.098022682159495</v>
      </c>
      <c r="AK7950">
        <v>35.7091541418338</v>
      </c>
      <c r="AL7950">
        <v>89.235411508761402</v>
      </c>
      <c r="AM7950">
        <v>95.373682346711803</v>
      </c>
      <c r="AN7950">
        <v>0.99999995986022105</v>
      </c>
    </row>
    <row r="7951" spans="1:40" x14ac:dyDescent="0.25">
      <c r="A7951" t="str">
        <f>"20190305135117089"</f>
        <v>20190305135117089</v>
      </c>
      <c r="B7951" t="str">
        <f>"1551765077077894"</f>
        <v>1551765077077894</v>
      </c>
      <c r="C7951" t="s">
        <v>40</v>
      </c>
      <c r="D7951">
        <v>3.900989</v>
      </c>
      <c r="E7951">
        <v>0.52220480000000002</v>
      </c>
      <c r="F7951" t="s">
        <v>42</v>
      </c>
      <c r="G7951">
        <v>-190.18119999999999</v>
      </c>
      <c r="H7951" s="1">
        <v>-8.3992689999999996E-7</v>
      </c>
      <c r="I7951">
        <v>61.434620000000002</v>
      </c>
      <c r="J7951">
        <v>-187.512</v>
      </c>
      <c r="K7951">
        <v>1.109742</v>
      </c>
      <c r="L7951">
        <v>24.855160000000001</v>
      </c>
      <c r="M7951">
        <v>-3.7298850000000001E-2</v>
      </c>
      <c r="N7951">
        <v>-4.952265E-3</v>
      </c>
      <c r="O7951">
        <v>0.99929190000000001</v>
      </c>
      <c r="P7951">
        <v>-0.12949620000000001</v>
      </c>
      <c r="Q7951">
        <v>9.1764489999999997E-3</v>
      </c>
      <c r="R7951">
        <v>0.99153749999999996</v>
      </c>
      <c r="S7951">
        <v>-0.21734619999999999</v>
      </c>
      <c r="T7951">
        <v>-8.9785580000000004E-2</v>
      </c>
      <c r="U7951">
        <v>2.9981080000000002</v>
      </c>
      <c r="V7951">
        <v>-9.2485830000000005E-2</v>
      </c>
      <c r="W7951">
        <v>1.3685579999999999E-2</v>
      </c>
      <c r="X7951">
        <v>0.99561999999999995</v>
      </c>
      <c r="Y7951">
        <v>-3.5027240000000001E-2</v>
      </c>
      <c r="Z7951">
        <v>-2.4910709999999999E-2</v>
      </c>
      <c r="AA7951">
        <v>0.99907579999999996</v>
      </c>
      <c r="AB7951">
        <v>53</v>
      </c>
      <c r="AC7951">
        <v>-2.66919999999998</v>
      </c>
      <c r="AD7951">
        <v>-1.1097428399269</v>
      </c>
      <c r="AE7951">
        <v>36.579459999999997</v>
      </c>
      <c r="AF7951">
        <v>-1.3017623270877301</v>
      </c>
      <c r="AG7951">
        <v>-1.1097428399269</v>
      </c>
      <c r="AH7951">
        <v>36.620039013456498</v>
      </c>
      <c r="AI7951">
        <v>91.734679448496806</v>
      </c>
      <c r="AJ7951">
        <v>92.035882443072495</v>
      </c>
      <c r="AK7951">
        <v>36.659969608198899</v>
      </c>
      <c r="AL7951">
        <v>89.215849589034406</v>
      </c>
      <c r="AM7951">
        <v>95.307129459174803</v>
      </c>
      <c r="AN7951">
        <v>1.00000005412536</v>
      </c>
    </row>
    <row r="7952" spans="1:40" x14ac:dyDescent="0.25">
      <c r="A7952" t="str">
        <f>"20190305135117122"</f>
        <v>20190305135117122</v>
      </c>
      <c r="B7952" t="str">
        <f>"1551765077117910"</f>
        <v>1551765077117910</v>
      </c>
      <c r="C7952" t="s">
        <v>40</v>
      </c>
      <c r="D7952">
        <v>3.9951639999999999</v>
      </c>
      <c r="E7952">
        <v>0.5344757</v>
      </c>
      <c r="F7952" t="s">
        <v>42</v>
      </c>
      <c r="G7952">
        <v>-190.2252</v>
      </c>
      <c r="H7952" s="1">
        <v>-1.398469E-6</v>
      </c>
      <c r="I7952">
        <v>62.709290000000003</v>
      </c>
      <c r="J7952">
        <v>-187.54159999999999</v>
      </c>
      <c r="K7952">
        <v>1.1094310000000001</v>
      </c>
      <c r="L7952">
        <v>25.645199999999999</v>
      </c>
      <c r="M7952">
        <v>-3.8107780000000001E-2</v>
      </c>
      <c r="N7952">
        <v>-4.9967240000000001E-3</v>
      </c>
      <c r="O7952">
        <v>0.99926110000000001</v>
      </c>
      <c r="P7952">
        <v>-0.12913530000000001</v>
      </c>
      <c r="Q7952">
        <v>9.5827640000000006E-3</v>
      </c>
      <c r="R7952">
        <v>0.99158069999999998</v>
      </c>
      <c r="S7952">
        <v>-0.21490480000000001</v>
      </c>
      <c r="T7952">
        <v>-8.7900640000000002E-2</v>
      </c>
      <c r="U7952">
        <v>2.9983520000000001</v>
      </c>
      <c r="V7952">
        <v>-9.1309139999999997E-2</v>
      </c>
      <c r="W7952">
        <v>1.4210530000000001E-2</v>
      </c>
      <c r="X7952">
        <v>0.99572119999999997</v>
      </c>
      <c r="Y7952">
        <v>-3.3404349999999999E-2</v>
      </c>
      <c r="Z7952">
        <v>-2.4238059999999999E-2</v>
      </c>
      <c r="AA7952">
        <v>0.99914800000000004</v>
      </c>
      <c r="AB7952">
        <v>53</v>
      </c>
      <c r="AC7952">
        <v>-2.68360000000001</v>
      </c>
      <c r="AD7952">
        <v>-1.109432398469</v>
      </c>
      <c r="AE7952">
        <v>37.06409</v>
      </c>
      <c r="AF7952">
        <v>-1.2680725640467501</v>
      </c>
      <c r="AG7952">
        <v>-1.109432398469</v>
      </c>
      <c r="AH7952">
        <v>37.106361654116398</v>
      </c>
      <c r="AI7952">
        <v>91.711561246475497</v>
      </c>
      <c r="AJ7952">
        <v>91.957263899062795</v>
      </c>
      <c r="AK7952">
        <v>37.1445948084043</v>
      </c>
      <c r="AL7952">
        <v>89.185769203188002</v>
      </c>
      <c r="AM7952">
        <v>95.239455939311597</v>
      </c>
      <c r="AN7952">
        <v>1.0000000031699301</v>
      </c>
    </row>
    <row r="7953" spans="1:40" x14ac:dyDescent="0.25">
      <c r="A7953" t="str">
        <f>"20190305135117146"</f>
        <v>20190305135117146</v>
      </c>
      <c r="B7953" t="str">
        <f>"1551765077137431"</f>
        <v>1551765077137431</v>
      </c>
      <c r="C7953" t="s">
        <v>40</v>
      </c>
      <c r="D7953">
        <v>3.955263</v>
      </c>
      <c r="E7953">
        <v>0.53457119999999902</v>
      </c>
      <c r="F7953" t="s">
        <v>42</v>
      </c>
      <c r="G7953">
        <v>-195.9522</v>
      </c>
      <c r="H7953" s="1">
        <v>-3.996264E-6</v>
      </c>
      <c r="I7953">
        <v>244.94319999999999</v>
      </c>
      <c r="J7953">
        <v>-187.5633</v>
      </c>
      <c r="K7953">
        <v>1.1092219999999999</v>
      </c>
      <c r="L7953">
        <v>26.2149</v>
      </c>
      <c r="M7953">
        <v>-3.8519110000000002E-2</v>
      </c>
      <c r="N7953">
        <v>-5.0286999999999997E-3</v>
      </c>
      <c r="O7953">
        <v>0.99924519999999994</v>
      </c>
      <c r="P7953">
        <v>-0.12855800000000001</v>
      </c>
      <c r="Q7953">
        <v>1.0005429999999999E-2</v>
      </c>
      <c r="R7953">
        <v>0.99165150000000002</v>
      </c>
      <c r="S7953">
        <v>-0.1154633</v>
      </c>
      <c r="T7953">
        <v>-1.523066E-2</v>
      </c>
      <c r="U7953">
        <v>3.0105900000000001</v>
      </c>
      <c r="V7953">
        <v>-9.0313740000000003E-2</v>
      </c>
      <c r="W7953">
        <v>1.4714970000000001E-2</v>
      </c>
      <c r="X7953">
        <v>0.99580469999999999</v>
      </c>
      <c r="Y7953">
        <v>0</v>
      </c>
      <c r="Z7953">
        <v>0</v>
      </c>
      <c r="AA7953">
        <v>1</v>
      </c>
      <c r="AB7953">
        <v>53</v>
      </c>
      <c r="AC7953">
        <v>-8.3888999999999996</v>
      </c>
      <c r="AD7953">
        <v>-1.1092259962640001</v>
      </c>
      <c r="AE7953">
        <v>218.72829999999999</v>
      </c>
      <c r="AF7953">
        <v>4.2650833998132798E-2</v>
      </c>
      <c r="AG7953">
        <v>-1.1092259962640001</v>
      </c>
      <c r="AH7953">
        <v>218.88348584388299</v>
      </c>
      <c r="AI7953">
        <v>90.290352753763599</v>
      </c>
      <c r="AJ7953">
        <v>89.988835554493903</v>
      </c>
      <c r="AK7953">
        <v>218.88630056852301</v>
      </c>
      <c r="AL7953">
        <v>89.156863937267502</v>
      </c>
      <c r="AM7953">
        <v>95.182218926498805</v>
      </c>
      <c r="AN7953">
        <v>1.0000000512584799</v>
      </c>
    </row>
    <row r="7954" spans="1:40" x14ac:dyDescent="0.25">
      <c r="A7954" t="str">
        <f>"20190305135117166"</f>
        <v>20190305135117166</v>
      </c>
      <c r="B7954" t="str">
        <f>"1551765077157930"</f>
        <v>1551765077157930</v>
      </c>
      <c r="C7954" t="s">
        <v>40</v>
      </c>
      <c r="D7954">
        <v>3.968674</v>
      </c>
      <c r="E7954">
        <v>0.53469009999999995</v>
      </c>
      <c r="F7954" t="s">
        <v>58</v>
      </c>
      <c r="G7954">
        <v>-201.27340000000001</v>
      </c>
      <c r="H7954">
        <v>0.40207579999999998</v>
      </c>
      <c r="I7954">
        <v>391.87</v>
      </c>
      <c r="J7954">
        <v>-187.58260000000001</v>
      </c>
      <c r="K7954">
        <v>1.109049</v>
      </c>
      <c r="L7954">
        <v>26.71884</v>
      </c>
      <c r="M7954">
        <v>-3.8784369999999999E-2</v>
      </c>
      <c r="N7954">
        <v>-5.0567210000000001E-3</v>
      </c>
      <c r="O7954">
        <v>0.99923479999999998</v>
      </c>
      <c r="P7954">
        <v>-0.1273145</v>
      </c>
      <c r="Q7954">
        <v>9.0081229999999998E-3</v>
      </c>
      <c r="R7954">
        <v>0.99182150000000002</v>
      </c>
      <c r="S7954">
        <v>-0.1128845</v>
      </c>
      <c r="T7954">
        <v>-5.82242E-3</v>
      </c>
      <c r="U7954">
        <v>3.0106809999999999</v>
      </c>
      <c r="V7954">
        <v>-8.8791519999999999E-2</v>
      </c>
      <c r="W7954">
        <v>1.378714E-2</v>
      </c>
      <c r="X7954">
        <v>0.99595480000000003</v>
      </c>
      <c r="Y7954">
        <v>1.3176349999999999E-3</v>
      </c>
      <c r="Z7954">
        <v>3.1220050000000002E-3</v>
      </c>
      <c r="AA7954">
        <v>0.9999943</v>
      </c>
      <c r="AB7954">
        <v>53</v>
      </c>
      <c r="AC7954">
        <v>-13.6907999999999</v>
      </c>
      <c r="AD7954">
        <v>-0.70697319999999997</v>
      </c>
      <c r="AE7954">
        <v>365.15116</v>
      </c>
      <c r="AF7954">
        <v>0.48183825636883798</v>
      </c>
      <c r="AG7954">
        <v>-0.70697319999999997</v>
      </c>
      <c r="AH7954">
        <v>365.406042464108</v>
      </c>
      <c r="AI7954">
        <v>90.110853379863897</v>
      </c>
      <c r="AJ7954">
        <v>89.924447657431998</v>
      </c>
      <c r="AK7954">
        <v>365.40704405976197</v>
      </c>
      <c r="AL7954">
        <v>89.210030031402894</v>
      </c>
      <c r="AM7954">
        <v>95.094573489253193</v>
      </c>
      <c r="AN7954">
        <v>0.99999999144816498</v>
      </c>
    </row>
    <row r="7955" spans="1:40" x14ac:dyDescent="0.25">
      <c r="A7955" t="str">
        <f>"20190305135117191"</f>
        <v>20190305135117191</v>
      </c>
      <c r="B7955" t="str">
        <f>"1551765077187206"</f>
        <v>1551765077187206</v>
      </c>
      <c r="C7955" t="s">
        <v>40</v>
      </c>
      <c r="D7955">
        <v>3.896773</v>
      </c>
      <c r="E7955">
        <v>0.5673087</v>
      </c>
      <c r="F7955" t="s">
        <v>42</v>
      </c>
      <c r="G7955">
        <v>-195.61250000000001</v>
      </c>
      <c r="H7955" s="1">
        <v>-1.7988010000000001E-6</v>
      </c>
      <c r="I7955">
        <v>250.30109999999999</v>
      </c>
      <c r="J7955">
        <v>-187.6036</v>
      </c>
      <c r="K7955">
        <v>1.108876</v>
      </c>
      <c r="L7955">
        <v>27.260680000000001</v>
      </c>
      <c r="M7955">
        <v>-3.8996719999999999E-2</v>
      </c>
      <c r="N7955">
        <v>-5.0863929999999998E-3</v>
      </c>
      <c r="O7955">
        <v>0.99922639999999996</v>
      </c>
      <c r="P7955">
        <v>-0.12619240000000001</v>
      </c>
      <c r="Q7955">
        <v>7.5717709999999997E-3</v>
      </c>
      <c r="R7955">
        <v>0.99197690000000005</v>
      </c>
      <c r="S7955">
        <v>-0.108139</v>
      </c>
      <c r="T7955">
        <v>-1.493561E-2</v>
      </c>
      <c r="U7955">
        <v>3.0109859999999999</v>
      </c>
      <c r="V7955">
        <v>-8.7443320000000005E-2</v>
      </c>
      <c r="W7955">
        <v>1.2419680000000001E-2</v>
      </c>
      <c r="X7955">
        <v>0.99609210000000004</v>
      </c>
      <c r="Y7955">
        <v>3.107636E-3</v>
      </c>
      <c r="Z7955">
        <v>1.2978999999999999E-4</v>
      </c>
      <c r="AA7955">
        <v>0.99999519999999997</v>
      </c>
      <c r="AB7955">
        <v>53</v>
      </c>
      <c r="AC7955">
        <v>-8.0089000000000095</v>
      </c>
      <c r="AD7955">
        <v>-1.1088777988009999</v>
      </c>
      <c r="AE7955">
        <v>223.04042000000001</v>
      </c>
      <c r="AF7955">
        <v>0.69513232025267302</v>
      </c>
      <c r="AG7955">
        <v>-1.1088777988009999</v>
      </c>
      <c r="AH7955">
        <v>223.17757301116899</v>
      </c>
      <c r="AI7955">
        <v>90.284675498637199</v>
      </c>
      <c r="AJ7955">
        <v>89.821541121623895</v>
      </c>
      <c r="AK7955">
        <v>223.18141032368899</v>
      </c>
      <c r="AL7955">
        <v>89.288386477420701</v>
      </c>
      <c r="AM7955">
        <v>95.016927908012306</v>
      </c>
      <c r="AN7955">
        <v>1.0000000271731599</v>
      </c>
    </row>
    <row r="7956" spans="1:40" x14ac:dyDescent="0.25">
      <c r="A7956" t="str">
        <f>"20190305135117213"</f>
        <v>20190305135117213</v>
      </c>
      <c r="B7956" t="str">
        <f>"1551765077207703"</f>
        <v>1551765077207703</v>
      </c>
      <c r="C7956" t="s">
        <v>40</v>
      </c>
      <c r="D7956">
        <v>4.0285780000000004</v>
      </c>
      <c r="E7956">
        <v>0.57089909999999999</v>
      </c>
      <c r="F7956" t="s">
        <v>42</v>
      </c>
      <c r="G7956">
        <v>-183.76650000000001</v>
      </c>
      <c r="H7956" s="1">
        <v>-3.0201219999999999E-6</v>
      </c>
      <c r="I7956">
        <v>103.649</v>
      </c>
      <c r="J7956">
        <v>-187.62549999999999</v>
      </c>
      <c r="K7956">
        <v>1.1087260000000001</v>
      </c>
      <c r="L7956">
        <v>27.821470000000001</v>
      </c>
      <c r="M7956">
        <v>-3.9155099999999998E-2</v>
      </c>
      <c r="N7956">
        <v>-5.1163950000000001E-3</v>
      </c>
      <c r="O7956">
        <v>0.99922010000000006</v>
      </c>
      <c r="P7956">
        <v>-0.12549250000000001</v>
      </c>
      <c r="Q7956">
        <v>6.591502E-3</v>
      </c>
      <c r="R7956">
        <v>0.99207270000000003</v>
      </c>
      <c r="S7956">
        <v>0.1529083</v>
      </c>
      <c r="T7956">
        <v>-4.4188739999999997E-2</v>
      </c>
      <c r="U7956">
        <v>3.0440670000000001</v>
      </c>
      <c r="V7956">
        <v>-8.6575990000000005E-2</v>
      </c>
      <c r="W7956">
        <v>1.150231E-2</v>
      </c>
      <c r="X7956">
        <v>0.99617889999999998</v>
      </c>
      <c r="Y7956">
        <v>8.9229489999999995E-2</v>
      </c>
      <c r="Z7956">
        <v>-9.3389760000000006E-3</v>
      </c>
      <c r="AA7956">
        <v>0.9959673</v>
      </c>
      <c r="AB7956">
        <v>54</v>
      </c>
      <c r="AC7956">
        <v>3.85899999999998</v>
      </c>
      <c r="AD7956">
        <v>-1.1087290201219999</v>
      </c>
      <c r="AE7956">
        <v>75.827529999999996</v>
      </c>
      <c r="AF7956">
        <v>6.8236587577254904</v>
      </c>
      <c r="AG7956">
        <v>-1.1087290201219999</v>
      </c>
      <c r="AH7956">
        <v>75.602156676641201</v>
      </c>
      <c r="AI7956">
        <v>90.836799050244096</v>
      </c>
      <c r="AJ7956">
        <v>84.842602839023897</v>
      </c>
      <c r="AK7956">
        <v>75.917571701427207</v>
      </c>
      <c r="AL7956">
        <v>89.340951684369699</v>
      </c>
      <c r="AM7956">
        <v>94.966985722722399</v>
      </c>
      <c r="AN7956">
        <v>1.0000000529925099</v>
      </c>
    </row>
    <row r="7957" spans="1:40" x14ac:dyDescent="0.25">
      <c r="A7957" t="str">
        <f>"20190305135117234"</f>
        <v>20190305135117234</v>
      </c>
      <c r="B7957" t="str">
        <f>"1551765077227223"</f>
        <v>1551765077227223</v>
      </c>
      <c r="C7957" t="s">
        <v>40</v>
      </c>
      <c r="D7957">
        <v>3.5931980000000001</v>
      </c>
      <c r="E7957">
        <v>0.57211630000000002</v>
      </c>
      <c r="F7957" t="s">
        <v>42</v>
      </c>
      <c r="G7957">
        <v>-184.49250000000001</v>
      </c>
      <c r="H7957" s="1">
        <v>-1.5660740000000001E-6</v>
      </c>
      <c r="I7957">
        <v>79.943889999999996</v>
      </c>
      <c r="J7957">
        <v>-187.64519999999999</v>
      </c>
      <c r="K7957">
        <v>1.108603</v>
      </c>
      <c r="L7957">
        <v>28.3262</v>
      </c>
      <c r="M7957">
        <v>-3.9266769999999999E-2</v>
      </c>
      <c r="N7957">
        <v>-5.1430149999999999E-3</v>
      </c>
      <c r="O7957">
        <v>0.99921550000000003</v>
      </c>
      <c r="P7957">
        <v>-0.124835</v>
      </c>
      <c r="Q7957">
        <v>6.4270259999999997E-3</v>
      </c>
      <c r="R7957">
        <v>0.9921567</v>
      </c>
      <c r="S7957">
        <v>0.18318180000000001</v>
      </c>
      <c r="T7957">
        <v>-6.4826850000000005E-2</v>
      </c>
      <c r="U7957">
        <v>3.047577</v>
      </c>
      <c r="V7957">
        <v>-8.5800840000000003E-2</v>
      </c>
      <c r="W7957">
        <v>1.1391220000000001E-2</v>
      </c>
      <c r="X7957">
        <v>0.9962472</v>
      </c>
      <c r="Y7957">
        <v>9.913487E-2</v>
      </c>
      <c r="Z7957">
        <v>-1.6022499999999999E-2</v>
      </c>
      <c r="AA7957">
        <v>0.99494499999999997</v>
      </c>
      <c r="AB7957">
        <v>54</v>
      </c>
      <c r="AC7957">
        <v>3.1526999999999799</v>
      </c>
      <c r="AD7957">
        <v>-1.108604566074</v>
      </c>
      <c r="AE7957">
        <v>51.617690000000003</v>
      </c>
      <c r="AF7957">
        <v>5.17477717622985</v>
      </c>
      <c r="AG7957">
        <v>-1.108604566074</v>
      </c>
      <c r="AH7957">
        <v>51.430446280273102</v>
      </c>
      <c r="AI7957">
        <v>91.228641355230195</v>
      </c>
      <c r="AJ7957">
        <v>84.254407564758694</v>
      </c>
      <c r="AK7957">
        <v>51.702012799267401</v>
      </c>
      <c r="AL7957">
        <v>89.347317063620807</v>
      </c>
      <c r="AM7957">
        <v>94.922397963175698</v>
      </c>
      <c r="AN7957">
        <v>1.00000001377281</v>
      </c>
    </row>
    <row r="7958" spans="1:40" x14ac:dyDescent="0.25">
      <c r="A7958" t="str">
        <f>"20190305135117257"</f>
        <v>20190305135117257</v>
      </c>
      <c r="B7958" t="str">
        <f>"1551765077247722"</f>
        <v>1551765077247722</v>
      </c>
      <c r="C7958" t="s">
        <v>40</v>
      </c>
      <c r="D7958">
        <v>4.0179819999999999</v>
      </c>
      <c r="E7958">
        <v>0.57261819999999997</v>
      </c>
      <c r="F7958" t="s">
        <v>42</v>
      </c>
      <c r="G7958">
        <v>-184.72280000000001</v>
      </c>
      <c r="H7958" s="1">
        <v>-2.9143619999999998E-6</v>
      </c>
      <c r="I7958">
        <v>74.085980000000006</v>
      </c>
      <c r="J7958">
        <v>-187.6671</v>
      </c>
      <c r="K7958">
        <v>1.108481</v>
      </c>
      <c r="L7958">
        <v>28.881229999999999</v>
      </c>
      <c r="M7958">
        <v>-3.9367010000000001E-2</v>
      </c>
      <c r="N7958">
        <v>-5.1718989999999998E-3</v>
      </c>
      <c r="O7958">
        <v>0.99921139999999997</v>
      </c>
      <c r="P7958">
        <v>-0.1246946</v>
      </c>
      <c r="Q7958">
        <v>6.2182740000000002E-3</v>
      </c>
      <c r="R7958">
        <v>0.99217569999999999</v>
      </c>
      <c r="S7958">
        <v>0.19470209999999999</v>
      </c>
      <c r="T7958">
        <v>-7.3859209999999995E-2</v>
      </c>
      <c r="U7958">
        <v>3.0486759999999999</v>
      </c>
      <c r="V7958">
        <v>-8.5556350000000003E-2</v>
      </c>
      <c r="W7958">
        <v>1.12353E-2</v>
      </c>
      <c r="X7958">
        <v>0.99626999999999999</v>
      </c>
      <c r="Y7958">
        <v>0.1029535</v>
      </c>
      <c r="Z7958">
        <v>-1.8925279999999999E-2</v>
      </c>
      <c r="AA7958">
        <v>0.99450609999999995</v>
      </c>
      <c r="AB7958">
        <v>54</v>
      </c>
      <c r="AC7958">
        <v>2.9442999999999899</v>
      </c>
      <c r="AD7958">
        <v>-1.108483914362</v>
      </c>
      <c r="AE7958">
        <v>45.204749999999997</v>
      </c>
      <c r="AF7958">
        <v>4.7187918599042096</v>
      </c>
      <c r="AG7958">
        <v>-1.108483914362</v>
      </c>
      <c r="AH7958">
        <v>45.026837115765197</v>
      </c>
      <c r="AI7958">
        <v>91.402561493769994</v>
      </c>
      <c r="AJ7958">
        <v>84.017267498779006</v>
      </c>
      <c r="AK7958">
        <v>45.286993650000099</v>
      </c>
      <c r="AL7958">
        <v>89.356251195248305</v>
      </c>
      <c r="AM7958">
        <v>94.908328402236094</v>
      </c>
      <c r="AN7958">
        <v>1.0000000169457</v>
      </c>
    </row>
    <row r="7959" spans="1:40" x14ac:dyDescent="0.25">
      <c r="A7959" t="str">
        <f>"20190305135117278"</f>
        <v>20190305135117278</v>
      </c>
      <c r="B7959" t="str">
        <f>"1551765077267239"</f>
        <v>1551765077267239</v>
      </c>
      <c r="C7959" t="s">
        <v>40</v>
      </c>
      <c r="D7959">
        <v>3.6459410000000001</v>
      </c>
      <c r="E7959">
        <v>0.57314100000000001</v>
      </c>
      <c r="F7959" t="s">
        <v>42</v>
      </c>
      <c r="G7959">
        <v>-184.81110000000001</v>
      </c>
      <c r="H7959" s="1">
        <v>-2.3924219999999999E-6</v>
      </c>
      <c r="I7959">
        <v>72.62124</v>
      </c>
      <c r="J7959">
        <v>-187.68809999999999</v>
      </c>
      <c r="K7959">
        <v>1.1083809999999901</v>
      </c>
      <c r="L7959">
        <v>29.413509999999999</v>
      </c>
      <c r="M7959">
        <v>-3.9448829999999997E-2</v>
      </c>
      <c r="N7959">
        <v>-5.1990140000000001E-3</v>
      </c>
      <c r="O7959">
        <v>0.99920810000000004</v>
      </c>
      <c r="P7959">
        <v>-0.1249186</v>
      </c>
      <c r="Q7959">
        <v>5.7556079999999997E-3</v>
      </c>
      <c r="R7959">
        <v>0.99215030000000004</v>
      </c>
      <c r="S7959">
        <v>0.19909669999999999</v>
      </c>
      <c r="T7959">
        <v>-7.7273610000000006E-2</v>
      </c>
      <c r="U7959">
        <v>3.0491640000000002</v>
      </c>
      <c r="V7959">
        <v>-8.5696410000000001E-2</v>
      </c>
      <c r="W7959">
        <v>1.0819530000000001E-2</v>
      </c>
      <c r="X7959">
        <v>0.9962626</v>
      </c>
      <c r="Y7959">
        <v>0.10445020000000001</v>
      </c>
      <c r="Z7959">
        <v>-2.0004339999999999E-2</v>
      </c>
      <c r="AA7959">
        <v>0.99432889999999996</v>
      </c>
      <c r="AB7959">
        <v>54</v>
      </c>
      <c r="AC7959">
        <v>2.8769999999999798</v>
      </c>
      <c r="AD7959">
        <v>-1.1083833924219999</v>
      </c>
      <c r="AE7959">
        <v>43.207729999999998</v>
      </c>
      <c r="AF7959">
        <v>4.5762797183266599</v>
      </c>
      <c r="AG7959">
        <v>-1.1083833924219999</v>
      </c>
      <c r="AH7959">
        <v>43.032407667375601</v>
      </c>
      <c r="AI7959">
        <v>91.467168748827504</v>
      </c>
      <c r="AJ7959">
        <v>83.929697476109098</v>
      </c>
      <c r="AK7959">
        <v>43.289247619428203</v>
      </c>
      <c r="AL7959">
        <v>89.380074531877398</v>
      </c>
      <c r="AM7959">
        <v>94.916360567925295</v>
      </c>
      <c r="AN7959">
        <v>1.0000000525375301</v>
      </c>
    </row>
    <row r="7960" spans="1:40" x14ac:dyDescent="0.25">
      <c r="A7960" t="str">
        <f>"20190305135117301"</f>
        <v>20190305135117301</v>
      </c>
      <c r="B7960" t="str">
        <f>"1551765077297495"</f>
        <v>1551765077297495</v>
      </c>
      <c r="C7960" t="s">
        <v>40</v>
      </c>
      <c r="D7960">
        <v>4.0249329999999999</v>
      </c>
      <c r="E7960">
        <v>0.57318590000000003</v>
      </c>
      <c r="F7960" t="s">
        <v>42</v>
      </c>
      <c r="G7960">
        <v>-184.83869999999999</v>
      </c>
      <c r="H7960" s="1">
        <v>-2.283805E-6</v>
      </c>
      <c r="I7960">
        <v>72.323639999999997</v>
      </c>
      <c r="J7960">
        <v>-187.7097</v>
      </c>
      <c r="K7960">
        <v>1.1082860000000001</v>
      </c>
      <c r="L7960">
        <v>29.958189999999998</v>
      </c>
      <c r="M7960">
        <v>-3.9521380000000002E-2</v>
      </c>
      <c r="N7960">
        <v>-5.2262530000000001E-3</v>
      </c>
      <c r="O7960">
        <v>0.99920509999999996</v>
      </c>
      <c r="P7960">
        <v>-0.12492010000000001</v>
      </c>
      <c r="Q7960">
        <v>5.5991959999999999E-3</v>
      </c>
      <c r="R7960">
        <v>0.99215100000000001</v>
      </c>
      <c r="S7960">
        <v>0.20251459999999999</v>
      </c>
      <c r="T7960">
        <v>-7.8774330000000004E-2</v>
      </c>
      <c r="U7960">
        <v>3.0496829999999999</v>
      </c>
      <c r="V7960">
        <v>-8.5623350000000001E-2</v>
      </c>
      <c r="W7960">
        <v>1.0709379999999999E-2</v>
      </c>
      <c r="X7960">
        <v>0.99626999999999999</v>
      </c>
      <c r="Y7960">
        <v>0.10562009999999999</v>
      </c>
      <c r="Z7960">
        <v>-2.0459249999999998E-2</v>
      </c>
      <c r="AA7960">
        <v>0.99419610000000003</v>
      </c>
      <c r="AB7960">
        <v>54</v>
      </c>
      <c r="AC7960">
        <v>2.871</v>
      </c>
      <c r="AD7960">
        <v>-1.1082882838050001</v>
      </c>
      <c r="AE7960">
        <v>42.365450000000003</v>
      </c>
      <c r="AF7960">
        <v>4.54002795217448</v>
      </c>
      <c r="AG7960">
        <v>-1.1082882838050001</v>
      </c>
      <c r="AH7960">
        <v>42.190141538487502</v>
      </c>
      <c r="AI7960">
        <v>91.496117246169604</v>
      </c>
      <c r="AJ7960">
        <v>83.858107590592596</v>
      </c>
      <c r="AK7960">
        <v>42.448182526041698</v>
      </c>
      <c r="AL7960">
        <v>89.3863859833764</v>
      </c>
      <c r="AM7960">
        <v>94.9121533614463</v>
      </c>
      <c r="AN7960">
        <v>0.999999980892603</v>
      </c>
    </row>
    <row r="7961" spans="1:40" x14ac:dyDescent="0.25">
      <c r="A7961" t="str">
        <f>"20190305135117323"</f>
        <v>20190305135117323</v>
      </c>
      <c r="B7961" t="str">
        <f>"1551765077317991"</f>
        <v>1551765077317991</v>
      </c>
      <c r="C7961" t="s">
        <v>40</v>
      </c>
      <c r="D7961">
        <v>4.8797090000000001</v>
      </c>
      <c r="E7961">
        <v>0.57308729999999997</v>
      </c>
      <c r="F7961" t="s">
        <v>42</v>
      </c>
      <c r="G7961">
        <v>-184.94669999999999</v>
      </c>
      <c r="H7961" s="1">
        <v>-1.9815410000000001E-6</v>
      </c>
      <c r="I7961">
        <v>71.519859999999994</v>
      </c>
      <c r="J7961">
        <v>-187.7311</v>
      </c>
      <c r="K7961">
        <v>1.1081920000000001</v>
      </c>
      <c r="L7961">
        <v>30.4986</v>
      </c>
      <c r="M7961">
        <v>-3.9584059999999997E-2</v>
      </c>
      <c r="N7961">
        <v>-5.2528690000000003E-3</v>
      </c>
      <c r="O7961">
        <v>0.99920240000000005</v>
      </c>
      <c r="P7961">
        <v>-0.1249691</v>
      </c>
      <c r="Q7961">
        <v>4.9837680000000004E-3</v>
      </c>
      <c r="R7961">
        <v>0.99214809999999998</v>
      </c>
      <c r="S7961">
        <v>0.20274349999999999</v>
      </c>
      <c r="T7961">
        <v>-8.1323980000000004E-2</v>
      </c>
      <c r="U7961">
        <v>3.0497130000000001</v>
      </c>
      <c r="V7961">
        <v>-8.5606760000000004E-2</v>
      </c>
      <c r="W7961">
        <v>1.013673E-2</v>
      </c>
      <c r="X7961">
        <v>0.99627750000000004</v>
      </c>
      <c r="Y7961">
        <v>0.10575469999999999</v>
      </c>
      <c r="Z7961">
        <v>-2.1263009999999999E-2</v>
      </c>
      <c r="AA7961">
        <v>0.99416490000000002</v>
      </c>
      <c r="AB7961">
        <v>54</v>
      </c>
      <c r="AC7961">
        <v>2.7844000000000002</v>
      </c>
      <c r="AD7961">
        <v>-1.108193981541</v>
      </c>
      <c r="AE7961">
        <v>41.021259999999998</v>
      </c>
      <c r="AF7961">
        <v>4.4028296082578198</v>
      </c>
      <c r="AG7961">
        <v>-1.108193981541</v>
      </c>
      <c r="AH7961">
        <v>40.849213369587801</v>
      </c>
      <c r="AI7961">
        <v>91.545045814598794</v>
      </c>
      <c r="AJ7961">
        <v>83.848267010689398</v>
      </c>
      <c r="AK7961">
        <v>41.100744949139099</v>
      </c>
      <c r="AL7961">
        <v>89.419198243170598</v>
      </c>
      <c r="AM7961">
        <v>94.911169469115904</v>
      </c>
      <c r="AN7961">
        <v>1.0000000638295099</v>
      </c>
    </row>
    <row r="7962" spans="1:40" x14ac:dyDescent="0.25">
      <c r="A7962" t="str">
        <f>"20190305135117346"</f>
        <v>20190305135117346</v>
      </c>
      <c r="B7962" t="str">
        <f>"1551765077337511"</f>
        <v>1551765077337511</v>
      </c>
      <c r="C7962" t="s">
        <v>40</v>
      </c>
      <c r="D7962">
        <v>4.0205690000000001</v>
      </c>
      <c r="E7962">
        <v>0.57309650000000001</v>
      </c>
      <c r="F7962" t="s">
        <v>42</v>
      </c>
      <c r="G7962">
        <v>-185.12530000000001</v>
      </c>
      <c r="H7962" s="1">
        <v>-1.383257E-6</v>
      </c>
      <c r="I7962">
        <v>69.90146</v>
      </c>
      <c r="J7962">
        <v>-187.75319999999999</v>
      </c>
      <c r="K7962">
        <v>1.108117</v>
      </c>
      <c r="L7962">
        <v>31.0549</v>
      </c>
      <c r="M7962">
        <v>-3.9640340000000003E-2</v>
      </c>
      <c r="N7962">
        <v>-5.2799580000000004E-3</v>
      </c>
      <c r="O7962">
        <v>0.99919999999999998</v>
      </c>
      <c r="P7962">
        <v>-0.124489</v>
      </c>
      <c r="Q7962">
        <v>4.2283629999999997E-3</v>
      </c>
      <c r="R7962">
        <v>0.99221199999999998</v>
      </c>
      <c r="S7962">
        <v>0.2016754</v>
      </c>
      <c r="T7962">
        <v>-8.5768819999999996E-2</v>
      </c>
      <c r="U7962">
        <v>3.0495909999999999</v>
      </c>
      <c r="V7962">
        <v>-8.5066240000000001E-2</v>
      </c>
      <c r="W7962">
        <v>9.4238959999999993E-3</v>
      </c>
      <c r="X7962">
        <v>0.99633070000000001</v>
      </c>
      <c r="Y7962">
        <v>0.10546410000000001</v>
      </c>
      <c r="Z7962">
        <v>-2.2686319999999999E-2</v>
      </c>
      <c r="AA7962">
        <v>0.9941643</v>
      </c>
      <c r="AB7962">
        <v>54</v>
      </c>
      <c r="AC7962">
        <v>2.6278999999999799</v>
      </c>
      <c r="AD7962">
        <v>-1.1081183832570001</v>
      </c>
      <c r="AE7962">
        <v>38.846559999999997</v>
      </c>
      <c r="AF7962">
        <v>4.16237533608275</v>
      </c>
      <c r="AG7962">
        <v>-1.1081183832570001</v>
      </c>
      <c r="AH7962">
        <v>38.680522769723702</v>
      </c>
      <c r="AI7962">
        <v>91.631544762586699</v>
      </c>
      <c r="AJ7962">
        <v>83.858088502121205</v>
      </c>
      <c r="AK7962">
        <v>38.919611207318802</v>
      </c>
      <c r="AL7962">
        <v>89.4600425236425</v>
      </c>
      <c r="AM7962">
        <v>94.880051316348499</v>
      </c>
      <c r="AN7962">
        <v>0.99999996938302205</v>
      </c>
    </row>
    <row r="7963" spans="1:40" x14ac:dyDescent="0.25">
      <c r="A7963" t="str">
        <f>"20190305135117369"</f>
        <v>20190305135117369</v>
      </c>
      <c r="B7963" t="str">
        <f>"1551765077358007"</f>
        <v>1551765077358007</v>
      </c>
      <c r="C7963" t="s">
        <v>40</v>
      </c>
      <c r="D7963">
        <v>4.010154</v>
      </c>
      <c r="E7963">
        <v>0.57320509999999902</v>
      </c>
      <c r="F7963" t="s">
        <v>42</v>
      </c>
      <c r="G7963">
        <v>-185.1943</v>
      </c>
      <c r="H7963" s="1">
        <v>-5.0594299999999998E-6</v>
      </c>
      <c r="I7963">
        <v>69.439329999999998</v>
      </c>
      <c r="J7963">
        <v>-187.77529999999999</v>
      </c>
      <c r="K7963">
        <v>1.1080509999999999</v>
      </c>
      <c r="L7963">
        <v>31.61035</v>
      </c>
      <c r="M7963">
        <v>-3.9688840000000003E-2</v>
      </c>
      <c r="N7963">
        <v>-5.3068909999999898E-3</v>
      </c>
      <c r="O7963">
        <v>0.99919800000000003</v>
      </c>
      <c r="P7963">
        <v>-0.12375839999999901</v>
      </c>
      <c r="Q7963">
        <v>3.9761579999999996E-3</v>
      </c>
      <c r="R7963">
        <v>0.99230439999999998</v>
      </c>
      <c r="S7963">
        <v>0.2032928</v>
      </c>
      <c r="T7963">
        <v>-8.8034390000000004E-2</v>
      </c>
      <c r="U7963">
        <v>3.0494379999999999</v>
      </c>
      <c r="V7963">
        <v>-8.4282960000000004E-2</v>
      </c>
      <c r="W7963">
        <v>9.2112349999999999E-3</v>
      </c>
      <c r="X7963">
        <v>0.99639929999999999</v>
      </c>
      <c r="Y7963">
        <v>0.1060392</v>
      </c>
      <c r="Z7963">
        <v>-2.3397620000000001E-2</v>
      </c>
      <c r="AA7963">
        <v>0.99408660000000004</v>
      </c>
      <c r="AB7963">
        <v>55</v>
      </c>
      <c r="AC7963">
        <v>2.58099999999998</v>
      </c>
      <c r="AD7963">
        <v>-1.10805605943</v>
      </c>
      <c r="AE7963">
        <v>37.828980000000001</v>
      </c>
      <c r="AF7963">
        <v>4.0768941475489804</v>
      </c>
      <c r="AG7963">
        <v>-1.10805605943</v>
      </c>
      <c r="AH7963">
        <v>37.664569405466302</v>
      </c>
      <c r="AI7963">
        <v>91.675321558016407</v>
      </c>
      <c r="AJ7963">
        <v>83.822233436437898</v>
      </c>
      <c r="AK7963">
        <v>37.9007736414489</v>
      </c>
      <c r="AL7963">
        <v>89.472227654629194</v>
      </c>
      <c r="AM7963">
        <v>94.834999082139205</v>
      </c>
      <c r="AN7963">
        <v>1.0000000146185299</v>
      </c>
    </row>
    <row r="7964" spans="1:40" x14ac:dyDescent="0.25">
      <c r="A7964" t="str">
        <f>"20190305135117390"</f>
        <v>20190305135117390</v>
      </c>
      <c r="B7964" t="str">
        <f>"1551765077377530"</f>
        <v>1551765077377530</v>
      </c>
      <c r="C7964" t="s">
        <v>40</v>
      </c>
      <c r="D7964">
        <v>3.9038949999999999</v>
      </c>
      <c r="E7964">
        <v>0.57337799999999906</v>
      </c>
      <c r="F7964" t="s">
        <v>42</v>
      </c>
      <c r="G7964">
        <v>-185.16640000000001</v>
      </c>
      <c r="H7964" s="1">
        <v>-1.4625739999999999E-6</v>
      </c>
      <c r="I7964">
        <v>70.166659999999993</v>
      </c>
      <c r="J7964">
        <v>-187.7954</v>
      </c>
      <c r="K7964">
        <v>1.1080019999999999</v>
      </c>
      <c r="L7964">
        <v>32.116700000000002</v>
      </c>
      <c r="M7964">
        <v>-3.9723849999999998E-2</v>
      </c>
      <c r="N7964">
        <v>-5.3313450000000004E-3</v>
      </c>
      <c r="O7964">
        <v>0.99919650000000004</v>
      </c>
      <c r="P7964">
        <v>-0.12274400000000001</v>
      </c>
      <c r="Q7964">
        <v>2.7936329999999998E-3</v>
      </c>
      <c r="R7964">
        <v>0.99243440000000005</v>
      </c>
      <c r="S7964">
        <v>0.20632929999999999</v>
      </c>
      <c r="T7964">
        <v>-8.7633849999999999E-2</v>
      </c>
      <c r="U7964">
        <v>3.049347</v>
      </c>
      <c r="V7964">
        <v>-8.3227549999999997E-2</v>
      </c>
      <c r="W7964">
        <v>8.063532E-3</v>
      </c>
      <c r="X7964">
        <v>0.99649790000000005</v>
      </c>
      <c r="Y7964">
        <v>0.10706160000000001</v>
      </c>
      <c r="Z7964">
        <v>-2.3240759999999999E-2</v>
      </c>
      <c r="AA7964">
        <v>0.99398070000000005</v>
      </c>
      <c r="AB7964">
        <v>55</v>
      </c>
      <c r="AC7964">
        <v>2.6289999999999898</v>
      </c>
      <c r="AD7964">
        <v>-1.1080034625740001</v>
      </c>
      <c r="AE7964">
        <v>38.049959999999899</v>
      </c>
      <c r="AF7964">
        <v>4.1349476076958398</v>
      </c>
      <c r="AG7964">
        <v>-1.1080034625740001</v>
      </c>
      <c r="AH7964">
        <v>37.8835197235341</v>
      </c>
      <c r="AI7964">
        <v>91.665403221013193</v>
      </c>
      <c r="AJ7964">
        <v>83.770882762902104</v>
      </c>
      <c r="AK7964">
        <v>38.124618424777204</v>
      </c>
      <c r="AL7964">
        <v>89.537988620919407</v>
      </c>
      <c r="AM7964">
        <v>94.774265570446303</v>
      </c>
      <c r="AN7964">
        <v>0.99999995516586204</v>
      </c>
    </row>
    <row r="7965" spans="1:40" x14ac:dyDescent="0.25">
      <c r="A7965" t="str">
        <f>"20190305135117414"</f>
        <v>20190305135117414</v>
      </c>
      <c r="B7965" t="str">
        <f>"1551765077407784"</f>
        <v>1551765077407784</v>
      </c>
      <c r="C7965" t="s">
        <v>40</v>
      </c>
      <c r="D7965">
        <v>3.9947439999999999</v>
      </c>
      <c r="E7965">
        <v>0.57352250000000005</v>
      </c>
      <c r="F7965" t="s">
        <v>42</v>
      </c>
      <c r="G7965">
        <v>-185.21719999999999</v>
      </c>
      <c r="H7965" s="1">
        <v>-5.039218E-6</v>
      </c>
      <c r="I7965">
        <v>69.401700000000005</v>
      </c>
      <c r="J7965">
        <v>-187.81899999999999</v>
      </c>
      <c r="K7965">
        <v>1.1079380000000001</v>
      </c>
      <c r="L7965">
        <v>32.711239999999997</v>
      </c>
      <c r="M7965">
        <v>-3.9733629999999999E-2</v>
      </c>
      <c r="N7965">
        <v>-5.3597760000000001E-3</v>
      </c>
      <c r="O7965">
        <v>0.99919590000000003</v>
      </c>
      <c r="P7965">
        <v>-0.1222478</v>
      </c>
      <c r="Q7965">
        <v>1.240056E-3</v>
      </c>
      <c r="R7965">
        <v>0.99249880000000001</v>
      </c>
      <c r="S7965">
        <v>0.2108459</v>
      </c>
      <c r="T7965">
        <v>-9.0613600000000002E-2</v>
      </c>
      <c r="U7965">
        <v>3.049194</v>
      </c>
      <c r="V7965">
        <v>-8.2717639999999995E-2</v>
      </c>
      <c r="W7965">
        <v>6.5491369999999896E-3</v>
      </c>
      <c r="X7965">
        <v>0.99655150000000003</v>
      </c>
      <c r="Y7965">
        <v>0.108538</v>
      </c>
      <c r="Z7965">
        <v>-2.4180730000000001E-2</v>
      </c>
      <c r="AA7965">
        <v>0.99379810000000002</v>
      </c>
      <c r="AB7965">
        <v>55</v>
      </c>
      <c r="AC7965">
        <v>2.6018000000000199</v>
      </c>
      <c r="AD7965">
        <v>-1.1079430392180001</v>
      </c>
      <c r="AE7965">
        <v>36.690459999999902</v>
      </c>
      <c r="AF7965">
        <v>4.0539333413607803</v>
      </c>
      <c r="AG7965">
        <v>-1.1079430392180001</v>
      </c>
      <c r="AH7965">
        <v>36.524965494179398</v>
      </c>
      <c r="AI7965">
        <v>91.726871560425494</v>
      </c>
      <c r="AJ7965">
        <v>83.666620385415399</v>
      </c>
      <c r="AK7965">
        <v>36.765949160402997</v>
      </c>
      <c r="AL7965">
        <v>89.6247594063653</v>
      </c>
      <c r="AM7965">
        <v>94.744895012057398</v>
      </c>
      <c r="AN7965">
        <v>0.99999999565743203</v>
      </c>
    </row>
    <row r="7966" spans="1:40" x14ac:dyDescent="0.25">
      <c r="A7966" t="str">
        <f>"20190305135117436"</f>
        <v>20190305135117436</v>
      </c>
      <c r="B7966" t="str">
        <f>"1551765077427303"</f>
        <v>1551765077427303</v>
      </c>
      <c r="C7966" t="s">
        <v>40</v>
      </c>
      <c r="D7966">
        <v>4.0333969999999999</v>
      </c>
      <c r="E7966">
        <v>0.57360230000000001</v>
      </c>
      <c r="F7966" t="s">
        <v>42</v>
      </c>
      <c r="G7966">
        <v>-185.30760000000001</v>
      </c>
      <c r="H7966" s="1">
        <v>-4.6743149999999996E-6</v>
      </c>
      <c r="I7966">
        <v>68.588470000000001</v>
      </c>
      <c r="J7966">
        <v>-187.84039999999999</v>
      </c>
      <c r="K7966">
        <v>1.1078749999999999</v>
      </c>
      <c r="L7966">
        <v>33.248930000000001</v>
      </c>
      <c r="M7966">
        <v>-3.9699579999999998E-2</v>
      </c>
      <c r="N7966">
        <v>-5.3852209999999999E-3</v>
      </c>
      <c r="O7966">
        <v>0.99919709999999995</v>
      </c>
      <c r="P7966">
        <v>-0.1215745</v>
      </c>
      <c r="Q7966">
        <v>-4.462216E-4</v>
      </c>
      <c r="R7966">
        <v>0.99258219999999997</v>
      </c>
      <c r="S7966">
        <v>0.21343989999999999</v>
      </c>
      <c r="T7966">
        <v>-9.4159960000000001E-2</v>
      </c>
      <c r="U7966">
        <v>3.0490719999999998</v>
      </c>
      <c r="V7966">
        <v>-8.2074040000000001E-2</v>
      </c>
      <c r="W7966">
        <v>4.8993079999999998E-3</v>
      </c>
      <c r="X7966">
        <v>0.99661420000000001</v>
      </c>
      <c r="Y7966">
        <v>0.10934580000000001</v>
      </c>
      <c r="Z7966">
        <v>-2.530963E-2</v>
      </c>
      <c r="AA7966">
        <v>0.9936815</v>
      </c>
      <c r="AB7966">
        <v>55</v>
      </c>
      <c r="AC7966">
        <v>2.53279999999998</v>
      </c>
      <c r="AD7966">
        <v>-1.1078796743149999</v>
      </c>
      <c r="AE7966">
        <v>35.33954</v>
      </c>
      <c r="AF7966">
        <v>3.92994594745619</v>
      </c>
      <c r="AG7966">
        <v>-1.1078796743149999</v>
      </c>
      <c r="AH7966">
        <v>35.176732210628401</v>
      </c>
      <c r="AI7966">
        <v>91.792769481752302</v>
      </c>
      <c r="AJ7966">
        <v>83.625346953686503</v>
      </c>
      <c r="AK7966">
        <v>35.412912356101799</v>
      </c>
      <c r="AL7966">
        <v>89.719289208155502</v>
      </c>
      <c r="AM7966">
        <v>94.707848213561107</v>
      </c>
      <c r="AN7966">
        <v>1.0000000074512201</v>
      </c>
    </row>
    <row r="7967" spans="1:40" x14ac:dyDescent="0.25">
      <c r="A7967" t="str">
        <f>"20190305135117458"</f>
        <v>20190305135117458</v>
      </c>
      <c r="B7967" t="str">
        <f>"1551765077447801"</f>
        <v>1551765077447801</v>
      </c>
      <c r="C7967" t="s">
        <v>40</v>
      </c>
      <c r="D7967">
        <v>4.0213989999999997</v>
      </c>
      <c r="E7967">
        <v>0.57369349999999997</v>
      </c>
      <c r="F7967" t="s">
        <v>42</v>
      </c>
      <c r="G7967">
        <v>-185.39070000000001</v>
      </c>
      <c r="H7967" s="1">
        <v>-4.3148879999999996E-6</v>
      </c>
      <c r="I7967">
        <v>67.784999999999997</v>
      </c>
      <c r="J7967">
        <v>-187.86269999999999</v>
      </c>
      <c r="K7967">
        <v>1.107801</v>
      </c>
      <c r="L7967">
        <v>33.811190000000003</v>
      </c>
      <c r="M7967">
        <v>-3.9611550000000002E-2</v>
      </c>
      <c r="N7967">
        <v>-5.4117439999999996E-3</v>
      </c>
      <c r="O7967">
        <v>0.99920050000000005</v>
      </c>
      <c r="P7967">
        <v>-0.1214412</v>
      </c>
      <c r="Q7967">
        <v>-1.8721790000000001E-3</v>
      </c>
      <c r="R7967">
        <v>0.9925969</v>
      </c>
      <c r="S7967">
        <v>0.21626280000000001</v>
      </c>
      <c r="T7967">
        <v>-9.7804070000000007E-2</v>
      </c>
      <c r="U7967">
        <v>3.0488590000000002</v>
      </c>
      <c r="V7967">
        <v>-8.2027470000000005E-2</v>
      </c>
      <c r="W7967">
        <v>3.5117239999999999E-3</v>
      </c>
      <c r="X7967">
        <v>0.99662390000000001</v>
      </c>
      <c r="Y7967">
        <v>0.11017589999999999</v>
      </c>
      <c r="Z7967">
        <v>-2.6470009999999999E-2</v>
      </c>
      <c r="AA7967">
        <v>0.99355950000000004</v>
      </c>
      <c r="AB7967">
        <v>55</v>
      </c>
      <c r="AC7967">
        <v>2.47199999999998</v>
      </c>
      <c r="AD7967">
        <v>-1.107805314888</v>
      </c>
      <c r="AE7967">
        <v>33.973809999999901</v>
      </c>
      <c r="AF7967">
        <v>3.81180320175095</v>
      </c>
      <c r="AG7967">
        <v>-1.107805314888</v>
      </c>
      <c r="AH7967">
        <v>33.813460774195697</v>
      </c>
      <c r="AI7967">
        <v>91.8646655204967</v>
      </c>
      <c r="AJ7967">
        <v>83.568180581761396</v>
      </c>
      <c r="AK7967">
        <v>34.0456635387334</v>
      </c>
      <c r="AL7967">
        <v>89.798792626059495</v>
      </c>
      <c r="AM7967">
        <v>94.705143320033002</v>
      </c>
      <c r="AN7967">
        <v>1.0000000180456301</v>
      </c>
    </row>
    <row r="7968" spans="1:40" x14ac:dyDescent="0.25">
      <c r="A7968" t="str">
        <f>"20190305135117480"</f>
        <v>20190305135117480</v>
      </c>
      <c r="B7968" t="str">
        <f>"1551765077478055"</f>
        <v>1551765077478055</v>
      </c>
      <c r="C7968" t="s">
        <v>40</v>
      </c>
      <c r="D7968">
        <v>4.0293010000000002</v>
      </c>
      <c r="E7968">
        <v>0.57372290000000004</v>
      </c>
      <c r="F7968" t="s">
        <v>42</v>
      </c>
      <c r="G7968">
        <v>-185.4845</v>
      </c>
      <c r="H7968" s="1">
        <v>-4.0275519999999997E-6</v>
      </c>
      <c r="I7968">
        <v>67.15401</v>
      </c>
      <c r="J7968">
        <v>-187.88399999999999</v>
      </c>
      <c r="K7968">
        <v>1.1077269999999999</v>
      </c>
      <c r="L7968">
        <v>34.352539999999998</v>
      </c>
      <c r="M7968">
        <v>-3.9456280000000003E-2</v>
      </c>
      <c r="N7968">
        <v>-5.4396940000000001E-3</v>
      </c>
      <c r="O7968">
        <v>0.9992065</v>
      </c>
      <c r="P7968">
        <v>-0.1212772</v>
      </c>
      <c r="Q7968">
        <v>-2.5693740000000001E-3</v>
      </c>
      <c r="R7968">
        <v>0.99261529999999998</v>
      </c>
      <c r="S7968">
        <v>0.21745300000000001</v>
      </c>
      <c r="T7968">
        <v>-0.10129539999999999</v>
      </c>
      <c r="U7968">
        <v>3.0487980000000001</v>
      </c>
      <c r="V7968">
        <v>-8.2017199999999998E-2</v>
      </c>
      <c r="W7968">
        <v>2.8560759999999999E-3</v>
      </c>
      <c r="X7968">
        <v>0.99662680000000003</v>
      </c>
      <c r="Y7968">
        <v>0.1104062</v>
      </c>
      <c r="Z7968">
        <v>-2.7579320000000001E-2</v>
      </c>
      <c r="AA7968">
        <v>0.99350380000000005</v>
      </c>
      <c r="AB7968">
        <v>55</v>
      </c>
      <c r="AC7968">
        <v>2.39950000000001</v>
      </c>
      <c r="AD7968">
        <v>-1.107731027552</v>
      </c>
      <c r="AE7968">
        <v>32.801469999999902</v>
      </c>
      <c r="AF7968">
        <v>3.6876912729400999</v>
      </c>
      <c r="AG7968">
        <v>-1.107731027552</v>
      </c>
      <c r="AH7968">
        <v>32.644218493615099</v>
      </c>
      <c r="AI7968">
        <v>91.931223802658096</v>
      </c>
      <c r="AJ7968">
        <v>83.554840724234495</v>
      </c>
      <c r="AK7968">
        <v>32.870520774894899</v>
      </c>
      <c r="AL7968">
        <v>89.836358673216594</v>
      </c>
      <c r="AM7968">
        <v>94.704543243317502</v>
      </c>
      <c r="AN7968">
        <v>0.99999997837209798</v>
      </c>
    </row>
    <row r="7969" spans="1:40" x14ac:dyDescent="0.25">
      <c r="A7969" t="str">
        <f>"20190305135117502"</f>
        <v>20190305135117502</v>
      </c>
      <c r="B7969" t="str">
        <f>"1551765077497575"</f>
        <v>1551765077497575</v>
      </c>
      <c r="C7969" t="s">
        <v>40</v>
      </c>
      <c r="D7969">
        <v>4.0396359999999998</v>
      </c>
      <c r="E7969">
        <v>0.57372309999999904</v>
      </c>
      <c r="F7969" t="s">
        <v>42</v>
      </c>
      <c r="G7969">
        <v>-185.5035</v>
      </c>
      <c r="H7969" s="1">
        <v>-4.2192390000000002E-6</v>
      </c>
      <c r="I7969">
        <v>67.608699999999999</v>
      </c>
      <c r="J7969">
        <v>-187.90549999999999</v>
      </c>
      <c r="K7969">
        <v>1.107645</v>
      </c>
      <c r="L7969">
        <v>34.897309999999997</v>
      </c>
      <c r="M7969">
        <v>-3.9210340000000003E-2</v>
      </c>
      <c r="N7969">
        <v>-5.4861789999999999E-3</v>
      </c>
      <c r="O7969">
        <v>0.99921590000000005</v>
      </c>
      <c r="P7969">
        <v>-0.1215541</v>
      </c>
      <c r="Q7969">
        <v>-3.7561589999999998E-3</v>
      </c>
      <c r="R7969">
        <v>0.99257770000000001</v>
      </c>
      <c r="S7969">
        <v>0.21823119999999999</v>
      </c>
      <c r="T7969">
        <v>-0.1015495</v>
      </c>
      <c r="U7969">
        <v>3.0487060000000001</v>
      </c>
      <c r="V7969">
        <v>-8.2540139999999998E-2</v>
      </c>
      <c r="W7969">
        <v>1.732651E-3</v>
      </c>
      <c r="X7969">
        <v>0.99658630000000004</v>
      </c>
      <c r="Y7969">
        <v>0.11041579999999999</v>
      </c>
      <c r="Z7969">
        <v>-2.7616740000000001E-2</v>
      </c>
      <c r="AA7969">
        <v>0.99350170000000004</v>
      </c>
      <c r="AB7969">
        <v>55</v>
      </c>
      <c r="AC7969">
        <v>2.4019999999999802</v>
      </c>
      <c r="AD7969">
        <v>-1.1076492192389999</v>
      </c>
      <c r="AE7969">
        <v>32.711390000000002</v>
      </c>
      <c r="AF7969">
        <v>3.6786015942354502</v>
      </c>
      <c r="AG7969">
        <v>-1.1076492192389999</v>
      </c>
      <c r="AH7969">
        <v>32.554922018686</v>
      </c>
      <c r="AI7969">
        <v>91.9363674994908</v>
      </c>
      <c r="AJ7969">
        <v>83.553106758536998</v>
      </c>
      <c r="AK7969">
        <v>32.780816709238898</v>
      </c>
      <c r="AL7969">
        <v>89.900726367119205</v>
      </c>
      <c r="AM7969">
        <v>94.734594916523307</v>
      </c>
      <c r="AN7969">
        <v>1.00000006506919</v>
      </c>
    </row>
    <row r="7970" spans="1:40" x14ac:dyDescent="0.25">
      <c r="A7970" t="str">
        <f>"20190305135117526"</f>
        <v>20190305135117526</v>
      </c>
      <c r="B7970" t="str">
        <f>"1551765077517095"</f>
        <v>1551765077517095</v>
      </c>
      <c r="C7970" t="s">
        <v>40</v>
      </c>
      <c r="D7970">
        <v>4.0359360000000004</v>
      </c>
      <c r="E7970">
        <v>0.57372570000000001</v>
      </c>
      <c r="F7970" t="s">
        <v>42</v>
      </c>
      <c r="G7970">
        <v>-185.57990000000001</v>
      </c>
      <c r="H7970" s="1">
        <v>-4.1537660000000003E-6</v>
      </c>
      <c r="I7970">
        <v>67.487659999999906</v>
      </c>
      <c r="J7970">
        <v>-187.92869999999999</v>
      </c>
      <c r="K7970">
        <v>1.1075600000000001</v>
      </c>
      <c r="L7970">
        <v>35.496000000000002</v>
      </c>
      <c r="M7970">
        <v>-3.8822450000000001E-2</v>
      </c>
      <c r="N7970">
        <v>-5.6209299999999997E-3</v>
      </c>
      <c r="O7970">
        <v>0.99923030000000002</v>
      </c>
      <c r="P7970">
        <v>-0.1220762</v>
      </c>
      <c r="Q7970">
        <v>-3.5502300000000001E-3</v>
      </c>
      <c r="R7970">
        <v>0.99251440000000002</v>
      </c>
      <c r="S7970">
        <v>0.2175446</v>
      </c>
      <c r="T7970">
        <v>-0.1036154</v>
      </c>
      <c r="U7970">
        <v>3.0486759999999999</v>
      </c>
      <c r="V7970">
        <v>-8.3451029999999995E-2</v>
      </c>
      <c r="W7970">
        <v>2.0955230000000002E-3</v>
      </c>
      <c r="X7970">
        <v>0.99650970000000005</v>
      </c>
      <c r="Y7970">
        <v>0.1098065</v>
      </c>
      <c r="Z7970">
        <v>-2.8157370000000001E-2</v>
      </c>
      <c r="AA7970">
        <v>0.9935541</v>
      </c>
      <c r="AB7970">
        <v>56</v>
      </c>
      <c r="AC7970">
        <v>2.3487999999999798</v>
      </c>
      <c r="AD7970">
        <v>-1.1075641537659999</v>
      </c>
      <c r="AE7970">
        <v>31.9916599999999</v>
      </c>
      <c r="AF7970">
        <v>3.5847699317208801</v>
      </c>
      <c r="AG7970">
        <v>-1.1075641537659999</v>
      </c>
      <c r="AH7970">
        <v>31.8383978722369</v>
      </c>
      <c r="AI7970">
        <v>91.979848317825102</v>
      </c>
      <c r="AJ7970">
        <v>83.575970604722301</v>
      </c>
      <c r="AK7970">
        <v>32.058709470110202</v>
      </c>
      <c r="AL7970">
        <v>89.879935291226204</v>
      </c>
      <c r="AM7970">
        <v>94.786969360691003</v>
      </c>
      <c r="AN7970">
        <v>1.00000002390939</v>
      </c>
    </row>
    <row r="7971" spans="1:40" x14ac:dyDescent="0.25">
      <c r="A7971" t="str">
        <f>"20190305135117548"</f>
        <v>20190305135117548</v>
      </c>
      <c r="B7971" t="str">
        <f>"1551765077537591"</f>
        <v>1551765077537591</v>
      </c>
      <c r="C7971" t="s">
        <v>40</v>
      </c>
      <c r="D7971">
        <v>4.0163250000000001</v>
      </c>
      <c r="E7971">
        <v>0.57373830000000003</v>
      </c>
      <c r="F7971" t="s">
        <v>42</v>
      </c>
      <c r="G7971">
        <v>-185.58609999999999</v>
      </c>
      <c r="H7971" s="1">
        <v>-4.6124890000000002E-6</v>
      </c>
      <c r="I7971">
        <v>68.559519999999907</v>
      </c>
      <c r="J7971">
        <v>-187.94980000000001</v>
      </c>
      <c r="K7971">
        <v>1.107507</v>
      </c>
      <c r="L7971">
        <v>36.045229999999997</v>
      </c>
      <c r="M7971">
        <v>-3.8347939999999997E-2</v>
      </c>
      <c r="N7971">
        <v>-5.9060880000000003E-3</v>
      </c>
      <c r="O7971">
        <v>0.999247</v>
      </c>
      <c r="P7971">
        <v>-0.1222593</v>
      </c>
      <c r="Q7971">
        <v>-3.5194190000000002E-3</v>
      </c>
      <c r="R7971">
        <v>0.99249200000000004</v>
      </c>
      <c r="S7971">
        <v>0.21601870000000001</v>
      </c>
      <c r="T7971">
        <v>-0.1021299</v>
      </c>
      <c r="U7971">
        <v>3.0488279999999999</v>
      </c>
      <c r="V7971">
        <v>-8.4106680000000003E-2</v>
      </c>
      <c r="W7971">
        <v>2.4345539999999998E-3</v>
      </c>
      <c r="X7971">
        <v>0.99645379999999995</v>
      </c>
      <c r="Y7971">
        <v>0.1088373</v>
      </c>
      <c r="Z7971">
        <v>-2.7389839999999999E-2</v>
      </c>
      <c r="AA7971">
        <v>0.99368210000000001</v>
      </c>
      <c r="AB7971">
        <v>56</v>
      </c>
      <c r="AC7971">
        <v>2.3637000000000201</v>
      </c>
      <c r="AD7971">
        <v>-1.1075116124889901</v>
      </c>
      <c r="AE7971">
        <v>32.514289999999903</v>
      </c>
      <c r="AF7971">
        <v>3.6046787862957901</v>
      </c>
      <c r="AG7971">
        <v>-1.1075116124889901</v>
      </c>
      <c r="AH7971">
        <v>32.362377836274099</v>
      </c>
      <c r="AI7971">
        <v>91.947985119696298</v>
      </c>
      <c r="AJ7971">
        <v>83.644315582064493</v>
      </c>
      <c r="AK7971">
        <v>32.581341137865003</v>
      </c>
      <c r="AL7971">
        <v>89.860510195534502</v>
      </c>
      <c r="AM7971">
        <v>94.824671697447002</v>
      </c>
      <c r="AN7971">
        <v>1.00000001810412</v>
      </c>
    </row>
    <row r="7972" spans="1:40" x14ac:dyDescent="0.25">
      <c r="A7972" t="str">
        <f>"20190305135117570"</f>
        <v>20190305135117570</v>
      </c>
      <c r="B7972" t="str">
        <f>"1551765077558087"</f>
        <v>1551765077558087</v>
      </c>
      <c r="C7972" t="s">
        <v>40</v>
      </c>
      <c r="D7972">
        <v>4.0195970000000001</v>
      </c>
      <c r="E7972">
        <v>0.57373160000000001</v>
      </c>
      <c r="F7972" t="s">
        <v>42</v>
      </c>
      <c r="G7972">
        <v>-185.60679999999999</v>
      </c>
      <c r="H7972" s="1">
        <v>-4.8770829999999996E-6</v>
      </c>
      <c r="I7972">
        <v>69.18486</v>
      </c>
      <c r="J7972">
        <v>-187.97020000000001</v>
      </c>
      <c r="K7972">
        <v>1.107477</v>
      </c>
      <c r="L7972">
        <v>36.583190000000002</v>
      </c>
      <c r="M7972">
        <v>-3.7770999999999999E-2</v>
      </c>
      <c r="N7972">
        <v>-6.3801250000000004E-3</v>
      </c>
      <c r="O7972">
        <v>0.99926599999999999</v>
      </c>
      <c r="P7972">
        <v>-0.12270780000000001</v>
      </c>
      <c r="Q7972">
        <v>-4.498307E-3</v>
      </c>
      <c r="R7972">
        <v>0.99243269999999995</v>
      </c>
      <c r="S7972">
        <v>0.2155609</v>
      </c>
      <c r="T7972">
        <v>-0.1018925</v>
      </c>
      <c r="U7972">
        <v>3.048889</v>
      </c>
      <c r="V7972">
        <v>-8.5132100000000002E-2</v>
      </c>
      <c r="W7972">
        <v>1.954856E-3</v>
      </c>
      <c r="X7972">
        <v>0.99636780000000003</v>
      </c>
      <c r="Y7972">
        <v>0.1081136</v>
      </c>
      <c r="Z7972">
        <v>-2.6840050000000001E-2</v>
      </c>
      <c r="AA7972">
        <v>0.99377610000000005</v>
      </c>
      <c r="AB7972">
        <v>56</v>
      </c>
      <c r="AC7972">
        <v>2.3634000000000102</v>
      </c>
      <c r="AD7972">
        <v>-1.1074818770829999</v>
      </c>
      <c r="AE7972">
        <v>32.601669999999999</v>
      </c>
      <c r="AF7972">
        <v>3.5890163091413201</v>
      </c>
      <c r="AG7972">
        <v>-1.1074818770829999</v>
      </c>
      <c r="AH7972">
        <v>32.451882741855897</v>
      </c>
      <c r="AI7972">
        <v>91.942732525786198</v>
      </c>
      <c r="AJ7972">
        <v>83.689019684591599</v>
      </c>
      <c r="AK7972">
        <v>32.668520745000201</v>
      </c>
      <c r="AL7972">
        <v>89.887994935279295</v>
      </c>
      <c r="AM7972">
        <v>94.883630312958005</v>
      </c>
      <c r="AN7972">
        <v>1.00000004439461</v>
      </c>
    </row>
    <row r="7973" spans="1:40" x14ac:dyDescent="0.25">
      <c r="A7973" t="str">
        <f>"20190305135117592"</f>
        <v>20190305135117592</v>
      </c>
      <c r="B7973" t="str">
        <f>"1551765077587368"</f>
        <v>1551765077587368</v>
      </c>
      <c r="C7973" t="s">
        <v>40</v>
      </c>
      <c r="D7973">
        <v>4.0568980000000003</v>
      </c>
      <c r="E7973">
        <v>0.57381340000000003</v>
      </c>
      <c r="F7973" t="s">
        <v>42</v>
      </c>
      <c r="G7973">
        <v>-185.7003</v>
      </c>
      <c r="H7973" s="1">
        <v>-4.7272299999999998E-6</v>
      </c>
      <c r="I7973">
        <v>68.874189999999999</v>
      </c>
      <c r="J7973">
        <v>-187.99</v>
      </c>
      <c r="K7973">
        <v>1.107472</v>
      </c>
      <c r="L7973">
        <v>37.116210000000002</v>
      </c>
      <c r="M7973">
        <v>-3.7099050000000001E-2</v>
      </c>
      <c r="N7973">
        <v>-7.0514940000000002E-3</v>
      </c>
      <c r="O7973">
        <v>0.99928669999999997</v>
      </c>
      <c r="P7973">
        <v>-0.12252059999999999</v>
      </c>
      <c r="Q7973">
        <v>-6.5236239999999996E-3</v>
      </c>
      <c r="R7973">
        <v>0.99244449999999995</v>
      </c>
      <c r="S7973">
        <v>0.21432499999999999</v>
      </c>
      <c r="T7973">
        <v>-0.10456749999999999</v>
      </c>
      <c r="U7973">
        <v>3.048889</v>
      </c>
      <c r="V7973">
        <v>-8.5615880000000005E-2</v>
      </c>
      <c r="W7973">
        <v>6.2638919999999897E-4</v>
      </c>
      <c r="X7973">
        <v>0.99632799999999999</v>
      </c>
      <c r="Y7973">
        <v>0.1070421</v>
      </c>
      <c r="Z7973">
        <v>-2.704347E-2</v>
      </c>
      <c r="AA7973">
        <v>0.99388659999999995</v>
      </c>
      <c r="AB7973">
        <v>56</v>
      </c>
      <c r="AC7973">
        <v>2.2897000000000101</v>
      </c>
      <c r="AD7973">
        <v>-1.1074767272299999</v>
      </c>
      <c r="AE7973">
        <v>31.75798</v>
      </c>
      <c r="AF7973">
        <v>3.4621553759930999</v>
      </c>
      <c r="AG7973">
        <v>-1.1074767272299999</v>
      </c>
      <c r="AH7973">
        <v>31.6129235409866</v>
      </c>
      <c r="AI7973">
        <v>91.994472925395002</v>
      </c>
      <c r="AJ7973">
        <v>83.750040889078406</v>
      </c>
      <c r="AK7973">
        <v>31.821218696918901</v>
      </c>
      <c r="AL7973">
        <v>89.964110539350301</v>
      </c>
      <c r="AM7973">
        <v>94.911442377787694</v>
      </c>
      <c r="AN7973">
        <v>0.999999977427801</v>
      </c>
    </row>
    <row r="7974" spans="1:40" x14ac:dyDescent="0.25">
      <c r="A7974" t="str">
        <f>"20190305135117615"</f>
        <v>20190305135117615</v>
      </c>
      <c r="B7974" t="str">
        <f>"1551765077607863"</f>
        <v>1551765077607863</v>
      </c>
      <c r="C7974" t="s">
        <v>40</v>
      </c>
      <c r="D7974">
        <v>4.0752810000000004</v>
      </c>
      <c r="E7974">
        <v>0.57392259999999995</v>
      </c>
      <c r="F7974" t="s">
        <v>42</v>
      </c>
      <c r="G7974">
        <v>-185.83320000000001</v>
      </c>
      <c r="H7974" s="1">
        <v>-4.1676940000000002E-6</v>
      </c>
      <c r="I7974">
        <v>67.624859999999998</v>
      </c>
      <c r="J7974">
        <v>-188.0121</v>
      </c>
      <c r="K7974">
        <v>1.107497</v>
      </c>
      <c r="L7974">
        <v>37.725009999999997</v>
      </c>
      <c r="M7974">
        <v>-3.6234769999999999E-2</v>
      </c>
      <c r="N7974">
        <v>-7.952888E-3</v>
      </c>
      <c r="O7974">
        <v>0.99931170000000002</v>
      </c>
      <c r="P7974">
        <v>-0.1218775</v>
      </c>
      <c r="Q7974">
        <v>-8.2779109999999902E-3</v>
      </c>
      <c r="R7974">
        <v>0.99251060000000002</v>
      </c>
      <c r="S7974">
        <v>0.21553040000000001</v>
      </c>
      <c r="T7974">
        <v>-0.1106703</v>
      </c>
      <c r="U7974">
        <v>3.048737</v>
      </c>
      <c r="V7974">
        <v>-8.5833489999999998E-2</v>
      </c>
      <c r="W7974">
        <v>-1.9887640000000001E-4</v>
      </c>
      <c r="X7974">
        <v>0.99630949999999996</v>
      </c>
      <c r="Y7974">
        <v>0.10657170000000001</v>
      </c>
      <c r="Z7974">
        <v>-2.8133490000000001E-2</v>
      </c>
      <c r="AA7974">
        <v>0.99390690000000004</v>
      </c>
      <c r="AB7974">
        <v>56</v>
      </c>
      <c r="AC7974">
        <v>2.1788999999999898</v>
      </c>
      <c r="AD7974">
        <v>-1.1075011676940001</v>
      </c>
      <c r="AE7974">
        <v>29.899850000000001</v>
      </c>
      <c r="AF7974">
        <v>3.2564732033453798</v>
      </c>
      <c r="AG7974">
        <v>-1.1075011676940001</v>
      </c>
      <c r="AH7974">
        <v>29.760643684527299</v>
      </c>
      <c r="AI7974">
        <v>92.118566056819503</v>
      </c>
      <c r="AJ7974">
        <v>83.755416893455305</v>
      </c>
      <c r="AK7974">
        <v>29.9587564674828</v>
      </c>
      <c r="AL7974">
        <v>90.0113947781701</v>
      </c>
      <c r="AM7974">
        <v>94.923955482594096</v>
      </c>
      <c r="AN7974">
        <v>1.00000002367382</v>
      </c>
    </row>
    <row r="7975" spans="1:40" x14ac:dyDescent="0.25">
      <c r="A7975" t="str">
        <f>"20190305135117637"</f>
        <v>20190305135117637</v>
      </c>
      <c r="B7975" t="str">
        <f>"1551765077627383"</f>
        <v>1551765077627383</v>
      </c>
      <c r="C7975" t="s">
        <v>40</v>
      </c>
      <c r="D7975">
        <v>4.0814579999999996</v>
      </c>
      <c r="E7975">
        <v>0.57395949999999996</v>
      </c>
      <c r="F7975" t="s">
        <v>42</v>
      </c>
      <c r="G7975">
        <v>-185.9205</v>
      </c>
      <c r="H7975" s="1">
        <v>-3.8447830000000002E-6</v>
      </c>
      <c r="I7975">
        <v>66.908249999999995</v>
      </c>
      <c r="J7975">
        <v>-188.03110000000001</v>
      </c>
      <c r="K7975">
        <v>1.107504</v>
      </c>
      <c r="L7975">
        <v>38.26108</v>
      </c>
      <c r="M7975">
        <v>-3.5401620000000002E-2</v>
      </c>
      <c r="N7975">
        <v>-8.7535159999999994E-3</v>
      </c>
      <c r="O7975">
        <v>0.99933479999999997</v>
      </c>
      <c r="P7975">
        <v>-0.1211628</v>
      </c>
      <c r="Q7975">
        <v>-9.8027259999999995E-3</v>
      </c>
      <c r="R7975">
        <v>0.99258420000000003</v>
      </c>
      <c r="S7975">
        <v>0.21849060000000001</v>
      </c>
      <c r="T7975">
        <v>-0.11569</v>
      </c>
      <c r="U7975">
        <v>3.048492</v>
      </c>
      <c r="V7975">
        <v>-8.5948440000000001E-2</v>
      </c>
      <c r="W7975">
        <v>-9.0136450000000005E-4</v>
      </c>
      <c r="X7975">
        <v>0.99629920000000005</v>
      </c>
      <c r="Y7975">
        <v>0.1067041</v>
      </c>
      <c r="Z7975">
        <v>-2.8970590000000001E-2</v>
      </c>
      <c r="AA7975">
        <v>0.99386859999999999</v>
      </c>
      <c r="AB7975">
        <v>56</v>
      </c>
      <c r="AC7975">
        <v>2.1105999999999998</v>
      </c>
      <c r="AD7975">
        <v>-1.107507844783</v>
      </c>
      <c r="AE7975">
        <v>28.647169999999999</v>
      </c>
      <c r="AF7975">
        <v>3.11883571463206</v>
      </c>
      <c r="AG7975">
        <v>-1.107507844783</v>
      </c>
      <c r="AH7975">
        <v>28.512105449509701</v>
      </c>
      <c r="AI7975">
        <v>92.2112692511284</v>
      </c>
      <c r="AJ7975">
        <v>83.757441904568296</v>
      </c>
      <c r="AK7975">
        <v>28.703551470246399</v>
      </c>
      <c r="AL7975">
        <v>90.051644387543007</v>
      </c>
      <c r="AM7975">
        <v>94.930567983133102</v>
      </c>
      <c r="AN7975">
        <v>1.0000000213585101</v>
      </c>
    </row>
    <row r="7976" spans="1:40" x14ac:dyDescent="0.25">
      <c r="A7976" t="str">
        <f>"20190305135117658"</f>
        <v>20190305135117658</v>
      </c>
      <c r="B7976" t="str">
        <f>"1551765077647879"</f>
        <v>1551765077647879</v>
      </c>
      <c r="C7976" t="s">
        <v>40</v>
      </c>
      <c r="D7976">
        <v>4.0631769999999996</v>
      </c>
      <c r="E7976">
        <v>0.57400139999999999</v>
      </c>
      <c r="F7976" t="s">
        <v>42</v>
      </c>
      <c r="G7976">
        <v>-186.0009</v>
      </c>
      <c r="H7976" s="1">
        <v>-3.5545969999999999E-6</v>
      </c>
      <c r="I7976">
        <v>66.265039999999999</v>
      </c>
      <c r="J7976">
        <v>-188.04920000000001</v>
      </c>
      <c r="K7976">
        <v>1.107499</v>
      </c>
      <c r="L7976">
        <v>38.783839999999998</v>
      </c>
      <c r="M7976">
        <v>-3.4535410000000002E-2</v>
      </c>
      <c r="N7976">
        <v>-9.4859929999999999E-3</v>
      </c>
      <c r="O7976">
        <v>0.99935850000000004</v>
      </c>
      <c r="P7976">
        <v>-0.12019879999999999</v>
      </c>
      <c r="Q7976">
        <v>-1.2506349999999999E-2</v>
      </c>
      <c r="R7976">
        <v>0.99267110000000003</v>
      </c>
      <c r="S7976">
        <v>0.22099299999999999</v>
      </c>
      <c r="T7976">
        <v>-0.1205505</v>
      </c>
      <c r="U7976">
        <v>3.048187</v>
      </c>
      <c r="V7976">
        <v>-8.5850250000000003E-2</v>
      </c>
      <c r="W7976">
        <v>-2.8539120000000001E-3</v>
      </c>
      <c r="X7976">
        <v>0.99630399999999997</v>
      </c>
      <c r="Y7976">
        <v>0.1066565</v>
      </c>
      <c r="Z7976">
        <v>-2.9825549999999999E-2</v>
      </c>
      <c r="AA7976">
        <v>0.99384850000000002</v>
      </c>
      <c r="AB7976">
        <v>56</v>
      </c>
      <c r="AC7976">
        <v>2.04830000000001</v>
      </c>
      <c r="AD7976">
        <v>-1.1075025545970001</v>
      </c>
      <c r="AE7976">
        <v>27.481199999999902</v>
      </c>
      <c r="AF7976">
        <v>2.9913637053314801</v>
      </c>
      <c r="AG7976">
        <v>-1.1075025545970001</v>
      </c>
      <c r="AH7976">
        <v>27.3498891433978</v>
      </c>
      <c r="AI7976">
        <v>92.305128549555405</v>
      </c>
      <c r="AJ7976">
        <v>83.758148626087404</v>
      </c>
      <c r="AK7976">
        <v>27.535272921875301</v>
      </c>
      <c r="AL7976">
        <v>90.163517328895296</v>
      </c>
      <c r="AM7976">
        <v>94.924939268355303</v>
      </c>
      <c r="AN7976">
        <v>1.0000000353273799</v>
      </c>
    </row>
    <row r="7977" spans="1:40" x14ac:dyDescent="0.25">
      <c r="A7977" t="str">
        <f>"20190305135117681"</f>
        <v>20190305135117681</v>
      </c>
      <c r="B7977" t="str">
        <f>"1551765077677159"</f>
        <v>1551765077677159</v>
      </c>
      <c r="C7977" t="s">
        <v>40</v>
      </c>
      <c r="D7977">
        <v>4.0951040000000001</v>
      </c>
      <c r="E7977">
        <v>0.57395969999999996</v>
      </c>
      <c r="F7977" t="s">
        <v>42</v>
      </c>
      <c r="G7977">
        <v>-186.10480000000001</v>
      </c>
      <c r="H7977" s="1">
        <v>-3.0736530000000001E-6</v>
      </c>
      <c r="I7977">
        <v>65.186940000000007</v>
      </c>
      <c r="J7977">
        <v>-188.06800000000001</v>
      </c>
      <c r="K7977">
        <v>1.107475</v>
      </c>
      <c r="L7977">
        <v>39.34158</v>
      </c>
      <c r="M7977">
        <v>-3.3571780000000002E-2</v>
      </c>
      <c r="N7977">
        <v>-1.0197350000000001E-2</v>
      </c>
      <c r="O7977">
        <v>0.9993843</v>
      </c>
      <c r="P7977">
        <v>-0.1196265</v>
      </c>
      <c r="Q7977">
        <v>-1.453845E-2</v>
      </c>
      <c r="R7977">
        <v>0.9927125</v>
      </c>
      <c r="S7977">
        <v>0.22444149999999999</v>
      </c>
      <c r="T7977">
        <v>-0.1278398</v>
      </c>
      <c r="U7977">
        <v>3.0477289999999999</v>
      </c>
      <c r="V7977">
        <v>-8.6241300000000007E-2</v>
      </c>
      <c r="W7977">
        <v>-4.156201E-3</v>
      </c>
      <c r="X7977">
        <v>0.99626559999999997</v>
      </c>
      <c r="Y7977">
        <v>0.106819899999999</v>
      </c>
      <c r="Z7977">
        <v>-3.14942E-2</v>
      </c>
      <c r="AA7977">
        <v>0.99377950000000004</v>
      </c>
      <c r="AB7977">
        <v>56</v>
      </c>
      <c r="AC7977">
        <v>1.9631999999999701</v>
      </c>
      <c r="AD7977">
        <v>-1.1074780736530001</v>
      </c>
      <c r="AE7977">
        <v>25.845359999999999</v>
      </c>
      <c r="AF7977">
        <v>2.8246563872819701</v>
      </c>
      <c r="AG7977">
        <v>-1.1074780736530001</v>
      </c>
      <c r="AH7977">
        <v>25.717927399638501</v>
      </c>
      <c r="AI7977">
        <v>92.451054492507296</v>
      </c>
      <c r="AJ7977">
        <v>83.732201322768006</v>
      </c>
      <c r="AK7977">
        <v>25.896273498766401</v>
      </c>
      <c r="AL7977">
        <v>90.2381334638916</v>
      </c>
      <c r="AM7977">
        <v>94.947451142364798</v>
      </c>
      <c r="AN7977">
        <v>0.99999999078790103</v>
      </c>
    </row>
    <row r="7978" spans="1:40" x14ac:dyDescent="0.25">
      <c r="A7978" t="str">
        <f>"20190305135117694"</f>
        <v>20190305135117694</v>
      </c>
      <c r="B7978" t="str">
        <f>"1551765077687896"</f>
        <v>1551765077687896</v>
      </c>
      <c r="C7978" t="s">
        <v>40</v>
      </c>
      <c r="D7978">
        <v>4.075348</v>
      </c>
      <c r="E7978">
        <v>0.57395090000000004</v>
      </c>
      <c r="F7978" t="s">
        <v>42</v>
      </c>
      <c r="G7978">
        <v>-186.18440000000001</v>
      </c>
      <c r="H7978" s="1">
        <v>-2.870235E-6</v>
      </c>
      <c r="I7978">
        <v>64.745649999999998</v>
      </c>
      <c r="J7978">
        <v>-188.07980000000001</v>
      </c>
      <c r="K7978">
        <v>1.1074539999999999</v>
      </c>
      <c r="L7978">
        <v>39.697850000000003</v>
      </c>
      <c r="M7978">
        <v>-3.2943269999999997E-2</v>
      </c>
      <c r="N7978">
        <v>-1.0615930000000001E-2</v>
      </c>
      <c r="O7978">
        <v>0.99940090000000004</v>
      </c>
      <c r="P7978">
        <v>-0.119002</v>
      </c>
      <c r="Q7978">
        <v>-1.5179679999999999E-2</v>
      </c>
      <c r="R7978">
        <v>0.99277800000000005</v>
      </c>
      <c r="S7978">
        <v>0.22595209999999999</v>
      </c>
      <c r="T7978">
        <v>-0.13284560000000001</v>
      </c>
      <c r="U7978">
        <v>3.0473020000000002</v>
      </c>
      <c r="V7978">
        <v>-8.6242180000000002E-2</v>
      </c>
      <c r="W7978">
        <v>-4.3685119999999997E-3</v>
      </c>
      <c r="X7978">
        <v>0.99626459999999994</v>
      </c>
      <c r="Y7978">
        <v>0.1066898</v>
      </c>
      <c r="Z7978">
        <v>-3.2712739999999997E-2</v>
      </c>
      <c r="AA7978">
        <v>0.99375409999999997</v>
      </c>
      <c r="AB7978">
        <v>56</v>
      </c>
      <c r="AC7978">
        <v>1.89539999999999</v>
      </c>
      <c r="AD7978">
        <v>-1.1074568702350001</v>
      </c>
      <c r="AE7978">
        <v>25.047799999999899</v>
      </c>
      <c r="AF7978">
        <v>2.71429814802744</v>
      </c>
      <c r="AG7978">
        <v>-1.1074568702350001</v>
      </c>
      <c r="AH7978">
        <v>24.923314854582401</v>
      </c>
      <c r="AI7978">
        <v>92.529304324750996</v>
      </c>
      <c r="AJ7978">
        <v>83.784641916355994</v>
      </c>
      <c r="AK7978">
        <v>25.095128979474499</v>
      </c>
      <c r="AL7978">
        <v>90.250298102634204</v>
      </c>
      <c r="AM7978">
        <v>94.947506316628605</v>
      </c>
      <c r="AN7978">
        <v>0.99999997536070295</v>
      </c>
    </row>
    <row r="7979" spans="1:40" x14ac:dyDescent="0.25">
      <c r="A7979" t="str">
        <f>"20190305135117714"</f>
        <v>20190305135117714</v>
      </c>
      <c r="B7979" t="str">
        <f>"1551765077707416"</f>
        <v>1551765077707416</v>
      </c>
      <c r="C7979" t="s">
        <v>40</v>
      </c>
      <c r="D7979">
        <v>3.887543</v>
      </c>
      <c r="E7979">
        <v>0.57395090000000004</v>
      </c>
      <c r="F7979" t="s">
        <v>42</v>
      </c>
      <c r="G7979">
        <v>-186.19919999999999</v>
      </c>
      <c r="H7979" s="1">
        <v>-2.896133E-6</v>
      </c>
      <c r="I7979">
        <v>64.812159999999906</v>
      </c>
      <c r="J7979">
        <v>-188.09540000000001</v>
      </c>
      <c r="K7979">
        <v>1.1074170000000001</v>
      </c>
      <c r="L7979">
        <v>40.183349999999997</v>
      </c>
      <c r="M7979">
        <v>-3.2075439999999997E-2</v>
      </c>
      <c r="N7979">
        <v>-1.114018E-2</v>
      </c>
      <c r="O7979">
        <v>0.99942339999999996</v>
      </c>
      <c r="P7979">
        <v>-0.11895989999999999</v>
      </c>
      <c r="Q7979">
        <v>-1.635377E-2</v>
      </c>
      <c r="R7979">
        <v>0.99276439999999999</v>
      </c>
      <c r="S7979">
        <v>0.2281647</v>
      </c>
      <c r="T7979">
        <v>-0.13436770000000001</v>
      </c>
      <c r="U7979">
        <v>3.0471189999999999</v>
      </c>
      <c r="V7979">
        <v>-8.7067989999999998E-2</v>
      </c>
      <c r="W7979">
        <v>-5.0043099999999997E-3</v>
      </c>
      <c r="X7979">
        <v>0.99618980000000001</v>
      </c>
      <c r="Y7979">
        <v>0.10654660000000001</v>
      </c>
      <c r="Z7979">
        <v>-3.2687729999999998E-2</v>
      </c>
      <c r="AA7979">
        <v>0.99377020000000005</v>
      </c>
      <c r="AB7979">
        <v>55</v>
      </c>
      <c r="AC7979">
        <v>1.8962000000000201</v>
      </c>
      <c r="AD7979">
        <v>-1.107419896133</v>
      </c>
      <c r="AE7979">
        <v>24.628809999999898</v>
      </c>
      <c r="AF7979">
        <v>2.6798668823345402</v>
      </c>
      <c r="AG7979">
        <v>-1.107419896133</v>
      </c>
      <c r="AH7979">
        <v>24.506056132474999</v>
      </c>
      <c r="AI7979">
        <v>92.572102584396802</v>
      </c>
      <c r="AJ7979">
        <v>83.759201588129201</v>
      </c>
      <c r="AK7979">
        <v>24.6770106070691</v>
      </c>
      <c r="AL7979">
        <v>90.2867270397673</v>
      </c>
      <c r="AM7979">
        <v>94.995015667408794</v>
      </c>
      <c r="AN7979">
        <v>0.99999999781262805</v>
      </c>
    </row>
    <row r="7980" spans="1:40" x14ac:dyDescent="0.25">
      <c r="A7980" t="str">
        <f>"20190305135117737"</f>
        <v>20190305135117737</v>
      </c>
      <c r="B7980" t="str">
        <f>"1551765077727918"</f>
        <v>1551765077727918</v>
      </c>
      <c r="C7980" t="s">
        <v>40</v>
      </c>
      <c r="D7980">
        <v>3.8612880000000001</v>
      </c>
      <c r="E7980">
        <v>0.57395090000000004</v>
      </c>
      <c r="F7980" t="s">
        <v>42</v>
      </c>
      <c r="G7980">
        <v>-186.2473</v>
      </c>
      <c r="H7980" s="1">
        <v>-2.902832E-6</v>
      </c>
      <c r="I7980">
        <v>64.847679999999997</v>
      </c>
      <c r="J7980">
        <v>-188.11269999999999</v>
      </c>
      <c r="K7980">
        <v>1.107383</v>
      </c>
      <c r="L7980">
        <v>40.740450000000003</v>
      </c>
      <c r="M7980">
        <v>-3.1069119999999999E-2</v>
      </c>
      <c r="N7980">
        <v>-1.1680930000000001E-2</v>
      </c>
      <c r="O7980">
        <v>0.99944900000000003</v>
      </c>
      <c r="P7980">
        <v>-0.1187817</v>
      </c>
      <c r="Q7980">
        <v>-1.717662E-2</v>
      </c>
      <c r="R7980">
        <v>0.99277179999999998</v>
      </c>
      <c r="S7980">
        <v>0.228302</v>
      </c>
      <c r="T7980">
        <v>-0.13680780000000001</v>
      </c>
      <c r="U7980">
        <v>3.046967</v>
      </c>
      <c r="V7980">
        <v>-8.7894390000000003E-2</v>
      </c>
      <c r="W7980">
        <v>-5.272489E-3</v>
      </c>
      <c r="X7980">
        <v>0.99611590000000005</v>
      </c>
      <c r="Y7980">
        <v>0.10559109999999999</v>
      </c>
      <c r="Z7980">
        <v>-3.2948350000000001E-2</v>
      </c>
      <c r="AA7980">
        <v>0.99386359999999996</v>
      </c>
      <c r="AB7980">
        <v>55</v>
      </c>
      <c r="AC7980">
        <v>1.86539999999999</v>
      </c>
      <c r="AD7980">
        <v>-1.1073859028319999</v>
      </c>
      <c r="AE7980">
        <v>24.107230000000001</v>
      </c>
      <c r="AF7980">
        <v>2.6080703058938401</v>
      </c>
      <c r="AG7980">
        <v>-1.1073859028319999</v>
      </c>
      <c r="AH7980">
        <v>23.987315664386699</v>
      </c>
      <c r="AI7980">
        <v>92.627745842263906</v>
      </c>
      <c r="AJ7980">
        <v>83.794773589694799</v>
      </c>
      <c r="AK7980">
        <v>24.1540813744014</v>
      </c>
      <c r="AL7980">
        <v>90.302092750404</v>
      </c>
      <c r="AM7980">
        <v>95.042554408180195</v>
      </c>
      <c r="AN7980">
        <v>1.0000000545832599</v>
      </c>
    </row>
    <row r="7981" spans="1:40" x14ac:dyDescent="0.25">
      <c r="A7981" t="str">
        <f>"20190305135117751"</f>
        <v>20190305135117751</v>
      </c>
      <c r="B7981" t="str">
        <f>"1551765077747432"</f>
        <v>1551765077747432</v>
      </c>
      <c r="C7981" t="s">
        <v>40</v>
      </c>
      <c r="D7981">
        <v>4.043145</v>
      </c>
      <c r="E7981">
        <v>0.57412759999999996</v>
      </c>
      <c r="F7981" t="s">
        <v>42</v>
      </c>
      <c r="G7981">
        <v>-186.2877</v>
      </c>
      <c r="H7981" s="1">
        <v>-2.9738939999999999E-6</v>
      </c>
      <c r="I7981">
        <v>65.030010000000004</v>
      </c>
      <c r="J7981">
        <v>-188.12350000000001</v>
      </c>
      <c r="K7981">
        <v>1.1073580000000001</v>
      </c>
      <c r="L7981">
        <v>41.093899999999998</v>
      </c>
      <c r="M7981">
        <v>-3.042686E-2</v>
      </c>
      <c r="N7981">
        <v>-1.199708E-2</v>
      </c>
      <c r="O7981">
        <v>0.99946500000000005</v>
      </c>
      <c r="P7981">
        <v>-0.1185122</v>
      </c>
      <c r="Q7981">
        <v>-1.757452E-2</v>
      </c>
      <c r="R7981">
        <v>0.99279709999999999</v>
      </c>
      <c r="S7981">
        <v>0.22892760000000001</v>
      </c>
      <c r="T7981">
        <v>-0.1389087</v>
      </c>
      <c r="U7981">
        <v>3.0468440000000001</v>
      </c>
      <c r="V7981">
        <v>-8.8264850000000006E-2</v>
      </c>
      <c r="W7981">
        <v>-5.3466199999999998E-3</v>
      </c>
      <c r="X7981">
        <v>0.99608269999999999</v>
      </c>
      <c r="Y7981">
        <v>0.1051557</v>
      </c>
      <c r="Z7981">
        <v>-3.3320469999999998E-2</v>
      </c>
      <c r="AA7981">
        <v>0.99389740000000004</v>
      </c>
      <c r="AB7981">
        <v>55</v>
      </c>
      <c r="AC7981">
        <v>1.8358000000000001</v>
      </c>
      <c r="AD7981">
        <v>-1.107360973894</v>
      </c>
      <c r="AE7981">
        <v>23.936109999999999</v>
      </c>
      <c r="AF7981">
        <v>2.5578604448747102</v>
      </c>
      <c r="AG7981">
        <v>-1.107360973894</v>
      </c>
      <c r="AH7981">
        <v>23.818484045571299</v>
      </c>
      <c r="AI7981">
        <v>92.646663606196796</v>
      </c>
      <c r="AJ7981">
        <v>83.870512859383794</v>
      </c>
      <c r="AK7981">
        <v>23.981015003770999</v>
      </c>
      <c r="AL7981">
        <v>90.306340217848401</v>
      </c>
      <c r="AM7981">
        <v>95.063865553990695</v>
      </c>
      <c r="AN7981">
        <v>1.0000000076651101</v>
      </c>
    </row>
    <row r="7982" spans="1:40" x14ac:dyDescent="0.25">
      <c r="A7982" t="str">
        <f>"20190305135117769"</f>
        <v>20190305135117769</v>
      </c>
      <c r="B7982" t="str">
        <f>"1551765077767928"</f>
        <v>1551765077767928</v>
      </c>
      <c r="C7982" t="s">
        <v>40</v>
      </c>
      <c r="D7982">
        <v>3.999571</v>
      </c>
      <c r="E7982">
        <v>0.53907530000000004</v>
      </c>
      <c r="F7982" t="s">
        <v>42</v>
      </c>
      <c r="G7982">
        <v>-186.21250000000001</v>
      </c>
      <c r="H7982" s="1">
        <v>-3.5239959999999999E-6</v>
      </c>
      <c r="I7982">
        <v>66.281229999999994</v>
      </c>
      <c r="J7982">
        <v>-188.13720000000001</v>
      </c>
      <c r="K7982">
        <v>1.1073329999999999</v>
      </c>
      <c r="L7982">
        <v>41.556950000000001</v>
      </c>
      <c r="M7982">
        <v>-2.9580349999999998E-2</v>
      </c>
      <c r="N7982">
        <v>-1.2372599999999999E-2</v>
      </c>
      <c r="O7982">
        <v>0.99948590000000004</v>
      </c>
      <c r="P7982">
        <v>-0.1185882</v>
      </c>
      <c r="Q7982">
        <v>-1.8147590000000002E-2</v>
      </c>
      <c r="R7982">
        <v>0.99277760000000004</v>
      </c>
      <c r="S7982">
        <v>0.23117070000000001</v>
      </c>
      <c r="T7982">
        <v>-0.13395989999999999</v>
      </c>
      <c r="U7982">
        <v>3.046967</v>
      </c>
      <c r="V7982">
        <v>-8.9186150000000006E-2</v>
      </c>
      <c r="W7982">
        <v>-5.5346029999999999E-3</v>
      </c>
      <c r="X7982">
        <v>0.99599959999999998</v>
      </c>
      <c r="Y7982">
        <v>0.1050427</v>
      </c>
      <c r="Z7982">
        <v>-3.1331659999999997E-2</v>
      </c>
      <c r="AA7982">
        <v>0.99397400000000002</v>
      </c>
      <c r="AB7982">
        <v>55</v>
      </c>
      <c r="AC7982">
        <v>1.9247000000000001</v>
      </c>
      <c r="AD7982">
        <v>-1.10733652399599</v>
      </c>
      <c r="AE7982">
        <v>24.72428</v>
      </c>
      <c r="AF7982">
        <v>2.6499828077772598</v>
      </c>
      <c r="AG7982">
        <v>-1.10733652399599</v>
      </c>
      <c r="AH7982">
        <v>24.607458409776001</v>
      </c>
      <c r="AI7982">
        <v>92.561781905789601</v>
      </c>
      <c r="AJ7982">
        <v>83.853492129272595</v>
      </c>
      <c r="AK7982">
        <v>24.774495200664401</v>
      </c>
      <c r="AL7982">
        <v>90.317111011448105</v>
      </c>
      <c r="AM7982">
        <v>95.116867204669703</v>
      </c>
      <c r="AN7982">
        <v>1.0000000021911699</v>
      </c>
    </row>
    <row r="7983" spans="1:40" x14ac:dyDescent="0.25">
      <c r="A7983" t="str">
        <f>"20190305135117784"</f>
        <v>20190305135117784</v>
      </c>
      <c r="B7983" t="str">
        <f>"1551765077777688"</f>
        <v>1551765077777688</v>
      </c>
      <c r="C7983" t="s">
        <v>40</v>
      </c>
      <c r="D7983">
        <v>4.0196290000000001</v>
      </c>
      <c r="E7983">
        <v>0.53480749999999999</v>
      </c>
      <c r="F7983" t="s">
        <v>42</v>
      </c>
      <c r="G7983">
        <v>-190.24799999999999</v>
      </c>
      <c r="H7983" s="1">
        <v>-4.1098250000000001E-6</v>
      </c>
      <c r="I7983">
        <v>179.0154</v>
      </c>
      <c r="J7983">
        <v>-188.14789999999999</v>
      </c>
      <c r="K7983">
        <v>1.1073189999999999</v>
      </c>
      <c r="L7983">
        <v>41.928989999999999</v>
      </c>
      <c r="M7983">
        <v>-2.8896249999999998E-2</v>
      </c>
      <c r="N7983">
        <v>-1.26426E-2</v>
      </c>
      <c r="O7983">
        <v>0.99950249999999996</v>
      </c>
      <c r="P7983">
        <v>-0.1182906</v>
      </c>
      <c r="Q7983">
        <v>-1.8663720000000002E-2</v>
      </c>
      <c r="R7983">
        <v>0.99280360000000001</v>
      </c>
      <c r="S7983">
        <v>-4.6310419999999998E-2</v>
      </c>
      <c r="T7983">
        <v>-2.4294969999999999E-2</v>
      </c>
      <c r="U7983">
        <v>3.0158390000000002</v>
      </c>
      <c r="V7983">
        <v>-8.9570250000000004E-2</v>
      </c>
      <c r="W7983">
        <v>-5.7748369999999997E-3</v>
      </c>
      <c r="X7983">
        <v>0.99596379999999995</v>
      </c>
      <c r="Y7983">
        <v>1.3546030000000001E-2</v>
      </c>
      <c r="Z7983">
        <v>4.5903879999999999E-3</v>
      </c>
      <c r="AA7983">
        <v>0.9998977</v>
      </c>
      <c r="AB7983">
        <v>55</v>
      </c>
      <c r="AC7983">
        <v>-2.1000999999999901</v>
      </c>
      <c r="AD7983">
        <v>-1.107323109825</v>
      </c>
      <c r="AE7983">
        <v>137.08641</v>
      </c>
      <c r="AF7983">
        <v>1.86225526870724</v>
      </c>
      <c r="AG7983">
        <v>-1.107323109825</v>
      </c>
      <c r="AH7983">
        <v>137.08090364090199</v>
      </c>
      <c r="AI7983">
        <v>90.462775673458296</v>
      </c>
      <c r="AJ7983">
        <v>89.221680035523207</v>
      </c>
      <c r="AK7983">
        <v>137.098024428369</v>
      </c>
      <c r="AL7983">
        <v>90.3308756150698</v>
      </c>
      <c r="AM7983">
        <v>95.138970119995705</v>
      </c>
      <c r="AN7983">
        <v>1.0000000346689299</v>
      </c>
    </row>
    <row r="7984" spans="1:40" x14ac:dyDescent="0.25">
      <c r="A7984" t="str">
        <f>"20190305135117804"</f>
        <v>20190305135117804</v>
      </c>
      <c r="B7984" t="str">
        <f>"1551765077797208"</f>
        <v>1551765077797208</v>
      </c>
      <c r="C7984" t="s">
        <v>40</v>
      </c>
      <c r="D7984">
        <v>3.9750749999999999</v>
      </c>
      <c r="E7984">
        <v>0.53442679999999998</v>
      </c>
      <c r="F7984" t="s">
        <v>94</v>
      </c>
      <c r="G7984">
        <v>-190.95580000000001</v>
      </c>
      <c r="H7984" s="1">
        <v>-1.0643260000000001E-5</v>
      </c>
      <c r="I7984">
        <v>148.77709999999999</v>
      </c>
      <c r="J7984">
        <v>-188.1609</v>
      </c>
      <c r="K7984">
        <v>1.1073010000000001</v>
      </c>
      <c r="L7984">
        <v>42.392090000000003</v>
      </c>
      <c r="M7984">
        <v>-2.8040860000000001E-2</v>
      </c>
      <c r="N7984">
        <v>-1.295107E-2</v>
      </c>
      <c r="O7984">
        <v>0.99952289999999999</v>
      </c>
      <c r="P7984">
        <v>-0.11839180000000001</v>
      </c>
      <c r="Q7984">
        <v>-1.970804E-2</v>
      </c>
      <c r="R7984">
        <v>0.99277139999999997</v>
      </c>
      <c r="S7984">
        <v>-7.9147339999999997E-2</v>
      </c>
      <c r="T7984">
        <v>-3.1212210000000001E-2</v>
      </c>
      <c r="U7984">
        <v>3.0117189999999998</v>
      </c>
      <c r="V7984">
        <v>-9.0527709999999997E-2</v>
      </c>
      <c r="W7984">
        <v>-6.5032299999999996E-3</v>
      </c>
      <c r="X7984">
        <v>0.99587270000000006</v>
      </c>
      <c r="Y7984">
        <v>1.7729690000000001E-3</v>
      </c>
      <c r="Z7984">
        <v>2.591346E-3</v>
      </c>
      <c r="AA7984">
        <v>0.99999510000000003</v>
      </c>
      <c r="AB7984">
        <v>55</v>
      </c>
      <c r="AC7984">
        <v>-2.7949000000000099</v>
      </c>
      <c r="AD7984">
        <v>-1.1073116432600001</v>
      </c>
      <c r="AE7984">
        <v>106.38500999999999</v>
      </c>
      <c r="AF7984">
        <v>0.18955599144084001</v>
      </c>
      <c r="AG7984">
        <v>-1.1073116432600001</v>
      </c>
      <c r="AH7984">
        <v>106.410027757086</v>
      </c>
      <c r="AI7984">
        <v>90.596202205217907</v>
      </c>
      <c r="AJ7984">
        <v>89.897934931210798</v>
      </c>
      <c r="AK7984">
        <v>106.41595781560601</v>
      </c>
      <c r="AL7984">
        <v>90.372610259965697</v>
      </c>
      <c r="AM7984">
        <v>95.194076733393402</v>
      </c>
      <c r="AN7984">
        <v>0.99999999644178295</v>
      </c>
    </row>
    <row r="7985" spans="1:40" x14ac:dyDescent="0.25">
      <c r="A7985" t="str">
        <f>"20190305135117820"</f>
        <v>20190305135117820</v>
      </c>
      <c r="B7985" t="str">
        <f>"1551765077817704"</f>
        <v>1551765077817704</v>
      </c>
      <c r="C7985" t="s">
        <v>40</v>
      </c>
      <c r="D7985">
        <v>3.9690120000000002</v>
      </c>
      <c r="E7985">
        <v>0.53505499999999995</v>
      </c>
      <c r="F7985" t="s">
        <v>42</v>
      </c>
      <c r="G7985">
        <v>-190.24940000000001</v>
      </c>
      <c r="H7985" s="1">
        <v>-3.8789630000000001E-6</v>
      </c>
      <c r="I7985">
        <v>118.4764</v>
      </c>
      <c r="J7985">
        <v>-188.17160000000001</v>
      </c>
      <c r="K7985">
        <v>1.1072869999999999</v>
      </c>
      <c r="L7985">
        <v>42.785060000000001</v>
      </c>
      <c r="M7985">
        <v>-2.731169E-2</v>
      </c>
      <c r="N7985">
        <v>-1.318709E-2</v>
      </c>
      <c r="O7985">
        <v>0.99953999999999998</v>
      </c>
      <c r="P7985">
        <v>-0.11790490000000001</v>
      </c>
      <c r="Q7985">
        <v>-2.063657E-2</v>
      </c>
      <c r="R7985">
        <v>0.99281039999999998</v>
      </c>
      <c r="S7985">
        <v>-8.2656859999999999E-2</v>
      </c>
      <c r="T7985">
        <v>-4.3822649999999998E-2</v>
      </c>
      <c r="U7985">
        <v>3.0111080000000001</v>
      </c>
      <c r="V7985">
        <v>-9.0768500000000002E-2</v>
      </c>
      <c r="W7985">
        <v>-7.1914469999999897E-3</v>
      </c>
      <c r="X7985">
        <v>0.99584600000000001</v>
      </c>
      <c r="Y7985">
        <v>0</v>
      </c>
      <c r="Z7985">
        <v>0</v>
      </c>
      <c r="AA7985">
        <v>1</v>
      </c>
      <c r="AB7985">
        <v>55</v>
      </c>
      <c r="AC7985">
        <v>-2.0777999999999901</v>
      </c>
      <c r="AD7985">
        <v>-1.107290878963</v>
      </c>
      <c r="AE7985">
        <v>75.691339999999997</v>
      </c>
      <c r="AF7985">
        <v>-9.5845819997948407E-3</v>
      </c>
      <c r="AG7985">
        <v>-1.107290878963</v>
      </c>
      <c r="AH7985">
        <v>75.703663796121802</v>
      </c>
      <c r="AI7985">
        <v>90.837985463780896</v>
      </c>
      <c r="AJ7985">
        <v>90.007254022678794</v>
      </c>
      <c r="AK7985">
        <v>75.711761946946496</v>
      </c>
      <c r="AL7985">
        <v>90.412043135343197</v>
      </c>
      <c r="AM7985">
        <v>95.207955185199395</v>
      </c>
      <c r="AN7985">
        <v>0.99999994660909997</v>
      </c>
    </row>
    <row r="7986" spans="1:40" x14ac:dyDescent="0.25">
      <c r="A7986" t="str">
        <f>"20190305135117839"</f>
        <v>20190305135117839</v>
      </c>
      <c r="B7986" t="str">
        <f>"1551765077827463"</f>
        <v>1551765077827463</v>
      </c>
      <c r="C7986" t="s">
        <v>40</v>
      </c>
      <c r="D7986">
        <v>3.9550329999999998</v>
      </c>
      <c r="E7986">
        <v>0.53536700000000004</v>
      </c>
      <c r="F7986" t="s">
        <v>42</v>
      </c>
      <c r="G7986">
        <v>-189.9863</v>
      </c>
      <c r="H7986" s="1">
        <v>-2.1807979999999999E-6</v>
      </c>
      <c r="I7986">
        <v>114.6811</v>
      </c>
      <c r="J7986">
        <v>-188.1841</v>
      </c>
      <c r="K7986">
        <v>1.107273</v>
      </c>
      <c r="L7986">
        <v>43.261139999999997</v>
      </c>
      <c r="M7986">
        <v>-2.6424679999999999E-2</v>
      </c>
      <c r="N7986">
        <v>-1.344507E-2</v>
      </c>
      <c r="O7986">
        <v>0.99956040000000002</v>
      </c>
      <c r="P7986">
        <v>-0.11741119999999999</v>
      </c>
      <c r="Q7986">
        <v>-2.213642E-2</v>
      </c>
      <c r="R7986">
        <v>0.99283670000000002</v>
      </c>
      <c r="S7986">
        <v>-7.6019290000000003E-2</v>
      </c>
      <c r="T7986">
        <v>-4.6384689999999999E-2</v>
      </c>
      <c r="U7986">
        <v>3.011749</v>
      </c>
      <c r="V7986">
        <v>-9.1162679999999996E-2</v>
      </c>
      <c r="W7986">
        <v>-8.4287619999999994E-3</v>
      </c>
      <c r="X7986">
        <v>0.99580029999999997</v>
      </c>
      <c r="Y7986">
        <v>1.194411E-3</v>
      </c>
      <c r="Z7986">
        <v>-1.9485100000000001E-3</v>
      </c>
      <c r="AA7986">
        <v>0.99999740000000004</v>
      </c>
      <c r="AB7986">
        <v>55</v>
      </c>
      <c r="AC7986">
        <v>-1.80219999999999</v>
      </c>
      <c r="AD7986">
        <v>-1.1072751807979999</v>
      </c>
      <c r="AE7986">
        <v>71.419960000000003</v>
      </c>
      <c r="AF7986">
        <v>8.5828977254425995E-2</v>
      </c>
      <c r="AG7986">
        <v>-1.1072751807979999</v>
      </c>
      <c r="AH7986">
        <v>71.425485726291598</v>
      </c>
      <c r="AI7986">
        <v>90.888157309639794</v>
      </c>
      <c r="AJ7986">
        <v>89.931150124642301</v>
      </c>
      <c r="AK7986">
        <v>71.434119552046198</v>
      </c>
      <c r="AL7986">
        <v>90.482938227896199</v>
      </c>
      <c r="AM7986">
        <v>95.230685285846903</v>
      </c>
      <c r="AN7986">
        <v>0.99999995786686102</v>
      </c>
    </row>
    <row r="7987" spans="1:40" x14ac:dyDescent="0.25">
      <c r="A7987" t="str">
        <f>"20190305135117860"</f>
        <v>20190305135117860</v>
      </c>
      <c r="B7987" t="str">
        <f>"1551765077857720"</f>
        <v>1551765077857720</v>
      </c>
      <c r="C7987" t="s">
        <v>40</v>
      </c>
      <c r="D7987">
        <v>3.9685290000000002</v>
      </c>
      <c r="E7987">
        <v>0.53604319999999905</v>
      </c>
      <c r="F7987" t="s">
        <v>42</v>
      </c>
      <c r="G7987">
        <v>-189.774</v>
      </c>
      <c r="H7987" s="1">
        <v>-6.5922730000000001E-8</v>
      </c>
      <c r="I7987">
        <v>109.66500000000001</v>
      </c>
      <c r="J7987">
        <v>-188.19739999999999</v>
      </c>
      <c r="K7987">
        <v>1.1072690000000001</v>
      </c>
      <c r="L7987">
        <v>43.781100000000002</v>
      </c>
      <c r="M7987">
        <v>-2.5451959999999999E-2</v>
      </c>
      <c r="N7987">
        <v>-1.36938999999999E-2</v>
      </c>
      <c r="O7987">
        <v>0.99958219999999998</v>
      </c>
      <c r="P7987">
        <v>-0.1169468</v>
      </c>
      <c r="Q7987">
        <v>-2.3984640000000002E-2</v>
      </c>
      <c r="R7987">
        <v>0.99284850000000002</v>
      </c>
      <c r="S7987">
        <v>-7.2113040000000003E-2</v>
      </c>
      <c r="T7987">
        <v>-5.0224419999999999E-2</v>
      </c>
      <c r="U7987">
        <v>3.0119929999999999</v>
      </c>
      <c r="V7987">
        <v>-9.1673210000000005E-2</v>
      </c>
      <c r="W7987">
        <v>-1.002391E-2</v>
      </c>
      <c r="X7987">
        <v>0.99573869999999998</v>
      </c>
      <c r="Y7987">
        <v>1.519496E-3</v>
      </c>
      <c r="Z7987">
        <v>-2.9726039999999998E-3</v>
      </c>
      <c r="AA7987">
        <v>0.99999450000000001</v>
      </c>
      <c r="AB7987">
        <v>55</v>
      </c>
      <c r="AC7987">
        <v>-1.57660000000001</v>
      </c>
      <c r="AD7987">
        <v>-1.10726906592273</v>
      </c>
      <c r="AE7987">
        <v>65.883899999999997</v>
      </c>
      <c r="AF7987">
        <v>0.100914073679001</v>
      </c>
      <c r="AG7987">
        <v>-1.10726906592273</v>
      </c>
      <c r="AH7987">
        <v>65.884085418783499</v>
      </c>
      <c r="AI7987">
        <v>90.9628394683224</v>
      </c>
      <c r="AJ7987">
        <v>89.912240627506606</v>
      </c>
      <c r="AK7987">
        <v>65.893466594983195</v>
      </c>
      <c r="AL7987">
        <v>90.574337351337903</v>
      </c>
      <c r="AM7987">
        <v>95.260137933446899</v>
      </c>
      <c r="AN7987">
        <v>1.00000000744054</v>
      </c>
    </row>
    <row r="7988" spans="1:40" x14ac:dyDescent="0.25">
      <c r="A7988" t="str">
        <f>"20190305135117874"</f>
        <v>20190305135117874</v>
      </c>
      <c r="B7988" t="str">
        <f>"1551765077867479"</f>
        <v>1551765077867479</v>
      </c>
      <c r="C7988" t="s">
        <v>40</v>
      </c>
      <c r="D7988">
        <v>3.9395699999999998</v>
      </c>
      <c r="E7988">
        <v>0.53632369999999996</v>
      </c>
      <c r="F7988" t="s">
        <v>42</v>
      </c>
      <c r="G7988">
        <v>-189.55279999999999</v>
      </c>
      <c r="H7988" s="1">
        <v>-2.880593E-6</v>
      </c>
      <c r="I7988">
        <v>106.1626</v>
      </c>
      <c r="J7988">
        <v>-188.2063</v>
      </c>
      <c r="K7988">
        <v>1.1072649999999999</v>
      </c>
      <c r="L7988">
        <v>44.140259999999998</v>
      </c>
      <c r="M7988">
        <v>-2.4778060000000001E-2</v>
      </c>
      <c r="N7988">
        <v>-1.3848549999999999E-2</v>
      </c>
      <c r="O7988">
        <v>0.99959710000000002</v>
      </c>
      <c r="P7988">
        <v>-0.1165876</v>
      </c>
      <c r="Q7988">
        <v>-2.3914250000000001E-2</v>
      </c>
      <c r="R7988">
        <v>0.99289240000000001</v>
      </c>
      <c r="S7988">
        <v>-6.5460210000000005E-2</v>
      </c>
      <c r="T7988">
        <v>-5.3473710000000001E-2</v>
      </c>
      <c r="U7988">
        <v>3.0126040000000001</v>
      </c>
      <c r="V7988">
        <v>-9.1982990000000001E-2</v>
      </c>
      <c r="W7988">
        <v>-9.7961060000000006E-3</v>
      </c>
      <c r="X7988">
        <v>0.99571240000000005</v>
      </c>
      <c r="Y7988">
        <v>3.0570979999999998E-3</v>
      </c>
      <c r="Z7988">
        <v>-3.8925510000000002E-3</v>
      </c>
      <c r="AA7988">
        <v>0.99998770000000003</v>
      </c>
      <c r="AB7988">
        <v>55</v>
      </c>
      <c r="AC7988">
        <v>-1.34649999999999</v>
      </c>
      <c r="AD7988">
        <v>-1.1072678805930001</v>
      </c>
      <c r="AE7988">
        <v>62.02234</v>
      </c>
      <c r="AF7988">
        <v>0.19079327859938</v>
      </c>
      <c r="AG7988">
        <v>-1.1072678805930001</v>
      </c>
      <c r="AH7988">
        <v>62.016904196950897</v>
      </c>
      <c r="AI7988">
        <v>91.0228620260215</v>
      </c>
      <c r="AJ7988">
        <v>89.823731686114201</v>
      </c>
      <c r="AK7988">
        <v>62.027081588676502</v>
      </c>
      <c r="AL7988">
        <v>90.561284501907394</v>
      </c>
      <c r="AM7988">
        <v>95.277951275922604</v>
      </c>
      <c r="AN7988">
        <v>1.0000000088279299</v>
      </c>
    </row>
    <row r="7989" spans="1:40" x14ac:dyDescent="0.25">
      <c r="A7989" t="str">
        <f>"20190305135117893"</f>
        <v>20190305135117893</v>
      </c>
      <c r="B7989" t="str">
        <f>"1551765077887975"</f>
        <v>1551765077887975</v>
      </c>
      <c r="C7989" t="s">
        <v>40</v>
      </c>
      <c r="D7989">
        <v>3.9710390000000002</v>
      </c>
      <c r="E7989">
        <v>0.53665699999999905</v>
      </c>
      <c r="F7989" t="s">
        <v>42</v>
      </c>
      <c r="G7989">
        <v>-189.51480000000001</v>
      </c>
      <c r="H7989" s="1">
        <v>-3.5755439999999998E-6</v>
      </c>
      <c r="I7989">
        <v>107.7668</v>
      </c>
      <c r="J7989">
        <v>-188.2175</v>
      </c>
      <c r="K7989">
        <v>1.107253</v>
      </c>
      <c r="L7989">
        <v>44.611510000000003</v>
      </c>
      <c r="M7989">
        <v>-2.3891220000000001E-2</v>
      </c>
      <c r="N7989">
        <v>-1.403011E-2</v>
      </c>
      <c r="O7989">
        <v>0.99961610000000001</v>
      </c>
      <c r="P7989">
        <v>-0.115948</v>
      </c>
      <c r="Q7989">
        <v>-2.4442660000000001E-2</v>
      </c>
      <c r="R7989">
        <v>0.99295449999999996</v>
      </c>
      <c r="S7989">
        <v>-6.1965939999999997E-2</v>
      </c>
      <c r="T7989">
        <v>-5.2433010000000002E-2</v>
      </c>
      <c r="U7989">
        <v>3.0129389999999998</v>
      </c>
      <c r="V7989">
        <v>-9.2226699999999995E-2</v>
      </c>
      <c r="W7989">
        <v>-1.014028E-2</v>
      </c>
      <c r="X7989">
        <v>0.99568639999999997</v>
      </c>
      <c r="Y7989">
        <v>3.3315139999999998E-3</v>
      </c>
      <c r="Z7989">
        <v>-3.3643840000000002E-3</v>
      </c>
      <c r="AA7989">
        <v>0.99998880000000001</v>
      </c>
      <c r="AB7989">
        <v>55</v>
      </c>
      <c r="AC7989">
        <v>-1.2972999999999999</v>
      </c>
      <c r="AD7989">
        <v>-1.107256575544</v>
      </c>
      <c r="AE7989">
        <v>63.155290000000001</v>
      </c>
      <c r="AF7989">
        <v>0.21201069633091299</v>
      </c>
      <c r="AG7989">
        <v>-1.107256575544</v>
      </c>
      <c r="AH7989">
        <v>63.148854218538098</v>
      </c>
      <c r="AI7989">
        <v>91.004519743835402</v>
      </c>
      <c r="AJ7989">
        <v>89.807640651248207</v>
      </c>
      <c r="AK7989">
        <v>63.158916668777898</v>
      </c>
      <c r="AL7989">
        <v>90.581005205357599</v>
      </c>
      <c r="AM7989">
        <v>95.291993382125099</v>
      </c>
      <c r="AN7989">
        <v>0.999999998308164</v>
      </c>
    </row>
    <row r="7990" spans="1:40" x14ac:dyDescent="0.25">
      <c r="A7990" t="str">
        <f>"20190305135117915"</f>
        <v>20190305135117915</v>
      </c>
      <c r="B7990" t="str">
        <f>"1551765077907496"</f>
        <v>1551765077907496</v>
      </c>
      <c r="C7990" t="s">
        <v>40</v>
      </c>
      <c r="D7990">
        <v>3.9637009999999999</v>
      </c>
      <c r="E7990">
        <v>0.53703880000000004</v>
      </c>
      <c r="F7990" t="s">
        <v>42</v>
      </c>
      <c r="G7990">
        <v>-189.4211</v>
      </c>
      <c r="H7990" s="1">
        <v>-3.5589980000000001E-6</v>
      </c>
      <c r="I7990">
        <v>107.6895</v>
      </c>
      <c r="J7990">
        <v>-188.22980000000001</v>
      </c>
      <c r="K7990">
        <v>1.1072599999999999</v>
      </c>
      <c r="L7990">
        <v>45.151090000000003</v>
      </c>
      <c r="M7990">
        <v>-2.2870430000000001E-2</v>
      </c>
      <c r="N7990">
        <v>-1.421156E-2</v>
      </c>
      <c r="O7990">
        <v>0.99963740000000001</v>
      </c>
      <c r="P7990">
        <v>-0.11487360000000001</v>
      </c>
      <c r="Q7990">
        <v>-2.494159E-2</v>
      </c>
      <c r="R7990">
        <v>0.99306700000000003</v>
      </c>
      <c r="S7990">
        <v>-5.7495119999999997E-2</v>
      </c>
      <c r="T7990">
        <v>-5.289435E-2</v>
      </c>
      <c r="U7990">
        <v>3.0132750000000001</v>
      </c>
      <c r="V7990">
        <v>-9.2168009999999995E-2</v>
      </c>
      <c r="W7990">
        <v>-1.045568E-2</v>
      </c>
      <c r="X7990">
        <v>0.99568860000000003</v>
      </c>
      <c r="Y7990">
        <v>3.7956790000000002E-3</v>
      </c>
      <c r="Z7990">
        <v>-3.3344870000000001E-3</v>
      </c>
      <c r="AA7990">
        <v>0.99998719999999996</v>
      </c>
      <c r="AB7990">
        <v>55</v>
      </c>
      <c r="AC7990">
        <v>-1.19129999999998</v>
      </c>
      <c r="AD7990">
        <v>-1.107263558998</v>
      </c>
      <c r="AE7990">
        <v>62.538409999999899</v>
      </c>
      <c r="AF7990">
        <v>0.239361471775107</v>
      </c>
      <c r="AG7990">
        <v>-1.107263558998</v>
      </c>
      <c r="AH7990">
        <v>62.529702654276598</v>
      </c>
      <c r="AI7990">
        <v>91.014468829852603</v>
      </c>
      <c r="AJ7990">
        <v>89.780674870628502</v>
      </c>
      <c r="AK7990">
        <v>62.539963547602902</v>
      </c>
      <c r="AL7990">
        <v>90.599077236167901</v>
      </c>
      <c r="AM7990">
        <v>95.2886332165357</v>
      </c>
      <c r="AN7990">
        <v>1.0000000257407899</v>
      </c>
    </row>
    <row r="7991" spans="1:40" x14ac:dyDescent="0.25">
      <c r="A7991" t="str">
        <f>"20190305135117938"</f>
        <v>20190305135117938</v>
      </c>
      <c r="B7991" t="str">
        <f>"1551765077927991"</f>
        <v>1551765077927991</v>
      </c>
      <c r="C7991" t="s">
        <v>40</v>
      </c>
      <c r="D7991">
        <v>3.962818</v>
      </c>
      <c r="E7991">
        <v>0.53735480000000002</v>
      </c>
      <c r="F7991" t="s">
        <v>42</v>
      </c>
      <c r="G7991">
        <v>-189.2834</v>
      </c>
      <c r="H7991" s="1">
        <v>-3.3867620000000001E-6</v>
      </c>
      <c r="I7991">
        <v>107.2311</v>
      </c>
      <c r="J7991">
        <v>-188.24209999999999</v>
      </c>
      <c r="K7991">
        <v>1.1072569999999999</v>
      </c>
      <c r="L7991">
        <v>45.714570000000002</v>
      </c>
      <c r="M7991">
        <v>-2.179567E-2</v>
      </c>
      <c r="N7991">
        <v>-1.4375560000000001E-2</v>
      </c>
      <c r="O7991">
        <v>0.99965910000000002</v>
      </c>
      <c r="P7991">
        <v>-0.11370860000000001</v>
      </c>
      <c r="Q7991">
        <v>-2.6018409999999999E-2</v>
      </c>
      <c r="R7991">
        <v>0.99317339999999998</v>
      </c>
      <c r="S7991">
        <v>-5.1147459999999999E-2</v>
      </c>
      <c r="T7991">
        <v>-5.3752059999999997E-2</v>
      </c>
      <c r="U7991">
        <v>3.0136720000000001</v>
      </c>
      <c r="V7991">
        <v>-9.2074970000000006E-2</v>
      </c>
      <c r="W7991">
        <v>-1.13665E-2</v>
      </c>
      <c r="X7991">
        <v>0.99568719999999999</v>
      </c>
      <c r="Y7991">
        <v>4.8284399999999998E-3</v>
      </c>
      <c r="Z7991">
        <v>-3.4530310000000001E-3</v>
      </c>
      <c r="AA7991">
        <v>0.99998240000000005</v>
      </c>
      <c r="AB7991">
        <v>55</v>
      </c>
      <c r="AC7991">
        <v>-1.0412999999999999</v>
      </c>
      <c r="AD7991">
        <v>-1.1072603867619999</v>
      </c>
      <c r="AE7991">
        <v>61.516530000000003</v>
      </c>
      <c r="AF7991">
        <v>0.29978285536950899</v>
      </c>
      <c r="AG7991">
        <v>-1.1072603867619999</v>
      </c>
      <c r="AH7991">
        <v>61.504691193466201</v>
      </c>
      <c r="AI7991">
        <v>91.031364273222295</v>
      </c>
      <c r="AJ7991">
        <v>89.720734206921193</v>
      </c>
      <c r="AK7991">
        <v>61.5153877832864</v>
      </c>
      <c r="AL7991">
        <v>90.651266502756698</v>
      </c>
      <c r="AM7991">
        <v>95.283332161513599</v>
      </c>
      <c r="AN7991">
        <v>0.99999999883329505</v>
      </c>
    </row>
    <row r="7992" spans="1:40" x14ac:dyDescent="0.25">
      <c r="A7992" t="str">
        <f>"20190305135117960"</f>
        <v>20190305135117960</v>
      </c>
      <c r="B7992" t="str">
        <f>"1551765077947515"</f>
        <v>1551765077947515</v>
      </c>
      <c r="C7992" t="s">
        <v>40</v>
      </c>
      <c r="D7992">
        <v>3.9734219999999998</v>
      </c>
      <c r="E7992">
        <v>0.53752230000000001</v>
      </c>
      <c r="F7992" t="s">
        <v>42</v>
      </c>
      <c r="G7992">
        <v>-189.149</v>
      </c>
      <c r="H7992" s="1">
        <v>-2.999492E-6</v>
      </c>
      <c r="I7992">
        <v>106.2728</v>
      </c>
      <c r="J7992">
        <v>-188.25299999999999</v>
      </c>
      <c r="K7992">
        <v>1.1072500000000001</v>
      </c>
      <c r="L7992">
        <v>46.236879999999999</v>
      </c>
      <c r="M7992">
        <v>-2.0786969999999998E-2</v>
      </c>
      <c r="N7992">
        <v>-1.450739E-2</v>
      </c>
      <c r="O7992">
        <v>0.99967870000000003</v>
      </c>
      <c r="P7992">
        <v>-0.1134347</v>
      </c>
      <c r="Q7992">
        <v>-2.7019870000000001E-2</v>
      </c>
      <c r="R7992">
        <v>0.99317800000000001</v>
      </c>
      <c r="S7992">
        <v>-4.5135500000000002E-2</v>
      </c>
      <c r="T7992">
        <v>-5.5108789999999998E-2</v>
      </c>
      <c r="U7992">
        <v>3.014008</v>
      </c>
      <c r="V7992">
        <v>-9.2808979999999999E-2</v>
      </c>
      <c r="W7992">
        <v>-1.223192E-2</v>
      </c>
      <c r="X7992">
        <v>0.99560879999999996</v>
      </c>
      <c r="Y7992">
        <v>5.8152159999999998E-3</v>
      </c>
      <c r="Z7992">
        <v>-3.7694320000000001E-3</v>
      </c>
      <c r="AA7992">
        <v>0.99997599999999998</v>
      </c>
      <c r="AB7992">
        <v>55</v>
      </c>
      <c r="AC7992">
        <v>-0.89600000000001501</v>
      </c>
      <c r="AD7992">
        <v>-1.107252999492</v>
      </c>
      <c r="AE7992">
        <v>60.035919999999997</v>
      </c>
      <c r="AF7992">
        <v>0.35217005114246802</v>
      </c>
      <c r="AG7992">
        <v>-1.107252999492</v>
      </c>
      <c r="AH7992">
        <v>60.021160554673699</v>
      </c>
      <c r="AI7992">
        <v>91.056837893129199</v>
      </c>
      <c r="AJ7992">
        <v>89.663824793339899</v>
      </c>
      <c r="AK7992">
        <v>60.0324058095269</v>
      </c>
      <c r="AL7992">
        <v>90.700854865801603</v>
      </c>
      <c r="AM7992">
        <v>95.325625958495905</v>
      </c>
      <c r="AN7992">
        <v>1.0000000046364801</v>
      </c>
    </row>
    <row r="7993" spans="1:40" x14ac:dyDescent="0.25">
      <c r="A7993" t="str">
        <f>"20190305135117974"</f>
        <v>20190305135117974</v>
      </c>
      <c r="B7993" t="str">
        <f>"1551765077968008"</f>
        <v>1551765077968008</v>
      </c>
      <c r="C7993" t="s">
        <v>40</v>
      </c>
      <c r="D7993">
        <v>3.987152</v>
      </c>
      <c r="E7993">
        <v>0.53766389999999997</v>
      </c>
      <c r="F7993" t="s">
        <v>42</v>
      </c>
      <c r="G7993">
        <v>-189.09479999999999</v>
      </c>
      <c r="H7993" s="1">
        <v>-2.6596770000000001E-6</v>
      </c>
      <c r="I7993">
        <v>105.45829999999999</v>
      </c>
      <c r="J7993">
        <v>-188.26009999999999</v>
      </c>
      <c r="K7993">
        <v>1.1072439999999999</v>
      </c>
      <c r="L7993">
        <v>46.594180000000001</v>
      </c>
      <c r="M7993">
        <v>-2.0087130000000002E-2</v>
      </c>
      <c r="N7993">
        <v>-1.458804E-2</v>
      </c>
      <c r="O7993">
        <v>0.99969180000000002</v>
      </c>
      <c r="P7993">
        <v>-0.1128802</v>
      </c>
      <c r="Q7993">
        <v>-2.7605890000000001E-2</v>
      </c>
      <c r="R7993">
        <v>0.99322500000000002</v>
      </c>
      <c r="S7993">
        <v>-4.2846679999999998E-2</v>
      </c>
      <c r="T7993">
        <v>-5.6355830000000003E-2</v>
      </c>
      <c r="U7993">
        <v>3.0141909999999998</v>
      </c>
      <c r="V7993">
        <v>-9.2952709999999994E-2</v>
      </c>
      <c r="W7993">
        <v>-1.273472E-2</v>
      </c>
      <c r="X7993">
        <v>0.9955891</v>
      </c>
      <c r="Y7993">
        <v>5.8752469999999897E-3</v>
      </c>
      <c r="Z7993">
        <v>-4.1014049999999998E-3</v>
      </c>
      <c r="AA7993">
        <v>0.99997429999999998</v>
      </c>
      <c r="AB7993">
        <v>55</v>
      </c>
      <c r="AC7993">
        <v>-0.834699999999997</v>
      </c>
      <c r="AD7993">
        <v>-1.1072466596770001</v>
      </c>
      <c r="AE7993">
        <v>58.8641199999999</v>
      </c>
      <c r="AF7993">
        <v>0.34788245273898899</v>
      </c>
      <c r="AG7993">
        <v>-1.1072466596770001</v>
      </c>
      <c r="AH7993">
        <v>58.8481914371012</v>
      </c>
      <c r="AI7993">
        <v>91.077891539623096</v>
      </c>
      <c r="AJ7993">
        <v>89.661298611860403</v>
      </c>
      <c r="AK7993">
        <v>58.859635173725003</v>
      </c>
      <c r="AL7993">
        <v>90.729665419277595</v>
      </c>
      <c r="AM7993">
        <v>95.333930969369703</v>
      </c>
      <c r="AN7993">
        <v>1.00000001771431</v>
      </c>
    </row>
    <row r="7994" spans="1:40" x14ac:dyDescent="0.25">
      <c r="A7994" t="str">
        <f>"20190305135117993"</f>
        <v>20190305135117993</v>
      </c>
      <c r="B7994" t="str">
        <f>"1551765077987528"</f>
        <v>1551765077987528</v>
      </c>
      <c r="C7994" t="s">
        <v>40</v>
      </c>
      <c r="D7994">
        <v>3.9903140000000001</v>
      </c>
      <c r="E7994">
        <v>0.53778819999999905</v>
      </c>
      <c r="F7994" t="s">
        <v>42</v>
      </c>
      <c r="G7994">
        <v>-189.0575</v>
      </c>
      <c r="H7994" s="1">
        <v>-3.088542E-6</v>
      </c>
      <c r="I7994">
        <v>106.4425</v>
      </c>
      <c r="J7994">
        <v>-188.26910000000001</v>
      </c>
      <c r="K7994">
        <v>1.107235</v>
      </c>
      <c r="L7994">
        <v>47.063600000000001</v>
      </c>
      <c r="M7994">
        <v>-1.9149929999999999E-2</v>
      </c>
      <c r="N7994">
        <v>-1.4682250000000001E-2</v>
      </c>
      <c r="O7994">
        <v>0.99970879999999995</v>
      </c>
      <c r="P7994">
        <v>-0.112356</v>
      </c>
      <c r="Q7994">
        <v>-2.8210900000000001E-2</v>
      </c>
      <c r="R7994">
        <v>0.99326749999999997</v>
      </c>
      <c r="S7994">
        <v>-4.0161130000000003E-2</v>
      </c>
      <c r="T7994">
        <v>-5.576801E-2</v>
      </c>
      <c r="U7994">
        <v>3.0143430000000002</v>
      </c>
      <c r="V7994">
        <v>-9.3363680000000004E-2</v>
      </c>
      <c r="W7994">
        <v>-1.3240679999999999E-2</v>
      </c>
      <c r="X7994">
        <v>0.99554399999999998</v>
      </c>
      <c r="Y7994">
        <v>5.8292509999999997E-3</v>
      </c>
      <c r="Z7994">
        <v>-3.8117989999999998E-3</v>
      </c>
      <c r="AA7994">
        <v>0.99997570000000002</v>
      </c>
      <c r="AB7994">
        <v>55</v>
      </c>
      <c r="AC7994">
        <v>-0.78839999999999499</v>
      </c>
      <c r="AD7994">
        <v>-1.1072380885419999</v>
      </c>
      <c r="AE7994">
        <v>59.378900000000002</v>
      </c>
      <c r="AF7994">
        <v>0.34884770402462001</v>
      </c>
      <c r="AG7994">
        <v>-1.1072380885419999</v>
      </c>
      <c r="AH7994">
        <v>59.362471063090801</v>
      </c>
      <c r="AI7994">
        <v>91.068547480939799</v>
      </c>
      <c r="AJ7994">
        <v>89.663301228924695</v>
      </c>
      <c r="AK7994">
        <v>59.373821180900997</v>
      </c>
      <c r="AL7994">
        <v>90.758657270011597</v>
      </c>
      <c r="AM7994">
        <v>95.357618144524693</v>
      </c>
      <c r="AN7994">
        <v>0.99999997414300201</v>
      </c>
    </row>
    <row r="7995" spans="1:40" x14ac:dyDescent="0.25">
      <c r="A7995" t="str">
        <f>"20190305135118016"</f>
        <v>20190305135118016</v>
      </c>
      <c r="B7995" t="str">
        <f>"1551765078008024"</f>
        <v>1551765078008024</v>
      </c>
      <c r="C7995" t="s">
        <v>40</v>
      </c>
      <c r="D7995">
        <v>4.0189110000000001</v>
      </c>
      <c r="E7995">
        <v>0.53787769999999901</v>
      </c>
      <c r="F7995" t="s">
        <v>42</v>
      </c>
      <c r="G7995">
        <v>-189.00989999999999</v>
      </c>
      <c r="H7995" s="1">
        <v>-3.0950469999999998E-6</v>
      </c>
      <c r="I7995">
        <v>106.438</v>
      </c>
      <c r="J7995">
        <v>-188.27940000000001</v>
      </c>
      <c r="K7995">
        <v>1.107221</v>
      </c>
      <c r="L7995">
        <v>47.637390000000003</v>
      </c>
      <c r="M7995">
        <v>-1.797064E-2</v>
      </c>
      <c r="N7995">
        <v>-1.4781590000000001E-2</v>
      </c>
      <c r="O7995">
        <v>0.99972919999999998</v>
      </c>
      <c r="P7995">
        <v>-0.111643699999999</v>
      </c>
      <c r="Q7995">
        <v>-2.9178900000000001E-2</v>
      </c>
      <c r="R7995">
        <v>0.99331979999999997</v>
      </c>
      <c r="S7995">
        <v>-3.7612920000000001E-2</v>
      </c>
      <c r="T7995">
        <v>-5.6215519999999998E-2</v>
      </c>
      <c r="U7995">
        <v>3.0144959999999998</v>
      </c>
      <c r="V7995">
        <v>-9.3828259999999997E-2</v>
      </c>
      <c r="W7995">
        <v>-1.410205E-2</v>
      </c>
      <c r="X7995">
        <v>0.9954885</v>
      </c>
      <c r="Y7995">
        <v>5.4955819999999997E-3</v>
      </c>
      <c r="Z7995">
        <v>-3.8603779999999998E-3</v>
      </c>
      <c r="AA7995">
        <v>0.99997749999999996</v>
      </c>
      <c r="AB7995">
        <v>55</v>
      </c>
      <c r="AC7995">
        <v>-0.73049999999997794</v>
      </c>
      <c r="AD7995">
        <v>-1.107224095047</v>
      </c>
      <c r="AE7995">
        <v>58.800609999999899</v>
      </c>
      <c r="AF7995">
        <v>0.326302409493057</v>
      </c>
      <c r="AG7995">
        <v>-1.107224095047</v>
      </c>
      <c r="AH7995">
        <v>58.783401621677598</v>
      </c>
      <c r="AI7995">
        <v>91.079059532039494</v>
      </c>
      <c r="AJ7995">
        <v>89.681958539759606</v>
      </c>
      <c r="AK7995">
        <v>58.794733817532901</v>
      </c>
      <c r="AL7995">
        <v>90.808014744963003</v>
      </c>
      <c r="AM7995">
        <v>95.384419911037199</v>
      </c>
      <c r="AN7995">
        <v>0.99999998191053896</v>
      </c>
    </row>
    <row r="7996" spans="1:40" x14ac:dyDescent="0.25">
      <c r="A7996" t="str">
        <f>"20190305135118040"</f>
        <v>20190305135118040</v>
      </c>
      <c r="B7996" t="str">
        <f>"1551765078027543"</f>
        <v>1551765078027543</v>
      </c>
      <c r="C7996" t="s">
        <v>40</v>
      </c>
      <c r="D7996">
        <v>4.017423</v>
      </c>
      <c r="E7996">
        <v>0.53786809999999996</v>
      </c>
      <c r="F7996" t="s">
        <v>42</v>
      </c>
      <c r="G7996">
        <v>-188.9572</v>
      </c>
      <c r="H7996" s="1">
        <v>-3.1635540000000001E-6</v>
      </c>
      <c r="I7996">
        <v>106.5759</v>
      </c>
      <c r="J7996">
        <v>-188.28870000000001</v>
      </c>
      <c r="K7996">
        <v>1.1071949999999999</v>
      </c>
      <c r="L7996">
        <v>48.186309999999999</v>
      </c>
      <c r="M7996">
        <v>-1.6806430000000001E-2</v>
      </c>
      <c r="N7996">
        <v>-1.4863360000000001E-2</v>
      </c>
      <c r="O7996">
        <v>0.99974830000000003</v>
      </c>
      <c r="P7996">
        <v>-0.1111428</v>
      </c>
      <c r="Q7996">
        <v>-3.0567449999999999E-2</v>
      </c>
      <c r="R7996">
        <v>0.99333419999999895</v>
      </c>
      <c r="S7996">
        <v>-3.4667969999999999E-2</v>
      </c>
      <c r="T7996">
        <v>-5.6632879999999997E-2</v>
      </c>
      <c r="U7996">
        <v>3.014618</v>
      </c>
      <c r="V7996">
        <v>-9.4492409999999999E-2</v>
      </c>
      <c r="W7996">
        <v>-1.5400169999999999E-2</v>
      </c>
      <c r="X7996">
        <v>0.99540640000000002</v>
      </c>
      <c r="Y7996">
        <v>5.3083719999999996E-3</v>
      </c>
      <c r="Z7996">
        <v>-3.9166619999999996E-3</v>
      </c>
      <c r="AA7996">
        <v>0.99997820000000004</v>
      </c>
      <c r="AB7996">
        <v>55</v>
      </c>
      <c r="AC7996">
        <v>-0.66849999999999399</v>
      </c>
      <c r="AD7996">
        <v>-1.107198163554</v>
      </c>
      <c r="AE7996">
        <v>58.389589999999998</v>
      </c>
      <c r="AF7996">
        <v>0.31291089311922998</v>
      </c>
      <c r="AG7996">
        <v>-1.107198163554</v>
      </c>
      <c r="AH7996">
        <v>58.371591938236101</v>
      </c>
      <c r="AI7996">
        <v>91.0866461265244</v>
      </c>
      <c r="AJ7996">
        <v>89.692859125279199</v>
      </c>
      <c r="AK7996">
        <v>58.382930265655197</v>
      </c>
      <c r="AL7996">
        <v>90.882399678304097</v>
      </c>
      <c r="AM7996">
        <v>95.422750956137094</v>
      </c>
      <c r="AN7996">
        <v>0.99999994097229605</v>
      </c>
    </row>
    <row r="7997" spans="1:40" x14ac:dyDescent="0.25">
      <c r="A7997" t="str">
        <f>"20190305135118060"</f>
        <v>20190305135118060</v>
      </c>
      <c r="B7997" t="str">
        <f>"1551765078057800"</f>
        <v>1551765078057800</v>
      </c>
      <c r="C7997" t="s">
        <v>40</v>
      </c>
      <c r="D7997">
        <v>4.0339739999999997</v>
      </c>
      <c r="E7997">
        <v>0.5377963</v>
      </c>
      <c r="F7997" t="s">
        <v>42</v>
      </c>
      <c r="G7997">
        <v>-188.91069999999999</v>
      </c>
      <c r="H7997" s="1">
        <v>-2.2610250000000001E-6</v>
      </c>
      <c r="I7997">
        <v>104.4529</v>
      </c>
      <c r="J7997">
        <v>-188.29669999999999</v>
      </c>
      <c r="K7997">
        <v>1.107165</v>
      </c>
      <c r="L7997">
        <v>48.703249999999997</v>
      </c>
      <c r="M7997">
        <v>-1.5672100000000001E-2</v>
      </c>
      <c r="N7997">
        <v>-1.493002E-2</v>
      </c>
      <c r="O7997">
        <v>0.99976569999999998</v>
      </c>
      <c r="P7997">
        <v>-0.1108394</v>
      </c>
      <c r="Q7997">
        <v>-3.2674580000000002E-2</v>
      </c>
      <c r="R7997">
        <v>0.99330110000000005</v>
      </c>
      <c r="S7997">
        <v>-3.3325199999999902E-2</v>
      </c>
      <c r="T7997">
        <v>-5.9320209999999998E-2</v>
      </c>
      <c r="U7997">
        <v>3.0145870000000001</v>
      </c>
      <c r="V7997">
        <v>-9.5328380000000004E-2</v>
      </c>
      <c r="W7997">
        <v>-1.7431080000000002E-2</v>
      </c>
      <c r="X7997">
        <v>0.99529330000000005</v>
      </c>
      <c r="Y7997">
        <v>4.6192150000000003E-3</v>
      </c>
      <c r="Z7997">
        <v>-4.7415519999999996E-3</v>
      </c>
      <c r="AA7997">
        <v>0.99997809999999998</v>
      </c>
      <c r="AB7997">
        <v>55</v>
      </c>
      <c r="AC7997">
        <v>-0.61400000000000399</v>
      </c>
      <c r="AD7997">
        <v>-1.1071672610249901</v>
      </c>
      <c r="AE7997">
        <v>55.749650000000003</v>
      </c>
      <c r="AF7997">
        <v>0.25978447211191802</v>
      </c>
      <c r="AG7997">
        <v>-1.1071672610249901</v>
      </c>
      <c r="AH7997">
        <v>55.730447637999099</v>
      </c>
      <c r="AI7997">
        <v>91.138102804579702</v>
      </c>
      <c r="AJ7997">
        <v>89.732920752334095</v>
      </c>
      <c r="AK7997">
        <v>55.742049668518597</v>
      </c>
      <c r="AL7997">
        <v>90.998777851496499</v>
      </c>
      <c r="AM7997">
        <v>95.471053884399495</v>
      </c>
      <c r="AN7997">
        <v>1.00000004780413</v>
      </c>
    </row>
    <row r="7998" spans="1:40" x14ac:dyDescent="0.25">
      <c r="A7998" t="str">
        <f>"20190305135118083"</f>
        <v>20190305135118083</v>
      </c>
      <c r="B7998" t="str">
        <f>"1551765078077321"</f>
        <v>1551765078077321</v>
      </c>
      <c r="C7998" t="s">
        <v>40</v>
      </c>
      <c r="D7998">
        <v>4.0751039999999996</v>
      </c>
      <c r="E7998">
        <v>0.53773979999999999</v>
      </c>
      <c r="F7998" t="s">
        <v>42</v>
      </c>
      <c r="G7998">
        <v>-188.8639</v>
      </c>
      <c r="H7998" s="1">
        <v>-6.1094969999999897E-7</v>
      </c>
      <c r="I7998">
        <v>100.5551</v>
      </c>
      <c r="J7998">
        <v>-188.30449999999999</v>
      </c>
      <c r="K7998">
        <v>1.107119</v>
      </c>
      <c r="L7998">
        <v>49.241300000000003</v>
      </c>
      <c r="M7998">
        <v>-1.4448020000000001E-2</v>
      </c>
      <c r="N7998">
        <v>-1.499002E-2</v>
      </c>
      <c r="O7998">
        <v>0.99978330000000004</v>
      </c>
      <c r="P7998">
        <v>-0.1108286</v>
      </c>
      <c r="Q7998">
        <v>-3.6746760000000003E-2</v>
      </c>
      <c r="R7998">
        <v>0.99315989999999998</v>
      </c>
      <c r="S7998">
        <v>-3.2974240000000002E-2</v>
      </c>
      <c r="T7998">
        <v>-6.4365629999999993E-2</v>
      </c>
      <c r="U7998">
        <v>3.0144350000000002</v>
      </c>
      <c r="V7998">
        <v>-9.6556160000000002E-2</v>
      </c>
      <c r="W7998">
        <v>-2.1431970000000002E-2</v>
      </c>
      <c r="X7998">
        <v>0.99509669999999895</v>
      </c>
      <c r="Y7998">
        <v>3.5110559999999998E-3</v>
      </c>
      <c r="Z7998">
        <v>-6.3557350000000004E-3</v>
      </c>
      <c r="AA7998">
        <v>0.99997369999999997</v>
      </c>
      <c r="AB7998">
        <v>55</v>
      </c>
      <c r="AC7998">
        <v>-0.55940000000001</v>
      </c>
      <c r="AD7998">
        <v>-1.1071196109496999</v>
      </c>
      <c r="AE7998">
        <v>51.313799999999901</v>
      </c>
      <c r="AF7998">
        <v>0.18203975544984299</v>
      </c>
      <c r="AG7998">
        <v>-1.1071196109496999</v>
      </c>
      <c r="AH7998">
        <v>51.292651940702903</v>
      </c>
      <c r="AI7998">
        <v>91.236493558057006</v>
      </c>
      <c r="AJ7998">
        <v>89.796655748824193</v>
      </c>
      <c r="AK7998">
        <v>51.3049217465109</v>
      </c>
      <c r="AL7998">
        <v>91.228055537229594</v>
      </c>
      <c r="AM7998">
        <v>95.5421703653968</v>
      </c>
      <c r="AN7998">
        <v>0.99999993186145497</v>
      </c>
    </row>
    <row r="7999" spans="1:40" x14ac:dyDescent="0.25">
      <c r="A7999" t="str">
        <f>"20190305135118117"</f>
        <v>20190305135118117</v>
      </c>
      <c r="B7999" t="str">
        <f>"1551765078107579"</f>
        <v>1551765078107579</v>
      </c>
      <c r="C7999" t="s">
        <v>40</v>
      </c>
      <c r="D7999">
        <v>4.081995</v>
      </c>
      <c r="E7999">
        <v>0.53776309999999905</v>
      </c>
      <c r="F7999" t="s">
        <v>42</v>
      </c>
      <c r="G7999">
        <v>-188.79849999999999</v>
      </c>
      <c r="H7999" s="1">
        <v>-1.9723000000000002E-6</v>
      </c>
      <c r="I7999">
        <v>93.733429999999998</v>
      </c>
      <c r="J7999">
        <v>-188.31530000000001</v>
      </c>
      <c r="K7999">
        <v>1.1070260000000001</v>
      </c>
      <c r="L7999">
        <v>50.080750000000002</v>
      </c>
      <c r="M7999">
        <v>-1.244962E-2</v>
      </c>
      <c r="N7999">
        <v>-1.506688E-2</v>
      </c>
      <c r="O7999">
        <v>0.99980899999999995</v>
      </c>
      <c r="P7999">
        <v>-0.1110604</v>
      </c>
      <c r="Q7999">
        <v>-4.2812929999999999E-2</v>
      </c>
      <c r="R7999">
        <v>0.99289110000000003</v>
      </c>
      <c r="S7999">
        <v>-3.3462520000000003E-2</v>
      </c>
      <c r="T7999">
        <v>-7.5002189999999996E-2</v>
      </c>
      <c r="U7999">
        <v>3.0141300000000002</v>
      </c>
      <c r="V7999">
        <v>-9.8808649999999998E-2</v>
      </c>
      <c r="W7999">
        <v>-2.74013E-2</v>
      </c>
      <c r="X7999">
        <v>0.99472910000000003</v>
      </c>
      <c r="Y7999">
        <v>1.350057E-3</v>
      </c>
      <c r="Z7999">
        <v>-9.8081639999999994E-3</v>
      </c>
      <c r="AA7999">
        <v>0.99995100000000003</v>
      </c>
      <c r="AB7999">
        <v>55</v>
      </c>
      <c r="AC7999">
        <v>-0.48319999999998198</v>
      </c>
      <c r="AD7999">
        <v>-1.1070279723000001</v>
      </c>
      <c r="AE7999">
        <v>43.652679999999997</v>
      </c>
      <c r="AF7999">
        <v>6.0319631052311501E-2</v>
      </c>
      <c r="AG7999">
        <v>-1.1070279723000001</v>
      </c>
      <c r="AH7999">
        <v>43.627258167990803</v>
      </c>
      <c r="AI7999">
        <v>91.453549104732005</v>
      </c>
      <c r="AJ7999">
        <v>89.920782138873903</v>
      </c>
      <c r="AK7999">
        <v>43.641342837335699</v>
      </c>
      <c r="AL7999">
        <v>91.570175403542606</v>
      </c>
      <c r="AM7999">
        <v>95.672708495420807</v>
      </c>
      <c r="AN7999">
        <v>0.99999998147166103</v>
      </c>
    </row>
    <row r="8000" spans="1:40" x14ac:dyDescent="0.25">
      <c r="A8000" t="str">
        <f>"20190305135118138"</f>
        <v>20190305135118138</v>
      </c>
      <c r="B8000" t="str">
        <f>"1551765078128071"</f>
        <v>1551765078128071</v>
      </c>
      <c r="C8000" t="s">
        <v>40</v>
      </c>
      <c r="D8000">
        <v>4.1268799999999999</v>
      </c>
      <c r="E8000">
        <v>0.5378269</v>
      </c>
      <c r="F8000" t="s">
        <v>42</v>
      </c>
      <c r="G8000">
        <v>-188.73609999999999</v>
      </c>
      <c r="H8000" s="1">
        <v>-3.4668559999999998E-6</v>
      </c>
      <c r="I8000">
        <v>87.191509999999994</v>
      </c>
      <c r="J8000">
        <v>-188.32130000000001</v>
      </c>
      <c r="K8000">
        <v>1.106978</v>
      </c>
      <c r="L8000">
        <v>50.620179999999998</v>
      </c>
      <c r="M8000">
        <v>-1.1117210000000001E-2</v>
      </c>
      <c r="N8000">
        <v>-1.510715E-2</v>
      </c>
      <c r="O8000">
        <v>0.99982400000000005</v>
      </c>
      <c r="P8000">
        <v>-0.1113514</v>
      </c>
      <c r="Q8000">
        <v>-4.7313519999999998E-2</v>
      </c>
      <c r="R8000">
        <v>0.99265409999999998</v>
      </c>
      <c r="S8000">
        <v>-3.4179689999999999E-2</v>
      </c>
      <c r="T8000">
        <v>-8.9902759999999998E-2</v>
      </c>
      <c r="U8000">
        <v>3.0137939999999999</v>
      </c>
      <c r="V8000">
        <v>-0.1004502</v>
      </c>
      <c r="W8000">
        <v>-3.1848700000000001E-2</v>
      </c>
      <c r="X8000">
        <v>0.99443219999999999</v>
      </c>
      <c r="Y8000">
        <v>-2.205881E-4</v>
      </c>
      <c r="Z8000">
        <v>-1.4710559999999999E-2</v>
      </c>
      <c r="AA8000">
        <v>0.9998918</v>
      </c>
      <c r="AB8000">
        <v>55</v>
      </c>
      <c r="AC8000">
        <v>-0.41479999999998501</v>
      </c>
      <c r="AD8000">
        <v>-1.1069814668560001</v>
      </c>
      <c r="AE8000">
        <v>36.571330000000003</v>
      </c>
      <c r="AF8000">
        <v>-8.1493054856291401E-3</v>
      </c>
      <c r="AG8000">
        <v>-1.1069814668560001</v>
      </c>
      <c r="AH8000">
        <v>36.540206873319498</v>
      </c>
      <c r="AI8000">
        <v>91.735238441759705</v>
      </c>
      <c r="AJ8000">
        <v>90.012778274741706</v>
      </c>
      <c r="AK8000">
        <v>36.556971875746598</v>
      </c>
      <c r="AL8000">
        <v>91.825104743457203</v>
      </c>
      <c r="AM8000">
        <v>95.768031657336095</v>
      </c>
      <c r="AN8000">
        <v>0.99999999138428397</v>
      </c>
    </row>
    <row r="8001" spans="1:40" x14ac:dyDescent="0.25">
      <c r="A8001" t="str">
        <f>"20190305135118160"</f>
        <v>20190305135118160</v>
      </c>
      <c r="B8001" t="str">
        <f>"1551765078157352"</f>
        <v>1551765078157352</v>
      </c>
      <c r="C8001" t="s">
        <v>40</v>
      </c>
      <c r="D8001">
        <v>4.0837979999999998</v>
      </c>
      <c r="E8001">
        <v>0.53777919999999901</v>
      </c>
      <c r="F8001" t="s">
        <v>42</v>
      </c>
      <c r="G8001">
        <v>-188.70500000000001</v>
      </c>
      <c r="H8001" s="1">
        <v>-2.084758E-6</v>
      </c>
      <c r="I8001">
        <v>83.956909999999993</v>
      </c>
      <c r="J8001">
        <v>-188.32640000000001</v>
      </c>
      <c r="K8001">
        <v>1.106938</v>
      </c>
      <c r="L8001">
        <v>51.142060000000001</v>
      </c>
      <c r="M8001">
        <v>-9.8010730000000004E-3</v>
      </c>
      <c r="N8001">
        <v>-1.5140549999999999E-2</v>
      </c>
      <c r="O8001">
        <v>0.99983730000000004</v>
      </c>
      <c r="P8001">
        <v>-0.1121685</v>
      </c>
      <c r="Q8001">
        <v>-4.9988030000000003E-2</v>
      </c>
      <c r="R8001">
        <v>0.99243099999999995</v>
      </c>
      <c r="S8001">
        <v>-3.4683230000000002E-2</v>
      </c>
      <c r="T8001">
        <v>-0.100068</v>
      </c>
      <c r="U8001">
        <v>3.01355</v>
      </c>
      <c r="V8001">
        <v>-0.1025928</v>
      </c>
      <c r="W8001">
        <v>-3.4475470000000001E-2</v>
      </c>
      <c r="X8001">
        <v>0.99412579999999995</v>
      </c>
      <c r="Y8001">
        <v>-1.7037319999999999E-3</v>
      </c>
      <c r="Z8001">
        <v>-1.8049050000000001E-2</v>
      </c>
      <c r="AA8001">
        <v>0.99983569999999999</v>
      </c>
      <c r="AB8001">
        <v>55</v>
      </c>
      <c r="AC8001">
        <v>-0.37860000000000499</v>
      </c>
      <c r="AD8001">
        <v>-1.106940084758</v>
      </c>
      <c r="AE8001">
        <v>32.8148499999999</v>
      </c>
      <c r="AF8001">
        <v>-5.6859496235316602E-2</v>
      </c>
      <c r="AG8001">
        <v>-1.106940084758</v>
      </c>
      <c r="AH8001">
        <v>32.779689272160603</v>
      </c>
      <c r="AI8001">
        <v>91.934088133688704</v>
      </c>
      <c r="AJ8001">
        <v>90.099384892428105</v>
      </c>
      <c r="AK8001">
        <v>32.798423409258</v>
      </c>
      <c r="AL8001">
        <v>91.975690482568197</v>
      </c>
      <c r="AM8001">
        <v>95.892010184226095</v>
      </c>
      <c r="AN8001">
        <v>0.99999997343460001</v>
      </c>
    </row>
    <row r="8002" spans="1:40" x14ac:dyDescent="0.25">
      <c r="A8002" t="str">
        <f>"20190305135118182"</f>
        <v>20190305135118182</v>
      </c>
      <c r="B8002" t="str">
        <f>"1551765078177848"</f>
        <v>1551765078177848</v>
      </c>
      <c r="C8002" t="s">
        <v>40</v>
      </c>
      <c r="D8002">
        <v>4.2630619999999997</v>
      </c>
      <c r="E8002">
        <v>0.51273950000000001</v>
      </c>
      <c r="F8002" t="s">
        <v>42</v>
      </c>
      <c r="G8002">
        <v>-188.72139999999999</v>
      </c>
      <c r="H8002" s="1">
        <v>-1.5568070000000001E-6</v>
      </c>
      <c r="I8002">
        <v>82.733040000000003</v>
      </c>
      <c r="J8002">
        <v>-188.33099999999999</v>
      </c>
      <c r="K8002">
        <v>1.106894</v>
      </c>
      <c r="L8002">
        <v>51.681399999999996</v>
      </c>
      <c r="M8002">
        <v>-8.4197719999999903E-3</v>
      </c>
      <c r="N8002">
        <v>-1.5170009999999999E-2</v>
      </c>
      <c r="O8002">
        <v>0.99984949999999995</v>
      </c>
      <c r="P8002">
        <v>-0.1129786</v>
      </c>
      <c r="Q8002">
        <v>-5.2479159999999997E-2</v>
      </c>
      <c r="R8002">
        <v>0.99221060000000005</v>
      </c>
      <c r="S8002">
        <v>-3.7673949999999998E-2</v>
      </c>
      <c r="T8002">
        <v>-0.1055855</v>
      </c>
      <c r="U8002">
        <v>3.013306</v>
      </c>
      <c r="V8002">
        <v>-0.1047915</v>
      </c>
      <c r="W8002">
        <v>-3.69231E-2</v>
      </c>
      <c r="X8002">
        <v>0.99380860000000004</v>
      </c>
      <c r="Y8002">
        <v>-4.0770119999999997E-3</v>
      </c>
      <c r="Z8002">
        <v>-1.9850940000000001E-2</v>
      </c>
      <c r="AA8002">
        <v>0.99979470000000004</v>
      </c>
      <c r="AB8002">
        <v>55</v>
      </c>
      <c r="AC8002">
        <v>-0.39039999999999903</v>
      </c>
      <c r="AD8002">
        <v>-1.106895556807</v>
      </c>
      <c r="AE8002">
        <v>31.051639999999999</v>
      </c>
      <c r="AF8002">
        <v>-0.12874477597874201</v>
      </c>
      <c r="AG8002">
        <v>-1.106895556807</v>
      </c>
      <c r="AH8002">
        <v>31.014422614546401</v>
      </c>
      <c r="AI8002">
        <v>92.043984246411995</v>
      </c>
      <c r="AJ8002">
        <v>90.237840633682794</v>
      </c>
      <c r="AK8002">
        <v>31.034435762628402</v>
      </c>
      <c r="AL8002">
        <v>92.116018669033494</v>
      </c>
      <c r="AM8002">
        <v>96.0192734307129</v>
      </c>
      <c r="AN8002">
        <v>1.0000000536099001</v>
      </c>
    </row>
    <row r="8003" spans="1:40" x14ac:dyDescent="0.25">
      <c r="A8003" t="str">
        <f>"20190305135118206"</f>
        <v>20190305135118206</v>
      </c>
      <c r="B8003" t="str">
        <f>"1551765078197368"</f>
        <v>1551765078197368</v>
      </c>
      <c r="C8003" t="s">
        <v>40</v>
      </c>
      <c r="D8003">
        <v>4.2342779999999998</v>
      </c>
      <c r="E8003">
        <v>0.49666159999999998</v>
      </c>
      <c r="F8003" t="s">
        <v>42</v>
      </c>
      <c r="G8003">
        <v>-191.13069999999999</v>
      </c>
      <c r="H8003" s="1">
        <v>-3.3707589999999999E-6</v>
      </c>
      <c r="I8003">
        <v>86.745159999999998</v>
      </c>
      <c r="J8003">
        <v>-188.33510000000001</v>
      </c>
      <c r="K8003">
        <v>1.10686</v>
      </c>
      <c r="L8003">
        <v>52.253419999999998</v>
      </c>
      <c r="M8003">
        <v>-6.9376369999999904E-3</v>
      </c>
      <c r="N8003">
        <v>-1.5196309999999999E-2</v>
      </c>
      <c r="O8003">
        <v>0.99986050000000004</v>
      </c>
      <c r="P8003">
        <v>-0.1133559</v>
      </c>
      <c r="Q8003">
        <v>-5.5457550000000001E-2</v>
      </c>
      <c r="R8003">
        <v>0.99200549999999998</v>
      </c>
      <c r="S8003">
        <v>-0.2388458</v>
      </c>
      <c r="T8003">
        <v>-9.4431760000000003E-2</v>
      </c>
      <c r="U8003">
        <v>2.9913639999999999</v>
      </c>
      <c r="V8003">
        <v>-0.10665910000000001</v>
      </c>
      <c r="W8003">
        <v>-3.9863059999999999E-2</v>
      </c>
      <c r="X8003">
        <v>0.99349620000000005</v>
      </c>
      <c r="Y8003">
        <v>-7.2637229999999997E-2</v>
      </c>
      <c r="Z8003">
        <v>-1.627139E-2</v>
      </c>
      <c r="AA8003">
        <v>0.99722569999999999</v>
      </c>
      <c r="AB8003">
        <v>55</v>
      </c>
      <c r="AC8003">
        <v>-2.7955999999999701</v>
      </c>
      <c r="AD8003">
        <v>-1.1068633707590001</v>
      </c>
      <c r="AE8003">
        <v>34.49174</v>
      </c>
      <c r="AF8003">
        <v>-2.5536013440643899</v>
      </c>
      <c r="AG8003">
        <v>-1.1068633707590001</v>
      </c>
      <c r="AH8003">
        <v>34.475035749150699</v>
      </c>
      <c r="AI8003">
        <v>91.833899162958801</v>
      </c>
      <c r="AJ8003">
        <v>94.236221233797593</v>
      </c>
      <c r="AK8003">
        <v>34.587195842553598</v>
      </c>
      <c r="AL8003">
        <v>92.284590512927593</v>
      </c>
      <c r="AM8003">
        <v>96.127652249312007</v>
      </c>
      <c r="AN8003">
        <v>0.99999996328990604</v>
      </c>
    </row>
    <row r="8004" spans="1:40" x14ac:dyDescent="0.25">
      <c r="A8004" t="str">
        <f>"20190305135118229"</f>
        <v>20190305135118229</v>
      </c>
      <c r="B8004" t="str">
        <f>"1551765078217863"</f>
        <v>1551765078217863</v>
      </c>
      <c r="C8004" t="s">
        <v>40</v>
      </c>
      <c r="D8004">
        <v>4.1925850000000002</v>
      </c>
      <c r="E8004">
        <v>0.49081160000000001</v>
      </c>
      <c r="F8004" t="s">
        <v>42</v>
      </c>
      <c r="G8004">
        <v>-193.3732</v>
      </c>
      <c r="H8004" s="1">
        <v>-2.3829679999999998E-6</v>
      </c>
      <c r="I8004">
        <v>93.051699999999997</v>
      </c>
      <c r="J8004">
        <v>-188.3383</v>
      </c>
      <c r="K8004">
        <v>1.106827</v>
      </c>
      <c r="L8004">
        <v>52.837069999999997</v>
      </c>
      <c r="M8004">
        <v>-5.4130050000000002E-3</v>
      </c>
      <c r="N8004">
        <v>-1.521867E-2</v>
      </c>
      <c r="O8004">
        <v>0.99986949999999997</v>
      </c>
      <c r="P8004">
        <v>-0.11335199999999999</v>
      </c>
      <c r="Q8004">
        <v>-5.7147679999999999E-2</v>
      </c>
      <c r="R8004">
        <v>0.99190999999999996</v>
      </c>
      <c r="S8004">
        <v>-0.36770629999999999</v>
      </c>
      <c r="T8004">
        <v>-8.0783489999999999E-2</v>
      </c>
      <c r="U8004">
        <v>2.9776310000000001</v>
      </c>
      <c r="V8004">
        <v>-0.108180399999999</v>
      </c>
      <c r="W8004">
        <v>-4.1519639999999997E-2</v>
      </c>
      <c r="X8004">
        <v>0.99326380000000003</v>
      </c>
      <c r="Y8004">
        <v>-0.1171382</v>
      </c>
      <c r="Z8004">
        <v>-1.171285E-2</v>
      </c>
      <c r="AA8004">
        <v>0.9930466</v>
      </c>
      <c r="AB8004">
        <v>54</v>
      </c>
      <c r="AC8004">
        <v>-5.0348999999999897</v>
      </c>
      <c r="AD8004">
        <v>-1.106829382968</v>
      </c>
      <c r="AE8004">
        <v>40.21463</v>
      </c>
      <c r="AF8004">
        <v>-4.8135289434242301</v>
      </c>
      <c r="AG8004">
        <v>-1.106829382968</v>
      </c>
      <c r="AH8004">
        <v>40.2113071031484</v>
      </c>
      <c r="AI8004">
        <v>91.565515960437594</v>
      </c>
      <c r="AJ8004">
        <v>96.826158874447799</v>
      </c>
      <c r="AK8004">
        <v>40.513508254851203</v>
      </c>
      <c r="AL8004">
        <v>92.379584331209799</v>
      </c>
      <c r="AM8004">
        <v>96.215815729297901</v>
      </c>
      <c r="AN8004">
        <v>0.99999992792016201</v>
      </c>
    </row>
    <row r="8005" spans="1:40" x14ac:dyDescent="0.25">
      <c r="A8005" t="str">
        <f>"20190305135118272"</f>
        <v>20190305135118272</v>
      </c>
      <c r="B8005" t="str">
        <f>"1551765078268036"</f>
        <v>1551765078268036</v>
      </c>
      <c r="C8005" t="s">
        <v>40</v>
      </c>
      <c r="D8005">
        <v>4.1433109999999997</v>
      </c>
      <c r="E8005">
        <v>0.48941810000000002</v>
      </c>
      <c r="F8005" t="s">
        <v>42</v>
      </c>
      <c r="G8005">
        <v>-194.22659999999999</v>
      </c>
      <c r="H8005" s="1">
        <v>-3.4884520000000001E-6</v>
      </c>
      <c r="I8005">
        <v>95.099329999999995</v>
      </c>
      <c r="J8005">
        <v>-188.34190000000001</v>
      </c>
      <c r="K8005">
        <v>1.1068020000000001</v>
      </c>
      <c r="L8005">
        <v>53.878329999999998</v>
      </c>
      <c r="M8005">
        <v>-2.6749569999999999E-3</v>
      </c>
      <c r="N8005">
        <v>-1.5248869999999999E-2</v>
      </c>
      <c r="O8005">
        <v>0.99988010000000005</v>
      </c>
      <c r="P8005">
        <v>-0.112915</v>
      </c>
      <c r="Q8005">
        <v>-5.9155590000000001E-2</v>
      </c>
      <c r="R8005">
        <v>0.99184220000000001</v>
      </c>
      <c r="S8005">
        <v>-0.41416930000000002</v>
      </c>
      <c r="T8005">
        <v>-7.7852610000000003E-2</v>
      </c>
      <c r="U8005">
        <v>2.9726560000000002</v>
      </c>
      <c r="V8005">
        <v>-0.11047510000000001</v>
      </c>
      <c r="W8005">
        <v>-4.3480119999999997E-2</v>
      </c>
      <c r="X8005">
        <v>0.99292740000000002</v>
      </c>
      <c r="Y8005">
        <v>-0.1352931</v>
      </c>
      <c r="Z8005">
        <v>-1.0691050000000001E-2</v>
      </c>
      <c r="AA8005">
        <v>0.99074790000000001</v>
      </c>
      <c r="AB8005">
        <v>54</v>
      </c>
      <c r="AC8005">
        <v>-5.8846999999999801</v>
      </c>
      <c r="AD8005">
        <v>-1.106805488452</v>
      </c>
      <c r="AE8005">
        <v>41.220999999999997</v>
      </c>
      <c r="AF8005">
        <v>-5.7703246829350796</v>
      </c>
      <c r="AG8005">
        <v>-1.106805488452</v>
      </c>
      <c r="AH8005">
        <v>41.207480456036201</v>
      </c>
      <c r="AI8005">
        <v>91.5236973634008</v>
      </c>
      <c r="AJ8005">
        <v>97.971352394910795</v>
      </c>
      <c r="AK8005">
        <v>41.624249072750402</v>
      </c>
      <c r="AL8005">
        <v>92.492012877642395</v>
      </c>
      <c r="AM8005">
        <v>96.348732132872598</v>
      </c>
      <c r="AN8005">
        <v>1.00000004511299</v>
      </c>
    </row>
    <row r="8006" spans="1:40" x14ac:dyDescent="0.25">
      <c r="A8006" t="str">
        <f>"20190305135118296"</f>
        <v>20190305135118296</v>
      </c>
      <c r="B8006" t="str">
        <f>"1551765078287556"</f>
        <v>1551765078287556</v>
      </c>
      <c r="C8006" t="s">
        <v>40</v>
      </c>
      <c r="D8006">
        <v>4.1580709999999996</v>
      </c>
      <c r="E8006">
        <v>0.48858950000000001</v>
      </c>
      <c r="F8006" t="s">
        <v>42</v>
      </c>
      <c r="G8006">
        <v>-194.62270000000001</v>
      </c>
      <c r="H8006" s="1">
        <v>-4.5227199999999996E-6</v>
      </c>
      <c r="I8006">
        <v>97.867429999999999</v>
      </c>
      <c r="J8006">
        <v>-188.3426</v>
      </c>
      <c r="K8006">
        <v>1.106795</v>
      </c>
      <c r="L8006">
        <v>54.448</v>
      </c>
      <c r="M8006">
        <v>-1.1724610000000001E-3</v>
      </c>
      <c r="N8006">
        <v>-1.526133E-2</v>
      </c>
      <c r="O8006">
        <v>0.99988290000000002</v>
      </c>
      <c r="P8006">
        <v>-0.1120165</v>
      </c>
      <c r="Q8006">
        <v>-5.8879880000000002E-2</v>
      </c>
      <c r="R8006">
        <v>0.99196039999999996</v>
      </c>
      <c r="S8006">
        <v>-0.42433169999999998</v>
      </c>
      <c r="T8006">
        <v>-7.4775579999999994E-2</v>
      </c>
      <c r="U8006">
        <v>2.9718930000000001</v>
      </c>
      <c r="V8006">
        <v>-0.111067899999999</v>
      </c>
      <c r="W8006">
        <v>-4.3184569999999999E-2</v>
      </c>
      <c r="X8006">
        <v>0.99287409999999998</v>
      </c>
      <c r="Y8006">
        <v>-0.14013789999999901</v>
      </c>
      <c r="Z8006">
        <v>-9.6444530000000007E-3</v>
      </c>
      <c r="AA8006">
        <v>0.99008499999999999</v>
      </c>
      <c r="AB8006">
        <v>54</v>
      </c>
      <c r="AC8006">
        <v>-6.2801</v>
      </c>
      <c r="AD8006">
        <v>-1.10679952272</v>
      </c>
      <c r="AE8006">
        <v>43.419429999999998</v>
      </c>
      <c r="AF8006">
        <v>-6.2252200016371297</v>
      </c>
      <c r="AG8006">
        <v>-1.10679952272</v>
      </c>
      <c r="AH8006">
        <v>43.399141928761097</v>
      </c>
      <c r="AI8006">
        <v>91.446091209679494</v>
      </c>
      <c r="AJ8006">
        <v>98.1628879360822</v>
      </c>
      <c r="AK8006">
        <v>43.857312838397</v>
      </c>
      <c r="AL8006">
        <v>92.475063346457205</v>
      </c>
      <c r="AM8006">
        <v>96.3828583068791</v>
      </c>
      <c r="AN8006">
        <v>0.99999998197365203</v>
      </c>
    </row>
    <row r="8007" spans="1:40" x14ac:dyDescent="0.25">
      <c r="A8007" t="str">
        <f>"20190305135118317"</f>
        <v>20190305135118317</v>
      </c>
      <c r="B8007" t="str">
        <f>"1551765078308052"</f>
        <v>1551765078308052</v>
      </c>
      <c r="C8007" t="s">
        <v>40</v>
      </c>
      <c r="D8007">
        <v>4.1378899999999996</v>
      </c>
      <c r="E8007">
        <v>0.48769309999999899</v>
      </c>
      <c r="F8007" t="s">
        <v>42</v>
      </c>
      <c r="G8007">
        <v>-195.8</v>
      </c>
      <c r="H8007" s="1">
        <v>-4.1618940000000002E-6</v>
      </c>
      <c r="I8007">
        <v>106.1934</v>
      </c>
      <c r="J8007">
        <v>-188.3425</v>
      </c>
      <c r="K8007">
        <v>1.106786</v>
      </c>
      <c r="L8007">
        <v>54.976320000000001</v>
      </c>
      <c r="M8007">
        <v>2.221139E-4</v>
      </c>
      <c r="N8007">
        <v>-1.5270870000000001E-2</v>
      </c>
      <c r="O8007">
        <v>0.99988339999999998</v>
      </c>
      <c r="P8007">
        <v>-0.111497</v>
      </c>
      <c r="Q8007">
        <v>-5.8517510000000002E-2</v>
      </c>
      <c r="R8007">
        <v>0.99204040000000004</v>
      </c>
      <c r="S8007">
        <v>-0.42834470000000002</v>
      </c>
      <c r="T8007">
        <v>-6.3572649999999994E-2</v>
      </c>
      <c r="U8007">
        <v>2.9721679999999999</v>
      </c>
      <c r="V8007">
        <v>-0.1119318</v>
      </c>
      <c r="W8007">
        <v>-4.2805379999999997E-2</v>
      </c>
      <c r="X8007">
        <v>0.9927935</v>
      </c>
      <c r="Y8007">
        <v>-0.1428227</v>
      </c>
      <c r="Z8007">
        <v>-5.895399E-3</v>
      </c>
      <c r="AA8007">
        <v>0.98973069999999996</v>
      </c>
      <c r="AB8007">
        <v>54</v>
      </c>
      <c r="AC8007">
        <v>-7.4574999999999996</v>
      </c>
      <c r="AD8007">
        <v>-1.1067901618939999</v>
      </c>
      <c r="AE8007">
        <v>51.217079999999903</v>
      </c>
      <c r="AF8007">
        <v>-7.4654633016848697</v>
      </c>
      <c r="AG8007">
        <v>-1.1067901618939999</v>
      </c>
      <c r="AH8007">
        <v>51.192012640941499</v>
      </c>
      <c r="AI8007">
        <v>91.225602934017402</v>
      </c>
      <c r="AJ8007">
        <v>98.297102730912002</v>
      </c>
      <c r="AK8007">
        <v>51.745340708140901</v>
      </c>
      <c r="AL8007">
        <v>92.453317252763696</v>
      </c>
      <c r="AM8007">
        <v>96.432608306369403</v>
      </c>
      <c r="AN8007">
        <v>0.99999998102521603</v>
      </c>
    </row>
    <row r="8008" spans="1:40" x14ac:dyDescent="0.25">
      <c r="A8008" t="str">
        <f>"20190305135118338"</f>
        <v>20190305135118338</v>
      </c>
      <c r="B8008" t="str">
        <f>"1551765078327576"</f>
        <v>1551765078327576</v>
      </c>
      <c r="C8008" t="s">
        <v>40</v>
      </c>
      <c r="D8008">
        <v>4.1471330000000002</v>
      </c>
      <c r="E8008">
        <v>0.48654370000000002</v>
      </c>
      <c r="F8008" t="s">
        <v>42</v>
      </c>
      <c r="G8008">
        <v>-197.4795</v>
      </c>
      <c r="H8008" s="1">
        <v>-4.906081E-6</v>
      </c>
      <c r="I8008">
        <v>117.5048</v>
      </c>
      <c r="J8008">
        <v>-188.3417</v>
      </c>
      <c r="K8008">
        <v>1.106779</v>
      </c>
      <c r="L8008">
        <v>55.485230000000001</v>
      </c>
      <c r="M8008">
        <v>1.5666899999999999E-3</v>
      </c>
      <c r="N8008">
        <v>-1.5278440000000001E-2</v>
      </c>
      <c r="O8008">
        <v>0.99988200000000005</v>
      </c>
      <c r="P8008">
        <v>-0.1105995</v>
      </c>
      <c r="Q8008">
        <v>-5.8792089999999998E-2</v>
      </c>
      <c r="R8008">
        <v>0.99212460000000002</v>
      </c>
      <c r="S8008">
        <v>-0.4343109</v>
      </c>
      <c r="T8008">
        <v>-5.2609089999999997E-2</v>
      </c>
      <c r="U8008">
        <v>2.9721679999999999</v>
      </c>
      <c r="V8008">
        <v>-0.1123712</v>
      </c>
      <c r="W8008">
        <v>-4.3067809999999998E-2</v>
      </c>
      <c r="X8008">
        <v>0.99273250000000002</v>
      </c>
      <c r="Y8008">
        <v>-0.14610390000000001</v>
      </c>
      <c r="Z8008">
        <v>-2.2300089999999998E-3</v>
      </c>
      <c r="AA8008">
        <v>0.9892668</v>
      </c>
      <c r="AB8008">
        <v>54</v>
      </c>
      <c r="AC8008">
        <v>-9.1378000000000004</v>
      </c>
      <c r="AD8008">
        <v>-1.1067839060810001</v>
      </c>
      <c r="AE8008">
        <v>62.019569999999902</v>
      </c>
      <c r="AF8008">
        <v>-9.2320878993812396</v>
      </c>
      <c r="AG8008">
        <v>-1.1067839060810001</v>
      </c>
      <c r="AH8008">
        <v>61.985854907545999</v>
      </c>
      <c r="AI8008">
        <v>91.011773873433498</v>
      </c>
      <c r="AJ8008">
        <v>98.471282139318205</v>
      </c>
      <c r="AK8008">
        <v>62.679363639207402</v>
      </c>
      <c r="AL8008">
        <v>92.468367291610306</v>
      </c>
      <c r="AM8008">
        <v>96.458040737652198</v>
      </c>
      <c r="AN8008">
        <v>0.99999996970194205</v>
      </c>
    </row>
    <row r="8009" spans="1:40" x14ac:dyDescent="0.25">
      <c r="A8009" t="str">
        <f>"20190305135118362"</f>
        <v>20190305135118362</v>
      </c>
      <c r="B8009" t="str">
        <f>"1551765078357828"</f>
        <v>1551765078357828</v>
      </c>
      <c r="C8009" t="s">
        <v>40</v>
      </c>
      <c r="D8009">
        <v>3.5521050000000001</v>
      </c>
      <c r="E8009">
        <v>0.48159419999999997</v>
      </c>
      <c r="F8009" t="s">
        <v>94</v>
      </c>
      <c r="G8009">
        <v>-199.82409999999999</v>
      </c>
      <c r="H8009" s="1">
        <v>-7.3837509999999996E-6</v>
      </c>
      <c r="I8009">
        <v>132.8417</v>
      </c>
      <c r="J8009">
        <v>-188.34</v>
      </c>
      <c r="K8009">
        <v>1.1067709999999999</v>
      </c>
      <c r="L8009">
        <v>56.056669999999997</v>
      </c>
      <c r="M8009">
        <v>3.078047E-3</v>
      </c>
      <c r="N8009">
        <v>-1.528532E-2</v>
      </c>
      <c r="O8009">
        <v>0.99987839999999995</v>
      </c>
      <c r="P8009">
        <v>-0.1089131</v>
      </c>
      <c r="Q8009">
        <v>-5.8358090000000001E-2</v>
      </c>
      <c r="R8009">
        <v>0.99233680000000002</v>
      </c>
      <c r="S8009">
        <v>-0.4411621</v>
      </c>
      <c r="T8009">
        <v>-4.2523739999999997E-2</v>
      </c>
      <c r="U8009">
        <v>2.9721069999999998</v>
      </c>
      <c r="V8009">
        <v>-0.11218359999999999</v>
      </c>
      <c r="W8009">
        <v>-4.2624170000000003E-2</v>
      </c>
      <c r="X8009">
        <v>0.99277289999999996</v>
      </c>
      <c r="Y8009">
        <v>-0.1498362</v>
      </c>
      <c r="Z8009">
        <v>1.1411010000000001E-3</v>
      </c>
      <c r="AA8009">
        <v>0.98871019999999998</v>
      </c>
      <c r="AB8009">
        <v>54</v>
      </c>
      <c r="AC8009">
        <v>-11.4840999999999</v>
      </c>
      <c r="AD8009">
        <v>-1.1067783837509999</v>
      </c>
      <c r="AE8009">
        <v>76.785030000000006</v>
      </c>
      <c r="AF8009">
        <v>-11.7180398310449</v>
      </c>
      <c r="AG8009">
        <v>-1.1067783837509999</v>
      </c>
      <c r="AH8009">
        <v>76.733719818886399</v>
      </c>
      <c r="AI8009">
        <v>90.816886630727794</v>
      </c>
      <c r="AJ8009">
        <v>98.682584164413797</v>
      </c>
      <c r="AK8009">
        <v>77.631186858865306</v>
      </c>
      <c r="AL8009">
        <v>92.442925139830294</v>
      </c>
      <c r="AM8009">
        <v>96.447089950225902</v>
      </c>
      <c r="AN8009">
        <v>1.0000000054757701</v>
      </c>
    </row>
    <row r="8010" spans="1:40" x14ac:dyDescent="0.25">
      <c r="A8010" t="str">
        <f>"20190305135118384"</f>
        <v>20190305135118384</v>
      </c>
      <c r="B8010" t="str">
        <f>"1551765078377348"</f>
        <v>1551765078377348</v>
      </c>
      <c r="C8010" t="s">
        <v>40</v>
      </c>
      <c r="D8010">
        <v>3.5760890000000001</v>
      </c>
      <c r="E8010">
        <v>0.47543570000000002</v>
      </c>
      <c r="F8010" t="s">
        <v>43</v>
      </c>
      <c r="G8010">
        <v>-207.06630000000001</v>
      </c>
      <c r="H8010">
        <v>-0.05</v>
      </c>
      <c r="I8010">
        <v>172.98560000000001</v>
      </c>
      <c r="J8010">
        <v>-188.33770000000001</v>
      </c>
      <c r="K8010">
        <v>1.1067549999999999</v>
      </c>
      <c r="L8010">
        <v>56.583219999999997</v>
      </c>
      <c r="M8010">
        <v>4.4725040000000004E-3</v>
      </c>
      <c r="N8010">
        <v>-1.529029E-2</v>
      </c>
      <c r="O8010">
        <v>0.99987309999999996</v>
      </c>
      <c r="P8010">
        <v>-0.1078475</v>
      </c>
      <c r="Q8010">
        <v>-5.9208759999999999E-2</v>
      </c>
      <c r="R8010">
        <v>0.99240269999999997</v>
      </c>
      <c r="S8010">
        <v>-0.47552489999999997</v>
      </c>
      <c r="T8010">
        <v>-2.9374480000000001E-2</v>
      </c>
      <c r="U8010">
        <v>2.9692379999999998</v>
      </c>
      <c r="V8010">
        <v>-0.1125066</v>
      </c>
      <c r="W8010">
        <v>-4.3467310000000002E-2</v>
      </c>
      <c r="X8010">
        <v>0.99269980000000002</v>
      </c>
      <c r="Y8010">
        <v>-0.1625172</v>
      </c>
      <c r="Z8010">
        <v>5.5317999999999999E-3</v>
      </c>
      <c r="AA8010">
        <v>0.98669019999999996</v>
      </c>
      <c r="AB8010">
        <v>54</v>
      </c>
      <c r="AC8010">
        <v>-18.7286</v>
      </c>
      <c r="AD8010">
        <v>-1.156755</v>
      </c>
      <c r="AE8010">
        <v>116.40237999999999</v>
      </c>
      <c r="AF8010">
        <v>-19.247230817354001</v>
      </c>
      <c r="AG8010">
        <v>-1.156755</v>
      </c>
      <c r="AH8010">
        <v>116.306245987056</v>
      </c>
      <c r="AI8010">
        <v>90.562186219582301</v>
      </c>
      <c r="AJ8010">
        <v>99.396574819968507</v>
      </c>
      <c r="AK8010">
        <v>117.893752302096</v>
      </c>
      <c r="AL8010">
        <v>92.4912782930096</v>
      </c>
      <c r="AM8010">
        <v>96.465967581710999</v>
      </c>
      <c r="AN8010">
        <v>1.0000000175011099</v>
      </c>
    </row>
    <row r="8011" spans="1:40" x14ac:dyDescent="0.25">
      <c r="A8011" t="str">
        <f>"20190305135118406"</f>
        <v>20190305135118406</v>
      </c>
      <c r="B8011" t="str">
        <f>"1551765078397848"</f>
        <v>1551765078397848</v>
      </c>
      <c r="C8011" t="s">
        <v>40</v>
      </c>
      <c r="D8011">
        <v>3.5757569999999999</v>
      </c>
      <c r="E8011">
        <v>0.4705414</v>
      </c>
      <c r="F8011" t="s">
        <v>43</v>
      </c>
      <c r="G8011">
        <v>-209.51910000000001</v>
      </c>
      <c r="H8011">
        <v>-0.05</v>
      </c>
      <c r="I8011">
        <v>177.03620000000001</v>
      </c>
      <c r="J8011">
        <v>-188.33449999999999</v>
      </c>
      <c r="K8011">
        <v>1.1067469999999999</v>
      </c>
      <c r="L8011">
        <v>57.130400000000002</v>
      </c>
      <c r="M8011">
        <v>5.9233970000000004E-3</v>
      </c>
      <c r="N8011">
        <v>-1.52943E-2</v>
      </c>
      <c r="O8011">
        <v>0.99986549999999996</v>
      </c>
      <c r="P8011">
        <v>-0.10610219999999999</v>
      </c>
      <c r="Q8011">
        <v>-6.1279519999999997E-2</v>
      </c>
      <c r="R8011">
        <v>0.99246520000000005</v>
      </c>
      <c r="S8011">
        <v>-0.52131649999999996</v>
      </c>
      <c r="T8011">
        <v>-2.8470160000000001E-2</v>
      </c>
      <c r="U8011">
        <v>2.9645999999999999</v>
      </c>
      <c r="V8011">
        <v>-0.1122117</v>
      </c>
      <c r="W8011">
        <v>-4.5535010000000001E-2</v>
      </c>
      <c r="X8011">
        <v>0.99264039999999998</v>
      </c>
      <c r="Y8011">
        <v>-0.1789848</v>
      </c>
      <c r="Z8011">
        <v>5.8499839999999999E-3</v>
      </c>
      <c r="AA8011">
        <v>0.9838344</v>
      </c>
      <c r="AB8011">
        <v>54</v>
      </c>
      <c r="AC8011">
        <v>-21.1846</v>
      </c>
      <c r="AD8011">
        <v>-1.156747</v>
      </c>
      <c r="AE8011">
        <v>119.9058</v>
      </c>
      <c r="AF8011">
        <v>-21.8925851882335</v>
      </c>
      <c r="AG8011">
        <v>-1.156747</v>
      </c>
      <c r="AH8011">
        <v>119.767387462401</v>
      </c>
      <c r="AI8011">
        <v>90.5443426799051</v>
      </c>
      <c r="AJ8011">
        <v>100.35887745120699</v>
      </c>
      <c r="AK8011">
        <v>121.757342486665</v>
      </c>
      <c r="AL8011">
        <v>92.609866496827394</v>
      </c>
      <c r="AM8011">
        <v>96.449544764219397</v>
      </c>
      <c r="AN8011">
        <v>0.99999993323237202</v>
      </c>
    </row>
    <row r="8012" spans="1:40" x14ac:dyDescent="0.25">
      <c r="A8012" t="str">
        <f>"20190305135118431"</f>
        <v>20190305135118431</v>
      </c>
      <c r="B8012" t="str">
        <f>"1551765078428100"</f>
        <v>1551765078428100</v>
      </c>
      <c r="C8012" t="s">
        <v>40</v>
      </c>
      <c r="D8012">
        <v>3.589432</v>
      </c>
      <c r="E8012">
        <v>0.46498260000000002</v>
      </c>
      <c r="F8012" t="s">
        <v>94</v>
      </c>
      <c r="G8012">
        <v>-205.67230000000001</v>
      </c>
      <c r="H8012">
        <v>5.5714180000000002E-2</v>
      </c>
      <c r="I8012">
        <v>149.62200000000001</v>
      </c>
      <c r="J8012">
        <v>-188.3304</v>
      </c>
      <c r="K8012">
        <v>1.106732</v>
      </c>
      <c r="L8012">
        <v>57.698090000000001</v>
      </c>
      <c r="M8012">
        <v>7.4306299999999997E-3</v>
      </c>
      <c r="N8012">
        <v>-1.5297440000000001E-2</v>
      </c>
      <c r="O8012">
        <v>0.99985539999999995</v>
      </c>
      <c r="P8012">
        <v>-0.1049284</v>
      </c>
      <c r="Q8012">
        <v>-6.3840430000000004E-2</v>
      </c>
      <c r="R8012">
        <v>0.99242850000000005</v>
      </c>
      <c r="S8012">
        <v>-0.55511469999999996</v>
      </c>
      <c r="T8012">
        <v>-3.3651590000000002E-2</v>
      </c>
      <c r="U8012">
        <v>2.9613649999999998</v>
      </c>
      <c r="V8012">
        <v>-0.1125461</v>
      </c>
      <c r="W8012">
        <v>-4.809252E-2</v>
      </c>
      <c r="X8012">
        <v>0.99248199999999998</v>
      </c>
      <c r="Y8012">
        <v>-0.19150249999999999</v>
      </c>
      <c r="Z8012">
        <v>4.1483270000000003E-3</v>
      </c>
      <c r="AA8012">
        <v>0.98148329999999995</v>
      </c>
      <c r="AB8012">
        <v>54</v>
      </c>
      <c r="AC8012">
        <v>-17.341899999999999</v>
      </c>
      <c r="AD8012">
        <v>-1.05101782</v>
      </c>
      <c r="AE8012">
        <v>91.923909999999907</v>
      </c>
      <c r="AF8012">
        <v>-18.022278586257201</v>
      </c>
      <c r="AG8012">
        <v>-1.05101782</v>
      </c>
      <c r="AH8012">
        <v>91.780909459422205</v>
      </c>
      <c r="AI8012">
        <v>90.643793661033399</v>
      </c>
      <c r="AJ8012">
        <v>101.10936531156</v>
      </c>
      <c r="AK8012">
        <v>93.539523759196399</v>
      </c>
      <c r="AL8012">
        <v>92.756561674681194</v>
      </c>
      <c r="AM8012">
        <v>96.469625902141402</v>
      </c>
      <c r="AN8012">
        <v>1.00000001771458</v>
      </c>
    </row>
    <row r="8013" spans="1:40" x14ac:dyDescent="0.25">
      <c r="A8013" t="str">
        <f>"20190305135118451"</f>
        <v>20190305135118451</v>
      </c>
      <c r="B8013" t="str">
        <f>"1551765078447622"</f>
        <v>1551765078447622</v>
      </c>
      <c r="C8013" t="s">
        <v>40</v>
      </c>
      <c r="D8013">
        <v>3.5947399999999998</v>
      </c>
      <c r="E8013">
        <v>0.46198620000000001</v>
      </c>
      <c r="F8013" t="s">
        <v>94</v>
      </c>
      <c r="G8013">
        <v>-204.21449999999999</v>
      </c>
      <c r="H8013" s="1">
        <v>-6.915634E-6</v>
      </c>
      <c r="I8013">
        <v>136.53039999999999</v>
      </c>
      <c r="J8013">
        <v>-188.32579999999999</v>
      </c>
      <c r="K8013">
        <v>1.106717</v>
      </c>
      <c r="L8013">
        <v>58.215479999999999</v>
      </c>
      <c r="M8013">
        <v>8.8062030000000003E-3</v>
      </c>
      <c r="N8013">
        <v>-1.5299419999999999E-2</v>
      </c>
      <c r="O8013">
        <v>0.99984419999999996</v>
      </c>
      <c r="P8013">
        <v>-0.1027651</v>
      </c>
      <c r="Q8013">
        <v>-6.7479189999999994E-2</v>
      </c>
      <c r="R8013">
        <v>0.99241420000000002</v>
      </c>
      <c r="S8013">
        <v>-0.59585569999999999</v>
      </c>
      <c r="T8013">
        <v>-4.1516780000000003E-2</v>
      </c>
      <c r="U8013">
        <v>2.957214</v>
      </c>
      <c r="V8013">
        <v>-0.11176609999999999</v>
      </c>
      <c r="W8013">
        <v>-5.1734380000000003E-2</v>
      </c>
      <c r="X8013">
        <v>0.99238689999999996</v>
      </c>
      <c r="Y8013">
        <v>-0.20610300000000001</v>
      </c>
      <c r="Z8013">
        <v>1.564862E-3</v>
      </c>
      <c r="AA8013">
        <v>0.97852899999999998</v>
      </c>
      <c r="AB8013">
        <v>54</v>
      </c>
      <c r="AC8013">
        <v>-15.8887</v>
      </c>
      <c r="AD8013">
        <v>-1.1067239156340001</v>
      </c>
      <c r="AE8013">
        <v>78.314919999999901</v>
      </c>
      <c r="AF8013">
        <v>-16.574642377577</v>
      </c>
      <c r="AG8013">
        <v>-1.1067239156340001</v>
      </c>
      <c r="AH8013">
        <v>78.156955808998603</v>
      </c>
      <c r="AI8013">
        <v>90.793622470101297</v>
      </c>
      <c r="AJ8013">
        <v>101.973252091907</v>
      </c>
      <c r="AK8013">
        <v>79.902774351706697</v>
      </c>
      <c r="AL8013">
        <v>92.965485659390097</v>
      </c>
      <c r="AM8013">
        <v>96.425775022730406</v>
      </c>
      <c r="AN8013">
        <v>0.999999933237399</v>
      </c>
    </row>
    <row r="8014" spans="1:40" x14ac:dyDescent="0.25">
      <c r="A8014" t="str">
        <f>"20190305135118473"</f>
        <v>20190305135118473</v>
      </c>
      <c r="B8014" t="str">
        <f>"1551765078468117"</f>
        <v>1551765078468117</v>
      </c>
      <c r="C8014" t="s">
        <v>40</v>
      </c>
      <c r="D8014">
        <v>3.6139770000000002</v>
      </c>
      <c r="E8014">
        <v>0.45940609999999998</v>
      </c>
      <c r="F8014" t="s">
        <v>42</v>
      </c>
      <c r="G8014">
        <v>-200.1771</v>
      </c>
      <c r="H8014">
        <v>7.9986619999999994E-2</v>
      </c>
      <c r="I8014">
        <v>115.3411</v>
      </c>
      <c r="J8014">
        <v>-188.3203</v>
      </c>
      <c r="K8014">
        <v>1.1066990000000001</v>
      </c>
      <c r="L8014">
        <v>58.749940000000002</v>
      </c>
      <c r="M8014">
        <v>1.022819E-2</v>
      </c>
      <c r="N8014">
        <v>-1.530074E-2</v>
      </c>
      <c r="O8014">
        <v>0.99983060000000001</v>
      </c>
      <c r="P8014">
        <v>-0.10077899999999999</v>
      </c>
      <c r="Q8014">
        <v>-7.1833510000000003E-2</v>
      </c>
      <c r="R8014">
        <v>0.99231219999999998</v>
      </c>
      <c r="S8014">
        <v>-0.61322019999999899</v>
      </c>
      <c r="T8014">
        <v>-5.3125859999999997E-2</v>
      </c>
      <c r="U8014">
        <v>2.9558409999999999</v>
      </c>
      <c r="V8014">
        <v>-0.1112114</v>
      </c>
      <c r="W8014">
        <v>-5.609281E-2</v>
      </c>
      <c r="X8014">
        <v>0.99221250000000005</v>
      </c>
      <c r="Y8014">
        <v>-0.213087</v>
      </c>
      <c r="Z8014">
        <v>-2.2589950000000002E-3</v>
      </c>
      <c r="AA8014">
        <v>0.97703059999999997</v>
      </c>
      <c r="AB8014">
        <v>54</v>
      </c>
      <c r="AC8014">
        <v>-11.8567999999999</v>
      </c>
      <c r="AD8014">
        <v>-1.02671238</v>
      </c>
      <c r="AE8014">
        <v>56.591160000000002</v>
      </c>
      <c r="AF8014">
        <v>-12.431152839106099</v>
      </c>
      <c r="AG8014">
        <v>-1.02671238</v>
      </c>
      <c r="AH8014">
        <v>56.4491120885626</v>
      </c>
      <c r="AI8014">
        <v>91.017618975373907</v>
      </c>
      <c r="AJ8014">
        <v>102.41937275449899</v>
      </c>
      <c r="AK8014">
        <v>57.810811746658302</v>
      </c>
      <c r="AL8014">
        <v>93.215568987310306</v>
      </c>
      <c r="AM8014">
        <v>96.395262985472797</v>
      </c>
      <c r="AN8014">
        <v>1.0000000119899499</v>
      </c>
    </row>
    <row r="8015" spans="1:40" x14ac:dyDescent="0.25">
      <c r="A8015" t="str">
        <f>"20190305135118496"</f>
        <v>20190305135118496</v>
      </c>
      <c r="B8015" t="str">
        <f>"1551765078487636"</f>
        <v>1551765078487636</v>
      </c>
      <c r="C8015" t="s">
        <v>40</v>
      </c>
      <c r="D8015">
        <v>4.1804739999999896</v>
      </c>
      <c r="E8015">
        <v>0.46063749999999998</v>
      </c>
      <c r="F8015" t="s">
        <v>42</v>
      </c>
      <c r="G8015">
        <v>-198.66720000000001</v>
      </c>
      <c r="H8015" s="1">
        <v>-5.1025400000000001E-6</v>
      </c>
      <c r="I8015">
        <v>107.4631</v>
      </c>
      <c r="J8015">
        <v>-188.31389999999999</v>
      </c>
      <c r="K8015">
        <v>1.1066929999999999</v>
      </c>
      <c r="L8015">
        <v>59.299379999999999</v>
      </c>
      <c r="M8015">
        <v>1.1691180000000001E-2</v>
      </c>
      <c r="N8015">
        <v>-1.530159E-2</v>
      </c>
      <c r="O8015">
        <v>0.9998146</v>
      </c>
      <c r="P8015">
        <v>-9.9712549999999997E-2</v>
      </c>
      <c r="Q8015">
        <v>-7.578646E-2</v>
      </c>
      <c r="R8015">
        <v>0.99212590000000001</v>
      </c>
      <c r="S8015">
        <v>-0.62757869999999905</v>
      </c>
      <c r="T8015">
        <v>-6.7126149999999996E-2</v>
      </c>
      <c r="U8015">
        <v>2.9546510000000001</v>
      </c>
      <c r="V8015">
        <v>-0.1116138</v>
      </c>
      <c r="W8015">
        <v>-6.0047209999999997E-2</v>
      </c>
      <c r="X8015">
        <v>0.99193580000000003</v>
      </c>
      <c r="Y8015">
        <v>-0.21912470000000001</v>
      </c>
      <c r="Z8015">
        <v>-6.868145E-3</v>
      </c>
      <c r="AA8015">
        <v>0.97567269999999995</v>
      </c>
      <c r="AB8015">
        <v>54</v>
      </c>
      <c r="AC8015">
        <v>-10.353300000000001</v>
      </c>
      <c r="AD8015">
        <v>-1.10669810254</v>
      </c>
      <c r="AE8015">
        <v>48.163719999999898</v>
      </c>
      <c r="AF8015">
        <v>-10.9102429024913</v>
      </c>
      <c r="AG8015">
        <v>-1.10669810254</v>
      </c>
      <c r="AH8015">
        <v>48.015139660413297</v>
      </c>
      <c r="AI8015">
        <v>91.2875637751347</v>
      </c>
      <c r="AJ8015">
        <v>102.801668947531</v>
      </c>
      <c r="AK8015">
        <v>49.251515890280103</v>
      </c>
      <c r="AL8015">
        <v>93.442522692134702</v>
      </c>
      <c r="AM8015">
        <v>96.419985843922007</v>
      </c>
      <c r="AN8015">
        <v>0.99999996955043102</v>
      </c>
    </row>
    <row r="8016" spans="1:40" x14ac:dyDescent="0.25">
      <c r="A8016" t="str">
        <f>"20190305135118519"</f>
        <v>20190305135118519</v>
      </c>
      <c r="B8016" t="str">
        <f>"1551765078508132"</f>
        <v>1551765078508132</v>
      </c>
      <c r="C8016" t="s">
        <v>40</v>
      </c>
      <c r="D8016">
        <v>4.2171029999999998</v>
      </c>
      <c r="E8016">
        <v>0.4617388</v>
      </c>
      <c r="F8016" t="s">
        <v>42</v>
      </c>
      <c r="G8016">
        <v>-197.5239</v>
      </c>
      <c r="H8016" s="1">
        <v>-3.5847320000000002E-6</v>
      </c>
      <c r="I8016">
        <v>103.5989</v>
      </c>
      <c r="J8016">
        <v>-188.30670000000001</v>
      </c>
      <c r="K8016">
        <v>1.1066800000000001</v>
      </c>
      <c r="L8016">
        <v>59.84628</v>
      </c>
      <c r="M8016">
        <v>1.3148470000000001E-2</v>
      </c>
      <c r="N8016">
        <v>-1.530163E-2</v>
      </c>
      <c r="O8016">
        <v>0.99979649999999998</v>
      </c>
      <c r="P8016">
        <v>-0.1002417</v>
      </c>
      <c r="Q8016">
        <v>-7.8981759999999998E-2</v>
      </c>
      <c r="R8016">
        <v>0.99182329999999996</v>
      </c>
      <c r="S8016">
        <v>-0.6146393</v>
      </c>
      <c r="T8016">
        <v>-7.3856950000000005E-2</v>
      </c>
      <c r="U8016">
        <v>2.9563899999999999</v>
      </c>
      <c r="V8016">
        <v>-0.11359950000000001</v>
      </c>
      <c r="W8016">
        <v>-6.3238989999999995E-2</v>
      </c>
      <c r="X8016">
        <v>0.99151199999999995</v>
      </c>
      <c r="Y8016">
        <v>-0.216333</v>
      </c>
      <c r="Z8016">
        <v>-9.0940299999999995E-3</v>
      </c>
      <c r="AA8016">
        <v>0.97627730000000001</v>
      </c>
      <c r="AB8016">
        <v>54</v>
      </c>
      <c r="AC8016">
        <v>-9.2171999999999894</v>
      </c>
      <c r="AD8016">
        <v>-1.10668358473199</v>
      </c>
      <c r="AE8016">
        <v>43.752619999999901</v>
      </c>
      <c r="AF8016">
        <v>-9.7857555893682999</v>
      </c>
      <c r="AG8016">
        <v>-1.10668358473199</v>
      </c>
      <c r="AH8016">
        <v>43.600920542555798</v>
      </c>
      <c r="AI8016">
        <v>91.418697842259306</v>
      </c>
      <c r="AJ8016">
        <v>102.649796451798</v>
      </c>
      <c r="AK8016">
        <v>44.699284481631601</v>
      </c>
      <c r="AL8016">
        <v>93.625746521128207</v>
      </c>
      <c r="AM8016">
        <v>96.535991977157707</v>
      </c>
      <c r="AN8016">
        <v>1.00000003120023</v>
      </c>
    </row>
    <row r="8017" spans="1:40" x14ac:dyDescent="0.25">
      <c r="A8017" t="str">
        <f>"20190305135118563"</f>
        <v>20190305135118563</v>
      </c>
      <c r="B8017" t="str">
        <f>"1551765078557909"</f>
        <v>1551765078557909</v>
      </c>
      <c r="C8017" t="s">
        <v>40</v>
      </c>
      <c r="D8017">
        <v>4.2468870000000001</v>
      </c>
      <c r="E8017">
        <v>0.4776976</v>
      </c>
      <c r="F8017" t="s">
        <v>42</v>
      </c>
      <c r="G8017">
        <v>-196.93279999999999</v>
      </c>
      <c r="H8017" s="1">
        <v>-2.8018719999999999E-6</v>
      </c>
      <c r="I8017">
        <v>101.82040000000001</v>
      </c>
      <c r="J8017">
        <v>-188.29040000000001</v>
      </c>
      <c r="K8017">
        <v>1.1066579999999999</v>
      </c>
      <c r="L8017">
        <v>60.919069999999998</v>
      </c>
      <c r="M8017">
        <v>1.6009740000000001E-2</v>
      </c>
      <c r="N8017">
        <v>-1.529988E-2</v>
      </c>
      <c r="O8017">
        <v>0.99975480000000005</v>
      </c>
      <c r="P8017">
        <v>-0.1020932</v>
      </c>
      <c r="Q8017">
        <v>-8.2453650000000003E-2</v>
      </c>
      <c r="R8017">
        <v>0.99135180000000001</v>
      </c>
      <c r="S8017">
        <v>-0.60771180000000002</v>
      </c>
      <c r="T8017">
        <v>-7.7966209999999994E-2</v>
      </c>
      <c r="U8017">
        <v>2.9570919999999998</v>
      </c>
      <c r="V8017">
        <v>-0.1182946</v>
      </c>
      <c r="W8017">
        <v>-6.6700980000000007E-2</v>
      </c>
      <c r="X8017">
        <v>0.99073580000000006</v>
      </c>
      <c r="Y8017">
        <v>-0.2168824</v>
      </c>
      <c r="Z8017">
        <v>-1.0446240000000001E-2</v>
      </c>
      <c r="AA8017">
        <v>0.97614190000000001</v>
      </c>
      <c r="AB8017">
        <v>54</v>
      </c>
      <c r="AC8017">
        <v>-8.6423999999999808</v>
      </c>
      <c r="AD8017">
        <v>-1.1066608018720001</v>
      </c>
      <c r="AE8017">
        <v>40.901330000000002</v>
      </c>
      <c r="AF8017">
        <v>-9.2896783270419494</v>
      </c>
      <c r="AG8017">
        <v>-1.1066608018720001</v>
      </c>
      <c r="AH8017">
        <v>40.729165547471702</v>
      </c>
      <c r="AI8017">
        <v>91.517461198499703</v>
      </c>
      <c r="AJ8017">
        <v>102.848467586011</v>
      </c>
      <c r="AK8017">
        <v>41.789804351584003</v>
      </c>
      <c r="AL8017">
        <v>93.824524012166705</v>
      </c>
      <c r="AM8017">
        <v>96.808924057788403</v>
      </c>
      <c r="AN8017">
        <v>1.00000002926188</v>
      </c>
    </row>
    <row r="8018" spans="1:40" x14ac:dyDescent="0.25">
      <c r="A8018" t="str">
        <f>"20190305135118586"</f>
        <v>20190305135118586</v>
      </c>
      <c r="B8018" t="str">
        <f>"1551765078577428"</f>
        <v>1551765078577428</v>
      </c>
      <c r="C8018" t="s">
        <v>40</v>
      </c>
      <c r="D8018">
        <v>4.2125300000000001</v>
      </c>
      <c r="E8018">
        <v>0.47929389999999999</v>
      </c>
      <c r="F8018" t="s">
        <v>87</v>
      </c>
      <c r="G8018">
        <v>-210.29349999999999</v>
      </c>
      <c r="H8018">
        <v>0.23047019999999999</v>
      </c>
      <c r="I8018">
        <v>194.7336</v>
      </c>
      <c r="J8018">
        <v>-188.28100000000001</v>
      </c>
      <c r="K8018">
        <v>1.106654</v>
      </c>
      <c r="L8018">
        <v>61.460599999999999</v>
      </c>
      <c r="M8018">
        <v>1.7455559999999998E-2</v>
      </c>
      <c r="N8018">
        <v>-1.5298580000000001E-2</v>
      </c>
      <c r="O8018">
        <v>0.99973060000000002</v>
      </c>
      <c r="P8018">
        <v>-0.1026851</v>
      </c>
      <c r="Q8018">
        <v>-8.4060419999999997E-2</v>
      </c>
      <c r="R8018">
        <v>0.99115569999999997</v>
      </c>
      <c r="S8018">
        <v>-0.48904419999999998</v>
      </c>
      <c r="T8018">
        <v>-1.9474269999999998E-2</v>
      </c>
      <c r="U8018">
        <v>2.9741819999999999</v>
      </c>
      <c r="V8018">
        <v>-0.1203226</v>
      </c>
      <c r="W8018">
        <v>-6.8304519999999994E-2</v>
      </c>
      <c r="X8018">
        <v>0.99038230000000005</v>
      </c>
      <c r="Y8018">
        <v>-0.17941660000000001</v>
      </c>
      <c r="Z8018">
        <v>8.8711309999999904E-3</v>
      </c>
      <c r="AA8018">
        <v>0.98373319999999997</v>
      </c>
      <c r="AB8018">
        <v>54</v>
      </c>
      <c r="AC8018">
        <v>-22.012499999999999</v>
      </c>
      <c r="AD8018">
        <v>-0.87618379999999996</v>
      </c>
      <c r="AE8018">
        <v>133.273</v>
      </c>
      <c r="AF8018">
        <v>-24.334748640025001</v>
      </c>
      <c r="AG8018">
        <v>-0.87618379999999996</v>
      </c>
      <c r="AH8018">
        <v>132.86281419068899</v>
      </c>
      <c r="AI8018">
        <v>90.371657848997003</v>
      </c>
      <c r="AJ8018">
        <v>100.379080462076</v>
      </c>
      <c r="AK8018">
        <v>135.07581235770601</v>
      </c>
      <c r="AL8018">
        <v>93.916609982778496</v>
      </c>
      <c r="AM8018">
        <v>96.926977455719793</v>
      </c>
      <c r="AN8018">
        <v>1.0000000678382299</v>
      </c>
    </row>
    <row r="8019" spans="1:40" x14ac:dyDescent="0.25">
      <c r="A8019" t="str">
        <f>"20190305135118607"</f>
        <v>20190305135118607</v>
      </c>
      <c r="B8019" t="str">
        <f>"1551765078597924"</f>
        <v>1551765078597924</v>
      </c>
      <c r="C8019" t="s">
        <v>40</v>
      </c>
      <c r="D8019">
        <v>4.2175770000000004</v>
      </c>
      <c r="E8019">
        <v>0.47834729999999998</v>
      </c>
      <c r="F8019" t="s">
        <v>43</v>
      </c>
      <c r="G8019">
        <v>-208.94399999999999</v>
      </c>
      <c r="H8019">
        <v>-0.05</v>
      </c>
      <c r="I8019">
        <v>190.03100000000001</v>
      </c>
      <c r="J8019">
        <v>-188.2713</v>
      </c>
      <c r="K8019">
        <v>1.1066579999999999</v>
      </c>
      <c r="L8019">
        <v>61.97513</v>
      </c>
      <c r="M8019">
        <v>1.8829930000000002E-2</v>
      </c>
      <c r="N8019">
        <v>-1.529719E-2</v>
      </c>
      <c r="O8019">
        <v>0.99970570000000003</v>
      </c>
      <c r="P8019">
        <v>-0.10226200000000001</v>
      </c>
      <c r="Q8019">
        <v>-8.514012E-2</v>
      </c>
      <c r="R8019">
        <v>0.99110730000000002</v>
      </c>
      <c r="S8019">
        <v>-0.47811890000000001</v>
      </c>
      <c r="T8019">
        <v>-2.6763680000000001E-2</v>
      </c>
      <c r="U8019">
        <v>2.9749759999999998</v>
      </c>
      <c r="V8019">
        <v>-0.1212636</v>
      </c>
      <c r="W8019">
        <v>-6.9384130000000002E-2</v>
      </c>
      <c r="X8019">
        <v>0.99019239999999997</v>
      </c>
      <c r="Y8019">
        <v>-0.1772069</v>
      </c>
      <c r="Z8019">
        <v>6.4551869999999898E-3</v>
      </c>
      <c r="AA8019">
        <v>0.98415240000000004</v>
      </c>
      <c r="AB8019">
        <v>54</v>
      </c>
      <c r="AC8019">
        <v>-20.672699999999999</v>
      </c>
      <c r="AD8019">
        <v>-1.156658</v>
      </c>
      <c r="AE8019">
        <v>128.055869999999</v>
      </c>
      <c r="AF8019">
        <v>-23.078764010652701</v>
      </c>
      <c r="AG8019">
        <v>-1.156658</v>
      </c>
      <c r="AH8019">
        <v>127.633700965405</v>
      </c>
      <c r="AI8019">
        <v>90.510933619633704</v>
      </c>
      <c r="AJ8019">
        <v>100.249491890657</v>
      </c>
      <c r="AK8019">
        <v>129.70863050743699</v>
      </c>
      <c r="AL8019">
        <v>93.978614444393202</v>
      </c>
      <c r="AM8019">
        <v>96.9819439456205</v>
      </c>
      <c r="AN8019">
        <v>1.00000000359928</v>
      </c>
    </row>
    <row r="8020" spans="1:40" x14ac:dyDescent="0.25">
      <c r="A8020" t="str">
        <f>"20190305135118631"</f>
        <v>20190305135118631</v>
      </c>
      <c r="B8020" t="str">
        <f>"1551765078628181"</f>
        <v>1551765078628181</v>
      </c>
      <c r="C8020" t="s">
        <v>40</v>
      </c>
      <c r="D8020">
        <v>4.2622619999999998</v>
      </c>
      <c r="E8020">
        <v>0.47688580000000003</v>
      </c>
      <c r="F8020" t="s">
        <v>87</v>
      </c>
      <c r="G8020">
        <v>-210.29349999999999</v>
      </c>
      <c r="H8020">
        <v>0.37259720000000002</v>
      </c>
      <c r="I8020">
        <v>197.10759999999999</v>
      </c>
      <c r="J8020">
        <v>-188.26050000000001</v>
      </c>
      <c r="K8020">
        <v>1.1066480000000001</v>
      </c>
      <c r="L8020">
        <v>62.512180000000001</v>
      </c>
      <c r="M8020">
        <v>2.0265399999999999E-2</v>
      </c>
      <c r="N8020">
        <v>-1.5295420000000001E-2</v>
      </c>
      <c r="O8020">
        <v>0.9996777</v>
      </c>
      <c r="P8020">
        <v>-0.10213369999999999</v>
      </c>
      <c r="Q8020">
        <v>-8.7162669999999998E-2</v>
      </c>
      <c r="R8020">
        <v>0.99094470000000001</v>
      </c>
      <c r="S8020">
        <v>-0.48490909999999898</v>
      </c>
      <c r="T8020">
        <v>-1.616335E-2</v>
      </c>
      <c r="U8020">
        <v>2.9754939999999999</v>
      </c>
      <c r="V8020">
        <v>-0.1225624</v>
      </c>
      <c r="W8020">
        <v>-7.1407079999999998E-2</v>
      </c>
      <c r="X8020">
        <v>0.98988860000000001</v>
      </c>
      <c r="Y8020">
        <v>-0.1807801</v>
      </c>
      <c r="Z8020">
        <v>9.9705750000000006E-3</v>
      </c>
      <c r="AA8020">
        <v>0.98347300000000004</v>
      </c>
      <c r="AB8020">
        <v>54</v>
      </c>
      <c r="AC8020">
        <v>-22.032999999999902</v>
      </c>
      <c r="AD8020">
        <v>-0.734050799999999</v>
      </c>
      <c r="AE8020">
        <v>134.59541999999999</v>
      </c>
      <c r="AF8020">
        <v>-24.755705999120099</v>
      </c>
      <c r="AG8020">
        <v>-0.734050799999999</v>
      </c>
      <c r="AH8020">
        <v>134.117327665484</v>
      </c>
      <c r="AI8020">
        <v>90.308378826010198</v>
      </c>
      <c r="AJ8020">
        <v>100.458084705301</v>
      </c>
      <c r="AK8020">
        <v>136.38490162119399</v>
      </c>
      <c r="AL8020">
        <v>94.0948093332523</v>
      </c>
      <c r="AM8020">
        <v>97.058118221098198</v>
      </c>
      <c r="AN8020">
        <v>0.99999997668892204</v>
      </c>
    </row>
    <row r="8021" spans="1:40" x14ac:dyDescent="0.25">
      <c r="A8021" t="str">
        <f>"20190305135118652"</f>
        <v>20190305135118652</v>
      </c>
      <c r="B8021" t="str">
        <f>"1551765078637940"</f>
        <v>1551765078637940</v>
      </c>
      <c r="C8021" t="s">
        <v>40</v>
      </c>
      <c r="D8021">
        <v>4.2255520000000004</v>
      </c>
      <c r="E8021">
        <v>0.47636849999999997</v>
      </c>
      <c r="F8021" t="s">
        <v>46</v>
      </c>
      <c r="G8021">
        <v>-228.21629999999999</v>
      </c>
      <c r="H8021">
        <v>0.69917269999999998</v>
      </c>
      <c r="I8021">
        <v>301.88839999999999</v>
      </c>
      <c r="J8021">
        <v>-188.24870000000001</v>
      </c>
      <c r="K8021">
        <v>1.106638</v>
      </c>
      <c r="L8021">
        <v>63.049619999999997</v>
      </c>
      <c r="M8021">
        <v>2.1702539999999999E-2</v>
      </c>
      <c r="N8021">
        <v>-1.5293259999999999E-2</v>
      </c>
      <c r="O8021">
        <v>0.99964750000000002</v>
      </c>
      <c r="P8021">
        <v>-0.10125389999999999</v>
      </c>
      <c r="Q8021">
        <v>-8.8963609999999999E-2</v>
      </c>
      <c r="R8021">
        <v>0.9908749</v>
      </c>
      <c r="S8021">
        <v>-0.49670409999999998</v>
      </c>
      <c r="T8021">
        <v>-5.0644870000000003E-3</v>
      </c>
      <c r="U8021">
        <v>2.9757690000000001</v>
      </c>
      <c r="V8021">
        <v>-0.1231112</v>
      </c>
      <c r="W8021">
        <v>-7.3211079999999998E-2</v>
      </c>
      <c r="X8021">
        <v>0.98968869999999998</v>
      </c>
      <c r="Y8021">
        <v>-0.1859693</v>
      </c>
      <c r="Z8021">
        <v>1.36461E-2</v>
      </c>
      <c r="AA8021">
        <v>0.98246080000000002</v>
      </c>
      <c r="AB8021">
        <v>54</v>
      </c>
      <c r="AC8021">
        <v>-39.967599999999898</v>
      </c>
      <c r="AD8021">
        <v>-0.40746529999999997</v>
      </c>
      <c r="AE8021">
        <v>238.83878000000001</v>
      </c>
      <c r="AF8021">
        <v>-45.142070925193501</v>
      </c>
      <c r="AG8021">
        <v>-0.40746529999999997</v>
      </c>
      <c r="AH8021">
        <v>237.91434017246999</v>
      </c>
      <c r="AI8021">
        <v>90.096407766389206</v>
      </c>
      <c r="AJ8021">
        <v>100.743635967252</v>
      </c>
      <c r="AK8021">
        <v>242.159463690948</v>
      </c>
      <c r="AL8021">
        <v>94.198442220319805</v>
      </c>
      <c r="AM8021">
        <v>97.090818971653206</v>
      </c>
      <c r="AN8021">
        <v>0.999999976353947</v>
      </c>
    </row>
    <row r="8022" spans="1:40" x14ac:dyDescent="0.25">
      <c r="A8022" t="str">
        <f>"20190305135118697"</f>
        <v>20190305135118697</v>
      </c>
      <c r="B8022" t="str">
        <f>"1551765078687716"</f>
        <v>1551765078687716</v>
      </c>
      <c r="C8022" t="s">
        <v>40</v>
      </c>
      <c r="D8022">
        <v>4.3149160000000002</v>
      </c>
      <c r="E8022">
        <v>0.47551749999999998</v>
      </c>
      <c r="F8022" t="s">
        <v>46</v>
      </c>
      <c r="G8022">
        <v>-228.2381</v>
      </c>
      <c r="H8022">
        <v>0.60918019999999995</v>
      </c>
      <c r="I8022">
        <v>301.88839999999999</v>
      </c>
      <c r="J8022">
        <v>-188.22290000000001</v>
      </c>
      <c r="K8022">
        <v>1.106652</v>
      </c>
      <c r="L8022">
        <v>64.130859999999998</v>
      </c>
      <c r="M8022">
        <v>2.4596400000000001E-2</v>
      </c>
      <c r="N8022">
        <v>-1.528844E-2</v>
      </c>
      <c r="O8022">
        <v>0.99958060000000004</v>
      </c>
      <c r="P8022">
        <v>-9.6967999999999999E-2</v>
      </c>
      <c r="Q8022">
        <v>-8.8610460000000002E-2</v>
      </c>
      <c r="R8022">
        <v>0.99133519999999997</v>
      </c>
      <c r="S8022">
        <v>-0.49830629999999998</v>
      </c>
      <c r="T8022">
        <v>-6.1978099999999998E-3</v>
      </c>
      <c r="U8022">
        <v>2.9761660000000001</v>
      </c>
      <c r="V8022">
        <v>-0.121697</v>
      </c>
      <c r="W8022">
        <v>-7.2867870000000001E-2</v>
      </c>
      <c r="X8022">
        <v>0.98988900000000002</v>
      </c>
      <c r="Y8022">
        <v>-0.1893058</v>
      </c>
      <c r="Z8022">
        <v>1.327149E-2</v>
      </c>
      <c r="AA8022">
        <v>0.98182849999999999</v>
      </c>
      <c r="AB8022">
        <v>54</v>
      </c>
      <c r="AC8022">
        <v>-40.015199999999901</v>
      </c>
      <c r="AD8022">
        <v>-0.49747179999999902</v>
      </c>
      <c r="AE8022">
        <v>237.75753999999901</v>
      </c>
      <c r="AF8022">
        <v>-45.851558719175998</v>
      </c>
      <c r="AG8022">
        <v>-0.49747179999999902</v>
      </c>
      <c r="AH8022">
        <v>236.70024010906801</v>
      </c>
      <c r="AI8022">
        <v>90.118220469141704</v>
      </c>
      <c r="AJ8022">
        <v>100.96307062996</v>
      </c>
      <c r="AK8022">
        <v>241.100843181562</v>
      </c>
      <c r="AL8022">
        <v>94.178724724518204</v>
      </c>
      <c r="AM8022">
        <v>97.008776208281603</v>
      </c>
      <c r="AN8022">
        <v>1.00000005930416</v>
      </c>
    </row>
    <row r="8023" spans="1:40" x14ac:dyDescent="0.25">
      <c r="A8023" t="str">
        <f>"20190305135118718"</f>
        <v>20190305135118718</v>
      </c>
      <c r="B8023" t="str">
        <f>"1551765078708216"</f>
        <v>1551765078708216</v>
      </c>
      <c r="C8023" t="s">
        <v>40</v>
      </c>
      <c r="D8023">
        <v>6.1355940000000002</v>
      </c>
      <c r="E8023">
        <v>0.47551749999999998</v>
      </c>
      <c r="F8023" t="s">
        <v>46</v>
      </c>
      <c r="G8023">
        <v>-228.03540000000001</v>
      </c>
      <c r="H8023">
        <v>1.623621</v>
      </c>
      <c r="I8023">
        <v>304.89760000000001</v>
      </c>
      <c r="J8023">
        <v>-188.2097</v>
      </c>
      <c r="K8023">
        <v>1.106654</v>
      </c>
      <c r="L8023">
        <v>64.637050000000002</v>
      </c>
      <c r="M8023">
        <v>2.5952240000000001E-2</v>
      </c>
      <c r="N8023">
        <v>-1.5285969999999999E-2</v>
      </c>
      <c r="O8023">
        <v>0.9995463</v>
      </c>
      <c r="P8023">
        <v>-9.3024780000000001E-2</v>
      </c>
      <c r="Q8023">
        <v>-8.8714119999999994E-2</v>
      </c>
      <c r="R8023">
        <v>0.99170369999999997</v>
      </c>
      <c r="S8023">
        <v>-0.49253849999999999</v>
      </c>
      <c r="T8023">
        <v>6.3966509999999997E-3</v>
      </c>
      <c r="U8023">
        <v>2.9786380000000001</v>
      </c>
      <c r="V8023">
        <v>-0.11910560000000001</v>
      </c>
      <c r="W8023">
        <v>-7.2983030000000004E-2</v>
      </c>
      <c r="X8023">
        <v>0.99019559999999995</v>
      </c>
      <c r="Y8023">
        <v>-0.1886506</v>
      </c>
      <c r="Z8023">
        <v>1.7431080000000002E-2</v>
      </c>
      <c r="AA8023">
        <v>0.98188949999999997</v>
      </c>
      <c r="AB8023">
        <v>53</v>
      </c>
      <c r="AC8023">
        <v>-39.825699999999998</v>
      </c>
      <c r="AD8023">
        <v>0.51696699999999995</v>
      </c>
      <c r="AE8023">
        <v>240.26054999999999</v>
      </c>
      <c r="AF8023">
        <v>-46.048103537410697</v>
      </c>
      <c r="AG8023">
        <v>0.51696699999999995</v>
      </c>
      <c r="AH8023">
        <v>239.14484297440899</v>
      </c>
      <c r="AI8023">
        <v>89.878376265071196</v>
      </c>
      <c r="AJ8023">
        <v>100.899091044496</v>
      </c>
      <c r="AK8023">
        <v>243.53839741512201</v>
      </c>
      <c r="AL8023">
        <v>94.185340784933004</v>
      </c>
      <c r="AM8023">
        <v>96.858865928300801</v>
      </c>
      <c r="AN8023">
        <v>0.99999999643935</v>
      </c>
    </row>
    <row r="8024" spans="1:40" x14ac:dyDescent="0.25">
      <c r="A8024" t="str">
        <f>"20190305135118741"</f>
        <v>20190305135118741</v>
      </c>
      <c r="B8024" t="str">
        <f>"1551765078737493"</f>
        <v>1551765078737493</v>
      </c>
      <c r="C8024" t="s">
        <v>40</v>
      </c>
      <c r="D8024">
        <v>4.4608220000000003</v>
      </c>
      <c r="E8024">
        <v>0.55835880000000004</v>
      </c>
      <c r="F8024" t="s">
        <v>46</v>
      </c>
      <c r="G8024">
        <v>-228.03540000000001</v>
      </c>
      <c r="H8024">
        <v>1.628843</v>
      </c>
      <c r="I8024">
        <v>311.73489999999998</v>
      </c>
      <c r="J8024">
        <v>-188.1952</v>
      </c>
      <c r="K8024">
        <v>1.1066549999999999</v>
      </c>
      <c r="L8024">
        <v>65.166200000000003</v>
      </c>
      <c r="M8024">
        <v>2.7369999999999998E-2</v>
      </c>
      <c r="N8024">
        <v>-1.528326E-2</v>
      </c>
      <c r="O8024">
        <v>0.99950859999999997</v>
      </c>
      <c r="P8024">
        <v>-8.9091879999999998E-2</v>
      </c>
      <c r="Q8024">
        <v>-9.0715710000000005E-2</v>
      </c>
      <c r="R8024">
        <v>0.99188370000000003</v>
      </c>
      <c r="S8024">
        <v>-0.4803925</v>
      </c>
      <c r="T8024">
        <v>6.2998530000000002E-3</v>
      </c>
      <c r="U8024">
        <v>2.980591</v>
      </c>
      <c r="V8024">
        <v>-0.1165914</v>
      </c>
      <c r="W8024">
        <v>-7.4998659999999995E-2</v>
      </c>
      <c r="X8024">
        <v>0.99034420000000001</v>
      </c>
      <c r="Y8024">
        <v>-0.18604219999999999</v>
      </c>
      <c r="Z8024">
        <v>1.7397059999999999E-2</v>
      </c>
      <c r="AA8024">
        <v>0.98238769999999997</v>
      </c>
      <c r="AB8024">
        <v>53</v>
      </c>
      <c r="AC8024">
        <v>-39.840200000000003</v>
      </c>
      <c r="AD8024">
        <v>0.52218799999999999</v>
      </c>
      <c r="AE8024">
        <v>246.56870000000001</v>
      </c>
      <c r="AF8024">
        <v>-46.574440813542303</v>
      </c>
      <c r="AG8024">
        <v>0.52218799999999999</v>
      </c>
      <c r="AH8024">
        <v>245.38468057642999</v>
      </c>
      <c r="AI8024">
        <v>89.880211152779694</v>
      </c>
      <c r="AJ8024">
        <v>100.74700334872</v>
      </c>
      <c r="AK8024">
        <v>249.766075917043</v>
      </c>
      <c r="AL8024">
        <v>94.301145337273098</v>
      </c>
      <c r="AM8024">
        <v>96.714420058119103</v>
      </c>
      <c r="AN8024">
        <v>0.99999999401469697</v>
      </c>
    </row>
    <row r="8025" spans="1:40" x14ac:dyDescent="0.25">
      <c r="A8025" t="str">
        <f>"20190305135118764"</f>
        <v>20190305135118764</v>
      </c>
      <c r="B8025" t="str">
        <f>"1551765078757989"</f>
        <v>1551765078757989</v>
      </c>
      <c r="C8025" t="s">
        <v>40</v>
      </c>
      <c r="D8025">
        <v>4.3656739999999896</v>
      </c>
      <c r="E8025">
        <v>0.63132359999999998</v>
      </c>
      <c r="F8025" t="s">
        <v>45</v>
      </c>
      <c r="G8025">
        <v>-168.6412</v>
      </c>
      <c r="H8025">
        <v>6.220726</v>
      </c>
      <c r="I8025">
        <v>381.38529999999997</v>
      </c>
      <c r="J8025">
        <v>-188.17920000000001</v>
      </c>
      <c r="K8025">
        <v>1.1066510000000001</v>
      </c>
      <c r="L8025">
        <v>65.720669999999998</v>
      </c>
      <c r="M8025">
        <v>2.8853E-2</v>
      </c>
      <c r="N8025">
        <v>-1.528025E-2</v>
      </c>
      <c r="O8025">
        <v>0.99946690000000005</v>
      </c>
      <c r="P8025">
        <v>-8.4876569999999998E-2</v>
      </c>
      <c r="Q8025">
        <v>-9.2898069999999999E-2</v>
      </c>
      <c r="R8025">
        <v>0.99205140000000003</v>
      </c>
      <c r="S8025">
        <v>0.18835450000000001</v>
      </c>
      <c r="T8025">
        <v>4.926229E-2</v>
      </c>
      <c r="U8025">
        <v>3.0459900000000002</v>
      </c>
      <c r="V8025">
        <v>-0.1138603</v>
      </c>
      <c r="W8025">
        <v>-7.7196829999999994E-2</v>
      </c>
      <c r="X8025">
        <v>0.99049310000000002</v>
      </c>
      <c r="Y8025">
        <v>3.2861689999999999E-2</v>
      </c>
      <c r="Z8025">
        <v>3.1403609999999998E-2</v>
      </c>
      <c r="AA8025">
        <v>0.99896649999999998</v>
      </c>
      <c r="AB8025">
        <v>53</v>
      </c>
      <c r="AC8025">
        <v>19.538</v>
      </c>
      <c r="AD8025">
        <v>5.1140749999999997</v>
      </c>
      <c r="AE8025">
        <v>315.66462999999999</v>
      </c>
      <c r="AF8025">
        <v>10.418204974099099</v>
      </c>
      <c r="AG8025">
        <v>5.1140749999999997</v>
      </c>
      <c r="AH8025">
        <v>316.01434471248501</v>
      </c>
      <c r="AI8025">
        <v>89.073363972421802</v>
      </c>
      <c r="AJ8025">
        <v>88.111784889336704</v>
      </c>
      <c r="AK8025">
        <v>316.22738468078501</v>
      </c>
      <c r="AL8025">
        <v>94.427457239523505</v>
      </c>
      <c r="AM8025">
        <v>96.557547007445706</v>
      </c>
      <c r="AN8025">
        <v>1.0000000498128701</v>
      </c>
    </row>
    <row r="8026" spans="1:40" x14ac:dyDescent="0.25">
      <c r="A8026" t="str">
        <f>"20190305135118787"</f>
        <v>20190305135118787</v>
      </c>
      <c r="B8026" t="str">
        <f>"1551765078777512"</f>
        <v>1551765078777512</v>
      </c>
      <c r="C8026" t="s">
        <v>40</v>
      </c>
      <c r="D8026">
        <v>4.3344230000000001</v>
      </c>
      <c r="E8026">
        <v>0.62493719999999997</v>
      </c>
      <c r="F8026" t="s">
        <v>60</v>
      </c>
      <c r="G8026">
        <v>-163.15559999999999</v>
      </c>
      <c r="H8026">
        <v>7.4029489999999996</v>
      </c>
      <c r="I8026">
        <v>165.83260000000001</v>
      </c>
      <c r="J8026">
        <v>-188.1626</v>
      </c>
      <c r="K8026">
        <v>1.106663</v>
      </c>
      <c r="L8026">
        <v>66.269229999999993</v>
      </c>
      <c r="M8026">
        <v>3.030942E-2</v>
      </c>
      <c r="N8026">
        <v>-1.527708E-2</v>
      </c>
      <c r="O8026">
        <v>0.99942379999999997</v>
      </c>
      <c r="P8026">
        <v>-8.0671000000000007E-2</v>
      </c>
      <c r="Q8026">
        <v>-9.4267130000000005E-2</v>
      </c>
      <c r="R8026">
        <v>0.99227310000000002</v>
      </c>
      <c r="S8026">
        <v>0.77706909999999996</v>
      </c>
      <c r="T8026">
        <v>0.195523</v>
      </c>
      <c r="U8026">
        <v>3.1088260000000001</v>
      </c>
      <c r="V8026">
        <v>-0.1111103</v>
      </c>
      <c r="W8026">
        <v>-7.8582189999999996E-2</v>
      </c>
      <c r="X8026">
        <v>0.99069640000000003</v>
      </c>
      <c r="Y8026">
        <v>0.21234310000000001</v>
      </c>
      <c r="Z8026">
        <v>7.6257790000000006E-2</v>
      </c>
      <c r="AA8026">
        <v>0.9742151</v>
      </c>
      <c r="AB8026">
        <v>53</v>
      </c>
      <c r="AC8026">
        <v>25.007000000000001</v>
      </c>
      <c r="AD8026">
        <v>6.2962860000000003</v>
      </c>
      <c r="AE8026">
        <v>99.563369999999907</v>
      </c>
      <c r="AF8026">
        <v>21.895081878684501</v>
      </c>
      <c r="AG8026">
        <v>6.2962860000000003</v>
      </c>
      <c r="AH8026">
        <v>99.899843903032604</v>
      </c>
      <c r="AI8026">
        <v>86.477050196428607</v>
      </c>
      <c r="AJ8026">
        <v>77.637931325903494</v>
      </c>
      <c r="AK8026">
        <v>102.46470924039301</v>
      </c>
      <c r="AL8026">
        <v>94.507074588408599</v>
      </c>
      <c r="AM8026">
        <v>96.399194323702204</v>
      </c>
      <c r="AN8026">
        <v>1.0000000081621201</v>
      </c>
    </row>
    <row r="8027" spans="1:40" x14ac:dyDescent="0.25">
      <c r="A8027" t="str">
        <f>"20190305135118801"</f>
        <v>20190305135118801</v>
      </c>
      <c r="B8027" t="str">
        <f>"1551765078798004"</f>
        <v>1551765078798004</v>
      </c>
      <c r="C8027" t="s">
        <v>40</v>
      </c>
      <c r="D8027">
        <v>4.3303839999999996</v>
      </c>
      <c r="E8027">
        <v>0.62133509999999903</v>
      </c>
      <c r="F8027" t="s">
        <v>117</v>
      </c>
      <c r="G8027">
        <v>-165.6602</v>
      </c>
      <c r="H8027">
        <v>5.6831699999999996</v>
      </c>
      <c r="I8027">
        <v>160.39179999999999</v>
      </c>
      <c r="J8027">
        <v>-188.15170000000001</v>
      </c>
      <c r="K8027">
        <v>1.1066750000000001</v>
      </c>
      <c r="L8027">
        <v>66.611719999999906</v>
      </c>
      <c r="M8027">
        <v>3.1204519999999999E-2</v>
      </c>
      <c r="N8027">
        <v>-1.5274940000000001E-2</v>
      </c>
      <c r="O8027">
        <v>0.99939630000000002</v>
      </c>
      <c r="P8027">
        <v>-7.8239359999999994E-2</v>
      </c>
      <c r="Q8027">
        <v>-9.4127379999999997E-2</v>
      </c>
      <c r="R8027">
        <v>0.9924811</v>
      </c>
      <c r="S8027">
        <v>0.74063109999999999</v>
      </c>
      <c r="T8027">
        <v>0.15062879999999901</v>
      </c>
      <c r="U8027">
        <v>3.0979000000000001</v>
      </c>
      <c r="V8027">
        <v>-0.1095694</v>
      </c>
      <c r="W8027">
        <v>-7.8452220000000003E-2</v>
      </c>
      <c r="X8027">
        <v>0.99087829999999999</v>
      </c>
      <c r="Y8027">
        <v>0.20164969999999999</v>
      </c>
      <c r="Z8027">
        <v>6.2561060000000002E-2</v>
      </c>
      <c r="AA8027">
        <v>0.97745769999999998</v>
      </c>
      <c r="AB8027">
        <v>53</v>
      </c>
      <c r="AC8027">
        <v>22.491499999999998</v>
      </c>
      <c r="AD8027">
        <v>4.5764950000000004</v>
      </c>
      <c r="AE8027">
        <v>93.780079999999998</v>
      </c>
      <c r="AF8027">
        <v>19.509905627694302</v>
      </c>
      <c r="AG8027">
        <v>4.5764950000000004</v>
      </c>
      <c r="AH8027">
        <v>94.224131827494602</v>
      </c>
      <c r="AI8027">
        <v>87.276981620198598</v>
      </c>
      <c r="AJ8027">
        <v>78.301734083236695</v>
      </c>
      <c r="AK8027">
        <v>96.331551128026803</v>
      </c>
      <c r="AL8027">
        <v>94.499604809992704</v>
      </c>
      <c r="AM8027">
        <v>96.310020856591393</v>
      </c>
      <c r="AN8027">
        <v>1.0000000048250799</v>
      </c>
    </row>
    <row r="8028" spans="1:40" x14ac:dyDescent="0.25">
      <c r="A8028" t="str">
        <f>"20190305135118818"</f>
        <v>20190305135118818</v>
      </c>
      <c r="B8028" t="str">
        <f>"1551765078807768"</f>
        <v>1551765078807768</v>
      </c>
      <c r="C8028" t="s">
        <v>40</v>
      </c>
      <c r="D8028">
        <v>4.5491729999999997</v>
      </c>
      <c r="E8028">
        <v>0.61667349999999999</v>
      </c>
      <c r="F8028" t="s">
        <v>117</v>
      </c>
      <c r="G8028">
        <v>-166.2064</v>
      </c>
      <c r="H8028">
        <v>5.1263940000000003</v>
      </c>
      <c r="I8028">
        <v>160.8528</v>
      </c>
      <c r="J8028">
        <v>-188.13829999999999</v>
      </c>
      <c r="K8028">
        <v>1.106687</v>
      </c>
      <c r="L8028">
        <v>67.024079999999998</v>
      </c>
      <c r="M8028">
        <v>3.2263519999999997E-2</v>
      </c>
      <c r="N8028">
        <v>-1.5272259999999999E-2</v>
      </c>
      <c r="O8028">
        <v>0.99936270000000005</v>
      </c>
      <c r="P8028">
        <v>-7.5624990000000003E-2</v>
      </c>
      <c r="Q8028">
        <v>-9.5206180000000001E-2</v>
      </c>
      <c r="R8028">
        <v>0.99258080000000004</v>
      </c>
      <c r="S8028">
        <v>0.72001649999999995</v>
      </c>
      <c r="T8028">
        <v>0.13188529999999901</v>
      </c>
      <c r="U8028">
        <v>3.0920100000000001</v>
      </c>
      <c r="V8028">
        <v>-0.1080106</v>
      </c>
      <c r="W8028">
        <v>-7.9545199999999996E-2</v>
      </c>
      <c r="X8028">
        <v>0.99096229999999996</v>
      </c>
      <c r="Y8028">
        <v>0.1949234</v>
      </c>
      <c r="Z8028">
        <v>5.6814410000000003E-2</v>
      </c>
      <c r="AA8028">
        <v>0.97917160000000003</v>
      </c>
      <c r="AB8028">
        <v>53</v>
      </c>
      <c r="AC8028">
        <v>21.931899999999899</v>
      </c>
      <c r="AD8028">
        <v>4.0197070000000004</v>
      </c>
      <c r="AE8028">
        <v>93.828719999999905</v>
      </c>
      <c r="AF8028">
        <v>18.8600601760252</v>
      </c>
      <c r="AG8028">
        <v>4.0197070000000004</v>
      </c>
      <c r="AH8028">
        <v>94.323396557944605</v>
      </c>
      <c r="AI8028">
        <v>87.607056723142904</v>
      </c>
      <c r="AJ8028">
        <v>78.692765480719899</v>
      </c>
      <c r="AK8028">
        <v>96.2744153575415</v>
      </c>
      <c r="AL8028">
        <v>94.562424284983805</v>
      </c>
      <c r="AM8028">
        <v>96.220436397297206</v>
      </c>
      <c r="AN8028">
        <v>1.0000000042883399</v>
      </c>
    </row>
    <row r="8029" spans="1:40" x14ac:dyDescent="0.25">
      <c r="A8029" t="str">
        <f>"20190305135118833"</f>
        <v>20190305135118833</v>
      </c>
      <c r="B8029" t="str">
        <f>"1551765078828261"</f>
        <v>1551765078828261</v>
      </c>
      <c r="C8029" t="s">
        <v>40</v>
      </c>
      <c r="D8029">
        <v>4.5926400000000003</v>
      </c>
      <c r="E8029">
        <v>0.60900880000000002</v>
      </c>
      <c r="F8029" t="s">
        <v>60</v>
      </c>
      <c r="G8029">
        <v>-165.1182</v>
      </c>
      <c r="H8029">
        <v>4.3921000000000001</v>
      </c>
      <c r="I8029">
        <v>169.65530000000001</v>
      </c>
      <c r="J8029">
        <v>-188.1275</v>
      </c>
      <c r="K8029">
        <v>1.1067049999999901</v>
      </c>
      <c r="L8029">
        <v>67.34863</v>
      </c>
      <c r="M8029">
        <v>3.3080119999999998E-2</v>
      </c>
      <c r="N8029">
        <v>-1.527005E-2</v>
      </c>
      <c r="O8029">
        <v>0.99933609999999995</v>
      </c>
      <c r="P8029">
        <v>-7.4056010000000005E-2</v>
      </c>
      <c r="Q8029">
        <v>-9.5485609999999999E-2</v>
      </c>
      <c r="R8029">
        <v>0.99267229999999995</v>
      </c>
      <c r="S8029">
        <v>0.69187929999999997</v>
      </c>
      <c r="T8029">
        <v>9.8745470000000002E-2</v>
      </c>
      <c r="U8029">
        <v>3.084625</v>
      </c>
      <c r="V8029">
        <v>-0.1072515</v>
      </c>
      <c r="W8029">
        <v>-7.9834829999999996E-2</v>
      </c>
      <c r="X8029">
        <v>0.9910215</v>
      </c>
      <c r="Y8029">
        <v>0.1862453</v>
      </c>
      <c r="Z8029">
        <v>4.6503950000000002E-2</v>
      </c>
      <c r="AA8029">
        <v>0.98140210000000005</v>
      </c>
      <c r="AB8029">
        <v>53</v>
      </c>
      <c r="AC8029">
        <v>23.0093</v>
      </c>
      <c r="AD8029">
        <v>3.2853949999999998</v>
      </c>
      <c r="AE8029">
        <v>102.30667</v>
      </c>
      <c r="AF8029">
        <v>19.592760401532701</v>
      </c>
      <c r="AG8029">
        <v>3.2853949999999998</v>
      </c>
      <c r="AH8029">
        <v>102.910885996087</v>
      </c>
      <c r="AI8029">
        <v>88.203715990886494</v>
      </c>
      <c r="AJ8029">
        <v>79.220705774076094</v>
      </c>
      <c r="AK8029">
        <v>104.810879859667</v>
      </c>
      <c r="AL8029">
        <v>94.579071601103493</v>
      </c>
      <c r="AM8029">
        <v>96.176692086544705</v>
      </c>
      <c r="AN8029">
        <v>1.00000004889781</v>
      </c>
    </row>
    <row r="8030" spans="1:40" x14ac:dyDescent="0.25">
      <c r="A8030" t="str">
        <f>"20190305135118854"</f>
        <v>20190305135118854</v>
      </c>
      <c r="B8030" t="str">
        <f>"1551765078847780"</f>
        <v>1551765078847780</v>
      </c>
      <c r="C8030" t="s">
        <v>40</v>
      </c>
      <c r="D8030">
        <v>4.5946249999999997</v>
      </c>
      <c r="E8030">
        <v>0.60369229999999996</v>
      </c>
      <c r="F8030" t="s">
        <v>60</v>
      </c>
      <c r="G8030">
        <v>-166.63560000000001</v>
      </c>
      <c r="H8030">
        <v>2.7335410000000002</v>
      </c>
      <c r="I8030">
        <v>171.1721</v>
      </c>
      <c r="J8030">
        <v>-188.10990000000001</v>
      </c>
      <c r="K8030">
        <v>1.106743</v>
      </c>
      <c r="L8030">
        <v>67.859769999999997</v>
      </c>
      <c r="M8030">
        <v>3.4315270000000002E-2</v>
      </c>
      <c r="N8030">
        <v>-1.526627E-2</v>
      </c>
      <c r="O8030">
        <v>0.99929449999999997</v>
      </c>
      <c r="P8030">
        <v>-7.1338499999999999E-2</v>
      </c>
      <c r="Q8030">
        <v>-9.7422350000000005E-2</v>
      </c>
      <c r="R8030">
        <v>0.99268310000000004</v>
      </c>
      <c r="S8030">
        <v>0.63638309999999998</v>
      </c>
      <c r="T8030">
        <v>4.8172119999999999E-2</v>
      </c>
      <c r="U8030">
        <v>3.074249</v>
      </c>
      <c r="V8030">
        <v>-0.1057597</v>
      </c>
      <c r="W8030">
        <v>-8.1794270000000002E-2</v>
      </c>
      <c r="X8030">
        <v>0.99102199999999996</v>
      </c>
      <c r="Y8030">
        <v>0.1688858</v>
      </c>
      <c r="Z8030">
        <v>3.0587320000000001E-2</v>
      </c>
      <c r="AA8030">
        <v>0.98516090000000001</v>
      </c>
      <c r="AB8030">
        <v>53</v>
      </c>
      <c r="AC8030">
        <v>21.474299999999999</v>
      </c>
      <c r="AD8030">
        <v>1.62679799999999</v>
      </c>
      <c r="AE8030">
        <v>103.31233</v>
      </c>
      <c r="AF8030">
        <v>17.9117891256432</v>
      </c>
      <c r="AG8030">
        <v>1.62679799999999</v>
      </c>
      <c r="AH8030">
        <v>103.963742929047</v>
      </c>
      <c r="AI8030">
        <v>89.116537596611906</v>
      </c>
      <c r="AJ8030">
        <v>80.224547619983397</v>
      </c>
      <c r="AK8030">
        <v>105.508002090985</v>
      </c>
      <c r="AL8030">
        <v>94.691707851351495</v>
      </c>
      <c r="AM8030">
        <v>96.091425613321405</v>
      </c>
      <c r="AN8030">
        <v>1.0000000106164599</v>
      </c>
    </row>
    <row r="8031" spans="1:40" x14ac:dyDescent="0.25">
      <c r="A8031" t="str">
        <f>"20190305135118876"</f>
        <v>20190305135118876</v>
      </c>
      <c r="B8031" t="str">
        <f>"1551765078867301"</f>
        <v>1551765078867301</v>
      </c>
      <c r="C8031" t="s">
        <v>40</v>
      </c>
      <c r="D8031">
        <v>4.6045119999999997</v>
      </c>
      <c r="E8031">
        <v>0.59983560000000002</v>
      </c>
      <c r="F8031" t="s">
        <v>60</v>
      </c>
      <c r="G8031">
        <v>-167.6045</v>
      </c>
      <c r="H8031">
        <v>1.2783549999999999</v>
      </c>
      <c r="I8031">
        <v>172.14099999999999</v>
      </c>
      <c r="J8031">
        <v>-188.09119999999999</v>
      </c>
      <c r="K8031">
        <v>1.1067819999999999</v>
      </c>
      <c r="L8031">
        <v>68.385959999999997</v>
      </c>
      <c r="M8031">
        <v>3.5513089999999997E-2</v>
      </c>
      <c r="N8031">
        <v>-1.5262100000000001E-2</v>
      </c>
      <c r="O8031">
        <v>0.99925269999999999</v>
      </c>
      <c r="P8031">
        <v>-6.8383689999999997E-2</v>
      </c>
      <c r="Q8031">
        <v>-0.10075919999999999</v>
      </c>
      <c r="R8031">
        <v>0.99255789999999999</v>
      </c>
      <c r="S8031">
        <v>0.60287480000000004</v>
      </c>
      <c r="T8031">
        <v>5.0464869999999997E-3</v>
      </c>
      <c r="U8031">
        <v>3.0659480000000001</v>
      </c>
      <c r="V8031">
        <v>-0.103992</v>
      </c>
      <c r="W8031">
        <v>-8.5161299999999995E-2</v>
      </c>
      <c r="X8031">
        <v>0.99092539999999996</v>
      </c>
      <c r="Y8031">
        <v>0.1579257</v>
      </c>
      <c r="Z8031">
        <v>1.6827760000000001E-2</v>
      </c>
      <c r="AA8031">
        <v>0.98730759999999995</v>
      </c>
      <c r="AB8031">
        <v>53</v>
      </c>
      <c r="AC8031">
        <v>20.4866999999999</v>
      </c>
      <c r="AD8031">
        <v>0.171572999999999</v>
      </c>
      <c r="AE8031">
        <v>103.75503999999999</v>
      </c>
      <c r="AF8031">
        <v>16.788638866429501</v>
      </c>
      <c r="AG8031">
        <v>0.171572999999999</v>
      </c>
      <c r="AH8031">
        <v>104.416933171531</v>
      </c>
      <c r="AI8031">
        <v>89.907048164130401</v>
      </c>
      <c r="AJ8031">
        <v>80.865894129716594</v>
      </c>
      <c r="AK8031">
        <v>105.758138056745</v>
      </c>
      <c r="AL8031">
        <v>94.885300478838502</v>
      </c>
      <c r="AM8031">
        <v>95.990937932460696</v>
      </c>
      <c r="AN8031">
        <v>0.99999996572342398</v>
      </c>
    </row>
    <row r="8032" spans="1:40" x14ac:dyDescent="0.25">
      <c r="A8032" t="str">
        <f>"20190305135118898"</f>
        <v>20190305135118898</v>
      </c>
      <c r="B8032" t="str">
        <f>"1551765078887801"</f>
        <v>1551765078887801</v>
      </c>
      <c r="C8032" t="s">
        <v>40</v>
      </c>
      <c r="D8032">
        <v>4.6049259999999999</v>
      </c>
      <c r="E8032">
        <v>0.59658840000000002</v>
      </c>
      <c r="F8032" t="s">
        <v>43</v>
      </c>
      <c r="G8032">
        <v>-169.46520000000001</v>
      </c>
      <c r="H8032">
        <v>-0.05</v>
      </c>
      <c r="I8032">
        <v>166.20509999999999</v>
      </c>
      <c r="J8032">
        <v>-188.07159999999999</v>
      </c>
      <c r="K8032">
        <v>1.106851</v>
      </c>
      <c r="L8032">
        <v>68.920169999999999</v>
      </c>
      <c r="M8032">
        <v>3.6633949999999998E-2</v>
      </c>
      <c r="N8032">
        <v>-1.525783E-2</v>
      </c>
      <c r="O8032">
        <v>0.99921230000000005</v>
      </c>
      <c r="P8032">
        <v>-6.5717789999999998E-2</v>
      </c>
      <c r="Q8032">
        <v>-0.1022299</v>
      </c>
      <c r="R8032">
        <v>0.99258760000000001</v>
      </c>
      <c r="S8032">
        <v>0.58245849999999999</v>
      </c>
      <c r="T8032">
        <v>-3.6174060000000001E-2</v>
      </c>
      <c r="U8032">
        <v>3.058929</v>
      </c>
      <c r="V8032">
        <v>-0.1024283</v>
      </c>
      <c r="W8032">
        <v>-8.6663340000000005E-2</v>
      </c>
      <c r="X8032">
        <v>0.99095809999999995</v>
      </c>
      <c r="Y8032">
        <v>0.1509027</v>
      </c>
      <c r="Z8032">
        <v>3.564729E-3</v>
      </c>
      <c r="AA8032">
        <v>0.98854219999999904</v>
      </c>
      <c r="AB8032">
        <v>53</v>
      </c>
      <c r="AC8032">
        <v>18.606399999999901</v>
      </c>
      <c r="AD8032">
        <v>-1.1568510000000001</v>
      </c>
      <c r="AE8032">
        <v>97.284930000000003</v>
      </c>
      <c r="AF8032">
        <v>15.027511544546</v>
      </c>
      <c r="AG8032">
        <v>-1.1568510000000001</v>
      </c>
      <c r="AH8032">
        <v>97.887964336605904</v>
      </c>
      <c r="AI8032">
        <v>90.669256722242693</v>
      </c>
      <c r="AJ8032">
        <v>81.272236036065195</v>
      </c>
      <c r="AK8032">
        <v>99.041496199432899</v>
      </c>
      <c r="AL8032">
        <v>94.971680126990094</v>
      </c>
      <c r="AM8032">
        <v>95.901301017835195</v>
      </c>
      <c r="AN8032">
        <v>1.00000002354822</v>
      </c>
    </row>
    <row r="8033" spans="1:40" x14ac:dyDescent="0.25">
      <c r="A8033" t="str">
        <f>"20190305135118920"</f>
        <v>20190305135118920</v>
      </c>
      <c r="B8033" t="str">
        <f>"1551765078907317"</f>
        <v>1551765078907317</v>
      </c>
      <c r="C8033" t="s">
        <v>40</v>
      </c>
      <c r="D8033">
        <v>4.6138070000000004</v>
      </c>
      <c r="E8033">
        <v>0.59418990000000005</v>
      </c>
      <c r="F8033" t="s">
        <v>42</v>
      </c>
      <c r="G8033">
        <v>-178.98859999999999</v>
      </c>
      <c r="H8033">
        <v>7.9986379999999996E-2</v>
      </c>
      <c r="I8033">
        <v>117.9862</v>
      </c>
      <c r="J8033">
        <v>-188.0532</v>
      </c>
      <c r="K8033">
        <v>1.106941</v>
      </c>
      <c r="L8033">
        <v>69.410740000000004</v>
      </c>
      <c r="M8033">
        <v>3.7549720000000002E-2</v>
      </c>
      <c r="N8033">
        <v>-1.525368E-2</v>
      </c>
      <c r="O8033">
        <v>0.99917829999999996</v>
      </c>
      <c r="P8033">
        <v>-6.3151719999999995E-2</v>
      </c>
      <c r="Q8033">
        <v>-0.1029468</v>
      </c>
      <c r="R8033">
        <v>0.99268009999999995</v>
      </c>
      <c r="S8033">
        <v>0.5652161</v>
      </c>
      <c r="T8033">
        <v>-6.3899159999999997E-2</v>
      </c>
      <c r="U8033">
        <v>3.0532530000000002</v>
      </c>
      <c r="V8033">
        <v>-0.10075729999999999</v>
      </c>
      <c r="W8033">
        <v>-8.7414030000000004E-2</v>
      </c>
      <c r="X8033">
        <v>0.99106349999999999</v>
      </c>
      <c r="Y8033">
        <v>0.14492959999999999</v>
      </c>
      <c r="Z8033">
        <v>-5.4157060000000002E-3</v>
      </c>
      <c r="AA8033">
        <v>0.9894271</v>
      </c>
      <c r="AB8033">
        <v>53</v>
      </c>
      <c r="AC8033">
        <v>9.0646000000000093</v>
      </c>
      <c r="AD8033">
        <v>-1.0269546199999999</v>
      </c>
      <c r="AE8033">
        <v>48.5754599999999</v>
      </c>
      <c r="AF8033">
        <v>7.2308754226214997</v>
      </c>
      <c r="AG8033">
        <v>-1.0269546199999999</v>
      </c>
      <c r="AH8033">
        <v>48.860503703680401</v>
      </c>
      <c r="AI8033">
        <v>91.191101972347596</v>
      </c>
      <c r="AJ8033">
        <v>81.581886921923399</v>
      </c>
      <c r="AK8033">
        <v>49.403330022847399</v>
      </c>
      <c r="AL8033">
        <v>95.014855197586499</v>
      </c>
      <c r="AM8033">
        <v>95.805077879088699</v>
      </c>
      <c r="AN8033">
        <v>1.0000000535881799</v>
      </c>
    </row>
    <row r="8034" spans="1:40" x14ac:dyDescent="0.25">
      <c r="A8034" t="str">
        <f>"20190305135118942"</f>
        <v>20190305135118942</v>
      </c>
      <c r="B8034" t="str">
        <f>"1551765078937573"</f>
        <v>1551765078937573</v>
      </c>
      <c r="C8034" t="s">
        <v>40</v>
      </c>
      <c r="D8034">
        <v>4.6119130000000004</v>
      </c>
      <c r="E8034">
        <v>0.59154519999999899</v>
      </c>
      <c r="F8034" t="s">
        <v>42</v>
      </c>
      <c r="G8034">
        <v>-180.59350000000001</v>
      </c>
      <c r="H8034" s="1">
        <v>-2.7701259999999998E-6</v>
      </c>
      <c r="I8034">
        <v>110.4335</v>
      </c>
      <c r="J8034">
        <v>-188.03270000000001</v>
      </c>
      <c r="K8034">
        <v>1.1070739999999999</v>
      </c>
      <c r="L8034">
        <v>69.945130000000006</v>
      </c>
      <c r="M8034">
        <v>3.8388779999999997E-2</v>
      </c>
      <c r="N8034">
        <v>-1.524872E-2</v>
      </c>
      <c r="O8034">
        <v>0.99914650000000005</v>
      </c>
      <c r="P8034">
        <v>-6.0511080000000002E-2</v>
      </c>
      <c r="Q8034">
        <v>-0.1041272</v>
      </c>
      <c r="R8034">
        <v>0.99272150000000003</v>
      </c>
      <c r="S8034">
        <v>0.55441280000000004</v>
      </c>
      <c r="T8034">
        <v>-8.2269309999999998E-2</v>
      </c>
      <c r="U8034">
        <v>3.0488590000000002</v>
      </c>
      <c r="V8034">
        <v>-9.892695E-2</v>
      </c>
      <c r="W8034">
        <v>-8.8638800000000004E-2</v>
      </c>
      <c r="X8034">
        <v>0.99113910000000005</v>
      </c>
      <c r="Y8034">
        <v>0.14094699999999999</v>
      </c>
      <c r="Z8034">
        <v>-1.1397880000000001E-2</v>
      </c>
      <c r="AA8034">
        <v>0.98995160000000004</v>
      </c>
      <c r="AB8034">
        <v>53</v>
      </c>
      <c r="AC8034">
        <v>7.4391999999999996</v>
      </c>
      <c r="AD8034">
        <v>-1.10707677012599</v>
      </c>
      <c r="AE8034">
        <v>40.488369999999897</v>
      </c>
      <c r="AF8034">
        <v>5.8749862727678401</v>
      </c>
      <c r="AG8034">
        <v>-1.10707677012599</v>
      </c>
      <c r="AH8034">
        <v>40.714687237990702</v>
      </c>
      <c r="AI8034">
        <v>91.541592368798604</v>
      </c>
      <c r="AJ8034">
        <v>81.789095093632298</v>
      </c>
      <c r="AK8034">
        <v>41.151267775945399</v>
      </c>
      <c r="AL8034">
        <v>95.085302851916097</v>
      </c>
      <c r="AM8034">
        <v>95.699892159901594</v>
      </c>
      <c r="AN8034">
        <v>1.0000000469252699</v>
      </c>
    </row>
    <row r="8035" spans="1:40" x14ac:dyDescent="0.25">
      <c r="A8035" t="str">
        <f>"20190305135118964"</f>
        <v>20190305135118964</v>
      </c>
      <c r="B8035" t="str">
        <f>"1551765078958069"</f>
        <v>1551765078958069</v>
      </c>
      <c r="C8035" t="s">
        <v>40</v>
      </c>
      <c r="D8035">
        <v>4.6547669999999997</v>
      </c>
      <c r="E8035">
        <v>0.59019449999999996</v>
      </c>
      <c r="F8035" t="s">
        <v>42</v>
      </c>
      <c r="G8035">
        <v>-182.26390000000001</v>
      </c>
      <c r="H8035" s="1">
        <v>-2.9765229999999998E-6</v>
      </c>
      <c r="I8035">
        <v>102.346</v>
      </c>
      <c r="J8035">
        <v>-188.01169999999999</v>
      </c>
      <c r="K8035">
        <v>1.1072360000000001</v>
      </c>
      <c r="L8035">
        <v>70.483249999999998</v>
      </c>
      <c r="M8035">
        <v>3.904726E-2</v>
      </c>
      <c r="N8035">
        <v>-1.524349E-2</v>
      </c>
      <c r="O8035">
        <v>0.99912109999999998</v>
      </c>
      <c r="P8035">
        <v>-5.8754059999999997E-2</v>
      </c>
      <c r="Q8035">
        <v>-0.1056127</v>
      </c>
      <c r="R8035">
        <v>0.9926701</v>
      </c>
      <c r="S8035">
        <v>0.54199219999999904</v>
      </c>
      <c r="T8035">
        <v>-0.10401199999999999</v>
      </c>
      <c r="U8035">
        <v>3.0441280000000002</v>
      </c>
      <c r="V8035">
        <v>-9.7790420000000003E-2</v>
      </c>
      <c r="W8035">
        <v>-9.0174379999999998E-2</v>
      </c>
      <c r="X8035">
        <v>0.99111329999999997</v>
      </c>
      <c r="Y8035">
        <v>0.1366271</v>
      </c>
      <c r="Z8035">
        <v>-1.849831E-2</v>
      </c>
      <c r="AA8035">
        <v>0.99044980000000005</v>
      </c>
      <c r="AB8035">
        <v>53</v>
      </c>
      <c r="AC8035">
        <v>5.7477999999999803</v>
      </c>
      <c r="AD8035">
        <v>-1.107238976523</v>
      </c>
      <c r="AE8035">
        <v>31.862749999999998</v>
      </c>
      <c r="AF8035">
        <v>4.4938621909898799</v>
      </c>
      <c r="AG8035">
        <v>-1.107238976523</v>
      </c>
      <c r="AH8035">
        <v>32.025452119204601</v>
      </c>
      <c r="AI8035">
        <v>91.960943138854105</v>
      </c>
      <c r="AJ8035">
        <v>82.012319156578499</v>
      </c>
      <c r="AK8035">
        <v>32.358157533799798</v>
      </c>
      <c r="AL8035">
        <v>95.173639227976096</v>
      </c>
      <c r="AM8035">
        <v>95.634978087806203</v>
      </c>
      <c r="AN8035">
        <v>0.99999997924452499</v>
      </c>
    </row>
    <row r="8036" spans="1:40" x14ac:dyDescent="0.25">
      <c r="A8036" t="str">
        <f>"20190305135118987"</f>
        <v>20190305135118987</v>
      </c>
      <c r="B8036" t="str">
        <f>"1551765078977589"</f>
        <v>1551765078977589</v>
      </c>
      <c r="C8036" t="s">
        <v>40</v>
      </c>
      <c r="D8036">
        <v>4.6353730000000004</v>
      </c>
      <c r="E8036">
        <v>0.58898059999999997</v>
      </c>
      <c r="F8036" t="s">
        <v>42</v>
      </c>
      <c r="G8036">
        <v>-182.96299999999999</v>
      </c>
      <c r="H8036" s="1">
        <v>-5.299391E-6</v>
      </c>
      <c r="I8036">
        <v>99.076080000000005</v>
      </c>
      <c r="J8036">
        <v>-187.9907</v>
      </c>
      <c r="K8036">
        <v>1.107421</v>
      </c>
      <c r="L8036">
        <v>71.015230000000003</v>
      </c>
      <c r="M8036">
        <v>3.9513390000000002E-2</v>
      </c>
      <c r="N8036">
        <v>-1.5238659999999999E-2</v>
      </c>
      <c r="O8036">
        <v>0.99910279999999996</v>
      </c>
      <c r="P8036">
        <v>-5.6999849999999998E-2</v>
      </c>
      <c r="Q8036">
        <v>-0.106808</v>
      </c>
      <c r="R8036">
        <v>0.99264450000000004</v>
      </c>
      <c r="S8036">
        <v>0.53703310000000004</v>
      </c>
      <c r="T8036">
        <v>-0.11777700000000001</v>
      </c>
      <c r="U8036">
        <v>3.0414119999999998</v>
      </c>
      <c r="V8036">
        <v>-9.6460760000000006E-2</v>
      </c>
      <c r="W8036">
        <v>-9.1422400000000001E-2</v>
      </c>
      <c r="X8036">
        <v>0.99112929999999999</v>
      </c>
      <c r="Y8036">
        <v>0.13473160000000001</v>
      </c>
      <c r="Z8036">
        <v>-2.2999720000000001E-2</v>
      </c>
      <c r="AA8036">
        <v>0.99061520000000003</v>
      </c>
      <c r="AB8036">
        <v>53</v>
      </c>
      <c r="AC8036">
        <v>5.0277000000000003</v>
      </c>
      <c r="AD8036">
        <v>-1.107426299391</v>
      </c>
      <c r="AE8036">
        <v>28.060849999999999</v>
      </c>
      <c r="AF8036">
        <v>3.90896570367648</v>
      </c>
      <c r="AG8036">
        <v>-1.107426299391</v>
      </c>
      <c r="AH8036">
        <v>28.195067158253501</v>
      </c>
      <c r="AI8036">
        <v>92.227979354194702</v>
      </c>
      <c r="AJ8036">
        <v>82.106825001650293</v>
      </c>
      <c r="AK8036">
        <v>28.486281223415698</v>
      </c>
      <c r="AL8036">
        <v>95.2454419405137</v>
      </c>
      <c r="AM8036">
        <v>95.558753078823798</v>
      </c>
      <c r="AN8036">
        <v>1.00000001138001</v>
      </c>
    </row>
    <row r="8037" spans="1:40" x14ac:dyDescent="0.25">
      <c r="A8037" t="str">
        <f>"20190305135119008"</f>
        <v>20190305135119008</v>
      </c>
      <c r="B8037" t="str">
        <f>"1551765078998084"</f>
        <v>1551765078998084</v>
      </c>
      <c r="C8037" t="s">
        <v>40</v>
      </c>
      <c r="D8037">
        <v>4.6319839999999903</v>
      </c>
      <c r="E8037">
        <v>0.58798729999999999</v>
      </c>
      <c r="F8037" t="s">
        <v>42</v>
      </c>
      <c r="G8037">
        <v>-183.4238</v>
      </c>
      <c r="H8037" s="1">
        <v>-4.3537689999999999E-6</v>
      </c>
      <c r="I8037">
        <v>97.062359999999998</v>
      </c>
      <c r="J8037">
        <v>-187.97059999999999</v>
      </c>
      <c r="K8037">
        <v>1.10761</v>
      </c>
      <c r="L8037">
        <v>71.521180000000001</v>
      </c>
      <c r="M8037">
        <v>3.9782970000000001E-2</v>
      </c>
      <c r="N8037">
        <v>-1.5234620000000001E-2</v>
      </c>
      <c r="O8037">
        <v>0.99909219999999999</v>
      </c>
      <c r="P8037">
        <v>-5.5366739999999998E-2</v>
      </c>
      <c r="Q8037">
        <v>-0.10694289999999899</v>
      </c>
      <c r="R8037">
        <v>0.9927224</v>
      </c>
      <c r="S8037">
        <v>0.53282169999999995</v>
      </c>
      <c r="T8037">
        <v>-0.12920299999999901</v>
      </c>
      <c r="U8037">
        <v>3.03891</v>
      </c>
      <c r="V8037">
        <v>-9.505777E-2</v>
      </c>
      <c r="W8037">
        <v>-9.1607220000000003E-2</v>
      </c>
      <c r="X8037">
        <v>0.99124780000000001</v>
      </c>
      <c r="Y8037">
        <v>0.13325290000000001</v>
      </c>
      <c r="Z8037">
        <v>-2.6745640000000001E-2</v>
      </c>
      <c r="AA8037">
        <v>0.99072110000000002</v>
      </c>
      <c r="AB8037">
        <v>53</v>
      </c>
      <c r="AC8037">
        <v>4.5467999999999904</v>
      </c>
      <c r="AD8037">
        <v>-1.107614353769</v>
      </c>
      <c r="AE8037">
        <v>25.541180000000001</v>
      </c>
      <c r="AF8037">
        <v>3.5205603539148802</v>
      </c>
      <c r="AG8037">
        <v>-1.107614353769</v>
      </c>
      <c r="AH8037">
        <v>25.6550968471199</v>
      </c>
      <c r="AI8037">
        <v>92.449186249422695</v>
      </c>
      <c r="AJ8037">
        <v>82.186301037379593</v>
      </c>
      <c r="AK8037">
        <v>25.919204250850999</v>
      </c>
      <c r="AL8037">
        <v>95.256075862691304</v>
      </c>
      <c r="AM8037">
        <v>95.477747379298194</v>
      </c>
      <c r="AN8037">
        <v>1.00000003169917</v>
      </c>
    </row>
    <row r="8038" spans="1:40" x14ac:dyDescent="0.25">
      <c r="A8038" t="str">
        <f>"20190305135119022"</f>
        <v>20190305135119022</v>
      </c>
      <c r="B8038" t="str">
        <f>"1551765079017605"</f>
        <v>1551765079017605</v>
      </c>
      <c r="C8038" t="s">
        <v>40</v>
      </c>
      <c r="D8038">
        <v>4.6023290000000001</v>
      </c>
      <c r="E8038">
        <v>0.58709869999999897</v>
      </c>
      <c r="F8038" t="s">
        <v>42</v>
      </c>
      <c r="G8038">
        <v>-183.6113</v>
      </c>
      <c r="H8038" s="1">
        <v>-4.07176999999999E-6</v>
      </c>
      <c r="I8038">
        <v>96.482560000000007</v>
      </c>
      <c r="J8038">
        <v>-187.95779999999999</v>
      </c>
      <c r="K8038">
        <v>1.107734</v>
      </c>
      <c r="L8038">
        <v>71.844909999999999</v>
      </c>
      <c r="M8038">
        <v>3.9851730000000002E-2</v>
      </c>
      <c r="N8038">
        <v>-1.5232259999999999E-2</v>
      </c>
      <c r="O8038">
        <v>0.99908949999999996</v>
      </c>
      <c r="P8038">
        <v>-5.4795629999999998E-2</v>
      </c>
      <c r="Q8038">
        <v>-0.1070125</v>
      </c>
      <c r="R8038">
        <v>0.99274660000000003</v>
      </c>
      <c r="S8038">
        <v>0.53039550000000002</v>
      </c>
      <c r="T8038">
        <v>-0.1347632</v>
      </c>
      <c r="U8038">
        <v>3.037048</v>
      </c>
      <c r="V8038">
        <v>-9.4528429999999997E-2</v>
      </c>
      <c r="W8038">
        <v>-9.170847E-2</v>
      </c>
      <c r="X8038">
        <v>0.99128899999999998</v>
      </c>
      <c r="Y8038">
        <v>0.13250979999999901</v>
      </c>
      <c r="Z8038">
        <v>-2.8580789999999998E-2</v>
      </c>
      <c r="AA8038">
        <v>0.99076960000000003</v>
      </c>
      <c r="AB8038">
        <v>53</v>
      </c>
      <c r="AC8038">
        <v>4.34649999999999</v>
      </c>
      <c r="AD8038">
        <v>-1.1077380717700001</v>
      </c>
      <c r="AE8038">
        <v>24.637649999999901</v>
      </c>
      <c r="AF8038">
        <v>3.3545029844118899</v>
      </c>
      <c r="AG8038">
        <v>-1.1077380717700001</v>
      </c>
      <c r="AH8038">
        <v>24.742800982785301</v>
      </c>
      <c r="AI8038">
        <v>92.540218776270095</v>
      </c>
      <c r="AJ8038">
        <v>82.279204440115905</v>
      </c>
      <c r="AK8038">
        <v>24.993718698540999</v>
      </c>
      <c r="AL8038">
        <v>95.2619018848482</v>
      </c>
      <c r="AM8038">
        <v>95.4472028737176</v>
      </c>
      <c r="AN8038">
        <v>0.99999997453450196</v>
      </c>
    </row>
    <row r="8039" spans="1:40" x14ac:dyDescent="0.25">
      <c r="A8039" t="str">
        <f>"20190305135119036"</f>
        <v>20190305135119036</v>
      </c>
      <c r="B8039" t="str">
        <f>"1551765079027365"</f>
        <v>1551765079027365</v>
      </c>
      <c r="C8039" t="s">
        <v>40</v>
      </c>
      <c r="D8039">
        <v>4.6503180000000004</v>
      </c>
      <c r="E8039">
        <v>0.58670649999999902</v>
      </c>
      <c r="F8039" t="s">
        <v>42</v>
      </c>
      <c r="G8039">
        <v>-183.78460000000001</v>
      </c>
      <c r="H8039" s="1">
        <v>-3.821763E-6</v>
      </c>
      <c r="I8039">
        <v>95.971429999999998</v>
      </c>
      <c r="J8039">
        <v>-187.94499999999999</v>
      </c>
      <c r="K8039">
        <v>1.107856</v>
      </c>
      <c r="L8039">
        <v>72.166169999999994</v>
      </c>
      <c r="M8039">
        <v>3.9870889999999999E-2</v>
      </c>
      <c r="N8039">
        <v>-1.5229980000000001E-2</v>
      </c>
      <c r="O8039">
        <v>0.9990888</v>
      </c>
      <c r="P8039">
        <v>-5.3814710000000002E-2</v>
      </c>
      <c r="Q8039">
        <v>-0.1074522</v>
      </c>
      <c r="R8039">
        <v>0.99275270000000004</v>
      </c>
      <c r="S8039">
        <v>0.52511600000000003</v>
      </c>
      <c r="T8039">
        <v>-0.13938889999999901</v>
      </c>
      <c r="U8039">
        <v>3.0358890000000001</v>
      </c>
      <c r="V8039">
        <v>-9.3541120000000005E-2</v>
      </c>
      <c r="W8039">
        <v>-9.2179990000000003E-2</v>
      </c>
      <c r="X8039">
        <v>0.99133899999999997</v>
      </c>
      <c r="Y8039">
        <v>0.13087389999999999</v>
      </c>
      <c r="Z8039">
        <v>-3.0110700000000001E-2</v>
      </c>
      <c r="AA8039">
        <v>0.99094159999999998</v>
      </c>
      <c r="AB8039">
        <v>53</v>
      </c>
      <c r="AC8039">
        <v>4.1603999999999797</v>
      </c>
      <c r="AD8039">
        <v>-1.107859821763</v>
      </c>
      <c r="AE8039">
        <v>23.805260000000001</v>
      </c>
      <c r="AF8039">
        <v>3.2011165043991201</v>
      </c>
      <c r="AG8039">
        <v>-1.107859821763</v>
      </c>
      <c r="AH8039">
        <v>23.901991442184499</v>
      </c>
      <c r="AI8039">
        <v>92.630315210275</v>
      </c>
      <c r="AJ8039">
        <v>82.371951741156806</v>
      </c>
      <c r="AK8039">
        <v>24.140830457166899</v>
      </c>
      <c r="AL8039">
        <v>95.289032502010599</v>
      </c>
      <c r="AM8039">
        <v>95.390375730654895</v>
      </c>
      <c r="AN8039">
        <v>1.0000000523041199</v>
      </c>
    </row>
    <row r="8040" spans="1:40" x14ac:dyDescent="0.25">
      <c r="A8040" t="str">
        <f>"20190305135119055"</f>
        <v>20190305135119055</v>
      </c>
      <c r="B8040" t="str">
        <f>"1551765079047860"</f>
        <v>1551765079047860</v>
      </c>
      <c r="C8040" t="s">
        <v>40</v>
      </c>
      <c r="D8040">
        <v>4.6093630000000001</v>
      </c>
      <c r="E8040">
        <v>0.58593569999999995</v>
      </c>
      <c r="F8040" t="s">
        <v>42</v>
      </c>
      <c r="G8040">
        <v>-183.86279999999999</v>
      </c>
      <c r="H8040" s="1">
        <v>-3.717654E-6</v>
      </c>
      <c r="I8040">
        <v>95.761089999999996</v>
      </c>
      <c r="J8040">
        <v>-187.92679999999999</v>
      </c>
      <c r="K8040">
        <v>1.1080209999999999</v>
      </c>
      <c r="L8040">
        <v>72.621859999999998</v>
      </c>
      <c r="M8040">
        <v>3.9798920000000002E-2</v>
      </c>
      <c r="N8040">
        <v>-1.5226780000000001E-2</v>
      </c>
      <c r="O8040">
        <v>0.99909170000000003</v>
      </c>
      <c r="P8040">
        <v>-5.2411739999999998E-2</v>
      </c>
      <c r="Q8040">
        <v>-0.1088932</v>
      </c>
      <c r="R8040">
        <v>0.99267079999999996</v>
      </c>
      <c r="S8040">
        <v>0.52507019999999904</v>
      </c>
      <c r="T8040">
        <v>-0.1425005</v>
      </c>
      <c r="U8040">
        <v>3.0349430000000002</v>
      </c>
      <c r="V8040">
        <v>-9.2028289999999999E-2</v>
      </c>
      <c r="W8040">
        <v>-9.3665570000000004E-2</v>
      </c>
      <c r="X8040">
        <v>0.99134129999999998</v>
      </c>
      <c r="Y8040">
        <v>0.13097629999999999</v>
      </c>
      <c r="Z8040">
        <v>-3.1137129999999999E-2</v>
      </c>
      <c r="AA8040">
        <v>0.99089640000000001</v>
      </c>
      <c r="AB8040">
        <v>53</v>
      </c>
      <c r="AC8040">
        <v>4.0639999999999903</v>
      </c>
      <c r="AD8040">
        <v>-1.1080247176539999</v>
      </c>
      <c r="AE8040">
        <v>23.139230000000001</v>
      </c>
      <c r="AF8040">
        <v>3.13278777854948</v>
      </c>
      <c r="AG8040">
        <v>-1.1080247176539999</v>
      </c>
      <c r="AH8040">
        <v>23.230980019111598</v>
      </c>
      <c r="AI8040">
        <v>92.706250221561703</v>
      </c>
      <c r="AJ8040">
        <v>82.319774630914793</v>
      </c>
      <c r="AK8040">
        <v>23.467435110994298</v>
      </c>
      <c r="AL8040">
        <v>95.374520079022204</v>
      </c>
      <c r="AM8040">
        <v>95.303686749989794</v>
      </c>
      <c r="AN8040">
        <v>1.0000000091247101</v>
      </c>
    </row>
    <row r="8041" spans="1:40" x14ac:dyDescent="0.25">
      <c r="A8041" t="str">
        <f>"20190305135119078"</f>
        <v>20190305135119078</v>
      </c>
      <c r="B8041" t="str">
        <f>"1551765079067381"</f>
        <v>1551765079067381</v>
      </c>
      <c r="C8041" t="s">
        <v>40</v>
      </c>
      <c r="D8041">
        <v>4.5922890000000001</v>
      </c>
      <c r="E8041">
        <v>0.5852811</v>
      </c>
      <c r="F8041" t="s">
        <v>42</v>
      </c>
      <c r="G8041">
        <v>-184.0652</v>
      </c>
      <c r="H8041" s="1">
        <v>-3.4002300000000001E-6</v>
      </c>
      <c r="I8041">
        <v>94.999499999999998</v>
      </c>
      <c r="J8041">
        <v>-187.90549999999999</v>
      </c>
      <c r="K8041">
        <v>1.1082110000000001</v>
      </c>
      <c r="L8041">
        <v>73.162689999999998</v>
      </c>
      <c r="M8041">
        <v>3.9592240000000001E-2</v>
      </c>
      <c r="N8041">
        <v>-1.5222960000000001E-2</v>
      </c>
      <c r="O8041">
        <v>0.99909999999999999</v>
      </c>
      <c r="P8041">
        <v>-5.143002E-2</v>
      </c>
      <c r="Q8041">
        <v>-0.11029120000000001</v>
      </c>
      <c r="R8041">
        <v>0.9925678</v>
      </c>
      <c r="S8041">
        <v>0.52345280000000005</v>
      </c>
      <c r="T8041">
        <v>-0.15019289999999999</v>
      </c>
      <c r="U8041">
        <v>3.0332949999999999</v>
      </c>
      <c r="V8041">
        <v>-9.0797069999999994E-2</v>
      </c>
      <c r="W8041">
        <v>-9.5111570000000006E-2</v>
      </c>
      <c r="X8041">
        <v>0.99131720000000001</v>
      </c>
      <c r="Y8041">
        <v>0.13074249999999901</v>
      </c>
      <c r="Z8041">
        <v>-3.3665220000000003E-2</v>
      </c>
      <c r="AA8041">
        <v>0.99084459999999996</v>
      </c>
      <c r="AB8041">
        <v>53</v>
      </c>
      <c r="AC8041">
        <v>3.8402999999999801</v>
      </c>
      <c r="AD8041">
        <v>-1.1082144002299901</v>
      </c>
      <c r="AE8041">
        <v>21.83681</v>
      </c>
      <c r="AF8041">
        <v>2.9652118980257498</v>
      </c>
      <c r="AG8041">
        <v>-1.1082144002299901</v>
      </c>
      <c r="AH8041">
        <v>21.916993162551901</v>
      </c>
      <c r="AI8041">
        <v>92.868557869108997</v>
      </c>
      <c r="AJ8041">
        <v>82.295075590685997</v>
      </c>
      <c r="AK8041">
        <v>22.144417130383399</v>
      </c>
      <c r="AL8041">
        <v>95.457741079514307</v>
      </c>
      <c r="AM8041">
        <v>95.233253376706998</v>
      </c>
      <c r="AN8041">
        <v>1.0000000548421399</v>
      </c>
    </row>
    <row r="8042" spans="1:40" x14ac:dyDescent="0.25">
      <c r="A8042" t="str">
        <f>"20190305135119100"</f>
        <v>20190305135119100</v>
      </c>
      <c r="B8042" t="str">
        <f>"1551765079087877"</f>
        <v>1551765079087877</v>
      </c>
      <c r="C8042" t="s">
        <v>40</v>
      </c>
      <c r="D8042">
        <v>4.6576919999999999</v>
      </c>
      <c r="E8042">
        <v>0.58553719999999998</v>
      </c>
      <c r="F8042" t="s">
        <v>42</v>
      </c>
      <c r="G8042">
        <v>-184.2192</v>
      </c>
      <c r="H8042" s="1">
        <v>-3.2248910000000002E-6</v>
      </c>
      <c r="I8042">
        <v>94.604740000000007</v>
      </c>
      <c r="J8042">
        <v>-187.88550000000001</v>
      </c>
      <c r="K8042">
        <v>1.1083700000000001</v>
      </c>
      <c r="L8042">
        <v>73.670410000000004</v>
      </c>
      <c r="M8042">
        <v>3.931486E-2</v>
      </c>
      <c r="N8042">
        <v>-1.521934E-2</v>
      </c>
      <c r="O8042">
        <v>0.99911090000000002</v>
      </c>
      <c r="P8042">
        <v>-5.0570150000000001E-2</v>
      </c>
      <c r="Q8042">
        <v>-0.1118965</v>
      </c>
      <c r="R8042">
        <v>0.99243230000000004</v>
      </c>
      <c r="S8042">
        <v>0.52125549999999998</v>
      </c>
      <c r="T8042">
        <v>-0.1567086</v>
      </c>
      <c r="U8042">
        <v>3.0320429999999998</v>
      </c>
      <c r="V8042">
        <v>-8.9621770000000003E-2</v>
      </c>
      <c r="W8042">
        <v>-9.6757679999999999E-2</v>
      </c>
      <c r="X8042">
        <v>0.99126479999999995</v>
      </c>
      <c r="Y8042">
        <v>0.1303743</v>
      </c>
      <c r="Z8042">
        <v>-3.5808189999999997E-2</v>
      </c>
      <c r="AA8042">
        <v>0.99081799999999998</v>
      </c>
      <c r="AB8042">
        <v>53</v>
      </c>
      <c r="AC8042">
        <v>3.6663000000000001</v>
      </c>
      <c r="AD8042">
        <v>-1.1083732248909901</v>
      </c>
      <c r="AE8042">
        <v>20.934329999999999</v>
      </c>
      <c r="AF8042">
        <v>2.8326350442699</v>
      </c>
      <c r="AG8042">
        <v>-1.1083732248909901</v>
      </c>
      <c r="AH8042">
        <v>21.005168696771101</v>
      </c>
      <c r="AI8042">
        <v>92.993460924122203</v>
      </c>
      <c r="AJ8042">
        <v>82.3197570637209</v>
      </c>
      <c r="AK8042">
        <v>21.224264992679799</v>
      </c>
      <c r="AL8042">
        <v>95.552493538905296</v>
      </c>
      <c r="AM8042">
        <v>95.166153335010506</v>
      </c>
      <c r="AN8042">
        <v>1.00000000700797</v>
      </c>
    </row>
    <row r="8043" spans="1:40" x14ac:dyDescent="0.25">
      <c r="A8043" t="str">
        <f>"20190305135119121"</f>
        <v>20190305135119121</v>
      </c>
      <c r="B8043" t="str">
        <f>"1551765079118134"</f>
        <v>1551765079118134</v>
      </c>
      <c r="C8043" t="s">
        <v>40</v>
      </c>
      <c r="D8043">
        <v>4.6169669999999998</v>
      </c>
      <c r="E8043">
        <v>0.58614160000000004</v>
      </c>
      <c r="F8043" t="s">
        <v>42</v>
      </c>
      <c r="G8043">
        <v>-184.2653</v>
      </c>
      <c r="H8043" s="1">
        <v>-3.1928679999999999E-6</v>
      </c>
      <c r="I8043">
        <v>94.546639999999996</v>
      </c>
      <c r="J8043">
        <v>-187.8663</v>
      </c>
      <c r="K8043">
        <v>1.108509</v>
      </c>
      <c r="L8043">
        <v>74.162350000000004</v>
      </c>
      <c r="M8043">
        <v>3.899408E-2</v>
      </c>
      <c r="N8043">
        <v>-1.52157E-2</v>
      </c>
      <c r="O8043">
        <v>0.9991236</v>
      </c>
      <c r="P8043">
        <v>-4.9461140000000001E-2</v>
      </c>
      <c r="Q8043">
        <v>-0.1137842</v>
      </c>
      <c r="R8043">
        <v>0.99227350000000003</v>
      </c>
      <c r="S8043">
        <v>0.52569580000000005</v>
      </c>
      <c r="T8043">
        <v>-0.16094990000000001</v>
      </c>
      <c r="U8043">
        <v>3.0314939999999999</v>
      </c>
      <c r="V8043">
        <v>-8.8157620000000006E-2</v>
      </c>
      <c r="W8043">
        <v>-9.8680879999999999E-2</v>
      </c>
      <c r="X8043">
        <v>0.99120649999999999</v>
      </c>
      <c r="Y8043">
        <v>0.13212079999999901</v>
      </c>
      <c r="Z8043">
        <v>-3.7186080000000003E-2</v>
      </c>
      <c r="AA8043">
        <v>0.99053590000000002</v>
      </c>
      <c r="AB8043">
        <v>53</v>
      </c>
      <c r="AC8043">
        <v>3.6009999999999902</v>
      </c>
      <c r="AD8043">
        <v>-1.108512192868</v>
      </c>
      <c r="AE8043">
        <v>20.38429</v>
      </c>
      <c r="AF8043">
        <v>2.7952857132346201</v>
      </c>
      <c r="AG8043">
        <v>-1.108512192868</v>
      </c>
      <c r="AH8043">
        <v>20.450569441279601</v>
      </c>
      <c r="AI8043">
        <v>93.074122734966593</v>
      </c>
      <c r="AJ8043">
        <v>82.216759135666805</v>
      </c>
      <c r="AK8043">
        <v>20.670467144526501</v>
      </c>
      <c r="AL8043">
        <v>95.663214726400994</v>
      </c>
      <c r="AM8043">
        <v>95.082496932349997</v>
      </c>
      <c r="AN8043">
        <v>1.0000000038419401</v>
      </c>
    </row>
    <row r="8044" spans="1:40" x14ac:dyDescent="0.25">
      <c r="A8044" t="str">
        <f>"20190305135119143"</f>
        <v>20190305135119143</v>
      </c>
      <c r="B8044" t="str">
        <f>"1551765079137653"</f>
        <v>1551765079137653</v>
      </c>
      <c r="C8044" t="s">
        <v>40</v>
      </c>
      <c r="D8044">
        <v>4.9229960000000004</v>
      </c>
      <c r="E8044">
        <v>0.58660129999999999</v>
      </c>
      <c r="F8044" t="s">
        <v>42</v>
      </c>
      <c r="G8044">
        <v>-184.26570000000001</v>
      </c>
      <c r="H8044" s="1">
        <v>-3.2137319999999999E-6</v>
      </c>
      <c r="I8044">
        <v>94.608279999999993</v>
      </c>
      <c r="J8044">
        <v>-187.84559999999999</v>
      </c>
      <c r="K8044">
        <v>1.108649</v>
      </c>
      <c r="L8044">
        <v>74.697450000000003</v>
      </c>
      <c r="M8044">
        <v>3.8609860000000003E-2</v>
      </c>
      <c r="N8044">
        <v>-1.521164E-2</v>
      </c>
      <c r="O8044">
        <v>0.99913859999999999</v>
      </c>
      <c r="P8044">
        <v>-4.7806689999999999E-2</v>
      </c>
      <c r="Q8044">
        <v>-0.1143695</v>
      </c>
      <c r="R8044">
        <v>0.99228729999999998</v>
      </c>
      <c r="S8044">
        <v>0.53378300000000001</v>
      </c>
      <c r="T8044">
        <v>-0.16433800000000001</v>
      </c>
      <c r="U8044">
        <v>3.0311279999999998</v>
      </c>
      <c r="V8044">
        <v>-8.6091879999999996E-2</v>
      </c>
      <c r="W8044">
        <v>-9.9297330000000003E-2</v>
      </c>
      <c r="X8044">
        <v>0.9913265</v>
      </c>
      <c r="Y8044">
        <v>0.13507629999999901</v>
      </c>
      <c r="Z8044">
        <v>-3.8274410000000002E-2</v>
      </c>
      <c r="AA8044">
        <v>0.99009570000000002</v>
      </c>
      <c r="AB8044">
        <v>53</v>
      </c>
      <c r="AC8044">
        <v>3.5798999999999799</v>
      </c>
      <c r="AD8044">
        <v>-1.1086522137320001</v>
      </c>
      <c r="AE8044">
        <v>19.910830000000001</v>
      </c>
      <c r="AF8044">
        <v>2.7999776801080398</v>
      </c>
      <c r="AG8044">
        <v>-1.1086522137320001</v>
      </c>
      <c r="AH8044">
        <v>19.9742276622368</v>
      </c>
      <c r="AI8044">
        <v>93.146194214169498</v>
      </c>
      <c r="AJ8044">
        <v>82.020301745389503</v>
      </c>
      <c r="AK8044">
        <v>20.199969194109698</v>
      </c>
      <c r="AL8044">
        <v>95.698709058516798</v>
      </c>
      <c r="AM8044">
        <v>94.963406358572598</v>
      </c>
      <c r="AN8044">
        <v>1.0000000005746501</v>
      </c>
    </row>
    <row r="8045" spans="1:40" x14ac:dyDescent="0.25">
      <c r="A8045" t="str">
        <f>"20190305135119157"</f>
        <v>20190305135119157</v>
      </c>
      <c r="B8045" t="str">
        <f>"1551765079147414"</f>
        <v>1551765079147414</v>
      </c>
      <c r="C8045" t="s">
        <v>40</v>
      </c>
      <c r="D8045">
        <v>4.5926720000000003</v>
      </c>
      <c r="E8045">
        <v>0.58684780000000003</v>
      </c>
      <c r="F8045" t="s">
        <v>42</v>
      </c>
      <c r="G8045">
        <v>-184.161</v>
      </c>
      <c r="H8045" s="1">
        <v>-3.4714030000000002E-6</v>
      </c>
      <c r="I8045">
        <v>95.283569999999997</v>
      </c>
      <c r="J8045">
        <v>-187.83359999999999</v>
      </c>
      <c r="K8045">
        <v>1.108722</v>
      </c>
      <c r="L8045">
        <v>75.007140000000007</v>
      </c>
      <c r="M8045">
        <v>3.8376760000000003E-2</v>
      </c>
      <c r="N8045">
        <v>-1.520927E-2</v>
      </c>
      <c r="O8045">
        <v>0.99914760000000002</v>
      </c>
      <c r="P8045">
        <v>-4.730902E-2</v>
      </c>
      <c r="Q8045">
        <v>-0.11340980000000001</v>
      </c>
      <c r="R8045">
        <v>0.99242129999999995</v>
      </c>
      <c r="S8045">
        <v>0.54243469999999905</v>
      </c>
      <c r="T8045">
        <v>-0.16321329999999901</v>
      </c>
      <c r="U8045">
        <v>3.03064</v>
      </c>
      <c r="V8045">
        <v>-8.5352559999999994E-2</v>
      </c>
      <c r="W8045">
        <v>-9.8351880000000003E-2</v>
      </c>
      <c r="X8045">
        <v>0.99148460000000005</v>
      </c>
      <c r="Y8045">
        <v>0.13807559999999999</v>
      </c>
      <c r="Z8045">
        <v>-3.7897430000000003E-2</v>
      </c>
      <c r="AA8045">
        <v>0.98969640000000003</v>
      </c>
      <c r="AB8045">
        <v>53</v>
      </c>
      <c r="AC8045">
        <v>3.6726000000000099</v>
      </c>
      <c r="AD8045">
        <v>-1.1087254714029999</v>
      </c>
      <c r="AE8045">
        <v>20.276429999999898</v>
      </c>
      <c r="AF8045">
        <v>2.8833130832139999</v>
      </c>
      <c r="AG8045">
        <v>-1.1087254714029999</v>
      </c>
      <c r="AH8045">
        <v>20.343554279692999</v>
      </c>
      <c r="AI8045">
        <v>93.088730963304201</v>
      </c>
      <c r="AJ8045">
        <v>81.933138173632798</v>
      </c>
      <c r="AK8045">
        <v>20.576757937964601</v>
      </c>
      <c r="AL8045">
        <v>95.644272675278799</v>
      </c>
      <c r="AM8045">
        <v>94.920212126758003</v>
      </c>
      <c r="AN8045">
        <v>0.99999993191762104</v>
      </c>
    </row>
    <row r="8046" spans="1:40" x14ac:dyDescent="0.25">
      <c r="A8046" t="str">
        <f>"20190305135119176"</f>
        <v>20190305135119176</v>
      </c>
      <c r="B8046" t="str">
        <f>"1551765079167913"</f>
        <v>1551765079167913</v>
      </c>
      <c r="C8046" t="s">
        <v>40</v>
      </c>
      <c r="D8046">
        <v>4.6459799999999998</v>
      </c>
      <c r="E8046">
        <v>0.58723959999999997</v>
      </c>
      <c r="F8046" t="s">
        <v>42</v>
      </c>
      <c r="G8046">
        <v>-184.00229999999999</v>
      </c>
      <c r="H8046" s="1">
        <v>-3.9113470000000004E-6</v>
      </c>
      <c r="I8046">
        <v>96.270250000000004</v>
      </c>
      <c r="J8046">
        <v>-187.81530000000001</v>
      </c>
      <c r="K8046">
        <v>1.1088100000000001</v>
      </c>
      <c r="L8046">
        <v>75.488129999999998</v>
      </c>
      <c r="M8046">
        <v>3.8004339999999998E-2</v>
      </c>
      <c r="N8046">
        <v>-1.520552E-2</v>
      </c>
      <c r="O8046">
        <v>0.99916190000000005</v>
      </c>
      <c r="P8046">
        <v>-4.6535010000000002E-2</v>
      </c>
      <c r="Q8046">
        <v>-0.1143735</v>
      </c>
      <c r="R8046">
        <v>0.99234730000000004</v>
      </c>
      <c r="S8046">
        <v>0.54612729999999998</v>
      </c>
      <c r="T8046">
        <v>-0.15803989999999901</v>
      </c>
      <c r="U8046">
        <v>3.0308839999999999</v>
      </c>
      <c r="V8046">
        <v>-8.4183560000000004E-2</v>
      </c>
      <c r="W8046">
        <v>-9.9339049999999998E-2</v>
      </c>
      <c r="X8046">
        <v>0.99148619999999998</v>
      </c>
      <c r="Y8046">
        <v>0.13961100000000001</v>
      </c>
      <c r="Z8046">
        <v>-3.6209230000000002E-2</v>
      </c>
      <c r="AA8046">
        <v>0.98954419999999998</v>
      </c>
      <c r="AB8046">
        <v>53</v>
      </c>
      <c r="AC8046">
        <v>3.8130000000000099</v>
      </c>
      <c r="AD8046">
        <v>-1.1088139113469999</v>
      </c>
      <c r="AE8046">
        <v>20.782119999999999</v>
      </c>
      <c r="AF8046">
        <v>3.0120476155890401</v>
      </c>
      <c r="AG8046">
        <v>-1.1088139113469999</v>
      </c>
      <c r="AH8046">
        <v>20.854597427136198</v>
      </c>
      <c r="AI8046">
        <v>93.012284167989606</v>
      </c>
      <c r="AJ8046">
        <v>81.781552707627995</v>
      </c>
      <c r="AK8046">
        <v>21.100145330695899</v>
      </c>
      <c r="AL8046">
        <v>95.7011113093631</v>
      </c>
      <c r="AM8046">
        <v>94.853140532620102</v>
      </c>
      <c r="AN8046">
        <v>1.0000000017098001</v>
      </c>
    </row>
    <row r="8047" spans="1:40" x14ac:dyDescent="0.25">
      <c r="A8047" t="str">
        <f>"20190305135119199"</f>
        <v>20190305135119199</v>
      </c>
      <c r="B8047" t="str">
        <f>"1551765079187428"</f>
        <v>1551765079187428</v>
      </c>
      <c r="C8047" t="s">
        <v>40</v>
      </c>
      <c r="D8047">
        <v>4.5727739999999999</v>
      </c>
      <c r="E8047">
        <v>0.58775469999999996</v>
      </c>
      <c r="F8047" t="s">
        <v>42</v>
      </c>
      <c r="G8047">
        <v>-183.92169999999999</v>
      </c>
      <c r="H8047" s="1">
        <v>-4.1910299999999998E-6</v>
      </c>
      <c r="I8047">
        <v>96.888890000000004</v>
      </c>
      <c r="J8047">
        <v>-187.79580000000001</v>
      </c>
      <c r="K8047">
        <v>1.1088830000000001</v>
      </c>
      <c r="L8047">
        <v>76.005650000000003</v>
      </c>
      <c r="M8047">
        <v>3.7593719999999997E-2</v>
      </c>
      <c r="N8047">
        <v>-1.520145E-2</v>
      </c>
      <c r="O8047">
        <v>0.99917750000000005</v>
      </c>
      <c r="P8047">
        <v>-4.7070830000000001E-2</v>
      </c>
      <c r="Q8047">
        <v>-0.1169109</v>
      </c>
      <c r="R8047">
        <v>0.99202630000000003</v>
      </c>
      <c r="S8047">
        <v>0.55143739999999997</v>
      </c>
      <c r="T8047">
        <v>-0.1570375</v>
      </c>
      <c r="U8047">
        <v>3.0309140000000001</v>
      </c>
      <c r="V8047">
        <v>-8.4277420000000006E-2</v>
      </c>
      <c r="W8047">
        <v>-0.1019031</v>
      </c>
      <c r="X8047">
        <v>0.99121800000000004</v>
      </c>
      <c r="Y8047">
        <v>0.14169599999999999</v>
      </c>
      <c r="Z8047">
        <v>-3.587336E-2</v>
      </c>
      <c r="AA8047">
        <v>0.98926000000000003</v>
      </c>
      <c r="AB8047">
        <v>53</v>
      </c>
      <c r="AC8047">
        <v>3.8741000000000199</v>
      </c>
      <c r="AD8047">
        <v>-1.10888719102999</v>
      </c>
      <c r="AE8047">
        <v>20.883240000000001</v>
      </c>
      <c r="AF8047">
        <v>3.0778021218109801</v>
      </c>
      <c r="AG8047">
        <v>-1.10888719102999</v>
      </c>
      <c r="AH8047">
        <v>20.957009680292199</v>
      </c>
      <c r="AI8047">
        <v>92.996750829959396</v>
      </c>
      <c r="AJ8047">
        <v>81.645115784031603</v>
      </c>
      <c r="AK8047">
        <v>21.210816849978102</v>
      </c>
      <c r="AL8047">
        <v>95.848769855436998</v>
      </c>
      <c r="AM8047">
        <v>94.859833934083795</v>
      </c>
      <c r="AN8047">
        <v>1.0000000244177301</v>
      </c>
    </row>
    <row r="8048" spans="1:40" x14ac:dyDescent="0.25">
      <c r="A8048" t="str">
        <f>"20190305135119232"</f>
        <v>20190305135119232</v>
      </c>
      <c r="B8048" t="str">
        <f>"1551765079227446"</f>
        <v>1551765079227446</v>
      </c>
      <c r="C8048" t="s">
        <v>40</v>
      </c>
      <c r="D8048">
        <v>4.5900239999999997</v>
      </c>
      <c r="E8048">
        <v>0.58837890000000004</v>
      </c>
      <c r="F8048" t="s">
        <v>42</v>
      </c>
      <c r="G8048">
        <v>-183.93600000000001</v>
      </c>
      <c r="H8048" s="1">
        <v>-4.2926929999999996E-6</v>
      </c>
      <c r="I8048">
        <v>97.131770000000003</v>
      </c>
      <c r="J8048">
        <v>-187.7671</v>
      </c>
      <c r="K8048">
        <v>1.108978</v>
      </c>
      <c r="L8048">
        <v>76.778499999999994</v>
      </c>
      <c r="M8048">
        <v>3.6965779999999997E-2</v>
      </c>
      <c r="N8048">
        <v>-1.51953E-2</v>
      </c>
      <c r="O8048">
        <v>0.99920100000000001</v>
      </c>
      <c r="P8048">
        <v>-4.7833960000000002E-2</v>
      </c>
      <c r="Q8048">
        <v>-0.1193197</v>
      </c>
      <c r="R8048">
        <v>0.99170290000000005</v>
      </c>
      <c r="S8048">
        <v>0.553894</v>
      </c>
      <c r="T8048">
        <v>-0.15912780000000001</v>
      </c>
      <c r="U8048">
        <v>3.031647</v>
      </c>
      <c r="V8048">
        <v>-8.4377419999999995E-2</v>
      </c>
      <c r="W8048">
        <v>-0.1043443</v>
      </c>
      <c r="X8048">
        <v>0.99095549999999999</v>
      </c>
      <c r="Y8048">
        <v>0.14304600000000001</v>
      </c>
      <c r="Z8048">
        <v>-3.6537269999999997E-2</v>
      </c>
      <c r="AA8048">
        <v>0.98904139999999996</v>
      </c>
      <c r="AB8048">
        <v>53</v>
      </c>
      <c r="AC8048">
        <v>3.8311000000000202</v>
      </c>
      <c r="AD8048">
        <v>-1.108982292693</v>
      </c>
      <c r="AE8048">
        <v>20.353269999999899</v>
      </c>
      <c r="AF8048">
        <v>3.0672252001997502</v>
      </c>
      <c r="AG8048">
        <v>-1.108982292693</v>
      </c>
      <c r="AH8048">
        <v>20.422436470156399</v>
      </c>
      <c r="AI8048">
        <v>93.073824370270998</v>
      </c>
      <c r="AJ8048">
        <v>81.458644374318794</v>
      </c>
      <c r="AK8048">
        <v>20.681238442893701</v>
      </c>
      <c r="AL8048">
        <v>95.989389947800703</v>
      </c>
      <c r="AM8048">
        <v>94.866855419458403</v>
      </c>
      <c r="AN8048">
        <v>1.0000000424642901</v>
      </c>
    </row>
    <row r="8049" spans="1:40" x14ac:dyDescent="0.25">
      <c r="A8049" t="str">
        <f>"20190305135119255"</f>
        <v>20190305135119255</v>
      </c>
      <c r="B8049" t="str">
        <f>"1551765079247941"</f>
        <v>1551765079247941</v>
      </c>
      <c r="C8049" t="s">
        <v>40</v>
      </c>
      <c r="D8049">
        <v>4.629327</v>
      </c>
      <c r="E8049">
        <v>0.58853269999999902</v>
      </c>
      <c r="F8049" t="s">
        <v>42</v>
      </c>
      <c r="G8049">
        <v>-183.87719999999999</v>
      </c>
      <c r="H8049" s="1">
        <v>-4.6671660000000003E-6</v>
      </c>
      <c r="I8049">
        <v>97.980350000000001</v>
      </c>
      <c r="J8049">
        <v>-187.7467</v>
      </c>
      <c r="K8049">
        <v>1.109032</v>
      </c>
      <c r="L8049">
        <v>77.336550000000003</v>
      </c>
      <c r="M8049">
        <v>3.6502069999999998E-2</v>
      </c>
      <c r="N8049">
        <v>-1.519094E-2</v>
      </c>
      <c r="O8049">
        <v>0.9992181</v>
      </c>
      <c r="P8049">
        <v>-4.8999939999999999E-2</v>
      </c>
      <c r="Q8049">
        <v>-0.11996809999999999</v>
      </c>
      <c r="R8049">
        <v>0.9915678</v>
      </c>
      <c r="S8049">
        <v>0.55644229999999995</v>
      </c>
      <c r="T8049">
        <v>-0.15863540000000001</v>
      </c>
      <c r="U8049">
        <v>3.0328369999999998</v>
      </c>
      <c r="V8049">
        <v>-8.5062680000000002E-2</v>
      </c>
      <c r="W8049">
        <v>-0.10501199999999999</v>
      </c>
      <c r="X8049">
        <v>0.99082630000000005</v>
      </c>
      <c r="Y8049">
        <v>0.14424149999999999</v>
      </c>
      <c r="Z8049">
        <v>-3.6354740000000003E-2</v>
      </c>
      <c r="AA8049">
        <v>0.98887449999999999</v>
      </c>
      <c r="AB8049">
        <v>52</v>
      </c>
      <c r="AC8049">
        <v>3.8695000000000102</v>
      </c>
      <c r="AD8049">
        <v>-1.1090366671659999</v>
      </c>
      <c r="AE8049">
        <v>20.643799999999999</v>
      </c>
      <c r="AF8049">
        <v>3.10463609495954</v>
      </c>
      <c r="AG8049">
        <v>-1.1090366671659999</v>
      </c>
      <c r="AH8049">
        <v>20.713547947864601</v>
      </c>
      <c r="AI8049">
        <v>93.030989033226305</v>
      </c>
      <c r="AJ8049">
        <v>81.475716503462806</v>
      </c>
      <c r="AK8049">
        <v>20.974265093197602</v>
      </c>
      <c r="AL8049">
        <v>96.027858123933399</v>
      </c>
      <c r="AM8049">
        <v>94.906825408211802</v>
      </c>
      <c r="AN8049">
        <v>0.99999996822223503</v>
      </c>
    </row>
    <row r="8050" spans="1:40" x14ac:dyDescent="0.25">
      <c r="A8050" t="str">
        <f>"20190305135119288"</f>
        <v>20190305135119288</v>
      </c>
      <c r="B8050" t="str">
        <f>"1551765079278197"</f>
        <v>1551765079278197</v>
      </c>
      <c r="C8050" t="s">
        <v>40</v>
      </c>
      <c r="D8050">
        <v>4.5930400000000002</v>
      </c>
      <c r="E8050">
        <v>0.58895839999999999</v>
      </c>
      <c r="F8050" t="s">
        <v>42</v>
      </c>
      <c r="G8050">
        <v>-183.86789999999999</v>
      </c>
      <c r="H8050" s="1">
        <v>-4.9207619999999998E-6</v>
      </c>
      <c r="I8050">
        <v>98.567639999999997</v>
      </c>
      <c r="J8050">
        <v>-187.71940000000001</v>
      </c>
      <c r="K8050">
        <v>1.109094</v>
      </c>
      <c r="L8050">
        <v>78.096339999999998</v>
      </c>
      <c r="M8050">
        <v>3.5860330000000003E-2</v>
      </c>
      <c r="N8050">
        <v>-1.5185280000000001E-2</v>
      </c>
      <c r="O8050">
        <v>0.99924139999999995</v>
      </c>
      <c r="P8050">
        <v>-5.1511519999999998E-2</v>
      </c>
      <c r="Q8050">
        <v>-0.1215075</v>
      </c>
      <c r="R8050">
        <v>0.99125300000000005</v>
      </c>
      <c r="S8050">
        <v>0.55426030000000004</v>
      </c>
      <c r="T8050">
        <v>-0.15847240000000001</v>
      </c>
      <c r="U8050">
        <v>3.0337519999999998</v>
      </c>
      <c r="V8050">
        <v>-8.6908529999999998E-2</v>
      </c>
      <c r="W8050">
        <v>-0.1065774</v>
      </c>
      <c r="X8050">
        <v>0.99049900000000002</v>
      </c>
      <c r="Y8050">
        <v>0.1441364</v>
      </c>
      <c r="Z8050">
        <v>-3.6296759999999997E-2</v>
      </c>
      <c r="AA8050">
        <v>0.98889199999999999</v>
      </c>
      <c r="AB8050">
        <v>52</v>
      </c>
      <c r="AC8050">
        <v>3.8515000000000099</v>
      </c>
      <c r="AD8050">
        <v>-1.1090989207619999</v>
      </c>
      <c r="AE8050">
        <v>20.471299999999999</v>
      </c>
      <c r="AF8050">
        <v>3.1060245644150002</v>
      </c>
      <c r="AG8050">
        <v>-1.1090989207619999</v>
      </c>
      <c r="AH8050">
        <v>20.538038096748799</v>
      </c>
      <c r="AI8050">
        <v>93.056407328612494</v>
      </c>
      <c r="AJ8050">
        <v>81.400168185526596</v>
      </c>
      <c r="AK8050">
        <v>20.801165781616401</v>
      </c>
      <c r="AL8050">
        <v>96.118054622032403</v>
      </c>
      <c r="AM8050">
        <v>95.014414106610005</v>
      </c>
      <c r="AN8050">
        <v>1.00000005188925</v>
      </c>
    </row>
    <row r="8051" spans="1:40" x14ac:dyDescent="0.25">
      <c r="A8051" t="str">
        <f>"20190305135119311"</f>
        <v>20190305135119311</v>
      </c>
      <c r="B8051" t="str">
        <f>"1551765079307477"</f>
        <v>1551765079307477</v>
      </c>
      <c r="C8051" t="s">
        <v>40</v>
      </c>
      <c r="D8051">
        <v>4.5888119999999999</v>
      </c>
      <c r="E8051">
        <v>0.58943219999999996</v>
      </c>
      <c r="F8051" t="s">
        <v>42</v>
      </c>
      <c r="G8051">
        <v>-183.8819</v>
      </c>
      <c r="H8051" s="1">
        <v>-5.2273419999999998E-6</v>
      </c>
      <c r="I8051">
        <v>99.288089999999997</v>
      </c>
      <c r="J8051">
        <v>-187.7013</v>
      </c>
      <c r="K8051">
        <v>1.109124</v>
      </c>
      <c r="L8051">
        <v>78.608729999999994</v>
      </c>
      <c r="M8051">
        <v>3.5422160000000001E-2</v>
      </c>
      <c r="N8051">
        <v>-1.519211E-2</v>
      </c>
      <c r="O8051">
        <v>0.99925699999999995</v>
      </c>
      <c r="P8051">
        <v>-5.402995E-2</v>
      </c>
      <c r="Q8051">
        <v>-0.12296889999999901</v>
      </c>
      <c r="R8051">
        <v>0.99093869999999895</v>
      </c>
      <c r="S8051">
        <v>0.54969789999999996</v>
      </c>
      <c r="T8051">
        <v>-0.15886989999999901</v>
      </c>
      <c r="U8051">
        <v>3.0355530000000002</v>
      </c>
      <c r="V8051">
        <v>-8.8969939999999997E-2</v>
      </c>
      <c r="W8051">
        <v>-0.108047</v>
      </c>
      <c r="X8051">
        <v>0.9901567</v>
      </c>
      <c r="Y8051">
        <v>0.1430275</v>
      </c>
      <c r="Z8051">
        <v>-3.6399849999999997E-2</v>
      </c>
      <c r="AA8051">
        <v>0.98904910000000001</v>
      </c>
      <c r="AB8051">
        <v>52</v>
      </c>
      <c r="AC8051">
        <v>3.8193999999999999</v>
      </c>
      <c r="AD8051">
        <v>-1.1091292273419999</v>
      </c>
      <c r="AE8051">
        <v>20.6793599999999</v>
      </c>
      <c r="AF8051">
        <v>3.0758540842992002</v>
      </c>
      <c r="AG8051">
        <v>-1.1091292273419999</v>
      </c>
      <c r="AH8051">
        <v>20.7439813185586</v>
      </c>
      <c r="AI8051">
        <v>93.027510991125894</v>
      </c>
      <c r="AJ8051">
        <v>81.565810334283498</v>
      </c>
      <c r="AK8051">
        <v>21.000090641127102</v>
      </c>
      <c r="AL8051">
        <v>96.202745589101397</v>
      </c>
      <c r="AM8051">
        <v>95.1344894333063</v>
      </c>
      <c r="AN8051">
        <v>1.0000000474937401</v>
      </c>
    </row>
    <row r="8052" spans="1:40" x14ac:dyDescent="0.25">
      <c r="A8052" t="str">
        <f>"20190305135119324"</f>
        <v>20190305135119324</v>
      </c>
      <c r="B8052" t="str">
        <f>"1551765079318214"</f>
        <v>1551765079318214</v>
      </c>
      <c r="C8052" t="s">
        <v>40</v>
      </c>
      <c r="D8052">
        <v>4.5755030000000003</v>
      </c>
      <c r="E8052">
        <v>0.58961280000000005</v>
      </c>
      <c r="F8052" t="s">
        <v>42</v>
      </c>
      <c r="G8052">
        <v>-183.8518</v>
      </c>
      <c r="H8052" s="1">
        <v>-1.7720609999999999E-6</v>
      </c>
      <c r="I8052">
        <v>100.04819999999999</v>
      </c>
      <c r="J8052">
        <v>-187.69030000000001</v>
      </c>
      <c r="K8052">
        <v>1.1091549999999999</v>
      </c>
      <c r="L8052">
        <v>78.922939999999997</v>
      </c>
      <c r="M8052">
        <v>3.5147129999999999E-2</v>
      </c>
      <c r="N8052">
        <v>-1.5216449999999999E-2</v>
      </c>
      <c r="O8052">
        <v>0.99926630000000005</v>
      </c>
      <c r="P8052">
        <v>-5.5331539999999999E-2</v>
      </c>
      <c r="Q8052">
        <v>-0.1230704</v>
      </c>
      <c r="R8052">
        <v>0.99085420000000002</v>
      </c>
      <c r="S8052">
        <v>0.54541019999999996</v>
      </c>
      <c r="T8052">
        <v>-0.1571466</v>
      </c>
      <c r="U8052">
        <v>3.0376590000000001</v>
      </c>
      <c r="V8052">
        <v>-8.9990769999999998E-2</v>
      </c>
      <c r="W8052">
        <v>-0.10813150000000001</v>
      </c>
      <c r="X8052">
        <v>0.99005509999999997</v>
      </c>
      <c r="Y8052">
        <v>0.1418324</v>
      </c>
      <c r="Z8052">
        <v>-3.5793739999999998E-2</v>
      </c>
      <c r="AA8052">
        <v>0.98924330000000005</v>
      </c>
      <c r="AB8052">
        <v>52</v>
      </c>
      <c r="AC8052">
        <v>3.83850000000001</v>
      </c>
      <c r="AD8052">
        <v>-1.1091567720609901</v>
      </c>
      <c r="AE8052">
        <v>21.125260000000001</v>
      </c>
      <c r="AF8052">
        <v>3.0853162836514998</v>
      </c>
      <c r="AG8052">
        <v>-1.1091567720609901</v>
      </c>
      <c r="AH8052">
        <v>21.190584515332102</v>
      </c>
      <c r="AI8052">
        <v>92.965033022836295</v>
      </c>
      <c r="AJ8052">
        <v>81.716032980881707</v>
      </c>
      <c r="AK8052">
        <v>21.4427208491974</v>
      </c>
      <c r="AL8052">
        <v>96.207616343839106</v>
      </c>
      <c r="AM8052">
        <v>95.193611626301802</v>
      </c>
      <c r="AN8052">
        <v>0.99999993050672398</v>
      </c>
    </row>
    <row r="8053" spans="1:40" x14ac:dyDescent="0.25">
      <c r="A8053" t="str">
        <f>"20190305135119344"</f>
        <v>20190305135119344</v>
      </c>
      <c r="B8053" t="str">
        <f>"1551765079337733"</f>
        <v>1551765079337733</v>
      </c>
      <c r="C8053" t="s">
        <v>40</v>
      </c>
      <c r="D8053">
        <v>4.6869160000000001</v>
      </c>
      <c r="E8053">
        <v>0.58959069999999902</v>
      </c>
      <c r="F8053" t="s">
        <v>42</v>
      </c>
      <c r="G8053">
        <v>-183.80959999999999</v>
      </c>
      <c r="H8053" s="1">
        <v>-1.9882450000000001E-6</v>
      </c>
      <c r="I8053">
        <v>100.65049999999999</v>
      </c>
      <c r="J8053">
        <v>-187.67349999999999</v>
      </c>
      <c r="K8053">
        <v>1.1092169999999999</v>
      </c>
      <c r="L8053">
        <v>79.406890000000004</v>
      </c>
      <c r="M8053">
        <v>3.4716579999999997E-2</v>
      </c>
      <c r="N8053">
        <v>-1.5282179999999999E-2</v>
      </c>
      <c r="O8053">
        <v>0.99928030000000001</v>
      </c>
      <c r="P8053">
        <v>-5.681361E-2</v>
      </c>
      <c r="Q8053">
        <v>-0.1224456</v>
      </c>
      <c r="R8053">
        <v>0.99084779999999995</v>
      </c>
      <c r="S8053">
        <v>0.54273990000000005</v>
      </c>
      <c r="T8053">
        <v>-0.15512219999999999</v>
      </c>
      <c r="U8053">
        <v>3.0387270000000002</v>
      </c>
      <c r="V8053">
        <v>-9.1038930000000004E-2</v>
      </c>
      <c r="W8053">
        <v>-0.10745</v>
      </c>
      <c r="X8053">
        <v>0.99003359999999996</v>
      </c>
      <c r="Y8053">
        <v>0.14136119999999999</v>
      </c>
      <c r="Z8053">
        <v>-3.5061679999999998E-2</v>
      </c>
      <c r="AA8053">
        <v>0.98933700000000002</v>
      </c>
      <c r="AB8053">
        <v>52</v>
      </c>
      <c r="AC8053">
        <v>3.8639000000000001</v>
      </c>
      <c r="AD8053">
        <v>-1.1092189882450001</v>
      </c>
      <c r="AE8053">
        <v>21.243609999999901</v>
      </c>
      <c r="AF8053">
        <v>3.1157560817724401</v>
      </c>
      <c r="AG8053">
        <v>-1.1092189882450001</v>
      </c>
      <c r="AH8053">
        <v>21.3087241825131</v>
      </c>
      <c r="AI8053">
        <v>92.948527238907701</v>
      </c>
      <c r="AJ8053">
        <v>81.681177872595796</v>
      </c>
      <c r="AK8053">
        <v>21.563859325533599</v>
      </c>
      <c r="AL8053">
        <v>96.1683396326017</v>
      </c>
      <c r="AM8053">
        <v>95.2538806594861</v>
      </c>
      <c r="AN8053">
        <v>1.00000005920225</v>
      </c>
    </row>
    <row r="8054" spans="1:40" x14ac:dyDescent="0.25">
      <c r="A8054" t="str">
        <f>"20190305135119367"</f>
        <v>20190305135119367</v>
      </c>
      <c r="B8054" t="str">
        <f>"1551765079357253"</f>
        <v>1551765079357253</v>
      </c>
      <c r="C8054" t="s">
        <v>40</v>
      </c>
      <c r="D8054">
        <v>4.5039579999999999</v>
      </c>
      <c r="E8054">
        <v>0.56831809999999905</v>
      </c>
      <c r="F8054" t="s">
        <v>42</v>
      </c>
      <c r="G8054">
        <v>-183.76859999999999</v>
      </c>
      <c r="H8054" s="1">
        <v>-2.276535E-6</v>
      </c>
      <c r="I8054">
        <v>101.46559999999999</v>
      </c>
      <c r="J8054">
        <v>-187.6551</v>
      </c>
      <c r="K8054">
        <v>1.1092850000000001</v>
      </c>
      <c r="L8054">
        <v>79.945400000000006</v>
      </c>
      <c r="M8054">
        <v>3.4203869999999997E-2</v>
      </c>
      <c r="N8054">
        <v>-1.5388999999999899E-2</v>
      </c>
      <c r="O8054">
        <v>0.99929639999999997</v>
      </c>
      <c r="P8054">
        <v>-5.7922059999999997E-2</v>
      </c>
      <c r="Q8054">
        <v>-0.1215952</v>
      </c>
      <c r="R8054">
        <v>0.99088830000000006</v>
      </c>
      <c r="S8054">
        <v>0.53808590000000001</v>
      </c>
      <c r="T8054">
        <v>-0.15284790000000001</v>
      </c>
      <c r="U8054">
        <v>3.0396420000000002</v>
      </c>
      <c r="V8054">
        <v>-9.1631320000000002E-2</v>
      </c>
      <c r="W8054">
        <v>-0.10650320000000001</v>
      </c>
      <c r="X8054">
        <v>0.99008119999999999</v>
      </c>
      <c r="Y8054">
        <v>0.1403549</v>
      </c>
      <c r="Z8054">
        <v>-3.4215080000000002E-2</v>
      </c>
      <c r="AA8054">
        <v>0.98950990000000005</v>
      </c>
      <c r="AB8054">
        <v>52</v>
      </c>
      <c r="AC8054">
        <v>3.8865000000000101</v>
      </c>
      <c r="AD8054">
        <v>-1.1092872765349999</v>
      </c>
      <c r="AE8054">
        <v>21.5201999999999</v>
      </c>
      <c r="AF8054">
        <v>3.13998459185387</v>
      </c>
      <c r="AG8054">
        <v>-1.1092872765349999</v>
      </c>
      <c r="AH8054">
        <v>21.5850137083075</v>
      </c>
      <c r="AI8054">
        <v>92.911341045836807</v>
      </c>
      <c r="AJ8054">
        <v>81.7232071639324</v>
      </c>
      <c r="AK8054">
        <v>21.840394645857199</v>
      </c>
      <c r="AL8054">
        <v>96.113779218409405</v>
      </c>
      <c r="AM8054">
        <v>95.2876216831894</v>
      </c>
      <c r="AN8054">
        <v>1.00000000650431</v>
      </c>
    </row>
    <row r="8055" spans="1:40" x14ac:dyDescent="0.25">
      <c r="A8055" t="str">
        <f>"20190305135119388"</f>
        <v>20190305135119388</v>
      </c>
      <c r="B8055" t="str">
        <f>"1551765079377269"</f>
        <v>1551765079377269</v>
      </c>
      <c r="C8055" t="s">
        <v>40</v>
      </c>
      <c r="D8055">
        <v>4.4865930000000001</v>
      </c>
      <c r="E8055">
        <v>0.56981819999999905</v>
      </c>
      <c r="F8055" t="s">
        <v>42</v>
      </c>
      <c r="G8055">
        <v>-185.16739999999999</v>
      </c>
      <c r="H8055" s="1">
        <v>-1.5906620000000001E-6</v>
      </c>
      <c r="I8055">
        <v>100.5438</v>
      </c>
      <c r="J8055">
        <v>-187.6387</v>
      </c>
      <c r="K8055">
        <v>1.109367</v>
      </c>
      <c r="L8055">
        <v>80.435699999999997</v>
      </c>
      <c r="M8055">
        <v>3.3677949999999998E-2</v>
      </c>
      <c r="N8055">
        <v>-1.5524680000000001E-2</v>
      </c>
      <c r="O8055">
        <v>0.99931219999999998</v>
      </c>
      <c r="P8055">
        <v>-5.8991290000000002E-2</v>
      </c>
      <c r="Q8055">
        <v>-0.12253360000000001</v>
      </c>
      <c r="R8055">
        <v>0.99070959999999997</v>
      </c>
      <c r="S8055">
        <v>0.36581419999999998</v>
      </c>
      <c r="T8055">
        <v>-0.1631186</v>
      </c>
      <c r="U8055">
        <v>3.0289609999999998</v>
      </c>
      <c r="V8055">
        <v>-9.2158519999999994E-2</v>
      </c>
      <c r="W8055">
        <v>-0.1073229</v>
      </c>
      <c r="X8055">
        <v>0.98994369999999998</v>
      </c>
      <c r="Y8055">
        <v>8.6261389999999993E-2</v>
      </c>
      <c r="Z8055">
        <v>-3.7958180000000001E-2</v>
      </c>
      <c r="AA8055">
        <v>0.99554909999999996</v>
      </c>
      <c r="AB8055">
        <v>52</v>
      </c>
      <c r="AC8055">
        <v>2.47130000000001</v>
      </c>
      <c r="AD8055">
        <v>-1.1093685906620001</v>
      </c>
      <c r="AE8055">
        <v>20.1081</v>
      </c>
      <c r="AF8055">
        <v>1.7872575795429</v>
      </c>
      <c r="AG8055">
        <v>-1.1093685906620001</v>
      </c>
      <c r="AH8055">
        <v>20.119601110053701</v>
      </c>
      <c r="AI8055">
        <v>93.143664748105095</v>
      </c>
      <c r="AJ8055">
        <v>84.923645384676206</v>
      </c>
      <c r="AK8055">
        <v>20.229269318323301</v>
      </c>
      <c r="AL8055">
        <v>96.161015576009405</v>
      </c>
      <c r="AM8055">
        <v>95.318604447790705</v>
      </c>
      <c r="AN8055">
        <v>0.99999996342134401</v>
      </c>
    </row>
    <row r="8056" spans="1:40" x14ac:dyDescent="0.25">
      <c r="A8056" t="str">
        <f>"20190305135119412"</f>
        <v>20190305135119412</v>
      </c>
      <c r="B8056" t="str">
        <f>"1551765079407525"</f>
        <v>1551765079407525</v>
      </c>
      <c r="C8056" t="s">
        <v>40</v>
      </c>
      <c r="D8056">
        <v>4.6199170000000001</v>
      </c>
      <c r="E8056">
        <v>0.56746569999999996</v>
      </c>
      <c r="F8056" t="s">
        <v>42</v>
      </c>
      <c r="G8056">
        <v>-184.40940000000001</v>
      </c>
      <c r="H8056" s="1">
        <v>-3.9991499999999996E-6</v>
      </c>
      <c r="I8056">
        <v>106.64319999999999</v>
      </c>
      <c r="J8056">
        <v>-187.6215</v>
      </c>
      <c r="K8056">
        <v>1.1094820000000001</v>
      </c>
      <c r="L8056">
        <v>80.95908</v>
      </c>
      <c r="M8056">
        <v>3.3015589999999997E-2</v>
      </c>
      <c r="N8056">
        <v>-1.5711639999999999E-2</v>
      </c>
      <c r="O8056">
        <v>0.99933139999999998</v>
      </c>
      <c r="P8056">
        <v>-5.9597240000000003E-2</v>
      </c>
      <c r="Q8056">
        <v>-0.124144</v>
      </c>
      <c r="R8056">
        <v>0.99047289999999999</v>
      </c>
      <c r="S8056">
        <v>0.37391659999999999</v>
      </c>
      <c r="T8056">
        <v>-0.1284517</v>
      </c>
      <c r="U8056">
        <v>3.0345149999999999</v>
      </c>
      <c r="V8056">
        <v>-9.2076930000000001E-2</v>
      </c>
      <c r="W8056">
        <v>-0.10877000000000001</v>
      </c>
      <c r="X8056">
        <v>0.98979340000000005</v>
      </c>
      <c r="Y8056">
        <v>8.9374930000000005E-2</v>
      </c>
      <c r="Z8056">
        <v>-2.6343510000000001E-2</v>
      </c>
      <c r="AA8056">
        <v>0.99564960000000002</v>
      </c>
      <c r="AB8056">
        <v>52</v>
      </c>
      <c r="AC8056">
        <v>3.2120999999999902</v>
      </c>
      <c r="AD8056">
        <v>-1.1094859991499999</v>
      </c>
      <c r="AE8056">
        <v>25.68412</v>
      </c>
      <c r="AF8056">
        <v>2.3579352695101701</v>
      </c>
      <c r="AG8056">
        <v>-1.1094859991499999</v>
      </c>
      <c r="AH8056">
        <v>25.728905879096299</v>
      </c>
      <c r="AI8056">
        <v>92.458896371164499</v>
      </c>
      <c r="AJ8056">
        <v>84.763733600358194</v>
      </c>
      <c r="AK8056">
        <v>25.860537806722199</v>
      </c>
      <c r="AL8056">
        <v>96.244416169547605</v>
      </c>
      <c r="AM8056">
        <v>95.314725033632996</v>
      </c>
      <c r="AN8056">
        <v>1.00000002431089</v>
      </c>
    </row>
    <row r="8057" spans="1:40" x14ac:dyDescent="0.25">
      <c r="A8057" t="str">
        <f>"20190305135119433"</f>
        <v>20190305135119433</v>
      </c>
      <c r="B8057" t="str">
        <f>"1551765079428022"</f>
        <v>1551765079428022</v>
      </c>
      <c r="C8057" t="s">
        <v>40</v>
      </c>
      <c r="D8057">
        <v>4.6430400000000001</v>
      </c>
      <c r="E8057">
        <v>0.56697889999999995</v>
      </c>
      <c r="F8057" t="s">
        <v>41</v>
      </c>
      <c r="G8057">
        <v>-187.4862</v>
      </c>
      <c r="H8057">
        <v>1.0462020000000001</v>
      </c>
      <c r="I8057">
        <v>82.11618</v>
      </c>
      <c r="J8057">
        <v>-187.6053</v>
      </c>
      <c r="K8057">
        <v>1.109626</v>
      </c>
      <c r="L8057">
        <v>81.469179999999994</v>
      </c>
      <c r="M8057">
        <v>3.2243279999999999E-2</v>
      </c>
      <c r="N8057">
        <v>-1.5947969999999999E-2</v>
      </c>
      <c r="O8057">
        <v>0.99935280000000004</v>
      </c>
      <c r="P8057">
        <v>-6.0087809999999998E-2</v>
      </c>
      <c r="Q8057">
        <v>-0.12562110000000001</v>
      </c>
      <c r="R8057">
        <v>0.99025700000000005</v>
      </c>
      <c r="S8057">
        <v>0.35404970000000002</v>
      </c>
      <c r="T8057">
        <v>-0.16569909999999999</v>
      </c>
      <c r="U8057">
        <v>3.029388</v>
      </c>
      <c r="V8057">
        <v>-9.1765739999999998E-2</v>
      </c>
      <c r="W8057">
        <v>-0.110039</v>
      </c>
      <c r="X8057">
        <v>0.98968199999999995</v>
      </c>
      <c r="Y8057">
        <v>8.3859409999999995E-2</v>
      </c>
      <c r="Z8057">
        <v>-3.8391340000000003E-2</v>
      </c>
      <c r="AA8057">
        <v>0.99573780000000001</v>
      </c>
      <c r="AB8057">
        <v>52</v>
      </c>
      <c r="AC8057">
        <v>0.119100000000003</v>
      </c>
      <c r="AD8057">
        <v>-6.3423999999999897E-2</v>
      </c>
      <c r="AE8057">
        <v>0.64699999999999103</v>
      </c>
      <c r="AF8057">
        <v>9.7269926773806095E-2</v>
      </c>
      <c r="AG8057">
        <v>-6.3423999999999897E-2</v>
      </c>
      <c r="AH8057">
        <v>0.64451373458524597</v>
      </c>
      <c r="AI8057">
        <v>95.557616748484307</v>
      </c>
      <c r="AJ8057">
        <v>81.417696647134306</v>
      </c>
      <c r="AK8057">
        <v>0.65489082792447395</v>
      </c>
      <c r="AL8057">
        <v>96.317563772550301</v>
      </c>
      <c r="AM8057">
        <v>95.297458166305901</v>
      </c>
      <c r="AN8057">
        <v>0.99999999684137297</v>
      </c>
    </row>
    <row r="8058" spans="1:40" x14ac:dyDescent="0.25">
      <c r="A8058" t="str">
        <f>"20190305135119457"</f>
        <v>20190305135119457</v>
      </c>
      <c r="B8058" t="str">
        <f>"1551765079447541"</f>
        <v>1551765079447541</v>
      </c>
      <c r="C8058" t="s">
        <v>40</v>
      </c>
      <c r="D8058">
        <v>4.5849149999999996</v>
      </c>
      <c r="E8058">
        <v>0.5665365</v>
      </c>
      <c r="F8058" t="s">
        <v>41</v>
      </c>
      <c r="G8058">
        <v>-187.4778</v>
      </c>
      <c r="H8058">
        <v>1.0431870000000001</v>
      </c>
      <c r="I8058">
        <v>82.575599999999994</v>
      </c>
      <c r="J8058">
        <v>-187.58850000000001</v>
      </c>
      <c r="K8058">
        <v>1.1097939999999999</v>
      </c>
      <c r="L8058">
        <v>82.010310000000004</v>
      </c>
      <c r="M8058">
        <v>3.1289539999999998E-2</v>
      </c>
      <c r="N8058">
        <v>-1.6254379999999999E-2</v>
      </c>
      <c r="O8058">
        <v>0.99937819999999999</v>
      </c>
      <c r="P8058">
        <v>-6.0510540000000002E-2</v>
      </c>
      <c r="Q8058">
        <v>-0.1285888</v>
      </c>
      <c r="R8058">
        <v>0.98985020000000001</v>
      </c>
      <c r="S8058">
        <v>0.34877010000000003</v>
      </c>
      <c r="T8058">
        <v>-0.1818091</v>
      </c>
      <c r="U8058">
        <v>3.0276179999999999</v>
      </c>
      <c r="V8058">
        <v>-9.119244E-2</v>
      </c>
      <c r="W8058">
        <v>-0.1127358</v>
      </c>
      <c r="X8058">
        <v>0.98943139999999996</v>
      </c>
      <c r="Y8058">
        <v>8.3136329999999994E-2</v>
      </c>
      <c r="Z8058">
        <v>-4.339411E-2</v>
      </c>
      <c r="AA8058">
        <v>0.99559299999999995</v>
      </c>
      <c r="AB8058">
        <v>52</v>
      </c>
      <c r="AC8058">
        <v>0.110700000000008</v>
      </c>
      <c r="AD8058">
        <v>-6.6606999999999805E-2</v>
      </c>
      <c r="AE8058">
        <v>0.56528999999998997</v>
      </c>
      <c r="AF8058">
        <v>9.1729297849286906E-2</v>
      </c>
      <c r="AG8058">
        <v>-6.6606999999999805E-2</v>
      </c>
      <c r="AH8058">
        <v>0.56097670331974203</v>
      </c>
      <c r="AI8058">
        <v>96.683314667361898</v>
      </c>
      <c r="AJ8058">
        <v>80.713345219324097</v>
      </c>
      <c r="AK8058">
        <v>0.57231601253189601</v>
      </c>
      <c r="AL8058">
        <v>96.473046890005705</v>
      </c>
      <c r="AM8058">
        <v>95.265875102491606</v>
      </c>
      <c r="AN8058">
        <v>0.99999995851037504</v>
      </c>
    </row>
    <row r="8059" spans="1:40" x14ac:dyDescent="0.25">
      <c r="A8059" t="str">
        <f>"20190305135119479"</f>
        <v>20190305135119479</v>
      </c>
      <c r="B8059" t="str">
        <f>"1551765079468037"</f>
        <v>1551765079468037</v>
      </c>
      <c r="C8059" t="s">
        <v>40</v>
      </c>
      <c r="D8059">
        <v>4.6148300000000004</v>
      </c>
      <c r="E8059">
        <v>0.56642490000000001</v>
      </c>
      <c r="F8059" t="s">
        <v>41</v>
      </c>
      <c r="G8059">
        <v>-187.4717</v>
      </c>
      <c r="H8059">
        <v>1.043118</v>
      </c>
      <c r="I8059">
        <v>83.036900000000003</v>
      </c>
      <c r="J8059">
        <v>-187.57320000000001</v>
      </c>
      <c r="K8059">
        <v>1.109977</v>
      </c>
      <c r="L8059">
        <v>82.524600000000007</v>
      </c>
      <c r="M8059">
        <v>3.023062E-2</v>
      </c>
      <c r="N8059">
        <v>-1.6572730000000001E-2</v>
      </c>
      <c r="O8059">
        <v>0.99940560000000001</v>
      </c>
      <c r="P8059">
        <v>-6.1117970000000001E-2</v>
      </c>
      <c r="Q8059">
        <v>-0.13070109999999999</v>
      </c>
      <c r="R8059">
        <v>0.98953619999999998</v>
      </c>
      <c r="S8059">
        <v>0.3439178</v>
      </c>
      <c r="T8059">
        <v>-0.19664390000000001</v>
      </c>
      <c r="U8059">
        <v>3.0262449999999999</v>
      </c>
      <c r="V8059">
        <v>-9.0701039999999997E-2</v>
      </c>
      <c r="W8059">
        <v>-0.11456620000000001</v>
      </c>
      <c r="X8059">
        <v>0.98926630000000004</v>
      </c>
      <c r="Y8059">
        <v>8.2639850000000001E-2</v>
      </c>
      <c r="Z8059">
        <v>-4.7962289999999998E-2</v>
      </c>
      <c r="AA8059">
        <v>0.99542470000000005</v>
      </c>
      <c r="AB8059">
        <v>52</v>
      </c>
      <c r="AC8059">
        <v>0.10150000000001499</v>
      </c>
      <c r="AD8059">
        <v>-6.6859000000000002E-2</v>
      </c>
      <c r="AE8059">
        <v>0.51229999999999598</v>
      </c>
      <c r="AF8059">
        <v>8.4578181675650899E-2</v>
      </c>
      <c r="AG8059">
        <v>-6.6859000000000002E-2</v>
      </c>
      <c r="AH8059">
        <v>0.50682826914025603</v>
      </c>
      <c r="AI8059">
        <v>97.413513400144495</v>
      </c>
      <c r="AJ8059">
        <v>80.525930624549105</v>
      </c>
      <c r="AK8059">
        <v>0.51816839839599205</v>
      </c>
      <c r="AL8059">
        <v>96.578605083138598</v>
      </c>
      <c r="AM8059">
        <v>95.238526883230193</v>
      </c>
      <c r="AN8059">
        <v>0.99999995257760399</v>
      </c>
    </row>
    <row r="8060" spans="1:40" x14ac:dyDescent="0.25">
      <c r="A8060" t="str">
        <f>"20190305135119500"</f>
        <v>20190305135119500</v>
      </c>
      <c r="B8060" t="str">
        <f>"1551765079487557"</f>
        <v>1551765079487557</v>
      </c>
      <c r="C8060" t="s">
        <v>40</v>
      </c>
      <c r="D8060">
        <v>4.6174350000000004</v>
      </c>
      <c r="E8060">
        <v>0.5665869</v>
      </c>
      <c r="F8060" t="s">
        <v>41</v>
      </c>
      <c r="G8060">
        <v>-187.46360000000001</v>
      </c>
      <c r="H8060">
        <v>1.042751</v>
      </c>
      <c r="I8060">
        <v>83.496960000000001</v>
      </c>
      <c r="J8060">
        <v>-187.55969999999999</v>
      </c>
      <c r="K8060">
        <v>1.110171</v>
      </c>
      <c r="L8060">
        <v>83.000579999999999</v>
      </c>
      <c r="M8060">
        <v>2.909376E-2</v>
      </c>
      <c r="N8060">
        <v>-1.688427E-2</v>
      </c>
      <c r="O8060">
        <v>0.99943409999999999</v>
      </c>
      <c r="P8060">
        <v>-6.1910769999999997E-2</v>
      </c>
      <c r="Q8060">
        <v>-0.131495899999999</v>
      </c>
      <c r="R8060">
        <v>0.98938159999999997</v>
      </c>
      <c r="S8060">
        <v>0.3410492</v>
      </c>
      <c r="T8060">
        <v>-0.20913609999999999</v>
      </c>
      <c r="U8060">
        <v>3.0251459999999999</v>
      </c>
      <c r="V8060">
        <v>-9.0323390000000003E-2</v>
      </c>
      <c r="W8060">
        <v>-0.1150853</v>
      </c>
      <c r="X8060">
        <v>0.98924060000000003</v>
      </c>
      <c r="Y8060">
        <v>8.2856319999999997E-2</v>
      </c>
      <c r="Z8060">
        <v>-5.1762959999999997E-2</v>
      </c>
      <c r="AA8060">
        <v>0.99521630000000005</v>
      </c>
      <c r="AB8060">
        <v>52</v>
      </c>
      <c r="AC8060">
        <v>9.6099999999978494E-2</v>
      </c>
      <c r="AD8060">
        <v>-6.7419999999999994E-2</v>
      </c>
      <c r="AE8060">
        <v>0.49638000000000199</v>
      </c>
      <c r="AF8060">
        <v>8.0189793534905393E-2</v>
      </c>
      <c r="AG8060">
        <v>-6.7419999999999994E-2</v>
      </c>
      <c r="AH8060">
        <v>0.49024876352129498</v>
      </c>
      <c r="AI8060">
        <v>97.728870117278305</v>
      </c>
      <c r="AJ8060">
        <v>80.710417027158698</v>
      </c>
      <c r="AK8060">
        <v>0.50131797246989795</v>
      </c>
      <c r="AL8060">
        <v>96.608545357610694</v>
      </c>
      <c r="AM8060">
        <v>95.216970721641502</v>
      </c>
      <c r="AN8060">
        <v>0.99999995287276899</v>
      </c>
    </row>
    <row r="8061" spans="1:40" x14ac:dyDescent="0.25">
      <c r="A8061" t="str">
        <f>"20190305135119524"</f>
        <v>20190305135119524</v>
      </c>
      <c r="B8061" t="str">
        <f>"1551765079517814"</f>
        <v>1551765079517814</v>
      </c>
      <c r="C8061" t="s">
        <v>40</v>
      </c>
      <c r="D8061">
        <v>4.629543</v>
      </c>
      <c r="E8061">
        <v>0.56711420000000001</v>
      </c>
      <c r="F8061" t="s">
        <v>41</v>
      </c>
      <c r="G8061">
        <v>-187.4522</v>
      </c>
      <c r="H8061">
        <v>1.043501</v>
      </c>
      <c r="I8061">
        <v>83.956819999999993</v>
      </c>
      <c r="J8061">
        <v>-187.54499999999999</v>
      </c>
      <c r="K8061">
        <v>1.110414</v>
      </c>
      <c r="L8061">
        <v>83.543549999999996</v>
      </c>
      <c r="M8061">
        <v>2.759611E-2</v>
      </c>
      <c r="N8061">
        <v>-1.7252030000000002E-2</v>
      </c>
      <c r="O8061">
        <v>0.99947030000000003</v>
      </c>
      <c r="P8061">
        <v>-6.3168539999999995E-2</v>
      </c>
      <c r="Q8061">
        <v>-0.13205029999999901</v>
      </c>
      <c r="R8061">
        <v>0.9892282</v>
      </c>
      <c r="S8061">
        <v>0.3397522</v>
      </c>
      <c r="T8061">
        <v>-0.21101400000000001</v>
      </c>
      <c r="U8061">
        <v>3.0254210000000001</v>
      </c>
      <c r="V8061">
        <v>-9.0043109999999996E-2</v>
      </c>
      <c r="W8061">
        <v>-0.1153182</v>
      </c>
      <c r="X8061">
        <v>0.98923910000000004</v>
      </c>
      <c r="Y8061">
        <v>8.3913840000000003E-2</v>
      </c>
      <c r="Z8061">
        <v>-5.2005049999999997E-2</v>
      </c>
      <c r="AA8061">
        <v>0.99511499999999997</v>
      </c>
      <c r="AB8061">
        <v>52</v>
      </c>
      <c r="AC8061">
        <v>9.2799999999982605E-2</v>
      </c>
      <c r="AD8061">
        <v>-6.6913E-2</v>
      </c>
      <c r="AE8061">
        <v>0.41326999999999697</v>
      </c>
      <c r="AF8061">
        <v>7.9377301328584005E-2</v>
      </c>
      <c r="AG8061">
        <v>-6.6913E-2</v>
      </c>
      <c r="AH8061">
        <v>0.40555256377828403</v>
      </c>
      <c r="AI8061">
        <v>99.197498160334206</v>
      </c>
      <c r="AJ8061">
        <v>78.925707147022294</v>
      </c>
      <c r="AK8061">
        <v>0.41862989324980998</v>
      </c>
      <c r="AL8061">
        <v>96.621978518822402</v>
      </c>
      <c r="AM8061">
        <v>95.200878843727295</v>
      </c>
      <c r="AN8061">
        <v>1.00000002293926</v>
      </c>
    </row>
    <row r="8062" spans="1:40" x14ac:dyDescent="0.25">
      <c r="A8062" t="str">
        <f>"20190305135119547"</f>
        <v>20190305135119547</v>
      </c>
      <c r="B8062" t="str">
        <f>"1551765079537333"</f>
        <v>1551765079537333</v>
      </c>
      <c r="C8062" t="s">
        <v>40</v>
      </c>
      <c r="D8062">
        <v>4.8269129999999896</v>
      </c>
      <c r="E8062">
        <v>0.56713179999999996</v>
      </c>
      <c r="F8062" t="s">
        <v>41</v>
      </c>
      <c r="G8062">
        <v>-187.44649999999999</v>
      </c>
      <c r="H8062">
        <v>1.049102</v>
      </c>
      <c r="I8062">
        <v>84.420140000000004</v>
      </c>
      <c r="J8062">
        <v>-187.53139999999999</v>
      </c>
      <c r="K8062">
        <v>1.1106659999999999</v>
      </c>
      <c r="L8062">
        <v>84.082700000000003</v>
      </c>
      <c r="M8062">
        <v>2.589518E-2</v>
      </c>
      <c r="N8062">
        <v>-1.7610959999999998E-2</v>
      </c>
      <c r="O8062">
        <v>0.99950950000000005</v>
      </c>
      <c r="P8062">
        <v>-6.5494810000000001E-2</v>
      </c>
      <c r="Q8062">
        <v>-0.13246359999999999</v>
      </c>
      <c r="R8062">
        <v>0.9890217</v>
      </c>
      <c r="S8062">
        <v>0.33999629999999997</v>
      </c>
      <c r="T8062">
        <v>-0.211642</v>
      </c>
      <c r="U8062">
        <v>3.0261230000000001</v>
      </c>
      <c r="V8062">
        <v>-9.062307E-2</v>
      </c>
      <c r="W8062">
        <v>-0.11542760000000001</v>
      </c>
      <c r="X8062">
        <v>0.98917339999999998</v>
      </c>
      <c r="Y8062">
        <v>8.5660929999999996E-2</v>
      </c>
      <c r="Z8062">
        <v>-5.183393E-2</v>
      </c>
      <c r="AA8062">
        <v>0.9949751</v>
      </c>
      <c r="AB8062">
        <v>51</v>
      </c>
      <c r="AC8062">
        <v>8.4900000000004597E-2</v>
      </c>
      <c r="AD8062">
        <v>-6.1563999999999897E-2</v>
      </c>
      <c r="AE8062">
        <v>0.33744000000000002</v>
      </c>
      <c r="AF8062">
        <v>7.3821177711047403E-2</v>
      </c>
      <c r="AG8062">
        <v>-6.1563999999999897E-2</v>
      </c>
      <c r="AH8062">
        <v>0.32921966857736901</v>
      </c>
      <c r="AI8062">
        <v>100.340927336549</v>
      </c>
      <c r="AJ8062">
        <v>77.361573673939304</v>
      </c>
      <c r="AK8062">
        <v>0.34296542471922598</v>
      </c>
      <c r="AL8062">
        <v>96.628288678891707</v>
      </c>
      <c r="AM8062">
        <v>95.234537506568898</v>
      </c>
      <c r="AN8062">
        <v>1.00000004346277</v>
      </c>
    </row>
    <row r="8063" spans="1:40" x14ac:dyDescent="0.25">
      <c r="A8063" t="str">
        <f>"20190305135119569"</f>
        <v>20190305135119569</v>
      </c>
      <c r="B8063" t="str">
        <f>"1551765079557830"</f>
        <v>1551765079557830</v>
      </c>
      <c r="C8063" t="s">
        <v>40</v>
      </c>
      <c r="D8063">
        <v>4.818721</v>
      </c>
      <c r="E8063">
        <v>0.49177109999999902</v>
      </c>
      <c r="F8063" t="s">
        <v>42</v>
      </c>
      <c r="G8063">
        <v>-185.7499</v>
      </c>
      <c r="H8063" s="1">
        <v>-1.349856E-6</v>
      </c>
      <c r="I8063">
        <v>100.2916</v>
      </c>
      <c r="J8063">
        <v>-187.52</v>
      </c>
      <c r="K8063">
        <v>1.1109059999999999</v>
      </c>
      <c r="L8063">
        <v>84.573059999999998</v>
      </c>
      <c r="M8063">
        <v>2.416428E-2</v>
      </c>
      <c r="N8063">
        <v>-1.7917720000000002E-2</v>
      </c>
      <c r="O8063">
        <v>0.99954739999999997</v>
      </c>
      <c r="P8063">
        <v>-6.7778539999999998E-2</v>
      </c>
      <c r="Q8063">
        <v>-0.1329089</v>
      </c>
      <c r="R8063">
        <v>0.98880800000000002</v>
      </c>
      <c r="S8063">
        <v>0.3327484</v>
      </c>
      <c r="T8063">
        <v>-0.20745179999999999</v>
      </c>
      <c r="U8063">
        <v>3.0275270000000001</v>
      </c>
      <c r="V8063">
        <v>-9.1133740000000005E-2</v>
      </c>
      <c r="W8063">
        <v>-0.1156191</v>
      </c>
      <c r="X8063">
        <v>0.98910410000000004</v>
      </c>
      <c r="Y8063">
        <v>8.4991629999999999E-2</v>
      </c>
      <c r="Z8063">
        <v>-5.0140990000000003E-2</v>
      </c>
      <c r="AA8063">
        <v>0.99511919999999998</v>
      </c>
      <c r="AB8063">
        <v>51</v>
      </c>
      <c r="AC8063">
        <v>1.77010000000001</v>
      </c>
      <c r="AD8063">
        <v>-1.110907349856</v>
      </c>
      <c r="AE8063">
        <v>15.718540000000001</v>
      </c>
      <c r="AF8063">
        <v>1.38287388370013</v>
      </c>
      <c r="AG8063">
        <v>-1.110907349856</v>
      </c>
      <c r="AH8063">
        <v>15.6793917412369</v>
      </c>
      <c r="AI8063">
        <v>94.037096472151603</v>
      </c>
      <c r="AJ8063">
        <v>84.959731263490994</v>
      </c>
      <c r="AK8063">
        <v>15.7794100236147</v>
      </c>
      <c r="AL8063">
        <v>96.639334881256502</v>
      </c>
      <c r="AM8063">
        <v>95.264236138850904</v>
      </c>
      <c r="AN8063">
        <v>1.000000027744</v>
      </c>
    </row>
    <row r="8064" spans="1:40" x14ac:dyDescent="0.25">
      <c r="A8064" t="str">
        <f>"20190305135119590"</f>
        <v>20190305135119590</v>
      </c>
      <c r="B8064" t="str">
        <f>"1551765079577349"</f>
        <v>1551765079577349</v>
      </c>
      <c r="C8064" t="s">
        <v>40</v>
      </c>
      <c r="D8064">
        <v>4.6876540000000002</v>
      </c>
      <c r="E8064">
        <v>0.48045139999999997</v>
      </c>
      <c r="F8064" t="s">
        <v>94</v>
      </c>
      <c r="G8064">
        <v>-191.00819999999999</v>
      </c>
      <c r="H8064" s="1">
        <v>-1.772117E-6</v>
      </c>
      <c r="I8064">
        <v>122.3391</v>
      </c>
      <c r="J8064">
        <v>-187.5102</v>
      </c>
      <c r="K8064">
        <v>1.111132</v>
      </c>
      <c r="L8064">
        <v>85.033289999999994</v>
      </c>
      <c r="M8064">
        <v>2.239029E-2</v>
      </c>
      <c r="N8064">
        <v>-1.8170059999999998E-2</v>
      </c>
      <c r="O8064">
        <v>0.99958420000000003</v>
      </c>
      <c r="P8064">
        <v>-7.0831060000000001E-2</v>
      </c>
      <c r="Q8064">
        <v>-0.13336429999999999</v>
      </c>
      <c r="R8064">
        <v>0.98853270000000004</v>
      </c>
      <c r="S8064">
        <v>-0.27737430000000002</v>
      </c>
      <c r="T8064">
        <v>-8.833647E-2</v>
      </c>
      <c r="U8064">
        <v>3.0030519999999998</v>
      </c>
      <c r="V8064">
        <v>-9.2372200000000002E-2</v>
      </c>
      <c r="W8064">
        <v>-0.11587699999999999</v>
      </c>
      <c r="X8064">
        <v>0.98895900000000003</v>
      </c>
      <c r="Y8064">
        <v>-0.1141939</v>
      </c>
      <c r="Z8064">
        <v>-1.1047639999999999E-2</v>
      </c>
      <c r="AA8064">
        <v>0.99339710000000003</v>
      </c>
      <c r="AB8064">
        <v>51</v>
      </c>
      <c r="AC8064">
        <v>-3.49799999999999</v>
      </c>
      <c r="AD8064">
        <v>-1.111133772117</v>
      </c>
      <c r="AE8064">
        <v>37.305810000000001</v>
      </c>
      <c r="AF8064">
        <v>-4.3287419641044602</v>
      </c>
      <c r="AG8064">
        <v>-1.111133772117</v>
      </c>
      <c r="AH8064">
        <v>37.185420174280701</v>
      </c>
      <c r="AI8064">
        <v>91.700066698229605</v>
      </c>
      <c r="AJ8064">
        <v>96.639896720688597</v>
      </c>
      <c r="AK8064">
        <v>37.4530118787414</v>
      </c>
      <c r="AL8064">
        <v>96.654211618645903</v>
      </c>
      <c r="AM8064">
        <v>95.336142555796798</v>
      </c>
      <c r="AN8064">
        <v>1.00000000307142</v>
      </c>
    </row>
    <row r="8065" spans="1:40" x14ac:dyDescent="0.25">
      <c r="A8065" t="str">
        <f>"20190305135119612"</f>
        <v>20190305135119612</v>
      </c>
      <c r="B8065" t="str">
        <f>"1551765079607606"</f>
        <v>1551765079607606</v>
      </c>
      <c r="C8065" t="s">
        <v>40</v>
      </c>
      <c r="D8065">
        <v>4.6129790000000002</v>
      </c>
      <c r="E8065">
        <v>0.47675469999999998</v>
      </c>
      <c r="F8065" t="s">
        <v>94</v>
      </c>
      <c r="G8065">
        <v>-193.11609999999999</v>
      </c>
      <c r="H8065" s="1">
        <v>-5.3395040000000004E-6</v>
      </c>
      <c r="I8065">
        <v>129.59790000000001</v>
      </c>
      <c r="J8065">
        <v>-187.50030000000001</v>
      </c>
      <c r="K8065">
        <v>1.1113519999999999</v>
      </c>
      <c r="L8065">
        <v>85.550569999999993</v>
      </c>
      <c r="M8065">
        <v>2.0250939999999999E-2</v>
      </c>
      <c r="N8065">
        <v>-1.8400920000000001E-2</v>
      </c>
      <c r="O8065">
        <v>0.9996256</v>
      </c>
      <c r="P8065">
        <v>-7.4743550000000006E-2</v>
      </c>
      <c r="Q8065">
        <v>-0.13328429999999999</v>
      </c>
      <c r="R8065">
        <v>0.98825540000000001</v>
      </c>
      <c r="S8065">
        <v>-0.3770905</v>
      </c>
      <c r="T8065">
        <v>-7.474256E-2</v>
      </c>
      <c r="U8065">
        <v>2.9977109999999998</v>
      </c>
      <c r="V8065">
        <v>-9.4111639999999996E-2</v>
      </c>
      <c r="W8065">
        <v>-0.11562649999999999</v>
      </c>
      <c r="X8065">
        <v>0.98882429999999999</v>
      </c>
      <c r="Y8065">
        <v>-0.144819899999999</v>
      </c>
      <c r="Z8065">
        <v>-6.2663969999999999E-3</v>
      </c>
      <c r="AA8065">
        <v>0.98943820000000005</v>
      </c>
      <c r="AB8065">
        <v>51</v>
      </c>
      <c r="AC8065">
        <v>-5.6157999999999699</v>
      </c>
      <c r="AD8065">
        <v>-1.111357339504</v>
      </c>
      <c r="AE8065">
        <v>44.047330000000002</v>
      </c>
      <c r="AF8065">
        <v>-6.5027254059140001</v>
      </c>
      <c r="AG8065">
        <v>-1.111357339504</v>
      </c>
      <c r="AH8065">
        <v>43.897051620324099</v>
      </c>
      <c r="AI8065">
        <v>91.434619186308495</v>
      </c>
      <c r="AJ8065">
        <v>98.426277416015907</v>
      </c>
      <c r="AK8065">
        <v>44.389995424624502</v>
      </c>
      <c r="AL8065">
        <v>96.639761969368806</v>
      </c>
      <c r="AM8065">
        <v>95.436765908688798</v>
      </c>
      <c r="AN8065">
        <v>0.99999999227811398</v>
      </c>
    </row>
    <row r="8066" spans="1:40" x14ac:dyDescent="0.25">
      <c r="A8066" t="str">
        <f>"20190305135119634"</f>
        <v>20190305135119634</v>
      </c>
      <c r="B8066" t="str">
        <f>"1551765079628102"</f>
        <v>1551765079628102</v>
      </c>
      <c r="C8066" t="s">
        <v>40</v>
      </c>
      <c r="D8066">
        <v>4.5859829999999997</v>
      </c>
      <c r="E8066">
        <v>0.47637459999999998</v>
      </c>
      <c r="F8066" t="s">
        <v>94</v>
      </c>
      <c r="G8066">
        <v>-194.38560000000001</v>
      </c>
      <c r="H8066" s="1">
        <v>-7.1547219999999996E-6</v>
      </c>
      <c r="I8066">
        <v>134.82849999999999</v>
      </c>
      <c r="J8066">
        <v>-187.4915</v>
      </c>
      <c r="K8066">
        <v>1.111524</v>
      </c>
      <c r="L8066">
        <v>86.076419999999999</v>
      </c>
      <c r="M8066">
        <v>1.7948510000000001E-2</v>
      </c>
      <c r="N8066">
        <v>-1.8575310000000001E-2</v>
      </c>
      <c r="O8066">
        <v>0.99966630000000001</v>
      </c>
      <c r="P8066">
        <v>-7.8931920000000003E-2</v>
      </c>
      <c r="Q8066">
        <v>-0.13314529999999999</v>
      </c>
      <c r="R8066">
        <v>0.98794839999999995</v>
      </c>
      <c r="S8066">
        <v>-0.41845700000000002</v>
      </c>
      <c r="T8066">
        <v>-6.7543629999999993E-2</v>
      </c>
      <c r="U8066">
        <v>2.994904</v>
      </c>
      <c r="V8066">
        <v>-9.5974000000000004E-2</v>
      </c>
      <c r="W8066">
        <v>-0.11536970000000001</v>
      </c>
      <c r="X8066">
        <v>0.98867530000000003</v>
      </c>
      <c r="Y8066">
        <v>-0.1560754</v>
      </c>
      <c r="Z8066">
        <v>-3.6976069999999999E-3</v>
      </c>
      <c r="AA8066">
        <v>0.98773820000000001</v>
      </c>
      <c r="AB8066">
        <v>51</v>
      </c>
      <c r="AC8066">
        <v>-6.8940999999999999</v>
      </c>
      <c r="AD8066">
        <v>-1.1115311547219999</v>
      </c>
      <c r="AE8066">
        <v>48.7520799999999</v>
      </c>
      <c r="AF8066">
        <v>-7.7642103990442397</v>
      </c>
      <c r="AG8066">
        <v>-1.1115311547219999</v>
      </c>
      <c r="AH8066">
        <v>48.595697758919201</v>
      </c>
      <c r="AI8066">
        <v>91.293895120233998</v>
      </c>
      <c r="AJ8066">
        <v>99.077514476701595</v>
      </c>
      <c r="AK8066">
        <v>49.2245904533981</v>
      </c>
      <c r="AL8066">
        <v>96.624949146918098</v>
      </c>
      <c r="AM8066">
        <v>95.544519686217896</v>
      </c>
      <c r="AN8066">
        <v>1.00000001259208</v>
      </c>
    </row>
    <row r="8067" spans="1:40" x14ac:dyDescent="0.25">
      <c r="A8067" t="str">
        <f>"20190305135119656"</f>
        <v>20190305135119656</v>
      </c>
      <c r="B8067" t="str">
        <f>"1551765079647621"</f>
        <v>1551765079647621</v>
      </c>
      <c r="C8067" t="s">
        <v>40</v>
      </c>
      <c r="D8067">
        <v>4.6379830000000002</v>
      </c>
      <c r="E8067">
        <v>0.47649190000000002</v>
      </c>
      <c r="F8067" t="s">
        <v>94</v>
      </c>
      <c r="G8067">
        <v>-194.3946</v>
      </c>
      <c r="H8067" s="1">
        <v>-6.7779890000000001E-6</v>
      </c>
      <c r="I8067">
        <v>133.6301</v>
      </c>
      <c r="J8067">
        <v>-187.48439999999999</v>
      </c>
      <c r="K8067">
        <v>1.11165</v>
      </c>
      <c r="L8067">
        <v>86.564790000000002</v>
      </c>
      <c r="M8067">
        <v>1.5722509999999999E-2</v>
      </c>
      <c r="N8067">
        <v>-1.8677309999999999E-2</v>
      </c>
      <c r="O8067">
        <v>0.99970190000000003</v>
      </c>
      <c r="P8067">
        <v>-8.3563129999999999E-2</v>
      </c>
      <c r="Q8067">
        <v>-0.13431670000000001</v>
      </c>
      <c r="R8067">
        <v>0.98740890000000003</v>
      </c>
      <c r="S8067">
        <v>-0.43440250000000002</v>
      </c>
      <c r="T8067">
        <v>-6.9946530000000007E-2</v>
      </c>
      <c r="U8067">
        <v>2.9924620000000002</v>
      </c>
      <c r="V8067">
        <v>-9.8354189999999994E-2</v>
      </c>
      <c r="W8067">
        <v>-0.1164946</v>
      </c>
      <c r="X8067">
        <v>0.9883094</v>
      </c>
      <c r="Y8067">
        <v>-0.159140899999999</v>
      </c>
      <c r="Z8067">
        <v>-4.3961549999999997E-3</v>
      </c>
      <c r="AA8067">
        <v>0.98724610000000002</v>
      </c>
      <c r="AB8067">
        <v>51</v>
      </c>
      <c r="AC8067">
        <v>-6.9101999999999997</v>
      </c>
      <c r="AD8067">
        <v>-1.1116567779889901</v>
      </c>
      <c r="AE8067">
        <v>47.065309999999997</v>
      </c>
      <c r="AF8067">
        <v>-7.6452843561162398</v>
      </c>
      <c r="AG8067">
        <v>-1.1116567779889901</v>
      </c>
      <c r="AH8067">
        <v>46.925199606351299</v>
      </c>
      <c r="AI8067">
        <v>91.339427474538297</v>
      </c>
      <c r="AJ8067">
        <v>99.253604376667894</v>
      </c>
      <c r="AK8067">
        <v>47.556918653060798</v>
      </c>
      <c r="AL8067">
        <v>96.689838769195902</v>
      </c>
      <c r="AM8067">
        <v>95.683226606826196</v>
      </c>
      <c r="AN8067">
        <v>1.00000000432403</v>
      </c>
    </row>
    <row r="8068" spans="1:40" x14ac:dyDescent="0.25">
      <c r="A8068" t="str">
        <f>"20190305135119680"</f>
        <v>20190305135119680</v>
      </c>
      <c r="B8068" t="str">
        <f>"1551765079677879"</f>
        <v>1551765079677879</v>
      </c>
      <c r="C8068" t="s">
        <v>40</v>
      </c>
      <c r="D8068">
        <v>4.608479</v>
      </c>
      <c r="E8068">
        <v>0.47660249999999998</v>
      </c>
      <c r="F8068" t="s">
        <v>94</v>
      </c>
      <c r="G8068">
        <v>-194.20599999999999</v>
      </c>
      <c r="H8068" s="1">
        <v>-6.0804339999999999E-6</v>
      </c>
      <c r="I8068">
        <v>131.45599999999999</v>
      </c>
      <c r="J8068">
        <v>-187.47790000000001</v>
      </c>
      <c r="K8068">
        <v>1.1117440000000001</v>
      </c>
      <c r="L8068">
        <v>87.099580000000003</v>
      </c>
      <c r="M8068">
        <v>1.321172E-2</v>
      </c>
      <c r="N8068">
        <v>-1.8735660000000001E-2</v>
      </c>
      <c r="O8068">
        <v>0.99973719999999999</v>
      </c>
      <c r="P8068">
        <v>-8.8536199999999995E-2</v>
      </c>
      <c r="Q8068">
        <v>-0.13571710000000001</v>
      </c>
      <c r="R8068">
        <v>0.98678370000000004</v>
      </c>
      <c r="S8068">
        <v>-0.44773859999999899</v>
      </c>
      <c r="T8068">
        <v>-7.4049000000000004E-2</v>
      </c>
      <c r="U8068">
        <v>2.990265</v>
      </c>
      <c r="V8068">
        <v>-0.1007981</v>
      </c>
      <c r="W8068">
        <v>-0.1178913</v>
      </c>
      <c r="X8068">
        <v>0.98789749999999998</v>
      </c>
      <c r="Y8068">
        <v>-0.1610695</v>
      </c>
      <c r="Z8068">
        <v>-5.7019719999999996E-3</v>
      </c>
      <c r="AA8068">
        <v>0.98692659999999999</v>
      </c>
      <c r="AB8068">
        <v>51</v>
      </c>
      <c r="AC8068">
        <v>-6.72809999999998</v>
      </c>
      <c r="AD8068">
        <v>-1.1117500804339999</v>
      </c>
      <c r="AE8068">
        <v>44.35642</v>
      </c>
      <c r="AF8068">
        <v>-7.3091516665606298</v>
      </c>
      <c r="AG8068">
        <v>-1.1117500804339999</v>
      </c>
      <c r="AH8068">
        <v>44.236477316464899</v>
      </c>
      <c r="AI8068">
        <v>91.420402749439404</v>
      </c>
      <c r="AJ8068">
        <v>99.3821610901432</v>
      </c>
      <c r="AK8068">
        <v>44.850034690022703</v>
      </c>
      <c r="AL8068">
        <v>96.770418793102607</v>
      </c>
      <c r="AM8068">
        <v>95.825896183264504</v>
      </c>
      <c r="AN8068">
        <v>1.00000004304277</v>
      </c>
    </row>
    <row r="8069" spans="1:40" x14ac:dyDescent="0.25">
      <c r="A8069" t="str">
        <f>"20190305135119702"</f>
        <v>20190305135119702</v>
      </c>
      <c r="B8069" t="str">
        <f>"1551765079698374"</f>
        <v>1551765079698374</v>
      </c>
      <c r="C8069" t="s">
        <v>40</v>
      </c>
      <c r="D8069">
        <v>4.6320410000000001</v>
      </c>
      <c r="E8069">
        <v>0.47665020000000002</v>
      </c>
      <c r="F8069" t="s">
        <v>94</v>
      </c>
      <c r="G8069">
        <v>-194.17359999999999</v>
      </c>
      <c r="H8069" s="1">
        <v>-5.7484220000000001E-6</v>
      </c>
      <c r="I8069">
        <v>130.392</v>
      </c>
      <c r="J8069">
        <v>-187.47319999999999</v>
      </c>
      <c r="K8069">
        <v>1.1118049999999999</v>
      </c>
      <c r="L8069">
        <v>87.574550000000002</v>
      </c>
      <c r="M8069">
        <v>1.093327E-2</v>
      </c>
      <c r="N8069">
        <v>-1.8737710000000001E-2</v>
      </c>
      <c r="O8069">
        <v>0.99976469999999995</v>
      </c>
      <c r="P8069">
        <v>-9.285301E-2</v>
      </c>
      <c r="Q8069">
        <v>-0.1374562</v>
      </c>
      <c r="R8069">
        <v>0.98614610000000003</v>
      </c>
      <c r="S8069">
        <v>-0.46215820000000002</v>
      </c>
      <c r="T8069">
        <v>-7.6735970000000001E-2</v>
      </c>
      <c r="U8069">
        <v>2.988159</v>
      </c>
      <c r="V8069">
        <v>-0.102824</v>
      </c>
      <c r="W8069">
        <v>-0.11967270000000001</v>
      </c>
      <c r="X8069">
        <v>0.98747439999999997</v>
      </c>
      <c r="Y8069">
        <v>-0.16357289999999999</v>
      </c>
      <c r="Z8069">
        <v>-6.5939769999999896E-3</v>
      </c>
      <c r="AA8069">
        <v>0.98650919999999998</v>
      </c>
      <c r="AB8069">
        <v>50</v>
      </c>
      <c r="AC8069">
        <v>-6.7004000000000001</v>
      </c>
      <c r="AD8069">
        <v>-1.1118107484219999</v>
      </c>
      <c r="AE8069">
        <v>42.817450000000001</v>
      </c>
      <c r="AF8069">
        <v>-7.1635017685449904</v>
      </c>
      <c r="AG8069">
        <v>-1.1118107484219999</v>
      </c>
      <c r="AH8069">
        <v>42.713508627262001</v>
      </c>
      <c r="AI8069">
        <v>91.470515280873698</v>
      </c>
      <c r="AJ8069">
        <v>99.520500406140002</v>
      </c>
      <c r="AK8069">
        <v>43.324308418939999</v>
      </c>
      <c r="AL8069">
        <v>96.873213478157396</v>
      </c>
      <c r="AM8069">
        <v>95.944686639316501</v>
      </c>
      <c r="AN8069">
        <v>1.00000001037832</v>
      </c>
    </row>
    <row r="8070" spans="1:40" x14ac:dyDescent="0.25">
      <c r="A8070" t="str">
        <f>"20190305135119724"</f>
        <v>20190305135119724</v>
      </c>
      <c r="B8070" t="str">
        <f>"1551765079717894"</f>
        <v>1551765079717894</v>
      </c>
      <c r="C8070" t="s">
        <v>40</v>
      </c>
      <c r="D8070">
        <v>4.6263209999999999</v>
      </c>
      <c r="E8070">
        <v>0.47669230000000001</v>
      </c>
      <c r="F8070" t="s">
        <v>94</v>
      </c>
      <c r="G8070">
        <v>-193.9067</v>
      </c>
      <c r="H8070" s="1">
        <v>-5.0182950000000004E-6</v>
      </c>
      <c r="I8070">
        <v>128.06979999999999</v>
      </c>
      <c r="J8070">
        <v>-187.4693</v>
      </c>
      <c r="K8070">
        <v>1.1118440000000001</v>
      </c>
      <c r="L8070">
        <v>88.08914</v>
      </c>
      <c r="M8070">
        <v>8.4249930000000004E-3</v>
      </c>
      <c r="N8070">
        <v>-1.8668199999999999E-2</v>
      </c>
      <c r="O8070">
        <v>0.99979030000000002</v>
      </c>
      <c r="P8070">
        <v>-9.5931489999999994E-2</v>
      </c>
      <c r="Q8070">
        <v>-0.138292</v>
      </c>
      <c r="R8070">
        <v>0.98573449999999996</v>
      </c>
      <c r="S8070">
        <v>-0.47439579999999998</v>
      </c>
      <c r="T8070">
        <v>-8.1982970000000002E-2</v>
      </c>
      <c r="U8070">
        <v>2.9860530000000001</v>
      </c>
      <c r="V8070">
        <v>-0.1033956</v>
      </c>
      <c r="W8070">
        <v>-0.1206058</v>
      </c>
      <c r="X8070">
        <v>0.98730119999999999</v>
      </c>
      <c r="Y8070">
        <v>-0.1651435</v>
      </c>
      <c r="Z8070">
        <v>-8.4069690000000002E-3</v>
      </c>
      <c r="AA8070">
        <v>0.98623369999999999</v>
      </c>
      <c r="AB8070">
        <v>50</v>
      </c>
      <c r="AC8070">
        <v>-6.4373999999999896</v>
      </c>
      <c r="AD8070">
        <v>-1.111849018295</v>
      </c>
      <c r="AE8070">
        <v>39.980659999999901</v>
      </c>
      <c r="AF8070">
        <v>-6.7689642409965902</v>
      </c>
      <c r="AG8070">
        <v>-1.111849018295</v>
      </c>
      <c r="AH8070">
        <v>39.894921886161001</v>
      </c>
      <c r="AI8070">
        <v>91.573905524686793</v>
      </c>
      <c r="AJ8070">
        <v>99.629657800225004</v>
      </c>
      <c r="AK8070">
        <v>40.480364097155302</v>
      </c>
      <c r="AL8070">
        <v>96.927066057682694</v>
      </c>
      <c r="AM8070">
        <v>95.978535642917706</v>
      </c>
      <c r="AN8070">
        <v>1.00000003430721</v>
      </c>
    </row>
    <row r="8071" spans="1:40" x14ac:dyDescent="0.25">
      <c r="A8071" t="str">
        <f>"20190305135119747"</f>
        <v>20190305135119747</v>
      </c>
      <c r="B8071" t="str">
        <f>"1551765079737432"</f>
        <v>1551765079737432</v>
      </c>
      <c r="C8071" t="s">
        <v>40</v>
      </c>
      <c r="D8071">
        <v>4.5955680000000001</v>
      </c>
      <c r="E8071">
        <v>0.47681960000000001</v>
      </c>
      <c r="F8071" t="s">
        <v>94</v>
      </c>
      <c r="G8071">
        <v>-193.86109999999999</v>
      </c>
      <c r="H8071" s="1">
        <v>-4.8534830000000004E-6</v>
      </c>
      <c r="I8071">
        <v>127.57040000000001</v>
      </c>
      <c r="J8071">
        <v>-187.46680000000001</v>
      </c>
      <c r="K8071">
        <v>1.1118669999999999</v>
      </c>
      <c r="L8071">
        <v>88.589389999999995</v>
      </c>
      <c r="M8071">
        <v>5.9587379999999999E-3</v>
      </c>
      <c r="N8071">
        <v>-1.8522839999999999E-2</v>
      </c>
      <c r="O8071">
        <v>0.99981070000000005</v>
      </c>
      <c r="P8071">
        <v>-9.9290519999999993E-2</v>
      </c>
      <c r="Q8071">
        <v>-0.13924259999999999</v>
      </c>
      <c r="R8071">
        <v>0.98526789999999997</v>
      </c>
      <c r="S8071">
        <v>-0.48318480000000003</v>
      </c>
      <c r="T8071">
        <v>-8.4050180000000002E-2</v>
      </c>
      <c r="U8071">
        <v>2.9845890000000002</v>
      </c>
      <c r="V8071">
        <v>-0.1042926</v>
      </c>
      <c r="W8071">
        <v>-0.121729</v>
      </c>
      <c r="X8071">
        <v>0.98706899999999997</v>
      </c>
      <c r="Y8071">
        <v>-0.1656154</v>
      </c>
      <c r="Z8071">
        <v>-9.2452149999999993E-3</v>
      </c>
      <c r="AA8071">
        <v>0.98614710000000005</v>
      </c>
      <c r="AB8071">
        <v>50</v>
      </c>
      <c r="AC8071">
        <v>-6.3942999999999799</v>
      </c>
      <c r="AD8071">
        <v>-1.1118718534830001</v>
      </c>
      <c r="AE8071">
        <v>38.981009999999998</v>
      </c>
      <c r="AF8071">
        <v>-6.6212581112232298</v>
      </c>
      <c r="AG8071">
        <v>-1.1118718534830001</v>
      </c>
      <c r="AH8071">
        <v>38.9113810001639</v>
      </c>
      <c r="AI8071">
        <v>91.613569364653799</v>
      </c>
      <c r="AJ8071">
        <v>99.657094465790706</v>
      </c>
      <c r="AK8071">
        <v>39.486363333864098</v>
      </c>
      <c r="AL8071">
        <v>96.991898223769397</v>
      </c>
      <c r="AM8071">
        <v>96.031429477187103</v>
      </c>
      <c r="AN8071">
        <v>1.0000000533083699</v>
      </c>
    </row>
    <row r="8072" spans="1:40" x14ac:dyDescent="0.25">
      <c r="A8072" t="str">
        <f>"20190305135119768"</f>
        <v>20190305135119768</v>
      </c>
      <c r="B8072" t="str">
        <f>"1551765079757913"</f>
        <v>1551765079757913</v>
      </c>
      <c r="C8072" t="s">
        <v>40</v>
      </c>
      <c r="D8072">
        <v>4.603396</v>
      </c>
      <c r="E8072">
        <v>0.47696959999999999</v>
      </c>
      <c r="F8072" t="s">
        <v>94</v>
      </c>
      <c r="G8072">
        <v>-193.80539999999999</v>
      </c>
      <c r="H8072" s="1">
        <v>-4.6005180000000003E-6</v>
      </c>
      <c r="I8072">
        <v>127.0004</v>
      </c>
      <c r="J8072">
        <v>-187.46539999999999</v>
      </c>
      <c r="K8072">
        <v>1.11188</v>
      </c>
      <c r="L8072">
        <v>89.083770000000001</v>
      </c>
      <c r="M8072">
        <v>3.5003539999999998E-3</v>
      </c>
      <c r="N8072">
        <v>-1.8308370000000001E-2</v>
      </c>
      <c r="O8072">
        <v>0.99982629999999995</v>
      </c>
      <c r="P8072">
        <v>-0.10220940000000001</v>
      </c>
      <c r="Q8072">
        <v>-0.139627</v>
      </c>
      <c r="R8072">
        <v>0.98491499999999998</v>
      </c>
      <c r="S8072">
        <v>-0.49226379999999997</v>
      </c>
      <c r="T8072">
        <v>-8.6348889999999998E-2</v>
      </c>
      <c r="U8072">
        <v>2.9830320000000001</v>
      </c>
      <c r="V8072">
        <v>-0.1047661</v>
      </c>
      <c r="W8072">
        <v>-0.12234630000000001</v>
      </c>
      <c r="X8072">
        <v>0.98694249999999994</v>
      </c>
      <c r="Y8072">
        <v>-0.16619310000000001</v>
      </c>
      <c r="Z8072">
        <v>-1.0229429999999999E-2</v>
      </c>
      <c r="AA8072">
        <v>0.98604020000000003</v>
      </c>
      <c r="AB8072">
        <v>50</v>
      </c>
      <c r="AC8072">
        <v>-6.34</v>
      </c>
      <c r="AD8072">
        <v>-1.1118846005179901</v>
      </c>
      <c r="AE8072">
        <v>37.916629999999998</v>
      </c>
      <c r="AF8072">
        <v>-6.4672948980845</v>
      </c>
      <c r="AG8072">
        <v>-1.1118846005179901</v>
      </c>
      <c r="AH8072">
        <v>37.862528331653898</v>
      </c>
      <c r="AI8072">
        <v>91.658084451603798</v>
      </c>
      <c r="AJ8072">
        <v>99.693140044790994</v>
      </c>
      <c r="AK8072">
        <v>38.4269858605766</v>
      </c>
      <c r="AL8072">
        <v>97.027533458167099</v>
      </c>
      <c r="AM8072">
        <v>96.059380400558098</v>
      </c>
      <c r="AN8072">
        <v>1.00000002556957</v>
      </c>
    </row>
    <row r="8073" spans="1:40" x14ac:dyDescent="0.25">
      <c r="A8073" t="str">
        <f>"20190305135119791"</f>
        <v>20190305135119791</v>
      </c>
      <c r="B8073" t="str">
        <f>"1551765079787421"</f>
        <v>1551765079787421</v>
      </c>
      <c r="C8073" t="s">
        <v>40</v>
      </c>
      <c r="D8073">
        <v>4.6651790000000002</v>
      </c>
      <c r="E8073">
        <v>0.49631510000000001</v>
      </c>
      <c r="F8073" t="s">
        <v>94</v>
      </c>
      <c r="G8073">
        <v>-193.79050000000001</v>
      </c>
      <c r="H8073" s="1">
        <v>-4.5165970000000002E-6</v>
      </c>
      <c r="I8073">
        <v>126.8094</v>
      </c>
      <c r="J8073">
        <v>-187.46530000000001</v>
      </c>
      <c r="K8073">
        <v>1.111885</v>
      </c>
      <c r="L8073">
        <v>89.561769999999996</v>
      </c>
      <c r="M8073">
        <v>1.106784E-3</v>
      </c>
      <c r="N8073">
        <v>-1.805029E-2</v>
      </c>
      <c r="O8073">
        <v>0.99983639999999996</v>
      </c>
      <c r="P8073">
        <v>-0.10480929999999999</v>
      </c>
      <c r="Q8073">
        <v>-0.13910400000000001</v>
      </c>
      <c r="R8073">
        <v>0.98471580000000003</v>
      </c>
      <c r="S8073">
        <v>-0.49989319999999998</v>
      </c>
      <c r="T8073">
        <v>-8.7876319999999994E-2</v>
      </c>
      <c r="U8073">
        <v>2.981598</v>
      </c>
      <c r="V8073">
        <v>-0.1049962</v>
      </c>
      <c r="W8073">
        <v>-0.1220918</v>
      </c>
      <c r="X8073">
        <v>0.98694959999999998</v>
      </c>
      <c r="Y8073">
        <v>-0.16636300000000001</v>
      </c>
      <c r="Z8073">
        <v>-1.1003290000000001E-2</v>
      </c>
      <c r="AA8073">
        <v>0.98600319999999997</v>
      </c>
      <c r="AB8073">
        <v>50</v>
      </c>
      <c r="AC8073">
        <v>-6.3251999999999899</v>
      </c>
      <c r="AD8073">
        <v>-1.111889516597</v>
      </c>
      <c r="AE8073">
        <v>37.247630000000001</v>
      </c>
      <c r="AF8073">
        <v>-6.3609185904291499</v>
      </c>
      <c r="AG8073">
        <v>-1.111889516597</v>
      </c>
      <c r="AH8073">
        <v>37.208378389827601</v>
      </c>
      <c r="AI8073">
        <v>91.687185192650404</v>
      </c>
      <c r="AJ8073">
        <v>99.701158009998196</v>
      </c>
      <c r="AK8073">
        <v>37.764546945670901</v>
      </c>
      <c r="AL8073">
        <v>97.0128412877486</v>
      </c>
      <c r="AM8073">
        <v>96.072546054738794</v>
      </c>
      <c r="AN8073">
        <v>1.0000000612909099</v>
      </c>
    </row>
    <row r="8074" spans="1:40" x14ac:dyDescent="0.25">
      <c r="A8074" t="str">
        <f>"20190305135119804"</f>
        <v>20190305135119804</v>
      </c>
      <c r="B8074" t="str">
        <f>"1551765079798158"</f>
        <v>1551765079798158</v>
      </c>
      <c r="C8074" t="s">
        <v>40</v>
      </c>
      <c r="D8074">
        <v>4.5407299999999999</v>
      </c>
      <c r="E8074">
        <v>0.50076480000000001</v>
      </c>
      <c r="F8074" t="s">
        <v>42</v>
      </c>
      <c r="G8074">
        <v>-189.37739999999999</v>
      </c>
      <c r="H8074" s="1">
        <v>-2.758633E-6</v>
      </c>
      <c r="I8074">
        <v>105.8058</v>
      </c>
      <c r="J8074">
        <v>-187.4659</v>
      </c>
      <c r="K8074">
        <v>1.1118840000000001</v>
      </c>
      <c r="L8074">
        <v>89.86591</v>
      </c>
      <c r="M8074">
        <v>-4.2355170000000001E-4</v>
      </c>
      <c r="N8074">
        <v>-1.78740999999999E-2</v>
      </c>
      <c r="O8074">
        <v>0.99984010000000001</v>
      </c>
      <c r="P8074">
        <v>-0.1061753</v>
      </c>
      <c r="Q8074">
        <v>-0.1388694</v>
      </c>
      <c r="R8074">
        <v>0.98460250000000005</v>
      </c>
      <c r="S8074">
        <v>-0.35083009999999998</v>
      </c>
      <c r="T8074">
        <v>-0.2040062</v>
      </c>
      <c r="U8074">
        <v>2.9804080000000002</v>
      </c>
      <c r="V8074">
        <v>-0.1048478</v>
      </c>
      <c r="W8074">
        <v>-0.1220358</v>
      </c>
      <c r="X8074">
        <v>0.98697219999999997</v>
      </c>
      <c r="Y8074">
        <v>-0.1162492</v>
      </c>
      <c r="Z8074">
        <v>-4.998176E-2</v>
      </c>
      <c r="AA8074">
        <v>0.99196169999999995</v>
      </c>
      <c r="AB8074">
        <v>50</v>
      </c>
      <c r="AC8074">
        <v>-1.91149999999998</v>
      </c>
      <c r="AD8074">
        <v>-1.1118867586329999</v>
      </c>
      <c r="AE8074">
        <v>15.93989</v>
      </c>
      <c r="AF8074">
        <v>-1.89565435069318</v>
      </c>
      <c r="AG8074">
        <v>-1.1118867586329999</v>
      </c>
      <c r="AH8074">
        <v>15.8645993729683</v>
      </c>
      <c r="AI8074">
        <v>93.980851841364</v>
      </c>
      <c r="AJ8074">
        <v>96.8139420347336</v>
      </c>
      <c r="AK8074">
        <v>16.0160953682885</v>
      </c>
      <c r="AL8074">
        <v>97.009609259993596</v>
      </c>
      <c r="AM8074">
        <v>96.063889386148006</v>
      </c>
      <c r="AN8074">
        <v>0.99999996060965901</v>
      </c>
    </row>
    <row r="8075" spans="1:40" x14ac:dyDescent="0.25">
      <c r="A8075" t="str">
        <f>"20190305135119815"</f>
        <v>20190305135119815</v>
      </c>
      <c r="B8075" t="str">
        <f>"1551765079807916"</f>
        <v>1551765079807916</v>
      </c>
      <c r="C8075" t="s">
        <v>40</v>
      </c>
      <c r="D8075">
        <v>4.6117730000000003</v>
      </c>
      <c r="E8075">
        <v>0.5040462</v>
      </c>
      <c r="F8075" t="s">
        <v>42</v>
      </c>
      <c r="G8075">
        <v>-189.33690000000001</v>
      </c>
      <c r="H8075" s="1">
        <v>-3.4098610000000001E-6</v>
      </c>
      <c r="I8075">
        <v>107.30710000000001</v>
      </c>
      <c r="J8075">
        <v>-187.4667</v>
      </c>
      <c r="K8075">
        <v>1.1118809999999999</v>
      </c>
      <c r="L8075">
        <v>90.137659999999997</v>
      </c>
      <c r="M8075">
        <v>-1.793818E-3</v>
      </c>
      <c r="N8075">
        <v>-1.7717119999999999E-2</v>
      </c>
      <c r="O8075">
        <v>0.99984150000000005</v>
      </c>
      <c r="P8075">
        <v>-0.10756250000000001</v>
      </c>
      <c r="Q8075">
        <v>-0.13880789999999901</v>
      </c>
      <c r="R8075">
        <v>0.98446060000000002</v>
      </c>
      <c r="S8075">
        <v>-0.32028200000000001</v>
      </c>
      <c r="T8075">
        <v>-0.19033</v>
      </c>
      <c r="U8075">
        <v>2.985535</v>
      </c>
      <c r="V8075">
        <v>-0.1048785</v>
      </c>
      <c r="W8075">
        <v>-0.12213499999999999</v>
      </c>
      <c r="X8075">
        <v>0.98695670000000002</v>
      </c>
      <c r="Y8075">
        <v>-0.104696</v>
      </c>
      <c r="Z8075">
        <v>-4.5576220000000001E-2</v>
      </c>
      <c r="AA8075">
        <v>0.99345939999999999</v>
      </c>
      <c r="AB8075">
        <v>50</v>
      </c>
      <c r="AC8075">
        <v>-1.8702000000000101</v>
      </c>
      <c r="AD8075">
        <v>-1.1118844098609999</v>
      </c>
      <c r="AE8075">
        <v>17.169440000000002</v>
      </c>
      <c r="AF8075">
        <v>-1.83180119086226</v>
      </c>
      <c r="AG8075">
        <v>-1.1118844098609999</v>
      </c>
      <c r="AH8075">
        <v>17.1018869067303</v>
      </c>
      <c r="AI8075">
        <v>93.698769412983594</v>
      </c>
      <c r="AJ8075">
        <v>96.113702249972604</v>
      </c>
      <c r="AK8075">
        <v>17.235611921667498</v>
      </c>
      <c r="AL8075">
        <v>97.015335611473304</v>
      </c>
      <c r="AM8075">
        <v>96.065746240871604</v>
      </c>
      <c r="AN8075">
        <v>0.99999999283106999</v>
      </c>
    </row>
    <row r="8076" spans="1:40" x14ac:dyDescent="0.25">
      <c r="A8076" t="str">
        <f>"20190305135119836"</f>
        <v>20190305135119836</v>
      </c>
      <c r="B8076" t="str">
        <f>"1551765079827436"</f>
        <v>1551765079827436</v>
      </c>
      <c r="C8076" t="s">
        <v>40</v>
      </c>
      <c r="D8076">
        <v>4.5692009999999996</v>
      </c>
      <c r="E8076">
        <v>0.5071987</v>
      </c>
      <c r="F8076" t="s">
        <v>42</v>
      </c>
      <c r="G8076">
        <v>-189.33510000000001</v>
      </c>
      <c r="H8076" s="1">
        <v>-4.0588419999999999E-6</v>
      </c>
      <c r="I8076">
        <v>108.81910000000001</v>
      </c>
      <c r="J8076">
        <v>-187.46879999999999</v>
      </c>
      <c r="K8076">
        <v>1.1118859999999999</v>
      </c>
      <c r="L8076">
        <v>90.581729999999993</v>
      </c>
      <c r="M8076">
        <v>-4.0389839999999998E-3</v>
      </c>
      <c r="N8076">
        <v>-1.7464449999999999E-2</v>
      </c>
      <c r="O8076">
        <v>0.99983929999999999</v>
      </c>
      <c r="P8076">
        <v>-0.1097616</v>
      </c>
      <c r="Q8076">
        <v>-0.138232299999999</v>
      </c>
      <c r="R8076">
        <v>0.98429880000000003</v>
      </c>
      <c r="S8076">
        <v>-0.29899599999999998</v>
      </c>
      <c r="T8076">
        <v>-0.17793519999999999</v>
      </c>
      <c r="U8076">
        <v>2.9895939999999999</v>
      </c>
      <c r="V8076">
        <v>-0.1048605</v>
      </c>
      <c r="W8076">
        <v>-0.1218151</v>
      </c>
      <c r="X8076">
        <v>0.98699809999999999</v>
      </c>
      <c r="Y8076">
        <v>-9.5345189999999996E-2</v>
      </c>
      <c r="Z8076">
        <v>-4.1690820000000003E-2</v>
      </c>
      <c r="AA8076">
        <v>0.99457090000000004</v>
      </c>
      <c r="AB8076">
        <v>50</v>
      </c>
      <c r="AC8076">
        <v>-1.8663000000000201</v>
      </c>
      <c r="AD8076">
        <v>-1.111890058842</v>
      </c>
      <c r="AE8076">
        <v>18.237369999999999</v>
      </c>
      <c r="AF8076">
        <v>-1.78604306673564</v>
      </c>
      <c r="AG8076">
        <v>-1.111890058842</v>
      </c>
      <c r="AH8076">
        <v>18.1778922889259</v>
      </c>
      <c r="AI8076">
        <v>93.483526599180706</v>
      </c>
      <c r="AJ8076">
        <v>95.611504551371297</v>
      </c>
      <c r="AK8076">
        <v>18.2992354323064</v>
      </c>
      <c r="AL8076">
        <v>96.996869130531294</v>
      </c>
      <c r="AM8076">
        <v>96.064460462345906</v>
      </c>
      <c r="AN8076">
        <v>0.99999994622593302</v>
      </c>
    </row>
    <row r="8077" spans="1:40" x14ac:dyDescent="0.25">
      <c r="A8077" t="str">
        <f>"20190305135119848"</f>
        <v>20190305135119848</v>
      </c>
      <c r="B8077" t="str">
        <f>"1551765079838172"</f>
        <v>1551765079838172</v>
      </c>
      <c r="C8077" t="s">
        <v>40</v>
      </c>
      <c r="D8077">
        <v>4.5449339999999996</v>
      </c>
      <c r="E8077">
        <v>0.50791620000000004</v>
      </c>
      <c r="F8077" t="s">
        <v>42</v>
      </c>
      <c r="G8077">
        <v>-189.41829999999999</v>
      </c>
      <c r="H8077" s="1">
        <v>-8.2705489999999997E-7</v>
      </c>
      <c r="I8077">
        <v>111.3201</v>
      </c>
      <c r="J8077">
        <v>-187.47069999999999</v>
      </c>
      <c r="K8077">
        <v>1.111888</v>
      </c>
      <c r="L8077">
        <v>90.877200000000002</v>
      </c>
      <c r="M8077">
        <v>-5.5355020000000003E-3</v>
      </c>
      <c r="N8077">
        <v>-1.7300900000000001E-2</v>
      </c>
      <c r="O8077">
        <v>0.99983500000000003</v>
      </c>
      <c r="P8077">
        <v>-0.1111133</v>
      </c>
      <c r="Q8077">
        <v>-0.1380055</v>
      </c>
      <c r="R8077">
        <v>0.98417900000000003</v>
      </c>
      <c r="S8077">
        <v>-0.28143309999999999</v>
      </c>
      <c r="T8077">
        <v>-0.1605191</v>
      </c>
      <c r="U8077">
        <v>2.9939269999999998</v>
      </c>
      <c r="V8077">
        <v>-0.1047342</v>
      </c>
      <c r="W8077">
        <v>-0.12175279999999999</v>
      </c>
      <c r="X8077">
        <v>0.98701919999999999</v>
      </c>
      <c r="Y8077">
        <v>-8.7960819999999995E-2</v>
      </c>
      <c r="Z8077">
        <v>-3.6036180000000001E-2</v>
      </c>
      <c r="AA8077">
        <v>0.99547189999999997</v>
      </c>
      <c r="AB8077">
        <v>50</v>
      </c>
      <c r="AC8077">
        <v>-1.94759999999999</v>
      </c>
      <c r="AD8077">
        <v>-1.1118888270549001</v>
      </c>
      <c r="AE8077">
        <v>20.442899999999899</v>
      </c>
      <c r="AF8077">
        <v>-1.8290294046756099</v>
      </c>
      <c r="AG8077">
        <v>-1.1118888270549001</v>
      </c>
      <c r="AH8077">
        <v>20.3935821997866</v>
      </c>
      <c r="AI8077">
        <v>93.108310949081201</v>
      </c>
      <c r="AJ8077">
        <v>95.124947257981404</v>
      </c>
      <c r="AK8077">
        <v>20.5056050938847</v>
      </c>
      <c r="AL8077">
        <v>96.993272814782401</v>
      </c>
      <c r="AM8077">
        <v>96.057081888056999</v>
      </c>
      <c r="AN8077">
        <v>0.999999949063058</v>
      </c>
    </row>
    <row r="8078" spans="1:40" x14ac:dyDescent="0.25">
      <c r="A8078" t="str">
        <f>"20190305135119870"</f>
        <v>20190305135119870</v>
      </c>
      <c r="B8078" t="str">
        <f>"1551765079857696"</f>
        <v>1551765079857696</v>
      </c>
      <c r="C8078" t="s">
        <v>40</v>
      </c>
      <c r="D8078">
        <v>4.5678739999999998</v>
      </c>
      <c r="E8078">
        <v>0.50876779999999999</v>
      </c>
      <c r="F8078" t="s">
        <v>42</v>
      </c>
      <c r="G8078">
        <v>-189.4984</v>
      </c>
      <c r="H8078" s="1">
        <v>-1.3368639999999999E-6</v>
      </c>
      <c r="I8078">
        <v>112.5416</v>
      </c>
      <c r="J8078">
        <v>-187.47450000000001</v>
      </c>
      <c r="K8078">
        <v>1.1118950000000001</v>
      </c>
      <c r="L8078">
        <v>91.323239999999998</v>
      </c>
      <c r="M8078">
        <v>-7.7956369999999898E-3</v>
      </c>
      <c r="N8078">
        <v>-1.706744E-2</v>
      </c>
      <c r="O8078">
        <v>0.99982389999999999</v>
      </c>
      <c r="P8078">
        <v>-0.11307689999999999</v>
      </c>
      <c r="Q8078">
        <v>-0.1376848</v>
      </c>
      <c r="R8078">
        <v>0.98400030000000005</v>
      </c>
      <c r="S8078">
        <v>-0.28031919999999999</v>
      </c>
      <c r="T8078">
        <v>-0.1537144</v>
      </c>
      <c r="U8078">
        <v>2.9950260000000002</v>
      </c>
      <c r="V8078">
        <v>-0.1044662</v>
      </c>
      <c r="W8078">
        <v>-0.1216656</v>
      </c>
      <c r="X8078">
        <v>0.9870584</v>
      </c>
      <c r="Y8078">
        <v>-8.5318569999999996E-2</v>
      </c>
      <c r="Z8078">
        <v>-3.4002419999999998E-2</v>
      </c>
      <c r="AA8078">
        <v>0.99577340000000003</v>
      </c>
      <c r="AB8078">
        <v>50</v>
      </c>
      <c r="AC8078">
        <v>-2.02389999999999</v>
      </c>
      <c r="AD8078">
        <v>-1.111896336864</v>
      </c>
      <c r="AE8078">
        <v>21.218360000000001</v>
      </c>
      <c r="AF8078">
        <v>-1.8533602526384201</v>
      </c>
      <c r="AG8078">
        <v>-1.111896336864</v>
      </c>
      <c r="AH8078">
        <v>21.175869702918199</v>
      </c>
      <c r="AI8078">
        <v>92.994284154223095</v>
      </c>
      <c r="AJ8078">
        <v>95.001911057091604</v>
      </c>
      <c r="AK8078">
        <v>21.285880657491301</v>
      </c>
      <c r="AL8078">
        <v>96.988238878431702</v>
      </c>
      <c r="AM8078">
        <v>96.041459289714894</v>
      </c>
      <c r="AN8078">
        <v>0.99999999508817905</v>
      </c>
    </row>
    <row r="8079" spans="1:40" x14ac:dyDescent="0.25">
      <c r="A8079" t="str">
        <f>"20190305135119885"</f>
        <v>20190305135119885</v>
      </c>
      <c r="B8079" t="str">
        <f>"1551765079877900"</f>
        <v>1551765079877900</v>
      </c>
      <c r="C8079" t="s">
        <v>40</v>
      </c>
      <c r="D8079">
        <v>4.5209390000000003</v>
      </c>
      <c r="E8079">
        <v>0.50950519999999999</v>
      </c>
      <c r="F8079" t="s">
        <v>42</v>
      </c>
      <c r="G8079">
        <v>-189.57060000000001</v>
      </c>
      <c r="H8079" s="1">
        <v>-1.8502460000000001E-6</v>
      </c>
      <c r="I8079">
        <v>113.76819999999999</v>
      </c>
      <c r="J8079">
        <v>-187.47829999999999</v>
      </c>
      <c r="K8079">
        <v>1.111904</v>
      </c>
      <c r="L8079">
        <v>91.680819999999997</v>
      </c>
      <c r="M8079">
        <v>-9.6025920000000001E-3</v>
      </c>
      <c r="N8079">
        <v>-1.6892620000000001E-2</v>
      </c>
      <c r="O8079">
        <v>0.99981120000000001</v>
      </c>
      <c r="P8079">
        <v>-0.1147138</v>
      </c>
      <c r="Q8079">
        <v>-0.1371732</v>
      </c>
      <c r="R8079">
        <v>0.98388220000000004</v>
      </c>
      <c r="S8079">
        <v>-0.27978520000000001</v>
      </c>
      <c r="T8079">
        <v>-0.14841079999999901</v>
      </c>
      <c r="U8079">
        <v>2.9958499999999999</v>
      </c>
      <c r="V8079">
        <v>-0.10432080000000001</v>
      </c>
      <c r="W8079">
        <v>-0.12132850000000001</v>
      </c>
      <c r="X8079">
        <v>0.98711530000000003</v>
      </c>
      <c r="Y8079">
        <v>-8.3324280000000001E-2</v>
      </c>
      <c r="Z8079">
        <v>-3.241024E-2</v>
      </c>
      <c r="AA8079">
        <v>0.99599530000000003</v>
      </c>
      <c r="AB8079">
        <v>50</v>
      </c>
      <c r="AC8079">
        <v>-2.0923000000000198</v>
      </c>
      <c r="AD8079">
        <v>-1.111905850246</v>
      </c>
      <c r="AE8079">
        <v>22.08738</v>
      </c>
      <c r="AF8079">
        <v>-1.87536677868316</v>
      </c>
      <c r="AG8079">
        <v>-1.111905850246</v>
      </c>
      <c r="AH8079">
        <v>22.051070032246699</v>
      </c>
      <c r="AI8079">
        <v>92.876278862536395</v>
      </c>
      <c r="AJ8079">
        <v>94.861109215151899</v>
      </c>
      <c r="AK8079">
        <v>22.158588058390599</v>
      </c>
      <c r="AL8079">
        <v>96.968780109414695</v>
      </c>
      <c r="AM8079">
        <v>96.032767418500697</v>
      </c>
      <c r="AN8079">
        <v>1.00000002485948</v>
      </c>
    </row>
    <row r="8080" spans="1:40" x14ac:dyDescent="0.25">
      <c r="A8080" t="str">
        <f>"20190305135119906"</f>
        <v>20190305135119906</v>
      </c>
      <c r="B8080" t="str">
        <f>"1551765079897420"</f>
        <v>1551765079897420</v>
      </c>
      <c r="C8080" t="s">
        <v>40</v>
      </c>
      <c r="D8080">
        <v>4.5560869999999998</v>
      </c>
      <c r="E8080">
        <v>0.51032489999999997</v>
      </c>
      <c r="F8080" t="s">
        <v>42</v>
      </c>
      <c r="G8080">
        <v>-189.63040000000001</v>
      </c>
      <c r="H8080" s="1">
        <v>-2.2779630000000001E-6</v>
      </c>
      <c r="I8080">
        <v>114.7899</v>
      </c>
      <c r="J8080">
        <v>-187.48390000000001</v>
      </c>
      <c r="K8080">
        <v>1.1119139999999901</v>
      </c>
      <c r="L8080">
        <v>92.128389999999996</v>
      </c>
      <c r="M8080">
        <v>-1.1854369999999999E-2</v>
      </c>
      <c r="N8080">
        <v>-1.6687250000000001E-2</v>
      </c>
      <c r="O8080">
        <v>0.99979050000000003</v>
      </c>
      <c r="P8080">
        <v>-0.1166652</v>
      </c>
      <c r="Q8080">
        <v>-0.137008299999999</v>
      </c>
      <c r="R8080">
        <v>0.98367570000000004</v>
      </c>
      <c r="S8080">
        <v>-0.27905269999999999</v>
      </c>
      <c r="T8080">
        <v>-0.14417769999999999</v>
      </c>
      <c r="U8080">
        <v>2.9964900000000001</v>
      </c>
      <c r="V8080">
        <v>-0.10405059999999999</v>
      </c>
      <c r="W8080">
        <v>-0.121368</v>
      </c>
      <c r="X8080">
        <v>0.98713890000000004</v>
      </c>
      <c r="Y8080">
        <v>-8.0825209999999995E-2</v>
      </c>
      <c r="Z8080">
        <v>-3.120738E-2</v>
      </c>
      <c r="AA8080">
        <v>0.9962396</v>
      </c>
      <c r="AB8080">
        <v>50</v>
      </c>
      <c r="AC8080">
        <v>-2.1465000000000001</v>
      </c>
      <c r="AD8080">
        <v>-1.1119162779630001</v>
      </c>
      <c r="AE8080">
        <v>22.66151</v>
      </c>
      <c r="AF8080">
        <v>-1.8732041626546001</v>
      </c>
      <c r="AG8080">
        <v>-1.1119162779630001</v>
      </c>
      <c r="AH8080">
        <v>22.631365632659701</v>
      </c>
      <c r="AI8080">
        <v>92.803203725844597</v>
      </c>
      <c r="AJ8080">
        <v>94.731601334907793</v>
      </c>
      <c r="AK8080">
        <v>22.735961867563802</v>
      </c>
      <c r="AL8080">
        <v>96.971060573094704</v>
      </c>
      <c r="AM8080">
        <v>96.017114007406704</v>
      </c>
      <c r="AN8080">
        <v>0.99999996333878405</v>
      </c>
    </row>
    <row r="8081" spans="1:40" x14ac:dyDescent="0.25">
      <c r="A8081" t="str">
        <f>"20190305135119925"</f>
        <v>20190305135119925</v>
      </c>
      <c r="B8081" t="str">
        <f>"1551765079917917"</f>
        <v>1551765079917917</v>
      </c>
      <c r="C8081" t="s">
        <v>40</v>
      </c>
      <c r="D8081">
        <v>4.5252980000000003</v>
      </c>
      <c r="E8081">
        <v>0.5109764</v>
      </c>
      <c r="F8081" t="s">
        <v>42</v>
      </c>
      <c r="G8081">
        <v>-189.59379999999999</v>
      </c>
      <c r="H8081" s="1">
        <v>-2.300207E-6</v>
      </c>
      <c r="I8081">
        <v>114.8266</v>
      </c>
      <c r="J8081">
        <v>-187.4906</v>
      </c>
      <c r="K8081">
        <v>1.111917</v>
      </c>
      <c r="L8081">
        <v>92.58475</v>
      </c>
      <c r="M8081">
        <v>-1.4133130000000001E-2</v>
      </c>
      <c r="N8081">
        <v>-1.6495249999999999E-2</v>
      </c>
      <c r="O8081">
        <v>0.99976399999999999</v>
      </c>
      <c r="P8081">
        <v>-0.1186001</v>
      </c>
      <c r="Q8081">
        <v>-0.13687279999999999</v>
      </c>
      <c r="R8081">
        <v>0.98346319999999998</v>
      </c>
      <c r="S8081">
        <v>-0.27851870000000001</v>
      </c>
      <c r="T8081">
        <v>-0.14677979999999999</v>
      </c>
      <c r="U8081">
        <v>2.9963069999999998</v>
      </c>
      <c r="V8081">
        <v>-0.10373880000000001</v>
      </c>
      <c r="W8081">
        <v>-0.121422</v>
      </c>
      <c r="X8081">
        <v>0.98716510000000002</v>
      </c>
      <c r="Y8081">
        <v>-7.8381039999999999E-2</v>
      </c>
      <c r="Z8081">
        <v>-3.226942E-2</v>
      </c>
      <c r="AA8081">
        <v>0.99640110000000004</v>
      </c>
      <c r="AB8081">
        <v>50</v>
      </c>
      <c r="AC8081">
        <v>-2.1031999999999802</v>
      </c>
      <c r="AD8081">
        <v>-1.111919300207</v>
      </c>
      <c r="AE8081">
        <v>22.241849999999999</v>
      </c>
      <c r="AF8081">
        <v>-1.7841805873596599</v>
      </c>
      <c r="AG8081">
        <v>-1.111919300207</v>
      </c>
      <c r="AH8081">
        <v>22.214330277440101</v>
      </c>
      <c r="AI8081">
        <v>92.856317139835099</v>
      </c>
      <c r="AJ8081">
        <v>94.591948132747902</v>
      </c>
      <c r="AK8081">
        <v>22.313586322545198</v>
      </c>
      <c r="AL8081">
        <v>96.974177427321806</v>
      </c>
      <c r="AM8081">
        <v>95.999056641131801</v>
      </c>
      <c r="AN8081">
        <v>0.999999987683725</v>
      </c>
    </row>
    <row r="8082" spans="1:40" x14ac:dyDescent="0.25">
      <c r="A8082" t="str">
        <f>"20190305135119948"</f>
        <v>20190305135119948</v>
      </c>
      <c r="B8082" t="str">
        <f>"1551765079937436"</f>
        <v>1551765079937436</v>
      </c>
      <c r="C8082" t="s">
        <v>40</v>
      </c>
      <c r="D8082">
        <v>4.5481210000000001</v>
      </c>
      <c r="E8082">
        <v>0.51144670000000003</v>
      </c>
      <c r="F8082" t="s">
        <v>42</v>
      </c>
      <c r="G8082">
        <v>-189.5599</v>
      </c>
      <c r="H8082" s="1">
        <v>-2.2920600000000002E-6</v>
      </c>
      <c r="I8082">
        <v>114.7936</v>
      </c>
      <c r="J8082">
        <v>-187.49870000000001</v>
      </c>
      <c r="K8082">
        <v>1.111926</v>
      </c>
      <c r="L8082">
        <v>93.067409999999995</v>
      </c>
      <c r="M8082">
        <v>-1.6516880000000001E-2</v>
      </c>
      <c r="N8082">
        <v>-1.6310999999999999E-2</v>
      </c>
      <c r="O8082">
        <v>0.99973049999999997</v>
      </c>
      <c r="P8082">
        <v>-0.1198964</v>
      </c>
      <c r="Q8082">
        <v>-0.13678650000000001</v>
      </c>
      <c r="R8082">
        <v>0.98331800000000003</v>
      </c>
      <c r="S8082">
        <v>-0.27914430000000001</v>
      </c>
      <c r="T8082">
        <v>-0.14999289999999901</v>
      </c>
      <c r="U8082">
        <v>2.9958800000000001</v>
      </c>
      <c r="V8082">
        <v>-0.1026865</v>
      </c>
      <c r="W8082">
        <v>-0.1215087</v>
      </c>
      <c r="X8082">
        <v>0.98726449999999999</v>
      </c>
      <c r="Y8082">
        <v>-7.6220499999999997E-2</v>
      </c>
      <c r="Z8082">
        <v>-3.3528420000000003E-2</v>
      </c>
      <c r="AA8082">
        <v>0.9965271</v>
      </c>
      <c r="AB8082">
        <v>50</v>
      </c>
      <c r="AC8082">
        <v>-2.0611999999999799</v>
      </c>
      <c r="AD8082">
        <v>-1.11192829206</v>
      </c>
      <c r="AE8082">
        <v>21.726189999999999</v>
      </c>
      <c r="AF8082">
        <v>-1.6976152091579999</v>
      </c>
      <c r="AG8082">
        <v>-1.11192829206</v>
      </c>
      <c r="AH8082">
        <v>21.700940219999001</v>
      </c>
      <c r="AI8082">
        <v>92.924278521030203</v>
      </c>
      <c r="AJ8082">
        <v>94.473009084687902</v>
      </c>
      <c r="AK8082">
        <v>21.795620852754301</v>
      </c>
      <c r="AL8082">
        <v>96.979181679800107</v>
      </c>
      <c r="AM8082">
        <v>95.938047192282298</v>
      </c>
      <c r="AN8082">
        <v>1.00000003720909</v>
      </c>
    </row>
    <row r="8083" spans="1:40" x14ac:dyDescent="0.25">
      <c r="A8083" t="str">
        <f>"20190305135119961"</f>
        <v>20190305135119961</v>
      </c>
      <c r="B8083" t="str">
        <f>"1551765079957933"</f>
        <v>1551765079957933</v>
      </c>
      <c r="C8083" t="s">
        <v>40</v>
      </c>
      <c r="D8083">
        <v>4.5285650000000004</v>
      </c>
      <c r="E8083">
        <v>0.51206079999999998</v>
      </c>
      <c r="F8083" t="s">
        <v>42</v>
      </c>
      <c r="G8083">
        <v>-189.54060000000001</v>
      </c>
      <c r="H8083" s="1">
        <v>-2.3710210000000002E-6</v>
      </c>
      <c r="I8083">
        <v>114.9697</v>
      </c>
      <c r="J8083">
        <v>-187.50460000000001</v>
      </c>
      <c r="K8083">
        <v>1.1119239999999999</v>
      </c>
      <c r="L8083">
        <v>93.374629999999996</v>
      </c>
      <c r="M8083">
        <v>-1.8008619999999999E-2</v>
      </c>
      <c r="N8083">
        <v>-1.6210929999999998E-2</v>
      </c>
      <c r="O8083">
        <v>0.9997064</v>
      </c>
      <c r="P8083">
        <v>-0.1206617</v>
      </c>
      <c r="Q8083">
        <v>-0.13668540000000001</v>
      </c>
      <c r="R8083">
        <v>0.98323850000000002</v>
      </c>
      <c r="S8083">
        <v>-0.27928160000000002</v>
      </c>
      <c r="T8083">
        <v>-0.15208440000000001</v>
      </c>
      <c r="U8083">
        <v>2.9956969999999998</v>
      </c>
      <c r="V8083">
        <v>-0.1019842</v>
      </c>
      <c r="W8083">
        <v>-0.1214983</v>
      </c>
      <c r="X8083">
        <v>0.98733850000000001</v>
      </c>
      <c r="Y8083">
        <v>-7.4781710000000001E-2</v>
      </c>
      <c r="Z8083">
        <v>-3.4326549999999997E-2</v>
      </c>
      <c r="AA8083">
        <v>0.99660890000000002</v>
      </c>
      <c r="AB8083">
        <v>50</v>
      </c>
      <c r="AC8083">
        <v>-2.036</v>
      </c>
      <c r="AD8083">
        <v>-1.1119263710209999</v>
      </c>
      <c r="AE8083">
        <v>21.59507</v>
      </c>
      <c r="AF8083">
        <v>-1.6424052331496799</v>
      </c>
      <c r="AG8083">
        <v>-1.1119263710209999</v>
      </c>
      <c r="AH8083">
        <v>21.571550752034401</v>
      </c>
      <c r="AI8083">
        <v>92.942253979652804</v>
      </c>
      <c r="AJ8083">
        <v>94.353960600567405</v>
      </c>
      <c r="AK8083">
        <v>21.6625408724842</v>
      </c>
      <c r="AL8083">
        <v>96.978581870986403</v>
      </c>
      <c r="AM8083">
        <v>95.897283649035899</v>
      </c>
      <c r="AN8083">
        <v>0.99999996376738898</v>
      </c>
    </row>
    <row r="8084" spans="1:40" x14ac:dyDescent="0.25">
      <c r="A8084" t="str">
        <f>"20190305135119980"</f>
        <v>20190305135119980</v>
      </c>
      <c r="B8084" t="str">
        <f>"1551765079977452"</f>
        <v>1551765079977452</v>
      </c>
      <c r="C8084" t="s">
        <v>40</v>
      </c>
      <c r="D8084">
        <v>4.5785799999999997</v>
      </c>
      <c r="E8084">
        <v>0.51265689999999997</v>
      </c>
      <c r="F8084" t="s">
        <v>42</v>
      </c>
      <c r="G8084">
        <v>-189.53210000000001</v>
      </c>
      <c r="H8084" s="1">
        <v>-2.5272440000000001E-6</v>
      </c>
      <c r="I8084">
        <v>115.3304</v>
      </c>
      <c r="J8084">
        <v>-187.51320000000001</v>
      </c>
      <c r="K8084">
        <v>1.111918</v>
      </c>
      <c r="L8084">
        <v>93.793030000000002</v>
      </c>
      <c r="M8084">
        <v>-2.000652E-2</v>
      </c>
      <c r="N8084">
        <v>-1.6091020000000001E-2</v>
      </c>
      <c r="O8084">
        <v>0.99967030000000001</v>
      </c>
      <c r="P8084">
        <v>-0.120806399999999</v>
      </c>
      <c r="Q8084">
        <v>-0.1361001</v>
      </c>
      <c r="R8084">
        <v>0.98330189999999995</v>
      </c>
      <c r="S8084">
        <v>-0.27667239999999999</v>
      </c>
      <c r="T8084">
        <v>-0.15173420000000001</v>
      </c>
      <c r="U8084">
        <v>2.9960939999999998</v>
      </c>
      <c r="V8084">
        <v>-0.1001672</v>
      </c>
      <c r="W8084">
        <v>-0.12100859999999999</v>
      </c>
      <c r="X8084">
        <v>0.98758469999999998</v>
      </c>
      <c r="Y8084">
        <v>-7.1917759999999997E-2</v>
      </c>
      <c r="Z8084">
        <v>-3.4329419999999999E-2</v>
      </c>
      <c r="AA8084">
        <v>0.99681960000000003</v>
      </c>
      <c r="AB8084">
        <v>50</v>
      </c>
      <c r="AC8084">
        <v>-2.0188999999999999</v>
      </c>
      <c r="AD8084">
        <v>-1.111920527244</v>
      </c>
      <c r="AE8084">
        <v>21.537369999999999</v>
      </c>
      <c r="AF8084">
        <v>-1.5833686232174</v>
      </c>
      <c r="AG8084">
        <v>-1.111920527244</v>
      </c>
      <c r="AH8084">
        <v>21.516603791513202</v>
      </c>
      <c r="AI8084">
        <v>92.950297772699898</v>
      </c>
      <c r="AJ8084">
        <v>94.208708463457597</v>
      </c>
      <c r="AK8084">
        <v>21.603417835538401</v>
      </c>
      <c r="AL8084">
        <v>96.950315002204803</v>
      </c>
      <c r="AM8084">
        <v>95.791501432340894</v>
      </c>
      <c r="AN8084">
        <v>1.0000000444519399</v>
      </c>
    </row>
    <row r="8085" spans="1:40" x14ac:dyDescent="0.25">
      <c r="A8085" t="str">
        <f>"20190305135119995"</f>
        <v>20190305135119995</v>
      </c>
      <c r="B8085" t="str">
        <f>"1551765079988188"</f>
        <v>1551765079988188</v>
      </c>
      <c r="C8085" t="s">
        <v>40</v>
      </c>
      <c r="D8085">
        <v>4.5509490000000001</v>
      </c>
      <c r="E8085">
        <v>0.51290400000000003</v>
      </c>
      <c r="F8085" t="s">
        <v>42</v>
      </c>
      <c r="G8085">
        <v>-189.52090000000001</v>
      </c>
      <c r="H8085" s="1">
        <v>-2.7659699999999999E-6</v>
      </c>
      <c r="I8085">
        <v>115.8822</v>
      </c>
      <c r="J8085">
        <v>-187.52029999999999</v>
      </c>
      <c r="K8085">
        <v>1.1119000000000001</v>
      </c>
      <c r="L8085">
        <v>94.108729999999994</v>
      </c>
      <c r="M8085">
        <v>-2.1480510000000001E-2</v>
      </c>
      <c r="N8085">
        <v>-1.6014069999999998E-2</v>
      </c>
      <c r="O8085">
        <v>0.999641</v>
      </c>
      <c r="P8085">
        <v>-0.12093959999999999</v>
      </c>
      <c r="Q8085">
        <v>-0.13569790000000001</v>
      </c>
      <c r="R8085">
        <v>0.98334109999999997</v>
      </c>
      <c r="S8085">
        <v>-0.27235409999999999</v>
      </c>
      <c r="T8085">
        <v>-0.150842899999999</v>
      </c>
      <c r="U8085">
        <v>2.996613</v>
      </c>
      <c r="V8085">
        <v>-9.8855970000000001E-2</v>
      </c>
      <c r="W8085">
        <v>-0.1206636</v>
      </c>
      <c r="X8085">
        <v>0.98775900000000005</v>
      </c>
      <c r="Y8085">
        <v>-6.9009139999999997E-2</v>
      </c>
      <c r="Z8085">
        <v>-3.4109149999999998E-2</v>
      </c>
      <c r="AA8085">
        <v>0.99703280000000005</v>
      </c>
      <c r="AB8085">
        <v>50</v>
      </c>
      <c r="AC8085">
        <v>-2.0006000000000199</v>
      </c>
      <c r="AD8085">
        <v>-1.11190276597</v>
      </c>
      <c r="AE8085">
        <v>21.7734699999999</v>
      </c>
      <c r="AF8085">
        <v>-1.5284205685236401</v>
      </c>
      <c r="AG8085">
        <v>-1.11190276597</v>
      </c>
      <c r="AH8085">
        <v>21.755165586190301</v>
      </c>
      <c r="AI8085">
        <v>92.918649919709793</v>
      </c>
      <c r="AJ8085">
        <v>94.018741767129299</v>
      </c>
      <c r="AK8085">
        <v>21.837115809506901</v>
      </c>
      <c r="AL8085">
        <v>96.930402184402098</v>
      </c>
      <c r="AM8085">
        <v>95.715191641886406</v>
      </c>
      <c r="AN8085">
        <v>1.0000000246253</v>
      </c>
    </row>
    <row r="8086" spans="1:40" x14ac:dyDescent="0.25">
      <c r="A8086" t="str">
        <f>"20190305135120014"</f>
        <v>20190305135120014</v>
      </c>
      <c r="B8086" t="str">
        <f>"1551765080007709"</f>
        <v>1551765080007709</v>
      </c>
      <c r="C8086" t="s">
        <v>40</v>
      </c>
      <c r="D8086">
        <v>4.5795960000000004</v>
      </c>
      <c r="E8086">
        <v>0.51337749999999904</v>
      </c>
      <c r="F8086" t="s">
        <v>42</v>
      </c>
      <c r="G8086">
        <v>-189.5299</v>
      </c>
      <c r="H8086" s="1">
        <v>-2.96121E-6</v>
      </c>
      <c r="I8086">
        <v>116.34099999999999</v>
      </c>
      <c r="J8086">
        <v>-187.53059999999999</v>
      </c>
      <c r="K8086">
        <v>1.111866</v>
      </c>
      <c r="L8086">
        <v>94.537480000000002</v>
      </c>
      <c r="M8086">
        <v>-2.342054E-2</v>
      </c>
      <c r="N8086">
        <v>-1.5930989999999999E-2</v>
      </c>
      <c r="O8086">
        <v>0.99959869999999995</v>
      </c>
      <c r="P8086">
        <v>-0.1206636</v>
      </c>
      <c r="Q8086">
        <v>-0.1348116</v>
      </c>
      <c r="R8086">
        <v>0.98349690000000001</v>
      </c>
      <c r="S8086">
        <v>-0.2708893</v>
      </c>
      <c r="T8086">
        <v>-0.14988019999999999</v>
      </c>
      <c r="U8086">
        <v>2.996826</v>
      </c>
      <c r="V8086">
        <v>-9.6683000000000005E-2</v>
      </c>
      <c r="W8086">
        <v>-0.1198261</v>
      </c>
      <c r="X8086">
        <v>0.98807599999999995</v>
      </c>
      <c r="Y8086">
        <v>-6.6585459999999999E-2</v>
      </c>
      <c r="Z8086">
        <v>-3.3872689999999997E-2</v>
      </c>
      <c r="AA8086">
        <v>0.99720560000000003</v>
      </c>
      <c r="AB8086">
        <v>50</v>
      </c>
      <c r="AC8086">
        <v>-1.9993000000000001</v>
      </c>
      <c r="AD8086">
        <v>-1.1118689612099999</v>
      </c>
      <c r="AE8086">
        <v>21.803519999999999</v>
      </c>
      <c r="AF8086">
        <v>-1.4842089220454699</v>
      </c>
      <c r="AG8086">
        <v>-1.1118689612099999</v>
      </c>
      <c r="AH8086">
        <v>21.788181083933999</v>
      </c>
      <c r="AI8086">
        <v>92.914574319307306</v>
      </c>
      <c r="AJ8086">
        <v>93.896963030625599</v>
      </c>
      <c r="AK8086">
        <v>21.866960549136198</v>
      </c>
      <c r="AL8086">
        <v>96.882066154938798</v>
      </c>
      <c r="AM8086">
        <v>95.588587500219703</v>
      </c>
      <c r="AN8086">
        <v>1.0000000392531001</v>
      </c>
    </row>
    <row r="8087" spans="1:40" x14ac:dyDescent="0.25">
      <c r="A8087" t="str">
        <f>"20190305135120037"</f>
        <v>20190305135120037</v>
      </c>
      <c r="B8087" t="str">
        <f>"1551765080028207"</f>
        <v>1551765080028207</v>
      </c>
      <c r="C8087" t="s">
        <v>40</v>
      </c>
      <c r="D8087">
        <v>4.539669</v>
      </c>
      <c r="E8087">
        <v>0.51375320000000002</v>
      </c>
      <c r="F8087" t="s">
        <v>42</v>
      </c>
      <c r="G8087">
        <v>-189.53120000000001</v>
      </c>
      <c r="H8087" s="1">
        <v>-3.2684579999999998E-6</v>
      </c>
      <c r="I8087">
        <v>117.0578</v>
      </c>
      <c r="J8087">
        <v>-187.54419999999999</v>
      </c>
      <c r="K8087">
        <v>1.111799</v>
      </c>
      <c r="L8087">
        <v>95.061000000000007</v>
      </c>
      <c r="M8087">
        <v>-2.5666000000000001E-2</v>
      </c>
      <c r="N8087">
        <v>-1.5870950000000002E-2</v>
      </c>
      <c r="O8087">
        <v>0.99954460000000001</v>
      </c>
      <c r="P8087">
        <v>-0.12018669999999999</v>
      </c>
      <c r="Q8087">
        <v>-0.13370460000000001</v>
      </c>
      <c r="R8087">
        <v>0.98370639999999998</v>
      </c>
      <c r="S8087">
        <v>-0.26628109999999999</v>
      </c>
      <c r="T8087">
        <v>-0.1479859</v>
      </c>
      <c r="U8087">
        <v>2.9973749999999999</v>
      </c>
      <c r="V8087">
        <v>-9.4018500000000005E-2</v>
      </c>
      <c r="W8087">
        <v>-0.1187318</v>
      </c>
      <c r="X8087">
        <v>0.98846509999999999</v>
      </c>
      <c r="Y8087">
        <v>-6.2810439999999995E-2</v>
      </c>
      <c r="Z8087">
        <v>-3.3302360000000003E-2</v>
      </c>
      <c r="AA8087">
        <v>0.99746970000000001</v>
      </c>
      <c r="AB8087">
        <v>50</v>
      </c>
      <c r="AC8087">
        <v>-1.9870000000000201</v>
      </c>
      <c r="AD8087">
        <v>-1.111802268458</v>
      </c>
      <c r="AE8087">
        <v>21.9968</v>
      </c>
      <c r="AF8087">
        <v>-1.4181107962369199</v>
      </c>
      <c r="AG8087">
        <v>-1.111802268458</v>
      </c>
      <c r="AH8087">
        <v>21.984847001067799</v>
      </c>
      <c r="AI8087">
        <v>92.889061763963198</v>
      </c>
      <c r="AJ8087">
        <v>93.690694508824706</v>
      </c>
      <c r="AK8087">
        <v>22.0585729405805</v>
      </c>
      <c r="AL8087">
        <v>96.818916906577897</v>
      </c>
      <c r="AM8087">
        <v>95.433379388777993</v>
      </c>
      <c r="AN8087">
        <v>0.99999998629574904</v>
      </c>
    </row>
    <row r="8088" spans="1:40" x14ac:dyDescent="0.25">
      <c r="A8088" t="str">
        <f>"20190305135120050"</f>
        <v>20190305135120050</v>
      </c>
      <c r="B8088" t="str">
        <f>"1551765080047724"</f>
        <v>1551765080047724</v>
      </c>
      <c r="C8088" t="s">
        <v>40</v>
      </c>
      <c r="D8088">
        <v>4.5267410000000003</v>
      </c>
      <c r="E8088">
        <v>0.51413770000000003</v>
      </c>
      <c r="F8088" t="s">
        <v>42</v>
      </c>
      <c r="G8088">
        <v>-189.53809999999999</v>
      </c>
      <c r="H8088" s="1">
        <v>-3.6230389999999999E-6</v>
      </c>
      <c r="I8088">
        <v>117.88720000000001</v>
      </c>
      <c r="J8088">
        <v>-187.5522</v>
      </c>
      <c r="K8088">
        <v>1.111756</v>
      </c>
      <c r="L8088">
        <v>95.352689999999996</v>
      </c>
      <c r="M8088">
        <v>-2.686084E-2</v>
      </c>
      <c r="N8088">
        <v>-1.5859700000000001E-2</v>
      </c>
      <c r="O8088">
        <v>0.9995134</v>
      </c>
      <c r="P8088">
        <v>-0.1201585</v>
      </c>
      <c r="Q8088">
        <v>-0.133543</v>
      </c>
      <c r="R8088">
        <v>0.98373180000000005</v>
      </c>
      <c r="S8088">
        <v>-0.26187129999999997</v>
      </c>
      <c r="T8088">
        <v>-0.14601649999999999</v>
      </c>
      <c r="U8088">
        <v>2.997833</v>
      </c>
      <c r="V8088">
        <v>-9.2828359999999999E-2</v>
      </c>
      <c r="W8088">
        <v>-0.11855690000000001</v>
      </c>
      <c r="X8088">
        <v>0.98859859999999999</v>
      </c>
      <c r="Y8088">
        <v>-6.0151349999999999E-2</v>
      </c>
      <c r="Z8088">
        <v>-3.2658680000000002E-2</v>
      </c>
      <c r="AA8088">
        <v>0.99765490000000001</v>
      </c>
      <c r="AB8088">
        <v>50</v>
      </c>
      <c r="AC8088">
        <v>-1.98589999999998</v>
      </c>
      <c r="AD8088">
        <v>-1.1117596230389999</v>
      </c>
      <c r="AE8088">
        <v>22.534510000000001</v>
      </c>
      <c r="AF8088">
        <v>-1.3764866999469401</v>
      </c>
      <c r="AG8088">
        <v>-1.1117596230389999</v>
      </c>
      <c r="AH8088">
        <v>22.525322025035599</v>
      </c>
      <c r="AI8088">
        <v>92.820344655095397</v>
      </c>
      <c r="AJ8088">
        <v>93.496905771419605</v>
      </c>
      <c r="AK8088">
        <v>22.594708615649498</v>
      </c>
      <c r="AL8088">
        <v>96.808824377633002</v>
      </c>
      <c r="AM8088">
        <v>95.364284173995202</v>
      </c>
      <c r="AN8088">
        <v>1.00000001743992</v>
      </c>
    </row>
    <row r="8089" spans="1:40" x14ac:dyDescent="0.25">
      <c r="A8089" t="str">
        <f>"20190305135120068"</f>
        <v>20190305135120068</v>
      </c>
      <c r="B8089" t="str">
        <f>"1551765080057484"</f>
        <v>1551765080057484</v>
      </c>
      <c r="C8089" t="s">
        <v>40</v>
      </c>
      <c r="D8089">
        <v>4.6061589999999999</v>
      </c>
      <c r="E8089">
        <v>0.51434429999999998</v>
      </c>
      <c r="F8089" t="s">
        <v>42</v>
      </c>
      <c r="G8089">
        <v>-189.5128</v>
      </c>
      <c r="H8089" s="1">
        <v>-3.70733E-6</v>
      </c>
      <c r="I8089">
        <v>118.0732</v>
      </c>
      <c r="J8089">
        <v>-187.5641</v>
      </c>
      <c r="K8089">
        <v>1.1116820000000001</v>
      </c>
      <c r="L8089">
        <v>95.762479999999996</v>
      </c>
      <c r="M8089">
        <v>-2.8418200000000001E-2</v>
      </c>
      <c r="N8089">
        <v>-1.5902139999999999E-2</v>
      </c>
      <c r="O8089">
        <v>0.99946959999999996</v>
      </c>
      <c r="P8089">
        <v>-0.1188819</v>
      </c>
      <c r="Q8089">
        <v>-0.13319790000000001</v>
      </c>
      <c r="R8089">
        <v>0.98393359999999996</v>
      </c>
      <c r="S8089">
        <v>-0.25871280000000002</v>
      </c>
      <c r="T8089">
        <v>-0.14670339999999901</v>
      </c>
      <c r="U8089">
        <v>2.9981080000000002</v>
      </c>
      <c r="V8089">
        <v>-9.0042960000000005E-2</v>
      </c>
      <c r="W8089">
        <v>-0.118121</v>
      </c>
      <c r="X8089">
        <v>0.98890840000000002</v>
      </c>
      <c r="Y8089">
        <v>-5.7545300000000001E-2</v>
      </c>
      <c r="Z8089">
        <v>-3.2843230000000001E-2</v>
      </c>
      <c r="AA8089">
        <v>0.99780250000000004</v>
      </c>
      <c r="AB8089">
        <v>50</v>
      </c>
      <c r="AC8089">
        <v>-1.9487000000000001</v>
      </c>
      <c r="AD8089">
        <v>-1.1116857073299999</v>
      </c>
      <c r="AE8089">
        <v>22.3107199999999</v>
      </c>
      <c r="AF8089">
        <v>-1.3105728449622001</v>
      </c>
      <c r="AG8089">
        <v>-1.1116857073299999</v>
      </c>
      <c r="AH8089">
        <v>22.302140537539</v>
      </c>
      <c r="AI8089">
        <v>92.848731117047805</v>
      </c>
      <c r="AJ8089">
        <v>93.363086868651493</v>
      </c>
      <c r="AK8089">
        <v>22.3682569470662</v>
      </c>
      <c r="AL8089">
        <v>96.783672090898605</v>
      </c>
      <c r="AM8089">
        <v>95.202599903080298</v>
      </c>
      <c r="AN8089">
        <v>1.0000000644385501</v>
      </c>
    </row>
    <row r="8090" spans="1:40" x14ac:dyDescent="0.25">
      <c r="A8090" t="str">
        <f>"20190305135120084"</f>
        <v>20190305135120084</v>
      </c>
      <c r="B8090" t="str">
        <f>"1551765080078488"</f>
        <v>1551765080078488</v>
      </c>
      <c r="C8090" t="s">
        <v>40</v>
      </c>
      <c r="D8090">
        <v>5.2198570000000002</v>
      </c>
      <c r="E8090">
        <v>0.55184299999999997</v>
      </c>
      <c r="F8090" t="s">
        <v>42</v>
      </c>
      <c r="G8090">
        <v>-189.51400000000001</v>
      </c>
      <c r="H8090" s="1">
        <v>-4.0386480000000002E-6</v>
      </c>
      <c r="I8090">
        <v>118.846</v>
      </c>
      <c r="J8090">
        <v>-187.5735</v>
      </c>
      <c r="K8090">
        <v>1.1116159999999999</v>
      </c>
      <c r="L8090">
        <v>96.073430000000002</v>
      </c>
      <c r="M8090">
        <v>-2.9468879999999999E-2</v>
      </c>
      <c r="N8090">
        <v>-1.6003420000000001E-2</v>
      </c>
      <c r="O8090">
        <v>0.99943760000000004</v>
      </c>
      <c r="P8090">
        <v>-0.1185779</v>
      </c>
      <c r="Q8090">
        <v>-0.13324359999999999</v>
      </c>
      <c r="R8090">
        <v>0.98396410000000001</v>
      </c>
      <c r="S8090">
        <v>-0.25331120000000001</v>
      </c>
      <c r="T8090">
        <v>-0.14442060000000001</v>
      </c>
      <c r="U8090">
        <v>2.9988100000000002</v>
      </c>
      <c r="V8090">
        <v>-8.8732459999999999E-2</v>
      </c>
      <c r="W8090">
        <v>-0.11803180000000001</v>
      </c>
      <c r="X8090">
        <v>0.98903750000000001</v>
      </c>
      <c r="Y8090">
        <v>-5.4695149999999998E-2</v>
      </c>
      <c r="Z8090">
        <v>-3.1979830000000001E-2</v>
      </c>
      <c r="AA8090">
        <v>0.99799079999999996</v>
      </c>
      <c r="AB8090">
        <v>50</v>
      </c>
      <c r="AC8090">
        <v>-1.9405000000000101</v>
      </c>
      <c r="AD8090">
        <v>-1.111620038648</v>
      </c>
      <c r="AE8090">
        <v>22.772570000000002</v>
      </c>
      <c r="AF8090">
        <v>-1.26549525894375</v>
      </c>
      <c r="AG8090">
        <v>-1.111620038648</v>
      </c>
      <c r="AH8090">
        <v>22.7660130506037</v>
      </c>
      <c r="AI8090">
        <v>92.7911190307872</v>
      </c>
      <c r="AJ8090">
        <v>93.181628443950402</v>
      </c>
      <c r="AK8090">
        <v>22.828239695188799</v>
      </c>
      <c r="AL8090">
        <v>96.778525293887995</v>
      </c>
      <c r="AM8090">
        <v>95.126621262621001</v>
      </c>
      <c r="AN8090">
        <v>1.0000000658375601</v>
      </c>
    </row>
    <row r="8091" spans="1:40" x14ac:dyDescent="0.25">
      <c r="A8091" t="str">
        <f>"20190305135120104"</f>
        <v>20190305135120104</v>
      </c>
      <c r="B8091" t="str">
        <f>"1551765080098007"</f>
        <v>1551765080098007</v>
      </c>
      <c r="C8091" t="s">
        <v>40</v>
      </c>
      <c r="D8091">
        <v>4.8299099999999999</v>
      </c>
      <c r="E8091">
        <v>0.60495949999999998</v>
      </c>
      <c r="F8091" t="s">
        <v>94</v>
      </c>
      <c r="G8091">
        <v>-187.15389999999999</v>
      </c>
      <c r="H8091" s="1">
        <v>-3.3905899999999999E-6</v>
      </c>
      <c r="I8091">
        <v>125.6142</v>
      </c>
      <c r="J8091">
        <v>-187.58770000000001</v>
      </c>
      <c r="K8091">
        <v>1.1114850000000001</v>
      </c>
      <c r="L8091">
        <v>96.528779999999998</v>
      </c>
      <c r="M8091">
        <v>-3.0819099999999999E-2</v>
      </c>
      <c r="N8091">
        <v>-1.621442E-2</v>
      </c>
      <c r="O8091">
        <v>0.99939350000000005</v>
      </c>
      <c r="P8091">
        <v>-0.1169803</v>
      </c>
      <c r="Q8091">
        <v>-0.13303409999999999</v>
      </c>
      <c r="R8091">
        <v>0.98418369999999999</v>
      </c>
      <c r="S8091">
        <v>4.3167110000000002E-2</v>
      </c>
      <c r="T8091">
        <v>-0.11434279999999999</v>
      </c>
      <c r="U8091">
        <v>3.038605</v>
      </c>
      <c r="V8091">
        <v>-8.5855509999999996E-2</v>
      </c>
      <c r="W8091">
        <v>-0.1175471</v>
      </c>
      <c r="X8091">
        <v>0.98934909999999998</v>
      </c>
      <c r="Y8091">
        <v>4.4995189999999997E-2</v>
      </c>
      <c r="Z8091">
        <v>-2.1344249999999999E-2</v>
      </c>
      <c r="AA8091">
        <v>0.99875919999999896</v>
      </c>
      <c r="AB8091">
        <v>49</v>
      </c>
      <c r="AC8091">
        <v>0.433800000000019</v>
      </c>
      <c r="AD8091">
        <v>-1.1114883905899999</v>
      </c>
      <c r="AE8091">
        <v>29.085419999999999</v>
      </c>
      <c r="AF8091">
        <v>1.3281590087403401</v>
      </c>
      <c r="AG8091">
        <v>-1.1114883905899999</v>
      </c>
      <c r="AH8091">
        <v>29.0158649787606</v>
      </c>
      <c r="AI8091">
        <v>92.1914204105815</v>
      </c>
      <c r="AJ8091">
        <v>87.379198405008694</v>
      </c>
      <c r="AK8091">
        <v>29.067504764953199</v>
      </c>
      <c r="AL8091">
        <v>96.750559351109501</v>
      </c>
      <c r="AM8091">
        <v>94.959690749227093</v>
      </c>
      <c r="AN8091">
        <v>1.0000000654932799</v>
      </c>
    </row>
    <row r="8092" spans="1:40" x14ac:dyDescent="0.25">
      <c r="A8092" t="str">
        <f>"20190305135120127"</f>
        <v>20190305135120127</v>
      </c>
      <c r="B8092" t="str">
        <f>"1551765080117527"</f>
        <v>1551765080117527</v>
      </c>
      <c r="C8092" t="s">
        <v>40</v>
      </c>
      <c r="D8092">
        <v>4.8006960000000003</v>
      </c>
      <c r="E8092">
        <v>0.60726579999999997</v>
      </c>
      <c r="F8092" t="s">
        <v>94</v>
      </c>
      <c r="G8092">
        <v>-184.05879999999999</v>
      </c>
      <c r="H8092" s="1">
        <v>-1.5900739999999999E-6</v>
      </c>
      <c r="I8092">
        <v>119.6859</v>
      </c>
      <c r="J8092">
        <v>-187.60419999999999</v>
      </c>
      <c r="K8092">
        <v>1.1112869999999999</v>
      </c>
      <c r="L8092">
        <v>97.037509999999997</v>
      </c>
      <c r="M8092">
        <v>-3.1993380000000002E-2</v>
      </c>
      <c r="N8092">
        <v>-1.6538770000000001E-2</v>
      </c>
      <c r="O8092">
        <v>0.99935130000000005</v>
      </c>
      <c r="P8092">
        <v>-0.11476169999999999</v>
      </c>
      <c r="Q8092">
        <v>-0.1330382</v>
      </c>
      <c r="R8092">
        <v>0.98444430000000005</v>
      </c>
      <c r="S8092">
        <v>0.46998600000000001</v>
      </c>
      <c r="T8092">
        <v>-0.14802679999999999</v>
      </c>
      <c r="U8092">
        <v>3.0840450000000001</v>
      </c>
      <c r="V8092">
        <v>-8.2553349999999998E-2</v>
      </c>
      <c r="W8092">
        <v>-0.1171466</v>
      </c>
      <c r="X8092">
        <v>0.98967749999999999</v>
      </c>
      <c r="Y8092">
        <v>0.1820418</v>
      </c>
      <c r="Z8092">
        <v>-3.0666499999999999E-2</v>
      </c>
      <c r="AA8092">
        <v>0.98281249999999998</v>
      </c>
      <c r="AB8092">
        <v>49</v>
      </c>
      <c r="AC8092">
        <v>3.5453999999999999</v>
      </c>
      <c r="AD8092">
        <v>-1.1112885900739999</v>
      </c>
      <c r="AE8092">
        <v>22.648389999999999</v>
      </c>
      <c r="AF8092">
        <v>4.2582752873524496</v>
      </c>
      <c r="AG8092">
        <v>-1.1112885900739999</v>
      </c>
      <c r="AH8092">
        <v>22.470542425451399</v>
      </c>
      <c r="AI8092">
        <v>92.781845714907703</v>
      </c>
      <c r="AJ8092">
        <v>79.269420581672605</v>
      </c>
      <c r="AK8092">
        <v>22.897448496444301</v>
      </c>
      <c r="AL8092">
        <v>96.727453409681502</v>
      </c>
      <c r="AM8092">
        <v>94.768254125490401</v>
      </c>
      <c r="AN8092">
        <v>0.99999996774701505</v>
      </c>
    </row>
    <row r="8093" spans="1:40" x14ac:dyDescent="0.25">
      <c r="A8093" t="str">
        <f>"20190305135120147"</f>
        <v>20190305135120147</v>
      </c>
      <c r="B8093" t="str">
        <f>"1551765080138023"</f>
        <v>1551765080138023</v>
      </c>
      <c r="C8093" t="s">
        <v>40</v>
      </c>
      <c r="D8093">
        <v>4.7911640000000002</v>
      </c>
      <c r="E8093">
        <v>0.60726150000000001</v>
      </c>
      <c r="F8093" t="s">
        <v>94</v>
      </c>
      <c r="G8093">
        <v>-183.4906</v>
      </c>
      <c r="H8093" s="1">
        <v>-2.635169E-6</v>
      </c>
      <c r="I8093">
        <v>122.721</v>
      </c>
      <c r="J8093">
        <v>-187.6189</v>
      </c>
      <c r="K8093">
        <v>1.1110789999999999</v>
      </c>
      <c r="L8093">
        <v>97.483609999999999</v>
      </c>
      <c r="M8093">
        <v>-3.2707479999999997E-2</v>
      </c>
      <c r="N8093">
        <v>-1.6877329999999999E-2</v>
      </c>
      <c r="O8093">
        <v>0.9993225</v>
      </c>
      <c r="P8093">
        <v>-0.1122248</v>
      </c>
      <c r="Q8093">
        <v>-0.13270279999999901</v>
      </c>
      <c r="R8093">
        <v>0.98478200000000005</v>
      </c>
      <c r="S8093">
        <v>0.49443049999999999</v>
      </c>
      <c r="T8093">
        <v>-0.13357060000000001</v>
      </c>
      <c r="U8093">
        <v>3.0870060000000001</v>
      </c>
      <c r="V8093">
        <v>-7.9387299999999994E-2</v>
      </c>
      <c r="W8093">
        <v>-0.1163964</v>
      </c>
      <c r="X8093">
        <v>0.99002500000000004</v>
      </c>
      <c r="Y8093">
        <v>0.190218</v>
      </c>
      <c r="Z8093">
        <v>-2.5616590000000002E-2</v>
      </c>
      <c r="AA8093">
        <v>0.98140760000000005</v>
      </c>
      <c r="AB8093">
        <v>49</v>
      </c>
      <c r="AC8093">
        <v>4.1282999999999896</v>
      </c>
      <c r="AD8093">
        <v>-1.111081635169</v>
      </c>
      <c r="AE8093">
        <v>25.237390000000001</v>
      </c>
      <c r="AF8093">
        <v>4.9423298983373503</v>
      </c>
      <c r="AG8093">
        <v>-1.111081635169</v>
      </c>
      <c r="AH8093">
        <v>25.041566621634601</v>
      </c>
      <c r="AI8093">
        <v>92.492499514844198</v>
      </c>
      <c r="AJ8093">
        <v>78.835306058230202</v>
      </c>
      <c r="AK8093">
        <v>25.548800090997801</v>
      </c>
      <c r="AL8093">
        <v>96.684173928574495</v>
      </c>
      <c r="AM8093">
        <v>94.5845767835103</v>
      </c>
      <c r="AN8093">
        <v>0.999999982979624</v>
      </c>
    </row>
    <row r="8094" spans="1:40" x14ac:dyDescent="0.25">
      <c r="A8094" t="str">
        <f>"20190305135120170"</f>
        <v>20190305135120170</v>
      </c>
      <c r="B8094" t="str">
        <f>"1551765080167303"</f>
        <v>1551765080167303</v>
      </c>
      <c r="C8094" t="s">
        <v>40</v>
      </c>
      <c r="D8094">
        <v>4.7706600000000003</v>
      </c>
      <c r="E8094">
        <v>0.60628549999999903</v>
      </c>
      <c r="F8094" t="s">
        <v>94</v>
      </c>
      <c r="G8094">
        <v>-183.19390000000001</v>
      </c>
      <c r="H8094" s="1">
        <v>-3.7025309999999999E-6</v>
      </c>
      <c r="I8094">
        <v>124.6923</v>
      </c>
      <c r="J8094">
        <v>-187.63489999999999</v>
      </c>
      <c r="K8094">
        <v>1.1108199999999999</v>
      </c>
      <c r="L8094">
        <v>97.963710000000006</v>
      </c>
      <c r="M8094">
        <v>-3.3141329999999997E-2</v>
      </c>
      <c r="N8094">
        <v>-1.7259650000000001E-2</v>
      </c>
      <c r="O8094">
        <v>0.99930160000000001</v>
      </c>
      <c r="P8094">
        <v>-0.1093146</v>
      </c>
      <c r="Q8094">
        <v>-0.13223080000000001</v>
      </c>
      <c r="R8094">
        <v>0.98517270000000001</v>
      </c>
      <c r="S8094">
        <v>0.50196839999999998</v>
      </c>
      <c r="T8094">
        <v>-0.12604219999999999</v>
      </c>
      <c r="U8094">
        <v>3.0865779999999998</v>
      </c>
      <c r="V8094">
        <v>-7.6138860000000003E-2</v>
      </c>
      <c r="W8094">
        <v>-0.11545950000000001</v>
      </c>
      <c r="X8094">
        <v>0.99038979999999999</v>
      </c>
      <c r="Y8094">
        <v>0.1930114</v>
      </c>
      <c r="Z8094">
        <v>-2.282354E-2</v>
      </c>
      <c r="AA8094">
        <v>0.980931</v>
      </c>
      <c r="AB8094">
        <v>49</v>
      </c>
      <c r="AC8094">
        <v>4.4409999999999696</v>
      </c>
      <c r="AD8094">
        <v>-1.1108237025309999</v>
      </c>
      <c r="AE8094">
        <v>26.728590000000001</v>
      </c>
      <c r="AF8094">
        <v>5.31557841569657</v>
      </c>
      <c r="AG8094">
        <v>-1.1108237025309999</v>
      </c>
      <c r="AH8094">
        <v>26.522122461873099</v>
      </c>
      <c r="AI8094">
        <v>92.351601391596901</v>
      </c>
      <c r="AJ8094">
        <v>78.666900327162296</v>
      </c>
      <c r="AK8094">
        <v>27.072352743603901</v>
      </c>
      <c r="AL8094">
        <v>96.630129079019795</v>
      </c>
      <c r="AM8094">
        <v>94.396119012231395</v>
      </c>
      <c r="AN8094">
        <v>0.99999998904319398</v>
      </c>
    </row>
    <row r="8095" spans="1:40" x14ac:dyDescent="0.25">
      <c r="A8095" t="str">
        <f>"20190305135120182"</f>
        <v>20190305135120182</v>
      </c>
      <c r="B8095" t="str">
        <f>"1551765080178040"</f>
        <v>1551765080178040</v>
      </c>
      <c r="C8095" t="s">
        <v>40</v>
      </c>
      <c r="D8095">
        <v>4.7485229999999996</v>
      </c>
      <c r="E8095">
        <v>0.60601959999999999</v>
      </c>
      <c r="F8095" t="s">
        <v>94</v>
      </c>
      <c r="G8095">
        <v>-183.15180000000001</v>
      </c>
      <c r="H8095" s="1">
        <v>-3.9000139999999999E-6</v>
      </c>
      <c r="I8095">
        <v>125.4301</v>
      </c>
      <c r="J8095">
        <v>-187.64490000000001</v>
      </c>
      <c r="K8095">
        <v>1.110625</v>
      </c>
      <c r="L8095">
        <v>98.263639999999995</v>
      </c>
      <c r="M8095">
        <v>-3.3175959999999997E-2</v>
      </c>
      <c r="N8095">
        <v>-1.7499859999999999E-2</v>
      </c>
      <c r="O8095">
        <v>0.99929630000000003</v>
      </c>
      <c r="P8095">
        <v>-0.1074592</v>
      </c>
      <c r="Q8095">
        <v>-0.13204560000000001</v>
      </c>
      <c r="R8095">
        <v>0.98540170000000005</v>
      </c>
      <c r="S8095">
        <v>0.50341800000000003</v>
      </c>
      <c r="T8095">
        <v>-0.1247369</v>
      </c>
      <c r="U8095">
        <v>3.0842589999999999</v>
      </c>
      <c r="V8095">
        <v>-7.4311459999999996E-2</v>
      </c>
      <c r="W8095">
        <v>-0.1149826</v>
      </c>
      <c r="X8095">
        <v>0.99058409999999997</v>
      </c>
      <c r="Y8095">
        <v>0.19361239999999999</v>
      </c>
      <c r="Z8095">
        <v>-2.219293E-2</v>
      </c>
      <c r="AA8095">
        <v>0.980827</v>
      </c>
      <c r="AB8095">
        <v>49</v>
      </c>
      <c r="AC8095">
        <v>4.4930999999999903</v>
      </c>
      <c r="AD8095">
        <v>-1.1106289000139999</v>
      </c>
      <c r="AE8095">
        <v>27.166459999999901</v>
      </c>
      <c r="AF8095">
        <v>5.3832794726982804</v>
      </c>
      <c r="AG8095">
        <v>-1.1106289000139999</v>
      </c>
      <c r="AH8095">
        <v>26.958557318951001</v>
      </c>
      <c r="AI8095">
        <v>92.313493461547097</v>
      </c>
      <c r="AJ8095">
        <v>78.707300050098993</v>
      </c>
      <c r="AK8095">
        <v>27.513215136619099</v>
      </c>
      <c r="AL8095">
        <v>96.602621277095494</v>
      </c>
      <c r="AM8095">
        <v>94.290168643956306</v>
      </c>
      <c r="AN8095">
        <v>1.00000002528145</v>
      </c>
    </row>
    <row r="8096" spans="1:40" x14ac:dyDescent="0.25">
      <c r="A8096" t="str">
        <f>"20190305135120196"</f>
        <v>20190305135120196</v>
      </c>
      <c r="B8096" t="str">
        <f>"1551765080187799"</f>
        <v>1551765080187799</v>
      </c>
      <c r="C8096" t="s">
        <v>40</v>
      </c>
      <c r="D8096">
        <v>4.790896</v>
      </c>
      <c r="E8096">
        <v>0.6057768</v>
      </c>
      <c r="F8096" t="s">
        <v>94</v>
      </c>
      <c r="G8096">
        <v>-183.09200000000001</v>
      </c>
      <c r="H8096" s="1">
        <v>-4.0449239999999998E-6</v>
      </c>
      <c r="I8096">
        <v>125.956</v>
      </c>
      <c r="J8096">
        <v>-187.65450000000001</v>
      </c>
      <c r="K8096">
        <v>1.11043</v>
      </c>
      <c r="L8096">
        <v>98.556150000000002</v>
      </c>
      <c r="M8096">
        <v>-3.3111559999999998E-2</v>
      </c>
      <c r="N8096">
        <v>-1.773375E-2</v>
      </c>
      <c r="O8096">
        <v>0.99929429999999997</v>
      </c>
      <c r="P8096">
        <v>-0.105402</v>
      </c>
      <c r="Q8096">
        <v>-0.1316271</v>
      </c>
      <c r="R8096">
        <v>0.98567990000000005</v>
      </c>
      <c r="S8096">
        <v>0.50689700000000004</v>
      </c>
      <c r="T8096">
        <v>-0.12365329999999999</v>
      </c>
      <c r="U8096">
        <v>3.0831599999999999</v>
      </c>
      <c r="V8096">
        <v>-7.2377769999999994E-2</v>
      </c>
      <c r="W8096">
        <v>-0.1142803</v>
      </c>
      <c r="X8096">
        <v>0.99080849999999998</v>
      </c>
      <c r="Y8096">
        <v>0.19468289999999999</v>
      </c>
      <c r="Z8096">
        <v>-2.1619559999999999E-2</v>
      </c>
      <c r="AA8096">
        <v>0.98062800000000006</v>
      </c>
      <c r="AB8096">
        <v>49</v>
      </c>
      <c r="AC8096">
        <v>4.5625</v>
      </c>
      <c r="AD8096">
        <v>-1.110434044924</v>
      </c>
      <c r="AE8096">
        <v>27.399850000000001</v>
      </c>
      <c r="AF8096">
        <v>5.4586682648345697</v>
      </c>
      <c r="AG8096">
        <v>-1.110434044924</v>
      </c>
      <c r="AH8096">
        <v>27.1902721338984</v>
      </c>
      <c r="AI8096">
        <v>92.292924827362299</v>
      </c>
      <c r="AJ8096">
        <v>78.648306495313804</v>
      </c>
      <c r="AK8096">
        <v>27.7550179554813</v>
      </c>
      <c r="AL8096">
        <v>96.5621155667435</v>
      </c>
      <c r="AM8096">
        <v>94.177989991437698</v>
      </c>
      <c r="AN8096">
        <v>1.0000000061152501</v>
      </c>
    </row>
    <row r="8097" spans="1:40" x14ac:dyDescent="0.25">
      <c r="A8097" t="str">
        <f>"20190305135120216"</f>
        <v>20190305135120216</v>
      </c>
      <c r="B8097" t="str">
        <f>"1551765080208296"</f>
        <v>1551765080208296</v>
      </c>
      <c r="C8097" t="s">
        <v>40</v>
      </c>
      <c r="D8097">
        <v>4.7897040000000004</v>
      </c>
      <c r="E8097">
        <v>0.60502180000000005</v>
      </c>
      <c r="F8097" t="s">
        <v>94</v>
      </c>
      <c r="G8097">
        <v>-183.0385</v>
      </c>
      <c r="H8097" s="1">
        <v>-4.1632750000000004E-6</v>
      </c>
      <c r="I8097">
        <v>126.38290000000001</v>
      </c>
      <c r="J8097">
        <v>-187.66810000000001</v>
      </c>
      <c r="K8097">
        <v>1.1101460000000001</v>
      </c>
      <c r="L8097">
        <v>98.970119999999994</v>
      </c>
      <c r="M8097">
        <v>-3.2807629999999997E-2</v>
      </c>
      <c r="N8097">
        <v>-1.8061049999999999E-2</v>
      </c>
      <c r="O8097">
        <v>0.99929849999999998</v>
      </c>
      <c r="P8097">
        <v>-9.9360760000000006E-2</v>
      </c>
      <c r="Q8097">
        <v>-0.13077839999999999</v>
      </c>
      <c r="R8097">
        <v>0.98641999999999996</v>
      </c>
      <c r="S8097">
        <v>0.51123050000000003</v>
      </c>
      <c r="T8097">
        <v>-0.1229806</v>
      </c>
      <c r="U8097">
        <v>3.0818180000000002</v>
      </c>
      <c r="V8097">
        <v>-6.6713969999999997E-2</v>
      </c>
      <c r="W8097">
        <v>-0.11302570000000001</v>
      </c>
      <c r="X8097">
        <v>0.99134979999999995</v>
      </c>
      <c r="Y8097">
        <v>0.19579460000000001</v>
      </c>
      <c r="Z8097">
        <v>-2.1085909999999999E-2</v>
      </c>
      <c r="AA8097">
        <v>0.98041820000000002</v>
      </c>
      <c r="AB8097">
        <v>49</v>
      </c>
      <c r="AC8097">
        <v>4.6296000000000097</v>
      </c>
      <c r="AD8097">
        <v>-1.1101501632749999</v>
      </c>
      <c r="AE8097">
        <v>27.412780000000001</v>
      </c>
      <c r="AF8097">
        <v>5.5178035251726198</v>
      </c>
      <c r="AG8097">
        <v>-1.1101501632749999</v>
      </c>
      <c r="AH8097">
        <v>27.202730820112301</v>
      </c>
      <c r="AI8097">
        <v>92.290366708440203</v>
      </c>
      <c r="AJ8097">
        <v>78.533688519747599</v>
      </c>
      <c r="AK8097">
        <v>27.778897623896398</v>
      </c>
      <c r="AL8097">
        <v>96.489763549240195</v>
      </c>
      <c r="AM8097">
        <v>93.849977324976706</v>
      </c>
      <c r="AN8097">
        <v>0.99999999430684505</v>
      </c>
    </row>
    <row r="8098" spans="1:40" x14ac:dyDescent="0.25">
      <c r="A8098" t="str">
        <f>"20190305135120228"</f>
        <v>20190305135120228</v>
      </c>
      <c r="B8098" t="str">
        <f>"1551765080218055"</f>
        <v>1551765080218055</v>
      </c>
      <c r="C8098" t="s">
        <v>40</v>
      </c>
      <c r="D8098">
        <v>4.7967919999999999</v>
      </c>
      <c r="E8098">
        <v>0.60466379999999997</v>
      </c>
      <c r="F8098" t="s">
        <v>94</v>
      </c>
      <c r="G8098">
        <v>-182.9522</v>
      </c>
      <c r="H8098" s="1">
        <v>-4.244993E-6</v>
      </c>
      <c r="I8098">
        <v>126.65130000000001</v>
      </c>
      <c r="J8098">
        <v>-187.6773</v>
      </c>
      <c r="K8098">
        <v>1.1099239999999999</v>
      </c>
      <c r="L8098">
        <v>99.256649999999993</v>
      </c>
      <c r="M8098">
        <v>-3.2466340000000003E-2</v>
      </c>
      <c r="N8098">
        <v>-1.828306E-2</v>
      </c>
      <c r="O8098">
        <v>0.99930560000000002</v>
      </c>
      <c r="P8098">
        <v>-9.6848660000000003E-2</v>
      </c>
      <c r="Q8098">
        <v>-0.1306397</v>
      </c>
      <c r="R8098">
        <v>0.98668820000000002</v>
      </c>
      <c r="S8098">
        <v>0.52433779999999997</v>
      </c>
      <c r="T8098">
        <v>-0.123433</v>
      </c>
      <c r="U8098">
        <v>3.0777589999999999</v>
      </c>
      <c r="V8098">
        <v>-6.4600939999999996E-2</v>
      </c>
      <c r="W8098">
        <v>-0.1126205</v>
      </c>
      <c r="X8098">
        <v>0.99153579999999997</v>
      </c>
      <c r="Y8098">
        <v>0.1997236</v>
      </c>
      <c r="Z8098">
        <v>-2.1028769999999999E-2</v>
      </c>
      <c r="AA8098">
        <v>0.97962660000000001</v>
      </c>
      <c r="AB8098">
        <v>49</v>
      </c>
      <c r="AC8098">
        <v>4.7250999999999896</v>
      </c>
      <c r="AD8098">
        <v>-1.1099282449929999</v>
      </c>
      <c r="AE8098">
        <v>27.394649999999999</v>
      </c>
      <c r="AF8098">
        <v>5.60322860580587</v>
      </c>
      <c r="AG8098">
        <v>-1.1099282449929999</v>
      </c>
      <c r="AH8098">
        <v>27.183436971151298</v>
      </c>
      <c r="AI8098">
        <v>92.290056786572507</v>
      </c>
      <c r="AJ8098">
        <v>78.352943072106996</v>
      </c>
      <c r="AK8098">
        <v>27.777101308136999</v>
      </c>
      <c r="AL8098">
        <v>96.466398396876201</v>
      </c>
      <c r="AM8098">
        <v>93.727689196556696</v>
      </c>
      <c r="AN8098">
        <v>0.99999995057538504</v>
      </c>
    </row>
    <row r="8099" spans="1:40" x14ac:dyDescent="0.25">
      <c r="A8099" t="str">
        <f>"20190305135120248"</f>
        <v>20190305135120248</v>
      </c>
      <c r="B8099" t="str">
        <f>"1551765080237578"</f>
        <v>1551765080237578</v>
      </c>
      <c r="C8099" t="s">
        <v>40</v>
      </c>
      <c r="D8099">
        <v>4.754067</v>
      </c>
      <c r="E8099">
        <v>0.60416590000000003</v>
      </c>
      <c r="F8099" t="s">
        <v>94</v>
      </c>
      <c r="G8099">
        <v>-182.98330000000001</v>
      </c>
      <c r="H8099" s="1">
        <v>-4.2073009999999998E-6</v>
      </c>
      <c r="I8099">
        <v>126.52290000000001</v>
      </c>
      <c r="J8099">
        <v>-187.69</v>
      </c>
      <c r="K8099">
        <v>1.10959599999999</v>
      </c>
      <c r="L8099">
        <v>99.658720000000002</v>
      </c>
      <c r="M8099">
        <v>-3.1726589999999999E-2</v>
      </c>
      <c r="N8099">
        <v>-1.8597559999999999E-2</v>
      </c>
      <c r="O8099">
        <v>0.99932350000000003</v>
      </c>
      <c r="P8099">
        <v>-9.147044E-2</v>
      </c>
      <c r="Q8099">
        <v>-0.1303011</v>
      </c>
      <c r="R8099">
        <v>0.98724599999999996</v>
      </c>
      <c r="S8099">
        <v>0.52952580000000005</v>
      </c>
      <c r="T8099">
        <v>-0.1252095</v>
      </c>
      <c r="U8099">
        <v>3.0758670000000001</v>
      </c>
      <c r="V8099">
        <v>-6.004027E-2</v>
      </c>
      <c r="W8099">
        <v>-0.1119039</v>
      </c>
      <c r="X8099">
        <v>0.99190350000000005</v>
      </c>
      <c r="Y8099">
        <v>0.2006983</v>
      </c>
      <c r="Z8099">
        <v>-2.1295830000000002E-2</v>
      </c>
      <c r="AA8099">
        <v>0.9794216</v>
      </c>
      <c r="AB8099">
        <v>49</v>
      </c>
      <c r="AC8099">
        <v>4.7066999999999801</v>
      </c>
      <c r="AD8099">
        <v>-1.1096002073009901</v>
      </c>
      <c r="AE8099">
        <v>26.864180000000001</v>
      </c>
      <c r="AF8099">
        <v>5.5476035616044301</v>
      </c>
      <c r="AG8099">
        <v>-1.1096002073009901</v>
      </c>
      <c r="AH8099">
        <v>26.657174676924001</v>
      </c>
      <c r="AI8099">
        <v>92.333609780255401</v>
      </c>
      <c r="AJ8099">
        <v>78.244018777439706</v>
      </c>
      <c r="AK8099">
        <v>27.250909703215498</v>
      </c>
      <c r="AL8099">
        <v>96.425079142880605</v>
      </c>
      <c r="AM8099">
        <v>93.463907445162505</v>
      </c>
      <c r="AN8099">
        <v>0.99999993508456397</v>
      </c>
    </row>
    <row r="8100" spans="1:40" x14ac:dyDescent="0.25">
      <c r="A8100" t="str">
        <f>"20190305135120270"</f>
        <v>20190305135120270</v>
      </c>
      <c r="B8100" t="str">
        <f>"1551765080267831"</f>
        <v>1551765080267831</v>
      </c>
      <c r="C8100" t="s">
        <v>40</v>
      </c>
      <c r="D8100">
        <v>4.83</v>
      </c>
      <c r="E8100">
        <v>0.60338519999999995</v>
      </c>
      <c r="F8100" t="s">
        <v>94</v>
      </c>
      <c r="G8100">
        <v>-182.94239999999999</v>
      </c>
      <c r="H8100" s="1">
        <v>-4.2207710000000001E-6</v>
      </c>
      <c r="I8100">
        <v>126.5528</v>
      </c>
      <c r="J8100">
        <v>-187.7045</v>
      </c>
      <c r="K8100">
        <v>1.1091740000000001</v>
      </c>
      <c r="L8100">
        <v>100.14100000000001</v>
      </c>
      <c r="M8100">
        <v>-3.0523990000000001E-2</v>
      </c>
      <c r="N8100">
        <v>-1.8972389999999999E-2</v>
      </c>
      <c r="O8100">
        <v>0.99935390000000002</v>
      </c>
      <c r="P8100">
        <v>-8.5416140000000002E-2</v>
      </c>
      <c r="Q8100">
        <v>-0.13035160000000001</v>
      </c>
      <c r="R8100">
        <v>0.98778160000000004</v>
      </c>
      <c r="S8100">
        <v>0.54234309999999997</v>
      </c>
      <c r="T8100">
        <v>-0.12675600000000001</v>
      </c>
      <c r="U8100">
        <v>3.0722659999999999</v>
      </c>
      <c r="V8100">
        <v>-5.5289570000000003E-2</v>
      </c>
      <c r="W8100">
        <v>-0.11151229999999999</v>
      </c>
      <c r="X8100">
        <v>0.99222379999999999</v>
      </c>
      <c r="Y8100">
        <v>0.20366999999999999</v>
      </c>
      <c r="Z8100">
        <v>-2.143548E-2</v>
      </c>
      <c r="AA8100">
        <v>0.97880489999999998</v>
      </c>
      <c r="AB8100">
        <v>48</v>
      </c>
      <c r="AC8100">
        <v>4.7621000000000002</v>
      </c>
      <c r="AD8100">
        <v>-1.1091782207709999</v>
      </c>
      <c r="AE8100">
        <v>26.411799999999999</v>
      </c>
      <c r="AF8100">
        <v>5.5567274890979501</v>
      </c>
      <c r="AG8100">
        <v>-1.1091782207709999</v>
      </c>
      <c r="AH8100">
        <v>26.209335981346801</v>
      </c>
      <c r="AI8100">
        <v>92.370676718030097</v>
      </c>
      <c r="AJ8100">
        <v>78.029785046781598</v>
      </c>
      <c r="AK8100">
        <v>26.814861351434399</v>
      </c>
      <c r="AL8100">
        <v>96.402500383771198</v>
      </c>
      <c r="AM8100">
        <v>93.189387647335494</v>
      </c>
      <c r="AN8100">
        <v>0.99999999944425699</v>
      </c>
    </row>
    <row r="8101" spans="1:40" x14ac:dyDescent="0.25">
      <c r="A8101" t="str">
        <f>"20190305135120296"</f>
        <v>20190305135120296</v>
      </c>
      <c r="B8101" t="str">
        <f>"1551765080288327"</f>
        <v>1551765080288327</v>
      </c>
      <c r="C8101" t="s">
        <v>40</v>
      </c>
      <c r="D8101">
        <v>4.7407700000000004</v>
      </c>
      <c r="E8101">
        <v>0.60276989999999997</v>
      </c>
      <c r="F8101" t="s">
        <v>94</v>
      </c>
      <c r="G8101">
        <v>-183.01519999999999</v>
      </c>
      <c r="H8101" s="1">
        <v>-4.0840859999999996E-6</v>
      </c>
      <c r="I8101">
        <v>126.0656</v>
      </c>
      <c r="J8101">
        <v>-187.71940000000001</v>
      </c>
      <c r="K8101">
        <v>1.1086800000000001</v>
      </c>
      <c r="L8101">
        <v>100.6746</v>
      </c>
      <c r="M8101">
        <v>-2.8770250000000001E-2</v>
      </c>
      <c r="N8101">
        <v>-1.937701E-2</v>
      </c>
      <c r="O8101">
        <v>0.99939820000000001</v>
      </c>
      <c r="P8101">
        <v>-7.8394549999999993E-2</v>
      </c>
      <c r="Q8101">
        <v>-0.13098699999999999</v>
      </c>
      <c r="R8101">
        <v>0.98827960000000004</v>
      </c>
      <c r="S8101">
        <v>0.55490109999999904</v>
      </c>
      <c r="T8101">
        <v>-0.13125410000000001</v>
      </c>
      <c r="U8101">
        <v>3.06778</v>
      </c>
      <c r="V8101">
        <v>-5.0137880000000003E-2</v>
      </c>
      <c r="W8101">
        <v>-0.1116809</v>
      </c>
      <c r="X8101">
        <v>0.99247850000000004</v>
      </c>
      <c r="Y8101">
        <v>0.20606740000000001</v>
      </c>
      <c r="Z8101">
        <v>-2.250336E-2</v>
      </c>
      <c r="AA8101">
        <v>0.97827900000000001</v>
      </c>
      <c r="AB8101">
        <v>48</v>
      </c>
      <c r="AC8101">
        <v>4.7042000000000099</v>
      </c>
      <c r="AD8101">
        <v>-1.1086840840859999</v>
      </c>
      <c r="AE8101">
        <v>25.390999999999998</v>
      </c>
      <c r="AF8101">
        <v>5.4228984845193997</v>
      </c>
      <c r="AG8101">
        <v>-1.1086840840859999</v>
      </c>
      <c r="AH8101">
        <v>25.198670014363799</v>
      </c>
      <c r="AI8101">
        <v>92.462942609927495</v>
      </c>
      <c r="AJ8101">
        <v>77.854852974830706</v>
      </c>
      <c r="AK8101">
        <v>25.799418188488399</v>
      </c>
      <c r="AL8101">
        <v>96.412221157720396</v>
      </c>
      <c r="AM8101">
        <v>92.8920010874361</v>
      </c>
      <c r="AN8101">
        <v>1.0000000016989701</v>
      </c>
    </row>
    <row r="8102" spans="1:40" x14ac:dyDescent="0.25">
      <c r="A8102" t="str">
        <f>"20190305135120316"</f>
        <v>20190305135120316</v>
      </c>
      <c r="B8102" t="str">
        <f>"1551765080307847"</f>
        <v>1551765080307847</v>
      </c>
      <c r="C8102" t="s">
        <v>40</v>
      </c>
      <c r="D8102">
        <v>4.7508679999999996</v>
      </c>
      <c r="E8102">
        <v>0.60218839999999996</v>
      </c>
      <c r="F8102" t="s">
        <v>94</v>
      </c>
      <c r="G8102">
        <v>-183.10759999999999</v>
      </c>
      <c r="H8102" s="1">
        <v>-3.8936280000000002E-6</v>
      </c>
      <c r="I8102">
        <v>125.3818</v>
      </c>
      <c r="J8102">
        <v>-187.7313</v>
      </c>
      <c r="K8102">
        <v>1.1082650000000001</v>
      </c>
      <c r="L8102">
        <v>101.13939999999999</v>
      </c>
      <c r="M8102">
        <v>-2.6966270000000001E-2</v>
      </c>
      <c r="N8102">
        <v>-1.9717209999999999E-2</v>
      </c>
      <c r="O8102">
        <v>0.99944189999999999</v>
      </c>
      <c r="P8102">
        <v>-7.1624069999999998E-2</v>
      </c>
      <c r="Q8102">
        <v>-0.1316049</v>
      </c>
      <c r="R8102">
        <v>0.98871140000000002</v>
      </c>
      <c r="S8102">
        <v>0.57167049999999997</v>
      </c>
      <c r="T8102">
        <v>-0.13743259999999999</v>
      </c>
      <c r="U8102">
        <v>3.0627140000000002</v>
      </c>
      <c r="V8102">
        <v>-4.5264909999999998E-2</v>
      </c>
      <c r="W8102">
        <v>-0.1119193</v>
      </c>
      <c r="X8102">
        <v>0.99268590000000001</v>
      </c>
      <c r="Y8102">
        <v>0.20974799999999999</v>
      </c>
      <c r="Z8102">
        <v>-2.4170629999999999E-2</v>
      </c>
      <c r="AA8102">
        <v>0.97745669999999996</v>
      </c>
      <c r="AB8102">
        <v>48</v>
      </c>
      <c r="AC8102">
        <v>4.6237000000000101</v>
      </c>
      <c r="AD8102">
        <v>-1.1082688936280001</v>
      </c>
      <c r="AE8102">
        <v>24.2424</v>
      </c>
      <c r="AF8102">
        <v>5.2652541575264697</v>
      </c>
      <c r="AG8102">
        <v>-1.1082688936280001</v>
      </c>
      <c r="AH8102">
        <v>24.0603522220343</v>
      </c>
      <c r="AI8102">
        <v>92.576412059236205</v>
      </c>
      <c r="AJ8102">
        <v>77.656249204626704</v>
      </c>
      <c r="AK8102">
        <v>24.654648858425901</v>
      </c>
      <c r="AL8102">
        <v>96.425966212116094</v>
      </c>
      <c r="AM8102">
        <v>92.610788637131805</v>
      </c>
      <c r="AN8102">
        <v>1.0000000689243</v>
      </c>
    </row>
    <row r="8103" spans="1:40" x14ac:dyDescent="0.25">
      <c r="A8103" t="str">
        <f>"20190305135120338"</f>
        <v>20190305135120338</v>
      </c>
      <c r="B8103" t="str">
        <f>"1551765080328346"</f>
        <v>1551765080328346</v>
      </c>
      <c r="C8103" t="s">
        <v>40</v>
      </c>
      <c r="D8103">
        <v>4.7659739999999999</v>
      </c>
      <c r="E8103">
        <v>0.60179039999999995</v>
      </c>
      <c r="F8103" t="s">
        <v>94</v>
      </c>
      <c r="G8103">
        <v>-183.10589999999999</v>
      </c>
      <c r="H8103" s="1">
        <v>-3.8483489999999999E-6</v>
      </c>
      <c r="I8103">
        <v>125.20659999999999</v>
      </c>
      <c r="J8103">
        <v>-187.74170000000001</v>
      </c>
      <c r="K8103">
        <v>1.107898</v>
      </c>
      <c r="L8103">
        <v>101.5822</v>
      </c>
      <c r="M8103">
        <v>-2.500343E-2</v>
      </c>
      <c r="N8103">
        <v>-2.002458E-2</v>
      </c>
      <c r="O8103">
        <v>0.99948680000000001</v>
      </c>
      <c r="P8103">
        <v>-6.479087E-2</v>
      </c>
      <c r="Q8103">
        <v>-0.13244</v>
      </c>
      <c r="R8103">
        <v>0.98907120000000004</v>
      </c>
      <c r="S8103">
        <v>0.58772279999999999</v>
      </c>
      <c r="T8103">
        <v>-0.1408211</v>
      </c>
      <c r="U8103">
        <v>3.0580750000000001</v>
      </c>
      <c r="V8103">
        <v>-4.047605E-2</v>
      </c>
      <c r="W8103">
        <v>-0.11242389999999999</v>
      </c>
      <c r="X8103">
        <v>0.99283560000000004</v>
      </c>
      <c r="Y8103">
        <v>0.21303610000000001</v>
      </c>
      <c r="Z8103">
        <v>-2.4978920000000002E-2</v>
      </c>
      <c r="AA8103">
        <v>0.97672499999999995</v>
      </c>
      <c r="AB8103">
        <v>48</v>
      </c>
      <c r="AC8103">
        <v>4.6358000000000104</v>
      </c>
      <c r="AD8103">
        <v>-1.107901848349</v>
      </c>
      <c r="AE8103">
        <v>23.624399999999898</v>
      </c>
      <c r="AF8103">
        <v>5.2141174683663101</v>
      </c>
      <c r="AG8103">
        <v>-1.107901848349</v>
      </c>
      <c r="AH8103">
        <v>23.451413161684201</v>
      </c>
      <c r="AI8103">
        <v>92.640400441688598</v>
      </c>
      <c r="AJ8103">
        <v>77.464924189083902</v>
      </c>
      <c r="AK8103">
        <v>24.049599721399002</v>
      </c>
      <c r="AL8103">
        <v>96.455061819904302</v>
      </c>
      <c r="AM8103">
        <v>92.334548942147606</v>
      </c>
      <c r="AN8103">
        <v>0.99999998627108599</v>
      </c>
    </row>
    <row r="8104" spans="1:40" x14ac:dyDescent="0.25">
      <c r="A8104" t="str">
        <f>"20190305135120360"</f>
        <v>20190305135120360</v>
      </c>
      <c r="B8104" t="str">
        <f>"1551765080357624"</f>
        <v>1551765080357624</v>
      </c>
      <c r="C8104" t="s">
        <v>40</v>
      </c>
      <c r="D8104">
        <v>4.6816740000000001</v>
      </c>
      <c r="E8104">
        <v>0.60117069999999995</v>
      </c>
      <c r="F8104" t="s">
        <v>94</v>
      </c>
      <c r="G8104">
        <v>-183.06479999999999</v>
      </c>
      <c r="H8104" s="1">
        <v>-3.8504550000000001E-6</v>
      </c>
      <c r="I8104">
        <v>125.1926</v>
      </c>
      <c r="J8104">
        <v>-187.7517</v>
      </c>
      <c r="K8104">
        <v>1.107537</v>
      </c>
      <c r="L8104">
        <v>102.0635</v>
      </c>
      <c r="M8104">
        <v>-2.2607080000000002E-2</v>
      </c>
      <c r="N8104">
        <v>-2.0354000000000001E-2</v>
      </c>
      <c r="O8104">
        <v>0.99953720000000001</v>
      </c>
      <c r="P8104">
        <v>-5.811881E-2</v>
      </c>
      <c r="Q8104">
        <v>-0.13254199999999999</v>
      </c>
      <c r="R8104">
        <v>0.98947200000000002</v>
      </c>
      <c r="S8104">
        <v>0.60487369999999996</v>
      </c>
      <c r="T8104">
        <v>-0.14328769999999999</v>
      </c>
      <c r="U8104">
        <v>3.0535890000000001</v>
      </c>
      <c r="V8104">
        <v>-3.6272730000000003E-2</v>
      </c>
      <c r="W8104">
        <v>-0.11217920000000001</v>
      </c>
      <c r="X8104">
        <v>0.99302570000000001</v>
      </c>
      <c r="Y8104">
        <v>0.2162337</v>
      </c>
      <c r="Z8104">
        <v>-2.5469140000000001E-2</v>
      </c>
      <c r="AA8104">
        <v>0.97600940000000003</v>
      </c>
      <c r="AB8104">
        <v>48</v>
      </c>
      <c r="AC8104">
        <v>4.6868999999999996</v>
      </c>
      <c r="AD8104">
        <v>-1.1075408504549999</v>
      </c>
      <c r="AE8104">
        <v>23.129099999999902</v>
      </c>
      <c r="AF8104">
        <v>5.1972442566336001</v>
      </c>
      <c r="AG8104">
        <v>-1.1075408504549999</v>
      </c>
      <c r="AH8104">
        <v>22.966622271994801</v>
      </c>
      <c r="AI8104">
        <v>92.692902525005707</v>
      </c>
      <c r="AJ8104">
        <v>77.248983774300996</v>
      </c>
      <c r="AK8104">
        <v>23.573369152139101</v>
      </c>
      <c r="AL8104">
        <v>96.440952442645198</v>
      </c>
      <c r="AM8104">
        <v>92.091940583486704</v>
      </c>
      <c r="AN8104">
        <v>0.99999996235738997</v>
      </c>
    </row>
    <row r="8105" spans="1:40" x14ac:dyDescent="0.25">
      <c r="A8105" t="str">
        <f>"20190305135120382"</f>
        <v>20190305135120382</v>
      </c>
      <c r="B8105" t="str">
        <f>"1551765080378119"</f>
        <v>1551765080378119</v>
      </c>
      <c r="C8105" t="s">
        <v>40</v>
      </c>
      <c r="D8105">
        <v>4.740507</v>
      </c>
      <c r="E8105">
        <v>0.60093759999999996</v>
      </c>
      <c r="F8105" t="s">
        <v>94</v>
      </c>
      <c r="G8105">
        <v>-182.94569999999999</v>
      </c>
      <c r="H8105" s="1">
        <v>-4.000751E-6</v>
      </c>
      <c r="I8105">
        <v>125.7075</v>
      </c>
      <c r="J8105">
        <v>-187.76</v>
      </c>
      <c r="K8105">
        <v>1.1072340000000001</v>
      </c>
      <c r="L8105">
        <v>102.523</v>
      </c>
      <c r="M8105">
        <v>-2.0093929999999999E-2</v>
      </c>
      <c r="N8105">
        <v>-2.0687980000000002E-2</v>
      </c>
      <c r="O8105">
        <v>0.99958400000000003</v>
      </c>
      <c r="P8105">
        <v>-5.2025809999999999E-2</v>
      </c>
      <c r="Q8105">
        <v>-0.13214500000000001</v>
      </c>
      <c r="R8105">
        <v>0.98986410000000002</v>
      </c>
      <c r="S8105">
        <v>0.61979680000000004</v>
      </c>
      <c r="T8105">
        <v>-0.14283180000000001</v>
      </c>
      <c r="U8105">
        <v>3.049194</v>
      </c>
      <c r="V8105">
        <v>-3.2748060000000002E-2</v>
      </c>
      <c r="W8105">
        <v>-0.1114385</v>
      </c>
      <c r="X8105">
        <v>0.99323159999999999</v>
      </c>
      <c r="Y8105">
        <v>0.21863589999999999</v>
      </c>
      <c r="Z8105">
        <v>-2.5026920000000001E-2</v>
      </c>
      <c r="AA8105">
        <v>0.97548550000000001</v>
      </c>
      <c r="AB8105">
        <v>47</v>
      </c>
      <c r="AC8105">
        <v>4.8143000000000002</v>
      </c>
      <c r="AD8105">
        <v>-1.1072380007510001</v>
      </c>
      <c r="AE8105">
        <v>23.1845</v>
      </c>
      <c r="AF8105">
        <v>5.2677769464653297</v>
      </c>
      <c r="AG8105">
        <v>-1.1072380007510001</v>
      </c>
      <c r="AH8105">
        <v>23.032696699846198</v>
      </c>
      <c r="AI8105">
        <v>92.683056690680303</v>
      </c>
      <c r="AJ8105">
        <v>77.117526871200894</v>
      </c>
      <c r="AK8105">
        <v>23.653341565519401</v>
      </c>
      <c r="AL8105">
        <v>96.398245476517999</v>
      </c>
      <c r="AM8105">
        <v>91.888427784190498</v>
      </c>
      <c r="AN8105">
        <v>0.99999999297728603</v>
      </c>
    </row>
    <row r="8106" spans="1:40" x14ac:dyDescent="0.25">
      <c r="A8106" t="str">
        <f>"20190305135120406"</f>
        <v>20190305135120406</v>
      </c>
      <c r="B8106" t="str">
        <f>"1551765080397639"</f>
        <v>1551765080397639</v>
      </c>
      <c r="C8106" t="s">
        <v>40</v>
      </c>
      <c r="D8106">
        <v>4.7974620000000003</v>
      </c>
      <c r="E8106">
        <v>0.62770979999999998</v>
      </c>
      <c r="F8106" t="s">
        <v>94</v>
      </c>
      <c r="G8106">
        <v>-182.75380000000001</v>
      </c>
      <c r="H8106" s="1">
        <v>-4.230576E-6</v>
      </c>
      <c r="I8106">
        <v>126.4894</v>
      </c>
      <c r="J8106">
        <v>-187.76759999999999</v>
      </c>
      <c r="K8106">
        <v>1.1069469999999999</v>
      </c>
      <c r="L8106">
        <v>103.02419999999999</v>
      </c>
      <c r="M8106">
        <v>-1.7145219999999999E-2</v>
      </c>
      <c r="N8106">
        <v>-2.108326E-2</v>
      </c>
      <c r="O8106">
        <v>0.99963069999999998</v>
      </c>
      <c r="P8106">
        <v>-4.48473E-2</v>
      </c>
      <c r="Q8106">
        <v>-0.13225709999999999</v>
      </c>
      <c r="R8106">
        <v>0.99020039999999998</v>
      </c>
      <c r="S8106">
        <v>0.63613889999999995</v>
      </c>
      <c r="T8106">
        <v>-0.1406953</v>
      </c>
      <c r="U8106">
        <v>3.0453800000000002</v>
      </c>
      <c r="V8106">
        <v>-2.8571929999999999E-2</v>
      </c>
      <c r="W8106">
        <v>-0.111157199999999</v>
      </c>
      <c r="X8106">
        <v>0.9933921</v>
      </c>
      <c r="Y8106">
        <v>0.22101799999999999</v>
      </c>
      <c r="Z8106">
        <v>-2.3975440000000001E-2</v>
      </c>
      <c r="AA8106">
        <v>0.97497500000000004</v>
      </c>
      <c r="AB8106">
        <v>47</v>
      </c>
      <c r="AC8106">
        <v>5.0137999999999696</v>
      </c>
      <c r="AD8106">
        <v>-1.1069512305760001</v>
      </c>
      <c r="AE8106">
        <v>23.465199999999999</v>
      </c>
      <c r="AF8106">
        <v>5.4039672277128599</v>
      </c>
      <c r="AG8106">
        <v>-1.1069512305760001</v>
      </c>
      <c r="AH8106">
        <v>23.326123958732701</v>
      </c>
      <c r="AI8106">
        <v>92.646957035020407</v>
      </c>
      <c r="AJ8106">
        <v>76.956382586985001</v>
      </c>
      <c r="AK8106">
        <v>23.969486055467101</v>
      </c>
      <c r="AL8106">
        <v>96.382026910207401</v>
      </c>
      <c r="AM8106">
        <v>91.647486231917199</v>
      </c>
      <c r="AN8106">
        <v>1.00000007131908</v>
      </c>
    </row>
    <row r="8107" spans="1:40" x14ac:dyDescent="0.25">
      <c r="A8107" t="str">
        <f>"20190305135120426"</f>
        <v>20190305135120426</v>
      </c>
      <c r="B8107" t="str">
        <f>"1551765080418135"</f>
        <v>1551765080418135</v>
      </c>
      <c r="C8107" t="s">
        <v>40</v>
      </c>
      <c r="D8107">
        <v>4.7034029999999998</v>
      </c>
      <c r="E8107">
        <v>0.633189</v>
      </c>
      <c r="F8107" t="s">
        <v>94</v>
      </c>
      <c r="G8107">
        <v>-175.74359999999999</v>
      </c>
      <c r="H8107" s="1">
        <v>-8.1587700000000002E-6</v>
      </c>
      <c r="I8107">
        <v>145.3441</v>
      </c>
      <c r="J8107">
        <v>-187.77279999999999</v>
      </c>
      <c r="K8107">
        <v>1.106752</v>
      </c>
      <c r="L8107">
        <v>103.4568</v>
      </c>
      <c r="M8107">
        <v>-1.445857E-2</v>
      </c>
      <c r="N8107">
        <v>-2.1473900000000001E-2</v>
      </c>
      <c r="O8107">
        <v>0.99966480000000002</v>
      </c>
      <c r="P8107">
        <v>-3.7676630000000003E-2</v>
      </c>
      <c r="Q8107">
        <v>-0.13294159999999999</v>
      </c>
      <c r="R8107">
        <v>0.9904075</v>
      </c>
      <c r="S8107">
        <v>0.86894229999999995</v>
      </c>
      <c r="T8107">
        <v>-7.9996709999999999E-2</v>
      </c>
      <c r="U8107">
        <v>3.0583499999999999</v>
      </c>
      <c r="V8107">
        <v>-2.4131900000000001E-2</v>
      </c>
      <c r="W8107">
        <v>-0.1114671</v>
      </c>
      <c r="X8107">
        <v>0.99347510000000006</v>
      </c>
      <c r="Y8107">
        <v>0.28704410000000002</v>
      </c>
      <c r="Z8107">
        <v>-3.5813440000000002E-3</v>
      </c>
      <c r="AA8107">
        <v>0.9579107</v>
      </c>
      <c r="AB8107">
        <v>47</v>
      </c>
      <c r="AC8107">
        <v>12.029199999999999</v>
      </c>
      <c r="AD8107">
        <v>-1.10676015877</v>
      </c>
      <c r="AE8107">
        <v>41.887300000000003</v>
      </c>
      <c r="AF8107">
        <v>12.6255693277073</v>
      </c>
      <c r="AG8107">
        <v>-1.10676015877</v>
      </c>
      <c r="AH8107">
        <v>41.682071505339401</v>
      </c>
      <c r="AI8107">
        <v>91.455700089872195</v>
      </c>
      <c r="AJ8107">
        <v>73.148351416494506</v>
      </c>
      <c r="AK8107">
        <v>43.566328785818101</v>
      </c>
      <c r="AL8107">
        <v>96.399894244132</v>
      </c>
      <c r="AM8107">
        <v>91.391463344006596</v>
      </c>
      <c r="AN8107">
        <v>1.00000001865001</v>
      </c>
    </row>
    <row r="8108" spans="1:40" x14ac:dyDescent="0.25">
      <c r="A8108" t="str">
        <f>"20190305135120448"</f>
        <v>20190305135120448</v>
      </c>
      <c r="B8108" t="str">
        <f>"1551765080437672"</f>
        <v>1551765080437672</v>
      </c>
      <c r="C8108" t="s">
        <v>40</v>
      </c>
      <c r="D8108">
        <v>4.7116249999999997</v>
      </c>
      <c r="E8108">
        <v>0.63462759999999996</v>
      </c>
      <c r="F8108" t="s">
        <v>94</v>
      </c>
      <c r="G8108">
        <v>-176.47929999999999</v>
      </c>
      <c r="H8108" s="1">
        <v>-6.9805219999999997E-6</v>
      </c>
      <c r="I8108">
        <v>140.28749999999999</v>
      </c>
      <c r="J8108">
        <v>-187.77680000000001</v>
      </c>
      <c r="K8108">
        <v>1.106633</v>
      </c>
      <c r="L8108">
        <v>103.90860000000001</v>
      </c>
      <c r="M8108">
        <v>-1.1574060000000001E-2</v>
      </c>
      <c r="N8108">
        <v>-2.201763E-2</v>
      </c>
      <c r="O8108">
        <v>0.99969059999999998</v>
      </c>
      <c r="P8108">
        <v>-3.0597539999999999E-2</v>
      </c>
      <c r="Q8108">
        <v>-0.1337255</v>
      </c>
      <c r="R8108">
        <v>0.99054589999999998</v>
      </c>
      <c r="S8108">
        <v>0.93594359999999999</v>
      </c>
      <c r="T8108">
        <v>-9.1722609999999996E-2</v>
      </c>
      <c r="U8108">
        <v>3.0523380000000002</v>
      </c>
      <c r="V8108">
        <v>-1.9973689999999999E-2</v>
      </c>
      <c r="W8108">
        <v>-0.11172940000000001</v>
      </c>
      <c r="X8108">
        <v>0.99353789999999997</v>
      </c>
      <c r="Y8108">
        <v>0.30403550000000001</v>
      </c>
      <c r="Z8108">
        <v>-6.6110769999999999E-3</v>
      </c>
      <c r="AA8108">
        <v>0.95263779999999998</v>
      </c>
      <c r="AB8108">
        <v>47</v>
      </c>
      <c r="AC8108">
        <v>11.297499999999999</v>
      </c>
      <c r="AD8108">
        <v>-1.106639980522</v>
      </c>
      <c r="AE8108">
        <v>36.378899999999902</v>
      </c>
      <c r="AF8108">
        <v>11.7080153316028</v>
      </c>
      <c r="AG8108">
        <v>-1.106639980522</v>
      </c>
      <c r="AH8108">
        <v>36.215107919100703</v>
      </c>
      <c r="AI8108">
        <v>91.665446402583299</v>
      </c>
      <c r="AJ8108">
        <v>72.084451232750297</v>
      </c>
      <c r="AK8108">
        <v>38.076716200897003</v>
      </c>
      <c r="AL8108">
        <v>96.415017625183197</v>
      </c>
      <c r="AM8108">
        <v>91.151696380177995</v>
      </c>
      <c r="AN8108">
        <v>0.99999998292649195</v>
      </c>
    </row>
    <row r="8109" spans="1:40" x14ac:dyDescent="0.25">
      <c r="A8109" t="str">
        <f>"20190305135120471"</f>
        <v>20190305135120471</v>
      </c>
      <c r="B8109" t="str">
        <f>"1551765080467910"</f>
        <v>1551765080467910</v>
      </c>
      <c r="C8109" t="s">
        <v>40</v>
      </c>
      <c r="D8109">
        <v>4.7404479999999998</v>
      </c>
      <c r="E8109">
        <v>0.63409740000000003</v>
      </c>
      <c r="F8109" t="s">
        <v>94</v>
      </c>
      <c r="G8109">
        <v>-177.4485</v>
      </c>
      <c r="H8109" s="1">
        <v>-6.2173900000000001E-6</v>
      </c>
      <c r="I8109">
        <v>136.3296</v>
      </c>
      <c r="J8109">
        <v>-187.77940000000001</v>
      </c>
      <c r="K8109">
        <v>1.1066180000000001</v>
      </c>
      <c r="L8109">
        <v>104.37390000000001</v>
      </c>
      <c r="M8109">
        <v>-8.5606599999999995E-3</v>
      </c>
      <c r="N8109">
        <v>-2.2818950000000001E-2</v>
      </c>
      <c r="O8109">
        <v>0.99970300000000001</v>
      </c>
      <c r="P8109">
        <v>-2.3414129999999998E-2</v>
      </c>
      <c r="Q8109">
        <v>-0.1348975</v>
      </c>
      <c r="R8109">
        <v>0.99058290000000004</v>
      </c>
      <c r="S8109">
        <v>0.96989440000000005</v>
      </c>
      <c r="T8109">
        <v>-0.103920899999999</v>
      </c>
      <c r="U8109">
        <v>3.044556</v>
      </c>
      <c r="V8109">
        <v>-1.583029E-2</v>
      </c>
      <c r="W8109">
        <v>-0.1121313</v>
      </c>
      <c r="X8109">
        <v>0.99356730000000004</v>
      </c>
      <c r="Y8109">
        <v>0.31147839999999999</v>
      </c>
      <c r="Z8109">
        <v>-9.6152679999999997E-3</v>
      </c>
      <c r="AA8109">
        <v>0.95020459999999995</v>
      </c>
      <c r="AB8109">
        <v>47</v>
      </c>
      <c r="AC8109">
        <v>10.3309</v>
      </c>
      <c r="AD8109">
        <v>-1.1066242173899901</v>
      </c>
      <c r="AE8109">
        <v>31.9557</v>
      </c>
      <c r="AF8109">
        <v>10.592653339384899</v>
      </c>
      <c r="AG8109">
        <v>-1.1066242173899901</v>
      </c>
      <c r="AH8109">
        <v>31.831504855275998</v>
      </c>
      <c r="AI8109">
        <v>91.889306614538796</v>
      </c>
      <c r="AJ8109">
        <v>71.593969782238403</v>
      </c>
      <c r="AK8109">
        <v>33.565959293283399</v>
      </c>
      <c r="AL8109">
        <v>96.438190285818095</v>
      </c>
      <c r="AM8109">
        <v>90.912803861434099</v>
      </c>
      <c r="AN8109">
        <v>1.0000000030752301</v>
      </c>
    </row>
    <row r="8110" spans="1:40" x14ac:dyDescent="0.25">
      <c r="A8110" t="str">
        <f>"20190305135120495"</f>
        <v>20190305135120495</v>
      </c>
      <c r="B8110" t="str">
        <f>"1551765080487431"</f>
        <v>1551765080487431</v>
      </c>
      <c r="C8110" t="s">
        <v>40</v>
      </c>
      <c r="D8110">
        <v>4.6857620000000004</v>
      </c>
      <c r="E8110">
        <v>0.63399819999999996</v>
      </c>
      <c r="F8110" t="s">
        <v>94</v>
      </c>
      <c r="G8110">
        <v>-178.28659999999999</v>
      </c>
      <c r="H8110" s="1">
        <v>-5.7621009999999997E-6</v>
      </c>
      <c r="I8110">
        <v>133.53559999999999</v>
      </c>
      <c r="J8110">
        <v>-187.78039999999999</v>
      </c>
      <c r="K8110">
        <v>1.1066720000000001</v>
      </c>
      <c r="L8110">
        <v>104.8623</v>
      </c>
      <c r="M8110">
        <v>-5.3839379999999996E-3</v>
      </c>
      <c r="N8110">
        <v>-2.3893270000000001E-2</v>
      </c>
      <c r="O8110">
        <v>0.99970000000000003</v>
      </c>
      <c r="P8110">
        <v>-1.6197899999999901E-2</v>
      </c>
      <c r="Q8110">
        <v>-0.1349957</v>
      </c>
      <c r="R8110">
        <v>0.99071379999999998</v>
      </c>
      <c r="S8110">
        <v>0.9883575</v>
      </c>
      <c r="T8110">
        <v>-0.11521720000000001</v>
      </c>
      <c r="U8110">
        <v>3.0361940000000001</v>
      </c>
      <c r="V8110">
        <v>-1.179965E-2</v>
      </c>
      <c r="W8110">
        <v>-0.1111885</v>
      </c>
      <c r="X8110">
        <v>0.99372930000000004</v>
      </c>
      <c r="Y8110">
        <v>0.31441180000000002</v>
      </c>
      <c r="Z8110">
        <v>-1.212154E-2</v>
      </c>
      <c r="AA8110">
        <v>0.94920930000000003</v>
      </c>
      <c r="AB8110">
        <v>46</v>
      </c>
      <c r="AC8110">
        <v>9.4937999999999896</v>
      </c>
      <c r="AD8110">
        <v>-1.10667776210099</v>
      </c>
      <c r="AE8110">
        <v>28.673299999999902</v>
      </c>
      <c r="AF8110">
        <v>9.6351466446807592</v>
      </c>
      <c r="AG8110">
        <v>-1.10667776210099</v>
      </c>
      <c r="AH8110">
        <v>28.5833828102752</v>
      </c>
      <c r="AI8110">
        <v>92.101189198107704</v>
      </c>
      <c r="AJ8110">
        <v>71.371599515366398</v>
      </c>
      <c r="AK8110">
        <v>30.183945391753699</v>
      </c>
      <c r="AL8110">
        <v>96.383831796143795</v>
      </c>
      <c r="AM8110">
        <v>90.680304357907104</v>
      </c>
      <c r="AN8110">
        <v>1.00000001797543</v>
      </c>
    </row>
    <row r="8111" spans="1:40" x14ac:dyDescent="0.25">
      <c r="A8111" t="str">
        <f>"20190305135120518"</f>
        <v>20190305135120518</v>
      </c>
      <c r="B8111" t="str">
        <f>"1551765080507927"</f>
        <v>1551765080507927</v>
      </c>
      <c r="C8111" t="s">
        <v>40</v>
      </c>
      <c r="D8111">
        <v>4.6582559999999997</v>
      </c>
      <c r="E8111">
        <v>0.63374790000000003</v>
      </c>
      <c r="F8111" t="s">
        <v>94</v>
      </c>
      <c r="G8111">
        <v>-178.38499999999999</v>
      </c>
      <c r="H8111" s="1">
        <v>-5.6473360000000003E-6</v>
      </c>
      <c r="I8111">
        <v>133.03210000000001</v>
      </c>
      <c r="J8111">
        <v>-187.77959999999999</v>
      </c>
      <c r="K8111">
        <v>1.106746</v>
      </c>
      <c r="L8111">
        <v>105.3396</v>
      </c>
      <c r="M8111">
        <v>-2.2493529999999999E-3</v>
      </c>
      <c r="N8111">
        <v>-2.5029470000000002E-2</v>
      </c>
      <c r="O8111">
        <v>0.99968420000000002</v>
      </c>
      <c r="P8111">
        <v>-9.2679700000000004E-3</v>
      </c>
      <c r="Q8111">
        <v>-0.1339496</v>
      </c>
      <c r="R8111">
        <v>0.99094479999999996</v>
      </c>
      <c r="S8111">
        <v>1.0100559999999901</v>
      </c>
      <c r="T8111">
        <v>-0.1189741</v>
      </c>
      <c r="U8111">
        <v>3.0284119999999999</v>
      </c>
      <c r="V8111">
        <v>-7.9964939999999998E-3</v>
      </c>
      <c r="W8111">
        <v>-0.1090383</v>
      </c>
      <c r="X8111">
        <v>0.99400540000000004</v>
      </c>
      <c r="Y8111">
        <v>0.31826110000000002</v>
      </c>
      <c r="Z8111">
        <v>-1.2196520000000001E-2</v>
      </c>
      <c r="AA8111">
        <v>0.94792469999999995</v>
      </c>
      <c r="AB8111">
        <v>46</v>
      </c>
      <c r="AC8111">
        <v>9.3945999999999898</v>
      </c>
      <c r="AD8111">
        <v>-1.106751647336</v>
      </c>
      <c r="AE8111">
        <v>27.692499999999999</v>
      </c>
      <c r="AF8111">
        <v>9.4433592056722997</v>
      </c>
      <c r="AG8111">
        <v>-1.106751647336</v>
      </c>
      <c r="AH8111">
        <v>27.631711628763899</v>
      </c>
      <c r="AI8111">
        <v>92.170549897001095</v>
      </c>
      <c r="AJ8111">
        <v>71.131725280100497</v>
      </c>
      <c r="AK8111">
        <v>29.221796998668701</v>
      </c>
      <c r="AL8111">
        <v>96.2598806638578</v>
      </c>
      <c r="AM8111">
        <v>90.460918495727498</v>
      </c>
      <c r="AN8111">
        <v>1.0000000150061701</v>
      </c>
    </row>
    <row r="8112" spans="1:40" x14ac:dyDescent="0.25">
      <c r="A8112" t="str">
        <f>"20190305135120539"</f>
        <v>20190305135120539</v>
      </c>
      <c r="B8112" t="str">
        <f>"1551765080527447"</f>
        <v>1551765080527447</v>
      </c>
      <c r="C8112" t="s">
        <v>40</v>
      </c>
      <c r="D8112">
        <v>4.6695409999999997</v>
      </c>
      <c r="E8112">
        <v>0.63335069999999904</v>
      </c>
      <c r="F8112" t="s">
        <v>94</v>
      </c>
      <c r="G8112">
        <v>-178.30529999999999</v>
      </c>
      <c r="H8112" s="1">
        <v>-5.6325589999999996E-6</v>
      </c>
      <c r="I8112">
        <v>133.1318</v>
      </c>
      <c r="J8112">
        <v>-187.77760000000001</v>
      </c>
      <c r="K8112">
        <v>1.106843</v>
      </c>
      <c r="L8112">
        <v>105.7577</v>
      </c>
      <c r="M8112">
        <v>6.037026E-4</v>
      </c>
      <c r="N8112">
        <v>-2.6015070000000001E-2</v>
      </c>
      <c r="O8112">
        <v>0.99966140000000003</v>
      </c>
      <c r="P8112">
        <v>-2.9611360000000001E-3</v>
      </c>
      <c r="Q8112">
        <v>-0.13103329999999999</v>
      </c>
      <c r="R8112">
        <v>0.99137350000000002</v>
      </c>
      <c r="S8112">
        <v>1.029785</v>
      </c>
      <c r="T8112">
        <v>-0.1202947</v>
      </c>
      <c r="U8112">
        <v>3.0207820000000001</v>
      </c>
      <c r="V8112">
        <v>-4.5055939999999999E-3</v>
      </c>
      <c r="W8112">
        <v>-0.10516209999999999</v>
      </c>
      <c r="X8112">
        <v>0.99444489999999996</v>
      </c>
      <c r="Y8112">
        <v>0.32181330000000002</v>
      </c>
      <c r="Z8112">
        <v>-1.166407E-2</v>
      </c>
      <c r="AA8112">
        <v>0.94673130000000005</v>
      </c>
      <c r="AB8112">
        <v>45</v>
      </c>
      <c r="AC8112">
        <v>9.4723000000000095</v>
      </c>
      <c r="AD8112">
        <v>-1.1068486325589999</v>
      </c>
      <c r="AE8112">
        <v>27.374099999999999</v>
      </c>
      <c r="AF8112">
        <v>9.4419806955369001</v>
      </c>
      <c r="AG8112">
        <v>-1.1068486325589999</v>
      </c>
      <c r="AH8112">
        <v>27.339896612201301</v>
      </c>
      <c r="AI8112">
        <v>92.191465535678205</v>
      </c>
      <c r="AJ8112">
        <v>70.947371059539094</v>
      </c>
      <c r="AK8112">
        <v>28.9455706476163</v>
      </c>
      <c r="AL8112">
        <v>96.036505830659607</v>
      </c>
      <c r="AM8112">
        <v>90.259591812470006</v>
      </c>
      <c r="AN8112">
        <v>1.0000000133948499</v>
      </c>
    </row>
    <row r="8113" spans="1:40" x14ac:dyDescent="0.25">
      <c r="A8113" t="str">
        <f>"20190305135120562"</f>
        <v>20190305135120562</v>
      </c>
      <c r="B8113" t="str">
        <f>"1551765080557703"</f>
        <v>1551765080557703</v>
      </c>
      <c r="C8113" t="s">
        <v>40</v>
      </c>
      <c r="D8113">
        <v>4.6571160000000003</v>
      </c>
      <c r="E8113">
        <v>0.63268199999999997</v>
      </c>
      <c r="F8113" t="s">
        <v>94</v>
      </c>
      <c r="G8113">
        <v>-177.58619999999999</v>
      </c>
      <c r="H8113" s="1">
        <v>-5.8827259999999999E-6</v>
      </c>
      <c r="I8113">
        <v>135.12729999999999</v>
      </c>
      <c r="J8113">
        <v>-187.7739</v>
      </c>
      <c r="K8113">
        <v>1.1069420000000001</v>
      </c>
      <c r="L8113">
        <v>106.20650000000001</v>
      </c>
      <c r="M8113">
        <v>3.8031269999999999E-3</v>
      </c>
      <c r="N8113">
        <v>-2.7017510000000002E-2</v>
      </c>
      <c r="O8113">
        <v>0.99962770000000001</v>
      </c>
      <c r="P8113">
        <v>3.1163240000000002E-3</v>
      </c>
      <c r="Q8113">
        <v>-0.12819220000000001</v>
      </c>
      <c r="R8113">
        <v>0.99174450000000003</v>
      </c>
      <c r="S8113">
        <v>1.045944</v>
      </c>
      <c r="T8113">
        <v>-0.11359660000000001</v>
      </c>
      <c r="U8113">
        <v>3.014221</v>
      </c>
      <c r="V8113">
        <v>-1.5809419999999999E-3</v>
      </c>
      <c r="W8113">
        <v>-0.10134070000000001</v>
      </c>
      <c r="X8113">
        <v>0.99485049999999997</v>
      </c>
      <c r="Y8113">
        <v>0.32395180000000001</v>
      </c>
      <c r="Z8113">
        <v>-8.6093349999999992E-3</v>
      </c>
      <c r="AA8113">
        <v>0.94603440000000005</v>
      </c>
      <c r="AB8113">
        <v>45</v>
      </c>
      <c r="AC8113">
        <v>10.1877</v>
      </c>
      <c r="AD8113">
        <v>-1.106947882726</v>
      </c>
      <c r="AE8113">
        <v>28.9207999999999</v>
      </c>
      <c r="AF8113">
        <v>10.0644799270354</v>
      </c>
      <c r="AG8113">
        <v>-1.106947882726</v>
      </c>
      <c r="AH8113">
        <v>28.921657334865898</v>
      </c>
      <c r="AI8113">
        <v>92.070216777569897</v>
      </c>
      <c r="AJ8113">
        <v>70.8125572250472</v>
      </c>
      <c r="AK8113">
        <v>30.642802626590299</v>
      </c>
      <c r="AL8113">
        <v>95.816379301279696</v>
      </c>
      <c r="AM8113">
        <v>90.091050090446899</v>
      </c>
      <c r="AN8113">
        <v>0.99999997710217303</v>
      </c>
    </row>
    <row r="8114" spans="1:40" x14ac:dyDescent="0.25">
      <c r="A8114" t="str">
        <f>"20190305135120584"</f>
        <v>20190305135120584</v>
      </c>
      <c r="B8114" t="str">
        <f>"1551765080578199"</f>
        <v>1551765080578199</v>
      </c>
      <c r="C8114" t="s">
        <v>40</v>
      </c>
      <c r="D8114">
        <v>4.7139879999999996</v>
      </c>
      <c r="E8114">
        <v>0.6320038</v>
      </c>
      <c r="F8114" t="s">
        <v>94</v>
      </c>
      <c r="G8114">
        <v>-176.76679999999999</v>
      </c>
      <c r="H8114" s="1">
        <v>-6.1928640000000003E-6</v>
      </c>
      <c r="I8114">
        <v>137.47309999999999</v>
      </c>
      <c r="J8114">
        <v>-187.76900000000001</v>
      </c>
      <c r="K8114">
        <v>1.107019</v>
      </c>
      <c r="L8114">
        <v>106.6417</v>
      </c>
      <c r="M8114">
        <v>7.02223E-3</v>
      </c>
      <c r="N8114">
        <v>-2.7919409999999999E-2</v>
      </c>
      <c r="O8114">
        <v>0.99958550000000002</v>
      </c>
      <c r="P8114">
        <v>8.9489449999999998E-3</v>
      </c>
      <c r="Q8114">
        <v>-0.1268292</v>
      </c>
      <c r="R8114">
        <v>0.99188419999999999</v>
      </c>
      <c r="S8114">
        <v>1.058899</v>
      </c>
      <c r="T8114">
        <v>-0.10649</v>
      </c>
      <c r="U8114">
        <v>3.007889</v>
      </c>
      <c r="V8114">
        <v>1.0706589999999901E-3</v>
      </c>
      <c r="W8114">
        <v>-9.9099880000000001E-2</v>
      </c>
      <c r="X8114">
        <v>0.99507690000000004</v>
      </c>
      <c r="Y8114">
        <v>0.32515470000000002</v>
      </c>
      <c r="Z8114">
        <v>-5.5325010000000004E-3</v>
      </c>
      <c r="AA8114">
        <v>0.9456447</v>
      </c>
      <c r="AB8114">
        <v>45</v>
      </c>
      <c r="AC8114">
        <v>11.0022</v>
      </c>
      <c r="AD8114">
        <v>-1.107025192864</v>
      </c>
      <c r="AE8114">
        <v>30.831399999999899</v>
      </c>
      <c r="AF8114">
        <v>10.7730189161348</v>
      </c>
      <c r="AG8114">
        <v>-1.107025192864</v>
      </c>
      <c r="AH8114">
        <v>30.872623515399599</v>
      </c>
      <c r="AI8114">
        <v>91.939052289209201</v>
      </c>
      <c r="AJ8114">
        <v>70.763538452236304</v>
      </c>
      <c r="AK8114">
        <v>32.7170035924538</v>
      </c>
      <c r="AL8114">
        <v>95.687340020836999</v>
      </c>
      <c r="AM8114">
        <v>89.938352283802999</v>
      </c>
      <c r="AN8114">
        <v>0.99999998472015905</v>
      </c>
    </row>
    <row r="8115" spans="1:40" x14ac:dyDescent="0.25">
      <c r="A8115" t="str">
        <f>"20190305135120596"</f>
        <v>20190305135120596</v>
      </c>
      <c r="B8115" t="str">
        <f>"1551765080587959"</f>
        <v>1551765080587959</v>
      </c>
      <c r="C8115" t="s">
        <v>40</v>
      </c>
      <c r="D8115">
        <v>4.7295800000000003</v>
      </c>
      <c r="E8115">
        <v>0.63166899999999904</v>
      </c>
      <c r="F8115" t="s">
        <v>94</v>
      </c>
      <c r="G8115">
        <v>-176.5626</v>
      </c>
      <c r="H8115" s="1">
        <v>-6.2613779999999997E-6</v>
      </c>
      <c r="I8115">
        <v>138.0326</v>
      </c>
      <c r="J8115">
        <v>-187.7653</v>
      </c>
      <c r="K8115">
        <v>1.1070519999999999</v>
      </c>
      <c r="L8115">
        <v>106.8986</v>
      </c>
      <c r="M8115">
        <v>8.9653319999999995E-3</v>
      </c>
      <c r="N8115">
        <v>-2.8409739999999999E-2</v>
      </c>
      <c r="O8115">
        <v>0.99955620000000001</v>
      </c>
      <c r="P8115">
        <v>1.216596E-2</v>
      </c>
      <c r="Q8115">
        <v>-0.12718389999999999</v>
      </c>
      <c r="R8115">
        <v>0.99180449999999998</v>
      </c>
      <c r="S8115">
        <v>1.0714570000000001</v>
      </c>
      <c r="T8115">
        <v>-0.10584399999999999</v>
      </c>
      <c r="U8115">
        <v>3.001328</v>
      </c>
      <c r="V8115">
        <v>2.3579040000000001E-3</v>
      </c>
      <c r="W8115">
        <v>-9.8979639999999994E-2</v>
      </c>
      <c r="X8115">
        <v>0.99508669999999999</v>
      </c>
      <c r="Y8115">
        <v>0.32746969999999997</v>
      </c>
      <c r="Z8115">
        <v>-4.8813939999999998E-3</v>
      </c>
      <c r="AA8115">
        <v>0.9448491</v>
      </c>
      <c r="AB8115">
        <v>44</v>
      </c>
      <c r="AC8115">
        <v>11.202699999999901</v>
      </c>
      <c r="AD8115">
        <v>-1.107058261378</v>
      </c>
      <c r="AE8115">
        <v>31.134</v>
      </c>
      <c r="AF8115">
        <v>10.9107962236564</v>
      </c>
      <c r="AG8115">
        <v>-1.107058261378</v>
      </c>
      <c r="AH8115">
        <v>31.198299998035399</v>
      </c>
      <c r="AI8115">
        <v>91.918421449889905</v>
      </c>
      <c r="AJ8115">
        <v>70.724039664630396</v>
      </c>
      <c r="AK8115">
        <v>33.069698743648402</v>
      </c>
      <c r="AL8115">
        <v>95.6804164529823</v>
      </c>
      <c r="AM8115">
        <v>89.864235252213803</v>
      </c>
      <c r="AN8115">
        <v>1.00000003468134</v>
      </c>
    </row>
    <row r="8116" spans="1:40" x14ac:dyDescent="0.25">
      <c r="A8116" t="str">
        <f>"20190305135120617"</f>
        <v>20190305135120617</v>
      </c>
      <c r="B8116" t="str">
        <f>"1551765080607479"</f>
        <v>1551765080607479</v>
      </c>
      <c r="C8116" t="s">
        <v>40</v>
      </c>
      <c r="D8116">
        <v>4.6983309999999996</v>
      </c>
      <c r="E8116">
        <v>0.63105040000000001</v>
      </c>
      <c r="F8116" t="s">
        <v>94</v>
      </c>
      <c r="G8116">
        <v>-176.9598</v>
      </c>
      <c r="H8116" s="1">
        <v>-6.1195509999999999E-6</v>
      </c>
      <c r="I8116">
        <v>136.91980000000001</v>
      </c>
      <c r="J8116">
        <v>-187.75880000000001</v>
      </c>
      <c r="K8116">
        <v>1.107078</v>
      </c>
      <c r="L8116">
        <v>107.29040000000001</v>
      </c>
      <c r="M8116">
        <v>1.1975090000000001E-2</v>
      </c>
      <c r="N8116">
        <v>-2.9086580000000001E-2</v>
      </c>
      <c r="O8116">
        <v>0.99950519999999998</v>
      </c>
      <c r="P8116">
        <v>1.8443230000000001E-2</v>
      </c>
      <c r="Q8116">
        <v>-0.12884409999999999</v>
      </c>
      <c r="R8116">
        <v>0.99149330000000002</v>
      </c>
      <c r="S8116">
        <v>1.0788420000000001</v>
      </c>
      <c r="T8116">
        <v>-0.110531</v>
      </c>
      <c r="U8116">
        <v>2.9973749999999999</v>
      </c>
      <c r="V8116">
        <v>5.6369599999999999E-3</v>
      </c>
      <c r="W8116">
        <v>-0.1000026</v>
      </c>
      <c r="X8116">
        <v>0.99497119999999994</v>
      </c>
      <c r="Y8116">
        <v>0.32706390000000002</v>
      </c>
      <c r="Z8116">
        <v>-5.7220140000000001E-3</v>
      </c>
      <c r="AA8116">
        <v>0.94498490000000002</v>
      </c>
      <c r="AB8116">
        <v>44</v>
      </c>
      <c r="AC8116">
        <v>10.798999999999999</v>
      </c>
      <c r="AD8116">
        <v>-1.1070841195509999</v>
      </c>
      <c r="AE8116">
        <v>29.6294</v>
      </c>
      <c r="AF8116">
        <v>10.430405790261499</v>
      </c>
      <c r="AG8116">
        <v>-1.1070841195509999</v>
      </c>
      <c r="AH8116">
        <v>29.7200207580496</v>
      </c>
      <c r="AI8116">
        <v>92.013041312686198</v>
      </c>
      <c r="AJ8116">
        <v>70.661194928120395</v>
      </c>
      <c r="AK8116">
        <v>31.516640589634299</v>
      </c>
      <c r="AL8116">
        <v>95.739320242416198</v>
      </c>
      <c r="AM8116">
        <v>89.675397074994393</v>
      </c>
      <c r="AN8116">
        <v>0.99999999207711998</v>
      </c>
    </row>
    <row r="8117" spans="1:40" x14ac:dyDescent="0.25">
      <c r="A8117" t="str">
        <f>"20190305135120638"</f>
        <v>20190305135120638</v>
      </c>
      <c r="B8117" t="str">
        <f>"1551765080627975"</f>
        <v>1551765080627975</v>
      </c>
      <c r="C8117" t="s">
        <v>40</v>
      </c>
      <c r="D8117">
        <v>4.7023409999999997</v>
      </c>
      <c r="E8117">
        <v>0.63042799999999999</v>
      </c>
      <c r="F8117" t="s">
        <v>94</v>
      </c>
      <c r="G8117">
        <v>-177.72980000000001</v>
      </c>
      <c r="H8117" s="1">
        <v>-5.8261489999999999E-6</v>
      </c>
      <c r="I8117">
        <v>134.71</v>
      </c>
      <c r="J8117">
        <v>-187.75049999999999</v>
      </c>
      <c r="K8117">
        <v>1.1070690000000001</v>
      </c>
      <c r="L8117">
        <v>107.7051</v>
      </c>
      <c r="M8117">
        <v>1.521336E-2</v>
      </c>
      <c r="N8117">
        <v>-2.9692940000000001E-2</v>
      </c>
      <c r="O8117">
        <v>0.99944330000000003</v>
      </c>
      <c r="P8117">
        <v>2.458012E-2</v>
      </c>
      <c r="Q8117">
        <v>-0.131215</v>
      </c>
      <c r="R8117">
        <v>0.99104919999999996</v>
      </c>
      <c r="S8117">
        <v>1.093521</v>
      </c>
      <c r="T8117">
        <v>-0.1207114</v>
      </c>
      <c r="U8117">
        <v>2.989716</v>
      </c>
      <c r="V8117">
        <v>8.5425599999999994E-3</v>
      </c>
      <c r="W8117">
        <v>-0.1018066</v>
      </c>
      <c r="X8117">
        <v>0.99476750000000003</v>
      </c>
      <c r="Y8117">
        <v>0.328839099999999</v>
      </c>
      <c r="Z8117">
        <v>-8.3782040000000002E-3</v>
      </c>
      <c r="AA8117">
        <v>0.94434879999999999</v>
      </c>
      <c r="AB8117">
        <v>43</v>
      </c>
      <c r="AC8117">
        <v>10.0206999999999</v>
      </c>
      <c r="AD8117">
        <v>-1.107074826149</v>
      </c>
      <c r="AE8117">
        <v>27.004899999999999</v>
      </c>
      <c r="AF8117">
        <v>9.59434987058407</v>
      </c>
      <c r="AG8117">
        <v>-1.107074826149</v>
      </c>
      <c r="AH8117">
        <v>27.1142341682697</v>
      </c>
      <c r="AI8117">
        <v>92.204302914043694</v>
      </c>
      <c r="AJ8117">
        <v>70.513715689620796</v>
      </c>
      <c r="AK8117">
        <v>28.782961255604601</v>
      </c>
      <c r="AL8117">
        <v>95.843212231851297</v>
      </c>
      <c r="AM8117">
        <v>89.507984927936107</v>
      </c>
      <c r="AN8117">
        <v>0.99999996909558098</v>
      </c>
    </row>
    <row r="8118" spans="1:40" x14ac:dyDescent="0.25">
      <c r="A8118" t="str">
        <f>"20190305135120661"</f>
        <v>20190305135120661</v>
      </c>
      <c r="B8118" t="str">
        <f>"1551765080658232"</f>
        <v>1551765080658232</v>
      </c>
      <c r="C8118" t="s">
        <v>40</v>
      </c>
      <c r="D8118">
        <v>4.70634</v>
      </c>
      <c r="E8118">
        <v>0.62970439999999905</v>
      </c>
      <c r="F8118" t="s">
        <v>94</v>
      </c>
      <c r="G8118">
        <v>-178.60390000000001</v>
      </c>
      <c r="H8118" s="1">
        <v>-5.5393649999999999E-6</v>
      </c>
      <c r="I8118">
        <v>132.33369999999999</v>
      </c>
      <c r="J8118">
        <v>-187.7406</v>
      </c>
      <c r="K8118">
        <v>1.107037</v>
      </c>
      <c r="L8118">
        <v>108.1268</v>
      </c>
      <c r="M8118">
        <v>1.855911E-2</v>
      </c>
      <c r="N8118">
        <v>-3.01909E-2</v>
      </c>
      <c r="O8118">
        <v>0.99937180000000003</v>
      </c>
      <c r="P8118">
        <v>3.0574489999999999E-2</v>
      </c>
      <c r="Q8118">
        <v>-0.13271830000000001</v>
      </c>
      <c r="R8118">
        <v>0.99068210000000001</v>
      </c>
      <c r="S8118">
        <v>1.1074219999999999</v>
      </c>
      <c r="T8118">
        <v>-0.134038299999999</v>
      </c>
      <c r="U8118">
        <v>2.9818880000000001</v>
      </c>
      <c r="V8118">
        <v>1.1204230000000001E-2</v>
      </c>
      <c r="W8118">
        <v>-0.1028466</v>
      </c>
      <c r="X8118">
        <v>0.99463420000000002</v>
      </c>
      <c r="Y8118">
        <v>0.33030799999999999</v>
      </c>
      <c r="Z8118">
        <v>-1.214637E-2</v>
      </c>
      <c r="AA8118">
        <v>0.94379500000000005</v>
      </c>
      <c r="AB8118">
        <v>43</v>
      </c>
      <c r="AC8118">
        <v>9.1366999999999905</v>
      </c>
      <c r="AD8118">
        <v>-1.1070425393650001</v>
      </c>
      <c r="AE8118">
        <v>24.206899999999901</v>
      </c>
      <c r="AF8118">
        <v>8.6697900181087793</v>
      </c>
      <c r="AG8118">
        <v>-1.1070425393650001</v>
      </c>
      <c r="AH8118">
        <v>24.3278372127761</v>
      </c>
      <c r="AI8118">
        <v>92.454456530374301</v>
      </c>
      <c r="AJ8118">
        <v>70.385293388125305</v>
      </c>
      <c r="AK8118">
        <v>25.850231441776199</v>
      </c>
      <c r="AL8118">
        <v>95.903113655116897</v>
      </c>
      <c r="AM8118">
        <v>89.354609020498003</v>
      </c>
      <c r="AN8118">
        <v>1.00000007485554</v>
      </c>
    </row>
    <row r="8119" spans="1:40" x14ac:dyDescent="0.25">
      <c r="A8119" t="str">
        <f>"20190305135120683"</f>
        <v>20190305135120683</v>
      </c>
      <c r="B8119" t="str">
        <f>"1551765080677752"</f>
        <v>1551765080677752</v>
      </c>
      <c r="C8119" t="s">
        <v>40</v>
      </c>
      <c r="D8119">
        <v>4.6989340000000004</v>
      </c>
      <c r="E8119">
        <v>0.6292953</v>
      </c>
      <c r="F8119" t="s">
        <v>94</v>
      </c>
      <c r="G8119">
        <v>-179.02500000000001</v>
      </c>
      <c r="H8119" s="1">
        <v>-5.4272630000000002E-6</v>
      </c>
      <c r="I8119">
        <v>131.28049999999999</v>
      </c>
      <c r="J8119">
        <v>-187.72880000000001</v>
      </c>
      <c r="K8119">
        <v>1.10697</v>
      </c>
      <c r="L8119">
        <v>108.5654</v>
      </c>
      <c r="M8119">
        <v>2.2116380000000001E-2</v>
      </c>
      <c r="N8119">
        <v>-3.057518E-2</v>
      </c>
      <c r="O8119">
        <v>0.99928779999999995</v>
      </c>
      <c r="P8119">
        <v>3.6644709999999997E-2</v>
      </c>
      <c r="Q8119">
        <v>-0.13322510000000001</v>
      </c>
      <c r="R8119">
        <v>0.99040810000000001</v>
      </c>
      <c r="S8119">
        <v>1.119705</v>
      </c>
      <c r="T8119">
        <v>-0.1422234</v>
      </c>
      <c r="U8119">
        <v>2.9745940000000002</v>
      </c>
      <c r="V8119">
        <v>1.373664E-2</v>
      </c>
      <c r="W8119">
        <v>-0.1029996</v>
      </c>
      <c r="X8119">
        <v>0.99458650000000004</v>
      </c>
      <c r="Y8119">
        <v>0.33109080000000002</v>
      </c>
      <c r="Z8119">
        <v>-1.44201E-2</v>
      </c>
      <c r="AA8119">
        <v>0.94348869999999896</v>
      </c>
      <c r="AB8119">
        <v>43</v>
      </c>
      <c r="AC8119">
        <v>8.7037999999999993</v>
      </c>
      <c r="AD8119">
        <v>-1.1069754272629999</v>
      </c>
      <c r="AE8119">
        <v>22.7151</v>
      </c>
      <c r="AF8119">
        <v>8.1821143135010601</v>
      </c>
      <c r="AG8119">
        <v>-1.1069754272629999</v>
      </c>
      <c r="AH8119">
        <v>22.854796225689999</v>
      </c>
      <c r="AI8119">
        <v>92.610933403290204</v>
      </c>
      <c r="AJ8119">
        <v>70.302416473038306</v>
      </c>
      <c r="AK8119">
        <v>24.300495874643801</v>
      </c>
      <c r="AL8119">
        <v>95.911927396905</v>
      </c>
      <c r="AM8119">
        <v>89.208714920471806</v>
      </c>
      <c r="AN8119">
        <v>0.99999995943044895</v>
      </c>
    </row>
    <row r="8120" spans="1:40" x14ac:dyDescent="0.25">
      <c r="A8120" t="str">
        <f>"20190305135120707"</f>
        <v>20190305135120707</v>
      </c>
      <c r="B8120" t="str">
        <f>"1551765080698247"</f>
        <v>1551765080698247</v>
      </c>
      <c r="C8120" t="s">
        <v>40</v>
      </c>
      <c r="D8120">
        <v>4.6982989999999996</v>
      </c>
      <c r="E8120">
        <v>0.62892139999999996</v>
      </c>
      <c r="F8120" t="s">
        <v>94</v>
      </c>
      <c r="G8120">
        <v>-179.12430000000001</v>
      </c>
      <c r="H8120" s="1">
        <v>-5.414491E-6</v>
      </c>
      <c r="I8120">
        <v>131.0685</v>
      </c>
      <c r="J8120">
        <v>-187.71510000000001</v>
      </c>
      <c r="K8120">
        <v>1.106835</v>
      </c>
      <c r="L8120">
        <v>109.00700000000001</v>
      </c>
      <c r="M8120">
        <v>2.582212E-2</v>
      </c>
      <c r="N8120">
        <v>-3.0763329999999998E-2</v>
      </c>
      <c r="O8120">
        <v>0.99919309999999995</v>
      </c>
      <c r="P8120">
        <v>4.3757829999999998E-2</v>
      </c>
      <c r="Q8120">
        <v>-0.13468479999999999</v>
      </c>
      <c r="R8120">
        <v>0.98992190000000002</v>
      </c>
      <c r="S8120">
        <v>1.1346590000000001</v>
      </c>
      <c r="T8120">
        <v>-0.14597489999999999</v>
      </c>
      <c r="U8120">
        <v>2.967438</v>
      </c>
      <c r="V8120">
        <v>1.715419E-2</v>
      </c>
      <c r="W8120">
        <v>-0.1043152</v>
      </c>
      <c r="X8120">
        <v>0.99439630000000001</v>
      </c>
      <c r="Y8120">
        <v>0.33247979999999999</v>
      </c>
      <c r="Z8120">
        <v>-1.548336E-2</v>
      </c>
      <c r="AA8120">
        <v>0.94298329999999997</v>
      </c>
      <c r="AB8120">
        <v>42</v>
      </c>
      <c r="AC8120">
        <v>8.5907999999999998</v>
      </c>
      <c r="AD8120">
        <v>-1.106840414491</v>
      </c>
      <c r="AE8120">
        <v>22.061499999999899</v>
      </c>
      <c r="AF8120">
        <v>8.0005017721185094</v>
      </c>
      <c r="AG8120">
        <v>-1.106840414491</v>
      </c>
      <c r="AH8120">
        <v>22.227492357695599</v>
      </c>
      <c r="AI8120">
        <v>92.682538889179</v>
      </c>
      <c r="AJ8120">
        <v>70.204308127067407</v>
      </c>
      <c r="AK8120">
        <v>23.649408889446601</v>
      </c>
      <c r="AL8120">
        <v>95.987713961486307</v>
      </c>
      <c r="AM8120">
        <v>89.011696636469495</v>
      </c>
      <c r="AN8120">
        <v>0.999999964319642</v>
      </c>
    </row>
    <row r="8121" spans="1:40" x14ac:dyDescent="0.25">
      <c r="A8121" t="str">
        <f>"20190305135120727"</f>
        <v>20190305135120727</v>
      </c>
      <c r="B8121" t="str">
        <f>"1551765080717767"</f>
        <v>1551765080717767</v>
      </c>
      <c r="C8121" t="s">
        <v>40</v>
      </c>
      <c r="D8121">
        <v>4.7001790000000003</v>
      </c>
      <c r="E8121">
        <v>0.62848990000000005</v>
      </c>
      <c r="F8121" t="s">
        <v>94</v>
      </c>
      <c r="G8121">
        <v>-179.34379999999999</v>
      </c>
      <c r="H8121" s="1">
        <v>-5.3440769999999998E-6</v>
      </c>
      <c r="I8121">
        <v>130.48830000000001</v>
      </c>
      <c r="J8121">
        <v>-187.70150000000001</v>
      </c>
      <c r="K8121">
        <v>1.106654</v>
      </c>
      <c r="L8121">
        <v>109.3959</v>
      </c>
      <c r="M8121">
        <v>2.922131E-2</v>
      </c>
      <c r="N8121">
        <v>-3.070314E-2</v>
      </c>
      <c r="O8121">
        <v>0.99910129999999997</v>
      </c>
      <c r="P8121">
        <v>4.8976840000000001E-2</v>
      </c>
      <c r="Q8121">
        <v>-0.13653979999999999</v>
      </c>
      <c r="R8121">
        <v>0.98942319999999995</v>
      </c>
      <c r="S8121">
        <v>1.1530609999999999</v>
      </c>
      <c r="T8121">
        <v>-0.1524558</v>
      </c>
      <c r="U8121">
        <v>2.9588169999999998</v>
      </c>
      <c r="V8121">
        <v>1.8973759999999999E-2</v>
      </c>
      <c r="W8121">
        <v>-0.10625999999999999</v>
      </c>
      <c r="X8121">
        <v>0.99415730000000002</v>
      </c>
      <c r="Y8121">
        <v>0.33526299999999998</v>
      </c>
      <c r="Z8121">
        <v>-1.7656080000000001E-2</v>
      </c>
      <c r="AA8121">
        <v>0.94195910000000005</v>
      </c>
      <c r="AB8121">
        <v>42</v>
      </c>
      <c r="AC8121">
        <v>8.3577000000000208</v>
      </c>
      <c r="AD8121">
        <v>-1.1066593440770001</v>
      </c>
      <c r="AE8121">
        <v>21.092400000000001</v>
      </c>
      <c r="AF8121">
        <v>7.7191236261616201</v>
      </c>
      <c r="AG8121">
        <v>-1.1066593440770001</v>
      </c>
      <c r="AH8121">
        <v>21.277098993837601</v>
      </c>
      <c r="AI8121">
        <v>92.799166781348305</v>
      </c>
      <c r="AJ8121">
        <v>70.059723138332203</v>
      </c>
      <c r="AK8121">
        <v>22.661079101696899</v>
      </c>
      <c r="AL8121">
        <v>96.099765620827498</v>
      </c>
      <c r="AM8121">
        <v>88.906627346407603</v>
      </c>
      <c r="AN8121">
        <v>0.99999996415591297</v>
      </c>
    </row>
    <row r="8122" spans="1:40" x14ac:dyDescent="0.25">
      <c r="A8122" t="str">
        <f>"20190305135120750"</f>
        <v>20190305135120750</v>
      </c>
      <c r="B8122" t="str">
        <f>"1551765080748023"</f>
        <v>1551765080748023</v>
      </c>
      <c r="C8122" t="s">
        <v>40</v>
      </c>
      <c r="D8122">
        <v>4.6969029999999998</v>
      </c>
      <c r="E8122">
        <v>0.62800279999999997</v>
      </c>
      <c r="F8122" t="s">
        <v>94</v>
      </c>
      <c r="G8122">
        <v>-179.64009999999999</v>
      </c>
      <c r="H8122" s="1">
        <v>-5.2930930000000002E-6</v>
      </c>
      <c r="I8122">
        <v>129.82140000000001</v>
      </c>
      <c r="J8122">
        <v>-187.68539999999999</v>
      </c>
      <c r="K8122">
        <v>1.1064229999999999</v>
      </c>
      <c r="L8122">
        <v>109.8086</v>
      </c>
      <c r="M8122">
        <v>3.2949329999999999E-2</v>
      </c>
      <c r="N8122">
        <v>-3.046012E-2</v>
      </c>
      <c r="O8122">
        <v>0.99899269999999996</v>
      </c>
      <c r="P8122">
        <v>5.5939219999999998E-2</v>
      </c>
      <c r="Q8122">
        <v>-0.1392438</v>
      </c>
      <c r="R8122">
        <v>0.98867689999999997</v>
      </c>
      <c r="S8122">
        <v>1.1652070000000001</v>
      </c>
      <c r="T8122">
        <v>-0.1599575</v>
      </c>
      <c r="U8122">
        <v>2.9523160000000002</v>
      </c>
      <c r="V8122">
        <v>2.2202429999999999E-2</v>
      </c>
      <c r="W8122">
        <v>-0.1092567</v>
      </c>
      <c r="X8122">
        <v>0.99376560000000003</v>
      </c>
      <c r="Y8122">
        <v>0.33578049999999998</v>
      </c>
      <c r="Z8122">
        <v>-2.034126E-2</v>
      </c>
      <c r="AA8122">
        <v>0.94172060000000002</v>
      </c>
      <c r="AB8122">
        <v>42</v>
      </c>
      <c r="AC8122">
        <v>8.0452999999999903</v>
      </c>
      <c r="AD8122">
        <v>-1.1064282930929901</v>
      </c>
      <c r="AE8122">
        <v>20.012799999999999</v>
      </c>
      <c r="AF8122">
        <v>7.3618418094797899</v>
      </c>
      <c r="AG8122">
        <v>-1.1064282930929901</v>
      </c>
      <c r="AH8122">
        <v>20.213944784676102</v>
      </c>
      <c r="AI8122">
        <v>92.944195269663695</v>
      </c>
      <c r="AJ8122">
        <v>69.988568615535698</v>
      </c>
      <c r="AK8122">
        <v>21.541227034537599</v>
      </c>
      <c r="AL8122">
        <v>96.272469233587401</v>
      </c>
      <c r="AM8122">
        <v>88.720126819487604</v>
      </c>
      <c r="AN8122">
        <v>1.00000002106807</v>
      </c>
    </row>
    <row r="8123" spans="1:40" x14ac:dyDescent="0.25">
      <c r="A8123" t="str">
        <f>"20190305135120763"</f>
        <v>20190305135120763</v>
      </c>
      <c r="B8123" t="str">
        <f>"1551765080757784"</f>
        <v>1551765080757784</v>
      </c>
      <c r="C8123" t="s">
        <v>40</v>
      </c>
      <c r="D8123">
        <v>4.696002</v>
      </c>
      <c r="E8123">
        <v>0.62786359999999997</v>
      </c>
      <c r="F8123" t="s">
        <v>94</v>
      </c>
      <c r="G8123">
        <v>-179.8175</v>
      </c>
      <c r="H8123" s="1">
        <v>-5.2873199999999999E-6</v>
      </c>
      <c r="I8123">
        <v>129.4117</v>
      </c>
      <c r="J8123">
        <v>-187.67490000000001</v>
      </c>
      <c r="K8123">
        <v>1.106301</v>
      </c>
      <c r="L8123">
        <v>110.05410000000001</v>
      </c>
      <c r="M8123">
        <v>3.5223259999999999E-2</v>
      </c>
      <c r="N8123">
        <v>-3.0287209999999998E-2</v>
      </c>
      <c r="O8123">
        <v>0.99892040000000004</v>
      </c>
      <c r="P8123">
        <v>5.9851189999999999E-2</v>
      </c>
      <c r="Q8123">
        <v>-0.14044089999999901</v>
      </c>
      <c r="R8123">
        <v>0.9882784</v>
      </c>
      <c r="S8123">
        <v>1.181656</v>
      </c>
      <c r="T8123">
        <v>-0.16616989999999901</v>
      </c>
      <c r="U8123">
        <v>2.9441069999999998</v>
      </c>
      <c r="V8123">
        <v>2.3841379999999999E-2</v>
      </c>
      <c r="W8123">
        <v>-0.11065220000000001</v>
      </c>
      <c r="X8123">
        <v>0.99357320000000005</v>
      </c>
      <c r="Y8123">
        <v>0.33904309999999999</v>
      </c>
      <c r="Z8123">
        <v>-2.2536609999999999E-2</v>
      </c>
      <c r="AA8123">
        <v>0.94050089999999997</v>
      </c>
      <c r="AB8123">
        <v>41</v>
      </c>
      <c r="AC8123">
        <v>7.8574000000000099</v>
      </c>
      <c r="AD8123">
        <v>-1.10630628732</v>
      </c>
      <c r="AE8123">
        <v>19.357599999999898</v>
      </c>
      <c r="AF8123">
        <v>7.1503180106806097</v>
      </c>
      <c r="AG8123">
        <v>-1.10630628732</v>
      </c>
      <c r="AH8123">
        <v>19.5675955508292</v>
      </c>
      <c r="AI8123">
        <v>93.039740343253598</v>
      </c>
      <c r="AJ8123">
        <v>69.926873494878393</v>
      </c>
      <c r="AK8123">
        <v>20.862448487559199</v>
      </c>
      <c r="AL8123">
        <v>96.352913317304797</v>
      </c>
      <c r="AM8123">
        <v>88.625417468416998</v>
      </c>
      <c r="AN8123">
        <v>1.0000000122616901</v>
      </c>
    </row>
    <row r="8124" spans="1:40" x14ac:dyDescent="0.25">
      <c r="A8124" t="str">
        <f>"20190305135120775"</f>
        <v>20190305135120775</v>
      </c>
      <c r="B8124" t="str">
        <f>"1551765080767543"</f>
        <v>1551765080767543</v>
      </c>
      <c r="C8124" t="s">
        <v>40</v>
      </c>
      <c r="D8124">
        <v>4.6781860000000002</v>
      </c>
      <c r="E8124">
        <v>0.62769770000000003</v>
      </c>
      <c r="F8124" t="s">
        <v>94</v>
      </c>
      <c r="G8124">
        <v>-179.90539999999999</v>
      </c>
      <c r="H8124" s="1">
        <v>-5.2925289999999999E-6</v>
      </c>
      <c r="I8124">
        <v>129.21100000000001</v>
      </c>
      <c r="J8124">
        <v>-187.66499999999999</v>
      </c>
      <c r="K8124">
        <v>1.10622</v>
      </c>
      <c r="L8124">
        <v>110.2735</v>
      </c>
      <c r="M8124">
        <v>3.7289549999999998E-2</v>
      </c>
      <c r="N8124">
        <v>-3.015104E-2</v>
      </c>
      <c r="O8124">
        <v>0.99884949999999995</v>
      </c>
      <c r="P8124">
        <v>6.3555639999999997E-2</v>
      </c>
      <c r="Q8124">
        <v>-0.14153099999999999</v>
      </c>
      <c r="R8124">
        <v>0.98789150000000003</v>
      </c>
      <c r="S8124">
        <v>1.192078</v>
      </c>
      <c r="T8124">
        <v>-0.16974139999999999</v>
      </c>
      <c r="U8124">
        <v>2.9392550000000002</v>
      </c>
      <c r="V8124">
        <v>2.5486379999999999E-2</v>
      </c>
      <c r="W8124">
        <v>-0.1119029</v>
      </c>
      <c r="X8124">
        <v>0.99339219999999895</v>
      </c>
      <c r="Y8124">
        <v>0.34048460000000003</v>
      </c>
      <c r="Z8124">
        <v>-2.3841620000000001E-2</v>
      </c>
      <c r="AA8124">
        <v>0.9399478</v>
      </c>
      <c r="AB8124">
        <v>41</v>
      </c>
      <c r="AC8124">
        <v>7.7595999999999998</v>
      </c>
      <c r="AD8124">
        <v>-1.1062252925289999</v>
      </c>
      <c r="AE8124">
        <v>18.9375</v>
      </c>
      <c r="AF8124">
        <v>7.0271747798788997</v>
      </c>
      <c r="AG8124">
        <v>-1.1062252925289999</v>
      </c>
      <c r="AH8124">
        <v>19.157826829383701</v>
      </c>
      <c r="AI8124">
        <v>93.103016797177304</v>
      </c>
      <c r="AJ8124">
        <v>69.856741621733505</v>
      </c>
      <c r="AK8124">
        <v>20.435930333837302</v>
      </c>
      <c r="AL8124">
        <v>96.425021460933195</v>
      </c>
      <c r="AM8124">
        <v>88.530347085913206</v>
      </c>
      <c r="AN8124">
        <v>0.99999993880737503</v>
      </c>
    </row>
    <row r="8125" spans="1:40" x14ac:dyDescent="0.25">
      <c r="A8125" t="str">
        <f>"20190305135120788"</f>
        <v>20190305135120788</v>
      </c>
      <c r="B8125" t="str">
        <f>"1551765080778280"</f>
        <v>1551765080778280</v>
      </c>
      <c r="C8125" t="s">
        <v>40</v>
      </c>
      <c r="D8125">
        <v>4.6733820000000001</v>
      </c>
      <c r="E8125">
        <v>0.62763199999999997</v>
      </c>
      <c r="F8125" t="s">
        <v>94</v>
      </c>
      <c r="G8125">
        <v>-180.01400000000001</v>
      </c>
      <c r="H8125" s="1">
        <v>-5.25245E-6</v>
      </c>
      <c r="I8125">
        <v>128.95519999999999</v>
      </c>
      <c r="J8125">
        <v>-187.65369999999999</v>
      </c>
      <c r="K8125">
        <v>1.1061669999999999</v>
      </c>
      <c r="L8125">
        <v>110.5149</v>
      </c>
      <c r="M8125">
        <v>3.9603289999999999E-2</v>
      </c>
      <c r="N8125">
        <v>-3.0024599999999999E-2</v>
      </c>
      <c r="O8125">
        <v>0.99876430000000005</v>
      </c>
      <c r="P8125">
        <v>6.7840189999999995E-2</v>
      </c>
      <c r="Q8125">
        <v>-0.14251949999999999</v>
      </c>
      <c r="R8125">
        <v>0.98746440000000002</v>
      </c>
      <c r="S8125">
        <v>1.201843</v>
      </c>
      <c r="T8125">
        <v>-0.1737686</v>
      </c>
      <c r="U8125">
        <v>2.934555</v>
      </c>
      <c r="V8125">
        <v>2.7473600000000001E-2</v>
      </c>
      <c r="W8125">
        <v>-0.1130452</v>
      </c>
      <c r="X8125">
        <v>0.99321000000000004</v>
      </c>
      <c r="Y8125">
        <v>0.34149410000000002</v>
      </c>
      <c r="Z8125">
        <v>-2.5285910000000002E-2</v>
      </c>
      <c r="AA8125">
        <v>0.93954369999999998</v>
      </c>
      <c r="AB8125">
        <v>41</v>
      </c>
      <c r="AC8125">
        <v>7.6396999999999702</v>
      </c>
      <c r="AD8125">
        <v>-1.1061722524499999</v>
      </c>
      <c r="AE8125">
        <v>18.440299999999901</v>
      </c>
      <c r="AF8125">
        <v>6.8819389947340497</v>
      </c>
      <c r="AG8125">
        <v>-1.1061722524499999</v>
      </c>
      <c r="AH8125">
        <v>18.671170018812798</v>
      </c>
      <c r="AI8125">
        <v>93.181745871395606</v>
      </c>
      <c r="AJ8125">
        <v>69.766800468905501</v>
      </c>
      <c r="AK8125">
        <v>19.929809112250499</v>
      </c>
      <c r="AL8125">
        <v>96.490887595383398</v>
      </c>
      <c r="AM8125">
        <v>88.415521359640707</v>
      </c>
      <c r="AN8125">
        <v>1.0000000600199901</v>
      </c>
    </row>
    <row r="8126" spans="1:40" x14ac:dyDescent="0.25">
      <c r="A8126" t="str">
        <f>"20190305135120800"</f>
        <v>20190305135120800</v>
      </c>
      <c r="B8126" t="str">
        <f>"1551765080797799"</f>
        <v>1551765080797799</v>
      </c>
      <c r="C8126" t="s">
        <v>40</v>
      </c>
      <c r="D8126">
        <v>4.4218469999999996</v>
      </c>
      <c r="E8126">
        <v>0.62740069999999903</v>
      </c>
      <c r="F8126" t="s">
        <v>94</v>
      </c>
      <c r="G8126">
        <v>-180.08459999999999</v>
      </c>
      <c r="H8126" s="1">
        <v>-5.1950919999999901E-6</v>
      </c>
      <c r="I8126">
        <v>128.7722</v>
      </c>
      <c r="J8126">
        <v>-187.64279999999999</v>
      </c>
      <c r="K8126">
        <v>1.106142</v>
      </c>
      <c r="L8126">
        <v>110.7332</v>
      </c>
      <c r="M8126">
        <v>4.1799250000000003E-2</v>
      </c>
      <c r="N8126">
        <v>-2.9938889999999999E-2</v>
      </c>
      <c r="O8126">
        <v>0.99867740000000005</v>
      </c>
      <c r="P8126">
        <v>7.1706770000000003E-2</v>
      </c>
      <c r="Q8126">
        <v>-0.14360499999999901</v>
      </c>
      <c r="R8126">
        <v>0.98703379999999996</v>
      </c>
      <c r="S8126">
        <v>1.2143250000000001</v>
      </c>
      <c r="T8126">
        <v>-0.17746500000000001</v>
      </c>
      <c r="U8126">
        <v>2.9290470000000002</v>
      </c>
      <c r="V8126">
        <v>2.916208E-2</v>
      </c>
      <c r="W8126">
        <v>-0.1142407</v>
      </c>
      <c r="X8126">
        <v>0.99302500000000005</v>
      </c>
      <c r="Y8126">
        <v>0.3434488</v>
      </c>
      <c r="Z8126">
        <v>-2.6580650000000001E-2</v>
      </c>
      <c r="AA8126">
        <v>0.93879520000000005</v>
      </c>
      <c r="AB8126">
        <v>41</v>
      </c>
      <c r="AC8126">
        <v>7.5581999999999896</v>
      </c>
      <c r="AD8126">
        <v>-1.1061471950920001</v>
      </c>
      <c r="AE8126">
        <v>18.039000000000001</v>
      </c>
      <c r="AF8126">
        <v>6.7755614035857299</v>
      </c>
      <c r="AG8126">
        <v>-1.1061471950920001</v>
      </c>
      <c r="AH8126">
        <v>18.280816278370601</v>
      </c>
      <c r="AI8126">
        <v>93.247306427467294</v>
      </c>
      <c r="AJ8126">
        <v>69.663390418758297</v>
      </c>
      <c r="AK8126">
        <v>19.527417590519001</v>
      </c>
      <c r="AL8126">
        <v>96.559831687059301</v>
      </c>
      <c r="AM8126">
        <v>88.317883207610507</v>
      </c>
      <c r="AN8126">
        <v>1.0000000075357001</v>
      </c>
    </row>
    <row r="8127" spans="1:40" x14ac:dyDescent="0.25">
      <c r="A8127" t="str">
        <f>"20190305135120817"</f>
        <v>20190305135120817</v>
      </c>
      <c r="B8127" t="str">
        <f>"1551765080808538"</f>
        <v>1551765080808538</v>
      </c>
      <c r="C8127" t="s">
        <v>40</v>
      </c>
      <c r="D8127">
        <v>4.4550000000000001</v>
      </c>
      <c r="E8127">
        <v>0.57281919999999897</v>
      </c>
      <c r="F8127" t="s">
        <v>94</v>
      </c>
      <c r="G8127">
        <v>-180.16229999999999</v>
      </c>
      <c r="H8127" s="1">
        <v>-5.1403380000000004E-6</v>
      </c>
      <c r="I8127">
        <v>128.60299999999901</v>
      </c>
      <c r="J8127">
        <v>-187.6268</v>
      </c>
      <c r="K8127">
        <v>1.1061129999999999</v>
      </c>
      <c r="L8127">
        <v>111.03749999999999</v>
      </c>
      <c r="M8127">
        <v>4.4937530000000003E-2</v>
      </c>
      <c r="N8127">
        <v>-2.986741E-2</v>
      </c>
      <c r="O8127">
        <v>0.99854319999999996</v>
      </c>
      <c r="P8127">
        <v>7.8287910000000002E-2</v>
      </c>
      <c r="Q8127">
        <v>-0.14561669999999999</v>
      </c>
      <c r="R8127">
        <v>0.98623870000000002</v>
      </c>
      <c r="S8127">
        <v>1.224075</v>
      </c>
      <c r="T8127">
        <v>-0.1810061</v>
      </c>
      <c r="U8127">
        <v>2.9241640000000002</v>
      </c>
      <c r="V8127">
        <v>3.2631159999999999E-2</v>
      </c>
      <c r="W8127">
        <v>-0.11637450000000001</v>
      </c>
      <c r="X8127">
        <v>0.99266920000000003</v>
      </c>
      <c r="Y8127">
        <v>0.34370139999999999</v>
      </c>
      <c r="Z8127">
        <v>-2.7830569999999999E-2</v>
      </c>
      <c r="AA8127">
        <v>0.93866649999999996</v>
      </c>
      <c r="AB8127">
        <v>41</v>
      </c>
      <c r="AC8127">
        <v>7.4645000000000099</v>
      </c>
      <c r="AD8127">
        <v>-1.1061181403379901</v>
      </c>
      <c r="AE8127">
        <v>17.565499999999901</v>
      </c>
      <c r="AF8127">
        <v>6.6449310759491498</v>
      </c>
      <c r="AG8127">
        <v>-1.1061181403379901</v>
      </c>
      <c r="AH8127">
        <v>17.823459829812201</v>
      </c>
      <c r="AI8127">
        <v>93.327994274066398</v>
      </c>
      <c r="AJ8127">
        <v>69.553570425010506</v>
      </c>
      <c r="AK8127">
        <v>19.053984534722101</v>
      </c>
      <c r="AL8127">
        <v>96.682910593774494</v>
      </c>
      <c r="AM8127">
        <v>88.117243126932095</v>
      </c>
      <c r="AN8127">
        <v>0.99999997874091695</v>
      </c>
    </row>
    <row r="8128" spans="1:40" x14ac:dyDescent="0.25">
      <c r="A8128" t="str">
        <f>"20190305135120830"</f>
        <v>20190305135120830</v>
      </c>
      <c r="B8128" t="str">
        <f>"1551765080818296"</f>
        <v>1551765080818296</v>
      </c>
      <c r="C8128" t="s">
        <v>40</v>
      </c>
      <c r="D8128">
        <v>4.4866580000000003</v>
      </c>
      <c r="E8128">
        <v>0.57281919999999897</v>
      </c>
      <c r="F8128" t="s">
        <v>41</v>
      </c>
      <c r="G8128">
        <v>-187.36859999999999</v>
      </c>
      <c r="H8128">
        <v>0.97516349999999996</v>
      </c>
      <c r="I8128">
        <v>111.9629</v>
      </c>
      <c r="J8128">
        <v>-187.61410000000001</v>
      </c>
      <c r="K8128">
        <v>1.106096</v>
      </c>
      <c r="L8128">
        <v>111.2713</v>
      </c>
      <c r="M8128">
        <v>4.7408770000000003E-2</v>
      </c>
      <c r="N8128">
        <v>-2.985691E-2</v>
      </c>
      <c r="O8128">
        <v>0.99842920000000002</v>
      </c>
      <c r="P8128">
        <v>8.2159819999999995E-2</v>
      </c>
      <c r="Q8128">
        <v>-0.1465436</v>
      </c>
      <c r="R8128">
        <v>0.98578639999999995</v>
      </c>
      <c r="S8128">
        <v>0.813446</v>
      </c>
      <c r="T8128">
        <v>-0.4126128</v>
      </c>
      <c r="U8128">
        <v>2.9163670000000002</v>
      </c>
      <c r="V8128">
        <v>3.4051310000000001E-2</v>
      </c>
      <c r="W8128">
        <v>-0.1173356</v>
      </c>
      <c r="X8128">
        <v>0.99250839999999996</v>
      </c>
      <c r="Y8128">
        <v>0.2206264</v>
      </c>
      <c r="Z8128">
        <v>-0.1061507</v>
      </c>
      <c r="AA8128">
        <v>0.96956489999999995</v>
      </c>
      <c r="AB8128">
        <v>41</v>
      </c>
      <c r="AC8128">
        <v>0.24550000000002101</v>
      </c>
      <c r="AD8128">
        <v>-0.13093249999999901</v>
      </c>
      <c r="AE8128">
        <v>0.69160000000000799</v>
      </c>
      <c r="AF8128">
        <v>0.20586827649012801</v>
      </c>
      <c r="AG8128">
        <v>-0.13093249999999901</v>
      </c>
      <c r="AH8128">
        <v>0.68079560250062998</v>
      </c>
      <c r="AI8128">
        <v>100.430800995759</v>
      </c>
      <c r="AJ8128">
        <v>73.175016027085704</v>
      </c>
      <c r="AK8128">
        <v>0.72319272618401098</v>
      </c>
      <c r="AL8128">
        <v>96.738357095329903</v>
      </c>
      <c r="AM8128">
        <v>88.035047956314997</v>
      </c>
      <c r="AN8128">
        <v>1.00000002940531</v>
      </c>
    </row>
    <row r="8129" spans="1:40" x14ac:dyDescent="0.25">
      <c r="A8129" t="str">
        <f>"20190305135120843"</f>
        <v>20190305135120843</v>
      </c>
      <c r="B8129" t="str">
        <f>"1551765080837816"</f>
        <v>1551765080837816</v>
      </c>
      <c r="C8129" t="s">
        <v>40</v>
      </c>
      <c r="D8129">
        <v>4.4168459999999996</v>
      </c>
      <c r="E8129">
        <v>0.54919839999999998</v>
      </c>
      <c r="F8129" t="s">
        <v>42</v>
      </c>
      <c r="G8129">
        <v>-185.41419999999999</v>
      </c>
      <c r="H8129" s="1">
        <v>-4.8480220000000002E-6</v>
      </c>
      <c r="I8129">
        <v>119.03749999999999</v>
      </c>
      <c r="J8129">
        <v>-187.59970000000001</v>
      </c>
      <c r="K8129">
        <v>1.1060859999999999</v>
      </c>
      <c r="L8129">
        <v>111.5166</v>
      </c>
      <c r="M8129">
        <v>5.0085089999999999E-2</v>
      </c>
      <c r="N8129">
        <v>-2.993264E-2</v>
      </c>
      <c r="O8129">
        <v>0.99829630000000003</v>
      </c>
      <c r="P8129">
        <v>8.5746939999999994E-2</v>
      </c>
      <c r="Q8129">
        <v>-0.1471712</v>
      </c>
      <c r="R8129">
        <v>0.98538729999999997</v>
      </c>
      <c r="S8129">
        <v>0.82507319999999995</v>
      </c>
      <c r="T8129">
        <v>-0.41485939999999999</v>
      </c>
      <c r="U8129">
        <v>2.912811</v>
      </c>
      <c r="V8129">
        <v>3.4978629999999997E-2</v>
      </c>
      <c r="W8129">
        <v>-0.117907399999999</v>
      </c>
      <c r="X8129">
        <v>0.99240830000000002</v>
      </c>
      <c r="Y8129">
        <v>0.22187760000000001</v>
      </c>
      <c r="Z8129">
        <v>-0.1068569</v>
      </c>
      <c r="AA8129">
        <v>0.96920170000000005</v>
      </c>
      <c r="AB8129">
        <v>40</v>
      </c>
      <c r="AC8129">
        <v>2.18550000000001</v>
      </c>
      <c r="AD8129">
        <v>-1.106090848022</v>
      </c>
      <c r="AE8129">
        <v>7.5208999999999904</v>
      </c>
      <c r="AF8129">
        <v>1.77058636506581</v>
      </c>
      <c r="AG8129">
        <v>-1.106090848022</v>
      </c>
      <c r="AH8129">
        <v>7.4719343058410201</v>
      </c>
      <c r="AI8129">
        <v>98.196719917103195</v>
      </c>
      <c r="AJ8129">
        <v>76.668805548378401</v>
      </c>
      <c r="AK8129">
        <v>7.7581064256066297</v>
      </c>
      <c r="AL8129">
        <v>96.7713483892516</v>
      </c>
      <c r="AM8129">
        <v>87.981376632950997</v>
      </c>
      <c r="AN8129">
        <v>0.99999994672016201</v>
      </c>
    </row>
    <row r="8130" spans="1:40" x14ac:dyDescent="0.25">
      <c r="A8130" t="str">
        <f>"20190305135120856"</f>
        <v>20190305135120856</v>
      </c>
      <c r="B8130" t="str">
        <f>"1551765080847576"</f>
        <v>1551765080847576</v>
      </c>
      <c r="C8130" t="s">
        <v>40</v>
      </c>
      <c r="D8130">
        <v>4.3837070000000002</v>
      </c>
      <c r="E8130">
        <v>0.55045940000000004</v>
      </c>
      <c r="F8130" t="s">
        <v>41</v>
      </c>
      <c r="G8130">
        <v>-187.4254</v>
      </c>
      <c r="H8130">
        <v>0.91954309999999995</v>
      </c>
      <c r="I8130">
        <v>112.28619999999999</v>
      </c>
      <c r="J8130">
        <v>-187.58629999999999</v>
      </c>
      <c r="K8130">
        <v>1.1060669999999999</v>
      </c>
      <c r="L8130">
        <v>111.7358</v>
      </c>
      <c r="M8130">
        <v>5.2512499999999997E-2</v>
      </c>
      <c r="N8130">
        <v>-3.003399E-2</v>
      </c>
      <c r="O8130">
        <v>0.99816850000000001</v>
      </c>
      <c r="P8130">
        <v>8.9473200000000003E-2</v>
      </c>
      <c r="Q8130">
        <v>-0.14685139999999999</v>
      </c>
      <c r="R8130">
        <v>0.98510370000000003</v>
      </c>
      <c r="S8130">
        <v>0.6529083</v>
      </c>
      <c r="T8130">
        <v>-0.69879789999999997</v>
      </c>
      <c r="U8130">
        <v>2.8833160000000002</v>
      </c>
      <c r="V8130">
        <v>3.6293890000000002E-2</v>
      </c>
      <c r="W8130">
        <v>-0.1175083</v>
      </c>
      <c r="X8130">
        <v>0.99240850000000003</v>
      </c>
      <c r="Y8130">
        <v>0.16411789999999901</v>
      </c>
      <c r="Z8130">
        <v>-0.2015788</v>
      </c>
      <c r="AA8130">
        <v>0.96562490000000001</v>
      </c>
      <c r="AB8130">
        <v>40</v>
      </c>
      <c r="AC8130">
        <v>0.16089999999999799</v>
      </c>
      <c r="AD8130">
        <v>-0.18652389999999899</v>
      </c>
      <c r="AE8130">
        <v>0.550399999999996</v>
      </c>
      <c r="AF8130">
        <v>0.119154902276635</v>
      </c>
      <c r="AG8130">
        <v>-0.18652389999999899</v>
      </c>
      <c r="AH8130">
        <v>0.50469466109357797</v>
      </c>
      <c r="AI8130">
        <v>109.783106364213</v>
      </c>
      <c r="AJ8130">
        <v>76.716113655673695</v>
      </c>
      <c r="AK8130">
        <v>0.55109505254912805</v>
      </c>
      <c r="AL8130">
        <v>96.748320940676393</v>
      </c>
      <c r="AM8130">
        <v>87.905539529006802</v>
      </c>
      <c r="AN8130">
        <v>1.00000003894623</v>
      </c>
    </row>
    <row r="8131" spans="1:40" x14ac:dyDescent="0.25">
      <c r="A8131" t="str">
        <f>"20190305135120873"</f>
        <v>20190305135120873</v>
      </c>
      <c r="B8131" t="str">
        <f>"1551765080868072"</f>
        <v>1551765080868072</v>
      </c>
      <c r="C8131" t="s">
        <v>40</v>
      </c>
      <c r="D8131">
        <v>4.4262069999999998</v>
      </c>
      <c r="E8131">
        <v>0.55220499999999995</v>
      </c>
      <c r="F8131" t="s">
        <v>41</v>
      </c>
      <c r="G8131">
        <v>-187.3775</v>
      </c>
      <c r="H8131">
        <v>0.89501659999999905</v>
      </c>
      <c r="I8131">
        <v>112.6284</v>
      </c>
      <c r="J8131">
        <v>-187.56649999999999</v>
      </c>
      <c r="K8131">
        <v>1.1060350000000001</v>
      </c>
      <c r="L8131">
        <v>112.0445</v>
      </c>
      <c r="M8131">
        <v>5.6019350000000002E-2</v>
      </c>
      <c r="N8131">
        <v>-3.0231339999999999E-2</v>
      </c>
      <c r="O8131">
        <v>0.99797190000000002</v>
      </c>
      <c r="P8131">
        <v>9.5673229999999998E-2</v>
      </c>
      <c r="Q8131">
        <v>-0.14429040000000001</v>
      </c>
      <c r="R8131">
        <v>0.98489950000000004</v>
      </c>
      <c r="S8131">
        <v>0.67384339999999998</v>
      </c>
      <c r="T8131">
        <v>-0.68137780000000003</v>
      </c>
      <c r="U8131">
        <v>2.8825989999999999</v>
      </c>
      <c r="V8131">
        <v>3.9016750000000003E-2</v>
      </c>
      <c r="W8131">
        <v>-0.1147871</v>
      </c>
      <c r="X8131">
        <v>0.99262360000000005</v>
      </c>
      <c r="Y8131">
        <v>0.16763539999999999</v>
      </c>
      <c r="Z8131">
        <v>-0.1956647</v>
      </c>
      <c r="AA8131">
        <v>0.96623680000000001</v>
      </c>
      <c r="AB8131">
        <v>40</v>
      </c>
      <c r="AC8131">
        <v>0.18899999999999201</v>
      </c>
      <c r="AD8131">
        <v>-0.21101839999999999</v>
      </c>
      <c r="AE8131">
        <v>0.58389999999999898</v>
      </c>
      <c r="AF8131">
        <v>0.13948801176336001</v>
      </c>
      <c r="AG8131">
        <v>-0.21101839999999999</v>
      </c>
      <c r="AH8131">
        <v>0.53082108899928004</v>
      </c>
      <c r="AI8131">
        <v>111.030706994143</v>
      </c>
      <c r="AJ8131">
        <v>75.276805017950494</v>
      </c>
      <c r="AK8131">
        <v>0.58801079844730497</v>
      </c>
      <c r="AL8131">
        <v>96.591345471440604</v>
      </c>
      <c r="AM8131">
        <v>87.749051221955995</v>
      </c>
      <c r="AN8131">
        <v>0.99999999819196606</v>
      </c>
    </row>
    <row r="8132" spans="1:40" x14ac:dyDescent="0.25">
      <c r="A8132" t="str">
        <f>"20190305135120886"</f>
        <v>20190305135120886</v>
      </c>
      <c r="B8132" t="str">
        <f>"1551765080877831"</f>
        <v>1551765080877831</v>
      </c>
      <c r="C8132" t="s">
        <v>40</v>
      </c>
      <c r="D8132">
        <v>4.4405799999999997</v>
      </c>
      <c r="E8132">
        <v>0.55232490000000001</v>
      </c>
      <c r="F8132" t="s">
        <v>41</v>
      </c>
      <c r="G8132">
        <v>-187.33789999999999</v>
      </c>
      <c r="H8132">
        <v>0.89241019999999904</v>
      </c>
      <c r="I8132">
        <v>112.9777</v>
      </c>
      <c r="J8132">
        <v>-187.55090000000001</v>
      </c>
      <c r="K8132">
        <v>1.1060000000000001</v>
      </c>
      <c r="L8132">
        <v>112.27379999999999</v>
      </c>
      <c r="M8132">
        <v>5.872757E-2</v>
      </c>
      <c r="N8132">
        <v>-3.040874E-2</v>
      </c>
      <c r="O8132">
        <v>0.9978108</v>
      </c>
      <c r="P8132">
        <v>0.10005650000000001</v>
      </c>
      <c r="Q8132">
        <v>-0.14265820000000001</v>
      </c>
      <c r="R8132">
        <v>0.98470159999999995</v>
      </c>
      <c r="S8132">
        <v>0.70565800000000001</v>
      </c>
      <c r="T8132">
        <v>-0.65951199999999999</v>
      </c>
      <c r="U8132">
        <v>2.880814</v>
      </c>
      <c r="V8132">
        <v>4.0712419999999999E-2</v>
      </c>
      <c r="W8132">
        <v>-0.1130042</v>
      </c>
      <c r="X8132">
        <v>0.99276010000000003</v>
      </c>
      <c r="Y8132">
        <v>0.17551249999999999</v>
      </c>
      <c r="Z8132">
        <v>-0.18826000000000001</v>
      </c>
      <c r="AA8132">
        <v>0.96630919999999998</v>
      </c>
      <c r="AB8132">
        <v>40</v>
      </c>
      <c r="AC8132">
        <v>0.21300000000002201</v>
      </c>
      <c r="AD8132">
        <v>-0.213589799999999</v>
      </c>
      <c r="AE8132">
        <v>0.70390000000000397</v>
      </c>
      <c r="AF8132">
        <v>0.15795126512136201</v>
      </c>
      <c r="AG8132">
        <v>-0.213589799999999</v>
      </c>
      <c r="AH8132">
        <v>0.65956403008610398</v>
      </c>
      <c r="AI8132">
        <v>107.480784585748</v>
      </c>
      <c r="AJ8132">
        <v>76.532533928466805</v>
      </c>
      <c r="AK8132">
        <v>0.71105127424181003</v>
      </c>
      <c r="AL8132">
        <v>96.488523493108403</v>
      </c>
      <c r="AM8132">
        <v>87.651654713255098</v>
      </c>
      <c r="AN8132">
        <v>1.00000003325595</v>
      </c>
    </row>
    <row r="8133" spans="1:40" x14ac:dyDescent="0.25">
      <c r="A8133" t="str">
        <f>"20190305135120900"</f>
        <v>20190305135120900</v>
      </c>
      <c r="B8133" t="str">
        <f>"1551765080887592"</f>
        <v>1551765080887592</v>
      </c>
      <c r="C8133" t="s">
        <v>40</v>
      </c>
      <c r="D8133">
        <v>4.3838330000000001</v>
      </c>
      <c r="E8133">
        <v>0.55251249999999996</v>
      </c>
      <c r="F8133" t="s">
        <v>41</v>
      </c>
      <c r="G8133">
        <v>-187.3689</v>
      </c>
      <c r="H8133">
        <v>0.94279939999999995</v>
      </c>
      <c r="I8133">
        <v>113.0025</v>
      </c>
      <c r="J8133">
        <v>-187.53469999999999</v>
      </c>
      <c r="K8133">
        <v>1.1059600000000001</v>
      </c>
      <c r="L8133">
        <v>112.4986</v>
      </c>
      <c r="M8133">
        <v>6.150887E-2</v>
      </c>
      <c r="N8133">
        <v>-3.060268E-2</v>
      </c>
      <c r="O8133">
        <v>0.99763729999999995</v>
      </c>
      <c r="P8133">
        <v>0.10455399999999999</v>
      </c>
      <c r="Q8133">
        <v>-0.14117729999999901</v>
      </c>
      <c r="R8133">
        <v>0.98444779999999998</v>
      </c>
      <c r="S8133">
        <v>0.71928409999999998</v>
      </c>
      <c r="T8133">
        <v>-0.64492869999999902</v>
      </c>
      <c r="U8133">
        <v>2.8800810000000001</v>
      </c>
      <c r="V8133">
        <v>4.2451059999999999E-2</v>
      </c>
      <c r="W8133">
        <v>-0.1113585</v>
      </c>
      <c r="X8133">
        <v>0.99287320000000001</v>
      </c>
      <c r="Y8133">
        <v>0.17736350000000001</v>
      </c>
      <c r="Z8133">
        <v>-0.18331210000000001</v>
      </c>
      <c r="AA8133">
        <v>0.96692230000000001</v>
      </c>
      <c r="AB8133">
        <v>40</v>
      </c>
      <c r="AC8133">
        <v>0.16579999999999001</v>
      </c>
      <c r="AD8133">
        <v>-0.16316059999999999</v>
      </c>
      <c r="AE8133">
        <v>0.50390000000000101</v>
      </c>
      <c r="AF8133">
        <v>0.122854664769442</v>
      </c>
      <c r="AG8133">
        <v>-0.16316059999999999</v>
      </c>
      <c r="AH8133">
        <v>0.46879877028896999</v>
      </c>
      <c r="AI8133">
        <v>108.606883739453</v>
      </c>
      <c r="AJ8133">
        <v>75.315139649844994</v>
      </c>
      <c r="AK8133">
        <v>0.51135793439861998</v>
      </c>
      <c r="AL8133">
        <v>96.393633063056797</v>
      </c>
      <c r="AM8133">
        <v>87.551765833905506</v>
      </c>
      <c r="AN8133">
        <v>0.99999999964780595</v>
      </c>
    </row>
    <row r="8134" spans="1:40" x14ac:dyDescent="0.25">
      <c r="A8134" t="str">
        <f>"20190305135120919"</f>
        <v>20190305135120919</v>
      </c>
      <c r="B8134" t="str">
        <f>"1551765080908088"</f>
        <v>1551765080908088</v>
      </c>
      <c r="C8134" t="s">
        <v>40</v>
      </c>
      <c r="D8134">
        <v>4.3897930000000001</v>
      </c>
      <c r="E8134">
        <v>0.55230249999999903</v>
      </c>
      <c r="F8134" t="s">
        <v>41</v>
      </c>
      <c r="G8134">
        <v>-187.3202</v>
      </c>
      <c r="H8134">
        <v>0.92147679999999998</v>
      </c>
      <c r="I8134">
        <v>113.3391</v>
      </c>
      <c r="J8134">
        <v>-187.5087</v>
      </c>
      <c r="K8134">
        <v>1.1058870000000001</v>
      </c>
      <c r="L8134">
        <v>112.8443</v>
      </c>
      <c r="M8134">
        <v>6.59941E-2</v>
      </c>
      <c r="N8134">
        <v>-3.0919450000000001E-2</v>
      </c>
      <c r="O8134">
        <v>0.99734089999999997</v>
      </c>
      <c r="P8134">
        <v>0.1116991</v>
      </c>
      <c r="Q8134">
        <v>-0.1394852</v>
      </c>
      <c r="R8134">
        <v>0.98390409999999995</v>
      </c>
      <c r="S8134">
        <v>0.73403929999999995</v>
      </c>
      <c r="T8134">
        <v>-0.63159409999999905</v>
      </c>
      <c r="U8134">
        <v>2.878876</v>
      </c>
      <c r="V8134">
        <v>4.5147649999999998E-2</v>
      </c>
      <c r="W8134">
        <v>-0.10939980000000001</v>
      </c>
      <c r="X8134">
        <v>0.99297199999999997</v>
      </c>
      <c r="Y8134">
        <v>0.17791029999999999</v>
      </c>
      <c r="Z8134">
        <v>-0.17864869999999999</v>
      </c>
      <c r="AA8134">
        <v>0.96769450000000001</v>
      </c>
      <c r="AB8134">
        <v>39</v>
      </c>
      <c r="AC8134">
        <v>0.188500000000004</v>
      </c>
      <c r="AD8134">
        <v>-0.1844102</v>
      </c>
      <c r="AE8134">
        <v>0.49479999999999702</v>
      </c>
      <c r="AF8134">
        <v>0.13860644552812099</v>
      </c>
      <c r="AG8134">
        <v>-0.1844102</v>
      </c>
      <c r="AH8134">
        <v>0.45141076233697702</v>
      </c>
      <c r="AI8134">
        <v>111.33187951608301</v>
      </c>
      <c r="AJ8134">
        <v>72.930806360361302</v>
      </c>
      <c r="AK8134">
        <v>0.50694234875341704</v>
      </c>
      <c r="AL8134">
        <v>96.280717775186105</v>
      </c>
      <c r="AM8134">
        <v>87.396714616166307</v>
      </c>
      <c r="AN8134">
        <v>1.0000000096622801</v>
      </c>
    </row>
    <row r="8135" spans="1:40" x14ac:dyDescent="0.25">
      <c r="A8135" t="str">
        <f>"20190305135120941"</f>
        <v>20190305135120941</v>
      </c>
      <c r="B8135" t="str">
        <f>"1551765080927608"</f>
        <v>1551765080927608</v>
      </c>
      <c r="C8135" t="s">
        <v>40</v>
      </c>
      <c r="D8135">
        <v>4.4427539999999999</v>
      </c>
      <c r="E8135">
        <v>0.55176619999999998</v>
      </c>
      <c r="F8135" t="s">
        <v>41</v>
      </c>
      <c r="G8135">
        <v>-187.28819999999999</v>
      </c>
      <c r="H8135">
        <v>0.92735599999999996</v>
      </c>
      <c r="I8135">
        <v>113.68600000000001</v>
      </c>
      <c r="J8135">
        <v>-187.47980000000001</v>
      </c>
      <c r="K8135">
        <v>1.1057999999999999</v>
      </c>
      <c r="L8135">
        <v>113.2012</v>
      </c>
      <c r="M8135">
        <v>7.0944469999999996E-2</v>
      </c>
      <c r="N8135">
        <v>-3.1265710000000002E-2</v>
      </c>
      <c r="O8135">
        <v>0.99699009999999999</v>
      </c>
      <c r="P8135">
        <v>0.118470699999999</v>
      </c>
      <c r="Q8135">
        <v>-0.13910249999999999</v>
      </c>
      <c r="R8135">
        <v>0.98316590000000004</v>
      </c>
      <c r="S8135">
        <v>0.75321959999999999</v>
      </c>
      <c r="T8135">
        <v>-0.61014599999999997</v>
      </c>
      <c r="U8135">
        <v>2.877075</v>
      </c>
      <c r="V8135">
        <v>4.7003320000000001E-2</v>
      </c>
      <c r="W8135">
        <v>-0.1087188</v>
      </c>
      <c r="X8135">
        <v>0.99296070000000003</v>
      </c>
      <c r="Y8135">
        <v>0.17955589999999999</v>
      </c>
      <c r="Z8135">
        <v>-0.17133229999999999</v>
      </c>
      <c r="AA8135">
        <v>0.96871300000000005</v>
      </c>
      <c r="AB8135">
        <v>39</v>
      </c>
      <c r="AC8135">
        <v>0.191600000000022</v>
      </c>
      <c r="AD8135">
        <v>-0.17844399999999899</v>
      </c>
      <c r="AE8135">
        <v>0.484800000000007</v>
      </c>
      <c r="AF8135">
        <v>0.14026948127640501</v>
      </c>
      <c r="AG8135">
        <v>-0.17844399999999899</v>
      </c>
      <c r="AH8135">
        <v>0.44502903125260401</v>
      </c>
      <c r="AI8135">
        <v>110.928110875185</v>
      </c>
      <c r="AJ8135">
        <v>72.505578240491104</v>
      </c>
      <c r="AK8135">
        <v>0.49956844092795</v>
      </c>
      <c r="AL8135">
        <v>96.241465148171699</v>
      </c>
      <c r="AM8135">
        <v>87.289839319849307</v>
      </c>
      <c r="AN8135">
        <v>1.0000000206544699</v>
      </c>
    </row>
    <row r="8136" spans="1:40" x14ac:dyDescent="0.25">
      <c r="A8136" t="str">
        <f>"20190305135120953"</f>
        <v>20190305135120953</v>
      </c>
      <c r="B8136" t="str">
        <f>"1551765080948103"</f>
        <v>1551765080948103</v>
      </c>
      <c r="C8136" t="s">
        <v>40</v>
      </c>
      <c r="D8136">
        <v>4.4101080000000001</v>
      </c>
      <c r="E8136">
        <v>0.55143240000000004</v>
      </c>
      <c r="F8136" t="s">
        <v>41</v>
      </c>
      <c r="G8136">
        <v>-187.25819999999999</v>
      </c>
      <c r="H8136">
        <v>0.93330599999999997</v>
      </c>
      <c r="I8136">
        <v>114.0296</v>
      </c>
      <c r="J8136">
        <v>-187.46100000000001</v>
      </c>
      <c r="K8136">
        <v>1.1057380000000001</v>
      </c>
      <c r="L8136">
        <v>113.4222</v>
      </c>
      <c r="M8136">
        <v>7.4152599999999999E-2</v>
      </c>
      <c r="N8136">
        <v>-3.1493859999999999E-2</v>
      </c>
      <c r="O8136">
        <v>0.99674949999999995</v>
      </c>
      <c r="P8136">
        <v>0.12283769999999999</v>
      </c>
      <c r="Q8136">
        <v>-0.13880110000000001</v>
      </c>
      <c r="R8136">
        <v>0.98267249999999995</v>
      </c>
      <c r="S8136">
        <v>0.76872249999999998</v>
      </c>
      <c r="T8136">
        <v>-0.59839299999999995</v>
      </c>
      <c r="U8136">
        <v>2.8740839999999999</v>
      </c>
      <c r="V8136">
        <v>4.818745E-2</v>
      </c>
      <c r="W8136">
        <v>-0.1082202</v>
      </c>
      <c r="X8136">
        <v>0.99295840000000002</v>
      </c>
      <c r="Y8136">
        <v>0.18169730000000001</v>
      </c>
      <c r="Z8136">
        <v>-0.1673309</v>
      </c>
      <c r="AA8136">
        <v>0.96901320000000002</v>
      </c>
      <c r="AB8136">
        <v>38</v>
      </c>
      <c r="AC8136">
        <v>0.20279999999999601</v>
      </c>
      <c r="AD8136">
        <v>-0.172431999999999</v>
      </c>
      <c r="AE8136">
        <v>0.60739999999999805</v>
      </c>
      <c r="AF8136">
        <v>0.14655227212403499</v>
      </c>
      <c r="AG8136">
        <v>-0.172431999999999</v>
      </c>
      <c r="AH8136">
        <v>0.57880384405043495</v>
      </c>
      <c r="AI8136">
        <v>106.10858074674699</v>
      </c>
      <c r="AJ8136">
        <v>75.791405590039503</v>
      </c>
      <c r="AK8136">
        <v>0.62146943044390901</v>
      </c>
      <c r="AL8136">
        <v>96.212727963988598</v>
      </c>
      <c r="AM8136">
        <v>87.221662903646404</v>
      </c>
      <c r="AN8136">
        <v>1.00000001307805</v>
      </c>
    </row>
    <row r="8137" spans="1:40" x14ac:dyDescent="0.25">
      <c r="A8137" t="str">
        <f>"20190305135120974"</f>
        <v>20190305135120974</v>
      </c>
      <c r="B8137" t="str">
        <f>"1551765080967623"</f>
        <v>1551765080967623</v>
      </c>
      <c r="C8137" t="s">
        <v>40</v>
      </c>
      <c r="D8137">
        <v>4.4151759999999998</v>
      </c>
      <c r="E8137">
        <v>0.55097369999999901</v>
      </c>
      <c r="F8137" t="s">
        <v>41</v>
      </c>
      <c r="G8137">
        <v>-187.20760000000001</v>
      </c>
      <c r="H8137">
        <v>0.91373599999999999</v>
      </c>
      <c r="I8137">
        <v>114.3566</v>
      </c>
      <c r="J8137">
        <v>-187.4289</v>
      </c>
      <c r="K8137">
        <v>1.1056469999999901</v>
      </c>
      <c r="L8137">
        <v>113.7765</v>
      </c>
      <c r="M8137">
        <v>7.9559669999999999E-2</v>
      </c>
      <c r="N8137">
        <v>-3.190751E-2</v>
      </c>
      <c r="O8137">
        <v>0.99631930000000002</v>
      </c>
      <c r="P8137">
        <v>0.13080259999999999</v>
      </c>
      <c r="Q8137">
        <v>-0.13802719999999999</v>
      </c>
      <c r="R8137">
        <v>0.98175310000000005</v>
      </c>
      <c r="S8137">
        <v>0.77868649999999995</v>
      </c>
      <c r="T8137">
        <v>-0.59016369999999996</v>
      </c>
      <c r="U8137">
        <v>2.8721920000000001</v>
      </c>
      <c r="V8137">
        <v>5.0800449999999997E-2</v>
      </c>
      <c r="W8137">
        <v>-0.10709349999999999</v>
      </c>
      <c r="X8137">
        <v>0.99295029999999995</v>
      </c>
      <c r="Y8137">
        <v>0.17979690000000001</v>
      </c>
      <c r="Z8137">
        <v>-0.16427130000000001</v>
      </c>
      <c r="AA8137">
        <v>0.96989069999999999</v>
      </c>
      <c r="AB8137">
        <v>38</v>
      </c>
      <c r="AC8137">
        <v>0.22129999999998501</v>
      </c>
      <c r="AD8137">
        <v>-0.191910999999999</v>
      </c>
      <c r="AE8137">
        <v>0.58010000000000095</v>
      </c>
      <c r="AF8137">
        <v>0.15921066250754401</v>
      </c>
      <c r="AG8137">
        <v>-0.191910999999999</v>
      </c>
      <c r="AH8137">
        <v>0.543909474430602</v>
      </c>
      <c r="AI8137">
        <v>108.707499658391</v>
      </c>
      <c r="AJ8137">
        <v>73.684435456461003</v>
      </c>
      <c r="AK8137">
        <v>0.59834386714703203</v>
      </c>
      <c r="AL8137">
        <v>96.147795501234896</v>
      </c>
      <c r="AM8137">
        <v>87.071237242805694</v>
      </c>
      <c r="AN8137">
        <v>1.0000000008662699</v>
      </c>
    </row>
    <row r="8138" spans="1:40" x14ac:dyDescent="0.25">
      <c r="A8138" t="str">
        <f>"20190305135120986"</f>
        <v>20190305135120986</v>
      </c>
      <c r="B8138" t="str">
        <f>"1551765080978359"</f>
        <v>1551765080978359</v>
      </c>
      <c r="C8138" t="s">
        <v>40</v>
      </c>
      <c r="D8138">
        <v>4.4364220000000003</v>
      </c>
      <c r="E8138">
        <v>0.55064869999999899</v>
      </c>
      <c r="F8138" t="s">
        <v>41</v>
      </c>
      <c r="G8138">
        <v>-187.17400000000001</v>
      </c>
      <c r="H8138">
        <v>0.91772830000000005</v>
      </c>
      <c r="I8138">
        <v>114.69159999999999</v>
      </c>
      <c r="J8138">
        <v>-187.4093</v>
      </c>
      <c r="K8138">
        <v>1.1055980000000001</v>
      </c>
      <c r="L8138">
        <v>113.9828</v>
      </c>
      <c r="M8138">
        <v>8.28324E-2</v>
      </c>
      <c r="N8138">
        <v>-3.217362E-2</v>
      </c>
      <c r="O8138">
        <v>0.99604400000000004</v>
      </c>
      <c r="P8138">
        <v>0.13535829999999999</v>
      </c>
      <c r="Q8138">
        <v>-0.137442799999999</v>
      </c>
      <c r="R8138">
        <v>0.98121740000000002</v>
      </c>
      <c r="S8138">
        <v>0.79804989999999998</v>
      </c>
      <c r="T8138">
        <v>-0.58846779999999999</v>
      </c>
      <c r="U8138">
        <v>2.8666839999999998</v>
      </c>
      <c r="V8138">
        <v>5.2120050000000001E-2</v>
      </c>
      <c r="W8138">
        <v>-0.10627549999999999</v>
      </c>
      <c r="X8138">
        <v>0.99296980000000001</v>
      </c>
      <c r="Y8138">
        <v>0.18314269999999999</v>
      </c>
      <c r="Z8138">
        <v>-0.16353709999999999</v>
      </c>
      <c r="AA8138">
        <v>0.96938869999999999</v>
      </c>
      <c r="AB8138">
        <v>38</v>
      </c>
      <c r="AC8138">
        <v>0.23529999999999501</v>
      </c>
      <c r="AD8138">
        <v>-0.187869699999999</v>
      </c>
      <c r="AE8138">
        <v>0.70879999999999599</v>
      </c>
      <c r="AF8138">
        <v>0.16528911367966601</v>
      </c>
      <c r="AG8138">
        <v>-0.187869699999999</v>
      </c>
      <c r="AH8138">
        <v>0.68266359043428504</v>
      </c>
      <c r="AI8138">
        <v>104.97451436312799</v>
      </c>
      <c r="AJ8138">
        <v>76.389263957158207</v>
      </c>
      <c r="AK8138">
        <v>0.72707983948375898</v>
      </c>
      <c r="AL8138">
        <v>96.100658527314195</v>
      </c>
      <c r="AM8138">
        <v>86.995355814741401</v>
      </c>
      <c r="AN8138">
        <v>1.0000000026121401</v>
      </c>
    </row>
    <row r="8139" spans="1:40" x14ac:dyDescent="0.25">
      <c r="A8139" t="str">
        <f>"20190305135121007"</f>
        <v>20190305135121007</v>
      </c>
      <c r="B8139" t="str">
        <f>"1551765080997879"</f>
        <v>1551765080997879</v>
      </c>
      <c r="C8139" t="s">
        <v>40</v>
      </c>
      <c r="D8139">
        <v>4.4020349999999997</v>
      </c>
      <c r="E8139">
        <v>0.55041719999999905</v>
      </c>
      <c r="F8139" t="s">
        <v>41</v>
      </c>
      <c r="G8139">
        <v>-187.20330000000001</v>
      </c>
      <c r="H8139">
        <v>0.95635990000000004</v>
      </c>
      <c r="I8139">
        <v>114.7119</v>
      </c>
      <c r="J8139">
        <v>-187.37450000000001</v>
      </c>
      <c r="K8139">
        <v>1.1055219999999999</v>
      </c>
      <c r="L8139">
        <v>114.32940000000001</v>
      </c>
      <c r="M8139">
        <v>8.8581679999999996E-2</v>
      </c>
      <c r="N8139">
        <v>-3.2644449999999998E-2</v>
      </c>
      <c r="O8139">
        <v>0.99553380000000002</v>
      </c>
      <c r="P8139">
        <v>0.1438556</v>
      </c>
      <c r="Q8139">
        <v>-0.13620650000000001</v>
      </c>
      <c r="R8139">
        <v>0.9801803</v>
      </c>
      <c r="S8139">
        <v>0.80856319999999904</v>
      </c>
      <c r="T8139">
        <v>-0.58589709999999995</v>
      </c>
      <c r="U8139">
        <v>2.8638309999999998</v>
      </c>
      <c r="V8139">
        <v>5.4944300000000001E-2</v>
      </c>
      <c r="W8139">
        <v>-0.1046329</v>
      </c>
      <c r="X8139">
        <v>0.99299199999999999</v>
      </c>
      <c r="Y8139">
        <v>0.18107280000000001</v>
      </c>
      <c r="Z8139">
        <v>-0.1622681</v>
      </c>
      <c r="AA8139">
        <v>0.96999060000000004</v>
      </c>
      <c r="AB8139">
        <v>38</v>
      </c>
      <c r="AC8139">
        <v>0.17119999999999799</v>
      </c>
      <c r="AD8139">
        <v>-0.14916209999999899</v>
      </c>
      <c r="AE8139">
        <v>0.38249999999999301</v>
      </c>
      <c r="AF8139">
        <v>0.121262562322415</v>
      </c>
      <c r="AG8139">
        <v>-0.14916209999999899</v>
      </c>
      <c r="AH8139">
        <v>0.35162011054407699</v>
      </c>
      <c r="AI8139">
        <v>111.85252512798699</v>
      </c>
      <c r="AJ8139">
        <v>70.972318981085905</v>
      </c>
      <c r="AK8139">
        <v>0.40073762393420997</v>
      </c>
      <c r="AL8139">
        <v>96.006016681324596</v>
      </c>
      <c r="AM8139">
        <v>86.832935581868497</v>
      </c>
      <c r="AN8139">
        <v>1.00000001596445</v>
      </c>
    </row>
    <row r="8140" spans="1:40" x14ac:dyDescent="0.25">
      <c r="A8140" t="str">
        <f>"20190305135121021"</f>
        <v>20190305135121021</v>
      </c>
      <c r="B8140" t="str">
        <f>"1551765081007640"</f>
        <v>1551765081007640</v>
      </c>
      <c r="C8140" t="s">
        <v>40</v>
      </c>
      <c r="D8140">
        <v>4.3808759999999998</v>
      </c>
      <c r="E8140">
        <v>0.53590039999999906</v>
      </c>
      <c r="F8140" t="s">
        <v>41</v>
      </c>
      <c r="G8140">
        <v>-187.1669</v>
      </c>
      <c r="H8140">
        <v>0.96022879999999999</v>
      </c>
      <c r="I8140">
        <v>115.04340000000001</v>
      </c>
      <c r="J8140">
        <v>-187.35159999999999</v>
      </c>
      <c r="K8140">
        <v>1.1054649999999999</v>
      </c>
      <c r="L8140">
        <v>114.5442</v>
      </c>
      <c r="M8140">
        <v>9.2342179999999996E-2</v>
      </c>
      <c r="N8140">
        <v>-3.2936319999999998E-2</v>
      </c>
      <c r="O8140">
        <v>0.99518249999999997</v>
      </c>
      <c r="P8140">
        <v>0.1488865</v>
      </c>
      <c r="Q8140">
        <v>-0.13624240000000001</v>
      </c>
      <c r="R8140">
        <v>0.97942370000000001</v>
      </c>
      <c r="S8140">
        <v>0.83135990000000004</v>
      </c>
      <c r="T8140">
        <v>-0.58161099999999999</v>
      </c>
      <c r="U8140">
        <v>2.857834</v>
      </c>
      <c r="V8140">
        <v>5.6261310000000002E-2</v>
      </c>
      <c r="W8140">
        <v>-0.10441549999999999</v>
      </c>
      <c r="X8140">
        <v>0.99294110000000002</v>
      </c>
      <c r="Y8140">
        <v>0.18509539999999999</v>
      </c>
      <c r="Z8140">
        <v>-0.16064320000000001</v>
      </c>
      <c r="AA8140">
        <v>0.96950170000000002</v>
      </c>
      <c r="AB8140">
        <v>37</v>
      </c>
      <c r="AC8140">
        <v>0.18469999999999201</v>
      </c>
      <c r="AD8140">
        <v>-0.14523619999999901</v>
      </c>
      <c r="AE8140">
        <v>0.49920000000000098</v>
      </c>
      <c r="AF8140">
        <v>0.128239929617805</v>
      </c>
      <c r="AG8140">
        <v>-0.14523619999999901</v>
      </c>
      <c r="AH8140">
        <v>0.47850371619251097</v>
      </c>
      <c r="AI8140">
        <v>106.339842243505</v>
      </c>
      <c r="AJ8140">
        <v>74.997179672856205</v>
      </c>
      <c r="AK8140">
        <v>0.51624106747609999</v>
      </c>
      <c r="AL8140">
        <v>95.993492190190594</v>
      </c>
      <c r="AM8140">
        <v>86.757015574977501</v>
      </c>
      <c r="AN8140">
        <v>0.99999997985618705</v>
      </c>
    </row>
    <row r="8141" spans="1:40" x14ac:dyDescent="0.25">
      <c r="A8141" t="str">
        <f>"20190305135121033"</f>
        <v>20190305135121033</v>
      </c>
      <c r="B8141" t="str">
        <f>"1551765081028136"</f>
        <v>1551765081028136</v>
      </c>
      <c r="C8141" t="s">
        <v>40</v>
      </c>
      <c r="D8141">
        <v>4.1749460000000003</v>
      </c>
      <c r="E8141">
        <v>0.53659330000000005</v>
      </c>
      <c r="F8141" t="s">
        <v>41</v>
      </c>
      <c r="G8141">
        <v>-187.14510000000001</v>
      </c>
      <c r="H8141">
        <v>0.92043540000000001</v>
      </c>
      <c r="I8141">
        <v>115.3501</v>
      </c>
      <c r="J8141">
        <v>-187.328</v>
      </c>
      <c r="K8141">
        <v>1.1053980000000001</v>
      </c>
      <c r="L8141">
        <v>114.7594</v>
      </c>
      <c r="M8141">
        <v>9.6211350000000001E-2</v>
      </c>
      <c r="N8141">
        <v>-3.3226739999999998E-2</v>
      </c>
      <c r="O8141">
        <v>0.99480619999999997</v>
      </c>
      <c r="P8141">
        <v>0.15389739999999999</v>
      </c>
      <c r="Q8141">
        <v>-0.13594829999999999</v>
      </c>
      <c r="R8141">
        <v>0.97868980000000005</v>
      </c>
      <c r="S8141">
        <v>0.73248290000000005</v>
      </c>
      <c r="T8141">
        <v>-0.65643070000000003</v>
      </c>
      <c r="U8141">
        <v>2.8603670000000001</v>
      </c>
      <c r="V8141">
        <v>5.7451790000000003E-2</v>
      </c>
      <c r="W8141">
        <v>-0.1038675</v>
      </c>
      <c r="X8141">
        <v>0.99293039999999999</v>
      </c>
      <c r="Y8141">
        <v>0.14872160000000001</v>
      </c>
      <c r="Z8141">
        <v>-0.18544749999999999</v>
      </c>
      <c r="AA8141">
        <v>0.9713347</v>
      </c>
      <c r="AB8141">
        <v>37</v>
      </c>
      <c r="AC8141">
        <v>0.18289999999998899</v>
      </c>
      <c r="AD8141">
        <v>-0.1849626</v>
      </c>
      <c r="AE8141">
        <v>0.590699999999998</v>
      </c>
      <c r="AF8141">
        <v>0.11490652806007701</v>
      </c>
      <c r="AG8141">
        <v>-0.1849626</v>
      </c>
      <c r="AH8141">
        <v>0.55583342735191399</v>
      </c>
      <c r="AI8141">
        <v>108.049529423495</v>
      </c>
      <c r="AJ8141">
        <v>78.319872708054206</v>
      </c>
      <c r="AK8141">
        <v>0.59696354373726801</v>
      </c>
      <c r="AL8141">
        <v>95.961922485256906</v>
      </c>
      <c r="AM8141">
        <v>86.688510089828995</v>
      </c>
      <c r="AN8141">
        <v>0.99999997248730599</v>
      </c>
    </row>
    <row r="8142" spans="1:40" x14ac:dyDescent="0.25">
      <c r="A8142" t="str">
        <f>"20190305135121046"</f>
        <v>20190305135121046</v>
      </c>
      <c r="B8142" t="str">
        <f>"1551765081037898"</f>
        <v>1551765081037898</v>
      </c>
      <c r="C8142" t="s">
        <v>40</v>
      </c>
      <c r="D8142">
        <v>4.3690069999999999</v>
      </c>
      <c r="E8142">
        <v>0.53508059999999902</v>
      </c>
      <c r="F8142" t="s">
        <v>41</v>
      </c>
      <c r="G8142">
        <v>-187.09110000000001</v>
      </c>
      <c r="H8142">
        <v>0.89071859999999903</v>
      </c>
      <c r="I8142">
        <v>115.65689999999999</v>
      </c>
      <c r="J8142">
        <v>-187.30330000000001</v>
      </c>
      <c r="K8142">
        <v>1.1053230000000001</v>
      </c>
      <c r="L8142">
        <v>114.9756</v>
      </c>
      <c r="M8142">
        <v>0.10024180000000001</v>
      </c>
      <c r="N8142">
        <v>-3.3515509999999998E-2</v>
      </c>
      <c r="O8142">
        <v>0.99439849999999996</v>
      </c>
      <c r="P8142">
        <v>0.15947239999999999</v>
      </c>
      <c r="Q8142">
        <v>-0.1353829</v>
      </c>
      <c r="R8142">
        <v>0.9778753</v>
      </c>
      <c r="S8142">
        <v>0.75291439999999998</v>
      </c>
      <c r="T8142">
        <v>-0.68223389999999995</v>
      </c>
      <c r="U8142">
        <v>2.8521580000000002</v>
      </c>
      <c r="V8142">
        <v>5.9052939999999998E-2</v>
      </c>
      <c r="W8142">
        <v>-0.1030576</v>
      </c>
      <c r="X8142">
        <v>0.9929209</v>
      </c>
      <c r="Y8142">
        <v>0.15145799999999901</v>
      </c>
      <c r="Z8142">
        <v>-0.19360089999999999</v>
      </c>
      <c r="AA8142">
        <v>0.96931889999999998</v>
      </c>
      <c r="AB8142">
        <v>36</v>
      </c>
      <c r="AC8142">
        <v>0.212199999999995</v>
      </c>
      <c r="AD8142">
        <v>-0.2146044</v>
      </c>
      <c r="AE8142">
        <v>0.68129999999999302</v>
      </c>
      <c r="AF8142">
        <v>0.13095267515308401</v>
      </c>
      <c r="AG8142">
        <v>-0.2146044</v>
      </c>
      <c r="AH8142">
        <v>0.64115752896359701</v>
      </c>
      <c r="AI8142">
        <v>108.156577373779</v>
      </c>
      <c r="AJ8142">
        <v>78.456440331999204</v>
      </c>
      <c r="AK8142">
        <v>0.68868470912008395</v>
      </c>
      <c r="AL8142">
        <v>95.915267994690097</v>
      </c>
      <c r="AM8142">
        <v>86.5964022154904</v>
      </c>
      <c r="AN8142">
        <v>1.0000000161486</v>
      </c>
    </row>
    <row r="8143" spans="1:40" x14ac:dyDescent="0.25">
      <c r="A8143" t="str">
        <f>"20190305135121062"</f>
        <v>20190305135121062</v>
      </c>
      <c r="B8143" t="str">
        <f>"1551765081057415"</f>
        <v>1551765081057415</v>
      </c>
      <c r="C8143" t="s">
        <v>40</v>
      </c>
      <c r="D8143">
        <v>4.4064379999999996</v>
      </c>
      <c r="E8143">
        <v>0.53392499999999998</v>
      </c>
      <c r="F8143" t="s">
        <v>41</v>
      </c>
      <c r="G8143">
        <v>-187.11600000000001</v>
      </c>
      <c r="H8143">
        <v>0.93491020000000002</v>
      </c>
      <c r="I8143">
        <v>115.68</v>
      </c>
      <c r="J8143">
        <v>-187.27520000000001</v>
      </c>
      <c r="K8143">
        <v>1.1052390000000001</v>
      </c>
      <c r="L8143">
        <v>115.20950000000001</v>
      </c>
      <c r="M8143">
        <v>0.1047918</v>
      </c>
      <c r="N8143">
        <v>-3.3822919999999999E-2</v>
      </c>
      <c r="O8143">
        <v>0.99391879999999999</v>
      </c>
      <c r="P8143">
        <v>0.16748560000000001</v>
      </c>
      <c r="Q8143">
        <v>-0.1345259</v>
      </c>
      <c r="R8143">
        <v>0.9766532</v>
      </c>
      <c r="S8143">
        <v>0.75753780000000004</v>
      </c>
      <c r="T8143">
        <v>-0.68925669999999895</v>
      </c>
      <c r="U8143">
        <v>2.8489070000000001</v>
      </c>
      <c r="V8143">
        <v>6.2604870000000007E-2</v>
      </c>
      <c r="W8143">
        <v>-0.101974</v>
      </c>
      <c r="X8143">
        <v>0.99281509999999995</v>
      </c>
      <c r="Y8143">
        <v>0.14857139999999999</v>
      </c>
      <c r="Z8143">
        <v>-0.19563230000000001</v>
      </c>
      <c r="AA8143">
        <v>0.96935780000000005</v>
      </c>
      <c r="AB8143">
        <v>36</v>
      </c>
      <c r="AC8143">
        <v>0.15920000000002599</v>
      </c>
      <c r="AD8143">
        <v>-0.170328799999999</v>
      </c>
      <c r="AE8143">
        <v>0.47050000000000097</v>
      </c>
      <c r="AF8143">
        <v>9.7521829238466501E-2</v>
      </c>
      <c r="AG8143">
        <v>-0.170328799999999</v>
      </c>
      <c r="AH8143">
        <v>0.43360957056648802</v>
      </c>
      <c r="AI8143">
        <v>110.96897091234599</v>
      </c>
      <c r="AJ8143">
        <v>77.324688164239902</v>
      </c>
      <c r="AK8143">
        <v>0.47596183352692401</v>
      </c>
      <c r="AL8143">
        <v>95.852853867274803</v>
      </c>
      <c r="AM8143">
        <v>86.391823802495395</v>
      </c>
      <c r="AN8143">
        <v>0.99999994460586095</v>
      </c>
    </row>
    <row r="8144" spans="1:40" x14ac:dyDescent="0.25">
      <c r="A8144" t="str">
        <f>"20190305135121085"</f>
        <v>20190305135121085</v>
      </c>
      <c r="B8144" t="str">
        <f>"1551765081077911"</f>
        <v>1551765081077911</v>
      </c>
      <c r="C8144" t="s">
        <v>40</v>
      </c>
      <c r="D8144">
        <v>4.1007110000000004</v>
      </c>
      <c r="E8144">
        <v>0.53366689999999894</v>
      </c>
      <c r="F8144" t="s">
        <v>41</v>
      </c>
      <c r="G8144">
        <v>-187.06399999999999</v>
      </c>
      <c r="H8144">
        <v>0.91538540000000002</v>
      </c>
      <c r="I8144">
        <v>115.98739999999999</v>
      </c>
      <c r="J8144">
        <v>-187.22839999999999</v>
      </c>
      <c r="K8144">
        <v>1.105065</v>
      </c>
      <c r="L8144">
        <v>115.58029999999999</v>
      </c>
      <c r="M8144">
        <v>0.1123224</v>
      </c>
      <c r="N8144">
        <v>-3.429393E-2</v>
      </c>
      <c r="O8144">
        <v>0.99307979999999996</v>
      </c>
      <c r="P8144">
        <v>0.1792241</v>
      </c>
      <c r="Q8144">
        <v>-0.13453499999999999</v>
      </c>
      <c r="R8144">
        <v>0.97456609999999999</v>
      </c>
      <c r="S8144">
        <v>0.77203369999999905</v>
      </c>
      <c r="T8144">
        <v>-0.69400220000000001</v>
      </c>
      <c r="U8144">
        <v>2.8437350000000001</v>
      </c>
      <c r="V8144">
        <v>6.695371E-2</v>
      </c>
      <c r="W8144">
        <v>-0.1016307</v>
      </c>
      <c r="X8144">
        <v>0.99256659999999997</v>
      </c>
      <c r="Y8144">
        <v>0.146060299999999</v>
      </c>
      <c r="Z8144">
        <v>-0.19672319999999999</v>
      </c>
      <c r="AA8144">
        <v>0.96951869999999996</v>
      </c>
      <c r="AB8144">
        <v>36</v>
      </c>
      <c r="AC8144">
        <v>0.16439999999997201</v>
      </c>
      <c r="AD8144">
        <v>-0.1896796</v>
      </c>
      <c r="AE8144">
        <v>0.40709999999999902</v>
      </c>
      <c r="AF8144">
        <v>9.9106725058660305E-2</v>
      </c>
      <c r="AG8144">
        <v>-0.1896796</v>
      </c>
      <c r="AH8144">
        <v>0.356463334676699</v>
      </c>
      <c r="AI8144">
        <v>117.142833493018</v>
      </c>
      <c r="AJ8144">
        <v>74.462589560520897</v>
      </c>
      <c r="AK8144">
        <v>0.41577229654805598</v>
      </c>
      <c r="AL8144">
        <v>95.833081018511095</v>
      </c>
      <c r="AM8144">
        <v>86.140951743948193</v>
      </c>
      <c r="AN8144">
        <v>1.0000000269503999</v>
      </c>
    </row>
    <row r="8145" spans="1:40" x14ac:dyDescent="0.25">
      <c r="A8145" t="str">
        <f>"20190305135121098"</f>
        <v>20190305135121098</v>
      </c>
      <c r="B8145" t="str">
        <f>"1551765081087672"</f>
        <v>1551765081087672</v>
      </c>
      <c r="C8145" t="s">
        <v>40</v>
      </c>
      <c r="D8145">
        <v>4.3459690000000002</v>
      </c>
      <c r="E8145">
        <v>0.53342369999999995</v>
      </c>
      <c r="F8145" t="s">
        <v>41</v>
      </c>
      <c r="G8145">
        <v>-187.0222</v>
      </c>
      <c r="H8145">
        <v>0.92575850000000004</v>
      </c>
      <c r="I8145">
        <v>116.3066</v>
      </c>
      <c r="J8145">
        <v>-187.20259999999999</v>
      </c>
      <c r="K8145">
        <v>1.1049639999999901</v>
      </c>
      <c r="L8145">
        <v>115.77370000000001</v>
      </c>
      <c r="M8145">
        <v>0.11645419999999999</v>
      </c>
      <c r="N8145">
        <v>-3.4527009999999997E-2</v>
      </c>
      <c r="O8145">
        <v>0.99259569999999997</v>
      </c>
      <c r="P8145">
        <v>0.1851418</v>
      </c>
      <c r="Q8145">
        <v>-0.13430420000000001</v>
      </c>
      <c r="R8145">
        <v>0.97349110000000005</v>
      </c>
      <c r="S8145">
        <v>0.80448909999999996</v>
      </c>
      <c r="T8145">
        <v>-0.69948509999999997</v>
      </c>
      <c r="U8145">
        <v>2.8337859999999999</v>
      </c>
      <c r="V8145">
        <v>6.8816559999999999E-2</v>
      </c>
      <c r="W8145">
        <v>-0.10122349999999999</v>
      </c>
      <c r="X8145">
        <v>0.99248080000000005</v>
      </c>
      <c r="Y8145">
        <v>0.15297279999999999</v>
      </c>
      <c r="Z8145">
        <v>-0.19839799999999999</v>
      </c>
      <c r="AA8145">
        <v>0.96811029999999998</v>
      </c>
      <c r="AB8145">
        <v>36</v>
      </c>
      <c r="AC8145">
        <v>0.18039999999999101</v>
      </c>
      <c r="AD8145">
        <v>-0.17920549999999899</v>
      </c>
      <c r="AE8145">
        <v>0.53289999999999704</v>
      </c>
      <c r="AF8145">
        <v>0.10629136696744999</v>
      </c>
      <c r="AG8145">
        <v>-0.17920549999999899</v>
      </c>
      <c r="AH8145">
        <v>0.49960142597741802</v>
      </c>
      <c r="AI8145">
        <v>109.333144340991</v>
      </c>
      <c r="AJ8145">
        <v>77.989268648324497</v>
      </c>
      <c r="AK8145">
        <v>0.54130772279797401</v>
      </c>
      <c r="AL8145">
        <v>95.809629235093595</v>
      </c>
      <c r="AM8145">
        <v>86.033577885650502</v>
      </c>
      <c r="AN8145">
        <v>1.00000002712556</v>
      </c>
    </row>
    <row r="8146" spans="1:40" x14ac:dyDescent="0.25">
      <c r="A8146" t="str">
        <f>"20190305135121112"</f>
        <v>20190305135121112</v>
      </c>
      <c r="B8146" t="str">
        <f>"1551765081108168"</f>
        <v>1551765081108168</v>
      </c>
      <c r="C8146" t="s">
        <v>40</v>
      </c>
      <c r="D8146">
        <v>4.3110730000000004</v>
      </c>
      <c r="E8146">
        <v>0.53282289999999999</v>
      </c>
      <c r="F8146" t="s">
        <v>41</v>
      </c>
      <c r="G8146">
        <v>-186.9623</v>
      </c>
      <c r="H8146">
        <v>0.89927760000000001</v>
      </c>
      <c r="I8146">
        <v>116.6024</v>
      </c>
      <c r="J8146">
        <v>-187.1729</v>
      </c>
      <c r="K8146">
        <v>1.1048469999999999</v>
      </c>
      <c r="L8146">
        <v>115.98990000000001</v>
      </c>
      <c r="M8146">
        <v>0.1211921</v>
      </c>
      <c r="N8146">
        <v>-3.4779339999999999E-2</v>
      </c>
      <c r="O8146">
        <v>0.9920196</v>
      </c>
      <c r="P8146">
        <v>0.19161310000000001</v>
      </c>
      <c r="Q8146">
        <v>-0.1345547</v>
      </c>
      <c r="R8146">
        <v>0.97220340000000005</v>
      </c>
      <c r="S8146">
        <v>0.81993099999999997</v>
      </c>
      <c r="T8146">
        <v>-0.70190620000000004</v>
      </c>
      <c r="U8146">
        <v>2.8289179999999998</v>
      </c>
      <c r="V8146">
        <v>7.0638809999999996E-2</v>
      </c>
      <c r="W8146">
        <v>-0.10128429999999999</v>
      </c>
      <c r="X8146">
        <v>0.99234650000000002</v>
      </c>
      <c r="Y8146">
        <v>0.15353249999999999</v>
      </c>
      <c r="Z8146">
        <v>-0.19894890000000001</v>
      </c>
      <c r="AA8146">
        <v>0.96790860000000001</v>
      </c>
      <c r="AB8146">
        <v>35</v>
      </c>
      <c r="AC8146">
        <v>0.21059999999999901</v>
      </c>
      <c r="AD8146">
        <v>-0.20556939999999899</v>
      </c>
      <c r="AE8146">
        <v>0.61249999999999705</v>
      </c>
      <c r="AF8146">
        <v>0.122437119508376</v>
      </c>
      <c r="AG8146">
        <v>-0.20556939999999899</v>
      </c>
      <c r="AH8146">
        <v>0.57554170961981699</v>
      </c>
      <c r="AI8146">
        <v>109.257258369127</v>
      </c>
      <c r="AJ8146">
        <v>77.9902895952319</v>
      </c>
      <c r="AK8146">
        <v>0.62329598583816503</v>
      </c>
      <c r="AL8146">
        <v>95.8131311855836</v>
      </c>
      <c r="AM8146">
        <v>85.928347257941098</v>
      </c>
      <c r="AN8146">
        <v>0.99999996348347697</v>
      </c>
    </row>
    <row r="8147" spans="1:40" x14ac:dyDescent="0.25">
      <c r="A8147" t="str">
        <f>"20190305135121131"</f>
        <v>20190305135121131</v>
      </c>
      <c r="B8147" t="str">
        <f>"1551765081127688"</f>
        <v>1551765081127688</v>
      </c>
      <c r="C8147" t="s">
        <v>40</v>
      </c>
      <c r="D8147">
        <v>4.2514519999999996</v>
      </c>
      <c r="E8147">
        <v>0.53262710000000002</v>
      </c>
      <c r="F8147" t="s">
        <v>41</v>
      </c>
      <c r="G8147">
        <v>-186.9049</v>
      </c>
      <c r="H8147">
        <v>0.87562799999999996</v>
      </c>
      <c r="I8147">
        <v>116.89619999999999</v>
      </c>
      <c r="J8147">
        <v>-187.13050000000001</v>
      </c>
      <c r="K8147">
        <v>1.1046830000000001</v>
      </c>
      <c r="L8147">
        <v>116.2824</v>
      </c>
      <c r="M8147">
        <v>0.12790689999999999</v>
      </c>
      <c r="N8147">
        <v>-3.5099390000000001E-2</v>
      </c>
      <c r="O8147">
        <v>0.99116490000000002</v>
      </c>
      <c r="P8147">
        <v>0.20182739999999999</v>
      </c>
      <c r="Q8147">
        <v>-0.133247799999999</v>
      </c>
      <c r="R8147">
        <v>0.97031480000000003</v>
      </c>
      <c r="S8147">
        <v>0.83462519999999996</v>
      </c>
      <c r="T8147">
        <v>-0.71380379999999999</v>
      </c>
      <c r="U8147">
        <v>2.822479</v>
      </c>
      <c r="V8147">
        <v>7.4292460000000005E-2</v>
      </c>
      <c r="W8147">
        <v>-9.9761569999999994E-2</v>
      </c>
      <c r="X8147">
        <v>0.99223399999999995</v>
      </c>
      <c r="Y8147">
        <v>0.15185309999999999</v>
      </c>
      <c r="Z8147">
        <v>-0.20249600000000001</v>
      </c>
      <c r="AA8147">
        <v>0.96743789999999996</v>
      </c>
      <c r="AB8147">
        <v>35</v>
      </c>
      <c r="AC8147">
        <v>0.22560000000001401</v>
      </c>
      <c r="AD8147">
        <v>-0.22905500000000001</v>
      </c>
      <c r="AE8147">
        <v>0.61379999999999701</v>
      </c>
      <c r="AF8147">
        <v>0.12932110517640799</v>
      </c>
      <c r="AG8147">
        <v>-0.22905500000000001</v>
      </c>
      <c r="AH8147">
        <v>0.56794655514833703</v>
      </c>
      <c r="AI8147">
        <v>111.46666188230699</v>
      </c>
      <c r="AJ8147">
        <v>77.172488776233607</v>
      </c>
      <c r="AK8147">
        <v>0.62590209360083604</v>
      </c>
      <c r="AL8147">
        <v>95.725440640884798</v>
      </c>
      <c r="AM8147">
        <v>85.718029559931097</v>
      </c>
      <c r="AN8147">
        <v>1.0000000256088499</v>
      </c>
    </row>
    <row r="8148" spans="1:40" x14ac:dyDescent="0.25">
      <c r="A8148" t="str">
        <f>"20190305135121151"</f>
        <v>20190305135121151</v>
      </c>
      <c r="B8148" t="str">
        <f>"1551765081148184"</f>
        <v>1551765081148184</v>
      </c>
      <c r="C8148" t="s">
        <v>40</v>
      </c>
      <c r="D8148">
        <v>4.2215669999999896</v>
      </c>
      <c r="E8148">
        <v>0.53267929999999997</v>
      </c>
      <c r="F8148" t="s">
        <v>41</v>
      </c>
      <c r="G8148">
        <v>-186.85</v>
      </c>
      <c r="H8148">
        <v>0.87323130000000004</v>
      </c>
      <c r="I8148">
        <v>117.1961</v>
      </c>
      <c r="J8148">
        <v>-187.08320000000001</v>
      </c>
      <c r="K8148">
        <v>1.1045130000000001</v>
      </c>
      <c r="L8148">
        <v>116.5907</v>
      </c>
      <c r="M8148">
        <v>0.1353461</v>
      </c>
      <c r="N8148">
        <v>-3.5413229999999997E-2</v>
      </c>
      <c r="O8148">
        <v>0.99016530000000003</v>
      </c>
      <c r="P8148">
        <v>0.2130174</v>
      </c>
      <c r="Q8148">
        <v>-0.13084979999999999</v>
      </c>
      <c r="R8148">
        <v>0.96824679999999996</v>
      </c>
      <c r="S8148">
        <v>0.86355590000000004</v>
      </c>
      <c r="T8148">
        <v>-0.71248999999999996</v>
      </c>
      <c r="U8148">
        <v>2.8143310000000001</v>
      </c>
      <c r="V8148">
        <v>7.8230739999999993E-2</v>
      </c>
      <c r="W8148">
        <v>-9.7161410000000004E-2</v>
      </c>
      <c r="X8148">
        <v>0.99218930000000005</v>
      </c>
      <c r="Y8148">
        <v>0.154336</v>
      </c>
      <c r="Z8148">
        <v>-0.20174739999999999</v>
      </c>
      <c r="AA8148">
        <v>0.96720130000000004</v>
      </c>
      <c r="AB8148">
        <v>34</v>
      </c>
      <c r="AC8148">
        <v>0.23320000000001001</v>
      </c>
      <c r="AD8148">
        <v>-0.23128169999999901</v>
      </c>
      <c r="AE8148">
        <v>0.60540000000000205</v>
      </c>
      <c r="AF8148">
        <v>0.13225339173609399</v>
      </c>
      <c r="AG8148">
        <v>-0.23128169999999901</v>
      </c>
      <c r="AH8148">
        <v>0.560207837457524</v>
      </c>
      <c r="AI8148">
        <v>111.890491275088</v>
      </c>
      <c r="AJ8148">
        <v>76.716867906965405</v>
      </c>
      <c r="AK8148">
        <v>0.62033459159507298</v>
      </c>
      <c r="AL8148">
        <v>95.575735122867997</v>
      </c>
      <c r="AM8148">
        <v>85.491750168513903</v>
      </c>
      <c r="AN8148">
        <v>0.99999999765431202</v>
      </c>
    </row>
    <row r="8149" spans="1:40" x14ac:dyDescent="0.25">
      <c r="A8149" t="str">
        <f>"20190305135121175"</f>
        <v>20190305135121175</v>
      </c>
      <c r="B8149" t="str">
        <f>"1551765081167707"</f>
        <v>1551765081167707</v>
      </c>
      <c r="C8149" t="s">
        <v>40</v>
      </c>
      <c r="D8149">
        <v>4.4365410000000001</v>
      </c>
      <c r="E8149">
        <v>0.53259330000000005</v>
      </c>
      <c r="F8149" t="s">
        <v>41</v>
      </c>
      <c r="G8149">
        <v>-186.79400000000001</v>
      </c>
      <c r="H8149">
        <v>0.87833729999999999</v>
      </c>
      <c r="I8149">
        <v>117.49550000000001</v>
      </c>
      <c r="J8149">
        <v>-187.02549999999999</v>
      </c>
      <c r="K8149">
        <v>1.1043069999999999</v>
      </c>
      <c r="L8149">
        <v>116.9444</v>
      </c>
      <c r="M8149">
        <v>0.14434939999999999</v>
      </c>
      <c r="N8149">
        <v>-3.5742900000000001E-2</v>
      </c>
      <c r="O8149">
        <v>0.98888109999999996</v>
      </c>
      <c r="P8149">
        <v>0.2264719</v>
      </c>
      <c r="Q8149">
        <v>-0.12879160000000001</v>
      </c>
      <c r="R8149">
        <v>0.96546529999999997</v>
      </c>
      <c r="S8149">
        <v>0.897003199999999</v>
      </c>
      <c r="T8149">
        <v>-0.70145389999999996</v>
      </c>
      <c r="U8149">
        <v>2.8062589999999998</v>
      </c>
      <c r="V8149">
        <v>8.2936899999999994E-2</v>
      </c>
      <c r="W8149">
        <v>-9.4912159999999995E-2</v>
      </c>
      <c r="X8149">
        <v>0.99202480000000004</v>
      </c>
      <c r="Y8149">
        <v>0.15686269999999999</v>
      </c>
      <c r="Z8149">
        <v>-0.19777110000000001</v>
      </c>
      <c r="AA8149">
        <v>0.96761600000000003</v>
      </c>
      <c r="AB8149">
        <v>34</v>
      </c>
      <c r="AC8149">
        <v>0.231499999999982</v>
      </c>
      <c r="AD8149">
        <v>-0.225969699999999</v>
      </c>
      <c r="AE8149">
        <v>0.55110000000000503</v>
      </c>
      <c r="AF8149">
        <v>0.13078063395825501</v>
      </c>
      <c r="AG8149">
        <v>-0.225969699999999</v>
      </c>
      <c r="AH8149">
        <v>0.50639065341056599</v>
      </c>
      <c r="AI8149">
        <v>113.36722428077</v>
      </c>
      <c r="AJ8149">
        <v>75.519185841344196</v>
      </c>
      <c r="AK8149">
        <v>0.569734476223963</v>
      </c>
      <c r="AL8149">
        <v>95.446263966596604</v>
      </c>
      <c r="AM8149">
        <v>85.220977129065503</v>
      </c>
      <c r="AN8149">
        <v>1.00000002565625</v>
      </c>
    </row>
    <row r="8150" spans="1:40" x14ac:dyDescent="0.25">
      <c r="A8150" t="str">
        <f>"20190305135121185"</f>
        <v>20190305135121185</v>
      </c>
      <c r="B8150" t="str">
        <f>"1551765081177464"</f>
        <v>1551765081177464</v>
      </c>
      <c r="C8150" t="s">
        <v>40</v>
      </c>
      <c r="D8150">
        <v>4.0443610000000003</v>
      </c>
      <c r="E8150">
        <v>0.53256169999999903</v>
      </c>
      <c r="F8150" t="s">
        <v>41</v>
      </c>
      <c r="G8150">
        <v>-186.7407</v>
      </c>
      <c r="H8150">
        <v>0.89139840000000004</v>
      </c>
      <c r="I8150">
        <v>117.7949</v>
      </c>
      <c r="J8150">
        <v>-186.99780000000001</v>
      </c>
      <c r="K8150">
        <v>1.1042130000000001</v>
      </c>
      <c r="L8150">
        <v>117.1071</v>
      </c>
      <c r="M8150">
        <v>0.14863989999999999</v>
      </c>
      <c r="N8150">
        <v>-3.5884289999999999E-2</v>
      </c>
      <c r="O8150">
        <v>0.98824009999999995</v>
      </c>
      <c r="P8150">
        <v>0.23269380000000001</v>
      </c>
      <c r="Q8150">
        <v>-0.12811989999999901</v>
      </c>
      <c r="R8150">
        <v>0.96407410000000004</v>
      </c>
      <c r="S8150">
        <v>0.93528750000000005</v>
      </c>
      <c r="T8150">
        <v>-0.69940409999999997</v>
      </c>
      <c r="U8150">
        <v>2.794632</v>
      </c>
      <c r="V8150">
        <v>8.4996909999999995E-2</v>
      </c>
      <c r="W8150">
        <v>-9.4163239999999995E-2</v>
      </c>
      <c r="X8150">
        <v>0.99192179999999996</v>
      </c>
      <c r="Y8150">
        <v>0.16570979999999999</v>
      </c>
      <c r="Z8150">
        <v>-0.1970758</v>
      </c>
      <c r="AA8150">
        <v>0.96628219999999998</v>
      </c>
      <c r="AB8150">
        <v>33</v>
      </c>
      <c r="AC8150">
        <v>0.25710000000000799</v>
      </c>
      <c r="AD8150">
        <v>-0.21281459999999899</v>
      </c>
      <c r="AE8150">
        <v>0.68779999999999497</v>
      </c>
      <c r="AF8150">
        <v>0.140165964682856</v>
      </c>
      <c r="AG8150">
        <v>-0.21281459999999899</v>
      </c>
      <c r="AH8150">
        <v>0.66272116062889597</v>
      </c>
      <c r="AI8150">
        <v>107.441279172343</v>
      </c>
      <c r="AJ8150">
        <v>78.057895777750602</v>
      </c>
      <c r="AK8150">
        <v>0.71002527305297103</v>
      </c>
      <c r="AL8150">
        <v>95.403160974834407</v>
      </c>
      <c r="AM8150">
        <v>85.102338701566694</v>
      </c>
      <c r="AN8150">
        <v>1.00000002389604</v>
      </c>
    </row>
    <row r="8151" spans="1:40" x14ac:dyDescent="0.25">
      <c r="A8151" t="str">
        <f>"20190305135121197"</f>
        <v>20190305135121197</v>
      </c>
      <c r="B8151" t="str">
        <f>"1551765081188200"</f>
        <v>1551765081188200</v>
      </c>
      <c r="C8151" t="s">
        <v>40</v>
      </c>
      <c r="D8151">
        <v>4.2066229999999996</v>
      </c>
      <c r="E8151">
        <v>0.5325434</v>
      </c>
      <c r="F8151" t="s">
        <v>41</v>
      </c>
      <c r="G8151">
        <v>-186.756</v>
      </c>
      <c r="H8151">
        <v>0.92779560000000005</v>
      </c>
      <c r="I8151">
        <v>117.8143</v>
      </c>
      <c r="J8151">
        <v>-186.9684</v>
      </c>
      <c r="K8151">
        <v>1.104117</v>
      </c>
      <c r="L8151">
        <v>117.2735</v>
      </c>
      <c r="M8151">
        <v>0.15316930000000001</v>
      </c>
      <c r="N8151">
        <v>-3.6020799999999999E-2</v>
      </c>
      <c r="O8151">
        <v>0.98754319999999896</v>
      </c>
      <c r="P8151">
        <v>0.23926700000000001</v>
      </c>
      <c r="Q8151">
        <v>-0.12796579999999999</v>
      </c>
      <c r="R8151">
        <v>0.96248429999999996</v>
      </c>
      <c r="S8151">
        <v>0.95326230000000001</v>
      </c>
      <c r="T8151">
        <v>-0.69547680000000001</v>
      </c>
      <c r="U8151">
        <v>2.789291</v>
      </c>
      <c r="V8151">
        <v>8.7185349999999995E-2</v>
      </c>
      <c r="W8151">
        <v>-9.3943390000000002E-2</v>
      </c>
      <c r="X8151">
        <v>0.99175270000000004</v>
      </c>
      <c r="Y8151">
        <v>0.16741789999999901</v>
      </c>
      <c r="Z8151">
        <v>-0.1956582</v>
      </c>
      <c r="AA8151">
        <v>0.96627589999999997</v>
      </c>
      <c r="AB8151">
        <v>33</v>
      </c>
      <c r="AC8151">
        <v>0.21240000000003001</v>
      </c>
      <c r="AD8151">
        <v>-0.17632139999999899</v>
      </c>
      <c r="AE8151">
        <v>0.54080000000000406</v>
      </c>
      <c r="AF8151">
        <v>0.116292685134038</v>
      </c>
      <c r="AG8151">
        <v>-0.17632139999999899</v>
      </c>
      <c r="AH8151">
        <v>0.51915314857417905</v>
      </c>
      <c r="AI8151">
        <v>108.336203358704</v>
      </c>
      <c r="AJ8151">
        <v>77.373913020433804</v>
      </c>
      <c r="AK8151">
        <v>0.56047588385953595</v>
      </c>
      <c r="AL8151">
        <v>95.390508368118603</v>
      </c>
      <c r="AM8151">
        <v>84.976022232570301</v>
      </c>
      <c r="AN8151">
        <v>1.0000000318683</v>
      </c>
    </row>
    <row r="8152" spans="1:40" x14ac:dyDescent="0.25">
      <c r="A8152" t="str">
        <f>"20190305135121209"</f>
        <v>20190305135121209</v>
      </c>
      <c r="B8152" t="str">
        <f>"1551765081197961"</f>
        <v>1551765081197961</v>
      </c>
      <c r="C8152" t="s">
        <v>40</v>
      </c>
      <c r="D8152">
        <v>4.2167659999999998</v>
      </c>
      <c r="E8152">
        <v>0.53240750000000003</v>
      </c>
      <c r="F8152" t="s">
        <v>41</v>
      </c>
      <c r="G8152">
        <v>-186.68369999999999</v>
      </c>
      <c r="H8152">
        <v>0.90105489999999999</v>
      </c>
      <c r="I8152">
        <v>118.08839999999999</v>
      </c>
      <c r="J8152">
        <v>-186.93680000000001</v>
      </c>
      <c r="K8152">
        <v>1.1040129999999999</v>
      </c>
      <c r="L8152">
        <v>117.4492</v>
      </c>
      <c r="M8152">
        <v>0.15802079999999999</v>
      </c>
      <c r="N8152">
        <v>-3.6159900000000002E-2</v>
      </c>
      <c r="O8152">
        <v>0.98677349999999997</v>
      </c>
      <c r="P8152">
        <v>0.24591289999999999</v>
      </c>
      <c r="Q8152">
        <v>-0.12825230000000001</v>
      </c>
      <c r="R8152">
        <v>0.9607696</v>
      </c>
      <c r="S8152">
        <v>0.97224429999999995</v>
      </c>
      <c r="T8152">
        <v>-0.69336180000000003</v>
      </c>
      <c r="U8152">
        <v>2.7830659999999998</v>
      </c>
      <c r="V8152">
        <v>8.9133560000000001E-2</v>
      </c>
      <c r="W8152">
        <v>-9.4160510000000003E-2</v>
      </c>
      <c r="X8152">
        <v>0.99155879999999996</v>
      </c>
      <c r="Y8152">
        <v>0.16916589999999901</v>
      </c>
      <c r="Z8152">
        <v>-0.19483610000000001</v>
      </c>
      <c r="AA8152">
        <v>0.96613760000000004</v>
      </c>
      <c r="AB8152">
        <v>33</v>
      </c>
      <c r="AC8152">
        <v>0.25310000000001698</v>
      </c>
      <c r="AD8152">
        <v>-0.202958099999999</v>
      </c>
      <c r="AE8152">
        <v>0.639199999999988</v>
      </c>
      <c r="AF8152">
        <v>0.13691055505500399</v>
      </c>
      <c r="AG8152">
        <v>-0.202958099999999</v>
      </c>
      <c r="AH8152">
        <v>0.61737325479750405</v>
      </c>
      <c r="AI8152">
        <v>107.793896195682</v>
      </c>
      <c r="AJ8152">
        <v>77.496267154720698</v>
      </c>
      <c r="AK8152">
        <v>0.66414322715837704</v>
      </c>
      <c r="AL8152">
        <v>95.403004403281997</v>
      </c>
      <c r="AM8152">
        <v>84.8633532997126</v>
      </c>
      <c r="AN8152">
        <v>0.999999923509584</v>
      </c>
    </row>
    <row r="8153" spans="1:40" x14ac:dyDescent="0.25">
      <c r="A8153" t="str">
        <f>"20190305135121220"</f>
        <v>20190305135121220</v>
      </c>
      <c r="B8153" t="str">
        <f>"1551765081217480"</f>
        <v>1551765081217480</v>
      </c>
      <c r="C8153" t="s">
        <v>40</v>
      </c>
      <c r="D8153">
        <v>4.228961</v>
      </c>
      <c r="E8153">
        <v>0.53218169999999898</v>
      </c>
      <c r="F8153" t="s">
        <v>41</v>
      </c>
      <c r="G8153">
        <v>-186.7012</v>
      </c>
      <c r="H8153">
        <v>0.93927559999999999</v>
      </c>
      <c r="I8153">
        <v>118.1095</v>
      </c>
      <c r="J8153">
        <v>-186.90700000000001</v>
      </c>
      <c r="K8153">
        <v>1.1039159999999999</v>
      </c>
      <c r="L8153">
        <v>117.60680000000001</v>
      </c>
      <c r="M8153">
        <v>0.1625848</v>
      </c>
      <c r="N8153">
        <v>-3.6273989999999999E-2</v>
      </c>
      <c r="O8153">
        <v>0.9860276</v>
      </c>
      <c r="P8153">
        <v>0.25232660000000001</v>
      </c>
      <c r="Q8153">
        <v>-0.12834709999999999</v>
      </c>
      <c r="R8153">
        <v>0.95909239999999996</v>
      </c>
      <c r="S8153">
        <v>0.99064640000000004</v>
      </c>
      <c r="T8153">
        <v>-0.69245519999999905</v>
      </c>
      <c r="U8153">
        <v>2.7764890000000002</v>
      </c>
      <c r="V8153">
        <v>9.1139510000000007E-2</v>
      </c>
      <c r="W8153">
        <v>-9.4210879999999997E-2</v>
      </c>
      <c r="X8153">
        <v>0.99137180000000003</v>
      </c>
      <c r="Y8153">
        <v>0.17102579999999901</v>
      </c>
      <c r="Z8153">
        <v>-0.19445170000000001</v>
      </c>
      <c r="AA8153">
        <v>0.96588750000000001</v>
      </c>
      <c r="AB8153">
        <v>33</v>
      </c>
      <c r="AC8153">
        <v>0.20580000000001</v>
      </c>
      <c r="AD8153">
        <v>-0.16464039999999899</v>
      </c>
      <c r="AE8153">
        <v>0.50269999999999004</v>
      </c>
      <c r="AF8153">
        <v>0.111069272061908</v>
      </c>
      <c r="AG8153">
        <v>-0.16464039999999899</v>
      </c>
      <c r="AH8153">
        <v>0.48493480838762698</v>
      </c>
      <c r="AI8153">
        <v>108.311491273413</v>
      </c>
      <c r="AJ8153">
        <v>77.099508913267996</v>
      </c>
      <c r="AK8153">
        <v>0.52402730166897404</v>
      </c>
      <c r="AL8153">
        <v>95.405902467828</v>
      </c>
      <c r="AM8153">
        <v>84.747407365157102</v>
      </c>
      <c r="AN8153">
        <v>1.0000000730143199</v>
      </c>
    </row>
    <row r="8154" spans="1:40" x14ac:dyDescent="0.25">
      <c r="A8154" t="str">
        <f>"20190305135121232"</f>
        <v>20190305135121232</v>
      </c>
      <c r="B8154" t="str">
        <f>"1551765081217480"</f>
        <v>1551765081217480</v>
      </c>
      <c r="C8154" t="s">
        <v>40</v>
      </c>
      <c r="D8154">
        <v>4.228961</v>
      </c>
      <c r="E8154">
        <v>0.53218169999999898</v>
      </c>
      <c r="F8154" t="s">
        <v>41</v>
      </c>
      <c r="G8154">
        <v>-186.62620000000001</v>
      </c>
      <c r="H8154">
        <v>0.91156999999999999</v>
      </c>
      <c r="I8154">
        <v>118.3785</v>
      </c>
      <c r="J8154">
        <v>-186.87620000000001</v>
      </c>
      <c r="K8154">
        <v>1.1038159999999999</v>
      </c>
      <c r="L8154">
        <v>117.7679</v>
      </c>
      <c r="M8154">
        <v>0.16729639999999901</v>
      </c>
      <c r="N8154">
        <v>-3.6387969999999999E-2</v>
      </c>
      <c r="O8154">
        <v>0.98523490000000002</v>
      </c>
      <c r="P8154">
        <v>0.2591985</v>
      </c>
      <c r="Q8154">
        <v>-0.12816939999999999</v>
      </c>
      <c r="R8154">
        <v>0.95728190000000002</v>
      </c>
      <c r="S8154">
        <v>1.007584</v>
      </c>
      <c r="T8154">
        <v>-0.69027329999999998</v>
      </c>
      <c r="U8154">
        <v>2.7704930000000001</v>
      </c>
      <c r="V8154">
        <v>9.3476199999999995E-2</v>
      </c>
      <c r="W8154">
        <v>-9.3997479999999994E-2</v>
      </c>
      <c r="X8154">
        <v>0.99117440000000001</v>
      </c>
      <c r="Y8154">
        <v>0.1722532</v>
      </c>
      <c r="Z8154">
        <v>-0.19363420000000001</v>
      </c>
      <c r="AA8154">
        <v>0.96583370000000002</v>
      </c>
      <c r="AB8154">
        <v>33</v>
      </c>
      <c r="AC8154">
        <v>0.25</v>
      </c>
      <c r="AD8154">
        <v>-0.192245999999999</v>
      </c>
      <c r="AE8154">
        <v>0.61060000000000503</v>
      </c>
      <c r="AF8154">
        <v>0.132964736233291</v>
      </c>
      <c r="AG8154">
        <v>-0.192245999999999</v>
      </c>
      <c r="AH8154">
        <v>0.59345243820346505</v>
      </c>
      <c r="AI8154">
        <v>107.54216069853901</v>
      </c>
      <c r="AJ8154">
        <v>77.3712773486087</v>
      </c>
      <c r="AK8154">
        <v>0.63782751744278499</v>
      </c>
      <c r="AL8154">
        <v>95.393621396621796</v>
      </c>
      <c r="AM8154">
        <v>84.612454043607997</v>
      </c>
      <c r="AN8154">
        <v>1.0000000087140699</v>
      </c>
    </row>
    <row r="8155" spans="1:40" x14ac:dyDescent="0.25">
      <c r="A8155" t="str">
        <f>"20190305135121243"</f>
        <v>20190305135121243</v>
      </c>
      <c r="B8155" t="str">
        <f>"1551765081237976"</f>
        <v>1551765081237976</v>
      </c>
      <c r="C8155" t="s">
        <v>40</v>
      </c>
      <c r="D8155">
        <v>4.4819969999999998</v>
      </c>
      <c r="E8155">
        <v>0.53192209999999995</v>
      </c>
      <c r="F8155" t="s">
        <v>41</v>
      </c>
      <c r="G8155">
        <v>-186.55029999999999</v>
      </c>
      <c r="H8155">
        <v>0.88510359999999999</v>
      </c>
      <c r="I8155">
        <v>118.6443</v>
      </c>
      <c r="J8155">
        <v>-186.84299999999999</v>
      </c>
      <c r="K8155">
        <v>1.103707</v>
      </c>
      <c r="L8155">
        <v>117.9337</v>
      </c>
      <c r="M8155">
        <v>0.1723402</v>
      </c>
      <c r="N8155">
        <v>-3.6497729999999999E-2</v>
      </c>
      <c r="O8155">
        <v>0.98436109999999999</v>
      </c>
      <c r="P8155">
        <v>0.26860270000000003</v>
      </c>
      <c r="Q8155">
        <v>-0.1269951</v>
      </c>
      <c r="R8155">
        <v>0.95484290000000005</v>
      </c>
      <c r="S8155">
        <v>1.027466</v>
      </c>
      <c r="T8155">
        <v>-0.68966559999999999</v>
      </c>
      <c r="U8155">
        <v>2.7633359999999998</v>
      </c>
      <c r="V8155">
        <v>9.809938E-2</v>
      </c>
      <c r="W8155">
        <v>-9.2844430000000006E-2</v>
      </c>
      <c r="X8155">
        <v>0.99083619999999994</v>
      </c>
      <c r="Y8155">
        <v>0.17414180000000001</v>
      </c>
      <c r="Z8155">
        <v>-0.19332479999999999</v>
      </c>
      <c r="AA8155">
        <v>0.96555690000000005</v>
      </c>
      <c r="AB8155">
        <v>32</v>
      </c>
      <c r="AC8155">
        <v>0.29269999999999602</v>
      </c>
      <c r="AD8155">
        <v>-0.2186034</v>
      </c>
      <c r="AE8155">
        <v>0.71059999999999901</v>
      </c>
      <c r="AF8155">
        <v>0.15335968046760701</v>
      </c>
      <c r="AG8155">
        <v>-0.2186034</v>
      </c>
      <c r="AH8155">
        <v>0.69425858386008998</v>
      </c>
      <c r="AI8155">
        <v>107.090629170798</v>
      </c>
      <c r="AJ8155">
        <v>77.543565734227698</v>
      </c>
      <c r="AK8155">
        <v>0.74384246944370103</v>
      </c>
      <c r="AL8155">
        <v>95.327266479497794</v>
      </c>
      <c r="AM8155">
        <v>84.345763228352496</v>
      </c>
      <c r="AN8155">
        <v>0.99999997588442402</v>
      </c>
    </row>
    <row r="8156" spans="1:40" x14ac:dyDescent="0.25">
      <c r="A8156" t="str">
        <f>"20190305135121254"</f>
        <v>20190305135121254</v>
      </c>
      <c r="B8156" t="str">
        <f>"1551765081247735"</f>
        <v>1551765081247735</v>
      </c>
      <c r="C8156" t="s">
        <v>40</v>
      </c>
      <c r="D8156">
        <v>4.5592639999999998</v>
      </c>
      <c r="E8156">
        <v>0.57014299999999996</v>
      </c>
      <c r="F8156" t="s">
        <v>41</v>
      </c>
      <c r="G8156">
        <v>-186.5641</v>
      </c>
      <c r="H8156">
        <v>0.92073349999999998</v>
      </c>
      <c r="I8156">
        <v>118.6634</v>
      </c>
      <c r="J8156">
        <v>-186.8108</v>
      </c>
      <c r="K8156">
        <v>1.1036010000000001</v>
      </c>
      <c r="L8156">
        <v>118.0915</v>
      </c>
      <c r="M8156">
        <v>0.17724019999999999</v>
      </c>
      <c r="N8156">
        <v>-3.6599640000000003E-2</v>
      </c>
      <c r="O8156">
        <v>0.98348679999999999</v>
      </c>
      <c r="P8156">
        <v>0.27603949999999999</v>
      </c>
      <c r="Q8156">
        <v>-0.1263753</v>
      </c>
      <c r="R8156">
        <v>0.95280189999999998</v>
      </c>
      <c r="S8156">
        <v>1.0527799999999901</v>
      </c>
      <c r="T8156">
        <v>-0.69058949999999997</v>
      </c>
      <c r="U8156">
        <v>2.7538909999999999</v>
      </c>
      <c r="V8156">
        <v>0.1008522</v>
      </c>
      <c r="W8156">
        <v>-9.2213589999999998E-2</v>
      </c>
      <c r="X8156">
        <v>0.99061880000000002</v>
      </c>
      <c r="Y8156">
        <v>0.1780477</v>
      </c>
      <c r="Z8156">
        <v>-0.1935596</v>
      </c>
      <c r="AA8156">
        <v>0.96479729999999997</v>
      </c>
      <c r="AB8156">
        <v>32</v>
      </c>
      <c r="AC8156">
        <v>0.246700000000004</v>
      </c>
      <c r="AD8156">
        <v>-0.18286749999999999</v>
      </c>
      <c r="AE8156">
        <v>0.57189999999999896</v>
      </c>
      <c r="AF8156">
        <v>0.13013895357267899</v>
      </c>
      <c r="AG8156">
        <v>-0.18286749999999999</v>
      </c>
      <c r="AH8156">
        <v>0.55844814922924202</v>
      </c>
      <c r="AI8156">
        <v>107.688085161446</v>
      </c>
      <c r="AJ8156">
        <v>76.882093169434796</v>
      </c>
      <c r="AK8156">
        <v>0.60186460700958999</v>
      </c>
      <c r="AL8156">
        <v>95.290965835629905</v>
      </c>
      <c r="AM8156">
        <v>84.186901357889099</v>
      </c>
      <c r="AN8156">
        <v>1.00000005966948</v>
      </c>
    </row>
    <row r="8157" spans="1:40" x14ac:dyDescent="0.25">
      <c r="A8157" t="str">
        <f>"20190305135121275"</f>
        <v>20190305135121275</v>
      </c>
      <c r="B8157" t="str">
        <f>"1551765081268235"</f>
        <v>1551765081268235</v>
      </c>
      <c r="C8157" t="s">
        <v>40</v>
      </c>
      <c r="D8157">
        <v>4.3678150000000002</v>
      </c>
      <c r="E8157">
        <v>0.63067899999999999</v>
      </c>
      <c r="F8157" t="s">
        <v>94</v>
      </c>
      <c r="G8157">
        <v>-183.90430000000001</v>
      </c>
      <c r="H8157" s="1">
        <v>-3.1372880000000001E-6</v>
      </c>
      <c r="I8157">
        <v>123.8017</v>
      </c>
      <c r="J8157">
        <v>-186.7501</v>
      </c>
      <c r="K8157">
        <v>1.103405</v>
      </c>
      <c r="L8157">
        <v>118.37609999999999</v>
      </c>
      <c r="M8157">
        <v>0.18641350000000001</v>
      </c>
      <c r="N8157">
        <v>-3.6775349999999998E-2</v>
      </c>
      <c r="O8157">
        <v>0.98178290000000001</v>
      </c>
      <c r="P8157">
        <v>0.29061239999999999</v>
      </c>
      <c r="Q8157">
        <v>-0.12617120000000001</v>
      </c>
      <c r="R8157">
        <v>0.94848580000000005</v>
      </c>
      <c r="S8157">
        <v>1.366196</v>
      </c>
      <c r="T8157">
        <v>-0.51873559999999996</v>
      </c>
      <c r="U8157">
        <v>2.6839900000000001</v>
      </c>
      <c r="V8157">
        <v>0.10671890000000001</v>
      </c>
      <c r="W8157">
        <v>-9.2028310000000002E-2</v>
      </c>
      <c r="X8157">
        <v>0.99002120000000005</v>
      </c>
      <c r="Y8157">
        <v>0.2741384</v>
      </c>
      <c r="Z8157">
        <v>-0.136494</v>
      </c>
      <c r="AA8157">
        <v>0.95195459999999998</v>
      </c>
      <c r="AB8157">
        <v>32</v>
      </c>
      <c r="AC8157">
        <v>2.8457999999999899</v>
      </c>
      <c r="AD8157">
        <v>-1.103408137288</v>
      </c>
      <c r="AE8157">
        <v>5.4256000000000002</v>
      </c>
      <c r="AF8157">
        <v>1.7277188857533301</v>
      </c>
      <c r="AG8157">
        <v>-1.103408137288</v>
      </c>
      <c r="AH8157">
        <v>5.6770794557454796</v>
      </c>
      <c r="AI8157">
        <v>100.533384064437</v>
      </c>
      <c r="AJ8157">
        <v>73.073298908811395</v>
      </c>
      <c r="AK8157">
        <v>6.03587219981251</v>
      </c>
      <c r="AL8157">
        <v>95.280304766353893</v>
      </c>
      <c r="AM8157">
        <v>83.847582924622102</v>
      </c>
      <c r="AN8157">
        <v>1.00000005495405</v>
      </c>
    </row>
    <row r="8158" spans="1:40" x14ac:dyDescent="0.25">
      <c r="A8158" t="str">
        <f>"20190305135121296"</f>
        <v>20190305135121296</v>
      </c>
      <c r="B8158" t="str">
        <f>"1551765081287752"</f>
        <v>1551765081287752</v>
      </c>
      <c r="C8158" t="s">
        <v>40</v>
      </c>
      <c r="D8158">
        <v>4.4675219999999998</v>
      </c>
      <c r="E8158">
        <v>0.63896169999999997</v>
      </c>
      <c r="F8158" t="s">
        <v>94</v>
      </c>
      <c r="G8158">
        <v>-173.017</v>
      </c>
      <c r="H8158" s="1">
        <v>-4.0630169999999997E-6</v>
      </c>
      <c r="I8158">
        <v>137.2646</v>
      </c>
      <c r="J8158">
        <v>-186.68440000000001</v>
      </c>
      <c r="K8158">
        <v>1.1032040000000001</v>
      </c>
      <c r="L8158">
        <v>118.6687</v>
      </c>
      <c r="M8158">
        <v>0.19628909999999999</v>
      </c>
      <c r="N8158">
        <v>-3.6944499999999998E-2</v>
      </c>
      <c r="O8158">
        <v>0.97984979999999999</v>
      </c>
      <c r="P8158">
        <v>0.30450110000000002</v>
      </c>
      <c r="Q8158">
        <v>-0.12766630000000001</v>
      </c>
      <c r="R8158">
        <v>0.94391760000000002</v>
      </c>
      <c r="S8158">
        <v>1.8688199999999999</v>
      </c>
      <c r="T8158">
        <v>-0.15015300000000001</v>
      </c>
      <c r="U8158">
        <v>2.5703580000000001</v>
      </c>
      <c r="V8158">
        <v>0.1112252</v>
      </c>
      <c r="W8158">
        <v>-9.3528929999999996E-2</v>
      </c>
      <c r="X8158">
        <v>0.98938429999999999</v>
      </c>
      <c r="Y8158">
        <v>0.41709269999999998</v>
      </c>
      <c r="Z8158">
        <v>-1.367988E-2</v>
      </c>
      <c r="AA8158">
        <v>0.90876100000000004</v>
      </c>
      <c r="AB8158">
        <v>31</v>
      </c>
      <c r="AC8158">
        <v>13.667400000000001</v>
      </c>
      <c r="AD8158">
        <v>-1.103208063017</v>
      </c>
      <c r="AE8158">
        <v>18.5959</v>
      </c>
      <c r="AF8158">
        <v>9.7262564106020193</v>
      </c>
      <c r="AG8158">
        <v>-1.103208063017</v>
      </c>
      <c r="AH8158">
        <v>20.870539950898699</v>
      </c>
      <c r="AI8158">
        <v>92.743068195227096</v>
      </c>
      <c r="AJ8158">
        <v>65.013161849592393</v>
      </c>
      <c r="AK8158">
        <v>23.0520404658057</v>
      </c>
      <c r="AL8158">
        <v>95.366656716444695</v>
      </c>
      <c r="AM8158">
        <v>83.585818776466596</v>
      </c>
      <c r="AN8158">
        <v>0.99999999947423701</v>
      </c>
    </row>
    <row r="8159" spans="1:40" x14ac:dyDescent="0.25">
      <c r="A8159" t="str">
        <f>"20190305135121318"</f>
        <v>20190305135121318</v>
      </c>
      <c r="B8159" t="str">
        <f>"1551765081308247"</f>
        <v>1551765081308247</v>
      </c>
      <c r="C8159" t="s">
        <v>40</v>
      </c>
      <c r="D8159">
        <v>4.4937959999999997</v>
      </c>
      <c r="E8159">
        <v>0.64074249999999999</v>
      </c>
      <c r="F8159" t="s">
        <v>42</v>
      </c>
      <c r="G8159">
        <v>-163.63560000000001</v>
      </c>
      <c r="H8159" s="1">
        <v>-4.8522750000000001E-6</v>
      </c>
      <c r="I8159">
        <v>148.2818</v>
      </c>
      <c r="J8159">
        <v>-186.61529999999999</v>
      </c>
      <c r="K8159">
        <v>1.103019</v>
      </c>
      <c r="L8159">
        <v>118.9602</v>
      </c>
      <c r="M8159">
        <v>0.20658270000000001</v>
      </c>
      <c r="N8159">
        <v>-3.7101490000000001E-2</v>
      </c>
      <c r="O8159">
        <v>0.97772539999999997</v>
      </c>
      <c r="P8159">
        <v>0.31750899999999999</v>
      </c>
      <c r="Q8159">
        <v>-0.1299545</v>
      </c>
      <c r="R8159">
        <v>0.93930820000000004</v>
      </c>
      <c r="S8159">
        <v>1.96933</v>
      </c>
      <c r="T8159">
        <v>-9.4260220000000006E-2</v>
      </c>
      <c r="U8159">
        <v>2.5301969999999998</v>
      </c>
      <c r="V8159">
        <v>0.1144463</v>
      </c>
      <c r="W8159">
        <v>-9.5805950000000001E-2</v>
      </c>
      <c r="X8159">
        <v>0.98879890000000004</v>
      </c>
      <c r="Y8159">
        <v>0.4373147</v>
      </c>
      <c r="Z8159">
        <v>4.3814839999999997E-3</v>
      </c>
      <c r="AA8159">
        <v>0.89929780000000004</v>
      </c>
      <c r="AB8159">
        <v>31</v>
      </c>
      <c r="AC8159">
        <v>22.979699999999902</v>
      </c>
      <c r="AD8159">
        <v>-1.103023852275</v>
      </c>
      <c r="AE8159">
        <v>29.3216</v>
      </c>
      <c r="AF8159">
        <v>16.407424465358499</v>
      </c>
      <c r="AG8159">
        <v>-1.103023852275</v>
      </c>
      <c r="AH8159">
        <v>33.409416844948503</v>
      </c>
      <c r="AI8159">
        <v>91.697438318861202</v>
      </c>
      <c r="AJ8159">
        <v>63.844262582185202</v>
      </c>
      <c r="AK8159">
        <v>37.237204152898798</v>
      </c>
      <c r="AL8159">
        <v>95.497708939609893</v>
      </c>
      <c r="AM8159">
        <v>83.397806392106901</v>
      </c>
      <c r="AN8159">
        <v>1.0000000001401499</v>
      </c>
    </row>
    <row r="8160" spans="1:40" x14ac:dyDescent="0.25">
      <c r="A8160" t="str">
        <f>"20190305135121341"</f>
        <v>20190305135121341</v>
      </c>
      <c r="B8160" t="str">
        <f>"1551765081337527"</f>
        <v>1551765081337527</v>
      </c>
      <c r="C8160" t="s">
        <v>40</v>
      </c>
      <c r="D8160">
        <v>4.4527060000000001</v>
      </c>
      <c r="E8160">
        <v>0.64047799999999999</v>
      </c>
      <c r="F8160" t="s">
        <v>42</v>
      </c>
      <c r="G8160">
        <v>-159.68389999999999</v>
      </c>
      <c r="H8160">
        <v>7.9986879999999996E-2</v>
      </c>
      <c r="I8160">
        <v>152.3527</v>
      </c>
      <c r="J8160">
        <v>-186.5394</v>
      </c>
      <c r="K8160">
        <v>1.1028480000000001</v>
      </c>
      <c r="L8160">
        <v>119.2637</v>
      </c>
      <c r="M8160">
        <v>0.2177975</v>
      </c>
      <c r="N8160">
        <v>-3.7251310000000003E-2</v>
      </c>
      <c r="O8160">
        <v>0.97528280000000001</v>
      </c>
      <c r="P8160">
        <v>0.33156829999999998</v>
      </c>
      <c r="Q8160">
        <v>-0.13132079999999999</v>
      </c>
      <c r="R8160">
        <v>0.93424689999999999</v>
      </c>
      <c r="S8160">
        <v>2.017334</v>
      </c>
      <c r="T8160">
        <v>-7.6631669999999999E-2</v>
      </c>
      <c r="U8160">
        <v>2.501312</v>
      </c>
      <c r="V8160">
        <v>0.1178848</v>
      </c>
      <c r="W8160">
        <v>-9.7170859999999998E-2</v>
      </c>
      <c r="X8160">
        <v>0.98826159999999996</v>
      </c>
      <c r="Y8160">
        <v>0.44255070000000002</v>
      </c>
      <c r="Z8160">
        <v>9.9810100000000002E-3</v>
      </c>
      <c r="AA8160">
        <v>0.89668789999999998</v>
      </c>
      <c r="AB8160">
        <v>31</v>
      </c>
      <c r="AC8160">
        <v>26.855499999999999</v>
      </c>
      <c r="AD8160">
        <v>-1.02286112</v>
      </c>
      <c r="AE8160">
        <v>33.088999999999999</v>
      </c>
      <c r="AF8160">
        <v>18.9872538656115</v>
      </c>
      <c r="AG8160">
        <v>-1.02286112</v>
      </c>
      <c r="AH8160">
        <v>38.124707329638703</v>
      </c>
      <c r="AI8160">
        <v>91.375739152067595</v>
      </c>
      <c r="AJ8160">
        <v>63.525311033948498</v>
      </c>
      <c r="AK8160">
        <v>42.6034665631636</v>
      </c>
      <c r="AL8160">
        <v>95.576279151055402</v>
      </c>
      <c r="AM8160">
        <v>83.197614076075396</v>
      </c>
      <c r="AN8160">
        <v>0.99999999606936896</v>
      </c>
    </row>
    <row r="8161" spans="1:40" x14ac:dyDescent="0.25">
      <c r="A8161" t="str">
        <f>"20190305135121364"</f>
        <v>20190305135121364</v>
      </c>
      <c r="B8161" t="str">
        <f>"1551765081358024"</f>
        <v>1551765081358024</v>
      </c>
      <c r="C8161" t="s">
        <v>40</v>
      </c>
      <c r="D8161">
        <v>4.4611109999999998</v>
      </c>
      <c r="E8161">
        <v>0.6389785</v>
      </c>
      <c r="F8161" t="s">
        <v>60</v>
      </c>
      <c r="G8161">
        <v>-152.06360000000001</v>
      </c>
      <c r="H8161">
        <v>3.757477E-2</v>
      </c>
      <c r="I8161">
        <v>160.8235</v>
      </c>
      <c r="J8161">
        <v>-186.46209999999999</v>
      </c>
      <c r="K8161">
        <v>1.1027009999999999</v>
      </c>
      <c r="L8161">
        <v>119.5562</v>
      </c>
      <c r="M8161">
        <v>0.2291028</v>
      </c>
      <c r="N8161">
        <v>-3.7384059999999997E-2</v>
      </c>
      <c r="O8161">
        <v>0.97268410000000005</v>
      </c>
      <c r="P8161">
        <v>0.34589979999999998</v>
      </c>
      <c r="Q8161">
        <v>-0.13144979999999901</v>
      </c>
      <c r="R8161">
        <v>0.92901789999999995</v>
      </c>
      <c r="S8161">
        <v>2.052216</v>
      </c>
      <c r="T8161">
        <v>-6.3409809999999997E-2</v>
      </c>
      <c r="U8161">
        <v>2.4739070000000001</v>
      </c>
      <c r="V8161">
        <v>0.1215644</v>
      </c>
      <c r="W8161">
        <v>-9.7313549999999999E-2</v>
      </c>
      <c r="X8161">
        <v>0.9878017</v>
      </c>
      <c r="Y8161">
        <v>0.4445074</v>
      </c>
      <c r="Z8161">
        <v>1.412005E-2</v>
      </c>
      <c r="AA8161">
        <v>0.89566389999999996</v>
      </c>
      <c r="AB8161">
        <v>30</v>
      </c>
      <c r="AC8161">
        <v>34.398499999999899</v>
      </c>
      <c r="AD8161">
        <v>-1.06512623</v>
      </c>
      <c r="AE8161">
        <v>41.267299999999899</v>
      </c>
      <c r="AF8161">
        <v>24.011773028406498</v>
      </c>
      <c r="AG8161">
        <v>-1.06512623</v>
      </c>
      <c r="AH8161">
        <v>48.035548887283802</v>
      </c>
      <c r="AI8161">
        <v>91.136241670874298</v>
      </c>
      <c r="AJ8161">
        <v>63.440675797312998</v>
      </c>
      <c r="AK8161">
        <v>53.713254367578401</v>
      </c>
      <c r="AL8161">
        <v>95.584493513379201</v>
      </c>
      <c r="AM8161">
        <v>82.984137847921602</v>
      </c>
      <c r="AN8161">
        <v>1.0000000144419201</v>
      </c>
    </row>
    <row r="8162" spans="1:40" x14ac:dyDescent="0.25">
      <c r="A8162" t="str">
        <f>"20190305135121385"</f>
        <v>20190305135121385</v>
      </c>
      <c r="B8162" t="str">
        <f>"1551765081377544"</f>
        <v>1551765081377544</v>
      </c>
      <c r="C8162" t="s">
        <v>40</v>
      </c>
      <c r="D8162">
        <v>4.4647600000000001</v>
      </c>
      <c r="E8162">
        <v>0.63800069999999998</v>
      </c>
      <c r="F8162" t="s">
        <v>42</v>
      </c>
      <c r="G8162">
        <v>-159.98519999999999</v>
      </c>
      <c r="H8162">
        <v>7.9984990000000006E-2</v>
      </c>
      <c r="I8162">
        <v>150.68350000000001</v>
      </c>
      <c r="J8162">
        <v>-186.38630000000001</v>
      </c>
      <c r="K8162">
        <v>1.1025799999999999</v>
      </c>
      <c r="L8162">
        <v>119.8289</v>
      </c>
      <c r="M8162">
        <v>0.24010770000000001</v>
      </c>
      <c r="N8162">
        <v>-3.7499190000000002E-2</v>
      </c>
      <c r="O8162">
        <v>0.97002169999999999</v>
      </c>
      <c r="P8162">
        <v>0.35966479999999901</v>
      </c>
      <c r="Q8162">
        <v>-0.1311628</v>
      </c>
      <c r="R8162">
        <v>0.92381690000000005</v>
      </c>
      <c r="S8162">
        <v>2.0787659999999999</v>
      </c>
      <c r="T8162">
        <v>-8.0295679999999994E-2</v>
      </c>
      <c r="U8162">
        <v>2.4438780000000002</v>
      </c>
      <c r="V8162">
        <v>0.12499979999999999</v>
      </c>
      <c r="W8162">
        <v>-9.7045909999999999E-2</v>
      </c>
      <c r="X8162">
        <v>0.98739920000000003</v>
      </c>
      <c r="Y8162">
        <v>0.4454169</v>
      </c>
      <c r="Z8162">
        <v>8.582994E-3</v>
      </c>
      <c r="AA8162">
        <v>0.89528209999999997</v>
      </c>
      <c r="AB8162">
        <v>30</v>
      </c>
      <c r="AC8162">
        <v>26.4011</v>
      </c>
      <c r="AD8162">
        <v>-1.0225950100000001</v>
      </c>
      <c r="AE8162">
        <v>30.854600000000001</v>
      </c>
      <c r="AF8162">
        <v>18.2024808023303</v>
      </c>
      <c r="AG8162">
        <v>-1.0225950100000001</v>
      </c>
      <c r="AH8162">
        <v>36.271265508117899</v>
      </c>
      <c r="AI8162">
        <v>91.443431502813993</v>
      </c>
      <c r="AJ8162">
        <v>63.350534083497898</v>
      </c>
      <c r="AK8162">
        <v>40.595328665673598</v>
      </c>
      <c r="AL8162">
        <v>95.569085917050003</v>
      </c>
      <c r="AM8162">
        <v>82.785020665908107</v>
      </c>
      <c r="AN8162">
        <v>1.0000000194042</v>
      </c>
    </row>
    <row r="8163" spans="1:40" x14ac:dyDescent="0.25">
      <c r="A8163" t="str">
        <f>"20190305135121407"</f>
        <v>20190305135121407</v>
      </c>
      <c r="B8163" t="str">
        <f>"1551765081398040"</f>
        <v>1551765081398040</v>
      </c>
      <c r="C8163" t="s">
        <v>40</v>
      </c>
      <c r="D8163">
        <v>4.4554130000000001</v>
      </c>
      <c r="E8163">
        <v>0.63649259999999996</v>
      </c>
      <c r="F8163" t="s">
        <v>42</v>
      </c>
      <c r="G8163">
        <v>-160.82990000000001</v>
      </c>
      <c r="H8163" s="1">
        <v>-6.0725129999999996E-6</v>
      </c>
      <c r="I8163">
        <v>149.08690000000001</v>
      </c>
      <c r="J8163">
        <v>-186.3058</v>
      </c>
      <c r="K8163">
        <v>1.102471</v>
      </c>
      <c r="L8163">
        <v>120.1044</v>
      </c>
      <c r="M8163">
        <v>0.2516813</v>
      </c>
      <c r="N8163">
        <v>-3.7608500000000003E-2</v>
      </c>
      <c r="O8163">
        <v>0.96707920000000003</v>
      </c>
      <c r="P8163">
        <v>0.37343569999999998</v>
      </c>
      <c r="Q8163">
        <v>-0.1309004</v>
      </c>
      <c r="R8163">
        <v>0.91837409999999997</v>
      </c>
      <c r="S8163">
        <v>2.1083069999999999</v>
      </c>
      <c r="T8163">
        <v>-9.0959429999999994E-2</v>
      </c>
      <c r="U8163">
        <v>2.413681</v>
      </c>
      <c r="V8163">
        <v>0.12791669999999999</v>
      </c>
      <c r="W8163">
        <v>-9.6795199999999998E-2</v>
      </c>
      <c r="X8163">
        <v>0.98705019999999999</v>
      </c>
      <c r="Y8163">
        <v>0.44645980000000002</v>
      </c>
      <c r="Z8163">
        <v>5.0216699999999998E-3</v>
      </c>
      <c r="AA8163">
        <v>0.89478959999999996</v>
      </c>
      <c r="AB8163">
        <v>29</v>
      </c>
      <c r="AC8163">
        <v>25.475899999999999</v>
      </c>
      <c r="AD8163">
        <v>-1.102477072513</v>
      </c>
      <c r="AE8163">
        <v>28.982500000000002</v>
      </c>
      <c r="AF8163">
        <v>17.340981920809998</v>
      </c>
      <c r="AG8163">
        <v>-1.102477072513</v>
      </c>
      <c r="AH8163">
        <v>34.436451543883003</v>
      </c>
      <c r="AI8163">
        <v>91.637871792795394</v>
      </c>
      <c r="AJ8163">
        <v>63.2717873965126</v>
      </c>
      <c r="AK8163">
        <v>38.571936749500601</v>
      </c>
      <c r="AL8163">
        <v>95.554653202424205</v>
      </c>
      <c r="AM8163">
        <v>82.615912233337497</v>
      </c>
      <c r="AN8163">
        <v>1.0000000451009801</v>
      </c>
    </row>
    <row r="8164" spans="1:40" x14ac:dyDescent="0.25">
      <c r="A8164" t="str">
        <f>"20190305135121431"</f>
        <v>20190305135121431</v>
      </c>
      <c r="B8164" t="str">
        <f>"1551765081428296"</f>
        <v>1551765081428296</v>
      </c>
      <c r="C8164" t="s">
        <v>40</v>
      </c>
      <c r="D8164">
        <v>4.4249929999999997</v>
      </c>
      <c r="E8164">
        <v>0.63490829999999998</v>
      </c>
      <c r="F8164" t="s">
        <v>42</v>
      </c>
      <c r="G8164">
        <v>-163.24449999999999</v>
      </c>
      <c r="H8164" s="1">
        <v>-4.5769699999999898E-6</v>
      </c>
      <c r="I8164">
        <v>145.88299999999899</v>
      </c>
      <c r="J8164">
        <v>-186.2218</v>
      </c>
      <c r="K8164">
        <v>1.1023609999999999</v>
      </c>
      <c r="L8164">
        <v>120.37779999999999</v>
      </c>
      <c r="M8164">
        <v>0.26365440000000001</v>
      </c>
      <c r="N8164">
        <v>-3.771182E-2</v>
      </c>
      <c r="O8164">
        <v>0.96387979999999995</v>
      </c>
      <c r="P8164">
        <v>0.3867485</v>
      </c>
      <c r="Q8164">
        <v>-0.1307092</v>
      </c>
      <c r="R8164">
        <v>0.91287499999999999</v>
      </c>
      <c r="S8164">
        <v>2.133286</v>
      </c>
      <c r="T8164">
        <v>-0.10198409999999999</v>
      </c>
      <c r="U8164">
        <v>2.3846440000000002</v>
      </c>
      <c r="V8164">
        <v>0.12998750000000001</v>
      </c>
      <c r="W8164">
        <v>-9.659769E-2</v>
      </c>
      <c r="X8164">
        <v>0.98679890000000003</v>
      </c>
      <c r="Y8164">
        <v>0.44594919999999999</v>
      </c>
      <c r="Z8164">
        <v>1.3224129999999999E-3</v>
      </c>
      <c r="AA8164">
        <v>0.89505729999999994</v>
      </c>
      <c r="AB8164">
        <v>29</v>
      </c>
      <c r="AC8164">
        <v>22.9773</v>
      </c>
      <c r="AD8164">
        <v>-1.10236557697</v>
      </c>
      <c r="AE8164">
        <v>25.505199999999899</v>
      </c>
      <c r="AF8164">
        <v>15.417876605119501</v>
      </c>
      <c r="AG8164">
        <v>-1.10236557697</v>
      </c>
      <c r="AH8164">
        <v>30.632237229872999</v>
      </c>
      <c r="AI8164">
        <v>91.841139983865403</v>
      </c>
      <c r="AJ8164">
        <v>63.282885418522497</v>
      </c>
      <c r="AK8164">
        <v>34.311223915552702</v>
      </c>
      <c r="AL8164">
        <v>95.543283871173301</v>
      </c>
      <c r="AM8164">
        <v>82.495835978541507</v>
      </c>
      <c r="AN8164">
        <v>0.99999996645539702</v>
      </c>
    </row>
    <row r="8165" spans="1:40" x14ac:dyDescent="0.25">
      <c r="A8165" t="str">
        <f>"20190305135121452"</f>
        <v>20190305135121452</v>
      </c>
      <c r="B8165" t="str">
        <f>"1551765081447816"</f>
        <v>1551765081447816</v>
      </c>
      <c r="C8165" t="s">
        <v>40</v>
      </c>
      <c r="D8165">
        <v>4.3761080000000003</v>
      </c>
      <c r="E8165">
        <v>0.63373109999999999</v>
      </c>
      <c r="F8165" t="s">
        <v>42</v>
      </c>
      <c r="G8165">
        <v>-164.14019999999999</v>
      </c>
      <c r="H8165" s="1">
        <v>-3.9920360000000002E-6</v>
      </c>
      <c r="I8165">
        <v>144.5247</v>
      </c>
      <c r="J8165">
        <v>-186.13579999999999</v>
      </c>
      <c r="K8165">
        <v>1.102279</v>
      </c>
      <c r="L8165">
        <v>120.6435</v>
      </c>
      <c r="M8165">
        <v>0.2758004</v>
      </c>
      <c r="N8165">
        <v>-3.7809290000000002E-2</v>
      </c>
      <c r="O8165">
        <v>0.96047099999999996</v>
      </c>
      <c r="P8165">
        <v>0.40003529999999998</v>
      </c>
      <c r="Q8165">
        <v>-0.1309168</v>
      </c>
      <c r="R8165">
        <v>0.90710119999999905</v>
      </c>
      <c r="S8165">
        <v>2.1558989999999998</v>
      </c>
      <c r="T8165">
        <v>-0.1076276</v>
      </c>
      <c r="U8165">
        <v>2.3575439999999999</v>
      </c>
      <c r="V8165">
        <v>0.131909</v>
      </c>
      <c r="W8165">
        <v>-9.679923E-2</v>
      </c>
      <c r="X8165">
        <v>0.98652419999999996</v>
      </c>
      <c r="Y8165">
        <v>0.4444225</v>
      </c>
      <c r="Z8165">
        <v>-6.527042E-4</v>
      </c>
      <c r="AA8165">
        <v>0.89581699999999997</v>
      </c>
      <c r="AB8165">
        <v>28</v>
      </c>
      <c r="AC8165">
        <v>21.9956</v>
      </c>
      <c r="AD8165">
        <v>-1.102282992036</v>
      </c>
      <c r="AE8165">
        <v>23.8812</v>
      </c>
      <c r="AF8165">
        <v>14.5333436867868</v>
      </c>
      <c r="AG8165">
        <v>-1.102282992036</v>
      </c>
      <c r="AH8165">
        <v>28.990932954030502</v>
      </c>
      <c r="AI8165">
        <v>91.946723328347403</v>
      </c>
      <c r="AJ8165">
        <v>63.3750936978442</v>
      </c>
      <c r="AK8165">
        <v>32.448533095625301</v>
      </c>
      <c r="AL8165">
        <v>95.5548852434206</v>
      </c>
      <c r="AM8165">
        <v>82.384104781289693</v>
      </c>
      <c r="AN8165">
        <v>1.00000003619761</v>
      </c>
    </row>
    <row r="8166" spans="1:40" x14ac:dyDescent="0.25">
      <c r="A8166" t="str">
        <f>"20190305135121475"</f>
        <v>20190305135121475</v>
      </c>
      <c r="B8166" t="str">
        <f>"1551765081468311"</f>
        <v>1551765081468311</v>
      </c>
      <c r="C8166" t="s">
        <v>40</v>
      </c>
      <c r="D8166">
        <v>4.3895809999999997</v>
      </c>
      <c r="E8166">
        <v>0.63266739999999999</v>
      </c>
      <c r="F8166" t="s">
        <v>42</v>
      </c>
      <c r="G8166">
        <v>-164.852</v>
      </c>
      <c r="H8166" s="1">
        <v>-3.412762E-6</v>
      </c>
      <c r="I8166">
        <v>143.37010000000001</v>
      </c>
      <c r="J8166">
        <v>-186.04650000000001</v>
      </c>
      <c r="K8166">
        <v>1.102209</v>
      </c>
      <c r="L8166">
        <v>120.9061</v>
      </c>
      <c r="M8166">
        <v>0.28823219999999999</v>
      </c>
      <c r="N8166">
        <v>-3.7904609999999998E-2</v>
      </c>
      <c r="O8166">
        <v>0.9568101</v>
      </c>
      <c r="P8166">
        <v>0.4144854</v>
      </c>
      <c r="Q8166">
        <v>-0.1310286</v>
      </c>
      <c r="R8166">
        <v>0.90057389999999904</v>
      </c>
      <c r="S8166">
        <v>2.181168</v>
      </c>
      <c r="T8166">
        <v>-0.1129622</v>
      </c>
      <c r="U8166">
        <v>2.3290250000000001</v>
      </c>
      <c r="V8166">
        <v>0.13485710000000001</v>
      </c>
      <c r="W8166">
        <v>-9.6928630000000002E-2</v>
      </c>
      <c r="X8166">
        <v>0.98611280000000001</v>
      </c>
      <c r="Y8166">
        <v>0.44342979999999999</v>
      </c>
      <c r="Z8166">
        <v>-2.531836E-3</v>
      </c>
      <c r="AA8166">
        <v>0.89630549999999998</v>
      </c>
      <c r="AB8166">
        <v>28</v>
      </c>
      <c r="AC8166">
        <v>21.194500000000001</v>
      </c>
      <c r="AD8166">
        <v>-1.1022124127619899</v>
      </c>
      <c r="AE8166">
        <v>22.463999999999999</v>
      </c>
      <c r="AF8166">
        <v>13.7966177422818</v>
      </c>
      <c r="AG8166">
        <v>-1.1022124127619899</v>
      </c>
      <c r="AH8166">
        <v>27.5874311032238</v>
      </c>
      <c r="AI8166">
        <v>92.046532452372105</v>
      </c>
      <c r="AJ8166">
        <v>63.430127024797301</v>
      </c>
      <c r="AK8166">
        <v>30.864670550722099</v>
      </c>
      <c r="AL8166">
        <v>95.5623344049623</v>
      </c>
      <c r="AM8166">
        <v>82.212750050250605</v>
      </c>
      <c r="AN8166">
        <v>1.0000000255289601</v>
      </c>
    </row>
    <row r="8167" spans="1:40" x14ac:dyDescent="0.25">
      <c r="A8167" t="str">
        <f>"20190305135121497"</f>
        <v>20190305135121497</v>
      </c>
      <c r="B8167" t="str">
        <f>"1551765081487501"</f>
        <v>1551765081487501</v>
      </c>
      <c r="C8167" t="s">
        <v>40</v>
      </c>
      <c r="D8167">
        <v>4.3408509999999998</v>
      </c>
      <c r="E8167">
        <v>0.63175760000000003</v>
      </c>
      <c r="F8167" t="s">
        <v>42</v>
      </c>
      <c r="G8167">
        <v>-165.57749999999999</v>
      </c>
      <c r="H8167" s="1">
        <v>-2.752203E-6</v>
      </c>
      <c r="I8167">
        <v>142.1764</v>
      </c>
      <c r="J8167">
        <v>-185.95650000000001</v>
      </c>
      <c r="K8167">
        <v>1.102169</v>
      </c>
      <c r="L8167">
        <v>121.1587</v>
      </c>
      <c r="M8167">
        <v>0.30061330000000003</v>
      </c>
      <c r="N8167">
        <v>-3.7990469999999998E-2</v>
      </c>
      <c r="O8167">
        <v>0.95298919999999998</v>
      </c>
      <c r="P8167">
        <v>0.42853079999999999</v>
      </c>
      <c r="Q8167">
        <v>-0.1312094</v>
      </c>
      <c r="R8167">
        <v>0.89394940000000001</v>
      </c>
      <c r="S8167">
        <v>2.210159</v>
      </c>
      <c r="T8167">
        <v>-0.11901200000000001</v>
      </c>
      <c r="U8167">
        <v>2.2966769999999999</v>
      </c>
      <c r="V8167">
        <v>0.13748640000000001</v>
      </c>
      <c r="W8167">
        <v>-9.71196E-2</v>
      </c>
      <c r="X8167">
        <v>0.98573080000000002</v>
      </c>
      <c r="Y8167">
        <v>0.44395689999999999</v>
      </c>
      <c r="Z8167">
        <v>-4.6660520000000004E-3</v>
      </c>
      <c r="AA8167">
        <v>0.89603600000000005</v>
      </c>
      <c r="AB8167">
        <v>27</v>
      </c>
      <c r="AC8167">
        <v>20.379000000000001</v>
      </c>
      <c r="AD8167">
        <v>-1.1021717522029999</v>
      </c>
      <c r="AE8167">
        <v>21.017700000000001</v>
      </c>
      <c r="AF8167">
        <v>13.093673113615001</v>
      </c>
      <c r="AG8167">
        <v>-1.1021717522029999</v>
      </c>
      <c r="AH8167">
        <v>26.137686762798399</v>
      </c>
      <c r="AI8167">
        <v>92.159130978627402</v>
      </c>
      <c r="AJ8167">
        <v>63.391422454957997</v>
      </c>
      <c r="AK8167">
        <v>29.254704365071401</v>
      </c>
      <c r="AL8167">
        <v>95.573328366341499</v>
      </c>
      <c r="AM8167">
        <v>82.059802738353497</v>
      </c>
      <c r="AN8167">
        <v>0.99999996847887895</v>
      </c>
    </row>
    <row r="8168" spans="1:40" x14ac:dyDescent="0.25">
      <c r="A8168" t="str">
        <f>"20190305135121520"</f>
        <v>20190305135121520</v>
      </c>
      <c r="B8168" t="str">
        <f>"1551765081517758"</f>
        <v>1551765081517758</v>
      </c>
      <c r="C8168" t="s">
        <v>40</v>
      </c>
      <c r="D8168">
        <v>4.3592129999999996</v>
      </c>
      <c r="E8168">
        <v>0.63052280000000005</v>
      </c>
      <c r="F8168" t="s">
        <v>42</v>
      </c>
      <c r="G8168">
        <v>-166.46430000000001</v>
      </c>
      <c r="H8168" s="1">
        <v>-1.982496E-6</v>
      </c>
      <c r="I8168">
        <v>140.85910000000001</v>
      </c>
      <c r="J8168">
        <v>-185.85900000000001</v>
      </c>
      <c r="K8168">
        <v>1.102155</v>
      </c>
      <c r="L8168">
        <v>121.42</v>
      </c>
      <c r="M8168">
        <v>0.31385960000000002</v>
      </c>
      <c r="N8168">
        <v>-3.8070430000000002E-2</v>
      </c>
      <c r="O8168">
        <v>0.94870589999999999</v>
      </c>
      <c r="P8168">
        <v>0.44352019999999998</v>
      </c>
      <c r="Q8168">
        <v>-0.13224859999999999</v>
      </c>
      <c r="R8168">
        <v>0.88645370000000001</v>
      </c>
      <c r="S8168">
        <v>2.239716</v>
      </c>
      <c r="T8168">
        <v>-0.1266427</v>
      </c>
      <c r="U8168">
        <v>2.2636259999999999</v>
      </c>
      <c r="V8168">
        <v>0.14035310000000001</v>
      </c>
      <c r="W8168">
        <v>-9.8180030000000001E-2</v>
      </c>
      <c r="X8168">
        <v>0.98522160000000003</v>
      </c>
      <c r="Y8168">
        <v>0.44388709999999998</v>
      </c>
      <c r="Z8168">
        <v>-7.3156530000000001E-3</v>
      </c>
      <c r="AA8168">
        <v>0.89605279999999998</v>
      </c>
      <c r="AB8168">
        <v>27</v>
      </c>
      <c r="AC8168">
        <v>19.3947</v>
      </c>
      <c r="AD8168">
        <v>-1.102156982496</v>
      </c>
      <c r="AE8168">
        <v>19.4391</v>
      </c>
      <c r="AF8168">
        <v>12.287844165476301</v>
      </c>
      <c r="AG8168">
        <v>-1.102156982496</v>
      </c>
      <c r="AH8168">
        <v>24.507513969231599</v>
      </c>
      <c r="AI8168">
        <v>92.302163665329104</v>
      </c>
      <c r="AJ8168">
        <v>63.371230738380902</v>
      </c>
      <c r="AK8168">
        <v>27.4376402994349</v>
      </c>
      <c r="AL8168">
        <v>95.634378372640796</v>
      </c>
      <c r="AM8168">
        <v>81.892287840359302</v>
      </c>
      <c r="AN8168">
        <v>0.99999995603848402</v>
      </c>
    </row>
    <row r="8169" spans="1:40" x14ac:dyDescent="0.25">
      <c r="A8169" t="str">
        <f>"20190305135121543"</f>
        <v>20190305135121543</v>
      </c>
      <c r="B8169" t="str">
        <f>"1551765081538253"</f>
        <v>1551765081538253</v>
      </c>
      <c r="C8169" t="s">
        <v>40</v>
      </c>
      <c r="D8169">
        <v>4.3500480000000001</v>
      </c>
      <c r="E8169">
        <v>0.62959049999999905</v>
      </c>
      <c r="F8169" t="s">
        <v>42</v>
      </c>
      <c r="G8169">
        <v>-167.5866</v>
      </c>
      <c r="H8169" s="1">
        <v>-1.1649409999999999E-6</v>
      </c>
      <c r="I8169">
        <v>139.37029999999999</v>
      </c>
      <c r="J8169">
        <v>-185.76400000000001</v>
      </c>
      <c r="K8169">
        <v>1.1021650000000001</v>
      </c>
      <c r="L8169">
        <v>121.663</v>
      </c>
      <c r="M8169">
        <v>0.3265904</v>
      </c>
      <c r="N8169">
        <v>-3.8138810000000002E-2</v>
      </c>
      <c r="O8169">
        <v>0.94439620000000002</v>
      </c>
      <c r="P8169">
        <v>0.45718320000000001</v>
      </c>
      <c r="Q8169">
        <v>-0.1333057</v>
      </c>
      <c r="R8169">
        <v>0.87932540000000003</v>
      </c>
      <c r="S8169">
        <v>2.2687379999999999</v>
      </c>
      <c r="T8169">
        <v>-0.1368462</v>
      </c>
      <c r="U8169">
        <v>2.228745</v>
      </c>
      <c r="V8169">
        <v>0.14236199999999999</v>
      </c>
      <c r="W8169">
        <v>-9.9238400000000004E-2</v>
      </c>
      <c r="X8169">
        <v>0.98482729999999996</v>
      </c>
      <c r="Y8169">
        <v>0.44451400000000002</v>
      </c>
      <c r="Z8169">
        <v>-1.0815140000000001E-2</v>
      </c>
      <c r="AA8169">
        <v>0.89570669999999897</v>
      </c>
      <c r="AB8169">
        <v>26</v>
      </c>
      <c r="AC8169">
        <v>18.177399999999999</v>
      </c>
      <c r="AD8169">
        <v>-1.1021661649409999</v>
      </c>
      <c r="AE8169">
        <v>17.707299999999901</v>
      </c>
      <c r="AF8169">
        <v>11.3704721254374</v>
      </c>
      <c r="AG8169">
        <v>-1.1021661649409999</v>
      </c>
      <c r="AH8169">
        <v>22.6330736869205</v>
      </c>
      <c r="AI8169">
        <v>92.491625166615805</v>
      </c>
      <c r="AJ8169">
        <v>63.325822949421998</v>
      </c>
      <c r="AK8169">
        <v>25.352680945573901</v>
      </c>
      <c r="AL8169">
        <v>95.695315833346399</v>
      </c>
      <c r="AM8169">
        <v>81.774569435446296</v>
      </c>
      <c r="AN8169">
        <v>1.00000000495192</v>
      </c>
    </row>
    <row r="8170" spans="1:40" x14ac:dyDescent="0.25">
      <c r="A8170" t="str">
        <f>"20190305135121565"</f>
        <v>20190305135121565</v>
      </c>
      <c r="B8170" t="str">
        <f>"1551765081557774"</f>
        <v>1551765081557774</v>
      </c>
      <c r="C8170" t="s">
        <v>40</v>
      </c>
      <c r="D8170">
        <v>4.3215329999999996</v>
      </c>
      <c r="E8170">
        <v>0.6286294</v>
      </c>
      <c r="F8170" t="s">
        <v>42</v>
      </c>
      <c r="G8170">
        <v>-167.92769999999999</v>
      </c>
      <c r="H8170" s="1">
        <v>-1.118424E-6</v>
      </c>
      <c r="I8170">
        <v>138.7236</v>
      </c>
      <c r="J8170">
        <v>-185.6669</v>
      </c>
      <c r="K8170">
        <v>1.102195</v>
      </c>
      <c r="L8170">
        <v>121.90049999999999</v>
      </c>
      <c r="M8170">
        <v>0.33941650000000001</v>
      </c>
      <c r="N8170">
        <v>-3.820262E-2</v>
      </c>
      <c r="O8170">
        <v>0.93986009999999998</v>
      </c>
      <c r="P8170">
        <v>0.470661</v>
      </c>
      <c r="Q8170">
        <v>-0.1336118</v>
      </c>
      <c r="R8170">
        <v>0.87213879999999999</v>
      </c>
      <c r="S8170">
        <v>2.2962039999999999</v>
      </c>
      <c r="T8170">
        <v>-0.1418904</v>
      </c>
      <c r="U8170">
        <v>2.1963349999999999</v>
      </c>
      <c r="V8170">
        <v>0.14411270000000001</v>
      </c>
      <c r="W8170">
        <v>-9.9533070000000001E-2</v>
      </c>
      <c r="X8170">
        <v>0.9845429</v>
      </c>
      <c r="Y8170">
        <v>0.44423620000000003</v>
      </c>
      <c r="Z8170">
        <v>-1.263357E-2</v>
      </c>
      <c r="AA8170">
        <v>0.89582059999999997</v>
      </c>
      <c r="AB8170">
        <v>26</v>
      </c>
      <c r="AC8170">
        <v>17.7392</v>
      </c>
      <c r="AD8170">
        <v>-1.1021961184239999</v>
      </c>
      <c r="AE8170">
        <v>16.8231</v>
      </c>
      <c r="AF8170">
        <v>10.9480843817934</v>
      </c>
      <c r="AG8170">
        <v>-1.1021961184239999</v>
      </c>
      <c r="AH8170">
        <v>21.8039692168744</v>
      </c>
      <c r="AI8170">
        <v>92.586592498544107</v>
      </c>
      <c r="AJ8170">
        <v>63.3381191861966</v>
      </c>
      <c r="AK8170">
        <v>24.423113264380198</v>
      </c>
      <c r="AL8170">
        <v>95.712283145197503</v>
      </c>
      <c r="AM8170">
        <v>81.672455185831893</v>
      </c>
      <c r="AN8170">
        <v>1.00000001213266</v>
      </c>
    </row>
    <row r="8171" spans="1:40" x14ac:dyDescent="0.25">
      <c r="A8171" t="str">
        <f>"20190305135121586"</f>
        <v>20190305135121586</v>
      </c>
      <c r="B8171" t="str">
        <f>"1551765081577860"</f>
        <v>1551765081577860</v>
      </c>
      <c r="C8171" t="s">
        <v>40</v>
      </c>
      <c r="D8171">
        <v>4.3343819999999997</v>
      </c>
      <c r="E8171">
        <v>0.62789329999999999</v>
      </c>
      <c r="F8171" t="s">
        <v>42</v>
      </c>
      <c r="G8171">
        <v>-167.8964</v>
      </c>
      <c r="H8171" s="1">
        <v>-1.179728E-6</v>
      </c>
      <c r="I8171">
        <v>138.46129999999999</v>
      </c>
      <c r="J8171">
        <v>-185.57400000000001</v>
      </c>
      <c r="K8171">
        <v>1.1022339999999999</v>
      </c>
      <c r="L8171">
        <v>122.11839999999999</v>
      </c>
      <c r="M8171">
        <v>0.35152939999999999</v>
      </c>
      <c r="N8171">
        <v>-3.8264029999999997E-2</v>
      </c>
      <c r="O8171">
        <v>0.93539450000000002</v>
      </c>
      <c r="P8171">
        <v>0.48357889999999998</v>
      </c>
      <c r="Q8171">
        <v>-0.13141420000000001</v>
      </c>
      <c r="R8171">
        <v>0.86537960000000003</v>
      </c>
      <c r="S8171">
        <v>2.322479</v>
      </c>
      <c r="T8171">
        <v>-0.14404900000000001</v>
      </c>
      <c r="U8171">
        <v>2.1643829999999999</v>
      </c>
      <c r="V8171">
        <v>0.1459665</v>
      </c>
      <c r="W8171">
        <v>-9.7310569999999999E-2</v>
      </c>
      <c r="X8171">
        <v>0.98449189999999998</v>
      </c>
      <c r="Y8171">
        <v>0.44428970000000001</v>
      </c>
      <c r="Z8171">
        <v>-1.352045E-2</v>
      </c>
      <c r="AA8171">
        <v>0.89578119999999894</v>
      </c>
      <c r="AB8171">
        <v>25</v>
      </c>
      <c r="AC8171">
        <v>17.677600000000002</v>
      </c>
      <c r="AD8171">
        <v>-1.1022351797279999</v>
      </c>
      <c r="AE8171">
        <v>16.3429</v>
      </c>
      <c r="AF8171">
        <v>10.775840328950499</v>
      </c>
      <c r="AG8171">
        <v>-1.1022351797279999</v>
      </c>
      <c r="AH8171">
        <v>21.472004130815801</v>
      </c>
      <c r="AI8171">
        <v>92.626891865151293</v>
      </c>
      <c r="AJ8171">
        <v>63.349968587487503</v>
      </c>
      <c r="AK8171">
        <v>24.0495450805257</v>
      </c>
      <c r="AL8171">
        <v>95.584322410283505</v>
      </c>
      <c r="AM8171">
        <v>81.566433721159797</v>
      </c>
      <c r="AN8171">
        <v>0.99999993366078999</v>
      </c>
    </row>
    <row r="8172" spans="1:40" x14ac:dyDescent="0.25">
      <c r="A8172" t="str">
        <f>"20190305135121609"</f>
        <v>20190305135121609</v>
      </c>
      <c r="B8172" t="str">
        <f>"1551765081598351"</f>
        <v>1551765081598351</v>
      </c>
      <c r="C8172" t="s">
        <v>40</v>
      </c>
      <c r="D8172">
        <v>4.2742339999999999</v>
      </c>
      <c r="E8172">
        <v>0.62716839999999996</v>
      </c>
      <c r="F8172" t="s">
        <v>42</v>
      </c>
      <c r="G8172">
        <v>-167.08250000000001</v>
      </c>
      <c r="H8172" s="1">
        <v>-1.484961E-6</v>
      </c>
      <c r="I8172">
        <v>138.90950000000001</v>
      </c>
      <c r="J8172">
        <v>-185.4734</v>
      </c>
      <c r="K8172">
        <v>1.1023149999999999</v>
      </c>
      <c r="L8172">
        <v>122.34480000000001</v>
      </c>
      <c r="M8172">
        <v>0.3644442</v>
      </c>
      <c r="N8172">
        <v>-3.8332890000000001E-2</v>
      </c>
      <c r="O8172">
        <v>0.93043600000000004</v>
      </c>
      <c r="P8172">
        <v>0.4974768</v>
      </c>
      <c r="Q8172">
        <v>-0.128969899999999</v>
      </c>
      <c r="R8172">
        <v>0.8578365</v>
      </c>
      <c r="S8172">
        <v>2.348862</v>
      </c>
      <c r="T8172">
        <v>-0.14001060000000001</v>
      </c>
      <c r="U8172">
        <v>2.1328740000000002</v>
      </c>
      <c r="V8172">
        <v>0.14814459999999999</v>
      </c>
      <c r="W8172">
        <v>-9.4834280000000007E-2</v>
      </c>
      <c r="X8172">
        <v>0.98440830000000001</v>
      </c>
      <c r="Y8172">
        <v>0.44349539999999998</v>
      </c>
      <c r="Z8172">
        <v>-1.2402669999999999E-2</v>
      </c>
      <c r="AA8172">
        <v>0.89619090000000001</v>
      </c>
      <c r="AB8172">
        <v>25</v>
      </c>
      <c r="AC8172">
        <v>18.390899999999899</v>
      </c>
      <c r="AD8172">
        <v>-1.1023164849610001</v>
      </c>
      <c r="AE8172">
        <v>16.564699999999998</v>
      </c>
      <c r="AF8172">
        <v>11.0608525653344</v>
      </c>
      <c r="AG8172">
        <v>-1.1023164849610001</v>
      </c>
      <c r="AH8172">
        <v>22.087304892983699</v>
      </c>
      <c r="AI8172">
        <v>92.5550995810122</v>
      </c>
      <c r="AJ8172">
        <v>63.399265439550703</v>
      </c>
      <c r="AK8172">
        <v>24.7266374289086</v>
      </c>
      <c r="AL8172">
        <v>95.441781517469096</v>
      </c>
      <c r="AM8172">
        <v>81.441722593609001</v>
      </c>
      <c r="AN8172">
        <v>1.00000003214058</v>
      </c>
    </row>
    <row r="8173" spans="1:40" x14ac:dyDescent="0.25">
      <c r="A8173" t="str">
        <f>"20190305135121631"</f>
        <v>20190305135121631</v>
      </c>
      <c r="B8173" t="str">
        <f>"1551765081627632"</f>
        <v>1551765081627632</v>
      </c>
      <c r="C8173" t="s">
        <v>40</v>
      </c>
      <c r="D8173">
        <v>4.330832</v>
      </c>
      <c r="E8173">
        <v>0.62583789999999995</v>
      </c>
      <c r="F8173" t="s">
        <v>42</v>
      </c>
      <c r="G8173">
        <v>-166.12270000000001</v>
      </c>
      <c r="H8173" s="1">
        <v>-1.8491030000000001E-6</v>
      </c>
      <c r="I8173">
        <v>139.41460000000001</v>
      </c>
      <c r="J8173">
        <v>-185.3717</v>
      </c>
      <c r="K8173">
        <v>1.1024130000000001</v>
      </c>
      <c r="L8173">
        <v>122.56399999999999</v>
      </c>
      <c r="M8173">
        <v>0.37730780000000003</v>
      </c>
      <c r="N8173">
        <v>-3.8400589999999998E-2</v>
      </c>
      <c r="O8173">
        <v>0.92529139999999999</v>
      </c>
      <c r="P8173">
        <v>0.51064579999999904</v>
      </c>
      <c r="Q8173">
        <v>-0.12720719999999999</v>
      </c>
      <c r="R8173">
        <v>0.85032890000000005</v>
      </c>
      <c r="S8173">
        <v>2.3780359999999998</v>
      </c>
      <c r="T8173">
        <v>-0.1354651</v>
      </c>
      <c r="U8173">
        <v>2.0977329999999998</v>
      </c>
      <c r="V8173">
        <v>0.14962800000000001</v>
      </c>
      <c r="W8173">
        <v>-9.301516E-2</v>
      </c>
      <c r="X8173">
        <v>0.9843575</v>
      </c>
      <c r="Y8173">
        <v>0.44398609999999999</v>
      </c>
      <c r="Z8173">
        <v>-1.1146069999999999E-2</v>
      </c>
      <c r="AA8173">
        <v>0.89596430000000005</v>
      </c>
      <c r="AB8173">
        <v>25</v>
      </c>
      <c r="AC8173">
        <v>19.248999999999899</v>
      </c>
      <c r="AD8173">
        <v>-1.1024148491029999</v>
      </c>
      <c r="AE8173">
        <v>16.8506</v>
      </c>
      <c r="AF8173">
        <v>11.4402811818616</v>
      </c>
      <c r="AG8173">
        <v>-1.1024148491029999</v>
      </c>
      <c r="AH8173">
        <v>22.828990440007999</v>
      </c>
      <c r="AI8173">
        <v>92.472065753263394</v>
      </c>
      <c r="AJ8173">
        <v>63.383198512841901</v>
      </c>
      <c r="AK8173">
        <v>25.558915402057998</v>
      </c>
      <c r="AL8173">
        <v>95.337090849961001</v>
      </c>
      <c r="AM8173">
        <v>81.356875412444793</v>
      </c>
      <c r="AN8173">
        <v>1.0000000230900301</v>
      </c>
    </row>
    <row r="8174" spans="1:40" x14ac:dyDescent="0.25">
      <c r="A8174" t="str">
        <f>"20190305135121653"</f>
        <v>20190305135121653</v>
      </c>
      <c r="B8174" t="str">
        <f>"1551765081648127"</f>
        <v>1551765081648127</v>
      </c>
      <c r="C8174" t="s">
        <v>40</v>
      </c>
      <c r="D8174">
        <v>4.3469550000000003</v>
      </c>
      <c r="E8174">
        <v>0.62544350000000004</v>
      </c>
      <c r="F8174" t="s">
        <v>42</v>
      </c>
      <c r="G8174">
        <v>-165.4562</v>
      </c>
      <c r="H8174" s="1">
        <v>-2.1529970000000001E-6</v>
      </c>
      <c r="I8174">
        <v>139.7089</v>
      </c>
      <c r="J8174">
        <v>-185.26349999999999</v>
      </c>
      <c r="K8174">
        <v>1.1025430000000001</v>
      </c>
      <c r="L8174">
        <v>122.78700000000001</v>
      </c>
      <c r="M8174">
        <v>0.39075470000000001</v>
      </c>
      <c r="N8174">
        <v>-3.846492E-2</v>
      </c>
      <c r="O8174">
        <v>0.91969080000000003</v>
      </c>
      <c r="P8174">
        <v>0.52385509999999902</v>
      </c>
      <c r="Q8174">
        <v>-0.1262403</v>
      </c>
      <c r="R8174">
        <v>0.84240079999999995</v>
      </c>
      <c r="S8174">
        <v>2.400528</v>
      </c>
      <c r="T8174">
        <v>-0.13288059999999999</v>
      </c>
      <c r="U8174">
        <v>2.0665740000000001</v>
      </c>
      <c r="V8174">
        <v>0.15062639999999999</v>
      </c>
      <c r="W8174">
        <v>-9.1974360000000005E-2</v>
      </c>
      <c r="X8174">
        <v>0.98430300000000004</v>
      </c>
      <c r="Y8174">
        <v>0.44175599999999998</v>
      </c>
      <c r="Z8174">
        <v>-1.0506659999999999E-2</v>
      </c>
      <c r="AA8174">
        <v>0.89707369999999897</v>
      </c>
      <c r="AB8174">
        <v>24</v>
      </c>
      <c r="AC8174">
        <v>19.807300000000001</v>
      </c>
      <c r="AD8174">
        <v>-1.1025451529970001</v>
      </c>
      <c r="AE8174">
        <v>16.921899999999901</v>
      </c>
      <c r="AF8174">
        <v>11.5921109788801</v>
      </c>
      <c r="AG8174">
        <v>-1.1025451529970001</v>
      </c>
      <c r="AH8174">
        <v>23.278275294679101</v>
      </c>
      <c r="AI8174">
        <v>92.427748574102495</v>
      </c>
      <c r="AJ8174">
        <v>63.527622573440503</v>
      </c>
      <c r="AK8174">
        <v>26.028268160904101</v>
      </c>
      <c r="AL8174">
        <v>95.277200808058893</v>
      </c>
      <c r="AM8174">
        <v>81.299608935081693</v>
      </c>
      <c r="AN8174">
        <v>0.99999999554168395</v>
      </c>
    </row>
    <row r="8175" spans="1:40" x14ac:dyDescent="0.25">
      <c r="A8175" t="str">
        <f>"20190305135121675"</f>
        <v>20190305135121675</v>
      </c>
      <c r="B8175" t="str">
        <f>"1551765081667647"</f>
        <v>1551765081667647</v>
      </c>
      <c r="C8175" t="s">
        <v>40</v>
      </c>
      <c r="D8175">
        <v>4.3341269999999996</v>
      </c>
      <c r="E8175">
        <v>0.60896879999999998</v>
      </c>
      <c r="F8175" t="s">
        <v>42</v>
      </c>
      <c r="G8175">
        <v>-164.47649999999999</v>
      </c>
      <c r="H8175" s="1">
        <v>-2.737668E-6</v>
      </c>
      <c r="I8175">
        <v>140.16589999999999</v>
      </c>
      <c r="J8175">
        <v>-185.16130000000001</v>
      </c>
      <c r="K8175">
        <v>1.102681</v>
      </c>
      <c r="L8175">
        <v>122.98950000000001</v>
      </c>
      <c r="M8175">
        <v>0.40324379999999999</v>
      </c>
      <c r="N8175">
        <v>-3.8518139999999999E-2</v>
      </c>
      <c r="O8175">
        <v>0.91428160000000003</v>
      </c>
      <c r="P8175">
        <v>0.53606209999999999</v>
      </c>
      <c r="Q8175">
        <v>-0.126892899999999</v>
      </c>
      <c r="R8175">
        <v>0.83458709999999903</v>
      </c>
      <c r="S8175">
        <v>2.429459</v>
      </c>
      <c r="T8175">
        <v>-0.1288589</v>
      </c>
      <c r="U8175">
        <v>2.0311430000000001</v>
      </c>
      <c r="V8175">
        <v>0.15159589999999901</v>
      </c>
      <c r="W8175">
        <v>-9.2562610000000003E-2</v>
      </c>
      <c r="X8175">
        <v>0.98409899999999995</v>
      </c>
      <c r="Y8175">
        <v>0.44250800000000001</v>
      </c>
      <c r="Z8175">
        <v>-9.4247029999999996E-3</v>
      </c>
      <c r="AA8175">
        <v>0.89671499999999904</v>
      </c>
      <c r="AB8175">
        <v>23</v>
      </c>
      <c r="AC8175">
        <v>20.684799999999999</v>
      </c>
      <c r="AD8175">
        <v>-1.1026837376680001</v>
      </c>
      <c r="AE8175">
        <v>17.176399999999902</v>
      </c>
      <c r="AF8175">
        <v>11.9742150989767</v>
      </c>
      <c r="AG8175">
        <v>-1.1026837376680001</v>
      </c>
      <c r="AH8175">
        <v>24.022533998855</v>
      </c>
      <c r="AI8175">
        <v>92.352465871418204</v>
      </c>
      <c r="AJ8175">
        <v>63.505689969117398</v>
      </c>
      <c r="AK8175">
        <v>26.864100178268099</v>
      </c>
      <c r="AL8175">
        <v>95.311049432041401</v>
      </c>
      <c r="AM8175">
        <v>81.242687431043194</v>
      </c>
      <c r="AN8175">
        <v>0.99999999773391102</v>
      </c>
    </row>
    <row r="8176" spans="1:40" x14ac:dyDescent="0.25">
      <c r="A8176" t="str">
        <f>"20190305135121697"</f>
        <v>20190305135121697</v>
      </c>
      <c r="B8176" t="str">
        <f>"1551765081687780"</f>
        <v>1551765081687780</v>
      </c>
      <c r="C8176" t="s">
        <v>40</v>
      </c>
      <c r="D8176">
        <v>4.3574729999999997</v>
      </c>
      <c r="E8176">
        <v>0.60835680000000003</v>
      </c>
      <c r="F8176" t="s">
        <v>42</v>
      </c>
      <c r="G8176">
        <v>-169.9205</v>
      </c>
      <c r="H8176" s="1">
        <v>-8.7540330000000002E-7</v>
      </c>
      <c r="I8176">
        <v>136.3817</v>
      </c>
      <c r="J8176">
        <v>-185.05799999999999</v>
      </c>
      <c r="K8176">
        <v>1.1028500000000001</v>
      </c>
      <c r="L8176">
        <v>123.1867</v>
      </c>
      <c r="M8176">
        <v>0.41564889999999999</v>
      </c>
      <c r="N8176">
        <v>-3.8554030000000003E-2</v>
      </c>
      <c r="O8176">
        <v>0.90870770000000001</v>
      </c>
      <c r="P8176">
        <v>0.54885810000000002</v>
      </c>
      <c r="Q8176">
        <v>-0.12553689999999901</v>
      </c>
      <c r="R8176">
        <v>0.82643529999999998</v>
      </c>
      <c r="S8176">
        <v>2.3463289999999999</v>
      </c>
      <c r="T8176">
        <v>-0.16975760000000001</v>
      </c>
      <c r="U8176">
        <v>2.0617220000000001</v>
      </c>
      <c r="V8176">
        <v>0.15333469999999999</v>
      </c>
      <c r="W8176">
        <v>-9.1162869999999993E-2</v>
      </c>
      <c r="X8176">
        <v>0.98396030000000001</v>
      </c>
      <c r="Y8176">
        <v>0.40773599999999999</v>
      </c>
      <c r="Z8176">
        <v>-2.2547850000000001E-2</v>
      </c>
      <c r="AA8176">
        <v>0.91282149999999995</v>
      </c>
      <c r="AB8176">
        <v>23</v>
      </c>
      <c r="AC8176">
        <v>15.1374999999999</v>
      </c>
      <c r="AD8176">
        <v>-1.1028508754033</v>
      </c>
      <c r="AE8176">
        <v>13.194999999999901</v>
      </c>
      <c r="AF8176">
        <v>8.25233858478963</v>
      </c>
      <c r="AG8176">
        <v>-1.1028508754033</v>
      </c>
      <c r="AH8176">
        <v>18.2408673173003</v>
      </c>
      <c r="AI8176">
        <v>93.152974345497995</v>
      </c>
      <c r="AJ8176">
        <v>65.657560314265396</v>
      </c>
      <c r="AK8176">
        <v>20.051100036126101</v>
      </c>
      <c r="AL8176">
        <v>95.230509484508303</v>
      </c>
      <c r="AM8176">
        <v>81.142596216848801</v>
      </c>
      <c r="AN8176">
        <v>1.0000000355334</v>
      </c>
    </row>
    <row r="8177" spans="1:40" x14ac:dyDescent="0.25">
      <c r="A8177" t="str">
        <f>"20190305135121720"</f>
        <v>20190305135121720</v>
      </c>
      <c r="B8177" t="str">
        <f>"1551765081718035"</f>
        <v>1551765081718035</v>
      </c>
      <c r="C8177" t="s">
        <v>40</v>
      </c>
      <c r="D8177">
        <v>4.3839480000000002</v>
      </c>
      <c r="E8177">
        <v>0.60749359999999997</v>
      </c>
      <c r="F8177" t="s">
        <v>42</v>
      </c>
      <c r="G8177">
        <v>-169.72579999999999</v>
      </c>
      <c r="H8177" s="1">
        <v>-9.7506610000000005E-7</v>
      </c>
      <c r="I8177">
        <v>136.28809999999999</v>
      </c>
      <c r="J8177">
        <v>-184.9486</v>
      </c>
      <c r="K8177">
        <v>1.103019</v>
      </c>
      <c r="L8177">
        <v>123.38760000000001</v>
      </c>
      <c r="M8177">
        <v>0.4285562</v>
      </c>
      <c r="N8177">
        <v>-3.8536500000000001E-2</v>
      </c>
      <c r="O8177">
        <v>0.90269290000000002</v>
      </c>
      <c r="P8177">
        <v>0.56257669999999904</v>
      </c>
      <c r="Q8177">
        <v>-0.12272329999999999</v>
      </c>
      <c r="R8177">
        <v>0.81758580000000003</v>
      </c>
      <c r="S8177">
        <v>2.3732600000000001</v>
      </c>
      <c r="T8177">
        <v>-0.1707091</v>
      </c>
      <c r="U8177">
        <v>2.0279539999999998</v>
      </c>
      <c r="V8177">
        <v>0.15563959999999999</v>
      </c>
      <c r="W8177">
        <v>-8.8361250000000002E-2</v>
      </c>
      <c r="X8177">
        <v>0.98385389999999995</v>
      </c>
      <c r="Y8177">
        <v>0.40733219999999998</v>
      </c>
      <c r="Z8177">
        <v>-2.304664E-2</v>
      </c>
      <c r="AA8177">
        <v>0.91298919999999995</v>
      </c>
      <c r="AB8177">
        <v>22</v>
      </c>
      <c r="AC8177">
        <v>15.222799999999999</v>
      </c>
      <c r="AD8177">
        <v>-1.1030199750661001</v>
      </c>
      <c r="AE8177">
        <v>12.9004999999999</v>
      </c>
      <c r="AF8177">
        <v>8.19399107168101</v>
      </c>
      <c r="AG8177">
        <v>-1.1030199750661001</v>
      </c>
      <c r="AH8177">
        <v>18.127130281551501</v>
      </c>
      <c r="AI8177">
        <v>93.173654633920805</v>
      </c>
      <c r="AJ8177">
        <v>65.675645363288496</v>
      </c>
      <c r="AK8177">
        <v>19.9236290618081</v>
      </c>
      <c r="AL8177">
        <v>95.069338277417799</v>
      </c>
      <c r="AM8177">
        <v>81.0106551639971</v>
      </c>
      <c r="AN8177">
        <v>0.99999994606746401</v>
      </c>
    </row>
    <row r="8178" spans="1:40" x14ac:dyDescent="0.25">
      <c r="A8178" t="str">
        <f>"20190305135121743"</f>
        <v>20190305135121743</v>
      </c>
      <c r="B8178" t="str">
        <f>"1551765081737556"</f>
        <v>1551765081737556</v>
      </c>
      <c r="C8178" t="s">
        <v>40</v>
      </c>
      <c r="D8178">
        <v>4.4924099999999996</v>
      </c>
      <c r="E8178">
        <v>0.60712049999999995</v>
      </c>
      <c r="F8178" t="s">
        <v>42</v>
      </c>
      <c r="G8178">
        <v>-169.77330000000001</v>
      </c>
      <c r="H8178" s="1">
        <v>-1.0401959999999999E-6</v>
      </c>
      <c r="I8178">
        <v>135.97479999999999</v>
      </c>
      <c r="J8178">
        <v>-184.8383</v>
      </c>
      <c r="K8178">
        <v>1.103135</v>
      </c>
      <c r="L8178">
        <v>123.5826</v>
      </c>
      <c r="M8178">
        <v>0.4413726</v>
      </c>
      <c r="N8178">
        <v>-3.8377380000000003E-2</v>
      </c>
      <c r="O8178">
        <v>0.89650289999999999</v>
      </c>
      <c r="P8178">
        <v>0.57654259999999902</v>
      </c>
      <c r="Q8178">
        <v>-0.1207815</v>
      </c>
      <c r="R8178">
        <v>0.80809069999999905</v>
      </c>
      <c r="S8178">
        <v>2.4006959999999999</v>
      </c>
      <c r="T8178">
        <v>-0.1744947</v>
      </c>
      <c r="U8178">
        <v>1.9912570000000001</v>
      </c>
      <c r="V8178">
        <v>0.15845709999999999</v>
      </c>
      <c r="W8178">
        <v>-8.65977E-2</v>
      </c>
      <c r="X8178">
        <v>0.98356100000000002</v>
      </c>
      <c r="Y8178">
        <v>0.40767560000000003</v>
      </c>
      <c r="Z8178">
        <v>-2.4582819999999998E-2</v>
      </c>
      <c r="AA8178">
        <v>0.91279580000000005</v>
      </c>
      <c r="AB8178">
        <v>22</v>
      </c>
      <c r="AC8178">
        <v>15.0649999999999</v>
      </c>
      <c r="AD8178">
        <v>-1.103136040196</v>
      </c>
      <c r="AE8178">
        <v>12.3921999999999</v>
      </c>
      <c r="AF8178">
        <v>8.0165260750693506</v>
      </c>
      <c r="AG8178">
        <v>-1.103136040196</v>
      </c>
      <c r="AH8178">
        <v>17.715359515300001</v>
      </c>
      <c r="AI8178">
        <v>93.2470117803515</v>
      </c>
      <c r="AJ8178">
        <v>65.652373267556499</v>
      </c>
      <c r="AK8178">
        <v>19.476025318112899</v>
      </c>
      <c r="AL8178">
        <v>94.967905020258101</v>
      </c>
      <c r="AM8178">
        <v>80.847973554067295</v>
      </c>
      <c r="AN8178">
        <v>1.00000002745334</v>
      </c>
    </row>
    <row r="8179" spans="1:40" x14ac:dyDescent="0.25">
      <c r="A8179" t="str">
        <f>"20190305135121764"</f>
        <v>20190305135121764</v>
      </c>
      <c r="B8179" t="str">
        <f>"1551765081758052"</f>
        <v>1551765081758052</v>
      </c>
      <c r="C8179" t="s">
        <v>40</v>
      </c>
      <c r="D8179">
        <v>4.4156969999999998</v>
      </c>
      <c r="E8179">
        <v>0.64851800000000004</v>
      </c>
      <c r="F8179" t="s">
        <v>42</v>
      </c>
      <c r="G8179">
        <v>-169.6463</v>
      </c>
      <c r="H8179" s="1">
        <v>-1.14226E-6</v>
      </c>
      <c r="I8179">
        <v>135.77449999999999</v>
      </c>
      <c r="J8179">
        <v>-184.73099999999999</v>
      </c>
      <c r="K8179">
        <v>1.1030599999999999</v>
      </c>
      <c r="L8179">
        <v>123.76519999999999</v>
      </c>
      <c r="M8179">
        <v>0.45367420000000003</v>
      </c>
      <c r="N8179">
        <v>-3.7878009999999997E-2</v>
      </c>
      <c r="O8179">
        <v>0.89036229999999905</v>
      </c>
      <c r="P8179">
        <v>0.58852510000000002</v>
      </c>
      <c r="Q8179">
        <v>-0.11984839999999999</v>
      </c>
      <c r="R8179">
        <v>0.79954650000000005</v>
      </c>
      <c r="S8179">
        <v>2.4314580000000001</v>
      </c>
      <c r="T8179">
        <v>-0.17655499999999999</v>
      </c>
      <c r="U8179">
        <v>1.9512940000000001</v>
      </c>
      <c r="V8179">
        <v>0.15953589999999901</v>
      </c>
      <c r="W8179">
        <v>-8.6168129999999996E-2</v>
      </c>
      <c r="X8179">
        <v>0.98342430000000003</v>
      </c>
      <c r="Y8179">
        <v>0.40984720000000002</v>
      </c>
      <c r="Z8179">
        <v>-2.5848409999999999E-2</v>
      </c>
      <c r="AA8179">
        <v>0.91178789999999998</v>
      </c>
      <c r="AB8179">
        <v>22</v>
      </c>
      <c r="AC8179">
        <v>15.0846999999999</v>
      </c>
      <c r="AD8179">
        <v>-1.1030611422599901</v>
      </c>
      <c r="AE8179">
        <v>12.0092999999999</v>
      </c>
      <c r="AF8179">
        <v>7.9622120925854496</v>
      </c>
      <c r="AG8179">
        <v>-1.1030611422599901</v>
      </c>
      <c r="AH8179">
        <v>17.4915135441343</v>
      </c>
      <c r="AI8179">
        <v>93.284936866882902</v>
      </c>
      <c r="AJ8179">
        <v>65.524768036432206</v>
      </c>
      <c r="AK8179">
        <v>19.2501067881586</v>
      </c>
      <c r="AL8179">
        <v>94.943200252597194</v>
      </c>
      <c r="AM8179">
        <v>80.785471479856099</v>
      </c>
      <c r="AN8179">
        <v>1.00000000192349</v>
      </c>
    </row>
    <row r="8180" spans="1:40" x14ac:dyDescent="0.25">
      <c r="A8180" t="str">
        <f>"20190305135121786"</f>
        <v>20190305135121786</v>
      </c>
      <c r="B8180" t="str">
        <f>"1551765081777716"</f>
        <v>1551765081777716</v>
      </c>
      <c r="C8180" t="s">
        <v>40</v>
      </c>
      <c r="D8180">
        <v>4.3953449999999998</v>
      </c>
      <c r="E8180">
        <v>0.66726169999999996</v>
      </c>
      <c r="F8180" t="s">
        <v>60</v>
      </c>
      <c r="G8180">
        <v>-126.7466</v>
      </c>
      <c r="H8180">
        <v>1.7286870000000001</v>
      </c>
      <c r="I8180">
        <v>160.81460000000001</v>
      </c>
      <c r="J8180">
        <v>-184.6217</v>
      </c>
      <c r="K8180">
        <v>1.102776</v>
      </c>
      <c r="L8180">
        <v>123.9443</v>
      </c>
      <c r="M8180">
        <v>0.4659066</v>
      </c>
      <c r="N8180">
        <v>-3.6873549999999998E-2</v>
      </c>
      <c r="O8180">
        <v>0.88406530000000005</v>
      </c>
      <c r="P8180">
        <v>0.60109789999999996</v>
      </c>
      <c r="Q8180">
        <v>-0.1183275</v>
      </c>
      <c r="R8180">
        <v>0.79036689999999998</v>
      </c>
      <c r="S8180">
        <v>2.7319490000000002</v>
      </c>
      <c r="T8180">
        <v>2.9478190000000001E-2</v>
      </c>
      <c r="U8180">
        <v>1.74559</v>
      </c>
      <c r="V8180">
        <v>0.1614361</v>
      </c>
      <c r="W8180">
        <v>-8.5705600000000007E-2</v>
      </c>
      <c r="X8180">
        <v>0.98315459999999999</v>
      </c>
      <c r="Y8180">
        <v>0.4935716</v>
      </c>
      <c r="Z8180">
        <v>3.7228799999999999E-2</v>
      </c>
      <c r="AA8180">
        <v>0.86890800000000001</v>
      </c>
      <c r="AB8180">
        <v>21</v>
      </c>
      <c r="AC8180">
        <v>57.875100000000003</v>
      </c>
      <c r="AD8180">
        <v>0.625910999999999</v>
      </c>
      <c r="AE8180">
        <v>36.8703</v>
      </c>
      <c r="AF8180">
        <v>34.007550116086698</v>
      </c>
      <c r="AG8180">
        <v>0.625910999999999</v>
      </c>
      <c r="AH8180">
        <v>59.595715666570101</v>
      </c>
      <c r="AI8180">
        <v>89.477366269132204</v>
      </c>
      <c r="AJ8180">
        <v>60.289298524061998</v>
      </c>
      <c r="AK8180">
        <v>68.618908147016896</v>
      </c>
      <c r="AL8180">
        <v>94.916600764433198</v>
      </c>
      <c r="AM8180">
        <v>80.675122421705495</v>
      </c>
      <c r="AN8180">
        <v>1.0000000158778599</v>
      </c>
    </row>
    <row r="8181" spans="1:40" x14ac:dyDescent="0.25">
      <c r="A8181" t="str">
        <f>"20190305135121798"</f>
        <v>20190305135121798</v>
      </c>
      <c r="B8181" t="str">
        <f>"1551765081788431"</f>
        <v>1551765081788431</v>
      </c>
      <c r="C8181" t="s">
        <v>40</v>
      </c>
      <c r="D8181">
        <v>4.3894279999999997</v>
      </c>
      <c r="E8181">
        <v>0.67097680000000004</v>
      </c>
      <c r="F8181" t="s">
        <v>60</v>
      </c>
      <c r="G8181">
        <v>-120.4555</v>
      </c>
      <c r="H8181">
        <v>2.7009219999999998</v>
      </c>
      <c r="I8181">
        <v>159.9991</v>
      </c>
      <c r="J8181">
        <v>-184.56530000000001</v>
      </c>
      <c r="K8181">
        <v>1.102608</v>
      </c>
      <c r="L8181">
        <v>124.0339</v>
      </c>
      <c r="M8181">
        <v>0.47195799999999999</v>
      </c>
      <c r="N8181">
        <v>-3.621307E-2</v>
      </c>
      <c r="O8181">
        <v>0.88087700000000002</v>
      </c>
      <c r="P8181">
        <v>0.60753419999999903</v>
      </c>
      <c r="Q8181">
        <v>-0.1180166</v>
      </c>
      <c r="R8181">
        <v>0.78547709999999904</v>
      </c>
      <c r="S8181">
        <v>2.878387</v>
      </c>
      <c r="T8181">
        <v>7.169151E-2</v>
      </c>
      <c r="U8181">
        <v>1.6173550000000001</v>
      </c>
      <c r="V8181">
        <v>0.16269749999999999</v>
      </c>
      <c r="W8181">
        <v>-8.6089689999999996E-2</v>
      </c>
      <c r="X8181">
        <v>0.98291309999999998</v>
      </c>
      <c r="Y8181">
        <v>0.53579169999999998</v>
      </c>
      <c r="Z8181">
        <v>4.9038119999999998E-2</v>
      </c>
      <c r="AA8181">
        <v>0.84292500000000004</v>
      </c>
      <c r="AB8181">
        <v>21</v>
      </c>
      <c r="AC8181">
        <v>64.109800000000007</v>
      </c>
      <c r="AD8181">
        <v>1.598314</v>
      </c>
      <c r="AE8181">
        <v>35.965200000000003</v>
      </c>
      <c r="AF8181">
        <v>39.506031423347402</v>
      </c>
      <c r="AG8181">
        <v>1.598314</v>
      </c>
      <c r="AH8181">
        <v>61.949414475574699</v>
      </c>
      <c r="AI8181">
        <v>88.753818086789906</v>
      </c>
      <c r="AJ8181">
        <v>57.473757247885104</v>
      </c>
      <c r="AK8181">
        <v>73.491571491781698</v>
      </c>
      <c r="AL8181">
        <v>94.938689036492505</v>
      </c>
      <c r="AM8181">
        <v>80.601288414734796</v>
      </c>
      <c r="AN8181">
        <v>1.00000003669107</v>
      </c>
    </row>
    <row r="8182" spans="1:40" x14ac:dyDescent="0.25">
      <c r="A8182" t="str">
        <f>"20190305135121808"</f>
        <v>20190305135121808</v>
      </c>
      <c r="B8182" t="str">
        <f>"1551765081798192"</f>
        <v>1551765081798192</v>
      </c>
      <c r="C8182" t="s">
        <v>40</v>
      </c>
      <c r="D8182">
        <v>4.3428940000000003</v>
      </c>
      <c r="E8182">
        <v>0.67240059999999902</v>
      </c>
      <c r="F8182" t="s">
        <v>118</v>
      </c>
      <c r="G8182">
        <v>-111.005</v>
      </c>
      <c r="H8182">
        <v>3.0494539999999999</v>
      </c>
      <c r="I8182">
        <v>163.82820000000001</v>
      </c>
      <c r="J8182">
        <v>-184.506</v>
      </c>
      <c r="K8182">
        <v>1.102427</v>
      </c>
      <c r="L8182">
        <v>124.1272</v>
      </c>
      <c r="M8182">
        <v>0.47821439999999998</v>
      </c>
      <c r="N8182">
        <v>-3.5486339999999998E-2</v>
      </c>
      <c r="O8182">
        <v>0.87752589999999997</v>
      </c>
      <c r="P8182">
        <v>0.6142552</v>
      </c>
      <c r="Q8182">
        <v>-0.1173616</v>
      </c>
      <c r="R8182">
        <v>0.78033129999999995</v>
      </c>
      <c r="S8182">
        <v>2.9145050000000001</v>
      </c>
      <c r="T8182">
        <v>7.713544E-2</v>
      </c>
      <c r="U8182">
        <v>1.576675</v>
      </c>
      <c r="V8182">
        <v>0.16409609999999999</v>
      </c>
      <c r="W8182">
        <v>-8.6195519999999998E-2</v>
      </c>
      <c r="X8182">
        <v>0.98267130000000003</v>
      </c>
      <c r="Y8182">
        <v>0.54327729999999996</v>
      </c>
      <c r="Z8182">
        <v>4.9840500000000003E-2</v>
      </c>
      <c r="AA8182">
        <v>0.83807259999999995</v>
      </c>
      <c r="AB8182">
        <v>21</v>
      </c>
      <c r="AC8182">
        <v>73.500999999999905</v>
      </c>
      <c r="AD8182">
        <v>1.9470270000000001</v>
      </c>
      <c r="AE8182">
        <v>39.701000000000001</v>
      </c>
      <c r="AF8182">
        <v>45.517399440151898</v>
      </c>
      <c r="AG8182">
        <v>1.9470270000000001</v>
      </c>
      <c r="AH8182">
        <v>69.993978993809804</v>
      </c>
      <c r="AI8182">
        <v>88.664116311914697</v>
      </c>
      <c r="AJ8182">
        <v>56.963869471854302</v>
      </c>
      <c r="AK8182">
        <v>83.515158272728996</v>
      </c>
      <c r="AL8182">
        <v>94.944775252032002</v>
      </c>
      <c r="AM8182">
        <v>80.519664027419196</v>
      </c>
      <c r="AN8182">
        <v>1.0000000407734799</v>
      </c>
    </row>
    <row r="8183" spans="1:40" x14ac:dyDescent="0.25">
      <c r="A8183" t="str">
        <f>"20190305135121820"</f>
        <v>20190305135121820</v>
      </c>
      <c r="B8183" t="str">
        <f>"1551765081817711"</f>
        <v>1551765081817711</v>
      </c>
      <c r="C8183" t="s">
        <v>40</v>
      </c>
      <c r="D8183">
        <v>4.3704970000000003</v>
      </c>
      <c r="E8183">
        <v>0.67401</v>
      </c>
      <c r="F8183" t="s">
        <v>118</v>
      </c>
      <c r="G8183">
        <v>-111.005</v>
      </c>
      <c r="H8183">
        <v>2.940896</v>
      </c>
      <c r="I8183">
        <v>162.77619999999999</v>
      </c>
      <c r="J8183">
        <v>-184.4495</v>
      </c>
      <c r="K8183">
        <v>1.1023350000000001</v>
      </c>
      <c r="L8183">
        <v>124.21339999999999</v>
      </c>
      <c r="M8183">
        <v>0.48396840000000002</v>
      </c>
      <c r="N8183">
        <v>-3.4690100000000001E-2</v>
      </c>
      <c r="O8183">
        <v>0.8743976</v>
      </c>
      <c r="P8183">
        <v>0.62049580000000004</v>
      </c>
      <c r="Q8183">
        <v>-0.1172358</v>
      </c>
      <c r="R8183">
        <v>0.77539720000000001</v>
      </c>
      <c r="S8183">
        <v>2.9364620000000001</v>
      </c>
      <c r="T8183">
        <v>7.3449490000000006E-2</v>
      </c>
      <c r="U8183">
        <v>1.5440830000000001</v>
      </c>
      <c r="V8183">
        <v>0.16552220000000001</v>
      </c>
      <c r="W8183">
        <v>-8.6869119999999994E-2</v>
      </c>
      <c r="X8183">
        <v>0.98237269999999999</v>
      </c>
      <c r="Y8183">
        <v>0.54774529999999999</v>
      </c>
      <c r="Z8183">
        <v>4.7877450000000002E-2</v>
      </c>
      <c r="AA8183">
        <v>0.83527410000000002</v>
      </c>
      <c r="AB8183">
        <v>21</v>
      </c>
      <c r="AC8183">
        <v>73.444500000000005</v>
      </c>
      <c r="AD8183">
        <v>1.8385609999999999</v>
      </c>
      <c r="AE8183">
        <v>38.562800000000003</v>
      </c>
      <c r="AF8183">
        <v>45.561572982884897</v>
      </c>
      <c r="AG8183">
        <v>1.8385609999999999</v>
      </c>
      <c r="AH8183">
        <v>69.271722633907004</v>
      </c>
      <c r="AI8183">
        <v>88.729685639260396</v>
      </c>
      <c r="AJ8183">
        <v>56.666179218037698</v>
      </c>
      <c r="AK8183">
        <v>82.932555705792794</v>
      </c>
      <c r="AL8183">
        <v>94.983515291988397</v>
      </c>
      <c r="AM8183">
        <v>80.435936015036106</v>
      </c>
      <c r="AN8183">
        <v>0.999999982203852</v>
      </c>
    </row>
    <row r="8184" spans="1:40" x14ac:dyDescent="0.25">
      <c r="A8184" t="str">
        <f>"20190305135121832"</f>
        <v>20190305135121832</v>
      </c>
      <c r="B8184" t="str">
        <f>"1551765081827471"</f>
        <v>1551765081827471</v>
      </c>
      <c r="C8184" t="s">
        <v>40</v>
      </c>
      <c r="D8184">
        <v>4.3862030000000001</v>
      </c>
      <c r="E8184">
        <v>0.67445449999999996</v>
      </c>
      <c r="F8184" t="s">
        <v>118</v>
      </c>
      <c r="G8184">
        <v>-111.005</v>
      </c>
      <c r="H8184">
        <v>2.8911989999999999</v>
      </c>
      <c r="I8184">
        <v>161.744</v>
      </c>
      <c r="J8184">
        <v>-184.3896</v>
      </c>
      <c r="K8184">
        <v>1.102252</v>
      </c>
      <c r="L8184">
        <v>124.3045</v>
      </c>
      <c r="M8184">
        <v>0.49004229999999999</v>
      </c>
      <c r="N8184">
        <v>-3.3806580000000003E-2</v>
      </c>
      <c r="O8184">
        <v>0.87104280000000001</v>
      </c>
      <c r="P8184">
        <v>0.62689329999999999</v>
      </c>
      <c r="Q8184">
        <v>-0.116745</v>
      </c>
      <c r="R8184">
        <v>0.77030859999999901</v>
      </c>
      <c r="S8184">
        <v>2.9589690000000002</v>
      </c>
      <c r="T8184">
        <v>7.2070839999999997E-2</v>
      </c>
      <c r="U8184">
        <v>1.512054</v>
      </c>
      <c r="V8184">
        <v>0.16680059999999999</v>
      </c>
      <c r="W8184">
        <v>-8.7248619999999999E-2</v>
      </c>
      <c r="X8184">
        <v>0.98212279999999996</v>
      </c>
      <c r="Y8184">
        <v>0.55176000000000003</v>
      </c>
      <c r="Z8184">
        <v>4.6550389999999997E-2</v>
      </c>
      <c r="AA8184">
        <v>0.83270279999999997</v>
      </c>
      <c r="AB8184">
        <v>21</v>
      </c>
      <c r="AC8184">
        <v>73.384600000000006</v>
      </c>
      <c r="AD8184">
        <v>1.7889470000000001</v>
      </c>
      <c r="AE8184">
        <v>37.439500000000002</v>
      </c>
      <c r="AF8184">
        <v>45.578764330764997</v>
      </c>
      <c r="AG8184">
        <v>1.7889470000000001</v>
      </c>
      <c r="AH8184">
        <v>68.579849672739797</v>
      </c>
      <c r="AI8184">
        <v>88.755436368956296</v>
      </c>
      <c r="AJ8184">
        <v>56.391642205891102</v>
      </c>
      <c r="AK8184">
        <v>82.363947637445193</v>
      </c>
      <c r="AL8184">
        <v>95.005341933601102</v>
      </c>
      <c r="AM8184">
        <v>80.361042590895295</v>
      </c>
      <c r="AN8184">
        <v>0.99999997806605101</v>
      </c>
    </row>
    <row r="8185" spans="1:40" x14ac:dyDescent="0.25">
      <c r="A8185" t="str">
        <f>"20190305135121843"</f>
        <v>20190305135121843</v>
      </c>
      <c r="B8185" t="str">
        <f>"1551765081838211"</f>
        <v>1551765081838211</v>
      </c>
      <c r="C8185" t="s">
        <v>40</v>
      </c>
      <c r="D8185">
        <v>4.3881459999999999</v>
      </c>
      <c r="E8185">
        <v>0.67448850000000005</v>
      </c>
      <c r="F8185" t="s">
        <v>118</v>
      </c>
      <c r="G8185">
        <v>-111.005</v>
      </c>
      <c r="H8185">
        <v>2.8854129999999998</v>
      </c>
      <c r="I8185">
        <v>160.94909999999999</v>
      </c>
      <c r="J8185">
        <v>-184.32749999999999</v>
      </c>
      <c r="K8185">
        <v>1.102212</v>
      </c>
      <c r="L8185">
        <v>124.3968</v>
      </c>
      <c r="M8185">
        <v>0.4962685</v>
      </c>
      <c r="N8185">
        <v>-3.271839E-2</v>
      </c>
      <c r="O8185">
        <v>0.86755230000000005</v>
      </c>
      <c r="P8185">
        <v>0.63300469999999998</v>
      </c>
      <c r="Q8185">
        <v>-0.11566659999999999</v>
      </c>
      <c r="R8185">
        <v>0.76545819999999998</v>
      </c>
      <c r="S8185">
        <v>2.974075</v>
      </c>
      <c r="T8185">
        <v>7.2266819999999996E-2</v>
      </c>
      <c r="U8185">
        <v>1.485107</v>
      </c>
      <c r="V8185">
        <v>0.16755120000000001</v>
      </c>
      <c r="W8185">
        <v>-8.7195229999999999E-2</v>
      </c>
      <c r="X8185">
        <v>0.98199979999999998</v>
      </c>
      <c r="Y8185">
        <v>0.55359320000000001</v>
      </c>
      <c r="Z8185">
        <v>4.5596379999999999E-2</v>
      </c>
      <c r="AA8185">
        <v>0.83153809999999995</v>
      </c>
      <c r="AB8185">
        <v>21</v>
      </c>
      <c r="AC8185">
        <v>73.322499999999906</v>
      </c>
      <c r="AD8185">
        <v>1.783201</v>
      </c>
      <c r="AE8185">
        <v>36.552299999999903</v>
      </c>
      <c r="AF8185">
        <v>45.474165879993201</v>
      </c>
      <c r="AG8185">
        <v>1.783201</v>
      </c>
      <c r="AH8185">
        <v>68.102898497138099</v>
      </c>
      <c r="AI8185">
        <v>88.752542905368202</v>
      </c>
      <c r="AJ8185">
        <v>56.267880874765197</v>
      </c>
      <c r="AK8185">
        <v>81.9090004334019</v>
      </c>
      <c r="AL8185">
        <v>95.002271049004406</v>
      </c>
      <c r="AM8185">
        <v>80.317296894749504</v>
      </c>
      <c r="AN8185">
        <v>1.0000000099781099</v>
      </c>
    </row>
    <row r="8186" spans="1:40" x14ac:dyDescent="0.25">
      <c r="A8186" t="str">
        <f>"20190305135121854"</f>
        <v>20190305135121854</v>
      </c>
      <c r="B8186" t="str">
        <f>"1551765081847967"</f>
        <v>1551765081847967</v>
      </c>
      <c r="C8186" t="s">
        <v>40</v>
      </c>
      <c r="D8186">
        <v>4.435562</v>
      </c>
      <c r="E8186">
        <v>0.67395369999999999</v>
      </c>
      <c r="F8186" t="s">
        <v>118</v>
      </c>
      <c r="G8186">
        <v>-112.1893</v>
      </c>
      <c r="H8186">
        <v>2.8511310000000001</v>
      </c>
      <c r="I8186">
        <v>159.70650000000001</v>
      </c>
      <c r="J8186">
        <v>-184.26830000000001</v>
      </c>
      <c r="K8186">
        <v>1.102201</v>
      </c>
      <c r="L8186">
        <v>124.4838</v>
      </c>
      <c r="M8186">
        <v>0.50212129999999999</v>
      </c>
      <c r="N8186">
        <v>-3.167143E-2</v>
      </c>
      <c r="O8186">
        <v>0.86421700000000001</v>
      </c>
      <c r="P8186">
        <v>0.63902049999999999</v>
      </c>
      <c r="Q8186">
        <v>-0.1146218</v>
      </c>
      <c r="R8186">
        <v>0.76060159999999999</v>
      </c>
      <c r="S8186">
        <v>2.9854579999999999</v>
      </c>
      <c r="T8186">
        <v>7.237971E-2</v>
      </c>
      <c r="U8186">
        <v>1.4613039999999999</v>
      </c>
      <c r="V8186">
        <v>0.1686272</v>
      </c>
      <c r="W8186">
        <v>-8.7136169999999999E-2</v>
      </c>
      <c r="X8186">
        <v>0.98182080000000005</v>
      </c>
      <c r="Y8186">
        <v>0.55463430000000002</v>
      </c>
      <c r="Z8186">
        <v>4.4682239999999998E-2</v>
      </c>
      <c r="AA8186">
        <v>0.83089360000000001</v>
      </c>
      <c r="AB8186">
        <v>21</v>
      </c>
      <c r="AC8186">
        <v>72.078999999999994</v>
      </c>
      <c r="AD8186">
        <v>1.7489299999999901</v>
      </c>
      <c r="AE8186">
        <v>35.222700000000003</v>
      </c>
      <c r="AF8186">
        <v>44.607020103702901</v>
      </c>
      <c r="AG8186">
        <v>1.7489299999999901</v>
      </c>
      <c r="AH8186">
        <v>66.634236243697202</v>
      </c>
      <c r="AI8186">
        <v>88.750535735581096</v>
      </c>
      <c r="AJ8186">
        <v>56.200423385832003</v>
      </c>
      <c r="AK8186">
        <v>80.205775592895506</v>
      </c>
      <c r="AL8186">
        <v>94.998874461810999</v>
      </c>
      <c r="AM8186">
        <v>80.254561286719294</v>
      </c>
      <c r="AN8186">
        <v>0.99999996400737301</v>
      </c>
    </row>
    <row r="8187" spans="1:40" x14ac:dyDescent="0.25">
      <c r="A8187" t="str">
        <f>"20190305135121865"</f>
        <v>20190305135121865</v>
      </c>
      <c r="B8187" t="str">
        <f>"1551765081857728"</f>
        <v>1551765081857728</v>
      </c>
      <c r="C8187" t="s">
        <v>40</v>
      </c>
      <c r="D8187">
        <v>4.4093540000000004</v>
      </c>
      <c r="E8187">
        <v>0.673724199999999</v>
      </c>
      <c r="F8187" t="s">
        <v>118</v>
      </c>
      <c r="G8187">
        <v>-112.1893</v>
      </c>
      <c r="H8187">
        <v>2.6341260000000002</v>
      </c>
      <c r="I8187">
        <v>159.1525</v>
      </c>
      <c r="J8187">
        <v>-184.20609999999999</v>
      </c>
      <c r="K8187">
        <v>1.1022339999999999</v>
      </c>
      <c r="L8187">
        <v>124.57429999999999</v>
      </c>
      <c r="M8187">
        <v>0.50818039999999998</v>
      </c>
      <c r="N8187">
        <v>-3.055401E-2</v>
      </c>
      <c r="O8187">
        <v>0.86070849999999899</v>
      </c>
      <c r="P8187">
        <v>0.64473840000000004</v>
      </c>
      <c r="Q8187">
        <v>-0.1133373</v>
      </c>
      <c r="R8187">
        <v>0.75595440000000003</v>
      </c>
      <c r="S8187">
        <v>2.992737</v>
      </c>
      <c r="T8187">
        <v>6.3606019999999999E-2</v>
      </c>
      <c r="U8187">
        <v>1.4394530000000001</v>
      </c>
      <c r="V8187">
        <v>0.16910129999999901</v>
      </c>
      <c r="W8187">
        <v>-8.6871740000000003E-2</v>
      </c>
      <c r="X8187">
        <v>0.98176269999999999</v>
      </c>
      <c r="Y8187">
        <v>0.55467319999999998</v>
      </c>
      <c r="Z8187">
        <v>4.1027769999999998E-2</v>
      </c>
      <c r="AA8187">
        <v>0.83105620000000002</v>
      </c>
      <c r="AB8187">
        <v>21</v>
      </c>
      <c r="AC8187">
        <v>72.016799999999904</v>
      </c>
      <c r="AD8187">
        <v>1.53189199999999</v>
      </c>
      <c r="AE8187">
        <v>34.578200000000002</v>
      </c>
      <c r="AF8187">
        <v>44.417921731622698</v>
      </c>
      <c r="AG8187">
        <v>1.53189199999999</v>
      </c>
      <c r="AH8187">
        <v>66.365870955625397</v>
      </c>
      <c r="AI8187">
        <v>88.901054002390893</v>
      </c>
      <c r="AJ8187">
        <v>56.2060553540448</v>
      </c>
      <c r="AK8187">
        <v>79.8731950766648</v>
      </c>
      <c r="AL8187">
        <v>94.9836660176083</v>
      </c>
      <c r="AM8187">
        <v>80.227122126514303</v>
      </c>
      <c r="AN8187">
        <v>0.99999997399180296</v>
      </c>
    </row>
    <row r="8188" spans="1:40" x14ac:dyDescent="0.25">
      <c r="A8188" t="str">
        <f>"20190305135121876"</f>
        <v>20190305135121876</v>
      </c>
      <c r="B8188" t="str">
        <f>"1551765081867487"</f>
        <v>1551765081867487</v>
      </c>
      <c r="C8188" t="s">
        <v>40</v>
      </c>
      <c r="D8188">
        <v>4.4564389999999996</v>
      </c>
      <c r="E8188">
        <v>0.67361899999999997</v>
      </c>
      <c r="F8188" t="s">
        <v>118</v>
      </c>
      <c r="G8188">
        <v>-112.1893</v>
      </c>
      <c r="H8188">
        <v>2.6240679999999998</v>
      </c>
      <c r="I8188">
        <v>158.596</v>
      </c>
      <c r="J8188">
        <v>-184.14769999999999</v>
      </c>
      <c r="K8188">
        <v>1.102314</v>
      </c>
      <c r="L8188">
        <v>124.6579</v>
      </c>
      <c r="M8188">
        <v>0.51373959999999996</v>
      </c>
      <c r="N8188">
        <v>-2.957752E-2</v>
      </c>
      <c r="O8188">
        <v>0.85743619999999898</v>
      </c>
      <c r="P8188">
        <v>0.65000919999999995</v>
      </c>
      <c r="Q8188">
        <v>-0.11245040000000001</v>
      </c>
      <c r="R8188">
        <v>0.75156040000000002</v>
      </c>
      <c r="S8188">
        <v>3.0016020000000001</v>
      </c>
      <c r="T8188">
        <v>6.3428999999999999E-2</v>
      </c>
      <c r="U8188">
        <v>1.417999</v>
      </c>
      <c r="V8188">
        <v>0.16960520000000001</v>
      </c>
      <c r="W8188">
        <v>-8.6863839999999998E-2</v>
      </c>
      <c r="X8188">
        <v>0.98167649999999995</v>
      </c>
      <c r="Y8188">
        <v>0.55515419999999904</v>
      </c>
      <c r="Z8188">
        <v>4.0111670000000002E-2</v>
      </c>
      <c r="AA8188">
        <v>0.83077969999999901</v>
      </c>
      <c r="AB8188">
        <v>21</v>
      </c>
      <c r="AC8188">
        <v>71.958399999999898</v>
      </c>
      <c r="AD8188">
        <v>1.5217539999999901</v>
      </c>
      <c r="AE8188">
        <v>33.938099999999999</v>
      </c>
      <c r="AF8188">
        <v>44.267569668450001</v>
      </c>
      <c r="AG8188">
        <v>1.5217539999999901</v>
      </c>
      <c r="AH8188">
        <v>66.072379310232407</v>
      </c>
      <c r="AI8188">
        <v>88.903830409799198</v>
      </c>
      <c r="AJ8188">
        <v>56.178468081176703</v>
      </c>
      <c r="AK8188">
        <v>79.545538952871695</v>
      </c>
      <c r="AL8188">
        <v>94.983211530434005</v>
      </c>
      <c r="AM8188">
        <v>80.197720276027596</v>
      </c>
      <c r="AN8188">
        <v>1.0000000006094101</v>
      </c>
    </row>
    <row r="8189" spans="1:40" x14ac:dyDescent="0.25">
      <c r="A8189" t="str">
        <f>"20190305135121886"</f>
        <v>20190305135121886</v>
      </c>
      <c r="B8189" t="str">
        <f>"1551765081877771"</f>
        <v>1551765081877771</v>
      </c>
      <c r="C8189" t="s">
        <v>40</v>
      </c>
      <c r="D8189">
        <v>4.4761920000000002</v>
      </c>
      <c r="E8189">
        <v>0.67322309999999996</v>
      </c>
      <c r="F8189" t="s">
        <v>118</v>
      </c>
      <c r="G8189">
        <v>-112.1893</v>
      </c>
      <c r="H8189">
        <v>2.5797370000000002</v>
      </c>
      <c r="I8189">
        <v>158.06559999999999</v>
      </c>
      <c r="J8189">
        <v>-184.08860000000001</v>
      </c>
      <c r="K8189">
        <v>1.10243</v>
      </c>
      <c r="L8189">
        <v>124.74209999999999</v>
      </c>
      <c r="M8189">
        <v>0.5192947</v>
      </c>
      <c r="N8189">
        <v>-2.8630969999999999E-2</v>
      </c>
      <c r="O8189">
        <v>0.85411550000000003</v>
      </c>
      <c r="P8189">
        <v>0.6551768</v>
      </c>
      <c r="Q8189">
        <v>-0.11188190000000001</v>
      </c>
      <c r="R8189">
        <v>0.74714510000000001</v>
      </c>
      <c r="S8189">
        <v>3.0101619999999998</v>
      </c>
      <c r="T8189">
        <v>6.1803699999999899E-2</v>
      </c>
      <c r="U8189">
        <v>1.3975070000000001</v>
      </c>
      <c r="V8189">
        <v>0.1700159</v>
      </c>
      <c r="W8189">
        <v>-8.713572E-2</v>
      </c>
      <c r="X8189">
        <v>0.98158129999999999</v>
      </c>
      <c r="Y8189">
        <v>0.55538430000000005</v>
      </c>
      <c r="Z8189">
        <v>3.8782240000000003E-2</v>
      </c>
      <c r="AA8189">
        <v>0.83068899999999901</v>
      </c>
      <c r="AB8189">
        <v>21</v>
      </c>
      <c r="AC8189">
        <v>71.899299999999997</v>
      </c>
      <c r="AD8189">
        <v>1.4773069999999899</v>
      </c>
      <c r="AE8189">
        <v>33.323500000000003</v>
      </c>
      <c r="AF8189">
        <v>44.108349339266702</v>
      </c>
      <c r="AG8189">
        <v>1.4773069999999899</v>
      </c>
      <c r="AH8189">
        <v>65.803160362180094</v>
      </c>
      <c r="AI8189">
        <v>88.931645603754504</v>
      </c>
      <c r="AJ8189">
        <v>56.1657581772048</v>
      </c>
      <c r="AK8189">
        <v>79.232473336743894</v>
      </c>
      <c r="AL8189">
        <v>94.998848679376593</v>
      </c>
      <c r="AM8189">
        <v>80.173511718979498</v>
      </c>
      <c r="AN8189">
        <v>0.99999994423120697</v>
      </c>
    </row>
    <row r="8190" spans="1:40" x14ac:dyDescent="0.25">
      <c r="A8190" t="str">
        <f>"20190305135121901"</f>
        <v>20190305135121901</v>
      </c>
      <c r="B8190" t="str">
        <f>"1551765081898250"</f>
        <v>1551765081898250</v>
      </c>
      <c r="C8190" t="s">
        <v>40</v>
      </c>
      <c r="D8190">
        <v>4.4675269999999996</v>
      </c>
      <c r="E8190">
        <v>0.67235210000000001</v>
      </c>
      <c r="F8190" t="s">
        <v>118</v>
      </c>
      <c r="G8190">
        <v>-112.1893</v>
      </c>
      <c r="H8190">
        <v>2.4954960000000002</v>
      </c>
      <c r="I8190">
        <v>157.5916</v>
      </c>
      <c r="J8190">
        <v>-184.01400000000001</v>
      </c>
      <c r="K8190">
        <v>1.1026100000000001</v>
      </c>
      <c r="L8190">
        <v>124.84650000000001</v>
      </c>
      <c r="M8190">
        <v>0.52616859999999999</v>
      </c>
      <c r="N8190">
        <v>-2.7557069999999999E-2</v>
      </c>
      <c r="O8190">
        <v>0.84993359999999996</v>
      </c>
      <c r="P8190">
        <v>0.66143099999999999</v>
      </c>
      <c r="Q8190">
        <v>-0.1117668</v>
      </c>
      <c r="R8190">
        <v>0.7416315</v>
      </c>
      <c r="S8190">
        <v>3.0169679999999999</v>
      </c>
      <c r="T8190">
        <v>5.845463E-2</v>
      </c>
      <c r="U8190">
        <v>1.378403</v>
      </c>
      <c r="V8190">
        <v>0.17039409999999999</v>
      </c>
      <c r="W8190">
        <v>-8.7965730000000006E-2</v>
      </c>
      <c r="X8190">
        <v>0.98144169999999997</v>
      </c>
      <c r="Y8190">
        <v>0.5538303</v>
      </c>
      <c r="Z8190">
        <v>3.6819020000000001E-2</v>
      </c>
      <c r="AA8190">
        <v>0.83181510000000003</v>
      </c>
      <c r="AB8190">
        <v>21</v>
      </c>
      <c r="AC8190">
        <v>71.824700000000007</v>
      </c>
      <c r="AD8190">
        <v>1.3928859999999901</v>
      </c>
      <c r="AE8190">
        <v>32.745099999999901</v>
      </c>
      <c r="AF8190">
        <v>43.819786886586797</v>
      </c>
      <c r="AG8190">
        <v>1.3928859999999901</v>
      </c>
      <c r="AH8190">
        <v>65.627562273923004</v>
      </c>
      <c r="AI8190">
        <v>88.988773545696205</v>
      </c>
      <c r="AJ8190">
        <v>56.268804355599698</v>
      </c>
      <c r="AK8190">
        <v>78.924589224224206</v>
      </c>
      <c r="AL8190">
        <v>95.046587965937206</v>
      </c>
      <c r="AM8190">
        <v>80.150706895636901</v>
      </c>
      <c r="AN8190">
        <v>0.99999996473406505</v>
      </c>
    </row>
    <row r="8191" spans="1:40" x14ac:dyDescent="0.25">
      <c r="A8191" t="str">
        <f>"20190305135121911"</f>
        <v>20190305135121911</v>
      </c>
      <c r="B8191" t="str">
        <f>"1551765081908009"</f>
        <v>1551765081908009</v>
      </c>
      <c r="C8191" t="s">
        <v>40</v>
      </c>
      <c r="D8191">
        <v>4.526224</v>
      </c>
      <c r="E8191">
        <v>0.6718826</v>
      </c>
      <c r="F8191" t="s">
        <v>118</v>
      </c>
      <c r="G8191">
        <v>-111.0835</v>
      </c>
      <c r="H8191">
        <v>2.2145839999999999</v>
      </c>
      <c r="I8191">
        <v>157.56799999999899</v>
      </c>
      <c r="J8191">
        <v>-183.95179999999999</v>
      </c>
      <c r="K8191">
        <v>1.102765</v>
      </c>
      <c r="L8191">
        <v>124.9328</v>
      </c>
      <c r="M8191">
        <v>0.53182839999999998</v>
      </c>
      <c r="N8191">
        <v>-2.670316E-2</v>
      </c>
      <c r="O8191">
        <v>0.84643109999999999</v>
      </c>
      <c r="P8191">
        <v>0.66648469999999904</v>
      </c>
      <c r="Q8191">
        <v>-0.11150019999999999</v>
      </c>
      <c r="R8191">
        <v>0.73713359999999895</v>
      </c>
      <c r="S8191">
        <v>3.0227659999999998</v>
      </c>
      <c r="T8191">
        <v>4.6088459999999998E-2</v>
      </c>
      <c r="U8191">
        <v>1.3562160000000001</v>
      </c>
      <c r="V8191">
        <v>0.1705826</v>
      </c>
      <c r="W8191">
        <v>-8.8448170000000007E-2</v>
      </c>
      <c r="X8191">
        <v>0.98136559999999995</v>
      </c>
      <c r="Y8191">
        <v>0.55411029999999994</v>
      </c>
      <c r="Z8191">
        <v>3.2320059999999998E-2</v>
      </c>
      <c r="AA8191">
        <v>0.83181559999999899</v>
      </c>
      <c r="AB8191">
        <v>21</v>
      </c>
      <c r="AC8191">
        <v>72.868299999999905</v>
      </c>
      <c r="AD8191">
        <v>1.1118189999999999</v>
      </c>
      <c r="AE8191">
        <v>32.635199999999898</v>
      </c>
      <c r="AF8191">
        <v>44.328881273803397</v>
      </c>
      <c r="AG8191">
        <v>1.1118189999999999</v>
      </c>
      <c r="AH8191">
        <v>66.387680671020803</v>
      </c>
      <c r="AI8191">
        <v>89.202045698143806</v>
      </c>
      <c r="AJ8191">
        <v>56.267872998170603</v>
      </c>
      <c r="AK8191">
        <v>79.834892129651905</v>
      </c>
      <c r="AL8191">
        <v>95.074337873025598</v>
      </c>
      <c r="AM8191">
        <v>80.139275176117906</v>
      </c>
      <c r="AN8191">
        <v>0.99999997153123399</v>
      </c>
    </row>
    <row r="8192" spans="1:40" x14ac:dyDescent="0.25">
      <c r="A8192" t="str">
        <f>"20190305135121922"</f>
        <v>20190305135121922</v>
      </c>
      <c r="B8192" t="str">
        <f>"1551765081917770"</f>
        <v>1551765081917770</v>
      </c>
      <c r="C8192" t="s">
        <v>40</v>
      </c>
      <c r="D8192">
        <v>4.5490110000000001</v>
      </c>
      <c r="E8192">
        <v>0.67139450000000001</v>
      </c>
      <c r="F8192" t="s">
        <v>118</v>
      </c>
      <c r="G8192">
        <v>-110.0562</v>
      </c>
      <c r="H8192">
        <v>2.1264249999999998</v>
      </c>
      <c r="I8192">
        <v>157.56799999999899</v>
      </c>
      <c r="J8192">
        <v>-183.89109999999999</v>
      </c>
      <c r="K8192">
        <v>1.1028770000000001</v>
      </c>
      <c r="L8192">
        <v>125.0159</v>
      </c>
      <c r="M8192">
        <v>0.53727789999999997</v>
      </c>
      <c r="N8192">
        <v>-2.5929870000000001E-2</v>
      </c>
      <c r="O8192">
        <v>0.84300659999999905</v>
      </c>
      <c r="P8192">
        <v>0.67153890000000005</v>
      </c>
      <c r="Q8192">
        <v>-0.11122219999999999</v>
      </c>
      <c r="R8192">
        <v>0.73257430000000001</v>
      </c>
      <c r="S8192">
        <v>3.0288240000000002</v>
      </c>
      <c r="T8192">
        <v>4.195786E-2</v>
      </c>
      <c r="U8192">
        <v>1.3376459999999999</v>
      </c>
      <c r="V8192">
        <v>0.1710169</v>
      </c>
      <c r="W8192">
        <v>-8.8869500000000004E-2</v>
      </c>
      <c r="X8192">
        <v>0.98125200000000001</v>
      </c>
      <c r="Y8192">
        <v>0.55369569999999901</v>
      </c>
      <c r="Z8192">
        <v>3.0389989999999999E-2</v>
      </c>
      <c r="AA8192">
        <v>0.83216429999999997</v>
      </c>
      <c r="AB8192">
        <v>21</v>
      </c>
      <c r="AC8192">
        <v>73.834899999999905</v>
      </c>
      <c r="AD8192">
        <v>1.0235479999999899</v>
      </c>
      <c r="AE8192">
        <v>32.552099999999903</v>
      </c>
      <c r="AF8192">
        <v>44.761634238775201</v>
      </c>
      <c r="AG8192">
        <v>1.0235479999999899</v>
      </c>
      <c r="AH8192">
        <v>67.123267033620294</v>
      </c>
      <c r="AI8192">
        <v>89.273148240699499</v>
      </c>
      <c r="AJ8192">
        <v>56.302375189659202</v>
      </c>
      <c r="AK8192">
        <v>80.685714519367707</v>
      </c>
      <c r="AL8192">
        <v>95.098573456590302</v>
      </c>
      <c r="AM8192">
        <v>80.113542752211899</v>
      </c>
      <c r="AN8192">
        <v>1.0000000278099199</v>
      </c>
    </row>
    <row r="8193" spans="1:40" x14ac:dyDescent="0.25">
      <c r="A8193" t="str">
        <f>"20190305135121935"</f>
        <v>20190305135121935</v>
      </c>
      <c r="B8193" t="str">
        <f>"1551765081927530"</f>
        <v>1551765081927530</v>
      </c>
      <c r="C8193" t="s">
        <v>40</v>
      </c>
      <c r="D8193">
        <v>4.5466540000000002</v>
      </c>
      <c r="E8193">
        <v>0.67102010000000001</v>
      </c>
      <c r="F8193" t="s">
        <v>118</v>
      </c>
      <c r="G8193">
        <v>-107.6507</v>
      </c>
      <c r="H8193">
        <v>2.067167</v>
      </c>
      <c r="I8193">
        <v>158.1557</v>
      </c>
      <c r="J8193">
        <v>-183.82169999999999</v>
      </c>
      <c r="K8193">
        <v>1.10297</v>
      </c>
      <c r="L8193">
        <v>125.1099</v>
      </c>
      <c r="M8193">
        <v>0.54342480000000004</v>
      </c>
      <c r="N8193">
        <v>-2.5076520000000001E-2</v>
      </c>
      <c r="O8193">
        <v>0.83908320000000003</v>
      </c>
      <c r="P8193">
        <v>0.67699790000000004</v>
      </c>
      <c r="Q8193">
        <v>-0.1102566</v>
      </c>
      <c r="R8193">
        <v>0.72767950000000003</v>
      </c>
      <c r="S8193">
        <v>3.0346980000000001</v>
      </c>
      <c r="T8193">
        <v>3.8383130000000001E-2</v>
      </c>
      <c r="U8193">
        <v>1.319107</v>
      </c>
      <c r="V8193">
        <v>0.1711501</v>
      </c>
      <c r="W8193">
        <v>-8.8679679999999997E-2</v>
      </c>
      <c r="X8193">
        <v>0.9812459</v>
      </c>
      <c r="Y8193">
        <v>0.55254329999999996</v>
      </c>
      <c r="Z8193">
        <v>2.856771E-2</v>
      </c>
      <c r="AA8193">
        <v>0.83299449999999997</v>
      </c>
      <c r="AB8193">
        <v>21</v>
      </c>
      <c r="AC8193">
        <v>76.170999999999907</v>
      </c>
      <c r="AD8193">
        <v>0.96419699999999997</v>
      </c>
      <c r="AE8193">
        <v>33.0458</v>
      </c>
      <c r="AF8193">
        <v>45.9641577804204</v>
      </c>
      <c r="AG8193">
        <v>0.96419699999999997</v>
      </c>
      <c r="AH8193">
        <v>69.133807666765307</v>
      </c>
      <c r="AI8193">
        <v>89.334588425293703</v>
      </c>
      <c r="AJ8193">
        <v>56.381739711500103</v>
      </c>
      <c r="AK8193">
        <v>83.024796529853006</v>
      </c>
      <c r="AL8193">
        <v>95.087654708342299</v>
      </c>
      <c r="AM8193">
        <v>80.105934302511699</v>
      </c>
      <c r="AN8193">
        <v>0.99999997932086004</v>
      </c>
    </row>
    <row r="8194" spans="1:40" x14ac:dyDescent="0.25">
      <c r="A8194" t="str">
        <f>"20190305135121948"</f>
        <v>20190305135121948</v>
      </c>
      <c r="B8194" t="str">
        <f>"1551765081938266"</f>
        <v>1551765081938266</v>
      </c>
      <c r="C8194" t="s">
        <v>40</v>
      </c>
      <c r="D8194">
        <v>4.5358720000000003</v>
      </c>
      <c r="E8194">
        <v>0.67063139999999999</v>
      </c>
      <c r="F8194" t="s">
        <v>118</v>
      </c>
      <c r="G8194">
        <v>-106.3948</v>
      </c>
      <c r="H8194">
        <v>2.0354760000000001</v>
      </c>
      <c r="I8194">
        <v>158.1557</v>
      </c>
      <c r="J8194">
        <v>-183.74420000000001</v>
      </c>
      <c r="K8194">
        <v>1.1030260000000001</v>
      </c>
      <c r="L8194">
        <v>125.2135</v>
      </c>
      <c r="M8194">
        <v>0.55017299999999902</v>
      </c>
      <c r="N8194">
        <v>-2.4168419999999999E-2</v>
      </c>
      <c r="O8194">
        <v>0.83470089999999997</v>
      </c>
      <c r="P8194">
        <v>0.68271510000000002</v>
      </c>
      <c r="Q8194">
        <v>-0.10951230000000001</v>
      </c>
      <c r="R8194">
        <v>0.72243139999999995</v>
      </c>
      <c r="S8194">
        <v>3.041855</v>
      </c>
      <c r="T8194">
        <v>3.6635399999999999E-2</v>
      </c>
      <c r="U8194">
        <v>1.2982640000000001</v>
      </c>
      <c r="V8194">
        <v>0.17094799999999999</v>
      </c>
      <c r="W8194">
        <v>-8.8777620000000002E-2</v>
      </c>
      <c r="X8194">
        <v>0.98127229999999999</v>
      </c>
      <c r="Y8194">
        <v>0.5514133</v>
      </c>
      <c r="Z8194">
        <v>2.7254569999999999E-2</v>
      </c>
      <c r="AA8194">
        <v>0.83378680000000005</v>
      </c>
      <c r="AB8194">
        <v>21</v>
      </c>
      <c r="AC8194">
        <v>77.349400000000003</v>
      </c>
      <c r="AD8194">
        <v>0.932449999999999</v>
      </c>
      <c r="AE8194">
        <v>32.9422</v>
      </c>
      <c r="AF8194">
        <v>46.447559328853401</v>
      </c>
      <c r="AG8194">
        <v>0.932449999999999</v>
      </c>
      <c r="AH8194">
        <v>70.064283685755498</v>
      </c>
      <c r="AI8194">
        <v>89.364476093369504</v>
      </c>
      <c r="AJ8194">
        <v>56.458496747459698</v>
      </c>
      <c r="AK8194">
        <v>84.066932137481302</v>
      </c>
      <c r="AL8194">
        <v>95.093288343257399</v>
      </c>
      <c r="AM8194">
        <v>80.117647717336098</v>
      </c>
      <c r="AN8194">
        <v>1.0000000056320699</v>
      </c>
    </row>
    <row r="8195" spans="1:40" x14ac:dyDescent="0.25">
      <c r="A8195" t="str">
        <f>"20190305135121960"</f>
        <v>20190305135121960</v>
      </c>
      <c r="B8195" t="str">
        <f>"1551765081957786"</f>
        <v>1551765081957786</v>
      </c>
      <c r="C8195" t="s">
        <v>40</v>
      </c>
      <c r="D8195">
        <v>4.5327029999999997</v>
      </c>
      <c r="E8195">
        <v>0.6701414</v>
      </c>
      <c r="F8195" t="s">
        <v>118</v>
      </c>
      <c r="G8195">
        <v>-105.0335</v>
      </c>
      <c r="H8195">
        <v>2.0041410000000002</v>
      </c>
      <c r="I8195">
        <v>158.15559999999999</v>
      </c>
      <c r="J8195">
        <v>-183.67429999999999</v>
      </c>
      <c r="K8195">
        <v>1.1030040000000001</v>
      </c>
      <c r="L8195">
        <v>125.3053</v>
      </c>
      <c r="M8195">
        <v>0.55610159999999997</v>
      </c>
      <c r="N8195">
        <v>-2.341876E-2</v>
      </c>
      <c r="O8195">
        <v>0.83078439999999998</v>
      </c>
      <c r="P8195">
        <v>0.68782589999999999</v>
      </c>
      <c r="Q8195">
        <v>-0.108667</v>
      </c>
      <c r="R8195">
        <v>0.71769579999999999</v>
      </c>
      <c r="S8195">
        <v>3.0493769999999998</v>
      </c>
      <c r="T8195">
        <v>3.4910799999999999E-2</v>
      </c>
      <c r="U8195">
        <v>1.27623</v>
      </c>
      <c r="V8195">
        <v>0.1708731</v>
      </c>
      <c r="W8195">
        <v>-8.8657260000000002E-2</v>
      </c>
      <c r="X8195">
        <v>0.98129619999999995</v>
      </c>
      <c r="Y8195">
        <v>0.55137890000000001</v>
      </c>
      <c r="Z8195">
        <v>2.608071E-2</v>
      </c>
      <c r="AA8195">
        <v>0.83384720000000001</v>
      </c>
      <c r="AB8195">
        <v>21</v>
      </c>
      <c r="AC8195">
        <v>78.640799999999899</v>
      </c>
      <c r="AD8195">
        <v>0.90113699999999997</v>
      </c>
      <c r="AE8195">
        <v>32.850299999999898</v>
      </c>
      <c r="AF8195">
        <v>47.073090861117898</v>
      </c>
      <c r="AG8195">
        <v>0.90113699999999997</v>
      </c>
      <c r="AH8195">
        <v>71.035328731844203</v>
      </c>
      <c r="AI8195">
        <v>89.394139944967307</v>
      </c>
      <c r="AJ8195">
        <v>56.468696644393198</v>
      </c>
      <c r="AK8195">
        <v>85.221510542544394</v>
      </c>
      <c r="AL8195">
        <v>95.086365058408603</v>
      </c>
      <c r="AM8195">
        <v>80.122128157743703</v>
      </c>
      <c r="AN8195">
        <v>0.99999997909437799</v>
      </c>
    </row>
    <row r="8196" spans="1:40" x14ac:dyDescent="0.25">
      <c r="A8196" t="str">
        <f>"20190305135121974"</f>
        <v>20190305135121974</v>
      </c>
      <c r="B8196" t="str">
        <f>"1551765081967546"</f>
        <v>1551765081967546</v>
      </c>
      <c r="C8196" t="s">
        <v>40</v>
      </c>
      <c r="D8196">
        <v>4.5278549999999997</v>
      </c>
      <c r="E8196">
        <v>0.66954029999999998</v>
      </c>
      <c r="F8196" t="s">
        <v>118</v>
      </c>
      <c r="G8196">
        <v>-103.8348</v>
      </c>
      <c r="H8196">
        <v>1.977417</v>
      </c>
      <c r="I8196">
        <v>158.15559999999999</v>
      </c>
      <c r="J8196">
        <v>-183.59630000000001</v>
      </c>
      <c r="K8196">
        <v>1.102956</v>
      </c>
      <c r="L8196">
        <v>125.4066</v>
      </c>
      <c r="M8196">
        <v>0.56261369999999999</v>
      </c>
      <c r="N8196">
        <v>-2.2623150000000002E-2</v>
      </c>
      <c r="O8196">
        <v>0.82641039999999999</v>
      </c>
      <c r="P8196">
        <v>0.69369689999999995</v>
      </c>
      <c r="Q8196">
        <v>-0.10779560000000001</v>
      </c>
      <c r="R8196">
        <v>0.71215499999999998</v>
      </c>
      <c r="S8196">
        <v>3.0552060000000001</v>
      </c>
      <c r="T8196">
        <v>3.3461209999999998E-2</v>
      </c>
      <c r="U8196">
        <v>1.25708</v>
      </c>
      <c r="V8196">
        <v>0.1711568</v>
      </c>
      <c r="W8196">
        <v>-8.8573879999999994E-2</v>
      </c>
      <c r="X8196">
        <v>0.98125430000000002</v>
      </c>
      <c r="Y8196">
        <v>0.54989500000000002</v>
      </c>
      <c r="Z8196">
        <v>2.4960130000000001E-2</v>
      </c>
      <c r="AA8196">
        <v>0.83486070000000001</v>
      </c>
      <c r="AB8196">
        <v>21</v>
      </c>
      <c r="AC8196">
        <v>79.761499999999998</v>
      </c>
      <c r="AD8196">
        <v>0.87446099999999904</v>
      </c>
      <c r="AE8196">
        <v>32.748999999999903</v>
      </c>
      <c r="AF8196">
        <v>47.497966117435297</v>
      </c>
      <c r="AG8196">
        <v>0.87446099999999904</v>
      </c>
      <c r="AH8196">
        <v>71.950038011130104</v>
      </c>
      <c r="AI8196">
        <v>89.418874316832998</v>
      </c>
      <c r="AJ8196">
        <v>56.569120252431503</v>
      </c>
      <c r="AK8196">
        <v>86.218498230580494</v>
      </c>
      <c r="AL8196">
        <v>95.081568802604593</v>
      </c>
      <c r="AM8196">
        <v>80.105637662010295</v>
      </c>
      <c r="AN8196">
        <v>0.99999999183649202</v>
      </c>
    </row>
    <row r="8197" spans="1:40" x14ac:dyDescent="0.25">
      <c r="A8197" t="str">
        <f>"20190305135121988"</f>
        <v>20190305135121988</v>
      </c>
      <c r="B8197" t="str">
        <f>"1551765081978283"</f>
        <v>1551765081978283</v>
      </c>
      <c r="C8197" t="s">
        <v>40</v>
      </c>
      <c r="D8197">
        <v>4.553032</v>
      </c>
      <c r="E8197">
        <v>0.66903089999999998</v>
      </c>
      <c r="F8197" t="s">
        <v>118</v>
      </c>
      <c r="G8197">
        <v>-103.6973</v>
      </c>
      <c r="H8197">
        <v>1.9273899999999999</v>
      </c>
      <c r="I8197">
        <v>157.6388</v>
      </c>
      <c r="J8197">
        <v>-183.5128</v>
      </c>
      <c r="K8197">
        <v>1.10287</v>
      </c>
      <c r="L8197">
        <v>125.51309999999999</v>
      </c>
      <c r="M8197">
        <v>0.56941799999999998</v>
      </c>
      <c r="N8197">
        <v>-2.184614E-2</v>
      </c>
      <c r="O8197">
        <v>0.82175789999999904</v>
      </c>
      <c r="P8197">
        <v>0.69956609999999997</v>
      </c>
      <c r="Q8197">
        <v>-0.10828740000000001</v>
      </c>
      <c r="R8197">
        <v>0.70631509999999997</v>
      </c>
      <c r="S8197">
        <v>3.0616150000000002</v>
      </c>
      <c r="T8197">
        <v>3.1591300000000003E-2</v>
      </c>
      <c r="U8197">
        <v>1.2350920000000001</v>
      </c>
      <c r="V8197">
        <v>0.17119709999999999</v>
      </c>
      <c r="W8197">
        <v>-8.9850920000000001E-2</v>
      </c>
      <c r="X8197">
        <v>0.98113110000000003</v>
      </c>
      <c r="Y8197">
        <v>0.54880450000000003</v>
      </c>
      <c r="Z8197">
        <v>2.372639E-2</v>
      </c>
      <c r="AA8197">
        <v>0.83561399999999997</v>
      </c>
      <c r="AB8197">
        <v>21</v>
      </c>
      <c r="AC8197">
        <v>79.8155</v>
      </c>
      <c r="AD8197">
        <v>0.82452000000000003</v>
      </c>
      <c r="AE8197">
        <v>32.125700000000002</v>
      </c>
      <c r="AF8197">
        <v>47.303008037878897</v>
      </c>
      <c r="AG8197">
        <v>0.82452000000000003</v>
      </c>
      <c r="AH8197">
        <v>71.858476132791594</v>
      </c>
      <c r="AI8197">
        <v>89.450890426715603</v>
      </c>
      <c r="AJ8197">
        <v>56.643883719645999</v>
      </c>
      <c r="AK8197">
        <v>86.0342663988542</v>
      </c>
      <c r="AL8197">
        <v>95.155031024033093</v>
      </c>
      <c r="AM8197">
        <v>80.102135885991601</v>
      </c>
      <c r="AN8197">
        <v>0.999999935130231</v>
      </c>
    </row>
    <row r="8198" spans="1:40" x14ac:dyDescent="0.25">
      <c r="A8198" t="str">
        <f>"20190305135121999"</f>
        <v>20190305135121999</v>
      </c>
      <c r="B8198" t="str">
        <f>"1551765081997802"</f>
        <v>1551765081997802</v>
      </c>
      <c r="C8198" t="s">
        <v>40</v>
      </c>
      <c r="D8198">
        <v>4.5377080000000003</v>
      </c>
      <c r="E8198">
        <v>0.66822250000000005</v>
      </c>
      <c r="F8198" t="s">
        <v>118</v>
      </c>
      <c r="G8198">
        <v>-102.3556</v>
      </c>
      <c r="H8198">
        <v>1.8019000000000001</v>
      </c>
      <c r="I8198">
        <v>157.56790000000001</v>
      </c>
      <c r="J8198">
        <v>-183.4426</v>
      </c>
      <c r="K8198">
        <v>1.1027929999999999</v>
      </c>
      <c r="L8198">
        <v>125.601</v>
      </c>
      <c r="M8198">
        <v>0.57502819999999899</v>
      </c>
      <c r="N8198">
        <v>-2.1263379999999998E-2</v>
      </c>
      <c r="O8198">
        <v>0.81785730000000001</v>
      </c>
      <c r="P8198">
        <v>0.70406380000000002</v>
      </c>
      <c r="Q8198">
        <v>-0.1082289</v>
      </c>
      <c r="R8198">
        <v>0.70184099999999905</v>
      </c>
      <c r="S8198">
        <v>3.0687099999999998</v>
      </c>
      <c r="T8198">
        <v>2.6431799999999998E-2</v>
      </c>
      <c r="U8198">
        <v>1.212051</v>
      </c>
      <c r="V8198">
        <v>0.17073369999999999</v>
      </c>
      <c r="W8198">
        <v>-9.0377929999999995E-2</v>
      </c>
      <c r="X8198">
        <v>0.98116349999999997</v>
      </c>
      <c r="Y8198">
        <v>0.54922550000000003</v>
      </c>
      <c r="Z8198">
        <v>2.166274E-2</v>
      </c>
      <c r="AA8198">
        <v>0.83539339999999995</v>
      </c>
      <c r="AB8198">
        <v>21</v>
      </c>
      <c r="AC8198">
        <v>81.087000000000003</v>
      </c>
      <c r="AD8198">
        <v>0.69910699999999903</v>
      </c>
      <c r="AE8198">
        <v>31.966899999999999</v>
      </c>
      <c r="AF8198">
        <v>47.9434787764433</v>
      </c>
      <c r="AG8198">
        <v>0.69910699999999903</v>
      </c>
      <c r="AH8198">
        <v>72.783443862947095</v>
      </c>
      <c r="AI8198">
        <v>89.540416641384198</v>
      </c>
      <c r="AJ8198">
        <v>56.626541377945301</v>
      </c>
      <c r="AK8198">
        <v>87.157877488701502</v>
      </c>
      <c r="AL8198">
        <v>95.185349543637301</v>
      </c>
      <c r="AM8198">
        <v>80.128719451612497</v>
      </c>
      <c r="AN8198">
        <v>0.99999999013951202</v>
      </c>
    </row>
    <row r="8199" spans="1:40" x14ac:dyDescent="0.25">
      <c r="A8199" t="str">
        <f>"20190305135122010"</f>
        <v>20190305135122010</v>
      </c>
      <c r="B8199" t="str">
        <f>"1551765082007562"</f>
        <v>1551765082007562</v>
      </c>
      <c r="C8199" t="s">
        <v>40</v>
      </c>
      <c r="D8199">
        <v>4.560473</v>
      </c>
      <c r="E8199">
        <v>0.66771669999999905</v>
      </c>
      <c r="F8199" t="s">
        <v>118</v>
      </c>
      <c r="G8199">
        <v>-99.867779999999996</v>
      </c>
      <c r="H8199">
        <v>1.612784</v>
      </c>
      <c r="I8199">
        <v>158.15549999999999</v>
      </c>
      <c r="J8199">
        <v>-183.37729999999999</v>
      </c>
      <c r="K8199">
        <v>1.102725</v>
      </c>
      <c r="L8199">
        <v>125.68219999999999</v>
      </c>
      <c r="M8199">
        <v>0.58020159999999998</v>
      </c>
      <c r="N8199">
        <v>-2.0738159999999999E-2</v>
      </c>
      <c r="O8199">
        <v>0.81420890000000001</v>
      </c>
      <c r="P8199">
        <v>0.7083988</v>
      </c>
      <c r="Q8199">
        <v>-0.10830330000000001</v>
      </c>
      <c r="R8199">
        <v>0.69745369999999995</v>
      </c>
      <c r="S8199">
        <v>3.071259</v>
      </c>
      <c r="T8199">
        <v>1.8741609999999999E-2</v>
      </c>
      <c r="U8199">
        <v>1.1963349999999999</v>
      </c>
      <c r="V8199">
        <v>0.17058519999999999</v>
      </c>
      <c r="W8199">
        <v>-9.0987139999999994E-2</v>
      </c>
      <c r="X8199">
        <v>0.98113300000000003</v>
      </c>
      <c r="Y8199">
        <v>0.54793349999999996</v>
      </c>
      <c r="Z8199">
        <v>1.8909849999999999E-2</v>
      </c>
      <c r="AA8199">
        <v>0.83630819999999995</v>
      </c>
      <c r="AB8199">
        <v>21</v>
      </c>
      <c r="AC8199">
        <v>83.509519999999895</v>
      </c>
      <c r="AD8199">
        <v>0.51005900000000004</v>
      </c>
      <c r="AE8199">
        <v>32.473299999999902</v>
      </c>
      <c r="AF8199">
        <v>49.162111303172097</v>
      </c>
      <c r="AG8199">
        <v>0.51005900000000004</v>
      </c>
      <c r="AH8199">
        <v>74.906085604965796</v>
      </c>
      <c r="AI8199">
        <v>89.673833659166107</v>
      </c>
      <c r="AJ8199">
        <v>56.722442800370303</v>
      </c>
      <c r="AK8199">
        <v>89.599637324195797</v>
      </c>
      <c r="AL8199">
        <v>95.2203992375089</v>
      </c>
      <c r="AM8199">
        <v>80.1368359912437</v>
      </c>
      <c r="AN8199">
        <v>0.999999966896709</v>
      </c>
    </row>
    <row r="8200" spans="1:40" x14ac:dyDescent="0.25">
      <c r="A8200" t="str">
        <f>"20190305135122022"</f>
        <v>20190305135122022</v>
      </c>
      <c r="B8200" t="str">
        <f>"1551765082018298"</f>
        <v>1551765082018298</v>
      </c>
      <c r="C8200" t="s">
        <v>40</v>
      </c>
      <c r="D8200">
        <v>4.5771879999999996</v>
      </c>
      <c r="E8200">
        <v>0.66715040000000003</v>
      </c>
      <c r="F8200" t="s">
        <v>118</v>
      </c>
      <c r="G8200">
        <v>-98.746430000000004</v>
      </c>
      <c r="H8200">
        <v>1.5389649999999999</v>
      </c>
      <c r="I8200">
        <v>158.15549999999999</v>
      </c>
      <c r="J8200">
        <v>-183.30789999999999</v>
      </c>
      <c r="K8200">
        <v>1.10266</v>
      </c>
      <c r="L8200">
        <v>125.76649999999999</v>
      </c>
      <c r="M8200">
        <v>0.58561269999999999</v>
      </c>
      <c r="N8200">
        <v>-2.0245470000000002E-2</v>
      </c>
      <c r="O8200">
        <v>0.81033809999999995</v>
      </c>
      <c r="P8200">
        <v>0.71249280000000004</v>
      </c>
      <c r="Q8200">
        <v>-0.10823000000000001</v>
      </c>
      <c r="R8200">
        <v>0.69328230000000002</v>
      </c>
      <c r="S8200">
        <v>3.0754549999999998</v>
      </c>
      <c r="T8200">
        <v>1.5852930000000001E-2</v>
      </c>
      <c r="U8200">
        <v>1.180069</v>
      </c>
      <c r="V8200">
        <v>0.1698086</v>
      </c>
      <c r="W8200">
        <v>-9.1403390000000001E-2</v>
      </c>
      <c r="X8200">
        <v>0.98122909999999997</v>
      </c>
      <c r="Y8200">
        <v>0.54662849999999996</v>
      </c>
      <c r="Z8200">
        <v>1.7617239999999999E-2</v>
      </c>
      <c r="AA8200">
        <v>0.83718989999999904</v>
      </c>
      <c r="AB8200">
        <v>21</v>
      </c>
      <c r="AC8200">
        <v>84.5614699999999</v>
      </c>
      <c r="AD8200">
        <v>0.436305</v>
      </c>
      <c r="AE8200">
        <v>32.389000000000003</v>
      </c>
      <c r="AF8200">
        <v>49.564980849678399</v>
      </c>
      <c r="AG8200">
        <v>0.436305</v>
      </c>
      <c r="AH8200">
        <v>75.780086382133703</v>
      </c>
      <c r="AI8200">
        <v>89.723928967539905</v>
      </c>
      <c r="AJ8200">
        <v>56.812769711309599</v>
      </c>
      <c r="AK8200">
        <v>90.551086027532904</v>
      </c>
      <c r="AL8200">
        <v>95.244347999232104</v>
      </c>
      <c r="AM8200">
        <v>80.181805652469905</v>
      </c>
      <c r="AN8200">
        <v>1.0000000435121299</v>
      </c>
    </row>
    <row r="8201" spans="1:40" x14ac:dyDescent="0.25">
      <c r="A8201" t="str">
        <f>"20190305135122033"</f>
        <v>20190305135122033</v>
      </c>
      <c r="B8201" t="str">
        <f>"1551765082028058"</f>
        <v>1551765082028058</v>
      </c>
      <c r="C8201" t="s">
        <v>40</v>
      </c>
      <c r="D8201">
        <v>4.5843040000000004</v>
      </c>
      <c r="E8201">
        <v>0.6666434</v>
      </c>
      <c r="F8201" t="s">
        <v>118</v>
      </c>
      <c r="G8201">
        <v>-97.721689999999995</v>
      </c>
      <c r="H8201">
        <v>1.4396119999999999</v>
      </c>
      <c r="I8201">
        <v>158.15549999999999</v>
      </c>
      <c r="J8201">
        <v>-183.24109999999999</v>
      </c>
      <c r="K8201">
        <v>1.1025990000000001</v>
      </c>
      <c r="L8201">
        <v>125.8472</v>
      </c>
      <c r="M8201">
        <v>0.59078469999999905</v>
      </c>
      <c r="N8201">
        <v>-1.9788770000000001E-2</v>
      </c>
      <c r="O8201">
        <v>0.80658660000000004</v>
      </c>
      <c r="P8201">
        <v>0.71645429999999999</v>
      </c>
      <c r="Q8201">
        <v>-0.1075815</v>
      </c>
      <c r="R8201">
        <v>0.68928919999999905</v>
      </c>
      <c r="S8201">
        <v>3.0787200000000001</v>
      </c>
      <c r="T8201">
        <v>1.2121079999999999E-2</v>
      </c>
      <c r="U8201">
        <v>1.1651</v>
      </c>
      <c r="V8201">
        <v>0.16909579999999999</v>
      </c>
      <c r="W8201">
        <v>-9.1206430000000005E-2</v>
      </c>
      <c r="X8201">
        <v>0.98137039999999998</v>
      </c>
      <c r="Y8201">
        <v>0.5451568</v>
      </c>
      <c r="Z8201">
        <v>1.6110079999999999E-2</v>
      </c>
      <c r="AA8201">
        <v>0.83817929999999996</v>
      </c>
      <c r="AB8201">
        <v>21</v>
      </c>
      <c r="AC8201">
        <v>85.519409999999993</v>
      </c>
      <c r="AD8201">
        <v>0.33701300000000001</v>
      </c>
      <c r="AE8201">
        <v>32.308299999999903</v>
      </c>
      <c r="AF8201">
        <v>49.9006516839844</v>
      </c>
      <c r="AG8201">
        <v>0.33701300000000001</v>
      </c>
      <c r="AH8201">
        <v>76.596955202265903</v>
      </c>
      <c r="AI8201">
        <v>89.788778687362097</v>
      </c>
      <c r="AJ8201">
        <v>56.916945738356098</v>
      </c>
      <c r="AK8201">
        <v>91.418171949051995</v>
      </c>
      <c r="AL8201">
        <v>95.233016271716906</v>
      </c>
      <c r="AM8201">
        <v>80.223602674409406</v>
      </c>
      <c r="AN8201">
        <v>0.99999993222356998</v>
      </c>
    </row>
    <row r="8202" spans="1:40" x14ac:dyDescent="0.25">
      <c r="A8202" t="str">
        <f>"20190305135122044"</f>
        <v>20190305135122044</v>
      </c>
      <c r="B8202" t="str">
        <f>"1551765082037818"</f>
        <v>1551765082037818</v>
      </c>
      <c r="C8202" t="s">
        <v>40</v>
      </c>
      <c r="D8202">
        <v>4.5587689999999998</v>
      </c>
      <c r="E8202">
        <v>0.66598069999999998</v>
      </c>
      <c r="F8202" t="s">
        <v>118</v>
      </c>
      <c r="G8202">
        <v>-96.702960000000004</v>
      </c>
      <c r="H8202">
        <v>1.425135</v>
      </c>
      <c r="I8202">
        <v>158.15539999999999</v>
      </c>
      <c r="J8202">
        <v>-183.16579999999999</v>
      </c>
      <c r="K8202">
        <v>1.1025400000000001</v>
      </c>
      <c r="L8202">
        <v>125.93640000000001</v>
      </c>
      <c r="M8202">
        <v>0.59654439999999997</v>
      </c>
      <c r="N8202">
        <v>-1.9321040000000001E-2</v>
      </c>
      <c r="O8202">
        <v>0.80234749999999999</v>
      </c>
      <c r="P8202">
        <v>0.72101590000000004</v>
      </c>
      <c r="Q8202">
        <v>-0.107609</v>
      </c>
      <c r="R8202">
        <v>0.6845118</v>
      </c>
      <c r="S8202">
        <v>3.081985</v>
      </c>
      <c r="T8202">
        <v>1.1487010000000001E-2</v>
      </c>
      <c r="U8202">
        <v>1.1506350000000001</v>
      </c>
      <c r="V8202">
        <v>0.16857839999999999</v>
      </c>
      <c r="W8202">
        <v>-9.1700580000000004E-2</v>
      </c>
      <c r="X8202">
        <v>0.98141339999999999</v>
      </c>
      <c r="Y8202">
        <v>0.54291400000000001</v>
      </c>
      <c r="Z8202">
        <v>1.5517700000000001E-2</v>
      </c>
      <c r="AA8202">
        <v>0.83964490000000003</v>
      </c>
      <c r="AB8202">
        <v>21</v>
      </c>
      <c r="AC8202">
        <v>86.4628399999999</v>
      </c>
      <c r="AD8202">
        <v>0.32259500000000002</v>
      </c>
      <c r="AE8202">
        <v>32.218999999999902</v>
      </c>
      <c r="AF8202">
        <v>50.161929262058401</v>
      </c>
      <c r="AG8202">
        <v>0.32259500000000002</v>
      </c>
      <c r="AH8202">
        <v>77.443265577594602</v>
      </c>
      <c r="AI8202">
        <v>89.7996820482294</v>
      </c>
      <c r="AJ8202">
        <v>57.067865867886198</v>
      </c>
      <c r="AK8202">
        <v>92.270160930539404</v>
      </c>
      <c r="AL8202">
        <v>95.261447945265104</v>
      </c>
      <c r="AM8202">
        <v>80.253360738717603</v>
      </c>
      <c r="AN8202">
        <v>0.99999996750922704</v>
      </c>
    </row>
    <row r="8203" spans="1:40" x14ac:dyDescent="0.25">
      <c r="A8203" t="str">
        <f>"20190305135122056"</f>
        <v>20190305135122056</v>
      </c>
      <c r="B8203" t="str">
        <f>"1551765082047578"</f>
        <v>1551765082047578</v>
      </c>
      <c r="C8203" t="s">
        <v>40</v>
      </c>
      <c r="D8203">
        <v>4.5612120000000003</v>
      </c>
      <c r="E8203">
        <v>0.66533880000000001</v>
      </c>
      <c r="F8203" t="s">
        <v>118</v>
      </c>
      <c r="G8203">
        <v>-95.447230000000005</v>
      </c>
      <c r="H8203">
        <v>1.2690269999999999</v>
      </c>
      <c r="I8203">
        <v>158.15539999999999</v>
      </c>
      <c r="J8203">
        <v>-183.09979999999999</v>
      </c>
      <c r="K8203">
        <v>1.1024989999999999</v>
      </c>
      <c r="L8203">
        <v>126.0137</v>
      </c>
      <c r="M8203">
        <v>0.60154569999999996</v>
      </c>
      <c r="N8203">
        <v>-1.8941489999999998E-2</v>
      </c>
      <c r="O8203">
        <v>0.79861380000000004</v>
      </c>
      <c r="P8203">
        <v>0.7249409</v>
      </c>
      <c r="Q8203">
        <v>-0.1077941</v>
      </c>
      <c r="R8203">
        <v>0.68032429999999999</v>
      </c>
      <c r="S8203">
        <v>3.0856629999999998</v>
      </c>
      <c r="T8203">
        <v>5.856633E-3</v>
      </c>
      <c r="U8203">
        <v>1.133362</v>
      </c>
      <c r="V8203">
        <v>0.16809830000000001</v>
      </c>
      <c r="W8203">
        <v>-9.226123E-2</v>
      </c>
      <c r="X8203">
        <v>0.98144319999999896</v>
      </c>
      <c r="Y8203">
        <v>0.54216409999999904</v>
      </c>
      <c r="Z8203">
        <v>1.3509119999999999E-2</v>
      </c>
      <c r="AA8203">
        <v>0.84016399999999902</v>
      </c>
      <c r="AB8203">
        <v>21</v>
      </c>
      <c r="AC8203">
        <v>87.652569999999898</v>
      </c>
      <c r="AD8203">
        <v>0.16652800000000001</v>
      </c>
      <c r="AE8203">
        <v>32.141699999999901</v>
      </c>
      <c r="AF8203">
        <v>50.674780472855403</v>
      </c>
      <c r="AG8203">
        <v>0.16652800000000001</v>
      </c>
      <c r="AH8203">
        <v>78.409649072278896</v>
      </c>
      <c r="AI8203">
        <v>89.897800053911794</v>
      </c>
      <c r="AJ8203">
        <v>57.1261230301211</v>
      </c>
      <c r="AK8203">
        <v>93.359703165685005</v>
      </c>
      <c r="AL8203">
        <v>95.293707600548899</v>
      </c>
      <c r="AM8203">
        <v>80.280877813922999</v>
      </c>
      <c r="AN8203">
        <v>0.99999996392512003</v>
      </c>
    </row>
    <row r="8204" spans="1:40" x14ac:dyDescent="0.25">
      <c r="A8204" t="str">
        <f>"20190305135122067"</f>
        <v>20190305135122067</v>
      </c>
      <c r="B8204" t="str">
        <f>"1551765082058315"</f>
        <v>1551765082058315</v>
      </c>
      <c r="C8204" t="s">
        <v>40</v>
      </c>
      <c r="D8204">
        <v>4.6113010000000001</v>
      </c>
      <c r="E8204">
        <v>0.664825</v>
      </c>
      <c r="F8204" t="s">
        <v>118</v>
      </c>
      <c r="G8204">
        <v>-94.374859999999998</v>
      </c>
      <c r="H8204">
        <v>1.1280190000000001</v>
      </c>
      <c r="I8204">
        <v>158.15530000000001</v>
      </c>
      <c r="J8204">
        <v>-183.02850000000001</v>
      </c>
      <c r="K8204">
        <v>1.1024579999999999</v>
      </c>
      <c r="L8204">
        <v>126.0962</v>
      </c>
      <c r="M8204">
        <v>0.60689879999999996</v>
      </c>
      <c r="N8204">
        <v>-1.8555240000000001E-2</v>
      </c>
      <c r="O8204">
        <v>0.79456249999999995</v>
      </c>
      <c r="P8204">
        <v>0.72933870000000001</v>
      </c>
      <c r="Q8204">
        <v>-0.108014899999999</v>
      </c>
      <c r="R8204">
        <v>0.67557219999999996</v>
      </c>
      <c r="S8204">
        <v>3.088425</v>
      </c>
      <c r="T8204">
        <v>8.8846679999999905E-4</v>
      </c>
      <c r="U8204">
        <v>1.1188199999999999</v>
      </c>
      <c r="V8204">
        <v>0.16788</v>
      </c>
      <c r="W8204">
        <v>-9.2868279999999997E-2</v>
      </c>
      <c r="X8204">
        <v>0.98142339999999995</v>
      </c>
      <c r="Y8204">
        <v>0.54028030000000005</v>
      </c>
      <c r="Z8204">
        <v>1.1702799999999999E-2</v>
      </c>
      <c r="AA8204">
        <v>0.84140369999999998</v>
      </c>
      <c r="AB8204">
        <v>21</v>
      </c>
      <c r="AC8204">
        <v>88.653639999999996</v>
      </c>
      <c r="AD8204">
        <v>2.5561000000000101E-2</v>
      </c>
      <c r="AE8204">
        <v>32.059100000000001</v>
      </c>
      <c r="AF8204">
        <v>50.993003460356597</v>
      </c>
      <c r="AG8204">
        <v>2.5561000000000101E-2</v>
      </c>
      <c r="AH8204">
        <v>79.290390776072996</v>
      </c>
      <c r="AI8204">
        <v>89.984464805207395</v>
      </c>
      <c r="AJ8204">
        <v>57.254237329941098</v>
      </c>
      <c r="AK8204">
        <v>94.272228809416703</v>
      </c>
      <c r="AL8204">
        <v>95.328638512303797</v>
      </c>
      <c r="AM8204">
        <v>80.293067121981096</v>
      </c>
      <c r="AN8204">
        <v>1.00000005094885</v>
      </c>
    </row>
    <row r="8205" spans="1:40" x14ac:dyDescent="0.25">
      <c r="A8205" t="str">
        <f>"20190305135122077"</f>
        <v>20190305135122077</v>
      </c>
      <c r="B8205" t="str">
        <f>"1551765082068074"</f>
        <v>1551765082068074</v>
      </c>
      <c r="C8205" t="s">
        <v>40</v>
      </c>
      <c r="D8205">
        <v>4.5955899999999996</v>
      </c>
      <c r="E8205">
        <v>0.664825</v>
      </c>
      <c r="F8205" t="s">
        <v>118</v>
      </c>
      <c r="G8205">
        <v>-94.225669999999994</v>
      </c>
      <c r="H8205">
        <v>0.96491720000000003</v>
      </c>
      <c r="I8205">
        <v>157.71379999999999</v>
      </c>
      <c r="J8205">
        <v>-182.9631</v>
      </c>
      <c r="K8205">
        <v>1.102427</v>
      </c>
      <c r="L8205">
        <v>126.1705</v>
      </c>
      <c r="M8205">
        <v>0.61174359999999905</v>
      </c>
      <c r="N8205">
        <v>-1.8237139999999999E-2</v>
      </c>
      <c r="O8205">
        <v>0.79084589999999999</v>
      </c>
      <c r="P8205">
        <v>0.73342240000000003</v>
      </c>
      <c r="Q8205">
        <v>-0.1086785</v>
      </c>
      <c r="R8205">
        <v>0.671029599999999</v>
      </c>
      <c r="S8205">
        <v>3.0926670000000001</v>
      </c>
      <c r="T8205">
        <v>-4.7898289999999998E-3</v>
      </c>
      <c r="U8205">
        <v>1.1011200000000001</v>
      </c>
      <c r="V8205">
        <v>0.16788220000000001</v>
      </c>
      <c r="W8205">
        <v>-9.385259E-2</v>
      </c>
      <c r="X8205">
        <v>0.98132929999999996</v>
      </c>
      <c r="Y8205">
        <v>0.53979869999999996</v>
      </c>
      <c r="Z8205">
        <v>9.737819E-3</v>
      </c>
      <c r="AA8205">
        <v>0.84173790000000004</v>
      </c>
      <c r="AB8205">
        <v>21</v>
      </c>
      <c r="AC8205">
        <v>88.737430000000003</v>
      </c>
      <c r="AD8205">
        <v>-0.13750979999999999</v>
      </c>
      <c r="AE8205">
        <v>31.543299999999899</v>
      </c>
      <c r="AF8205">
        <v>50.889574184583999</v>
      </c>
      <c r="AG8205">
        <v>-0.13750979999999999</v>
      </c>
      <c r="AH8205">
        <v>79.243451965682098</v>
      </c>
      <c r="AI8205">
        <v>90.083658861873502</v>
      </c>
      <c r="AJ8205">
        <v>57.2917153277211</v>
      </c>
      <c r="AK8205">
        <v>94.176920469246298</v>
      </c>
      <c r="AL8205">
        <v>95.385283167028305</v>
      </c>
      <c r="AM8205">
        <v>80.292029235694699</v>
      </c>
      <c r="AN8205">
        <v>0.99999996838251803</v>
      </c>
    </row>
    <row r="8206" spans="1:40" x14ac:dyDescent="0.25">
      <c r="A8206" t="str">
        <f>"20190305135122090"</f>
        <v>20190305135122090</v>
      </c>
      <c r="B8206" t="str">
        <f>"1551765082087594"</f>
        <v>1551765082087594</v>
      </c>
      <c r="C8206" t="s">
        <v>40</v>
      </c>
      <c r="D8206">
        <v>4.622808</v>
      </c>
      <c r="E8206">
        <v>0.64508989999999999</v>
      </c>
      <c r="F8206" t="s">
        <v>118</v>
      </c>
      <c r="G8206">
        <v>-93.042990000000003</v>
      </c>
      <c r="H8206">
        <v>0.91991420000000002</v>
      </c>
      <c r="I8206">
        <v>157.5676</v>
      </c>
      <c r="J8206">
        <v>-182.88460000000001</v>
      </c>
      <c r="K8206">
        <v>1.102401</v>
      </c>
      <c r="L8206">
        <v>126.25920000000001</v>
      </c>
      <c r="M8206">
        <v>0.61751789999999995</v>
      </c>
      <c r="N8206">
        <v>-1.7869099999999999E-2</v>
      </c>
      <c r="O8206">
        <v>0.78635390000000005</v>
      </c>
      <c r="P8206">
        <v>0.73788089999999995</v>
      </c>
      <c r="Q8206">
        <v>-0.10927679999999999</v>
      </c>
      <c r="R8206">
        <v>0.66602589999999995</v>
      </c>
      <c r="S8206">
        <v>3.099335</v>
      </c>
      <c r="T8206">
        <v>-6.2906739999999996E-3</v>
      </c>
      <c r="U8206">
        <v>1.082184</v>
      </c>
      <c r="V8206">
        <v>0.1672865</v>
      </c>
      <c r="W8206">
        <v>-9.4807459999999996E-2</v>
      </c>
      <c r="X8206">
        <v>0.98133930000000003</v>
      </c>
      <c r="Y8206">
        <v>0.53879679999999996</v>
      </c>
      <c r="Z8206">
        <v>8.9719069999999995E-3</v>
      </c>
      <c r="AA8206">
        <v>0.84238799999999903</v>
      </c>
      <c r="AB8206">
        <v>21</v>
      </c>
      <c r="AC8206">
        <v>89.841610000000003</v>
      </c>
      <c r="AD8206">
        <v>-0.18248679999999901</v>
      </c>
      <c r="AE8206">
        <v>31.308399999999899</v>
      </c>
      <c r="AF8206">
        <v>51.321805485685204</v>
      </c>
      <c r="AG8206">
        <v>-0.18248679999999901</v>
      </c>
      <c r="AH8206">
        <v>80.1107762859952</v>
      </c>
      <c r="AI8206">
        <v>90.109897886042305</v>
      </c>
      <c r="AJ8206">
        <v>57.354934197691399</v>
      </c>
      <c r="AK8206">
        <v>95.1404093794402</v>
      </c>
      <c r="AL8206">
        <v>95.440237930599494</v>
      </c>
      <c r="AM8206">
        <v>80.325920852385295</v>
      </c>
      <c r="AN8206">
        <v>1.00000002463919</v>
      </c>
    </row>
    <row r="8207" spans="1:40" x14ac:dyDescent="0.25">
      <c r="A8207" t="str">
        <f>"20190305135122101"</f>
        <v>20190305135122101</v>
      </c>
      <c r="B8207" t="str">
        <f>"1551765082098331"</f>
        <v>1551765082098331</v>
      </c>
      <c r="C8207" t="s">
        <v>40</v>
      </c>
      <c r="D8207">
        <v>4.6324800000000002</v>
      </c>
      <c r="E8207">
        <v>0.64924749999999998</v>
      </c>
      <c r="F8207" t="s">
        <v>42</v>
      </c>
      <c r="G8207">
        <v>-165.20150000000001</v>
      </c>
      <c r="H8207" s="1">
        <v>-3.5664880000000002E-6</v>
      </c>
      <c r="I8207">
        <v>133.07839999999999</v>
      </c>
      <c r="J8207">
        <v>-182.8143</v>
      </c>
      <c r="K8207">
        <v>1.102393</v>
      </c>
      <c r="L8207">
        <v>126.33669999999999</v>
      </c>
      <c r="M8207">
        <v>0.6226005</v>
      </c>
      <c r="N8207">
        <v>-1.7581820000000001E-2</v>
      </c>
      <c r="O8207">
        <v>0.78234230000000005</v>
      </c>
      <c r="P8207">
        <v>0.74200269999999902</v>
      </c>
      <c r="Q8207">
        <v>-0.1094241</v>
      </c>
      <c r="R8207">
        <v>0.66140650000000001</v>
      </c>
      <c r="S8207">
        <v>2.9954070000000002</v>
      </c>
      <c r="T8207">
        <v>-0.18674080000000001</v>
      </c>
      <c r="U8207">
        <v>1.1551359999999999</v>
      </c>
      <c r="V8207">
        <v>0.1670314</v>
      </c>
      <c r="W8207">
        <v>-9.5234940000000004E-2</v>
      </c>
      <c r="X8207">
        <v>0.98134140000000003</v>
      </c>
      <c r="Y8207">
        <v>0.50466</v>
      </c>
      <c r="Z8207">
        <v>-4.4479089999999999E-2</v>
      </c>
      <c r="AA8207">
        <v>0.86217160000000004</v>
      </c>
      <c r="AB8207">
        <v>21</v>
      </c>
      <c r="AC8207">
        <v>17.612799999999901</v>
      </c>
      <c r="AD8207">
        <v>-1.102396566488</v>
      </c>
      <c r="AE8207">
        <v>6.74169999999999</v>
      </c>
      <c r="AF8207">
        <v>9.5506997914581095</v>
      </c>
      <c r="AG8207">
        <v>-1.102396566488</v>
      </c>
      <c r="AH8207">
        <v>16.187254893243601</v>
      </c>
      <c r="AI8207">
        <v>93.356806815247594</v>
      </c>
      <c r="AJ8207">
        <v>59.458819087078602</v>
      </c>
      <c r="AK8207">
        <v>18.827064712142501</v>
      </c>
      <c r="AL8207">
        <v>95.4648418480038</v>
      </c>
      <c r="AM8207">
        <v>80.340415256130896</v>
      </c>
      <c r="AN8207">
        <v>1.0000000628683501</v>
      </c>
    </row>
    <row r="8208" spans="1:40" x14ac:dyDescent="0.25">
      <c r="A8208" t="str">
        <f>"20190305135122111"</f>
        <v>20190305135122111</v>
      </c>
      <c r="B8208" t="str">
        <f>"1551765082108090"</f>
        <v>1551765082108090</v>
      </c>
      <c r="C8208" t="s">
        <v>40</v>
      </c>
      <c r="D8208">
        <v>4.5219659999999999</v>
      </c>
      <c r="E8208">
        <v>0.64924749999999998</v>
      </c>
      <c r="F8208" t="s">
        <v>42</v>
      </c>
      <c r="G8208">
        <v>-162.1054</v>
      </c>
      <c r="H8208" s="1">
        <v>-4.7140169999999999E-6</v>
      </c>
      <c r="I8208">
        <v>133.9691</v>
      </c>
      <c r="J8208">
        <v>-182.74860000000001</v>
      </c>
      <c r="K8208">
        <v>1.1023799999999999</v>
      </c>
      <c r="L8208">
        <v>126.4089</v>
      </c>
      <c r="M8208">
        <v>0.62732279999999996</v>
      </c>
      <c r="N8208">
        <v>-1.731887E-2</v>
      </c>
      <c r="O8208">
        <v>0.7785668</v>
      </c>
      <c r="P8208">
        <v>0.74547750000000002</v>
      </c>
      <c r="Q8208">
        <v>-0.1099904</v>
      </c>
      <c r="R8208">
        <v>0.65739289999999995</v>
      </c>
      <c r="S8208">
        <v>3.0254210000000001</v>
      </c>
      <c r="T8208">
        <v>-0.16105259999999999</v>
      </c>
      <c r="U8208">
        <v>1.1150359999999999</v>
      </c>
      <c r="V8208">
        <v>0.16631290000000001</v>
      </c>
      <c r="W8208">
        <v>-9.6047690000000005E-2</v>
      </c>
      <c r="X8208">
        <v>0.98138420000000004</v>
      </c>
      <c r="Y8208">
        <v>0.51268630000000004</v>
      </c>
      <c r="Z8208">
        <v>-3.7018170000000003E-2</v>
      </c>
      <c r="AA8208">
        <v>0.85777760000000003</v>
      </c>
      <c r="AB8208">
        <v>21</v>
      </c>
      <c r="AC8208">
        <v>20.6432</v>
      </c>
      <c r="AD8208">
        <v>-1.102384714017</v>
      </c>
      <c r="AE8208">
        <v>7.5601999999999903</v>
      </c>
      <c r="AF8208">
        <v>11.3027026284489</v>
      </c>
      <c r="AG8208">
        <v>-1.102384714017</v>
      </c>
      <c r="AH8208">
        <v>18.791643782835401</v>
      </c>
      <c r="AI8208">
        <v>92.877884667542901</v>
      </c>
      <c r="AJ8208">
        <v>58.974146205977803</v>
      </c>
      <c r="AK8208">
        <v>21.956598434771699</v>
      </c>
      <c r="AL8208">
        <v>95.511623550240301</v>
      </c>
      <c r="AM8208">
        <v>80.381600497318203</v>
      </c>
      <c r="AN8208">
        <v>1.0000000437351899</v>
      </c>
    </row>
    <row r="8209" spans="1:40" x14ac:dyDescent="0.25">
      <c r="A8209" t="str">
        <f>"20190305135122122"</f>
        <v>20190305135122122</v>
      </c>
      <c r="B8209" t="str">
        <f>"1551765082117849"</f>
        <v>1551765082117849</v>
      </c>
      <c r="C8209" t="s">
        <v>40</v>
      </c>
      <c r="D8209">
        <v>4.537223</v>
      </c>
      <c r="E8209">
        <v>0.67519309999999999</v>
      </c>
      <c r="F8209" t="s">
        <v>42</v>
      </c>
      <c r="G8209">
        <v>-162.00790000000001</v>
      </c>
      <c r="H8209" s="1">
        <v>-4.7672909999999996E-6</v>
      </c>
      <c r="I8209">
        <v>133.92859999999999</v>
      </c>
      <c r="J8209">
        <v>-182.6739</v>
      </c>
      <c r="K8209">
        <v>1.1023750000000001</v>
      </c>
      <c r="L8209">
        <v>126.4893</v>
      </c>
      <c r="M8209">
        <v>0.63260519999999998</v>
      </c>
      <c r="N8209">
        <v>-1.7055850000000001E-2</v>
      </c>
      <c r="O8209">
        <v>0.77428660000000005</v>
      </c>
      <c r="P8209">
        <v>0.74948609999999904</v>
      </c>
      <c r="Q8209">
        <v>-0.1098697</v>
      </c>
      <c r="R8209">
        <v>0.65283939999999996</v>
      </c>
      <c r="S8209">
        <v>3.0312960000000002</v>
      </c>
      <c r="T8209">
        <v>-0.16111639999999999</v>
      </c>
      <c r="U8209">
        <v>1.0990139999999999</v>
      </c>
      <c r="V8209">
        <v>0.165631</v>
      </c>
      <c r="W8209">
        <v>-9.6170039999999998E-2</v>
      </c>
      <c r="X8209">
        <v>0.98148749999999996</v>
      </c>
      <c r="Y8209">
        <v>0.51138760000000005</v>
      </c>
      <c r="Z8209">
        <v>-3.7118350000000001E-2</v>
      </c>
      <c r="AA8209">
        <v>0.85854819999999998</v>
      </c>
      <c r="AB8209">
        <v>21</v>
      </c>
      <c r="AC8209">
        <v>20.666</v>
      </c>
      <c r="AD8209">
        <v>-1.1023797672910001</v>
      </c>
      <c r="AE8209">
        <v>7.4392999999999798</v>
      </c>
      <c r="AF8209">
        <v>11.2685247853336</v>
      </c>
      <c r="AG8209">
        <v>-1.1023797672910001</v>
      </c>
      <c r="AH8209">
        <v>18.7889797551858</v>
      </c>
      <c r="AI8209">
        <v>92.880478887797693</v>
      </c>
      <c r="AJ8209">
        <v>59.047148838723203</v>
      </c>
      <c r="AK8209">
        <v>21.9367420605201</v>
      </c>
      <c r="AL8209">
        <v>95.518666484530002</v>
      </c>
      <c r="AM8209">
        <v>80.421294166950602</v>
      </c>
      <c r="AN8209">
        <v>1.0000000087054199</v>
      </c>
    </row>
    <row r="8210" spans="1:40" x14ac:dyDescent="0.25">
      <c r="A8210" t="str">
        <f>"20190305135122135"</f>
        <v>20190305135122135</v>
      </c>
      <c r="B8210" t="str">
        <f>"1551765082127611"</f>
        <v>1551765082127611</v>
      </c>
      <c r="C8210" t="s">
        <v>40</v>
      </c>
      <c r="D8210">
        <v>4.548845</v>
      </c>
      <c r="E8210">
        <v>0.67646899999999999</v>
      </c>
      <c r="F8210" t="s">
        <v>42</v>
      </c>
      <c r="G8210">
        <v>-110.0121</v>
      </c>
      <c r="H8210" s="1">
        <v>-5.7521999999999997E-6</v>
      </c>
      <c r="I8210">
        <v>147.9614</v>
      </c>
      <c r="J8210">
        <v>-182.59520000000001</v>
      </c>
      <c r="K8210">
        <v>1.102584</v>
      </c>
      <c r="L8210">
        <v>126.57340000000001</v>
      </c>
      <c r="M8210">
        <v>0.63789079999999998</v>
      </c>
      <c r="N8210">
        <v>-1.7029220000000001E-2</v>
      </c>
      <c r="O8210">
        <v>0.76993849999999997</v>
      </c>
      <c r="P8210">
        <v>0.75346299999999999</v>
      </c>
      <c r="Q8210">
        <v>-0.1094864</v>
      </c>
      <c r="R8210">
        <v>0.64831039999999995</v>
      </c>
      <c r="S8210">
        <v>3.1777340000000001</v>
      </c>
      <c r="T8210">
        <v>-4.8210620000000003E-2</v>
      </c>
      <c r="U8210">
        <v>0.93904109999999996</v>
      </c>
      <c r="V8210">
        <v>0.1649127</v>
      </c>
      <c r="W8210">
        <v>-9.5737719999999998E-2</v>
      </c>
      <c r="X8210">
        <v>0.98165069999999999</v>
      </c>
      <c r="Y8210">
        <v>0.55756669999999997</v>
      </c>
      <c r="Z8210">
        <v>-4.2279250000000004E-3</v>
      </c>
      <c r="AA8210">
        <v>0.83012140000000001</v>
      </c>
      <c r="AB8210">
        <v>21</v>
      </c>
      <c r="AC8210">
        <v>72.583100000000002</v>
      </c>
      <c r="AD8210">
        <v>-1.1025897521999899</v>
      </c>
      <c r="AE8210">
        <v>21.387999999999899</v>
      </c>
      <c r="AF8210">
        <v>42.238473576382603</v>
      </c>
      <c r="AG8210">
        <v>-1.1025897521999899</v>
      </c>
      <c r="AH8210">
        <v>62.763314646117102</v>
      </c>
      <c r="AI8210">
        <v>90.834990885549303</v>
      </c>
      <c r="AJ8210">
        <v>56.060223645602697</v>
      </c>
      <c r="AK8210">
        <v>75.660676838050605</v>
      </c>
      <c r="AL8210">
        <v>95.493781578769202</v>
      </c>
      <c r="AM8210">
        <v>80.463626358160099</v>
      </c>
      <c r="AN8210">
        <v>1.0000000032312799</v>
      </c>
    </row>
    <row r="8211" spans="1:40" x14ac:dyDescent="0.25">
      <c r="A8211" t="str">
        <f>"20190305135122148"</f>
        <v>20190305135122148</v>
      </c>
      <c r="B8211" t="str">
        <f>"1551765082138347"</f>
        <v>1551765082138347</v>
      </c>
      <c r="C8211" t="s">
        <v>40</v>
      </c>
      <c r="D8211">
        <v>4.5519400000000001</v>
      </c>
      <c r="E8211">
        <v>0.67628120000000003</v>
      </c>
      <c r="F8211" t="s">
        <v>43</v>
      </c>
      <c r="G8211">
        <v>-67.155730000000005</v>
      </c>
      <c r="H8211">
        <v>-0.05</v>
      </c>
      <c r="I8211">
        <v>159.65629999999999</v>
      </c>
      <c r="J8211">
        <v>-182.50899999999999</v>
      </c>
      <c r="K8211">
        <v>1.103116</v>
      </c>
      <c r="L8211">
        <v>126.6644</v>
      </c>
      <c r="M8211">
        <v>0.64327819999999902</v>
      </c>
      <c r="N8211">
        <v>-1.7366389999999999E-2</v>
      </c>
      <c r="O8211">
        <v>0.76543549999999905</v>
      </c>
      <c r="P8211">
        <v>0.75753950000000003</v>
      </c>
      <c r="Q8211">
        <v>-0.10958850000000001</v>
      </c>
      <c r="R8211">
        <v>0.64352509999999996</v>
      </c>
      <c r="S8211">
        <v>3.190277</v>
      </c>
      <c r="T8211">
        <v>-3.1852720000000001E-2</v>
      </c>
      <c r="U8211">
        <v>0.91427610000000004</v>
      </c>
      <c r="V8211">
        <v>0.16431589999999999</v>
      </c>
      <c r="W8211">
        <v>-9.5348279999999994E-2</v>
      </c>
      <c r="X8211">
        <v>0.98178860000000001</v>
      </c>
      <c r="Y8211">
        <v>0.55858649999999999</v>
      </c>
      <c r="Z8211">
        <v>6.4983339999999997E-4</v>
      </c>
      <c r="AA8211">
        <v>0.82944599999999902</v>
      </c>
      <c r="AB8211">
        <v>21</v>
      </c>
      <c r="AC8211">
        <v>115.35326999999999</v>
      </c>
      <c r="AD8211">
        <v>-1.153116</v>
      </c>
      <c r="AE8211">
        <v>32.991899999999902</v>
      </c>
      <c r="AF8211">
        <v>67.076440479405406</v>
      </c>
      <c r="AG8211">
        <v>-1.153116</v>
      </c>
      <c r="AH8211">
        <v>99.463231967018501</v>
      </c>
      <c r="AI8211">
        <v>90.550704866755694</v>
      </c>
      <c r="AJ8211">
        <v>56.004892516710797</v>
      </c>
      <c r="AK8211">
        <v>119.972968027058</v>
      </c>
      <c r="AL8211">
        <v>95.471366154104899</v>
      </c>
      <c r="AM8211">
        <v>80.498817275814304</v>
      </c>
      <c r="AN8211">
        <v>0.99999993229086104</v>
      </c>
    </row>
    <row r="8212" spans="1:40" x14ac:dyDescent="0.25">
      <c r="A8212" t="str">
        <f>"20190305135122160"</f>
        <v>20190305135122160</v>
      </c>
      <c r="B8212" t="str">
        <f>"1551765082157866"</f>
        <v>1551765082157866</v>
      </c>
      <c r="C8212" t="s">
        <v>40</v>
      </c>
      <c r="D8212">
        <v>4.5821699999999996</v>
      </c>
      <c r="E8212">
        <v>0.67544559999999998</v>
      </c>
      <c r="F8212" t="s">
        <v>47</v>
      </c>
      <c r="G8212">
        <v>0</v>
      </c>
      <c r="H8212">
        <v>0</v>
      </c>
      <c r="I8212">
        <v>0</v>
      </c>
      <c r="J8212">
        <v>-182.43190000000001</v>
      </c>
      <c r="K8212">
        <v>1.1037859999999999</v>
      </c>
      <c r="L8212">
        <v>126.7448</v>
      </c>
      <c r="M8212">
        <v>0.64775909999999903</v>
      </c>
      <c r="N8212">
        <v>-1.793173E-2</v>
      </c>
      <c r="O8212">
        <v>0.76163409999999998</v>
      </c>
      <c r="P8212">
        <v>0.76082839999999996</v>
      </c>
      <c r="Q8212">
        <v>-0.1096393</v>
      </c>
      <c r="R8212">
        <v>0.63962450000000004</v>
      </c>
      <c r="S8212">
        <v>3.1951749999999999</v>
      </c>
      <c r="T8212">
        <v>-3.0139800000000001E-2</v>
      </c>
      <c r="U8212">
        <v>0.89543150000000005</v>
      </c>
      <c r="V8212">
        <v>0.1637045</v>
      </c>
      <c r="W8212">
        <v>-9.4639420000000002E-2</v>
      </c>
      <c r="X8212">
        <v>0.98195940000000004</v>
      </c>
      <c r="Y8212">
        <v>0.55857259999999997</v>
      </c>
      <c r="Z8212">
        <v>1.396404E-3</v>
      </c>
      <c r="AA8212">
        <v>0.82945440000000004</v>
      </c>
      <c r="AB8212">
        <v>21</v>
      </c>
      <c r="AC8212">
        <v>3.1951749999999999</v>
      </c>
      <c r="AD8212">
        <v>-3.0139800000000001E-2</v>
      </c>
      <c r="AE8212">
        <v>0.89543150000000005</v>
      </c>
      <c r="AF8212">
        <v>1.8536755661686399</v>
      </c>
      <c r="AG8212">
        <v>-3.0139800000000001E-2</v>
      </c>
      <c r="AH8212">
        <v>2.7519104558335199</v>
      </c>
      <c r="AI8212">
        <v>90.520444791990002</v>
      </c>
      <c r="AJ8212">
        <v>56.035954160527098</v>
      </c>
      <c r="AK8212">
        <v>3.3181369274158201</v>
      </c>
      <c r="AL8212">
        <v>95.4305664693739</v>
      </c>
      <c r="AM8212">
        <v>80.535145804592901</v>
      </c>
      <c r="AN8212">
        <v>1.00000002319327</v>
      </c>
    </row>
    <row r="8213" spans="1:40" x14ac:dyDescent="0.25">
      <c r="A8213" t="str">
        <f>"20190305135122173"</f>
        <v>20190305135122173</v>
      </c>
      <c r="B8213" t="str">
        <f>"1551765082167626"</f>
        <v>1551765082167626</v>
      </c>
      <c r="C8213" t="s">
        <v>40</v>
      </c>
      <c r="D8213">
        <v>4.5774509999999999</v>
      </c>
      <c r="E8213">
        <v>0.67428840000000001</v>
      </c>
      <c r="F8213" t="s">
        <v>47</v>
      </c>
      <c r="G8213">
        <v>0</v>
      </c>
      <c r="H8213">
        <v>0</v>
      </c>
      <c r="I8213">
        <v>0</v>
      </c>
      <c r="J8213">
        <v>-182.35489999999999</v>
      </c>
      <c r="K8213">
        <v>1.104471</v>
      </c>
      <c r="L8213">
        <v>126.8249</v>
      </c>
      <c r="M8213">
        <v>0.65210519999999905</v>
      </c>
      <c r="N8213">
        <v>-1.856826E-2</v>
      </c>
      <c r="O8213">
        <v>0.75790109999999999</v>
      </c>
      <c r="P8213">
        <v>0.76414380000000004</v>
      </c>
      <c r="Q8213">
        <v>-0.1100675</v>
      </c>
      <c r="R8213">
        <v>0.63558599999999998</v>
      </c>
      <c r="S8213">
        <v>3.1955719999999999</v>
      </c>
      <c r="T8213">
        <v>-2.9242629999999999E-2</v>
      </c>
      <c r="U8213">
        <v>0.88410949999999899</v>
      </c>
      <c r="V8213">
        <v>0.16334799999999999</v>
      </c>
      <c r="W8213">
        <v>-9.4240299999999999E-2</v>
      </c>
      <c r="X8213">
        <v>0.98205710000000002</v>
      </c>
      <c r="Y8213">
        <v>0.55656619999999901</v>
      </c>
      <c r="Z8213">
        <v>1.9587900000000002E-3</v>
      </c>
      <c r="AA8213">
        <v>0.83080100000000001</v>
      </c>
      <c r="AB8213">
        <v>20</v>
      </c>
      <c r="AC8213">
        <v>3.1955719999999999</v>
      </c>
      <c r="AD8213">
        <v>-2.9242629999999999E-2</v>
      </c>
      <c r="AE8213">
        <v>0.88410949999999899</v>
      </c>
      <c r="AF8213">
        <v>1.8455697358990499</v>
      </c>
      <c r="AG8213">
        <v>-2.9242629999999999E-2</v>
      </c>
      <c r="AH8213">
        <v>2.75417724589779</v>
      </c>
      <c r="AI8213">
        <v>90.505355443016697</v>
      </c>
      <c r="AJ8213">
        <v>56.174024226672898</v>
      </c>
      <c r="AK8213">
        <v>3.3154901724024102</v>
      </c>
      <c r="AL8213">
        <v>95.407596171826796</v>
      </c>
      <c r="AM8213">
        <v>80.556308386387997</v>
      </c>
      <c r="AN8213">
        <v>0.99999997545424901</v>
      </c>
    </row>
    <row r="8214" spans="1:40" x14ac:dyDescent="0.25">
      <c r="A8214" t="str">
        <f>"20190305135122185"</f>
        <v>20190305135122185</v>
      </c>
      <c r="B8214" t="str">
        <f>"1551765082178362"</f>
        <v>1551765082178362</v>
      </c>
      <c r="C8214" t="s">
        <v>40</v>
      </c>
      <c r="D8214">
        <v>4.5813160000000002</v>
      </c>
      <c r="E8214">
        <v>0.67329189999999906</v>
      </c>
      <c r="F8214" t="s">
        <v>42</v>
      </c>
      <c r="G8214">
        <v>-83.72672</v>
      </c>
      <c r="H8214">
        <v>7.9986660000000001E-2</v>
      </c>
      <c r="I8214">
        <v>153.8116</v>
      </c>
      <c r="J8214">
        <v>-182.2766</v>
      </c>
      <c r="K8214">
        <v>1.105151</v>
      </c>
      <c r="L8214">
        <v>126.90560000000001</v>
      </c>
      <c r="M8214">
        <v>0.65628059999999999</v>
      </c>
      <c r="N8214">
        <v>-1.9327029999999999E-2</v>
      </c>
      <c r="O8214">
        <v>0.75426939999999998</v>
      </c>
      <c r="P8214">
        <v>0.76725390000000004</v>
      </c>
      <c r="Q8214">
        <v>-0.11088339999999899</v>
      </c>
      <c r="R8214">
        <v>0.63168530000000001</v>
      </c>
      <c r="S8214">
        <v>3.194229</v>
      </c>
      <c r="T8214">
        <v>-3.3179519999999997E-2</v>
      </c>
      <c r="U8214">
        <v>0.87400820000000001</v>
      </c>
      <c r="V8214">
        <v>0.16293579999999999</v>
      </c>
      <c r="W8214">
        <v>-9.4113920000000004E-2</v>
      </c>
      <c r="X8214">
        <v>0.9821377</v>
      </c>
      <c r="Y8214">
        <v>0.55430950000000001</v>
      </c>
      <c r="Z8214">
        <v>1.1940620000000001E-3</v>
      </c>
      <c r="AA8214">
        <v>0.83230979999999999</v>
      </c>
      <c r="AB8214">
        <v>20</v>
      </c>
      <c r="AC8214">
        <v>98.549880000000002</v>
      </c>
      <c r="AD8214">
        <v>-1.0251643399999999</v>
      </c>
      <c r="AE8214">
        <v>26.905999999999899</v>
      </c>
      <c r="AF8214">
        <v>56.680150591308397</v>
      </c>
      <c r="AG8214">
        <v>-1.0251643399999999</v>
      </c>
      <c r="AH8214">
        <v>84.978059559998897</v>
      </c>
      <c r="AI8214">
        <v>90.575013442659497</v>
      </c>
      <c r="AJ8214">
        <v>56.296812795814503</v>
      </c>
      <c r="AK8214">
        <v>102.151657057338</v>
      </c>
      <c r="AL8214">
        <v>95.400322761695705</v>
      </c>
      <c r="AM8214">
        <v>80.580470595419101</v>
      </c>
      <c r="AN8214">
        <v>0.99999998331034801</v>
      </c>
    </row>
    <row r="8215" spans="1:40" x14ac:dyDescent="0.25">
      <c r="A8215" t="str">
        <f>"20190305135122196"</f>
        <v>20190305135122196</v>
      </c>
      <c r="B8215" t="str">
        <f>"1551765082188122"</f>
        <v>1551765082188122</v>
      </c>
      <c r="C8215" t="s">
        <v>40</v>
      </c>
      <c r="D8215">
        <v>4.5923809999999996</v>
      </c>
      <c r="E8215">
        <v>0.67243120000000001</v>
      </c>
      <c r="F8215" t="s">
        <v>42</v>
      </c>
      <c r="G8215">
        <v>-99.356080000000006</v>
      </c>
      <c r="H8215" s="1">
        <v>-2.8129889999999999E-6</v>
      </c>
      <c r="I8215">
        <v>149.31780000000001</v>
      </c>
      <c r="J8215">
        <v>-182.20419999999999</v>
      </c>
      <c r="K8215">
        <v>1.1056619999999999</v>
      </c>
      <c r="L8215">
        <v>126.97969999999999</v>
      </c>
      <c r="M8215">
        <v>0.66003970000000001</v>
      </c>
      <c r="N8215">
        <v>-2.006001E-2</v>
      </c>
      <c r="O8215">
        <v>0.75096280000000004</v>
      </c>
      <c r="P8215">
        <v>0.76995089999999999</v>
      </c>
      <c r="Q8215">
        <v>-0.1116959</v>
      </c>
      <c r="R8215">
        <v>0.62825129999999996</v>
      </c>
      <c r="S8215">
        <v>3.1932830000000001</v>
      </c>
      <c r="T8215">
        <v>-4.2559619999999999E-2</v>
      </c>
      <c r="U8215">
        <v>0.86309809999999998</v>
      </c>
      <c r="V8215">
        <v>0.1623954</v>
      </c>
      <c r="W8215">
        <v>-9.4062460000000001E-2</v>
      </c>
      <c r="X8215">
        <v>0.9822322</v>
      </c>
      <c r="Y8215">
        <v>0.55271040000000005</v>
      </c>
      <c r="Z8215">
        <v>-1.149969E-3</v>
      </c>
      <c r="AA8215">
        <v>0.83337269999999897</v>
      </c>
      <c r="AB8215">
        <v>20</v>
      </c>
      <c r="AC8215">
        <v>82.848119999999895</v>
      </c>
      <c r="AD8215">
        <v>-1.1056648129889901</v>
      </c>
      <c r="AE8215">
        <v>22.338100000000001</v>
      </c>
      <c r="AF8215">
        <v>47.473496824736102</v>
      </c>
      <c r="AG8215">
        <v>-1.1056648129889901</v>
      </c>
      <c r="AH8215">
        <v>71.460649436040299</v>
      </c>
      <c r="AI8215">
        <v>90.738367596792898</v>
      </c>
      <c r="AJ8215">
        <v>56.402695156651902</v>
      </c>
      <c r="AK8215">
        <v>85.799649260749106</v>
      </c>
      <c r="AL8215">
        <v>95.397360802803504</v>
      </c>
      <c r="AM8215">
        <v>80.612041866530902</v>
      </c>
      <c r="AN8215">
        <v>1.0000000535196201</v>
      </c>
    </row>
    <row r="8216" spans="1:40" x14ac:dyDescent="0.25">
      <c r="A8216" t="str">
        <f>"20190305135122207"</f>
        <v>20190305135122207</v>
      </c>
      <c r="B8216" t="str">
        <f>"1551765082197882"</f>
        <v>1551765082197882</v>
      </c>
      <c r="C8216" t="s">
        <v>40</v>
      </c>
      <c r="D8216">
        <v>4.5530019999999896</v>
      </c>
      <c r="E8216">
        <v>0.67139320000000002</v>
      </c>
      <c r="F8216" t="s">
        <v>42</v>
      </c>
      <c r="G8216">
        <v>-115.0163</v>
      </c>
      <c r="H8216" s="1">
        <v>-3.513175E-6</v>
      </c>
      <c r="I8216">
        <v>144.93940000000001</v>
      </c>
      <c r="J8216">
        <v>-182.13319999999999</v>
      </c>
      <c r="K8216">
        <v>1.1061000000000001</v>
      </c>
      <c r="L8216">
        <v>127.0519</v>
      </c>
      <c r="M8216">
        <v>0.66365369999999901</v>
      </c>
      <c r="N8216">
        <v>-2.0797759999999998E-2</v>
      </c>
      <c r="O8216">
        <v>0.74775080000000005</v>
      </c>
      <c r="P8216">
        <v>0.77243619999999902</v>
      </c>
      <c r="Q8216">
        <v>-0.1125213</v>
      </c>
      <c r="R8216">
        <v>0.62504510000000002</v>
      </c>
      <c r="S8216">
        <v>3.1924589999999999</v>
      </c>
      <c r="T8216">
        <v>-5.253613E-2</v>
      </c>
      <c r="U8216">
        <v>0.85336299999999898</v>
      </c>
      <c r="V8216">
        <v>0.1617015</v>
      </c>
      <c r="W8216">
        <v>-9.4045619999999996E-2</v>
      </c>
      <c r="X8216">
        <v>0.9823482</v>
      </c>
      <c r="Y8216">
        <v>0.55097089999999904</v>
      </c>
      <c r="Z8216">
        <v>-3.6510470000000001E-3</v>
      </c>
      <c r="AA8216">
        <v>0.83451649999999999</v>
      </c>
      <c r="AB8216">
        <v>20</v>
      </c>
      <c r="AC8216">
        <v>67.116899999999902</v>
      </c>
      <c r="AD8216">
        <v>-1.1061035131749899</v>
      </c>
      <c r="AE8216">
        <v>17.887499999999999</v>
      </c>
      <c r="AF8216">
        <v>38.314182725500501</v>
      </c>
      <c r="AG8216">
        <v>-1.1061035131749899</v>
      </c>
      <c r="AH8216">
        <v>57.915613822372002</v>
      </c>
      <c r="AI8216">
        <v>90.912555524065198</v>
      </c>
      <c r="AJ8216">
        <v>56.513296735504802</v>
      </c>
      <c r="AK8216">
        <v>69.450834316997501</v>
      </c>
      <c r="AL8216">
        <v>95.396392098365297</v>
      </c>
      <c r="AM8216">
        <v>80.652530505603707</v>
      </c>
      <c r="AN8216">
        <v>0.99999996989333595</v>
      </c>
    </row>
    <row r="8217" spans="1:40" x14ac:dyDescent="0.25">
      <c r="A8217" t="str">
        <f>"20190305135122219"</f>
        <v>20190305135122219</v>
      </c>
      <c r="B8217" t="str">
        <f>"1551765082207643"</f>
        <v>1551765082207643</v>
      </c>
      <c r="C8217" t="s">
        <v>40</v>
      </c>
      <c r="D8217">
        <v>4.5552289999999998</v>
      </c>
      <c r="E8217">
        <v>0.670554599999999</v>
      </c>
      <c r="F8217" t="s">
        <v>42</v>
      </c>
      <c r="G8217">
        <v>-126.6007</v>
      </c>
      <c r="H8217" s="1">
        <v>-2.01441E-6</v>
      </c>
      <c r="I8217">
        <v>141.77279999999999</v>
      </c>
      <c r="J8217">
        <v>-182.06729999999999</v>
      </c>
      <c r="K8217">
        <v>1.1062190000000001</v>
      </c>
      <c r="L8217">
        <v>127.11799999999999</v>
      </c>
      <c r="M8217">
        <v>0.66733219999999904</v>
      </c>
      <c r="N8217">
        <v>-2.1340100000000001E-2</v>
      </c>
      <c r="O8217">
        <v>0.74445430000000001</v>
      </c>
      <c r="P8217">
        <v>0.77503009999999894</v>
      </c>
      <c r="Q8217">
        <v>-0.1130924</v>
      </c>
      <c r="R8217">
        <v>0.62172229999999995</v>
      </c>
      <c r="S8217">
        <v>3.1902309999999998</v>
      </c>
      <c r="T8217">
        <v>-6.354332E-2</v>
      </c>
      <c r="U8217">
        <v>0.84568790000000005</v>
      </c>
      <c r="V8217">
        <v>0.16101389999999999</v>
      </c>
      <c r="W8217">
        <v>-9.4060119999999997E-2</v>
      </c>
      <c r="X8217">
        <v>0.98245979999999999</v>
      </c>
      <c r="Y8217">
        <v>0.54854119999999995</v>
      </c>
      <c r="Z8217">
        <v>-6.5397199999999997E-3</v>
      </c>
      <c r="AA8217">
        <v>0.83609800000000001</v>
      </c>
      <c r="AB8217">
        <v>20</v>
      </c>
      <c r="AC8217">
        <v>55.4665999999999</v>
      </c>
      <c r="AD8217">
        <v>-1.10622101441</v>
      </c>
      <c r="AE8217">
        <v>14.6547999999999</v>
      </c>
      <c r="AF8217">
        <v>31.508193992889002</v>
      </c>
      <c r="AG8217">
        <v>-1.10622101441</v>
      </c>
      <c r="AH8217">
        <v>47.9175803262901</v>
      </c>
      <c r="AI8217">
        <v>91.105065283144995</v>
      </c>
      <c r="AJ8217">
        <v>56.673089302842698</v>
      </c>
      <c r="AK8217">
        <v>57.3592583455601</v>
      </c>
      <c r="AL8217">
        <v>95.397226312947495</v>
      </c>
      <c r="AM8217">
        <v>80.692620251481998</v>
      </c>
      <c r="AN8217">
        <v>1.00000002039183</v>
      </c>
    </row>
    <row r="8218" spans="1:40" x14ac:dyDescent="0.25">
      <c r="A8218" t="str">
        <f>"20190305135122231"</f>
        <v>20190305135122231</v>
      </c>
      <c r="B8218" t="str">
        <f>"1551765082228138"</f>
        <v>1551765082228138</v>
      </c>
      <c r="C8218" t="s">
        <v>40</v>
      </c>
      <c r="D8218">
        <v>4.5725439999999997</v>
      </c>
      <c r="E8218">
        <v>0.66867319999999997</v>
      </c>
      <c r="F8218" t="s">
        <v>42</v>
      </c>
      <c r="G8218">
        <v>-134.22669999999999</v>
      </c>
      <c r="H8218" s="1">
        <v>-2.4709259999999998E-6</v>
      </c>
      <c r="I8218">
        <v>139.661</v>
      </c>
      <c r="J8218">
        <v>-181.99539999999999</v>
      </c>
      <c r="K8218">
        <v>1.1062590000000001</v>
      </c>
      <c r="L8218">
        <v>127.18980000000001</v>
      </c>
      <c r="M8218">
        <v>0.67142609999999903</v>
      </c>
      <c r="N8218">
        <v>-2.1858349999999999E-2</v>
      </c>
      <c r="O8218">
        <v>0.740749199999999</v>
      </c>
      <c r="P8218">
        <v>0.77799149999999995</v>
      </c>
      <c r="Q8218">
        <v>-0.1135568</v>
      </c>
      <c r="R8218">
        <v>0.61792740000000002</v>
      </c>
      <c r="S8218">
        <v>3.1893009999999999</v>
      </c>
      <c r="T8218">
        <v>-7.3746439999999996E-2</v>
      </c>
      <c r="U8218">
        <v>0.83618159999999897</v>
      </c>
      <c r="V8218">
        <v>0.16033510000000001</v>
      </c>
      <c r="W8218">
        <v>-9.4015929999999998E-2</v>
      </c>
      <c r="X8218">
        <v>0.98257499999999998</v>
      </c>
      <c r="Y8218">
        <v>0.54615000000000002</v>
      </c>
      <c r="Z8218">
        <v>-9.2020550000000007E-3</v>
      </c>
      <c r="AA8218">
        <v>0.83763690000000002</v>
      </c>
      <c r="AB8218">
        <v>19</v>
      </c>
      <c r="AC8218">
        <v>47.768700000000003</v>
      </c>
      <c r="AD8218">
        <v>-1.1062614709259999</v>
      </c>
      <c r="AE8218">
        <v>12.4711999999999</v>
      </c>
      <c r="AF8218">
        <v>27.0040311120671</v>
      </c>
      <c r="AG8218">
        <v>-1.1062614709259999</v>
      </c>
      <c r="AH8218">
        <v>41.300315327513502</v>
      </c>
      <c r="AI8218">
        <v>91.2842929584763</v>
      </c>
      <c r="AJ8218">
        <v>56.821508960298601</v>
      </c>
      <c r="AK8218">
        <v>49.357446823104503</v>
      </c>
      <c r="AL8218">
        <v>95.394683334178893</v>
      </c>
      <c r="AM8218">
        <v>80.732243612875905</v>
      </c>
      <c r="AN8218">
        <v>0.999999985005387</v>
      </c>
    </row>
    <row r="8219" spans="1:40" x14ac:dyDescent="0.25">
      <c r="A8219" t="str">
        <f>"20190305135122241"</f>
        <v>20190305135122241</v>
      </c>
      <c r="B8219" t="str">
        <f>"1551765082237898"</f>
        <v>1551765082237898</v>
      </c>
      <c r="C8219" t="s">
        <v>40</v>
      </c>
      <c r="D8219">
        <v>4.5725339999999903</v>
      </c>
      <c r="E8219">
        <v>0.66867319999999997</v>
      </c>
      <c r="F8219" t="s">
        <v>42</v>
      </c>
      <c r="G8219">
        <v>-141.63929999999999</v>
      </c>
      <c r="H8219" s="1">
        <v>-3.9047000000000001E-6</v>
      </c>
      <c r="I8219">
        <v>137.72389999999999</v>
      </c>
      <c r="J8219">
        <v>-181.9221</v>
      </c>
      <c r="K8219">
        <v>1.105777</v>
      </c>
      <c r="L8219">
        <v>127.26139999999999</v>
      </c>
      <c r="M8219">
        <v>0.676145199999999</v>
      </c>
      <c r="N8219">
        <v>-2.1775989999999999E-2</v>
      </c>
      <c r="O8219">
        <v>0.7364465</v>
      </c>
      <c r="P8219">
        <v>0.78147509999999998</v>
      </c>
      <c r="Q8219">
        <v>-0.113325</v>
      </c>
      <c r="R8219">
        <v>0.61355850000000001</v>
      </c>
      <c r="S8219">
        <v>3.1833499999999999</v>
      </c>
      <c r="T8219">
        <v>-8.7263579999999993E-2</v>
      </c>
      <c r="U8219">
        <v>0.83094789999999996</v>
      </c>
      <c r="V8219">
        <v>0.15950590000000001</v>
      </c>
      <c r="W8219">
        <v>-9.4000459999999994E-2</v>
      </c>
      <c r="X8219">
        <v>0.98271140000000001</v>
      </c>
      <c r="Y8219">
        <v>0.54163219999999901</v>
      </c>
      <c r="Z8219">
        <v>-1.310599E-2</v>
      </c>
      <c r="AA8219">
        <v>0.84051339999999997</v>
      </c>
      <c r="AB8219">
        <v>19</v>
      </c>
      <c r="AC8219">
        <v>40.282800000000002</v>
      </c>
      <c r="AD8219">
        <v>-1.1057809047</v>
      </c>
      <c r="AE8219">
        <v>10.462499999999901</v>
      </c>
      <c r="AF8219">
        <v>22.581376236050701</v>
      </c>
      <c r="AG8219">
        <v>-1.1057809047</v>
      </c>
      <c r="AH8219">
        <v>34.925727101564704</v>
      </c>
      <c r="AI8219">
        <v>91.523003452322499</v>
      </c>
      <c r="AJ8219">
        <v>57.1151409660106</v>
      </c>
      <c r="AK8219">
        <v>41.604659807481298</v>
      </c>
      <c r="AL8219">
        <v>95.393793176335194</v>
      </c>
      <c r="AM8219">
        <v>80.780605871283797</v>
      </c>
      <c r="AN8219">
        <v>0.99999995715248902</v>
      </c>
    </row>
    <row r="8220" spans="1:40" x14ac:dyDescent="0.25">
      <c r="A8220" t="str">
        <f>"20190305135122256"</f>
        <v>20190305135122256</v>
      </c>
      <c r="B8220" t="str">
        <f>"1551765082247658"</f>
        <v>1551765082247658</v>
      </c>
      <c r="C8220" t="s">
        <v>40</v>
      </c>
      <c r="D8220">
        <v>4.570659</v>
      </c>
      <c r="E8220">
        <v>0.65495550000000002</v>
      </c>
      <c r="F8220" t="s">
        <v>42</v>
      </c>
      <c r="G8220">
        <v>-140.05420000000001</v>
      </c>
      <c r="H8220" s="1">
        <v>-4.5451150000000001E-6</v>
      </c>
      <c r="I8220">
        <v>137.9469</v>
      </c>
      <c r="J8220">
        <v>-181.83340000000001</v>
      </c>
      <c r="K8220">
        <v>1.1050260000000001</v>
      </c>
      <c r="L8220">
        <v>127.3466</v>
      </c>
      <c r="M8220">
        <v>0.68177619999999906</v>
      </c>
      <c r="N8220">
        <v>-2.1440230000000001E-2</v>
      </c>
      <c r="O8220">
        <v>0.73124659999999997</v>
      </c>
      <c r="P8220">
        <v>0.78546919999999898</v>
      </c>
      <c r="Q8220">
        <v>-0.11182309999999999</v>
      </c>
      <c r="R8220">
        <v>0.60871469999999905</v>
      </c>
      <c r="S8220">
        <v>3.187881</v>
      </c>
      <c r="T8220">
        <v>-8.4195850000000003E-2</v>
      </c>
      <c r="U8220">
        <v>0.8136139</v>
      </c>
      <c r="V8220">
        <v>0.1580956</v>
      </c>
      <c r="W8220">
        <v>-9.3022919999999995E-2</v>
      </c>
      <c r="X8220">
        <v>0.98303229999999997</v>
      </c>
      <c r="Y8220">
        <v>0.53978289999999995</v>
      </c>
      <c r="Z8220">
        <v>-1.243208E-2</v>
      </c>
      <c r="AA8220">
        <v>0.84171240000000003</v>
      </c>
      <c r="AB8220">
        <v>19</v>
      </c>
      <c r="AC8220">
        <v>41.779200000000003</v>
      </c>
      <c r="AD8220">
        <v>-1.105030545115</v>
      </c>
      <c r="AE8220">
        <v>10.600300000000001</v>
      </c>
      <c r="AF8220">
        <v>23.313904465646601</v>
      </c>
      <c r="AG8220">
        <v>-1.105030545115</v>
      </c>
      <c r="AH8220">
        <v>36.220021975196602</v>
      </c>
      <c r="AI8220">
        <v>91.469533873695298</v>
      </c>
      <c r="AJ8220">
        <v>57.231649306930699</v>
      </c>
      <c r="AK8220">
        <v>43.088852686311597</v>
      </c>
      <c r="AL8220">
        <v>95.337537564438094</v>
      </c>
      <c r="AM8220">
        <v>80.863672248705697</v>
      </c>
      <c r="AN8220">
        <v>0.99999999261398798</v>
      </c>
    </row>
    <row r="8221" spans="1:40" x14ac:dyDescent="0.25">
      <c r="A8221" t="str">
        <f>"20190305135122268"</f>
        <v>20190305135122268</v>
      </c>
      <c r="B8221" t="str">
        <f>"1551765082258395"</f>
        <v>1551765082258395</v>
      </c>
      <c r="C8221" t="s">
        <v>40</v>
      </c>
      <c r="D8221">
        <v>4.5125159999999997</v>
      </c>
      <c r="E8221">
        <v>0.65475629999999996</v>
      </c>
      <c r="F8221" t="s">
        <v>42</v>
      </c>
      <c r="G8221">
        <v>-162.70079999999999</v>
      </c>
      <c r="H8221" s="1">
        <v>-4.6648599999999998E-6</v>
      </c>
      <c r="I8221">
        <v>132.65950000000001</v>
      </c>
      <c r="J8221">
        <v>-181.7518</v>
      </c>
      <c r="K8221">
        <v>1.104152</v>
      </c>
      <c r="L8221">
        <v>127.4234</v>
      </c>
      <c r="M8221">
        <v>0.68687769999999904</v>
      </c>
      <c r="N8221">
        <v>-2.0877860000000002E-2</v>
      </c>
      <c r="O8221">
        <v>0.72647309999999998</v>
      </c>
      <c r="P8221">
        <v>0.78947049999999996</v>
      </c>
      <c r="Q8221">
        <v>-0.110777</v>
      </c>
      <c r="R8221">
        <v>0.6037093</v>
      </c>
      <c r="S8221">
        <v>3.1218720000000002</v>
      </c>
      <c r="T8221">
        <v>-0.18030860000000001</v>
      </c>
      <c r="U8221">
        <v>0.86691280000000004</v>
      </c>
      <c r="V8221">
        <v>0.15744669999999999</v>
      </c>
      <c r="W8221">
        <v>-9.2763200000000004E-2</v>
      </c>
      <c r="X8221">
        <v>0.98316099999999995</v>
      </c>
      <c r="Y8221">
        <v>0.51506470000000004</v>
      </c>
      <c r="Z8221">
        <v>-3.9809530000000003E-2</v>
      </c>
      <c r="AA8221">
        <v>0.85622640000000005</v>
      </c>
      <c r="AB8221">
        <v>19</v>
      </c>
      <c r="AC8221">
        <v>19.050999999999998</v>
      </c>
      <c r="AD8221">
        <v>-1.1041566648600001</v>
      </c>
      <c r="AE8221">
        <v>5.2361000000000004</v>
      </c>
      <c r="AF8221">
        <v>10.2138120731017</v>
      </c>
      <c r="AG8221">
        <v>-1.1041566648600001</v>
      </c>
      <c r="AH8221">
        <v>16.8406781015685</v>
      </c>
      <c r="AI8221">
        <v>93.208648079922696</v>
      </c>
      <c r="AJ8221">
        <v>58.763335680658102</v>
      </c>
      <c r="AK8221">
        <v>19.7268740028886</v>
      </c>
      <c r="AL8221">
        <v>95.322591971279294</v>
      </c>
      <c r="AM8221">
        <v>80.901714701813404</v>
      </c>
      <c r="AN8221">
        <v>1.00000001326806</v>
      </c>
    </row>
    <row r="8222" spans="1:40" x14ac:dyDescent="0.25">
      <c r="A8222" t="str">
        <f>"20190305135122280"</f>
        <v>20190305135122280</v>
      </c>
      <c r="B8222" t="str">
        <f>"1551765082277914"</f>
        <v>1551765082277914</v>
      </c>
      <c r="C8222" t="s">
        <v>40</v>
      </c>
      <c r="D8222">
        <v>4.5098209999999996</v>
      </c>
      <c r="E8222">
        <v>0.65352330000000003</v>
      </c>
      <c r="F8222" t="s">
        <v>42</v>
      </c>
      <c r="G8222">
        <v>-163.0206</v>
      </c>
      <c r="H8222" s="1">
        <v>-4.5577639999999997E-6</v>
      </c>
      <c r="I8222">
        <v>132.50049999999999</v>
      </c>
      <c r="J8222">
        <v>-181.6771</v>
      </c>
      <c r="K8222">
        <v>1.1035440000000001</v>
      </c>
      <c r="L8222">
        <v>127.49169999999999</v>
      </c>
      <c r="M8222">
        <v>0.69123449999999997</v>
      </c>
      <c r="N8222">
        <v>-2.0446909999999999E-2</v>
      </c>
      <c r="O8222">
        <v>0.72234129999999996</v>
      </c>
      <c r="P8222">
        <v>0.79281459999999904</v>
      </c>
      <c r="Q8222">
        <v>-0.1100527</v>
      </c>
      <c r="R8222">
        <v>0.59944430000000004</v>
      </c>
      <c r="S8222">
        <v>3.1262050000000001</v>
      </c>
      <c r="T8222">
        <v>-0.1842811</v>
      </c>
      <c r="U8222">
        <v>0.84735110000000002</v>
      </c>
      <c r="V8222">
        <v>0.15681989999999901</v>
      </c>
      <c r="W8222">
        <v>-9.2623720000000007E-2</v>
      </c>
      <c r="X8222">
        <v>0.98327430000000005</v>
      </c>
      <c r="Y8222">
        <v>0.51514269999999995</v>
      </c>
      <c r="Z8222">
        <v>-4.1123779999999999E-2</v>
      </c>
      <c r="AA8222">
        <v>0.85611729999999997</v>
      </c>
      <c r="AB8222">
        <v>19</v>
      </c>
      <c r="AC8222">
        <v>18.656499999999902</v>
      </c>
      <c r="AD8222">
        <v>-1.1035485577640001</v>
      </c>
      <c r="AE8222">
        <v>5.0087999999999901</v>
      </c>
      <c r="AF8222">
        <v>9.9836158149660097</v>
      </c>
      <c r="AG8222">
        <v>-1.1035485577640001</v>
      </c>
      <c r="AH8222">
        <v>16.463800224576399</v>
      </c>
      <c r="AI8222">
        <v>93.280278792828</v>
      </c>
      <c r="AJ8222">
        <v>58.767460454808599</v>
      </c>
      <c r="AK8222">
        <v>19.285930674845499</v>
      </c>
      <c r="AL8222">
        <v>95.314565915395704</v>
      </c>
      <c r="AM8222">
        <v>80.938359901221801</v>
      </c>
      <c r="AN8222">
        <v>0.99999999179156895</v>
      </c>
    </row>
    <row r="8223" spans="1:40" x14ac:dyDescent="0.25">
      <c r="A8223" t="str">
        <f>"20190305135122292"</f>
        <v>20190305135122292</v>
      </c>
      <c r="B8223" t="str">
        <f>"1551765082287674"</f>
        <v>1551765082287674</v>
      </c>
      <c r="C8223" t="s">
        <v>40</v>
      </c>
      <c r="D8223">
        <v>4.5285349999999998</v>
      </c>
      <c r="E8223">
        <v>0.65304499999999999</v>
      </c>
      <c r="F8223" t="s">
        <v>42</v>
      </c>
      <c r="G8223">
        <v>-163.0968</v>
      </c>
      <c r="H8223" s="1">
        <v>-4.5357469999999999E-6</v>
      </c>
      <c r="I8223">
        <v>132.47319999999999</v>
      </c>
      <c r="J8223">
        <v>-181.5966</v>
      </c>
      <c r="K8223">
        <v>1.1029880000000001</v>
      </c>
      <c r="L8223">
        <v>127.56440000000001</v>
      </c>
      <c r="M8223">
        <v>0.69582659999999996</v>
      </c>
      <c r="N8223">
        <v>-2.0030699999999999E-2</v>
      </c>
      <c r="O8223">
        <v>0.71793039999999997</v>
      </c>
      <c r="P8223">
        <v>0.79646289999999997</v>
      </c>
      <c r="Q8223">
        <v>-0.10968260000000001</v>
      </c>
      <c r="R8223">
        <v>0.59465690000000004</v>
      </c>
      <c r="S8223">
        <v>3.1247859999999998</v>
      </c>
      <c r="T8223">
        <v>-0.18559210000000001</v>
      </c>
      <c r="U8223">
        <v>0.83778379999999997</v>
      </c>
      <c r="V8223">
        <v>0.15642590000000001</v>
      </c>
      <c r="W8223">
        <v>-9.28123E-2</v>
      </c>
      <c r="X8223">
        <v>0.98331930000000001</v>
      </c>
      <c r="Y8223">
        <v>0.51200659999999998</v>
      </c>
      <c r="Z8223">
        <v>-4.1603950000000001E-2</v>
      </c>
      <c r="AA8223">
        <v>0.8579734</v>
      </c>
      <c r="AB8223">
        <v>19</v>
      </c>
      <c r="AC8223">
        <v>18.4998</v>
      </c>
      <c r="AD8223">
        <v>-1.1029925357469901</v>
      </c>
      <c r="AE8223">
        <v>4.9087999999999798</v>
      </c>
      <c r="AF8223">
        <v>9.8352130739947405</v>
      </c>
      <c r="AG8223">
        <v>-1.1029925357469901</v>
      </c>
      <c r="AH8223">
        <v>16.345836885136698</v>
      </c>
      <c r="AI8223">
        <v>93.309103123942407</v>
      </c>
      <c r="AJ8223">
        <v>58.964875563432699</v>
      </c>
      <c r="AK8223">
        <v>19.1084900560009</v>
      </c>
      <c r="AL8223">
        <v>95.3254173712415</v>
      </c>
      <c r="AM8223">
        <v>80.961157174085102</v>
      </c>
      <c r="AN8223">
        <v>1.0000000154872899</v>
      </c>
    </row>
    <row r="8224" spans="1:40" x14ac:dyDescent="0.25">
      <c r="A8224" t="str">
        <f>"20190305135122303"</f>
        <v>20190305135122303</v>
      </c>
      <c r="B8224" t="str">
        <f>"1551765082298411"</f>
        <v>1551765082298411</v>
      </c>
      <c r="C8224" t="s">
        <v>40</v>
      </c>
      <c r="D8224">
        <v>4.4924150000000003</v>
      </c>
      <c r="E8224">
        <v>0.65237179999999995</v>
      </c>
      <c r="F8224" t="s">
        <v>42</v>
      </c>
      <c r="G8224">
        <v>-162.84809999999999</v>
      </c>
      <c r="H8224" s="1">
        <v>-4.6259010000000003E-6</v>
      </c>
      <c r="I8224">
        <v>132.4933</v>
      </c>
      <c r="J8224">
        <v>-181.52369999999999</v>
      </c>
      <c r="K8224">
        <v>1.102759</v>
      </c>
      <c r="L8224">
        <v>127.62869999999999</v>
      </c>
      <c r="M8224">
        <v>0.69982900000000003</v>
      </c>
      <c r="N8224">
        <v>-1.9805799999999998E-2</v>
      </c>
      <c r="O8224">
        <v>0.71403570000000005</v>
      </c>
      <c r="P8224">
        <v>0.79956110000000002</v>
      </c>
      <c r="Q8224">
        <v>-0.1093596</v>
      </c>
      <c r="R8224">
        <v>0.59054430000000002</v>
      </c>
      <c r="S8224">
        <v>3.1274570000000002</v>
      </c>
      <c r="T8224">
        <v>-0.18399160000000001</v>
      </c>
      <c r="U8224">
        <v>0.82218930000000001</v>
      </c>
      <c r="V8224">
        <v>0.15599959999999999</v>
      </c>
      <c r="W8224">
        <v>-9.2761930000000006E-2</v>
      </c>
      <c r="X8224">
        <v>0.98339180000000004</v>
      </c>
      <c r="Y8224">
        <v>0.51141369999999997</v>
      </c>
      <c r="Z8224">
        <v>-4.1216339999999997E-2</v>
      </c>
      <c r="AA8224">
        <v>0.85834569999999999</v>
      </c>
      <c r="AB8224">
        <v>19</v>
      </c>
      <c r="AC8224">
        <v>18.675599999999999</v>
      </c>
      <c r="AD8224">
        <v>-1.1027636259010001</v>
      </c>
      <c r="AE8224">
        <v>4.8646000000000003</v>
      </c>
      <c r="AF8224">
        <v>9.9002797881035303</v>
      </c>
      <c r="AG8224">
        <v>-1.1027636259010001</v>
      </c>
      <c r="AH8224">
        <v>16.4926199846015</v>
      </c>
      <c r="AI8224">
        <v>93.281075039890297</v>
      </c>
      <c r="AJ8224">
        <v>59.024219241767497</v>
      </c>
      <c r="AK8224">
        <v>19.267541136684201</v>
      </c>
      <c r="AL8224">
        <v>95.3225187393966</v>
      </c>
      <c r="AM8224">
        <v>80.986038937681201</v>
      </c>
      <c r="AN8224">
        <v>1.00000004158236</v>
      </c>
    </row>
    <row r="8225" spans="1:40" x14ac:dyDescent="0.25">
      <c r="A8225" t="str">
        <f>"20190305135122314"</f>
        <v>20190305135122314</v>
      </c>
      <c r="B8225" t="str">
        <f>"1551765082308171"</f>
        <v>1551765082308171</v>
      </c>
      <c r="C8225" t="s">
        <v>40</v>
      </c>
      <c r="D8225">
        <v>4.5121060000000002</v>
      </c>
      <c r="E8225">
        <v>0.65207859999999995</v>
      </c>
      <c r="F8225" t="s">
        <v>42</v>
      </c>
      <c r="G8225">
        <v>-162.81540000000001</v>
      </c>
      <c r="H8225" s="1">
        <v>-4.6439160000000001E-6</v>
      </c>
      <c r="I8225">
        <v>132.47290000000001</v>
      </c>
      <c r="J8225">
        <v>-181.45189999999999</v>
      </c>
      <c r="K8225">
        <v>1.1026579999999999</v>
      </c>
      <c r="L8225">
        <v>127.6915</v>
      </c>
      <c r="M8225">
        <v>0.7037774</v>
      </c>
      <c r="N8225">
        <v>-1.957588E-2</v>
      </c>
      <c r="O8225">
        <v>0.71015079999999997</v>
      </c>
      <c r="P8225">
        <v>0.80241180000000001</v>
      </c>
      <c r="Q8225">
        <v>-0.10936129999999999</v>
      </c>
      <c r="R8225">
        <v>0.58666470000000004</v>
      </c>
      <c r="S8225">
        <v>3.1285400000000001</v>
      </c>
      <c r="T8225">
        <v>-0.1844124</v>
      </c>
      <c r="U8225">
        <v>0.81007390000000001</v>
      </c>
      <c r="V8225">
        <v>0.1552955</v>
      </c>
      <c r="W8225">
        <v>-9.3002089999999996E-2</v>
      </c>
      <c r="X8225">
        <v>0.98348049999999998</v>
      </c>
      <c r="Y8225">
        <v>0.50983210000000001</v>
      </c>
      <c r="Z8225">
        <v>-4.1370369999999997E-2</v>
      </c>
      <c r="AA8225">
        <v>0.8592786</v>
      </c>
      <c r="AB8225">
        <v>19</v>
      </c>
      <c r="AC8225">
        <v>18.636499999999899</v>
      </c>
      <c r="AD8225">
        <v>-1.1026626439160001</v>
      </c>
      <c r="AE8225">
        <v>4.7813999999999997</v>
      </c>
      <c r="AF8225">
        <v>9.8392585649974507</v>
      </c>
      <c r="AG8225">
        <v>-1.1026626439160001</v>
      </c>
      <c r="AH8225">
        <v>16.460562190178599</v>
      </c>
      <c r="AI8225">
        <v>93.290822536638203</v>
      </c>
      <c r="AJ8225">
        <v>59.131237330450098</v>
      </c>
      <c r="AK8225">
        <v>19.208773558764801</v>
      </c>
      <c r="AL8225">
        <v>95.336338924564302</v>
      </c>
      <c r="AM8225">
        <v>81.026855832807499</v>
      </c>
      <c r="AN8225">
        <v>0.99999998747243302</v>
      </c>
    </row>
    <row r="8226" spans="1:40" x14ac:dyDescent="0.25">
      <c r="A8226" t="str">
        <f>"20190305135122324"</f>
        <v>20190305135122324</v>
      </c>
      <c r="B8226" t="str">
        <f>"1551765082317930"</f>
        <v>1551765082317930</v>
      </c>
      <c r="C8226" t="s">
        <v>40</v>
      </c>
      <c r="D8226">
        <v>4.4895319999999996</v>
      </c>
      <c r="E8226">
        <v>0.65145090000000005</v>
      </c>
      <c r="F8226" t="s">
        <v>42</v>
      </c>
      <c r="G8226">
        <v>-163.05439999999999</v>
      </c>
      <c r="H8226" s="1">
        <v>-4.5793210000000003E-6</v>
      </c>
      <c r="I8226">
        <v>132.3707</v>
      </c>
      <c r="J8226">
        <v>-181.37860000000001</v>
      </c>
      <c r="K8226">
        <v>1.102741</v>
      </c>
      <c r="L8226">
        <v>127.7548</v>
      </c>
      <c r="M8226">
        <v>0.70784099999999905</v>
      </c>
      <c r="N8226">
        <v>-1.93306E-2</v>
      </c>
      <c r="O8226">
        <v>0.70610719999999905</v>
      </c>
      <c r="P8226">
        <v>0.80534410000000001</v>
      </c>
      <c r="Q8226">
        <v>-0.1094667</v>
      </c>
      <c r="R8226">
        <v>0.58261309999999999</v>
      </c>
      <c r="S8226">
        <v>3.1309360000000002</v>
      </c>
      <c r="T8226">
        <v>-0.1876534</v>
      </c>
      <c r="U8226">
        <v>0.79632569999999903</v>
      </c>
      <c r="V8226">
        <v>0.154611</v>
      </c>
      <c r="W8226">
        <v>-9.3312870000000006E-2</v>
      </c>
      <c r="X8226">
        <v>0.98355890000000001</v>
      </c>
      <c r="Y8226">
        <v>0.50854920000000003</v>
      </c>
      <c r="Z8226">
        <v>-4.2304260000000003E-2</v>
      </c>
      <c r="AA8226">
        <v>0.85999309999999995</v>
      </c>
      <c r="AB8226">
        <v>19</v>
      </c>
      <c r="AC8226">
        <v>18.324200000000001</v>
      </c>
      <c r="AD8226">
        <v>-1.1027455793209999</v>
      </c>
      <c r="AE8226">
        <v>4.6158999999999901</v>
      </c>
      <c r="AF8226">
        <v>9.6405033176011603</v>
      </c>
      <c r="AG8226">
        <v>-1.1027455793209999</v>
      </c>
      <c r="AH8226">
        <v>16.1778801519159</v>
      </c>
      <c r="AI8226">
        <v>93.351153517636106</v>
      </c>
      <c r="AJ8226">
        <v>59.209012662654501</v>
      </c>
      <c r="AK8226">
        <v>18.864759692059302</v>
      </c>
      <c r="AL8226">
        <v>95.354223111103394</v>
      </c>
      <c r="AM8226">
        <v>81.066468276594605</v>
      </c>
      <c r="AN8226">
        <v>0.99999998139892299</v>
      </c>
    </row>
    <row r="8227" spans="1:40" x14ac:dyDescent="0.25">
      <c r="A8227" t="str">
        <f>"20190305135122336"</f>
        <v>20190305135122336</v>
      </c>
      <c r="B8227" t="str">
        <f>"1551765082327690"</f>
        <v>1551765082327690</v>
      </c>
      <c r="C8227" t="s">
        <v>40</v>
      </c>
      <c r="D8227">
        <v>4.4656640000000003</v>
      </c>
      <c r="E8227">
        <v>0.65070919999999999</v>
      </c>
      <c r="F8227" t="s">
        <v>42</v>
      </c>
      <c r="G8227">
        <v>-163.4623</v>
      </c>
      <c r="H8227" s="1">
        <v>-4.4573859999999999E-6</v>
      </c>
      <c r="I8227">
        <v>132.24019999999999</v>
      </c>
      <c r="J8227">
        <v>-181.3039</v>
      </c>
      <c r="K8227">
        <v>1.10294</v>
      </c>
      <c r="L8227">
        <v>127.8188</v>
      </c>
      <c r="M8227">
        <v>0.71244600000000002</v>
      </c>
      <c r="N8227">
        <v>-1.914457E-2</v>
      </c>
      <c r="O8227">
        <v>0.70146569999999997</v>
      </c>
      <c r="P8227">
        <v>0.80865559999999903</v>
      </c>
      <c r="Q8227">
        <v>-0.1097877</v>
      </c>
      <c r="R8227">
        <v>0.57794709999999905</v>
      </c>
      <c r="S8227">
        <v>3.1317140000000001</v>
      </c>
      <c r="T8227">
        <v>-0.19275690000000001</v>
      </c>
      <c r="U8227">
        <v>0.78402709999999998</v>
      </c>
      <c r="V8227">
        <v>0.15384979999999901</v>
      </c>
      <c r="W8227">
        <v>-9.3764399999999901E-2</v>
      </c>
      <c r="X8227">
        <v>0.98363540000000005</v>
      </c>
      <c r="Y8227">
        <v>0.50606390000000001</v>
      </c>
      <c r="Z8227">
        <v>-4.3678660000000001E-2</v>
      </c>
      <c r="AA8227">
        <v>0.86138930000000002</v>
      </c>
      <c r="AB8227">
        <v>19</v>
      </c>
      <c r="AC8227">
        <v>17.8416</v>
      </c>
      <c r="AD8227">
        <v>-1.1029444573860001</v>
      </c>
      <c r="AE8227">
        <v>4.4213999999999896</v>
      </c>
      <c r="AF8227">
        <v>9.3333743981349393</v>
      </c>
      <c r="AG8227">
        <v>-1.1029444573860001</v>
      </c>
      <c r="AH8227">
        <v>15.758797377401599</v>
      </c>
      <c r="AI8227">
        <v>93.446174026403</v>
      </c>
      <c r="AJ8227">
        <v>59.363251693533599</v>
      </c>
      <c r="AK8227">
        <v>18.3485165316938</v>
      </c>
      <c r="AL8227">
        <v>95.380207366707893</v>
      </c>
      <c r="AM8227">
        <v>81.1104270700054</v>
      </c>
      <c r="AN8227">
        <v>1.00000006190027</v>
      </c>
    </row>
    <row r="8228" spans="1:40" x14ac:dyDescent="0.25">
      <c r="A8228" t="str">
        <f>"20190305135122357"</f>
        <v>20190305135122357</v>
      </c>
      <c r="B8228" t="str">
        <f>"1551765082348188"</f>
        <v>1551765082348188</v>
      </c>
      <c r="C8228" t="s">
        <v>40</v>
      </c>
      <c r="D8228">
        <v>4.4468759999999996</v>
      </c>
      <c r="E8228">
        <v>0.64243819999999996</v>
      </c>
      <c r="F8228" t="s">
        <v>42</v>
      </c>
      <c r="G8228">
        <v>-163.71860000000001</v>
      </c>
      <c r="H8228" s="1">
        <v>-4.3847100000000004E-6</v>
      </c>
      <c r="I8228">
        <v>132.14340000000001</v>
      </c>
      <c r="J8228">
        <v>-181.16499999999999</v>
      </c>
      <c r="K8228">
        <v>1.1033569999999999</v>
      </c>
      <c r="L8228">
        <v>127.9366</v>
      </c>
      <c r="M8228">
        <v>0.72200690000000001</v>
      </c>
      <c r="N8228">
        <v>-1.8846740000000001E-2</v>
      </c>
      <c r="O8228">
        <v>0.6916291</v>
      </c>
      <c r="P8228">
        <v>0.81519129999999995</v>
      </c>
      <c r="Q8228">
        <v>-0.110131199999999</v>
      </c>
      <c r="R8228">
        <v>0.56862489999999999</v>
      </c>
      <c r="S8228">
        <v>3.1326139999999998</v>
      </c>
      <c r="T8228">
        <v>-0.1964766</v>
      </c>
      <c r="U8228">
        <v>0.77038569999999995</v>
      </c>
      <c r="V8228">
        <v>0.15161810000000001</v>
      </c>
      <c r="W8228">
        <v>-9.4338980000000003E-2</v>
      </c>
      <c r="X8228">
        <v>0.98392690000000005</v>
      </c>
      <c r="Y8228">
        <v>0.49775730000000001</v>
      </c>
      <c r="Z8228">
        <v>-4.4396499999999998E-2</v>
      </c>
      <c r="AA8228">
        <v>0.86617929999999999</v>
      </c>
      <c r="AB8228">
        <v>19</v>
      </c>
      <c r="AC8228">
        <v>17.446399999999901</v>
      </c>
      <c r="AD8228">
        <v>-1.1033613847099999</v>
      </c>
      <c r="AE8228">
        <v>4.2068000000000101</v>
      </c>
      <c r="AF8228">
        <v>8.99669683121631</v>
      </c>
      <c r="AG8228">
        <v>-1.1033613847099999</v>
      </c>
      <c r="AH8228">
        <v>15.4503206567496</v>
      </c>
      <c r="AI8228">
        <v>93.5314300927716</v>
      </c>
      <c r="AJ8228">
        <v>59.787825780875004</v>
      </c>
      <c r="AK8228">
        <v>17.912854842667301</v>
      </c>
      <c r="AL8228">
        <v>95.4132751908095</v>
      </c>
      <c r="AM8228">
        <v>81.239916663754599</v>
      </c>
      <c r="AN8228">
        <v>1.00000001796933</v>
      </c>
    </row>
    <row r="8229" spans="1:40" x14ac:dyDescent="0.25">
      <c r="A8229" t="str">
        <f>"20190305135122373"</f>
        <v>20190305135122373</v>
      </c>
      <c r="B8229" t="str">
        <f>"1551765082367706"</f>
        <v>1551765082367706</v>
      </c>
      <c r="C8229" t="s">
        <v>40</v>
      </c>
      <c r="D8229">
        <v>4.4473890000000003</v>
      </c>
      <c r="E8229">
        <v>0.64219079999999995</v>
      </c>
      <c r="F8229" t="s">
        <v>42</v>
      </c>
      <c r="G8229">
        <v>-166.91820000000001</v>
      </c>
      <c r="H8229" s="1">
        <v>-3.3186190000000002E-6</v>
      </c>
      <c r="I8229">
        <v>131.53229999999999</v>
      </c>
      <c r="J8229">
        <v>-181.05690000000001</v>
      </c>
      <c r="K8229">
        <v>1.1034060000000001</v>
      </c>
      <c r="L8229">
        <v>128.02699999999999</v>
      </c>
      <c r="M8229">
        <v>0.72997840000000003</v>
      </c>
      <c r="N8229">
        <v>-1.8469530000000001E-2</v>
      </c>
      <c r="O8229">
        <v>0.68322069999999901</v>
      </c>
      <c r="P8229">
        <v>0.82118619999999898</v>
      </c>
      <c r="Q8229">
        <v>-0.1097032</v>
      </c>
      <c r="R8229">
        <v>0.56001650000000003</v>
      </c>
      <c r="S8229">
        <v>3.101639</v>
      </c>
      <c r="T8229">
        <v>-0.2402109</v>
      </c>
      <c r="U8229">
        <v>0.78282169999999995</v>
      </c>
      <c r="V8229">
        <v>0.1505205</v>
      </c>
      <c r="W8229">
        <v>-9.4404199999999994E-2</v>
      </c>
      <c r="X8229">
        <v>0.98408910000000005</v>
      </c>
      <c r="Y8229">
        <v>0.48153550000000001</v>
      </c>
      <c r="Z8229">
        <v>-5.612847E-2</v>
      </c>
      <c r="AA8229">
        <v>0.8746275</v>
      </c>
      <c r="AB8229">
        <v>19</v>
      </c>
      <c r="AC8229">
        <v>14.1387</v>
      </c>
      <c r="AD8229">
        <v>-1.1034093186189999</v>
      </c>
      <c r="AE8229">
        <v>3.5052999999999699</v>
      </c>
      <c r="AF8229">
        <v>7.0617511039865901</v>
      </c>
      <c r="AG8229">
        <v>-1.1034093186189999</v>
      </c>
      <c r="AH8229">
        <v>12.645450223425099</v>
      </c>
      <c r="AI8229">
        <v>94.356558574828497</v>
      </c>
      <c r="AJ8229">
        <v>60.819172623438803</v>
      </c>
      <c r="AK8229">
        <v>14.5256067732881</v>
      </c>
      <c r="AL8229">
        <v>95.417029059627296</v>
      </c>
      <c r="AM8229">
        <v>81.3037714574495</v>
      </c>
      <c r="AN8229">
        <v>0.999999965318349</v>
      </c>
    </row>
    <row r="8230" spans="1:40" x14ac:dyDescent="0.25">
      <c r="A8230" t="str">
        <f>"20190305135122390"</f>
        <v>20190305135122390</v>
      </c>
      <c r="B8230" t="str">
        <f>"1551765082388204"</f>
        <v>1551765082388204</v>
      </c>
      <c r="C8230" t="s">
        <v>40</v>
      </c>
      <c r="D8230">
        <v>4.432868</v>
      </c>
      <c r="E8230">
        <v>0.6395575</v>
      </c>
      <c r="F8230" t="s">
        <v>42</v>
      </c>
      <c r="G8230">
        <v>-166.56979999999999</v>
      </c>
      <c r="H8230" s="1">
        <v>-3.4526120000000001E-6</v>
      </c>
      <c r="I8230">
        <v>131.5316</v>
      </c>
      <c r="J8230">
        <v>-180.94649999999999</v>
      </c>
      <c r="K8230">
        <v>1.1029910000000001</v>
      </c>
      <c r="L8230">
        <v>128.11799999999999</v>
      </c>
      <c r="M8230">
        <v>0.73809060000000004</v>
      </c>
      <c r="N8230">
        <v>-1.7759460000000001E-2</v>
      </c>
      <c r="O8230">
        <v>0.67446790000000001</v>
      </c>
      <c r="P8230">
        <v>0.82684439999999904</v>
      </c>
      <c r="Q8230">
        <v>-0.10855339999999999</v>
      </c>
      <c r="R8230">
        <v>0.55185550000000005</v>
      </c>
      <c r="S8230">
        <v>3.108765</v>
      </c>
      <c r="T8230">
        <v>-0.23677770000000001</v>
      </c>
      <c r="U8230">
        <v>0.75204469999999901</v>
      </c>
      <c r="V8230">
        <v>0.14841860000000001</v>
      </c>
      <c r="W8230">
        <v>-9.4254279999999996E-2</v>
      </c>
      <c r="X8230">
        <v>0.98442269999999998</v>
      </c>
      <c r="Y8230">
        <v>0.47978969999999999</v>
      </c>
      <c r="Z8230">
        <v>-5.5186880000000001E-2</v>
      </c>
      <c r="AA8230">
        <v>0.87564619999999904</v>
      </c>
      <c r="AB8230">
        <v>19</v>
      </c>
      <c r="AC8230">
        <v>14.3767</v>
      </c>
      <c r="AD8230">
        <v>-1.1029944526119999</v>
      </c>
      <c r="AE8230">
        <v>3.4136000000000002</v>
      </c>
      <c r="AF8230">
        <v>7.1384332239659596</v>
      </c>
      <c r="AG8230">
        <v>-1.1029944526119999</v>
      </c>
      <c r="AH8230">
        <v>12.8441399838884</v>
      </c>
      <c r="AI8230">
        <v>94.292661634041295</v>
      </c>
      <c r="AJ8230">
        <v>60.935852591203101</v>
      </c>
      <c r="AK8230">
        <v>14.7358663668355</v>
      </c>
      <c r="AL8230">
        <v>95.408400608503001</v>
      </c>
      <c r="AM8230">
        <v>81.426252268503106</v>
      </c>
      <c r="AN8230">
        <v>1.0000000011997801</v>
      </c>
    </row>
    <row r="8231" spans="1:40" x14ac:dyDescent="0.25">
      <c r="A8231" t="str">
        <f>"20190305135122401"</f>
        <v>20190305135122401</v>
      </c>
      <c r="B8231" t="str">
        <f>"1551765082397964"</f>
        <v>1551765082397964</v>
      </c>
      <c r="C8231" t="s">
        <v>40</v>
      </c>
      <c r="D8231">
        <v>4.4272289999999996</v>
      </c>
      <c r="E8231">
        <v>0.63887689999999997</v>
      </c>
      <c r="F8231" t="s">
        <v>42</v>
      </c>
      <c r="G8231">
        <v>-163.4813</v>
      </c>
      <c r="H8231" s="1">
        <v>-4.4340659999999999E-6</v>
      </c>
      <c r="I8231">
        <v>132.3005</v>
      </c>
      <c r="J8231">
        <v>-180.8629</v>
      </c>
      <c r="K8231">
        <v>1.1024229999999999</v>
      </c>
      <c r="L8231">
        <v>128.1849</v>
      </c>
      <c r="M8231">
        <v>0.74340799999999996</v>
      </c>
      <c r="N8231">
        <v>-1.6786329999999999E-2</v>
      </c>
      <c r="O8231">
        <v>0.66862759999999999</v>
      </c>
      <c r="P8231">
        <v>0.83093819999999996</v>
      </c>
      <c r="Q8231">
        <v>-0.1069946</v>
      </c>
      <c r="R8231">
        <v>0.54597989999999996</v>
      </c>
      <c r="S8231">
        <v>3.1060490000000001</v>
      </c>
      <c r="T8231">
        <v>-0.19615879999999999</v>
      </c>
      <c r="U8231">
        <v>0.74382019999999904</v>
      </c>
      <c r="V8231">
        <v>0.1475465</v>
      </c>
      <c r="W8231">
        <v>-9.3987790000000002E-2</v>
      </c>
      <c r="X8231">
        <v>0.98457930000000005</v>
      </c>
      <c r="Y8231">
        <v>0.47563470000000002</v>
      </c>
      <c r="Z8231">
        <v>-4.4509979999999998E-2</v>
      </c>
      <c r="AA8231">
        <v>0.87851610000000002</v>
      </c>
      <c r="AB8231">
        <v>19</v>
      </c>
      <c r="AC8231">
        <v>17.381599999999899</v>
      </c>
      <c r="AD8231">
        <v>-1.1024274340660001</v>
      </c>
      <c r="AE8231">
        <v>4.1155999999999997</v>
      </c>
      <c r="AF8231">
        <v>8.53095782839846</v>
      </c>
      <c r="AG8231">
        <v>-1.1024274340660001</v>
      </c>
      <c r="AH8231">
        <v>15.616147608375501</v>
      </c>
      <c r="AI8231">
        <v>93.545146109290201</v>
      </c>
      <c r="AJ8231">
        <v>61.3526259115363</v>
      </c>
      <c r="AK8231">
        <v>17.828534820446301</v>
      </c>
      <c r="AL8231">
        <v>95.393063583224802</v>
      </c>
      <c r="AM8231">
        <v>81.477224805091694</v>
      </c>
      <c r="AN8231">
        <v>1.00000003615991</v>
      </c>
    </row>
    <row r="8232" spans="1:40" x14ac:dyDescent="0.25">
      <c r="A8232" t="str">
        <f>"20190305135122413"</f>
        <v>20190305135122413</v>
      </c>
      <c r="B8232" t="str">
        <f>"1551765082407722"</f>
        <v>1551765082407722</v>
      </c>
      <c r="C8232" t="s">
        <v>40</v>
      </c>
      <c r="D8232">
        <v>4.3825329999999996</v>
      </c>
      <c r="E8232">
        <v>0.63828379999999996</v>
      </c>
      <c r="F8232" t="s">
        <v>42</v>
      </c>
      <c r="G8232">
        <v>-162.78030000000001</v>
      </c>
      <c r="H8232" s="1">
        <v>-4.6738720000000003E-6</v>
      </c>
      <c r="I8232">
        <v>132.411</v>
      </c>
      <c r="J8232">
        <v>-180.78559999999999</v>
      </c>
      <c r="K8232">
        <v>1.101936</v>
      </c>
      <c r="L8232">
        <v>128.24600000000001</v>
      </c>
      <c r="M8232">
        <v>0.74798920000000002</v>
      </c>
      <c r="N8232">
        <v>-1.583739E-2</v>
      </c>
      <c r="O8232">
        <v>0.6635219</v>
      </c>
      <c r="P8232">
        <v>0.83431759999999999</v>
      </c>
      <c r="Q8232">
        <v>-0.1050968</v>
      </c>
      <c r="R8232">
        <v>0.54117360000000003</v>
      </c>
      <c r="S8232">
        <v>3.1086119999999999</v>
      </c>
      <c r="T8232">
        <v>-0.18951999999999999</v>
      </c>
      <c r="U8232">
        <v>0.72651669999999902</v>
      </c>
      <c r="V8232">
        <v>0.1464597</v>
      </c>
      <c r="W8232">
        <v>-9.3314359999999999E-2</v>
      </c>
      <c r="X8232">
        <v>0.98480559999999995</v>
      </c>
      <c r="Y8232">
        <v>0.47449829999999998</v>
      </c>
      <c r="Z8232">
        <v>-4.3039420000000002E-2</v>
      </c>
      <c r="AA8232">
        <v>0.87920359999999997</v>
      </c>
      <c r="AB8232">
        <v>19</v>
      </c>
      <c r="AC8232">
        <v>18.005299999999899</v>
      </c>
      <c r="AD8232">
        <v>-1.1019406738719999</v>
      </c>
      <c r="AE8232">
        <v>4.1649999999999903</v>
      </c>
      <c r="AF8232">
        <v>8.8013522043614092</v>
      </c>
      <c r="AG8232">
        <v>-1.1019406738719999</v>
      </c>
      <c r="AH8232">
        <v>16.175864619655002</v>
      </c>
      <c r="AI8232">
        <v>93.424404524369095</v>
      </c>
      <c r="AJ8232">
        <v>61.449212631978803</v>
      </c>
      <c r="AK8232">
        <v>18.448215904725199</v>
      </c>
      <c r="AL8232">
        <v>95.3543085324023</v>
      </c>
      <c r="AM8232">
        <v>81.541006130032699</v>
      </c>
      <c r="AN8232">
        <v>1.0000000416488199</v>
      </c>
    </row>
    <row r="8233" spans="1:40" x14ac:dyDescent="0.25">
      <c r="A8233" t="str">
        <f>"20190305135122423"</f>
        <v>20190305135122423</v>
      </c>
      <c r="B8233" t="str">
        <f>"1551765082417483"</f>
        <v>1551765082417483</v>
      </c>
      <c r="C8233" t="s">
        <v>40</v>
      </c>
      <c r="D8233">
        <v>4.3980649999999999</v>
      </c>
      <c r="E8233">
        <v>0.63801790000000003</v>
      </c>
      <c r="F8233" t="s">
        <v>42</v>
      </c>
      <c r="G8233">
        <v>-161.7741</v>
      </c>
      <c r="H8233" s="1">
        <v>-5.1129629999999996E-6</v>
      </c>
      <c r="I8233">
        <v>132.60290000000001</v>
      </c>
      <c r="J8233">
        <v>-180.7122</v>
      </c>
      <c r="K8233">
        <v>1.1015509999999999</v>
      </c>
      <c r="L8233">
        <v>128.30279999999999</v>
      </c>
      <c r="M8233">
        <v>0.75175319999999901</v>
      </c>
      <c r="N8233">
        <v>-1.4854350000000001E-2</v>
      </c>
      <c r="O8233">
        <v>0.65927729999999996</v>
      </c>
      <c r="P8233">
        <v>0.83725289999999997</v>
      </c>
      <c r="Q8233">
        <v>-0.1032066</v>
      </c>
      <c r="R8233">
        <v>0.53698800000000002</v>
      </c>
      <c r="S8233">
        <v>3.1106259999999999</v>
      </c>
      <c r="T8233">
        <v>-0.18029729999999999</v>
      </c>
      <c r="U8233">
        <v>0.71287539999999905</v>
      </c>
      <c r="V8233">
        <v>0.1458024</v>
      </c>
      <c r="W8233">
        <v>-9.2663590000000004E-2</v>
      </c>
      <c r="X8233">
        <v>0.98496450000000002</v>
      </c>
      <c r="Y8233">
        <v>0.4734294</v>
      </c>
      <c r="Z8233">
        <v>-4.0922550000000002E-2</v>
      </c>
      <c r="AA8233">
        <v>0.87988069999999896</v>
      </c>
      <c r="AB8233">
        <v>19</v>
      </c>
      <c r="AC8233">
        <v>18.938099999999899</v>
      </c>
      <c r="AD8233">
        <v>-1.101556112963</v>
      </c>
      <c r="AE8233">
        <v>4.3001000000000102</v>
      </c>
      <c r="AF8233">
        <v>9.2241880205897395</v>
      </c>
      <c r="AG8233">
        <v>-1.101556112963</v>
      </c>
      <c r="AH8233">
        <v>17.018861815652201</v>
      </c>
      <c r="AI8233">
        <v>93.2568928769347</v>
      </c>
      <c r="AJ8233">
        <v>61.542398569952397</v>
      </c>
      <c r="AK8233">
        <v>19.389191009669901</v>
      </c>
      <c r="AL8233">
        <v>95.316860262443797</v>
      </c>
      <c r="AM8233">
        <v>81.579762964827495</v>
      </c>
      <c r="AN8233">
        <v>0.99999997350884795</v>
      </c>
    </row>
    <row r="8234" spans="1:40" x14ac:dyDescent="0.25">
      <c r="A8234" t="str">
        <f>"20190305135122436"</f>
        <v>20190305135122436</v>
      </c>
      <c r="B8234" t="str">
        <f>"1551765082428219"</f>
        <v>1551765082428219</v>
      </c>
      <c r="C8234" t="s">
        <v>40</v>
      </c>
      <c r="D8234">
        <v>4.4063559999999997</v>
      </c>
      <c r="E8234">
        <v>0.63740039999999998</v>
      </c>
      <c r="F8234" t="s">
        <v>42</v>
      </c>
      <c r="G8234">
        <v>-160.31219999999999</v>
      </c>
      <c r="H8234" s="1">
        <v>-5.7534940000000003E-6</v>
      </c>
      <c r="I8234">
        <v>132.8877</v>
      </c>
      <c r="J8234">
        <v>-180.62889999999999</v>
      </c>
      <c r="K8234">
        <v>1.101308</v>
      </c>
      <c r="L8234">
        <v>128.3664</v>
      </c>
      <c r="M8234">
        <v>0.75567320000000004</v>
      </c>
      <c r="N8234">
        <v>-1.376174E-2</v>
      </c>
      <c r="O8234">
        <v>0.65480430000000001</v>
      </c>
      <c r="P8234">
        <v>0.84028959999999997</v>
      </c>
      <c r="Q8234">
        <v>-0.101246</v>
      </c>
      <c r="R8234">
        <v>0.53259999999999996</v>
      </c>
      <c r="S8234">
        <v>3.113632</v>
      </c>
      <c r="T8234">
        <v>-0.1681299</v>
      </c>
      <c r="U8234">
        <v>0.6997833</v>
      </c>
      <c r="V8234">
        <v>0.1451057</v>
      </c>
      <c r="W8234">
        <v>-9.2034610000000003E-2</v>
      </c>
      <c r="X8234">
        <v>0.98512639999999996</v>
      </c>
      <c r="Y8234">
        <v>0.47206930000000003</v>
      </c>
      <c r="Z8234">
        <v>-3.8057309999999997E-2</v>
      </c>
      <c r="AA8234">
        <v>0.88073959999999996</v>
      </c>
      <c r="AB8234">
        <v>19</v>
      </c>
      <c r="AC8234">
        <v>20.316700000000001</v>
      </c>
      <c r="AD8234">
        <v>-1.1013137534939901</v>
      </c>
      <c r="AE8234">
        <v>4.5212999999999903</v>
      </c>
      <c r="AF8234">
        <v>9.8601671659709105</v>
      </c>
      <c r="AG8234">
        <v>-1.1013137534939901</v>
      </c>
      <c r="AH8234">
        <v>18.263951424865301</v>
      </c>
      <c r="AI8234">
        <v>93.037325767526497</v>
      </c>
      <c r="AJ8234">
        <v>61.636702131782002</v>
      </c>
      <c r="AK8234">
        <v>20.784795167967498</v>
      </c>
      <c r="AL8234">
        <v>95.280667406703202</v>
      </c>
      <c r="AM8234">
        <v>81.620783079727701</v>
      </c>
      <c r="AN8234">
        <v>1.0000000287936499</v>
      </c>
    </row>
    <row r="8235" spans="1:40" x14ac:dyDescent="0.25">
      <c r="A8235" t="str">
        <f>"20190305135122446"</f>
        <v>20190305135122446</v>
      </c>
      <c r="B8235" t="str">
        <f>"1551765082437979"</f>
        <v>1551765082437979</v>
      </c>
      <c r="C8235" t="s">
        <v>40</v>
      </c>
      <c r="D8235">
        <v>4.4224119999999996</v>
      </c>
      <c r="E8235">
        <v>0.63696330000000001</v>
      </c>
      <c r="F8235" t="s">
        <v>42</v>
      </c>
      <c r="G8235">
        <v>-159.03299999999999</v>
      </c>
      <c r="H8235" s="1">
        <v>-2.039473E-6</v>
      </c>
      <c r="I8235">
        <v>133.13550000000001</v>
      </c>
      <c r="J8235">
        <v>-180.54949999999999</v>
      </c>
      <c r="K8235">
        <v>1.101245</v>
      </c>
      <c r="L8235">
        <v>128.42609999999999</v>
      </c>
      <c r="M8235">
        <v>0.75911619999999902</v>
      </c>
      <c r="N8235">
        <v>-1.2740799999999899E-2</v>
      </c>
      <c r="O8235">
        <v>0.65083049999999998</v>
      </c>
      <c r="P8235">
        <v>0.84290309999999902</v>
      </c>
      <c r="Q8235">
        <v>-9.9600400000000006E-2</v>
      </c>
      <c r="R8235">
        <v>0.52876659999999998</v>
      </c>
      <c r="S8235">
        <v>3.1150509999999998</v>
      </c>
      <c r="T8235">
        <v>-0.15885589999999999</v>
      </c>
      <c r="U8235">
        <v>0.68791199999999997</v>
      </c>
      <c r="V8235">
        <v>0.14442369999999999</v>
      </c>
      <c r="W8235">
        <v>-9.1592339999999994E-2</v>
      </c>
      <c r="X8235">
        <v>0.98526780000000003</v>
      </c>
      <c r="Y8235">
        <v>0.47084039999999999</v>
      </c>
      <c r="Z8235">
        <v>-3.596999E-2</v>
      </c>
      <c r="AA8235">
        <v>0.88148479999999996</v>
      </c>
      <c r="AB8235">
        <v>19</v>
      </c>
      <c r="AC8235">
        <v>21.516500000000001</v>
      </c>
      <c r="AD8235">
        <v>-1.1012470394730001</v>
      </c>
      <c r="AE8235">
        <v>4.7094000000000102</v>
      </c>
      <c r="AF8235">
        <v>10.4034522966998</v>
      </c>
      <c r="AG8235">
        <v>-1.1012470394730001</v>
      </c>
      <c r="AH8235">
        <v>19.351743473167598</v>
      </c>
      <c r="AI8235">
        <v>92.869429996907201</v>
      </c>
      <c r="AJ8235">
        <v>61.737628616944697</v>
      </c>
      <c r="AK8235">
        <v>21.998512226578899</v>
      </c>
      <c r="AL8235">
        <v>95.255219870285103</v>
      </c>
      <c r="AM8235">
        <v>81.660790451187907</v>
      </c>
      <c r="AN8235">
        <v>0.99999999979260201</v>
      </c>
    </row>
    <row r="8236" spans="1:40" x14ac:dyDescent="0.25">
      <c r="A8236" t="str">
        <f>"20190305135122460"</f>
        <v>20190305135122460</v>
      </c>
      <c r="B8236" t="str">
        <f>"1551765082447741"</f>
        <v>1551765082447741</v>
      </c>
      <c r="C8236" t="s">
        <v>40</v>
      </c>
      <c r="D8236">
        <v>4.4153729999999998</v>
      </c>
      <c r="E8236">
        <v>0.63643240000000001</v>
      </c>
      <c r="F8236" t="s">
        <v>42</v>
      </c>
      <c r="G8236">
        <v>-158.32069999999999</v>
      </c>
      <c r="H8236" s="1">
        <v>-2.251157E-6</v>
      </c>
      <c r="I8236">
        <v>133.251</v>
      </c>
      <c r="J8236">
        <v>-180.46449999999999</v>
      </c>
      <c r="K8236">
        <v>1.10155</v>
      </c>
      <c r="L8236">
        <v>128.489</v>
      </c>
      <c r="M8236">
        <v>0.76275689999999996</v>
      </c>
      <c r="N8236">
        <v>-1.1757419999999999E-2</v>
      </c>
      <c r="O8236">
        <v>0.64657830000000005</v>
      </c>
      <c r="P8236">
        <v>0.8458196</v>
      </c>
      <c r="Q8236">
        <v>-9.8350690000000004E-2</v>
      </c>
      <c r="R8236">
        <v>0.52432469999999998</v>
      </c>
      <c r="S8236">
        <v>3.116501</v>
      </c>
      <c r="T8236">
        <v>-0.154395799999999</v>
      </c>
      <c r="U8236">
        <v>0.67645259999999996</v>
      </c>
      <c r="V8236">
        <v>0.14411840000000001</v>
      </c>
      <c r="W8236">
        <v>-9.1423760000000007E-2</v>
      </c>
      <c r="X8236">
        <v>0.98532810000000004</v>
      </c>
      <c r="Y8236">
        <v>0.46913379999999999</v>
      </c>
      <c r="Z8236">
        <v>-3.5114489999999998E-2</v>
      </c>
      <c r="AA8236">
        <v>0.88242880000000001</v>
      </c>
      <c r="AB8236">
        <v>19</v>
      </c>
      <c r="AC8236">
        <v>22.143799999999999</v>
      </c>
      <c r="AD8236">
        <v>-1.101552251157</v>
      </c>
      <c r="AE8236">
        <v>4.7619999999999996</v>
      </c>
      <c r="AF8236">
        <v>10.660976198466599</v>
      </c>
      <c r="AG8236">
        <v>-1.101552251157</v>
      </c>
      <c r="AH8236">
        <v>19.923600506600799</v>
      </c>
      <c r="AI8236">
        <v>92.790878909859202</v>
      </c>
      <c r="AJ8236">
        <v>61.849082831108298</v>
      </c>
      <c r="AK8236">
        <v>22.623432277462399</v>
      </c>
      <c r="AL8236">
        <v>95.245520561316795</v>
      </c>
      <c r="AM8236">
        <v>81.6786738780295</v>
      </c>
      <c r="AN8236">
        <v>0.99999994088035205</v>
      </c>
    </row>
    <row r="8237" spans="1:40" x14ac:dyDescent="0.25">
      <c r="A8237" t="str">
        <f>"20190305135122472"</f>
        <v>20190305135122472</v>
      </c>
      <c r="B8237" t="str">
        <f>"1551765082468235"</f>
        <v>1551765082468235</v>
      </c>
      <c r="C8237" t="s">
        <v>40</v>
      </c>
      <c r="D8237">
        <v>4.4252079999999996</v>
      </c>
      <c r="E8237">
        <v>0.63595009999999996</v>
      </c>
      <c r="F8237" t="s">
        <v>42</v>
      </c>
      <c r="G8237">
        <v>-158.0513</v>
      </c>
      <c r="H8237" s="1">
        <v>-2.3413770000000001E-6</v>
      </c>
      <c r="I8237">
        <v>133.25649999999999</v>
      </c>
      <c r="J8237">
        <v>-180.38460000000001</v>
      </c>
      <c r="K8237">
        <v>1.101953</v>
      </c>
      <c r="L8237">
        <v>128.5478</v>
      </c>
      <c r="M8237">
        <v>0.76618580000000003</v>
      </c>
      <c r="N8237">
        <v>-1.0867129999999999E-2</v>
      </c>
      <c r="O8237">
        <v>0.64252730000000002</v>
      </c>
      <c r="P8237">
        <v>0.84831569999999901</v>
      </c>
      <c r="Q8237">
        <v>-9.806637E-2</v>
      </c>
      <c r="R8237">
        <v>0.52033030000000002</v>
      </c>
      <c r="S8237">
        <v>3.1179199999999998</v>
      </c>
      <c r="T8237">
        <v>-0.1532376</v>
      </c>
      <c r="U8237">
        <v>0.66320800000000002</v>
      </c>
      <c r="V8237">
        <v>0.1434878</v>
      </c>
      <c r="W8237">
        <v>-9.207622E-2</v>
      </c>
      <c r="X8237">
        <v>0.9853594</v>
      </c>
      <c r="Y8237">
        <v>0.4681207</v>
      </c>
      <c r="Z8237">
        <v>-3.5107010000000001E-2</v>
      </c>
      <c r="AA8237">
        <v>0.8829669</v>
      </c>
      <c r="AB8237">
        <v>19</v>
      </c>
      <c r="AC8237">
        <v>22.333300000000001</v>
      </c>
      <c r="AD8237">
        <v>-1.101955341377</v>
      </c>
      <c r="AE8237">
        <v>4.7086999999999897</v>
      </c>
      <c r="AF8237">
        <v>10.717667269283501</v>
      </c>
      <c r="AG8237">
        <v>-1.101955341377</v>
      </c>
      <c r="AH8237">
        <v>20.091281862765399</v>
      </c>
      <c r="AI8237">
        <v>92.770523571895694</v>
      </c>
      <c r="AJ8237">
        <v>61.9223691452069</v>
      </c>
      <c r="AK8237">
        <v>22.7978574466669</v>
      </c>
      <c r="AL8237">
        <v>95.283061998284595</v>
      </c>
      <c r="AM8237">
        <v>81.714837382513707</v>
      </c>
      <c r="AN8237">
        <v>0.99999996310334305</v>
      </c>
    </row>
    <row r="8238" spans="1:40" x14ac:dyDescent="0.25">
      <c r="A8238" t="str">
        <f>"20190305135122482"</f>
        <v>20190305135122482</v>
      </c>
      <c r="B8238" t="str">
        <f>"1551765082477994"</f>
        <v>1551765082477994</v>
      </c>
      <c r="C8238" t="s">
        <v>40</v>
      </c>
      <c r="D8238">
        <v>4.3931789999999999</v>
      </c>
      <c r="E8238">
        <v>0.63509959999999999</v>
      </c>
      <c r="F8238" t="s">
        <v>42</v>
      </c>
      <c r="G8238">
        <v>-157.94829999999999</v>
      </c>
      <c r="H8238" s="1">
        <v>-2.3820670000000002E-6</v>
      </c>
      <c r="I8238">
        <v>133.23519999999999</v>
      </c>
      <c r="J8238">
        <v>-180.2998</v>
      </c>
      <c r="K8238">
        <v>1.1026480000000001</v>
      </c>
      <c r="L8238">
        <v>128.6096</v>
      </c>
      <c r="M8238">
        <v>0.77005900000000005</v>
      </c>
      <c r="N8238">
        <v>-1.002221E-2</v>
      </c>
      <c r="O8238">
        <v>0.63789390000000001</v>
      </c>
      <c r="P8238">
        <v>0.85114460000000003</v>
      </c>
      <c r="Q8238">
        <v>-9.8043630000000007E-2</v>
      </c>
      <c r="R8238">
        <v>0.51569409999999904</v>
      </c>
      <c r="S8238">
        <v>3.1190190000000002</v>
      </c>
      <c r="T8238">
        <v>-0.15318999999999999</v>
      </c>
      <c r="U8238">
        <v>0.65162659999999994</v>
      </c>
      <c r="V8238">
        <v>0.1428895</v>
      </c>
      <c r="W8238">
        <v>-9.2865820000000002E-2</v>
      </c>
      <c r="X8238">
        <v>0.98537229999999998</v>
      </c>
      <c r="Y8238">
        <v>0.46598030000000001</v>
      </c>
      <c r="Z8238">
        <v>-3.5314949999999998E-2</v>
      </c>
      <c r="AA8238">
        <v>0.88409009999999999</v>
      </c>
      <c r="AB8238">
        <v>19</v>
      </c>
      <c r="AC8238">
        <v>22.351500000000001</v>
      </c>
      <c r="AD8238">
        <v>-1.1026503820669999</v>
      </c>
      <c r="AE8238">
        <v>4.6255999999999897</v>
      </c>
      <c r="AF8238">
        <v>10.671533718168501</v>
      </c>
      <c r="AG8238">
        <v>-1.1026503820669999</v>
      </c>
      <c r="AH8238">
        <v>20.1166822778643</v>
      </c>
      <c r="AI8238">
        <v>92.772176128213403</v>
      </c>
      <c r="AJ8238">
        <v>62.054863482151497</v>
      </c>
      <c r="AK8238">
        <v>22.798648548359701</v>
      </c>
      <c r="AL8238">
        <v>95.3284971200939</v>
      </c>
      <c r="AM8238">
        <v>81.749013868113494</v>
      </c>
      <c r="AN8238">
        <v>1.0000000196709</v>
      </c>
    </row>
    <row r="8239" spans="1:40" x14ac:dyDescent="0.25">
      <c r="A8239" t="str">
        <f>"20190305135122494"</f>
        <v>20190305135122494</v>
      </c>
      <c r="B8239" t="str">
        <f>"1551765082487754"</f>
        <v>1551765082487754</v>
      </c>
      <c r="C8239" t="s">
        <v>40</v>
      </c>
      <c r="D8239">
        <v>4.3649199999999997</v>
      </c>
      <c r="E8239">
        <v>0.63449679999999997</v>
      </c>
      <c r="F8239" t="s">
        <v>42</v>
      </c>
      <c r="G8239">
        <v>-157.76679999999999</v>
      </c>
      <c r="H8239" s="1">
        <v>-2.4433930000000002E-6</v>
      </c>
      <c r="I8239">
        <v>133.23689999999999</v>
      </c>
      <c r="J8239">
        <v>-180.22319999999999</v>
      </c>
      <c r="K8239">
        <v>1.103299</v>
      </c>
      <c r="L8239">
        <v>128.6651</v>
      </c>
      <c r="M8239">
        <v>0.77361800000000003</v>
      </c>
      <c r="N8239">
        <v>-9.2885789999999999E-3</v>
      </c>
      <c r="O8239">
        <v>0.63358419999999904</v>
      </c>
      <c r="P8239">
        <v>0.85362109999999902</v>
      </c>
      <c r="Q8239">
        <v>-9.7818050000000004E-2</v>
      </c>
      <c r="R8239">
        <v>0.51162750000000001</v>
      </c>
      <c r="S8239">
        <v>3.1190030000000002</v>
      </c>
      <c r="T8239">
        <v>-0.15262790000000001</v>
      </c>
      <c r="U8239">
        <v>0.64051819999999904</v>
      </c>
      <c r="V8239">
        <v>0.14209089999999999</v>
      </c>
      <c r="W8239">
        <v>-9.3325749999999999E-2</v>
      </c>
      <c r="X8239">
        <v>0.98544430000000005</v>
      </c>
      <c r="Y8239">
        <v>0.46405449999999998</v>
      </c>
      <c r="Z8239">
        <v>-3.5358130000000002E-2</v>
      </c>
      <c r="AA8239">
        <v>0.88510069999999996</v>
      </c>
      <c r="AB8239">
        <v>19</v>
      </c>
      <c r="AC8239">
        <v>22.456399999999999</v>
      </c>
      <c r="AD8239">
        <v>-1.103301443393</v>
      </c>
      <c r="AE8239">
        <v>4.5717999999999899</v>
      </c>
      <c r="AF8239">
        <v>10.6669310285561</v>
      </c>
      <c r="AG8239">
        <v>-1.103301443393</v>
      </c>
      <c r="AH8239">
        <v>20.223296677227601</v>
      </c>
      <c r="AI8239">
        <v>92.762655657281101</v>
      </c>
      <c r="AJ8239">
        <v>62.190254785632902</v>
      </c>
      <c r="AK8239">
        <v>22.8906622913827</v>
      </c>
      <c r="AL8239">
        <v>95.3549642478512</v>
      </c>
      <c r="AM8239">
        <v>81.795089766634902</v>
      </c>
      <c r="AN8239">
        <v>0.99999999393918104</v>
      </c>
    </row>
    <row r="8240" spans="1:40" x14ac:dyDescent="0.25">
      <c r="A8240" t="str">
        <f>"20190305135122504"</f>
        <v>20190305135122504</v>
      </c>
      <c r="B8240" t="str">
        <f>"1551765082497515"</f>
        <v>1551765082497515</v>
      </c>
      <c r="C8240" t="s">
        <v>40</v>
      </c>
      <c r="D8240">
        <v>4.2811500000000002</v>
      </c>
      <c r="E8240">
        <v>0.63410029999999995</v>
      </c>
      <c r="F8240" t="s">
        <v>42</v>
      </c>
      <c r="G8240">
        <v>-157.89009999999999</v>
      </c>
      <c r="H8240" s="1">
        <v>-2.418853E-6</v>
      </c>
      <c r="I8240">
        <v>133.17140000000001</v>
      </c>
      <c r="J8240">
        <v>-180.15090000000001</v>
      </c>
      <c r="K8240">
        <v>1.103955</v>
      </c>
      <c r="L8240">
        <v>128.71709999999999</v>
      </c>
      <c r="M8240">
        <v>0.77707709999999997</v>
      </c>
      <c r="N8240">
        <v>-8.6378889999999993E-3</v>
      </c>
      <c r="O8240">
        <v>0.62934630000000003</v>
      </c>
      <c r="P8240">
        <v>0.85600580000000004</v>
      </c>
      <c r="Q8240">
        <v>-9.7690849999999996E-2</v>
      </c>
      <c r="R8240">
        <v>0.50765199999999999</v>
      </c>
      <c r="S8240">
        <v>3.119507</v>
      </c>
      <c r="T8240">
        <v>-0.15410969999999999</v>
      </c>
      <c r="U8240">
        <v>0.6294556</v>
      </c>
      <c r="V8240">
        <v>0.1412919</v>
      </c>
      <c r="W8240">
        <v>-9.3789289999999997E-2</v>
      </c>
      <c r="X8240">
        <v>0.98551520000000004</v>
      </c>
      <c r="Y8240">
        <v>0.46222530000000001</v>
      </c>
      <c r="Z8240">
        <v>-3.5881999999999997E-2</v>
      </c>
      <c r="AA8240">
        <v>0.88603619999999905</v>
      </c>
      <c r="AB8240">
        <v>19</v>
      </c>
      <c r="AC8240">
        <v>22.2608</v>
      </c>
      <c r="AD8240">
        <v>-1.1039574188529999</v>
      </c>
      <c r="AE8240">
        <v>4.4543000000000097</v>
      </c>
      <c r="AF8240">
        <v>10.5239243028595</v>
      </c>
      <c r="AG8240">
        <v>-1.1039574188529999</v>
      </c>
      <c r="AH8240">
        <v>20.054979355326999</v>
      </c>
      <c r="AI8240">
        <v>92.790561859750696</v>
      </c>
      <c r="AJ8240">
        <v>62.311591797587198</v>
      </c>
      <c r="AK8240">
        <v>22.675403009815501</v>
      </c>
      <c r="AL8240">
        <v>95.381639993329301</v>
      </c>
      <c r="AM8240">
        <v>81.841183420984194</v>
      </c>
      <c r="AN8240">
        <v>1.00000002067767</v>
      </c>
    </row>
    <row r="8241" spans="1:40" x14ac:dyDescent="0.25">
      <c r="A8241" t="str">
        <f>"20190305135122517"</f>
        <v>20190305135122517</v>
      </c>
      <c r="B8241" t="str">
        <f>"1551765082508252"</f>
        <v>1551765082508252</v>
      </c>
      <c r="C8241" t="s">
        <v>40</v>
      </c>
      <c r="D8241">
        <v>4.382981</v>
      </c>
      <c r="E8241">
        <v>0.63347299999999995</v>
      </c>
      <c r="F8241" t="s">
        <v>42</v>
      </c>
      <c r="G8241">
        <v>-157.02610000000001</v>
      </c>
      <c r="H8241" s="1">
        <v>-2.6789170000000001E-6</v>
      </c>
      <c r="I8241">
        <v>133.29910000000001</v>
      </c>
      <c r="J8241">
        <v>-180.06649999999999</v>
      </c>
      <c r="K8241">
        <v>1.104646</v>
      </c>
      <c r="L8241">
        <v>128.7775</v>
      </c>
      <c r="M8241">
        <v>0.78107289999999996</v>
      </c>
      <c r="N8241">
        <v>-7.8983739999999997E-3</v>
      </c>
      <c r="O8241">
        <v>0.62438990000000005</v>
      </c>
      <c r="P8241">
        <v>0.85875559999999995</v>
      </c>
      <c r="Q8241">
        <v>-9.6992140000000004E-2</v>
      </c>
      <c r="R8241">
        <v>0.50312159999999995</v>
      </c>
      <c r="S8241">
        <v>3.120911</v>
      </c>
      <c r="T8241">
        <v>-0.14898939999999999</v>
      </c>
      <c r="U8241">
        <v>0.61837769999999903</v>
      </c>
      <c r="V8241">
        <v>0.140281399999999</v>
      </c>
      <c r="W8241">
        <v>-9.3775440000000002E-2</v>
      </c>
      <c r="X8241">
        <v>0.98566089999999995</v>
      </c>
      <c r="Y8241">
        <v>0.45974559999999998</v>
      </c>
      <c r="Z8241">
        <v>-3.4696730000000002E-2</v>
      </c>
      <c r="AA8241">
        <v>0.88737259999999996</v>
      </c>
      <c r="AB8241">
        <v>19</v>
      </c>
      <c r="AC8241">
        <v>23.040399999999899</v>
      </c>
      <c r="AD8241">
        <v>-1.104648678917</v>
      </c>
      <c r="AE8241">
        <v>4.5216000000000003</v>
      </c>
      <c r="AF8241">
        <v>10.830859545417701</v>
      </c>
      <c r="AG8241">
        <v>-1.104648678917</v>
      </c>
      <c r="AH8241">
        <v>20.774141657489</v>
      </c>
      <c r="AI8241">
        <v>92.699538660652493</v>
      </c>
      <c r="AJ8241">
        <v>62.464150686249198</v>
      </c>
      <c r="AK8241">
        <v>23.454055700492798</v>
      </c>
      <c r="AL8241">
        <v>95.380842737586804</v>
      </c>
      <c r="AM8241">
        <v>81.899938442029693</v>
      </c>
      <c r="AN8241">
        <v>1.0000000570609799</v>
      </c>
    </row>
    <row r="8242" spans="1:40" x14ac:dyDescent="0.25">
      <c r="A8242" t="str">
        <f>"20190305135122529"</f>
        <v>20190305135122529</v>
      </c>
      <c r="B8242" t="str">
        <f>"1551765082518011"</f>
        <v>1551765082518011</v>
      </c>
      <c r="C8242" t="s">
        <v>40</v>
      </c>
      <c r="D8242">
        <v>4.4061409999999999</v>
      </c>
      <c r="E8242">
        <v>0.63295659999999998</v>
      </c>
      <c r="F8242" t="s">
        <v>42</v>
      </c>
      <c r="G8242">
        <v>-156.90969999999999</v>
      </c>
      <c r="H8242" s="1">
        <v>-2.7256589999999999E-6</v>
      </c>
      <c r="I8242">
        <v>133.2723</v>
      </c>
      <c r="J8242">
        <v>-179.9753</v>
      </c>
      <c r="K8242">
        <v>1.105324</v>
      </c>
      <c r="L8242">
        <v>128.84219999999999</v>
      </c>
      <c r="M8242">
        <v>0.78534009999999999</v>
      </c>
      <c r="N8242">
        <v>-7.1167110000000004E-3</v>
      </c>
      <c r="O8242">
        <v>0.61902369999999995</v>
      </c>
      <c r="P8242">
        <v>0.86178169999999898</v>
      </c>
      <c r="Q8242">
        <v>-9.5976370000000005E-2</v>
      </c>
      <c r="R8242">
        <v>0.49811739999999999</v>
      </c>
      <c r="S8242">
        <v>3.1216430000000002</v>
      </c>
      <c r="T8242">
        <v>-0.1489114</v>
      </c>
      <c r="U8242">
        <v>0.60592650000000003</v>
      </c>
      <c r="V8242">
        <v>0.13933380000000001</v>
      </c>
      <c r="W8242">
        <v>-9.3502790000000002E-2</v>
      </c>
      <c r="X8242">
        <v>0.98582110000000001</v>
      </c>
      <c r="Y8242">
        <v>0.45710000000000001</v>
      </c>
      <c r="Z8242">
        <v>-3.4812250000000003E-2</v>
      </c>
      <c r="AA8242">
        <v>0.88873369999999996</v>
      </c>
      <c r="AB8242">
        <v>19</v>
      </c>
      <c r="AC8242">
        <v>23.0656</v>
      </c>
      <c r="AD8242">
        <v>-1.105326725659</v>
      </c>
      <c r="AE8242">
        <v>4.4301000000000004</v>
      </c>
      <c r="AF8242">
        <v>10.7754264370498</v>
      </c>
      <c r="AG8242">
        <v>-1.105326725659</v>
      </c>
      <c r="AH8242">
        <v>20.811114187406801</v>
      </c>
      <c r="AI8242">
        <v>92.700358683859307</v>
      </c>
      <c r="AJ8242">
        <v>62.6261132117016</v>
      </c>
      <c r="AK8242">
        <v>23.461330648367099</v>
      </c>
      <c r="AL8242">
        <v>95.365152622939306</v>
      </c>
      <c r="AM8242">
        <v>81.955225799530396</v>
      </c>
      <c r="AN8242">
        <v>0.99999996038271599</v>
      </c>
    </row>
    <row r="8243" spans="1:40" x14ac:dyDescent="0.25">
      <c r="A8243" t="str">
        <f>"20190305135122542"</f>
        <v>20190305135122542</v>
      </c>
      <c r="B8243" t="str">
        <f>"1551765082537531"</f>
        <v>1551765082537531</v>
      </c>
      <c r="C8243" t="s">
        <v>40</v>
      </c>
      <c r="D8243">
        <v>4.41012</v>
      </c>
      <c r="E8243">
        <v>0.63211799999999996</v>
      </c>
      <c r="F8243" t="s">
        <v>42</v>
      </c>
      <c r="G8243">
        <v>-156.36799999999999</v>
      </c>
      <c r="H8243" s="1">
        <v>-2.899764E-6</v>
      </c>
      <c r="I8243">
        <v>133.3107</v>
      </c>
      <c r="J8243">
        <v>-179.8836</v>
      </c>
      <c r="K8243">
        <v>1.105796</v>
      </c>
      <c r="L8243">
        <v>128.90620000000001</v>
      </c>
      <c r="M8243">
        <v>0.78937999999999997</v>
      </c>
      <c r="N8243">
        <v>-6.3391029999999996E-3</v>
      </c>
      <c r="O8243">
        <v>0.61387219999999998</v>
      </c>
      <c r="P8243">
        <v>0.86449830000000005</v>
      </c>
      <c r="Q8243">
        <v>-9.5070119999999994E-2</v>
      </c>
      <c r="R8243">
        <v>0.49356299999999997</v>
      </c>
      <c r="S8243">
        <v>3.1231689999999999</v>
      </c>
      <c r="T8243">
        <v>-0.1462309</v>
      </c>
      <c r="U8243">
        <v>0.59117129999999996</v>
      </c>
      <c r="V8243">
        <v>0.1381136</v>
      </c>
      <c r="W8243">
        <v>-9.337587E-2</v>
      </c>
      <c r="X8243">
        <v>0.98600489999999996</v>
      </c>
      <c r="Y8243">
        <v>0.45543820000000002</v>
      </c>
      <c r="Z8243">
        <v>-3.4285820000000002E-2</v>
      </c>
      <c r="AA8243">
        <v>0.88960699999999904</v>
      </c>
      <c r="AB8243">
        <v>19</v>
      </c>
      <c r="AC8243">
        <v>23.515599999999999</v>
      </c>
      <c r="AD8243">
        <v>-1.105798899764</v>
      </c>
      <c r="AE8243">
        <v>4.4044999999999801</v>
      </c>
      <c r="AF8243">
        <v>10.9356069181219</v>
      </c>
      <c r="AG8243">
        <v>-1.105798899764</v>
      </c>
      <c r="AH8243">
        <v>21.221635117770099</v>
      </c>
      <c r="AI8243">
        <v>92.651990117448705</v>
      </c>
      <c r="AJ8243">
        <v>62.737738915713201</v>
      </c>
      <c r="AK8243">
        <v>23.899123141784301</v>
      </c>
      <c r="AL8243">
        <v>95.357848253063594</v>
      </c>
      <c r="AM8243">
        <v>82.0262341347741</v>
      </c>
      <c r="AN8243">
        <v>1.0000000412136101</v>
      </c>
    </row>
    <row r="8244" spans="1:40" x14ac:dyDescent="0.25">
      <c r="A8244" t="str">
        <f>"20190305135122557"</f>
        <v>20190305135122557</v>
      </c>
      <c r="B8244" t="str">
        <f>"1551765082548267"</f>
        <v>1551765082548267</v>
      </c>
      <c r="C8244" t="s">
        <v>40</v>
      </c>
      <c r="D8244">
        <v>4.3845640000000001</v>
      </c>
      <c r="E8244">
        <v>0.63172220000000001</v>
      </c>
      <c r="F8244" t="s">
        <v>42</v>
      </c>
      <c r="G8244">
        <v>-156.19370000000001</v>
      </c>
      <c r="H8244" s="1">
        <v>-2.9601039999999999E-6</v>
      </c>
      <c r="I8244">
        <v>133.30690000000001</v>
      </c>
      <c r="J8244">
        <v>-179.78059999999999</v>
      </c>
      <c r="K8244">
        <v>1.1062270000000001</v>
      </c>
      <c r="L8244">
        <v>128.97730000000001</v>
      </c>
      <c r="M8244">
        <v>0.79374169999999999</v>
      </c>
      <c r="N8244">
        <v>-5.4624269999999997E-3</v>
      </c>
      <c r="O8244">
        <v>0.60823050000000001</v>
      </c>
      <c r="P8244">
        <v>0.8675448</v>
      </c>
      <c r="Q8244">
        <v>-9.4052280000000002E-2</v>
      </c>
      <c r="R8244">
        <v>0.48838549999999997</v>
      </c>
      <c r="S8244">
        <v>3.1229550000000001</v>
      </c>
      <c r="T8244">
        <v>-0.14577309999999999</v>
      </c>
      <c r="U8244">
        <v>0.58013919999999997</v>
      </c>
      <c r="V8244">
        <v>0.1369976</v>
      </c>
      <c r="W8244">
        <v>-9.3264620000000006E-2</v>
      </c>
      <c r="X8244">
        <v>0.98617109999999997</v>
      </c>
      <c r="Y8244">
        <v>0.45211230000000002</v>
      </c>
      <c r="Z8244">
        <v>-3.4312849999999999E-2</v>
      </c>
      <c r="AA8244">
        <v>0.8913008</v>
      </c>
      <c r="AB8244">
        <v>19</v>
      </c>
      <c r="AC8244">
        <v>23.586899999999901</v>
      </c>
      <c r="AD8244">
        <v>-1.106229960104</v>
      </c>
      <c r="AE8244">
        <v>4.3295999999999903</v>
      </c>
      <c r="AF8244">
        <v>10.886684236919001</v>
      </c>
      <c r="AG8244">
        <v>-1.106229960104</v>
      </c>
      <c r="AH8244">
        <v>21.310272045770201</v>
      </c>
      <c r="AI8244">
        <v>92.646764220737893</v>
      </c>
      <c r="AJ8244">
        <v>62.939075476701703</v>
      </c>
      <c r="AK8244">
        <v>23.955611723847699</v>
      </c>
      <c r="AL8244">
        <v>95.351446192790206</v>
      </c>
      <c r="AM8244">
        <v>82.091161987758895</v>
      </c>
      <c r="AN8244">
        <v>1.0000000351123499</v>
      </c>
    </row>
    <row r="8245" spans="1:40" x14ac:dyDescent="0.25">
      <c r="A8245" t="str">
        <f>"20190305135122571"</f>
        <v>20190305135122571</v>
      </c>
      <c r="B8245" t="str">
        <f>"1551765082567787"</f>
        <v>1551765082567787</v>
      </c>
      <c r="C8245" t="s">
        <v>40</v>
      </c>
      <c r="D8245">
        <v>4.3447459999999998</v>
      </c>
      <c r="E8245">
        <v>0.63070879999999996</v>
      </c>
      <c r="F8245" t="s">
        <v>42</v>
      </c>
      <c r="G8245">
        <v>-155.51220000000001</v>
      </c>
      <c r="H8245" s="1">
        <v>-3.1783900000000001E-6</v>
      </c>
      <c r="I8245">
        <v>133.358</v>
      </c>
      <c r="J8245">
        <v>-179.6756</v>
      </c>
      <c r="K8245">
        <v>1.10654599999999</v>
      </c>
      <c r="L8245">
        <v>129.0487</v>
      </c>
      <c r="M8245">
        <v>0.79798279999999999</v>
      </c>
      <c r="N8245">
        <v>-4.5660850000000001E-3</v>
      </c>
      <c r="O8245">
        <v>0.60266299999999995</v>
      </c>
      <c r="P8245">
        <v>0.86994389999999999</v>
      </c>
      <c r="Q8245">
        <v>-9.3350379999999997E-2</v>
      </c>
      <c r="R8245">
        <v>0.48423500000000003</v>
      </c>
      <c r="S8245">
        <v>3.1250309999999999</v>
      </c>
      <c r="T8245">
        <v>-0.14244899999999999</v>
      </c>
      <c r="U8245">
        <v>0.56411739999999999</v>
      </c>
      <c r="V8245">
        <v>0.13478019999999999</v>
      </c>
      <c r="W8245">
        <v>-9.3472529999999998E-2</v>
      </c>
      <c r="X8245">
        <v>0.98645689999999997</v>
      </c>
      <c r="Y8245">
        <v>0.45043359999999899</v>
      </c>
      <c r="Z8245">
        <v>-3.3650230000000003E-2</v>
      </c>
      <c r="AA8245">
        <v>0.89217559999999996</v>
      </c>
      <c r="AB8245">
        <v>19</v>
      </c>
      <c r="AC8245">
        <v>24.163399999999999</v>
      </c>
      <c r="AD8245">
        <v>-1.1065491783900001</v>
      </c>
      <c r="AE8245">
        <v>4.3093000000000004</v>
      </c>
      <c r="AF8245">
        <v>11.1011922924288</v>
      </c>
      <c r="AG8245">
        <v>-1.1065491783900001</v>
      </c>
      <c r="AH8245">
        <v>21.834881255170099</v>
      </c>
      <c r="AI8245">
        <v>92.58656321974</v>
      </c>
      <c r="AJ8245">
        <v>63.050510139421398</v>
      </c>
      <c r="AK8245">
        <v>24.519848303467398</v>
      </c>
      <c r="AL8245">
        <v>95.363410927568907</v>
      </c>
      <c r="AM8245">
        <v>82.219817757119799</v>
      </c>
      <c r="AN8245">
        <v>1.0000000158671201</v>
      </c>
    </row>
    <row r="8246" spans="1:40" x14ac:dyDescent="0.25">
      <c r="A8246" t="str">
        <f>"20190305135122592"</f>
        <v>20190305135122592</v>
      </c>
      <c r="B8246" t="str">
        <f>"1551765082588284"</f>
        <v>1551765082588284</v>
      </c>
      <c r="C8246" t="s">
        <v>40</v>
      </c>
      <c r="D8246">
        <v>4.4004240000000001</v>
      </c>
      <c r="E8246">
        <v>0.62977159999999999</v>
      </c>
      <c r="F8246" t="s">
        <v>42</v>
      </c>
      <c r="G8246">
        <v>-154.89169999999999</v>
      </c>
      <c r="H8246" s="1">
        <v>-3.361778E-6</v>
      </c>
      <c r="I8246">
        <v>133.4624</v>
      </c>
      <c r="J8246">
        <v>-179.52619999999999</v>
      </c>
      <c r="K8246">
        <v>1.106867</v>
      </c>
      <c r="L8246">
        <v>129.148</v>
      </c>
      <c r="M8246">
        <v>0.8037801</v>
      </c>
      <c r="N8246">
        <v>-3.3180729999999999E-3</v>
      </c>
      <c r="O8246">
        <v>0.59491719999999904</v>
      </c>
      <c r="P8246">
        <v>0.8735079</v>
      </c>
      <c r="Q8246">
        <v>-9.2026109999999994E-2</v>
      </c>
      <c r="R8246">
        <v>0.47803259999999997</v>
      </c>
      <c r="S8246">
        <v>3.1238709999999998</v>
      </c>
      <c r="T8246">
        <v>-0.13947399999999999</v>
      </c>
      <c r="U8246">
        <v>0.55633540000000004</v>
      </c>
      <c r="V8246">
        <v>0.13224229999999901</v>
      </c>
      <c r="W8246">
        <v>-9.3439579999999994E-2</v>
      </c>
      <c r="X8246">
        <v>0.9868034</v>
      </c>
      <c r="Y8246">
        <v>0.44391160000000002</v>
      </c>
      <c r="Z8246">
        <v>-3.3055460000000002E-2</v>
      </c>
      <c r="AA8246">
        <v>0.8954607</v>
      </c>
      <c r="AB8246">
        <v>19</v>
      </c>
      <c r="AC8246">
        <v>24.634499999999999</v>
      </c>
      <c r="AD8246">
        <v>-1.106870361778</v>
      </c>
      <c r="AE8246">
        <v>4.3144</v>
      </c>
      <c r="AF8246">
        <v>11.1658494382245</v>
      </c>
      <c r="AG8246">
        <v>-1.106870361778</v>
      </c>
      <c r="AH8246">
        <v>22.323828091105799</v>
      </c>
      <c r="AI8246">
        <v>92.5391049720117</v>
      </c>
      <c r="AJ8246">
        <v>63.426869008303299</v>
      </c>
      <c r="AK8246">
        <v>24.9850886793729</v>
      </c>
      <c r="AL8246">
        <v>95.361515002893896</v>
      </c>
      <c r="AM8246">
        <v>82.367222795028297</v>
      </c>
      <c r="AN8246">
        <v>0.99999996563571203</v>
      </c>
    </row>
    <row r="8247" spans="1:40" x14ac:dyDescent="0.25">
      <c r="A8247" t="str">
        <f>"20190305135122606"</f>
        <v>20190305135122606</v>
      </c>
      <c r="B8247" t="str">
        <f>"1551765082598043"</f>
        <v>1551765082598043</v>
      </c>
      <c r="C8247" t="s">
        <v>40</v>
      </c>
      <c r="D8247">
        <v>4.3554490000000001</v>
      </c>
      <c r="E8247">
        <v>0.62931979999999998</v>
      </c>
      <c r="F8247" t="s">
        <v>42</v>
      </c>
      <c r="G8247">
        <v>-153.69730000000001</v>
      </c>
      <c r="H8247" s="1">
        <v>-3.7498920000000001E-6</v>
      </c>
      <c r="I8247">
        <v>133.61920000000001</v>
      </c>
      <c r="J8247">
        <v>-179.41480000000001</v>
      </c>
      <c r="K8247">
        <v>1.1071879999999901</v>
      </c>
      <c r="L8247">
        <v>129.22059999999999</v>
      </c>
      <c r="M8247">
        <v>0.80825919999999996</v>
      </c>
      <c r="N8247">
        <v>-2.5279450000000002E-3</v>
      </c>
      <c r="O8247">
        <v>0.58882139999999905</v>
      </c>
      <c r="P8247">
        <v>0.876583</v>
      </c>
      <c r="Q8247">
        <v>-9.1155949999999999E-2</v>
      </c>
      <c r="R8247">
        <v>0.47253889999999998</v>
      </c>
      <c r="S8247">
        <v>3.1243439999999998</v>
      </c>
      <c r="T8247">
        <v>-0.1338906</v>
      </c>
      <c r="U8247">
        <v>0.54084779999999999</v>
      </c>
      <c r="V8247">
        <v>0.13097890000000001</v>
      </c>
      <c r="W8247">
        <v>-9.337898E-2</v>
      </c>
      <c r="X8247">
        <v>0.98697760000000001</v>
      </c>
      <c r="Y8247">
        <v>0.44152629999999998</v>
      </c>
      <c r="Z8247">
        <v>-3.1778000000000001E-2</v>
      </c>
      <c r="AA8247">
        <v>0.89668539999999997</v>
      </c>
      <c r="AB8247">
        <v>19</v>
      </c>
      <c r="AC8247">
        <v>25.717500000000001</v>
      </c>
      <c r="AD8247">
        <v>-1.1071917498920001</v>
      </c>
      <c r="AE8247">
        <v>4.3986000000000098</v>
      </c>
      <c r="AF8247">
        <v>11.567012758486401</v>
      </c>
      <c r="AG8247">
        <v>-1.1071917498920001</v>
      </c>
      <c r="AH8247">
        <v>23.334450148110999</v>
      </c>
      <c r="AI8247">
        <v>92.434308338521404</v>
      </c>
      <c r="AJ8247">
        <v>63.632137113335098</v>
      </c>
      <c r="AK8247">
        <v>26.0675703018271</v>
      </c>
      <c r="AL8247">
        <v>95.358027744465303</v>
      </c>
      <c r="AM8247">
        <v>82.440615312412504</v>
      </c>
      <c r="AN8247">
        <v>0.99999994452640295</v>
      </c>
    </row>
    <row r="8248" spans="1:40" x14ac:dyDescent="0.25">
      <c r="A8248" t="str">
        <f>"20190305135122618"</f>
        <v>20190305135122618</v>
      </c>
      <c r="B8248" t="str">
        <f>"1551765082607803"</f>
        <v>1551765082607803</v>
      </c>
      <c r="C8248" t="s">
        <v>40</v>
      </c>
      <c r="D8248">
        <v>4.4277160000000002</v>
      </c>
      <c r="E8248">
        <v>0.62890469999999998</v>
      </c>
      <c r="F8248" t="s">
        <v>42</v>
      </c>
      <c r="G8248">
        <v>-153.50139999999999</v>
      </c>
      <c r="H8248" s="1">
        <v>-3.8436680000000001E-6</v>
      </c>
      <c r="I8248">
        <v>133.56440000000001</v>
      </c>
      <c r="J8248">
        <v>-179.3289</v>
      </c>
      <c r="K8248">
        <v>1.1074649999999999</v>
      </c>
      <c r="L8248">
        <v>129.27600000000001</v>
      </c>
      <c r="M8248">
        <v>0.8118609</v>
      </c>
      <c r="N8248">
        <v>-2.1261040000000002E-3</v>
      </c>
      <c r="O8248">
        <v>0.58384720000000001</v>
      </c>
      <c r="P8248">
        <v>0.87901039999999997</v>
      </c>
      <c r="Q8248">
        <v>-9.0236510000000006E-2</v>
      </c>
      <c r="R8248">
        <v>0.46818589999999999</v>
      </c>
      <c r="S8248">
        <v>3.1259920000000001</v>
      </c>
      <c r="T8248">
        <v>-0.13356270000000001</v>
      </c>
      <c r="U8248">
        <v>0.52400210000000003</v>
      </c>
      <c r="V8248">
        <v>0.12982730000000001</v>
      </c>
      <c r="W8248">
        <v>-9.2899979999999993E-2</v>
      </c>
      <c r="X8248">
        <v>0.98717500000000002</v>
      </c>
      <c r="Y8248">
        <v>0.44079429999999997</v>
      </c>
      <c r="Z8248">
        <v>-3.1693850000000003E-2</v>
      </c>
      <c r="AA8248">
        <v>0.89704839999999997</v>
      </c>
      <c r="AB8248">
        <v>19</v>
      </c>
      <c r="AC8248">
        <v>25.827500000000001</v>
      </c>
      <c r="AD8248">
        <v>-1.107468843668</v>
      </c>
      <c r="AE8248">
        <v>4.2883999999999904</v>
      </c>
      <c r="AF8248">
        <v>11.5770393732565</v>
      </c>
      <c r="AG8248">
        <v>-1.107468843668</v>
      </c>
      <c r="AH8248">
        <v>23.430234393411499</v>
      </c>
      <c r="AI8248">
        <v>92.426514314962404</v>
      </c>
      <c r="AJ8248">
        <v>63.705707035814797</v>
      </c>
      <c r="AK8248">
        <v>26.157794471626101</v>
      </c>
      <c r="AL8248">
        <v>95.330462907394505</v>
      </c>
      <c r="AM8248">
        <v>82.5078021520346</v>
      </c>
      <c r="AN8248">
        <v>1.00000000736714</v>
      </c>
    </row>
    <row r="8249" spans="1:40" x14ac:dyDescent="0.25">
      <c r="A8249" t="str">
        <f>"20190305135122630"</f>
        <v>20190305135122630</v>
      </c>
      <c r="B8249" t="str">
        <f>"1551765082617563"</f>
        <v>1551765082617563</v>
      </c>
      <c r="C8249" t="s">
        <v>40</v>
      </c>
      <c r="D8249">
        <v>4.4229279999999997</v>
      </c>
      <c r="E8249">
        <v>0.628548</v>
      </c>
      <c r="F8249" t="s">
        <v>42</v>
      </c>
      <c r="G8249">
        <v>-153.26079999999999</v>
      </c>
      <c r="H8249" s="1">
        <v>-3.9519210000000002E-6</v>
      </c>
      <c r="I8249">
        <v>133.5359</v>
      </c>
      <c r="J8249">
        <v>-179.2431</v>
      </c>
      <c r="K8249">
        <v>1.1077490000000001</v>
      </c>
      <c r="L8249">
        <v>129.33099999999999</v>
      </c>
      <c r="M8249">
        <v>0.81548430000000005</v>
      </c>
      <c r="N8249">
        <v>-1.7971420000000001E-3</v>
      </c>
      <c r="O8249">
        <v>0.57877639999999997</v>
      </c>
      <c r="P8249">
        <v>0.88148280000000001</v>
      </c>
      <c r="Q8249">
        <v>-8.9448189999999997E-2</v>
      </c>
      <c r="R8249">
        <v>0.4636671</v>
      </c>
      <c r="S8249">
        <v>3.1271059999999999</v>
      </c>
      <c r="T8249">
        <v>-0.1328512</v>
      </c>
      <c r="U8249">
        <v>0.51101679999999905</v>
      </c>
      <c r="V8249">
        <v>0.1287402</v>
      </c>
      <c r="W8249">
        <v>-9.2491840000000006E-2</v>
      </c>
      <c r="X8249">
        <v>0.9873556</v>
      </c>
      <c r="Y8249">
        <v>0.43888680000000002</v>
      </c>
      <c r="Z8249">
        <v>-3.1454599999999999E-2</v>
      </c>
      <c r="AA8249">
        <v>0.89799169999999995</v>
      </c>
      <c r="AB8249">
        <v>19</v>
      </c>
      <c r="AC8249">
        <v>25.982299999999999</v>
      </c>
      <c r="AD8249">
        <v>-1.1077529519210001</v>
      </c>
      <c r="AE8249">
        <v>4.2048999999999799</v>
      </c>
      <c r="AF8249">
        <v>11.588403880858699</v>
      </c>
      <c r="AG8249">
        <v>-1.1077529519210001</v>
      </c>
      <c r="AH8249">
        <v>23.580124366729301</v>
      </c>
      <c r="AI8249">
        <v>92.414266826045093</v>
      </c>
      <c r="AJ8249">
        <v>63.8282850991692</v>
      </c>
      <c r="AK8249">
        <v>26.297157379816099</v>
      </c>
      <c r="AL8249">
        <v>95.306977499606305</v>
      </c>
      <c r="AM8249">
        <v>82.5711775507461</v>
      </c>
      <c r="AN8249">
        <v>0.99999993020698996</v>
      </c>
    </row>
    <row r="8250" spans="1:40" x14ac:dyDescent="0.25">
      <c r="A8250" t="str">
        <f>"20190305135122640"</f>
        <v>20190305135122640</v>
      </c>
      <c r="B8250" t="str">
        <f>"1551765082638059"</f>
        <v>1551765082638059</v>
      </c>
      <c r="C8250" t="s">
        <v>40</v>
      </c>
      <c r="D8250">
        <v>4.3794879999999896</v>
      </c>
      <c r="E8250">
        <v>0.62770090000000001</v>
      </c>
      <c r="F8250" t="s">
        <v>42</v>
      </c>
      <c r="G8250">
        <v>-152.91929999999999</v>
      </c>
      <c r="H8250" s="1">
        <v>-4.1020440000000002E-6</v>
      </c>
      <c r="I8250">
        <v>133.51560000000001</v>
      </c>
      <c r="J8250">
        <v>-179.15950000000001</v>
      </c>
      <c r="K8250">
        <v>1.107918</v>
      </c>
      <c r="L8250">
        <v>129.38399999999999</v>
      </c>
      <c r="M8250">
        <v>0.81920020000000005</v>
      </c>
      <c r="N8250">
        <v>-1.690219E-3</v>
      </c>
      <c r="O8250">
        <v>0.57350519999999905</v>
      </c>
      <c r="P8250">
        <v>0.88423359999999995</v>
      </c>
      <c r="Q8250">
        <v>-8.9346320000000007E-2</v>
      </c>
      <c r="R8250">
        <v>0.45841929999999997</v>
      </c>
      <c r="S8250">
        <v>3.128403</v>
      </c>
      <c r="T8250">
        <v>-0.1316484</v>
      </c>
      <c r="U8250">
        <v>0.49731449999999999</v>
      </c>
      <c r="V8250">
        <v>0.12812380000000001</v>
      </c>
      <c r="W8250">
        <v>-9.2648389999999997E-2</v>
      </c>
      <c r="X8250">
        <v>0.9874212</v>
      </c>
      <c r="Y8250">
        <v>0.43700299999999997</v>
      </c>
      <c r="Z8250">
        <v>-3.1002539999999999E-2</v>
      </c>
      <c r="AA8250">
        <v>0.89892549999999904</v>
      </c>
      <c r="AB8250">
        <v>19</v>
      </c>
      <c r="AC8250">
        <v>26.240200000000002</v>
      </c>
      <c r="AD8250">
        <v>-1.107922102044</v>
      </c>
      <c r="AE8250">
        <v>4.1316000000000201</v>
      </c>
      <c r="AF8250">
        <v>11.644044092028899</v>
      </c>
      <c r="AG8250">
        <v>-1.107922102044</v>
      </c>
      <c r="AH8250">
        <v>23.824060531518999</v>
      </c>
      <c r="AI8250">
        <v>92.392485364403001</v>
      </c>
      <c r="AJ8250">
        <v>63.952860708373301</v>
      </c>
      <c r="AK8250">
        <v>26.540480674072001</v>
      </c>
      <c r="AL8250">
        <v>95.3159853067624</v>
      </c>
      <c r="AM8250">
        <v>82.606837571518696</v>
      </c>
      <c r="AN8250">
        <v>1.00000002925273</v>
      </c>
    </row>
    <row r="8251" spans="1:40" x14ac:dyDescent="0.25">
      <c r="A8251" t="str">
        <f>"20190305135122654"</f>
        <v>20190305135122654</v>
      </c>
      <c r="B8251" t="str">
        <f>"1551765082647819"</f>
        <v>1551765082647819</v>
      </c>
      <c r="C8251" t="s">
        <v>40</v>
      </c>
      <c r="D8251">
        <v>4.4291559999999999</v>
      </c>
      <c r="E8251">
        <v>0.62724749999999996</v>
      </c>
      <c r="F8251" t="s">
        <v>42</v>
      </c>
      <c r="G8251">
        <v>-153.1105</v>
      </c>
      <c r="H8251" s="1">
        <v>-4.0371860000000001E-6</v>
      </c>
      <c r="I8251">
        <v>133.4188</v>
      </c>
      <c r="J8251">
        <v>-179.06200000000001</v>
      </c>
      <c r="K8251">
        <v>1.1080620000000001</v>
      </c>
      <c r="L8251">
        <v>129.44540000000001</v>
      </c>
      <c r="M8251">
        <v>0.8234745</v>
      </c>
      <c r="N8251">
        <v>-1.5907320000000001E-3</v>
      </c>
      <c r="O8251">
        <v>0.56735119999999895</v>
      </c>
      <c r="P8251">
        <v>0.88739000000000001</v>
      </c>
      <c r="Q8251">
        <v>-8.9594069999999998E-2</v>
      </c>
      <c r="R8251">
        <v>0.45223020000000003</v>
      </c>
      <c r="S8251">
        <v>3.1281129999999999</v>
      </c>
      <c r="T8251">
        <v>-0.13304540000000001</v>
      </c>
      <c r="U8251">
        <v>0.4845276</v>
      </c>
      <c r="V8251">
        <v>0.127432399999999</v>
      </c>
      <c r="W8251">
        <v>-9.3200130000000006E-2</v>
      </c>
      <c r="X8251">
        <v>0.98745870000000002</v>
      </c>
      <c r="Y8251">
        <v>0.43382349999999997</v>
      </c>
      <c r="Z8251">
        <v>-3.112674E-2</v>
      </c>
      <c r="AA8251">
        <v>0.90046009999999999</v>
      </c>
      <c r="AB8251">
        <v>19</v>
      </c>
      <c r="AC8251">
        <v>25.951499999999999</v>
      </c>
      <c r="AD8251">
        <v>-1.1080660371860001</v>
      </c>
      <c r="AE8251">
        <v>3.9733999999999901</v>
      </c>
      <c r="AF8251">
        <v>11.431271819695301</v>
      </c>
      <c r="AG8251">
        <v>-1.1080660371860001</v>
      </c>
      <c r="AH8251">
        <v>23.5827311722968</v>
      </c>
      <c r="AI8251">
        <v>92.421076291203093</v>
      </c>
      <c r="AJ8251">
        <v>64.139111420539606</v>
      </c>
      <c r="AK8251">
        <v>26.230649921482001</v>
      </c>
      <c r="AL8251">
        <v>95.347735305800498</v>
      </c>
      <c r="AM8251">
        <v>82.646571967854996</v>
      </c>
      <c r="AN8251">
        <v>0.99999998250373301</v>
      </c>
    </row>
    <row r="8252" spans="1:40" x14ac:dyDescent="0.25">
      <c r="A8252" t="str">
        <f>"20190305135122666"</f>
        <v>20190305135122666</v>
      </c>
      <c r="B8252" t="str">
        <f>"1551765082657578"</f>
        <v>1551765082657578</v>
      </c>
      <c r="C8252" t="s">
        <v>40</v>
      </c>
      <c r="D8252">
        <v>4.3641649999999998</v>
      </c>
      <c r="E8252">
        <v>0.62672839999999996</v>
      </c>
      <c r="F8252" t="s">
        <v>42</v>
      </c>
      <c r="G8252">
        <v>-153.30199999999999</v>
      </c>
      <c r="H8252" s="1">
        <v>-3.9798740000000003E-6</v>
      </c>
      <c r="I8252">
        <v>133.27889999999999</v>
      </c>
      <c r="J8252">
        <v>-178.96729999999999</v>
      </c>
      <c r="K8252">
        <v>1.1080989999999999</v>
      </c>
      <c r="L8252">
        <v>129.5043</v>
      </c>
      <c r="M8252">
        <v>0.82756580000000002</v>
      </c>
      <c r="N8252">
        <v>-1.5491319999999999E-3</v>
      </c>
      <c r="O8252">
        <v>0.5613667</v>
      </c>
      <c r="P8252">
        <v>0.89044639999999997</v>
      </c>
      <c r="Q8252">
        <v>-8.9941569999999998E-2</v>
      </c>
      <c r="R8252">
        <v>0.4461117</v>
      </c>
      <c r="S8252">
        <v>3.1297450000000002</v>
      </c>
      <c r="T8252">
        <v>-0.1346253</v>
      </c>
      <c r="U8252">
        <v>0.46575929999999999</v>
      </c>
      <c r="V8252">
        <v>0.12683559999999999</v>
      </c>
      <c r="W8252">
        <v>-9.3844529999999995E-2</v>
      </c>
      <c r="X8252">
        <v>0.98747450000000003</v>
      </c>
      <c r="Y8252">
        <v>0.4326274</v>
      </c>
      <c r="Z8252">
        <v>-3.130169E-2</v>
      </c>
      <c r="AA8252">
        <v>0.90102930000000003</v>
      </c>
      <c r="AB8252">
        <v>19</v>
      </c>
      <c r="AC8252">
        <v>25.665299999999899</v>
      </c>
      <c r="AD8252">
        <v>-1.1081029798740001</v>
      </c>
      <c r="AE8252">
        <v>3.7745999999999902</v>
      </c>
      <c r="AF8252">
        <v>11.263376271850801</v>
      </c>
      <c r="AG8252">
        <v>-1.1081029798740001</v>
      </c>
      <c r="AH8252">
        <v>23.316142579798498</v>
      </c>
      <c r="AI8252">
        <v>92.450397134631899</v>
      </c>
      <c r="AJ8252">
        <v>64.216111243439897</v>
      </c>
      <c r="AK8252">
        <v>25.917832510779</v>
      </c>
      <c r="AL8252">
        <v>95.384819270926599</v>
      </c>
      <c r="AM8252">
        <v>82.680751567851601</v>
      </c>
      <c r="AN8252">
        <v>0.99999997669426499</v>
      </c>
    </row>
    <row r="8253" spans="1:40" x14ac:dyDescent="0.25">
      <c r="A8253" t="str">
        <f>"20190305135122680"</f>
        <v>20190305135122680</v>
      </c>
      <c r="B8253" t="str">
        <f>"1551765082678075"</f>
        <v>1551765082678075</v>
      </c>
      <c r="C8253" t="s">
        <v>40</v>
      </c>
      <c r="D8253">
        <v>4.4036489999999997</v>
      </c>
      <c r="E8253">
        <v>0.62595029999999996</v>
      </c>
      <c r="F8253" t="s">
        <v>42</v>
      </c>
      <c r="G8253">
        <v>-153.49549999999999</v>
      </c>
      <c r="H8253" s="1">
        <v>-3.9203530000000004E-6</v>
      </c>
      <c r="I8253">
        <v>133.1489</v>
      </c>
      <c r="J8253">
        <v>-178.8631</v>
      </c>
      <c r="K8253">
        <v>1.108061</v>
      </c>
      <c r="L8253">
        <v>129.56790000000001</v>
      </c>
      <c r="M8253">
        <v>0.83167659999999999</v>
      </c>
      <c r="N8253">
        <v>-1.439463E-3</v>
      </c>
      <c r="O8253">
        <v>0.55525839999999904</v>
      </c>
      <c r="P8253">
        <v>0.89330580000000004</v>
      </c>
      <c r="Q8253">
        <v>-9.0462680000000004E-2</v>
      </c>
      <c r="R8253">
        <v>0.44025130000000001</v>
      </c>
      <c r="S8253">
        <v>3.1309049999999998</v>
      </c>
      <c r="T8253">
        <v>-0.13620399999999999</v>
      </c>
      <c r="U8253">
        <v>0.44798280000000001</v>
      </c>
      <c r="V8253">
        <v>0.12575359999999999</v>
      </c>
      <c r="W8253">
        <v>-9.4764680000000004E-2</v>
      </c>
      <c r="X8253">
        <v>0.98752499999999999</v>
      </c>
      <c r="Y8253">
        <v>0.43103239999999998</v>
      </c>
      <c r="Z8253">
        <v>-3.1483669999999998E-2</v>
      </c>
      <c r="AA8253">
        <v>0.90178700000000001</v>
      </c>
      <c r="AB8253">
        <v>19</v>
      </c>
      <c r="AC8253">
        <v>25.367599999999999</v>
      </c>
      <c r="AD8253">
        <v>-1.108064920353</v>
      </c>
      <c r="AE8253">
        <v>3.58099999999998</v>
      </c>
      <c r="AF8253">
        <v>11.0866113398541</v>
      </c>
      <c r="AG8253">
        <v>-1.108064920353</v>
      </c>
      <c r="AH8253">
        <v>23.0429381249395</v>
      </c>
      <c r="AI8253">
        <v>92.4812121774915</v>
      </c>
      <c r="AJ8253">
        <v>64.306472579212794</v>
      </c>
      <c r="AK8253">
        <v>25.595268240408998</v>
      </c>
      <c r="AL8253">
        <v>95.437776034723399</v>
      </c>
      <c r="AM8253">
        <v>82.742888722646498</v>
      </c>
      <c r="AN8253">
        <v>0.99999996905673005</v>
      </c>
    </row>
    <row r="8254" spans="1:40" x14ac:dyDescent="0.25">
      <c r="A8254" t="str">
        <f>"20190305135122695"</f>
        <v>20190305135122695</v>
      </c>
      <c r="B8254" t="str">
        <f>"1551765082688288"</f>
        <v>1551765082688288</v>
      </c>
      <c r="C8254" t="s">
        <v>40</v>
      </c>
      <c r="D8254">
        <v>4.4193600000000002</v>
      </c>
      <c r="E8254">
        <v>0.625556</v>
      </c>
      <c r="F8254" t="s">
        <v>42</v>
      </c>
      <c r="G8254">
        <v>-153.87440000000001</v>
      </c>
      <c r="H8254" s="1">
        <v>-3.8247979999999997E-6</v>
      </c>
      <c r="I8254">
        <v>133.02340000000001</v>
      </c>
      <c r="J8254">
        <v>-178.75309999999999</v>
      </c>
      <c r="K8254">
        <v>1.108031</v>
      </c>
      <c r="L8254">
        <v>129.63390000000001</v>
      </c>
      <c r="M8254">
        <v>0.83570100000000003</v>
      </c>
      <c r="N8254">
        <v>-1.2870689999999901E-3</v>
      </c>
      <c r="O8254">
        <v>0.54918330000000004</v>
      </c>
      <c r="P8254">
        <v>0.89626309999999998</v>
      </c>
      <c r="Q8254">
        <v>-9.0399190000000004E-2</v>
      </c>
      <c r="R8254">
        <v>0.43421270000000001</v>
      </c>
      <c r="S8254">
        <v>3.1308750000000001</v>
      </c>
      <c r="T8254">
        <v>-0.13883129999999999</v>
      </c>
      <c r="U8254">
        <v>0.43295289999999997</v>
      </c>
      <c r="V8254">
        <v>0.1249633</v>
      </c>
      <c r="W8254">
        <v>-9.5168600000000006E-2</v>
      </c>
      <c r="X8254">
        <v>0.98758650000000003</v>
      </c>
      <c r="Y8254">
        <v>0.428672</v>
      </c>
      <c r="Z8254">
        <v>-3.1908770000000003E-2</v>
      </c>
      <c r="AA8254">
        <v>0.90289649999999999</v>
      </c>
      <c r="AB8254">
        <v>19</v>
      </c>
      <c r="AC8254">
        <v>24.878699999999899</v>
      </c>
      <c r="AD8254">
        <v>-1.1080348247980001</v>
      </c>
      <c r="AE8254">
        <v>3.3894999999999902</v>
      </c>
      <c r="AF8254">
        <v>10.8093158772566</v>
      </c>
      <c r="AG8254">
        <v>-1.1080348247980001</v>
      </c>
      <c r="AH8254">
        <v>22.608599827009002</v>
      </c>
      <c r="AI8254">
        <v>92.531726951322</v>
      </c>
      <c r="AJ8254">
        <v>64.447238984239803</v>
      </c>
      <c r="AK8254">
        <v>25.084214897921601</v>
      </c>
      <c r="AL8254">
        <v>95.461023892157399</v>
      </c>
      <c r="AM8254">
        <v>82.788458804929107</v>
      </c>
      <c r="AN8254">
        <v>0.99999999187754995</v>
      </c>
    </row>
    <row r="8255" spans="1:40" x14ac:dyDescent="0.25">
      <c r="A8255" t="str">
        <f>"20190305135122708"</f>
        <v>20190305135122708</v>
      </c>
      <c r="B8255" t="str">
        <f>"1551765082698164"</f>
        <v>1551765082698164</v>
      </c>
      <c r="C8255" t="s">
        <v>40</v>
      </c>
      <c r="D8255">
        <v>4.3975730000000004</v>
      </c>
      <c r="E8255">
        <v>0.62509099999999995</v>
      </c>
      <c r="F8255" t="s">
        <v>42</v>
      </c>
      <c r="G8255">
        <v>-153.41899999999899</v>
      </c>
      <c r="H8255" s="1">
        <v>-3.9886159999999998E-6</v>
      </c>
      <c r="I8255">
        <v>132.99010000000001</v>
      </c>
      <c r="J8255">
        <v>-178.6395</v>
      </c>
      <c r="K8255">
        <v>1.1080749999999999</v>
      </c>
      <c r="L8255">
        <v>129.70089999999999</v>
      </c>
      <c r="M8255">
        <v>0.83948670000000003</v>
      </c>
      <c r="N8255">
        <v>-1.10684E-3</v>
      </c>
      <c r="O8255">
        <v>0.5433791</v>
      </c>
      <c r="P8255">
        <v>0.89907440000000005</v>
      </c>
      <c r="Q8255">
        <v>-9.0266639999999995E-2</v>
      </c>
      <c r="R8255">
        <v>0.42838900000000002</v>
      </c>
      <c r="S8255">
        <v>3.1323699999999999</v>
      </c>
      <c r="T8255">
        <v>-0.13699999999999901</v>
      </c>
      <c r="U8255">
        <v>0.41497800000000001</v>
      </c>
      <c r="V8255">
        <v>0.1242796</v>
      </c>
      <c r="W8255">
        <v>-9.5523200000000003E-2</v>
      </c>
      <c r="X8255">
        <v>0.98763849999999997</v>
      </c>
      <c r="Y8255">
        <v>0.42758449999999998</v>
      </c>
      <c r="Z8255">
        <v>-3.1325819999999997E-2</v>
      </c>
      <c r="AA8255">
        <v>0.90343249999999997</v>
      </c>
      <c r="AB8255">
        <v>20</v>
      </c>
      <c r="AC8255">
        <v>25.220500000000001</v>
      </c>
      <c r="AD8255">
        <v>-1.1080789886159901</v>
      </c>
      <c r="AE8255">
        <v>3.2892000000000201</v>
      </c>
      <c r="AF8255">
        <v>10.922328483994299</v>
      </c>
      <c r="AG8255">
        <v>-1.1080789886159901</v>
      </c>
      <c r="AH8255">
        <v>22.916074994705198</v>
      </c>
      <c r="AI8255">
        <v>92.499339510565704</v>
      </c>
      <c r="AJ8255">
        <v>64.516457132216303</v>
      </c>
      <c r="AK8255">
        <v>25.4100687075072</v>
      </c>
      <c r="AL8255">
        <v>95.481434169913001</v>
      </c>
      <c r="AM8255">
        <v>82.827876311787193</v>
      </c>
      <c r="AN8255">
        <v>0.99999995369832395</v>
      </c>
    </row>
    <row r="8256" spans="1:40" x14ac:dyDescent="0.25">
      <c r="A8256" t="str">
        <f>"20190305135122721"</f>
        <v>20190305135122721</v>
      </c>
      <c r="B8256" t="str">
        <f>"1551765082718150"</f>
        <v>1551765082718150</v>
      </c>
      <c r="C8256" t="s">
        <v>40</v>
      </c>
      <c r="D8256">
        <v>4.4640329999999997</v>
      </c>
      <c r="E8256">
        <v>0.62416359999999904</v>
      </c>
      <c r="F8256" t="s">
        <v>42</v>
      </c>
      <c r="G8256">
        <v>-152.89269999999999</v>
      </c>
      <c r="H8256" s="1">
        <v>-4.209733E-6</v>
      </c>
      <c r="I8256">
        <v>132.97280000000001</v>
      </c>
      <c r="J8256">
        <v>-178.54480000000001</v>
      </c>
      <c r="K8256">
        <v>1.1082700000000001</v>
      </c>
      <c r="L8256">
        <v>129.75530000000001</v>
      </c>
      <c r="M8256">
        <v>0.84237119999999999</v>
      </c>
      <c r="N8256">
        <v>-9.9504179999999995E-4</v>
      </c>
      <c r="O8256">
        <v>0.53889690000000001</v>
      </c>
      <c r="P8256">
        <v>0.90099569999999995</v>
      </c>
      <c r="Q8256">
        <v>-9.0298219999999998E-2</v>
      </c>
      <c r="R8256">
        <v>0.42432639999999999</v>
      </c>
      <c r="S8256">
        <v>3.1334840000000002</v>
      </c>
      <c r="T8256">
        <v>-0.13485720000000001</v>
      </c>
      <c r="U8256">
        <v>0.39820860000000002</v>
      </c>
      <c r="V8256">
        <v>0.1232915</v>
      </c>
      <c r="W8256">
        <v>-9.5848520000000006E-2</v>
      </c>
      <c r="X8256">
        <v>0.98773089999999997</v>
      </c>
      <c r="Y8256">
        <v>0.42759170000000002</v>
      </c>
      <c r="Z8256">
        <v>-3.0721930000000001E-2</v>
      </c>
      <c r="AA8256">
        <v>0.90344979999999997</v>
      </c>
      <c r="AB8256">
        <v>20</v>
      </c>
      <c r="AC8256">
        <v>25.652100000000001</v>
      </c>
      <c r="AD8256">
        <v>-1.1082742097330001</v>
      </c>
      <c r="AE8256">
        <v>3.2174999999999998</v>
      </c>
      <c r="AF8256">
        <v>11.0931271993056</v>
      </c>
      <c r="AG8256">
        <v>-1.1082742097330001</v>
      </c>
      <c r="AH8256">
        <v>23.2996841416618</v>
      </c>
      <c r="AI8256">
        <v>92.459166167651702</v>
      </c>
      <c r="AJ8256">
        <v>64.540584934220604</v>
      </c>
      <c r="AK8256">
        <v>25.829460387029702</v>
      </c>
      <c r="AL8256">
        <v>95.500159122939493</v>
      </c>
      <c r="AM8256">
        <v>82.884971150148999</v>
      </c>
      <c r="AN8256">
        <v>1.00000003178662</v>
      </c>
    </row>
    <row r="8257" spans="1:40" x14ac:dyDescent="0.25">
      <c r="A8257" t="str">
        <f>"20190305135122733"</f>
        <v>20190305135122733</v>
      </c>
      <c r="B8257" t="str">
        <f>"1551765082728320"</f>
        <v>1551765082728320</v>
      </c>
      <c r="C8257" t="s">
        <v>40</v>
      </c>
      <c r="D8257">
        <v>4.456861</v>
      </c>
      <c r="E8257">
        <v>0.62416359999999904</v>
      </c>
      <c r="F8257" t="s">
        <v>42</v>
      </c>
      <c r="G8257">
        <v>-153.30369999999999</v>
      </c>
      <c r="H8257" s="1">
        <v>-4.05138699999999E-6</v>
      </c>
      <c r="I8257">
        <v>132.90170000000001</v>
      </c>
      <c r="J8257">
        <v>-178.44290000000001</v>
      </c>
      <c r="K8257">
        <v>1.1085499999999999</v>
      </c>
      <c r="L8257">
        <v>129.8133</v>
      </c>
      <c r="M8257">
        <v>0.84540749999999998</v>
      </c>
      <c r="N8257">
        <v>-8.943547E-4</v>
      </c>
      <c r="O8257">
        <v>0.53412099999999996</v>
      </c>
      <c r="P8257">
        <v>0.90302059999999995</v>
      </c>
      <c r="Q8257">
        <v>-9.0637389999999998E-2</v>
      </c>
      <c r="R8257">
        <v>0.41992679999999999</v>
      </c>
      <c r="S8257">
        <v>3.1319729999999999</v>
      </c>
      <c r="T8257">
        <v>-0.13751659999999999</v>
      </c>
      <c r="U8257">
        <v>0.39042660000000001</v>
      </c>
      <c r="V8257">
        <v>0.1223094</v>
      </c>
      <c r="W8257">
        <v>-9.6461420000000006E-2</v>
      </c>
      <c r="X8257">
        <v>0.98779329999999999</v>
      </c>
      <c r="Y8257">
        <v>0.42460140000000002</v>
      </c>
      <c r="Z8257">
        <v>-3.115542E-2</v>
      </c>
      <c r="AA8257">
        <v>0.90484419999999999</v>
      </c>
      <c r="AB8257">
        <v>20</v>
      </c>
      <c r="AC8257">
        <v>25.139199999999999</v>
      </c>
      <c r="AD8257">
        <v>-1.108554051387</v>
      </c>
      <c r="AE8257">
        <v>3.0884</v>
      </c>
      <c r="AF8257">
        <v>10.795742734366099</v>
      </c>
      <c r="AG8257">
        <v>-1.108554051387</v>
      </c>
      <c r="AH8257">
        <v>22.858669909941401</v>
      </c>
      <c r="AI8257">
        <v>92.510893063348504</v>
      </c>
      <c r="AJ8257">
        <v>64.719468311707899</v>
      </c>
      <c r="AK8257">
        <v>25.304065746893901</v>
      </c>
      <c r="AL8257">
        <v>95.5354393611196</v>
      </c>
      <c r="AM8257">
        <v>82.941514549922005</v>
      </c>
      <c r="AN8257">
        <v>0.99999999920083305</v>
      </c>
    </row>
    <row r="8258" spans="1:40" x14ac:dyDescent="0.25">
      <c r="A8258" t="str">
        <f>"20190305135122747"</f>
        <v>20190305135122747</v>
      </c>
      <c r="B8258" t="str">
        <f>"1551765082738080"</f>
        <v>1551765082738080</v>
      </c>
      <c r="C8258" t="s">
        <v>40</v>
      </c>
      <c r="D8258">
        <v>4.4592390000000002</v>
      </c>
      <c r="E8258">
        <v>0.6064619</v>
      </c>
      <c r="F8258" t="s">
        <v>42</v>
      </c>
      <c r="G8258">
        <v>-153.0925</v>
      </c>
      <c r="H8258" s="1">
        <v>-4.1457080000000002E-6</v>
      </c>
      <c r="I8258">
        <v>132.85059999999999</v>
      </c>
      <c r="J8258">
        <v>-178.3263</v>
      </c>
      <c r="K8258">
        <v>1.1090340000000001</v>
      </c>
      <c r="L8258">
        <v>129.8785</v>
      </c>
      <c r="M8258">
        <v>0.84879300000000002</v>
      </c>
      <c r="N8258">
        <v>-8.3975679999999896E-4</v>
      </c>
      <c r="O8258">
        <v>0.52872469999999905</v>
      </c>
      <c r="P8258">
        <v>0.90486699999999998</v>
      </c>
      <c r="Q8258">
        <v>-9.1586109999999998E-2</v>
      </c>
      <c r="R8258">
        <v>0.41572559999999897</v>
      </c>
      <c r="S8258">
        <v>3.1338349999999999</v>
      </c>
      <c r="T8258">
        <v>-0.13703979999999999</v>
      </c>
      <c r="U8258">
        <v>0.3754883</v>
      </c>
      <c r="V8258">
        <v>0.1203507</v>
      </c>
      <c r="W8258">
        <v>-9.7559709999999994E-2</v>
      </c>
      <c r="X8258">
        <v>0.98792599999999997</v>
      </c>
      <c r="Y8258">
        <v>0.42316140000000002</v>
      </c>
      <c r="Z8258">
        <v>-3.0837389999999999E-2</v>
      </c>
      <c r="AA8258">
        <v>0.90552940000000004</v>
      </c>
      <c r="AB8258">
        <v>20</v>
      </c>
      <c r="AC8258">
        <v>25.233799999999999</v>
      </c>
      <c r="AD8258">
        <v>-1.1090381457080001</v>
      </c>
      <c r="AE8258">
        <v>2.9720999999999802</v>
      </c>
      <c r="AF8258">
        <v>10.7984656837834</v>
      </c>
      <c r="AG8258">
        <v>-1.1090381457080001</v>
      </c>
      <c r="AH8258">
        <v>22.945985721764199</v>
      </c>
      <c r="AI8258">
        <v>92.504060100547605</v>
      </c>
      <c r="AJ8258">
        <v>64.798151140683999</v>
      </c>
      <c r="AK8258">
        <v>25.3841503201484</v>
      </c>
      <c r="AL8258">
        <v>95.598665040256094</v>
      </c>
      <c r="AM8258">
        <v>83.054361951351098</v>
      </c>
      <c r="AN8258">
        <v>0.99999998474088603</v>
      </c>
    </row>
    <row r="8259" spans="1:40" x14ac:dyDescent="0.25">
      <c r="A8259" t="str">
        <f>"20190305135122766"</f>
        <v>20190305135122766</v>
      </c>
      <c r="B8259" t="str">
        <f>"1551765082757600"</f>
        <v>1551765082757600</v>
      </c>
      <c r="C8259" t="s">
        <v>40</v>
      </c>
      <c r="D8259">
        <v>4.4705579999999996</v>
      </c>
      <c r="E8259">
        <v>0.60468630000000001</v>
      </c>
      <c r="F8259" t="s">
        <v>42</v>
      </c>
      <c r="G8259">
        <v>-163.77780000000001</v>
      </c>
      <c r="H8259" s="1">
        <v>-4.3656689999999998E-6</v>
      </c>
      <c r="I8259">
        <v>132.12960000000001</v>
      </c>
      <c r="J8259">
        <v>-178.17570000000001</v>
      </c>
      <c r="K8259">
        <v>1.109893</v>
      </c>
      <c r="L8259">
        <v>129.96100000000001</v>
      </c>
      <c r="M8259">
        <v>0.85324529999999998</v>
      </c>
      <c r="N8259">
        <v>-8.630771E-4</v>
      </c>
      <c r="O8259">
        <v>0.52150920000000001</v>
      </c>
      <c r="P8259">
        <v>0.90796209999999999</v>
      </c>
      <c r="Q8259">
        <v>-9.1930990000000004E-2</v>
      </c>
      <c r="R8259">
        <v>0.40884429999999999</v>
      </c>
      <c r="S8259">
        <v>3.0731959999999998</v>
      </c>
      <c r="T8259">
        <v>-0.23427139999999999</v>
      </c>
      <c r="U8259">
        <v>0.47552489999999997</v>
      </c>
      <c r="V8259">
        <v>0.11930399999999999</v>
      </c>
      <c r="W8259">
        <v>-9.7997020000000004E-2</v>
      </c>
      <c r="X8259">
        <v>0.98800969999999999</v>
      </c>
      <c r="Y8259">
        <v>0.38252999999999998</v>
      </c>
      <c r="Z8259">
        <v>-5.1685250000000002E-2</v>
      </c>
      <c r="AA8259">
        <v>0.92249630000000005</v>
      </c>
      <c r="AB8259">
        <v>20</v>
      </c>
      <c r="AC8259">
        <v>14.3978999999999</v>
      </c>
      <c r="AD8259">
        <v>-1.1098973656690001</v>
      </c>
      <c r="AE8259">
        <v>2.1685999999999899</v>
      </c>
      <c r="AF8259">
        <v>5.6256028575529804</v>
      </c>
      <c r="AG8259">
        <v>-1.1098973656690001</v>
      </c>
      <c r="AH8259">
        <v>13.3383847339363</v>
      </c>
      <c r="AI8259">
        <v>94.384322821114296</v>
      </c>
      <c r="AJ8259">
        <v>67.1319077013775</v>
      </c>
      <c r="AK8259">
        <v>14.5186702897935</v>
      </c>
      <c r="AL8259">
        <v>95.623841535263395</v>
      </c>
      <c r="AM8259">
        <v>83.114764003105094</v>
      </c>
      <c r="AN8259">
        <v>1.00000001381948</v>
      </c>
    </row>
    <row r="8260" spans="1:40" x14ac:dyDescent="0.25">
      <c r="A8260" t="str">
        <f>"20190305135122780"</f>
        <v>20190305135122780</v>
      </c>
      <c r="B8260" t="str">
        <f>"1551765082768336"</f>
        <v>1551765082768336</v>
      </c>
      <c r="C8260" t="s">
        <v>40</v>
      </c>
      <c r="D8260">
        <v>4.4494449999999999</v>
      </c>
      <c r="E8260">
        <v>0.60405240000000004</v>
      </c>
      <c r="F8260" t="s">
        <v>42</v>
      </c>
      <c r="G8260">
        <v>-163.49039999999999</v>
      </c>
      <c r="H8260" s="1">
        <v>-4.4605870000000004E-6</v>
      </c>
      <c r="I8260">
        <v>132.1876</v>
      </c>
      <c r="J8260">
        <v>-178.06700000000001</v>
      </c>
      <c r="K8260">
        <v>1.1108389999999999</v>
      </c>
      <c r="L8260">
        <v>130.01939999999999</v>
      </c>
      <c r="M8260">
        <v>0.85632529999999996</v>
      </c>
      <c r="N8260">
        <v>-1.1613089999999999E-3</v>
      </c>
      <c r="O8260">
        <v>0.51643559999999999</v>
      </c>
      <c r="P8260">
        <v>0.90998999999999997</v>
      </c>
      <c r="Q8260">
        <v>-9.2690179999999997E-2</v>
      </c>
      <c r="R8260">
        <v>0.40413700000000002</v>
      </c>
      <c r="S8260">
        <v>3.0709689999999998</v>
      </c>
      <c r="T8260">
        <v>-0.23210049999999999</v>
      </c>
      <c r="U8260">
        <v>0.46562189999999998</v>
      </c>
      <c r="V8260">
        <v>0.11853420000000001</v>
      </c>
      <c r="W8260">
        <v>-9.8364789999999994E-2</v>
      </c>
      <c r="X8260">
        <v>0.98806579999999999</v>
      </c>
      <c r="Y8260">
        <v>0.37991849999999999</v>
      </c>
      <c r="Z8260">
        <v>-5.0740170000000001E-2</v>
      </c>
      <c r="AA8260">
        <v>0.92362730000000004</v>
      </c>
      <c r="AB8260">
        <v>20</v>
      </c>
      <c r="AC8260">
        <v>14.576599999999999</v>
      </c>
      <c r="AD8260">
        <v>-1.1108434605869999</v>
      </c>
      <c r="AE8260">
        <v>2.1682000000000099</v>
      </c>
      <c r="AF8260">
        <v>5.6391534199746003</v>
      </c>
      <c r="AG8260">
        <v>-1.1108434605869999</v>
      </c>
      <c r="AH8260">
        <v>13.525207451959499</v>
      </c>
      <c r="AI8260">
        <v>94.335088725684201</v>
      </c>
      <c r="AJ8260">
        <v>67.366960276943601</v>
      </c>
      <c r="AK8260">
        <v>14.695756568019201</v>
      </c>
      <c r="AL8260">
        <v>95.645015543906396</v>
      </c>
      <c r="AM8260">
        <v>83.159152815078201</v>
      </c>
      <c r="AN8260">
        <v>1.0000000068055099</v>
      </c>
    </row>
    <row r="8261" spans="1:40" x14ac:dyDescent="0.25">
      <c r="A8261" t="str">
        <f>"20190305135122792"</f>
        <v>20190305135122792</v>
      </c>
      <c r="B8261" t="str">
        <f>"1551765082788211"</f>
        <v>1551765082788211</v>
      </c>
      <c r="C8261" t="s">
        <v>40</v>
      </c>
      <c r="D8261">
        <v>4.4794150000000004</v>
      </c>
      <c r="E8261">
        <v>0.60372300000000001</v>
      </c>
      <c r="F8261" t="s">
        <v>42</v>
      </c>
      <c r="G8261">
        <v>-163.48560000000001</v>
      </c>
      <c r="H8261" s="1">
        <v>-4.4652869999999997E-6</v>
      </c>
      <c r="I8261">
        <v>132.17689999999999</v>
      </c>
      <c r="J8261">
        <v>-177.95910000000001</v>
      </c>
      <c r="K8261">
        <v>1.1118209999999999</v>
      </c>
      <c r="L8261">
        <v>130.07689999999999</v>
      </c>
      <c r="M8261">
        <v>0.85928740000000003</v>
      </c>
      <c r="N8261">
        <v>-1.5371929999999901E-3</v>
      </c>
      <c r="O8261">
        <v>0.51149060000000002</v>
      </c>
      <c r="P8261">
        <v>0.91110279999999999</v>
      </c>
      <c r="Q8261">
        <v>-9.4475439999999994E-2</v>
      </c>
      <c r="R8261">
        <v>0.4012056</v>
      </c>
      <c r="S8261">
        <v>3.071091</v>
      </c>
      <c r="T8261">
        <v>-0.23396220000000001</v>
      </c>
      <c r="U8261">
        <v>0.4544067</v>
      </c>
      <c r="V8261">
        <v>0.1159282</v>
      </c>
      <c r="W8261">
        <v>-9.9538600000000005E-2</v>
      </c>
      <c r="X8261">
        <v>0.98825739999999995</v>
      </c>
      <c r="Y8261">
        <v>0.3778803</v>
      </c>
      <c r="Z8261">
        <v>-5.0649619999999999E-2</v>
      </c>
      <c r="AA8261">
        <v>0.92446799999999996</v>
      </c>
      <c r="AB8261">
        <v>20</v>
      </c>
      <c r="AC8261">
        <v>14.4735</v>
      </c>
      <c r="AD8261">
        <v>-1.1118254652870001</v>
      </c>
      <c r="AE8261">
        <v>2.0999999999999899</v>
      </c>
      <c r="AF8261">
        <v>5.5663926636500598</v>
      </c>
      <c r="AG8261">
        <v>-1.1118254652870001</v>
      </c>
      <c r="AH8261">
        <v>13.433407302732199</v>
      </c>
      <c r="AI8261">
        <v>94.372403937493701</v>
      </c>
      <c r="AJ8261">
        <v>67.492380127386198</v>
      </c>
      <c r="AK8261">
        <v>14.583460320249699</v>
      </c>
      <c r="AL8261">
        <v>95.712601730262804</v>
      </c>
      <c r="AM8261">
        <v>83.309456858366204</v>
      </c>
      <c r="AN8261">
        <v>0.99999998454997896</v>
      </c>
    </row>
    <row r="8262" spans="1:40" x14ac:dyDescent="0.25">
      <c r="A8262" t="str">
        <f>"20190305135122805"</f>
        <v>20190305135122805</v>
      </c>
      <c r="B8262" t="str">
        <f>"1551765082797970"</f>
        <v>1551765082797970</v>
      </c>
      <c r="C8262" t="s">
        <v>40</v>
      </c>
      <c r="D8262">
        <v>4.4278029999999999</v>
      </c>
      <c r="E8262">
        <v>0.60287729999999995</v>
      </c>
      <c r="F8262" t="s">
        <v>42</v>
      </c>
      <c r="G8262">
        <v>-163.5907</v>
      </c>
      <c r="H8262" s="1">
        <v>-4.4268060000000003E-6</v>
      </c>
      <c r="I8262">
        <v>132.16980000000001</v>
      </c>
      <c r="J8262">
        <v>-177.84190000000001</v>
      </c>
      <c r="K8262">
        <v>1.1125659999999999</v>
      </c>
      <c r="L8262">
        <v>130.1388</v>
      </c>
      <c r="M8262">
        <v>0.86234609999999901</v>
      </c>
      <c r="N8262">
        <v>-1.8204339999999999E-3</v>
      </c>
      <c r="O8262">
        <v>0.50631610000000005</v>
      </c>
      <c r="P8262">
        <v>0.91292030000000002</v>
      </c>
      <c r="Q8262">
        <v>-9.5653050000000003E-2</v>
      </c>
      <c r="R8262">
        <v>0.39677069999999998</v>
      </c>
      <c r="S8262">
        <v>3.071091</v>
      </c>
      <c r="T8262">
        <v>-0.23764089999999999</v>
      </c>
      <c r="U8262">
        <v>0.44734190000000001</v>
      </c>
      <c r="V8262">
        <v>0.1146962</v>
      </c>
      <c r="W8262">
        <v>-0.1003534</v>
      </c>
      <c r="X8262">
        <v>0.98831869999999999</v>
      </c>
      <c r="Y8262">
        <v>0.3743514</v>
      </c>
      <c r="Z8262">
        <v>-5.0899630000000001E-2</v>
      </c>
      <c r="AA8262">
        <v>0.92588890000000001</v>
      </c>
      <c r="AB8262">
        <v>21</v>
      </c>
      <c r="AC8262">
        <v>14.251200000000001</v>
      </c>
      <c r="AD8262">
        <v>-1.1125704268059999</v>
      </c>
      <c r="AE8262">
        <v>2.0310000000000001</v>
      </c>
      <c r="AF8262">
        <v>5.4317499610090598</v>
      </c>
      <c r="AG8262">
        <v>-1.1125704268059999</v>
      </c>
      <c r="AH8262">
        <v>13.238736167110201</v>
      </c>
      <c r="AI8262">
        <v>94.445762332125</v>
      </c>
      <c r="AJ8262">
        <v>67.692040619685898</v>
      </c>
      <c r="AK8262">
        <v>14.3529040927569</v>
      </c>
      <c r="AL8262">
        <v>95.7595215351744</v>
      </c>
      <c r="AM8262">
        <v>83.380331551100596</v>
      </c>
      <c r="AN8262">
        <v>0.99999993797784303</v>
      </c>
    </row>
    <row r="8263" spans="1:40" x14ac:dyDescent="0.25">
      <c r="A8263" t="str">
        <f>"20190305135122817"</f>
        <v>20190305135122817</v>
      </c>
      <c r="B8263" t="str">
        <f>"1551765082807730"</f>
        <v>1551765082807730</v>
      </c>
      <c r="C8263" t="s">
        <v>40</v>
      </c>
      <c r="D8263">
        <v>4.493296</v>
      </c>
      <c r="E8263">
        <v>0.60218149999999904</v>
      </c>
      <c r="F8263" t="s">
        <v>42</v>
      </c>
      <c r="G8263">
        <v>-163.09739999999999</v>
      </c>
      <c r="H8263" s="1">
        <v>-4.5941270000000003E-6</v>
      </c>
      <c r="I8263">
        <v>132.25290000000001</v>
      </c>
      <c r="J8263">
        <v>-177.74270000000001</v>
      </c>
      <c r="K8263">
        <v>1.113092</v>
      </c>
      <c r="L8263">
        <v>130.19059999999999</v>
      </c>
      <c r="M8263">
        <v>0.86481919999999901</v>
      </c>
      <c r="N8263">
        <v>-2.0764189999999999E-3</v>
      </c>
      <c r="O8263">
        <v>0.50207919999999995</v>
      </c>
      <c r="P8263">
        <v>0.91435149999999998</v>
      </c>
      <c r="Q8263">
        <v>-9.660465E-2</v>
      </c>
      <c r="R8263">
        <v>0.393229</v>
      </c>
      <c r="S8263">
        <v>3.0705110000000002</v>
      </c>
      <c r="T8263">
        <v>-0.23169020000000001</v>
      </c>
      <c r="U8263">
        <v>0.44026179999999898</v>
      </c>
      <c r="V8263">
        <v>0.1135829</v>
      </c>
      <c r="W8263">
        <v>-0.1010016</v>
      </c>
      <c r="X8263">
        <v>0.98838130000000002</v>
      </c>
      <c r="Y8263">
        <v>0.37200879999999997</v>
      </c>
      <c r="Z8263">
        <v>-4.9195530000000001E-2</v>
      </c>
      <c r="AA8263">
        <v>0.92692459999999999</v>
      </c>
      <c r="AB8263">
        <v>21</v>
      </c>
      <c r="AC8263">
        <v>14.645300000000001</v>
      </c>
      <c r="AD8263">
        <v>-1.1130965941269999</v>
      </c>
      <c r="AE8263">
        <v>2.06230000000002</v>
      </c>
      <c r="AF8263">
        <v>5.5382258036769896</v>
      </c>
      <c r="AG8263">
        <v>-1.1130965941269999</v>
      </c>
      <c r="AH8263">
        <v>13.623834852786899</v>
      </c>
      <c r="AI8263">
        <v>94.328318736070997</v>
      </c>
      <c r="AJ8263">
        <v>67.877763685439703</v>
      </c>
      <c r="AK8263">
        <v>14.7485526468322</v>
      </c>
      <c r="AL8263">
        <v>95.796849986693601</v>
      </c>
      <c r="AM8263">
        <v>83.444434979496293</v>
      </c>
      <c r="AN8263">
        <v>0.99999999628233005</v>
      </c>
    </row>
    <row r="8264" spans="1:40" x14ac:dyDescent="0.25">
      <c r="A8264" t="str">
        <f>"20190305135122832"</f>
        <v>20190305135122832</v>
      </c>
      <c r="B8264" t="str">
        <f>"1551765082828226"</f>
        <v>1551765082828226</v>
      </c>
      <c r="C8264" t="s">
        <v>40</v>
      </c>
      <c r="D8264">
        <v>4.4532489999999996</v>
      </c>
      <c r="E8264">
        <v>0.60104360000000001</v>
      </c>
      <c r="F8264" t="s">
        <v>42</v>
      </c>
      <c r="G8264">
        <v>-163.3192</v>
      </c>
      <c r="H8264" s="1">
        <v>-4.5162010000000003E-6</v>
      </c>
      <c r="I8264">
        <v>132.22569999999999</v>
      </c>
      <c r="J8264">
        <v>-177.62190000000001</v>
      </c>
      <c r="K8264">
        <v>1.1136600000000001</v>
      </c>
      <c r="L8264">
        <v>130.25319999999999</v>
      </c>
      <c r="M8264">
        <v>0.86774739999999995</v>
      </c>
      <c r="N8264">
        <v>-2.4004880000000001E-3</v>
      </c>
      <c r="O8264">
        <v>0.49699989999999999</v>
      </c>
      <c r="P8264">
        <v>0.9154873</v>
      </c>
      <c r="Q8264">
        <v>-9.8579669999999994E-2</v>
      </c>
      <c r="R8264">
        <v>0.39008330000000002</v>
      </c>
      <c r="S8264">
        <v>3.0697019999999999</v>
      </c>
      <c r="T8264">
        <v>-0.2368963</v>
      </c>
      <c r="U8264">
        <v>0.43312070000000003</v>
      </c>
      <c r="V8264">
        <v>0.1109715</v>
      </c>
      <c r="W8264">
        <v>-0.1025388</v>
      </c>
      <c r="X8264">
        <v>0.9885197</v>
      </c>
      <c r="Y8264">
        <v>0.36857079999999998</v>
      </c>
      <c r="Z8264">
        <v>-4.9772740000000003E-2</v>
      </c>
      <c r="AA8264">
        <v>0.92826629999999999</v>
      </c>
      <c r="AB8264">
        <v>21</v>
      </c>
      <c r="AC8264">
        <v>14.3027</v>
      </c>
      <c r="AD8264">
        <v>-1.1136645162009999</v>
      </c>
      <c r="AE8264">
        <v>1.9724999999999899</v>
      </c>
      <c r="AF8264">
        <v>5.3649044804886996</v>
      </c>
      <c r="AG8264">
        <v>-1.1136645162009999</v>
      </c>
      <c r="AH8264">
        <v>13.312296905811399</v>
      </c>
      <c r="AI8264">
        <v>94.436849258848397</v>
      </c>
      <c r="AJ8264">
        <v>68.050384442920105</v>
      </c>
      <c r="AK8264">
        <v>14.3958222289625</v>
      </c>
      <c r="AL8264">
        <v>95.885384498428095</v>
      </c>
      <c r="AM8264">
        <v>83.594776817802099</v>
      </c>
      <c r="AN8264">
        <v>1.00000003830288</v>
      </c>
    </row>
    <row r="8265" spans="1:40" x14ac:dyDescent="0.25">
      <c r="A8265" t="str">
        <f>"20190305135122844"</f>
        <v>20190305135122844</v>
      </c>
      <c r="B8265" t="str">
        <f>"1551765082837986"</f>
        <v>1551765082837986</v>
      </c>
      <c r="C8265" t="s">
        <v>40</v>
      </c>
      <c r="D8265">
        <v>4.4409479999999997</v>
      </c>
      <c r="E8265">
        <v>0.60052260000000002</v>
      </c>
      <c r="F8265" t="s">
        <v>42</v>
      </c>
      <c r="G8265">
        <v>-163.78100000000001</v>
      </c>
      <c r="H8265" s="1">
        <v>-4.3469529999999998E-6</v>
      </c>
      <c r="I8265">
        <v>132.1952</v>
      </c>
      <c r="J8265">
        <v>-177.5138</v>
      </c>
      <c r="K8265">
        <v>1.1141190000000001</v>
      </c>
      <c r="L8265">
        <v>130.3082</v>
      </c>
      <c r="M8265">
        <v>0.87031510000000001</v>
      </c>
      <c r="N8265">
        <v>-2.7108430000000001E-3</v>
      </c>
      <c r="O8265">
        <v>0.49248789999999998</v>
      </c>
      <c r="P8265">
        <v>0.91694609999999999</v>
      </c>
      <c r="Q8265">
        <v>-0.1002343</v>
      </c>
      <c r="R8265">
        <v>0.38621630000000001</v>
      </c>
      <c r="S8265">
        <v>3.0670169999999999</v>
      </c>
      <c r="T8265">
        <v>-0.2467791</v>
      </c>
      <c r="U8265">
        <v>0.43034359999999999</v>
      </c>
      <c r="V8265">
        <v>0.1098296</v>
      </c>
      <c r="W8265">
        <v>-0.103848</v>
      </c>
      <c r="X8265">
        <v>0.98851049999999996</v>
      </c>
      <c r="Y8265">
        <v>0.36428359999999999</v>
      </c>
      <c r="Z8265">
        <v>-5.1347459999999998E-2</v>
      </c>
      <c r="AA8265">
        <v>0.92987140000000001</v>
      </c>
      <c r="AB8265">
        <v>21</v>
      </c>
      <c r="AC8265">
        <v>13.7327999999999</v>
      </c>
      <c r="AD8265">
        <v>-1.1141233469530001</v>
      </c>
      <c r="AE8265">
        <v>1.887</v>
      </c>
      <c r="AF8265">
        <v>5.0881033484358396</v>
      </c>
      <c r="AG8265">
        <v>-1.1141233469530001</v>
      </c>
      <c r="AH8265">
        <v>12.798557628252899</v>
      </c>
      <c r="AI8265">
        <v>94.624735879253194</v>
      </c>
      <c r="AJ8265">
        <v>68.319563173933105</v>
      </c>
      <c r="AK8265">
        <v>13.8178559798653</v>
      </c>
      <c r="AL8265">
        <v>95.960799107446206</v>
      </c>
      <c r="AM8265">
        <v>83.660088803156896</v>
      </c>
      <c r="AN8265">
        <v>0.99999997837520405</v>
      </c>
    </row>
    <row r="8266" spans="1:40" x14ac:dyDescent="0.25">
      <c r="A8266" t="str">
        <f>"20190305135122859"</f>
        <v>20190305135122859</v>
      </c>
      <c r="B8266" t="str">
        <f>"1551765082847746"</f>
        <v>1551765082847746</v>
      </c>
      <c r="C8266" t="s">
        <v>40</v>
      </c>
      <c r="D8266">
        <v>4.4388439999999996</v>
      </c>
      <c r="E8266">
        <v>0.60052260000000002</v>
      </c>
      <c r="F8266" t="s">
        <v>42</v>
      </c>
      <c r="G8266">
        <v>-163.929</v>
      </c>
      <c r="H8266" s="1">
        <v>-4.2955730000000003E-6</v>
      </c>
      <c r="I8266">
        <v>132.17490000000001</v>
      </c>
      <c r="J8266">
        <v>-177.387</v>
      </c>
      <c r="K8266">
        <v>1.1146180000000001</v>
      </c>
      <c r="L8266">
        <v>130.37190000000001</v>
      </c>
      <c r="M8266">
        <v>0.87334529999999999</v>
      </c>
      <c r="N8266">
        <v>-3.051626E-3</v>
      </c>
      <c r="O8266">
        <v>0.48709219999999998</v>
      </c>
      <c r="P8266">
        <v>0.91805170000000003</v>
      </c>
      <c r="Q8266">
        <v>-0.1025176</v>
      </c>
      <c r="R8266">
        <v>0.38297680000000001</v>
      </c>
      <c r="S8266">
        <v>3.066757</v>
      </c>
      <c r="T8266">
        <v>-0.25151210000000002</v>
      </c>
      <c r="U8266">
        <v>0.4213867</v>
      </c>
      <c r="V8266">
        <v>0.106961</v>
      </c>
      <c r="W8266">
        <v>-0.105652</v>
      </c>
      <c r="X8266">
        <v>0.98863389999999995</v>
      </c>
      <c r="Y8266">
        <v>0.36110880000000001</v>
      </c>
      <c r="Z8266">
        <v>-5.1757440000000002E-2</v>
      </c>
      <c r="AA8266">
        <v>0.93108630000000003</v>
      </c>
      <c r="AB8266">
        <v>21</v>
      </c>
      <c r="AC8266">
        <v>13.457999999999901</v>
      </c>
      <c r="AD8266">
        <v>-1.1146222955730001</v>
      </c>
      <c r="AE8266">
        <v>1.8029999999999899</v>
      </c>
      <c r="AF8266">
        <v>4.9473301095344597</v>
      </c>
      <c r="AG8266">
        <v>-1.1146222955730001</v>
      </c>
      <c r="AH8266">
        <v>12.5472157863398</v>
      </c>
      <c r="AI8266">
        <v>94.724304011561301</v>
      </c>
      <c r="AJ8266">
        <v>68.480828821481197</v>
      </c>
      <c r="AK8266">
        <v>13.533332260144601</v>
      </c>
      <c r="AL8266">
        <v>96.064732393450399</v>
      </c>
      <c r="AM8266">
        <v>83.825147085302703</v>
      </c>
      <c r="AN8266">
        <v>0.99999999442710497</v>
      </c>
    </row>
    <row r="8267" spans="1:40" x14ac:dyDescent="0.25">
      <c r="A8267" t="str">
        <f>"20190305135122874"</f>
        <v>20190305135122874</v>
      </c>
      <c r="B8267" t="str">
        <f>"1551765082868242"</f>
        <v>1551765082868242</v>
      </c>
      <c r="C8267" t="s">
        <v>40</v>
      </c>
      <c r="D8267">
        <v>4.4492750000000001</v>
      </c>
      <c r="E8267">
        <v>0.59203050000000002</v>
      </c>
      <c r="F8267" t="s">
        <v>42</v>
      </c>
      <c r="G8267">
        <v>-164.19409999999999</v>
      </c>
      <c r="H8267" s="1">
        <v>-4.2036589999999996E-6</v>
      </c>
      <c r="I8267">
        <v>132.13759999999999</v>
      </c>
      <c r="J8267">
        <v>-177.2645</v>
      </c>
      <c r="K8267">
        <v>1.1150789999999999</v>
      </c>
      <c r="L8267">
        <v>130.43270000000001</v>
      </c>
      <c r="M8267">
        <v>0.87629230000000002</v>
      </c>
      <c r="N8267">
        <v>-3.3591950000000001E-3</v>
      </c>
      <c r="O8267">
        <v>0.48176819999999998</v>
      </c>
      <c r="P8267">
        <v>0.91981000000000002</v>
      </c>
      <c r="Q8267">
        <v>-0.1036197</v>
      </c>
      <c r="R8267">
        <v>0.37843460000000001</v>
      </c>
      <c r="S8267">
        <v>3.0675810000000001</v>
      </c>
      <c r="T8267">
        <v>-0.25916929999999999</v>
      </c>
      <c r="U8267">
        <v>0.410553</v>
      </c>
      <c r="V8267">
        <v>0.1057261</v>
      </c>
      <c r="W8267">
        <v>-0.1063852</v>
      </c>
      <c r="X8267">
        <v>0.98868809999999996</v>
      </c>
      <c r="Y8267">
        <v>0.35856909999999997</v>
      </c>
      <c r="Z8267">
        <v>-5.2783160000000003E-2</v>
      </c>
      <c r="AA8267">
        <v>0.9320098</v>
      </c>
      <c r="AB8267">
        <v>21</v>
      </c>
      <c r="AC8267">
        <v>13.070399999999999</v>
      </c>
      <c r="AD8267">
        <v>-1.1150832036589999</v>
      </c>
      <c r="AE8267">
        <v>1.7048999999999801</v>
      </c>
      <c r="AF8267">
        <v>4.7688105544779198</v>
      </c>
      <c r="AG8267">
        <v>-1.1150832036589999</v>
      </c>
      <c r="AH8267">
        <v>12.187703164996</v>
      </c>
      <c r="AI8267">
        <v>94.869976326044295</v>
      </c>
      <c r="AJ8267">
        <v>68.630562820406993</v>
      </c>
      <c r="AK8267">
        <v>13.1348800182428</v>
      </c>
      <c r="AL8267">
        <v>96.106979793185303</v>
      </c>
      <c r="AM8267">
        <v>83.896228581045605</v>
      </c>
      <c r="AN8267">
        <v>0.99999998904092902</v>
      </c>
    </row>
    <row r="8268" spans="1:40" x14ac:dyDescent="0.25">
      <c r="A8268" t="str">
        <f>"20190305135122884"</f>
        <v>20190305135122884</v>
      </c>
      <c r="B8268" t="str">
        <f>"1551765082878002"</f>
        <v>1551765082878002</v>
      </c>
      <c r="C8268" t="s">
        <v>40</v>
      </c>
      <c r="D8268">
        <v>4.423908</v>
      </c>
      <c r="E8268">
        <v>0.59171790000000002</v>
      </c>
      <c r="F8268" t="s">
        <v>42</v>
      </c>
      <c r="G8268">
        <v>-164.24340000000001</v>
      </c>
      <c r="H8268" s="1">
        <v>-4.1158210000000004E-6</v>
      </c>
      <c r="I8268">
        <v>132.3965</v>
      </c>
      <c r="J8268">
        <v>-177.16290000000001</v>
      </c>
      <c r="K8268">
        <v>1.1154379999999999</v>
      </c>
      <c r="L8268">
        <v>130.48230000000001</v>
      </c>
      <c r="M8268">
        <v>0.87876710000000002</v>
      </c>
      <c r="N8268">
        <v>-3.5895950000000001E-3</v>
      </c>
      <c r="O8268">
        <v>0.47723759999999998</v>
      </c>
      <c r="P8268">
        <v>0.92110320000000001</v>
      </c>
      <c r="Q8268">
        <v>-0.1036705</v>
      </c>
      <c r="R8268">
        <v>0.37526199999999998</v>
      </c>
      <c r="S8268">
        <v>3.0433349999999999</v>
      </c>
      <c r="T8268">
        <v>-0.26062249999999998</v>
      </c>
      <c r="U8268">
        <v>0.45899960000000001</v>
      </c>
      <c r="V8268">
        <v>0.1040513</v>
      </c>
      <c r="W8268">
        <v>-0.1061018</v>
      </c>
      <c r="X8268">
        <v>0.98889629999999995</v>
      </c>
      <c r="Y8268">
        <v>0.33818209999999999</v>
      </c>
      <c r="Z8268">
        <v>-5.2115160000000001E-2</v>
      </c>
      <c r="AA8268">
        <v>0.93963660000000004</v>
      </c>
      <c r="AB8268">
        <v>21</v>
      </c>
      <c r="AC8268">
        <v>12.919499999999999</v>
      </c>
      <c r="AD8268">
        <v>-1.1154421158209999</v>
      </c>
      <c r="AE8268">
        <v>1.9141999999999899</v>
      </c>
      <c r="AF8268">
        <v>4.4510968005552902</v>
      </c>
      <c r="AG8268">
        <v>-1.1154421158209999</v>
      </c>
      <c r="AH8268">
        <v>12.1780097206815</v>
      </c>
      <c r="AI8268">
        <v>94.916962995888795</v>
      </c>
      <c r="AJ8268">
        <v>69.922499818453403</v>
      </c>
      <c r="AK8268">
        <v>13.0138539487223</v>
      </c>
      <c r="AL8268">
        <v>96.090649195897001</v>
      </c>
      <c r="AM8268">
        <v>83.993460847352296</v>
      </c>
      <c r="AN8268">
        <v>1.0000000785743</v>
      </c>
    </row>
    <row r="8269" spans="1:40" x14ac:dyDescent="0.25">
      <c r="A8269" t="str">
        <f>"20190305135122895"</f>
        <v>20190305135122895</v>
      </c>
      <c r="B8269" t="str">
        <f>"1551765082887763"</f>
        <v>1551765082887763</v>
      </c>
      <c r="C8269" t="s">
        <v>40</v>
      </c>
      <c r="D8269">
        <v>4.4585980000000003</v>
      </c>
      <c r="E8269">
        <v>0.59115069999999903</v>
      </c>
      <c r="F8269" t="s">
        <v>42</v>
      </c>
      <c r="G8269">
        <v>-164.2843</v>
      </c>
      <c r="H8269" s="1">
        <v>-4.1023980000000003E-6</v>
      </c>
      <c r="I8269">
        <v>132.38800000000001</v>
      </c>
      <c r="J8269">
        <v>-177.0635</v>
      </c>
      <c r="K8269">
        <v>1.115774</v>
      </c>
      <c r="L8269">
        <v>130.53020000000001</v>
      </c>
      <c r="M8269">
        <v>0.88119349999999996</v>
      </c>
      <c r="N8269">
        <v>-3.8127679999999998E-3</v>
      </c>
      <c r="O8269">
        <v>0.47274040000000001</v>
      </c>
      <c r="P8269">
        <v>0.92239729999999998</v>
      </c>
      <c r="Q8269">
        <v>-0.10395649999999999</v>
      </c>
      <c r="R8269">
        <v>0.37198999999999999</v>
      </c>
      <c r="S8269">
        <v>3.043793</v>
      </c>
      <c r="T8269">
        <v>-0.26362940000000001</v>
      </c>
      <c r="U8269">
        <v>0.4504089</v>
      </c>
      <c r="V8269">
        <v>0.1025119</v>
      </c>
      <c r="W8269">
        <v>-0.1060605</v>
      </c>
      <c r="X8269">
        <v>0.98906139999999998</v>
      </c>
      <c r="Y8269">
        <v>0.335953</v>
      </c>
      <c r="Z8269">
        <v>-5.2244260000000001E-2</v>
      </c>
      <c r="AA8269">
        <v>0.94042870000000001</v>
      </c>
      <c r="AB8269">
        <v>21</v>
      </c>
      <c r="AC8269">
        <v>12.779199999999999</v>
      </c>
      <c r="AD8269">
        <v>-1.115778102398</v>
      </c>
      <c r="AE8269">
        <v>1.8577999999999899</v>
      </c>
      <c r="AF8269">
        <v>4.3715584722231604</v>
      </c>
      <c r="AG8269">
        <v>-1.115778102398</v>
      </c>
      <c r="AH8269">
        <v>12.049337602219699</v>
      </c>
      <c r="AI8269">
        <v>94.974989862928496</v>
      </c>
      <c r="AJ8269">
        <v>70.058981403312501</v>
      </c>
      <c r="AK8269">
        <v>12.866313415354099</v>
      </c>
      <c r="AL8269">
        <v>96.088270017549604</v>
      </c>
      <c r="AM8269">
        <v>84.082670816711101</v>
      </c>
      <c r="AN8269">
        <v>0.99999998613590901</v>
      </c>
    </row>
    <row r="8270" spans="1:40" x14ac:dyDescent="0.25">
      <c r="A8270" t="str">
        <f>"20190305135122916"</f>
        <v>20190305135122916</v>
      </c>
      <c r="B8270" t="str">
        <f>"1551765082908261"</f>
        <v>1551765082908261</v>
      </c>
      <c r="C8270" t="s">
        <v>40</v>
      </c>
      <c r="D8270">
        <v>4.4491040000000002</v>
      </c>
      <c r="E8270">
        <v>0.59087999999999996</v>
      </c>
      <c r="F8270" t="s">
        <v>42</v>
      </c>
      <c r="G8270">
        <v>-164.73429999999999</v>
      </c>
      <c r="H8270" s="1">
        <v>-3.9472269999999998E-6</v>
      </c>
      <c r="I8270">
        <v>132.32169999999999</v>
      </c>
      <c r="J8270">
        <v>-176.88669999999999</v>
      </c>
      <c r="K8270">
        <v>1.1163270000000001</v>
      </c>
      <c r="L8270">
        <v>130.61410000000001</v>
      </c>
      <c r="M8270">
        <v>0.8854976</v>
      </c>
      <c r="N8270">
        <v>-4.2160690000000002E-3</v>
      </c>
      <c r="O8270">
        <v>0.46462490000000001</v>
      </c>
      <c r="P8270">
        <v>0.92431350000000001</v>
      </c>
      <c r="Q8270">
        <v>-0.10500080000000001</v>
      </c>
      <c r="R8270">
        <v>0.36690509999999998</v>
      </c>
      <c r="S8270">
        <v>3.0430450000000002</v>
      </c>
      <c r="T8270">
        <v>-0.27539130000000001</v>
      </c>
      <c r="U8270">
        <v>0.44218439999999998</v>
      </c>
      <c r="V8270">
        <v>9.8842390000000002E-2</v>
      </c>
      <c r="W8270">
        <v>-0.1064476</v>
      </c>
      <c r="X8270">
        <v>0.98939330000000003</v>
      </c>
      <c r="Y8270">
        <v>0.32956079999999999</v>
      </c>
      <c r="Z8270">
        <v>-5.3615919999999997E-2</v>
      </c>
      <c r="AA8270">
        <v>0.94261070000000002</v>
      </c>
      <c r="AB8270">
        <v>21</v>
      </c>
      <c r="AC8270">
        <v>12.1524</v>
      </c>
      <c r="AD8270">
        <v>-1.116330947227</v>
      </c>
      <c r="AE8270">
        <v>1.70759999999998</v>
      </c>
      <c r="AF8270">
        <v>4.1003380419348998</v>
      </c>
      <c r="AG8270">
        <v>-1.116330947227</v>
      </c>
      <c r="AH8270">
        <v>11.4595881691919</v>
      </c>
      <c r="AI8270">
        <v>95.240508472119402</v>
      </c>
      <c r="AJ8270">
        <v>70.312358913309097</v>
      </c>
      <c r="AK8270">
        <v>12.222157250230399</v>
      </c>
      <c r="AL8270">
        <v>96.110575364273998</v>
      </c>
      <c r="AM8270">
        <v>84.294965130981097</v>
      </c>
      <c r="AN8270">
        <v>1.0000000058457801</v>
      </c>
    </row>
    <row r="8271" spans="1:40" x14ac:dyDescent="0.25">
      <c r="A8271" t="str">
        <f>"20190305135122928"</f>
        <v>20190305135122928</v>
      </c>
      <c r="B8271" t="str">
        <f>"1551765082918018"</f>
        <v>1551765082918018</v>
      </c>
      <c r="C8271" t="s">
        <v>40</v>
      </c>
      <c r="D8271">
        <v>4.4141830000000004</v>
      </c>
      <c r="E8271">
        <v>0.590423699999999</v>
      </c>
      <c r="F8271" t="s">
        <v>42</v>
      </c>
      <c r="G8271">
        <v>-164.8227</v>
      </c>
      <c r="H8271" s="1">
        <v>-3.9172499999999996E-6</v>
      </c>
      <c r="I8271">
        <v>132.30680000000001</v>
      </c>
      <c r="J8271">
        <v>-176.76499999999999</v>
      </c>
      <c r="K8271">
        <v>1.116671</v>
      </c>
      <c r="L8271">
        <v>130.67089999999999</v>
      </c>
      <c r="M8271">
        <v>0.88842759999999998</v>
      </c>
      <c r="N8271">
        <v>-4.5092659999999996E-3</v>
      </c>
      <c r="O8271">
        <v>0.45899459999999997</v>
      </c>
      <c r="P8271">
        <v>0.92590059999999996</v>
      </c>
      <c r="Q8271">
        <v>-0.106581</v>
      </c>
      <c r="R8271">
        <v>0.36242029999999997</v>
      </c>
      <c r="S8271">
        <v>3.044098</v>
      </c>
      <c r="T8271">
        <v>-0.28168339999999997</v>
      </c>
      <c r="U8271">
        <v>0.427124</v>
      </c>
      <c r="V8271">
        <v>9.7255960000000002E-2</v>
      </c>
      <c r="W8271">
        <v>-0.10760550000000001</v>
      </c>
      <c r="X8271">
        <v>0.9894252</v>
      </c>
      <c r="Y8271">
        <v>0.32808290000000001</v>
      </c>
      <c r="Z8271">
        <v>-5.4283820000000003E-2</v>
      </c>
      <c r="AA8271">
        <v>0.94308789999999998</v>
      </c>
      <c r="AB8271">
        <v>22</v>
      </c>
      <c r="AC8271">
        <v>11.9422999999999</v>
      </c>
      <c r="AD8271">
        <v>-1.1166749172499999</v>
      </c>
      <c r="AE8271">
        <v>1.6359000000000199</v>
      </c>
      <c r="AF8271">
        <v>3.99383718663058</v>
      </c>
      <c r="AG8271">
        <v>-1.1166749172499999</v>
      </c>
      <c r="AH8271">
        <v>11.264181232318601</v>
      </c>
      <c r="AI8271">
        <v>95.337977959664101</v>
      </c>
      <c r="AJ8271">
        <v>70.4774883275485</v>
      </c>
      <c r="AK8271">
        <v>12.0033110923048</v>
      </c>
      <c r="AL8271">
        <v>96.177301786221506</v>
      </c>
      <c r="AM8271">
        <v>84.3861216712192</v>
      </c>
      <c r="AN8271">
        <v>0.99999994589040397</v>
      </c>
    </row>
    <row r="8272" spans="1:40" x14ac:dyDescent="0.25">
      <c r="A8272" t="str">
        <f>"20190305135122941"</f>
        <v>20190305135122941</v>
      </c>
      <c r="B8272" t="str">
        <f>"1551765082937538"</f>
        <v>1551765082937538</v>
      </c>
      <c r="C8272" t="s">
        <v>40</v>
      </c>
      <c r="D8272">
        <v>4.42842</v>
      </c>
      <c r="E8272">
        <v>0.59007129999999997</v>
      </c>
      <c r="F8272" t="s">
        <v>42</v>
      </c>
      <c r="G8272">
        <v>-164.88319999999999</v>
      </c>
      <c r="H8272" s="1">
        <v>-3.897371E-6</v>
      </c>
      <c r="I8272">
        <v>132.29419999999999</v>
      </c>
      <c r="J8272">
        <v>-176.65119999999999</v>
      </c>
      <c r="K8272">
        <v>1.1169370000000001</v>
      </c>
      <c r="L8272">
        <v>130.72280000000001</v>
      </c>
      <c r="M8272">
        <v>0.89111569999999996</v>
      </c>
      <c r="N8272">
        <v>-4.8041120000000001E-3</v>
      </c>
      <c r="O8272">
        <v>0.45375080000000001</v>
      </c>
      <c r="P8272">
        <v>0.92708230000000003</v>
      </c>
      <c r="Q8272">
        <v>-0.1087897</v>
      </c>
      <c r="R8272">
        <v>0.3587245</v>
      </c>
      <c r="S8272">
        <v>3.0443570000000002</v>
      </c>
      <c r="T8272">
        <v>-0.28611579999999998</v>
      </c>
      <c r="U8272">
        <v>0.41592410000000002</v>
      </c>
      <c r="V8272">
        <v>9.5208879999999996E-2</v>
      </c>
      <c r="W8272">
        <v>-0.1093625</v>
      </c>
      <c r="X8272">
        <v>0.98943170000000003</v>
      </c>
      <c r="Y8272">
        <v>0.3258704</v>
      </c>
      <c r="Z8272">
        <v>-5.4566549999999998E-2</v>
      </c>
      <c r="AA8272">
        <v>0.94383839999999997</v>
      </c>
      <c r="AB8272">
        <v>22</v>
      </c>
      <c r="AC8272">
        <v>11.767999999999899</v>
      </c>
      <c r="AD8272">
        <v>-1.116940897371</v>
      </c>
      <c r="AE8272">
        <v>1.5713999999999799</v>
      </c>
      <c r="AF8272">
        <v>3.9049240854159</v>
      </c>
      <c r="AG8272">
        <v>-1.116940897371</v>
      </c>
      <c r="AH8272">
        <v>11.101545598713001</v>
      </c>
      <c r="AI8272">
        <v>95.421760348157406</v>
      </c>
      <c r="AJ8272">
        <v>70.620882041285995</v>
      </c>
      <c r="AK8272">
        <v>11.821180303226299</v>
      </c>
      <c r="AL8272">
        <v>96.278567878096297</v>
      </c>
      <c r="AM8272">
        <v>84.503589259565302</v>
      </c>
      <c r="AN8272">
        <v>0.99999998810099699</v>
      </c>
    </row>
    <row r="8273" spans="1:40" x14ac:dyDescent="0.25">
      <c r="A8273" t="str">
        <f>"20190305135122959"</f>
        <v>20190305135122959</v>
      </c>
      <c r="B8273" t="str">
        <f>"1551765082948274"</f>
        <v>1551765082948274</v>
      </c>
      <c r="C8273" t="s">
        <v>40</v>
      </c>
      <c r="D8273">
        <v>4.4136319999999998</v>
      </c>
      <c r="E8273">
        <v>0.59010149999999995</v>
      </c>
      <c r="F8273" t="s">
        <v>42</v>
      </c>
      <c r="G8273">
        <v>-164.63</v>
      </c>
      <c r="H8273" s="1">
        <v>-3.9840929999999997E-6</v>
      </c>
      <c r="I8273">
        <v>132.3338</v>
      </c>
      <c r="J8273">
        <v>-176.48259999999999</v>
      </c>
      <c r="K8273">
        <v>1.117291</v>
      </c>
      <c r="L8273">
        <v>130.7987</v>
      </c>
      <c r="M8273">
        <v>0.89499530000000005</v>
      </c>
      <c r="N8273">
        <v>-5.255053E-3</v>
      </c>
      <c r="O8273">
        <v>0.44604450000000001</v>
      </c>
      <c r="P8273">
        <v>0.92841879999999999</v>
      </c>
      <c r="Q8273">
        <v>-0.1129831</v>
      </c>
      <c r="R8273">
        <v>0.35393989999999997</v>
      </c>
      <c r="S8273">
        <v>3.0448759999999999</v>
      </c>
      <c r="T8273">
        <v>-0.282912</v>
      </c>
      <c r="U8273">
        <v>0.40803529999999999</v>
      </c>
      <c r="V8273">
        <v>9.1445319999999997E-2</v>
      </c>
      <c r="W8273">
        <v>-0.112832</v>
      </c>
      <c r="X8273">
        <v>0.98939719999999998</v>
      </c>
      <c r="Y8273">
        <v>0.3202663</v>
      </c>
      <c r="Z8273">
        <v>-5.2946170000000001E-2</v>
      </c>
      <c r="AA8273">
        <v>0.94584679999999999</v>
      </c>
      <c r="AB8273">
        <v>22</v>
      </c>
      <c r="AC8273">
        <v>11.852599999999899</v>
      </c>
      <c r="AD8273">
        <v>-1.117294984093</v>
      </c>
      <c r="AE8273">
        <v>1.5350999999999999</v>
      </c>
      <c r="AF8273">
        <v>3.8790333845089702</v>
      </c>
      <c r="AG8273">
        <v>-1.117294984093</v>
      </c>
      <c r="AH8273">
        <v>11.1950620791226</v>
      </c>
      <c r="AI8273">
        <v>95.387175479931699</v>
      </c>
      <c r="AJ8273">
        <v>70.889053088612798</v>
      </c>
      <c r="AK8273">
        <v>11.900616077961001</v>
      </c>
      <c r="AL8273">
        <v>96.478593457912794</v>
      </c>
      <c r="AM8273">
        <v>84.719423369384899</v>
      </c>
      <c r="AN8273">
        <v>1.0000000630708601</v>
      </c>
    </row>
    <row r="8274" spans="1:40" x14ac:dyDescent="0.25">
      <c r="A8274" t="str">
        <f>"20190305135122976"</f>
        <v>20190305135122976</v>
      </c>
      <c r="B8274" t="str">
        <f>"1551765082967794"</f>
        <v>1551765082967794</v>
      </c>
      <c r="C8274" t="s">
        <v>40</v>
      </c>
      <c r="D8274">
        <v>4.4131499999999999</v>
      </c>
      <c r="E8274">
        <v>0.58987650000000003</v>
      </c>
      <c r="F8274" t="s">
        <v>42</v>
      </c>
      <c r="G8274">
        <v>-164.75880000000001</v>
      </c>
      <c r="H8274" s="1">
        <v>-3.9405629999999996E-6</v>
      </c>
      <c r="I8274">
        <v>132.3115</v>
      </c>
      <c r="J8274">
        <v>-176.32650000000001</v>
      </c>
      <c r="K8274">
        <v>1.1175679999999999</v>
      </c>
      <c r="L8274">
        <v>130.86750000000001</v>
      </c>
      <c r="M8274">
        <v>0.89845399999999997</v>
      </c>
      <c r="N8274">
        <v>-5.6845430000000002E-3</v>
      </c>
      <c r="O8274">
        <v>0.439031</v>
      </c>
      <c r="P8274">
        <v>0.93053669999999999</v>
      </c>
      <c r="Q8274">
        <v>-0.1139476</v>
      </c>
      <c r="R8274">
        <v>0.34801949999999998</v>
      </c>
      <c r="S8274">
        <v>3.0461119999999999</v>
      </c>
      <c r="T8274">
        <v>-0.29029850000000001</v>
      </c>
      <c r="U8274">
        <v>0.39305109999999999</v>
      </c>
      <c r="V8274">
        <v>9.0026560000000005E-2</v>
      </c>
      <c r="W8274">
        <v>-0.1132161</v>
      </c>
      <c r="X8274">
        <v>0.98948340000000001</v>
      </c>
      <c r="Y8274">
        <v>0.31737330000000002</v>
      </c>
      <c r="Z8274">
        <v>-5.3543529999999999E-2</v>
      </c>
      <c r="AA8274">
        <v>0.94678779999999996</v>
      </c>
      <c r="AB8274">
        <v>22</v>
      </c>
      <c r="AC8274">
        <v>11.5677</v>
      </c>
      <c r="AD8274">
        <v>-1.117571940563</v>
      </c>
      <c r="AE8274">
        <v>1.44399999999998</v>
      </c>
      <c r="AF8274">
        <v>3.7468366800533799</v>
      </c>
      <c r="AG8274">
        <v>-1.117571940563</v>
      </c>
      <c r="AH8274">
        <v>10.9267615974547</v>
      </c>
      <c r="AI8274">
        <v>95.526078888262504</v>
      </c>
      <c r="AJ8274">
        <v>71.072923169280898</v>
      </c>
      <c r="AK8274">
        <v>11.6052518782204</v>
      </c>
      <c r="AL8274">
        <v>96.500742889632406</v>
      </c>
      <c r="AM8274">
        <v>84.8013486499284</v>
      </c>
      <c r="AN8274">
        <v>1.0000000328401</v>
      </c>
    </row>
    <row r="8275" spans="1:40" x14ac:dyDescent="0.25">
      <c r="A8275" t="str">
        <f>"20190305135122989"</f>
        <v>20190305135122989</v>
      </c>
      <c r="B8275" t="str">
        <f>"1551765082977554"</f>
        <v>1551765082977554</v>
      </c>
      <c r="C8275" t="s">
        <v>40</v>
      </c>
      <c r="D8275">
        <v>4.4127109999999998</v>
      </c>
      <c r="E8275">
        <v>0.58987650000000003</v>
      </c>
      <c r="F8275" t="s">
        <v>42</v>
      </c>
      <c r="G8275">
        <v>-164.2938</v>
      </c>
      <c r="H8275" s="1">
        <v>-4.1073959999999997E-6</v>
      </c>
      <c r="I8275">
        <v>132.35560000000001</v>
      </c>
      <c r="J8275">
        <v>-176.202</v>
      </c>
      <c r="K8275">
        <v>1.117758</v>
      </c>
      <c r="L8275">
        <v>130.92169999999999</v>
      </c>
      <c r="M8275">
        <v>0.90112969999999903</v>
      </c>
      <c r="N8275">
        <v>-6.0326809999999998E-3</v>
      </c>
      <c r="O8275">
        <v>0.4335078</v>
      </c>
      <c r="P8275">
        <v>0.93219129999999994</v>
      </c>
      <c r="Q8275">
        <v>-0.1134348</v>
      </c>
      <c r="R8275">
        <v>0.3437325</v>
      </c>
      <c r="S8275">
        <v>3.0483090000000002</v>
      </c>
      <c r="T8275">
        <v>-0.28311910000000001</v>
      </c>
      <c r="U8275">
        <v>0.37696839999999998</v>
      </c>
      <c r="V8275">
        <v>8.8662889999999994E-2</v>
      </c>
      <c r="W8275">
        <v>-0.11221780000000001</v>
      </c>
      <c r="X8275">
        <v>0.98972020000000005</v>
      </c>
      <c r="Y8275">
        <v>0.31674400000000003</v>
      </c>
      <c r="Z8275">
        <v>-5.1618240000000003E-2</v>
      </c>
      <c r="AA8275">
        <v>0.94710550000000004</v>
      </c>
      <c r="AB8275">
        <v>22</v>
      </c>
      <c r="AC8275">
        <v>11.9081999999999</v>
      </c>
      <c r="AD8275">
        <v>-1.117762107396</v>
      </c>
      <c r="AE8275">
        <v>1.4339000000000199</v>
      </c>
      <c r="AF8275">
        <v>3.8369154007427002</v>
      </c>
      <c r="AG8275">
        <v>-1.117762107396</v>
      </c>
      <c r="AH8275">
        <v>11.254899879553699</v>
      </c>
      <c r="AI8275">
        <v>95.3700850467782</v>
      </c>
      <c r="AJ8275">
        <v>71.175209191121994</v>
      </c>
      <c r="AK8275">
        <v>11.9433698435561</v>
      </c>
      <c r="AL8275">
        <v>96.443177814590598</v>
      </c>
      <c r="AM8275">
        <v>84.880891589085394</v>
      </c>
      <c r="AN8275">
        <v>1.0000000084940099</v>
      </c>
    </row>
    <row r="8276" spans="1:40" x14ac:dyDescent="0.25">
      <c r="A8276" t="str">
        <f>"20190305135123002"</f>
        <v>20190305135123002</v>
      </c>
      <c r="B8276" t="str">
        <f>"1551765082998051"</f>
        <v>1551765082998051</v>
      </c>
      <c r="C8276" t="s">
        <v>40</v>
      </c>
      <c r="D8276">
        <v>4.4236069999999996</v>
      </c>
      <c r="E8276">
        <v>0.5886768</v>
      </c>
      <c r="F8276" t="s">
        <v>42</v>
      </c>
      <c r="G8276">
        <v>-164.1095</v>
      </c>
      <c r="H8276" s="1">
        <v>-4.1769230000000002E-6</v>
      </c>
      <c r="I8276">
        <v>132.36019999999999</v>
      </c>
      <c r="J8276">
        <v>-176.07839999999999</v>
      </c>
      <c r="K8276">
        <v>1.1178980000000001</v>
      </c>
      <c r="L8276">
        <v>130.9742</v>
      </c>
      <c r="M8276">
        <v>0.9036632</v>
      </c>
      <c r="N8276">
        <v>-6.3804309999999998E-3</v>
      </c>
      <c r="O8276">
        <v>0.42819639999999998</v>
      </c>
      <c r="P8276">
        <v>0.93383229999999995</v>
      </c>
      <c r="Q8276">
        <v>-0.1127857</v>
      </c>
      <c r="R8276">
        <v>0.33946569999999998</v>
      </c>
      <c r="S8276">
        <v>3.050125</v>
      </c>
      <c r="T8276">
        <v>-0.28193839999999998</v>
      </c>
      <c r="U8276">
        <v>0.36282350000000002</v>
      </c>
      <c r="V8276">
        <v>8.7537970000000007E-2</v>
      </c>
      <c r="W8276">
        <v>-0.1110918</v>
      </c>
      <c r="X8276">
        <v>0.98994729999999997</v>
      </c>
      <c r="Y8276">
        <v>0.31561800000000001</v>
      </c>
      <c r="Z8276">
        <v>-5.0829810000000003E-2</v>
      </c>
      <c r="AA8276">
        <v>0.94752400000000003</v>
      </c>
      <c r="AB8276">
        <v>22</v>
      </c>
      <c r="AC8276">
        <v>11.9688999999999</v>
      </c>
      <c r="AD8276">
        <v>-1.117902176923</v>
      </c>
      <c r="AE8276">
        <v>1.3859999999999899</v>
      </c>
      <c r="AF8276">
        <v>3.8395893509618801</v>
      </c>
      <c r="AG8276">
        <v>-1.117902176923</v>
      </c>
      <c r="AH8276">
        <v>11.3121886946534</v>
      </c>
      <c r="AI8276">
        <v>95.346126765738802</v>
      </c>
      <c r="AJ8276">
        <v>71.251731644104893</v>
      </c>
      <c r="AK8276">
        <v>11.998240067803</v>
      </c>
      <c r="AL8276">
        <v>96.378257059633398</v>
      </c>
      <c r="AM8276">
        <v>84.946655767329304</v>
      </c>
      <c r="AN8276">
        <v>0.99999997049812495</v>
      </c>
    </row>
    <row r="8277" spans="1:40" x14ac:dyDescent="0.25">
      <c r="A8277" t="str">
        <f>"20190305135123015"</f>
        <v>20190305135123015</v>
      </c>
      <c r="B8277" t="str">
        <f>"1551765083007810"</f>
        <v>1551765083007810</v>
      </c>
      <c r="C8277" t="s">
        <v>40</v>
      </c>
      <c r="D8277">
        <v>4.4167699999999996</v>
      </c>
      <c r="E8277">
        <v>0.58840599999999998</v>
      </c>
      <c r="F8277" t="s">
        <v>42</v>
      </c>
      <c r="G8277">
        <v>-157.90690000000001</v>
      </c>
      <c r="H8277" s="1">
        <v>-2.409415E-6</v>
      </c>
      <c r="I8277">
        <v>133.18539999999999</v>
      </c>
      <c r="J8277">
        <v>-175.95920000000001</v>
      </c>
      <c r="K8277">
        <v>1.1180129999999999</v>
      </c>
      <c r="L8277">
        <v>131.02430000000001</v>
      </c>
      <c r="M8277">
        <v>0.90603500000000003</v>
      </c>
      <c r="N8277">
        <v>-6.718908E-3</v>
      </c>
      <c r="O8277">
        <v>0.42314950000000001</v>
      </c>
      <c r="P8277">
        <v>0.93473050000000002</v>
      </c>
      <c r="Q8277">
        <v>-0.1135062</v>
      </c>
      <c r="R8277">
        <v>0.33674219999999999</v>
      </c>
      <c r="S8277">
        <v>3.0547490000000002</v>
      </c>
      <c r="T8277">
        <v>-0.18792629999999999</v>
      </c>
      <c r="U8277">
        <v>0.37171939999999998</v>
      </c>
      <c r="V8277">
        <v>8.4938639999999996E-2</v>
      </c>
      <c r="W8277">
        <v>-0.11127280000000001</v>
      </c>
      <c r="X8277">
        <v>0.99015339999999996</v>
      </c>
      <c r="Y8277">
        <v>0.30940659999999998</v>
      </c>
      <c r="Z8277">
        <v>-3.2708639999999997E-2</v>
      </c>
      <c r="AA8277">
        <v>0.95036719999999997</v>
      </c>
      <c r="AB8277">
        <v>22</v>
      </c>
      <c r="AC8277">
        <v>18.052299999999999</v>
      </c>
      <c r="AD8277">
        <v>-1.1180154094150001</v>
      </c>
      <c r="AE8277">
        <v>2.16109999999997</v>
      </c>
      <c r="AF8277">
        <v>5.6595167270435001</v>
      </c>
      <c r="AG8277">
        <v>-1.1180154094150001</v>
      </c>
      <c r="AH8277">
        <v>17.205811534618601</v>
      </c>
      <c r="AI8277">
        <v>93.532128206759594</v>
      </c>
      <c r="AJ8277">
        <v>71.792386043342603</v>
      </c>
      <c r="AK8277">
        <v>18.1471771524992</v>
      </c>
      <c r="AL8277">
        <v>96.388692220047801</v>
      </c>
      <c r="AM8277">
        <v>85.0969813864439</v>
      </c>
      <c r="AN8277">
        <v>0.99999998205822405</v>
      </c>
    </row>
    <row r="8278" spans="1:40" x14ac:dyDescent="0.25">
      <c r="A8278" t="str">
        <f>"20190305135123031"</f>
        <v>20190305135123031</v>
      </c>
      <c r="B8278" t="str">
        <f>"1551765083028306"</f>
        <v>1551765083028306</v>
      </c>
      <c r="C8278" t="s">
        <v>40</v>
      </c>
      <c r="D8278">
        <v>4.4069760000000002</v>
      </c>
      <c r="E8278">
        <v>0.58758559999999904</v>
      </c>
      <c r="F8278" t="s">
        <v>42</v>
      </c>
      <c r="G8278">
        <v>-158.37219999999999</v>
      </c>
      <c r="H8278" s="1">
        <v>-2.268173E-6</v>
      </c>
      <c r="I8278">
        <v>133.12110000000001</v>
      </c>
      <c r="J8278">
        <v>-175.81129999999999</v>
      </c>
      <c r="K8278">
        <v>1.1181460000000001</v>
      </c>
      <c r="L8278">
        <v>131.0856</v>
      </c>
      <c r="M8278">
        <v>0.90886469999999997</v>
      </c>
      <c r="N8278">
        <v>-7.1426459999999999E-3</v>
      </c>
      <c r="O8278">
        <v>0.41703000000000001</v>
      </c>
      <c r="P8278">
        <v>0.93638929999999998</v>
      </c>
      <c r="Q8278">
        <v>-0.115688899999999</v>
      </c>
      <c r="R8278">
        <v>0.33134829999999998</v>
      </c>
      <c r="S8278">
        <v>3.0547029999999999</v>
      </c>
      <c r="T8278">
        <v>-0.19418949999999999</v>
      </c>
      <c r="U8278">
        <v>0.36419679999999999</v>
      </c>
      <c r="V8278">
        <v>8.3889809999999995E-2</v>
      </c>
      <c r="W8278">
        <v>-0.1128932</v>
      </c>
      <c r="X8278">
        <v>0.99005940000000003</v>
      </c>
      <c r="Y8278">
        <v>0.30523689999999998</v>
      </c>
      <c r="Z8278">
        <v>-3.329799E-2</v>
      </c>
      <c r="AA8278">
        <v>0.95169409999999999</v>
      </c>
      <c r="AB8278">
        <v>23</v>
      </c>
      <c r="AC8278">
        <v>17.4390999999999</v>
      </c>
      <c r="AD8278">
        <v>-1.1181482681729999</v>
      </c>
      <c r="AE8278">
        <v>2.0355000000000101</v>
      </c>
      <c r="AF8278">
        <v>5.4008671805764497</v>
      </c>
      <c r="AG8278">
        <v>-1.1181482681729999</v>
      </c>
      <c r="AH8278">
        <v>16.631618143698802</v>
      </c>
      <c r="AI8278">
        <v>93.658698035590007</v>
      </c>
      <c r="AJ8278">
        <v>72.009576480579796</v>
      </c>
      <c r="AK8278">
        <v>17.522281356309101</v>
      </c>
      <c r="AL8278">
        <v>96.482122949867104</v>
      </c>
      <c r="AM8278">
        <v>85.156776979468503</v>
      </c>
      <c r="AN8278">
        <v>0.99999999517821803</v>
      </c>
    </row>
    <row r="8279" spans="1:40" x14ac:dyDescent="0.25">
      <c r="A8279" t="str">
        <f>"20190305135123042"</f>
        <v>20190305135123042</v>
      </c>
      <c r="B8279" t="str">
        <f>"1551765083038066"</f>
        <v>1551765083038066</v>
      </c>
      <c r="C8279" t="s">
        <v>40</v>
      </c>
      <c r="D8279">
        <v>4.3955469999999996</v>
      </c>
      <c r="E8279">
        <v>0.58749370000000001</v>
      </c>
      <c r="F8279" t="s">
        <v>42</v>
      </c>
      <c r="G8279">
        <v>-158.27520000000001</v>
      </c>
      <c r="H8279" s="1">
        <v>-2.3026799999999999E-6</v>
      </c>
      <c r="I8279">
        <v>133.1155</v>
      </c>
      <c r="J8279">
        <v>-175.6867</v>
      </c>
      <c r="K8279">
        <v>1.118242</v>
      </c>
      <c r="L8279">
        <v>131.1362</v>
      </c>
      <c r="M8279">
        <v>0.91112059999999995</v>
      </c>
      <c r="N8279">
        <v>-7.5019780000000003E-3</v>
      </c>
      <c r="O8279">
        <v>0.41207169999999999</v>
      </c>
      <c r="P8279">
        <v>0.93750909999999998</v>
      </c>
      <c r="Q8279">
        <v>-0.1181191</v>
      </c>
      <c r="R8279">
        <v>0.32729910000000001</v>
      </c>
      <c r="S8279">
        <v>3.0546259999999998</v>
      </c>
      <c r="T8279">
        <v>-0.19477079999999999</v>
      </c>
      <c r="U8279">
        <v>0.35359190000000001</v>
      </c>
      <c r="V8279">
        <v>8.2659440000000001E-2</v>
      </c>
      <c r="W8279">
        <v>-0.1148264</v>
      </c>
      <c r="X8279">
        <v>0.98994059999999995</v>
      </c>
      <c r="Y8279">
        <v>0.30331340000000001</v>
      </c>
      <c r="Z8279">
        <v>-3.3001610000000001E-2</v>
      </c>
      <c r="AA8279">
        <v>0.95231920000000003</v>
      </c>
      <c r="AB8279">
        <v>23</v>
      </c>
      <c r="AC8279">
        <v>17.411499999999901</v>
      </c>
      <c r="AD8279">
        <v>-1.11824430268</v>
      </c>
      <c r="AE8279">
        <v>1.9792999999999901</v>
      </c>
      <c r="AF8279">
        <v>5.34977113399807</v>
      </c>
      <c r="AG8279">
        <v>-1.11824430268</v>
      </c>
      <c r="AH8279">
        <v>16.612409901390599</v>
      </c>
      <c r="AI8279">
        <v>93.666119914522397</v>
      </c>
      <c r="AJ8279">
        <v>72.1496441576612</v>
      </c>
      <c r="AK8279">
        <v>17.488358534706901</v>
      </c>
      <c r="AL8279">
        <v>96.593611917514593</v>
      </c>
      <c r="AM8279">
        <v>85.226909492897406</v>
      </c>
      <c r="AN8279">
        <v>1.0000000383432099</v>
      </c>
    </row>
    <row r="8280" spans="1:40" x14ac:dyDescent="0.25">
      <c r="A8280" t="str">
        <f>"20190305135123054"</f>
        <v>20190305135123054</v>
      </c>
      <c r="B8280" t="str">
        <f>"1551765083047826"</f>
        <v>1551765083047826</v>
      </c>
      <c r="C8280" t="s">
        <v>40</v>
      </c>
      <c r="D8280">
        <v>4.3564470000000002</v>
      </c>
      <c r="E8280">
        <v>0.58738769999999996</v>
      </c>
      <c r="F8280" t="s">
        <v>42</v>
      </c>
      <c r="G8280">
        <v>-158.68610000000001</v>
      </c>
      <c r="H8280" s="1">
        <v>-2.1842589999999999E-6</v>
      </c>
      <c r="I8280">
        <v>133.035</v>
      </c>
      <c r="J8280">
        <v>-175.57929999999999</v>
      </c>
      <c r="K8280">
        <v>1.1183149999999999</v>
      </c>
      <c r="L8280">
        <v>131.17939999999999</v>
      </c>
      <c r="M8280">
        <v>0.91300329999999996</v>
      </c>
      <c r="N8280">
        <v>-7.8142149999999994E-3</v>
      </c>
      <c r="O8280">
        <v>0.4078775</v>
      </c>
      <c r="P8280">
        <v>0.9383629</v>
      </c>
      <c r="Q8280">
        <v>-0.12019539999999999</v>
      </c>
      <c r="R8280">
        <v>0.32408090000000001</v>
      </c>
      <c r="S8280">
        <v>3.0555110000000001</v>
      </c>
      <c r="T8280">
        <v>-0.20098160000000001</v>
      </c>
      <c r="U8280">
        <v>0.34127809999999997</v>
      </c>
      <c r="V8280">
        <v>8.1412230000000002E-2</v>
      </c>
      <c r="W8280">
        <v>-0.1164627</v>
      </c>
      <c r="X8280">
        <v>0.98985279999999998</v>
      </c>
      <c r="Y8280">
        <v>0.30268030000000001</v>
      </c>
      <c r="Z8280">
        <v>-3.3795749999999999E-2</v>
      </c>
      <c r="AA8280">
        <v>0.95249280000000003</v>
      </c>
      <c r="AB8280">
        <v>23</v>
      </c>
      <c r="AC8280">
        <v>16.893199999999901</v>
      </c>
      <c r="AD8280">
        <v>-1.1183171842589901</v>
      </c>
      <c r="AE8280">
        <v>1.8555999999999999</v>
      </c>
      <c r="AF8280">
        <v>5.1739418750070598</v>
      </c>
      <c r="AG8280">
        <v>-1.1183171842589901</v>
      </c>
      <c r="AH8280">
        <v>16.111134945159399</v>
      </c>
      <c r="AI8280">
        <v>93.781087990703696</v>
      </c>
      <c r="AJ8280">
        <v>72.196059324948195</v>
      </c>
      <c r="AK8280">
        <v>16.958448545539099</v>
      </c>
      <c r="AL8280">
        <v>96.687998276739094</v>
      </c>
      <c r="AM8280">
        <v>85.298188011064099</v>
      </c>
      <c r="AN8280">
        <v>1.0000000386763499</v>
      </c>
    </row>
    <row r="8281" spans="1:40" x14ac:dyDescent="0.25">
      <c r="A8281" t="str">
        <f>"20190305135123067"</f>
        <v>20190305135123067</v>
      </c>
      <c r="B8281" t="str">
        <f>"1551765083057587"</f>
        <v>1551765083057587</v>
      </c>
      <c r="C8281" t="s">
        <v>40</v>
      </c>
      <c r="D8281">
        <v>4.4359929999999999</v>
      </c>
      <c r="E8281">
        <v>0.58727079999999998</v>
      </c>
      <c r="F8281" t="s">
        <v>42</v>
      </c>
      <c r="G8281">
        <v>-158.9229</v>
      </c>
      <c r="H8281" s="1">
        <v>-2.116249E-6</v>
      </c>
      <c r="I8281">
        <v>132.98779999999999</v>
      </c>
      <c r="J8281">
        <v>-175.45320000000001</v>
      </c>
      <c r="K8281">
        <v>1.1183890000000001</v>
      </c>
      <c r="L8281">
        <v>131.2296</v>
      </c>
      <c r="M8281">
        <v>0.91513529999999998</v>
      </c>
      <c r="N8281">
        <v>-8.1843719999999901E-3</v>
      </c>
      <c r="O8281">
        <v>0.40306370000000002</v>
      </c>
      <c r="P8281">
        <v>0.9395078</v>
      </c>
      <c r="Q8281">
        <v>-0.12157</v>
      </c>
      <c r="R8281">
        <v>0.32022810000000002</v>
      </c>
      <c r="S8281">
        <v>3.0561829999999999</v>
      </c>
      <c r="T8281">
        <v>-0.20519190000000001</v>
      </c>
      <c r="U8281">
        <v>0.33181759999999999</v>
      </c>
      <c r="V8281">
        <v>8.0266530000000003E-2</v>
      </c>
      <c r="W8281">
        <v>-0.1173294</v>
      </c>
      <c r="X8281">
        <v>0.98984399999999995</v>
      </c>
      <c r="Y8281">
        <v>0.30055759999999998</v>
      </c>
      <c r="Z8281">
        <v>-3.4116859999999999E-2</v>
      </c>
      <c r="AA8281">
        <v>0.95315329999999998</v>
      </c>
      <c r="AB8281">
        <v>23</v>
      </c>
      <c r="AC8281">
        <v>16.5303</v>
      </c>
      <c r="AD8281">
        <v>-1.1183911162489999</v>
      </c>
      <c r="AE8281">
        <v>1.75819999999998</v>
      </c>
      <c r="AF8281">
        <v>5.0311699676148898</v>
      </c>
      <c r="AG8281">
        <v>-1.1183911162489999</v>
      </c>
      <c r="AH8281">
        <v>15.765300477312399</v>
      </c>
      <c r="AI8281">
        <v>93.866288338664802</v>
      </c>
      <c r="AJ8281">
        <v>72.300591101369207</v>
      </c>
      <c r="AK8281">
        <v>16.586385051357102</v>
      </c>
      <c r="AL8281">
        <v>96.737999426376703</v>
      </c>
      <c r="AM8281">
        <v>85.364024291861696</v>
      </c>
      <c r="AN8281">
        <v>1.0000000241392999</v>
      </c>
    </row>
    <row r="8282" spans="1:40" x14ac:dyDescent="0.25">
      <c r="A8282" t="str">
        <f>"20190305135123080"</f>
        <v>20190305135123080</v>
      </c>
      <c r="B8282" t="str">
        <f>"1551765083068323"</f>
        <v>1551765083068323</v>
      </c>
      <c r="C8282" t="s">
        <v>40</v>
      </c>
      <c r="D8282">
        <v>4.3741240000000001</v>
      </c>
      <c r="E8282">
        <v>0.58721499999999904</v>
      </c>
      <c r="F8282" t="s">
        <v>42</v>
      </c>
      <c r="G8282">
        <v>-159.1994</v>
      </c>
      <c r="H8282" s="1">
        <v>-2.0374249999999998E-6</v>
      </c>
      <c r="I8282">
        <v>132.93029999999999</v>
      </c>
      <c r="J8282">
        <v>-175.33320000000001</v>
      </c>
      <c r="K8282">
        <v>1.11846</v>
      </c>
      <c r="L8282">
        <v>131.2766</v>
      </c>
      <c r="M8282">
        <v>0.91705320000000001</v>
      </c>
      <c r="N8282">
        <v>-8.5370600000000008E-3</v>
      </c>
      <c r="O8282">
        <v>0.39867340000000001</v>
      </c>
      <c r="P8282">
        <v>0.94059179999999998</v>
      </c>
      <c r="Q8282">
        <v>-0.1228482</v>
      </c>
      <c r="R8282">
        <v>0.3165367</v>
      </c>
      <c r="S8282">
        <v>3.0569310000000001</v>
      </c>
      <c r="T8282">
        <v>-0.2103418</v>
      </c>
      <c r="U8282">
        <v>0.31986999999999999</v>
      </c>
      <c r="V8282">
        <v>7.9426510000000006E-2</v>
      </c>
      <c r="W8282">
        <v>-0.1181325</v>
      </c>
      <c r="X8282">
        <v>0.98981620000000003</v>
      </c>
      <c r="Y8282">
        <v>0.29963849999999997</v>
      </c>
      <c r="Z8282">
        <v>-3.4664390000000003E-2</v>
      </c>
      <c r="AA8282">
        <v>0.95342280000000001</v>
      </c>
      <c r="AB8282">
        <v>23</v>
      </c>
      <c r="AC8282">
        <v>16.133800000000001</v>
      </c>
      <c r="AD8282">
        <v>-1.1184620374250001</v>
      </c>
      <c r="AE8282">
        <v>1.65369999999998</v>
      </c>
      <c r="AF8282">
        <v>4.8924972315591297</v>
      </c>
      <c r="AG8282">
        <v>-1.1184620374250001</v>
      </c>
      <c r="AH8282">
        <v>15.3822468444484</v>
      </c>
      <c r="AI8282">
        <v>93.963735778169195</v>
      </c>
      <c r="AJ8282">
        <v>72.356147036489901</v>
      </c>
      <c r="AK8282">
        <v>16.1802658962552</v>
      </c>
      <c r="AL8282">
        <v>96.784336186997507</v>
      </c>
      <c r="AM8282">
        <v>85.412205064482805</v>
      </c>
      <c r="AN8282">
        <v>0.99999998391473499</v>
      </c>
    </row>
    <row r="8283" spans="1:40" x14ac:dyDescent="0.25">
      <c r="A8283" t="str">
        <f>"20190305135123092"</f>
        <v>20190305135123092</v>
      </c>
      <c r="B8283" t="str">
        <f>"1551765083087842"</f>
        <v>1551765083087842</v>
      </c>
      <c r="C8283" t="s">
        <v>40</v>
      </c>
      <c r="D8283">
        <v>4.3401500000000004</v>
      </c>
      <c r="E8283">
        <v>0.5871459</v>
      </c>
      <c r="F8283" t="s">
        <v>42</v>
      </c>
      <c r="G8283">
        <v>-159.1857</v>
      </c>
      <c r="H8283" s="1">
        <v>-2.0486320000000002E-6</v>
      </c>
      <c r="I8283">
        <v>132.9058</v>
      </c>
      <c r="J8283">
        <v>-175.20750000000001</v>
      </c>
      <c r="K8283">
        <v>1.11852</v>
      </c>
      <c r="L8283">
        <v>131.3254</v>
      </c>
      <c r="M8283">
        <v>0.91896100000000003</v>
      </c>
      <c r="N8283">
        <v>-8.8782050000000001E-3</v>
      </c>
      <c r="O8283">
        <v>0.3942484</v>
      </c>
      <c r="P8283">
        <v>0.94147990000000004</v>
      </c>
      <c r="Q8283">
        <v>-0.1242216</v>
      </c>
      <c r="R8283">
        <v>0.31334410000000001</v>
      </c>
      <c r="S8283">
        <v>3.0579679999999998</v>
      </c>
      <c r="T8283">
        <v>-0.21181079999999999</v>
      </c>
      <c r="U8283">
        <v>0.30854799999999999</v>
      </c>
      <c r="V8283">
        <v>7.8030989999999995E-2</v>
      </c>
      <c r="W8283">
        <v>-0.1190138</v>
      </c>
      <c r="X8283">
        <v>0.98982159999999997</v>
      </c>
      <c r="Y8283">
        <v>0.2985623</v>
      </c>
      <c r="Z8283">
        <v>-3.4551270000000002E-2</v>
      </c>
      <c r="AA8283">
        <v>0.95376450000000002</v>
      </c>
      <c r="AB8283">
        <v>23</v>
      </c>
      <c r="AC8283">
        <v>16.021799999999999</v>
      </c>
      <c r="AD8283">
        <v>-1.118522048632</v>
      </c>
      <c r="AE8283">
        <v>1.58039999999999</v>
      </c>
      <c r="AF8283">
        <v>4.8410679358849196</v>
      </c>
      <c r="AG8283">
        <v>-1.118522048632</v>
      </c>
      <c r="AH8283">
        <v>15.2733630215302</v>
      </c>
      <c r="AI8283">
        <v>93.993378187513102</v>
      </c>
      <c r="AJ8283">
        <v>72.413389797049106</v>
      </c>
      <c r="AK8283">
        <v>16.061215655129399</v>
      </c>
      <c r="AL8283">
        <v>96.835189880283593</v>
      </c>
      <c r="AM8283">
        <v>85.492501760048398</v>
      </c>
      <c r="AN8283">
        <v>0.99999995990868895</v>
      </c>
    </row>
    <row r="8284" spans="1:40" x14ac:dyDescent="0.25">
      <c r="A8284" t="str">
        <f>"20190305135123104"</f>
        <v>20190305135123104</v>
      </c>
      <c r="B8284" t="str">
        <f>"1551765083097602"</f>
        <v>1551765083097602</v>
      </c>
      <c r="C8284" t="s">
        <v>40</v>
      </c>
      <c r="D8284">
        <v>4.3734289999999998</v>
      </c>
      <c r="E8284">
        <v>0.5871459</v>
      </c>
      <c r="F8284" t="s">
        <v>42</v>
      </c>
      <c r="G8284">
        <v>-158.92339999999999</v>
      </c>
      <c r="H8284" s="1">
        <v>-2.1344569999999999E-6</v>
      </c>
      <c r="I8284">
        <v>132.9187</v>
      </c>
      <c r="J8284">
        <v>-175.078</v>
      </c>
      <c r="K8284">
        <v>1.118527</v>
      </c>
      <c r="L8284">
        <v>131.375</v>
      </c>
      <c r="M8284">
        <v>0.92067290000000002</v>
      </c>
      <c r="N8284">
        <v>-9.1006609999999995E-3</v>
      </c>
      <c r="O8284">
        <v>0.39022869999999998</v>
      </c>
      <c r="P8284">
        <v>0.94184089999999998</v>
      </c>
      <c r="Q8284">
        <v>-0.1266582</v>
      </c>
      <c r="R8284">
        <v>0.31127690000000002</v>
      </c>
      <c r="S8284">
        <v>3.0591279999999998</v>
      </c>
      <c r="T8284">
        <v>-0.21012439999999999</v>
      </c>
      <c r="U8284">
        <v>0.29933169999999998</v>
      </c>
      <c r="V8284">
        <v>7.5796859999999994E-2</v>
      </c>
      <c r="W8284">
        <v>-0.1210413</v>
      </c>
      <c r="X8284">
        <v>0.9897494</v>
      </c>
      <c r="Y8284">
        <v>0.29731170000000001</v>
      </c>
      <c r="Z8284">
        <v>-3.393434E-2</v>
      </c>
      <c r="AA8284">
        <v>0.95417730000000001</v>
      </c>
      <c r="AB8284">
        <v>23</v>
      </c>
      <c r="AC8284">
        <v>16.154599999999999</v>
      </c>
      <c r="AD8284">
        <v>-1.1185291344570001</v>
      </c>
      <c r="AE8284">
        <v>1.5437000000000001</v>
      </c>
      <c r="AF8284">
        <v>4.8598608061159396</v>
      </c>
      <c r="AG8284">
        <v>-1.1185291344570001</v>
      </c>
      <c r="AH8284">
        <v>15.402966189967399</v>
      </c>
      <c r="AI8284">
        <v>93.961551848646394</v>
      </c>
      <c r="AJ8284">
        <v>72.488753424236606</v>
      </c>
      <c r="AK8284">
        <v>16.190142739603299</v>
      </c>
      <c r="AL8284">
        <v>96.952202635823895</v>
      </c>
      <c r="AM8284">
        <v>85.620729862956694</v>
      </c>
      <c r="AN8284">
        <v>1.00000001754595</v>
      </c>
    </row>
    <row r="8285" spans="1:40" x14ac:dyDescent="0.25">
      <c r="A8285" t="str">
        <f>"20190305135123120"</f>
        <v>20190305135123120</v>
      </c>
      <c r="B8285" t="str">
        <f>"1551765083108338"</f>
        <v>1551765083108338</v>
      </c>
      <c r="C8285" t="s">
        <v>40</v>
      </c>
      <c r="D8285">
        <v>4.2046320000000001</v>
      </c>
      <c r="E8285">
        <v>0.585796599999999</v>
      </c>
      <c r="F8285" t="s">
        <v>42</v>
      </c>
      <c r="G8285">
        <v>-159.49860000000001</v>
      </c>
      <c r="H8285" s="1">
        <v>-1.9534860000000001E-6</v>
      </c>
      <c r="I8285">
        <v>132.86320000000001</v>
      </c>
      <c r="J8285">
        <v>-174.93209999999999</v>
      </c>
      <c r="K8285">
        <v>1.1185369999999999</v>
      </c>
      <c r="L8285">
        <v>131.43020000000001</v>
      </c>
      <c r="M8285">
        <v>0.9223983</v>
      </c>
      <c r="N8285">
        <v>-9.2880559999999994E-3</v>
      </c>
      <c r="O8285">
        <v>0.38612849999999999</v>
      </c>
      <c r="P8285">
        <v>0.94259599999999999</v>
      </c>
      <c r="Q8285">
        <v>-0.12839289999999901</v>
      </c>
      <c r="R8285">
        <v>0.3082665</v>
      </c>
      <c r="S8285">
        <v>3.0591279999999998</v>
      </c>
      <c r="T8285">
        <v>-0.2196313</v>
      </c>
      <c r="U8285">
        <v>0.29222110000000001</v>
      </c>
      <c r="V8285">
        <v>7.4568389999999998E-2</v>
      </c>
      <c r="W8285">
        <v>-0.1224307</v>
      </c>
      <c r="X8285">
        <v>0.98967179999999999</v>
      </c>
      <c r="Y8285">
        <v>0.29514059999999998</v>
      </c>
      <c r="Z8285">
        <v>-3.5210499999999999E-2</v>
      </c>
      <c r="AA8285">
        <v>0.95480480000000001</v>
      </c>
      <c r="AB8285">
        <v>23</v>
      </c>
      <c r="AC8285">
        <v>15.433499999999899</v>
      </c>
      <c r="AD8285">
        <v>-1.118538953486</v>
      </c>
      <c r="AE8285">
        <v>1.4329999999999901</v>
      </c>
      <c r="AF8285">
        <v>4.6136905517035904</v>
      </c>
      <c r="AG8285">
        <v>-1.118538953486</v>
      </c>
      <c r="AH8285">
        <v>14.713171772535601</v>
      </c>
      <c r="AI8285">
        <v>94.148977337573001</v>
      </c>
      <c r="AJ8285">
        <v>72.589852040535305</v>
      </c>
      <c r="AK8285">
        <v>15.4601000483659</v>
      </c>
      <c r="AL8285">
        <v>97.0324060573232</v>
      </c>
      <c r="AM8285">
        <v>85.691100423353504</v>
      </c>
      <c r="AN8285">
        <v>0.99999999640246096</v>
      </c>
    </row>
    <row r="8286" spans="1:40" x14ac:dyDescent="0.25">
      <c r="A8286" t="str">
        <f>"20190305135123133"</f>
        <v>20190305135123133</v>
      </c>
      <c r="B8286" t="str">
        <f>"1551765083127859"</f>
        <v>1551765083127859</v>
      </c>
      <c r="C8286" t="s">
        <v>40</v>
      </c>
      <c r="D8286">
        <v>4.2186649999999997</v>
      </c>
      <c r="E8286">
        <v>0.58112509999999995</v>
      </c>
      <c r="F8286" t="s">
        <v>42</v>
      </c>
      <c r="G8286">
        <v>-145.9864</v>
      </c>
      <c r="H8286" s="1">
        <v>-2.7597320000000001E-6</v>
      </c>
      <c r="I8286">
        <v>134.32499999999999</v>
      </c>
      <c r="J8286">
        <v>-174.7996</v>
      </c>
      <c r="K8286">
        <v>1.118557</v>
      </c>
      <c r="L8286">
        <v>131.47999999999999</v>
      </c>
      <c r="M8286">
        <v>0.92385240000000002</v>
      </c>
      <c r="N8286">
        <v>-9.4344689999999991E-3</v>
      </c>
      <c r="O8286">
        <v>0.3826328</v>
      </c>
      <c r="P8286">
        <v>0.94307450000000004</v>
      </c>
      <c r="Q8286">
        <v>-0.13035239999999901</v>
      </c>
      <c r="R8286">
        <v>0.30597180000000002</v>
      </c>
      <c r="S8286">
        <v>3.0662539999999998</v>
      </c>
      <c r="T8286">
        <v>-0.1184882</v>
      </c>
      <c r="U8286">
        <v>0.30665589999999998</v>
      </c>
      <c r="V8286">
        <v>7.3219870000000006E-2</v>
      </c>
      <c r="W8286">
        <v>-0.1240869</v>
      </c>
      <c r="X8286">
        <v>0.98956619999999995</v>
      </c>
      <c r="Y8286">
        <v>0.28840080000000001</v>
      </c>
      <c r="Z8286">
        <v>-1.7614660000000001E-2</v>
      </c>
      <c r="AA8286">
        <v>0.95734779999999997</v>
      </c>
      <c r="AB8286">
        <v>24</v>
      </c>
      <c r="AC8286">
        <v>28.813199999999899</v>
      </c>
      <c r="AD8286">
        <v>-1.1185597597319901</v>
      </c>
      <c r="AE8286">
        <v>2.84499999999999</v>
      </c>
      <c r="AF8286">
        <v>8.3843746023695793</v>
      </c>
      <c r="AG8286">
        <v>-1.1185597597319901</v>
      </c>
      <c r="AH8286">
        <v>27.6676710440723</v>
      </c>
      <c r="AI8286">
        <v>92.215718851272598</v>
      </c>
      <c r="AJ8286">
        <v>73.141161463742094</v>
      </c>
      <c r="AK8286">
        <v>28.931797980974999</v>
      </c>
      <c r="AL8286">
        <v>97.128028575867106</v>
      </c>
      <c r="AM8286">
        <v>85.768288530656505</v>
      </c>
      <c r="AN8286">
        <v>0.999999986148433</v>
      </c>
    </row>
    <row r="8287" spans="1:40" x14ac:dyDescent="0.25">
      <c r="A8287" t="str">
        <f>"20190305135123146"</f>
        <v>20190305135123146</v>
      </c>
      <c r="B8287" t="str">
        <f>"1551765083137619"</f>
        <v>1551765083137619</v>
      </c>
      <c r="C8287" t="s">
        <v>40</v>
      </c>
      <c r="D8287">
        <v>4.2093040000000004</v>
      </c>
      <c r="E8287">
        <v>0.57843290000000003</v>
      </c>
      <c r="F8287" t="s">
        <v>42</v>
      </c>
      <c r="G8287">
        <v>-141.31460000000001</v>
      </c>
      <c r="H8287" s="1">
        <v>-4.4954070000000002E-6</v>
      </c>
      <c r="I8287">
        <v>135.1789</v>
      </c>
      <c r="J8287">
        <v>-174.65289999999999</v>
      </c>
      <c r="K8287">
        <v>1.1186419999999999</v>
      </c>
      <c r="L8287">
        <v>131.53450000000001</v>
      </c>
      <c r="M8287">
        <v>0.92535400000000001</v>
      </c>
      <c r="N8287">
        <v>-9.6007980000000007E-3</v>
      </c>
      <c r="O8287">
        <v>0.3789826</v>
      </c>
      <c r="P8287">
        <v>0.94342280000000001</v>
      </c>
      <c r="Q8287">
        <v>-0.13301760000000001</v>
      </c>
      <c r="R8287">
        <v>0.3037434</v>
      </c>
      <c r="S8287">
        <v>3.057404</v>
      </c>
      <c r="T8287">
        <v>-0.10213220000000001</v>
      </c>
      <c r="U8287">
        <v>0.33773799999999998</v>
      </c>
      <c r="V8287">
        <v>7.1628810000000001E-2</v>
      </c>
      <c r="W8287">
        <v>-0.1263956</v>
      </c>
      <c r="X8287">
        <v>0.9893904</v>
      </c>
      <c r="Y8287">
        <v>0.27481359999999999</v>
      </c>
      <c r="Z8287">
        <v>-1.4490690000000001E-2</v>
      </c>
      <c r="AA8287">
        <v>0.96138829999999997</v>
      </c>
      <c r="AB8287">
        <v>24</v>
      </c>
      <c r="AC8287">
        <v>33.338299999999897</v>
      </c>
      <c r="AD8287">
        <v>-1.1186464954069999</v>
      </c>
      <c r="AE8287">
        <v>3.6443999999999899</v>
      </c>
      <c r="AF8287">
        <v>9.25240810060094</v>
      </c>
      <c r="AG8287">
        <v>-1.1186464954069999</v>
      </c>
      <c r="AH8287">
        <v>32.196556854249799</v>
      </c>
      <c r="AI8287">
        <v>91.912555819251807</v>
      </c>
      <c r="AJ8287">
        <v>73.966799372143299</v>
      </c>
      <c r="AK8287">
        <v>33.518303938455603</v>
      </c>
      <c r="AL8287">
        <v>97.261357434332595</v>
      </c>
      <c r="AM8287">
        <v>85.859186825280304</v>
      </c>
      <c r="AN8287">
        <v>0.99999994886676602</v>
      </c>
    </row>
    <row r="8288" spans="1:40" x14ac:dyDescent="0.25">
      <c r="A8288" t="str">
        <f>"20190305135123161"</f>
        <v>20190305135123161</v>
      </c>
      <c r="B8288" t="str">
        <f>"1551765083158115"</f>
        <v>1551765083158115</v>
      </c>
      <c r="C8288" t="s">
        <v>40</v>
      </c>
      <c r="D8288">
        <v>4.1601410000000003</v>
      </c>
      <c r="E8288">
        <v>0.57569930000000002</v>
      </c>
      <c r="F8288" t="s">
        <v>42</v>
      </c>
      <c r="G8288">
        <v>-145.7423</v>
      </c>
      <c r="H8288" s="1">
        <v>-2.7031899999999999E-6</v>
      </c>
      <c r="I8288">
        <v>134.84979999999999</v>
      </c>
      <c r="J8288">
        <v>-174.51009999999999</v>
      </c>
      <c r="K8288">
        <v>1.1187450000000001</v>
      </c>
      <c r="L8288">
        <v>131.58709999999999</v>
      </c>
      <c r="M8288">
        <v>0.92677209999999999</v>
      </c>
      <c r="N8288">
        <v>-9.7404789999999998E-3</v>
      </c>
      <c r="O8288">
        <v>0.375498</v>
      </c>
      <c r="P8288">
        <v>0.94291239999999998</v>
      </c>
      <c r="Q8288">
        <v>-0.138713</v>
      </c>
      <c r="R8288">
        <v>0.30277880000000001</v>
      </c>
      <c r="S8288">
        <v>3.0506289999999998</v>
      </c>
      <c r="T8288">
        <v>-0.1180385</v>
      </c>
      <c r="U8288">
        <v>0.34983829999999999</v>
      </c>
      <c r="V8288">
        <v>6.8647250000000007E-2</v>
      </c>
      <c r="W8288">
        <v>-0.13170809999999999</v>
      </c>
      <c r="X8288">
        <v>0.98890880000000003</v>
      </c>
      <c r="Y8288">
        <v>0.267092</v>
      </c>
      <c r="Z8288">
        <v>-1.684515E-2</v>
      </c>
      <c r="AA8288">
        <v>0.96352380000000004</v>
      </c>
      <c r="AB8288">
        <v>24</v>
      </c>
      <c r="AC8288">
        <v>28.767799999999902</v>
      </c>
      <c r="AD8288">
        <v>-1.1187477031899999</v>
      </c>
      <c r="AE8288">
        <v>3.2626999999999899</v>
      </c>
      <c r="AF8288">
        <v>7.7672428987372397</v>
      </c>
      <c r="AG8288">
        <v>-1.1187477031899999</v>
      </c>
      <c r="AH8288">
        <v>27.846074558504998</v>
      </c>
      <c r="AI8288">
        <v>92.216175310526395</v>
      </c>
      <c r="AJ8288">
        <v>74.414356650946303</v>
      </c>
      <c r="AK8288">
        <v>28.930702151679601</v>
      </c>
      <c r="AL8288">
        <v>97.568307726310806</v>
      </c>
      <c r="AM8288">
        <v>86.029059289066097</v>
      </c>
      <c r="AN8288">
        <v>1.0000000416278001</v>
      </c>
    </row>
    <row r="8289" spans="1:40" x14ac:dyDescent="0.25">
      <c r="A8289" t="str">
        <f>"20190305135123178"</f>
        <v>20190305135123178</v>
      </c>
      <c r="B8289" t="str">
        <f>"1551765083167874"</f>
        <v>1551765083167874</v>
      </c>
      <c r="C8289" t="s">
        <v>40</v>
      </c>
      <c r="D8289">
        <v>4.2566009999999999</v>
      </c>
      <c r="E8289">
        <v>0.57416279999999997</v>
      </c>
      <c r="F8289" t="s">
        <v>42</v>
      </c>
      <c r="G8289">
        <v>-150.9229</v>
      </c>
      <c r="H8289" s="1">
        <v>-4.7961230000000001E-6</v>
      </c>
      <c r="I8289">
        <v>134.43090000000001</v>
      </c>
      <c r="J8289">
        <v>-174.33240000000001</v>
      </c>
      <c r="K8289">
        <v>1.1188979999999999</v>
      </c>
      <c r="L8289">
        <v>131.65219999999999</v>
      </c>
      <c r="M8289">
        <v>0.92847259999999998</v>
      </c>
      <c r="N8289">
        <v>-9.8564640000000005E-3</v>
      </c>
      <c r="O8289">
        <v>0.37127009999999999</v>
      </c>
      <c r="P8289">
        <v>0.94337459999999995</v>
      </c>
      <c r="Q8289">
        <v>-0.14167260000000001</v>
      </c>
      <c r="R8289">
        <v>0.299956099999999</v>
      </c>
      <c r="S8289">
        <v>3.0426030000000002</v>
      </c>
      <c r="T8289">
        <v>-0.14431179999999999</v>
      </c>
      <c r="U8289">
        <v>0.36683650000000001</v>
      </c>
      <c r="V8289">
        <v>6.7167400000000002E-2</v>
      </c>
      <c r="W8289">
        <v>-0.13432479999999999</v>
      </c>
      <c r="X8289">
        <v>0.98865840000000005</v>
      </c>
      <c r="Y8289">
        <v>0.25689689999999998</v>
      </c>
      <c r="Z8289">
        <v>-2.072013E-2</v>
      </c>
      <c r="AA8289">
        <v>0.96621670000000004</v>
      </c>
      <c r="AB8289">
        <v>24</v>
      </c>
      <c r="AC8289">
        <v>23.409500000000001</v>
      </c>
      <c r="AD8289">
        <v>-1.118902796123</v>
      </c>
      <c r="AE8289">
        <v>2.7787000000000099</v>
      </c>
      <c r="AF8289">
        <v>6.0978601458600101</v>
      </c>
      <c r="AG8289">
        <v>-1.118902796123</v>
      </c>
      <c r="AH8289">
        <v>22.7166572027398</v>
      </c>
      <c r="AI8289">
        <v>92.723545848743697</v>
      </c>
      <c r="AJ8289">
        <v>74.974234700124995</v>
      </c>
      <c r="AK8289">
        <v>23.547449040021899</v>
      </c>
      <c r="AL8289">
        <v>97.719577998827006</v>
      </c>
      <c r="AM8289">
        <v>86.113415889392698</v>
      </c>
      <c r="AN8289">
        <v>1.00000002170417</v>
      </c>
    </row>
    <row r="8290" spans="1:40" x14ac:dyDescent="0.25">
      <c r="A8290" t="str">
        <f>"20190305135123194"</f>
        <v>20190305135123194</v>
      </c>
      <c r="B8290" t="str">
        <f>"1551765083188371"</f>
        <v>1551765083188371</v>
      </c>
      <c r="C8290" t="s">
        <v>40</v>
      </c>
      <c r="D8290">
        <v>4.1828390000000004</v>
      </c>
      <c r="E8290">
        <v>0.57315499999999997</v>
      </c>
      <c r="F8290" t="s">
        <v>42</v>
      </c>
      <c r="G8290">
        <v>-152.6677</v>
      </c>
      <c r="H8290" s="1">
        <v>-4.0740420000000002E-6</v>
      </c>
      <c r="I8290">
        <v>134.28190000000001</v>
      </c>
      <c r="J8290">
        <v>-174.17619999999999</v>
      </c>
      <c r="K8290">
        <v>1.119005</v>
      </c>
      <c r="L8290">
        <v>131.709</v>
      </c>
      <c r="M8290">
        <v>0.92989100000000002</v>
      </c>
      <c r="N8290">
        <v>-9.8825000000000007E-3</v>
      </c>
      <c r="O8290">
        <v>0.36770249999999999</v>
      </c>
      <c r="P8290">
        <v>0.94363580000000002</v>
      </c>
      <c r="Q8290">
        <v>-0.1440544</v>
      </c>
      <c r="R8290">
        <v>0.2979928</v>
      </c>
      <c r="S8290">
        <v>3.0392000000000001</v>
      </c>
      <c r="T8290">
        <v>-0.15696370000000001</v>
      </c>
      <c r="U8290">
        <v>0.36891170000000001</v>
      </c>
      <c r="V8290">
        <v>6.5524189999999996E-2</v>
      </c>
      <c r="W8290">
        <v>-0.1364706</v>
      </c>
      <c r="X8290">
        <v>0.98847479999999999</v>
      </c>
      <c r="Y8290">
        <v>0.25230039999999998</v>
      </c>
      <c r="Z8290">
        <v>-2.2495939999999999E-2</v>
      </c>
      <c r="AA8290">
        <v>0.96738740000000001</v>
      </c>
      <c r="AB8290">
        <v>24</v>
      </c>
      <c r="AC8290">
        <v>21.508500000000002</v>
      </c>
      <c r="AD8290">
        <v>-1.119009074042</v>
      </c>
      <c r="AE8290">
        <v>2.5729000000000002</v>
      </c>
      <c r="AF8290">
        <v>5.5018000110307801</v>
      </c>
      <c r="AG8290">
        <v>-1.119009074042</v>
      </c>
      <c r="AH8290">
        <v>20.891893396352799</v>
      </c>
      <c r="AI8290">
        <v>92.965038462757207</v>
      </c>
      <c r="AJ8290">
        <v>75.246349171266999</v>
      </c>
      <c r="AK8290">
        <v>21.633150356657101</v>
      </c>
      <c r="AL8290">
        <v>97.843665868115593</v>
      </c>
      <c r="AM8290">
        <v>86.207515756831995</v>
      </c>
      <c r="AN8290">
        <v>1.0000000371872699</v>
      </c>
    </row>
    <row r="8291" spans="1:40" x14ac:dyDescent="0.25">
      <c r="A8291" t="str">
        <f>"20190305135123205"</f>
        <v>20190305135123205</v>
      </c>
      <c r="B8291" t="str">
        <f>"1551765083198131"</f>
        <v>1551765083198131</v>
      </c>
      <c r="C8291" t="s">
        <v>40</v>
      </c>
      <c r="D8291">
        <v>4.1182730000000003</v>
      </c>
      <c r="E8291">
        <v>0.57266229999999996</v>
      </c>
      <c r="F8291" t="s">
        <v>42</v>
      </c>
      <c r="G8291">
        <v>-152.99369999999999</v>
      </c>
      <c r="H8291" s="1">
        <v>-3.9319789999999998E-6</v>
      </c>
      <c r="I8291">
        <v>134.2945</v>
      </c>
      <c r="J8291">
        <v>-174.04179999999999</v>
      </c>
      <c r="K8291">
        <v>1.119032</v>
      </c>
      <c r="L8291">
        <v>131.7577</v>
      </c>
      <c r="M8291">
        <v>0.93102510000000005</v>
      </c>
      <c r="N8291">
        <v>-9.8205900000000006E-3</v>
      </c>
      <c r="O8291">
        <v>0.36482320000000001</v>
      </c>
      <c r="P8291">
        <v>0.94271550000000004</v>
      </c>
      <c r="Q8291">
        <v>-0.14636830000000001</v>
      </c>
      <c r="R8291">
        <v>0.29977340000000002</v>
      </c>
      <c r="S8291">
        <v>3.037598</v>
      </c>
      <c r="T8291">
        <v>-0.16046659999999999</v>
      </c>
      <c r="U8291">
        <v>0.37075809999999998</v>
      </c>
      <c r="V8291">
        <v>6.066585E-2</v>
      </c>
      <c r="W8291">
        <v>-0.13856640000000001</v>
      </c>
      <c r="X8291">
        <v>0.98849330000000002</v>
      </c>
      <c r="Y8291">
        <v>0.2486379</v>
      </c>
      <c r="Z8291">
        <v>-2.2853849999999998E-2</v>
      </c>
      <c r="AA8291">
        <v>0.96832689999999999</v>
      </c>
      <c r="AB8291">
        <v>24</v>
      </c>
      <c r="AC8291">
        <v>21.048100000000002</v>
      </c>
      <c r="AD8291">
        <v>-1.119035931979</v>
      </c>
      <c r="AE8291">
        <v>2.5367999999999902</v>
      </c>
      <c r="AF8291">
        <v>5.3024933862745502</v>
      </c>
      <c r="AG8291">
        <v>-1.119035931979</v>
      </c>
      <c r="AH8291">
        <v>20.4657610858788</v>
      </c>
      <c r="AI8291">
        <v>93.029879747010895</v>
      </c>
      <c r="AJ8291">
        <v>75.4745815894522</v>
      </c>
      <c r="AK8291">
        <v>21.171113677669801</v>
      </c>
      <c r="AL8291">
        <v>97.964898497459302</v>
      </c>
      <c r="AM8291">
        <v>86.488046018142697</v>
      </c>
      <c r="AN8291">
        <v>0.99999999835503595</v>
      </c>
    </row>
    <row r="8292" spans="1:40" x14ac:dyDescent="0.25">
      <c r="A8292" t="str">
        <f>"20190305135123221"</f>
        <v>20190305135123221</v>
      </c>
      <c r="B8292" t="str">
        <f>"1551765083217651"</f>
        <v>1551765083217651</v>
      </c>
      <c r="C8292" t="s">
        <v>40</v>
      </c>
      <c r="D8292">
        <v>4.1834809999999996</v>
      </c>
      <c r="E8292">
        <v>0.57190640000000004</v>
      </c>
      <c r="F8292" t="s">
        <v>42</v>
      </c>
      <c r="G8292">
        <v>-153.51570000000001</v>
      </c>
      <c r="H8292" s="1">
        <v>-3.701084E-6</v>
      </c>
      <c r="I8292">
        <v>134.33369999999999</v>
      </c>
      <c r="J8292">
        <v>-173.88030000000001</v>
      </c>
      <c r="K8292">
        <v>1.118978</v>
      </c>
      <c r="L8292">
        <v>131.8159</v>
      </c>
      <c r="M8292">
        <v>0.93226640000000005</v>
      </c>
      <c r="N8292">
        <v>-9.6590329999999992E-3</v>
      </c>
      <c r="O8292">
        <v>0.36164370000000001</v>
      </c>
      <c r="P8292">
        <v>0.94278580000000001</v>
      </c>
      <c r="Q8292">
        <v>-0.14663809999999999</v>
      </c>
      <c r="R8292">
        <v>0.29942010000000002</v>
      </c>
      <c r="S8292">
        <v>3.0354610000000002</v>
      </c>
      <c r="T8292">
        <v>-0.16548560000000001</v>
      </c>
      <c r="U8292">
        <v>0.38095089999999998</v>
      </c>
      <c r="V8292">
        <v>5.7944799999999998E-2</v>
      </c>
      <c r="W8292">
        <v>-0.13877590000000001</v>
      </c>
      <c r="X8292">
        <v>0.98862709999999998</v>
      </c>
      <c r="Y8292">
        <v>0.2420059</v>
      </c>
      <c r="Z8292">
        <v>-2.3353249999999999E-2</v>
      </c>
      <c r="AA8292">
        <v>0.96999369999999996</v>
      </c>
      <c r="AB8292">
        <v>24</v>
      </c>
      <c r="AC8292">
        <v>20.364599999999999</v>
      </c>
      <c r="AD8292">
        <v>-1.118981701084</v>
      </c>
      <c r="AE8292">
        <v>2.51779999999999</v>
      </c>
      <c r="AF8292">
        <v>5.0028255653084397</v>
      </c>
      <c r="AG8292">
        <v>-1.118981701084</v>
      </c>
      <c r="AH8292">
        <v>19.837713392754601</v>
      </c>
      <c r="AI8292">
        <v>93.130636389454594</v>
      </c>
      <c r="AJ8292">
        <v>75.845849457996295</v>
      </c>
      <c r="AK8292">
        <v>20.489393752313401</v>
      </c>
      <c r="AL8292">
        <v>97.977019482237594</v>
      </c>
      <c r="AM8292">
        <v>86.645652759490702</v>
      </c>
      <c r="AN8292">
        <v>0.99999994656112801</v>
      </c>
    </row>
    <row r="8293" spans="1:40" x14ac:dyDescent="0.25">
      <c r="A8293" t="str">
        <f>"20190305135123234"</f>
        <v>20190305135123234</v>
      </c>
      <c r="B8293" t="str">
        <f>"1551765083228386"</f>
        <v>1551765083228386</v>
      </c>
      <c r="C8293" t="s">
        <v>40</v>
      </c>
      <c r="D8293">
        <v>4.1418699999999999</v>
      </c>
      <c r="E8293">
        <v>0.57157590000000003</v>
      </c>
      <c r="F8293" t="s">
        <v>42</v>
      </c>
      <c r="G8293">
        <v>-152.96129999999999</v>
      </c>
      <c r="H8293" s="1">
        <v>-3.9135709999999999E-6</v>
      </c>
      <c r="I8293">
        <v>134.47649999999999</v>
      </c>
      <c r="J8293">
        <v>-173.73840000000001</v>
      </c>
      <c r="K8293">
        <v>1.118878</v>
      </c>
      <c r="L8293">
        <v>131.86680000000001</v>
      </c>
      <c r="M8293">
        <v>0.93327090000000001</v>
      </c>
      <c r="N8293">
        <v>-9.4638919999999998E-3</v>
      </c>
      <c r="O8293">
        <v>0.3590486</v>
      </c>
      <c r="P8293">
        <v>0.94261410000000001</v>
      </c>
      <c r="Q8293">
        <v>-0.14653469999999999</v>
      </c>
      <c r="R8293">
        <v>0.30001060000000002</v>
      </c>
      <c r="S8293">
        <v>3.0342560000000001</v>
      </c>
      <c r="T8293">
        <v>-0.1623058</v>
      </c>
      <c r="U8293">
        <v>0.38592530000000003</v>
      </c>
      <c r="V8293">
        <v>5.4843309999999999E-2</v>
      </c>
      <c r="W8293">
        <v>-0.1386665</v>
      </c>
      <c r="X8293">
        <v>0.98881940000000002</v>
      </c>
      <c r="Y8293">
        <v>0.23772789999999999</v>
      </c>
      <c r="Z8293">
        <v>-2.2676410000000001E-2</v>
      </c>
      <c r="AA8293">
        <v>0.97106709999999996</v>
      </c>
      <c r="AB8293">
        <v>25</v>
      </c>
      <c r="AC8293">
        <v>20.777100000000001</v>
      </c>
      <c r="AD8293">
        <v>-1.118881913571</v>
      </c>
      <c r="AE8293">
        <v>2.6096999999999699</v>
      </c>
      <c r="AF8293">
        <v>5.0103521634720796</v>
      </c>
      <c r="AG8293">
        <v>-1.118881913571</v>
      </c>
      <c r="AH8293">
        <v>20.270709852163399</v>
      </c>
      <c r="AI8293">
        <v>93.067226538895795</v>
      </c>
      <c r="AJ8293">
        <v>76.116358144266798</v>
      </c>
      <c r="AK8293">
        <v>20.9106959102064</v>
      </c>
      <c r="AL8293">
        <v>97.970689728696598</v>
      </c>
      <c r="AM8293">
        <v>86.825432393259902</v>
      </c>
      <c r="AN8293">
        <v>0.999999996345183</v>
      </c>
    </row>
    <row r="8294" spans="1:40" x14ac:dyDescent="0.25">
      <c r="A8294" t="str">
        <f>"20190305135123246"</f>
        <v>20190305135123246</v>
      </c>
      <c r="B8294" t="str">
        <f>"1551765083238146"</f>
        <v>1551765083238146</v>
      </c>
      <c r="C8294" t="s">
        <v>40</v>
      </c>
      <c r="D8294">
        <v>4.2127129999999999</v>
      </c>
      <c r="E8294">
        <v>0.57119830000000005</v>
      </c>
      <c r="F8294" t="s">
        <v>42</v>
      </c>
      <c r="G8294">
        <v>-152.529</v>
      </c>
      <c r="H8294" s="1">
        <v>-4.0775000000000003E-6</v>
      </c>
      <c r="I8294">
        <v>134.59780000000001</v>
      </c>
      <c r="J8294">
        <v>-173.6054</v>
      </c>
      <c r="K8294">
        <v>1.1187290000000001</v>
      </c>
      <c r="L8294">
        <v>131.91419999999999</v>
      </c>
      <c r="M8294">
        <v>0.9341315</v>
      </c>
      <c r="N8294">
        <v>-9.2345589999999998E-3</v>
      </c>
      <c r="O8294">
        <v>0.35680959999999901</v>
      </c>
      <c r="P8294">
        <v>0.9422566</v>
      </c>
      <c r="Q8294">
        <v>-0.1462888</v>
      </c>
      <c r="R8294">
        <v>0.30125109999999999</v>
      </c>
      <c r="S8294">
        <v>3.0334319999999999</v>
      </c>
      <c r="T8294">
        <v>-0.1600261</v>
      </c>
      <c r="U8294">
        <v>0.3906097</v>
      </c>
      <c r="V8294">
        <v>5.1425709999999999E-2</v>
      </c>
      <c r="W8294">
        <v>-0.138462</v>
      </c>
      <c r="X8294">
        <v>0.98903169999999996</v>
      </c>
      <c r="Y8294">
        <v>0.23391439999999999</v>
      </c>
      <c r="Z8294">
        <v>-2.2179419999999998E-2</v>
      </c>
      <c r="AA8294">
        <v>0.97200419999999998</v>
      </c>
      <c r="AB8294">
        <v>25</v>
      </c>
      <c r="AC8294">
        <v>21.0764</v>
      </c>
      <c r="AD8294">
        <v>-1.1187330775</v>
      </c>
      <c r="AE8294">
        <v>2.68360000000001</v>
      </c>
      <c r="AF8294">
        <v>4.9997782543645899</v>
      </c>
      <c r="AG8294">
        <v>-1.1187330775</v>
      </c>
      <c r="AH8294">
        <v>20.589458651455701</v>
      </c>
      <c r="AI8294">
        <v>93.022454637730405</v>
      </c>
      <c r="AJ8294">
        <v>76.350944291599006</v>
      </c>
      <c r="AK8294">
        <v>21.217331449819799</v>
      </c>
      <c r="AL8294">
        <v>97.9588584519812</v>
      </c>
      <c r="AM8294">
        <v>87.023528072848094</v>
      </c>
      <c r="AN8294">
        <v>1.00000001634894</v>
      </c>
    </row>
    <row r="8295" spans="1:40" x14ac:dyDescent="0.25">
      <c r="A8295" t="str">
        <f>"20190305135123258"</f>
        <v>20190305135123258</v>
      </c>
      <c r="B8295" t="str">
        <f>"1551765083247906"</f>
        <v>1551765083247906</v>
      </c>
      <c r="C8295" t="s">
        <v>40</v>
      </c>
      <c r="D8295">
        <v>4.1571109999999996</v>
      </c>
      <c r="E8295">
        <v>0.571075</v>
      </c>
      <c r="F8295" t="s">
        <v>42</v>
      </c>
      <c r="G8295">
        <v>-151.92930000000001</v>
      </c>
      <c r="H8295" s="1">
        <v>-4.3065339999999999E-6</v>
      </c>
      <c r="I8295">
        <v>134.75720000000001</v>
      </c>
      <c r="J8295">
        <v>-173.47710000000001</v>
      </c>
      <c r="K8295">
        <v>1.1185290000000001</v>
      </c>
      <c r="L8295">
        <v>131.9598</v>
      </c>
      <c r="M8295">
        <v>0.93488530000000003</v>
      </c>
      <c r="N8295">
        <v>-8.9675540000000008E-3</v>
      </c>
      <c r="O8295">
        <v>0.3548364</v>
      </c>
      <c r="P8295">
        <v>0.94189880000000004</v>
      </c>
      <c r="Q8295">
        <v>-0.14636729999999901</v>
      </c>
      <c r="R8295">
        <v>0.30232969999999998</v>
      </c>
      <c r="S8295">
        <v>3.032394</v>
      </c>
      <c r="T8295">
        <v>-0.1565058</v>
      </c>
      <c r="U8295">
        <v>0.39772030000000003</v>
      </c>
      <c r="V8295">
        <v>4.8416960000000002E-2</v>
      </c>
      <c r="W8295">
        <v>-0.1386473</v>
      </c>
      <c r="X8295">
        <v>0.98915759999999997</v>
      </c>
      <c r="Y8295">
        <v>0.22961200000000001</v>
      </c>
      <c r="Z8295">
        <v>-2.1504849999999999E-2</v>
      </c>
      <c r="AA8295">
        <v>0.97304460000000004</v>
      </c>
      <c r="AB8295">
        <v>25</v>
      </c>
      <c r="AC8295">
        <v>21.547799999999899</v>
      </c>
      <c r="AD8295">
        <v>-1.118533306534</v>
      </c>
      <c r="AE8295">
        <v>2.7974000000000099</v>
      </c>
      <c r="AF8295">
        <v>5.0176021411188998</v>
      </c>
      <c r="AG8295">
        <v>-1.118533306534</v>
      </c>
      <c r="AH8295">
        <v>21.082326197639599</v>
      </c>
      <c r="AI8295">
        <v>92.954632238106896</v>
      </c>
      <c r="AJ8295">
        <v>76.612644476486295</v>
      </c>
      <c r="AK8295">
        <v>21.700044375716601</v>
      </c>
      <c r="AL8295">
        <v>97.969578756367298</v>
      </c>
      <c r="AM8295">
        <v>87.197741604452403</v>
      </c>
      <c r="AN8295">
        <v>1.00000001672534</v>
      </c>
    </row>
    <row r="8296" spans="1:40" x14ac:dyDescent="0.25">
      <c r="A8296" t="str">
        <f>"20190305135123272"</f>
        <v>20190305135123272</v>
      </c>
      <c r="B8296" t="str">
        <f>"1551765083268403"</f>
        <v>1551765083268403</v>
      </c>
      <c r="C8296" t="s">
        <v>40</v>
      </c>
      <c r="D8296">
        <v>4.1202120000000004</v>
      </c>
      <c r="E8296">
        <v>0.57063359999999996</v>
      </c>
      <c r="F8296" t="s">
        <v>42</v>
      </c>
      <c r="G8296">
        <v>-151.52379999999999</v>
      </c>
      <c r="H8296" s="1">
        <v>-4.4600149999999999E-6</v>
      </c>
      <c r="I8296">
        <v>134.87260000000001</v>
      </c>
      <c r="J8296">
        <v>-173.33590000000001</v>
      </c>
      <c r="K8296">
        <v>1.11829</v>
      </c>
      <c r="L8296">
        <v>132.00980000000001</v>
      </c>
      <c r="M8296">
        <v>0.9356776</v>
      </c>
      <c r="N8296">
        <v>-8.6558250000000007E-3</v>
      </c>
      <c r="O8296">
        <v>0.35274990000000001</v>
      </c>
      <c r="P8296">
        <v>0.94048880000000001</v>
      </c>
      <c r="Q8296">
        <v>-0.1468043</v>
      </c>
      <c r="R8296">
        <v>0.30647909999999901</v>
      </c>
      <c r="S8296">
        <v>3.0319210000000001</v>
      </c>
      <c r="T8296">
        <v>-0.15447820000000001</v>
      </c>
      <c r="U8296">
        <v>0.40228269999999999</v>
      </c>
      <c r="V8296">
        <v>4.2056709999999997E-2</v>
      </c>
      <c r="W8296">
        <v>-0.13916709999999999</v>
      </c>
      <c r="X8296">
        <v>0.98937540000000002</v>
      </c>
      <c r="Y8296">
        <v>0.22600129999999999</v>
      </c>
      <c r="Z8296">
        <v>-2.108788E-2</v>
      </c>
      <c r="AA8296">
        <v>0.97389870000000001</v>
      </c>
      <c r="AB8296">
        <v>25</v>
      </c>
      <c r="AC8296">
        <v>21.812100000000001</v>
      </c>
      <c r="AD8296">
        <v>-1.118294460015</v>
      </c>
      <c r="AE8296">
        <v>2.8627999999999898</v>
      </c>
      <c r="AF8296">
        <v>5.00281869307834</v>
      </c>
      <c r="AG8296">
        <v>-1.118294460015</v>
      </c>
      <c r="AH8296">
        <v>21.364541459190399</v>
      </c>
      <c r="AI8296">
        <v>92.917546417043695</v>
      </c>
      <c r="AJ8296">
        <v>76.820818688588602</v>
      </c>
      <c r="AK8296">
        <v>21.970944657355499</v>
      </c>
      <c r="AL8296">
        <v>97.999653070440701</v>
      </c>
      <c r="AM8296">
        <v>87.565916676665296</v>
      </c>
      <c r="AN8296">
        <v>0.99999996535179603</v>
      </c>
    </row>
    <row r="8297" spans="1:40" x14ac:dyDescent="0.25">
      <c r="A8297" t="str">
        <f>"20190305135123286"</f>
        <v>20190305135123286</v>
      </c>
      <c r="B8297" t="str">
        <f>"1551765083278163"</f>
        <v>1551765083278163</v>
      </c>
      <c r="C8297" t="s">
        <v>40</v>
      </c>
      <c r="D8297">
        <v>4.1716089999999904</v>
      </c>
      <c r="E8297">
        <v>0.57042399999999904</v>
      </c>
      <c r="F8297" t="s">
        <v>42</v>
      </c>
      <c r="G8297">
        <v>-151.3289</v>
      </c>
      <c r="H8297" s="1">
        <v>-4.5112229999999997E-6</v>
      </c>
      <c r="I8297">
        <v>135.05510000000001</v>
      </c>
      <c r="J8297">
        <v>-173.17420000000001</v>
      </c>
      <c r="K8297">
        <v>1.1179730000000001</v>
      </c>
      <c r="L8297">
        <v>132.0668</v>
      </c>
      <c r="M8297">
        <v>0.9365289</v>
      </c>
      <c r="N8297">
        <v>-8.2697980000000001E-3</v>
      </c>
      <c r="O8297">
        <v>0.3504929</v>
      </c>
      <c r="P8297">
        <v>0.94023409999999996</v>
      </c>
      <c r="Q8297">
        <v>-0.1462194</v>
      </c>
      <c r="R8297">
        <v>0.30753809999999998</v>
      </c>
      <c r="S8297">
        <v>3.0292210000000002</v>
      </c>
      <c r="T8297">
        <v>-0.15393080000000001</v>
      </c>
      <c r="U8297">
        <v>0.41918949999999999</v>
      </c>
      <c r="V8297">
        <v>3.8867220000000001E-2</v>
      </c>
      <c r="W8297">
        <v>-0.13881350000000001</v>
      </c>
      <c r="X8297">
        <v>0.98955550000000003</v>
      </c>
      <c r="Y8297">
        <v>0.2182077</v>
      </c>
      <c r="Z8297">
        <v>-2.0792250000000002E-2</v>
      </c>
      <c r="AA8297">
        <v>0.97568080000000001</v>
      </c>
      <c r="AB8297">
        <v>25</v>
      </c>
      <c r="AC8297">
        <v>21.845300000000002</v>
      </c>
      <c r="AD8297">
        <v>-1.1179775112229999</v>
      </c>
      <c r="AE8297">
        <v>2.9883000000000002</v>
      </c>
      <c r="AF8297">
        <v>4.8457010646754801</v>
      </c>
      <c r="AG8297">
        <v>-1.1179775112229999</v>
      </c>
      <c r="AH8297">
        <v>21.451715782098201</v>
      </c>
      <c r="AI8297">
        <v>92.910136150004107</v>
      </c>
      <c r="AJ8297">
        <v>77.271158313133199</v>
      </c>
      <c r="AK8297">
        <v>22.020599504094399</v>
      </c>
      <c r="AL8297">
        <v>97.979194685957694</v>
      </c>
      <c r="AM8297">
        <v>87.750723883405101</v>
      </c>
      <c r="AN8297">
        <v>0.99999996807651303</v>
      </c>
    </row>
    <row r="8298" spans="1:40" x14ac:dyDescent="0.25">
      <c r="A8298" t="str">
        <f>"20190305135123299"</f>
        <v>20190305135123299</v>
      </c>
      <c r="B8298" t="str">
        <f>"1551765083287519"</f>
        <v>1551765083287519</v>
      </c>
      <c r="C8298" t="s">
        <v>40</v>
      </c>
      <c r="D8298">
        <v>4.1487049999999996</v>
      </c>
      <c r="E8298">
        <v>0.57038389999999894</v>
      </c>
      <c r="F8298" t="s">
        <v>42</v>
      </c>
      <c r="G8298">
        <v>-150.93199999999999</v>
      </c>
      <c r="H8298" s="1">
        <v>-4.659769E-6</v>
      </c>
      <c r="I8298">
        <v>135.17769999999999</v>
      </c>
      <c r="J8298">
        <v>-173.04839999999999</v>
      </c>
      <c r="K8298">
        <v>1.1177049999999999</v>
      </c>
      <c r="L8298">
        <v>132.11089999999999</v>
      </c>
      <c r="M8298">
        <v>0.93718480000000004</v>
      </c>
      <c r="N8298">
        <v>-7.9743980000000006E-3</v>
      </c>
      <c r="O8298">
        <v>0.34874250000000001</v>
      </c>
      <c r="P8298">
        <v>0.93985660000000004</v>
      </c>
      <c r="Q8298">
        <v>-0.145928799999999</v>
      </c>
      <c r="R8298">
        <v>0.30882759999999998</v>
      </c>
      <c r="S8298">
        <v>3.0284580000000001</v>
      </c>
      <c r="T8298">
        <v>-0.15222160000000001</v>
      </c>
      <c r="U8298">
        <v>0.42358400000000002</v>
      </c>
      <c r="V8298">
        <v>3.5885100000000003E-2</v>
      </c>
      <c r="W8298">
        <v>-0.13869970000000001</v>
      </c>
      <c r="X8298">
        <v>0.98968409999999996</v>
      </c>
      <c r="Y8298">
        <v>0.21497749999999999</v>
      </c>
      <c r="Z8298">
        <v>-2.045346E-2</v>
      </c>
      <c r="AA8298">
        <v>0.97640479999999996</v>
      </c>
      <c r="AB8298">
        <v>25</v>
      </c>
      <c r="AC8298">
        <v>22.116399999999899</v>
      </c>
      <c r="AD8298">
        <v>-1.1177096597689999</v>
      </c>
      <c r="AE8298">
        <v>3.0668000000000002</v>
      </c>
      <c r="AF8298">
        <v>4.8268281047167401</v>
      </c>
      <c r="AG8298">
        <v>-1.1177096597689999</v>
      </c>
      <c r="AH8298">
        <v>21.742882792808999</v>
      </c>
      <c r="AI8298">
        <v>92.872924353353696</v>
      </c>
      <c r="AJ8298">
        <v>77.483556819544006</v>
      </c>
      <c r="AK8298">
        <v>22.3002353480374</v>
      </c>
      <c r="AL8298">
        <v>97.972610620653398</v>
      </c>
      <c r="AM8298">
        <v>87.923413709665596</v>
      </c>
      <c r="AN8298">
        <v>0.99999998248745403</v>
      </c>
    </row>
    <row r="8299" spans="1:40" x14ac:dyDescent="0.25">
      <c r="A8299" t="str">
        <f>"20190305135123312"</f>
        <v>20190305135123312</v>
      </c>
      <c r="B8299" t="str">
        <f>"1551765083308015"</f>
        <v>1551765083308015</v>
      </c>
      <c r="C8299" t="s">
        <v>40</v>
      </c>
      <c r="D8299">
        <v>4.1655439999999997</v>
      </c>
      <c r="E8299">
        <v>0.57013709999999995</v>
      </c>
      <c r="F8299" t="s">
        <v>42</v>
      </c>
      <c r="G8299">
        <v>-150.50530000000001</v>
      </c>
      <c r="H8299" s="1">
        <v>-4.821711E-6</v>
      </c>
      <c r="I8299">
        <v>135.29669999999999</v>
      </c>
      <c r="J8299">
        <v>-172.90610000000001</v>
      </c>
      <c r="K8299">
        <v>1.1173959999999901</v>
      </c>
      <c r="L8299">
        <v>132.16079999999999</v>
      </c>
      <c r="M8299">
        <v>0.93792140000000002</v>
      </c>
      <c r="N8299">
        <v>-7.6442430000000002E-3</v>
      </c>
      <c r="O8299">
        <v>0.34676390000000001</v>
      </c>
      <c r="P8299">
        <v>0.93950929999999999</v>
      </c>
      <c r="Q8299">
        <v>-0.14566850000000001</v>
      </c>
      <c r="R8299">
        <v>0.31000529999999998</v>
      </c>
      <c r="S8299">
        <v>3.0280300000000002</v>
      </c>
      <c r="T8299">
        <v>-0.15013270000000001</v>
      </c>
      <c r="U8299">
        <v>0.42791750000000001</v>
      </c>
      <c r="V8299">
        <v>3.2799490000000001E-2</v>
      </c>
      <c r="W8299">
        <v>-0.13865250000000001</v>
      </c>
      <c r="X8299">
        <v>0.98979779999999995</v>
      </c>
      <c r="Y8299">
        <v>0.2115455</v>
      </c>
      <c r="Z8299">
        <v>-2.0054300000000001E-2</v>
      </c>
      <c r="AA8299">
        <v>0.97716239999999999</v>
      </c>
      <c r="AB8299">
        <v>25</v>
      </c>
      <c r="AC8299">
        <v>22.4008</v>
      </c>
      <c r="AD8299">
        <v>-1.1174008217110001</v>
      </c>
      <c r="AE8299">
        <v>3.1358999999999901</v>
      </c>
      <c r="AF8299">
        <v>4.8149511813519501</v>
      </c>
      <c r="AG8299">
        <v>-1.1174008217110001</v>
      </c>
      <c r="AH8299">
        <v>22.044452746384199</v>
      </c>
      <c r="AI8299">
        <v>92.835030075174203</v>
      </c>
      <c r="AJ8299">
        <v>77.678953633628595</v>
      </c>
      <c r="AK8299">
        <v>22.591817907435701</v>
      </c>
      <c r="AL8299">
        <v>97.969879705473701</v>
      </c>
      <c r="AM8299">
        <v>88.1020518283717</v>
      </c>
      <c r="AN8299">
        <v>1.0000000035926699</v>
      </c>
    </row>
    <row r="8300" spans="1:40" x14ac:dyDescent="0.25">
      <c r="A8300" t="str">
        <f>"20190305135123324"</f>
        <v>20190305135123324</v>
      </c>
      <c r="B8300" t="str">
        <f>"1551765083317776"</f>
        <v>1551765083317776</v>
      </c>
      <c r="C8300" t="s">
        <v>40</v>
      </c>
      <c r="D8300">
        <v>4.1286839999999998</v>
      </c>
      <c r="E8300">
        <v>0.57002659999999905</v>
      </c>
      <c r="F8300" t="s">
        <v>42</v>
      </c>
      <c r="G8300">
        <v>-150.03200000000001</v>
      </c>
      <c r="H8300" s="1">
        <v>-5.0001300000000002E-6</v>
      </c>
      <c r="I8300">
        <v>135.43549999999999</v>
      </c>
      <c r="J8300">
        <v>-172.7662</v>
      </c>
      <c r="K8300">
        <v>1.1170519999999999</v>
      </c>
      <c r="L8300">
        <v>132.20959999999999</v>
      </c>
      <c r="M8300">
        <v>0.93863790000000003</v>
      </c>
      <c r="N8300">
        <v>-7.3244169999999997E-3</v>
      </c>
      <c r="O8300">
        <v>0.34482649999999998</v>
      </c>
      <c r="P8300">
        <v>0.93933809999999995</v>
      </c>
      <c r="Q8300">
        <v>-0.14439370000000001</v>
      </c>
      <c r="R8300">
        <v>0.3111178</v>
      </c>
      <c r="S8300">
        <v>3.0272220000000001</v>
      </c>
      <c r="T8300">
        <v>-0.14788009999999999</v>
      </c>
      <c r="U8300">
        <v>0.43338009999999899</v>
      </c>
      <c r="V8300">
        <v>2.9877259999999999E-2</v>
      </c>
      <c r="W8300">
        <v>-0.13759679999999999</v>
      </c>
      <c r="X8300">
        <v>0.99003759999999996</v>
      </c>
      <c r="Y8300">
        <v>0.2077821</v>
      </c>
      <c r="Z8300">
        <v>-1.962761E-2</v>
      </c>
      <c r="AA8300">
        <v>0.97797820000000002</v>
      </c>
      <c r="AB8300">
        <v>26</v>
      </c>
      <c r="AC8300">
        <v>22.734199999999898</v>
      </c>
      <c r="AD8300">
        <v>-1.11705700013</v>
      </c>
      <c r="AE8300">
        <v>3.22589999999999</v>
      </c>
      <c r="AF8300">
        <v>4.8001711912451004</v>
      </c>
      <c r="AG8300">
        <v>-1.11705700013</v>
      </c>
      <c r="AH8300">
        <v>22.399148105625599</v>
      </c>
      <c r="AI8300">
        <v>92.791722767987594</v>
      </c>
      <c r="AJ8300">
        <v>77.904377803378296</v>
      </c>
      <c r="AK8300">
        <v>22.934936138226998</v>
      </c>
      <c r="AL8300">
        <v>97.908807269278896</v>
      </c>
      <c r="AM8300">
        <v>88.271458049697998</v>
      </c>
      <c r="AN8300">
        <v>0.99999998972455295</v>
      </c>
    </row>
    <row r="8301" spans="1:40" x14ac:dyDescent="0.25">
      <c r="A8301" t="str">
        <f>"20190305135123336"</f>
        <v>20190305135123336</v>
      </c>
      <c r="B8301" t="str">
        <f>"1551765083327535"</f>
        <v>1551765083327535</v>
      </c>
      <c r="C8301" t="s">
        <v>40</v>
      </c>
      <c r="D8301">
        <v>4.146827</v>
      </c>
      <c r="E8301">
        <v>0.56999429999999995</v>
      </c>
      <c r="F8301" t="s">
        <v>42</v>
      </c>
      <c r="G8301">
        <v>-149.24940000000001</v>
      </c>
      <c r="H8301" s="1">
        <v>-1.307846E-6</v>
      </c>
      <c r="I8301">
        <v>135.60849999999999</v>
      </c>
      <c r="J8301">
        <v>-172.6369</v>
      </c>
      <c r="K8301">
        <v>1.116692</v>
      </c>
      <c r="L8301">
        <v>132.25470000000001</v>
      </c>
      <c r="M8301">
        <v>0.93928250000000002</v>
      </c>
      <c r="N8301">
        <v>-7.0254159999999996E-3</v>
      </c>
      <c r="O8301">
        <v>0.34307290000000001</v>
      </c>
      <c r="P8301">
        <v>0.93923889999999999</v>
      </c>
      <c r="Q8301">
        <v>-0.14302200000000001</v>
      </c>
      <c r="R8301">
        <v>0.31204969999999999</v>
      </c>
      <c r="S8301">
        <v>3.0267490000000001</v>
      </c>
      <c r="T8301">
        <v>-0.143770799999999</v>
      </c>
      <c r="U8301">
        <v>0.43745420000000002</v>
      </c>
      <c r="V8301">
        <v>2.7310190000000002E-2</v>
      </c>
      <c r="W8301">
        <v>-0.13644429999999999</v>
      </c>
      <c r="X8301">
        <v>0.99027120000000002</v>
      </c>
      <c r="Y8301">
        <v>0.20467679999999999</v>
      </c>
      <c r="Z8301">
        <v>-1.8957729999999999E-2</v>
      </c>
      <c r="AA8301">
        <v>0.97864600000000002</v>
      </c>
      <c r="AB8301">
        <v>26</v>
      </c>
      <c r="AC8301">
        <v>23.3874999999999</v>
      </c>
      <c r="AD8301">
        <v>-1.116693307846</v>
      </c>
      <c r="AE8301">
        <v>3.3537999999999699</v>
      </c>
      <c r="AF8301">
        <v>4.8627093937923496</v>
      </c>
      <c r="AG8301">
        <v>-1.116693307846</v>
      </c>
      <c r="AH8301">
        <v>23.067108884871601</v>
      </c>
      <c r="AI8301">
        <v>92.712046887408107</v>
      </c>
      <c r="AJ8301">
        <v>78.095940076755994</v>
      </c>
      <c r="AK8301">
        <v>23.6005181913191</v>
      </c>
      <c r="AL8301">
        <v>97.842145278882597</v>
      </c>
      <c r="AM8301">
        <v>88.420269012137297</v>
      </c>
      <c r="AN8301">
        <v>0.99999997151488196</v>
      </c>
    </row>
    <row r="8302" spans="1:40" x14ac:dyDescent="0.25">
      <c r="A8302" t="str">
        <f>"20190305135123349"</f>
        <v>20190305135123349</v>
      </c>
      <c r="B8302" t="str">
        <f>"1551765083338271"</f>
        <v>1551765083338271</v>
      </c>
      <c r="C8302" t="s">
        <v>40</v>
      </c>
      <c r="D8302">
        <v>4.1696960000000001</v>
      </c>
      <c r="E8302">
        <v>0.56997900000000001</v>
      </c>
      <c r="F8302" t="s">
        <v>42</v>
      </c>
      <c r="G8302">
        <v>-148.40389999999999</v>
      </c>
      <c r="H8302" s="1">
        <v>-1.5504079999999901E-6</v>
      </c>
      <c r="I8302">
        <v>135.7782</v>
      </c>
      <c r="J8302">
        <v>-172.49420000000001</v>
      </c>
      <c r="K8302">
        <v>1.11626</v>
      </c>
      <c r="L8302">
        <v>132.30439999999999</v>
      </c>
      <c r="M8302">
        <v>0.93997839999999999</v>
      </c>
      <c r="N8302">
        <v>-6.6928980000000001E-3</v>
      </c>
      <c r="O8302">
        <v>0.34116849999999999</v>
      </c>
      <c r="P8302">
        <v>0.93911929999999999</v>
      </c>
      <c r="Q8302">
        <v>-0.14269100000000001</v>
      </c>
      <c r="R8302">
        <v>0.31256139999999999</v>
      </c>
      <c r="S8302">
        <v>3.0266419999999998</v>
      </c>
      <c r="T8302">
        <v>-0.13947200000000001</v>
      </c>
      <c r="U8302">
        <v>0.44007869999999999</v>
      </c>
      <c r="V8302">
        <v>2.4961420000000002E-2</v>
      </c>
      <c r="W8302">
        <v>-0.13637539999999901</v>
      </c>
      <c r="X8302">
        <v>0.99034270000000002</v>
      </c>
      <c r="Y8302">
        <v>0.20188919999999999</v>
      </c>
      <c r="Z8302">
        <v>-1.8278800000000001E-2</v>
      </c>
      <c r="AA8302">
        <v>0.97923780000000005</v>
      </c>
      <c r="AB8302">
        <v>26</v>
      </c>
      <c r="AC8302">
        <v>24.090299999999999</v>
      </c>
      <c r="AD8302">
        <v>-1.116261550408</v>
      </c>
      <c r="AE8302">
        <v>3.47380000000001</v>
      </c>
      <c r="AF8302">
        <v>4.9432677941659096</v>
      </c>
      <c r="AG8302">
        <v>-1.116261550408</v>
      </c>
      <c r="AH8302">
        <v>23.780027436795699</v>
      </c>
      <c r="AI8302">
        <v>92.631385539051806</v>
      </c>
      <c r="AJ8302">
        <v>78.256894059058794</v>
      </c>
      <c r="AK8302">
        <v>24.3140214943665</v>
      </c>
      <c r="AL8302">
        <v>97.838160182284597</v>
      </c>
      <c r="AM8302">
        <v>88.556175276889505</v>
      </c>
      <c r="AN8302">
        <v>0.99999999282843299</v>
      </c>
    </row>
    <row r="8303" spans="1:40" x14ac:dyDescent="0.25">
      <c r="A8303" t="str">
        <f>"20190305135123361"</f>
        <v>20190305135123361</v>
      </c>
      <c r="B8303" t="str">
        <f>"1551765083357792"</f>
        <v>1551765083357792</v>
      </c>
      <c r="C8303" t="s">
        <v>40</v>
      </c>
      <c r="D8303">
        <v>4.2701510000000003</v>
      </c>
      <c r="E8303">
        <v>0.55777639999999995</v>
      </c>
      <c r="F8303" t="s">
        <v>42</v>
      </c>
      <c r="G8303">
        <v>-148.18860000000001</v>
      </c>
      <c r="H8303" s="1">
        <v>-1.605471E-6</v>
      </c>
      <c r="I8303">
        <v>135.8466</v>
      </c>
      <c r="J8303">
        <v>-172.35990000000001</v>
      </c>
      <c r="K8303">
        <v>1.1157809999999999</v>
      </c>
      <c r="L8303">
        <v>132.3509</v>
      </c>
      <c r="M8303">
        <v>0.9405734</v>
      </c>
      <c r="N8303">
        <v>-6.3674730000000002E-3</v>
      </c>
      <c r="O8303">
        <v>0.33953070000000002</v>
      </c>
      <c r="P8303">
        <v>0.93822870000000003</v>
      </c>
      <c r="Q8303">
        <v>-0.1447822</v>
      </c>
      <c r="R8303">
        <v>0.31426929999999997</v>
      </c>
      <c r="S8303">
        <v>3.0265659999999999</v>
      </c>
      <c r="T8303">
        <v>-0.1389986</v>
      </c>
      <c r="U8303">
        <v>0.44108579999999997</v>
      </c>
      <c r="V8303">
        <v>2.1439280000000002E-2</v>
      </c>
      <c r="W8303">
        <v>-0.13872490000000001</v>
      </c>
      <c r="X8303">
        <v>0.99009879999999995</v>
      </c>
      <c r="Y8303">
        <v>0.19986370000000001</v>
      </c>
      <c r="Z8303">
        <v>-1.817885E-2</v>
      </c>
      <c r="AA8303">
        <v>0.97965500000000005</v>
      </c>
      <c r="AB8303">
        <v>26</v>
      </c>
      <c r="AC8303">
        <v>24.171299999999999</v>
      </c>
      <c r="AD8303">
        <v>-1.1157826054709901</v>
      </c>
      <c r="AE8303">
        <v>3.4956999999999998</v>
      </c>
      <c r="AF8303">
        <v>4.9087900386752699</v>
      </c>
      <c r="AG8303">
        <v>-1.1157826054709901</v>
      </c>
      <c r="AH8303">
        <v>23.872437555823598</v>
      </c>
      <c r="AI8303">
        <v>92.621257540779595</v>
      </c>
      <c r="AJ8303">
        <v>78.380466151409493</v>
      </c>
      <c r="AK8303">
        <v>24.3974274324808</v>
      </c>
      <c r="AL8303">
        <v>97.974068932316001</v>
      </c>
      <c r="AM8303">
        <v>88.759529528332607</v>
      </c>
      <c r="AN8303">
        <v>0.99999993718418201</v>
      </c>
    </row>
    <row r="8304" spans="1:40" x14ac:dyDescent="0.25">
      <c r="A8304" t="str">
        <f>"20190305135123385"</f>
        <v>20190305135123385</v>
      </c>
      <c r="B8304" t="str">
        <f>"1551765083378287"</f>
        <v>1551765083378287</v>
      </c>
      <c r="C8304" t="s">
        <v>40</v>
      </c>
      <c r="D8304">
        <v>4.3085719999999998</v>
      </c>
      <c r="E8304">
        <v>0.55774860000000004</v>
      </c>
      <c r="F8304" t="s">
        <v>41</v>
      </c>
      <c r="G8304">
        <v>-171.5401</v>
      </c>
      <c r="H8304">
        <v>1.0408170000000001</v>
      </c>
      <c r="I8304">
        <v>132.4949</v>
      </c>
      <c r="J8304">
        <v>-172.0986</v>
      </c>
      <c r="K8304">
        <v>1.114838</v>
      </c>
      <c r="L8304">
        <v>132.44110000000001</v>
      </c>
      <c r="M8304">
        <v>0.94162570000000001</v>
      </c>
      <c r="N8304">
        <v>-5.7299300000000003E-3</v>
      </c>
      <c r="O8304">
        <v>0.3366132</v>
      </c>
      <c r="P8304">
        <v>0.93838390000000005</v>
      </c>
      <c r="Q8304">
        <v>-0.146311</v>
      </c>
      <c r="R8304">
        <v>0.31309579999999998</v>
      </c>
      <c r="S8304">
        <v>2.9800870000000002</v>
      </c>
      <c r="T8304">
        <v>-0.27250400000000002</v>
      </c>
      <c r="U8304">
        <v>0.52357480000000001</v>
      </c>
      <c r="V8304">
        <v>1.974414E-2</v>
      </c>
      <c r="W8304">
        <v>-0.1408314</v>
      </c>
      <c r="X8304">
        <v>0.98983670000000001</v>
      </c>
      <c r="Y8304">
        <v>0.1667544</v>
      </c>
      <c r="Z8304">
        <v>-3.588525E-2</v>
      </c>
      <c r="AA8304">
        <v>0.98534520000000003</v>
      </c>
      <c r="AB8304">
        <v>26</v>
      </c>
      <c r="AC8304">
        <v>0.55850000000000899</v>
      </c>
      <c r="AD8304">
        <v>-7.4020999999999795E-2</v>
      </c>
      <c r="AE8304">
        <v>5.37999999999954E-2</v>
      </c>
      <c r="AF8304">
        <v>0.13499183336412299</v>
      </c>
      <c r="AG8304">
        <v>-7.4020999999999795E-2</v>
      </c>
      <c r="AH8304">
        <v>0.53471044330491002</v>
      </c>
      <c r="AI8304">
        <v>97.644593014684204</v>
      </c>
      <c r="AJ8304">
        <v>75.831294296686295</v>
      </c>
      <c r="AK8304">
        <v>0.55643253112604796</v>
      </c>
      <c r="AL8304">
        <v>98.095958598305302</v>
      </c>
      <c r="AM8304">
        <v>88.857280302719602</v>
      </c>
      <c r="AN8304">
        <v>1.0000000034785901</v>
      </c>
    </row>
    <row r="8305" spans="1:40" x14ac:dyDescent="0.25">
      <c r="A8305" t="str">
        <f>"20190305135123403"</f>
        <v>20190305135123403</v>
      </c>
      <c r="B8305" t="str">
        <f>"1551765083398394"</f>
        <v>1551765083398394</v>
      </c>
      <c r="C8305" t="s">
        <v>40</v>
      </c>
      <c r="D8305">
        <v>4.2991609999999998</v>
      </c>
      <c r="E8305">
        <v>0.5582973</v>
      </c>
      <c r="F8305" t="s">
        <v>41</v>
      </c>
      <c r="G8305">
        <v>-171.31819999999999</v>
      </c>
      <c r="H8305">
        <v>1.040734</v>
      </c>
      <c r="I8305">
        <v>132.57679999999999</v>
      </c>
      <c r="J8305">
        <v>-171.90010000000001</v>
      </c>
      <c r="K8305">
        <v>1.114114</v>
      </c>
      <c r="L8305">
        <v>132.50919999999999</v>
      </c>
      <c r="M8305">
        <v>0.94230789999999998</v>
      </c>
      <c r="N8305">
        <v>-5.2542309999999998E-3</v>
      </c>
      <c r="O8305">
        <v>0.33470609999999901</v>
      </c>
      <c r="P8305">
        <v>0.93904980000000005</v>
      </c>
      <c r="Q8305">
        <v>-0.14560809999999999</v>
      </c>
      <c r="R8305">
        <v>0.31142199999999998</v>
      </c>
      <c r="S8305">
        <v>2.9796749999999999</v>
      </c>
      <c r="T8305">
        <v>-0.2829334</v>
      </c>
      <c r="U8305">
        <v>0.51914979999999999</v>
      </c>
      <c r="V8305">
        <v>1.968988E-2</v>
      </c>
      <c r="W8305">
        <v>-0.1405766</v>
      </c>
      <c r="X8305">
        <v>0.98987400000000003</v>
      </c>
      <c r="Y8305">
        <v>0.1660045</v>
      </c>
      <c r="Z8305">
        <v>-3.7248000000000003E-2</v>
      </c>
      <c r="AA8305">
        <v>0.98542130000000006</v>
      </c>
      <c r="AB8305">
        <v>26</v>
      </c>
      <c r="AC8305">
        <v>0.58190000000001796</v>
      </c>
      <c r="AD8305">
        <v>-7.3380000000000001E-2</v>
      </c>
      <c r="AE8305">
        <v>6.7599999999998703E-2</v>
      </c>
      <c r="AF8305">
        <v>0.12904253559291701</v>
      </c>
      <c r="AG8305">
        <v>-7.3380000000000001E-2</v>
      </c>
      <c r="AH8305">
        <v>0.56214269276220696</v>
      </c>
      <c r="AI8305">
        <v>97.250624477680702</v>
      </c>
      <c r="AJ8305">
        <v>77.071466065636798</v>
      </c>
      <c r="AK8305">
        <v>0.58141294053210901</v>
      </c>
      <c r="AL8305">
        <v>98.0812129364801</v>
      </c>
      <c r="AM8305">
        <v>88.860462776619499</v>
      </c>
      <c r="AN8305">
        <v>1.00000000385898</v>
      </c>
    </row>
    <row r="8306" spans="1:40" x14ac:dyDescent="0.25">
      <c r="A8306" t="str">
        <f>"20190305135123416"</f>
        <v>20190305135123416</v>
      </c>
      <c r="B8306" t="str">
        <f>"1551765083408155"</f>
        <v>1551765083408155</v>
      </c>
      <c r="C8306" t="s">
        <v>40</v>
      </c>
      <c r="D8306">
        <v>4.291601</v>
      </c>
      <c r="E8306">
        <v>0.55843379999999998</v>
      </c>
      <c r="F8306" t="s">
        <v>41</v>
      </c>
      <c r="G8306">
        <v>-171.09119999999999</v>
      </c>
      <c r="H8306">
        <v>1.0388649999999999</v>
      </c>
      <c r="I8306">
        <v>132.64750000000001</v>
      </c>
      <c r="J8306">
        <v>-171.7336</v>
      </c>
      <c r="K8306">
        <v>1.1135189999999999</v>
      </c>
      <c r="L8306">
        <v>132.56620000000001</v>
      </c>
      <c r="M8306">
        <v>0.94281999999999999</v>
      </c>
      <c r="N8306">
        <v>-4.8716710000000002E-3</v>
      </c>
      <c r="O8306">
        <v>0.33326709999999998</v>
      </c>
      <c r="P8306">
        <v>0.93982679999999996</v>
      </c>
      <c r="Q8306">
        <v>-0.1443499</v>
      </c>
      <c r="R8306">
        <v>0.30965939999999997</v>
      </c>
      <c r="S8306">
        <v>2.9826199999999998</v>
      </c>
      <c r="T8306">
        <v>-0.2774529</v>
      </c>
      <c r="U8306">
        <v>0.50979609999999997</v>
      </c>
      <c r="V8306">
        <v>2.021564E-2</v>
      </c>
      <c r="W8306">
        <v>-0.1396839</v>
      </c>
      <c r="X8306">
        <v>0.98998980000000003</v>
      </c>
      <c r="Y8306">
        <v>0.1677341</v>
      </c>
      <c r="Z8306">
        <v>-3.6544819999999999E-2</v>
      </c>
      <c r="AA8306">
        <v>0.98515469999999905</v>
      </c>
      <c r="AB8306">
        <v>26</v>
      </c>
      <c r="AC8306">
        <v>0.64240000000000896</v>
      </c>
      <c r="AD8306">
        <v>-7.4654000000000206E-2</v>
      </c>
      <c r="AE8306">
        <v>8.1299999999998804E-2</v>
      </c>
      <c r="AF8306">
        <v>0.13563821352455599</v>
      </c>
      <c r="AG8306">
        <v>-7.4654000000000206E-2</v>
      </c>
      <c r="AH8306">
        <v>0.62446909534247597</v>
      </c>
      <c r="AI8306">
        <v>96.663314484977306</v>
      </c>
      <c r="AJ8306">
        <v>77.745384051265205</v>
      </c>
      <c r="AK8306">
        <v>0.643375936542535</v>
      </c>
      <c r="AL8306">
        <v>98.029555046417002</v>
      </c>
      <c r="AM8306">
        <v>88.830179966383398</v>
      </c>
      <c r="AN8306">
        <v>1.00000003406192</v>
      </c>
    </row>
    <row r="8307" spans="1:40" x14ac:dyDescent="0.25">
      <c r="A8307" t="str">
        <f>"20190305135123433"</f>
        <v>20190305135123433</v>
      </c>
      <c r="B8307" t="str">
        <f>"1551765083427675"</f>
        <v>1551765083427675</v>
      </c>
      <c r="C8307" t="s">
        <v>40</v>
      </c>
      <c r="D8307">
        <v>4.3809110000000002</v>
      </c>
      <c r="E8307">
        <v>0.55834189999999995</v>
      </c>
      <c r="F8307" t="s">
        <v>41</v>
      </c>
      <c r="G8307">
        <v>-170.8621</v>
      </c>
      <c r="H8307">
        <v>1.033955</v>
      </c>
      <c r="I8307">
        <v>132.7131</v>
      </c>
      <c r="J8307">
        <v>-171.5566</v>
      </c>
      <c r="K8307">
        <v>1.112932</v>
      </c>
      <c r="L8307">
        <v>132.6267</v>
      </c>
      <c r="M8307">
        <v>0.94331520000000002</v>
      </c>
      <c r="N8307">
        <v>-4.4850810000000001E-3</v>
      </c>
      <c r="O8307">
        <v>0.331868</v>
      </c>
      <c r="P8307">
        <v>0.94024129999999995</v>
      </c>
      <c r="Q8307">
        <v>-0.14445229999999901</v>
      </c>
      <c r="R8307">
        <v>0.30835010000000002</v>
      </c>
      <c r="S8307">
        <v>2.9844970000000002</v>
      </c>
      <c r="T8307">
        <v>-0.27249839999999997</v>
      </c>
      <c r="U8307">
        <v>0.50289919999999999</v>
      </c>
      <c r="V8307">
        <v>2.022353E-2</v>
      </c>
      <c r="W8307">
        <v>-0.1401529</v>
      </c>
      <c r="X8307">
        <v>0.98992329999999995</v>
      </c>
      <c r="Y8307">
        <v>0.168651</v>
      </c>
      <c r="Z8307">
        <v>-3.588852E-2</v>
      </c>
      <c r="AA8307">
        <v>0.98502219999999996</v>
      </c>
      <c r="AB8307">
        <v>27</v>
      </c>
      <c r="AC8307">
        <v>0.694500000000005</v>
      </c>
      <c r="AD8307">
        <v>-7.8977000000000006E-2</v>
      </c>
      <c r="AE8307">
        <v>8.6399999999997507E-2</v>
      </c>
      <c r="AF8307">
        <v>0.147108019385575</v>
      </c>
      <c r="AG8307">
        <v>-7.8977000000000006E-2</v>
      </c>
      <c r="AH8307">
        <v>0.67521405258895995</v>
      </c>
      <c r="AI8307">
        <v>96.519758363261005</v>
      </c>
      <c r="AJ8307">
        <v>77.709109502322093</v>
      </c>
      <c r="AK8307">
        <v>0.69555168945963597</v>
      </c>
      <c r="AL8307">
        <v>98.056694140924705</v>
      </c>
      <c r="AM8307">
        <v>88.829644928374094</v>
      </c>
      <c r="AN8307">
        <v>0.99999998321348005</v>
      </c>
    </row>
    <row r="8308" spans="1:40" x14ac:dyDescent="0.25">
      <c r="A8308" t="str">
        <f>"20190305135123445"</f>
        <v>20190305135123445</v>
      </c>
      <c r="B8308" t="str">
        <f>"1551765083438411"</f>
        <v>1551765083438411</v>
      </c>
      <c r="C8308" t="s">
        <v>40</v>
      </c>
      <c r="D8308">
        <v>4.2903029999999998</v>
      </c>
      <c r="E8308">
        <v>0.55845749999999905</v>
      </c>
      <c r="F8308" t="s">
        <v>41</v>
      </c>
      <c r="G8308">
        <v>-170.63200000000001</v>
      </c>
      <c r="H8308">
        <v>1.029482</v>
      </c>
      <c r="I8308">
        <v>132.78139999999999</v>
      </c>
      <c r="J8308">
        <v>-171.4134</v>
      </c>
      <c r="K8308">
        <v>1.112484</v>
      </c>
      <c r="L8308">
        <v>132.6755</v>
      </c>
      <c r="M8308">
        <v>0.94367820000000002</v>
      </c>
      <c r="N8308">
        <v>-4.1933459999999997E-3</v>
      </c>
      <c r="O8308">
        <v>0.33083820000000003</v>
      </c>
      <c r="P8308">
        <v>0.94068770000000002</v>
      </c>
      <c r="Q8308">
        <v>-0.1452891</v>
      </c>
      <c r="R8308">
        <v>0.306591</v>
      </c>
      <c r="S8308">
        <v>2.9853969999999999</v>
      </c>
      <c r="T8308">
        <v>-0.26943869999999998</v>
      </c>
      <c r="U8308">
        <v>0.49969479999999999</v>
      </c>
      <c r="V8308">
        <v>2.102418E-2</v>
      </c>
      <c r="W8308">
        <v>-0.14127200000000001</v>
      </c>
      <c r="X8308">
        <v>0.9897475</v>
      </c>
      <c r="Y8308">
        <v>0.16869239999999999</v>
      </c>
      <c r="Z8308">
        <v>-3.5461100000000002E-2</v>
      </c>
      <c r="AA8308">
        <v>0.98503070000000004</v>
      </c>
      <c r="AB8308">
        <v>27</v>
      </c>
      <c r="AC8308">
        <v>0.78139999999998999</v>
      </c>
      <c r="AD8308">
        <v>-8.3002000000000006E-2</v>
      </c>
      <c r="AE8308">
        <v>0.105899999999991</v>
      </c>
      <c r="AF8308">
        <v>0.15684505135622701</v>
      </c>
      <c r="AG8308">
        <v>-8.3002000000000006E-2</v>
      </c>
      <c r="AH8308">
        <v>0.763968188645338</v>
      </c>
      <c r="AI8308">
        <v>96.074901486129903</v>
      </c>
      <c r="AJ8308">
        <v>78.398207803519497</v>
      </c>
      <c r="AK8308">
        <v>0.78430676103229902</v>
      </c>
      <c r="AL8308">
        <v>98.121458461598493</v>
      </c>
      <c r="AM8308">
        <v>88.783108165496699</v>
      </c>
      <c r="AN8308">
        <v>0.99999995394246</v>
      </c>
    </row>
    <row r="8309" spans="1:40" x14ac:dyDescent="0.25">
      <c r="A8309" t="str">
        <f>"20190305135123456"</f>
        <v>20190305135123456</v>
      </c>
      <c r="B8309" t="str">
        <f>"1551765083448171"</f>
        <v>1551765083448171</v>
      </c>
      <c r="C8309" t="s">
        <v>40</v>
      </c>
      <c r="D8309">
        <v>4.293221</v>
      </c>
      <c r="E8309">
        <v>0.5585502</v>
      </c>
      <c r="F8309" t="s">
        <v>41</v>
      </c>
      <c r="G8309">
        <v>-170.6344</v>
      </c>
      <c r="H8309">
        <v>1.04149</v>
      </c>
      <c r="I8309">
        <v>132.80410000000001</v>
      </c>
      <c r="J8309">
        <v>-171.27670000000001</v>
      </c>
      <c r="K8309">
        <v>1.1120969999999999</v>
      </c>
      <c r="L8309">
        <v>132.72200000000001</v>
      </c>
      <c r="M8309">
        <v>0.9440016</v>
      </c>
      <c r="N8309">
        <v>-3.9314479999999997E-3</v>
      </c>
      <c r="O8309">
        <v>0.32991789999999999</v>
      </c>
      <c r="P8309">
        <v>0.94100969999999995</v>
      </c>
      <c r="Q8309">
        <v>-0.14611849999999901</v>
      </c>
      <c r="R8309">
        <v>0.30520530000000001</v>
      </c>
      <c r="S8309">
        <v>2.9864199999999999</v>
      </c>
      <c r="T8309">
        <v>-0.27217279999999999</v>
      </c>
      <c r="U8309">
        <v>0.49317929999999999</v>
      </c>
      <c r="V8309">
        <v>2.1540630000000002E-2</v>
      </c>
      <c r="W8309">
        <v>-0.1423527</v>
      </c>
      <c r="X8309">
        <v>0.98958159999999895</v>
      </c>
      <c r="Y8309">
        <v>0.16983239999999999</v>
      </c>
      <c r="Z8309">
        <v>-3.5871420000000001E-2</v>
      </c>
      <c r="AA8309">
        <v>0.98481989999999997</v>
      </c>
      <c r="AB8309">
        <v>27</v>
      </c>
      <c r="AC8309">
        <v>0.64230000000000498</v>
      </c>
      <c r="AD8309">
        <v>-7.0606999999999795E-2</v>
      </c>
      <c r="AE8309">
        <v>8.2099999999996898E-2</v>
      </c>
      <c r="AF8309">
        <v>0.13282546168609599</v>
      </c>
      <c r="AG8309">
        <v>-7.0606999999999795E-2</v>
      </c>
      <c r="AH8309">
        <v>0.62598039038944897</v>
      </c>
      <c r="AI8309">
        <v>96.296415729458204</v>
      </c>
      <c r="AJ8309">
        <v>78.020211437585601</v>
      </c>
      <c r="AK8309">
        <v>0.64380074625092798</v>
      </c>
      <c r="AL8309">
        <v>98.184009676622495</v>
      </c>
      <c r="AM8309">
        <v>88.753016108180702</v>
      </c>
      <c r="AN8309">
        <v>1.00000001649832</v>
      </c>
    </row>
    <row r="8310" spans="1:40" x14ac:dyDescent="0.25">
      <c r="A8310" t="str">
        <f>"20190305135123469"</f>
        <v>20190305135123469</v>
      </c>
      <c r="B8310" t="str">
        <f>"1551765083457932"</f>
        <v>1551765083457932</v>
      </c>
      <c r="C8310" t="s">
        <v>40</v>
      </c>
      <c r="D8310">
        <v>4.2909069999999998</v>
      </c>
      <c r="E8310">
        <v>0.55845159999999905</v>
      </c>
      <c r="F8310" t="s">
        <v>41</v>
      </c>
      <c r="G8310">
        <v>-170.40219999999999</v>
      </c>
      <c r="H8310">
        <v>1.0321020000000001</v>
      </c>
      <c r="I8310">
        <v>132.86490000000001</v>
      </c>
      <c r="J8310">
        <v>-171.13339999999999</v>
      </c>
      <c r="K8310">
        <v>1.1117140000000001</v>
      </c>
      <c r="L8310">
        <v>132.77080000000001</v>
      </c>
      <c r="M8310">
        <v>0.94432559999999999</v>
      </c>
      <c r="N8310">
        <v>-3.6672620000000001E-3</v>
      </c>
      <c r="O8310">
        <v>0.32899220000000001</v>
      </c>
      <c r="P8310">
        <v>0.94141699999999995</v>
      </c>
      <c r="Q8310">
        <v>-0.14694969999999999</v>
      </c>
      <c r="R8310">
        <v>0.30354540000000002</v>
      </c>
      <c r="S8310">
        <v>2.987244</v>
      </c>
      <c r="T8310">
        <v>-0.27332790000000001</v>
      </c>
      <c r="U8310">
        <v>0.48829650000000002</v>
      </c>
      <c r="V8310">
        <v>2.234131E-2</v>
      </c>
      <c r="W8310">
        <v>-0.14343819999999999</v>
      </c>
      <c r="X8310">
        <v>0.98940709999999998</v>
      </c>
      <c r="Y8310">
        <v>0.17045629999999901</v>
      </c>
      <c r="Z8310">
        <v>-3.604338E-2</v>
      </c>
      <c r="AA8310">
        <v>0.98470579999999996</v>
      </c>
      <c r="AB8310">
        <v>27</v>
      </c>
      <c r="AC8310">
        <v>0.73120000000000096</v>
      </c>
      <c r="AD8310">
        <v>-7.9611999999999794E-2</v>
      </c>
      <c r="AE8310">
        <v>9.4099999999997394E-2</v>
      </c>
      <c r="AF8310">
        <v>0.14995043306244099</v>
      </c>
      <c r="AG8310">
        <v>-7.9611999999999794E-2</v>
      </c>
      <c r="AH8310">
        <v>0.71313765216064695</v>
      </c>
      <c r="AI8310">
        <v>96.2346831318835</v>
      </c>
      <c r="AJ8310">
        <v>78.125483790723493</v>
      </c>
      <c r="AK8310">
        <v>0.733067878063698</v>
      </c>
      <c r="AL8310">
        <v>98.246849003402005</v>
      </c>
      <c r="AM8310">
        <v>88.7064522993266</v>
      </c>
      <c r="AN8310">
        <v>1.0000000304410801</v>
      </c>
    </row>
    <row r="8311" spans="1:40" x14ac:dyDescent="0.25">
      <c r="A8311" t="str">
        <f>"20190305135123482"</f>
        <v>20190305135123482</v>
      </c>
      <c r="B8311" t="str">
        <f>"1551765083478426"</f>
        <v>1551765083478426</v>
      </c>
      <c r="C8311" t="s">
        <v>40</v>
      </c>
      <c r="D8311">
        <v>4.1677410000000004</v>
      </c>
      <c r="E8311">
        <v>0.55929619999999902</v>
      </c>
      <c r="F8311" t="s">
        <v>41</v>
      </c>
      <c r="G8311">
        <v>-170.40469999999999</v>
      </c>
      <c r="H8311">
        <v>1.0445</v>
      </c>
      <c r="I8311">
        <v>132.8886</v>
      </c>
      <c r="J8311">
        <v>-170.98849999999999</v>
      </c>
      <c r="K8311">
        <v>1.1113759999999999</v>
      </c>
      <c r="L8311">
        <v>132.81989999999999</v>
      </c>
      <c r="M8311">
        <v>0.94461519999999999</v>
      </c>
      <c r="N8311">
        <v>-3.4266040000000002E-3</v>
      </c>
      <c r="O8311">
        <v>0.32816210000000001</v>
      </c>
      <c r="P8311">
        <v>0.94175089999999995</v>
      </c>
      <c r="Q8311">
        <v>-0.14768510000000001</v>
      </c>
      <c r="R8311">
        <v>0.30214999999999997</v>
      </c>
      <c r="S8311">
        <v>2.9876559999999999</v>
      </c>
      <c r="T8311">
        <v>-0.27564820000000001</v>
      </c>
      <c r="U8311">
        <v>0.48384090000000002</v>
      </c>
      <c r="V8311">
        <v>2.2965200000000002E-2</v>
      </c>
      <c r="W8311">
        <v>-0.1444037</v>
      </c>
      <c r="X8311">
        <v>0.98925229999999997</v>
      </c>
      <c r="Y8311">
        <v>0.17100509999999999</v>
      </c>
      <c r="Z8311">
        <v>-3.6373780000000001E-2</v>
      </c>
      <c r="AA8311">
        <v>0.98459850000000004</v>
      </c>
      <c r="AB8311">
        <v>27</v>
      </c>
      <c r="AC8311">
        <v>0.58379999999999599</v>
      </c>
      <c r="AD8311">
        <v>-6.6875999999999894E-2</v>
      </c>
      <c r="AE8311">
        <v>6.8700000000006797E-2</v>
      </c>
      <c r="AF8311">
        <v>0.125067943052345</v>
      </c>
      <c r="AG8311">
        <v>-6.6875999999999894E-2</v>
      </c>
      <c r="AH8311">
        <v>0.56667984992046005</v>
      </c>
      <c r="AI8311">
        <v>96.573791587895499</v>
      </c>
      <c r="AJ8311">
        <v>77.554167699639095</v>
      </c>
      <c r="AK8311">
        <v>0.58415789137973595</v>
      </c>
      <c r="AL8311">
        <v>98.302750551334199</v>
      </c>
      <c r="AM8311">
        <v>88.670134262979303</v>
      </c>
      <c r="AN8311">
        <v>0.99999997102000904</v>
      </c>
    </row>
    <row r="8312" spans="1:40" x14ac:dyDescent="0.25">
      <c r="A8312" t="str">
        <f>"20190305135123495"</f>
        <v>20190305135123495</v>
      </c>
      <c r="B8312" t="str">
        <f>"1551765083487763"</f>
        <v>1551765083487763</v>
      </c>
      <c r="C8312" t="s">
        <v>40</v>
      </c>
      <c r="D8312">
        <v>4.3124129999999896</v>
      </c>
      <c r="E8312">
        <v>0.55919960000000002</v>
      </c>
      <c r="F8312" t="s">
        <v>41</v>
      </c>
      <c r="G8312">
        <v>-170.1688</v>
      </c>
      <c r="H8312">
        <v>1.0387839999999999</v>
      </c>
      <c r="I8312">
        <v>132.94980000000001</v>
      </c>
      <c r="J8312">
        <v>-170.8295</v>
      </c>
      <c r="K8312">
        <v>1.11103</v>
      </c>
      <c r="L8312">
        <v>132.87389999999999</v>
      </c>
      <c r="M8312">
        <v>0.94491380000000003</v>
      </c>
      <c r="N8312">
        <v>-3.1754840000000001E-3</v>
      </c>
      <c r="O8312">
        <v>0.32730419999999999</v>
      </c>
      <c r="P8312">
        <v>0.94232079999999996</v>
      </c>
      <c r="Q8312">
        <v>-0.1490515</v>
      </c>
      <c r="R8312">
        <v>0.29969249999999997</v>
      </c>
      <c r="S8312">
        <v>2.9918209999999998</v>
      </c>
      <c r="T8312">
        <v>-0.26498929999999998</v>
      </c>
      <c r="U8312">
        <v>0.47434999999999999</v>
      </c>
      <c r="V8312">
        <v>2.4643000000000002E-2</v>
      </c>
      <c r="W8312">
        <v>-0.14601420000000001</v>
      </c>
      <c r="X8312">
        <v>0.98897550000000001</v>
      </c>
      <c r="Y8312">
        <v>0.17351179999999999</v>
      </c>
      <c r="Z8312">
        <v>-3.5011269999999997E-2</v>
      </c>
      <c r="AA8312">
        <v>0.98420920000000001</v>
      </c>
      <c r="AB8312">
        <v>27</v>
      </c>
      <c r="AC8312">
        <v>0.66069999999999096</v>
      </c>
      <c r="AD8312">
        <v>-7.2246000000000005E-2</v>
      </c>
      <c r="AE8312">
        <v>7.5900000000018494E-2</v>
      </c>
      <c r="AF8312">
        <v>0.142845892056259</v>
      </c>
      <c r="AG8312">
        <v>-7.2246000000000005E-2</v>
      </c>
      <c r="AH8312">
        <v>0.641578759664024</v>
      </c>
      <c r="AI8312">
        <v>96.272497527527193</v>
      </c>
      <c r="AJ8312">
        <v>77.447975688206199</v>
      </c>
      <c r="AK8312">
        <v>0.66124710830776101</v>
      </c>
      <c r="AL8312">
        <v>98.396013823794107</v>
      </c>
      <c r="AM8312">
        <v>88.572616022732007</v>
      </c>
      <c r="AN8312">
        <v>0.99999998182544403</v>
      </c>
    </row>
    <row r="8313" spans="1:40" x14ac:dyDescent="0.25">
      <c r="A8313" t="str">
        <f>"20190305135123512"</f>
        <v>20190305135123512</v>
      </c>
      <c r="B8313" t="str">
        <f>"1551765083508259"</f>
        <v>1551765083508259</v>
      </c>
      <c r="C8313" t="s">
        <v>40</v>
      </c>
      <c r="D8313">
        <v>4.1917559999999998</v>
      </c>
      <c r="E8313">
        <v>0.56038580000000004</v>
      </c>
      <c r="F8313" t="s">
        <v>41</v>
      </c>
      <c r="G8313">
        <v>-169.93350000000001</v>
      </c>
      <c r="H8313">
        <v>1.0305500000000001</v>
      </c>
      <c r="I8313">
        <v>133.0138</v>
      </c>
      <c r="J8313">
        <v>-170.64189999999999</v>
      </c>
      <c r="K8313">
        <v>1.110671</v>
      </c>
      <c r="L8313">
        <v>132.9376</v>
      </c>
      <c r="M8313">
        <v>0.94523230000000003</v>
      </c>
      <c r="N8313">
        <v>-2.9017679999999999E-3</v>
      </c>
      <c r="O8313">
        <v>0.32638590000000001</v>
      </c>
      <c r="P8313">
        <v>0.94264999999999999</v>
      </c>
      <c r="Q8313">
        <v>-0.14924079999999901</v>
      </c>
      <c r="R8313">
        <v>0.29856059999999901</v>
      </c>
      <c r="S8313">
        <v>2.9924010000000001</v>
      </c>
      <c r="T8313">
        <v>-0.26884409999999997</v>
      </c>
      <c r="U8313">
        <v>0.46759030000000001</v>
      </c>
      <c r="V8313">
        <v>2.4939380000000001E-2</v>
      </c>
      <c r="W8313">
        <v>-0.14646110000000001</v>
      </c>
      <c r="X8313">
        <v>0.98890199999999995</v>
      </c>
      <c r="Y8313">
        <v>0.17469299999999999</v>
      </c>
      <c r="Z8313">
        <v>-3.5578449999999998E-2</v>
      </c>
      <c r="AA8313">
        <v>0.98397990000000002</v>
      </c>
      <c r="AB8313">
        <v>27</v>
      </c>
      <c r="AC8313">
        <v>0.70839999999998304</v>
      </c>
      <c r="AD8313">
        <v>-8.0120999999999803E-2</v>
      </c>
      <c r="AE8313">
        <v>7.6200000000000004E-2</v>
      </c>
      <c r="AF8313">
        <v>0.15719785716864401</v>
      </c>
      <c r="AG8313">
        <v>-8.0120999999999803E-2</v>
      </c>
      <c r="AH8313">
        <v>0.68580359635525101</v>
      </c>
      <c r="AI8313">
        <v>96.496554331380395</v>
      </c>
      <c r="AJ8313">
        <v>77.089850239323297</v>
      </c>
      <c r="AK8313">
        <v>0.70813636660830304</v>
      </c>
      <c r="AL8313">
        <v>98.421897451273907</v>
      </c>
      <c r="AM8313">
        <v>88.555348865136594</v>
      </c>
      <c r="AN8313">
        <v>0.99999999604599699</v>
      </c>
    </row>
    <row r="8314" spans="1:40" x14ac:dyDescent="0.25">
      <c r="A8314" t="str">
        <f>"20190305135123525"</f>
        <v>20190305135123525</v>
      </c>
      <c r="B8314" t="str">
        <f>"1551765083518020"</f>
        <v>1551765083518020</v>
      </c>
      <c r="C8314" t="s">
        <v>40</v>
      </c>
      <c r="D8314">
        <v>4.3044880000000001</v>
      </c>
      <c r="E8314">
        <v>0.56022569999999905</v>
      </c>
      <c r="F8314" t="s">
        <v>41</v>
      </c>
      <c r="G8314">
        <v>-169.69069999999999</v>
      </c>
      <c r="H8314">
        <v>1.0312570000000001</v>
      </c>
      <c r="I8314">
        <v>133.08250000000001</v>
      </c>
      <c r="J8314">
        <v>-170.47559999999999</v>
      </c>
      <c r="K8314">
        <v>1.110384</v>
      </c>
      <c r="L8314">
        <v>132.994</v>
      </c>
      <c r="M8314">
        <v>0.94548049999999995</v>
      </c>
      <c r="N8314">
        <v>-2.6835100000000001E-3</v>
      </c>
      <c r="O8314">
        <v>0.32566820000000002</v>
      </c>
      <c r="P8314">
        <v>0.9431446</v>
      </c>
      <c r="Q8314">
        <v>-0.1490196</v>
      </c>
      <c r="R8314">
        <v>0.29710560000000003</v>
      </c>
      <c r="S8314">
        <v>2.9981230000000001</v>
      </c>
      <c r="T8314">
        <v>-0.25033</v>
      </c>
      <c r="U8314">
        <v>0.45707700000000001</v>
      </c>
      <c r="V8314">
        <v>2.5788229999999999E-2</v>
      </c>
      <c r="W8314">
        <v>-0.14644749999999901</v>
      </c>
      <c r="X8314">
        <v>0.98888220000000004</v>
      </c>
      <c r="Y8314">
        <v>0.1778429</v>
      </c>
      <c r="Z8314">
        <v>-3.3171270000000003E-2</v>
      </c>
      <c r="AA8314">
        <v>0.98349960000000003</v>
      </c>
      <c r="AB8314">
        <v>28</v>
      </c>
      <c r="AC8314">
        <v>0.78489999999999305</v>
      </c>
      <c r="AD8314">
        <v>-7.91270000000001E-2</v>
      </c>
      <c r="AE8314">
        <v>8.8500000000010404E-2</v>
      </c>
      <c r="AF8314">
        <v>0.17023416844085101</v>
      </c>
      <c r="AG8314">
        <v>-7.91270000000001E-2</v>
      </c>
      <c r="AH8314">
        <v>0.76327218598815405</v>
      </c>
      <c r="AI8314">
        <v>95.777644264051403</v>
      </c>
      <c r="AJ8314">
        <v>77.426983104586398</v>
      </c>
      <c r="AK8314">
        <v>0.78601856475332899</v>
      </c>
      <c r="AL8314">
        <v>98.421110089427003</v>
      </c>
      <c r="AM8314">
        <v>88.506169967338394</v>
      </c>
      <c r="AN8314">
        <v>0.99999995426981003</v>
      </c>
    </row>
    <row r="8315" spans="1:40" x14ac:dyDescent="0.25">
      <c r="A8315" t="str">
        <f>"20190305135123539"</f>
        <v>20190305135123539</v>
      </c>
      <c r="B8315" t="str">
        <f>"1551765083527780"</f>
        <v>1551765083527780</v>
      </c>
      <c r="C8315" t="s">
        <v>40</v>
      </c>
      <c r="D8315">
        <v>4.1768109999999998</v>
      </c>
      <c r="E8315">
        <v>0.56072759999999999</v>
      </c>
      <c r="F8315" t="s">
        <v>41</v>
      </c>
      <c r="G8315">
        <v>-169.6952</v>
      </c>
      <c r="H8315">
        <v>1.0453250000000001</v>
      </c>
      <c r="I8315">
        <v>133.11199999999999</v>
      </c>
      <c r="J8315">
        <v>-170.3201</v>
      </c>
      <c r="K8315">
        <v>1.110133</v>
      </c>
      <c r="L8315">
        <v>133.04669999999999</v>
      </c>
      <c r="M8315">
        <v>0.94569110000000001</v>
      </c>
      <c r="N8315">
        <v>-2.4964000000000002E-3</v>
      </c>
      <c r="O8315">
        <v>0.32505729999999999</v>
      </c>
      <c r="P8315">
        <v>0.94353319999999996</v>
      </c>
      <c r="Q8315">
        <v>-0.148016799999999</v>
      </c>
      <c r="R8315">
        <v>0.29637210000000003</v>
      </c>
      <c r="S8315">
        <v>2.9984130000000002</v>
      </c>
      <c r="T8315">
        <v>-0.24997220000000001</v>
      </c>
      <c r="U8315">
        <v>0.45373540000000001</v>
      </c>
      <c r="V8315">
        <v>2.6021869999999999E-2</v>
      </c>
      <c r="W8315">
        <v>-0.1456211</v>
      </c>
      <c r="X8315">
        <v>0.98899820000000005</v>
      </c>
      <c r="Y8315">
        <v>0.17829400000000001</v>
      </c>
      <c r="Z8315">
        <v>-3.3141869999999997E-2</v>
      </c>
      <c r="AA8315">
        <v>0.98341889999999998</v>
      </c>
      <c r="AB8315">
        <v>28</v>
      </c>
      <c r="AC8315">
        <v>0.62489999999999601</v>
      </c>
      <c r="AD8315">
        <v>-6.4807999999999893E-2</v>
      </c>
      <c r="AE8315">
        <v>6.5300000000007602E-2</v>
      </c>
      <c r="AF8315">
        <v>0.13988678888880299</v>
      </c>
      <c r="AG8315">
        <v>-6.4807999999999893E-2</v>
      </c>
      <c r="AH8315">
        <v>0.60574566892906101</v>
      </c>
      <c r="AI8315">
        <v>95.951314046143196</v>
      </c>
      <c r="AJ8315">
        <v>76.996463513613193</v>
      </c>
      <c r="AK8315">
        <v>0.62505696220099505</v>
      </c>
      <c r="AL8315">
        <v>98.373247014827399</v>
      </c>
      <c r="AM8315">
        <v>88.492818879292301</v>
      </c>
      <c r="AN8315">
        <v>1.00000004104337</v>
      </c>
    </row>
    <row r="8316" spans="1:40" x14ac:dyDescent="0.25">
      <c r="A8316" t="str">
        <f>"20190305135123552"</f>
        <v>20190305135123552</v>
      </c>
      <c r="B8316" t="str">
        <f>"1551765083548276"</f>
        <v>1551765083548276</v>
      </c>
      <c r="C8316" t="s">
        <v>40</v>
      </c>
      <c r="D8316">
        <v>4.2113060000000004</v>
      </c>
      <c r="E8316">
        <v>0.56146319999999905</v>
      </c>
      <c r="F8316" t="s">
        <v>41</v>
      </c>
      <c r="G8316">
        <v>-169.44839999999999</v>
      </c>
      <c r="H8316">
        <v>1.040851</v>
      </c>
      <c r="I8316">
        <v>133.17689999999999</v>
      </c>
      <c r="J8316">
        <v>-170.16820000000001</v>
      </c>
      <c r="K8316">
        <v>1.10991</v>
      </c>
      <c r="L8316">
        <v>133.09819999999999</v>
      </c>
      <c r="M8316">
        <v>0.94588439999999996</v>
      </c>
      <c r="N8316">
        <v>-2.3240299999999999E-3</v>
      </c>
      <c r="O8316">
        <v>0.3244956</v>
      </c>
      <c r="P8316">
        <v>0.94393249999999995</v>
      </c>
      <c r="Q8316">
        <v>-0.14580679999999999</v>
      </c>
      <c r="R8316">
        <v>0.29619600000000001</v>
      </c>
      <c r="S8316">
        <v>3.0011899999999998</v>
      </c>
      <c r="T8316">
        <v>-0.23858799999999999</v>
      </c>
      <c r="U8316">
        <v>0.44863890000000001</v>
      </c>
      <c r="V8316">
        <v>2.577894E-2</v>
      </c>
      <c r="W8316">
        <v>-0.14357239999999999</v>
      </c>
      <c r="X8316">
        <v>0.98930399999999996</v>
      </c>
      <c r="Y8316">
        <v>0.17961869999999999</v>
      </c>
      <c r="Z8316">
        <v>-3.1641030000000001E-2</v>
      </c>
      <c r="AA8316">
        <v>0.98322730000000003</v>
      </c>
      <c r="AB8316">
        <v>28</v>
      </c>
      <c r="AC8316">
        <v>0.71980000000001998</v>
      </c>
      <c r="AD8316">
        <v>-6.9058999999999898E-2</v>
      </c>
      <c r="AE8316">
        <v>7.8699999999997702E-2</v>
      </c>
      <c r="AF8316">
        <v>0.15769682435911</v>
      </c>
      <c r="AG8316">
        <v>-6.9058999999999898E-2</v>
      </c>
      <c r="AH8316">
        <v>0.70001980835460698</v>
      </c>
      <c r="AI8316">
        <v>95.497277234044205</v>
      </c>
      <c r="AJ8316">
        <v>77.304631028173105</v>
      </c>
      <c r="AK8316">
        <v>0.72087805208840205</v>
      </c>
      <c r="AL8316">
        <v>98.254618800158298</v>
      </c>
      <c r="AM8316">
        <v>88.507344256206295</v>
      </c>
      <c r="AN8316">
        <v>0.99999999610264101</v>
      </c>
    </row>
    <row r="8317" spans="1:40" x14ac:dyDescent="0.25">
      <c r="A8317" t="str">
        <f>"20190305135123569"</f>
        <v>20190305135123569</v>
      </c>
      <c r="B8317" t="str">
        <f>"1551765083558037"</f>
        <v>1551765083558037</v>
      </c>
      <c r="C8317" t="s">
        <v>40</v>
      </c>
      <c r="D8317">
        <v>4.3534569999999997</v>
      </c>
      <c r="E8317">
        <v>0.56183059999999996</v>
      </c>
      <c r="F8317" t="s">
        <v>42</v>
      </c>
      <c r="G8317">
        <v>-154.8648</v>
      </c>
      <c r="H8317" s="1">
        <v>-2.9407480000000001E-6</v>
      </c>
      <c r="I8317">
        <v>135.35740000000001</v>
      </c>
      <c r="J8317">
        <v>-169.95820000000001</v>
      </c>
      <c r="K8317">
        <v>1.109602</v>
      </c>
      <c r="L8317">
        <v>133.16929999999999</v>
      </c>
      <c r="M8317">
        <v>0.94612569999999996</v>
      </c>
      <c r="N8317">
        <v>-2.1102510000000001E-3</v>
      </c>
      <c r="O8317">
        <v>0.32379289999999999</v>
      </c>
      <c r="P8317">
        <v>0.94428239999999997</v>
      </c>
      <c r="Q8317">
        <v>-0.14465059999999999</v>
      </c>
      <c r="R8317">
        <v>0.29564699999999999</v>
      </c>
      <c r="S8317">
        <v>3.0053100000000001</v>
      </c>
      <c r="T8317">
        <v>-0.21796570000000001</v>
      </c>
      <c r="U8317">
        <v>0.44366460000000002</v>
      </c>
      <c r="V8317">
        <v>2.5724739999999999E-2</v>
      </c>
      <c r="W8317">
        <v>-0.14261879999999999</v>
      </c>
      <c r="X8317">
        <v>0.98944339999999997</v>
      </c>
      <c r="Y8317">
        <v>0.18092059999999999</v>
      </c>
      <c r="Z8317">
        <v>-2.8883949999999999E-2</v>
      </c>
      <c r="AA8317">
        <v>0.98307350000000004</v>
      </c>
      <c r="AB8317">
        <v>28</v>
      </c>
      <c r="AC8317">
        <v>15.093400000000001</v>
      </c>
      <c r="AD8317">
        <v>-1.109604940748</v>
      </c>
      <c r="AE8317">
        <v>2.1881000000000199</v>
      </c>
      <c r="AF8317">
        <v>2.8020917677430002</v>
      </c>
      <c r="AG8317">
        <v>-1.109604940748</v>
      </c>
      <c r="AH8317">
        <v>14.9098543054867</v>
      </c>
      <c r="AI8317">
        <v>94.183191305234402</v>
      </c>
      <c r="AJ8317">
        <v>79.356238619244806</v>
      </c>
      <c r="AK8317">
        <v>15.2114002251675</v>
      </c>
      <c r="AL8317">
        <v>98.199412863649897</v>
      </c>
      <c r="AM8317">
        <v>88.510690896551296</v>
      </c>
      <c r="AN8317">
        <v>1.0000000630825301</v>
      </c>
    </row>
    <row r="8318" spans="1:40" x14ac:dyDescent="0.25">
      <c r="A8318" t="str">
        <f>"20190305135123586"</f>
        <v>20190305135123586</v>
      </c>
      <c r="B8318" t="str">
        <f>"1551765083577557"</f>
        <v>1551765083577557</v>
      </c>
      <c r="C8318" t="s">
        <v>40</v>
      </c>
      <c r="D8318">
        <v>4.239414</v>
      </c>
      <c r="E8318">
        <v>0.56243489999999996</v>
      </c>
      <c r="F8318" t="s">
        <v>42</v>
      </c>
      <c r="G8318">
        <v>-153.87270000000001</v>
      </c>
      <c r="H8318" s="1">
        <v>-3.337308E-6</v>
      </c>
      <c r="I8318">
        <v>135.52090000000001</v>
      </c>
      <c r="J8318">
        <v>-169.7621</v>
      </c>
      <c r="K8318">
        <v>1.1093470000000001</v>
      </c>
      <c r="L8318">
        <v>133.23560000000001</v>
      </c>
      <c r="M8318">
        <v>0.94633080000000003</v>
      </c>
      <c r="N8318">
        <v>-1.9352880000000001E-3</v>
      </c>
      <c r="O8318">
        <v>0.32319419999999999</v>
      </c>
      <c r="P8318">
        <v>0.9449611</v>
      </c>
      <c r="Q8318">
        <v>-0.14258419999999999</v>
      </c>
      <c r="R8318">
        <v>0.29447990000000002</v>
      </c>
      <c r="S8318">
        <v>3.007568</v>
      </c>
      <c r="T8318">
        <v>-0.2074674</v>
      </c>
      <c r="U8318">
        <v>0.43969730000000001</v>
      </c>
      <c r="V8318">
        <v>2.645571E-2</v>
      </c>
      <c r="W8318">
        <v>-0.14072109999999999</v>
      </c>
      <c r="X8318">
        <v>0.98969569999999996</v>
      </c>
      <c r="Y8318">
        <v>0.1817888</v>
      </c>
      <c r="Z8318">
        <v>-2.748958E-2</v>
      </c>
      <c r="AA8318">
        <v>0.98295330000000003</v>
      </c>
      <c r="AB8318">
        <v>28</v>
      </c>
      <c r="AC8318">
        <v>15.889399999999901</v>
      </c>
      <c r="AD8318">
        <v>-1.10935033730799</v>
      </c>
      <c r="AE8318">
        <v>2.2852999999999999</v>
      </c>
      <c r="AF8318">
        <v>2.9585882715455099</v>
      </c>
      <c r="AG8318">
        <v>-1.10935033730799</v>
      </c>
      <c r="AH8318">
        <v>15.700273482912101</v>
      </c>
      <c r="AI8318">
        <v>93.972010706252803</v>
      </c>
      <c r="AJ8318">
        <v>79.328223430231802</v>
      </c>
      <c r="AK8318">
        <v>16.015070720095</v>
      </c>
      <c r="AL8318">
        <v>98.089575695433496</v>
      </c>
      <c r="AM8318">
        <v>88.468782231811502</v>
      </c>
      <c r="AN8318">
        <v>0.99999995558765098</v>
      </c>
    </row>
    <row r="8319" spans="1:40" x14ac:dyDescent="0.25">
      <c r="A8319" t="str">
        <f>"20190305135123608"</f>
        <v>20190305135123608</v>
      </c>
      <c r="B8319" t="str">
        <f>"1551765083597847"</f>
        <v>1551765083597847</v>
      </c>
      <c r="C8319" t="s">
        <v>40</v>
      </c>
      <c r="D8319">
        <v>4.238397</v>
      </c>
      <c r="E8319">
        <v>0.56295490000000004</v>
      </c>
      <c r="F8319" t="s">
        <v>42</v>
      </c>
      <c r="G8319">
        <v>-152.24950000000001</v>
      </c>
      <c r="H8319" s="1">
        <v>-3.9933810000000003E-6</v>
      </c>
      <c r="I8319">
        <v>135.7482</v>
      </c>
      <c r="J8319">
        <v>-169.49469999999999</v>
      </c>
      <c r="K8319">
        <v>1.109016</v>
      </c>
      <c r="L8319">
        <v>133.32599999999999</v>
      </c>
      <c r="M8319">
        <v>0.94659530000000003</v>
      </c>
      <c r="N8319">
        <v>-1.722571E-3</v>
      </c>
      <c r="O8319">
        <v>0.32241969999999998</v>
      </c>
      <c r="P8319">
        <v>0.94579939999999996</v>
      </c>
      <c r="Q8319">
        <v>-0.14072129999999999</v>
      </c>
      <c r="R8319">
        <v>0.29267900000000002</v>
      </c>
      <c r="S8319">
        <v>3.011307</v>
      </c>
      <c r="T8319">
        <v>-0.19075320000000001</v>
      </c>
      <c r="U8319">
        <v>0.43203740000000002</v>
      </c>
      <c r="V8319">
        <v>2.7651329999999998E-2</v>
      </c>
      <c r="W8319">
        <v>-0.1390652</v>
      </c>
      <c r="X8319">
        <v>0.98989709999999997</v>
      </c>
      <c r="Y8319">
        <v>0.18377760000000001</v>
      </c>
      <c r="Z8319">
        <v>-2.528768E-2</v>
      </c>
      <c r="AA8319">
        <v>0.98264249999999997</v>
      </c>
      <c r="AB8319">
        <v>28</v>
      </c>
      <c r="AC8319">
        <v>17.245199999999901</v>
      </c>
      <c r="AD8319">
        <v>-1.1090199933810001</v>
      </c>
      <c r="AE8319">
        <v>2.4222000000000001</v>
      </c>
      <c r="AF8319">
        <v>3.2541561306455602</v>
      </c>
      <c r="AG8319">
        <v>-1.1090199933810001</v>
      </c>
      <c r="AH8319">
        <v>17.0361227075595</v>
      </c>
      <c r="AI8319">
        <v>93.658630344528007</v>
      </c>
      <c r="AJ8319">
        <v>79.185910677297699</v>
      </c>
      <c r="AK8319">
        <v>17.379555068394701</v>
      </c>
      <c r="AL8319">
        <v>97.993757043634005</v>
      </c>
      <c r="AM8319">
        <v>88.399942144190803</v>
      </c>
      <c r="AN8319">
        <v>0.99999999724510902</v>
      </c>
    </row>
    <row r="8320" spans="1:40" x14ac:dyDescent="0.25">
      <c r="A8320" t="str">
        <f>"20190305135123629"</f>
        <v>20190305135123629</v>
      </c>
      <c r="B8320" t="str">
        <f>"1551765083618343"</f>
        <v>1551765083618343</v>
      </c>
      <c r="C8320" t="s">
        <v>40</v>
      </c>
      <c r="D8320">
        <v>4.190067</v>
      </c>
      <c r="E8320">
        <v>0.56334640000000002</v>
      </c>
      <c r="F8320" t="s">
        <v>42</v>
      </c>
      <c r="G8320">
        <v>-150.70769999999999</v>
      </c>
      <c r="H8320" s="1">
        <v>-4.6178530000000001E-6</v>
      </c>
      <c r="I8320">
        <v>135.9564</v>
      </c>
      <c r="J8320">
        <v>-169.233</v>
      </c>
      <c r="K8320">
        <v>1.1087020000000001</v>
      </c>
      <c r="L8320">
        <v>133.41419999999999</v>
      </c>
      <c r="M8320">
        <v>0.94684360000000001</v>
      </c>
      <c r="N8320">
        <v>-1.544662E-3</v>
      </c>
      <c r="O8320">
        <v>0.32169019999999998</v>
      </c>
      <c r="P8320">
        <v>0.9464437</v>
      </c>
      <c r="Q8320">
        <v>-0.13900889999999999</v>
      </c>
      <c r="R8320">
        <v>0.29141149999999999</v>
      </c>
      <c r="S8320">
        <v>3.0148009999999998</v>
      </c>
      <c r="T8320">
        <v>-0.17796770000000001</v>
      </c>
      <c r="U8320">
        <v>0.42211910000000002</v>
      </c>
      <c r="V8320">
        <v>2.8312520000000001E-2</v>
      </c>
      <c r="W8320">
        <v>-0.13752690000000001</v>
      </c>
      <c r="X8320">
        <v>0.99009329999999995</v>
      </c>
      <c r="Y8320">
        <v>0.18646760000000001</v>
      </c>
      <c r="Z8320">
        <v>-2.3632529999999999E-2</v>
      </c>
      <c r="AA8320">
        <v>0.98217679999999996</v>
      </c>
      <c r="AB8320">
        <v>28</v>
      </c>
      <c r="AC8320">
        <v>18.525300000000001</v>
      </c>
      <c r="AD8320">
        <v>-1.1087066178530001</v>
      </c>
      <c r="AE8320">
        <v>2.5421999999999998</v>
      </c>
      <c r="AF8320">
        <v>3.5399013993940098</v>
      </c>
      <c r="AG8320">
        <v>-1.1087066178530001</v>
      </c>
      <c r="AH8320">
        <v>18.294071778917001</v>
      </c>
      <c r="AI8320">
        <v>93.405141771769195</v>
      </c>
      <c r="AJ8320">
        <v>79.048614148914695</v>
      </c>
      <c r="AK8320">
        <v>18.6663653273493</v>
      </c>
      <c r="AL8320">
        <v>97.904763813381393</v>
      </c>
      <c r="AM8320">
        <v>88.362027139424995</v>
      </c>
      <c r="AN8320">
        <v>0.99999999485862501</v>
      </c>
    </row>
    <row r="8321" spans="1:40" x14ac:dyDescent="0.25">
      <c r="A8321" t="str">
        <f>"20190305135123644"</f>
        <v>20190305135123644</v>
      </c>
      <c r="B8321" t="str">
        <f>"1551765083637863"</f>
        <v>1551765083637863</v>
      </c>
      <c r="C8321" t="s">
        <v>40</v>
      </c>
      <c r="D8321">
        <v>4.2601930000000001</v>
      </c>
      <c r="E8321">
        <v>0.56363699999999906</v>
      </c>
      <c r="F8321" t="s">
        <v>42</v>
      </c>
      <c r="G8321">
        <v>-149.18109999999999</v>
      </c>
      <c r="H8321" s="1">
        <v>-1.181446E-6</v>
      </c>
      <c r="I8321">
        <v>136.17089999999999</v>
      </c>
      <c r="J8321">
        <v>-169.0444</v>
      </c>
      <c r="K8321">
        <v>1.1084860000000001</v>
      </c>
      <c r="L8321">
        <v>133.4777</v>
      </c>
      <c r="M8321">
        <v>0.94702520000000001</v>
      </c>
      <c r="N8321">
        <v>-1.4350739999999999E-3</v>
      </c>
      <c r="O8321">
        <v>0.321156</v>
      </c>
      <c r="P8321">
        <v>0.94685010000000003</v>
      </c>
      <c r="Q8321">
        <v>-0.13836699999999999</v>
      </c>
      <c r="R8321">
        <v>0.29039500000000001</v>
      </c>
      <c r="S8321">
        <v>3.0175169999999998</v>
      </c>
      <c r="T8321">
        <v>-0.1668432</v>
      </c>
      <c r="U8321">
        <v>0.41484070000000001</v>
      </c>
      <c r="V8321">
        <v>2.8850259999999999E-2</v>
      </c>
      <c r="W8321">
        <v>-0.1369938</v>
      </c>
      <c r="X8321">
        <v>0.99015169999999997</v>
      </c>
      <c r="Y8321">
        <v>0.18845690000000001</v>
      </c>
      <c r="Z8321">
        <v>-2.2175090000000001E-2</v>
      </c>
      <c r="AA8321">
        <v>0.98183109999999996</v>
      </c>
      <c r="AB8321">
        <v>29</v>
      </c>
      <c r="AC8321">
        <v>19.863299999999999</v>
      </c>
      <c r="AD8321">
        <v>-1.108487181446</v>
      </c>
      <c r="AE8321">
        <v>2.6931999999999898</v>
      </c>
      <c r="AF8321">
        <v>3.8170210069981101</v>
      </c>
      <c r="AG8321">
        <v>-1.108487181446</v>
      </c>
      <c r="AH8321">
        <v>19.616016493050999</v>
      </c>
      <c r="AI8321">
        <v>93.174880828177294</v>
      </c>
      <c r="AJ8321">
        <v>78.988591326454696</v>
      </c>
      <c r="AK8321">
        <v>20.014657035656299</v>
      </c>
      <c r="AL8321">
        <v>97.873927417169597</v>
      </c>
      <c r="AM8321">
        <v>88.331032923412707</v>
      </c>
      <c r="AN8321">
        <v>1.00000001387669</v>
      </c>
    </row>
    <row r="8322" spans="1:40" x14ac:dyDescent="0.25">
      <c r="A8322" t="str">
        <f>"20190305135123657"</f>
        <v>20190305135123657</v>
      </c>
      <c r="B8322" t="str">
        <f>"1551765083647623"</f>
        <v>1551765083647623</v>
      </c>
      <c r="C8322" t="s">
        <v>40</v>
      </c>
      <c r="D8322">
        <v>4.2408919999999997</v>
      </c>
      <c r="E8322">
        <v>0.56373309999999999</v>
      </c>
      <c r="F8322" t="s">
        <v>42</v>
      </c>
      <c r="G8322">
        <v>-147.93369999999999</v>
      </c>
      <c r="H8322" s="1">
        <v>-1.5605229999999999E-6</v>
      </c>
      <c r="I8322">
        <v>136.3415</v>
      </c>
      <c r="J8322">
        <v>-168.88669999999999</v>
      </c>
      <c r="K8322">
        <v>1.1083080000000001</v>
      </c>
      <c r="L8322">
        <v>133.5307</v>
      </c>
      <c r="M8322">
        <v>0.94718429999999998</v>
      </c>
      <c r="N8322">
        <v>-1.3519160000000001E-3</v>
      </c>
      <c r="O8322">
        <v>0.320687099999999</v>
      </c>
      <c r="P8322">
        <v>0.94718530000000001</v>
      </c>
      <c r="Q8322">
        <v>-0.1380305</v>
      </c>
      <c r="R8322">
        <v>0.28946110000000003</v>
      </c>
      <c r="S8322">
        <v>3.0195919999999998</v>
      </c>
      <c r="T8322">
        <v>-0.158554</v>
      </c>
      <c r="U8322">
        <v>0.40963749999999999</v>
      </c>
      <c r="V8322">
        <v>2.9349790000000001E-2</v>
      </c>
      <c r="W8322">
        <v>-0.136741</v>
      </c>
      <c r="X8322">
        <v>0.99017200000000005</v>
      </c>
      <c r="Y8322">
        <v>0.18979199999999999</v>
      </c>
      <c r="Z8322">
        <v>-2.107995E-2</v>
      </c>
      <c r="AA8322">
        <v>0.98159799999999997</v>
      </c>
      <c r="AB8322">
        <v>29</v>
      </c>
      <c r="AC8322">
        <v>20.952999999999999</v>
      </c>
      <c r="AD8322">
        <v>-1.108309560523</v>
      </c>
      <c r="AE8322">
        <v>2.8108</v>
      </c>
      <c r="AF8322">
        <v>4.0458947590658498</v>
      </c>
      <c r="AG8322">
        <v>-1.108309560523</v>
      </c>
      <c r="AH8322">
        <v>20.690890076773801</v>
      </c>
      <c r="AI8322">
        <v>93.009240788926206</v>
      </c>
      <c r="AJ8322">
        <v>78.9359927194199</v>
      </c>
      <c r="AK8322">
        <v>21.111857963062299</v>
      </c>
      <c r="AL8322">
        <v>97.859305153374805</v>
      </c>
      <c r="AM8322">
        <v>88.302187025396407</v>
      </c>
      <c r="AN8322">
        <v>1.0000000504190201</v>
      </c>
    </row>
    <row r="8323" spans="1:40" x14ac:dyDescent="0.25">
      <c r="A8323" t="str">
        <f>"20190305135123671"</f>
        <v>20190305135123671</v>
      </c>
      <c r="B8323" t="str">
        <f>"1551765083668119"</f>
        <v>1551765083668119</v>
      </c>
      <c r="C8323" t="s">
        <v>40</v>
      </c>
      <c r="D8323">
        <v>4.2278479999999998</v>
      </c>
      <c r="E8323">
        <v>0.56391840000000004</v>
      </c>
      <c r="F8323" t="s">
        <v>42</v>
      </c>
      <c r="G8323">
        <v>-147.48660000000001</v>
      </c>
      <c r="H8323" s="1">
        <v>-1.6960360000000001E-6</v>
      </c>
      <c r="I8323">
        <v>136.4041</v>
      </c>
      <c r="J8323">
        <v>-168.73099999999999</v>
      </c>
      <c r="K8323">
        <v>1.108128</v>
      </c>
      <c r="L8323">
        <v>133.583</v>
      </c>
      <c r="M8323">
        <v>0.94734640000000003</v>
      </c>
      <c r="N8323">
        <v>-1.2752320000000001E-3</v>
      </c>
      <c r="O8323">
        <v>0.3202083</v>
      </c>
      <c r="P8323">
        <v>0.94746300000000006</v>
      </c>
      <c r="Q8323">
        <v>-0.13793029999999901</v>
      </c>
      <c r="R8323">
        <v>0.28859869999999999</v>
      </c>
      <c r="S8323">
        <v>3.0205380000000002</v>
      </c>
      <c r="T8323">
        <v>-0.15643319999999999</v>
      </c>
      <c r="U8323">
        <v>0.40557860000000001</v>
      </c>
      <c r="V8323">
        <v>2.974949E-2</v>
      </c>
      <c r="W8323">
        <v>-0.1367187</v>
      </c>
      <c r="X8323">
        <v>0.99016309999999996</v>
      </c>
      <c r="Y8323">
        <v>0.1906485</v>
      </c>
      <c r="Z8323">
        <v>-2.0807920000000001E-2</v>
      </c>
      <c r="AA8323">
        <v>0.98143780000000003</v>
      </c>
      <c r="AB8323">
        <v>29</v>
      </c>
      <c r="AC8323">
        <v>21.244399999999899</v>
      </c>
      <c r="AD8323">
        <v>-1.1081296960359901</v>
      </c>
      <c r="AE8323">
        <v>2.8210999999999999</v>
      </c>
      <c r="AF8323">
        <v>4.1190644208493303</v>
      </c>
      <c r="AG8323">
        <v>-1.1081296960359901</v>
      </c>
      <c r="AH8323">
        <v>20.973086474710801</v>
      </c>
      <c r="AI8323">
        <v>92.967863349029201</v>
      </c>
      <c r="AJ8323">
        <v>78.888666574762595</v>
      </c>
      <c r="AK8323">
        <v>21.402453116454701</v>
      </c>
      <c r="AL8323">
        <v>97.858015744085506</v>
      </c>
      <c r="AM8323">
        <v>88.279063717250395</v>
      </c>
      <c r="AN8323">
        <v>0.99999999984328003</v>
      </c>
    </row>
    <row r="8324" spans="1:40" x14ac:dyDescent="0.25">
      <c r="A8324" t="str">
        <f>"20190305135123682"</f>
        <v>20190305135123682</v>
      </c>
      <c r="B8324" t="str">
        <f>"1551765083677879"</f>
        <v>1551765083677879</v>
      </c>
      <c r="C8324" t="s">
        <v>40</v>
      </c>
      <c r="D8324">
        <v>4.2641600000000004</v>
      </c>
      <c r="E8324">
        <v>0.56398609999999905</v>
      </c>
      <c r="F8324" t="s">
        <v>42</v>
      </c>
      <c r="G8324">
        <v>-146.73779999999999</v>
      </c>
      <c r="H8324" s="1">
        <v>-1.933699E-6</v>
      </c>
      <c r="I8324">
        <v>136.50489999999999</v>
      </c>
      <c r="J8324">
        <v>-168.57079999999999</v>
      </c>
      <c r="K8324">
        <v>1.1079479999999999</v>
      </c>
      <c r="L8324">
        <v>133.63659999999999</v>
      </c>
      <c r="M8324">
        <v>0.94753229999999999</v>
      </c>
      <c r="N8324">
        <v>-1.208106E-3</v>
      </c>
      <c r="O8324">
        <v>0.319658</v>
      </c>
      <c r="P8324">
        <v>0.94775310000000001</v>
      </c>
      <c r="Q8324">
        <v>-0.1384697</v>
      </c>
      <c r="R8324">
        <v>0.28738550000000002</v>
      </c>
      <c r="S8324">
        <v>3.021881</v>
      </c>
      <c r="T8324">
        <v>-0.15225739999999999</v>
      </c>
      <c r="U8324">
        <v>0.401474</v>
      </c>
      <c r="V8324">
        <v>3.0402470000000001E-2</v>
      </c>
      <c r="W8324">
        <v>-0.1373287</v>
      </c>
      <c r="X8324">
        <v>0.99005880000000002</v>
      </c>
      <c r="Y8324">
        <v>0.1914787</v>
      </c>
      <c r="Z8324">
        <v>-2.0250270000000001E-2</v>
      </c>
      <c r="AA8324">
        <v>0.98128780000000004</v>
      </c>
      <c r="AB8324">
        <v>29</v>
      </c>
      <c r="AC8324">
        <v>21.832999999999998</v>
      </c>
      <c r="AD8324">
        <v>-1.107949933699</v>
      </c>
      <c r="AE8324">
        <v>2.8683000000000001</v>
      </c>
      <c r="AF8324">
        <v>4.2505286862817</v>
      </c>
      <c r="AG8324">
        <v>-1.107949933699</v>
      </c>
      <c r="AH8324">
        <v>21.549808004528501</v>
      </c>
      <c r="AI8324">
        <v>92.887643899111794</v>
      </c>
      <c r="AJ8324">
        <v>78.842088074835999</v>
      </c>
      <c r="AK8324">
        <v>21.992925503455201</v>
      </c>
      <c r="AL8324">
        <v>97.893299327971107</v>
      </c>
      <c r="AM8324">
        <v>88.241128708965505</v>
      </c>
      <c r="AN8324">
        <v>0.99999995474161396</v>
      </c>
    </row>
    <row r="8325" spans="1:40" x14ac:dyDescent="0.25">
      <c r="A8325" t="str">
        <f>"20190305135123696"</f>
        <v>20190305135123696</v>
      </c>
      <c r="B8325" t="str">
        <f>"1551765083687639"</f>
        <v>1551765083687639</v>
      </c>
      <c r="C8325" t="s">
        <v>40</v>
      </c>
      <c r="D8325">
        <v>4.2856699999999996</v>
      </c>
      <c r="E8325">
        <v>0.56398950000000003</v>
      </c>
      <c r="F8325" t="s">
        <v>42</v>
      </c>
      <c r="G8325">
        <v>-146.55289999999999</v>
      </c>
      <c r="H8325" s="1">
        <v>-2.0088160000000002E-6</v>
      </c>
      <c r="I8325">
        <v>136.5284</v>
      </c>
      <c r="J8325">
        <v>-168.4016</v>
      </c>
      <c r="K8325">
        <v>1.1077520000000001</v>
      </c>
      <c r="L8325">
        <v>133.69309999999999</v>
      </c>
      <c r="M8325">
        <v>0.94774170000000002</v>
      </c>
      <c r="N8325">
        <v>-1.143027E-3</v>
      </c>
      <c r="O8325">
        <v>0.3190366</v>
      </c>
      <c r="P8325">
        <v>0.9482526</v>
      </c>
      <c r="Q8325">
        <v>-0.14005039999999999</v>
      </c>
      <c r="R8325">
        <v>0.284962099999999</v>
      </c>
      <c r="S8325">
        <v>3.0227659999999998</v>
      </c>
      <c r="T8325">
        <v>-0.15210660000000001</v>
      </c>
      <c r="U8325">
        <v>0.39701839999999999</v>
      </c>
      <c r="V8325">
        <v>3.2188889999999998E-2</v>
      </c>
      <c r="W8325">
        <v>-0.13898150000000001</v>
      </c>
      <c r="X8325">
        <v>0.98977170000000003</v>
      </c>
      <c r="Y8325">
        <v>0.19229460000000001</v>
      </c>
      <c r="Z8325">
        <v>-2.0233870000000001E-2</v>
      </c>
      <c r="AA8325">
        <v>0.98112860000000002</v>
      </c>
      <c r="AB8325">
        <v>29</v>
      </c>
      <c r="AC8325">
        <v>21.848700000000001</v>
      </c>
      <c r="AD8325">
        <v>-1.1077540088160001</v>
      </c>
      <c r="AE8325">
        <v>2.8353000000000099</v>
      </c>
      <c r="AF8325">
        <v>4.2726044575282804</v>
      </c>
      <c r="AG8325">
        <v>-1.1077540088160001</v>
      </c>
      <c r="AH8325">
        <v>21.557005969344701</v>
      </c>
      <c r="AI8325">
        <v>92.885646433862107</v>
      </c>
      <c r="AJ8325">
        <v>78.789252514335999</v>
      </c>
      <c r="AK8325">
        <v>22.004244457760901</v>
      </c>
      <c r="AL8325">
        <v>97.988914337509399</v>
      </c>
      <c r="AM8325">
        <v>88.137310095860599</v>
      </c>
      <c r="AN8325">
        <v>1.0000000000512801</v>
      </c>
    </row>
    <row r="8326" spans="1:40" x14ac:dyDescent="0.25">
      <c r="A8326" t="str">
        <f>"20190305135123712"</f>
        <v>20190305135123712</v>
      </c>
      <c r="B8326" t="str">
        <f>"1551765083708135"</f>
        <v>1551765083708135</v>
      </c>
      <c r="C8326" t="s">
        <v>40</v>
      </c>
      <c r="D8326">
        <v>4.2603330000000001</v>
      </c>
      <c r="E8326">
        <v>0.56404270000000001</v>
      </c>
      <c r="F8326" t="s">
        <v>42</v>
      </c>
      <c r="G8326">
        <v>-146.85820000000001</v>
      </c>
      <c r="H8326" s="1">
        <v>-1.892764E-6</v>
      </c>
      <c r="I8326">
        <v>136.4684</v>
      </c>
      <c r="J8326">
        <v>-168.20660000000001</v>
      </c>
      <c r="K8326">
        <v>1.107532</v>
      </c>
      <c r="L8326">
        <v>133.75799999999899</v>
      </c>
      <c r="M8326">
        <v>0.94800410000000002</v>
      </c>
      <c r="N8326">
        <v>-1.0765079999999999E-3</v>
      </c>
      <c r="O8326">
        <v>0.31825629999999999</v>
      </c>
      <c r="P8326">
        <v>0.9485751</v>
      </c>
      <c r="Q8326">
        <v>-0.14077479999999901</v>
      </c>
      <c r="R8326">
        <v>0.28352759999999999</v>
      </c>
      <c r="S8326">
        <v>3.023682</v>
      </c>
      <c r="T8326">
        <v>-0.1554767</v>
      </c>
      <c r="U8326">
        <v>0.38954159999999999</v>
      </c>
      <c r="V8326">
        <v>3.280959E-2</v>
      </c>
      <c r="W8326">
        <v>-0.13977909999999999</v>
      </c>
      <c r="X8326">
        <v>0.98963900000000005</v>
      </c>
      <c r="Y8326">
        <v>0.19388130000000001</v>
      </c>
      <c r="Z8326">
        <v>-2.0705479999999998E-2</v>
      </c>
      <c r="AA8326">
        <v>0.98080650000000003</v>
      </c>
      <c r="AB8326">
        <v>29</v>
      </c>
      <c r="AC8326">
        <v>21.348400000000002</v>
      </c>
      <c r="AD8326">
        <v>-1.1075338927639999</v>
      </c>
      <c r="AE8326">
        <v>2.7104000000000199</v>
      </c>
      <c r="AF8326">
        <v>4.2136341109600002</v>
      </c>
      <c r="AG8326">
        <v>-1.1075338927639999</v>
      </c>
      <c r="AH8326">
        <v>21.045241467220102</v>
      </c>
      <c r="AI8326">
        <v>92.953968318690698</v>
      </c>
      <c r="AJ8326">
        <v>78.678063306037302</v>
      </c>
      <c r="AK8326">
        <v>21.49147580224</v>
      </c>
      <c r="AL8326">
        <v>98.035063856472803</v>
      </c>
      <c r="AM8326">
        <v>88.101163397437006</v>
      </c>
      <c r="AN8326">
        <v>1.0000000081568801</v>
      </c>
    </row>
    <row r="8327" spans="1:40" x14ac:dyDescent="0.25">
      <c r="A8327" t="str">
        <f>"20190305135123724"</f>
        <v>20190305135123724</v>
      </c>
      <c r="B8327" t="str">
        <f>"1551765083717895"</f>
        <v>1551765083717895</v>
      </c>
      <c r="C8327" t="s">
        <v>40</v>
      </c>
      <c r="D8327">
        <v>4.2912589999999904</v>
      </c>
      <c r="E8327">
        <v>0.56398909999999902</v>
      </c>
      <c r="F8327" t="s">
        <v>42</v>
      </c>
      <c r="G8327">
        <v>-146.36529999999999</v>
      </c>
      <c r="H8327" s="1">
        <v>-2.0874729999999998E-6</v>
      </c>
      <c r="I8327">
        <v>136.53870000000001</v>
      </c>
      <c r="J8327">
        <v>-168.042</v>
      </c>
      <c r="K8327">
        <v>1.107345</v>
      </c>
      <c r="L8327">
        <v>133.8125</v>
      </c>
      <c r="M8327">
        <v>0.94825610000000005</v>
      </c>
      <c r="N8327">
        <v>-1.029185E-3</v>
      </c>
      <c r="O8327">
        <v>0.31750479999999998</v>
      </c>
      <c r="P8327">
        <v>0.94911190000000001</v>
      </c>
      <c r="Q8327">
        <v>-0.14106550000000001</v>
      </c>
      <c r="R8327">
        <v>0.28157949999999998</v>
      </c>
      <c r="S8327">
        <v>3.0247649999999999</v>
      </c>
      <c r="T8327">
        <v>-0.15338060000000001</v>
      </c>
      <c r="U8327">
        <v>0.38510129999999998</v>
      </c>
      <c r="V8327">
        <v>3.4013359999999999E-2</v>
      </c>
      <c r="W8327">
        <v>-0.14012639999999901</v>
      </c>
      <c r="X8327">
        <v>0.98954920000000002</v>
      </c>
      <c r="Y8327">
        <v>0.1945817</v>
      </c>
      <c r="Z8327">
        <v>-2.041244E-2</v>
      </c>
      <c r="AA8327">
        <v>0.98067389999999999</v>
      </c>
      <c r="AB8327">
        <v>30</v>
      </c>
      <c r="AC8327">
        <v>21.6767</v>
      </c>
      <c r="AD8327">
        <v>-1.107347087473</v>
      </c>
      <c r="AE8327">
        <v>2.7262</v>
      </c>
      <c r="AF8327">
        <v>4.2863112463954396</v>
      </c>
      <c r="AG8327">
        <v>-1.107347087473</v>
      </c>
      <c r="AH8327">
        <v>21.365767206201198</v>
      </c>
      <c r="AI8327">
        <v>92.909017500300806</v>
      </c>
      <c r="AJ8327">
        <v>78.656143860600807</v>
      </c>
      <c r="AK8327">
        <v>21.8195941754812</v>
      </c>
      <c r="AL8327">
        <v>98.055160794008998</v>
      </c>
      <c r="AM8327">
        <v>88.031371230161</v>
      </c>
      <c r="AN8327">
        <v>0.99999996792804402</v>
      </c>
    </row>
    <row r="8328" spans="1:40" x14ac:dyDescent="0.25">
      <c r="A8328" t="str">
        <f>"20190305135123737"</f>
        <v>20190305135123737</v>
      </c>
      <c r="B8328" t="str">
        <f>"1551765083727655"</f>
        <v>1551765083727655</v>
      </c>
      <c r="C8328" t="s">
        <v>40</v>
      </c>
      <c r="D8328">
        <v>4.2650449999999998</v>
      </c>
      <c r="E8328">
        <v>0.563996099999999</v>
      </c>
      <c r="F8328" t="s">
        <v>42</v>
      </c>
      <c r="G8328">
        <v>-146.00559999999999</v>
      </c>
      <c r="H8328" s="1">
        <v>-2.2347450000000001E-6</v>
      </c>
      <c r="I8328">
        <v>136.57839999999999</v>
      </c>
      <c r="J8328">
        <v>-167.88650000000001</v>
      </c>
      <c r="K8328">
        <v>1.1071660000000001</v>
      </c>
      <c r="L8328">
        <v>133.8639</v>
      </c>
      <c r="M8328">
        <v>0.94851799999999997</v>
      </c>
      <c r="N8328">
        <v>-9.9008819999999993E-4</v>
      </c>
      <c r="O8328">
        <v>0.3167219</v>
      </c>
      <c r="P8328">
        <v>0.94960990000000001</v>
      </c>
      <c r="Q8328">
        <v>-0.14135320000000001</v>
      </c>
      <c r="R8328">
        <v>0.27975090000000002</v>
      </c>
      <c r="S8328">
        <v>3.0255740000000002</v>
      </c>
      <c r="T8328">
        <v>-0.15203749999999999</v>
      </c>
      <c r="U8328">
        <v>0.37976070000000001</v>
      </c>
      <c r="V8328">
        <v>3.5056259999999999E-2</v>
      </c>
      <c r="W8328">
        <v>-0.14046320000000001</v>
      </c>
      <c r="X8328">
        <v>0.98946509999999999</v>
      </c>
      <c r="Y8328">
        <v>0.1955189</v>
      </c>
      <c r="Z8328">
        <v>-2.02261E-2</v>
      </c>
      <c r="AA8328">
        <v>0.98049129999999995</v>
      </c>
      <c r="AB8328">
        <v>30</v>
      </c>
      <c r="AC8328">
        <v>21.8809</v>
      </c>
      <c r="AD8328">
        <v>-1.107168234745</v>
      </c>
      <c r="AE8328">
        <v>2.7144999999999802</v>
      </c>
      <c r="AF8328">
        <v>4.3444552773237204</v>
      </c>
      <c r="AG8328">
        <v>-1.107168234745</v>
      </c>
      <c r="AH8328">
        <v>21.559814520446</v>
      </c>
      <c r="AI8328">
        <v>92.881919091416705</v>
      </c>
      <c r="AJ8328">
        <v>78.607063424649695</v>
      </c>
      <c r="AK8328">
        <v>22.021028934015</v>
      </c>
      <c r="AL8328">
        <v>98.074650366372893</v>
      </c>
      <c r="AM8328">
        <v>87.970887548840295</v>
      </c>
      <c r="AN8328">
        <v>1.0000000180187101</v>
      </c>
    </row>
    <row r="8329" spans="1:40" x14ac:dyDescent="0.25">
      <c r="A8329" t="str">
        <f>"20190305135123750"</f>
        <v>20190305135123750</v>
      </c>
      <c r="B8329" t="str">
        <f>"1551765083738392"</f>
        <v>1551765083738392</v>
      </c>
      <c r="C8329" t="s">
        <v>40</v>
      </c>
      <c r="D8329">
        <v>4.2480849999999997</v>
      </c>
      <c r="E8329">
        <v>0.56398079999999995</v>
      </c>
      <c r="F8329" t="s">
        <v>42</v>
      </c>
      <c r="G8329">
        <v>-145.71870000000001</v>
      </c>
      <c r="H8329" s="1">
        <v>-2.353116E-6</v>
      </c>
      <c r="I8329">
        <v>136.60489999999999</v>
      </c>
      <c r="J8329">
        <v>-167.7296</v>
      </c>
      <c r="K8329">
        <v>1.106984</v>
      </c>
      <c r="L8329">
        <v>133.91560000000001</v>
      </c>
      <c r="M8329">
        <v>0.94879599999999997</v>
      </c>
      <c r="N8329">
        <v>-9.5389499999999996E-4</v>
      </c>
      <c r="O8329">
        <v>0.31588830000000001</v>
      </c>
      <c r="P8329">
        <v>0.95003579999999999</v>
      </c>
      <c r="Q8329">
        <v>-0.141532399999999</v>
      </c>
      <c r="R8329">
        <v>0.27821020000000002</v>
      </c>
      <c r="S8329">
        <v>3.0264280000000001</v>
      </c>
      <c r="T8329">
        <v>-0.15115479999999901</v>
      </c>
      <c r="U8329">
        <v>0.37422179999999999</v>
      </c>
      <c r="V8329">
        <v>3.5748660000000002E-2</v>
      </c>
      <c r="W8329">
        <v>-0.1406888</v>
      </c>
      <c r="X8329">
        <v>0.98940830000000002</v>
      </c>
      <c r="Y8329">
        <v>0.1964649</v>
      </c>
      <c r="Z8329">
        <v>-2.0098749999999999E-2</v>
      </c>
      <c r="AA8329">
        <v>0.98030479999999998</v>
      </c>
      <c r="AB8329">
        <v>30</v>
      </c>
      <c r="AC8329">
        <v>22.0108999999999</v>
      </c>
      <c r="AD8329">
        <v>-1.106986353116</v>
      </c>
      <c r="AE8329">
        <v>2.68929999999997</v>
      </c>
      <c r="AF8329">
        <v>4.39044866717785</v>
      </c>
      <c r="AG8329">
        <v>-1.106986353116</v>
      </c>
      <c r="AH8329">
        <v>21.6793521040622</v>
      </c>
      <c r="AI8329">
        <v>92.865024029094101</v>
      </c>
      <c r="AJ8329">
        <v>78.551439347731701</v>
      </c>
      <c r="AK8329">
        <v>22.147139001167002</v>
      </c>
      <c r="AL8329">
        <v>98.0877057206621</v>
      </c>
      <c r="AM8329">
        <v>87.930726145007796</v>
      </c>
      <c r="AN8329">
        <v>1.0000000446230599</v>
      </c>
    </row>
    <row r="8330" spans="1:40" x14ac:dyDescent="0.25">
      <c r="A8330" t="str">
        <f>"20190305135123763"</f>
        <v>20190305135123763</v>
      </c>
      <c r="B8330" t="str">
        <f>"1551765083757911"</f>
        <v>1551765083757911</v>
      </c>
      <c r="C8330" t="s">
        <v>40</v>
      </c>
      <c r="D8330">
        <v>4.2410019999999999</v>
      </c>
      <c r="E8330">
        <v>0.56385769999999902</v>
      </c>
      <c r="F8330" t="s">
        <v>42</v>
      </c>
      <c r="G8330">
        <v>-145.49870000000001</v>
      </c>
      <c r="H8330" s="1">
        <v>-2.4433509999999999E-6</v>
      </c>
      <c r="I8330">
        <v>136.62819999999999</v>
      </c>
      <c r="J8330">
        <v>-167.55160000000001</v>
      </c>
      <c r="K8330">
        <v>1.1067640000000001</v>
      </c>
      <c r="L8330">
        <v>133.97380000000001</v>
      </c>
      <c r="M8330">
        <v>0.94916769999999995</v>
      </c>
      <c r="N8330">
        <v>-9.2304979999999995E-4</v>
      </c>
      <c r="O8330">
        <v>0.31476959999999998</v>
      </c>
      <c r="P8330">
        <v>0.9509069</v>
      </c>
      <c r="Q8330">
        <v>-0.14073769999999999</v>
      </c>
      <c r="R8330">
        <v>0.27562540000000002</v>
      </c>
      <c r="S8330">
        <v>3.027145</v>
      </c>
      <c r="T8330">
        <v>-0.1507368</v>
      </c>
      <c r="U8330">
        <v>0.36938480000000001</v>
      </c>
      <c r="V8330">
        <v>3.7263490000000003E-2</v>
      </c>
      <c r="W8330">
        <v>-0.13994179999999901</v>
      </c>
      <c r="X8330">
        <v>0.98945830000000001</v>
      </c>
      <c r="Y8330">
        <v>0.19688449999999999</v>
      </c>
      <c r="Z8330">
        <v>-2.0006650000000001E-2</v>
      </c>
      <c r="AA8330">
        <v>0.9802225</v>
      </c>
      <c r="AB8330">
        <v>30</v>
      </c>
      <c r="AC8330">
        <v>22.052899999999902</v>
      </c>
      <c r="AD8330">
        <v>-1.1067664433509901</v>
      </c>
      <c r="AE8330">
        <v>2.6543999999999799</v>
      </c>
      <c r="AF8330">
        <v>4.4111616547403001</v>
      </c>
      <c r="AG8330">
        <v>-1.1067664433509901</v>
      </c>
      <c r="AH8330">
        <v>21.713523901288799</v>
      </c>
      <c r="AI8330">
        <v>92.859602043348602</v>
      </c>
      <c r="AJ8330">
        <v>78.516482807425803</v>
      </c>
      <c r="AK8330">
        <v>22.184688397996901</v>
      </c>
      <c r="AL8330">
        <v>98.044478469172503</v>
      </c>
      <c r="AM8330">
        <v>87.843231817094903</v>
      </c>
      <c r="AN8330">
        <v>1.00000000125655</v>
      </c>
    </row>
    <row r="8331" spans="1:40" x14ac:dyDescent="0.25">
      <c r="A8331" t="str">
        <f>"20190305135123787"</f>
        <v>20190305135123787</v>
      </c>
      <c r="B8331" t="str">
        <f>"1551765083778407"</f>
        <v>1551765083778407</v>
      </c>
      <c r="C8331" t="s">
        <v>40</v>
      </c>
      <c r="D8331">
        <v>4.2487159999999999</v>
      </c>
      <c r="E8331">
        <v>0.56373949999999995</v>
      </c>
      <c r="F8331" t="s">
        <v>42</v>
      </c>
      <c r="G8331">
        <v>-145.1028</v>
      </c>
      <c r="H8331" s="1">
        <v>-2.6083169999999999E-6</v>
      </c>
      <c r="I8331">
        <v>136.6559</v>
      </c>
      <c r="J8331">
        <v>-167.25069999999999</v>
      </c>
      <c r="K8331">
        <v>1.106387</v>
      </c>
      <c r="L8331">
        <v>134.07159999999999</v>
      </c>
      <c r="M8331">
        <v>0.94986780000000004</v>
      </c>
      <c r="N8331">
        <v>-8.817931E-4</v>
      </c>
      <c r="O8331">
        <v>0.3126506</v>
      </c>
      <c r="P8331">
        <v>0.95178580000000002</v>
      </c>
      <c r="Q8331">
        <v>-0.13958909999999999</v>
      </c>
      <c r="R8331">
        <v>0.27316449999999998</v>
      </c>
      <c r="S8331">
        <v>3.0279389999999999</v>
      </c>
      <c r="T8331">
        <v>-0.1492822</v>
      </c>
      <c r="U8331">
        <v>0.3617706</v>
      </c>
      <c r="V8331">
        <v>3.7581879999999998E-2</v>
      </c>
      <c r="W8331">
        <v>-0.1388595</v>
      </c>
      <c r="X8331">
        <v>0.9895988</v>
      </c>
      <c r="Y8331">
        <v>0.19717019999999999</v>
      </c>
      <c r="Z8331">
        <v>-1.973041E-2</v>
      </c>
      <c r="AA8331">
        <v>0.98017069999999995</v>
      </c>
      <c r="AB8331">
        <v>30</v>
      </c>
      <c r="AC8331">
        <v>22.1479</v>
      </c>
      <c r="AD8331">
        <v>-1.106389608317</v>
      </c>
      <c r="AE8331">
        <v>2.58430000000001</v>
      </c>
      <c r="AF8331">
        <v>4.4588351793948897</v>
      </c>
      <c r="AG8331">
        <v>-1.106389608317</v>
      </c>
      <c r="AH8331">
        <v>21.7919178872299</v>
      </c>
      <c r="AI8331">
        <v>92.847552560567806</v>
      </c>
      <c r="AJ8331">
        <v>78.436342646856104</v>
      </c>
      <c r="AK8331">
        <v>22.270900168744198</v>
      </c>
      <c r="AL8331">
        <v>97.981855234005295</v>
      </c>
      <c r="AM8331">
        <v>87.825129922722894</v>
      </c>
      <c r="AN8331">
        <v>1.000000071703</v>
      </c>
    </row>
    <row r="8332" spans="1:40" x14ac:dyDescent="0.25">
      <c r="A8332" t="str">
        <f>"20190305135123805"</f>
        <v>20190305135123805</v>
      </c>
      <c r="B8332" t="str">
        <f>"1551765083797928"</f>
        <v>1551765083797928</v>
      </c>
      <c r="C8332" t="s">
        <v>40</v>
      </c>
      <c r="D8332">
        <v>4.2552070000000004</v>
      </c>
      <c r="E8332">
        <v>0.56362719999999999</v>
      </c>
      <c r="F8332" t="s">
        <v>42</v>
      </c>
      <c r="G8332">
        <v>-143.8578</v>
      </c>
      <c r="H8332" s="1">
        <v>-3.114698E-6</v>
      </c>
      <c r="I8332">
        <v>136.81200000000001</v>
      </c>
      <c r="J8332">
        <v>-167.0051</v>
      </c>
      <c r="K8332">
        <v>1.106063</v>
      </c>
      <c r="L8332">
        <v>134.15049999999999</v>
      </c>
      <c r="M8332">
        <v>0.95053600000000005</v>
      </c>
      <c r="N8332">
        <v>-8.6145809999999998E-4</v>
      </c>
      <c r="O8332">
        <v>0.31061319999999998</v>
      </c>
      <c r="P8332">
        <v>0.95239280000000004</v>
      </c>
      <c r="Q8332">
        <v>-0.13916990000000001</v>
      </c>
      <c r="R8332">
        <v>0.271256</v>
      </c>
      <c r="S8332">
        <v>3.029099</v>
      </c>
      <c r="T8332">
        <v>-0.14326410000000001</v>
      </c>
      <c r="U8332">
        <v>0.35485840000000002</v>
      </c>
      <c r="V8332">
        <v>3.7380919999999998E-2</v>
      </c>
      <c r="W8332">
        <v>-0.13848239999999901</v>
      </c>
      <c r="X8332">
        <v>0.98965919999999996</v>
      </c>
      <c r="Y8332">
        <v>0.19736680000000001</v>
      </c>
      <c r="Z8332">
        <v>-1.8844380000000001E-2</v>
      </c>
      <c r="AA8332">
        <v>0.98014860000000004</v>
      </c>
      <c r="AB8332">
        <v>30</v>
      </c>
      <c r="AC8332">
        <v>23.147300000000001</v>
      </c>
      <c r="AD8332">
        <v>-1.106066114698</v>
      </c>
      <c r="AE8332">
        <v>2.66150000000001</v>
      </c>
      <c r="AF8332">
        <v>4.6495294018725701</v>
      </c>
      <c r="AG8332">
        <v>-1.106066114698</v>
      </c>
      <c r="AH8332">
        <v>22.777717999704901</v>
      </c>
      <c r="AI8332">
        <v>92.723965293709398</v>
      </c>
      <c r="AJ8332">
        <v>78.462927024605406</v>
      </c>
      <c r="AK8332">
        <v>23.273717863354801</v>
      </c>
      <c r="AL8332">
        <v>97.960038624574906</v>
      </c>
      <c r="AM8332">
        <v>87.836880335343906</v>
      </c>
      <c r="AN8332">
        <v>1.0000000202172199</v>
      </c>
    </row>
    <row r="8333" spans="1:40" x14ac:dyDescent="0.25">
      <c r="A8333" t="str">
        <f>"20190305135123820"</f>
        <v>20190305135123820</v>
      </c>
      <c r="B8333" t="str">
        <f>"1551765083818424"</f>
        <v>1551765083818424</v>
      </c>
      <c r="C8333" t="s">
        <v>40</v>
      </c>
      <c r="D8333">
        <v>4.2905530000000001</v>
      </c>
      <c r="E8333">
        <v>0.56360310000000002</v>
      </c>
      <c r="F8333" t="s">
        <v>42</v>
      </c>
      <c r="G8333">
        <v>-143.03819999999999</v>
      </c>
      <c r="H8333" s="1">
        <v>-3.447505E-6</v>
      </c>
      <c r="I8333">
        <v>136.91810000000001</v>
      </c>
      <c r="J8333">
        <v>-166.82380000000001</v>
      </c>
      <c r="K8333">
        <v>1.1058220000000001</v>
      </c>
      <c r="L8333">
        <v>134.20830000000001</v>
      </c>
      <c r="M8333">
        <v>0.95108939999999997</v>
      </c>
      <c r="N8333">
        <v>-8.5491709999999999E-4</v>
      </c>
      <c r="O8333">
        <v>0.30891449999999998</v>
      </c>
      <c r="P8333">
        <v>0.9527253</v>
      </c>
      <c r="Q8333">
        <v>-0.13857739999999999</v>
      </c>
      <c r="R8333">
        <v>0.27039029999999997</v>
      </c>
      <c r="S8333">
        <v>3.0298769999999999</v>
      </c>
      <c r="T8333">
        <v>-0.139827799999999</v>
      </c>
      <c r="U8333">
        <v>0.34988399999999997</v>
      </c>
      <c r="V8333">
        <v>3.647442E-2</v>
      </c>
      <c r="W8333">
        <v>-0.13791049999999999</v>
      </c>
      <c r="X8333">
        <v>0.98977289999999996</v>
      </c>
      <c r="Y8333">
        <v>0.19725970000000001</v>
      </c>
      <c r="Z8333">
        <v>-1.8312390000000001E-2</v>
      </c>
      <c r="AA8333">
        <v>0.98018019999999995</v>
      </c>
      <c r="AB8333">
        <v>30</v>
      </c>
      <c r="AC8333">
        <v>23.785599999999999</v>
      </c>
      <c r="AD8333">
        <v>-1.10582544750499</v>
      </c>
      <c r="AE8333">
        <v>2.7098</v>
      </c>
      <c r="AF8333">
        <v>4.7602992377677502</v>
      </c>
      <c r="AG8333">
        <v>-1.10582544750499</v>
      </c>
      <c r="AH8333">
        <v>23.409387866827601</v>
      </c>
      <c r="AI8333">
        <v>92.650395062713798</v>
      </c>
      <c r="AJ8333">
        <v>78.505627958799707</v>
      </c>
      <c r="AK8333">
        <v>23.914069897301498</v>
      </c>
      <c r="AL8333">
        <v>97.926953543960394</v>
      </c>
      <c r="AM8333">
        <v>87.889530934949093</v>
      </c>
      <c r="AN8333">
        <v>1.0000000414494901</v>
      </c>
    </row>
    <row r="8334" spans="1:40" x14ac:dyDescent="0.25">
      <c r="A8334" t="str">
        <f>"20190305135123835"</f>
        <v>20190305135123835</v>
      </c>
      <c r="B8334" t="str">
        <f>"1551765083828183"</f>
        <v>1551765083828183</v>
      </c>
      <c r="C8334" t="s">
        <v>40</v>
      </c>
      <c r="D8334">
        <v>4.4802730000000004</v>
      </c>
      <c r="E8334">
        <v>0.56354190000000004</v>
      </c>
      <c r="F8334" t="s">
        <v>42</v>
      </c>
      <c r="G8334">
        <v>-142.06299999999999</v>
      </c>
      <c r="H8334" s="1">
        <v>-3.8429159999999997E-6</v>
      </c>
      <c r="I8334">
        <v>137.04750000000001</v>
      </c>
      <c r="J8334">
        <v>-166.61429999999999</v>
      </c>
      <c r="K8334">
        <v>1.1055330000000001</v>
      </c>
      <c r="L8334">
        <v>134.27440000000001</v>
      </c>
      <c r="M8334">
        <v>0.9517795</v>
      </c>
      <c r="N8334">
        <v>-8.5404960000000005E-4</v>
      </c>
      <c r="O8334">
        <v>0.30678169999999999</v>
      </c>
      <c r="P8334">
        <v>0.95343049999999996</v>
      </c>
      <c r="Q8334">
        <v>-0.13725950000000001</v>
      </c>
      <c r="R8334">
        <v>0.26857029999999998</v>
      </c>
      <c r="S8334">
        <v>3.030548</v>
      </c>
      <c r="T8334">
        <v>-0.1353452</v>
      </c>
      <c r="U8334">
        <v>0.34750370000000003</v>
      </c>
      <c r="V8334">
        <v>3.6130620000000002E-2</v>
      </c>
      <c r="W8334">
        <v>-0.13661319999999999</v>
      </c>
      <c r="X8334">
        <v>0.9899654</v>
      </c>
      <c r="Y8334">
        <v>0.19588240000000001</v>
      </c>
      <c r="Z8334">
        <v>-1.7597769999999999E-2</v>
      </c>
      <c r="AA8334">
        <v>0.98046949999999999</v>
      </c>
      <c r="AB8334">
        <v>30</v>
      </c>
      <c r="AC8334">
        <v>24.551300000000001</v>
      </c>
      <c r="AD8334">
        <v>-1.105536842916</v>
      </c>
      <c r="AE8334">
        <v>2.7730999999999901</v>
      </c>
      <c r="AF8334">
        <v>4.8827358472958</v>
      </c>
      <c r="AG8334">
        <v>-1.105536842916</v>
      </c>
      <c r="AH8334">
        <v>24.1697787339311</v>
      </c>
      <c r="AI8334">
        <v>92.567121471747697</v>
      </c>
      <c r="AJ8334">
        <v>78.578922447035694</v>
      </c>
      <c r="AK8334">
        <v>24.682818419149399</v>
      </c>
      <c r="AL8334">
        <v>97.851913463347799</v>
      </c>
      <c r="AM8334">
        <v>87.909812182771006</v>
      </c>
      <c r="AN8334">
        <v>1.00000004065649</v>
      </c>
    </row>
    <row r="8335" spans="1:40" x14ac:dyDescent="0.25">
      <c r="A8335" t="str">
        <f>"20190305135123847"</f>
        <v>20190305135123847</v>
      </c>
      <c r="B8335" t="str">
        <f>"1551765083837943"</f>
        <v>1551765083837943</v>
      </c>
      <c r="C8335" t="s">
        <v>40</v>
      </c>
      <c r="D8335">
        <v>4.4207409999999996</v>
      </c>
      <c r="E8335">
        <v>0.56378139999999999</v>
      </c>
      <c r="F8335" t="s">
        <v>42</v>
      </c>
      <c r="G8335">
        <v>-141.38050000000001</v>
      </c>
      <c r="H8335" s="1">
        <v>-4.1225989999999999E-6</v>
      </c>
      <c r="I8335">
        <v>137.12129999999999</v>
      </c>
      <c r="J8335">
        <v>-166.44829999999999</v>
      </c>
      <c r="K8335">
        <v>1.1053090000000001</v>
      </c>
      <c r="L8335">
        <v>134.32640000000001</v>
      </c>
      <c r="M8335">
        <v>0.95236399999999999</v>
      </c>
      <c r="N8335">
        <v>-8.5808360000000003E-4</v>
      </c>
      <c r="O8335">
        <v>0.30496269999999998</v>
      </c>
      <c r="P8335">
        <v>0.95395370000000002</v>
      </c>
      <c r="Q8335">
        <v>-0.13635420000000001</v>
      </c>
      <c r="R8335">
        <v>0.26717020000000002</v>
      </c>
      <c r="S8335">
        <v>3.0310820000000001</v>
      </c>
      <c r="T8335">
        <v>-0.1327969</v>
      </c>
      <c r="U8335">
        <v>0.34198000000000001</v>
      </c>
      <c r="V8335">
        <v>3.5672240000000001E-2</v>
      </c>
      <c r="W8335">
        <v>-0.1357187</v>
      </c>
      <c r="X8335">
        <v>0.99010500000000001</v>
      </c>
      <c r="Y8335">
        <v>0.19581200000000001</v>
      </c>
      <c r="Z8335">
        <v>-1.7186469999999999E-2</v>
      </c>
      <c r="AA8335">
        <v>0.98049090000000005</v>
      </c>
      <c r="AB8335">
        <v>31</v>
      </c>
      <c r="AC8335">
        <v>25.067799999999899</v>
      </c>
      <c r="AD8335">
        <v>-1.1053131225990001</v>
      </c>
      <c r="AE8335">
        <v>2.7948999999999802</v>
      </c>
      <c r="AF8335">
        <v>4.9734326648681204</v>
      </c>
      <c r="AG8335">
        <v>-1.1053131225990001</v>
      </c>
      <c r="AH8335">
        <v>24.6786267132793</v>
      </c>
      <c r="AI8335">
        <v>92.513989212570607</v>
      </c>
      <c r="AJ8335">
        <v>78.605915206204401</v>
      </c>
      <c r="AK8335">
        <v>25.199035021689799</v>
      </c>
      <c r="AL8335">
        <v>97.800180927629398</v>
      </c>
      <c r="AM8335">
        <v>87.936597508306093</v>
      </c>
      <c r="AN8335">
        <v>0.99999999263065298</v>
      </c>
    </row>
    <row r="8336" spans="1:40" x14ac:dyDescent="0.25">
      <c r="A8336" t="str">
        <f>"20190305135123861"</f>
        <v>20190305135123861</v>
      </c>
      <c r="B8336" t="str">
        <f>"1551765083858439"</f>
        <v>1551765083858439</v>
      </c>
      <c r="C8336" t="s">
        <v>40</v>
      </c>
      <c r="D8336">
        <v>4.3856630000000001</v>
      </c>
      <c r="E8336">
        <v>0.58431580000000005</v>
      </c>
      <c r="F8336" t="s">
        <v>42</v>
      </c>
      <c r="G8336">
        <v>-140.7312</v>
      </c>
      <c r="H8336" s="1">
        <v>-4.3920700000000003E-6</v>
      </c>
      <c r="I8336">
        <v>137.17240000000001</v>
      </c>
      <c r="J8336">
        <v>-166.28190000000001</v>
      </c>
      <c r="K8336">
        <v>1.105089</v>
      </c>
      <c r="L8336">
        <v>134.37780000000001</v>
      </c>
      <c r="M8336">
        <v>0.95299929999999999</v>
      </c>
      <c r="N8336">
        <v>-8.6691069999999995E-4</v>
      </c>
      <c r="O8336">
        <v>0.30297160000000001</v>
      </c>
      <c r="P8336">
        <v>0.95467970000000002</v>
      </c>
      <c r="Q8336">
        <v>-0.13481789999999999</v>
      </c>
      <c r="R8336">
        <v>0.2653508</v>
      </c>
      <c r="S8336">
        <v>3.032181</v>
      </c>
      <c r="T8336">
        <v>-0.1303221</v>
      </c>
      <c r="U8336">
        <v>0.33557130000000002</v>
      </c>
      <c r="V8336">
        <v>3.5502649999999997E-2</v>
      </c>
      <c r="W8336">
        <v>-0.1341897</v>
      </c>
      <c r="X8336">
        <v>0.99031950000000002</v>
      </c>
      <c r="Y8336">
        <v>0.19586770000000001</v>
      </c>
      <c r="Z8336">
        <v>-1.6779780000000001E-2</v>
      </c>
      <c r="AA8336">
        <v>0.98048679999999999</v>
      </c>
      <c r="AB8336">
        <v>31</v>
      </c>
      <c r="AC8336">
        <v>25.550699999999999</v>
      </c>
      <c r="AD8336">
        <v>-1.1050933920699999</v>
      </c>
      <c r="AE8336">
        <v>2.7946</v>
      </c>
      <c r="AF8336">
        <v>5.0685166639070598</v>
      </c>
      <c r="AG8336">
        <v>-1.1050933920699999</v>
      </c>
      <c r="AH8336">
        <v>25.149999830665699</v>
      </c>
      <c r="AI8336">
        <v>92.466438112920002</v>
      </c>
      <c r="AJ8336">
        <v>78.605720038347101</v>
      </c>
      <c r="AK8336">
        <v>25.679438935848701</v>
      </c>
      <c r="AL8336">
        <v>97.711766687168307</v>
      </c>
      <c r="AM8336">
        <v>87.946843168448396</v>
      </c>
      <c r="AN8336">
        <v>1.0000000129116799</v>
      </c>
    </row>
    <row r="8337" spans="1:40" x14ac:dyDescent="0.25">
      <c r="A8337" t="str">
        <f>"20190305135123874"</f>
        <v>20190305135123874</v>
      </c>
      <c r="B8337" t="str">
        <f>"1551765083868199"</f>
        <v>1551765083868199</v>
      </c>
      <c r="C8337" t="s">
        <v>40</v>
      </c>
      <c r="D8337">
        <v>4.364738</v>
      </c>
      <c r="E8337">
        <v>0.58444410000000002</v>
      </c>
      <c r="F8337" t="s">
        <v>42</v>
      </c>
      <c r="G8337">
        <v>-142.16560000000001</v>
      </c>
      <c r="H8337" s="1">
        <v>-4.0356189999999901E-6</v>
      </c>
      <c r="I8337">
        <v>135.71289999999999</v>
      </c>
      <c r="J8337">
        <v>-166.1114</v>
      </c>
      <c r="K8337">
        <v>1.104867</v>
      </c>
      <c r="L8337">
        <v>134.43020000000001</v>
      </c>
      <c r="M8337">
        <v>0.95367000000000002</v>
      </c>
      <c r="N8337">
        <v>-8.7725390000000002E-4</v>
      </c>
      <c r="O8337">
        <v>0.3008535</v>
      </c>
      <c r="P8337">
        <v>0.95561010000000002</v>
      </c>
      <c r="Q8337">
        <v>-0.1333367</v>
      </c>
      <c r="R8337">
        <v>0.2627369</v>
      </c>
      <c r="S8337">
        <v>3.0751949999999999</v>
      </c>
      <c r="T8337">
        <v>-0.14091619999999999</v>
      </c>
      <c r="U8337">
        <v>0.17024230000000001</v>
      </c>
      <c r="V8337">
        <v>3.6021190000000002E-2</v>
      </c>
      <c r="W8337">
        <v>-0.13271910000000001</v>
      </c>
      <c r="X8337">
        <v>0.99049889999999996</v>
      </c>
      <c r="Y8337">
        <v>0.24712300000000001</v>
      </c>
      <c r="Z8337">
        <v>-1.9072579999999999E-2</v>
      </c>
      <c r="AA8337">
        <v>0.9687964</v>
      </c>
      <c r="AB8337">
        <v>31</v>
      </c>
      <c r="AC8337">
        <v>23.945799999999899</v>
      </c>
      <c r="AD8337">
        <v>-1.1048710356189999</v>
      </c>
      <c r="AE8337">
        <v>1.28269999999997</v>
      </c>
      <c r="AF8337">
        <v>5.96823763630612</v>
      </c>
      <c r="AG8337">
        <v>-1.1048710356189999</v>
      </c>
      <c r="AH8337">
        <v>23.173110901362701</v>
      </c>
      <c r="AI8337">
        <v>92.643597363452798</v>
      </c>
      <c r="AJ8337">
        <v>75.557341484870093</v>
      </c>
      <c r="AK8337">
        <v>23.954825596017699</v>
      </c>
      <c r="AL8337">
        <v>97.626747267625504</v>
      </c>
      <c r="AM8337">
        <v>87.917258629917598</v>
      </c>
      <c r="AN8337">
        <v>0.99999997826751696</v>
      </c>
    </row>
    <row r="8338" spans="1:40" x14ac:dyDescent="0.25">
      <c r="A8338" t="str">
        <f>"20190305135123885"</f>
        <v>20190305135123885</v>
      </c>
      <c r="B8338" t="str">
        <f>"1551765083877959"</f>
        <v>1551765083877959</v>
      </c>
      <c r="C8338" t="s">
        <v>40</v>
      </c>
      <c r="D8338">
        <v>4.3391570000000002</v>
      </c>
      <c r="E8338">
        <v>0.58497949999999999</v>
      </c>
      <c r="F8338" t="s">
        <v>42</v>
      </c>
      <c r="G8338">
        <v>-142.04</v>
      </c>
      <c r="H8338" s="1">
        <v>-4.0946120000000001E-6</v>
      </c>
      <c r="I8338">
        <v>135.6841</v>
      </c>
      <c r="J8338">
        <v>-165.94069999999999</v>
      </c>
      <c r="K8338">
        <v>1.1046499999999999</v>
      </c>
      <c r="L8338">
        <v>134.4821</v>
      </c>
      <c r="M8338">
        <v>0.95437859999999997</v>
      </c>
      <c r="N8338">
        <v>-8.9015350000000003E-4</v>
      </c>
      <c r="O8338">
        <v>0.29859780000000002</v>
      </c>
      <c r="P8338">
        <v>0.95667040000000003</v>
      </c>
      <c r="Q8338">
        <v>-0.13114329999999999</v>
      </c>
      <c r="R8338">
        <v>0.25996770000000002</v>
      </c>
      <c r="S8338">
        <v>3.0756070000000002</v>
      </c>
      <c r="T8338">
        <v>-0.14116909999999999</v>
      </c>
      <c r="U8338">
        <v>0.16021729999999901</v>
      </c>
      <c r="V8338">
        <v>3.6592420000000001E-2</v>
      </c>
      <c r="W8338">
        <v>-0.13053429999999999</v>
      </c>
      <c r="X8338">
        <v>0.99076830000000005</v>
      </c>
      <c r="Y8338">
        <v>0.24798729999999999</v>
      </c>
      <c r="Z8338">
        <v>-1.902854E-2</v>
      </c>
      <c r="AA8338">
        <v>0.9685764</v>
      </c>
      <c r="AB8338">
        <v>31</v>
      </c>
      <c r="AC8338">
        <v>23.900700000000001</v>
      </c>
      <c r="AD8338">
        <v>-1.10465409461199</v>
      </c>
      <c r="AE8338">
        <v>1.20199999999999</v>
      </c>
      <c r="AF8338">
        <v>5.9768007599900796</v>
      </c>
      <c r="AG8338">
        <v>-1.10465409461199</v>
      </c>
      <c r="AH8338">
        <v>23.119977810766901</v>
      </c>
      <c r="AI8338">
        <v>92.648528811428307</v>
      </c>
      <c r="AJ8338">
        <v>75.505649399592699</v>
      </c>
      <c r="AK8338">
        <v>23.905559645482398</v>
      </c>
      <c r="AL8338">
        <v>97.500468426005995</v>
      </c>
      <c r="AM8338">
        <v>87.884834723219399</v>
      </c>
      <c r="AN8338">
        <v>1.00000001648141</v>
      </c>
    </row>
    <row r="8339" spans="1:40" x14ac:dyDescent="0.25">
      <c r="A8339" t="str">
        <f>"20190305135123905"</f>
        <v>20190305135123905</v>
      </c>
      <c r="B8339" t="str">
        <f>"1551765083898455"</f>
        <v>1551765083898455</v>
      </c>
      <c r="C8339" t="s">
        <v>40</v>
      </c>
      <c r="D8339">
        <v>4.3722159999999999</v>
      </c>
      <c r="E8339">
        <v>0.58471289999999998</v>
      </c>
      <c r="F8339" t="s">
        <v>42</v>
      </c>
      <c r="G8339">
        <v>-140.35069999999999</v>
      </c>
      <c r="H8339" s="1">
        <v>-4.8160199999999998E-6</v>
      </c>
      <c r="I8339">
        <v>135.70269999999999</v>
      </c>
      <c r="J8339">
        <v>-165.68090000000001</v>
      </c>
      <c r="K8339">
        <v>1.104336</v>
      </c>
      <c r="L8339">
        <v>134.56</v>
      </c>
      <c r="M8339">
        <v>0.95550979999999996</v>
      </c>
      <c r="N8339">
        <v>-9.1411710000000002E-4</v>
      </c>
      <c r="O8339">
        <v>0.294958</v>
      </c>
      <c r="P8339">
        <v>0.95794729999999995</v>
      </c>
      <c r="Q8339">
        <v>-0.13057839999999901</v>
      </c>
      <c r="R8339">
        <v>0.25551220000000002</v>
      </c>
      <c r="S8339">
        <v>3.0777589999999999</v>
      </c>
      <c r="T8339">
        <v>-0.1328588</v>
      </c>
      <c r="U8339">
        <v>0.14680480000000001</v>
      </c>
      <c r="V8339">
        <v>3.7365830000000003E-2</v>
      </c>
      <c r="W8339">
        <v>-0.12997739999999999</v>
      </c>
      <c r="X8339">
        <v>0.99081269999999999</v>
      </c>
      <c r="Y8339">
        <v>0.248608</v>
      </c>
      <c r="Z8339">
        <v>-1.7753599999999901E-2</v>
      </c>
      <c r="AA8339">
        <v>0.96844149999999996</v>
      </c>
      <c r="AB8339">
        <v>31</v>
      </c>
      <c r="AC8339">
        <v>25.330200000000001</v>
      </c>
      <c r="AD8339">
        <v>-1.1043408160199999</v>
      </c>
      <c r="AE8339">
        <v>1.1426999999999901</v>
      </c>
      <c r="AF8339">
        <v>6.3674082538080903</v>
      </c>
      <c r="AG8339">
        <v>-1.1043408160199999</v>
      </c>
      <c r="AH8339">
        <v>24.493850103589502</v>
      </c>
      <c r="AI8339">
        <v>92.498580138996203</v>
      </c>
      <c r="AJ8339">
        <v>75.427959062644902</v>
      </c>
      <c r="AK8339">
        <v>25.332038003400001</v>
      </c>
      <c r="AL8339">
        <v>97.468285839652495</v>
      </c>
      <c r="AM8339">
        <v>87.840267612590196</v>
      </c>
      <c r="AN8339">
        <v>1.00000006812181</v>
      </c>
    </row>
    <row r="8340" spans="1:40" x14ac:dyDescent="0.25">
      <c r="A8340" t="str">
        <f>"20190305135123918"</f>
        <v>20190305135123918</v>
      </c>
      <c r="B8340" t="str">
        <f>"1551765083908215"</f>
        <v>1551765083908215</v>
      </c>
      <c r="C8340" t="s">
        <v>40</v>
      </c>
      <c r="D8340">
        <v>4.3603019999999999</v>
      </c>
      <c r="E8340">
        <v>0.5844395</v>
      </c>
      <c r="F8340" t="s">
        <v>42</v>
      </c>
      <c r="G8340">
        <v>-139.5454</v>
      </c>
      <c r="H8340" s="1">
        <v>-1.1816489999999999E-6</v>
      </c>
      <c r="I8340">
        <v>135.70419999999999</v>
      </c>
      <c r="J8340">
        <v>-165.50069999999999</v>
      </c>
      <c r="K8340">
        <v>1.1041319999999999</v>
      </c>
      <c r="L8340">
        <v>134.61330000000001</v>
      </c>
      <c r="M8340">
        <v>0.95632919999999999</v>
      </c>
      <c r="N8340">
        <v>-9.3369809999999998E-4</v>
      </c>
      <c r="O8340">
        <v>0.2922901</v>
      </c>
      <c r="P8340">
        <v>0.95886649999999995</v>
      </c>
      <c r="Q8340">
        <v>-0.13040489999999999</v>
      </c>
      <c r="R8340">
        <v>0.25213029999999997</v>
      </c>
      <c r="S8340">
        <v>3.0780029999999998</v>
      </c>
      <c r="T8340">
        <v>-0.13005890000000001</v>
      </c>
      <c r="U8340">
        <v>0.13475039999999999</v>
      </c>
      <c r="V8340">
        <v>3.8046730000000001E-2</v>
      </c>
      <c r="W8340">
        <v>-0.12980749999999999</v>
      </c>
      <c r="X8340">
        <v>0.99080900000000005</v>
      </c>
      <c r="Y8340">
        <v>0.2497152</v>
      </c>
      <c r="Z8340">
        <v>-1.729313E-2</v>
      </c>
      <c r="AA8340">
        <v>0.96816489999999999</v>
      </c>
      <c r="AB8340">
        <v>31</v>
      </c>
      <c r="AC8340">
        <v>25.955299999999902</v>
      </c>
      <c r="AD8340">
        <v>-1.1041331816490001</v>
      </c>
      <c r="AE8340">
        <v>1.09089999999997</v>
      </c>
      <c r="AF8340">
        <v>6.5314222015576702</v>
      </c>
      <c r="AG8340">
        <v>-1.1041331816490001</v>
      </c>
      <c r="AH8340">
        <v>25.095349283114501</v>
      </c>
      <c r="AI8340">
        <v>92.438127183622996</v>
      </c>
      <c r="AJ8340">
        <v>75.4116031139679</v>
      </c>
      <c r="AK8340">
        <v>25.9548673989935</v>
      </c>
      <c r="AL8340">
        <v>97.458468566428706</v>
      </c>
      <c r="AM8340">
        <v>87.800941910816505</v>
      </c>
      <c r="AN8340">
        <v>1.00000000760047</v>
      </c>
    </row>
    <row r="8341" spans="1:40" x14ac:dyDescent="0.25">
      <c r="A8341" t="str">
        <f>"20190305135123930"</f>
        <v>20190305135123930</v>
      </c>
      <c r="B8341" t="str">
        <f>"1551765083927736"</f>
        <v>1551765083927736</v>
      </c>
      <c r="C8341" t="s">
        <v>40</v>
      </c>
      <c r="D8341">
        <v>4.3496620000000004</v>
      </c>
      <c r="E8341">
        <v>0.58438009999999996</v>
      </c>
      <c r="F8341" t="s">
        <v>42</v>
      </c>
      <c r="G8341">
        <v>-139.39599999999999</v>
      </c>
      <c r="H8341" s="1">
        <v>-1.237813E-6</v>
      </c>
      <c r="I8341">
        <v>135.6842</v>
      </c>
      <c r="J8341">
        <v>-165.33330000000001</v>
      </c>
      <c r="K8341">
        <v>1.103952</v>
      </c>
      <c r="L8341">
        <v>134.66229999999999</v>
      </c>
      <c r="M8341">
        <v>0.95710300000000004</v>
      </c>
      <c r="N8341">
        <v>-9.5271690000000003E-4</v>
      </c>
      <c r="O8341">
        <v>0.28974680000000003</v>
      </c>
      <c r="P8341">
        <v>0.96004370000000006</v>
      </c>
      <c r="Q8341">
        <v>-0.12948490000000001</v>
      </c>
      <c r="R8341">
        <v>0.24809290000000001</v>
      </c>
      <c r="S8341">
        <v>3.0777890000000001</v>
      </c>
      <c r="T8341">
        <v>-0.1301793</v>
      </c>
      <c r="U8341">
        <v>0.1262665</v>
      </c>
      <c r="V8341">
        <v>3.9573329999999997E-2</v>
      </c>
      <c r="W8341">
        <v>-0.12889829999999999</v>
      </c>
      <c r="X8341">
        <v>0.99086790000000002</v>
      </c>
      <c r="Y8341">
        <v>0.24980330000000001</v>
      </c>
      <c r="Z8341">
        <v>-1.7210409999999999E-2</v>
      </c>
      <c r="AA8341">
        <v>0.96814359999999999</v>
      </c>
      <c r="AB8341">
        <v>31</v>
      </c>
      <c r="AC8341">
        <v>25.9373</v>
      </c>
      <c r="AD8341">
        <v>-1.1039532378129999</v>
      </c>
      <c r="AE8341">
        <v>1.02190000000001</v>
      </c>
      <c r="AF8341">
        <v>6.5253854278138199</v>
      </c>
      <c r="AG8341">
        <v>-1.1039532378129999</v>
      </c>
      <c r="AH8341">
        <v>25.075412808932501</v>
      </c>
      <c r="AI8341">
        <v>92.439686202737093</v>
      </c>
      <c r="AJ8341">
        <v>75.413417881084001</v>
      </c>
      <c r="AK8341">
        <v>25.9340643801001</v>
      </c>
      <c r="AL8341">
        <v>97.405933877518507</v>
      </c>
      <c r="AM8341">
        <v>87.712933869663203</v>
      </c>
      <c r="AN8341">
        <v>1.00000000772029</v>
      </c>
    </row>
    <row r="8342" spans="1:40" x14ac:dyDescent="0.25">
      <c r="A8342" t="str">
        <f>"20190305135123947"</f>
        <v>20190305135123947</v>
      </c>
      <c r="B8342" t="str">
        <f>"1551765083938471"</f>
        <v>1551765083938471</v>
      </c>
      <c r="C8342" t="s">
        <v>40</v>
      </c>
      <c r="D8342">
        <v>4.3675829999999998</v>
      </c>
      <c r="E8342">
        <v>0.58416869999999999</v>
      </c>
      <c r="F8342" t="s">
        <v>42</v>
      </c>
      <c r="G8342">
        <v>-138.17490000000001</v>
      </c>
      <c r="H8342" s="1">
        <v>-1.657354E-6</v>
      </c>
      <c r="I8342">
        <v>135.66919999999999</v>
      </c>
      <c r="J8342">
        <v>-165.10730000000001</v>
      </c>
      <c r="K8342">
        <v>1.1037129999999999</v>
      </c>
      <c r="L8342">
        <v>134.72749999999999</v>
      </c>
      <c r="M8342">
        <v>0.95818639999999999</v>
      </c>
      <c r="N8342">
        <v>-9.8160559999999997E-4</v>
      </c>
      <c r="O8342">
        <v>0.28614299999999998</v>
      </c>
      <c r="P8342">
        <v>0.96128309999999995</v>
      </c>
      <c r="Q8342">
        <v>-0.12900149999999999</v>
      </c>
      <c r="R8342">
        <v>0.24350289999999999</v>
      </c>
      <c r="S8342">
        <v>3.0784910000000001</v>
      </c>
      <c r="T8342">
        <v>-0.12513659999999999</v>
      </c>
      <c r="U8342">
        <v>0.11413570000000001</v>
      </c>
      <c r="V8342">
        <v>4.0533520000000003E-2</v>
      </c>
      <c r="W8342">
        <v>-0.128417</v>
      </c>
      <c r="X8342">
        <v>0.99089159999999998</v>
      </c>
      <c r="Y8342">
        <v>0.25001649999999997</v>
      </c>
      <c r="Z8342">
        <v>-1.6399400000000001E-2</v>
      </c>
      <c r="AA8342">
        <v>0.96810269999999998</v>
      </c>
      <c r="AB8342">
        <v>32</v>
      </c>
      <c r="AC8342">
        <v>26.932400000000001</v>
      </c>
      <c r="AD8342">
        <v>-1.103714657354</v>
      </c>
      <c r="AE8342">
        <v>0.94169999999999698</v>
      </c>
      <c r="AF8342">
        <v>6.7928028754039396</v>
      </c>
      <c r="AG8342">
        <v>-1.103714657354</v>
      </c>
      <c r="AH8342">
        <v>26.032067572083299</v>
      </c>
      <c r="AI8342">
        <v>92.349218838716695</v>
      </c>
      <c r="AJ8342">
        <v>75.375357564294802</v>
      </c>
      <c r="AK8342">
        <v>26.926360671774098</v>
      </c>
      <c r="AL8342">
        <v>97.378126164948398</v>
      </c>
      <c r="AM8342">
        <v>87.657558547147204</v>
      </c>
      <c r="AN8342">
        <v>1.0000000275415699</v>
      </c>
    </row>
    <row r="8343" spans="1:40" x14ac:dyDescent="0.25">
      <c r="A8343" t="str">
        <f>"20190305135123960"</f>
        <v>20190305135123960</v>
      </c>
      <c r="B8343" t="str">
        <f>"1551765083957992"</f>
        <v>1551765083957992</v>
      </c>
      <c r="C8343" t="s">
        <v>40</v>
      </c>
      <c r="D8343">
        <v>4.3641110000000003</v>
      </c>
      <c r="E8343">
        <v>0.58348109999999997</v>
      </c>
      <c r="F8343" t="s">
        <v>42</v>
      </c>
      <c r="G8343">
        <v>-138.10640000000001</v>
      </c>
      <c r="H8343" s="1">
        <v>-1.695541E-6</v>
      </c>
      <c r="I8343">
        <v>135.61330000000001</v>
      </c>
      <c r="J8343">
        <v>-164.93010000000001</v>
      </c>
      <c r="K8343">
        <v>1.1035330000000001</v>
      </c>
      <c r="L8343">
        <v>134.77770000000001</v>
      </c>
      <c r="M8343">
        <v>0.95905830000000003</v>
      </c>
      <c r="N8343">
        <v>-1.0057320000000001E-3</v>
      </c>
      <c r="O8343">
        <v>0.2832073</v>
      </c>
      <c r="P8343">
        <v>0.9623292</v>
      </c>
      <c r="Q8343">
        <v>-0.12905339999999901</v>
      </c>
      <c r="R8343">
        <v>0.23930689999999999</v>
      </c>
      <c r="S8343">
        <v>3.078354</v>
      </c>
      <c r="T8343">
        <v>-0.12583349999999999</v>
      </c>
      <c r="U8343">
        <v>0.1009979</v>
      </c>
      <c r="V8343">
        <v>4.1767869999999999E-2</v>
      </c>
      <c r="W8343">
        <v>-0.128474</v>
      </c>
      <c r="X8343">
        <v>0.99083290000000002</v>
      </c>
      <c r="Y8343">
        <v>0.25117279999999997</v>
      </c>
      <c r="Z8343">
        <v>-1.6402880000000002E-2</v>
      </c>
      <c r="AA8343">
        <v>0.96780319999999997</v>
      </c>
      <c r="AB8343">
        <v>32</v>
      </c>
      <c r="AC8343">
        <v>26.823699999999999</v>
      </c>
      <c r="AD8343">
        <v>-1.1035346955409999</v>
      </c>
      <c r="AE8343">
        <v>0.83559999999999901</v>
      </c>
      <c r="AF8343">
        <v>6.7838106386556296</v>
      </c>
      <c r="AG8343">
        <v>-1.1035346955409999</v>
      </c>
      <c r="AH8343">
        <v>25.918325720141102</v>
      </c>
      <c r="AI8343">
        <v>92.358672327608602</v>
      </c>
      <c r="AJ8343">
        <v>75.332548856444603</v>
      </c>
      <c r="AK8343">
        <v>26.814128435224699</v>
      </c>
      <c r="AL8343">
        <v>97.381419658012803</v>
      </c>
      <c r="AM8343">
        <v>87.586165472376507</v>
      </c>
      <c r="AN8343">
        <v>0.999999979681373</v>
      </c>
    </row>
    <row r="8344" spans="1:40" x14ac:dyDescent="0.25">
      <c r="A8344" t="str">
        <f>"20190305135123975"</f>
        <v>20190305135123975</v>
      </c>
      <c r="B8344" t="str">
        <f>"1551765083967751"</f>
        <v>1551765083967751</v>
      </c>
      <c r="C8344" t="s">
        <v>40</v>
      </c>
      <c r="D8344">
        <v>4.347899</v>
      </c>
      <c r="E8344">
        <v>0.58329849999999905</v>
      </c>
      <c r="F8344" t="s">
        <v>42</v>
      </c>
      <c r="G8344">
        <v>-139.119</v>
      </c>
      <c r="H8344" s="1">
        <v>-1.3666359999999999E-6</v>
      </c>
      <c r="I8344">
        <v>135.55430000000001</v>
      </c>
      <c r="J8344">
        <v>-164.71469999999999</v>
      </c>
      <c r="K8344">
        <v>1.103315</v>
      </c>
      <c r="L8344">
        <v>134.8381</v>
      </c>
      <c r="M8344">
        <v>0.96013400000000004</v>
      </c>
      <c r="N8344">
        <v>-1.0363169999999999E-3</v>
      </c>
      <c r="O8344">
        <v>0.27953820000000001</v>
      </c>
      <c r="P8344">
        <v>0.96390750000000003</v>
      </c>
      <c r="Q8344">
        <v>-0.12897069999999999</v>
      </c>
      <c r="R8344">
        <v>0.2329137</v>
      </c>
      <c r="S8344">
        <v>3.0767519999999999</v>
      </c>
      <c r="T8344">
        <v>-0.13154379999999999</v>
      </c>
      <c r="U8344">
        <v>9.2575069999999995E-2</v>
      </c>
      <c r="V8344">
        <v>4.4497670000000003E-2</v>
      </c>
      <c r="W8344">
        <v>-0.128410199999999</v>
      </c>
      <c r="X8344">
        <v>0.9907224</v>
      </c>
      <c r="Y8344">
        <v>0.2500655</v>
      </c>
      <c r="Z8344">
        <v>-1.6988159999999999E-2</v>
      </c>
      <c r="AA8344">
        <v>0.96807989999999999</v>
      </c>
      <c r="AB8344">
        <v>32</v>
      </c>
      <c r="AC8344">
        <v>25.595699999999901</v>
      </c>
      <c r="AD8344">
        <v>-1.103316366636</v>
      </c>
      <c r="AE8344">
        <v>0.71620000000001405</v>
      </c>
      <c r="AF8344">
        <v>6.4553462689438801</v>
      </c>
      <c r="AG8344">
        <v>-1.103316366636</v>
      </c>
      <c r="AH8344">
        <v>24.7296068509315</v>
      </c>
      <c r="AI8344">
        <v>92.471847958279795</v>
      </c>
      <c r="AJ8344">
        <v>75.370135899518999</v>
      </c>
      <c r="AK8344">
        <v>25.582069061326798</v>
      </c>
      <c r="AL8344">
        <v>97.377733149387694</v>
      </c>
      <c r="AM8344">
        <v>87.428324651973</v>
      </c>
      <c r="AN8344">
        <v>1.0000000479806099</v>
      </c>
    </row>
    <row r="8345" spans="1:40" x14ac:dyDescent="0.25">
      <c r="A8345" t="str">
        <f>"20190305135123995"</f>
        <v>20190305135123995</v>
      </c>
      <c r="B8345" t="str">
        <f>"1551765083988247"</f>
        <v>1551765083988247</v>
      </c>
      <c r="C8345" t="s">
        <v>40</v>
      </c>
      <c r="D8345">
        <v>4.3321009999999998</v>
      </c>
      <c r="E8345">
        <v>0.58255800000000002</v>
      </c>
      <c r="F8345" t="s">
        <v>42</v>
      </c>
      <c r="G8345">
        <v>-139.34520000000001</v>
      </c>
      <c r="H8345" s="1">
        <v>-1.3193260000000001E-6</v>
      </c>
      <c r="I8345">
        <v>135.44280000000001</v>
      </c>
      <c r="J8345">
        <v>-164.4571</v>
      </c>
      <c r="K8345">
        <v>1.1030500000000001</v>
      </c>
      <c r="L8345">
        <v>134.9091</v>
      </c>
      <c r="M8345">
        <v>0.96145119999999895</v>
      </c>
      <c r="N8345">
        <v>-1.0759470000000001E-3</v>
      </c>
      <c r="O8345">
        <v>0.27497369999999999</v>
      </c>
      <c r="P8345">
        <v>0.96536270000000002</v>
      </c>
      <c r="Q8345">
        <v>-0.1286127</v>
      </c>
      <c r="R8345">
        <v>0.22701080000000001</v>
      </c>
      <c r="S8345">
        <v>3.0766909999999998</v>
      </c>
      <c r="T8345">
        <v>-0.133804799999999</v>
      </c>
      <c r="U8345">
        <v>7.3333739999999994E-2</v>
      </c>
      <c r="V8345">
        <v>4.5795379999999997E-2</v>
      </c>
      <c r="W8345">
        <v>-0.128054</v>
      </c>
      <c r="X8345">
        <v>0.99070930000000001</v>
      </c>
      <c r="Y8345">
        <v>0.25150129999999998</v>
      </c>
      <c r="Z8345">
        <v>-1.7126039999999999E-2</v>
      </c>
      <c r="AA8345">
        <v>0.96770540000000005</v>
      </c>
      <c r="AB8345">
        <v>32</v>
      </c>
      <c r="AC8345">
        <v>25.111899999999899</v>
      </c>
      <c r="AD8345">
        <v>-1.1030513193260001</v>
      </c>
      <c r="AE8345">
        <v>0.53370000000001006</v>
      </c>
      <c r="AF8345">
        <v>6.37968523003416</v>
      </c>
      <c r="AG8345">
        <v>-1.1030513193260001</v>
      </c>
      <c r="AH8345">
        <v>24.243876562865399</v>
      </c>
      <c r="AI8345">
        <v>92.519401868695198</v>
      </c>
      <c r="AJ8345">
        <v>75.257061087733106</v>
      </c>
      <c r="AK8345">
        <v>25.093478368748301</v>
      </c>
      <c r="AL8345">
        <v>97.357154999844497</v>
      </c>
      <c r="AM8345">
        <v>87.353395653159097</v>
      </c>
      <c r="AN8345">
        <v>0.99999998042591698</v>
      </c>
    </row>
    <row r="8346" spans="1:40" x14ac:dyDescent="0.25">
      <c r="A8346" t="str">
        <f>"20190305135124009"</f>
        <v>20190305135124009</v>
      </c>
      <c r="B8346" t="str">
        <f>"1551765083998007"</f>
        <v>1551765083998007</v>
      </c>
      <c r="C8346" t="s">
        <v>40</v>
      </c>
      <c r="D8346">
        <v>4.3323419999999997</v>
      </c>
      <c r="E8346">
        <v>0.58205879999999999</v>
      </c>
      <c r="F8346" t="s">
        <v>42</v>
      </c>
      <c r="G8346">
        <v>-140.02449999999999</v>
      </c>
      <c r="H8346" s="1">
        <v>-5.0124749999999998E-6</v>
      </c>
      <c r="I8346">
        <v>135.38399999999999</v>
      </c>
      <c r="J8346">
        <v>-164.23939999999999</v>
      </c>
      <c r="K8346">
        <v>1.1028370000000001</v>
      </c>
      <c r="L8346">
        <v>134.96799999999999</v>
      </c>
      <c r="M8346">
        <v>0.96258189999999999</v>
      </c>
      <c r="N8346">
        <v>-1.1113150000000001E-3</v>
      </c>
      <c r="O8346">
        <v>0.27098919999999999</v>
      </c>
      <c r="P8346">
        <v>0.96697290000000002</v>
      </c>
      <c r="Q8346">
        <v>-0.1283377</v>
      </c>
      <c r="R8346">
        <v>0.2202115</v>
      </c>
      <c r="S8346">
        <v>3.0750730000000002</v>
      </c>
      <c r="T8346">
        <v>-0.13882990000000001</v>
      </c>
      <c r="U8346">
        <v>5.9783940000000001E-2</v>
      </c>
      <c r="V8346">
        <v>4.8613740000000003E-2</v>
      </c>
      <c r="W8346">
        <v>-0.12779949999999901</v>
      </c>
      <c r="X8346">
        <v>0.99060789999999999</v>
      </c>
      <c r="Y8346">
        <v>0.25170870000000001</v>
      </c>
      <c r="Z8346">
        <v>-1.7616690000000001E-2</v>
      </c>
      <c r="AA8346">
        <v>0.96764269999999997</v>
      </c>
      <c r="AB8346">
        <v>32</v>
      </c>
      <c r="AC8346">
        <v>24.2149</v>
      </c>
      <c r="AD8346">
        <v>-1.102842012475</v>
      </c>
      <c r="AE8346">
        <v>0.41599999999999598</v>
      </c>
      <c r="AF8346">
        <v>6.1487948235243</v>
      </c>
      <c r="AG8346">
        <v>-1.102842012475</v>
      </c>
      <c r="AH8346">
        <v>23.3730995935131</v>
      </c>
      <c r="AI8346">
        <v>92.6126885924795</v>
      </c>
      <c r="AJ8346">
        <v>75.2610702613418</v>
      </c>
      <c r="AK8346">
        <v>24.193505799998501</v>
      </c>
      <c r="AL8346">
        <v>97.342452205292503</v>
      </c>
      <c r="AM8346">
        <v>87.190483401319099</v>
      </c>
      <c r="AN8346">
        <v>1.0000000097297199</v>
      </c>
    </row>
    <row r="8347" spans="1:40" x14ac:dyDescent="0.25">
      <c r="A8347" t="str">
        <f>"20190305135124032"</f>
        <v>20190305135124032</v>
      </c>
      <c r="B8347" t="str">
        <f>"1551765084028263"</f>
        <v>1551765084028263</v>
      </c>
      <c r="C8347" t="s">
        <v>40</v>
      </c>
      <c r="D8347">
        <v>4.3249750000000002</v>
      </c>
      <c r="E8347">
        <v>0.58136109999999996</v>
      </c>
      <c r="F8347" t="s">
        <v>42</v>
      </c>
      <c r="G8347">
        <v>-139.9374</v>
      </c>
      <c r="H8347" s="1">
        <v>-1.1549909999999999E-6</v>
      </c>
      <c r="I8347">
        <v>135.303</v>
      </c>
      <c r="J8347">
        <v>-163.92920000000001</v>
      </c>
      <c r="K8347">
        <v>1.1025480000000001</v>
      </c>
      <c r="L8347">
        <v>135.0498</v>
      </c>
      <c r="M8347">
        <v>0.96423049999999999</v>
      </c>
      <c r="N8347">
        <v>-1.1654510000000001E-3</v>
      </c>
      <c r="O8347">
        <v>0.26506299999999999</v>
      </c>
      <c r="P8347">
        <v>0.96900090000000005</v>
      </c>
      <c r="Q8347">
        <v>-0.12659129999999999</v>
      </c>
      <c r="R8347">
        <v>0.21216070000000001</v>
      </c>
      <c r="S8347">
        <v>3.0742950000000002</v>
      </c>
      <c r="T8347">
        <v>-0.13951340000000001</v>
      </c>
      <c r="U8347">
        <v>4.2388919999999997E-2</v>
      </c>
      <c r="V8347">
        <v>5.0753069999999997E-2</v>
      </c>
      <c r="W8347">
        <v>-0.12605999999999901</v>
      </c>
      <c r="X8347">
        <v>0.99072349999999998</v>
      </c>
      <c r="Y8347">
        <v>0.2512257</v>
      </c>
      <c r="Z8347">
        <v>-1.743892E-2</v>
      </c>
      <c r="AA8347">
        <v>0.96777139999999995</v>
      </c>
      <c r="AB8347">
        <v>32</v>
      </c>
      <c r="AC8347">
        <v>23.991800000000001</v>
      </c>
      <c r="AD8347">
        <v>-1.10254915499099</v>
      </c>
      <c r="AE8347">
        <v>0.25319999999999199</v>
      </c>
      <c r="AF8347">
        <v>6.10231288611247</v>
      </c>
      <c r="AG8347">
        <v>-1.10254915499099</v>
      </c>
      <c r="AH8347">
        <v>23.151863961111399</v>
      </c>
      <c r="AI8347">
        <v>92.636592328921495</v>
      </c>
      <c r="AJ8347">
        <v>75.233949275727596</v>
      </c>
      <c r="AK8347">
        <v>23.967950310216199</v>
      </c>
      <c r="AL8347">
        <v>97.241973367852296</v>
      </c>
      <c r="AM8347">
        <v>87.067398821413605</v>
      </c>
      <c r="AN8347">
        <v>1.0000000255833299</v>
      </c>
    </row>
    <row r="8348" spans="1:40" x14ac:dyDescent="0.25">
      <c r="A8348" t="str">
        <f>"20190305135124047"</f>
        <v>20190305135124047</v>
      </c>
      <c r="B8348" t="str">
        <f>"1551765084038024"</f>
        <v>1551765084038024</v>
      </c>
      <c r="C8348" t="s">
        <v>40</v>
      </c>
      <c r="D8348">
        <v>4.3597429999999999</v>
      </c>
      <c r="E8348">
        <v>0.58112280000000005</v>
      </c>
      <c r="F8348" t="s">
        <v>42</v>
      </c>
      <c r="G8348">
        <v>-138.6156</v>
      </c>
      <c r="H8348" s="1">
        <v>-1.621659E-6</v>
      </c>
      <c r="I8348">
        <v>135.2397</v>
      </c>
      <c r="J8348">
        <v>-163.68960000000001</v>
      </c>
      <c r="K8348">
        <v>1.10233</v>
      </c>
      <c r="L8348">
        <v>135.11150000000001</v>
      </c>
      <c r="M8348">
        <v>0.96552090000000002</v>
      </c>
      <c r="N8348">
        <v>-1.2088960000000001E-3</v>
      </c>
      <c r="O8348">
        <v>0.26032309999999997</v>
      </c>
      <c r="P8348">
        <v>0.97027830000000004</v>
      </c>
      <c r="Q8348">
        <v>-0.12517400000000001</v>
      </c>
      <c r="R8348">
        <v>0.20710300000000001</v>
      </c>
      <c r="S8348">
        <v>3.0734560000000002</v>
      </c>
      <c r="T8348">
        <v>-0.13386609999999999</v>
      </c>
      <c r="U8348">
        <v>2.3071290000000001E-2</v>
      </c>
      <c r="V8348">
        <v>5.1053109999999999E-2</v>
      </c>
      <c r="W8348">
        <v>-0.124631199999999</v>
      </c>
      <c r="X8348">
        <v>0.99088880000000001</v>
      </c>
      <c r="Y8348">
        <v>0.25259359999999997</v>
      </c>
      <c r="Z8348">
        <v>-1.656438E-2</v>
      </c>
      <c r="AA8348">
        <v>0.96743069999999998</v>
      </c>
      <c r="AB8348">
        <v>32</v>
      </c>
      <c r="AC8348">
        <v>25.074000000000002</v>
      </c>
      <c r="AD8348">
        <v>-1.102331621659</v>
      </c>
      <c r="AE8348">
        <v>0.12819999999999199</v>
      </c>
      <c r="AF8348">
        <v>6.3912133727204496</v>
      </c>
      <c r="AG8348">
        <v>-1.102331621659</v>
      </c>
      <c r="AH8348">
        <v>24.1960959710959</v>
      </c>
      <c r="AI8348">
        <v>92.522107068961404</v>
      </c>
      <c r="AJ8348">
        <v>75.203698622074398</v>
      </c>
      <c r="AK8348">
        <v>25.0502256201862</v>
      </c>
      <c r="AL8348">
        <v>97.159458660473305</v>
      </c>
      <c r="AM8348">
        <v>87.050583750995202</v>
      </c>
      <c r="AN8348">
        <v>0.99999998500977505</v>
      </c>
    </row>
    <row r="8349" spans="1:40" x14ac:dyDescent="0.25">
      <c r="A8349" t="str">
        <f>"20190305135124065"</f>
        <v>20190305135124065</v>
      </c>
      <c r="B8349" t="str">
        <f>"1551765084057544"</f>
        <v>1551765084057544</v>
      </c>
      <c r="C8349" t="s">
        <v>40</v>
      </c>
      <c r="D8349">
        <v>4.3262769999999904</v>
      </c>
      <c r="E8349">
        <v>0.58060970000000001</v>
      </c>
      <c r="F8349" t="s">
        <v>42</v>
      </c>
      <c r="G8349">
        <v>-137.49250000000001</v>
      </c>
      <c r="H8349" s="1">
        <v>-2.017078E-6</v>
      </c>
      <c r="I8349">
        <v>135.19</v>
      </c>
      <c r="J8349">
        <v>-163.44759999999999</v>
      </c>
      <c r="K8349">
        <v>1.1021219999999901</v>
      </c>
      <c r="L8349">
        <v>135.17240000000001</v>
      </c>
      <c r="M8349">
        <v>0.96684239999999999</v>
      </c>
      <c r="N8349">
        <v>-1.2547350000000001E-3</v>
      </c>
      <c r="O8349">
        <v>0.2553706</v>
      </c>
      <c r="P8349">
        <v>0.97154300000000005</v>
      </c>
      <c r="Q8349">
        <v>-0.1222309</v>
      </c>
      <c r="R8349">
        <v>0.2028885</v>
      </c>
      <c r="S8349">
        <v>3.073242</v>
      </c>
      <c r="T8349">
        <v>-0.12931689999999901</v>
      </c>
      <c r="U8349">
        <v>9.2163090000000007E-3</v>
      </c>
      <c r="V8349">
        <v>5.0344239999999998E-2</v>
      </c>
      <c r="W8349">
        <v>-0.12166100000000001</v>
      </c>
      <c r="X8349">
        <v>0.99129409999999896</v>
      </c>
      <c r="Y8349">
        <v>0.25203199999999998</v>
      </c>
      <c r="Z8349">
        <v>-1.578456E-2</v>
      </c>
      <c r="AA8349">
        <v>0.96759019999999996</v>
      </c>
      <c r="AB8349">
        <v>32</v>
      </c>
      <c r="AC8349">
        <v>25.955099999999899</v>
      </c>
      <c r="AD8349">
        <v>-1.10212401707799</v>
      </c>
      <c r="AE8349">
        <v>1.75999999999874E-2</v>
      </c>
      <c r="AF8349">
        <v>6.5992594210779698</v>
      </c>
      <c r="AG8349">
        <v>-1.10212401707799</v>
      </c>
      <c r="AH8349">
        <v>25.053832060003199</v>
      </c>
      <c r="AI8349">
        <v>92.435851991983199</v>
      </c>
      <c r="AJ8349">
        <v>75.243293543738801</v>
      </c>
      <c r="AK8349">
        <v>25.9318222102989</v>
      </c>
      <c r="AL8349">
        <v>96.987973542160603</v>
      </c>
      <c r="AM8349">
        <v>87.092652584376694</v>
      </c>
      <c r="AN8349">
        <v>0.99999996705849303</v>
      </c>
    </row>
    <row r="8350" spans="1:40" x14ac:dyDescent="0.25">
      <c r="A8350" t="str">
        <f>"20190305135124083"</f>
        <v>20190305135124083</v>
      </c>
      <c r="B8350" t="str">
        <f>"1551765084078039"</f>
        <v>1551765084078039</v>
      </c>
      <c r="C8350" t="s">
        <v>40</v>
      </c>
      <c r="D8350">
        <v>4.3002820000000002</v>
      </c>
      <c r="E8350">
        <v>0.57999499999999904</v>
      </c>
      <c r="F8350" t="s">
        <v>42</v>
      </c>
      <c r="G8350">
        <v>-135.33449999999999</v>
      </c>
      <c r="H8350" s="1">
        <v>-2.7715609999999998E-6</v>
      </c>
      <c r="I8350">
        <v>135.17529999999999</v>
      </c>
      <c r="J8350">
        <v>-163.19120000000001</v>
      </c>
      <c r="K8350">
        <v>1.1018709999999901</v>
      </c>
      <c r="L8350">
        <v>135.2353</v>
      </c>
      <c r="M8350">
        <v>0.96826159999999994</v>
      </c>
      <c r="N8350">
        <v>-1.307805E-3</v>
      </c>
      <c r="O8350">
        <v>0.24993580000000001</v>
      </c>
      <c r="P8350">
        <v>0.97271090000000004</v>
      </c>
      <c r="Q8350">
        <v>-0.1206998</v>
      </c>
      <c r="R8350">
        <v>0.1981551</v>
      </c>
      <c r="S8350">
        <v>3.0726619999999998</v>
      </c>
      <c r="T8350">
        <v>-0.1204581</v>
      </c>
      <c r="U8350">
        <v>3.2043460000000002E-4</v>
      </c>
      <c r="V8350">
        <v>4.9599150000000002E-2</v>
      </c>
      <c r="W8350">
        <v>-0.120098</v>
      </c>
      <c r="X8350">
        <v>0.99152229999999997</v>
      </c>
      <c r="Y8350">
        <v>0.24946090000000001</v>
      </c>
      <c r="Z8350">
        <v>-1.443725E-2</v>
      </c>
      <c r="AA8350">
        <v>0.96827730000000001</v>
      </c>
      <c r="AB8350">
        <v>33</v>
      </c>
      <c r="AC8350">
        <v>27.8567</v>
      </c>
      <c r="AD8350">
        <v>-1.1018737715610001</v>
      </c>
      <c r="AE8350">
        <v>-6.0000000000002197E-2</v>
      </c>
      <c r="AF8350">
        <v>7.0095207351033801</v>
      </c>
      <c r="AG8350">
        <v>-1.1018737715610001</v>
      </c>
      <c r="AH8350">
        <v>26.9154860502783</v>
      </c>
      <c r="AI8350">
        <v>92.268692913506001</v>
      </c>
      <c r="AJ8350">
        <v>75.402867131313002</v>
      </c>
      <c r="AK8350">
        <v>27.835065943284999</v>
      </c>
      <c r="AL8350">
        <v>96.897758203568102</v>
      </c>
      <c r="AM8350">
        <v>87.136267001973295</v>
      </c>
      <c r="AN8350">
        <v>1.0000000383409999</v>
      </c>
    </row>
    <row r="8351" spans="1:40" x14ac:dyDescent="0.25">
      <c r="A8351" t="str">
        <f>"20190305135124096"</f>
        <v>20190305135124096</v>
      </c>
      <c r="B8351" t="str">
        <f>"1551765084087800"</f>
        <v>1551765084087800</v>
      </c>
      <c r="C8351" t="s">
        <v>40</v>
      </c>
      <c r="D8351">
        <v>4.3151970000000004</v>
      </c>
      <c r="E8351">
        <v>0.57999499999999904</v>
      </c>
      <c r="F8351" t="s">
        <v>42</v>
      </c>
      <c r="G8351">
        <v>-134.28030000000001</v>
      </c>
      <c r="H8351" s="1">
        <v>-3.2296380000000002E-6</v>
      </c>
      <c r="I8351">
        <v>135.14240000000001</v>
      </c>
      <c r="J8351">
        <v>-162.98679999999999</v>
      </c>
      <c r="K8351">
        <v>1.101667</v>
      </c>
      <c r="L8351">
        <v>135.2843</v>
      </c>
      <c r="M8351">
        <v>0.9694064</v>
      </c>
      <c r="N8351">
        <v>-1.3539960000000001E-3</v>
      </c>
      <c r="O8351">
        <v>0.2454576</v>
      </c>
      <c r="P8351">
        <v>0.97363639999999996</v>
      </c>
      <c r="Q8351">
        <v>-0.119195</v>
      </c>
      <c r="R8351">
        <v>0.1944862</v>
      </c>
      <c r="S8351">
        <v>3.0716549999999998</v>
      </c>
      <c r="T8351">
        <v>-0.1170691</v>
      </c>
      <c r="U8351">
        <v>-9.8724369999999995E-3</v>
      </c>
      <c r="V8351">
        <v>4.876138E-2</v>
      </c>
      <c r="W8351">
        <v>-0.118561</v>
      </c>
      <c r="X8351">
        <v>0.99174879999999999</v>
      </c>
      <c r="Y8351">
        <v>0.24822269999999999</v>
      </c>
      <c r="Z8351">
        <v>-1.384172E-2</v>
      </c>
      <c r="AA8351">
        <v>0.96860409999999997</v>
      </c>
      <c r="AB8351">
        <v>33</v>
      </c>
      <c r="AC8351">
        <v>28.706499999999899</v>
      </c>
      <c r="AD8351">
        <v>-1.1016702296380001</v>
      </c>
      <c r="AE8351">
        <v>-0.141899999999992</v>
      </c>
      <c r="AF8351">
        <v>7.17322937283007</v>
      </c>
      <c r="AG8351">
        <v>-1.1016702296380001</v>
      </c>
      <c r="AH8351">
        <v>27.752586464910099</v>
      </c>
      <c r="AI8351">
        <v>92.200970090542299</v>
      </c>
      <c r="AJ8351">
        <v>75.507890628736504</v>
      </c>
      <c r="AK8351">
        <v>28.685797050498898</v>
      </c>
      <c r="AL8351">
        <v>96.809060855207903</v>
      </c>
      <c r="AM8351">
        <v>87.185201257345796</v>
      </c>
      <c r="AN8351">
        <v>1.0000000326009699</v>
      </c>
    </row>
    <row r="8352" spans="1:40" x14ac:dyDescent="0.25">
      <c r="A8352" t="str">
        <f>"20190305135124109"</f>
        <v>20190305135124109</v>
      </c>
      <c r="B8352" t="str">
        <f>"1551765084097561"</f>
        <v>1551765084097561</v>
      </c>
      <c r="C8352" t="s">
        <v>40</v>
      </c>
      <c r="D8352">
        <v>4.2881780000000003</v>
      </c>
      <c r="E8352">
        <v>0.57127299999999903</v>
      </c>
      <c r="F8352" t="s">
        <v>42</v>
      </c>
      <c r="G8352">
        <v>-132.6601</v>
      </c>
      <c r="H8352" s="1">
        <v>-3.9364850000000001E-6</v>
      </c>
      <c r="I8352">
        <v>135.07589999999999</v>
      </c>
      <c r="J8352">
        <v>-162.80680000000001</v>
      </c>
      <c r="K8352">
        <v>1.1014889999999999</v>
      </c>
      <c r="L8352">
        <v>135.32689999999999</v>
      </c>
      <c r="M8352">
        <v>0.97041639999999996</v>
      </c>
      <c r="N8352">
        <v>-1.396163E-3</v>
      </c>
      <c r="O8352">
        <v>0.2414335</v>
      </c>
      <c r="P8352">
        <v>0.97429790000000005</v>
      </c>
      <c r="Q8352">
        <v>-0.116122699999999</v>
      </c>
      <c r="R8352">
        <v>0.1930269</v>
      </c>
      <c r="S8352">
        <v>3.071793</v>
      </c>
      <c r="T8352">
        <v>-0.11158800000000001</v>
      </c>
      <c r="U8352">
        <v>-2.1102909999999999E-2</v>
      </c>
      <c r="V8352">
        <v>4.6214449999999997E-2</v>
      </c>
      <c r="W8352">
        <v>-0.11543150000000001</v>
      </c>
      <c r="X8352">
        <v>0.99223980000000001</v>
      </c>
      <c r="Y8352">
        <v>0.24778</v>
      </c>
      <c r="Z8352">
        <v>-1.303604E-2</v>
      </c>
      <c r="AA8352">
        <v>0.96872860000000005</v>
      </c>
      <c r="AB8352">
        <v>33</v>
      </c>
      <c r="AC8352">
        <v>30.146699999999999</v>
      </c>
      <c r="AD8352">
        <v>-1.1014929364849999</v>
      </c>
      <c r="AE8352">
        <v>-0.251000000000004</v>
      </c>
      <c r="AF8352">
        <v>7.5119770109138102</v>
      </c>
      <c r="AG8352">
        <v>-1.1014929364849999</v>
      </c>
      <c r="AH8352">
        <v>29.155359716026599</v>
      </c>
      <c r="AI8352">
        <v>92.095246984686796</v>
      </c>
      <c r="AJ8352">
        <v>75.551793560131202</v>
      </c>
      <c r="AK8352">
        <v>30.127696318712001</v>
      </c>
      <c r="AL8352">
        <v>96.628513834660694</v>
      </c>
      <c r="AM8352">
        <v>87.333325348730298</v>
      </c>
      <c r="AN8352">
        <v>1.00000001364254</v>
      </c>
    </row>
    <row r="8353" spans="1:40" x14ac:dyDescent="0.25">
      <c r="A8353" t="str">
        <f>"20190305135124126"</f>
        <v>20190305135124126</v>
      </c>
      <c r="B8353" t="str">
        <f>"1551765084118056"</f>
        <v>1551765084118056</v>
      </c>
      <c r="C8353" t="s">
        <v>40</v>
      </c>
      <c r="D8353">
        <v>4.3138290000000001</v>
      </c>
      <c r="E8353">
        <v>0.5714243</v>
      </c>
      <c r="F8353" t="s">
        <v>42</v>
      </c>
      <c r="G8353">
        <v>-139.24690000000001</v>
      </c>
      <c r="H8353" s="1">
        <v>-1.303397E-6</v>
      </c>
      <c r="I8353">
        <v>135.6284</v>
      </c>
      <c r="J8353">
        <v>-162.55019999999999</v>
      </c>
      <c r="K8353">
        <v>1.10121</v>
      </c>
      <c r="L8353">
        <v>135.38550000000001</v>
      </c>
      <c r="M8353">
        <v>0.97188249999999998</v>
      </c>
      <c r="N8353">
        <v>-1.462332E-3</v>
      </c>
      <c r="O8353">
        <v>0.2354618</v>
      </c>
      <c r="P8353">
        <v>0.9753463</v>
      </c>
      <c r="Q8353">
        <v>-0.1148298</v>
      </c>
      <c r="R8353">
        <v>0.18845120000000001</v>
      </c>
      <c r="S8353">
        <v>3.0543670000000001</v>
      </c>
      <c r="T8353">
        <v>-0.14279990000000001</v>
      </c>
      <c r="U8353">
        <v>3.9093019999999999E-2</v>
      </c>
      <c r="V8353">
        <v>4.474968E-2</v>
      </c>
      <c r="W8353">
        <v>-0.1140825</v>
      </c>
      <c r="X8353">
        <v>0.99246290000000004</v>
      </c>
      <c r="Y8353">
        <v>0.22251679999999999</v>
      </c>
      <c r="Z8353">
        <v>-1.593406E-2</v>
      </c>
      <c r="AA8353">
        <v>0.97479859999999896</v>
      </c>
      <c r="AB8353">
        <v>33</v>
      </c>
      <c r="AC8353">
        <v>23.303299999999901</v>
      </c>
      <c r="AD8353">
        <v>-1.1012113033969999</v>
      </c>
      <c r="AE8353">
        <v>0.24289999999999101</v>
      </c>
      <c r="AF8353">
        <v>5.2392738359248598</v>
      </c>
      <c r="AG8353">
        <v>-1.1012113033969999</v>
      </c>
      <c r="AH8353">
        <v>22.654702983876799</v>
      </c>
      <c r="AI8353">
        <v>92.711418409772193</v>
      </c>
      <c r="AJ8353">
        <v>76.978335382740397</v>
      </c>
      <c r="AK8353">
        <v>23.278707523189802</v>
      </c>
      <c r="AL8353">
        <v>96.550708030843396</v>
      </c>
      <c r="AM8353">
        <v>87.418309194416807</v>
      </c>
      <c r="AN8353">
        <v>0.99999997927138096</v>
      </c>
    </row>
    <row r="8354" spans="1:40" x14ac:dyDescent="0.25">
      <c r="A8354" t="str">
        <f>"20190305135124142"</f>
        <v>20190305135124142</v>
      </c>
      <c r="B8354" t="str">
        <f>"1551765084137576"</f>
        <v>1551765084137576</v>
      </c>
      <c r="C8354" t="s">
        <v>40</v>
      </c>
      <c r="D8354">
        <v>4.2967300000000002</v>
      </c>
      <c r="E8354">
        <v>0.57069720000000002</v>
      </c>
      <c r="F8354" t="s">
        <v>42</v>
      </c>
      <c r="G8354">
        <v>-139.3603</v>
      </c>
      <c r="H8354" s="1">
        <v>-1.2828729999999999E-6</v>
      </c>
      <c r="I8354">
        <v>135.56059999999999</v>
      </c>
      <c r="J8354">
        <v>-162.3312</v>
      </c>
      <c r="K8354">
        <v>1.100965</v>
      </c>
      <c r="L8354">
        <v>135.4342</v>
      </c>
      <c r="M8354">
        <v>0.9731457</v>
      </c>
      <c r="N8354">
        <v>-1.5218759999999999E-3</v>
      </c>
      <c r="O8354">
        <v>0.23018569999999999</v>
      </c>
      <c r="P8354">
        <v>0.97615960000000002</v>
      </c>
      <c r="Q8354">
        <v>-0.1135471</v>
      </c>
      <c r="R8354">
        <v>0.1849866</v>
      </c>
      <c r="S8354">
        <v>3.0542910000000001</v>
      </c>
      <c r="T8354">
        <v>-0.14503740000000001</v>
      </c>
      <c r="U8354">
        <v>2.3056030000000002E-2</v>
      </c>
      <c r="V8354">
        <v>4.2878039999999999E-2</v>
      </c>
      <c r="W8354">
        <v>-0.112738</v>
      </c>
      <c r="X8354">
        <v>0.99269909999999995</v>
      </c>
      <c r="Y8354">
        <v>0.2223359</v>
      </c>
      <c r="Z8354">
        <v>-1.5940269999999999E-2</v>
      </c>
      <c r="AA8354">
        <v>0.97483980000000003</v>
      </c>
      <c r="AB8354">
        <v>33</v>
      </c>
      <c r="AC8354">
        <v>22.9709</v>
      </c>
      <c r="AD8354">
        <v>-1.100966282873</v>
      </c>
      <c r="AE8354">
        <v>0.12639999999998899</v>
      </c>
      <c r="AF8354">
        <v>5.1527358972352797</v>
      </c>
      <c r="AG8354">
        <v>-1.100966282873</v>
      </c>
      <c r="AH8354">
        <v>22.331851930144499</v>
      </c>
      <c r="AI8354">
        <v>92.750266648230607</v>
      </c>
      <c r="AJ8354">
        <v>77.007254976109294</v>
      </c>
      <c r="AK8354">
        <v>22.945030499273201</v>
      </c>
      <c r="AL8354">
        <v>96.473173849979702</v>
      </c>
      <c r="AM8354">
        <v>87.526738345678893</v>
      </c>
      <c r="AN8354">
        <v>0.999999943049524</v>
      </c>
    </row>
    <row r="8355" spans="1:40" x14ac:dyDescent="0.25">
      <c r="A8355" t="str">
        <f>"20190305135124155"</f>
        <v>20190305135124155</v>
      </c>
      <c r="B8355" t="str">
        <f>"1551765084148311"</f>
        <v>1551765084148311</v>
      </c>
      <c r="C8355" t="s">
        <v>40</v>
      </c>
      <c r="D8355">
        <v>4.2979050000000001</v>
      </c>
      <c r="E8355">
        <v>0.57056839999999998</v>
      </c>
      <c r="F8355" t="s">
        <v>42</v>
      </c>
      <c r="G8355">
        <v>-139.89619999999999</v>
      </c>
      <c r="H8355" s="1">
        <v>-1.1004610000000001E-6</v>
      </c>
      <c r="I8355">
        <v>135.56059999999999</v>
      </c>
      <c r="J8355">
        <v>-162.13820000000001</v>
      </c>
      <c r="K8355">
        <v>1.100752</v>
      </c>
      <c r="L8355">
        <v>135.4761</v>
      </c>
      <c r="M8355">
        <v>0.97425899999999999</v>
      </c>
      <c r="N8355">
        <v>-1.575309E-3</v>
      </c>
      <c r="O8355">
        <v>0.2254263</v>
      </c>
      <c r="P8355">
        <v>0.97670299999999999</v>
      </c>
      <c r="Q8355">
        <v>-0.11179169999999999</v>
      </c>
      <c r="R8355">
        <v>0.1831769</v>
      </c>
      <c r="S8355">
        <v>3.0525820000000001</v>
      </c>
      <c r="T8355">
        <v>-0.14980109999999999</v>
      </c>
      <c r="U8355">
        <v>1.721191E-2</v>
      </c>
      <c r="V8355">
        <v>3.9882399999999998E-2</v>
      </c>
      <c r="W8355">
        <v>-0.110903</v>
      </c>
      <c r="X8355">
        <v>0.99303070000000004</v>
      </c>
      <c r="Y8355">
        <v>0.21940699999999999</v>
      </c>
      <c r="Z8355">
        <v>-1.6177779999999999E-2</v>
      </c>
      <c r="AA8355">
        <v>0.97549929999999996</v>
      </c>
      <c r="AB8355">
        <v>33</v>
      </c>
      <c r="AC8355">
        <v>22.242000000000001</v>
      </c>
      <c r="AD8355">
        <v>-1.1007531004610001</v>
      </c>
      <c r="AE8355">
        <v>8.4499999999991304E-2</v>
      </c>
      <c r="AF8355">
        <v>4.9195637170103099</v>
      </c>
      <c r="AG8355">
        <v>-1.1007531004610001</v>
      </c>
      <c r="AH8355">
        <v>21.635553058127702</v>
      </c>
      <c r="AI8355">
        <v>92.840154973493895</v>
      </c>
      <c r="AJ8355">
        <v>77.189709226510601</v>
      </c>
      <c r="AK8355">
        <v>22.215105687008499</v>
      </c>
      <c r="AL8355">
        <v>96.367372000155697</v>
      </c>
      <c r="AM8355">
        <v>87.700105587827593</v>
      </c>
      <c r="AN8355">
        <v>1.0000000261906199</v>
      </c>
    </row>
    <row r="8356" spans="1:40" x14ac:dyDescent="0.25">
      <c r="A8356" t="str">
        <f>"20190305135124172"</f>
        <v>20190305135124172</v>
      </c>
      <c r="B8356" t="str">
        <f>"1551765084167832"</f>
        <v>1551765084167832</v>
      </c>
      <c r="C8356" t="s">
        <v>40</v>
      </c>
      <c r="D8356">
        <v>4.2777120000000002</v>
      </c>
      <c r="E8356">
        <v>0.5700809</v>
      </c>
      <c r="F8356" t="s">
        <v>42</v>
      </c>
      <c r="G8356">
        <v>-139.655</v>
      </c>
      <c r="H8356" s="1">
        <v>-1.1818840000000001E-6</v>
      </c>
      <c r="I8356">
        <v>135.56319999999999</v>
      </c>
      <c r="J8356">
        <v>-161.8817</v>
      </c>
      <c r="K8356">
        <v>1.100455</v>
      </c>
      <c r="L8356">
        <v>135.5301</v>
      </c>
      <c r="M8356">
        <v>0.97574110000000003</v>
      </c>
      <c r="N8356">
        <v>-1.647915E-3</v>
      </c>
      <c r="O8356">
        <v>0.21892120000000001</v>
      </c>
      <c r="P8356">
        <v>0.97769419999999996</v>
      </c>
      <c r="Q8356">
        <v>-0.1114526</v>
      </c>
      <c r="R8356">
        <v>0.1780235</v>
      </c>
      <c r="S8356">
        <v>3.0522309999999999</v>
      </c>
      <c r="T8356">
        <v>-0.14943399999999901</v>
      </c>
      <c r="U8356">
        <v>1.1825560000000001E-2</v>
      </c>
      <c r="V8356">
        <v>3.8431140000000003E-2</v>
      </c>
      <c r="W8356">
        <v>-0.1104961</v>
      </c>
      <c r="X8356">
        <v>0.99313320000000005</v>
      </c>
      <c r="Y8356">
        <v>0.2146323</v>
      </c>
      <c r="Z8356">
        <v>-1.5709830000000001E-2</v>
      </c>
      <c r="AA8356">
        <v>0.97656860000000001</v>
      </c>
      <c r="AB8356">
        <v>33</v>
      </c>
      <c r="AC8356">
        <v>22.226699999999902</v>
      </c>
      <c r="AD8356">
        <v>-1.100456181884</v>
      </c>
      <c r="AE8356">
        <v>3.3099999999990297E-2</v>
      </c>
      <c r="AF8356">
        <v>4.8217860139416997</v>
      </c>
      <c r="AG8356">
        <v>-1.100456181884</v>
      </c>
      <c r="AH8356">
        <v>21.6417313785986</v>
      </c>
      <c r="AI8356">
        <v>92.8413646565742</v>
      </c>
      <c r="AJ8356">
        <v>77.439628930298099</v>
      </c>
      <c r="AK8356">
        <v>22.199665791085899</v>
      </c>
      <c r="AL8356">
        <v>96.343914679973096</v>
      </c>
      <c r="AM8356">
        <v>87.783938737593502</v>
      </c>
      <c r="AN8356">
        <v>0.99999994678957305</v>
      </c>
    </row>
    <row r="8357" spans="1:40" x14ac:dyDescent="0.25">
      <c r="A8357" t="str">
        <f>"20190305135124188"</f>
        <v>20190305135124188</v>
      </c>
      <c r="B8357" t="str">
        <f>"1551765084177591"</f>
        <v>1551765084177591</v>
      </c>
      <c r="C8357" t="s">
        <v>40</v>
      </c>
      <c r="D8357">
        <v>4.2721090000000004</v>
      </c>
      <c r="E8357">
        <v>0.56990769999999902</v>
      </c>
      <c r="F8357" t="s">
        <v>42</v>
      </c>
      <c r="G8357">
        <v>-140.34309999999999</v>
      </c>
      <c r="H8357" s="1">
        <v>-4.8512219999999996E-6</v>
      </c>
      <c r="I8357">
        <v>135.52260000000001</v>
      </c>
      <c r="J8357">
        <v>-161.64410000000001</v>
      </c>
      <c r="K8357">
        <v>1.1001780000000001</v>
      </c>
      <c r="L8357">
        <v>135.57849999999999</v>
      </c>
      <c r="M8357">
        <v>0.97711389999999998</v>
      </c>
      <c r="N8357">
        <v>-1.7156230000000001E-3</v>
      </c>
      <c r="O8357">
        <v>0.21271000000000001</v>
      </c>
      <c r="P8357">
        <v>0.97793949999999996</v>
      </c>
      <c r="Q8357">
        <v>-0.1129643</v>
      </c>
      <c r="R8357">
        <v>0.175709</v>
      </c>
      <c r="S8357">
        <v>3.050888</v>
      </c>
      <c r="T8357">
        <v>-0.1558774</v>
      </c>
      <c r="U8357">
        <v>-1.0681149999999999E-3</v>
      </c>
      <c r="V8357">
        <v>3.4331599999999997E-2</v>
      </c>
      <c r="W8357">
        <v>-0.1118934</v>
      </c>
      <c r="X8357">
        <v>0.99312699999999998</v>
      </c>
      <c r="Y8357">
        <v>0.21251010000000001</v>
      </c>
      <c r="Z8357">
        <v>-1.6038899999999998E-2</v>
      </c>
      <c r="AA8357">
        <v>0.97702719999999998</v>
      </c>
      <c r="AB8357">
        <v>34</v>
      </c>
      <c r="AC8357">
        <v>21.300999999999998</v>
      </c>
      <c r="AD8357">
        <v>-1.100182851222</v>
      </c>
      <c r="AE8357">
        <v>-5.5899999999979799E-2</v>
      </c>
      <c r="AF8357">
        <v>4.5733629124756101</v>
      </c>
      <c r="AG8357">
        <v>-1.100182851222</v>
      </c>
      <c r="AH8357">
        <v>20.7462990740874</v>
      </c>
      <c r="AI8357">
        <v>92.964525706821505</v>
      </c>
      <c r="AJ8357">
        <v>77.568409011025096</v>
      </c>
      <c r="AK8357">
        <v>21.272869479851799</v>
      </c>
      <c r="AL8357">
        <v>96.424473219870194</v>
      </c>
      <c r="AM8357">
        <v>88.020119499055696</v>
      </c>
      <c r="AN8357">
        <v>1.0000000149255499</v>
      </c>
    </row>
    <row r="8358" spans="1:40" x14ac:dyDescent="0.25">
      <c r="A8358" t="str">
        <f>"20190305135124211"</f>
        <v>20190305135124211</v>
      </c>
      <c r="B8358" t="str">
        <f>"1551765084207849"</f>
        <v>1551765084207849</v>
      </c>
      <c r="C8358" t="s">
        <v>40</v>
      </c>
      <c r="D8358">
        <v>4.2503580000000003</v>
      </c>
      <c r="E8358">
        <v>0.56949189999999905</v>
      </c>
      <c r="F8358" t="s">
        <v>42</v>
      </c>
      <c r="G8358">
        <v>-141.02789999999999</v>
      </c>
      <c r="H8358" s="1">
        <v>-4.5560729999999998E-6</v>
      </c>
      <c r="I8358">
        <v>135.53030000000001</v>
      </c>
      <c r="J8358">
        <v>-161.3038</v>
      </c>
      <c r="K8358">
        <v>1.099804</v>
      </c>
      <c r="L8358">
        <v>135.6448</v>
      </c>
      <c r="M8358">
        <v>0.97906570000000004</v>
      </c>
      <c r="N8358">
        <v>-1.810709E-3</v>
      </c>
      <c r="O8358">
        <v>0.2035363</v>
      </c>
      <c r="P8358">
        <v>0.97854629999999998</v>
      </c>
      <c r="Q8358">
        <v>-0.1152374</v>
      </c>
      <c r="R8358">
        <v>0.1707851</v>
      </c>
      <c r="S8358">
        <v>3.0501399999999999</v>
      </c>
      <c r="T8358">
        <v>-0.16277030000000001</v>
      </c>
      <c r="U8358">
        <v>-7.125854E-3</v>
      </c>
      <c r="V8358">
        <v>2.982226E-2</v>
      </c>
      <c r="W8358">
        <v>-0.1140201</v>
      </c>
      <c r="X8358">
        <v>0.99303070000000004</v>
      </c>
      <c r="Y8358">
        <v>0.2052543</v>
      </c>
      <c r="Z8358">
        <v>-1.6085680000000002E-2</v>
      </c>
      <c r="AA8358">
        <v>0.97857649999999996</v>
      </c>
      <c r="AB8358">
        <v>34</v>
      </c>
      <c r="AC8358">
        <v>20.2759</v>
      </c>
      <c r="AD8358">
        <v>-1.099808556073</v>
      </c>
      <c r="AE8358">
        <v>-0.114499999999992</v>
      </c>
      <c r="AF8358">
        <v>4.2265567172914604</v>
      </c>
      <c r="AG8358">
        <v>-1.099808556073</v>
      </c>
      <c r="AH8358">
        <v>19.770000660058699</v>
      </c>
      <c r="AI8358">
        <v>93.113871266823907</v>
      </c>
      <c r="AJ8358">
        <v>77.932599862520703</v>
      </c>
      <c r="AK8358">
        <v>20.2466364278913</v>
      </c>
      <c r="AL8358">
        <v>96.547109413523799</v>
      </c>
      <c r="AM8358">
        <v>88.279835431682898</v>
      </c>
      <c r="AN8358">
        <v>0.99999996076900299</v>
      </c>
    </row>
    <row r="8359" spans="1:40" x14ac:dyDescent="0.25">
      <c r="A8359" t="str">
        <f>"20190305135124234"</f>
        <v>20190305135124234</v>
      </c>
      <c r="B8359" t="str">
        <f>"1551765084228347"</f>
        <v>1551765084228347</v>
      </c>
      <c r="C8359" t="s">
        <v>40</v>
      </c>
      <c r="D8359">
        <v>4.2290299999999998</v>
      </c>
      <c r="E8359">
        <v>0.56952309999999995</v>
      </c>
      <c r="F8359" t="s">
        <v>42</v>
      </c>
      <c r="G8359">
        <v>-141.74619999999999</v>
      </c>
      <c r="H8359" s="1">
        <v>-4.2493189999999996E-6</v>
      </c>
      <c r="I8359">
        <v>135.52260000000001</v>
      </c>
      <c r="J8359">
        <v>-160.95740000000001</v>
      </c>
      <c r="K8359">
        <v>1.09944</v>
      </c>
      <c r="L8359">
        <v>135.70840000000001</v>
      </c>
      <c r="M8359">
        <v>0.98102780000000001</v>
      </c>
      <c r="N8359">
        <v>-1.907323E-3</v>
      </c>
      <c r="O8359">
        <v>0.1938579</v>
      </c>
      <c r="P8359">
        <v>0.97909049999999997</v>
      </c>
      <c r="Q8359">
        <v>-0.1162473</v>
      </c>
      <c r="R8359">
        <v>0.16693849999999999</v>
      </c>
      <c r="S8359">
        <v>3.0489039999999998</v>
      </c>
      <c r="T8359">
        <v>-0.17145260000000001</v>
      </c>
      <c r="U8359">
        <v>-1.9042969999999999E-2</v>
      </c>
      <c r="V8359">
        <v>2.3778420000000001E-2</v>
      </c>
      <c r="W8359">
        <v>-0.1148434</v>
      </c>
      <c r="X8359">
        <v>0.99309899999999995</v>
      </c>
      <c r="Y8359">
        <v>0.1993731</v>
      </c>
      <c r="Z8359">
        <v>-1.626261E-2</v>
      </c>
      <c r="AA8359">
        <v>0.97978869999999896</v>
      </c>
      <c r="AB8359">
        <v>34</v>
      </c>
      <c r="AC8359">
        <v>19.211200000000002</v>
      </c>
      <c r="AD8359">
        <v>-1.099444249319</v>
      </c>
      <c r="AE8359">
        <v>-0.18579999999999999</v>
      </c>
      <c r="AF8359">
        <v>3.8937731456651101</v>
      </c>
      <c r="AG8359">
        <v>-1.099444249319</v>
      </c>
      <c r="AH8359">
        <v>18.749334032306699</v>
      </c>
      <c r="AI8359">
        <v>93.285976589403404</v>
      </c>
      <c r="AJ8359">
        <v>78.267851262174304</v>
      </c>
      <c r="AK8359">
        <v>19.180922126484901</v>
      </c>
      <c r="AL8359">
        <v>96.594592541873197</v>
      </c>
      <c r="AM8359">
        <v>88.628391686628703</v>
      </c>
      <c r="AN8359">
        <v>1.00000002179112</v>
      </c>
    </row>
    <row r="8360" spans="1:40" x14ac:dyDescent="0.25">
      <c r="A8360" t="str">
        <f>"20190305135124251"</f>
        <v>20190305135124251</v>
      </c>
      <c r="B8360" t="str">
        <f>"1551765084247863"</f>
        <v>1551765084247863</v>
      </c>
      <c r="C8360" t="s">
        <v>40</v>
      </c>
      <c r="D8360">
        <v>4.2188549999999996</v>
      </c>
      <c r="E8360">
        <v>0.56923469999999998</v>
      </c>
      <c r="F8360" t="s">
        <v>42</v>
      </c>
      <c r="G8360">
        <v>-141.93360000000001</v>
      </c>
      <c r="H8360" s="1">
        <v>-4.1700699999999997E-6</v>
      </c>
      <c r="I8360">
        <v>135.51599999999999</v>
      </c>
      <c r="J8360">
        <v>-160.6883</v>
      </c>
      <c r="K8360">
        <v>1.0991690000000001</v>
      </c>
      <c r="L8360">
        <v>135.75559999999999</v>
      </c>
      <c r="M8360">
        <v>0.98251750000000004</v>
      </c>
      <c r="N8360">
        <v>-1.9795559999999999E-3</v>
      </c>
      <c r="O8360">
        <v>0.1861602</v>
      </c>
      <c r="P8360">
        <v>0.97991249999999996</v>
      </c>
      <c r="Q8360">
        <v>-0.1164598</v>
      </c>
      <c r="R8360">
        <v>0.16189049999999999</v>
      </c>
      <c r="S8360">
        <v>3.0483859999999998</v>
      </c>
      <c r="T8360">
        <v>-0.176175</v>
      </c>
      <c r="U8360">
        <v>-3.0822749999999999E-2</v>
      </c>
      <c r="V8360">
        <v>2.1028979999999999E-2</v>
      </c>
      <c r="W8360">
        <v>-0.11494509999999999</v>
      </c>
      <c r="X8360">
        <v>0.99314919999999995</v>
      </c>
      <c r="Y8360">
        <v>0.19546050000000001</v>
      </c>
      <c r="Z8360">
        <v>-1.617174E-2</v>
      </c>
      <c r="AA8360">
        <v>0.98057819999999996</v>
      </c>
      <c r="AB8360">
        <v>34</v>
      </c>
      <c r="AC8360">
        <v>18.7546999999999</v>
      </c>
      <c r="AD8360">
        <v>-1.09917317007</v>
      </c>
      <c r="AE8360">
        <v>-0.23959999999999501</v>
      </c>
      <c r="AF8360">
        <v>3.7140416509446301</v>
      </c>
      <c r="AG8360">
        <v>-1.09917317007</v>
      </c>
      <c r="AH8360">
        <v>18.319336850737301</v>
      </c>
      <c r="AI8360">
        <v>93.365365997313702</v>
      </c>
      <c r="AJ8360">
        <v>78.539257222965801</v>
      </c>
      <c r="AK8360">
        <v>18.724326147916099</v>
      </c>
      <c r="AL8360">
        <v>96.600458752501098</v>
      </c>
      <c r="AM8360">
        <v>88.786998181300206</v>
      </c>
      <c r="AN8360">
        <v>0.99999996373724398</v>
      </c>
    </row>
    <row r="8361" spans="1:40" x14ac:dyDescent="0.25">
      <c r="A8361" t="str">
        <f>"20190305135124265"</f>
        <v>20190305135124265</v>
      </c>
      <c r="B8361" t="str">
        <f>"1551765084257623"</f>
        <v>1551765084257623</v>
      </c>
      <c r="C8361" t="s">
        <v>40</v>
      </c>
      <c r="D8361">
        <v>4.2124980000000001</v>
      </c>
      <c r="E8361">
        <v>0.56923469999999998</v>
      </c>
      <c r="F8361" t="s">
        <v>42</v>
      </c>
      <c r="G8361">
        <v>-142.1293</v>
      </c>
      <c r="H8361" s="1">
        <v>-4.0916400000000002E-6</v>
      </c>
      <c r="I8361">
        <v>135.48480000000001</v>
      </c>
      <c r="J8361">
        <v>-160.45609999999999</v>
      </c>
      <c r="K8361">
        <v>1.098957</v>
      </c>
      <c r="L8361">
        <v>135.79429999999999</v>
      </c>
      <c r="M8361">
        <v>0.98377789999999998</v>
      </c>
      <c r="N8361">
        <v>-2.0402329999999998E-3</v>
      </c>
      <c r="O8361">
        <v>0.17937910000000001</v>
      </c>
      <c r="P8361">
        <v>0.98008870000000003</v>
      </c>
      <c r="Q8361">
        <v>-0.1155461</v>
      </c>
      <c r="R8361">
        <v>0.16147790000000001</v>
      </c>
      <c r="S8361">
        <v>3.047409</v>
      </c>
      <c r="T8361">
        <v>-0.18048539999999999</v>
      </c>
      <c r="U8361">
        <v>-4.4464110000000001E-2</v>
      </c>
      <c r="V8361">
        <v>1.4578020000000001E-2</v>
      </c>
      <c r="W8361">
        <v>-0.1138484</v>
      </c>
      <c r="X8361">
        <v>0.99339120000000003</v>
      </c>
      <c r="Y8361">
        <v>0.1930723</v>
      </c>
      <c r="Z8361">
        <v>-1.6116299999999899E-2</v>
      </c>
      <c r="AA8361">
        <v>0.98105220000000004</v>
      </c>
      <c r="AB8361">
        <v>34</v>
      </c>
      <c r="AC8361">
        <v>18.326799999999899</v>
      </c>
      <c r="AD8361">
        <v>-1.0989610916400001</v>
      </c>
      <c r="AE8361">
        <v>-0.30949999999998501</v>
      </c>
      <c r="AF8361">
        <v>3.57906584866226</v>
      </c>
      <c r="AG8361">
        <v>-1.0989610916400001</v>
      </c>
      <c r="AH8361">
        <v>17.909640066271798</v>
      </c>
      <c r="AI8361">
        <v>93.443431470646601</v>
      </c>
      <c r="AJ8361">
        <v>78.698872141257098</v>
      </c>
      <c r="AK8361">
        <v>18.2967930286542</v>
      </c>
      <c r="AL8361">
        <v>96.537206815909897</v>
      </c>
      <c r="AM8361">
        <v>89.159244547236895</v>
      </c>
      <c r="AN8361">
        <v>1.00000002654355</v>
      </c>
    </row>
    <row r="8362" spans="1:40" x14ac:dyDescent="0.25">
      <c r="A8362" t="str">
        <f>"20190305135124288"</f>
        <v>20190305135124288</v>
      </c>
      <c r="B8362" t="str">
        <f>"1551765084278120"</f>
        <v>1551765084278120</v>
      </c>
      <c r="C8362" t="s">
        <v>40</v>
      </c>
      <c r="D8362">
        <v>4.2481980000000004</v>
      </c>
      <c r="E8362">
        <v>0.56933959999999995</v>
      </c>
      <c r="F8362" t="s">
        <v>42</v>
      </c>
      <c r="G8362">
        <v>-141.7122</v>
      </c>
      <c r="H8362" s="1">
        <v>-4.2655439999999996E-6</v>
      </c>
      <c r="I8362">
        <v>135.51329999999999</v>
      </c>
      <c r="J8362">
        <v>-160.11019999999999</v>
      </c>
      <c r="K8362">
        <v>1.09866</v>
      </c>
      <c r="L8362">
        <v>135.84909999999999</v>
      </c>
      <c r="M8362">
        <v>0.98559680000000005</v>
      </c>
      <c r="N8362">
        <v>-2.1267999999999999E-3</v>
      </c>
      <c r="O8362">
        <v>0.169099</v>
      </c>
      <c r="P8362">
        <v>0.98081960000000001</v>
      </c>
      <c r="Q8362">
        <v>-0.11474570000000001</v>
      </c>
      <c r="R8362">
        <v>0.1575648</v>
      </c>
      <c r="S8362">
        <v>3.0474239999999999</v>
      </c>
      <c r="T8362">
        <v>-0.17867060000000001</v>
      </c>
      <c r="U8362">
        <v>-4.5684809999999999E-2</v>
      </c>
      <c r="V8362">
        <v>8.1232070000000003E-3</v>
      </c>
      <c r="W8362">
        <v>-0.1128347</v>
      </c>
      <c r="X8362">
        <v>0.99358060000000004</v>
      </c>
      <c r="Y8362">
        <v>0.18326029999999999</v>
      </c>
      <c r="Z8362">
        <v>-1.507433E-2</v>
      </c>
      <c r="AA8362">
        <v>0.98294879999999996</v>
      </c>
      <c r="AB8362">
        <v>34</v>
      </c>
      <c r="AC8362">
        <v>18.398</v>
      </c>
      <c r="AD8362">
        <v>-1.098664265544</v>
      </c>
      <c r="AE8362">
        <v>-0.33580000000000598</v>
      </c>
      <c r="AF8362">
        <v>3.4298276095078499</v>
      </c>
      <c r="AG8362">
        <v>-1.098664265544</v>
      </c>
      <c r="AH8362">
        <v>18.0120562365266</v>
      </c>
      <c r="AI8362">
        <v>93.429029285218704</v>
      </c>
      <c r="AJ8362">
        <v>79.218895302162593</v>
      </c>
      <c r="AK8362">
        <v>18.368585968090301</v>
      </c>
      <c r="AL8362">
        <v>96.478749350618699</v>
      </c>
      <c r="AM8362">
        <v>89.531577903542498</v>
      </c>
      <c r="AN8362">
        <v>1.0000000323561999</v>
      </c>
    </row>
    <row r="8363" spans="1:40" x14ac:dyDescent="0.25">
      <c r="A8363" t="str">
        <f>"20190305135124306"</f>
        <v>20190305135124306</v>
      </c>
      <c r="B8363" t="str">
        <f>"1551765084297639"</f>
        <v>1551765084297639</v>
      </c>
      <c r="C8363" t="s">
        <v>40</v>
      </c>
      <c r="D8363">
        <v>4.149413</v>
      </c>
      <c r="E8363">
        <v>0.5693473</v>
      </c>
      <c r="F8363" t="s">
        <v>42</v>
      </c>
      <c r="G8363">
        <v>-141.50069999999999</v>
      </c>
      <c r="H8363" s="1">
        <v>-4.3606969999999997E-6</v>
      </c>
      <c r="I8363">
        <v>135.48830000000001</v>
      </c>
      <c r="J8363">
        <v>-159.8322</v>
      </c>
      <c r="K8363">
        <v>1.0984290000000001</v>
      </c>
      <c r="L8363">
        <v>135.89019999999999</v>
      </c>
      <c r="M8363">
        <v>0.98700339999999998</v>
      </c>
      <c r="N8363">
        <v>-2.1930919999999998E-3</v>
      </c>
      <c r="O8363">
        <v>0.16068489999999999</v>
      </c>
      <c r="P8363">
        <v>0.98156310000000002</v>
      </c>
      <c r="Q8363">
        <v>-0.11432050000000001</v>
      </c>
      <c r="R8363">
        <v>0.15318329999999999</v>
      </c>
      <c r="S8363">
        <v>3.0471339999999998</v>
      </c>
      <c r="T8363">
        <v>-0.17989639999999901</v>
      </c>
      <c r="U8363">
        <v>-5.9082030000000001E-2</v>
      </c>
      <c r="V8363">
        <v>4.0401350000000003E-3</v>
      </c>
      <c r="W8363">
        <v>-0.11225880000000001</v>
      </c>
      <c r="X8363">
        <v>0.99367079999999997</v>
      </c>
      <c r="Y8363">
        <v>0.17920749999999999</v>
      </c>
      <c r="Z8363">
        <v>-1.4578570000000001E-2</v>
      </c>
      <c r="AA8363">
        <v>0.98370329999999995</v>
      </c>
      <c r="AB8363">
        <v>34</v>
      </c>
      <c r="AC8363">
        <v>18.331499999999998</v>
      </c>
      <c r="AD8363">
        <v>-1.098433360697</v>
      </c>
      <c r="AE8363">
        <v>-0.40189999999998299</v>
      </c>
      <c r="AF8363">
        <v>3.3303279825017502</v>
      </c>
      <c r="AG8363">
        <v>-1.098433360697</v>
      </c>
      <c r="AH8363">
        <v>17.9642463766478</v>
      </c>
      <c r="AI8363">
        <v>93.440545732168104</v>
      </c>
      <c r="AJ8363">
        <v>79.497373743973199</v>
      </c>
      <c r="AK8363">
        <v>18.303327243969299</v>
      </c>
      <c r="AL8363">
        <v>96.445541870715203</v>
      </c>
      <c r="AM8363">
        <v>89.767044167337104</v>
      </c>
      <c r="AN8363">
        <v>1.00000000982044</v>
      </c>
    </row>
    <row r="8364" spans="1:40" x14ac:dyDescent="0.25">
      <c r="A8364" t="str">
        <f>"20190305135124323"</f>
        <v>20190305135124323</v>
      </c>
      <c r="B8364" t="str">
        <f>"1551765084318135"</f>
        <v>1551765084318135</v>
      </c>
      <c r="C8364" t="s">
        <v>40</v>
      </c>
      <c r="D8364">
        <v>4.1024289999999999</v>
      </c>
      <c r="E8364">
        <v>0.56904149999999998</v>
      </c>
      <c r="F8364" t="s">
        <v>42</v>
      </c>
      <c r="G8364">
        <v>-141.1112</v>
      </c>
      <c r="H8364" s="1">
        <v>-4.5357989999999996E-6</v>
      </c>
      <c r="I8364">
        <v>135.44329999999999</v>
      </c>
      <c r="J8364">
        <v>-159.5737</v>
      </c>
      <c r="K8364">
        <v>1.0982449999999999</v>
      </c>
      <c r="L8364">
        <v>135.92619999999999</v>
      </c>
      <c r="M8364">
        <v>0.98825960000000002</v>
      </c>
      <c r="N8364">
        <v>-2.250606E-3</v>
      </c>
      <c r="O8364">
        <v>0.15276819999999999</v>
      </c>
      <c r="P8364">
        <v>0.98160270000000005</v>
      </c>
      <c r="Q8364">
        <v>-0.1128781</v>
      </c>
      <c r="R8364">
        <v>0.15399599999999999</v>
      </c>
      <c r="S8364">
        <v>3.046875</v>
      </c>
      <c r="T8364">
        <v>-0.17877100000000001</v>
      </c>
      <c r="U8364">
        <v>-7.2738650000000002E-2</v>
      </c>
      <c r="V8364">
        <v>-4.738946E-3</v>
      </c>
      <c r="W8364">
        <v>-0.1105626</v>
      </c>
      <c r="X8364">
        <v>0.99385789999999996</v>
      </c>
      <c r="Y8364">
        <v>0.17575589999999999</v>
      </c>
      <c r="Z8364">
        <v>-1.39367E-2</v>
      </c>
      <c r="AA8364">
        <v>0.98433510000000002</v>
      </c>
      <c r="AB8364">
        <v>35</v>
      </c>
      <c r="AC8364">
        <v>18.462499999999999</v>
      </c>
      <c r="AD8364">
        <v>-1.0982495357989901</v>
      </c>
      <c r="AE8364">
        <v>-0.4829</v>
      </c>
      <c r="AF8364">
        <v>3.28610146413605</v>
      </c>
      <c r="AG8364">
        <v>-1.0982495357989901</v>
      </c>
      <c r="AH8364">
        <v>18.107983512477801</v>
      </c>
      <c r="AI8364">
        <v>93.415095957742096</v>
      </c>
      <c r="AJ8364">
        <v>79.714325705319794</v>
      </c>
      <c r="AK8364">
        <v>18.4364769346979</v>
      </c>
      <c r="AL8364">
        <v>96.347747771794602</v>
      </c>
      <c r="AM8364">
        <v>90.273197554089506</v>
      </c>
      <c r="AN8364">
        <v>1.0000000357601799</v>
      </c>
    </row>
    <row r="8365" spans="1:40" x14ac:dyDescent="0.25">
      <c r="A8365" t="str">
        <f>"20190305135124341"</f>
        <v>20190305135124341</v>
      </c>
      <c r="B8365" t="str">
        <f>"1551765084337655"</f>
        <v>1551765084337655</v>
      </c>
      <c r="C8365" t="s">
        <v>40</v>
      </c>
      <c r="D8365">
        <v>4.0901259999999997</v>
      </c>
      <c r="E8365">
        <v>0.54413059999999902</v>
      </c>
      <c r="F8365" t="s">
        <v>42</v>
      </c>
      <c r="G8365">
        <v>-139.14070000000001</v>
      </c>
      <c r="H8365" s="1">
        <v>-1.3796089999999999E-6</v>
      </c>
      <c r="I8365">
        <v>135.4778</v>
      </c>
      <c r="J8365">
        <v>-159.28739999999999</v>
      </c>
      <c r="K8365">
        <v>1.0980399999999999</v>
      </c>
      <c r="L8365">
        <v>135.96379999999999</v>
      </c>
      <c r="M8365">
        <v>0.98958539999999995</v>
      </c>
      <c r="N8365">
        <v>-2.3082829999999999E-3</v>
      </c>
      <c r="O8365">
        <v>0.14392940000000001</v>
      </c>
      <c r="P8365">
        <v>0.98235070000000002</v>
      </c>
      <c r="Q8365">
        <v>-0.1120686</v>
      </c>
      <c r="R8365">
        <v>0.1497597</v>
      </c>
      <c r="S8365">
        <v>3.0478670000000001</v>
      </c>
      <c r="T8365">
        <v>-0.16381809999999999</v>
      </c>
      <c r="U8365">
        <v>-6.6879270000000005E-2</v>
      </c>
      <c r="V8365">
        <v>-9.3533939999999993E-3</v>
      </c>
      <c r="W8365">
        <v>-0.1095873</v>
      </c>
      <c r="X8365">
        <v>0.99393310000000001</v>
      </c>
      <c r="Y8365">
        <v>0.16516639999999999</v>
      </c>
      <c r="Z8365">
        <v>-1.200536E-2</v>
      </c>
      <c r="AA8365">
        <v>0.98619259999999997</v>
      </c>
      <c r="AB8365">
        <v>35</v>
      </c>
      <c r="AC8365">
        <v>20.1466999999999</v>
      </c>
      <c r="AD8365">
        <v>-1.0980413796089901</v>
      </c>
      <c r="AE8365">
        <v>-0.48599999999999</v>
      </c>
      <c r="AF8365">
        <v>3.37064283521249</v>
      </c>
      <c r="AG8365">
        <v>-1.0980413796089901</v>
      </c>
      <c r="AH8365">
        <v>19.808174827007001</v>
      </c>
      <c r="AI8365">
        <v>93.127999926555702</v>
      </c>
      <c r="AJ8365">
        <v>80.342809497071997</v>
      </c>
      <c r="AK8365">
        <v>20.122890398031199</v>
      </c>
      <c r="AL8365">
        <v>96.2915261894113</v>
      </c>
      <c r="AM8365">
        <v>90.539165243204494</v>
      </c>
      <c r="AN8365">
        <v>0.999999934788107</v>
      </c>
    </row>
    <row r="8366" spans="1:40" x14ac:dyDescent="0.25">
      <c r="A8366" t="str">
        <f>"20190305135124355"</f>
        <v>20190305135124355</v>
      </c>
      <c r="B8366" t="str">
        <f>"1551765084348391"</f>
        <v>1551765084348391</v>
      </c>
      <c r="C8366" t="s">
        <v>40</v>
      </c>
      <c r="D8366">
        <v>4.0921640000000004</v>
      </c>
      <c r="E8366">
        <v>0.5445004</v>
      </c>
      <c r="F8366" t="s">
        <v>42</v>
      </c>
      <c r="G8366">
        <v>-91.211969999999994</v>
      </c>
      <c r="H8366" s="1">
        <v>-3.891143E-6</v>
      </c>
      <c r="I8366">
        <v>138.8339</v>
      </c>
      <c r="J8366">
        <v>-159.05950000000001</v>
      </c>
      <c r="K8366">
        <v>1.0979080000000001</v>
      </c>
      <c r="L8366">
        <v>135.99189999999999</v>
      </c>
      <c r="M8366">
        <v>0.99058780000000002</v>
      </c>
      <c r="N8366">
        <v>-2.3490120000000001E-3</v>
      </c>
      <c r="O8366">
        <v>0.13685919999999999</v>
      </c>
      <c r="P8366">
        <v>0.9825547</v>
      </c>
      <c r="Q8366">
        <v>-0.1097019</v>
      </c>
      <c r="R8366">
        <v>0.1501728</v>
      </c>
      <c r="S8366">
        <v>3.02887</v>
      </c>
      <c r="T8366">
        <v>-4.885507E-2</v>
      </c>
      <c r="U8366">
        <v>0.1277008</v>
      </c>
      <c r="V8366">
        <v>-1.6809649999999999E-2</v>
      </c>
      <c r="W8366">
        <v>-0.1070012</v>
      </c>
      <c r="X8366">
        <v>0.99411680000000002</v>
      </c>
      <c r="Y8366">
        <v>9.4983719999999994E-2</v>
      </c>
      <c r="Z8366">
        <v>-2.7545310000000002E-3</v>
      </c>
      <c r="AA8366">
        <v>0.995475</v>
      </c>
      <c r="AB8366">
        <v>35</v>
      </c>
      <c r="AC8366">
        <v>67.847530000000006</v>
      </c>
      <c r="AD8366">
        <v>-1.0979118911429999</v>
      </c>
      <c r="AE8366">
        <v>2.8420000000000099</v>
      </c>
      <c r="AF8366">
        <v>6.4686346216486701</v>
      </c>
      <c r="AG8366">
        <v>-1.0979118911429999</v>
      </c>
      <c r="AH8366">
        <v>67.580405304678195</v>
      </c>
      <c r="AI8366">
        <v>90.926512019726204</v>
      </c>
      <c r="AJ8366">
        <v>84.532442205869899</v>
      </c>
      <c r="AK8366">
        <v>67.8981577477157</v>
      </c>
      <c r="AL8366">
        <v>96.142476440673406</v>
      </c>
      <c r="AM8366">
        <v>90.968729453435699</v>
      </c>
      <c r="AN8366">
        <v>1.0000000165884</v>
      </c>
    </row>
    <row r="8367" spans="1:40" x14ac:dyDescent="0.25">
      <c r="A8367" t="str">
        <f>"20190305135124378"</f>
        <v>20190305135124378</v>
      </c>
      <c r="B8367" t="str">
        <f>"1551765084367912"</f>
        <v>1551765084367912</v>
      </c>
      <c r="C8367" t="s">
        <v>40</v>
      </c>
      <c r="D8367">
        <v>4.0622579999999999</v>
      </c>
      <c r="E8367">
        <v>0.54516109999999995</v>
      </c>
      <c r="F8367" t="s">
        <v>42</v>
      </c>
      <c r="G8367">
        <v>-82.733669999999904</v>
      </c>
      <c r="H8367" s="1">
        <v>-3.181472E-6</v>
      </c>
      <c r="I8367">
        <v>139.15450000000001</v>
      </c>
      <c r="J8367">
        <v>-158.69730000000001</v>
      </c>
      <c r="K8367">
        <v>1.0977189999999999</v>
      </c>
      <c r="L8367">
        <v>136.03309999999999</v>
      </c>
      <c r="M8367">
        <v>0.99207820000000002</v>
      </c>
      <c r="N8367">
        <v>-2.4024990000000002E-3</v>
      </c>
      <c r="O8367">
        <v>0.1255993</v>
      </c>
      <c r="P8367">
        <v>0.98355250000000005</v>
      </c>
      <c r="Q8367">
        <v>-0.1056607</v>
      </c>
      <c r="R8367">
        <v>0.14649429999999999</v>
      </c>
      <c r="S8367">
        <v>3.0292210000000002</v>
      </c>
      <c r="T8367">
        <v>-4.3573859999999999E-2</v>
      </c>
      <c r="U8367">
        <v>0.12551880000000001</v>
      </c>
      <c r="V8367">
        <v>-2.427143E-2</v>
      </c>
      <c r="W8367">
        <v>-0.1027192</v>
      </c>
      <c r="X8367">
        <v>0.99441420000000003</v>
      </c>
      <c r="Y8367">
        <v>8.4400210000000003E-2</v>
      </c>
      <c r="Z8367">
        <v>-2.2068190000000001E-3</v>
      </c>
      <c r="AA8367">
        <v>0.99642949999999997</v>
      </c>
      <c r="AB8367">
        <v>35</v>
      </c>
      <c r="AC8367">
        <v>75.963629999999995</v>
      </c>
      <c r="AD8367">
        <v>-1.097722181472</v>
      </c>
      <c r="AE8367">
        <v>3.1214000000000199</v>
      </c>
      <c r="AF8367">
        <v>6.4429809407527596</v>
      </c>
      <c r="AG8367">
        <v>-1.097722181472</v>
      </c>
      <c r="AH8367">
        <v>75.738332320956602</v>
      </c>
      <c r="AI8367">
        <v>90.827376856888193</v>
      </c>
      <c r="AJ8367">
        <v>85.137614495573501</v>
      </c>
      <c r="AK8367">
        <v>76.019813076264995</v>
      </c>
      <c r="AL8367">
        <v>95.895775935814797</v>
      </c>
      <c r="AM8367">
        <v>91.398184424017998</v>
      </c>
      <c r="AN8367">
        <v>0.99999996876226205</v>
      </c>
    </row>
    <row r="8368" spans="1:40" x14ac:dyDescent="0.25">
      <c r="A8368" t="str">
        <f>"20190305135124401"</f>
        <v>20190305135124401</v>
      </c>
      <c r="B8368" t="str">
        <f>"1551765084388409"</f>
        <v>1551765084388409</v>
      </c>
      <c r="C8368" t="s">
        <v>40</v>
      </c>
      <c r="D8368">
        <v>4.0407909999999996</v>
      </c>
      <c r="E8368">
        <v>0.54632369999999997</v>
      </c>
      <c r="F8368" t="s">
        <v>42</v>
      </c>
      <c r="G8368">
        <v>-51.733199999999997</v>
      </c>
      <c r="H8368" s="1">
        <v>-3.5909280000000001E-6</v>
      </c>
      <c r="I8368">
        <v>139.8502</v>
      </c>
      <c r="J8368">
        <v>-158.3398</v>
      </c>
      <c r="K8368">
        <v>1.0975710000000001</v>
      </c>
      <c r="L8368">
        <v>136.06989999999999</v>
      </c>
      <c r="M8368">
        <v>0.99341809999999997</v>
      </c>
      <c r="N8368">
        <v>-2.4412420000000002E-3</v>
      </c>
      <c r="O8368">
        <v>0.11451840000000001</v>
      </c>
      <c r="P8368">
        <v>0.98535530000000005</v>
      </c>
      <c r="Q8368">
        <v>-0.1029182</v>
      </c>
      <c r="R8368">
        <v>0.13595170000000001</v>
      </c>
      <c r="S8368">
        <v>3.0307010000000001</v>
      </c>
      <c r="T8368">
        <v>-3.1102660000000001E-2</v>
      </c>
      <c r="U8368">
        <v>0.10815429999999999</v>
      </c>
      <c r="V8368">
        <v>-2.465357E-2</v>
      </c>
      <c r="W8368">
        <v>-9.9920140000000005E-2</v>
      </c>
      <c r="X8368">
        <v>0.99468999999999996</v>
      </c>
      <c r="Y8368">
        <v>7.9008419999999996E-2</v>
      </c>
      <c r="Z8368">
        <v>-1.3939759999999999E-3</v>
      </c>
      <c r="AA8368">
        <v>0.99687300000000001</v>
      </c>
      <c r="AB8368">
        <v>35</v>
      </c>
      <c r="AC8368">
        <v>106.6066</v>
      </c>
      <c r="AD8368">
        <v>-1.0975745909279999</v>
      </c>
      <c r="AE8368">
        <v>3.7803000000000102</v>
      </c>
      <c r="AF8368">
        <v>8.4521294507670799</v>
      </c>
      <c r="AG8368">
        <v>-1.0975745909279999</v>
      </c>
      <c r="AH8368">
        <v>106.326903378105</v>
      </c>
      <c r="AI8368">
        <v>90.589563182029295</v>
      </c>
      <c r="AJ8368">
        <v>85.455005752965803</v>
      </c>
      <c r="AK8368">
        <v>106.667959313994</v>
      </c>
      <c r="AL8368">
        <v>95.734571720218796</v>
      </c>
      <c r="AM8368">
        <v>91.419795486886301</v>
      </c>
      <c r="AN8368">
        <v>1.00000001449568</v>
      </c>
    </row>
    <row r="8369" spans="1:40" x14ac:dyDescent="0.25">
      <c r="A8369" t="str">
        <f>"20190305135124423"</f>
        <v>20190305135124423</v>
      </c>
      <c r="B8369" t="str">
        <f>"1551765084417688"</f>
        <v>1551765084417688</v>
      </c>
      <c r="C8369" t="s">
        <v>40</v>
      </c>
      <c r="D8369">
        <v>4.0591949999999999</v>
      </c>
      <c r="E8369">
        <v>0.54774409999999996</v>
      </c>
      <c r="F8369" t="s">
        <v>47</v>
      </c>
      <c r="G8369">
        <v>0</v>
      </c>
      <c r="H8369">
        <v>0</v>
      </c>
      <c r="I8369">
        <v>0</v>
      </c>
      <c r="J8369">
        <v>-157.9744</v>
      </c>
      <c r="K8369">
        <v>1.0974729999999999</v>
      </c>
      <c r="L8369">
        <v>136.1035</v>
      </c>
      <c r="M8369">
        <v>0.99464669999999999</v>
      </c>
      <c r="N8369">
        <v>-2.4654429999999999E-3</v>
      </c>
      <c r="O8369">
        <v>0.1033048</v>
      </c>
      <c r="P8369">
        <v>0.98667110000000002</v>
      </c>
      <c r="Q8369">
        <v>-0.10349700000000001</v>
      </c>
      <c r="R8369">
        <v>0.1255732</v>
      </c>
      <c r="S8369">
        <v>3.0330349999999999</v>
      </c>
      <c r="T8369">
        <v>-2.419615E-2</v>
      </c>
      <c r="U8369">
        <v>6.5383910000000003E-2</v>
      </c>
      <c r="V8369">
        <v>-2.5445229999999999E-2</v>
      </c>
      <c r="W8369">
        <v>-0.1004511</v>
      </c>
      <c r="X8369">
        <v>0.99461659999999996</v>
      </c>
      <c r="Y8369">
        <v>8.1839220000000004E-2</v>
      </c>
      <c r="Z8369">
        <v>-9.9489549999999993E-4</v>
      </c>
      <c r="AA8369">
        <v>0.996645</v>
      </c>
      <c r="AB8369">
        <v>35</v>
      </c>
      <c r="AC8369">
        <v>3.0330349999999999</v>
      </c>
      <c r="AD8369">
        <v>-2.419615E-2</v>
      </c>
      <c r="AE8369">
        <v>6.5383910000000003E-2</v>
      </c>
      <c r="AF8369">
        <v>0.24827814278902799</v>
      </c>
      <c r="AG8369">
        <v>-2.419615E-2</v>
      </c>
      <c r="AH8369">
        <v>3.02336956640944</v>
      </c>
      <c r="AI8369">
        <v>90.456992429983899</v>
      </c>
      <c r="AJ8369">
        <v>85.305422831747805</v>
      </c>
      <c r="AK8369">
        <v>3.03364319341487</v>
      </c>
      <c r="AL8369">
        <v>95.765147218408998</v>
      </c>
      <c r="AM8369">
        <v>91.465475593849803</v>
      </c>
      <c r="AN8369">
        <v>1.0000000321082601</v>
      </c>
    </row>
    <row r="8370" spans="1:40" x14ac:dyDescent="0.25">
      <c r="A8370" t="str">
        <f>"20190305135124445"</f>
        <v>20190305135124445</v>
      </c>
      <c r="B8370" t="str">
        <f>"1551765084438196"</f>
        <v>1551765084438196</v>
      </c>
      <c r="C8370" t="s">
        <v>40</v>
      </c>
      <c r="D8370">
        <v>4.0244960000000001</v>
      </c>
      <c r="E8370">
        <v>0.54794359999999998</v>
      </c>
      <c r="F8370" t="s">
        <v>47</v>
      </c>
      <c r="G8370">
        <v>0</v>
      </c>
      <c r="H8370">
        <v>0</v>
      </c>
      <c r="I8370">
        <v>0</v>
      </c>
      <c r="J8370">
        <v>-157.61500000000001</v>
      </c>
      <c r="K8370">
        <v>1.0974219999999999</v>
      </c>
      <c r="L8370">
        <v>136.13290000000001</v>
      </c>
      <c r="M8370">
        <v>0.99571160000000003</v>
      </c>
      <c r="N8370">
        <v>-2.4713299999999999E-3</v>
      </c>
      <c r="O8370">
        <v>9.2479270000000002E-2</v>
      </c>
      <c r="P8370">
        <v>0.98774410000000001</v>
      </c>
      <c r="Q8370">
        <v>-0.1050137</v>
      </c>
      <c r="R8370">
        <v>0.11547300000000001</v>
      </c>
      <c r="S8370">
        <v>3.0347749999999998</v>
      </c>
      <c r="T8370">
        <v>-2.810621E-2</v>
      </c>
      <c r="U8370">
        <v>2.210999E-2</v>
      </c>
      <c r="V8370">
        <v>-2.6145990000000001E-2</v>
      </c>
      <c r="W8370">
        <v>-0.1019446</v>
      </c>
      <c r="X8370">
        <v>0.99444639999999995</v>
      </c>
      <c r="Y8370">
        <v>8.5216219999999995E-2</v>
      </c>
      <c r="Z8370">
        <v>-1.1265590000000001E-3</v>
      </c>
      <c r="AA8370">
        <v>0.99636190000000002</v>
      </c>
      <c r="AB8370">
        <v>36</v>
      </c>
      <c r="AC8370">
        <v>3.0347749999999998</v>
      </c>
      <c r="AD8370">
        <v>-2.810621E-2</v>
      </c>
      <c r="AE8370">
        <v>2.210999E-2</v>
      </c>
      <c r="AF8370">
        <v>0.258617197025092</v>
      </c>
      <c r="AG8370">
        <v>-2.810621E-2</v>
      </c>
      <c r="AH8370">
        <v>3.02355512316915</v>
      </c>
      <c r="AI8370">
        <v>90.530654345627596</v>
      </c>
      <c r="AJ8370">
        <v>85.111153828500804</v>
      </c>
      <c r="AK8370">
        <v>3.0347254235729602</v>
      </c>
      <c r="AL8370">
        <v>95.851160348407703</v>
      </c>
      <c r="AM8370">
        <v>91.506073967104797</v>
      </c>
      <c r="AN8370">
        <v>0.99999997836759902</v>
      </c>
    </row>
    <row r="8371" spans="1:40" x14ac:dyDescent="0.25">
      <c r="A8371" t="str">
        <f>"20190305135124467"</f>
        <v>20190305135124467</v>
      </c>
      <c r="B8371" t="str">
        <f>"1551765084457704"</f>
        <v>1551765084457704</v>
      </c>
      <c r="C8371" t="s">
        <v>40</v>
      </c>
      <c r="D8371">
        <v>4.0404249999999999</v>
      </c>
      <c r="E8371">
        <v>0.54828540000000003</v>
      </c>
      <c r="F8371" t="s">
        <v>42</v>
      </c>
      <c r="G8371">
        <v>-60.032110000000003</v>
      </c>
      <c r="H8371" s="1">
        <v>-4.9338650000000004E-6</v>
      </c>
      <c r="I8371">
        <v>135.8091</v>
      </c>
      <c r="J8371">
        <v>-157.25620000000001</v>
      </c>
      <c r="K8371">
        <v>1.097448</v>
      </c>
      <c r="L8371">
        <v>136.15870000000001</v>
      </c>
      <c r="M8371">
        <v>0.99662980000000001</v>
      </c>
      <c r="N8371">
        <v>-2.4570540000000002E-3</v>
      </c>
      <c r="O8371">
        <v>8.1995429999999994E-2</v>
      </c>
      <c r="P8371">
        <v>0.98890919999999904</v>
      </c>
      <c r="Q8371">
        <v>-0.105848499999999</v>
      </c>
      <c r="R8371">
        <v>0.1041861</v>
      </c>
      <c r="S8371">
        <v>3.0347749999999998</v>
      </c>
      <c r="T8371">
        <v>-3.4129380000000001E-2</v>
      </c>
      <c r="U8371">
        <v>-1.00708E-2</v>
      </c>
      <c r="V8371">
        <v>-2.5267870000000001E-2</v>
      </c>
      <c r="W8371">
        <v>-0.1028192</v>
      </c>
      <c r="X8371">
        <v>0.99437909999999996</v>
      </c>
      <c r="Y8371">
        <v>8.5292759999999995E-2</v>
      </c>
      <c r="Z8371">
        <v>-1.3041039999999999E-3</v>
      </c>
      <c r="AA8371">
        <v>0.99635510000000005</v>
      </c>
      <c r="AB8371">
        <v>36</v>
      </c>
      <c r="AC8371">
        <v>97.224090000000004</v>
      </c>
      <c r="AD8371">
        <v>-1.0974529338650001</v>
      </c>
      <c r="AE8371">
        <v>-0.34960000000000901</v>
      </c>
      <c r="AF8371">
        <v>8.3193169360090096</v>
      </c>
      <c r="AG8371">
        <v>-1.0974529338650001</v>
      </c>
      <c r="AH8371">
        <v>96.855699453458996</v>
      </c>
      <c r="AI8371">
        <v>90.646798083958004</v>
      </c>
      <c r="AJ8371">
        <v>85.090689755776694</v>
      </c>
      <c r="AK8371">
        <v>97.218526803498605</v>
      </c>
      <c r="AL8371">
        <v>95.901535686100402</v>
      </c>
      <c r="AM8371">
        <v>91.4556126780532</v>
      </c>
      <c r="AN8371">
        <v>1.0000000238298901</v>
      </c>
    </row>
    <row r="8372" spans="1:40" x14ac:dyDescent="0.25">
      <c r="A8372" t="str">
        <f>"20190305135124490"</f>
        <v>20190305135124490</v>
      </c>
      <c r="B8372" t="str">
        <f>"1551765084487960"</f>
        <v>1551765084487960</v>
      </c>
      <c r="C8372" t="s">
        <v>40</v>
      </c>
      <c r="D8372">
        <v>4.0427479999999996</v>
      </c>
      <c r="E8372">
        <v>0.54802949999999995</v>
      </c>
      <c r="F8372" t="s">
        <v>42</v>
      </c>
      <c r="G8372">
        <v>-75.175219999999996</v>
      </c>
      <c r="H8372" s="1">
        <v>-2.8943500000000001E-6</v>
      </c>
      <c r="I8372">
        <v>134.8683</v>
      </c>
      <c r="J8372">
        <v>-156.887</v>
      </c>
      <c r="K8372">
        <v>1.09758</v>
      </c>
      <c r="L8372">
        <v>136.18170000000001</v>
      </c>
      <c r="M8372">
        <v>0.99742660000000005</v>
      </c>
      <c r="N8372">
        <v>-2.4215629999999998E-3</v>
      </c>
      <c r="O8372">
        <v>7.1654330000000002E-2</v>
      </c>
      <c r="P8372">
        <v>0.98999979999999999</v>
      </c>
      <c r="Q8372">
        <v>-0.1063982</v>
      </c>
      <c r="R8372">
        <v>9.2627290000000001E-2</v>
      </c>
      <c r="S8372">
        <v>3.034348</v>
      </c>
      <c r="T8372">
        <v>-4.0570259999999997E-2</v>
      </c>
      <c r="U8372">
        <v>-4.769897E-2</v>
      </c>
      <c r="V8372">
        <v>-2.3943860000000001E-2</v>
      </c>
      <c r="W8372">
        <v>-0.103445</v>
      </c>
      <c r="X8372">
        <v>0.99434690000000003</v>
      </c>
      <c r="Y8372">
        <v>8.7309520000000002E-2</v>
      </c>
      <c r="Z8372">
        <v>-1.4732149999999999E-3</v>
      </c>
      <c r="AA8372">
        <v>0.99618010000000001</v>
      </c>
      <c r="AB8372">
        <v>36</v>
      </c>
      <c r="AC8372">
        <v>81.711780000000005</v>
      </c>
      <c r="AD8372">
        <v>-1.0975828943499999</v>
      </c>
      <c r="AE8372">
        <v>-1.3133999999999999</v>
      </c>
      <c r="AF8372">
        <v>7.1637516364377101</v>
      </c>
      <c r="AG8372">
        <v>-1.0975828943499999</v>
      </c>
      <c r="AH8372">
        <v>81.392947779001304</v>
      </c>
      <c r="AI8372">
        <v>90.769611250616805</v>
      </c>
      <c r="AJ8372">
        <v>84.970107579028294</v>
      </c>
      <c r="AK8372">
        <v>81.714967869257407</v>
      </c>
      <c r="AL8372">
        <v>95.937583942786304</v>
      </c>
      <c r="AM8372">
        <v>91.379415026543796</v>
      </c>
      <c r="AN8372">
        <v>0.99999996699815397</v>
      </c>
    </row>
    <row r="8373" spans="1:40" x14ac:dyDescent="0.25">
      <c r="A8373" t="str">
        <f>"20190305135124512"</f>
        <v>20190305135124512</v>
      </c>
      <c r="B8373" t="str">
        <f>"1551765084508456"</f>
        <v>1551765084508456</v>
      </c>
      <c r="C8373" t="s">
        <v>40</v>
      </c>
      <c r="D8373">
        <v>3.997074</v>
      </c>
      <c r="E8373">
        <v>0.54791999999999996</v>
      </c>
      <c r="F8373" t="s">
        <v>42</v>
      </c>
      <c r="G8373">
        <v>-82.750309999999999</v>
      </c>
      <c r="H8373" s="1">
        <v>-4.0532359999999997E-6</v>
      </c>
      <c r="I8373">
        <v>134.19970000000001</v>
      </c>
      <c r="J8373">
        <v>-156.51910000000001</v>
      </c>
      <c r="K8373">
        <v>1.0978079999999999</v>
      </c>
      <c r="L8373">
        <v>136.20099999999999</v>
      </c>
      <c r="M8373">
        <v>0.99807520000000005</v>
      </c>
      <c r="N8373">
        <v>-2.3681729999999999E-3</v>
      </c>
      <c r="O8373">
        <v>6.196956E-2</v>
      </c>
      <c r="P8373">
        <v>0.9907591</v>
      </c>
      <c r="Q8373">
        <v>-0.10784530000000001</v>
      </c>
      <c r="R8373">
        <v>8.225346E-2</v>
      </c>
      <c r="S8373">
        <v>3.0330810000000001</v>
      </c>
      <c r="T8373">
        <v>-4.4904350000000003E-2</v>
      </c>
      <c r="U8373">
        <v>-8.1085210000000005E-2</v>
      </c>
      <c r="V8373">
        <v>-2.3162519999999999E-2</v>
      </c>
      <c r="W8373">
        <v>-0.10497769999999999</v>
      </c>
      <c r="X8373">
        <v>0.9942048</v>
      </c>
      <c r="Y8373">
        <v>8.8604249999999996E-2</v>
      </c>
      <c r="Z8373">
        <v>-1.5308979999999999E-3</v>
      </c>
      <c r="AA8373">
        <v>0.99606570000000005</v>
      </c>
      <c r="AB8373">
        <v>36</v>
      </c>
      <c r="AC8373">
        <v>73.768789999999996</v>
      </c>
      <c r="AD8373">
        <v>-1.0978120532359901</v>
      </c>
      <c r="AE8373">
        <v>-2.0012999999999801</v>
      </c>
      <c r="AF8373">
        <v>6.5674325692034898</v>
      </c>
      <c r="AG8373">
        <v>-1.0978120532359901</v>
      </c>
      <c r="AH8373">
        <v>73.486725512183497</v>
      </c>
      <c r="AI8373">
        <v>90.852476189861406</v>
      </c>
      <c r="AJ8373">
        <v>84.893102616730999</v>
      </c>
      <c r="AK8373">
        <v>73.787771265693294</v>
      </c>
      <c r="AL8373">
        <v>96.025881751070798</v>
      </c>
      <c r="AM8373">
        <v>91.334608934495705</v>
      </c>
      <c r="AN8373">
        <v>1.0000000020865401</v>
      </c>
    </row>
    <row r="8374" spans="1:40" x14ac:dyDescent="0.25">
      <c r="A8374" t="str">
        <f>"20190305135124534"</f>
        <v>20190305135124534</v>
      </c>
      <c r="B8374" t="str">
        <f>"1551765084527976"</f>
        <v>1551765084527976</v>
      </c>
      <c r="C8374" t="s">
        <v>40</v>
      </c>
      <c r="D8374">
        <v>4.045528</v>
      </c>
      <c r="E8374">
        <v>0.54752209999999901</v>
      </c>
      <c r="F8374" t="s">
        <v>42</v>
      </c>
      <c r="G8374">
        <v>-89.248570000000001</v>
      </c>
      <c r="H8374" s="1">
        <v>-1.811104E-6</v>
      </c>
      <c r="I8374">
        <v>133.7183</v>
      </c>
      <c r="J8374">
        <v>-156.1446</v>
      </c>
      <c r="K8374">
        <v>1.0980799999999999</v>
      </c>
      <c r="L8374">
        <v>136.2175</v>
      </c>
      <c r="M8374">
        <v>0.99860879999999996</v>
      </c>
      <c r="N8374">
        <v>-2.3119130000000001E-3</v>
      </c>
      <c r="O8374">
        <v>5.2682039999999999E-2</v>
      </c>
      <c r="P8374">
        <v>0.99124219999999996</v>
      </c>
      <c r="Q8374">
        <v>-0.1097948</v>
      </c>
      <c r="R8374">
        <v>7.3377440000000002E-2</v>
      </c>
      <c r="S8374">
        <v>3.0318909999999999</v>
      </c>
      <c r="T8374">
        <v>-4.947841E-2</v>
      </c>
      <c r="U8374">
        <v>-0.111892699999999</v>
      </c>
      <c r="V8374">
        <v>-2.3488829999999999E-2</v>
      </c>
      <c r="W8374">
        <v>-0.10699160000000001</v>
      </c>
      <c r="X8374">
        <v>0.99398240000000004</v>
      </c>
      <c r="Y8374">
        <v>8.9456530000000006E-2</v>
      </c>
      <c r="Z8374">
        <v>-1.5706239999999901E-3</v>
      </c>
      <c r="AA8374">
        <v>0.99598949999999997</v>
      </c>
      <c r="AB8374">
        <v>37</v>
      </c>
      <c r="AC8374">
        <v>66.896029999999996</v>
      </c>
      <c r="AD8374">
        <v>-1.098081811104</v>
      </c>
      <c r="AE8374">
        <v>-2.4992000000000001</v>
      </c>
      <c r="AF8374">
        <v>6.0183383478244696</v>
      </c>
      <c r="AG8374">
        <v>-1.098081811104</v>
      </c>
      <c r="AH8374">
        <v>66.653535836972907</v>
      </c>
      <c r="AI8374">
        <v>90.940008950666495</v>
      </c>
      <c r="AJ8374">
        <v>84.840591086098996</v>
      </c>
      <c r="AK8374">
        <v>66.933698685366295</v>
      </c>
      <c r="AL8374">
        <v>96.141923515387703</v>
      </c>
      <c r="AM8374">
        <v>91.3537064608267</v>
      </c>
      <c r="AN8374">
        <v>0.999999969557543</v>
      </c>
    </row>
    <row r="8375" spans="1:40" x14ac:dyDescent="0.25">
      <c r="A8375" t="str">
        <f>"20190305135124557"</f>
        <v>20190305135124557</v>
      </c>
      <c r="B8375" t="str">
        <f>"1551765084547496"</f>
        <v>1551765084547496</v>
      </c>
      <c r="C8375" t="s">
        <v>40</v>
      </c>
      <c r="D8375">
        <v>4.0858860000000004</v>
      </c>
      <c r="E8375">
        <v>0.54731680000000005</v>
      </c>
      <c r="F8375" t="s">
        <v>42</v>
      </c>
      <c r="G8375">
        <v>-98.874440000000007</v>
      </c>
      <c r="H8375" s="1">
        <v>-1.9598299999999998E-6</v>
      </c>
      <c r="I8375">
        <v>133.6378</v>
      </c>
      <c r="J8375">
        <v>-155.7764</v>
      </c>
      <c r="K8375">
        <v>1.098403</v>
      </c>
      <c r="L8375">
        <v>136.23089999999999</v>
      </c>
      <c r="M8375">
        <v>0.99902239999999998</v>
      </c>
      <c r="N8375">
        <v>-2.2609090000000002E-3</v>
      </c>
      <c r="O8375">
        <v>4.4149790000000001E-2</v>
      </c>
      <c r="P8375">
        <v>0.99166379999999998</v>
      </c>
      <c r="Q8375">
        <v>-0.1106481</v>
      </c>
      <c r="R8375">
        <v>6.6031510000000002E-2</v>
      </c>
      <c r="S8375">
        <v>3.030151</v>
      </c>
      <c r="T8375">
        <v>-5.8099270000000001E-2</v>
      </c>
      <c r="U8375">
        <v>-0.1364899</v>
      </c>
      <c r="V8375">
        <v>-2.4553789999999999E-2</v>
      </c>
      <c r="W8375">
        <v>-0.1078896</v>
      </c>
      <c r="X8375">
        <v>0.99385959999999995</v>
      </c>
      <c r="Y8375">
        <v>8.9035020000000006E-2</v>
      </c>
      <c r="Z8375">
        <v>-1.70002E-3</v>
      </c>
      <c r="AA8375">
        <v>0.99602710000000005</v>
      </c>
      <c r="AB8375">
        <v>37</v>
      </c>
      <c r="AC8375">
        <v>56.901959999999903</v>
      </c>
      <c r="AD8375">
        <v>-1.0984049598299901</v>
      </c>
      <c r="AE8375">
        <v>-2.59309999999999</v>
      </c>
      <c r="AF8375">
        <v>5.1008906561182403</v>
      </c>
      <c r="AG8375">
        <v>-1.0984049598299901</v>
      </c>
      <c r="AH8375">
        <v>56.7109027639003</v>
      </c>
      <c r="AI8375">
        <v>91.105134150551194</v>
      </c>
      <c r="AJ8375">
        <v>84.860332835272501</v>
      </c>
      <c r="AK8375">
        <v>56.950435215527598</v>
      </c>
      <c r="AL8375">
        <v>96.193674628659195</v>
      </c>
      <c r="AM8375">
        <v>91.415232511969293</v>
      </c>
      <c r="AN8375">
        <v>0.99999997945184105</v>
      </c>
    </row>
    <row r="8376" spans="1:40" x14ac:dyDescent="0.25">
      <c r="A8376" t="str">
        <f>"20190305135124578"</f>
        <v>20190305135124578</v>
      </c>
      <c r="B8376" t="str">
        <f>"1551765084567992"</f>
        <v>1551765084567992</v>
      </c>
      <c r="C8376" t="s">
        <v>40</v>
      </c>
      <c r="D8376">
        <v>4.0317970000000001</v>
      </c>
      <c r="E8376">
        <v>0.53991279999999997</v>
      </c>
      <c r="F8376" t="s">
        <v>42</v>
      </c>
      <c r="G8376">
        <v>-102.7282</v>
      </c>
      <c r="H8376" s="1">
        <v>-4.5087219999999999E-6</v>
      </c>
      <c r="I8376">
        <v>133.4666</v>
      </c>
      <c r="J8376">
        <v>-155.4075</v>
      </c>
      <c r="K8376">
        <v>1.0987800000000001</v>
      </c>
      <c r="L8376">
        <v>136.24160000000001</v>
      </c>
      <c r="M8376">
        <v>0.99934049999999996</v>
      </c>
      <c r="N8376">
        <v>-2.2140599999999999E-3</v>
      </c>
      <c r="O8376">
        <v>3.6245359999999997E-2</v>
      </c>
      <c r="P8376">
        <v>0.992039</v>
      </c>
      <c r="Q8376">
        <v>-0.1099174</v>
      </c>
      <c r="R8376">
        <v>6.1456179999999999E-2</v>
      </c>
      <c r="S8376">
        <v>3.0287320000000002</v>
      </c>
      <c r="T8376">
        <v>-6.271243E-2</v>
      </c>
      <c r="U8376">
        <v>-0.15782170000000001</v>
      </c>
      <c r="V8376">
        <v>-2.7714470000000001E-2</v>
      </c>
      <c r="W8376">
        <v>-0.10715909999999999</v>
      </c>
      <c r="X8376">
        <v>0.9938555</v>
      </c>
      <c r="Y8376">
        <v>8.8172650000000005E-2</v>
      </c>
      <c r="Z8376">
        <v>-1.679589E-3</v>
      </c>
      <c r="AA8376">
        <v>0.99610379999999998</v>
      </c>
      <c r="AB8376">
        <v>37</v>
      </c>
      <c r="AC8376">
        <v>52.679299999999998</v>
      </c>
      <c r="AD8376">
        <v>-1.0987845087219901</v>
      </c>
      <c r="AE8376">
        <v>-2.7749999999999999</v>
      </c>
      <c r="AF8376">
        <v>4.68053075219993</v>
      </c>
      <c r="AG8376">
        <v>-1.0987845087219901</v>
      </c>
      <c r="AH8376">
        <v>52.521317777358099</v>
      </c>
      <c r="AI8376">
        <v>91.193765349423003</v>
      </c>
      <c r="AJ8376">
        <v>84.907437527903696</v>
      </c>
      <c r="AK8376">
        <v>52.740909326528701</v>
      </c>
      <c r="AL8376">
        <v>96.151576112827001</v>
      </c>
      <c r="AM8376">
        <v>91.597325521751102</v>
      </c>
      <c r="AN8376">
        <v>0.99999995972021904</v>
      </c>
    </row>
    <row r="8377" spans="1:40" x14ac:dyDescent="0.25">
      <c r="A8377" t="str">
        <f>"20190305135124602"</f>
        <v>20190305135124602</v>
      </c>
      <c r="B8377" t="str">
        <f>"1551765084598248"</f>
        <v>1551765084598248</v>
      </c>
      <c r="C8377" t="s">
        <v>40</v>
      </c>
      <c r="D8377">
        <v>4.0664480000000003</v>
      </c>
      <c r="E8377">
        <v>0.5388252</v>
      </c>
      <c r="F8377" t="s">
        <v>42</v>
      </c>
      <c r="G8377">
        <v>-111.5728</v>
      </c>
      <c r="H8377" s="1">
        <v>-4.489822E-6</v>
      </c>
      <c r="I8377">
        <v>134.58600000000001</v>
      </c>
      <c r="J8377">
        <v>-155.02780000000001</v>
      </c>
      <c r="K8377">
        <v>1.0992219999999999</v>
      </c>
      <c r="L8377">
        <v>136.2501</v>
      </c>
      <c r="M8377">
        <v>0.99958279999999999</v>
      </c>
      <c r="N8377">
        <v>-2.1706719999999998E-3</v>
      </c>
      <c r="O8377">
        <v>2.8804300000000001E-2</v>
      </c>
      <c r="P8377">
        <v>0.99215160000000002</v>
      </c>
      <c r="Q8377">
        <v>-0.1094</v>
      </c>
      <c r="R8377">
        <v>6.0555030000000003E-2</v>
      </c>
      <c r="S8377">
        <v>3.0227659999999998</v>
      </c>
      <c r="T8377">
        <v>-7.5770260000000006E-2</v>
      </c>
      <c r="U8377">
        <v>-0.1141663</v>
      </c>
      <c r="V8377">
        <v>-3.4084339999999998E-2</v>
      </c>
      <c r="W8377">
        <v>-0.1065845</v>
      </c>
      <c r="X8377">
        <v>0.99371929999999997</v>
      </c>
      <c r="Y8377">
        <v>6.6479880000000005E-2</v>
      </c>
      <c r="Z8377">
        <v>-1.564158E-3</v>
      </c>
      <c r="AA8377">
        <v>0.99778650000000002</v>
      </c>
      <c r="AB8377">
        <v>37</v>
      </c>
      <c r="AC8377">
        <v>43.454999999999998</v>
      </c>
      <c r="AD8377">
        <v>-1.0992264898220001</v>
      </c>
      <c r="AE8377">
        <v>-1.6640999999999899</v>
      </c>
      <c r="AF8377">
        <v>2.91324182899577</v>
      </c>
      <c r="AG8377">
        <v>-1.0992264898220001</v>
      </c>
      <c r="AH8377">
        <v>43.361330609370398</v>
      </c>
      <c r="AI8377">
        <v>91.448894163313994</v>
      </c>
      <c r="AJ8377">
        <v>86.156345032934396</v>
      </c>
      <c r="AK8377">
        <v>43.472983208485502</v>
      </c>
      <c r="AL8377">
        <v>96.118463932741903</v>
      </c>
      <c r="AM8377">
        <v>91.964461723408604</v>
      </c>
      <c r="AN8377">
        <v>1.0000000225329799</v>
      </c>
    </row>
    <row r="8378" spans="1:40" x14ac:dyDescent="0.25">
      <c r="A8378" t="str">
        <f>"20190305135124624"</f>
        <v>20190305135124624</v>
      </c>
      <c r="B8378" t="str">
        <f>"1551765084617768"</f>
        <v>1551765084617768</v>
      </c>
      <c r="C8378" t="s">
        <v>40</v>
      </c>
      <c r="D8378">
        <v>4.0352739999999896</v>
      </c>
      <c r="E8378">
        <v>0.53810519999999995</v>
      </c>
      <c r="F8378" t="s">
        <v>42</v>
      </c>
      <c r="G8378">
        <v>-113.00709999999999</v>
      </c>
      <c r="H8378" s="1">
        <v>-3.8466989999999997E-6</v>
      </c>
      <c r="I8378">
        <v>134.74289999999999</v>
      </c>
      <c r="J8378">
        <v>-154.64410000000001</v>
      </c>
      <c r="K8378">
        <v>1.099702</v>
      </c>
      <c r="L8378">
        <v>136.25640000000001</v>
      </c>
      <c r="M8378">
        <v>0.99975619999999998</v>
      </c>
      <c r="N8378">
        <v>-2.1349889999999999E-3</v>
      </c>
      <c r="O8378">
        <v>2.1976200000000001E-2</v>
      </c>
      <c r="P8378">
        <v>0.99214000000000002</v>
      </c>
      <c r="Q8378">
        <v>-0.1089527</v>
      </c>
      <c r="R8378">
        <v>6.1541529999999997E-2</v>
      </c>
      <c r="S8378">
        <v>3.0216370000000001</v>
      </c>
      <c r="T8378">
        <v>-7.9043269999999999E-2</v>
      </c>
      <c r="U8378">
        <v>-0.1083832</v>
      </c>
      <c r="V8378">
        <v>-4.1725810000000002E-2</v>
      </c>
      <c r="W8378">
        <v>-0.1060659</v>
      </c>
      <c r="X8378">
        <v>0.99348320000000001</v>
      </c>
      <c r="Y8378">
        <v>5.7771759999999998E-2</v>
      </c>
      <c r="Z8378">
        <v>-1.34468E-3</v>
      </c>
      <c r="AA8378">
        <v>0.99832889999999996</v>
      </c>
      <c r="AB8378">
        <v>37</v>
      </c>
      <c r="AC8378">
        <v>41.637</v>
      </c>
      <c r="AD8378">
        <v>-1.099705846699</v>
      </c>
      <c r="AE8378">
        <v>-1.5135000000000201</v>
      </c>
      <c r="AF8378">
        <v>2.4264691938005001</v>
      </c>
      <c r="AG8378">
        <v>-1.099705846699</v>
      </c>
      <c r="AH8378">
        <v>41.564726845968899</v>
      </c>
      <c r="AI8378">
        <v>91.512984552661607</v>
      </c>
      <c r="AJ8378">
        <v>86.658974025861497</v>
      </c>
      <c r="AK8378">
        <v>41.650013487125499</v>
      </c>
      <c r="AL8378">
        <v>96.088581430287604</v>
      </c>
      <c r="AM8378">
        <v>92.404981371767605</v>
      </c>
      <c r="AN8378">
        <v>0.99999994352260102</v>
      </c>
    </row>
    <row r="8379" spans="1:40" x14ac:dyDescent="0.25">
      <c r="A8379" t="str">
        <f>"20190305135124646"</f>
        <v>20190305135124646</v>
      </c>
      <c r="B8379" t="str">
        <f>"1551765084638264"</f>
        <v>1551765084638264</v>
      </c>
      <c r="C8379" t="s">
        <v>40</v>
      </c>
      <c r="D8379">
        <v>4.0569750000000004</v>
      </c>
      <c r="E8379">
        <v>0.53785569999999905</v>
      </c>
      <c r="F8379" t="s">
        <v>42</v>
      </c>
      <c r="G8379">
        <v>-113.47539999999999</v>
      </c>
      <c r="H8379" s="1">
        <v>-3.6185620000000002E-6</v>
      </c>
      <c r="I8379">
        <v>134.8965</v>
      </c>
      <c r="J8379">
        <v>-154.26900000000001</v>
      </c>
      <c r="K8379">
        <v>1.1001989999999999</v>
      </c>
      <c r="L8379">
        <v>136.2604</v>
      </c>
      <c r="M8379">
        <v>0.9998707</v>
      </c>
      <c r="N8379">
        <v>-2.1114520000000002E-3</v>
      </c>
      <c r="O8379">
        <v>1.594305E-2</v>
      </c>
      <c r="P8379">
        <v>0.99210790000000004</v>
      </c>
      <c r="Q8379">
        <v>-0.1066879</v>
      </c>
      <c r="R8379">
        <v>6.5875279999999994E-2</v>
      </c>
      <c r="S8379">
        <v>3.0210880000000002</v>
      </c>
      <c r="T8379">
        <v>-8.0699679999999996E-2</v>
      </c>
      <c r="U8379">
        <v>-9.9792480000000003E-2</v>
      </c>
      <c r="V8379">
        <v>-5.1888080000000003E-2</v>
      </c>
      <c r="W8379">
        <v>-0.10369109999999999</v>
      </c>
      <c r="X8379">
        <v>0.99325509999999995</v>
      </c>
      <c r="Y8379">
        <v>4.8920539999999998E-2</v>
      </c>
      <c r="Z8379">
        <v>-1.0968099999999999E-3</v>
      </c>
      <c r="AA8379">
        <v>0.99880210000000003</v>
      </c>
      <c r="AB8379">
        <v>37</v>
      </c>
      <c r="AC8379">
        <v>40.793599999999998</v>
      </c>
      <c r="AD8379">
        <v>-1.100202618562</v>
      </c>
      <c r="AE8379">
        <v>-1.3638999999999999</v>
      </c>
      <c r="AF8379">
        <v>2.01264016638254</v>
      </c>
      <c r="AG8379">
        <v>-1.100202618562</v>
      </c>
      <c r="AH8379">
        <v>40.737072157748898</v>
      </c>
      <c r="AI8379">
        <v>91.545150551065205</v>
      </c>
      <c r="AJ8379">
        <v>87.171566513276503</v>
      </c>
      <c r="AK8379">
        <v>40.801595731378796</v>
      </c>
      <c r="AL8379">
        <v>95.951760741288794</v>
      </c>
      <c r="AM8379">
        <v>92.990438144549202</v>
      </c>
      <c r="AN8379">
        <v>0.99999995537065201</v>
      </c>
    </row>
    <row r="8380" spans="1:40" x14ac:dyDescent="0.25">
      <c r="A8380" t="str">
        <f>"20190305135124668"</f>
        <v>20190305135124668</v>
      </c>
      <c r="B8380" t="str">
        <f>"1551765084657784"</f>
        <v>1551765084657784</v>
      </c>
      <c r="C8380" t="s">
        <v>40</v>
      </c>
      <c r="D8380">
        <v>4.0812419999999996</v>
      </c>
      <c r="E8380">
        <v>0.53788469999999999</v>
      </c>
      <c r="F8380" t="s">
        <v>42</v>
      </c>
      <c r="G8380">
        <v>-109.09990000000001</v>
      </c>
      <c r="H8380" s="1">
        <v>-1.5601760000000001E-6</v>
      </c>
      <c r="I8380">
        <v>134.9924</v>
      </c>
      <c r="J8380">
        <v>-153.89330000000001</v>
      </c>
      <c r="K8380">
        <v>1.1007100000000001</v>
      </c>
      <c r="L8380">
        <v>136.26249999999999</v>
      </c>
      <c r="M8380">
        <v>0.99994280000000002</v>
      </c>
      <c r="N8380">
        <v>-2.1004660000000001E-3</v>
      </c>
      <c r="O8380">
        <v>1.049103E-2</v>
      </c>
      <c r="P8380">
        <v>0.99214119999999995</v>
      </c>
      <c r="Q8380">
        <v>-0.1031741</v>
      </c>
      <c r="R8380">
        <v>7.079075E-2</v>
      </c>
      <c r="S8380">
        <v>3.0215610000000002</v>
      </c>
      <c r="T8380">
        <v>-7.3597309999999999E-2</v>
      </c>
      <c r="U8380">
        <v>-8.4823609999999994E-2</v>
      </c>
      <c r="V8380">
        <v>-6.2037130000000003E-2</v>
      </c>
      <c r="W8380">
        <v>-0.10007919999999999</v>
      </c>
      <c r="X8380">
        <v>0.99304360000000003</v>
      </c>
      <c r="Y8380">
        <v>3.85321E-2</v>
      </c>
      <c r="Z8380">
        <v>-7.4301450000000002E-4</v>
      </c>
      <c r="AA8380">
        <v>0.99925710000000001</v>
      </c>
      <c r="AB8380">
        <v>38</v>
      </c>
      <c r="AC8380">
        <v>44.793399999999998</v>
      </c>
      <c r="AD8380">
        <v>-1.100711560176</v>
      </c>
      <c r="AE8380">
        <v>-1.27009999999998</v>
      </c>
      <c r="AF8380">
        <v>1.7389108514187599</v>
      </c>
      <c r="AG8380">
        <v>-1.100711560176</v>
      </c>
      <c r="AH8380">
        <v>44.7506098950481</v>
      </c>
      <c r="AI8380">
        <v>91.407933508517402</v>
      </c>
      <c r="AJ8380">
        <v>87.774730837134598</v>
      </c>
      <c r="AK8380">
        <v>44.797906902741097</v>
      </c>
      <c r="AL8380">
        <v>95.743731057289594</v>
      </c>
      <c r="AM8380">
        <v>93.574719678292993</v>
      </c>
      <c r="AN8380">
        <v>1.00000002163611</v>
      </c>
    </row>
    <row r="8381" spans="1:40" x14ac:dyDescent="0.25">
      <c r="A8381" t="str">
        <f>"20190305135124826"</f>
        <v>20190305135124826</v>
      </c>
      <c r="B8381" t="str">
        <f>"1551765084817848"</f>
        <v>1551765084817848</v>
      </c>
      <c r="C8381" t="s">
        <v>40</v>
      </c>
      <c r="D8381">
        <v>3.238334</v>
      </c>
      <c r="E8381">
        <v>0.53928900000000002</v>
      </c>
      <c r="F8381" t="s">
        <v>42</v>
      </c>
      <c r="G8381">
        <v>-101.25920000000001</v>
      </c>
      <c r="H8381" s="1">
        <v>-4.9252139999999998E-6</v>
      </c>
      <c r="I8381">
        <v>135.0335</v>
      </c>
      <c r="J8381">
        <v>-151.1534</v>
      </c>
      <c r="K8381">
        <v>1.104087</v>
      </c>
      <c r="L8381">
        <v>136.23679999999999</v>
      </c>
      <c r="M8381">
        <v>0.99988200000000005</v>
      </c>
      <c r="N8381">
        <v>-2.2554129999999999E-3</v>
      </c>
      <c r="O8381">
        <v>-1.51985E-2</v>
      </c>
      <c r="P8381">
        <v>0.99291479999999999</v>
      </c>
      <c r="Q8381">
        <v>-8.0409380000000003E-2</v>
      </c>
      <c r="R8381">
        <v>8.7490579999999998E-2</v>
      </c>
      <c r="S8381">
        <v>3.0222169999999999</v>
      </c>
      <c r="T8381">
        <v>-6.3202380000000002E-2</v>
      </c>
      <c r="U8381">
        <v>-7.0571899999999896E-2</v>
      </c>
      <c r="V8381">
        <v>-0.1032482</v>
      </c>
      <c r="W8381">
        <v>-7.7277040000000005E-2</v>
      </c>
      <c r="X8381">
        <v>0.99164920000000001</v>
      </c>
      <c r="Y8381">
        <v>8.1482580000000002E-3</v>
      </c>
      <c r="Z8381">
        <v>1.890943E-4</v>
      </c>
      <c r="AA8381">
        <v>0.99996680000000004</v>
      </c>
      <c r="AB8381">
        <v>39</v>
      </c>
      <c r="AC8381">
        <v>49.894199999999998</v>
      </c>
      <c r="AD8381">
        <v>-1.104091925214</v>
      </c>
      <c r="AE8381">
        <v>-1.2032999999999801</v>
      </c>
      <c r="AF8381">
        <v>0.44462452599340202</v>
      </c>
      <c r="AG8381">
        <v>-1.104091925214</v>
      </c>
      <c r="AH8381">
        <v>49.882313340235299</v>
      </c>
      <c r="AI8381">
        <v>91.267923721542701</v>
      </c>
      <c r="AJ8381">
        <v>89.489309286832494</v>
      </c>
      <c r="AK8381">
        <v>49.896511843232702</v>
      </c>
      <c r="AL8381">
        <v>94.432066774482905</v>
      </c>
      <c r="AM8381">
        <v>95.944085634086903</v>
      </c>
      <c r="AN8381">
        <v>1.0000000337875199</v>
      </c>
    </row>
    <row r="8382" spans="1:40" x14ac:dyDescent="0.25">
      <c r="A8382" t="str">
        <f>"20190305135124847"</f>
        <v>20190305135124847</v>
      </c>
      <c r="B8382" t="str">
        <f>"1551765084838344"</f>
        <v>1551765084838344</v>
      </c>
      <c r="C8382" t="s">
        <v>40</v>
      </c>
      <c r="D8382">
        <v>4.0258399999999996</v>
      </c>
      <c r="E8382">
        <v>0.53714910000000005</v>
      </c>
      <c r="F8382" t="s">
        <v>47</v>
      </c>
      <c r="G8382">
        <v>0</v>
      </c>
      <c r="H8382">
        <v>0</v>
      </c>
      <c r="I8382">
        <v>0</v>
      </c>
      <c r="J8382">
        <v>-150.78489999999999</v>
      </c>
      <c r="K8382">
        <v>1.1045879999999999</v>
      </c>
      <c r="L8382">
        <v>136.22989999999999</v>
      </c>
      <c r="M8382">
        <v>0.9998553</v>
      </c>
      <c r="N8382">
        <v>-2.2883920000000002E-3</v>
      </c>
      <c r="O8382">
        <v>-1.6859969999999998E-2</v>
      </c>
      <c r="P8382">
        <v>0.9927279</v>
      </c>
      <c r="Q8382">
        <v>-8.0129060000000002E-2</v>
      </c>
      <c r="R8382">
        <v>8.9836929999999995E-2</v>
      </c>
      <c r="S8382">
        <v>3.0247190000000002</v>
      </c>
      <c r="T8382">
        <v>3.727317E-3</v>
      </c>
      <c r="U8382">
        <v>-3.4240720000000002E-2</v>
      </c>
      <c r="V8382">
        <v>-0.10714410000000001</v>
      </c>
      <c r="W8382">
        <v>-7.7056990000000006E-2</v>
      </c>
      <c r="X8382">
        <v>0.99125289999999999</v>
      </c>
      <c r="Y8382">
        <v>-5.5408719999999996E-3</v>
      </c>
      <c r="Z8382" s="1">
        <v>-5.6431480000000002E-5</v>
      </c>
      <c r="AA8382">
        <v>0.9999846</v>
      </c>
      <c r="AB8382">
        <v>39</v>
      </c>
      <c r="AC8382">
        <v>3.0247190000000002</v>
      </c>
      <c r="AD8382">
        <v>3.727317E-3</v>
      </c>
      <c r="AE8382">
        <v>-3.4240720000000002E-2</v>
      </c>
      <c r="AF8382">
        <v>-1.6760923694008702E-2</v>
      </c>
      <c r="AG8382">
        <v>3.727317E-3</v>
      </c>
      <c r="AH8382">
        <v>3.0248617723101399</v>
      </c>
      <c r="AI8382">
        <v>89.929399700685494</v>
      </c>
      <c r="AJ8382">
        <v>90.317475783174302</v>
      </c>
      <c r="AK8382">
        <v>3.0249105049634699</v>
      </c>
      <c r="AL8382">
        <v>94.419421392716202</v>
      </c>
      <c r="AM8382">
        <v>96.169125223850699</v>
      </c>
      <c r="AN8382">
        <v>0.99999997481553904</v>
      </c>
    </row>
    <row r="8383" spans="1:40" x14ac:dyDescent="0.25">
      <c r="A8383" t="str">
        <f>"20190305135124869"</f>
        <v>20190305135124869</v>
      </c>
      <c r="B8383" t="str">
        <f>"1551765084857865"</f>
        <v>1551765084857865</v>
      </c>
      <c r="C8383" t="s">
        <v>40</v>
      </c>
      <c r="D8383">
        <v>4.0829139999999997</v>
      </c>
      <c r="E8383">
        <v>0.53520639999999997</v>
      </c>
      <c r="F8383" t="s">
        <v>47</v>
      </c>
      <c r="G8383">
        <v>0</v>
      </c>
      <c r="H8383">
        <v>0</v>
      </c>
      <c r="I8383">
        <v>0</v>
      </c>
      <c r="J8383">
        <v>-150.39320000000001</v>
      </c>
      <c r="K8383">
        <v>1.105137</v>
      </c>
      <c r="L8383">
        <v>136.22239999999999</v>
      </c>
      <c r="M8383">
        <v>0.99983290000000002</v>
      </c>
      <c r="N8383">
        <v>-2.3263379999999998E-3</v>
      </c>
      <c r="O8383">
        <v>-1.8127830000000001E-2</v>
      </c>
      <c r="P8383">
        <v>0.99270930000000002</v>
      </c>
      <c r="Q8383">
        <v>-7.81583E-2</v>
      </c>
      <c r="R8383">
        <v>9.1759789999999994E-2</v>
      </c>
      <c r="S8383">
        <v>3.0232700000000001</v>
      </c>
      <c r="T8383">
        <v>4.89223E-3</v>
      </c>
      <c r="U8383">
        <v>-9.8724369999999995E-3</v>
      </c>
      <c r="V8383">
        <v>-0.11021209999999999</v>
      </c>
      <c r="W8383">
        <v>-7.5166499999999997E-2</v>
      </c>
      <c r="X8383">
        <v>0.99106170000000005</v>
      </c>
      <c r="Y8383">
        <v>-1.4862719999999999E-2</v>
      </c>
      <c r="Z8383" s="1">
        <v>-6.6243579999999996E-5</v>
      </c>
      <c r="AA8383">
        <v>0.99988960000000005</v>
      </c>
      <c r="AB8383">
        <v>39</v>
      </c>
      <c r="AC8383">
        <v>3.0232700000000001</v>
      </c>
      <c r="AD8383">
        <v>4.89223E-3</v>
      </c>
      <c r="AE8383">
        <v>-9.8724369999999995E-3</v>
      </c>
      <c r="AF8383">
        <v>-4.4934544407017801E-2</v>
      </c>
      <c r="AG8383">
        <v>4.89223E-3</v>
      </c>
      <c r="AH8383">
        <v>3.02294425634852</v>
      </c>
      <c r="AI8383">
        <v>89.907284785599302</v>
      </c>
      <c r="AJ8383">
        <v>90.851610197400205</v>
      </c>
      <c r="AK8383">
        <v>3.0232821608619198</v>
      </c>
      <c r="AL8383">
        <v>94.310789050042104</v>
      </c>
      <c r="AM8383">
        <v>96.345567408660699</v>
      </c>
      <c r="AN8383">
        <v>1.0000000014577699</v>
      </c>
    </row>
    <row r="8384" spans="1:40" x14ac:dyDescent="0.25">
      <c r="A8384" t="str">
        <f>"20190305135124892"</f>
        <v>20190305135124892</v>
      </c>
      <c r="B8384" t="str">
        <f>"1551765084888120"</f>
        <v>1551765084888120</v>
      </c>
      <c r="C8384" t="s">
        <v>40</v>
      </c>
      <c r="D8384">
        <v>4.1250910000000003</v>
      </c>
      <c r="E8384">
        <v>0.53145919999999902</v>
      </c>
      <c r="F8384" t="s">
        <v>47</v>
      </c>
      <c r="G8384">
        <v>0</v>
      </c>
      <c r="H8384">
        <v>0</v>
      </c>
      <c r="I8384">
        <v>0</v>
      </c>
      <c r="J8384">
        <v>-149.99180000000001</v>
      </c>
      <c r="K8384">
        <v>1.105691</v>
      </c>
      <c r="L8384">
        <v>136.21449999999999</v>
      </c>
      <c r="M8384">
        <v>0.99981940000000002</v>
      </c>
      <c r="N8384">
        <v>-2.3686219999999999E-3</v>
      </c>
      <c r="O8384">
        <v>-1.8852879999999999E-2</v>
      </c>
      <c r="P8384">
        <v>0.99270219999999998</v>
      </c>
      <c r="Q8384">
        <v>-7.7634610000000007E-2</v>
      </c>
      <c r="R8384">
        <v>9.2277010000000007E-2</v>
      </c>
      <c r="S8384">
        <v>3.0215909999999999</v>
      </c>
      <c r="T8384">
        <v>7.4400899999999999E-3</v>
      </c>
      <c r="U8384">
        <v>1.115417E-2</v>
      </c>
      <c r="V8384">
        <v>-0.1113455</v>
      </c>
      <c r="W8384">
        <v>-7.4739730000000004E-2</v>
      </c>
      <c r="X8384">
        <v>0.9909673</v>
      </c>
      <c r="Y8384">
        <v>-2.254339E-2</v>
      </c>
      <c r="Z8384" s="1">
        <v>-9.2132210000000006E-5</v>
      </c>
      <c r="AA8384">
        <v>0.99974580000000002</v>
      </c>
      <c r="AB8384">
        <v>39</v>
      </c>
      <c r="AC8384">
        <v>3.0215909999999999</v>
      </c>
      <c r="AD8384">
        <v>7.4400899999999999E-3</v>
      </c>
      <c r="AE8384">
        <v>1.115417E-2</v>
      </c>
      <c r="AF8384">
        <v>-6.8117630472858196E-2</v>
      </c>
      <c r="AG8384">
        <v>7.4400899999999999E-3</v>
      </c>
      <c r="AH8384">
        <v>3.02082536177392</v>
      </c>
      <c r="AI8384">
        <v>89.858920490993299</v>
      </c>
      <c r="AJ8384">
        <v>91.291763333735801</v>
      </c>
      <c r="AK8384">
        <v>3.02160242799363</v>
      </c>
      <c r="AL8384">
        <v>94.286267879881706</v>
      </c>
      <c r="AM8384">
        <v>96.410889098157398</v>
      </c>
      <c r="AN8384">
        <v>1.00000001864</v>
      </c>
    </row>
    <row r="8385" spans="1:40" x14ac:dyDescent="0.25">
      <c r="A8385" t="str">
        <f>"20190305135124914"</f>
        <v>20190305135124914</v>
      </c>
      <c r="B8385" t="str">
        <f>"1551765084907640"</f>
        <v>1551765084907640</v>
      </c>
      <c r="C8385" t="s">
        <v>40</v>
      </c>
      <c r="D8385">
        <v>4.0843480000000003</v>
      </c>
      <c r="E8385">
        <v>0.52938850000000004</v>
      </c>
      <c r="F8385" t="s">
        <v>47</v>
      </c>
      <c r="G8385">
        <v>0</v>
      </c>
      <c r="H8385">
        <v>0</v>
      </c>
      <c r="I8385">
        <v>0</v>
      </c>
      <c r="J8385">
        <v>-149.5855</v>
      </c>
      <c r="K8385">
        <v>1.1062379999999901</v>
      </c>
      <c r="L8385">
        <v>136.20670000000001</v>
      </c>
      <c r="M8385">
        <v>0.99981609999999999</v>
      </c>
      <c r="N8385">
        <v>-2.4147499999999998E-3</v>
      </c>
      <c r="O8385">
        <v>-1.9027550000000001E-2</v>
      </c>
      <c r="P8385">
        <v>0.99235530000000005</v>
      </c>
      <c r="Q8385">
        <v>-7.7607300000000004E-2</v>
      </c>
      <c r="R8385">
        <v>9.5959169999999996E-2</v>
      </c>
      <c r="S8385">
        <v>3.0175169999999998</v>
      </c>
      <c r="T8385">
        <v>-8.5742470000000001E-3</v>
      </c>
      <c r="U8385">
        <v>4.170227E-2</v>
      </c>
      <c r="V8385">
        <v>-0.11509560000000001</v>
      </c>
      <c r="W8385">
        <v>-7.4799660000000004E-2</v>
      </c>
      <c r="X8385">
        <v>0.99053420000000003</v>
      </c>
      <c r="Y8385">
        <v>-3.2841780000000001E-2</v>
      </c>
      <c r="Z8385" s="1">
        <v>9.4429980000000001E-5</v>
      </c>
      <c r="AA8385">
        <v>0.99946060000000003</v>
      </c>
      <c r="AB8385">
        <v>40</v>
      </c>
      <c r="AC8385">
        <v>3.0175169999999998</v>
      </c>
      <c r="AD8385">
        <v>-8.5742470000000001E-3</v>
      </c>
      <c r="AE8385">
        <v>4.170227E-2</v>
      </c>
      <c r="AF8385">
        <v>-9.9110039861424595E-2</v>
      </c>
      <c r="AG8385">
        <v>-8.5742470000000001E-3</v>
      </c>
      <c r="AH8385">
        <v>3.01615286266594</v>
      </c>
      <c r="AI8385">
        <v>90.162790765134204</v>
      </c>
      <c r="AJ8385">
        <v>91.882048002712395</v>
      </c>
      <c r="AK8385">
        <v>3.01779296981766</v>
      </c>
      <c r="AL8385">
        <v>94.289711361138501</v>
      </c>
      <c r="AM8385">
        <v>96.627789302082803</v>
      </c>
      <c r="AN8385">
        <v>0.999999993822557</v>
      </c>
    </row>
    <row r="8386" spans="1:40" x14ac:dyDescent="0.25">
      <c r="A8386" t="str">
        <f>"20190305135124936"</f>
        <v>20190305135124936</v>
      </c>
      <c r="B8386" t="str">
        <f>"1551765084928136"</f>
        <v>1551765084928136</v>
      </c>
      <c r="C8386" t="s">
        <v>40</v>
      </c>
      <c r="D8386">
        <v>4.1288150000000003</v>
      </c>
      <c r="E8386">
        <v>0.52846300000000002</v>
      </c>
      <c r="F8386" t="s">
        <v>47</v>
      </c>
      <c r="G8386">
        <v>0</v>
      </c>
      <c r="H8386">
        <v>0</v>
      </c>
      <c r="I8386">
        <v>0</v>
      </c>
      <c r="J8386">
        <v>-149.1884</v>
      </c>
      <c r="K8386">
        <v>1.1067400000000001</v>
      </c>
      <c r="L8386">
        <v>136.19929999999999</v>
      </c>
      <c r="M8386">
        <v>0.99982130000000002</v>
      </c>
      <c r="N8386">
        <v>-2.4608410000000001E-3</v>
      </c>
      <c r="O8386">
        <v>-1.874876E-2</v>
      </c>
      <c r="P8386">
        <v>0.99198319999999995</v>
      </c>
      <c r="Q8386">
        <v>-7.8272300000000003E-2</v>
      </c>
      <c r="R8386">
        <v>9.9212549999999997E-2</v>
      </c>
      <c r="S8386">
        <v>3.0148769999999998</v>
      </c>
      <c r="T8386">
        <v>-1.992118E-2</v>
      </c>
      <c r="U8386">
        <v>6.9061280000000003E-2</v>
      </c>
      <c r="V8386">
        <v>-0.1179771</v>
      </c>
      <c r="W8386">
        <v>-7.5550220000000001E-2</v>
      </c>
      <c r="X8386">
        <v>0.99013819999999997</v>
      </c>
      <c r="Y8386">
        <v>-4.1639290000000002E-2</v>
      </c>
      <c r="Z8386">
        <v>2.6652769999999999E-4</v>
      </c>
      <c r="AA8386">
        <v>0.99913269999999998</v>
      </c>
      <c r="AB8386">
        <v>40</v>
      </c>
      <c r="AC8386">
        <v>3.0148769999999998</v>
      </c>
      <c r="AD8386">
        <v>-1.992118E-2</v>
      </c>
      <c r="AE8386">
        <v>6.9061280000000003E-2</v>
      </c>
      <c r="AF8386">
        <v>-0.12556903192795399</v>
      </c>
      <c r="AG8386">
        <v>-1.992118E-2</v>
      </c>
      <c r="AH8386">
        <v>3.0129207671079099</v>
      </c>
      <c r="AI8386">
        <v>90.378500811301706</v>
      </c>
      <c r="AJ8386">
        <v>92.386526197258405</v>
      </c>
      <c r="AK8386">
        <v>3.0156020931253602</v>
      </c>
      <c r="AL8386">
        <v>94.332837098015403</v>
      </c>
      <c r="AM8386">
        <v>96.794880256418296</v>
      </c>
      <c r="AN8386">
        <v>1.00000004348284</v>
      </c>
    </row>
    <row r="8387" spans="1:40" x14ac:dyDescent="0.25">
      <c r="A8387" t="str">
        <f>"20190305135124959"</f>
        <v>20190305135124959</v>
      </c>
      <c r="B8387" t="str">
        <f>"1551765084947656"</f>
        <v>1551765084947656</v>
      </c>
      <c r="C8387" t="s">
        <v>40</v>
      </c>
      <c r="D8387">
        <v>4.1224309999999997</v>
      </c>
      <c r="E8387">
        <v>0.50826110000000002</v>
      </c>
      <c r="F8387" t="s">
        <v>47</v>
      </c>
      <c r="G8387">
        <v>0</v>
      </c>
      <c r="H8387">
        <v>0</v>
      </c>
      <c r="I8387">
        <v>0</v>
      </c>
      <c r="J8387">
        <v>-148.78450000000001</v>
      </c>
      <c r="K8387">
        <v>1.1072249999999999</v>
      </c>
      <c r="L8387">
        <v>136.19220000000001</v>
      </c>
      <c r="M8387">
        <v>0.99983460000000002</v>
      </c>
      <c r="N8387">
        <v>-2.5085810000000002E-3</v>
      </c>
      <c r="O8387">
        <v>-1.8019629999999998E-2</v>
      </c>
      <c r="P8387">
        <v>0.99165400000000004</v>
      </c>
      <c r="Q8387">
        <v>-7.8469159999999996E-2</v>
      </c>
      <c r="R8387">
        <v>0.1022991</v>
      </c>
      <c r="S8387">
        <v>3.0135040000000002</v>
      </c>
      <c r="T8387">
        <v>-2.6869770000000001E-2</v>
      </c>
      <c r="U8387">
        <v>8.612061E-2</v>
      </c>
      <c r="V8387">
        <v>-0.12024749999999999</v>
      </c>
      <c r="W8387">
        <v>-7.5835040000000006E-2</v>
      </c>
      <c r="X8387">
        <v>0.98984320000000003</v>
      </c>
      <c r="Y8387">
        <v>-4.657153E-2</v>
      </c>
      <c r="Z8387">
        <v>3.814539E-4</v>
      </c>
      <c r="AA8387">
        <v>0.99891490000000005</v>
      </c>
      <c r="AB8387">
        <v>40</v>
      </c>
      <c r="AC8387">
        <v>3.0135040000000002</v>
      </c>
      <c r="AD8387">
        <v>-2.6869770000000001E-2</v>
      </c>
      <c r="AE8387">
        <v>8.612061E-2</v>
      </c>
      <c r="AF8387">
        <v>-0.140397865601948</v>
      </c>
      <c r="AG8387">
        <v>-2.6869770000000001E-2</v>
      </c>
      <c r="AH8387">
        <v>3.0112236316452599</v>
      </c>
      <c r="AI8387">
        <v>90.510693735996099</v>
      </c>
      <c r="AJ8387">
        <v>92.669474170071297</v>
      </c>
      <c r="AK8387">
        <v>3.0146146196461499</v>
      </c>
      <c r="AL8387">
        <v>94.349203275562004</v>
      </c>
      <c r="AM8387">
        <v>96.926429616568797</v>
      </c>
      <c r="AN8387">
        <v>0.99999998756714503</v>
      </c>
    </row>
    <row r="8388" spans="1:40" x14ac:dyDescent="0.25">
      <c r="A8388" t="str">
        <f>"20190305135124981"</f>
        <v>20190305135124981</v>
      </c>
      <c r="B8388" t="str">
        <f>"1551765084977912"</f>
        <v>1551765084977912</v>
      </c>
      <c r="C8388" t="s">
        <v>40</v>
      </c>
      <c r="D8388">
        <v>4.0844060000000004</v>
      </c>
      <c r="E8388">
        <v>0.50948939999999998</v>
      </c>
      <c r="F8388" t="s">
        <v>42</v>
      </c>
      <c r="G8388">
        <v>-125.4773</v>
      </c>
      <c r="H8388" s="1">
        <v>-2.1867920000000002E-6</v>
      </c>
      <c r="I8388">
        <v>138.12639999999999</v>
      </c>
      <c r="J8388">
        <v>-148.37719999999999</v>
      </c>
      <c r="K8388">
        <v>1.1077109999999999</v>
      </c>
      <c r="L8388">
        <v>136.18559999999999</v>
      </c>
      <c r="M8388">
        <v>0.99985520000000006</v>
      </c>
      <c r="N8388">
        <v>-2.5596999999999998E-3</v>
      </c>
      <c r="O8388">
        <v>-1.68354E-2</v>
      </c>
      <c r="P8388">
        <v>0.99136279999999999</v>
      </c>
      <c r="Q8388">
        <v>-7.8079830000000003E-2</v>
      </c>
      <c r="R8388">
        <v>0.1053747</v>
      </c>
      <c r="S8388">
        <v>2.9884189999999999</v>
      </c>
      <c r="T8388">
        <v>-0.14196739999999999</v>
      </c>
      <c r="U8388">
        <v>0.2480164</v>
      </c>
      <c r="V8388">
        <v>-0.122057399999999</v>
      </c>
      <c r="W8388">
        <v>-7.5535130000000006E-2</v>
      </c>
      <c r="X8388">
        <v>0.98964459999999999</v>
      </c>
      <c r="Y8388">
        <v>-9.9339990000000003E-2</v>
      </c>
      <c r="Z8388">
        <v>3.23676E-3</v>
      </c>
      <c r="AA8388">
        <v>0.9950483</v>
      </c>
      <c r="AB8388">
        <v>40</v>
      </c>
      <c r="AC8388">
        <v>22.899899999999899</v>
      </c>
      <c r="AD8388">
        <v>-1.107713186792</v>
      </c>
      <c r="AE8388">
        <v>1.9407999999999901</v>
      </c>
      <c r="AF8388">
        <v>-2.3206638252833498</v>
      </c>
      <c r="AG8388">
        <v>-1.107713186792</v>
      </c>
      <c r="AH8388">
        <v>22.810986659733999</v>
      </c>
      <c r="AI8388">
        <v>92.765874372415198</v>
      </c>
      <c r="AJ8388">
        <v>95.808970484127698</v>
      </c>
      <c r="AK8388">
        <v>22.955470404344499</v>
      </c>
      <c r="AL8388">
        <v>94.331970217894394</v>
      </c>
      <c r="AM8388">
        <v>97.031043595472795</v>
      </c>
      <c r="AN8388">
        <v>0.99999999953401797</v>
      </c>
    </row>
    <row r="8389" spans="1:40" x14ac:dyDescent="0.25">
      <c r="A8389" t="str">
        <f>"20190305135125004"</f>
        <v>20190305135125004</v>
      </c>
      <c r="B8389" t="str">
        <f>"1551765084998408"</f>
        <v>1551765084998408</v>
      </c>
      <c r="C8389" t="s">
        <v>40</v>
      </c>
      <c r="D8389">
        <v>4.0617570000000001</v>
      </c>
      <c r="E8389">
        <v>0.5100597</v>
      </c>
      <c r="F8389" t="s">
        <v>42</v>
      </c>
      <c r="G8389">
        <v>-123.8228</v>
      </c>
      <c r="H8389" s="1">
        <v>-2.879572E-6</v>
      </c>
      <c r="I8389">
        <v>138.22239999999999</v>
      </c>
      <c r="J8389">
        <v>-147.96619999999999</v>
      </c>
      <c r="K8389">
        <v>1.108193</v>
      </c>
      <c r="L8389">
        <v>136.1797</v>
      </c>
      <c r="M8389">
        <v>0.99988109999999997</v>
      </c>
      <c r="N8389">
        <v>-2.6165469999999999E-3</v>
      </c>
      <c r="O8389">
        <v>-1.520226E-2</v>
      </c>
      <c r="P8389">
        <v>0.99097760000000001</v>
      </c>
      <c r="Q8389">
        <v>-7.8127909999999995E-2</v>
      </c>
      <c r="R8389">
        <v>0.10890229999999999</v>
      </c>
      <c r="S8389">
        <v>2.989166</v>
      </c>
      <c r="T8389">
        <v>-0.134849</v>
      </c>
      <c r="U8389">
        <v>0.24795529999999999</v>
      </c>
      <c r="V8389">
        <v>-0.1238736</v>
      </c>
      <c r="W8389">
        <v>-7.5672589999999998E-2</v>
      </c>
      <c r="X8389">
        <v>0.98940839999999997</v>
      </c>
      <c r="Y8389">
        <v>-9.7690040000000006E-2</v>
      </c>
      <c r="Z8389">
        <v>2.9714199999999998E-3</v>
      </c>
      <c r="AA8389">
        <v>0.9952124</v>
      </c>
      <c r="AB8389">
        <v>40</v>
      </c>
      <c r="AC8389">
        <v>24.1433999999999</v>
      </c>
      <c r="AD8389">
        <v>-1.1081958795719999</v>
      </c>
      <c r="AE8389">
        <v>2.0426999999999902</v>
      </c>
      <c r="AF8389">
        <v>-2.4044695301691399</v>
      </c>
      <c r="AG8389">
        <v>-1.1081958795719999</v>
      </c>
      <c r="AH8389">
        <v>24.059226974373001</v>
      </c>
      <c r="AI8389">
        <v>92.624191835695896</v>
      </c>
      <c r="AJ8389">
        <v>95.707166739616994</v>
      </c>
      <c r="AK8389">
        <v>24.2044618703538</v>
      </c>
      <c r="AL8389">
        <v>94.339868717889303</v>
      </c>
      <c r="AM8389">
        <v>97.136280021354906</v>
      </c>
      <c r="AN8389">
        <v>0.99999999582241395</v>
      </c>
    </row>
    <row r="8390" spans="1:40" x14ac:dyDescent="0.25">
      <c r="A8390" t="str">
        <f>"20190305135125028"</f>
        <v>20190305135125028</v>
      </c>
      <c r="B8390" t="str">
        <f>"1551765085017928"</f>
        <v>1551765085017928</v>
      </c>
      <c r="C8390" t="s">
        <v>40</v>
      </c>
      <c r="D8390">
        <v>4.0625070000000001</v>
      </c>
      <c r="E8390">
        <v>0.51081100000000002</v>
      </c>
      <c r="F8390" t="s">
        <v>42</v>
      </c>
      <c r="G8390">
        <v>-123.4063</v>
      </c>
      <c r="H8390" s="1">
        <v>-3.050177E-6</v>
      </c>
      <c r="I8390">
        <v>138.2679</v>
      </c>
      <c r="J8390">
        <v>-147.52070000000001</v>
      </c>
      <c r="K8390">
        <v>1.1087119999999999</v>
      </c>
      <c r="L8390">
        <v>136.17420000000001</v>
      </c>
      <c r="M8390">
        <v>0.99991209999999997</v>
      </c>
      <c r="N8390">
        <v>-2.68243E-3</v>
      </c>
      <c r="O8390">
        <v>-1.298943E-2</v>
      </c>
      <c r="P8390">
        <v>0.9904849</v>
      </c>
      <c r="Q8390">
        <v>-7.8412190000000007E-2</v>
      </c>
      <c r="R8390">
        <v>0.1131008</v>
      </c>
      <c r="S8390">
        <v>2.9887389999999998</v>
      </c>
      <c r="T8390">
        <v>-0.13485810000000001</v>
      </c>
      <c r="U8390">
        <v>0.25411990000000001</v>
      </c>
      <c r="V8390">
        <v>-0.12578139999999999</v>
      </c>
      <c r="W8390">
        <v>-7.6051129999999995E-2</v>
      </c>
      <c r="X8390">
        <v>0.98913870000000004</v>
      </c>
      <c r="Y8390">
        <v>-9.7539650000000006E-2</v>
      </c>
      <c r="Z8390">
        <v>2.876717E-3</v>
      </c>
      <c r="AA8390">
        <v>0.99522750000000004</v>
      </c>
      <c r="AB8390">
        <v>41</v>
      </c>
      <c r="AC8390">
        <v>24.1144</v>
      </c>
      <c r="AD8390">
        <v>-1.108715050177</v>
      </c>
      <c r="AE8390">
        <v>2.0936999999999801</v>
      </c>
      <c r="AF8390">
        <v>-2.4017177441422501</v>
      </c>
      <c r="AG8390">
        <v>-1.108715050177</v>
      </c>
      <c r="AH8390">
        <v>24.034742279927599</v>
      </c>
      <c r="AI8390">
        <v>92.6280936192383</v>
      </c>
      <c r="AJ8390">
        <v>95.7064473303912</v>
      </c>
      <c r="AK8390">
        <v>24.179874558143499</v>
      </c>
      <c r="AL8390">
        <v>94.361619899890599</v>
      </c>
      <c r="AM8390">
        <v>97.246982493975807</v>
      </c>
      <c r="AN8390">
        <v>1.00000005139896</v>
      </c>
    </row>
    <row r="8391" spans="1:40" x14ac:dyDescent="0.25">
      <c r="A8391" t="str">
        <f>"20190305135125048"</f>
        <v>20190305135125048</v>
      </c>
      <c r="B8391" t="str">
        <f>"1551765085038424"</f>
        <v>1551765085038424</v>
      </c>
      <c r="C8391" t="s">
        <v>40</v>
      </c>
      <c r="D8391">
        <v>3.9336150000000001</v>
      </c>
      <c r="E8391">
        <v>0.51113540000000002</v>
      </c>
      <c r="F8391" t="s">
        <v>42</v>
      </c>
      <c r="G8391">
        <v>-123.07</v>
      </c>
      <c r="H8391" s="1">
        <v>-3.187277E-6</v>
      </c>
      <c r="I8391">
        <v>138.3083</v>
      </c>
      <c r="J8391">
        <v>-147.16999999999999</v>
      </c>
      <c r="K8391">
        <v>1.1091040000000001</v>
      </c>
      <c r="L8391">
        <v>136.17099999999999</v>
      </c>
      <c r="M8391">
        <v>0.99993659999999995</v>
      </c>
      <c r="N8391">
        <v>-2.7353619999999999E-3</v>
      </c>
      <c r="O8391">
        <v>-1.0934660000000001E-2</v>
      </c>
      <c r="P8391">
        <v>0.99014250000000004</v>
      </c>
      <c r="Q8391">
        <v>-7.7877340000000003E-2</v>
      </c>
      <c r="R8391">
        <v>0.1164188</v>
      </c>
      <c r="S8391">
        <v>2.9882970000000002</v>
      </c>
      <c r="T8391">
        <v>-0.1355036</v>
      </c>
      <c r="U8391">
        <v>0.26081850000000001</v>
      </c>
      <c r="V8391">
        <v>-0.1269943</v>
      </c>
      <c r="W8391">
        <v>-7.5584540000000006E-2</v>
      </c>
      <c r="X8391">
        <v>0.98901950000000005</v>
      </c>
      <c r="Y8391">
        <v>-9.7721959999999997E-2</v>
      </c>
      <c r="Z8391">
        <v>2.8090879999999999E-3</v>
      </c>
      <c r="AA8391">
        <v>0.99520980000000003</v>
      </c>
      <c r="AB8391">
        <v>41</v>
      </c>
      <c r="AC8391">
        <v>24.099999999999898</v>
      </c>
      <c r="AD8391">
        <v>-1.109107187277</v>
      </c>
      <c r="AE8391">
        <v>2.13730000000001</v>
      </c>
      <c r="AF8391">
        <v>-2.3956642082272701</v>
      </c>
      <c r="AG8391">
        <v>-1.109107187277</v>
      </c>
      <c r="AH8391">
        <v>24.024702704972999</v>
      </c>
      <c r="AI8391">
        <v>92.630173492623697</v>
      </c>
      <c r="AJ8391">
        <v>95.694521825772597</v>
      </c>
      <c r="AK8391">
        <v>24.169312481197899</v>
      </c>
      <c r="AL8391">
        <v>94.334808998864503</v>
      </c>
      <c r="AM8391">
        <v>97.316983193578807</v>
      </c>
      <c r="AN8391">
        <v>1.0000000731498699</v>
      </c>
    </row>
    <row r="8392" spans="1:40" x14ac:dyDescent="0.25">
      <c r="A8392" t="str">
        <f>"20190305135125070"</f>
        <v>20190305135125070</v>
      </c>
      <c r="B8392" t="str">
        <f>"1551765085057945"</f>
        <v>1551765085057945</v>
      </c>
      <c r="C8392" t="s">
        <v>40</v>
      </c>
      <c r="D8392">
        <v>4.0241540000000002</v>
      </c>
      <c r="E8392">
        <v>0.51155529999999905</v>
      </c>
      <c r="F8392" t="s">
        <v>42</v>
      </c>
      <c r="G8392">
        <v>-122.21040000000001</v>
      </c>
      <c r="H8392" s="1">
        <v>-3.5377009999999998E-6</v>
      </c>
      <c r="I8392">
        <v>138.4117</v>
      </c>
      <c r="J8392">
        <v>-146.76150000000001</v>
      </c>
      <c r="K8392">
        <v>1.1095219999999999</v>
      </c>
      <c r="L8392">
        <v>136.16820000000001</v>
      </c>
      <c r="M8392">
        <v>0.99996189999999996</v>
      </c>
      <c r="N8392">
        <v>-2.795203E-3</v>
      </c>
      <c r="O8392">
        <v>-8.2864169999999904E-3</v>
      </c>
      <c r="P8392">
        <v>0.98977000000000004</v>
      </c>
      <c r="Q8392">
        <v>-7.6936309999999994E-2</v>
      </c>
      <c r="R8392">
        <v>0.1201518</v>
      </c>
      <c r="S8392">
        <v>2.9878999999999998</v>
      </c>
      <c r="T8392">
        <v>-0.13277030000000001</v>
      </c>
      <c r="U8392">
        <v>0.26823429999999998</v>
      </c>
      <c r="V8392">
        <v>-0.12803399999999901</v>
      </c>
      <c r="W8392">
        <v>-7.4714849999999999E-2</v>
      </c>
      <c r="X8392">
        <v>0.98895140000000004</v>
      </c>
      <c r="Y8392">
        <v>-9.7555439999999993E-2</v>
      </c>
      <c r="Z8392">
        <v>2.6429890000000001E-3</v>
      </c>
      <c r="AA8392">
        <v>0.99522659999999996</v>
      </c>
      <c r="AB8392">
        <v>41</v>
      </c>
      <c r="AC8392">
        <v>24.551100000000002</v>
      </c>
      <c r="AD8392">
        <v>-1.10952553770099</v>
      </c>
      <c r="AE8392">
        <v>2.2434999999999801</v>
      </c>
      <c r="AF8392">
        <v>-2.44191841234329</v>
      </c>
      <c r="AG8392">
        <v>-1.10952553770099</v>
      </c>
      <c r="AH8392">
        <v>24.482079245969</v>
      </c>
      <c r="AI8392">
        <v>92.582068967122495</v>
      </c>
      <c r="AJ8392">
        <v>95.696019063702394</v>
      </c>
      <c r="AK8392">
        <v>24.628565054774501</v>
      </c>
      <c r="AL8392">
        <v>94.2848386897209</v>
      </c>
      <c r="AM8392">
        <v>97.376732468164704</v>
      </c>
      <c r="AN8392">
        <v>0.99999994276423898</v>
      </c>
    </row>
    <row r="8393" spans="1:40" x14ac:dyDescent="0.25">
      <c r="A8393" t="str">
        <f>"20190305135125094"</f>
        <v>20190305135125094</v>
      </c>
      <c r="B8393" t="str">
        <f>"1551765085088200"</f>
        <v>1551765085088200</v>
      </c>
      <c r="C8393" t="s">
        <v>40</v>
      </c>
      <c r="D8393">
        <v>4.0247210000000004</v>
      </c>
      <c r="E8393">
        <v>0.51200649999999903</v>
      </c>
      <c r="F8393" t="s">
        <v>42</v>
      </c>
      <c r="G8393">
        <v>-121.45740000000001</v>
      </c>
      <c r="H8393" s="1">
        <v>-3.8438029999999901E-6</v>
      </c>
      <c r="I8393">
        <v>138.50720000000001</v>
      </c>
      <c r="J8393">
        <v>-146.33000000000001</v>
      </c>
      <c r="K8393">
        <v>1.10991</v>
      </c>
      <c r="L8393">
        <v>136.16659999999999</v>
      </c>
      <c r="M8393">
        <v>0.99998240000000005</v>
      </c>
      <c r="N8393">
        <v>-2.855018E-3</v>
      </c>
      <c r="O8393">
        <v>-5.2210269999999996E-3</v>
      </c>
      <c r="P8393">
        <v>0.9893883</v>
      </c>
      <c r="Q8393">
        <v>-7.5466610000000003E-2</v>
      </c>
      <c r="R8393">
        <v>0.1241601</v>
      </c>
      <c r="S8393">
        <v>2.98732</v>
      </c>
      <c r="T8393">
        <v>-0.13098679999999999</v>
      </c>
      <c r="U8393">
        <v>0.2761383</v>
      </c>
      <c r="V8393">
        <v>-0.12894910000000001</v>
      </c>
      <c r="W8393">
        <v>-7.3307250000000004E-2</v>
      </c>
      <c r="X8393">
        <v>0.98893790000000004</v>
      </c>
      <c r="Y8393">
        <v>-9.7139050000000005E-2</v>
      </c>
      <c r="Z8393">
        <v>2.4766250000000001E-3</v>
      </c>
      <c r="AA8393">
        <v>0.99526769999999998</v>
      </c>
      <c r="AB8393">
        <v>41</v>
      </c>
      <c r="AC8393">
        <v>24.872599999999998</v>
      </c>
      <c r="AD8393">
        <v>-1.1099138438029901</v>
      </c>
      <c r="AE8393">
        <v>2.3406000000000202</v>
      </c>
      <c r="AF8393">
        <v>-2.46556255700858</v>
      </c>
      <c r="AG8393">
        <v>-1.1099138438029901</v>
      </c>
      <c r="AH8393">
        <v>24.8110680636327</v>
      </c>
      <c r="AI8393">
        <v>92.548860034863296</v>
      </c>
      <c r="AJ8393">
        <v>95.675050272057504</v>
      </c>
      <c r="AK8393">
        <v>24.957964779232299</v>
      </c>
      <c r="AL8393">
        <v>94.203967115957994</v>
      </c>
      <c r="AM8393">
        <v>97.428969749500993</v>
      </c>
      <c r="AN8393">
        <v>0.99999999667489103</v>
      </c>
    </row>
    <row r="8394" spans="1:40" x14ac:dyDescent="0.25">
      <c r="A8394" t="str">
        <f>"20190305135125116"</f>
        <v>20190305135125116</v>
      </c>
      <c r="B8394" t="str">
        <f>"1551765085108299"</f>
        <v>1551765085108299</v>
      </c>
      <c r="C8394" t="s">
        <v>40</v>
      </c>
      <c r="D8394">
        <v>4.019234</v>
      </c>
      <c r="E8394">
        <v>0.51231870000000002</v>
      </c>
      <c r="F8394" t="s">
        <v>42</v>
      </c>
      <c r="G8394">
        <v>-120.0012</v>
      </c>
      <c r="H8394" s="1">
        <v>-4.4386299999999997E-6</v>
      </c>
      <c r="I8394">
        <v>138.6755</v>
      </c>
      <c r="J8394">
        <v>-145.92449999999999</v>
      </c>
      <c r="K8394">
        <v>1.110222</v>
      </c>
      <c r="L8394">
        <v>136.16650000000001</v>
      </c>
      <c r="M8394">
        <v>0.99999340000000003</v>
      </c>
      <c r="N8394">
        <v>-2.907527E-3</v>
      </c>
      <c r="O8394">
        <v>-2.1765869999999998E-3</v>
      </c>
      <c r="P8394">
        <v>0.98909570000000002</v>
      </c>
      <c r="Q8394">
        <v>-7.3416239999999994E-2</v>
      </c>
      <c r="R8394">
        <v>0.1276706</v>
      </c>
      <c r="S8394">
        <v>2.986847</v>
      </c>
      <c r="T8394">
        <v>-0.125913</v>
      </c>
      <c r="U8394">
        <v>0.28462219999999999</v>
      </c>
      <c r="V8394">
        <v>-0.12940689999999999</v>
      </c>
      <c r="W8394">
        <v>-7.1301809999999993E-2</v>
      </c>
      <c r="X8394">
        <v>0.98902469999999998</v>
      </c>
      <c r="Y8394">
        <v>-9.6935759999999996E-2</v>
      </c>
      <c r="Z8394">
        <v>2.2641929999999998E-3</v>
      </c>
      <c r="AA8394">
        <v>0.99528810000000001</v>
      </c>
      <c r="AB8394">
        <v>41</v>
      </c>
      <c r="AC8394">
        <v>25.923300000000001</v>
      </c>
      <c r="AD8394">
        <v>-1.11022643862999</v>
      </c>
      <c r="AE8394">
        <v>2.5089999999999799</v>
      </c>
      <c r="AF8394">
        <v>-2.5607652918927899</v>
      </c>
      <c r="AG8394">
        <v>-1.11022643862999</v>
      </c>
      <c r="AH8394">
        <v>25.870766180901398</v>
      </c>
      <c r="AI8394">
        <v>92.445366307920295</v>
      </c>
      <c r="AJ8394">
        <v>95.652892807934407</v>
      </c>
      <c r="AK8394">
        <v>26.0208890011865</v>
      </c>
      <c r="AL8394">
        <v>94.088762397577995</v>
      </c>
      <c r="AM8394">
        <v>97.454401281256196</v>
      </c>
      <c r="AN8394">
        <v>0.99999997554348696</v>
      </c>
    </row>
    <row r="8395" spans="1:40" x14ac:dyDescent="0.25">
      <c r="A8395" t="str">
        <f>"20190305135125137"</f>
        <v>20190305135125137</v>
      </c>
      <c r="B8395" t="str">
        <f>"1551765085127819"</f>
        <v>1551765085127819</v>
      </c>
      <c r="C8395" t="s">
        <v>40</v>
      </c>
      <c r="D8395">
        <v>4.0357440000000002</v>
      </c>
      <c r="E8395">
        <v>0.51270190000000004</v>
      </c>
      <c r="F8395" t="s">
        <v>42</v>
      </c>
      <c r="G8395">
        <v>-118.24890000000001</v>
      </c>
      <c r="H8395" s="1">
        <v>-8.6446579999999997E-7</v>
      </c>
      <c r="I8395">
        <v>138.87799999999999</v>
      </c>
      <c r="J8395">
        <v>-145.5163</v>
      </c>
      <c r="K8395">
        <v>1.110482</v>
      </c>
      <c r="L8395">
        <v>136.16759999999999</v>
      </c>
      <c r="M8395">
        <v>0.99999510000000003</v>
      </c>
      <c r="N8395">
        <v>-2.9572219999999998E-3</v>
      </c>
      <c r="O8395">
        <v>1.0047980000000001E-3</v>
      </c>
      <c r="P8395">
        <v>0.98877349999999997</v>
      </c>
      <c r="Q8395">
        <v>-7.1494240000000001E-2</v>
      </c>
      <c r="R8395">
        <v>0.13120780000000001</v>
      </c>
      <c r="S8395">
        <v>2.9864199999999999</v>
      </c>
      <c r="T8395">
        <v>-0.1198019</v>
      </c>
      <c r="U8395">
        <v>0.29260249999999999</v>
      </c>
      <c r="V8395">
        <v>-0.1297662</v>
      </c>
      <c r="W8395">
        <v>-6.9413520000000006E-2</v>
      </c>
      <c r="X8395">
        <v>0.98911199999999999</v>
      </c>
      <c r="Y8395">
        <v>-9.6428890000000003E-2</v>
      </c>
      <c r="Z8395">
        <v>2.0345110000000001E-3</v>
      </c>
      <c r="AA8395">
        <v>0.99533780000000005</v>
      </c>
      <c r="AB8395">
        <v>41</v>
      </c>
      <c r="AC8395">
        <v>27.267399999999899</v>
      </c>
      <c r="AD8395">
        <v>-1.1104828644658</v>
      </c>
      <c r="AE8395">
        <v>2.7103999999999902</v>
      </c>
      <c r="AF8395">
        <v>-2.6786010761992398</v>
      </c>
      <c r="AG8395">
        <v>-1.1104828644658</v>
      </c>
      <c r="AH8395">
        <v>27.225395964818102</v>
      </c>
      <c r="AI8395">
        <v>92.324502848801004</v>
      </c>
      <c r="AJ8395">
        <v>95.619025604708995</v>
      </c>
      <c r="AK8395">
        <v>27.379376569944402</v>
      </c>
      <c r="AL8395">
        <v>93.980302347869795</v>
      </c>
      <c r="AM8395">
        <v>97.474212517849296</v>
      </c>
      <c r="AN8395">
        <v>1.0000000259826101</v>
      </c>
    </row>
    <row r="8396" spans="1:40" x14ac:dyDescent="0.25">
      <c r="A8396" t="str">
        <f>"20190305135125160"</f>
        <v>20190305135125160</v>
      </c>
      <c r="B8396" t="str">
        <f>"1551765085148315"</f>
        <v>1551765085148315</v>
      </c>
      <c r="C8396" t="s">
        <v>40</v>
      </c>
      <c r="D8396">
        <v>4.0318589999999999</v>
      </c>
      <c r="E8396">
        <v>0.51288750000000005</v>
      </c>
      <c r="F8396" t="s">
        <v>42</v>
      </c>
      <c r="G8396">
        <v>-116.8561</v>
      </c>
      <c r="H8396" s="1">
        <v>-1.431853E-6</v>
      </c>
      <c r="I8396">
        <v>139.048</v>
      </c>
      <c r="J8396">
        <v>-145.1061</v>
      </c>
      <c r="K8396">
        <v>1.1106940000000001</v>
      </c>
      <c r="L8396">
        <v>136.16999999999999</v>
      </c>
      <c r="M8396">
        <v>0.9999865</v>
      </c>
      <c r="N8396">
        <v>-3.0048969999999999E-3</v>
      </c>
      <c r="O8396">
        <v>4.2784850000000003E-3</v>
      </c>
      <c r="P8396">
        <v>0.98850260000000001</v>
      </c>
      <c r="Q8396">
        <v>-7.0355829999999994E-2</v>
      </c>
      <c r="R8396">
        <v>0.13383909999999999</v>
      </c>
      <c r="S8396">
        <v>2.9858699999999998</v>
      </c>
      <c r="T8396">
        <v>-0.1156919</v>
      </c>
      <c r="U8396">
        <v>0.30009459999999999</v>
      </c>
      <c r="V8396">
        <v>-0.12913239999999901</v>
      </c>
      <c r="W8396">
        <v>-6.8291809999999994E-2</v>
      </c>
      <c r="X8396">
        <v>0.98927299999999996</v>
      </c>
      <c r="Y8396">
        <v>-9.5669219999999999E-2</v>
      </c>
      <c r="Z8396">
        <v>1.8397649999999999E-3</v>
      </c>
      <c r="AA8396">
        <v>0.9954115</v>
      </c>
      <c r="AB8396">
        <v>42</v>
      </c>
      <c r="AC8396">
        <v>28.25</v>
      </c>
      <c r="AD8396">
        <v>-1.110695431853</v>
      </c>
      <c r="AE8396">
        <v>2.8780000000000099</v>
      </c>
      <c r="AF8396">
        <v>-2.7528942221083001</v>
      </c>
      <c r="AG8396">
        <v>-1.110695431853</v>
      </c>
      <c r="AH8396">
        <v>28.218882318802901</v>
      </c>
      <c r="AI8396">
        <v>92.243360067397802</v>
      </c>
      <c r="AJ8396">
        <v>95.571860982652893</v>
      </c>
      <c r="AK8396">
        <v>28.374590574366099</v>
      </c>
      <c r="AL8396">
        <v>93.915880282605201</v>
      </c>
      <c r="AM8396">
        <v>97.436919990910198</v>
      </c>
      <c r="AN8396">
        <v>1.00000000828591</v>
      </c>
    </row>
    <row r="8397" spans="1:40" x14ac:dyDescent="0.25">
      <c r="A8397" t="str">
        <f>"20190305135125182"</f>
        <v>20190305135125182</v>
      </c>
      <c r="B8397" t="str">
        <f>"1551765085178571"</f>
        <v>1551765085178571</v>
      </c>
      <c r="C8397" t="s">
        <v>40</v>
      </c>
      <c r="D8397">
        <v>3.9824079999999999</v>
      </c>
      <c r="E8397">
        <v>0.51349069999999997</v>
      </c>
      <c r="F8397" t="s">
        <v>42</v>
      </c>
      <c r="G8397">
        <v>-116.22929999999999</v>
      </c>
      <c r="H8397" s="1">
        <v>-1.68583E-6</v>
      </c>
      <c r="I8397">
        <v>139.13200000000001</v>
      </c>
      <c r="J8397">
        <v>-144.68129999999999</v>
      </c>
      <c r="K8397">
        <v>1.110878</v>
      </c>
      <c r="L8397">
        <v>136.1739</v>
      </c>
      <c r="M8397">
        <v>0.99996569999999996</v>
      </c>
      <c r="N8397">
        <v>-3.0530330000000001E-3</v>
      </c>
      <c r="O8397">
        <v>7.7220819999999999E-3</v>
      </c>
      <c r="P8397">
        <v>0.98830850000000003</v>
      </c>
      <c r="Q8397">
        <v>-6.8684350000000005E-2</v>
      </c>
      <c r="R8397">
        <v>0.13612179999999999</v>
      </c>
      <c r="S8397">
        <v>2.9852449999999999</v>
      </c>
      <c r="T8397">
        <v>-0.1148219</v>
      </c>
      <c r="U8397">
        <v>0.30621340000000002</v>
      </c>
      <c r="V8397">
        <v>-0.12799059999999901</v>
      </c>
      <c r="W8397">
        <v>-6.6623719999999997E-2</v>
      </c>
      <c r="X8397">
        <v>0.9895351</v>
      </c>
      <c r="Y8397">
        <v>-9.4285659999999993E-2</v>
      </c>
      <c r="Z8397">
        <v>1.6796269999999999E-3</v>
      </c>
      <c r="AA8397">
        <v>0.99554379999999998</v>
      </c>
      <c r="AB8397">
        <v>42</v>
      </c>
      <c r="AC8397">
        <v>28.452000000000002</v>
      </c>
      <c r="AD8397">
        <v>-1.1108796858299901</v>
      </c>
      <c r="AE8397">
        <v>2.9581</v>
      </c>
      <c r="AF8397">
        <v>-2.7341786382848201</v>
      </c>
      <c r="AG8397">
        <v>-1.1108796858299901</v>
      </c>
      <c r="AH8397">
        <v>28.431116607873701</v>
      </c>
      <c r="AI8397">
        <v>92.227295651647694</v>
      </c>
      <c r="AJ8397">
        <v>95.4931580669938</v>
      </c>
      <c r="AK8397">
        <v>28.583879688960302</v>
      </c>
      <c r="AL8397">
        <v>93.820087530296803</v>
      </c>
      <c r="AM8397">
        <v>97.369957446389904</v>
      </c>
      <c r="AN8397">
        <v>1.0000000139434999</v>
      </c>
    </row>
    <row r="8398" spans="1:40" x14ac:dyDescent="0.25">
      <c r="A8398" t="str">
        <f>"20190305135125205"</f>
        <v>20190305135125205</v>
      </c>
      <c r="B8398" t="str">
        <f>"1551765085198110"</f>
        <v>1551765085198110</v>
      </c>
      <c r="C8398" t="s">
        <v>40</v>
      </c>
      <c r="D8398">
        <v>4.0312789999999996</v>
      </c>
      <c r="E8398">
        <v>0.51386920000000003</v>
      </c>
      <c r="F8398" t="s">
        <v>42</v>
      </c>
      <c r="G8398">
        <v>-114.7273</v>
      </c>
      <c r="H8398" s="1">
        <v>-2.3064230000000001E-6</v>
      </c>
      <c r="I8398">
        <v>139.26589999999999</v>
      </c>
      <c r="J8398">
        <v>-144.25020000000001</v>
      </c>
      <c r="K8398">
        <v>1.111032</v>
      </c>
      <c r="L8398">
        <v>136.17939999999999</v>
      </c>
      <c r="M8398">
        <v>0.99993189999999998</v>
      </c>
      <c r="N8398">
        <v>-3.1013579999999998E-3</v>
      </c>
      <c r="O8398">
        <v>1.1249489999999999E-2</v>
      </c>
      <c r="P8398">
        <v>0.98813770000000001</v>
      </c>
      <c r="Q8398">
        <v>-6.7292249999999998E-2</v>
      </c>
      <c r="R8398">
        <v>0.13804229999999901</v>
      </c>
      <c r="S8398">
        <v>2.9853360000000002</v>
      </c>
      <c r="T8398">
        <v>-0.1107147</v>
      </c>
      <c r="U8398">
        <v>0.30816650000000001</v>
      </c>
      <c r="V8398">
        <v>-0.1264063</v>
      </c>
      <c r="W8398">
        <v>-6.5222550000000004E-2</v>
      </c>
      <c r="X8398">
        <v>0.98983200000000005</v>
      </c>
      <c r="Y8398">
        <v>-9.1423530000000003E-2</v>
      </c>
      <c r="Z8398">
        <v>1.451307E-3</v>
      </c>
      <c r="AA8398">
        <v>0.995811</v>
      </c>
      <c r="AB8398">
        <v>42</v>
      </c>
      <c r="AC8398">
        <v>29.5229</v>
      </c>
      <c r="AD8398">
        <v>-1.1110343064229999</v>
      </c>
      <c r="AE8398">
        <v>3.0865</v>
      </c>
      <c r="AF8398">
        <v>-2.7503325037889499</v>
      </c>
      <c r="AG8398">
        <v>-1.1110343064229999</v>
      </c>
      <c r="AH8398">
        <v>29.514406000302198</v>
      </c>
      <c r="AI8398">
        <v>92.146521850942193</v>
      </c>
      <c r="AJ8398">
        <v>95.323795991133693</v>
      </c>
      <c r="AK8398">
        <v>29.6630896513179</v>
      </c>
      <c r="AL8398">
        <v>93.739631579831894</v>
      </c>
      <c r="AM8398">
        <v>97.277554760514207</v>
      </c>
      <c r="AN8398">
        <v>0.999999960966095</v>
      </c>
    </row>
    <row r="8399" spans="1:40" x14ac:dyDescent="0.25">
      <c r="A8399" t="str">
        <f>"20190305135125227"</f>
        <v>20190305135125227</v>
      </c>
      <c r="B8399" t="str">
        <f>"1551765085218605"</f>
        <v>1551765085218605</v>
      </c>
      <c r="C8399" t="s">
        <v>40</v>
      </c>
      <c r="D8399">
        <v>4.0091919999999996</v>
      </c>
      <c r="E8399">
        <v>0.51429460000000005</v>
      </c>
      <c r="F8399" t="s">
        <v>42</v>
      </c>
      <c r="G8399">
        <v>-113.336</v>
      </c>
      <c r="H8399" s="1">
        <v>-2.880092E-6</v>
      </c>
      <c r="I8399">
        <v>139.39680000000001</v>
      </c>
      <c r="J8399">
        <v>-143.83860000000001</v>
      </c>
      <c r="K8399">
        <v>1.1111610000000001</v>
      </c>
      <c r="L8399">
        <v>136.18600000000001</v>
      </c>
      <c r="M8399">
        <v>0.999888</v>
      </c>
      <c r="N8399">
        <v>-3.1474379999999998E-3</v>
      </c>
      <c r="O8399">
        <v>1.4635749999999999E-2</v>
      </c>
      <c r="P8399">
        <v>0.98783790000000005</v>
      </c>
      <c r="Q8399">
        <v>-6.7499089999999998E-2</v>
      </c>
      <c r="R8399">
        <v>0.14007339999999999</v>
      </c>
      <c r="S8399">
        <v>2.985306</v>
      </c>
      <c r="T8399">
        <v>-0.1072896</v>
      </c>
      <c r="U8399">
        <v>0.31069950000000002</v>
      </c>
      <c r="V8399">
        <v>-0.1250665</v>
      </c>
      <c r="W8399">
        <v>-6.5414970000000003E-2</v>
      </c>
      <c r="X8399">
        <v>0.98998949999999997</v>
      </c>
      <c r="Y8399">
        <v>-8.8894870000000001E-2</v>
      </c>
      <c r="Z8399">
        <v>1.254554E-3</v>
      </c>
      <c r="AA8399">
        <v>0.99604020000000004</v>
      </c>
      <c r="AB8399">
        <v>42</v>
      </c>
      <c r="AC8399">
        <v>30.502600000000001</v>
      </c>
      <c r="AD8399">
        <v>-1.1111638800920001</v>
      </c>
      <c r="AE8399">
        <v>3.2107999999999999</v>
      </c>
      <c r="AF8399">
        <v>-2.7604024740122299</v>
      </c>
      <c r="AG8399">
        <v>-1.1111638800920001</v>
      </c>
      <c r="AH8399">
        <v>30.506286307844601</v>
      </c>
      <c r="AI8399">
        <v>92.077544325238406</v>
      </c>
      <c r="AJ8399">
        <v>95.170405210029003</v>
      </c>
      <c r="AK8399">
        <v>30.651068680930901</v>
      </c>
      <c r="AL8399">
        <v>93.750679961273903</v>
      </c>
      <c r="AM8399">
        <v>97.200099223196602</v>
      </c>
      <c r="AN8399">
        <v>0.99999997891629999</v>
      </c>
    </row>
    <row r="8400" spans="1:40" x14ac:dyDescent="0.25">
      <c r="A8400" t="str">
        <f>"20190305135125248"</f>
        <v>20190305135125248</v>
      </c>
      <c r="B8400" t="str">
        <f>"1551765085238126"</f>
        <v>1551765085238126</v>
      </c>
      <c r="C8400" t="s">
        <v>40</v>
      </c>
      <c r="D8400">
        <v>4.0250339999999998</v>
      </c>
      <c r="E8400">
        <v>0.51448709999999997</v>
      </c>
      <c r="F8400" t="s">
        <v>42</v>
      </c>
      <c r="G8400">
        <v>-113.23699999999999</v>
      </c>
      <c r="H8400" s="1">
        <v>-2.92204E-6</v>
      </c>
      <c r="I8400">
        <v>139.3997</v>
      </c>
      <c r="J8400">
        <v>-143.42609999999999</v>
      </c>
      <c r="K8400">
        <v>1.111272</v>
      </c>
      <c r="L8400">
        <v>136.19399999999999</v>
      </c>
      <c r="M8400">
        <v>0.99983230000000001</v>
      </c>
      <c r="N8400">
        <v>-3.1939709999999999E-3</v>
      </c>
      <c r="O8400">
        <v>1.8038419999999999E-2</v>
      </c>
      <c r="P8400">
        <v>0.98723309999999997</v>
      </c>
      <c r="Q8400">
        <v>-6.9127369999999994E-2</v>
      </c>
      <c r="R8400">
        <v>0.1435012</v>
      </c>
      <c r="S8400">
        <v>2.9850620000000001</v>
      </c>
      <c r="T8400">
        <v>-0.10838929999999999</v>
      </c>
      <c r="U8400">
        <v>0.31349179999999999</v>
      </c>
      <c r="V8400">
        <v>-0.12510309999999999</v>
      </c>
      <c r="W8400">
        <v>-6.703489E-2</v>
      </c>
      <c r="X8400">
        <v>0.98987650000000005</v>
      </c>
      <c r="Y8400">
        <v>-8.6437429999999996E-2</v>
      </c>
      <c r="Z8400">
        <v>1.1076090000000001E-3</v>
      </c>
      <c r="AA8400">
        <v>0.99625660000000005</v>
      </c>
      <c r="AB8400">
        <v>42</v>
      </c>
      <c r="AC8400">
        <v>30.1890999999999</v>
      </c>
      <c r="AD8400">
        <v>-1.11127492204</v>
      </c>
      <c r="AE8400">
        <v>3.2057000000000002</v>
      </c>
      <c r="AF8400">
        <v>-2.65705183544065</v>
      </c>
      <c r="AG8400">
        <v>-1.11127492204</v>
      </c>
      <c r="AH8400">
        <v>30.2015469496111</v>
      </c>
      <c r="AI8400">
        <v>92.0991638013017</v>
      </c>
      <c r="AJ8400">
        <v>95.027785367345899</v>
      </c>
      <c r="AK8400">
        <v>30.338561181409698</v>
      </c>
      <c r="AL8400">
        <v>93.843698775200394</v>
      </c>
      <c r="AM8400">
        <v>97.202997703931104</v>
      </c>
      <c r="AN8400">
        <v>0.99999997367958504</v>
      </c>
    </row>
    <row r="8401" spans="1:40" x14ac:dyDescent="0.25">
      <c r="A8401" t="str">
        <f>"20190305135125273"</f>
        <v>20190305135125273</v>
      </c>
      <c r="B8401" t="str">
        <f>"1551765085268383"</f>
        <v>1551765085268383</v>
      </c>
      <c r="C8401" t="s">
        <v>40</v>
      </c>
      <c r="D8401">
        <v>4.0331039999999998</v>
      </c>
      <c r="E8401">
        <v>0.52065709999999998</v>
      </c>
      <c r="F8401" t="s">
        <v>42</v>
      </c>
      <c r="G8401">
        <v>-114.2544</v>
      </c>
      <c r="H8401" s="1">
        <v>-2.4949879999999999E-6</v>
      </c>
      <c r="I8401">
        <v>139.3466</v>
      </c>
      <c r="J8401">
        <v>-142.9864</v>
      </c>
      <c r="K8401">
        <v>1.111372</v>
      </c>
      <c r="L8401">
        <v>136.20410000000001</v>
      </c>
      <c r="M8401">
        <v>0.99975990000000003</v>
      </c>
      <c r="N8401">
        <v>-3.2438660000000002E-3</v>
      </c>
      <c r="O8401">
        <v>2.1672770000000001E-2</v>
      </c>
      <c r="P8401">
        <v>0.98664399999999997</v>
      </c>
      <c r="Q8401">
        <v>-6.9985950000000005E-2</v>
      </c>
      <c r="R8401">
        <v>0.1470911</v>
      </c>
      <c r="S8401">
        <v>2.9839630000000001</v>
      </c>
      <c r="T8401">
        <v>-0.1136717</v>
      </c>
      <c r="U8401">
        <v>0.32247920000000002</v>
      </c>
      <c r="V8401">
        <v>-0.12508130000000001</v>
      </c>
      <c r="W8401">
        <v>-6.7878019999999997E-2</v>
      </c>
      <c r="X8401">
        <v>0.98982179999999997</v>
      </c>
      <c r="Y8401">
        <v>-8.5818749999999999E-2</v>
      </c>
      <c r="Z8401">
        <v>1.016393E-3</v>
      </c>
      <c r="AA8401">
        <v>0.99631020000000003</v>
      </c>
      <c r="AB8401">
        <v>42</v>
      </c>
      <c r="AC8401">
        <v>28.731999999999999</v>
      </c>
      <c r="AD8401">
        <v>-1.111374494988</v>
      </c>
      <c r="AE8401">
        <v>3.1424999999999801</v>
      </c>
      <c r="AF8401">
        <v>-2.5153376432652901</v>
      </c>
      <c r="AG8401">
        <v>-1.111374494988</v>
      </c>
      <c r="AH8401">
        <v>28.750849866385401</v>
      </c>
      <c r="AI8401">
        <v>92.205271741348099</v>
      </c>
      <c r="AJ8401">
        <v>94.999929224481605</v>
      </c>
      <c r="AK8401">
        <v>28.882060950825</v>
      </c>
      <c r="AL8401">
        <v>93.892116843362501</v>
      </c>
      <c r="AM8401">
        <v>97.202149523961197</v>
      </c>
      <c r="AN8401">
        <v>0.99999997648202399</v>
      </c>
    </row>
    <row r="8402" spans="1:40" x14ac:dyDescent="0.25">
      <c r="A8402" t="str">
        <f>"20190305135125293"</f>
        <v>20190305135125293</v>
      </c>
      <c r="B8402" t="str">
        <f>"1551765085287902"</f>
        <v>1551765085287902</v>
      </c>
      <c r="C8402" t="s">
        <v>40</v>
      </c>
      <c r="D8402">
        <v>4.0460830000000003</v>
      </c>
      <c r="E8402">
        <v>0.52008650000000001</v>
      </c>
      <c r="F8402" t="s">
        <v>42</v>
      </c>
      <c r="G8402">
        <v>-119.893</v>
      </c>
      <c r="H8402" s="1">
        <v>-3.48704599999999E-7</v>
      </c>
      <c r="I8402">
        <v>138.39019999999999</v>
      </c>
      <c r="J8402">
        <v>-142.56469999999999</v>
      </c>
      <c r="K8402">
        <v>1.111467</v>
      </c>
      <c r="L8402">
        <v>136.21539999999999</v>
      </c>
      <c r="M8402">
        <v>0.99967810000000001</v>
      </c>
      <c r="N8402">
        <v>-3.2917350000000001E-3</v>
      </c>
      <c r="O8402">
        <v>2.5156810000000002E-2</v>
      </c>
      <c r="P8402">
        <v>0.98626910000000001</v>
      </c>
      <c r="Q8402">
        <v>-6.8720879999999998E-2</v>
      </c>
      <c r="R8402">
        <v>0.15016860000000001</v>
      </c>
      <c r="S8402">
        <v>2.988235</v>
      </c>
      <c r="T8402">
        <v>-0.14380870000000001</v>
      </c>
      <c r="U8402">
        <v>0.28286739999999999</v>
      </c>
      <c r="V8402">
        <v>-0.12471459999999999</v>
      </c>
      <c r="W8402">
        <v>-6.6588999999999995E-2</v>
      </c>
      <c r="X8402">
        <v>0.98995569999999999</v>
      </c>
      <c r="Y8402">
        <v>-6.9104620000000005E-2</v>
      </c>
      <c r="Z8402">
        <v>6.4801729999999997E-4</v>
      </c>
      <c r="AA8402">
        <v>0.99760919999999997</v>
      </c>
      <c r="AB8402">
        <v>43</v>
      </c>
      <c r="AC8402">
        <v>22.671700000000001</v>
      </c>
      <c r="AD8402">
        <v>-1.1114673487046001</v>
      </c>
      <c r="AE8402">
        <v>2.1747999999999998</v>
      </c>
      <c r="AF8402">
        <v>-1.5999507146641501</v>
      </c>
      <c r="AG8402">
        <v>-1.1114673487046001</v>
      </c>
      <c r="AH8402">
        <v>22.665259149711201</v>
      </c>
      <c r="AI8402">
        <v>92.800485008950901</v>
      </c>
      <c r="AJ8402">
        <v>94.037836562950005</v>
      </c>
      <c r="AK8402">
        <v>22.748827975967401</v>
      </c>
      <c r="AL8402">
        <v>93.818093628148503</v>
      </c>
      <c r="AM8402">
        <v>97.180294596686807</v>
      </c>
      <c r="AN8402">
        <v>1.0000000571683201</v>
      </c>
    </row>
    <row r="8403" spans="1:40" x14ac:dyDescent="0.25">
      <c r="A8403" t="str">
        <f>"20190305135125316"</f>
        <v>20190305135125316</v>
      </c>
      <c r="B8403" t="str">
        <f>"1551765085308398"</f>
        <v>1551765085308398</v>
      </c>
      <c r="C8403" t="s">
        <v>40</v>
      </c>
      <c r="D8403">
        <v>4.0194700000000001</v>
      </c>
      <c r="E8403">
        <v>0.52007190000000003</v>
      </c>
      <c r="F8403" t="s">
        <v>42</v>
      </c>
      <c r="G8403">
        <v>-119.27290000000001</v>
      </c>
      <c r="H8403" s="1">
        <v>-5.2325509999999905E-7</v>
      </c>
      <c r="I8403">
        <v>138.52719999999999</v>
      </c>
      <c r="J8403">
        <v>-142.1446</v>
      </c>
      <c r="K8403">
        <v>1.1115409999999999</v>
      </c>
      <c r="L8403">
        <v>136.22810000000001</v>
      </c>
      <c r="M8403">
        <v>0.9995849</v>
      </c>
      <c r="N8403">
        <v>-3.3391789999999998E-3</v>
      </c>
      <c r="O8403">
        <v>2.8616809999999999E-2</v>
      </c>
      <c r="P8403">
        <v>0.98608430000000002</v>
      </c>
      <c r="Q8403">
        <v>-6.6702319999999996E-2</v>
      </c>
      <c r="R8403">
        <v>0.1522781</v>
      </c>
      <c r="S8403">
        <v>2.986694</v>
      </c>
      <c r="T8403">
        <v>-0.14252279999999901</v>
      </c>
      <c r="U8403">
        <v>0.29644779999999998</v>
      </c>
      <c r="V8403">
        <v>-0.12341000000000001</v>
      </c>
      <c r="W8403">
        <v>-6.4532099999999995E-2</v>
      </c>
      <c r="X8403">
        <v>0.99025529999999995</v>
      </c>
      <c r="Y8403">
        <v>-7.0196549999999996E-2</v>
      </c>
      <c r="Z8403">
        <v>5.2185339999999999E-4</v>
      </c>
      <c r="AA8403">
        <v>0.997533</v>
      </c>
      <c r="AB8403">
        <v>43</v>
      </c>
      <c r="AC8403">
        <v>22.871699999999901</v>
      </c>
      <c r="AD8403">
        <v>-1.11154152325509</v>
      </c>
      <c r="AE8403">
        <v>2.2990999999999802</v>
      </c>
      <c r="AF8403">
        <v>-1.63980542703754</v>
      </c>
      <c r="AG8403">
        <v>-1.11154152325509</v>
      </c>
      <c r="AH8403">
        <v>22.8746399019584</v>
      </c>
      <c r="AI8403">
        <v>92.774861226122098</v>
      </c>
      <c r="AJ8403">
        <v>94.100326076119103</v>
      </c>
      <c r="AK8403">
        <v>22.960262129181501</v>
      </c>
      <c r="AL8403">
        <v>93.699988081579406</v>
      </c>
      <c r="AM8403">
        <v>97.103827717543496</v>
      </c>
      <c r="AN8403">
        <v>0.99999998960424896</v>
      </c>
    </row>
    <row r="8404" spans="1:40" x14ac:dyDescent="0.25">
      <c r="A8404" t="str">
        <f>"20190305135125338"</f>
        <v>20190305135125338</v>
      </c>
      <c r="B8404" t="str">
        <f>"1551765085327918"</f>
        <v>1551765085327918</v>
      </c>
      <c r="C8404" t="s">
        <v>40</v>
      </c>
      <c r="D8404">
        <v>4.0343799999999996</v>
      </c>
      <c r="E8404">
        <v>0.52038600000000002</v>
      </c>
      <c r="F8404" t="s">
        <v>42</v>
      </c>
      <c r="G8404">
        <v>-118.66459999999999</v>
      </c>
      <c r="H8404" s="1">
        <v>-7.3437190000000004E-7</v>
      </c>
      <c r="I8404">
        <v>138.6062</v>
      </c>
      <c r="J8404">
        <v>-141.7133</v>
      </c>
      <c r="K8404">
        <v>1.1115950000000001</v>
      </c>
      <c r="L8404">
        <v>136.24250000000001</v>
      </c>
      <c r="M8404">
        <v>0.99947819999999998</v>
      </c>
      <c r="N8404">
        <v>-3.3865269999999999E-3</v>
      </c>
      <c r="O8404">
        <v>3.2120629999999997E-2</v>
      </c>
      <c r="P8404">
        <v>0.98593299999999995</v>
      </c>
      <c r="Q8404">
        <v>-6.6009590000000007E-2</v>
      </c>
      <c r="R8404">
        <v>0.153554</v>
      </c>
      <c r="S8404">
        <v>2.9860690000000001</v>
      </c>
      <c r="T8404">
        <v>-0.14136000000000001</v>
      </c>
      <c r="U8404">
        <v>0.30244450000000001</v>
      </c>
      <c r="V8404">
        <v>-0.1212189</v>
      </c>
      <c r="W8404">
        <v>-6.378412E-2</v>
      </c>
      <c r="X8404">
        <v>0.99057439999999997</v>
      </c>
      <c r="Y8404">
        <v>-6.8709339999999994E-2</v>
      </c>
      <c r="Z8404">
        <v>3.3145199999999998E-4</v>
      </c>
      <c r="AA8404">
        <v>0.99763670000000004</v>
      </c>
      <c r="AB8404">
        <v>43</v>
      </c>
      <c r="AC8404">
        <v>23.0487</v>
      </c>
      <c r="AD8404">
        <v>-1.1115957343719001</v>
      </c>
      <c r="AE8404">
        <v>2.3636999999999899</v>
      </c>
      <c r="AF8404">
        <v>-1.6184120870087699</v>
      </c>
      <c r="AG8404">
        <v>-1.1115957343719001</v>
      </c>
      <c r="AH8404">
        <v>23.059653246588301</v>
      </c>
      <c r="AI8404">
        <v>92.753057809606304</v>
      </c>
      <c r="AJ8404">
        <v>94.014647464417294</v>
      </c>
      <c r="AK8404">
        <v>23.143087750188901</v>
      </c>
      <c r="AL8404">
        <v>93.657043326042597</v>
      </c>
      <c r="AM8404">
        <v>96.976730694109705</v>
      </c>
      <c r="AN8404">
        <v>1.0000000388083701</v>
      </c>
    </row>
    <row r="8405" spans="1:40" x14ac:dyDescent="0.25">
      <c r="A8405" t="str">
        <f>"20190305135125361"</f>
        <v>20190305135125361</v>
      </c>
      <c r="B8405" t="str">
        <f>"1551765085358174"</f>
        <v>1551765085358174</v>
      </c>
      <c r="C8405" t="s">
        <v>40</v>
      </c>
      <c r="D8405">
        <v>3.9885519999999999</v>
      </c>
      <c r="E8405">
        <v>0.52071820000000002</v>
      </c>
      <c r="F8405" t="s">
        <v>42</v>
      </c>
      <c r="G8405">
        <v>-117.8736</v>
      </c>
      <c r="H8405" s="1">
        <v>-1.062678E-6</v>
      </c>
      <c r="I8405">
        <v>138.66839999999999</v>
      </c>
      <c r="J8405">
        <v>-141.28100000000001</v>
      </c>
      <c r="K8405">
        <v>1.111583</v>
      </c>
      <c r="L8405">
        <v>136.25839999999999</v>
      </c>
      <c r="M8405">
        <v>0.99936329999999995</v>
      </c>
      <c r="N8405">
        <v>-3.430935E-3</v>
      </c>
      <c r="O8405">
        <v>3.5517130000000001E-2</v>
      </c>
      <c r="P8405">
        <v>0.98561989999999999</v>
      </c>
      <c r="Q8405">
        <v>-6.5488000000000005E-2</v>
      </c>
      <c r="R8405">
        <v>0.15577199999999999</v>
      </c>
      <c r="S8405">
        <v>2.9861599999999999</v>
      </c>
      <c r="T8405">
        <v>-0.13923849999999999</v>
      </c>
      <c r="U8405">
        <v>0.30386350000000001</v>
      </c>
      <c r="V8405">
        <v>-0.12008580000000001</v>
      </c>
      <c r="W8405">
        <v>-6.3205789999999998E-2</v>
      </c>
      <c r="X8405">
        <v>0.9907494</v>
      </c>
      <c r="Y8405">
        <v>-6.5792569999999995E-2</v>
      </c>
      <c r="Z8405">
        <v>1.1395739999999999E-4</v>
      </c>
      <c r="AA8405">
        <v>0.99783330000000003</v>
      </c>
      <c r="AB8405">
        <v>43</v>
      </c>
      <c r="AC8405">
        <v>23.407399999999999</v>
      </c>
      <c r="AD8405">
        <v>-1.111584062678</v>
      </c>
      <c r="AE8405">
        <v>2.4099999999999899</v>
      </c>
      <c r="AF8405">
        <v>-1.57359947258004</v>
      </c>
      <c r="AG8405">
        <v>-1.111584062678</v>
      </c>
      <c r="AH8405">
        <v>23.425952884512999</v>
      </c>
      <c r="AI8405">
        <v>92.710602817471297</v>
      </c>
      <c r="AJ8405">
        <v>93.842975589390903</v>
      </c>
      <c r="AK8405">
        <v>23.505044202807401</v>
      </c>
      <c r="AL8405">
        <v>93.623840701493506</v>
      </c>
      <c r="AM8405">
        <v>96.910940079462094</v>
      </c>
      <c r="AN8405">
        <v>0.999999972425761</v>
      </c>
    </row>
    <row r="8406" spans="1:40" x14ac:dyDescent="0.25">
      <c r="A8406" t="str">
        <f>"20190305135125383"</f>
        <v>20190305135125383</v>
      </c>
      <c r="B8406" t="str">
        <f>"1551765085377694"</f>
        <v>1551765085377694</v>
      </c>
      <c r="C8406" t="s">
        <v>40</v>
      </c>
      <c r="D8406">
        <v>3.9957210000000001</v>
      </c>
      <c r="E8406">
        <v>0.52116439999999997</v>
      </c>
      <c r="F8406" t="s">
        <v>42</v>
      </c>
      <c r="G8406">
        <v>-117.5103</v>
      </c>
      <c r="H8406" s="1">
        <v>-1.211309E-6</v>
      </c>
      <c r="I8406">
        <v>138.70910000000001</v>
      </c>
      <c r="J8406">
        <v>-140.84360000000001</v>
      </c>
      <c r="K8406">
        <v>1.1115079999999999</v>
      </c>
      <c r="L8406">
        <v>136.2758</v>
      </c>
      <c r="M8406">
        <v>0.99924299999999999</v>
      </c>
      <c r="N8406">
        <v>-3.4716700000000001E-3</v>
      </c>
      <c r="O8406">
        <v>3.8750090000000001E-2</v>
      </c>
      <c r="P8406">
        <v>0.98518150000000004</v>
      </c>
      <c r="Q8406">
        <v>-6.6349409999999998E-2</v>
      </c>
      <c r="R8406">
        <v>0.158162</v>
      </c>
      <c r="S8406">
        <v>2.98584</v>
      </c>
      <c r="T8406">
        <v>-0.1396259</v>
      </c>
      <c r="U8406">
        <v>0.30783080000000002</v>
      </c>
      <c r="V8406">
        <v>-0.1192898</v>
      </c>
      <c r="W8406">
        <v>-6.3997719999999994E-2</v>
      </c>
      <c r="X8406">
        <v>0.99079470000000003</v>
      </c>
      <c r="Y8406">
        <v>-6.3891950000000003E-2</v>
      </c>
      <c r="Z8406" s="1">
        <v>-7.0467010000000002E-5</v>
      </c>
      <c r="AA8406">
        <v>0.99795679999999998</v>
      </c>
      <c r="AB8406">
        <v>43</v>
      </c>
      <c r="AC8406">
        <v>23.333300000000001</v>
      </c>
      <c r="AD8406">
        <v>-1.1115092113089999</v>
      </c>
      <c r="AE8406">
        <v>2.4333</v>
      </c>
      <c r="AF8406">
        <v>-1.5238787799240201</v>
      </c>
      <c r="AG8406">
        <v>-1.1115092113089999</v>
      </c>
      <c r="AH8406">
        <v>23.357633034271199</v>
      </c>
      <c r="AI8406">
        <v>92.718682256138095</v>
      </c>
      <c r="AJ8406">
        <v>93.732752356864594</v>
      </c>
      <c r="AK8406">
        <v>23.433665531162799</v>
      </c>
      <c r="AL8406">
        <v>93.669307082119801</v>
      </c>
      <c r="AM8406">
        <v>96.865258044870004</v>
      </c>
      <c r="AN8406">
        <v>0.99999995104866302</v>
      </c>
    </row>
    <row r="8407" spans="1:40" x14ac:dyDescent="0.25">
      <c r="A8407" t="str">
        <f>"20190305135125405"</f>
        <v>20190305135125405</v>
      </c>
      <c r="B8407" t="str">
        <f>"1551765085398190"</f>
        <v>1551765085398190</v>
      </c>
      <c r="C8407" t="s">
        <v>40</v>
      </c>
      <c r="D8407">
        <v>3.982856</v>
      </c>
      <c r="E8407">
        <v>0.52134929999999902</v>
      </c>
      <c r="F8407" t="s">
        <v>42</v>
      </c>
      <c r="G8407">
        <v>-117.8789</v>
      </c>
      <c r="H8407" s="1">
        <v>-1.059954E-6</v>
      </c>
      <c r="I8407">
        <v>138.67099999999999</v>
      </c>
      <c r="J8407">
        <v>-140.40610000000001</v>
      </c>
      <c r="K8407">
        <v>1.11134</v>
      </c>
      <c r="L8407">
        <v>136.2944</v>
      </c>
      <c r="M8407">
        <v>0.99912489999999998</v>
      </c>
      <c r="N8407">
        <v>-3.5082659999999999E-3</v>
      </c>
      <c r="O8407">
        <v>4.1679519999999998E-2</v>
      </c>
      <c r="P8407">
        <v>0.98489839999999995</v>
      </c>
      <c r="Q8407">
        <v>-6.7324270000000005E-2</v>
      </c>
      <c r="R8407">
        <v>0.1595077</v>
      </c>
      <c r="S8407">
        <v>2.9853969999999999</v>
      </c>
      <c r="T8407">
        <v>-0.14449519999999999</v>
      </c>
      <c r="U8407">
        <v>0.3113708</v>
      </c>
      <c r="V8407">
        <v>-0.1177579</v>
      </c>
      <c r="W8407">
        <v>-6.487685E-2</v>
      </c>
      <c r="X8407">
        <v>0.99092080000000005</v>
      </c>
      <c r="Y8407">
        <v>-6.2154510000000003E-2</v>
      </c>
      <c r="Z8407">
        <v>-2.54696E-4</v>
      </c>
      <c r="AA8407">
        <v>0.99806649999999997</v>
      </c>
      <c r="AB8407">
        <v>43</v>
      </c>
      <c r="AC8407">
        <v>22.527200000000001</v>
      </c>
      <c r="AD8407">
        <v>-1.1113410599539999</v>
      </c>
      <c r="AE8407">
        <v>2.3765999999999901</v>
      </c>
      <c r="AF8407">
        <v>-1.4321589645988699</v>
      </c>
      <c r="AG8407">
        <v>-1.1113410599539999</v>
      </c>
      <c r="AH8407">
        <v>22.552397214219599</v>
      </c>
      <c r="AI8407">
        <v>92.815487411315303</v>
      </c>
      <c r="AJ8407">
        <v>93.633610477247004</v>
      </c>
      <c r="AK8407">
        <v>22.625135985433602</v>
      </c>
      <c r="AL8407">
        <v>93.719782315964395</v>
      </c>
      <c r="AM8407">
        <v>96.777066490112105</v>
      </c>
      <c r="AN8407">
        <v>0.99999998027548598</v>
      </c>
    </row>
    <row r="8408" spans="1:40" x14ac:dyDescent="0.25">
      <c r="A8408" t="str">
        <f>"20190305135125440"</f>
        <v>20190305135125440</v>
      </c>
      <c r="B8408" t="str">
        <f>"1551765085428446"</f>
        <v>1551765085428446</v>
      </c>
      <c r="C8408" t="s">
        <v>40</v>
      </c>
      <c r="D8408">
        <v>3.9595980000000002</v>
      </c>
      <c r="E8408">
        <v>0.52236549999999904</v>
      </c>
      <c r="F8408" t="s">
        <v>42</v>
      </c>
      <c r="G8408">
        <v>-118.0214</v>
      </c>
      <c r="H8408" s="1">
        <v>-1.0026520000000001E-6</v>
      </c>
      <c r="I8408">
        <v>138.64930000000001</v>
      </c>
      <c r="J8408">
        <v>-139.75139999999999</v>
      </c>
      <c r="K8408">
        <v>1.1109309999999999</v>
      </c>
      <c r="L8408">
        <v>136.32409999999999</v>
      </c>
      <c r="M8408">
        <v>0.99896910000000005</v>
      </c>
      <c r="N8408">
        <v>-3.5593410000000002E-3</v>
      </c>
      <c r="O8408">
        <v>4.525444E-2</v>
      </c>
      <c r="P8408">
        <v>0.98461019999999999</v>
      </c>
      <c r="Q8408">
        <v>-6.7211110000000004E-2</v>
      </c>
      <c r="R8408">
        <v>0.1613243</v>
      </c>
      <c r="S8408">
        <v>2.9850159999999999</v>
      </c>
      <c r="T8408">
        <v>-0.14819779999999999</v>
      </c>
      <c r="U8408">
        <v>0.31402590000000002</v>
      </c>
      <c r="V8408">
        <v>-0.11610429999999999</v>
      </c>
      <c r="W8408">
        <v>-6.4584230000000006E-2</v>
      </c>
      <c r="X8408">
        <v>0.99113510000000005</v>
      </c>
      <c r="Y8408">
        <v>-5.9479650000000002E-2</v>
      </c>
      <c r="Z8408">
        <v>-4.9887450000000002E-4</v>
      </c>
      <c r="AA8408">
        <v>0.99822940000000004</v>
      </c>
      <c r="AB8408">
        <v>44</v>
      </c>
      <c r="AC8408">
        <v>21.729999999999901</v>
      </c>
      <c r="AD8408">
        <v>-1.110932002652</v>
      </c>
      <c r="AE8408">
        <v>2.3252000000000201</v>
      </c>
      <c r="AF8408">
        <v>-1.33598020348437</v>
      </c>
      <c r="AG8408">
        <v>-1.110932002652</v>
      </c>
      <c r="AH8408">
        <v>21.7567416435264</v>
      </c>
      <c r="AI8408">
        <v>92.917584309271106</v>
      </c>
      <c r="AJ8408">
        <v>93.513855012626905</v>
      </c>
      <c r="AK8408">
        <v>21.826012461321799</v>
      </c>
      <c r="AL8408">
        <v>93.702980897544293</v>
      </c>
      <c r="AM8408">
        <v>96.681335342611206</v>
      </c>
      <c r="AN8408">
        <v>1.0000000588475899</v>
      </c>
    </row>
    <row r="8409" spans="1:40" x14ac:dyDescent="0.25">
      <c r="A8409" t="str">
        <f>"20190305135125461"</f>
        <v>20190305135125461</v>
      </c>
      <c r="B8409" t="str">
        <f>"1551765085457727"</f>
        <v>1551765085457727</v>
      </c>
      <c r="C8409" t="s">
        <v>40</v>
      </c>
      <c r="D8409">
        <v>3.947203</v>
      </c>
      <c r="E8409">
        <v>0.53215179999999995</v>
      </c>
      <c r="F8409" t="s">
        <v>42</v>
      </c>
      <c r="G8409">
        <v>-116.74209999999999</v>
      </c>
      <c r="H8409" s="1">
        <v>-1.537705E-6</v>
      </c>
      <c r="I8409">
        <v>138.7268</v>
      </c>
      <c r="J8409">
        <v>-139.32320000000001</v>
      </c>
      <c r="K8409">
        <v>1.1106069999999999</v>
      </c>
      <c r="L8409">
        <v>136.34440000000001</v>
      </c>
      <c r="M8409">
        <v>0.99888619999999995</v>
      </c>
      <c r="N8409">
        <v>-3.594542E-3</v>
      </c>
      <c r="O8409">
        <v>4.7047489999999997E-2</v>
      </c>
      <c r="P8409">
        <v>0.98448559999999996</v>
      </c>
      <c r="Q8409">
        <v>-6.6452590000000006E-2</v>
      </c>
      <c r="R8409">
        <v>0.1623964</v>
      </c>
      <c r="S8409">
        <v>2.9859469999999999</v>
      </c>
      <c r="T8409">
        <v>-0.14416689999999999</v>
      </c>
      <c r="U8409">
        <v>0.31179810000000002</v>
      </c>
      <c r="V8409">
        <v>-0.1154601</v>
      </c>
      <c r="W8409">
        <v>-6.3691970000000001E-2</v>
      </c>
      <c r="X8409">
        <v>0.99126800000000004</v>
      </c>
      <c r="Y8409">
        <v>-5.6924700000000002E-2</v>
      </c>
      <c r="Z8409">
        <v>-6.2099650000000002E-4</v>
      </c>
      <c r="AA8409">
        <v>0.99837830000000005</v>
      </c>
      <c r="AB8409">
        <v>44</v>
      </c>
      <c r="AC8409">
        <v>22.581099999999999</v>
      </c>
      <c r="AD8409">
        <v>-1.1106085377049999</v>
      </c>
      <c r="AE8409">
        <v>2.3823999999999899</v>
      </c>
      <c r="AF8409">
        <v>-1.3142268111559401</v>
      </c>
      <c r="AG8409">
        <v>-1.1106085377049999</v>
      </c>
      <c r="AH8409">
        <v>22.614080494052502</v>
      </c>
      <c r="AI8409">
        <v>92.806886964780801</v>
      </c>
      <c r="AJ8409">
        <v>93.326027277335896</v>
      </c>
      <c r="AK8409">
        <v>22.679446201939498</v>
      </c>
      <c r="AL8409">
        <v>93.651752996804802</v>
      </c>
      <c r="AM8409">
        <v>96.643713742730398</v>
      </c>
      <c r="AN8409">
        <v>0.99999997477924496</v>
      </c>
    </row>
    <row r="8410" spans="1:40" x14ac:dyDescent="0.25">
      <c r="A8410" t="str">
        <f>"20190305135125484"</f>
        <v>20190305135125484</v>
      </c>
      <c r="B8410" t="str">
        <f>"1551765085478222"</f>
        <v>1551765085478222</v>
      </c>
      <c r="C8410" t="s">
        <v>40</v>
      </c>
      <c r="D8410">
        <v>3.9335330000000002</v>
      </c>
      <c r="E8410">
        <v>0.53109329999999999</v>
      </c>
      <c r="F8410" t="s">
        <v>42</v>
      </c>
      <c r="G8410">
        <v>-104.6484</v>
      </c>
      <c r="H8410" s="1">
        <v>-2.5960019999999998E-6</v>
      </c>
      <c r="I8410">
        <v>139.1327</v>
      </c>
      <c r="J8410">
        <v>-138.86959999999999</v>
      </c>
      <c r="K8410">
        <v>1.1102320000000001</v>
      </c>
      <c r="L8410">
        <v>136.3663</v>
      </c>
      <c r="M8410">
        <v>0.99881810000000004</v>
      </c>
      <c r="N8410">
        <v>-3.6357939999999999E-3</v>
      </c>
      <c r="O8410">
        <v>4.8468459999999998E-2</v>
      </c>
      <c r="P8410">
        <v>0.98426740000000001</v>
      </c>
      <c r="Q8410">
        <v>-6.5882300000000005E-2</v>
      </c>
      <c r="R8410">
        <v>0.16394339999999999</v>
      </c>
      <c r="S8410">
        <v>3.0009769999999998</v>
      </c>
      <c r="T8410">
        <v>-9.6119170000000004E-2</v>
      </c>
      <c r="U8410">
        <v>0.2413177</v>
      </c>
      <c r="V8410">
        <v>-0.1156687</v>
      </c>
      <c r="W8410">
        <v>-6.2974269999999999E-2</v>
      </c>
      <c r="X8410">
        <v>0.99128959999999999</v>
      </c>
      <c r="Y8410">
        <v>-3.174867E-2</v>
      </c>
      <c r="Z8410">
        <v>-8.0694929999999897E-4</v>
      </c>
      <c r="AA8410">
        <v>0.99949560000000004</v>
      </c>
      <c r="AB8410">
        <v>44</v>
      </c>
      <c r="AC8410">
        <v>34.221200000000003</v>
      </c>
      <c r="AD8410">
        <v>-1.1102345960019999</v>
      </c>
      <c r="AE8410">
        <v>2.7664</v>
      </c>
      <c r="AF8410">
        <v>-1.1033350587967801</v>
      </c>
      <c r="AG8410">
        <v>-1.1102345960019999</v>
      </c>
      <c r="AH8410">
        <v>34.279217755510203</v>
      </c>
      <c r="AI8410">
        <v>91.854086584871496</v>
      </c>
      <c r="AJ8410">
        <v>91.843525889693097</v>
      </c>
      <c r="AK8410">
        <v>34.314934635517197</v>
      </c>
      <c r="AL8410">
        <v>93.610548862703695</v>
      </c>
      <c r="AM8410">
        <v>96.655465525051795</v>
      </c>
      <c r="AN8410">
        <v>1.0000000389549399</v>
      </c>
    </row>
    <row r="8411" spans="1:40" x14ac:dyDescent="0.25">
      <c r="A8411" t="str">
        <f>"20190305135125505"</f>
        <v>20190305135125505</v>
      </c>
      <c r="B8411" t="str">
        <f>"1551765085497742"</f>
        <v>1551765085497742</v>
      </c>
      <c r="C8411" t="s">
        <v>40</v>
      </c>
      <c r="D8411">
        <v>3.9635129999999998</v>
      </c>
      <c r="E8411">
        <v>0.52948779999999995</v>
      </c>
      <c r="F8411" t="s">
        <v>42</v>
      </c>
      <c r="G8411">
        <v>-107.99720000000001</v>
      </c>
      <c r="H8411" s="1">
        <v>-1.04116E-6</v>
      </c>
      <c r="I8411">
        <v>138.97399999999999</v>
      </c>
      <c r="J8411">
        <v>-138.4444</v>
      </c>
      <c r="K8411">
        <v>1.1098589999999999</v>
      </c>
      <c r="L8411">
        <v>136.38720000000001</v>
      </c>
      <c r="M8411">
        <v>0.99877740000000004</v>
      </c>
      <c r="N8411">
        <v>-3.6788250000000002E-3</v>
      </c>
      <c r="O8411">
        <v>4.9296590000000001E-2</v>
      </c>
      <c r="P8411">
        <v>0.98414100000000004</v>
      </c>
      <c r="Q8411">
        <v>-6.4265429999999998E-2</v>
      </c>
      <c r="R8411">
        <v>0.16533809999999999</v>
      </c>
      <c r="S8411">
        <v>2.9985499999999998</v>
      </c>
      <c r="T8411">
        <v>-0.1078337</v>
      </c>
      <c r="U8411">
        <v>0.25328060000000002</v>
      </c>
      <c r="V8411">
        <v>-0.1163148</v>
      </c>
      <c r="W8411">
        <v>-6.1205870000000002E-2</v>
      </c>
      <c r="X8411">
        <v>0.99132469999999995</v>
      </c>
      <c r="Y8411">
        <v>-3.4944379999999997E-2</v>
      </c>
      <c r="Z8411">
        <v>-8.9506690000000001E-4</v>
      </c>
      <c r="AA8411">
        <v>0.99938890000000002</v>
      </c>
      <c r="AB8411">
        <v>44</v>
      </c>
      <c r="AC8411">
        <v>30.447199999999899</v>
      </c>
      <c r="AD8411">
        <v>-1.1098600411599999</v>
      </c>
      <c r="AE8411">
        <v>2.5867999999999798</v>
      </c>
      <c r="AF8411">
        <v>-1.08127513663492</v>
      </c>
      <c r="AG8411">
        <v>-1.1098600411599999</v>
      </c>
      <c r="AH8411">
        <v>30.4974696325704</v>
      </c>
      <c r="AI8411">
        <v>92.082873430917104</v>
      </c>
      <c r="AJ8411">
        <v>92.030547565423205</v>
      </c>
      <c r="AK8411">
        <v>30.5368072859888</v>
      </c>
      <c r="AL8411">
        <v>93.5090313444842</v>
      </c>
      <c r="AM8411">
        <v>96.6920704094602</v>
      </c>
      <c r="AN8411">
        <v>0.99999997602579305</v>
      </c>
    </row>
    <row r="8412" spans="1:40" x14ac:dyDescent="0.25">
      <c r="A8412" t="str">
        <f>"20190305135125528"</f>
        <v>20190305135125528</v>
      </c>
      <c r="B8412" t="str">
        <f>"1551765085518239"</f>
        <v>1551765085518239</v>
      </c>
      <c r="C8412" t="s">
        <v>40</v>
      </c>
      <c r="D8412">
        <v>3.9390849999999999</v>
      </c>
      <c r="E8412">
        <v>0.52853890000000003</v>
      </c>
      <c r="F8412" t="s">
        <v>42</v>
      </c>
      <c r="G8412">
        <v>-109.71850000000001</v>
      </c>
      <c r="H8412" s="1">
        <v>-2.6430349999999999E-7</v>
      </c>
      <c r="I8412">
        <v>138.97</v>
      </c>
      <c r="J8412">
        <v>-138.0001</v>
      </c>
      <c r="K8412">
        <v>1.109426</v>
      </c>
      <c r="L8412">
        <v>136.4091</v>
      </c>
      <c r="M8412">
        <v>0.99876089999999995</v>
      </c>
      <c r="N8412">
        <v>-3.7280109999999998E-3</v>
      </c>
      <c r="O8412">
        <v>4.9627009999999999E-2</v>
      </c>
      <c r="P8412">
        <v>0.98402400000000001</v>
      </c>
      <c r="Q8412">
        <v>-6.2041869999999999E-2</v>
      </c>
      <c r="R8412">
        <v>0.16687669999999999</v>
      </c>
      <c r="S8412">
        <v>2.9955289999999999</v>
      </c>
      <c r="T8412">
        <v>-0.1157357</v>
      </c>
      <c r="U8412">
        <v>0.26933289999999999</v>
      </c>
      <c r="V8412">
        <v>-0.11760660000000001</v>
      </c>
      <c r="W8412">
        <v>-5.880983E-2</v>
      </c>
      <c r="X8412">
        <v>0.99131729999999996</v>
      </c>
      <c r="Y8412">
        <v>-4.0009549999999998E-2</v>
      </c>
      <c r="Z8412">
        <v>-8.8061300000000003E-4</v>
      </c>
      <c r="AA8412">
        <v>0.9991989</v>
      </c>
      <c r="AB8412">
        <v>44</v>
      </c>
      <c r="AC8412">
        <v>28.281600000000001</v>
      </c>
      <c r="AD8412">
        <v>-1.1094262643035</v>
      </c>
      <c r="AE8412">
        <v>2.5609000000000002</v>
      </c>
      <c r="AF8412">
        <v>-1.15244453420535</v>
      </c>
      <c r="AG8412">
        <v>-1.1094262643035</v>
      </c>
      <c r="AH8412">
        <v>28.330600948663498</v>
      </c>
      <c r="AI8412">
        <v>92.240705501037098</v>
      </c>
      <c r="AJ8412">
        <v>92.3294184029007</v>
      </c>
      <c r="AK8412">
        <v>28.375727394249399</v>
      </c>
      <c r="AL8412">
        <v>93.371500576322404</v>
      </c>
      <c r="AM8412">
        <v>96.765757790268594</v>
      </c>
      <c r="AN8412">
        <v>0.999999948873738</v>
      </c>
    </row>
    <row r="8413" spans="1:40" x14ac:dyDescent="0.25">
      <c r="A8413" t="str">
        <f>"20190305135125552"</f>
        <v>20190305135125552</v>
      </c>
      <c r="B8413" t="str">
        <f>"1551765085548494"</f>
        <v>1551765085548494</v>
      </c>
      <c r="C8413" t="s">
        <v>40</v>
      </c>
      <c r="D8413">
        <v>3.904766</v>
      </c>
      <c r="E8413">
        <v>0.52800970000000003</v>
      </c>
      <c r="F8413" t="s">
        <v>42</v>
      </c>
      <c r="G8413">
        <v>-109.12820000000001</v>
      </c>
      <c r="H8413" s="1">
        <v>-4.8099419999999996E-7</v>
      </c>
      <c r="I8413">
        <v>139.11799999999999</v>
      </c>
      <c r="J8413">
        <v>-137.5403</v>
      </c>
      <c r="K8413">
        <v>1.108949</v>
      </c>
      <c r="L8413">
        <v>136.4315</v>
      </c>
      <c r="M8413">
        <v>0.99877320000000003</v>
      </c>
      <c r="N8413">
        <v>-3.78327E-3</v>
      </c>
      <c r="O8413">
        <v>4.9374620000000001E-2</v>
      </c>
      <c r="P8413">
        <v>0.98418190000000005</v>
      </c>
      <c r="Q8413">
        <v>-5.9265419999999999E-2</v>
      </c>
      <c r="R8413">
        <v>0.1669535</v>
      </c>
      <c r="S8413">
        <v>2.9938349999999998</v>
      </c>
      <c r="T8413">
        <v>-0.1150405</v>
      </c>
      <c r="U8413">
        <v>0.28089899999999901</v>
      </c>
      <c r="V8413">
        <v>-0.118005399999999</v>
      </c>
      <c r="W8413">
        <v>-5.5834740000000001E-2</v>
      </c>
      <c r="X8413">
        <v>0.99144200000000005</v>
      </c>
      <c r="Y8413">
        <v>-4.4136380000000003E-2</v>
      </c>
      <c r="Z8413">
        <v>-7.747203E-4</v>
      </c>
      <c r="AA8413">
        <v>0.99902519999999995</v>
      </c>
      <c r="AB8413">
        <v>44</v>
      </c>
      <c r="AC8413">
        <v>28.412099999999899</v>
      </c>
      <c r="AD8413">
        <v>-1.1089494809942</v>
      </c>
      <c r="AE8413">
        <v>2.6864999999999899</v>
      </c>
      <c r="AF8413">
        <v>-1.2784463386404501</v>
      </c>
      <c r="AG8413">
        <v>-1.1089494809942</v>
      </c>
      <c r="AH8413">
        <v>28.467109179659602</v>
      </c>
      <c r="AI8413">
        <v>92.228611727491597</v>
      </c>
      <c r="AJ8413">
        <v>92.571402441371404</v>
      </c>
      <c r="AK8413">
        <v>28.517371881694199</v>
      </c>
      <c r="AL8413">
        <v>93.200759443305699</v>
      </c>
      <c r="AM8413">
        <v>96.787640631221905</v>
      </c>
      <c r="AN8413">
        <v>1.0000000159920099</v>
      </c>
    </row>
    <row r="8414" spans="1:40" x14ac:dyDescent="0.25">
      <c r="A8414" t="str">
        <f>"20190305135125573"</f>
        <v>20190305135125573</v>
      </c>
      <c r="B8414" t="str">
        <f>"1551765085568014"</f>
        <v>1551765085568014</v>
      </c>
      <c r="C8414" t="s">
        <v>40</v>
      </c>
      <c r="D8414">
        <v>3.870193</v>
      </c>
      <c r="E8414">
        <v>0.52808710000000003</v>
      </c>
      <c r="F8414" t="s">
        <v>42</v>
      </c>
      <c r="G8414">
        <v>-108.3835</v>
      </c>
      <c r="H8414" s="1">
        <v>-8.1742429999999995E-7</v>
      </c>
      <c r="I8414">
        <v>139.20580000000001</v>
      </c>
      <c r="J8414">
        <v>-137.0951</v>
      </c>
      <c r="K8414">
        <v>1.108471</v>
      </c>
      <c r="L8414">
        <v>136.4529</v>
      </c>
      <c r="M8414">
        <v>0.99881089999999995</v>
      </c>
      <c r="N8414">
        <v>-3.8401469999999999E-3</v>
      </c>
      <c r="O8414">
        <v>4.860159E-2</v>
      </c>
      <c r="P8414">
        <v>0.98467680000000002</v>
      </c>
      <c r="Q8414">
        <v>-5.6444939999999999E-2</v>
      </c>
      <c r="R8414">
        <v>0.1650027</v>
      </c>
      <c r="S8414">
        <v>2.9930729999999999</v>
      </c>
      <c r="T8414">
        <v>-0.11383840000000001</v>
      </c>
      <c r="U8414">
        <v>0.28478999999999999</v>
      </c>
      <c r="V8414">
        <v>-0.116872</v>
      </c>
      <c r="W8414">
        <v>-5.2811469999999999E-2</v>
      </c>
      <c r="X8414">
        <v>0.99174180000000001</v>
      </c>
      <c r="Y8414">
        <v>-4.6218210000000003E-2</v>
      </c>
      <c r="Z8414">
        <v>-6.9014360000000004E-4</v>
      </c>
      <c r="AA8414">
        <v>0.99893109999999996</v>
      </c>
      <c r="AB8414">
        <v>45</v>
      </c>
      <c r="AC8414">
        <v>28.711600000000001</v>
      </c>
      <c r="AD8414">
        <v>-1.1084718174243</v>
      </c>
      <c r="AE8414">
        <v>2.7529000000000101</v>
      </c>
      <c r="AF8414">
        <v>-1.35220992853251</v>
      </c>
      <c r="AG8414">
        <v>-1.1084718174243</v>
      </c>
      <c r="AH8414">
        <v>28.7689759149807</v>
      </c>
      <c r="AI8414">
        <v>92.204090313613406</v>
      </c>
      <c r="AJ8414">
        <v>92.691056637190698</v>
      </c>
      <c r="AK8414">
        <v>28.822060243112201</v>
      </c>
      <c r="AL8414">
        <v>93.027282793182493</v>
      </c>
      <c r="AM8414">
        <v>96.721033604636602</v>
      </c>
      <c r="AN8414">
        <v>0.99999995680739895</v>
      </c>
    </row>
    <row r="8415" spans="1:40" x14ac:dyDescent="0.25">
      <c r="A8415" t="str">
        <f>"20190305135125595"</f>
        <v>20190305135125595</v>
      </c>
      <c r="B8415" t="str">
        <f>"1551765085588510"</f>
        <v>1551765085588510</v>
      </c>
      <c r="C8415" t="s">
        <v>40</v>
      </c>
      <c r="D8415">
        <v>3.8983300000000001</v>
      </c>
      <c r="E8415">
        <v>0.52815059999999903</v>
      </c>
      <c r="F8415" t="s">
        <v>42</v>
      </c>
      <c r="G8415">
        <v>-106.6181</v>
      </c>
      <c r="H8415" s="1">
        <v>-1.638483E-6</v>
      </c>
      <c r="I8415">
        <v>139.2816</v>
      </c>
      <c r="J8415">
        <v>-136.6497</v>
      </c>
      <c r="K8415">
        <v>1.108004</v>
      </c>
      <c r="L8415">
        <v>136.47370000000001</v>
      </c>
      <c r="M8415">
        <v>0.99886730000000001</v>
      </c>
      <c r="N8415">
        <v>-3.8974360000000002E-3</v>
      </c>
      <c r="O8415">
        <v>4.742466E-2</v>
      </c>
      <c r="P8415">
        <v>0.98530859999999998</v>
      </c>
      <c r="Q8415">
        <v>-5.4511230000000001E-2</v>
      </c>
      <c r="R8415">
        <v>0.16185069999999999</v>
      </c>
      <c r="S8415">
        <v>2.9938660000000001</v>
      </c>
      <c r="T8415">
        <v>-0.10888929999999999</v>
      </c>
      <c r="U8415">
        <v>0.27787779999999901</v>
      </c>
      <c r="V8415">
        <v>-0.11492330000000001</v>
      </c>
      <c r="W8415">
        <v>-5.0683520000000003E-2</v>
      </c>
      <c r="X8415">
        <v>0.99208059999999998</v>
      </c>
      <c r="Y8415">
        <v>-4.5084480000000003E-2</v>
      </c>
      <c r="Z8415">
        <v>-6.2871279999999997E-4</v>
      </c>
      <c r="AA8415">
        <v>0.99898299999999995</v>
      </c>
      <c r="AB8415">
        <v>45</v>
      </c>
      <c r="AC8415">
        <v>30.031600000000001</v>
      </c>
      <c r="AD8415">
        <v>-1.1080056384829999</v>
      </c>
      <c r="AE8415">
        <v>2.8078999999999801</v>
      </c>
      <c r="AF8415">
        <v>-1.3786310875166199</v>
      </c>
      <c r="AG8415">
        <v>-1.1080056384829999</v>
      </c>
      <c r="AH8415">
        <v>30.090368647276001</v>
      </c>
      <c r="AI8415">
        <v>92.106618960563694</v>
      </c>
      <c r="AJ8415">
        <v>92.623249422874494</v>
      </c>
      <c r="AK8415">
        <v>30.1423055770349</v>
      </c>
      <c r="AL8415">
        <v>92.905196367313295</v>
      </c>
      <c r="AM8415">
        <v>96.607731065253205</v>
      </c>
      <c r="AN8415">
        <v>1.00000005048941</v>
      </c>
    </row>
    <row r="8416" spans="1:40" x14ac:dyDescent="0.25">
      <c r="A8416" t="str">
        <f>"20190305135125618"</f>
        <v>20190305135125618</v>
      </c>
      <c r="B8416" t="str">
        <f>"1551765085608030"</f>
        <v>1551765085608030</v>
      </c>
      <c r="C8416" t="s">
        <v>40</v>
      </c>
      <c r="D8416">
        <v>3.9031310000000001</v>
      </c>
      <c r="E8416">
        <v>0.52810900000000005</v>
      </c>
      <c r="F8416" t="s">
        <v>42</v>
      </c>
      <c r="G8416">
        <v>-105.6991</v>
      </c>
      <c r="H8416" s="1">
        <v>-2.0805689999999998E-6</v>
      </c>
      <c r="I8416">
        <v>139.23849999999999</v>
      </c>
      <c r="J8416">
        <v>-136.19550000000001</v>
      </c>
      <c r="K8416">
        <v>1.1075489999999999</v>
      </c>
      <c r="L8416">
        <v>136.49420000000001</v>
      </c>
      <c r="M8416">
        <v>0.99893980000000004</v>
      </c>
      <c r="N8416">
        <v>-3.9544659999999898E-3</v>
      </c>
      <c r="O8416">
        <v>4.5867049999999999E-2</v>
      </c>
      <c r="P8416">
        <v>0.98604539999999996</v>
      </c>
      <c r="Q8416">
        <v>-5.439099E-2</v>
      </c>
      <c r="R8416">
        <v>0.15734089999999901</v>
      </c>
      <c r="S8416">
        <v>2.9948730000000001</v>
      </c>
      <c r="T8416">
        <v>-0.107214</v>
      </c>
      <c r="U8416">
        <v>0.2675323</v>
      </c>
      <c r="V8416">
        <v>-0.1119869</v>
      </c>
      <c r="W8416">
        <v>-5.0380260000000003E-2</v>
      </c>
      <c r="X8416">
        <v>0.99243179999999998</v>
      </c>
      <c r="Y8416">
        <v>-4.3189239999999997E-2</v>
      </c>
      <c r="Z8416">
        <v>-5.9895779999999995E-4</v>
      </c>
      <c r="AA8416">
        <v>0.99906669999999997</v>
      </c>
      <c r="AB8416">
        <v>45</v>
      </c>
      <c r="AC8416">
        <v>30.496400000000001</v>
      </c>
      <c r="AD8416">
        <v>-1.1075510805690001</v>
      </c>
      <c r="AE8416">
        <v>2.74429999999998</v>
      </c>
      <c r="AF8416">
        <v>-1.34086664979935</v>
      </c>
      <c r="AG8416">
        <v>-1.1075510805690001</v>
      </c>
      <c r="AH8416">
        <v>30.5502068680455</v>
      </c>
      <c r="AI8416">
        <v>92.074266449257706</v>
      </c>
      <c r="AJ8416">
        <v>92.513132728362706</v>
      </c>
      <c r="AK8416">
        <v>30.599668829073799</v>
      </c>
      <c r="AL8416">
        <v>92.887798604660802</v>
      </c>
      <c r="AM8416">
        <v>96.438074158812597</v>
      </c>
      <c r="AN8416">
        <v>1.0000000570102501</v>
      </c>
    </row>
    <row r="8417" spans="1:40" x14ac:dyDescent="0.25">
      <c r="A8417" t="str">
        <f>"20190305135125642"</f>
        <v>20190305135125642</v>
      </c>
      <c r="B8417" t="str">
        <f>"1551765085638286"</f>
        <v>1551765085638286</v>
      </c>
      <c r="C8417" t="s">
        <v>40</v>
      </c>
      <c r="D8417">
        <v>3.8651239999999998</v>
      </c>
      <c r="E8417">
        <v>0.52452779999999999</v>
      </c>
      <c r="F8417" t="s">
        <v>42</v>
      </c>
      <c r="G8417">
        <v>-106.3951</v>
      </c>
      <c r="H8417" s="1">
        <v>-1.790368E-6</v>
      </c>
      <c r="I8417">
        <v>139.0196</v>
      </c>
      <c r="J8417">
        <v>-135.7236</v>
      </c>
      <c r="K8417">
        <v>1.1071</v>
      </c>
      <c r="L8417">
        <v>136.5147</v>
      </c>
      <c r="M8417">
        <v>0.99902630000000003</v>
      </c>
      <c r="N8417">
        <v>-4.0115300000000001E-3</v>
      </c>
      <c r="O8417">
        <v>4.393383E-2</v>
      </c>
      <c r="P8417">
        <v>0.98690160000000005</v>
      </c>
      <c r="Q8417">
        <v>-5.4568980000000003E-2</v>
      </c>
      <c r="R8417">
        <v>0.1518138</v>
      </c>
      <c r="S8417">
        <v>2.9958040000000001</v>
      </c>
      <c r="T8417">
        <v>-0.1113411</v>
      </c>
      <c r="U8417">
        <v>0.25387569999999998</v>
      </c>
      <c r="V8417">
        <v>-0.10840139999999999</v>
      </c>
      <c r="W8417">
        <v>-5.0387830000000002E-2</v>
      </c>
      <c r="X8417">
        <v>0.99282939999999997</v>
      </c>
      <c r="Y8417">
        <v>-4.0575420000000001E-2</v>
      </c>
      <c r="Z8417">
        <v>-6.182421E-4</v>
      </c>
      <c r="AA8417">
        <v>0.99917630000000002</v>
      </c>
      <c r="AB8417">
        <v>45</v>
      </c>
      <c r="AC8417">
        <v>29.328499999999998</v>
      </c>
      <c r="AD8417">
        <v>-1.107101790368</v>
      </c>
      <c r="AE8417">
        <v>2.5048999999999899</v>
      </c>
      <c r="AF8417">
        <v>-1.2122426624112299</v>
      </c>
      <c r="AG8417">
        <v>-1.107101790368</v>
      </c>
      <c r="AH8417">
        <v>29.368686504932899</v>
      </c>
      <c r="AI8417">
        <v>92.157003094875407</v>
      </c>
      <c r="AJ8417">
        <v>92.363639338856999</v>
      </c>
      <c r="AK8417">
        <v>29.414536434760102</v>
      </c>
      <c r="AL8417">
        <v>92.888233029189195</v>
      </c>
      <c r="AM8417">
        <v>96.231117951022995</v>
      </c>
      <c r="AN8417">
        <v>1.0000000072192099</v>
      </c>
    </row>
    <row r="8418" spans="1:40" x14ac:dyDescent="0.25">
      <c r="A8418" t="str">
        <f>"20190305135125662"</f>
        <v>20190305135125662</v>
      </c>
      <c r="B8418" t="str">
        <f>"1551765085657806"</f>
        <v>1551765085657806</v>
      </c>
      <c r="C8418" t="s">
        <v>40</v>
      </c>
      <c r="D8418">
        <v>3.864106</v>
      </c>
      <c r="E8418">
        <v>0.5255417</v>
      </c>
      <c r="F8418" t="s">
        <v>42</v>
      </c>
      <c r="G8418">
        <v>-116.292</v>
      </c>
      <c r="H8418" s="1">
        <v>-1.8221140000000001E-6</v>
      </c>
      <c r="I8418">
        <v>138.21209999999999</v>
      </c>
      <c r="J8418">
        <v>-135.30189999999999</v>
      </c>
      <c r="K8418">
        <v>1.1067359999999999</v>
      </c>
      <c r="L8418">
        <v>136.53219999999999</v>
      </c>
      <c r="M8418">
        <v>0.99910969999999999</v>
      </c>
      <c r="N8418">
        <v>-4.0601789999999997E-3</v>
      </c>
      <c r="O8418">
        <v>4.1995119999999997E-2</v>
      </c>
      <c r="P8418">
        <v>0.98778259999999996</v>
      </c>
      <c r="Q8418">
        <v>-5.5370379999999997E-2</v>
      </c>
      <c r="R8418">
        <v>0.1456713</v>
      </c>
      <c r="S8418">
        <v>2.9902190000000002</v>
      </c>
      <c r="T8418">
        <v>-0.17036499999999999</v>
      </c>
      <c r="U8418">
        <v>0.26119999999999999</v>
      </c>
      <c r="V8418">
        <v>-0.1041986</v>
      </c>
      <c r="W8418">
        <v>-5.1057739999999997E-2</v>
      </c>
      <c r="X8418">
        <v>0.99324509999999999</v>
      </c>
      <c r="Y8418">
        <v>-4.508765E-2</v>
      </c>
      <c r="Z8418">
        <v>-8.4164739999999997E-4</v>
      </c>
      <c r="AA8418">
        <v>0.9989827</v>
      </c>
      <c r="AB8418">
        <v>45</v>
      </c>
      <c r="AC8418">
        <v>19.009899999999899</v>
      </c>
      <c r="AD8418">
        <v>-1.1067378221140001</v>
      </c>
      <c r="AE8418">
        <v>1.6798999999999999</v>
      </c>
      <c r="AF8418">
        <v>-0.87713850546834504</v>
      </c>
      <c r="AG8418">
        <v>-1.1067378221140001</v>
      </c>
      <c r="AH8418">
        <v>18.9997777898324</v>
      </c>
      <c r="AI8418">
        <v>93.330175491950897</v>
      </c>
      <c r="AJ8418">
        <v>92.643224421493699</v>
      </c>
      <c r="AK8418">
        <v>19.052186137755498</v>
      </c>
      <c r="AL8418">
        <v>92.926665435719997</v>
      </c>
      <c r="AM8418">
        <v>95.988835979258596</v>
      </c>
      <c r="AN8418">
        <v>1.0000000348649301</v>
      </c>
    </row>
    <row r="8419" spans="1:40" x14ac:dyDescent="0.25">
      <c r="A8419" t="str">
        <f>"20190305135125685"</f>
        <v>20190305135125685</v>
      </c>
      <c r="B8419" t="str">
        <f>"1551765085678302"</f>
        <v>1551765085678302</v>
      </c>
      <c r="C8419" t="s">
        <v>40</v>
      </c>
      <c r="D8419">
        <v>4.5838999999999999</v>
      </c>
      <c r="E8419">
        <v>0.52601900000000001</v>
      </c>
      <c r="F8419" t="s">
        <v>42</v>
      </c>
      <c r="G8419">
        <v>-115.70480000000001</v>
      </c>
      <c r="H8419" s="1">
        <v>-2.0992090000000002E-6</v>
      </c>
      <c r="I8419">
        <v>138.07</v>
      </c>
      <c r="J8419">
        <v>-134.84139999999999</v>
      </c>
      <c r="K8419">
        <v>1.1063780000000001</v>
      </c>
      <c r="L8419">
        <v>136.5504</v>
      </c>
      <c r="M8419">
        <v>0.99920249999999999</v>
      </c>
      <c r="N8419">
        <v>-4.1107009999999996E-3</v>
      </c>
      <c r="O8419">
        <v>3.9717669999999997E-2</v>
      </c>
      <c r="P8419">
        <v>0.98868630000000002</v>
      </c>
      <c r="Q8419">
        <v>-5.6559409999999997E-2</v>
      </c>
      <c r="R8419">
        <v>0.1389263</v>
      </c>
      <c r="S8419">
        <v>2.9929960000000002</v>
      </c>
      <c r="T8419">
        <v>-0.16902790000000001</v>
      </c>
      <c r="U8419">
        <v>0.2348633</v>
      </c>
      <c r="V8419">
        <v>-9.9732029999999999E-2</v>
      </c>
      <c r="W8419">
        <v>-5.2124110000000001E-2</v>
      </c>
      <c r="X8419">
        <v>0.99364810000000003</v>
      </c>
      <c r="Y8419">
        <v>-3.856097E-2</v>
      </c>
      <c r="Z8419">
        <v>-9.0774490000000002E-4</v>
      </c>
      <c r="AA8419">
        <v>0.99925580000000003</v>
      </c>
      <c r="AB8419">
        <v>45</v>
      </c>
      <c r="AC8419">
        <v>19.136599999999898</v>
      </c>
      <c r="AD8419">
        <v>-1.106380099209</v>
      </c>
      <c r="AE8419">
        <v>1.5195999999999901</v>
      </c>
      <c r="AF8419">
        <v>-0.75582280002440505</v>
      </c>
      <c r="AG8419">
        <v>-1.106380099209</v>
      </c>
      <c r="AH8419">
        <v>19.1183515425483</v>
      </c>
      <c r="AI8419">
        <v>93.309436644051402</v>
      </c>
      <c r="AJ8419">
        <v>92.263946053526794</v>
      </c>
      <c r="AK8419">
        <v>19.165247473837201</v>
      </c>
      <c r="AL8419">
        <v>92.987845593277896</v>
      </c>
      <c r="AM8419">
        <v>95.7315573748578</v>
      </c>
      <c r="AN8419">
        <v>0.999999973642411</v>
      </c>
    </row>
    <row r="8420" spans="1:40" x14ac:dyDescent="0.25">
      <c r="A8420" t="str">
        <f>"20190305135125706"</f>
        <v>20190305135125706</v>
      </c>
      <c r="B8420" t="str">
        <f>"1551765085697823"</f>
        <v>1551765085697823</v>
      </c>
      <c r="C8420" t="s">
        <v>40</v>
      </c>
      <c r="D8420">
        <v>3.9414220000000002</v>
      </c>
      <c r="E8420">
        <v>0.52629059999999905</v>
      </c>
      <c r="F8420" t="s">
        <v>42</v>
      </c>
      <c r="G8420">
        <v>-115.5737</v>
      </c>
      <c r="H8420" s="1">
        <v>-2.1845949999999999E-6</v>
      </c>
      <c r="I8420">
        <v>137.9059</v>
      </c>
      <c r="J8420">
        <v>-134.3879</v>
      </c>
      <c r="K8420">
        <v>1.10607099999999</v>
      </c>
      <c r="L8420">
        <v>136.56720000000001</v>
      </c>
      <c r="M8420">
        <v>0.99929310000000005</v>
      </c>
      <c r="N8420">
        <v>-4.1581129999999997E-3</v>
      </c>
      <c r="O8420">
        <v>3.7360520000000001E-2</v>
      </c>
      <c r="P8420">
        <v>0.98938110000000001</v>
      </c>
      <c r="Q8420">
        <v>-5.7971229999999999E-2</v>
      </c>
      <c r="R8420">
        <v>0.13328329999999999</v>
      </c>
      <c r="S8420">
        <v>2.994888</v>
      </c>
      <c r="T8420">
        <v>-0.1719704</v>
      </c>
      <c r="U8420">
        <v>0.2106934</v>
      </c>
      <c r="V8420">
        <v>-9.6453639999999993E-2</v>
      </c>
      <c r="W8420">
        <v>-5.3430560000000002E-2</v>
      </c>
      <c r="X8420">
        <v>0.99390230000000002</v>
      </c>
      <c r="Y8420">
        <v>-3.2854710000000002E-2</v>
      </c>
      <c r="Z8420">
        <v>-9.748968E-4</v>
      </c>
      <c r="AA8420">
        <v>0.99945969999999995</v>
      </c>
      <c r="AB8420">
        <v>45</v>
      </c>
      <c r="AC8420">
        <v>18.8142</v>
      </c>
      <c r="AD8420">
        <v>-1.10607318459499</v>
      </c>
      <c r="AE8420">
        <v>1.33869999999998</v>
      </c>
      <c r="AF8420">
        <v>-0.63267530578152797</v>
      </c>
      <c r="AG8420">
        <v>-1.10607318459499</v>
      </c>
      <c r="AH8420">
        <v>18.7864772865058</v>
      </c>
      <c r="AI8420">
        <v>93.367553576513103</v>
      </c>
      <c r="AJ8420">
        <v>91.928830477384906</v>
      </c>
      <c r="AK8420">
        <v>18.829641652687499</v>
      </c>
      <c r="AL8420">
        <v>93.062804196191195</v>
      </c>
      <c r="AM8420">
        <v>95.542934202142703</v>
      </c>
      <c r="AN8420">
        <v>0.99999995567822497</v>
      </c>
    </row>
    <row r="8421" spans="1:40" x14ac:dyDescent="0.25">
      <c r="A8421" t="str">
        <f>"20190305135125729"</f>
        <v>20190305135125729</v>
      </c>
      <c r="B8421" t="str">
        <f>"1551765085718318"</f>
        <v>1551765085718318</v>
      </c>
      <c r="C8421" t="s">
        <v>40</v>
      </c>
      <c r="D8421">
        <v>4.2588699999999999</v>
      </c>
      <c r="E8421">
        <v>0.52632559999999995</v>
      </c>
      <c r="F8421" t="s">
        <v>42</v>
      </c>
      <c r="G8421">
        <v>-115.2968</v>
      </c>
      <c r="H8421" s="1">
        <v>-2.3243389999999999E-6</v>
      </c>
      <c r="I8421">
        <v>137.7878</v>
      </c>
      <c r="J8421">
        <v>-133.9324</v>
      </c>
      <c r="K8421">
        <v>1.1058049999999999</v>
      </c>
      <c r="L8421">
        <v>136.5831</v>
      </c>
      <c r="M8421">
        <v>0.99938139999999998</v>
      </c>
      <c r="N8421">
        <v>-4.2040089999999999E-3</v>
      </c>
      <c r="O8421">
        <v>3.4918499999999998E-2</v>
      </c>
      <c r="P8421">
        <v>0.98986200000000002</v>
      </c>
      <c r="Q8421">
        <v>-5.9194419999999998E-2</v>
      </c>
      <c r="R8421">
        <v>0.12911010000000001</v>
      </c>
      <c r="S8421">
        <v>2.996216</v>
      </c>
      <c r="T8421">
        <v>-0.1735901</v>
      </c>
      <c r="U8421">
        <v>0.1915588</v>
      </c>
      <c r="V8421">
        <v>-9.4733059999999994E-2</v>
      </c>
      <c r="W8421">
        <v>-5.455612E-2</v>
      </c>
      <c r="X8421">
        <v>0.99400670000000002</v>
      </c>
      <c r="Y8421">
        <v>-2.8915079999999999E-2</v>
      </c>
      <c r="Z8421">
        <v>-9.74872E-4</v>
      </c>
      <c r="AA8421">
        <v>0.99958139999999995</v>
      </c>
      <c r="AB8421">
        <v>46</v>
      </c>
      <c r="AC8421">
        <v>18.6356</v>
      </c>
      <c r="AD8421">
        <v>-1.1058073243390001</v>
      </c>
      <c r="AE8421">
        <v>1.2047000000000001</v>
      </c>
      <c r="AF8421">
        <v>-0.55129934498440003</v>
      </c>
      <c r="AG8421">
        <v>-1.1058073243390001</v>
      </c>
      <c r="AH8421">
        <v>18.601079052017599</v>
      </c>
      <c r="AI8421">
        <v>93.400657599648696</v>
      </c>
      <c r="AJ8421">
        <v>91.697637091565198</v>
      </c>
      <c r="AK8421">
        <v>18.642072918689799</v>
      </c>
      <c r="AL8421">
        <v>93.127388043804601</v>
      </c>
      <c r="AM8421">
        <v>95.444088151724102</v>
      </c>
      <c r="AN8421">
        <v>1.0000000212656499</v>
      </c>
    </row>
    <row r="8422" spans="1:40" x14ac:dyDescent="0.25">
      <c r="A8422" t="str">
        <f>"20190305135125752"</f>
        <v>20190305135125752</v>
      </c>
      <c r="B8422" t="str">
        <f>"1551765085747602"</f>
        <v>1551765085747602</v>
      </c>
      <c r="C8422" t="s">
        <v>40</v>
      </c>
      <c r="D8422">
        <v>3.8556599999999999</v>
      </c>
      <c r="E8422">
        <v>0.52555640000000003</v>
      </c>
      <c r="F8422" t="s">
        <v>42</v>
      </c>
      <c r="G8422">
        <v>-115.1876</v>
      </c>
      <c r="H8422" s="1">
        <v>-2.3865809999999998E-6</v>
      </c>
      <c r="I8422">
        <v>137.70079999999999</v>
      </c>
      <c r="J8422">
        <v>-133.4691</v>
      </c>
      <c r="K8422">
        <v>1.1055820000000001</v>
      </c>
      <c r="L8422">
        <v>136.59799999999899</v>
      </c>
      <c r="M8422">
        <v>0.99946650000000004</v>
      </c>
      <c r="N8422">
        <v>-4.2531560000000001E-3</v>
      </c>
      <c r="O8422">
        <v>3.2382859999999999E-2</v>
      </c>
      <c r="P8422">
        <v>0.99017370000000005</v>
      </c>
      <c r="Q8422">
        <v>-6.0518210000000003E-2</v>
      </c>
      <c r="R8422">
        <v>0.12607090000000001</v>
      </c>
      <c r="S8422">
        <v>2.9968569999999999</v>
      </c>
      <c r="T8422">
        <v>-0.176792899999999</v>
      </c>
      <c r="U8422">
        <v>0.17869570000000001</v>
      </c>
      <c r="V8422">
        <v>-9.4242709999999993E-2</v>
      </c>
      <c r="W8422">
        <v>-5.5782459999999999E-2</v>
      </c>
      <c r="X8422">
        <v>0.99398520000000001</v>
      </c>
      <c r="Y8422">
        <v>-2.7162849999999999E-2</v>
      </c>
      <c r="Z8422">
        <v>-9.110775E-4</v>
      </c>
      <c r="AA8422">
        <v>0.99963060000000004</v>
      </c>
      <c r="AB8422">
        <v>46</v>
      </c>
      <c r="AC8422">
        <v>18.281499999999902</v>
      </c>
      <c r="AD8422">
        <v>-1.105584386581</v>
      </c>
      <c r="AE8422">
        <v>1.1028</v>
      </c>
      <c r="AF8422">
        <v>-0.50835654026809396</v>
      </c>
      <c r="AG8422">
        <v>-1.105584386581</v>
      </c>
      <c r="AH8422">
        <v>18.2411525928513</v>
      </c>
      <c r="AI8422">
        <v>93.467074163370299</v>
      </c>
      <c r="AJ8422">
        <v>91.596343601396796</v>
      </c>
      <c r="AK8422">
        <v>18.281695521027899</v>
      </c>
      <c r="AL8422">
        <v>93.197759477041004</v>
      </c>
      <c r="AM8422">
        <v>95.416193331861393</v>
      </c>
      <c r="AN8422">
        <v>0.999999974525417</v>
      </c>
    </row>
    <row r="8423" spans="1:40" x14ac:dyDescent="0.25">
      <c r="A8423" t="str">
        <f>"20190305135125773"</f>
        <v>20190305135125773</v>
      </c>
      <c r="B8423" t="str">
        <f>"1551765085768094"</f>
        <v>1551765085768094</v>
      </c>
      <c r="C8423" t="s">
        <v>40</v>
      </c>
      <c r="D8423">
        <v>3.8477939999999999</v>
      </c>
      <c r="E8423">
        <v>0.52493480000000003</v>
      </c>
      <c r="F8423" t="s">
        <v>42</v>
      </c>
      <c r="G8423">
        <v>-115.2542</v>
      </c>
      <c r="H8423" s="1">
        <v>-2.3643949999999998E-6</v>
      </c>
      <c r="I8423">
        <v>137.66480000000001</v>
      </c>
      <c r="J8423">
        <v>-133.0052</v>
      </c>
      <c r="K8423">
        <v>1.105407</v>
      </c>
      <c r="L8423">
        <v>136.61179999999999</v>
      </c>
      <c r="M8423">
        <v>0.99954620000000005</v>
      </c>
      <c r="N8423">
        <v>-4.3170769999999999E-3</v>
      </c>
      <c r="O8423">
        <v>2.9814360000000002E-2</v>
      </c>
      <c r="P8423">
        <v>0.99032410000000004</v>
      </c>
      <c r="Q8423">
        <v>-6.0490000000000002E-2</v>
      </c>
      <c r="R8423">
        <v>0.1248977</v>
      </c>
      <c r="S8423">
        <v>2.9963229999999998</v>
      </c>
      <c r="T8423">
        <v>-0.18186659999999999</v>
      </c>
      <c r="U8423">
        <v>0.17549129999999999</v>
      </c>
      <c r="V8423">
        <v>-9.5644930000000003E-2</v>
      </c>
      <c r="W8423">
        <v>-5.56385E-2</v>
      </c>
      <c r="X8423">
        <v>0.99385939999999995</v>
      </c>
      <c r="Y8423">
        <v>-2.866991E-2</v>
      </c>
      <c r="Z8423">
        <v>-7.4675449999999895E-4</v>
      </c>
      <c r="AA8423">
        <v>0.9995887</v>
      </c>
      <c r="AB8423">
        <v>46</v>
      </c>
      <c r="AC8423">
        <v>17.751000000000001</v>
      </c>
      <c r="AD8423">
        <v>-1.105409364395</v>
      </c>
      <c r="AE8423">
        <v>1.0530000000000199</v>
      </c>
      <c r="AF8423">
        <v>-0.52127789044542505</v>
      </c>
      <c r="AG8423">
        <v>-1.105409364395</v>
      </c>
      <c r="AH8423">
        <v>17.706081239104599</v>
      </c>
      <c r="AI8423">
        <v>93.570856398376407</v>
      </c>
      <c r="AJ8423">
        <v>91.686335789365401</v>
      </c>
      <c r="AK8423">
        <v>17.748210426624201</v>
      </c>
      <c r="AL8423">
        <v>93.189498101958407</v>
      </c>
      <c r="AM8423">
        <v>95.496981430118694</v>
      </c>
      <c r="AN8423">
        <v>1.0000000511426499</v>
      </c>
    </row>
    <row r="8424" spans="1:40" x14ac:dyDescent="0.25">
      <c r="A8424" t="str">
        <f>"20190305135125796"</f>
        <v>20190305135125796</v>
      </c>
      <c r="B8424" t="str">
        <f>"1551765085787615"</f>
        <v>1551765085787615</v>
      </c>
      <c r="C8424" t="s">
        <v>40</v>
      </c>
      <c r="D8424">
        <v>3.8359839999999998</v>
      </c>
      <c r="E8424">
        <v>0.52444829999999998</v>
      </c>
      <c r="F8424" t="s">
        <v>42</v>
      </c>
      <c r="G8424">
        <v>-114.9614</v>
      </c>
      <c r="H8424" s="1">
        <v>-2.4881220000000001E-6</v>
      </c>
      <c r="I8424">
        <v>137.6755</v>
      </c>
      <c r="J8424">
        <v>-132.54769999999999</v>
      </c>
      <c r="K8424">
        <v>1.1052630000000001</v>
      </c>
      <c r="L8424">
        <v>136.6242</v>
      </c>
      <c r="M8424">
        <v>0.99961849999999997</v>
      </c>
      <c r="N8424">
        <v>-4.4043069999999997E-3</v>
      </c>
      <c r="O8424">
        <v>2.7264690000000001E-2</v>
      </c>
      <c r="P8424">
        <v>0.99047909999999995</v>
      </c>
      <c r="Q8424">
        <v>-5.8818210000000003E-2</v>
      </c>
      <c r="R8424">
        <v>0.1244653</v>
      </c>
      <c r="S8424">
        <v>2.9958040000000001</v>
      </c>
      <c r="T8424">
        <v>-0.18353059999999999</v>
      </c>
      <c r="U8424">
        <v>0.17660519999999999</v>
      </c>
      <c r="V8424">
        <v>-9.7754309999999997E-2</v>
      </c>
      <c r="W8424">
        <v>-5.3828059999999997E-2</v>
      </c>
      <c r="X8424">
        <v>0.99375380000000002</v>
      </c>
      <c r="Y8424">
        <v>-3.1589699999999998E-2</v>
      </c>
      <c r="Z8424">
        <v>-5.1131169999999999E-4</v>
      </c>
      <c r="AA8424">
        <v>0.99950079999999997</v>
      </c>
      <c r="AB8424">
        <v>46</v>
      </c>
      <c r="AC8424">
        <v>17.586299999999898</v>
      </c>
      <c r="AD8424">
        <v>-1.1052654881220001</v>
      </c>
      <c r="AE8424">
        <v>1.0512999999999899</v>
      </c>
      <c r="AF8424">
        <v>-0.569179293853742</v>
      </c>
      <c r="AG8424">
        <v>-1.1052654881220001</v>
      </c>
      <c r="AH8424">
        <v>17.5393939323898</v>
      </c>
      <c r="AI8424">
        <v>93.603900774713097</v>
      </c>
      <c r="AJ8424">
        <v>91.858680576117393</v>
      </c>
      <c r="AK8424">
        <v>17.5833988859759</v>
      </c>
      <c r="AL8424">
        <v>93.085611985970502</v>
      </c>
      <c r="AM8424">
        <v>95.618039392537995</v>
      </c>
      <c r="AN8424">
        <v>0.99999999009068896</v>
      </c>
    </row>
    <row r="8425" spans="1:40" x14ac:dyDescent="0.25">
      <c r="A8425" t="str">
        <f>"20190305135125819"</f>
        <v>20190305135125819</v>
      </c>
      <c r="B8425" t="str">
        <f>"1551765085808111"</f>
        <v>1551765085808111</v>
      </c>
      <c r="C8425" t="s">
        <v>40</v>
      </c>
      <c r="D8425">
        <v>3.9206409999999998</v>
      </c>
      <c r="E8425">
        <v>0.52405760000000001</v>
      </c>
      <c r="F8425" t="s">
        <v>42</v>
      </c>
      <c r="G8425">
        <v>-114.13290000000001</v>
      </c>
      <c r="H8425" s="1">
        <v>-2.8346669999999999E-6</v>
      </c>
      <c r="I8425">
        <v>137.72559999999999</v>
      </c>
      <c r="J8425">
        <v>-132.0624</v>
      </c>
      <c r="K8425">
        <v>1.105156</v>
      </c>
      <c r="L8425">
        <v>136.6361</v>
      </c>
      <c r="M8425">
        <v>0.99968800000000002</v>
      </c>
      <c r="N8425">
        <v>-4.5767710000000003E-3</v>
      </c>
      <c r="O8425">
        <v>2.4555489999999999E-2</v>
      </c>
      <c r="P8425">
        <v>0.99058179999999996</v>
      </c>
      <c r="Q8425">
        <v>-5.6318720000000003E-2</v>
      </c>
      <c r="R8425">
        <v>0.12480430000000001</v>
      </c>
      <c r="S8425">
        <v>2.9956360000000002</v>
      </c>
      <c r="T8425">
        <v>-0.1797996</v>
      </c>
      <c r="U8425">
        <v>0.17916869999999999</v>
      </c>
      <c r="V8425">
        <v>-0.1007859</v>
      </c>
      <c r="W8425">
        <v>-5.1099459999999999E-2</v>
      </c>
      <c r="X8425">
        <v>0.99359500000000001</v>
      </c>
      <c r="Y8425">
        <v>-3.5142989999999999E-2</v>
      </c>
      <c r="Z8425">
        <v>-2.2526100000000001E-4</v>
      </c>
      <c r="AA8425">
        <v>0.99938229999999995</v>
      </c>
      <c r="AB8425">
        <v>46</v>
      </c>
      <c r="AC8425">
        <v>17.929499999999901</v>
      </c>
      <c r="AD8425">
        <v>-1.105158834667</v>
      </c>
      <c r="AE8425">
        <v>1.0894999999999799</v>
      </c>
      <c r="AF8425">
        <v>-0.64645212576773503</v>
      </c>
      <c r="AG8425">
        <v>-1.105158834667</v>
      </c>
      <c r="AH8425">
        <v>17.883152087454299</v>
      </c>
      <c r="AI8425">
        <v>93.534015547030094</v>
      </c>
      <c r="AJ8425">
        <v>92.070264663198898</v>
      </c>
      <c r="AK8425">
        <v>17.9289264872098</v>
      </c>
      <c r="AL8425">
        <v>92.929059076643398</v>
      </c>
      <c r="AM8425">
        <v>95.792020651075006</v>
      </c>
      <c r="AN8425">
        <v>0.99999998823805003</v>
      </c>
    </row>
    <row r="8426" spans="1:40" x14ac:dyDescent="0.25">
      <c r="A8426" t="str">
        <f>"20190305135125843"</f>
        <v>20190305135125843</v>
      </c>
      <c r="B8426" t="str">
        <f>"1551765085838367"</f>
        <v>1551765085838367</v>
      </c>
      <c r="C8426" t="s">
        <v>40</v>
      </c>
      <c r="D8426">
        <v>3.9210929999999999</v>
      </c>
      <c r="E8426">
        <v>0.52348589999999995</v>
      </c>
      <c r="F8426" t="s">
        <v>42</v>
      </c>
      <c r="G8426">
        <v>-113.01260000000001</v>
      </c>
      <c r="H8426" s="1">
        <v>-3.3019589999999998E-6</v>
      </c>
      <c r="I8426">
        <v>137.80070000000001</v>
      </c>
      <c r="J8426">
        <v>-131.58670000000001</v>
      </c>
      <c r="K8426">
        <v>1.1051</v>
      </c>
      <c r="L8426">
        <v>136.6464</v>
      </c>
      <c r="M8426">
        <v>0.99974810000000003</v>
      </c>
      <c r="N8426">
        <v>-4.9024519999999999E-3</v>
      </c>
      <c r="O8426">
        <v>2.1903909999999999E-2</v>
      </c>
      <c r="P8426">
        <v>0.99069110000000005</v>
      </c>
      <c r="Q8426">
        <v>-5.4709649999999999E-2</v>
      </c>
      <c r="R8426">
        <v>0.12465179999999999</v>
      </c>
      <c r="S8426">
        <v>2.9955750000000001</v>
      </c>
      <c r="T8426">
        <v>-0.1737852</v>
      </c>
      <c r="U8426">
        <v>0.18313599999999999</v>
      </c>
      <c r="V8426">
        <v>-0.103269899999999</v>
      </c>
      <c r="W8426">
        <v>-4.911451E-2</v>
      </c>
      <c r="X8426">
        <v>0.99343999999999999</v>
      </c>
      <c r="Y8426">
        <v>-3.9103279999999997E-2</v>
      </c>
      <c r="Z8426" s="1">
        <v>6.7318439999999998E-5</v>
      </c>
      <c r="AA8426">
        <v>0.99923519999999999</v>
      </c>
      <c r="AB8426">
        <v>46</v>
      </c>
      <c r="AC8426">
        <v>18.574100000000001</v>
      </c>
      <c r="AD8426">
        <v>-1.105103301959</v>
      </c>
      <c r="AE8426">
        <v>1.1543000000000001</v>
      </c>
      <c r="AF8426">
        <v>-0.74454728824208405</v>
      </c>
      <c r="AG8426">
        <v>-1.105103301959</v>
      </c>
      <c r="AH8426">
        <v>18.529587177454999</v>
      </c>
      <c r="AI8426">
        <v>93.4103280245224</v>
      </c>
      <c r="AJ8426">
        <v>92.300994641696704</v>
      </c>
      <c r="AK8426">
        <v>18.577438061781699</v>
      </c>
      <c r="AL8426">
        <v>92.815186808941803</v>
      </c>
      <c r="AM8426">
        <v>95.934685338248102</v>
      </c>
      <c r="AN8426">
        <v>0.99999997046927402</v>
      </c>
    </row>
    <row r="8427" spans="1:40" x14ac:dyDescent="0.25">
      <c r="A8427" t="str">
        <f>"20190305135125863"</f>
        <v>20190305135125863</v>
      </c>
      <c r="B8427" t="str">
        <f>"1551765085857887"</f>
        <v>1551765085857887</v>
      </c>
      <c r="C8427" t="s">
        <v>40</v>
      </c>
      <c r="D8427">
        <v>3.8824380000000001</v>
      </c>
      <c r="E8427">
        <v>0.54202349999999999</v>
      </c>
      <c r="F8427" t="s">
        <v>42</v>
      </c>
      <c r="G8427">
        <v>-112.354</v>
      </c>
      <c r="H8427" s="1">
        <v>-3.5761220000000001E-6</v>
      </c>
      <c r="I8427">
        <v>137.8477</v>
      </c>
      <c r="J8427">
        <v>-131.154</v>
      </c>
      <c r="K8427">
        <v>1.1050879999999901</v>
      </c>
      <c r="L8427">
        <v>136.65459999999999</v>
      </c>
      <c r="M8427">
        <v>0.99979560000000001</v>
      </c>
      <c r="N8427">
        <v>-5.3866060000000004E-3</v>
      </c>
      <c r="O8427">
        <v>1.9497560000000001E-2</v>
      </c>
      <c r="P8427">
        <v>0.99105969999999999</v>
      </c>
      <c r="Q8427">
        <v>-5.2838709999999997E-2</v>
      </c>
      <c r="R8427">
        <v>0.12251049999999999</v>
      </c>
      <c r="S8427">
        <v>2.9951479999999999</v>
      </c>
      <c r="T8427">
        <v>-0.172099799999999</v>
      </c>
      <c r="U8427">
        <v>0.187088</v>
      </c>
      <c r="V8427">
        <v>-0.103509199999999</v>
      </c>
      <c r="W8427">
        <v>-4.673012E-2</v>
      </c>
      <c r="X8427">
        <v>0.99353020000000003</v>
      </c>
      <c r="Y8427">
        <v>-4.2819780000000002E-2</v>
      </c>
      <c r="Z8427">
        <v>3.3031819999999998E-4</v>
      </c>
      <c r="AA8427">
        <v>0.99908269999999999</v>
      </c>
      <c r="AB8427">
        <v>46</v>
      </c>
      <c r="AC8427">
        <v>18.8</v>
      </c>
      <c r="AD8427">
        <v>-1.1050915761219999</v>
      </c>
      <c r="AE8427">
        <v>1.19310000000001</v>
      </c>
      <c r="AF8427">
        <v>-0.82347989598226601</v>
      </c>
      <c r="AG8427">
        <v>-1.1050915761219999</v>
      </c>
      <c r="AH8427">
        <v>18.7551450082406</v>
      </c>
      <c r="AI8427">
        <v>93.368847725442095</v>
      </c>
      <c r="AJ8427">
        <v>92.514064179709294</v>
      </c>
      <c r="AK8427">
        <v>18.805712185685302</v>
      </c>
      <c r="AL8427">
        <v>92.678413909902105</v>
      </c>
      <c r="AM8427">
        <v>95.947802711023598</v>
      </c>
      <c r="AN8427">
        <v>1.0000000584559401</v>
      </c>
    </row>
    <row r="8428" spans="1:40" x14ac:dyDescent="0.25">
      <c r="A8428" t="str">
        <f>"20190305135125885"</f>
        <v>20190305135125885</v>
      </c>
      <c r="B8428" t="str">
        <f>"1551765085878383"</f>
        <v>1551765085878383</v>
      </c>
      <c r="C8428" t="s">
        <v>40</v>
      </c>
      <c r="D8428">
        <v>3.838625</v>
      </c>
      <c r="E8428">
        <v>0.54655159999999903</v>
      </c>
      <c r="F8428" t="s">
        <v>42</v>
      </c>
      <c r="G8428">
        <v>-106.9277</v>
      </c>
      <c r="H8428" s="1">
        <v>-1.9071510000000001E-6</v>
      </c>
      <c r="I8428">
        <v>136.9419</v>
      </c>
      <c r="J8428">
        <v>-130.6908</v>
      </c>
      <c r="K8428">
        <v>1.105124</v>
      </c>
      <c r="L8428">
        <v>136.66210000000001</v>
      </c>
      <c r="M8428">
        <v>0.99983789999999995</v>
      </c>
      <c r="N8428">
        <v>-6.1151519999999996E-3</v>
      </c>
      <c r="O8428">
        <v>1.693031E-2</v>
      </c>
      <c r="P8428">
        <v>0.99140810000000001</v>
      </c>
      <c r="Q8428">
        <v>-5.3055930000000001E-2</v>
      </c>
      <c r="R8428">
        <v>0.11956319999999999</v>
      </c>
      <c r="S8428">
        <v>3.0153050000000001</v>
      </c>
      <c r="T8428">
        <v>-0.13754430000000001</v>
      </c>
      <c r="U8428">
        <v>3.5766600000000003E-2</v>
      </c>
      <c r="V8428">
        <v>-0.1031152</v>
      </c>
      <c r="W8428">
        <v>-4.6198459999999997E-2</v>
      </c>
      <c r="X8428">
        <v>0.99359600000000003</v>
      </c>
      <c r="Y8428">
        <v>5.0511310000000004E-3</v>
      </c>
      <c r="Z8428">
        <v>-7.9891350000000001E-4</v>
      </c>
      <c r="AA8428">
        <v>0.99998690000000001</v>
      </c>
      <c r="AB8428">
        <v>46</v>
      </c>
      <c r="AC8428">
        <v>23.763099999999898</v>
      </c>
      <c r="AD8428">
        <v>-1.105125907151</v>
      </c>
      <c r="AE8428">
        <v>0.279799999999994</v>
      </c>
      <c r="AF8428">
        <v>0.122299831593465</v>
      </c>
      <c r="AG8428">
        <v>-1.105125907151</v>
      </c>
      <c r="AH8428">
        <v>23.713151336325001</v>
      </c>
      <c r="AI8428">
        <v>92.6682420800377</v>
      </c>
      <c r="AJ8428">
        <v>89.704501440689597</v>
      </c>
      <c r="AK8428">
        <v>23.739204005587801</v>
      </c>
      <c r="AL8428">
        <v>92.647919185476198</v>
      </c>
      <c r="AM8428">
        <v>95.924934619608194</v>
      </c>
      <c r="AN8428">
        <v>1.0000000266967</v>
      </c>
    </row>
    <row r="8429" spans="1:40" x14ac:dyDescent="0.25">
      <c r="A8429" t="str">
        <f>"20190305135125907"</f>
        <v>20190305135125907</v>
      </c>
      <c r="B8429" t="str">
        <f>"1551765085897903"</f>
        <v>1551765085897903</v>
      </c>
      <c r="C8429" t="s">
        <v>40</v>
      </c>
      <c r="D8429">
        <v>3.8292820000000001</v>
      </c>
      <c r="E8429">
        <v>0.54858119999999999</v>
      </c>
      <c r="F8429" t="s">
        <v>42</v>
      </c>
      <c r="G8429">
        <v>-101.5455</v>
      </c>
      <c r="H8429" s="1">
        <v>-4.5138940000000004E-6</v>
      </c>
      <c r="I8429">
        <v>136.58949999999999</v>
      </c>
      <c r="J8429">
        <v>-130.22399999999999</v>
      </c>
      <c r="K8429">
        <v>1.1052</v>
      </c>
      <c r="L8429">
        <v>136.66839999999999</v>
      </c>
      <c r="M8429">
        <v>0.99987289999999995</v>
      </c>
      <c r="N8429">
        <v>-7.0056989999999998E-3</v>
      </c>
      <c r="O8429">
        <v>1.4334909999999999E-2</v>
      </c>
      <c r="P8429">
        <v>0.99172819999999995</v>
      </c>
      <c r="Q8429">
        <v>-5.597535E-2</v>
      </c>
      <c r="R8429">
        <v>0.1155093</v>
      </c>
      <c r="S8429">
        <v>3.0207670000000002</v>
      </c>
      <c r="T8429">
        <v>-0.1145409</v>
      </c>
      <c r="U8429">
        <v>-7.5225830000000002E-3</v>
      </c>
      <c r="V8429">
        <v>-0.1016603</v>
      </c>
      <c r="W8429">
        <v>-4.8222649999999999E-2</v>
      </c>
      <c r="X8429">
        <v>0.99364969999999997</v>
      </c>
      <c r="Y8429">
        <v>1.6804090000000001E-2</v>
      </c>
      <c r="Z8429">
        <v>-8.2030139999999998E-4</v>
      </c>
      <c r="AA8429">
        <v>0.99985840000000004</v>
      </c>
      <c r="AB8429">
        <v>46</v>
      </c>
      <c r="AC8429">
        <v>28.6784999999999</v>
      </c>
      <c r="AD8429">
        <v>-1.1052045138940001</v>
      </c>
      <c r="AE8429">
        <v>-7.8900000000004397E-2</v>
      </c>
      <c r="AF8429">
        <v>0.48927896790678999</v>
      </c>
      <c r="AG8429">
        <v>-1.1052045138940001</v>
      </c>
      <c r="AH8429">
        <v>28.631899534870598</v>
      </c>
      <c r="AI8429">
        <v>92.210223651040295</v>
      </c>
      <c r="AJ8429">
        <v>89.020990852674799</v>
      </c>
      <c r="AK8429">
        <v>28.657399426690699</v>
      </c>
      <c r="AL8429">
        <v>92.764026329905704</v>
      </c>
      <c r="AM8429">
        <v>95.841605721236505</v>
      </c>
      <c r="AN8429">
        <v>0.99999998343960095</v>
      </c>
    </row>
    <row r="8430" spans="1:40" x14ac:dyDescent="0.25">
      <c r="A8430" t="str">
        <f>"20190305135125931"</f>
        <v>20190305135125931</v>
      </c>
      <c r="B8430" t="str">
        <f>"1551765085928158"</f>
        <v>1551765085928158</v>
      </c>
      <c r="C8430" t="s">
        <v>40</v>
      </c>
      <c r="D8430">
        <v>3.8307820000000001</v>
      </c>
      <c r="E8430">
        <v>0.54910059999999905</v>
      </c>
      <c r="F8430" t="s">
        <v>42</v>
      </c>
      <c r="G8430">
        <v>-101.53919999999999</v>
      </c>
      <c r="H8430" s="1">
        <v>-4.5625209999999999E-6</v>
      </c>
      <c r="I8430">
        <v>136.3321</v>
      </c>
      <c r="J8430">
        <v>-129.76249999999999</v>
      </c>
      <c r="K8430">
        <v>1.1052930000000001</v>
      </c>
      <c r="L8430">
        <v>136.67330000000001</v>
      </c>
      <c r="M8430">
        <v>0.99989969999999995</v>
      </c>
      <c r="N8430">
        <v>-7.9330169999999901E-3</v>
      </c>
      <c r="O8430">
        <v>1.174825E-2</v>
      </c>
      <c r="P8430">
        <v>0.99189000000000005</v>
      </c>
      <c r="Q8430">
        <v>-6.0630209999999997E-2</v>
      </c>
      <c r="R8430">
        <v>0.1117079</v>
      </c>
      <c r="S8430">
        <v>3.022583</v>
      </c>
      <c r="T8430">
        <v>-0.11645809999999999</v>
      </c>
      <c r="U8430">
        <v>-3.5430910000000003E-2</v>
      </c>
      <c r="V8430">
        <v>-0.100464</v>
      </c>
      <c r="W8430">
        <v>-5.1951190000000001E-2</v>
      </c>
      <c r="X8430">
        <v>0.99358340000000001</v>
      </c>
      <c r="Y8430">
        <v>2.3441790000000001E-2</v>
      </c>
      <c r="Z8430">
        <v>-9.0374219999999998E-4</v>
      </c>
      <c r="AA8430">
        <v>0.99972479999999997</v>
      </c>
      <c r="AB8430">
        <v>46</v>
      </c>
      <c r="AC8430">
        <v>28.223299999999899</v>
      </c>
      <c r="AD8430">
        <v>-1.105297562521</v>
      </c>
      <c r="AE8430">
        <v>-0.34120000000001399</v>
      </c>
      <c r="AF8430">
        <v>0.67173111982795897</v>
      </c>
      <c r="AG8430">
        <v>-1.105297562521</v>
      </c>
      <c r="AH8430">
        <v>28.174138869784802</v>
      </c>
      <c r="AI8430">
        <v>92.245976793279496</v>
      </c>
      <c r="AJ8430">
        <v>88.634206066449295</v>
      </c>
      <c r="AK8430">
        <v>28.203811913515899</v>
      </c>
      <c r="AL8430">
        <v>92.977924614359097</v>
      </c>
      <c r="AM8430">
        <v>95.773713648616507</v>
      </c>
      <c r="AN8430">
        <v>0.99999995709698697</v>
      </c>
    </row>
    <row r="8431" spans="1:40" x14ac:dyDescent="0.25">
      <c r="A8431" t="str">
        <f>"20190305135125952"</f>
        <v>20190305135125952</v>
      </c>
      <c r="B8431" t="str">
        <f>"1551765085948660"</f>
        <v>1551765085948660</v>
      </c>
      <c r="C8431" t="s">
        <v>40</v>
      </c>
      <c r="D8431">
        <v>3.8832529999999998</v>
      </c>
      <c r="E8431">
        <v>0.54873280000000002</v>
      </c>
      <c r="F8431" t="s">
        <v>42</v>
      </c>
      <c r="G8431">
        <v>-103.956</v>
      </c>
      <c r="H8431" s="1">
        <v>-3.4368330000000001E-6</v>
      </c>
      <c r="I8431">
        <v>136.23759999999999</v>
      </c>
      <c r="J8431">
        <v>-129.2961</v>
      </c>
      <c r="K8431">
        <v>1.1053900000000001</v>
      </c>
      <c r="L8431">
        <v>136.67679999999999</v>
      </c>
      <c r="M8431">
        <v>0.99991949999999996</v>
      </c>
      <c r="N8431">
        <v>-8.8321249999999997E-3</v>
      </c>
      <c r="O8431">
        <v>9.120642E-3</v>
      </c>
      <c r="P8431">
        <v>0.99198679999999995</v>
      </c>
      <c r="Q8431">
        <v>-6.5078709999999998E-2</v>
      </c>
      <c r="R8431">
        <v>0.1082916</v>
      </c>
      <c r="S8431">
        <v>3.0223689999999999</v>
      </c>
      <c r="T8431">
        <v>-0.12944849999999999</v>
      </c>
      <c r="U8431">
        <v>-5.1025389999999997E-2</v>
      </c>
      <c r="V8431">
        <v>-9.9690150000000005E-2</v>
      </c>
      <c r="W8431">
        <v>-5.5503549999999999E-2</v>
      </c>
      <c r="X8431">
        <v>0.9934693</v>
      </c>
      <c r="Y8431">
        <v>2.5965189999999999E-2</v>
      </c>
      <c r="Z8431">
        <v>-9.8040460000000003E-4</v>
      </c>
      <c r="AA8431">
        <v>0.9996623</v>
      </c>
      <c r="AB8431">
        <v>46</v>
      </c>
      <c r="AC8431">
        <v>25.3401</v>
      </c>
      <c r="AD8431">
        <v>-1.1053934368329901</v>
      </c>
      <c r="AE8431">
        <v>-0.43919999999999898</v>
      </c>
      <c r="AF8431">
        <v>0.66903597315854801</v>
      </c>
      <c r="AG8431">
        <v>-1.1053934368329901</v>
      </c>
      <c r="AH8431">
        <v>25.2869357954709</v>
      </c>
      <c r="AI8431">
        <v>92.502160385899899</v>
      </c>
      <c r="AJ8431">
        <v>88.4844349215591</v>
      </c>
      <c r="AK8431">
        <v>25.319925468054599</v>
      </c>
      <c r="AL8431">
        <v>93.181754201197705</v>
      </c>
      <c r="AM8431">
        <v>95.730190811201695</v>
      </c>
      <c r="AN8431">
        <v>1.00000001005605</v>
      </c>
    </row>
    <row r="8432" spans="1:40" x14ac:dyDescent="0.25">
      <c r="A8432" t="str">
        <f>"20190305135125975"</f>
        <v>20190305135125975</v>
      </c>
      <c r="B8432" t="str">
        <f>"1551765085968174"</f>
        <v>1551765085968174</v>
      </c>
      <c r="C8432" t="s">
        <v>40</v>
      </c>
      <c r="D8432">
        <v>3.8763649999999998</v>
      </c>
      <c r="E8432">
        <v>0.54844029999999999</v>
      </c>
      <c r="F8432" t="s">
        <v>42</v>
      </c>
      <c r="G8432">
        <v>-105.9534</v>
      </c>
      <c r="H8432" s="1">
        <v>-2.4948050000000002E-6</v>
      </c>
      <c r="I8432">
        <v>136.22540000000001</v>
      </c>
      <c r="J8432">
        <v>-128.82919999999999</v>
      </c>
      <c r="K8432">
        <v>1.1054999999999999</v>
      </c>
      <c r="L8432">
        <v>136.67910000000001</v>
      </c>
      <c r="M8432">
        <v>0.9999323</v>
      </c>
      <c r="N8432">
        <v>-9.661167E-3</v>
      </c>
      <c r="O8432">
        <v>6.4927530000000004E-3</v>
      </c>
      <c r="P8432">
        <v>0.99235620000000002</v>
      </c>
      <c r="Q8432">
        <v>-6.5566680000000002E-2</v>
      </c>
      <c r="R8432">
        <v>0.1045478</v>
      </c>
      <c r="S8432">
        <v>3.02121</v>
      </c>
      <c r="T8432">
        <v>-0.14306959999999999</v>
      </c>
      <c r="U8432">
        <v>-5.8425900000000003E-2</v>
      </c>
      <c r="V8432">
        <v>-9.855498E-2</v>
      </c>
      <c r="W8432">
        <v>-5.5169639999999999E-2</v>
      </c>
      <c r="X8432">
        <v>0.99360110000000001</v>
      </c>
      <c r="Y8432">
        <v>2.5787009999999999E-2</v>
      </c>
      <c r="Z8432">
        <v>-9.7941140000000005E-4</v>
      </c>
      <c r="AA8432">
        <v>0.99966699999999997</v>
      </c>
      <c r="AB8432">
        <v>46</v>
      </c>
      <c r="AC8432">
        <v>22.875799999999899</v>
      </c>
      <c r="AD8432">
        <v>-1.1055024948049901</v>
      </c>
      <c r="AE8432">
        <v>-0.45369999999999699</v>
      </c>
      <c r="AF8432">
        <v>0.600821654566706</v>
      </c>
      <c r="AG8432">
        <v>-1.1055024948049901</v>
      </c>
      <c r="AH8432">
        <v>22.819100417056401</v>
      </c>
      <c r="AI8432">
        <v>92.772644331829497</v>
      </c>
      <c r="AJ8432">
        <v>88.491763798362598</v>
      </c>
      <c r="AK8432">
        <v>22.853762628292099</v>
      </c>
      <c r="AL8432">
        <v>93.162593368024403</v>
      </c>
      <c r="AM8432">
        <v>95.664621501903099</v>
      </c>
      <c r="AN8432">
        <v>0.99999995959086896</v>
      </c>
    </row>
    <row r="8433" spans="1:40" x14ac:dyDescent="0.25">
      <c r="A8433" t="str">
        <f>"20190305135125997"</f>
        <v>20190305135125997</v>
      </c>
      <c r="B8433" t="str">
        <f>"1551765085987695"</f>
        <v>1551765085987695</v>
      </c>
      <c r="C8433" t="s">
        <v>40</v>
      </c>
      <c r="D8433">
        <v>3.8628640000000001</v>
      </c>
      <c r="E8433">
        <v>0.54829539999999999</v>
      </c>
      <c r="F8433" t="s">
        <v>42</v>
      </c>
      <c r="G8433">
        <v>-105.77970000000001</v>
      </c>
      <c r="H8433" s="1">
        <v>-2.5878969999999999E-6</v>
      </c>
      <c r="I8433">
        <v>136.16370000000001</v>
      </c>
      <c r="J8433">
        <v>-128.36670000000001</v>
      </c>
      <c r="K8433">
        <v>1.1055999999999999</v>
      </c>
      <c r="L8433">
        <v>136.68010000000001</v>
      </c>
      <c r="M8433">
        <v>0.9999382</v>
      </c>
      <c r="N8433">
        <v>-1.0405599999999999E-2</v>
      </c>
      <c r="O8433">
        <v>3.9043680000000001E-3</v>
      </c>
      <c r="P8433">
        <v>0.99298140000000001</v>
      </c>
      <c r="Q8433">
        <v>-6.2097270000000003E-2</v>
      </c>
      <c r="R8433">
        <v>0.1006558</v>
      </c>
      <c r="S8433">
        <v>3.0206599999999999</v>
      </c>
      <c r="T8433">
        <v>-0.1448767</v>
      </c>
      <c r="U8433">
        <v>-6.7550659999999998E-2</v>
      </c>
      <c r="V8433">
        <v>-9.7196959999999999E-2</v>
      </c>
      <c r="W8433">
        <v>-5.0966400000000002E-2</v>
      </c>
      <c r="X8433">
        <v>0.99395940000000005</v>
      </c>
      <c r="Y8433">
        <v>2.6221299999999999E-2</v>
      </c>
      <c r="Z8433">
        <v>-9.1144010000000005E-4</v>
      </c>
      <c r="AA8433">
        <v>0.99965570000000004</v>
      </c>
      <c r="AB8433">
        <v>46</v>
      </c>
      <c r="AC8433">
        <v>22.587</v>
      </c>
      <c r="AD8433">
        <v>-1.1056025878969999</v>
      </c>
      <c r="AE8433">
        <v>-0.51640000000000397</v>
      </c>
      <c r="AF8433">
        <v>0.60314444188321503</v>
      </c>
      <c r="AG8433">
        <v>-1.1056025878969999</v>
      </c>
      <c r="AH8433">
        <v>22.530856490969398</v>
      </c>
      <c r="AI8433">
        <v>92.808280288031298</v>
      </c>
      <c r="AJ8433">
        <v>88.466574954518293</v>
      </c>
      <c r="AK8433">
        <v>22.566028328369999</v>
      </c>
      <c r="AL8433">
        <v>92.921425155307205</v>
      </c>
      <c r="AM8433">
        <v>95.585062903639596</v>
      </c>
      <c r="AN8433">
        <v>1.00000005590527</v>
      </c>
    </row>
    <row r="8434" spans="1:40" x14ac:dyDescent="0.25">
      <c r="A8434" t="str">
        <f>"20190305135126019"</f>
        <v>20190305135126019</v>
      </c>
      <c r="B8434" t="str">
        <f>"1551765086008191"</f>
        <v>1551765086008191</v>
      </c>
      <c r="C8434" t="s">
        <v>40</v>
      </c>
      <c r="D8434">
        <v>3.891197</v>
      </c>
      <c r="E8434">
        <v>0.54796959999999995</v>
      </c>
      <c r="F8434" t="s">
        <v>42</v>
      </c>
      <c r="G8434">
        <v>-103.6808</v>
      </c>
      <c r="H8434" s="1">
        <v>-3.6019869999999998E-6</v>
      </c>
      <c r="I8434">
        <v>136.03989999999999</v>
      </c>
      <c r="J8434">
        <v>-127.9092</v>
      </c>
      <c r="K8434">
        <v>1.1056999999999999</v>
      </c>
      <c r="L8434">
        <v>136.6799</v>
      </c>
      <c r="M8434">
        <v>0.99993799999999999</v>
      </c>
      <c r="N8434">
        <v>-1.106768E-2</v>
      </c>
      <c r="O8434">
        <v>1.375956E-3</v>
      </c>
      <c r="P8434">
        <v>0.99377170000000004</v>
      </c>
      <c r="Q8434">
        <v>-5.6783519999999997E-2</v>
      </c>
      <c r="R8434">
        <v>9.5883099999999999E-2</v>
      </c>
      <c r="S8434">
        <v>3.0206759999999999</v>
      </c>
      <c r="T8434">
        <v>-0.135286299999999</v>
      </c>
      <c r="U8434">
        <v>-7.8338619999999998E-2</v>
      </c>
      <c r="V8434">
        <v>-9.4883930000000005E-2</v>
      </c>
      <c r="W8434">
        <v>-4.5012190000000001E-2</v>
      </c>
      <c r="X8434">
        <v>0.99447019999999997</v>
      </c>
      <c r="Y8434">
        <v>2.7266120000000001E-2</v>
      </c>
      <c r="Z8434">
        <v>-8.0754600000000002E-4</v>
      </c>
      <c r="AA8434">
        <v>0.99962790000000001</v>
      </c>
      <c r="AB8434">
        <v>46</v>
      </c>
      <c r="AC8434">
        <v>24.228399999999901</v>
      </c>
      <c r="AD8434">
        <v>-1.1057036019869999</v>
      </c>
      <c r="AE8434">
        <v>-0.640000000000014</v>
      </c>
      <c r="AF8434">
        <v>0.671940163873467</v>
      </c>
      <c r="AG8434">
        <v>-1.1057036019869999</v>
      </c>
      <c r="AH8434">
        <v>24.1771775531796</v>
      </c>
      <c r="AI8434">
        <v>92.6174947542534</v>
      </c>
      <c r="AJ8434">
        <v>88.408026432786102</v>
      </c>
      <c r="AK8434">
        <v>24.211773963864101</v>
      </c>
      <c r="AL8434">
        <v>92.579880149024802</v>
      </c>
      <c r="AM8434">
        <v>95.450180008835403</v>
      </c>
      <c r="AN8434">
        <v>1.0000000180544399</v>
      </c>
    </row>
    <row r="8435" spans="1:40" x14ac:dyDescent="0.25">
      <c r="A8435" t="str">
        <f>"20190305135126045"</f>
        <v>20190305135126045</v>
      </c>
      <c r="B8435" t="str">
        <f>"1551765086038447"</f>
        <v>1551765086038447</v>
      </c>
      <c r="C8435" t="s">
        <v>40</v>
      </c>
      <c r="D8435">
        <v>3.9132820000000001</v>
      </c>
      <c r="E8435">
        <v>0.54750259999999995</v>
      </c>
      <c r="F8435" t="s">
        <v>42</v>
      </c>
      <c r="G8435">
        <v>-100.1631</v>
      </c>
      <c r="H8435" s="1">
        <v>-5.298768E-6</v>
      </c>
      <c r="I8435">
        <v>135.8485</v>
      </c>
      <c r="J8435">
        <v>-127.3999</v>
      </c>
      <c r="K8435">
        <v>1.1057859999999999</v>
      </c>
      <c r="L8435">
        <v>136.67840000000001</v>
      </c>
      <c r="M8435">
        <v>0.99993030000000005</v>
      </c>
      <c r="N8435">
        <v>-1.1722170000000001E-2</v>
      </c>
      <c r="O8435">
        <v>-1.3746699999999999E-3</v>
      </c>
      <c r="P8435">
        <v>0.99435589999999996</v>
      </c>
      <c r="Q8435">
        <v>-5.4800540000000002E-2</v>
      </c>
      <c r="R8435">
        <v>9.0847330000000004E-2</v>
      </c>
      <c r="S8435">
        <v>3.0206599999999999</v>
      </c>
      <c r="T8435">
        <v>-0.120376</v>
      </c>
      <c r="U8435">
        <v>-9.0515139999999994E-2</v>
      </c>
      <c r="V8435">
        <v>-9.2555009999999993E-2</v>
      </c>
      <c r="W8435">
        <v>-4.240642E-2</v>
      </c>
      <c r="X8435">
        <v>0.99480409999999997</v>
      </c>
      <c r="Y8435">
        <v>2.8548960000000002E-2</v>
      </c>
      <c r="Z8435">
        <v>-6.9731389999999995E-4</v>
      </c>
      <c r="AA8435">
        <v>0.99959209999999998</v>
      </c>
      <c r="AB8435">
        <v>46</v>
      </c>
      <c r="AC8435">
        <v>27.236799999999999</v>
      </c>
      <c r="AD8435">
        <v>-1.1057912987680001</v>
      </c>
      <c r="AE8435">
        <v>-0.82990000000000896</v>
      </c>
      <c r="AF8435">
        <v>0.79115218909789797</v>
      </c>
      <c r="AG8435">
        <v>-1.1057912987680001</v>
      </c>
      <c r="AH8435">
        <v>27.193134524985101</v>
      </c>
      <c r="AI8435">
        <v>92.327629189207798</v>
      </c>
      <c r="AJ8435">
        <v>88.333516937451606</v>
      </c>
      <c r="AK8435">
        <v>27.227105271708201</v>
      </c>
      <c r="AL8435">
        <v>92.430437789289599</v>
      </c>
      <c r="AM8435">
        <v>95.315407534160101</v>
      </c>
      <c r="AN8435">
        <v>0.99999996585506201</v>
      </c>
    </row>
    <row r="8436" spans="1:40" x14ac:dyDescent="0.25">
      <c r="A8436" t="str">
        <f>"20190305135126067"</f>
        <v>20190305135126067</v>
      </c>
      <c r="B8436" t="str">
        <f>"1551765086057966"</f>
        <v>1551765086057966</v>
      </c>
      <c r="C8436" t="s">
        <v>40</v>
      </c>
      <c r="D8436">
        <v>3.8982570000000001</v>
      </c>
      <c r="E8436">
        <v>0.54698459999999904</v>
      </c>
      <c r="F8436" t="s">
        <v>42</v>
      </c>
      <c r="G8436">
        <v>-98.931209999999993</v>
      </c>
      <c r="H8436" s="1">
        <v>-1.3881209999999901E-6</v>
      </c>
      <c r="I8436">
        <v>135.7139</v>
      </c>
      <c r="J8436">
        <v>-126.92910000000001</v>
      </c>
      <c r="K8436">
        <v>1.105874</v>
      </c>
      <c r="L8436">
        <v>136.67580000000001</v>
      </c>
      <c r="M8436">
        <v>0.99991770000000002</v>
      </c>
      <c r="N8436">
        <v>-1.2253399999999999E-2</v>
      </c>
      <c r="O8436">
        <v>-3.822317E-3</v>
      </c>
      <c r="P8436">
        <v>0.99443939999999997</v>
      </c>
      <c r="Q8436">
        <v>-5.8898079999999998E-2</v>
      </c>
      <c r="R8436">
        <v>8.7300230000000006E-2</v>
      </c>
      <c r="S8436">
        <v>3.0199129999999998</v>
      </c>
      <c r="T8436">
        <v>-0.1173</v>
      </c>
      <c r="U8436">
        <v>-0.1023102</v>
      </c>
      <c r="V8436">
        <v>-9.1459789999999999E-2</v>
      </c>
      <c r="W8436">
        <v>-4.6005699999999997E-2</v>
      </c>
      <c r="X8436">
        <v>0.99474549999999995</v>
      </c>
      <c r="Y8436">
        <v>3.0010040000000002E-2</v>
      </c>
      <c r="Z8436">
        <v>-6.6490199999999998E-4</v>
      </c>
      <c r="AA8436">
        <v>0.99954940000000003</v>
      </c>
      <c r="AB8436">
        <v>46</v>
      </c>
      <c r="AC8436">
        <v>27.997890000000002</v>
      </c>
      <c r="AD8436">
        <v>-1.1058753881209999</v>
      </c>
      <c r="AE8436">
        <v>-0.96190000000001397</v>
      </c>
      <c r="AF8436">
        <v>0.85353807156065298</v>
      </c>
      <c r="AG8436">
        <v>-1.1058753881209999</v>
      </c>
      <c r="AH8436">
        <v>27.957795932709399</v>
      </c>
      <c r="AI8436">
        <v>92.264109670534594</v>
      </c>
      <c r="AJ8436">
        <v>88.251330539795205</v>
      </c>
      <c r="AK8436">
        <v>27.9926747744598</v>
      </c>
      <c r="AL8436">
        <v>92.636863130037895</v>
      </c>
      <c r="AM8436">
        <v>95.253171020499096</v>
      </c>
      <c r="AN8436">
        <v>1.00000001369479</v>
      </c>
    </row>
    <row r="8437" spans="1:40" x14ac:dyDescent="0.25">
      <c r="A8437" t="str">
        <f>"20190305135126086"</f>
        <v>20190305135126086</v>
      </c>
      <c r="B8437" t="str">
        <f>"1551765086078463"</f>
        <v>1551765086078463</v>
      </c>
      <c r="C8437" t="s">
        <v>40</v>
      </c>
      <c r="D8437">
        <v>3.9145020000000001</v>
      </c>
      <c r="E8437">
        <v>0.54645880000000002</v>
      </c>
      <c r="F8437" t="s">
        <v>42</v>
      </c>
      <c r="G8437">
        <v>-101.5009</v>
      </c>
      <c r="H8437" s="1">
        <v>-4.6827150000000003E-6</v>
      </c>
      <c r="I8437">
        <v>135.75659999999999</v>
      </c>
      <c r="J8437">
        <v>-126.5368</v>
      </c>
      <c r="K8437">
        <v>1.105977</v>
      </c>
      <c r="L8437">
        <v>136.6728</v>
      </c>
      <c r="M8437">
        <v>0.9999036</v>
      </c>
      <c r="N8437">
        <v>-1.26424E-2</v>
      </c>
      <c r="O8437">
        <v>-5.752498E-3</v>
      </c>
      <c r="P8437">
        <v>0.9945214</v>
      </c>
      <c r="Q8437">
        <v>-6.2897510000000004E-2</v>
      </c>
      <c r="R8437">
        <v>8.3494540000000006E-2</v>
      </c>
      <c r="S8437">
        <v>3.01857</v>
      </c>
      <c r="T8437">
        <v>-0.13127829999999999</v>
      </c>
      <c r="U8437">
        <v>-0.10911559999999999</v>
      </c>
      <c r="V8437">
        <v>-8.9589310000000005E-2</v>
      </c>
      <c r="W8437">
        <v>-4.9656329999999999E-2</v>
      </c>
      <c r="X8437">
        <v>0.99474019999999996</v>
      </c>
      <c r="Y8437">
        <v>3.034046E-2</v>
      </c>
      <c r="Z8437">
        <v>-6.7391749999999996E-4</v>
      </c>
      <c r="AA8437">
        <v>0.99953939999999997</v>
      </c>
      <c r="AB8437">
        <v>46</v>
      </c>
      <c r="AC8437">
        <v>25.035900000000002</v>
      </c>
      <c r="AD8437">
        <v>-1.105981682715</v>
      </c>
      <c r="AE8437">
        <v>-0.91620000000000301</v>
      </c>
      <c r="AF8437">
        <v>0.77065245247330505</v>
      </c>
      <c r="AG8437">
        <v>-1.105981682715</v>
      </c>
      <c r="AH8437">
        <v>24.992049699434901</v>
      </c>
      <c r="AI8437">
        <v>92.532674172514405</v>
      </c>
      <c r="AJ8437">
        <v>88.233792486233398</v>
      </c>
      <c r="AK8437">
        <v>25.0283768723429</v>
      </c>
      <c r="AL8437">
        <v>92.846268564694995</v>
      </c>
      <c r="AM8437">
        <v>95.146346503842096</v>
      </c>
      <c r="AN8437">
        <v>1.00000003053569</v>
      </c>
    </row>
    <row r="8438" spans="1:40" x14ac:dyDescent="0.25">
      <c r="A8438" t="str">
        <f>"20190305135126109"</f>
        <v>20190305135126109</v>
      </c>
      <c r="B8438" t="str">
        <f>"1551765086097983"</f>
        <v>1551765086097983</v>
      </c>
      <c r="C8438" t="s">
        <v>40</v>
      </c>
      <c r="D8438">
        <v>3.9429880000000002</v>
      </c>
      <c r="E8438">
        <v>0.54595389999999999</v>
      </c>
      <c r="F8438" t="s">
        <v>42</v>
      </c>
      <c r="G8438">
        <v>-103.5882</v>
      </c>
      <c r="H8438" s="1">
        <v>-3.6907780000000001E-6</v>
      </c>
      <c r="I8438">
        <v>135.78620000000001</v>
      </c>
      <c r="J8438">
        <v>-126.0733</v>
      </c>
      <c r="K8438">
        <v>1.1061430000000001</v>
      </c>
      <c r="L8438">
        <v>136.66849999999999</v>
      </c>
      <c r="M8438">
        <v>0.99988379999999999</v>
      </c>
      <c r="N8438">
        <v>-1.3050829999999999E-2</v>
      </c>
      <c r="O8438">
        <v>-7.8842859999999904E-3</v>
      </c>
      <c r="P8438">
        <v>0.99467059999999996</v>
      </c>
      <c r="Q8438">
        <v>-6.4725290000000005E-2</v>
      </c>
      <c r="R8438">
        <v>8.0256599999999997E-2</v>
      </c>
      <c r="S8438">
        <v>3.0171199999999998</v>
      </c>
      <c r="T8438">
        <v>-0.14540649999999999</v>
      </c>
      <c r="U8438">
        <v>-0.1165619</v>
      </c>
      <c r="V8438">
        <v>-8.8462349999999995E-2</v>
      </c>
      <c r="W8438">
        <v>-5.1119739999999997E-2</v>
      </c>
      <c r="X8438">
        <v>0.99476690000000001</v>
      </c>
      <c r="Y8438">
        <v>3.0684059999999999E-2</v>
      </c>
      <c r="Z8438">
        <v>-6.623728E-4</v>
      </c>
      <c r="AA8438">
        <v>0.99952890000000005</v>
      </c>
      <c r="AB8438">
        <v>46</v>
      </c>
      <c r="AC8438">
        <v>22.485099999999999</v>
      </c>
      <c r="AD8438">
        <v>-1.106146690778</v>
      </c>
      <c r="AE8438">
        <v>-0.88229999999998598</v>
      </c>
      <c r="AF8438">
        <v>0.70327912351339095</v>
      </c>
      <c r="AG8438">
        <v>-1.106146690778</v>
      </c>
      <c r="AH8438">
        <v>22.437140951787502</v>
      </c>
      <c r="AI8438">
        <v>92.821002506729002</v>
      </c>
      <c r="AJ8438">
        <v>88.204684935670699</v>
      </c>
      <c r="AK8438">
        <v>22.475396684318401</v>
      </c>
      <c r="AL8438">
        <v>92.930222520415299</v>
      </c>
      <c r="AM8438">
        <v>95.081815135707402</v>
      </c>
      <c r="AN8438">
        <v>1.0000000002603999</v>
      </c>
    </row>
    <row r="8439" spans="1:40" x14ac:dyDescent="0.25">
      <c r="A8439" t="str">
        <f>"20190305135126132"</f>
        <v>20190305135126132</v>
      </c>
      <c r="B8439" t="str">
        <f>"1551765086128238"</f>
        <v>1551765086128238</v>
      </c>
      <c r="C8439" t="s">
        <v>40</v>
      </c>
      <c r="D8439">
        <v>3.9851809999999999</v>
      </c>
      <c r="E8439">
        <v>0.54538069999999905</v>
      </c>
      <c r="F8439" t="s">
        <v>42</v>
      </c>
      <c r="G8439">
        <v>-104.20440000000001</v>
      </c>
      <c r="H8439" s="1">
        <v>-3.400359E-6</v>
      </c>
      <c r="I8439">
        <v>135.78120000000001</v>
      </c>
      <c r="J8439">
        <v>-125.621</v>
      </c>
      <c r="K8439">
        <v>1.1063400000000001</v>
      </c>
      <c r="L8439">
        <v>136.6635</v>
      </c>
      <c r="M8439">
        <v>0.99986269999999999</v>
      </c>
      <c r="N8439">
        <v>-1.3394919999999999E-2</v>
      </c>
      <c r="O8439">
        <v>-9.7659329999999992E-3</v>
      </c>
      <c r="P8439">
        <v>0.99485480000000004</v>
      </c>
      <c r="Q8439">
        <v>-6.4674369999999995E-2</v>
      </c>
      <c r="R8439">
        <v>7.7984789999999998E-2</v>
      </c>
      <c r="S8439">
        <v>3.016006</v>
      </c>
      <c r="T8439">
        <v>-0.15255260000000001</v>
      </c>
      <c r="U8439">
        <v>-0.1223755</v>
      </c>
      <c r="V8439">
        <v>-8.8038439999999996E-2</v>
      </c>
      <c r="W8439">
        <v>-5.0767270000000003E-2</v>
      </c>
      <c r="X8439">
        <v>0.9948226</v>
      </c>
      <c r="Y8439">
        <v>3.0738359999999999E-2</v>
      </c>
      <c r="Z8439">
        <v>-6.1999259999999997E-4</v>
      </c>
      <c r="AA8439">
        <v>0.99952730000000001</v>
      </c>
      <c r="AB8439">
        <v>46</v>
      </c>
      <c r="AC8439">
        <v>21.416599999999999</v>
      </c>
      <c r="AD8439">
        <v>-1.10634340035899</v>
      </c>
      <c r="AE8439">
        <v>-0.88229999999998598</v>
      </c>
      <c r="AF8439">
        <v>0.67129772255261899</v>
      </c>
      <c r="AG8439">
        <v>-1.10634340035899</v>
      </c>
      <c r="AH8439">
        <v>21.367272275708</v>
      </c>
      <c r="AI8439">
        <v>92.962524855045402</v>
      </c>
      <c r="AJ8439">
        <v>88.200524677042495</v>
      </c>
      <c r="AK8439">
        <v>21.406423355060099</v>
      </c>
      <c r="AL8439">
        <v>92.910001092767502</v>
      </c>
      <c r="AM8439">
        <v>95.057308065980905</v>
      </c>
      <c r="AN8439">
        <v>1.0000000440458201</v>
      </c>
    </row>
    <row r="8440" spans="1:40" x14ac:dyDescent="0.25">
      <c r="A8440" t="str">
        <f>"20190305135126153"</f>
        <v>20190305135126153</v>
      </c>
      <c r="B8440" t="str">
        <f>"1551765086147759"</f>
        <v>1551765086147759</v>
      </c>
      <c r="C8440" t="s">
        <v>40</v>
      </c>
      <c r="D8440">
        <v>4.0075960000000004</v>
      </c>
      <c r="E8440">
        <v>0.54506409999999905</v>
      </c>
      <c r="F8440" t="s">
        <v>42</v>
      </c>
      <c r="G8440">
        <v>-103.6508</v>
      </c>
      <c r="H8440" s="1">
        <v>-3.666661E-6</v>
      </c>
      <c r="I8440">
        <v>135.7552</v>
      </c>
      <c r="J8440">
        <v>-125.15949999999999</v>
      </c>
      <c r="K8440">
        <v>1.1065480000000001</v>
      </c>
      <c r="L8440">
        <v>136.6576</v>
      </c>
      <c r="M8440">
        <v>0.99984030000000002</v>
      </c>
      <c r="N8440">
        <v>-1.3699319999999999E-2</v>
      </c>
      <c r="O8440">
        <v>-1.147634E-2</v>
      </c>
      <c r="P8440">
        <v>0.99499700000000002</v>
      </c>
      <c r="Q8440">
        <v>-6.386928E-2</v>
      </c>
      <c r="R8440">
        <v>7.6824550000000005E-2</v>
      </c>
      <c r="S8440">
        <v>3.0154109999999998</v>
      </c>
      <c r="T8440">
        <v>-0.15184610000000001</v>
      </c>
      <c r="U8440">
        <v>-0.12466430000000001</v>
      </c>
      <c r="V8440">
        <v>-8.8548879999999996E-2</v>
      </c>
      <c r="W8440">
        <v>-4.9698800000000001E-2</v>
      </c>
      <c r="X8440">
        <v>0.99483120000000003</v>
      </c>
      <c r="Y8440">
        <v>2.979648E-2</v>
      </c>
      <c r="Z8440">
        <v>-5.3363110000000005E-4</v>
      </c>
      <c r="AA8440">
        <v>0.99955579999999999</v>
      </c>
      <c r="AB8440">
        <v>46</v>
      </c>
      <c r="AC8440">
        <v>21.508699999999902</v>
      </c>
      <c r="AD8440">
        <v>-1.10655166666099</v>
      </c>
      <c r="AE8440">
        <v>-0.90239999999999998</v>
      </c>
      <c r="AF8440">
        <v>0.65374896323008203</v>
      </c>
      <c r="AG8440">
        <v>-1.10655166666099</v>
      </c>
      <c r="AH8440">
        <v>21.4609382818828</v>
      </c>
      <c r="AI8440">
        <v>92.950259029162495</v>
      </c>
      <c r="AJ8440">
        <v>88.255179884684694</v>
      </c>
      <c r="AK8440">
        <v>21.4993887410014</v>
      </c>
      <c r="AL8440">
        <v>92.848705023901303</v>
      </c>
      <c r="AM8440">
        <v>95.086432825386893</v>
      </c>
      <c r="AN8440">
        <v>0.99999999568206699</v>
      </c>
    </row>
    <row r="8441" spans="1:40" x14ac:dyDescent="0.25">
      <c r="A8441" t="str">
        <f>"20190305135126176"</f>
        <v>20190305135126176</v>
      </c>
      <c r="B8441" t="str">
        <f>"1551765086168255"</f>
        <v>1551765086168255</v>
      </c>
      <c r="C8441" t="s">
        <v>40</v>
      </c>
      <c r="D8441">
        <v>3.9966360000000001</v>
      </c>
      <c r="E8441">
        <v>0.54470169999999996</v>
      </c>
      <c r="F8441" t="s">
        <v>42</v>
      </c>
      <c r="G8441">
        <v>-102.6859</v>
      </c>
      <c r="H8441" s="1">
        <v>-4.1287440000000003E-6</v>
      </c>
      <c r="I8441">
        <v>135.7218</v>
      </c>
      <c r="J8441">
        <v>-124.7017</v>
      </c>
      <c r="K8441">
        <v>1.1067549999999999</v>
      </c>
      <c r="L8441">
        <v>136.65119999999999</v>
      </c>
      <c r="M8441">
        <v>0.99981830000000005</v>
      </c>
      <c r="N8441">
        <v>-1.396144E-2</v>
      </c>
      <c r="O8441">
        <v>-1.29918E-2</v>
      </c>
      <c r="P8441">
        <v>0.99500129999999998</v>
      </c>
      <c r="Q8441">
        <v>-6.3412090000000004E-2</v>
      </c>
      <c r="R8441">
        <v>7.7145199999999997E-2</v>
      </c>
      <c r="S8441">
        <v>3.015228</v>
      </c>
      <c r="T8441">
        <v>-0.14846289999999901</v>
      </c>
      <c r="U8441">
        <v>-0.1255646</v>
      </c>
      <c r="V8441">
        <v>-9.0348239999999996E-2</v>
      </c>
      <c r="W8441">
        <v>-4.9014340000000003E-2</v>
      </c>
      <c r="X8441">
        <v>0.99470340000000002</v>
      </c>
      <c r="Y8441">
        <v>2.8585760000000002E-2</v>
      </c>
      <c r="Z8441">
        <v>-4.4510479999999999E-4</v>
      </c>
      <c r="AA8441">
        <v>0.99959120000000001</v>
      </c>
      <c r="AB8441">
        <v>46</v>
      </c>
      <c r="AC8441">
        <v>22.015799999999999</v>
      </c>
      <c r="AD8441">
        <v>-1.106759128744</v>
      </c>
      <c r="AE8441">
        <v>-0.92939999999998602</v>
      </c>
      <c r="AF8441">
        <v>0.64165015939188497</v>
      </c>
      <c r="AG8441">
        <v>-1.106759128744</v>
      </c>
      <c r="AH8441">
        <v>21.970592315694599</v>
      </c>
      <c r="AI8441">
        <v>92.882585570482306</v>
      </c>
      <c r="AJ8441">
        <v>88.327154837107599</v>
      </c>
      <c r="AK8441">
        <v>22.0078067375775</v>
      </c>
      <c r="AL8441">
        <v>92.809440396895198</v>
      </c>
      <c r="AM8441">
        <v>95.189896177836204</v>
      </c>
      <c r="AN8441">
        <v>1.00000003198414</v>
      </c>
    </row>
    <row r="8442" spans="1:40" x14ac:dyDescent="0.25">
      <c r="A8442" t="str">
        <f>"20190305135126198"</f>
        <v>20190305135126198</v>
      </c>
      <c r="B8442" t="str">
        <f>"1551765086187775"</f>
        <v>1551765086187775</v>
      </c>
      <c r="C8442" t="s">
        <v>40</v>
      </c>
      <c r="D8442">
        <v>4.0394540000000001</v>
      </c>
      <c r="E8442">
        <v>0.54434550000000004</v>
      </c>
      <c r="F8442" t="s">
        <v>42</v>
      </c>
      <c r="G8442">
        <v>-101.97150000000001</v>
      </c>
      <c r="H8442" s="1">
        <v>-4.4642509999999999E-6</v>
      </c>
      <c r="I8442">
        <v>135.73410000000001</v>
      </c>
      <c r="J8442">
        <v>-124.2531</v>
      </c>
      <c r="K8442">
        <v>1.106954</v>
      </c>
      <c r="L8442">
        <v>136.64439999999999</v>
      </c>
      <c r="M8442">
        <v>0.99979700000000005</v>
      </c>
      <c r="N8442">
        <v>-1.4194409999999999E-2</v>
      </c>
      <c r="O8442">
        <v>-1.430146E-2</v>
      </c>
      <c r="P8442">
        <v>0.9948207</v>
      </c>
      <c r="Q8442">
        <v>-6.4491670000000001E-2</v>
      </c>
      <c r="R8442">
        <v>7.856718E-2</v>
      </c>
      <c r="S8442">
        <v>3.0151520000000001</v>
      </c>
      <c r="T8442">
        <v>-0.1468111</v>
      </c>
      <c r="U8442">
        <v>-0.1216583</v>
      </c>
      <c r="V8442">
        <v>-9.3052159999999995E-2</v>
      </c>
      <c r="W8442">
        <v>-4.989304E-2</v>
      </c>
      <c r="X8442">
        <v>0.99441040000000003</v>
      </c>
      <c r="Y8442">
        <v>2.598955E-2</v>
      </c>
      <c r="Z8442">
        <v>-3.2404889999999999E-4</v>
      </c>
      <c r="AA8442">
        <v>0.99966219999999995</v>
      </c>
      <c r="AB8442">
        <v>46</v>
      </c>
      <c r="AC8442">
        <v>22.281600000000001</v>
      </c>
      <c r="AD8442">
        <v>-1.106958464251</v>
      </c>
      <c r="AE8442">
        <v>-0.91029999999997802</v>
      </c>
      <c r="AF8442">
        <v>0.59006144663611704</v>
      </c>
      <c r="AG8442">
        <v>-1.106958464251</v>
      </c>
      <c r="AH8442">
        <v>22.2375467696165</v>
      </c>
      <c r="AI8442">
        <v>92.848762002553997</v>
      </c>
      <c r="AJ8442">
        <v>88.480043695917402</v>
      </c>
      <c r="AK8442">
        <v>22.2728986861446</v>
      </c>
      <c r="AL8442">
        <v>92.859847876673996</v>
      </c>
      <c r="AM8442">
        <v>95.345897291010104</v>
      </c>
      <c r="AN8442">
        <v>1.00000003177463</v>
      </c>
    </row>
    <row r="8443" spans="1:40" x14ac:dyDescent="0.25">
      <c r="A8443" t="str">
        <f>"20190305135126221"</f>
        <v>20190305135126221</v>
      </c>
      <c r="B8443" t="str">
        <f>"1551765086218031"</f>
        <v>1551765086218031</v>
      </c>
      <c r="C8443" t="s">
        <v>40</v>
      </c>
      <c r="D8443">
        <v>4.0544919999999998</v>
      </c>
      <c r="E8443">
        <v>0.5438151</v>
      </c>
      <c r="F8443" t="s">
        <v>42</v>
      </c>
      <c r="G8443">
        <v>-101.9786</v>
      </c>
      <c r="H8443" s="1">
        <v>-4.4495689999999999E-6</v>
      </c>
      <c r="I8443">
        <v>135.7979</v>
      </c>
      <c r="J8443">
        <v>-123.7877</v>
      </c>
      <c r="K8443">
        <v>1.107205</v>
      </c>
      <c r="L8443">
        <v>136.63679999999999</v>
      </c>
      <c r="M8443">
        <v>0.99977510000000003</v>
      </c>
      <c r="N8443">
        <v>-1.451352E-2</v>
      </c>
      <c r="O8443">
        <v>-1.54717E-2</v>
      </c>
      <c r="P8443">
        <v>0.99462399999999995</v>
      </c>
      <c r="Q8443">
        <v>-6.4928819999999998E-2</v>
      </c>
      <c r="R8443">
        <v>8.0669899999999906E-2</v>
      </c>
      <c r="S8443">
        <v>3.0149539999999999</v>
      </c>
      <c r="T8443">
        <v>-0.14983189999999999</v>
      </c>
      <c r="U8443">
        <v>-0.11457820000000001</v>
      </c>
      <c r="V8443">
        <v>-9.62919E-2</v>
      </c>
      <c r="W8443">
        <v>-5.0044859999999997E-2</v>
      </c>
      <c r="X8443">
        <v>0.99409429999999999</v>
      </c>
      <c r="Y8443">
        <v>2.2482930000000002E-2</v>
      </c>
      <c r="Z8443">
        <v>-1.77813499999999E-4</v>
      </c>
      <c r="AA8443">
        <v>0.99974719999999995</v>
      </c>
      <c r="AB8443">
        <v>46</v>
      </c>
      <c r="AC8443">
        <v>21.809100000000001</v>
      </c>
      <c r="AD8443">
        <v>-1.1072094495689999</v>
      </c>
      <c r="AE8443">
        <v>-0.83889999999999498</v>
      </c>
      <c r="AF8443">
        <v>0.50005327679799905</v>
      </c>
      <c r="AG8443">
        <v>-1.1072094495689999</v>
      </c>
      <c r="AH8443">
        <v>21.763459051410901</v>
      </c>
      <c r="AI8443">
        <v>92.9116275260088</v>
      </c>
      <c r="AJ8443">
        <v>88.683761532603199</v>
      </c>
      <c r="AK8443">
        <v>21.797341946377099</v>
      </c>
      <c r="AL8443">
        <v>92.8685573562434</v>
      </c>
      <c r="AM8443">
        <v>95.532635025628494</v>
      </c>
      <c r="AN8443">
        <v>1.00000004765525</v>
      </c>
    </row>
    <row r="8444" spans="1:40" x14ac:dyDescent="0.25">
      <c r="A8444" t="str">
        <f>"20190305135126245"</f>
        <v>20190305135126245</v>
      </c>
      <c r="B8444" t="str">
        <f>"1551765086238527"</f>
        <v>1551765086238527</v>
      </c>
      <c r="C8444" t="s">
        <v>40</v>
      </c>
      <c r="D8444">
        <v>4.0494329999999996</v>
      </c>
      <c r="E8444">
        <v>0.53597249999999996</v>
      </c>
      <c r="F8444" t="s">
        <v>42</v>
      </c>
      <c r="G8444">
        <v>-101.73950000000001</v>
      </c>
      <c r="H8444" s="1">
        <v>-4.5487610000000004E-6</v>
      </c>
      <c r="I8444">
        <v>135.8758</v>
      </c>
      <c r="J8444">
        <v>-123.2966</v>
      </c>
      <c r="K8444">
        <v>1.107564</v>
      </c>
      <c r="L8444">
        <v>136.6284</v>
      </c>
      <c r="M8444">
        <v>0.99974890000000005</v>
      </c>
      <c r="N8444">
        <v>-1.515121E-2</v>
      </c>
      <c r="O8444">
        <v>-1.6513900000000001E-2</v>
      </c>
      <c r="P8444">
        <v>0.99459390000000003</v>
      </c>
      <c r="Q8444">
        <v>-6.2759010000000004E-2</v>
      </c>
      <c r="R8444">
        <v>8.273134E-2</v>
      </c>
      <c r="S8444">
        <v>3.0147710000000001</v>
      </c>
      <c r="T8444">
        <v>-0.15139530000000001</v>
      </c>
      <c r="U8444">
        <v>-0.1040649</v>
      </c>
      <c r="V8444">
        <v>-9.935136E-2</v>
      </c>
      <c r="W8444">
        <v>-4.7277850000000003E-2</v>
      </c>
      <c r="X8444">
        <v>0.99392860000000005</v>
      </c>
      <c r="Y8444">
        <v>1.7967819999999999E-2</v>
      </c>
      <c r="Z8444" s="1">
        <v>-8.6364739999999999E-6</v>
      </c>
      <c r="AA8444">
        <v>0.99983860000000002</v>
      </c>
      <c r="AB8444">
        <v>46</v>
      </c>
      <c r="AC8444">
        <v>21.557099999999899</v>
      </c>
      <c r="AD8444">
        <v>-1.1075685487610001</v>
      </c>
      <c r="AE8444">
        <v>-0.75260000000000105</v>
      </c>
      <c r="AF8444">
        <v>0.395422171525598</v>
      </c>
      <c r="AG8444">
        <v>-1.1075685487610001</v>
      </c>
      <c r="AH8444">
        <v>21.5098782198103</v>
      </c>
      <c r="AI8444">
        <v>92.947125790886801</v>
      </c>
      <c r="AJ8444">
        <v>88.946834116097605</v>
      </c>
      <c r="AK8444">
        <v>21.542003802223402</v>
      </c>
      <c r="AL8444">
        <v>92.709831477984295</v>
      </c>
      <c r="AM8444">
        <v>95.708224514385506</v>
      </c>
      <c r="AN8444">
        <v>0.99999997486621495</v>
      </c>
    </row>
    <row r="8445" spans="1:40" x14ac:dyDescent="0.25">
      <c r="A8445" t="str">
        <f>"20190305135126266"</f>
        <v>20190305135126266</v>
      </c>
      <c r="B8445" t="str">
        <f>"1551765086258048"</f>
        <v>1551765086258048</v>
      </c>
      <c r="C8445" t="s">
        <v>40</v>
      </c>
      <c r="D8445">
        <v>4.0709339999999896</v>
      </c>
      <c r="E8445">
        <v>0.53539619999999999</v>
      </c>
      <c r="F8445" t="s">
        <v>42</v>
      </c>
      <c r="G8445">
        <v>-104.5288</v>
      </c>
      <c r="H8445" s="1">
        <v>-3.138303E-6</v>
      </c>
      <c r="I8445">
        <v>136.39410000000001</v>
      </c>
      <c r="J8445">
        <v>-122.86499999999999</v>
      </c>
      <c r="K8445">
        <v>1.1079600000000001</v>
      </c>
      <c r="L8445">
        <v>136.6206</v>
      </c>
      <c r="M8445">
        <v>0.99972150000000004</v>
      </c>
      <c r="N8445">
        <v>-1.6052179999999999E-2</v>
      </c>
      <c r="O8445">
        <v>-1.72917E-2</v>
      </c>
      <c r="P8445">
        <v>0.99469450000000004</v>
      </c>
      <c r="Q8445">
        <v>-5.9496559999999997E-2</v>
      </c>
      <c r="R8445">
        <v>8.3923789999999998E-2</v>
      </c>
      <c r="S8445">
        <v>3.0082239999999998</v>
      </c>
      <c r="T8445">
        <v>-0.17752789999999999</v>
      </c>
      <c r="U8445">
        <v>-3.7551880000000003E-2</v>
      </c>
      <c r="V8445">
        <v>-0.1012815</v>
      </c>
      <c r="W8445">
        <v>-4.3155060000000002E-2</v>
      </c>
      <c r="X8445">
        <v>0.99392139999999995</v>
      </c>
      <c r="Y8445">
        <v>-4.7858179999999998E-3</v>
      </c>
      <c r="Z8445">
        <v>9.2158959999999999E-4</v>
      </c>
      <c r="AA8445">
        <v>0.99998810000000005</v>
      </c>
      <c r="AB8445">
        <v>45</v>
      </c>
      <c r="AC8445">
        <v>18.336199999999899</v>
      </c>
      <c r="AD8445">
        <v>-1.107963138303</v>
      </c>
      <c r="AE8445">
        <v>-0.22649999999998699</v>
      </c>
      <c r="AF8445">
        <v>-9.0309155613951295E-2</v>
      </c>
      <c r="AG8445">
        <v>-1.107963138303</v>
      </c>
      <c r="AH8445">
        <v>18.270675725126601</v>
      </c>
      <c r="AI8445">
        <v>93.470216175834594</v>
      </c>
      <c r="AJ8445">
        <v>90.283201968400803</v>
      </c>
      <c r="AK8445">
        <v>18.3044620110003</v>
      </c>
      <c r="AL8445">
        <v>92.473370862748098</v>
      </c>
      <c r="AM8445">
        <v>95.818408758958995</v>
      </c>
      <c r="AN8445">
        <v>1.0000000254118999</v>
      </c>
    </row>
    <row r="8446" spans="1:40" x14ac:dyDescent="0.25">
      <c r="A8446" t="str">
        <f>"20190305135126287"</f>
        <v>20190305135126287</v>
      </c>
      <c r="B8446" t="str">
        <f>"1551765086278543"</f>
        <v>1551765086278543</v>
      </c>
      <c r="C8446" t="s">
        <v>40</v>
      </c>
      <c r="D8446">
        <v>4.0845729999999998</v>
      </c>
      <c r="E8446">
        <v>0.53552379999999999</v>
      </c>
      <c r="F8446" t="s">
        <v>42</v>
      </c>
      <c r="G8446">
        <v>-103.0042</v>
      </c>
      <c r="H8446" s="1">
        <v>-3.8532760000000002E-6</v>
      </c>
      <c r="I8446">
        <v>136.4265</v>
      </c>
      <c r="J8446">
        <v>-122.4525</v>
      </c>
      <c r="K8446">
        <v>1.108355</v>
      </c>
      <c r="L8446">
        <v>136.6129</v>
      </c>
      <c r="M8446">
        <v>0.99969269999999999</v>
      </c>
      <c r="N8446">
        <v>-1.7114009999999999E-2</v>
      </c>
      <c r="O8446">
        <v>-1.7932759999999999E-2</v>
      </c>
      <c r="P8446">
        <v>0.99481589999999998</v>
      </c>
      <c r="Q8446">
        <v>-5.6718190000000002E-2</v>
      </c>
      <c r="R8446">
        <v>8.4404950000000006E-2</v>
      </c>
      <c r="S8446">
        <v>3.0084529999999998</v>
      </c>
      <c r="T8446">
        <v>-0.16783090000000001</v>
      </c>
      <c r="U8446">
        <v>-2.940369E-2</v>
      </c>
      <c r="V8446">
        <v>-0.1023729</v>
      </c>
      <c r="W8446">
        <v>-3.9353649999999997E-2</v>
      </c>
      <c r="X8446">
        <v>0.99396739999999995</v>
      </c>
      <c r="Y8446">
        <v>-8.1329599999999998E-3</v>
      </c>
      <c r="Z8446">
        <v>9.8911589999999992E-4</v>
      </c>
      <c r="AA8446">
        <v>0.99996640000000003</v>
      </c>
      <c r="AB8446">
        <v>45</v>
      </c>
      <c r="AC8446">
        <v>19.4483</v>
      </c>
      <c r="AD8446">
        <v>-1.108358853276</v>
      </c>
      <c r="AE8446">
        <v>-0.18639999999999099</v>
      </c>
      <c r="AF8446">
        <v>-0.16191693480276401</v>
      </c>
      <c r="AG8446">
        <v>-1.108358853276</v>
      </c>
      <c r="AH8446">
        <v>19.385559030987</v>
      </c>
      <c r="AI8446">
        <v>93.272178800299201</v>
      </c>
      <c r="AJ8446">
        <v>90.478549071225203</v>
      </c>
      <c r="AK8446">
        <v>19.417893175761701</v>
      </c>
      <c r="AL8446">
        <v>92.255380336908104</v>
      </c>
      <c r="AM8446">
        <v>95.880400059930395</v>
      </c>
      <c r="AN8446">
        <v>1.00000005634274</v>
      </c>
    </row>
    <row r="8447" spans="1:40" x14ac:dyDescent="0.25">
      <c r="A8447" t="str">
        <f>"20190305135126309"</f>
        <v>20190305135126309</v>
      </c>
      <c r="B8447" t="str">
        <f>"1551765086298064"</f>
        <v>1551765086298064</v>
      </c>
      <c r="C8447" t="s">
        <v>40</v>
      </c>
      <c r="D8447">
        <v>4.2224380000000004</v>
      </c>
      <c r="E8447">
        <v>0.53567169999999997</v>
      </c>
      <c r="F8447" t="s">
        <v>42</v>
      </c>
      <c r="G8447">
        <v>-101.7424</v>
      </c>
      <c r="H8447" s="1">
        <v>-4.4520930000000001E-6</v>
      </c>
      <c r="I8447">
        <v>136.41319999999999</v>
      </c>
      <c r="J8447">
        <v>-122.009</v>
      </c>
      <c r="K8447">
        <v>1.1087450000000001</v>
      </c>
      <c r="L8447">
        <v>136.60429999999999</v>
      </c>
      <c r="M8447">
        <v>0.9996604</v>
      </c>
      <c r="N8447">
        <v>-1.8344300000000001E-2</v>
      </c>
      <c r="O8447">
        <v>-1.8515489999999999E-2</v>
      </c>
      <c r="P8447">
        <v>0.99490780000000001</v>
      </c>
      <c r="Q8447">
        <v>-5.4070670000000001E-2</v>
      </c>
      <c r="R8447">
        <v>8.5058759999999997E-2</v>
      </c>
      <c r="S8447">
        <v>3.0089109999999999</v>
      </c>
      <c r="T8447">
        <v>-0.161029799999999</v>
      </c>
      <c r="U8447">
        <v>-2.9006959999999998E-2</v>
      </c>
      <c r="V8447">
        <v>-0.1035826</v>
      </c>
      <c r="W8447">
        <v>-3.5510960000000001E-2</v>
      </c>
      <c r="X8447">
        <v>0.9939867</v>
      </c>
      <c r="Y8447">
        <v>-8.8510429999999994E-3</v>
      </c>
      <c r="Z8447">
        <v>9.6851070000000003E-4</v>
      </c>
      <c r="AA8447">
        <v>0.99996039999999997</v>
      </c>
      <c r="AB8447">
        <v>45</v>
      </c>
      <c r="AC8447">
        <v>20.2666</v>
      </c>
      <c r="AD8447">
        <v>-1.1087494520929999</v>
      </c>
      <c r="AE8447">
        <v>-0.19110000000000499</v>
      </c>
      <c r="AF8447">
        <v>-0.18369216685016601</v>
      </c>
      <c r="AG8447">
        <v>-1.1087494520929999</v>
      </c>
      <c r="AH8447">
        <v>20.206191983502901</v>
      </c>
      <c r="AI8447">
        <v>93.140641463245402</v>
      </c>
      <c r="AJ8447">
        <v>90.520854992154298</v>
      </c>
      <c r="AK8447">
        <v>20.237422331756001</v>
      </c>
      <c r="AL8447">
        <v>92.035056055843995</v>
      </c>
      <c r="AM8447">
        <v>95.949276213155798</v>
      </c>
      <c r="AN8447">
        <v>0.99999997153988496</v>
      </c>
    </row>
    <row r="8448" spans="1:40" x14ac:dyDescent="0.25">
      <c r="A8448" t="str">
        <f>"20190305135126334"</f>
        <v>20190305135126334</v>
      </c>
      <c r="B8448" t="str">
        <f>"1551765086328322"</f>
        <v>1551765086328322</v>
      </c>
      <c r="C8448" t="s">
        <v>40</v>
      </c>
      <c r="D8448">
        <v>4.105874</v>
      </c>
      <c r="E8448">
        <v>0.53940959999999905</v>
      </c>
      <c r="F8448" t="s">
        <v>42</v>
      </c>
      <c r="G8448">
        <v>-100.33280000000001</v>
      </c>
      <c r="H8448" s="1">
        <v>-5.1205959999999996E-6</v>
      </c>
      <c r="I8448">
        <v>136.4007</v>
      </c>
      <c r="J8448">
        <v>-121.5565</v>
      </c>
      <c r="K8448">
        <v>1.109075</v>
      </c>
      <c r="L8448">
        <v>136.5951</v>
      </c>
      <c r="M8448">
        <v>0.9996275</v>
      </c>
      <c r="N8448">
        <v>-1.959058E-2</v>
      </c>
      <c r="O8448">
        <v>-1.9001750000000001E-2</v>
      </c>
      <c r="P8448">
        <v>0.99491759999999996</v>
      </c>
      <c r="Q8448">
        <v>-5.2122799999999997E-2</v>
      </c>
      <c r="R8448">
        <v>8.6153090000000002E-2</v>
      </c>
      <c r="S8448">
        <v>3.0094150000000002</v>
      </c>
      <c r="T8448">
        <v>-0.15393389999999901</v>
      </c>
      <c r="U8448">
        <v>-2.8259280000000001E-2</v>
      </c>
      <c r="V8448">
        <v>-0.10514220000000001</v>
      </c>
      <c r="W8448">
        <v>-3.2346600000000003E-2</v>
      </c>
      <c r="X8448">
        <v>0.99393100000000001</v>
      </c>
      <c r="Y8448">
        <v>-9.5895870000000001E-3</v>
      </c>
      <c r="Z8448">
        <v>9.3819520000000003E-4</v>
      </c>
      <c r="AA8448">
        <v>0.9999536</v>
      </c>
      <c r="AB8448">
        <v>45</v>
      </c>
      <c r="AC8448">
        <v>21.223699999999901</v>
      </c>
      <c r="AD8448">
        <v>-1.1090801205959999</v>
      </c>
      <c r="AE8448">
        <v>-0.19440000000000099</v>
      </c>
      <c r="AF8448">
        <v>-0.20843083887081601</v>
      </c>
      <c r="AG8448">
        <v>-1.1090801205959999</v>
      </c>
      <c r="AH8448">
        <v>21.165767451022301</v>
      </c>
      <c r="AI8448">
        <v>92.999393887000593</v>
      </c>
      <c r="AJ8448">
        <v>90.564204506609698</v>
      </c>
      <c r="AK8448">
        <v>21.1958301068689</v>
      </c>
      <c r="AL8448">
        <v>91.853646987164296</v>
      </c>
      <c r="AM8448">
        <v>96.038530950776206</v>
      </c>
      <c r="AN8448">
        <v>1.00000000875669</v>
      </c>
    </row>
    <row r="8449" spans="1:40" x14ac:dyDescent="0.25">
      <c r="A8449" t="str">
        <f>"20190305135126354"</f>
        <v>20190305135126354</v>
      </c>
      <c r="B8449" t="str">
        <f>"1551765086347839"</f>
        <v>1551765086347839</v>
      </c>
      <c r="C8449" t="s">
        <v>40</v>
      </c>
      <c r="D8449">
        <v>4.081213</v>
      </c>
      <c r="E8449">
        <v>0.53911869999999995</v>
      </c>
      <c r="F8449" t="s">
        <v>42</v>
      </c>
      <c r="G8449">
        <v>-99.239260000000002</v>
      </c>
      <c r="H8449" s="1">
        <v>-1.156897E-6</v>
      </c>
      <c r="I8449">
        <v>136.18889999999999</v>
      </c>
      <c r="J8449">
        <v>-121.1191</v>
      </c>
      <c r="K8449">
        <v>1.1093649999999999</v>
      </c>
      <c r="L8449">
        <v>136.58609999999999</v>
      </c>
      <c r="M8449">
        <v>0.99959600000000004</v>
      </c>
      <c r="N8449">
        <v>-2.0730620000000002E-2</v>
      </c>
      <c r="O8449">
        <v>-1.9447019999999999E-2</v>
      </c>
      <c r="P8449">
        <v>0.99492590000000003</v>
      </c>
      <c r="Q8449">
        <v>-5.0343779999999998E-2</v>
      </c>
      <c r="R8449">
        <v>8.7111069999999999E-2</v>
      </c>
      <c r="S8449">
        <v>3.012238</v>
      </c>
      <c r="T8449">
        <v>-0.14969579999999999</v>
      </c>
      <c r="U8449">
        <v>-5.4824829999999998E-2</v>
      </c>
      <c r="V8449">
        <v>-0.106527</v>
      </c>
      <c r="W8449">
        <v>-2.9458689999999999E-2</v>
      </c>
      <c r="X8449">
        <v>0.99387329999999996</v>
      </c>
      <c r="Y8449">
        <v>-1.243421E-3</v>
      </c>
      <c r="Z8449">
        <v>6.0639869999999998E-4</v>
      </c>
      <c r="AA8449">
        <v>0.99999899999999997</v>
      </c>
      <c r="AB8449">
        <v>44</v>
      </c>
      <c r="AC8449">
        <v>21.879839999999898</v>
      </c>
      <c r="AD8449">
        <v>-1.1093661568969999</v>
      </c>
      <c r="AE8449">
        <v>-0.397199999999998</v>
      </c>
      <c r="AF8449">
        <v>-2.8391307180724499E-2</v>
      </c>
      <c r="AG8449">
        <v>-1.1093661568969999</v>
      </c>
      <c r="AH8449">
        <v>21.827332168072299</v>
      </c>
      <c r="AI8449">
        <v>92.909531011636901</v>
      </c>
      <c r="AJ8449">
        <v>90.074525880964003</v>
      </c>
      <c r="AK8449">
        <v>21.855523990784501</v>
      </c>
      <c r="AL8449">
        <v>91.688102867061204</v>
      </c>
      <c r="AM8449">
        <v>96.117816116300702</v>
      </c>
      <c r="AN8449">
        <v>0.99999997629920201</v>
      </c>
    </row>
    <row r="8450" spans="1:40" x14ac:dyDescent="0.25">
      <c r="A8450" t="str">
        <f>"20190305135126378"</f>
        <v>20190305135126378</v>
      </c>
      <c r="B8450" t="str">
        <f>"1551765086368335"</f>
        <v>1551765086368335</v>
      </c>
      <c r="C8450" t="s">
        <v>40</v>
      </c>
      <c r="D8450">
        <v>4.1190280000000001</v>
      </c>
      <c r="E8450">
        <v>0.53902269999999997</v>
      </c>
      <c r="F8450" t="s">
        <v>42</v>
      </c>
      <c r="G8450">
        <v>-97.720209999999994</v>
      </c>
      <c r="H8450" s="1">
        <v>-1.670409E-6</v>
      </c>
      <c r="I8450">
        <v>136.20179999999999</v>
      </c>
      <c r="J8450">
        <v>-120.681</v>
      </c>
      <c r="K8450">
        <v>1.109629</v>
      </c>
      <c r="L8450">
        <v>136.57679999999999</v>
      </c>
      <c r="M8450">
        <v>0.99956409999999996</v>
      </c>
      <c r="N8450">
        <v>-2.178337E-2</v>
      </c>
      <c r="O8450">
        <v>-1.9932269999999998E-2</v>
      </c>
      <c r="P8450">
        <v>0.99488069999999895</v>
      </c>
      <c r="Q8450">
        <v>-4.9019739999999999E-2</v>
      </c>
      <c r="R8450">
        <v>8.8373060000000003E-2</v>
      </c>
      <c r="S8450">
        <v>3.0124050000000002</v>
      </c>
      <c r="T8450">
        <v>-0.142821</v>
      </c>
      <c r="U8450">
        <v>-4.9468989999999997E-2</v>
      </c>
      <c r="V8450">
        <v>-0.1082563</v>
      </c>
      <c r="W8450">
        <v>-2.7118110000000001E-2</v>
      </c>
      <c r="X8450">
        <v>0.99375309999999994</v>
      </c>
      <c r="Y8450">
        <v>-3.5057489999999998E-3</v>
      </c>
      <c r="Z8450">
        <v>6.314809E-4</v>
      </c>
      <c r="AA8450">
        <v>0.99999369999999999</v>
      </c>
      <c r="AB8450">
        <v>44</v>
      </c>
      <c r="AC8450">
        <v>22.960789999999999</v>
      </c>
      <c r="AD8450">
        <v>-1.109630670409</v>
      </c>
      <c r="AE8450">
        <v>-0.375</v>
      </c>
      <c r="AF8450">
        <v>-8.2650796568566803E-2</v>
      </c>
      <c r="AG8450">
        <v>-1.109630670409</v>
      </c>
      <c r="AH8450">
        <v>22.910209706147398</v>
      </c>
      <c r="AI8450">
        <v>92.772872800672801</v>
      </c>
      <c r="AJ8450">
        <v>90.206699167476003</v>
      </c>
      <c r="AK8450">
        <v>22.937214742826502</v>
      </c>
      <c r="AL8450">
        <v>91.553943717927098</v>
      </c>
      <c r="AM8450">
        <v>96.217103950609101</v>
      </c>
      <c r="AN8450">
        <v>1.00000002106963</v>
      </c>
    </row>
    <row r="8451" spans="1:40" x14ac:dyDescent="0.25">
      <c r="A8451" t="str">
        <f>"20190305135126399"</f>
        <v>20190305135126399</v>
      </c>
      <c r="B8451" t="str">
        <f>"1551765086387855"</f>
        <v>1551765086387855</v>
      </c>
      <c r="C8451" t="s">
        <v>40</v>
      </c>
      <c r="D8451">
        <v>4.1832539999999998</v>
      </c>
      <c r="E8451">
        <v>0.53924819999999996</v>
      </c>
      <c r="F8451" t="s">
        <v>42</v>
      </c>
      <c r="G8451">
        <v>-97.495450000000005</v>
      </c>
      <c r="H8451" s="1">
        <v>-1.739721E-6</v>
      </c>
      <c r="I8451">
        <v>136.22880000000001</v>
      </c>
      <c r="J8451">
        <v>-120.2617</v>
      </c>
      <c r="K8451">
        <v>1.109856</v>
      </c>
      <c r="L8451">
        <v>136.5677</v>
      </c>
      <c r="M8451">
        <v>0.99953369999999997</v>
      </c>
      <c r="N8451">
        <v>-2.2700410000000001E-2</v>
      </c>
      <c r="O8451">
        <v>-2.0426039999999999E-2</v>
      </c>
      <c r="P8451">
        <v>0.99488600000000005</v>
      </c>
      <c r="Q8451">
        <v>-4.6532520000000001E-2</v>
      </c>
      <c r="R8451">
        <v>8.9647640000000001E-2</v>
      </c>
      <c r="S8451">
        <v>3.0123600000000001</v>
      </c>
      <c r="T8451">
        <v>-0.1441674</v>
      </c>
      <c r="U8451">
        <v>-4.5211790000000002E-2</v>
      </c>
      <c r="V8451">
        <v>-0.11000699999999999</v>
      </c>
      <c r="W8451">
        <v>-2.3747339999999999E-2</v>
      </c>
      <c r="X8451">
        <v>0.99364710000000001</v>
      </c>
      <c r="Y8451">
        <v>-5.4094809999999998E-3</v>
      </c>
      <c r="Z8451">
        <v>7.0407E-4</v>
      </c>
      <c r="AA8451">
        <v>0.99998509999999996</v>
      </c>
      <c r="AB8451">
        <v>43</v>
      </c>
      <c r="AC8451">
        <v>22.766249999999999</v>
      </c>
      <c r="AD8451">
        <v>-1.1098577397210001</v>
      </c>
      <c r="AE8451">
        <v>-0.33889999999999498</v>
      </c>
      <c r="AF8451">
        <v>-0.126015483599351</v>
      </c>
      <c r="AG8451">
        <v>-1.1098577397210001</v>
      </c>
      <c r="AH8451">
        <v>22.7144512716091</v>
      </c>
      <c r="AI8451">
        <v>92.797278881283106</v>
      </c>
      <c r="AJ8451">
        <v>90.3178628972409</v>
      </c>
      <c r="AK8451">
        <v>22.7418987922035</v>
      </c>
      <c r="AL8451">
        <v>91.360750248962106</v>
      </c>
      <c r="AM8451">
        <v>96.317507814784705</v>
      </c>
      <c r="AN8451">
        <v>1.0000000177722399</v>
      </c>
    </row>
    <row r="8452" spans="1:40" x14ac:dyDescent="0.25">
      <c r="A8452" t="str">
        <f>"20190305135126422"</f>
        <v>20190305135126422</v>
      </c>
      <c r="B8452" t="str">
        <f>"1551765086418111"</f>
        <v>1551765086418111</v>
      </c>
      <c r="C8452" t="s">
        <v>40</v>
      </c>
      <c r="D8452">
        <v>4.2187780000000004</v>
      </c>
      <c r="E8452">
        <v>0.53954869999999899</v>
      </c>
      <c r="F8452" t="s">
        <v>42</v>
      </c>
      <c r="G8452">
        <v>-95.21705</v>
      </c>
      <c r="H8452" s="1">
        <v>-2.6382060000000002E-6</v>
      </c>
      <c r="I8452">
        <v>136.21109999999999</v>
      </c>
      <c r="J8452">
        <v>-119.82980000000001</v>
      </c>
      <c r="K8452">
        <v>1.11005</v>
      </c>
      <c r="L8452">
        <v>136.5582</v>
      </c>
      <c r="M8452">
        <v>0.9995039</v>
      </c>
      <c r="N8452">
        <v>-2.3557939999999999E-2</v>
      </c>
      <c r="O8452">
        <v>-2.090268E-2</v>
      </c>
      <c r="P8452">
        <v>0.99509389999999998</v>
      </c>
      <c r="Q8452">
        <v>-4.2460890000000001E-2</v>
      </c>
      <c r="R8452">
        <v>8.9358889999999996E-2</v>
      </c>
      <c r="S8452">
        <v>3.0130309999999998</v>
      </c>
      <c r="T8452">
        <v>-0.1335229</v>
      </c>
      <c r="U8452">
        <v>-4.289246E-2</v>
      </c>
      <c r="V8452">
        <v>-0.110181</v>
      </c>
      <c r="W8452">
        <v>-1.8847300000000001E-2</v>
      </c>
      <c r="X8452">
        <v>0.99373279999999997</v>
      </c>
      <c r="Y8452">
        <v>-6.6607669999999997E-3</v>
      </c>
      <c r="Z8452">
        <v>6.5935669999999996E-4</v>
      </c>
      <c r="AA8452">
        <v>0.99997760000000002</v>
      </c>
      <c r="AB8452">
        <v>43</v>
      </c>
      <c r="AC8452">
        <v>24.612749999999998</v>
      </c>
      <c r="AD8452">
        <v>-1.1100526382060001</v>
      </c>
      <c r="AE8452">
        <v>-0.34710000000001101</v>
      </c>
      <c r="AF8452">
        <v>-0.167251015759355</v>
      </c>
      <c r="AG8452">
        <v>-1.1100526382060001</v>
      </c>
      <c r="AH8452">
        <v>24.5646703984726</v>
      </c>
      <c r="AI8452">
        <v>92.587318280937595</v>
      </c>
      <c r="AJ8452">
        <v>90.390098018600696</v>
      </c>
      <c r="AK8452">
        <v>24.590307471592499</v>
      </c>
      <c r="AL8452">
        <v>91.079934713828806</v>
      </c>
      <c r="AM8452">
        <v>96.326878090247604</v>
      </c>
      <c r="AN8452">
        <v>0.999999975637064</v>
      </c>
    </row>
    <row r="8453" spans="1:40" x14ac:dyDescent="0.25">
      <c r="A8453" t="str">
        <f>"20190305135126448"</f>
        <v>20190305135126448</v>
      </c>
      <c r="B8453" t="str">
        <f>"1551765086438607"</f>
        <v>1551765086438607</v>
      </c>
      <c r="C8453" t="s">
        <v>40</v>
      </c>
      <c r="D8453">
        <v>4.1547869999999998</v>
      </c>
      <c r="E8453">
        <v>0.53959579999999996</v>
      </c>
      <c r="F8453" t="s">
        <v>42</v>
      </c>
      <c r="G8453">
        <v>-92.006410000000002</v>
      </c>
      <c r="H8453" s="1">
        <v>-4.0293840000000003E-6</v>
      </c>
      <c r="I8453">
        <v>136.13319999999999</v>
      </c>
      <c r="J8453">
        <v>-119.3348</v>
      </c>
      <c r="K8453">
        <v>1.110242</v>
      </c>
      <c r="L8453">
        <v>136.5472</v>
      </c>
      <c r="M8453">
        <v>0.99947350000000001</v>
      </c>
      <c r="N8453">
        <v>-2.4453260000000001E-2</v>
      </c>
      <c r="O8453">
        <v>-2.1329710000000002E-2</v>
      </c>
      <c r="P8453">
        <v>0.99526800000000004</v>
      </c>
      <c r="Q8453">
        <v>-4.0152229999999997E-2</v>
      </c>
      <c r="R8453">
        <v>8.8484199999999999E-2</v>
      </c>
      <c r="S8453">
        <v>3.0137939999999999</v>
      </c>
      <c r="T8453">
        <v>-0.1202396</v>
      </c>
      <c r="U8453">
        <v>-4.6035769999999997E-2</v>
      </c>
      <c r="V8453">
        <v>-0.109725</v>
      </c>
      <c r="W8453">
        <v>-1.5677279999999998E-2</v>
      </c>
      <c r="X8453">
        <v>0.99383840000000001</v>
      </c>
      <c r="Y8453">
        <v>-6.0535290000000002E-3</v>
      </c>
      <c r="Z8453">
        <v>5.2368830000000001E-4</v>
      </c>
      <c r="AA8453">
        <v>0.99998149999999997</v>
      </c>
      <c r="AB8453">
        <v>43</v>
      </c>
      <c r="AC8453">
        <v>27.328389999999999</v>
      </c>
      <c r="AD8453">
        <v>-1.110246029384</v>
      </c>
      <c r="AE8453">
        <v>-0.41400000000001502</v>
      </c>
      <c r="AF8453">
        <v>-0.16889647926777701</v>
      </c>
      <c r="AG8453">
        <v>-1.110246029384</v>
      </c>
      <c r="AH8453">
        <v>27.285977462008901</v>
      </c>
      <c r="AI8453">
        <v>92.329992544517495</v>
      </c>
      <c r="AJ8453">
        <v>90.354648531933606</v>
      </c>
      <c r="AK8453">
        <v>27.309077947153899</v>
      </c>
      <c r="AL8453">
        <v>90.898278723843305</v>
      </c>
      <c r="AM8453">
        <v>96.300240309539902</v>
      </c>
      <c r="AN8453">
        <v>1.00000005902387</v>
      </c>
    </row>
    <row r="8454" spans="1:40" x14ac:dyDescent="0.25">
      <c r="A8454" t="str">
        <f>"20190305135126471"</f>
        <v>20190305135126471</v>
      </c>
      <c r="B8454" t="str">
        <f>"1551765086467887"</f>
        <v>1551765086467887</v>
      </c>
      <c r="C8454" t="s">
        <v>40</v>
      </c>
      <c r="D8454">
        <v>4.1329539999999998</v>
      </c>
      <c r="E8454">
        <v>0.53959999999999997</v>
      </c>
      <c r="F8454" t="s">
        <v>42</v>
      </c>
      <c r="G8454">
        <v>-89.592060000000004</v>
      </c>
      <c r="H8454" s="1">
        <v>-1.0702069999999999E-6</v>
      </c>
      <c r="I8454">
        <v>136.0635</v>
      </c>
      <c r="J8454">
        <v>-118.90560000000001</v>
      </c>
      <c r="K8454">
        <v>1.110414</v>
      </c>
      <c r="L8454">
        <v>136.5376</v>
      </c>
      <c r="M8454">
        <v>0.9994516</v>
      </c>
      <c r="N8454">
        <v>-2.5152959999999999E-2</v>
      </c>
      <c r="O8454">
        <v>-2.1540179999999999E-2</v>
      </c>
      <c r="P8454">
        <v>0.99527659999999996</v>
      </c>
      <c r="Q8454">
        <v>-4.1445679999999999E-2</v>
      </c>
      <c r="R8454">
        <v>8.7789359999999997E-2</v>
      </c>
      <c r="S8454">
        <v>3.0140989999999999</v>
      </c>
      <c r="T8454">
        <v>-0.1125106</v>
      </c>
      <c r="U8454">
        <v>-4.9011230000000003E-2</v>
      </c>
      <c r="V8454">
        <v>-0.10923570000000001</v>
      </c>
      <c r="W8454">
        <v>-1.630989E-2</v>
      </c>
      <c r="X8454">
        <v>0.99388209999999999</v>
      </c>
      <c r="Y8454">
        <v>-5.2816640000000002E-3</v>
      </c>
      <c r="Z8454">
        <v>4.268109E-4</v>
      </c>
      <c r="AA8454">
        <v>0.99998589999999998</v>
      </c>
      <c r="AB8454">
        <v>43</v>
      </c>
      <c r="AC8454">
        <v>29.31354</v>
      </c>
      <c r="AD8454">
        <v>-1.1104150702069999</v>
      </c>
      <c r="AE8454">
        <v>-0.47409999999999197</v>
      </c>
      <c r="AF8454">
        <v>-0.15740297905334399</v>
      </c>
      <c r="AG8454">
        <v>-1.1104150702069999</v>
      </c>
      <c r="AH8454">
        <v>29.274953041955399</v>
      </c>
      <c r="AI8454">
        <v>92.172187718426599</v>
      </c>
      <c r="AJ8454">
        <v>90.308059912701296</v>
      </c>
      <c r="AK8454">
        <v>29.296427648002599</v>
      </c>
      <c r="AL8454">
        <v>90.934529260104895</v>
      </c>
      <c r="AM8454">
        <v>96.272096291478107</v>
      </c>
      <c r="AN8454">
        <v>1.0000000396833499</v>
      </c>
    </row>
    <row r="8455" spans="1:40" x14ac:dyDescent="0.25">
      <c r="A8455" t="str">
        <f>"20190305135126493"</f>
        <v>20190305135126493</v>
      </c>
      <c r="B8455" t="str">
        <f>"1551765086488384"</f>
        <v>1551765086488384</v>
      </c>
      <c r="C8455" t="s">
        <v>40</v>
      </c>
      <c r="D8455">
        <v>4.0984669999999896</v>
      </c>
      <c r="E8455">
        <v>0.53947639999999997</v>
      </c>
      <c r="F8455" t="s">
        <v>42</v>
      </c>
      <c r="G8455">
        <v>-90.272769999999994</v>
      </c>
      <c r="H8455" s="1">
        <v>-4.7877769999999997E-6</v>
      </c>
      <c r="I8455">
        <v>136.0505</v>
      </c>
      <c r="J8455">
        <v>-118.4999</v>
      </c>
      <c r="K8455">
        <v>1.1106180000000001</v>
      </c>
      <c r="L8455">
        <v>136.52869999999999</v>
      </c>
      <c r="M8455">
        <v>0.99943610000000005</v>
      </c>
      <c r="N8455">
        <v>-2.5746600000000001E-2</v>
      </c>
      <c r="O8455">
        <v>-2.155433E-2</v>
      </c>
      <c r="P8455">
        <v>0.99517239999999996</v>
      </c>
      <c r="Q8455">
        <v>-4.4365679999999998E-2</v>
      </c>
      <c r="R8455">
        <v>8.7542309999999998E-2</v>
      </c>
      <c r="S8455">
        <v>3.0138850000000001</v>
      </c>
      <c r="T8455">
        <v>-0.11688220000000001</v>
      </c>
      <c r="U8455">
        <v>-5.1269530000000001E-2</v>
      </c>
      <c r="V8455">
        <v>-0.1089957</v>
      </c>
      <c r="W8455">
        <v>-1.8687570000000001E-2</v>
      </c>
      <c r="X8455">
        <v>0.99386660000000004</v>
      </c>
      <c r="Y8455">
        <v>-4.5461540000000002E-3</v>
      </c>
      <c r="Z8455">
        <v>4.2713990000000003E-4</v>
      </c>
      <c r="AA8455">
        <v>0.99998960000000003</v>
      </c>
      <c r="AB8455">
        <v>42</v>
      </c>
      <c r="AC8455">
        <v>28.227129999999999</v>
      </c>
      <c r="AD8455">
        <v>-1.1106227877770001</v>
      </c>
      <c r="AE8455">
        <v>-0.47819999999998603</v>
      </c>
      <c r="AF8455">
        <v>-0.130328099395421</v>
      </c>
      <c r="AG8455">
        <v>-1.1106227877770001</v>
      </c>
      <c r="AH8455">
        <v>28.187254338536999</v>
      </c>
      <c r="AI8455">
        <v>92.256353841065106</v>
      </c>
      <c r="AJ8455">
        <v>90.264913948207393</v>
      </c>
      <c r="AK8455">
        <v>28.209427068545601</v>
      </c>
      <c r="AL8455">
        <v>91.070781163481897</v>
      </c>
      <c r="AM8455">
        <v>96.258522267596405</v>
      </c>
      <c r="AN8455">
        <v>1.00000005324327</v>
      </c>
    </row>
    <row r="8456" spans="1:40" x14ac:dyDescent="0.25">
      <c r="A8456" t="str">
        <f>"20190305135126514"</f>
        <v>20190305135126514</v>
      </c>
      <c r="B8456" t="str">
        <f>"1551765086508599"</f>
        <v>1551765086508599</v>
      </c>
      <c r="C8456" t="s">
        <v>40</v>
      </c>
      <c r="D8456">
        <v>4.0576369999999997</v>
      </c>
      <c r="E8456">
        <v>0.53951959999999999</v>
      </c>
      <c r="F8456" t="s">
        <v>42</v>
      </c>
      <c r="G8456">
        <v>-92.536869999999993</v>
      </c>
      <c r="H8456" s="1">
        <v>-3.8099160000000002E-6</v>
      </c>
      <c r="I8456">
        <v>136.08760000000001</v>
      </c>
      <c r="J8456">
        <v>-118.1083</v>
      </c>
      <c r="K8456">
        <v>1.1108420000000001</v>
      </c>
      <c r="L8456">
        <v>136.52019999999999</v>
      </c>
      <c r="M8456">
        <v>0.99942620000000004</v>
      </c>
      <c r="N8456">
        <v>-2.6258529999999999E-2</v>
      </c>
      <c r="O8456">
        <v>-2.1402890000000001E-2</v>
      </c>
      <c r="P8456">
        <v>0.99509259999999999</v>
      </c>
      <c r="Q8456">
        <v>-4.617276E-2</v>
      </c>
      <c r="R8456">
        <v>8.7516440000000001E-2</v>
      </c>
      <c r="S8456">
        <v>3.0133209999999999</v>
      </c>
      <c r="T8456">
        <v>-0.12890080000000001</v>
      </c>
      <c r="U8456">
        <v>-5.1193240000000001E-2</v>
      </c>
      <c r="V8456">
        <v>-0.1088094</v>
      </c>
      <c r="W8456">
        <v>-2.0039029999999999E-2</v>
      </c>
      <c r="X8456">
        <v>0.99386059999999998</v>
      </c>
      <c r="Y8456">
        <v>-4.4151219999999996E-3</v>
      </c>
      <c r="Z8456">
        <v>5.0535650000000005E-4</v>
      </c>
      <c r="AA8456">
        <v>0.99999009999999999</v>
      </c>
      <c r="AB8456">
        <v>42</v>
      </c>
      <c r="AC8456">
        <v>25.571429999999999</v>
      </c>
      <c r="AD8456">
        <v>-1.1108458099159999</v>
      </c>
      <c r="AE8456">
        <v>-0.432599999999979</v>
      </c>
      <c r="AF8456">
        <v>-0.114773832042269</v>
      </c>
      <c r="AG8456">
        <v>-1.1108458099159999</v>
      </c>
      <c r="AH8456">
        <v>25.526672552147101</v>
      </c>
      <c r="AI8456">
        <v>92.491746749744905</v>
      </c>
      <c r="AJ8456">
        <v>90.257613359030699</v>
      </c>
      <c r="AK8456">
        <v>25.551089272875899</v>
      </c>
      <c r="AL8456">
        <v>91.1482287350955</v>
      </c>
      <c r="AM8456">
        <v>96.247947033301003</v>
      </c>
      <c r="AN8456">
        <v>0.99999997024203002</v>
      </c>
    </row>
    <row r="8457" spans="1:40" x14ac:dyDescent="0.25">
      <c r="A8457" t="str">
        <f>"20190305135126536"</f>
        <v>20190305135126536</v>
      </c>
      <c r="B8457" t="str">
        <f>"1551765086528118"</f>
        <v>1551765086528118</v>
      </c>
      <c r="C8457" t="s">
        <v>40</v>
      </c>
      <c r="D8457">
        <v>4.0972839999999904</v>
      </c>
      <c r="E8457">
        <v>0.53940269999999901</v>
      </c>
      <c r="F8457" t="s">
        <v>42</v>
      </c>
      <c r="G8457">
        <v>-94.315669999999997</v>
      </c>
      <c r="H8457" s="1">
        <v>-3.0428349999999998E-6</v>
      </c>
      <c r="I8457">
        <v>136.11000000000001</v>
      </c>
      <c r="J8457">
        <v>-117.6982</v>
      </c>
      <c r="K8457">
        <v>1.111119</v>
      </c>
      <c r="L8457">
        <v>136.51169999999999</v>
      </c>
      <c r="M8457">
        <v>0.99942180000000003</v>
      </c>
      <c r="N8457">
        <v>-2.6739820000000001E-2</v>
      </c>
      <c r="O8457">
        <v>-2.1001840000000001E-2</v>
      </c>
      <c r="P8457">
        <v>0.99519009999999997</v>
      </c>
      <c r="Q8457">
        <v>-4.5315359999999999E-2</v>
      </c>
      <c r="R8457">
        <v>8.6851899999999996E-2</v>
      </c>
      <c r="S8457">
        <v>3.0128330000000001</v>
      </c>
      <c r="T8457">
        <v>-0.1406646</v>
      </c>
      <c r="U8457">
        <v>-5.1940920000000002E-2</v>
      </c>
      <c r="V8457">
        <v>-0.10773770000000001</v>
      </c>
      <c r="W8457">
        <v>-1.8761920000000001E-2</v>
      </c>
      <c r="X8457">
        <v>0.99400230000000001</v>
      </c>
      <c r="Y8457">
        <v>-3.7620930000000002E-3</v>
      </c>
      <c r="Z8457">
        <v>5.5639269999999998E-4</v>
      </c>
      <c r="AA8457">
        <v>0.99999280000000002</v>
      </c>
      <c r="AB8457">
        <v>41</v>
      </c>
      <c r="AC8457">
        <v>23.382529999999999</v>
      </c>
      <c r="AD8457">
        <v>-1.1111220428349999</v>
      </c>
      <c r="AE8457">
        <v>-0.40169999999997602</v>
      </c>
      <c r="AF8457">
        <v>-8.9438568060110094E-2</v>
      </c>
      <c r="AG8457">
        <v>-1.1111220428349999</v>
      </c>
      <c r="AH8457">
        <v>23.333135758611899</v>
      </c>
      <c r="AI8457">
        <v>92.726340828538</v>
      </c>
      <c r="AJ8457">
        <v>90.219620175844199</v>
      </c>
      <c r="AK8457">
        <v>23.359747767930699</v>
      </c>
      <c r="AL8457">
        <v>91.075041911905899</v>
      </c>
      <c r="AM8457">
        <v>96.186013376513401</v>
      </c>
      <c r="AN8457">
        <v>0.99999999702433295</v>
      </c>
    </row>
    <row r="8458" spans="1:40" x14ac:dyDescent="0.25">
      <c r="A8458" t="str">
        <f>"20190305135126560"</f>
        <v>20190305135126560</v>
      </c>
      <c r="B8458" t="str">
        <f>"1551765086547640"</f>
        <v>1551765086547640</v>
      </c>
      <c r="C8458" t="s">
        <v>40</v>
      </c>
      <c r="D8458">
        <v>4.0607550000000003</v>
      </c>
      <c r="E8458">
        <v>0.53674319999999998</v>
      </c>
      <c r="F8458" t="s">
        <v>42</v>
      </c>
      <c r="G8458">
        <v>-94.657780000000002</v>
      </c>
      <c r="H8458" s="1">
        <v>-2.8973799999999999E-6</v>
      </c>
      <c r="I8458">
        <v>136.1026</v>
      </c>
      <c r="J8458">
        <v>-117.2546</v>
      </c>
      <c r="K8458">
        <v>1.1114679999999999</v>
      </c>
      <c r="L8458">
        <v>136.50299999999999</v>
      </c>
      <c r="M8458">
        <v>0.99942450000000005</v>
      </c>
      <c r="N8458">
        <v>-2.72465E-2</v>
      </c>
      <c r="O8458">
        <v>-2.020978E-2</v>
      </c>
      <c r="P8458">
        <v>0.99531060000000005</v>
      </c>
      <c r="Q8458">
        <v>-4.3330210000000001E-2</v>
      </c>
      <c r="R8458">
        <v>8.6483489999999996E-2</v>
      </c>
      <c r="S8458">
        <v>3.0125579999999998</v>
      </c>
      <c r="T8458">
        <v>-0.1452801</v>
      </c>
      <c r="U8458">
        <v>-5.3482059999999998E-2</v>
      </c>
      <c r="V8458">
        <v>-0.1065738</v>
      </c>
      <c r="W8458">
        <v>-1.6345149999999999E-2</v>
      </c>
      <c r="X8458">
        <v>0.99417040000000001</v>
      </c>
      <c r="Y8458">
        <v>-2.4585750000000002E-3</v>
      </c>
      <c r="Z8458">
        <v>5.1603499999999997E-4</v>
      </c>
      <c r="AA8458">
        <v>0.99999680000000002</v>
      </c>
      <c r="AB8458">
        <v>41</v>
      </c>
      <c r="AC8458">
        <v>22.596819999999902</v>
      </c>
      <c r="AD8458">
        <v>-1.1114708973799901</v>
      </c>
      <c r="AE8458">
        <v>-0.40039999999998999</v>
      </c>
      <c r="AF8458">
        <v>-5.6391784016975303E-2</v>
      </c>
      <c r="AG8458">
        <v>-1.1114708973799901</v>
      </c>
      <c r="AH8458">
        <v>22.545767095235899</v>
      </c>
      <c r="AI8458">
        <v>92.822298197753895</v>
      </c>
      <c r="AJ8458">
        <v>90.143308696126894</v>
      </c>
      <c r="AK8458">
        <v>22.573217792367402</v>
      </c>
      <c r="AL8458">
        <v>90.936549851775197</v>
      </c>
      <c r="AM8458">
        <v>96.118668250092895</v>
      </c>
      <c r="AN8458">
        <v>0.99999996150556003</v>
      </c>
    </row>
    <row r="8459" spans="1:40" x14ac:dyDescent="0.25">
      <c r="A8459" t="str">
        <f>"20190305135126581"</f>
        <v>20190305135126581</v>
      </c>
      <c r="B8459" t="str">
        <f>"1551765086577895"</f>
        <v>1551765086577895</v>
      </c>
      <c r="C8459" t="s">
        <v>40</v>
      </c>
      <c r="D8459">
        <v>3.9537249999999999</v>
      </c>
      <c r="E8459">
        <v>0.53982649999999999</v>
      </c>
      <c r="F8459" t="s">
        <v>42</v>
      </c>
      <c r="G8459">
        <v>-101.44840000000001</v>
      </c>
      <c r="H8459" s="1">
        <v>-4.6099499999999998E-6</v>
      </c>
      <c r="I8459">
        <v>136.3065</v>
      </c>
      <c r="J8459">
        <v>-116.87909999999999</v>
      </c>
      <c r="K8459">
        <v>1.11182</v>
      </c>
      <c r="L8459">
        <v>136.49629999999999</v>
      </c>
      <c r="M8459">
        <v>0.99943179999999998</v>
      </c>
      <c r="N8459">
        <v>-2.7701989999999999E-2</v>
      </c>
      <c r="O8459">
        <v>-1.9196680000000001E-2</v>
      </c>
      <c r="P8459">
        <v>0.99540499999999998</v>
      </c>
      <c r="Q8459">
        <v>-4.0513029999999998E-2</v>
      </c>
      <c r="R8459">
        <v>8.6761050000000006E-2</v>
      </c>
      <c r="S8459">
        <v>3.0081630000000001</v>
      </c>
      <c r="T8459">
        <v>-0.21153140000000001</v>
      </c>
      <c r="U8459">
        <v>-3.7399290000000002E-2</v>
      </c>
      <c r="V8459">
        <v>-0.10583969999999999</v>
      </c>
      <c r="W8459">
        <v>-1.314624E-2</v>
      </c>
      <c r="X8459">
        <v>0.99429630000000002</v>
      </c>
      <c r="Y8459">
        <v>-6.7326340000000004E-3</v>
      </c>
      <c r="Z8459">
        <v>1.146415E-3</v>
      </c>
      <c r="AA8459">
        <v>0.99997670000000005</v>
      </c>
      <c r="AB8459">
        <v>41</v>
      </c>
      <c r="AC8459">
        <v>15.4306999999999</v>
      </c>
      <c r="AD8459">
        <v>-1.11182460995</v>
      </c>
      <c r="AE8459">
        <v>-0.189799999999991</v>
      </c>
      <c r="AF8459">
        <v>-0.106016647922286</v>
      </c>
      <c r="AG8459">
        <v>-1.11182460995</v>
      </c>
      <c r="AH8459">
        <v>15.3518108588051</v>
      </c>
      <c r="AI8459">
        <v>94.142203198598693</v>
      </c>
      <c r="AJ8459">
        <v>90.395667324273404</v>
      </c>
      <c r="AK8459">
        <v>15.392384160274</v>
      </c>
      <c r="AL8459">
        <v>90.753245766757601</v>
      </c>
      <c r="AM8459">
        <v>96.076074465931399</v>
      </c>
      <c r="AN8459">
        <v>0.99999999895795799</v>
      </c>
    </row>
    <row r="8460" spans="1:40" x14ac:dyDescent="0.25">
      <c r="A8460" t="str">
        <f>"20190305135126612"</f>
        <v>20190305135126612</v>
      </c>
      <c r="B8460" t="str">
        <f>"1551765086608022"</f>
        <v>1551765086608022</v>
      </c>
      <c r="C8460" t="s">
        <v>40</v>
      </c>
      <c r="D8460">
        <v>4.0268639999999998</v>
      </c>
      <c r="E8460">
        <v>0.54007559999999999</v>
      </c>
      <c r="F8460" t="s">
        <v>42</v>
      </c>
      <c r="G8460">
        <v>-93.402109999999993</v>
      </c>
      <c r="H8460" s="1">
        <v>-3.4459619999999999E-6</v>
      </c>
      <c r="I8460">
        <v>136.04679999999999</v>
      </c>
      <c r="J8460">
        <v>-116.33799999999999</v>
      </c>
      <c r="K8460">
        <v>1.1124160000000001</v>
      </c>
      <c r="L8460">
        <v>136.488</v>
      </c>
      <c r="M8460">
        <v>0.99944880000000003</v>
      </c>
      <c r="N8460">
        <v>-2.843861E-2</v>
      </c>
      <c r="O8460">
        <v>-1.71345E-2</v>
      </c>
      <c r="P8460">
        <v>0.99517829999999996</v>
      </c>
      <c r="Q8460">
        <v>-4.1683390000000001E-2</v>
      </c>
      <c r="R8460">
        <v>8.8785249999999996E-2</v>
      </c>
      <c r="S8460">
        <v>3.013077</v>
      </c>
      <c r="T8460">
        <v>-0.14269319999999999</v>
      </c>
      <c r="U8460">
        <v>-5.7693479999999998E-2</v>
      </c>
      <c r="V8460">
        <v>-0.10579239999999999</v>
      </c>
      <c r="W8460">
        <v>-1.371226E-2</v>
      </c>
      <c r="X8460">
        <v>0.99429369999999995</v>
      </c>
      <c r="Y8460">
        <v>2.0025529999999998E-3</v>
      </c>
      <c r="Z8460">
        <v>2.477027E-4</v>
      </c>
      <c r="AA8460">
        <v>0.99999800000000005</v>
      </c>
      <c r="AB8460">
        <v>41</v>
      </c>
      <c r="AC8460">
        <v>22.935890000000001</v>
      </c>
      <c r="AD8460">
        <v>-1.112419445962</v>
      </c>
      <c r="AE8460">
        <v>-0.44120000000000897</v>
      </c>
      <c r="AF8460">
        <v>4.7868640616351599E-2</v>
      </c>
      <c r="AG8460">
        <v>-1.112419445962</v>
      </c>
      <c r="AH8460">
        <v>22.886265850391901</v>
      </c>
      <c r="AI8460">
        <v>92.782746518772996</v>
      </c>
      <c r="AJ8460">
        <v>89.880161005871699</v>
      </c>
      <c r="AK8460">
        <v>22.9133352658517</v>
      </c>
      <c r="AL8460">
        <v>90.785679240470799</v>
      </c>
      <c r="AM8460">
        <v>96.073395116541505</v>
      </c>
      <c r="AN8460">
        <v>1.0000000099158699</v>
      </c>
    </row>
    <row r="8461" spans="1:40" x14ac:dyDescent="0.25">
      <c r="A8461" t="str">
        <f>"20190305135126634"</f>
        <v>20190305135126634</v>
      </c>
      <c r="B8461" t="str">
        <f>"1551765086628519"</f>
        <v>1551765086628519</v>
      </c>
      <c r="C8461" t="s">
        <v>40</v>
      </c>
      <c r="D8461">
        <v>4.0153189999999999</v>
      </c>
      <c r="E8461">
        <v>0.5400895</v>
      </c>
      <c r="F8461" t="s">
        <v>42</v>
      </c>
      <c r="G8461">
        <v>-96.886960000000002</v>
      </c>
      <c r="H8461" s="1">
        <v>-1.9724360000000001E-6</v>
      </c>
      <c r="I8461">
        <v>136.13239999999999</v>
      </c>
      <c r="J8461">
        <v>-115.9418</v>
      </c>
      <c r="K8461">
        <v>1.112908</v>
      </c>
      <c r="L8461">
        <v>136.48330000000001</v>
      </c>
      <c r="M8461">
        <v>0.99946310000000005</v>
      </c>
      <c r="N8461">
        <v>-2.9076870000000001E-2</v>
      </c>
      <c r="O8461">
        <v>-1.5103780000000001E-2</v>
      </c>
      <c r="P8461">
        <v>0.99488430000000005</v>
      </c>
      <c r="Q8461">
        <v>-4.260514E-2</v>
      </c>
      <c r="R8461">
        <v>9.1597369999999997E-2</v>
      </c>
      <c r="S8461">
        <v>3.0122529999999998</v>
      </c>
      <c r="T8461">
        <v>-0.17227219999999999</v>
      </c>
      <c r="U8461">
        <v>-5.5068970000000002E-2</v>
      </c>
      <c r="V8461">
        <v>-0.106567</v>
      </c>
      <c r="W8461">
        <v>-1.4105929999999999E-2</v>
      </c>
      <c r="X8461">
        <v>0.99420549999999996</v>
      </c>
      <c r="Y8461">
        <v>3.1670180000000002E-3</v>
      </c>
      <c r="Z8461">
        <v>2.8728860000000001E-4</v>
      </c>
      <c r="AA8461">
        <v>0.99999490000000002</v>
      </c>
      <c r="AB8461">
        <v>40</v>
      </c>
      <c r="AC8461">
        <v>19.054839999999999</v>
      </c>
      <c r="AD8461">
        <v>-1.1129099724359901</v>
      </c>
      <c r="AE8461">
        <v>-0.35090000000002403</v>
      </c>
      <c r="AF8461">
        <v>6.2724206267427404E-2</v>
      </c>
      <c r="AG8461">
        <v>-1.1129099724359901</v>
      </c>
      <c r="AH8461">
        <v>18.9931987857446</v>
      </c>
      <c r="AI8461">
        <v>93.353404115126096</v>
      </c>
      <c r="AJ8461">
        <v>89.810783888063298</v>
      </c>
      <c r="AK8461">
        <v>19.025879823219999</v>
      </c>
      <c r="AL8461">
        <v>90.808237028164697</v>
      </c>
      <c r="AM8461">
        <v>96.118066441170498</v>
      </c>
      <c r="AN8461">
        <v>1.0000000394902</v>
      </c>
    </row>
    <row r="8462" spans="1:40" x14ac:dyDescent="0.25">
      <c r="A8462" t="str">
        <f>"20190305135126659"</f>
        <v>20190305135126659</v>
      </c>
      <c r="B8462" t="str">
        <f>"1551765086648039"</f>
        <v>1551765086648039</v>
      </c>
      <c r="C8462" t="s">
        <v>40</v>
      </c>
      <c r="D8462">
        <v>4.0022849999999996</v>
      </c>
      <c r="E8462">
        <v>0.53977839999999999</v>
      </c>
      <c r="F8462" t="s">
        <v>42</v>
      </c>
      <c r="G8462">
        <v>-97.847430000000003</v>
      </c>
      <c r="H8462" s="1">
        <v>-1.627612E-6</v>
      </c>
      <c r="I8462">
        <v>136.19990000000001</v>
      </c>
      <c r="J8462">
        <v>-115.49939999999999</v>
      </c>
      <c r="K8462">
        <v>1.11347</v>
      </c>
      <c r="L8462">
        <v>136.4795</v>
      </c>
      <c r="M8462">
        <v>0.99947710000000001</v>
      </c>
      <c r="N8462">
        <v>-2.98737E-2</v>
      </c>
      <c r="O8462">
        <v>-1.2385490000000001E-2</v>
      </c>
      <c r="P8462">
        <v>0.99460099999999996</v>
      </c>
      <c r="Q8462">
        <v>-4.2478429999999998E-2</v>
      </c>
      <c r="R8462">
        <v>9.468298E-2</v>
      </c>
      <c r="S8462">
        <v>3.011841</v>
      </c>
      <c r="T8462">
        <v>-0.18524589999999999</v>
      </c>
      <c r="U8462">
        <v>-4.7164919999999999E-2</v>
      </c>
      <c r="V8462">
        <v>-0.1069374</v>
      </c>
      <c r="W8462">
        <v>-1.329614E-2</v>
      </c>
      <c r="X8462">
        <v>0.99417690000000003</v>
      </c>
      <c r="Y8462">
        <v>3.2642249999999999E-3</v>
      </c>
      <c r="Z8462">
        <v>2.4196140000000001E-4</v>
      </c>
      <c r="AA8462">
        <v>0.99999459999999996</v>
      </c>
      <c r="AB8462">
        <v>39</v>
      </c>
      <c r="AC8462">
        <v>17.651969999999899</v>
      </c>
      <c r="AD8462">
        <v>-1.113471627612</v>
      </c>
      <c r="AE8462">
        <v>-0.27959999999998703</v>
      </c>
      <c r="AF8462">
        <v>6.0611537712924997E-2</v>
      </c>
      <c r="AG8462">
        <v>-1.113471627612</v>
      </c>
      <c r="AH8462">
        <v>17.584129975708301</v>
      </c>
      <c r="AI8462">
        <v>93.623254711810205</v>
      </c>
      <c r="AJ8462">
        <v>89.802505352738194</v>
      </c>
      <c r="AK8462">
        <v>17.619452881023399</v>
      </c>
      <c r="AL8462">
        <v>90.7618351147038</v>
      </c>
      <c r="AM8462">
        <v>96.139344448272496</v>
      </c>
      <c r="AN8462">
        <v>1.00000005167563</v>
      </c>
    </row>
    <row r="8463" spans="1:40" x14ac:dyDescent="0.25">
      <c r="A8463" t="str">
        <f>"20190305135126681"</f>
        <v>20190305135126681</v>
      </c>
      <c r="B8463" t="str">
        <f>"1551765086668535"</f>
        <v>1551765086668535</v>
      </c>
      <c r="C8463" t="s">
        <v>40</v>
      </c>
      <c r="D8463">
        <v>3.8929390000000001</v>
      </c>
      <c r="E8463">
        <v>0.5395875</v>
      </c>
      <c r="F8463" t="s">
        <v>42</v>
      </c>
      <c r="G8463">
        <v>-98.131839999999997</v>
      </c>
      <c r="H8463" s="1">
        <v>-1.5114850000000001E-6</v>
      </c>
      <c r="I8463">
        <v>136.27260000000001</v>
      </c>
      <c r="J8463">
        <v>-115.14579999999999</v>
      </c>
      <c r="K8463">
        <v>1.1138950000000001</v>
      </c>
      <c r="L8463">
        <v>136.4778</v>
      </c>
      <c r="M8463">
        <v>0.99948459999999995</v>
      </c>
      <c r="N8463">
        <v>-3.0547120000000001E-2</v>
      </c>
      <c r="O8463">
        <v>-9.8675589999999997E-3</v>
      </c>
      <c r="P8463">
        <v>0.99441299999999999</v>
      </c>
      <c r="Q8463">
        <v>-4.1306320000000001E-2</v>
      </c>
      <c r="R8463">
        <v>9.7142019999999996E-2</v>
      </c>
      <c r="S8463">
        <v>3.0114749999999999</v>
      </c>
      <c r="T8463">
        <v>-0.19307150000000001</v>
      </c>
      <c r="U8463">
        <v>-3.5873410000000001E-2</v>
      </c>
      <c r="V8463">
        <v>-0.106891899999999</v>
      </c>
      <c r="W8463">
        <v>-1.153184E-2</v>
      </c>
      <c r="X8463">
        <v>0.99420370000000002</v>
      </c>
      <c r="Y8463">
        <v>2.03871E-3</v>
      </c>
      <c r="Z8463">
        <v>2.341314E-4</v>
      </c>
      <c r="AA8463">
        <v>0.9999979</v>
      </c>
      <c r="AB8463">
        <v>39</v>
      </c>
      <c r="AC8463">
        <v>17.013959999999901</v>
      </c>
      <c r="AD8463">
        <v>-1.1138965114849999</v>
      </c>
      <c r="AE8463">
        <v>-0.20519999999999</v>
      </c>
      <c r="AF8463">
        <v>3.7066504860567902E-2</v>
      </c>
      <c r="AG8463">
        <v>-1.1138965114849999</v>
      </c>
      <c r="AH8463">
        <v>16.942547000748</v>
      </c>
      <c r="AI8463">
        <v>93.761518201659797</v>
      </c>
      <c r="AJ8463">
        <v>89.874649844478895</v>
      </c>
      <c r="AK8463">
        <v>16.979164827418298</v>
      </c>
      <c r="AL8463">
        <v>90.660740453827998</v>
      </c>
      <c r="AM8463">
        <v>96.136588038646806</v>
      </c>
      <c r="AN8463">
        <v>0.99999992935654003</v>
      </c>
    </row>
    <row r="8464" spans="1:40" x14ac:dyDescent="0.25">
      <c r="A8464" t="str">
        <f>"20190305135126700"</f>
        <v>20190305135126700</v>
      </c>
      <c r="B8464" t="str">
        <f>"1551765086688054"</f>
        <v>1551765086688054</v>
      </c>
      <c r="C8464" t="s">
        <v>40</v>
      </c>
      <c r="D8464">
        <v>4.3155419999999998</v>
      </c>
      <c r="E8464">
        <v>0.53960450000000004</v>
      </c>
      <c r="F8464" t="s">
        <v>42</v>
      </c>
      <c r="G8464">
        <v>-97.733469999999997</v>
      </c>
      <c r="H8464" s="1">
        <v>-1.633978E-6</v>
      </c>
      <c r="I8464">
        <v>136.3218</v>
      </c>
      <c r="J8464">
        <v>-114.7968</v>
      </c>
      <c r="K8464">
        <v>1.114301</v>
      </c>
      <c r="L8464">
        <v>136.47720000000001</v>
      </c>
      <c r="M8464">
        <v>0.99948669999999995</v>
      </c>
      <c r="N8464">
        <v>-3.1238149999999999E-2</v>
      </c>
      <c r="O8464">
        <v>-7.0900640000000001E-3</v>
      </c>
      <c r="P8464">
        <v>0.99420430000000004</v>
      </c>
      <c r="Q8464">
        <v>-3.9747299999999999E-2</v>
      </c>
      <c r="R8464">
        <v>9.9888969999999994E-2</v>
      </c>
      <c r="S8464">
        <v>3.0114899999999998</v>
      </c>
      <c r="T8464">
        <v>-0.19264980000000001</v>
      </c>
      <c r="U8464">
        <v>-2.6977540000000001E-2</v>
      </c>
      <c r="V8464">
        <v>-0.1068834</v>
      </c>
      <c r="W8464">
        <v>-9.3550290000000008E-3</v>
      </c>
      <c r="X8464">
        <v>0.99422750000000004</v>
      </c>
      <c r="Y8464">
        <v>1.8624959999999999E-3</v>
      </c>
      <c r="Z8464">
        <v>1.4301280000000001E-4</v>
      </c>
      <c r="AA8464">
        <v>0.99999830000000001</v>
      </c>
      <c r="AB8464">
        <v>39</v>
      </c>
      <c r="AC8464">
        <v>17.063330000000001</v>
      </c>
      <c r="AD8464">
        <v>-1.114302633978</v>
      </c>
      <c r="AE8464">
        <v>-0.155400000000014</v>
      </c>
      <c r="AF8464">
        <v>3.4211018494268497E-2</v>
      </c>
      <c r="AG8464">
        <v>-1.114302633978</v>
      </c>
      <c r="AH8464">
        <v>16.991546818378101</v>
      </c>
      <c r="AI8464">
        <v>93.752066789211895</v>
      </c>
      <c r="AJ8464">
        <v>89.884640030432806</v>
      </c>
      <c r="AK8464">
        <v>17.0280798692927</v>
      </c>
      <c r="AL8464">
        <v>90.536011524360902</v>
      </c>
      <c r="AM8464">
        <v>96.135958015841894</v>
      </c>
      <c r="AN8464">
        <v>0.99999994975969897</v>
      </c>
    </row>
    <row r="8465" spans="1:40" x14ac:dyDescent="0.25">
      <c r="A8465" t="str">
        <f>"20190305135126724"</f>
        <v>20190305135126724</v>
      </c>
      <c r="B8465" t="str">
        <f>"1551765086718310"</f>
        <v>1551765086718310</v>
      </c>
      <c r="C8465" t="s">
        <v>40</v>
      </c>
      <c r="D8465">
        <v>3.9629349999999999</v>
      </c>
      <c r="E8465">
        <v>0.53977549999999996</v>
      </c>
      <c r="F8465" t="s">
        <v>42</v>
      </c>
      <c r="G8465">
        <v>-97.418009999999995</v>
      </c>
      <c r="H8465" s="1">
        <v>-1.72912E-6</v>
      </c>
      <c r="I8465">
        <v>136.36760000000001</v>
      </c>
      <c r="J8465">
        <v>-114.4156</v>
      </c>
      <c r="K8465">
        <v>1.1146910000000001</v>
      </c>
      <c r="L8465">
        <v>136.47799999999901</v>
      </c>
      <c r="M8465">
        <v>0.99948040000000005</v>
      </c>
      <c r="N8465">
        <v>-3.2010709999999998E-2</v>
      </c>
      <c r="O8465">
        <v>-3.7675600000000001E-3</v>
      </c>
      <c r="P8465">
        <v>0.99392910000000001</v>
      </c>
      <c r="Q8465">
        <v>-3.8599880000000003E-2</v>
      </c>
      <c r="R8465">
        <v>0.1030286</v>
      </c>
      <c r="S8465">
        <v>3.0116879999999999</v>
      </c>
      <c r="T8465">
        <v>-0.193105</v>
      </c>
      <c r="U8465">
        <v>-1.8981930000000001E-2</v>
      </c>
      <c r="V8465">
        <v>-0.1067258</v>
      </c>
      <c r="W8465">
        <v>-7.504414E-3</v>
      </c>
      <c r="X8465">
        <v>0.99426020000000004</v>
      </c>
      <c r="Y8465">
        <v>2.5273190000000001E-3</v>
      </c>
      <c r="Z8465" s="1">
        <v>-7.1530670000000001E-7</v>
      </c>
      <c r="AA8465">
        <v>0.99999680000000002</v>
      </c>
      <c r="AB8465">
        <v>38</v>
      </c>
      <c r="AC8465">
        <v>16.997589999999999</v>
      </c>
      <c r="AD8465">
        <v>-1.1146927291199999</v>
      </c>
      <c r="AE8465">
        <v>-0.11039999999996999</v>
      </c>
      <c r="AF8465">
        <v>4.6128563352962997E-2</v>
      </c>
      <c r="AG8465">
        <v>-1.1146927291199999</v>
      </c>
      <c r="AH8465">
        <v>16.925099276034299</v>
      </c>
      <c r="AI8465">
        <v>93.768063519239703</v>
      </c>
      <c r="AJ8465">
        <v>89.843843429927901</v>
      </c>
      <c r="AK8465">
        <v>16.961829300766102</v>
      </c>
      <c r="AL8465">
        <v>90.429975273295597</v>
      </c>
      <c r="AM8465">
        <v>96.126779411524595</v>
      </c>
      <c r="AN8465">
        <v>1.0000000289595801</v>
      </c>
    </row>
    <row r="8466" spans="1:40" x14ac:dyDescent="0.25">
      <c r="A8466" t="str">
        <f>"20190305135126745"</f>
        <v>20190305135126745</v>
      </c>
      <c r="B8466" t="str">
        <f>"1551765086737831"</f>
        <v>1551765086737831</v>
      </c>
      <c r="C8466" t="s">
        <v>40</v>
      </c>
      <c r="D8466">
        <v>3.8065630000000001</v>
      </c>
      <c r="E8466">
        <v>0.53987540000000001</v>
      </c>
      <c r="F8466" t="s">
        <v>42</v>
      </c>
      <c r="G8466">
        <v>-97.016859999999994</v>
      </c>
      <c r="H8466" s="1">
        <v>-1.8531830000000001E-6</v>
      </c>
      <c r="I8466">
        <v>136.4144</v>
      </c>
      <c r="J8466">
        <v>-114.0528</v>
      </c>
      <c r="K8466">
        <v>1.115016</v>
      </c>
      <c r="L8466">
        <v>136.4802</v>
      </c>
      <c r="M8466">
        <v>0.99946389999999996</v>
      </c>
      <c r="N8466">
        <v>-3.2740239999999997E-2</v>
      </c>
      <c r="O8466">
        <v>-3.6668980000000001E-4</v>
      </c>
      <c r="P8466">
        <v>0.9936102</v>
      </c>
      <c r="Q8466">
        <v>-3.7991659999999997E-2</v>
      </c>
      <c r="R8466">
        <v>0.1062818</v>
      </c>
      <c r="S8466">
        <v>3.011978</v>
      </c>
      <c r="T8466">
        <v>-0.1929691</v>
      </c>
      <c r="U8466">
        <v>-1.100159E-2</v>
      </c>
      <c r="V8466">
        <v>-0.1066039</v>
      </c>
      <c r="W8466">
        <v>-6.2219369999999899E-3</v>
      </c>
      <c r="X8466">
        <v>0.99428209999999995</v>
      </c>
      <c r="Y8466">
        <v>3.2757250000000002E-3</v>
      </c>
      <c r="Z8466">
        <v>-1.4708120000000001E-4</v>
      </c>
      <c r="AA8466">
        <v>0.99999459999999996</v>
      </c>
      <c r="AB8466">
        <v>38</v>
      </c>
      <c r="AC8466">
        <v>17.03594</v>
      </c>
      <c r="AD8466">
        <v>-1.115017853183</v>
      </c>
      <c r="AE8466">
        <v>-6.5799999999995806E-2</v>
      </c>
      <c r="AF8466">
        <v>5.9295731217098101E-2</v>
      </c>
      <c r="AG8466">
        <v>-1.115017853183</v>
      </c>
      <c r="AH8466">
        <v>16.9632963329524</v>
      </c>
      <c r="AI8466">
        <v>93.760687594096595</v>
      </c>
      <c r="AJ8466">
        <v>89.799721632045603</v>
      </c>
      <c r="AK8466">
        <v>17.000005978711101</v>
      </c>
      <c r="AL8466">
        <v>90.356493030933805</v>
      </c>
      <c r="AM8466">
        <v>96.119700891515194</v>
      </c>
      <c r="AN8466">
        <v>0.99999999918782501</v>
      </c>
    </row>
    <row r="8467" spans="1:40" x14ac:dyDescent="0.25">
      <c r="A8467" t="str">
        <f>"20190305135126768"</f>
        <v>20190305135126768</v>
      </c>
      <c r="B8467" t="str">
        <f>"1551765086758327"</f>
        <v>1551765086758327</v>
      </c>
      <c r="C8467" t="s">
        <v>40</v>
      </c>
      <c r="D8467">
        <v>3.970872</v>
      </c>
      <c r="E8467">
        <v>0.54001699999999997</v>
      </c>
      <c r="F8467" t="s">
        <v>42</v>
      </c>
      <c r="G8467">
        <v>-96.669529999999995</v>
      </c>
      <c r="H8467" s="1">
        <v>-1.9693879999999998E-6</v>
      </c>
      <c r="I8467">
        <v>136.46879999999999</v>
      </c>
      <c r="J8467">
        <v>-113.6895</v>
      </c>
      <c r="K8467">
        <v>1.1152709999999999</v>
      </c>
      <c r="L8467">
        <v>136.4838</v>
      </c>
      <c r="M8467">
        <v>0.99943559999999998</v>
      </c>
      <c r="N8467">
        <v>-3.3438790000000003E-2</v>
      </c>
      <c r="O8467">
        <v>3.2272550000000001E-3</v>
      </c>
      <c r="P8467">
        <v>0.99331590000000003</v>
      </c>
      <c r="Q8467">
        <v>-3.7895930000000001E-2</v>
      </c>
      <c r="R8467">
        <v>0.1090299</v>
      </c>
      <c r="S8467">
        <v>3.0121150000000001</v>
      </c>
      <c r="T8467">
        <v>-0.19320619999999999</v>
      </c>
      <c r="U8467">
        <v>-1.9683840000000001E-3</v>
      </c>
      <c r="V8467">
        <v>-0.10578269999999999</v>
      </c>
      <c r="W8467">
        <v>-5.4633059999999898E-3</v>
      </c>
      <c r="X8467">
        <v>0.99437430000000004</v>
      </c>
      <c r="Y8467">
        <v>3.868921E-3</v>
      </c>
      <c r="Z8467">
        <v>-2.8766039999999999E-4</v>
      </c>
      <c r="AA8467">
        <v>0.99999249999999995</v>
      </c>
      <c r="AB8467">
        <v>37</v>
      </c>
      <c r="AC8467">
        <v>17.019969999999901</v>
      </c>
      <c r="AD8467">
        <v>-1.1152729693879999</v>
      </c>
      <c r="AE8467">
        <v>-1.5000000000014699E-2</v>
      </c>
      <c r="AF8467">
        <v>6.9659332257309498E-2</v>
      </c>
      <c r="AG8467">
        <v>-1.1152729693879999</v>
      </c>
      <c r="AH8467">
        <v>16.9470650840532</v>
      </c>
      <c r="AI8467">
        <v>93.765129097347298</v>
      </c>
      <c r="AJ8467">
        <v>89.764492362255197</v>
      </c>
      <c r="AK8467">
        <v>16.9838659080302</v>
      </c>
      <c r="AL8467">
        <v>90.313025921317504</v>
      </c>
      <c r="AM8467">
        <v>96.072353851962802</v>
      </c>
      <c r="AN8467">
        <v>1.00000003791611</v>
      </c>
    </row>
    <row r="8468" spans="1:40" x14ac:dyDescent="0.25">
      <c r="A8468" t="str">
        <f>"20190305135126790"</f>
        <v>20190305135126790</v>
      </c>
      <c r="B8468" t="str">
        <f>"1551765086777847"</f>
        <v>1551765086777847</v>
      </c>
      <c r="C8468" t="s">
        <v>40</v>
      </c>
      <c r="D8468">
        <v>4.1673819999999999</v>
      </c>
      <c r="E8468">
        <v>0.54009030000000002</v>
      </c>
      <c r="F8468" t="s">
        <v>42</v>
      </c>
      <c r="G8468">
        <v>-96.564409999999995</v>
      </c>
      <c r="H8468" s="1">
        <v>-2.0064540000000002E-6</v>
      </c>
      <c r="I8468">
        <v>136.51410000000001</v>
      </c>
      <c r="J8468">
        <v>-113.3321</v>
      </c>
      <c r="K8468">
        <v>1.115453</v>
      </c>
      <c r="L8468">
        <v>136.4888</v>
      </c>
      <c r="M8468">
        <v>0.99939549999999999</v>
      </c>
      <c r="N8468">
        <v>-3.4074970000000003E-2</v>
      </c>
      <c r="O8468">
        <v>6.9056550000000001E-3</v>
      </c>
      <c r="P8468">
        <v>0.99299570000000004</v>
      </c>
      <c r="Q8468">
        <v>-3.8494220000000003E-2</v>
      </c>
      <c r="R8468">
        <v>0.1117047</v>
      </c>
      <c r="S8468">
        <v>3.0121310000000001</v>
      </c>
      <c r="T8468">
        <v>-0.19616510000000001</v>
      </c>
      <c r="U8468">
        <v>5.3253170000000004E-3</v>
      </c>
      <c r="V8468">
        <v>-0.1048007</v>
      </c>
      <c r="W8468">
        <v>-5.4460410000000004E-3</v>
      </c>
      <c r="X8468">
        <v>0.99447830000000004</v>
      </c>
      <c r="Y8468">
        <v>5.1218820000000003E-3</v>
      </c>
      <c r="Z8468">
        <v>-4.6802520000000002E-4</v>
      </c>
      <c r="AA8468">
        <v>0.99998679999999995</v>
      </c>
      <c r="AB8468">
        <v>37</v>
      </c>
      <c r="AC8468">
        <v>16.767689999999899</v>
      </c>
      <c r="AD8468">
        <v>-1.1154550064540001</v>
      </c>
      <c r="AE8468">
        <v>2.5300000000015602E-2</v>
      </c>
      <c r="AF8468">
        <v>9.0160757717024698E-2</v>
      </c>
      <c r="AG8468">
        <v>-1.1154550064540001</v>
      </c>
      <c r="AH8468">
        <v>16.693588030140901</v>
      </c>
      <c r="AI8468">
        <v>93.822729601964497</v>
      </c>
      <c r="AJ8468">
        <v>89.690553004098007</v>
      </c>
      <c r="AK8468">
        <v>16.7310564565935</v>
      </c>
      <c r="AL8468">
        <v>90.312036716938096</v>
      </c>
      <c r="AM8468">
        <v>96.015773897257802</v>
      </c>
      <c r="AN8468">
        <v>0.99999996762697596</v>
      </c>
    </row>
    <row r="8469" spans="1:40" x14ac:dyDescent="0.25">
      <c r="A8469" t="str">
        <f>"20190305135126812"</f>
        <v>20190305135126812</v>
      </c>
      <c r="B8469" t="str">
        <f>"1551765086808103"</f>
        <v>1551765086808103</v>
      </c>
      <c r="C8469" t="s">
        <v>40</v>
      </c>
      <c r="D8469">
        <v>3.917008</v>
      </c>
      <c r="E8469">
        <v>0.54017040000000005</v>
      </c>
      <c r="F8469" t="s">
        <v>42</v>
      </c>
      <c r="G8469">
        <v>-96.556920000000005</v>
      </c>
      <c r="H8469" s="1">
        <v>-2.0014450000000002E-6</v>
      </c>
      <c r="I8469">
        <v>136.56039999999999</v>
      </c>
      <c r="J8469">
        <v>-112.973</v>
      </c>
      <c r="K8469">
        <v>1.1155600000000001</v>
      </c>
      <c r="L8469">
        <v>136.49539999999999</v>
      </c>
      <c r="M8469">
        <v>0.9993417</v>
      </c>
      <c r="N8469">
        <v>-3.4666639999999999E-2</v>
      </c>
      <c r="O8469">
        <v>1.069846E-2</v>
      </c>
      <c r="P8469">
        <v>0.9926855</v>
      </c>
      <c r="Q8469">
        <v>-4.0135509999999999E-2</v>
      </c>
      <c r="R8469">
        <v>0.1138633</v>
      </c>
      <c r="S8469">
        <v>3.0119630000000002</v>
      </c>
      <c r="T8469">
        <v>-0.20027780000000001</v>
      </c>
      <c r="U8469">
        <v>1.286316E-2</v>
      </c>
      <c r="V8469">
        <v>-0.10318099999999999</v>
      </c>
      <c r="W8469">
        <v>-6.4964089999999999E-3</v>
      </c>
      <c r="X8469">
        <v>0.99464140000000001</v>
      </c>
      <c r="Y8469">
        <v>6.4074409999999998E-3</v>
      </c>
      <c r="Z8469">
        <v>-6.6385689999999998E-4</v>
      </c>
      <c r="AA8469">
        <v>0.99997930000000002</v>
      </c>
      <c r="AB8469">
        <v>36</v>
      </c>
      <c r="AC8469">
        <v>16.416080000000001</v>
      </c>
      <c r="AD8469">
        <v>-1.1155620014450001</v>
      </c>
      <c r="AE8469">
        <v>6.4999999999997699E-2</v>
      </c>
      <c r="AF8469">
        <v>0.110227106625467</v>
      </c>
      <c r="AG8469">
        <v>-1.1155620014450001</v>
      </c>
      <c r="AH8469">
        <v>16.3403774549617</v>
      </c>
      <c r="AI8469">
        <v>93.905449668244003</v>
      </c>
      <c r="AJ8469">
        <v>89.613506345083493</v>
      </c>
      <c r="AK8469">
        <v>16.378783958668102</v>
      </c>
      <c r="AL8469">
        <v>90.372219429044506</v>
      </c>
      <c r="AM8469">
        <v>95.922501597510703</v>
      </c>
      <c r="AN8469">
        <v>1.00000001834242</v>
      </c>
    </row>
    <row r="8470" spans="1:40" x14ac:dyDescent="0.25">
      <c r="A8470" t="str">
        <f>"20190305135126835"</f>
        <v>20190305135126835</v>
      </c>
      <c r="B8470" t="str">
        <f>"1551765086827623"</f>
        <v>1551765086827623</v>
      </c>
      <c r="C8470" t="s">
        <v>40</v>
      </c>
      <c r="D8470">
        <v>3.9188869999999998</v>
      </c>
      <c r="E8470">
        <v>0.54034269999999995</v>
      </c>
      <c r="F8470" t="s">
        <v>42</v>
      </c>
      <c r="G8470">
        <v>-96.827920000000006</v>
      </c>
      <c r="H8470" s="1">
        <v>-1.8789600000000001E-6</v>
      </c>
      <c r="I8470">
        <v>136.59559999999999</v>
      </c>
      <c r="J8470">
        <v>-112.6241</v>
      </c>
      <c r="K8470">
        <v>1.115618</v>
      </c>
      <c r="L8470">
        <v>136.50309999999999</v>
      </c>
      <c r="M8470">
        <v>0.99927540000000004</v>
      </c>
      <c r="N8470">
        <v>-3.5219859999999999E-2</v>
      </c>
      <c r="O8470">
        <v>1.443025E-2</v>
      </c>
      <c r="P8470">
        <v>0.99232520000000002</v>
      </c>
      <c r="Q8470">
        <v>-4.2322110000000003E-2</v>
      </c>
      <c r="R8470">
        <v>0.1161886</v>
      </c>
      <c r="S8470">
        <v>3.0115509999999999</v>
      </c>
      <c r="T8470">
        <v>-0.20808579999999999</v>
      </c>
      <c r="U8470">
        <v>1.869202E-2</v>
      </c>
      <c r="V8470">
        <v>-0.1017858</v>
      </c>
      <c r="W8470">
        <v>-8.1223649999999994E-3</v>
      </c>
      <c r="X8470">
        <v>0.99477320000000002</v>
      </c>
      <c r="Y8470">
        <v>8.1951390000000006E-3</v>
      </c>
      <c r="Z8470">
        <v>-9.1513779999999995E-4</v>
      </c>
      <c r="AA8470">
        <v>0.99996600000000002</v>
      </c>
      <c r="AB8470">
        <v>36</v>
      </c>
      <c r="AC8470">
        <v>15.79618</v>
      </c>
      <c r="AD8470">
        <v>-1.11561987896</v>
      </c>
      <c r="AE8470">
        <v>9.2500000000001095E-2</v>
      </c>
      <c r="AF8470">
        <v>0.13492101046815499</v>
      </c>
      <c r="AG8470">
        <v>-1.11561987896</v>
      </c>
      <c r="AH8470">
        <v>15.7174724557782</v>
      </c>
      <c r="AI8470">
        <v>94.059873193579307</v>
      </c>
      <c r="AJ8470">
        <v>89.508176990951895</v>
      </c>
      <c r="AK8470">
        <v>15.7575934644711</v>
      </c>
      <c r="AL8470">
        <v>90.465382341739499</v>
      </c>
      <c r="AM8470">
        <v>95.842207341365693</v>
      </c>
      <c r="AN8470">
        <v>1.00000002066653</v>
      </c>
    </row>
    <row r="8471" spans="1:40" x14ac:dyDescent="0.25">
      <c r="A8471" t="str">
        <f>"20190305135126861"</f>
        <v>20190305135126861</v>
      </c>
      <c r="B8471" t="str">
        <f>"1551765086848119"</f>
        <v>1551765086848119</v>
      </c>
      <c r="C8471" t="s">
        <v>40</v>
      </c>
      <c r="D8471">
        <v>3.9281839999999999</v>
      </c>
      <c r="E8471">
        <v>0.54032579999999997</v>
      </c>
      <c r="F8471" t="s">
        <v>42</v>
      </c>
      <c r="G8471">
        <v>-97.105029999999999</v>
      </c>
      <c r="H8471" s="1">
        <v>-1.7662699999999999E-6</v>
      </c>
      <c r="I8471">
        <v>136.6283</v>
      </c>
      <c r="J8471">
        <v>-112.22790000000001</v>
      </c>
      <c r="K8471">
        <v>1.11564</v>
      </c>
      <c r="L8471">
        <v>136.51339999999999</v>
      </c>
      <c r="M8471">
        <v>0.99918280000000004</v>
      </c>
      <c r="N8471">
        <v>-3.5839450000000002E-2</v>
      </c>
      <c r="O8471">
        <v>1.8691969999999999E-2</v>
      </c>
      <c r="P8471">
        <v>0.99182479999999995</v>
      </c>
      <c r="Q8471">
        <v>-4.5521590000000001E-2</v>
      </c>
      <c r="R8471">
        <v>0.1192115</v>
      </c>
      <c r="S8471">
        <v>3.011139</v>
      </c>
      <c r="T8471">
        <v>-0.21646090000000001</v>
      </c>
      <c r="U8471">
        <v>2.4307249999999999E-2</v>
      </c>
      <c r="V8471">
        <v>-0.1005561</v>
      </c>
      <c r="W8471">
        <v>-1.0688029999999999E-2</v>
      </c>
      <c r="X8471">
        <v>0.99487400000000004</v>
      </c>
      <c r="Y8471">
        <v>1.057955E-2</v>
      </c>
      <c r="Z8471">
        <v>-1.241926E-3</v>
      </c>
      <c r="AA8471">
        <v>0.99994329999999998</v>
      </c>
      <c r="AB8471">
        <v>35</v>
      </c>
      <c r="AC8471">
        <v>15.122870000000001</v>
      </c>
      <c r="AD8471">
        <v>-1.11564176627</v>
      </c>
      <c r="AE8471">
        <v>0.114900000000005</v>
      </c>
      <c r="AF8471">
        <v>0.167068850532339</v>
      </c>
      <c r="AG8471">
        <v>-1.11564176627</v>
      </c>
      <c r="AH8471">
        <v>15.040523516297</v>
      </c>
      <c r="AI8471">
        <v>94.241926522670994</v>
      </c>
      <c r="AJ8471">
        <v>89.363589548891696</v>
      </c>
      <c r="AK8471">
        <v>15.0827688504381</v>
      </c>
      <c r="AL8471">
        <v>90.612390658015698</v>
      </c>
      <c r="AM8471">
        <v>95.771524744920697</v>
      </c>
      <c r="AN8471">
        <v>1.00000001955424</v>
      </c>
    </row>
    <row r="8472" spans="1:40" x14ac:dyDescent="0.25">
      <c r="A8472" t="str">
        <f>"20190305135126882"</f>
        <v>20190305135126882</v>
      </c>
      <c r="B8472" t="str">
        <f>"1551765086867638"</f>
        <v>1551765086867638</v>
      </c>
      <c r="C8472" t="s">
        <v>40</v>
      </c>
      <c r="D8472">
        <v>3.9388740000000002</v>
      </c>
      <c r="E8472">
        <v>0.54883329999999997</v>
      </c>
      <c r="F8472" t="s">
        <v>42</v>
      </c>
      <c r="G8472">
        <v>-97.452200000000005</v>
      </c>
      <c r="H8472" s="1">
        <v>-1.6351950000000001E-6</v>
      </c>
      <c r="I8472">
        <v>136.67689999999999</v>
      </c>
      <c r="J8472">
        <v>-111.91289999999999</v>
      </c>
      <c r="K8472">
        <v>1.1156239999999999</v>
      </c>
      <c r="L8472">
        <v>136.52279999999999</v>
      </c>
      <c r="M8472">
        <v>0.99909519999999996</v>
      </c>
      <c r="N8472">
        <v>-3.6356289999999999E-2</v>
      </c>
      <c r="O8472">
        <v>2.2070240000000001E-2</v>
      </c>
      <c r="P8472">
        <v>0.99140019999999995</v>
      </c>
      <c r="Q8472">
        <v>-4.8504899999999997E-2</v>
      </c>
      <c r="R8472">
        <v>0.12154520000000001</v>
      </c>
      <c r="S8472">
        <v>3.0103</v>
      </c>
      <c r="T8472">
        <v>-0.22729289999999999</v>
      </c>
      <c r="U8472">
        <v>3.3325199999999902E-2</v>
      </c>
      <c r="V8472">
        <v>-9.9518999999999996E-2</v>
      </c>
      <c r="W8472">
        <v>-1.3135930000000001E-2</v>
      </c>
      <c r="X8472">
        <v>0.99494890000000002</v>
      </c>
      <c r="Y8472">
        <v>1.095338E-2</v>
      </c>
      <c r="Z8472">
        <v>-1.474249E-3</v>
      </c>
      <c r="AA8472">
        <v>0.99993889999999996</v>
      </c>
      <c r="AB8472">
        <v>35</v>
      </c>
      <c r="AC8472">
        <v>14.4606999999999</v>
      </c>
      <c r="AD8472">
        <v>-1.115625635195</v>
      </c>
      <c r="AE8472">
        <v>0.15409999999999899</v>
      </c>
      <c r="AF8472">
        <v>0.16432190001414201</v>
      </c>
      <c r="AG8472">
        <v>-1.115625635195</v>
      </c>
      <c r="AH8472">
        <v>14.3750267707894</v>
      </c>
      <c r="AI8472">
        <v>94.437460816946697</v>
      </c>
      <c r="AJ8472">
        <v>89.345076607303895</v>
      </c>
      <c r="AK8472">
        <v>14.4191891902992</v>
      </c>
      <c r="AL8472">
        <v>90.752655034001293</v>
      </c>
      <c r="AM8472">
        <v>95.711967801788603</v>
      </c>
      <c r="AN8472">
        <v>0.99999994881458598</v>
      </c>
    </row>
    <row r="8473" spans="1:40" x14ac:dyDescent="0.25">
      <c r="A8473" t="str">
        <f>"20190305135126902"</f>
        <v>20190305135126902</v>
      </c>
      <c r="B8473" t="str">
        <f>"1551765086888135"</f>
        <v>1551765086888135</v>
      </c>
      <c r="C8473" t="s">
        <v>40</v>
      </c>
      <c r="D8473">
        <v>3.8228610000000001</v>
      </c>
      <c r="E8473">
        <v>0.55626929999999997</v>
      </c>
      <c r="F8473" t="s">
        <v>41</v>
      </c>
      <c r="G8473">
        <v>-111.0758</v>
      </c>
      <c r="H8473">
        <v>1.015352</v>
      </c>
      <c r="I8473">
        <v>136.51339999999999</v>
      </c>
      <c r="J8473">
        <v>-111.6114</v>
      </c>
      <c r="K8473">
        <v>1.115602</v>
      </c>
      <c r="L8473">
        <v>136.53270000000001</v>
      </c>
      <c r="M8473">
        <v>0.99899990000000005</v>
      </c>
      <c r="N8473">
        <v>-3.6877510000000002E-2</v>
      </c>
      <c r="O8473">
        <v>2.529002E-2</v>
      </c>
      <c r="P8473">
        <v>0.99094150000000003</v>
      </c>
      <c r="Q8473">
        <v>-5.1464469999999998E-2</v>
      </c>
      <c r="R8473">
        <v>0.1240435</v>
      </c>
      <c r="S8473">
        <v>3.0124970000000002</v>
      </c>
      <c r="T8473">
        <v>-0.36089650000000001</v>
      </c>
      <c r="U8473">
        <v>-3.3523560000000001E-2</v>
      </c>
      <c r="V8473">
        <v>-9.8807220000000001E-2</v>
      </c>
      <c r="W8473">
        <v>-1.555552E-2</v>
      </c>
      <c r="X8473">
        <v>0.99498500000000001</v>
      </c>
      <c r="Y8473">
        <v>3.600569E-2</v>
      </c>
      <c r="Z8473">
        <v>-4.9042859999999999E-3</v>
      </c>
      <c r="AA8473">
        <v>0.99933959999999999</v>
      </c>
      <c r="AB8473">
        <v>34</v>
      </c>
      <c r="AC8473">
        <v>0.53560000000000196</v>
      </c>
      <c r="AD8473">
        <v>-0.10024999999999901</v>
      </c>
      <c r="AE8473">
        <v>-1.9300000000015399E-2</v>
      </c>
      <c r="AF8473">
        <v>3.17379122034743E-2</v>
      </c>
      <c r="AG8473">
        <v>-0.10024999999999901</v>
      </c>
      <c r="AH8473">
        <v>0.51685606272330198</v>
      </c>
      <c r="AI8473">
        <v>100.95672014304201</v>
      </c>
      <c r="AJ8473">
        <v>86.486124235184903</v>
      </c>
      <c r="AK8473">
        <v>0.52744435454829597</v>
      </c>
      <c r="AL8473">
        <v>90.891301595871596</v>
      </c>
      <c r="AM8473">
        <v>95.671177502806799</v>
      </c>
      <c r="AN8473">
        <v>0.99999999557579899</v>
      </c>
    </row>
    <row r="8474" spans="1:40" x14ac:dyDescent="0.25">
      <c r="A8474" t="str">
        <f>"20190305135126925"</f>
        <v>20190305135126925</v>
      </c>
      <c r="B8474" t="str">
        <f>"1551765086918391"</f>
        <v>1551765086918391</v>
      </c>
      <c r="C8474" t="s">
        <v>40</v>
      </c>
      <c r="D8474">
        <v>3.8571909999999998</v>
      </c>
      <c r="E8474">
        <v>0.56101919999999905</v>
      </c>
      <c r="F8474" t="s">
        <v>41</v>
      </c>
      <c r="G8474">
        <v>-110.7961</v>
      </c>
      <c r="H8474">
        <v>0.98389409999999999</v>
      </c>
      <c r="I8474">
        <v>136.50790000000001</v>
      </c>
      <c r="J8474">
        <v>-111.2812</v>
      </c>
      <c r="K8474">
        <v>1.1155759999999999</v>
      </c>
      <c r="L8474">
        <v>136.54470000000001</v>
      </c>
      <c r="M8474">
        <v>0.99888310000000002</v>
      </c>
      <c r="N8474">
        <v>-3.7456839999999998E-2</v>
      </c>
      <c r="O8474">
        <v>2.8798810000000001E-2</v>
      </c>
      <c r="P8474">
        <v>0.99039820000000001</v>
      </c>
      <c r="Q8474">
        <v>-5.394065E-2</v>
      </c>
      <c r="R8474">
        <v>0.12728689999999901</v>
      </c>
      <c r="S8474">
        <v>3.01355</v>
      </c>
      <c r="T8474">
        <v>-0.48697970000000002</v>
      </c>
      <c r="U8474">
        <v>-9.1171260000000004E-2</v>
      </c>
      <c r="V8474">
        <v>-9.8561739999999995E-2</v>
      </c>
      <c r="W8474">
        <v>-1.7434120000000001E-2</v>
      </c>
      <c r="X8474">
        <v>0.99497820000000003</v>
      </c>
      <c r="Y8474">
        <v>5.7886149999999997E-2</v>
      </c>
      <c r="Z8474">
        <v>-9.2885680000000005E-3</v>
      </c>
      <c r="AA8474">
        <v>0.99827999999999995</v>
      </c>
      <c r="AB8474">
        <v>34</v>
      </c>
      <c r="AC8474">
        <v>0.48510000000000197</v>
      </c>
      <c r="AD8474">
        <v>-0.13168189999999999</v>
      </c>
      <c r="AE8474">
        <v>-3.67999999999995E-2</v>
      </c>
      <c r="AF8474">
        <v>4.7299429290194102E-2</v>
      </c>
      <c r="AG8474">
        <v>-0.13168189999999999</v>
      </c>
      <c r="AH8474">
        <v>0.45080935258377902</v>
      </c>
      <c r="AI8474">
        <v>106.198921637135</v>
      </c>
      <c r="AJ8474">
        <v>84.010376400670495</v>
      </c>
      <c r="AK8474">
        <v>0.47202376124067602</v>
      </c>
      <c r="AL8474">
        <v>90.998952113077607</v>
      </c>
      <c r="AM8474">
        <v>95.657217756283202</v>
      </c>
      <c r="AN8474">
        <v>0.99999999180362098</v>
      </c>
    </row>
    <row r="8475" spans="1:40" x14ac:dyDescent="0.25">
      <c r="A8475" t="str">
        <f>"20190305135126947"</f>
        <v>20190305135126947</v>
      </c>
      <c r="B8475" t="str">
        <f>"1551765086937911"</f>
        <v>1551765086937911</v>
      </c>
      <c r="C8475" t="s">
        <v>40</v>
      </c>
      <c r="D8475">
        <v>3.885729</v>
      </c>
      <c r="E8475">
        <v>0.56250259999999996</v>
      </c>
      <c r="F8475" t="s">
        <v>41</v>
      </c>
      <c r="G8475">
        <v>-110.51260000000001</v>
      </c>
      <c r="H8475">
        <v>0.96877829999999998</v>
      </c>
      <c r="I8475">
        <v>136.51310000000001</v>
      </c>
      <c r="J8475">
        <v>-110.9594</v>
      </c>
      <c r="K8475">
        <v>1.1155469999999901</v>
      </c>
      <c r="L8475">
        <v>136.5574</v>
      </c>
      <c r="M8475">
        <v>0.99875890000000001</v>
      </c>
      <c r="N8475">
        <v>-3.8004099999999999E-2</v>
      </c>
      <c r="O8475">
        <v>3.2196889999999999E-2</v>
      </c>
      <c r="P8475">
        <v>0.98991960000000001</v>
      </c>
      <c r="Q8475">
        <v>-5.5615009999999999E-2</v>
      </c>
      <c r="R8475">
        <v>0.13025510000000001</v>
      </c>
      <c r="S8475">
        <v>3.013611</v>
      </c>
      <c r="T8475">
        <v>-0.57556750000000001</v>
      </c>
      <c r="U8475">
        <v>-0.1234741</v>
      </c>
      <c r="V8475">
        <v>-9.8157919999999996E-2</v>
      </c>
      <c r="W8475">
        <v>-1.8539139999999999E-2</v>
      </c>
      <c r="X8475">
        <v>0.99499820000000005</v>
      </c>
      <c r="Y8475">
        <v>7.1191039999999997E-2</v>
      </c>
      <c r="Z8475">
        <v>-1.298027E-2</v>
      </c>
      <c r="AA8475">
        <v>0.99737819999999999</v>
      </c>
      <c r="AB8475">
        <v>33</v>
      </c>
      <c r="AC8475">
        <v>0.44679999999999598</v>
      </c>
      <c r="AD8475">
        <v>-0.146768699999999</v>
      </c>
      <c r="AE8475">
        <v>-4.4299999999992602E-2</v>
      </c>
      <c r="AF8475">
        <v>5.3008753875691303E-2</v>
      </c>
      <c r="AG8475">
        <v>-0.146768699999999</v>
      </c>
      <c r="AH8475">
        <v>0.40216735292815697</v>
      </c>
      <c r="AI8475">
        <v>109.890879839676</v>
      </c>
      <c r="AJ8475">
        <v>82.4912592237757</v>
      </c>
      <c r="AK8475">
        <v>0.43138099059692497</v>
      </c>
      <c r="AL8475">
        <v>91.062275283899993</v>
      </c>
      <c r="AM8475">
        <v>95.6340763279876</v>
      </c>
      <c r="AN8475">
        <v>1.0000000474869499</v>
      </c>
    </row>
    <row r="8476" spans="1:40" x14ac:dyDescent="0.25">
      <c r="A8476" t="str">
        <f>"20190305135126969"</f>
        <v>20190305135126969</v>
      </c>
      <c r="B8476" t="str">
        <f>"1551765086958407"</f>
        <v>1551765086958407</v>
      </c>
      <c r="C8476" t="s">
        <v>40</v>
      </c>
      <c r="D8476">
        <v>3.8504510000000001</v>
      </c>
      <c r="E8476">
        <v>0.56348759999999998</v>
      </c>
      <c r="F8476" t="s">
        <v>41</v>
      </c>
      <c r="G8476">
        <v>-110.22539999999999</v>
      </c>
      <c r="H8476">
        <v>0.96954200000000001</v>
      </c>
      <c r="I8476">
        <v>136.52619999999999</v>
      </c>
      <c r="J8476">
        <v>-110.65170000000001</v>
      </c>
      <c r="K8476">
        <v>1.1155060000000001</v>
      </c>
      <c r="L8476">
        <v>136.57050000000001</v>
      </c>
      <c r="M8476">
        <v>0.9986313</v>
      </c>
      <c r="N8476">
        <v>-3.8492699999999998E-2</v>
      </c>
      <c r="O8476">
        <v>3.5408710000000003E-2</v>
      </c>
      <c r="P8476">
        <v>0.98953239999999998</v>
      </c>
      <c r="Q8476">
        <v>-5.6757340000000003E-2</v>
      </c>
      <c r="R8476">
        <v>0.13268079999999999</v>
      </c>
      <c r="S8476">
        <v>3.013611</v>
      </c>
      <c r="T8476">
        <v>-0.59963429999999995</v>
      </c>
      <c r="U8476">
        <v>-0.12725829999999999</v>
      </c>
      <c r="V8476">
        <v>-9.7398559999999995E-2</v>
      </c>
      <c r="W8476">
        <v>-1.9166119999999998E-2</v>
      </c>
      <c r="X8476">
        <v>0.99506090000000003</v>
      </c>
      <c r="Y8476">
        <v>7.5349869999999999E-2</v>
      </c>
      <c r="Z8476">
        <v>-1.451069E-2</v>
      </c>
      <c r="AA8476">
        <v>0.99705160000000004</v>
      </c>
      <c r="AB8476">
        <v>33</v>
      </c>
      <c r="AC8476">
        <v>0.426300000000011</v>
      </c>
      <c r="AD8476">
        <v>-0.14596399999999901</v>
      </c>
      <c r="AE8476">
        <v>-4.43000000000211E-2</v>
      </c>
      <c r="AF8476">
        <v>5.3206977581180599E-2</v>
      </c>
      <c r="AG8476">
        <v>-0.14596399999999901</v>
      </c>
      <c r="AH8476">
        <v>0.38034838072919303</v>
      </c>
      <c r="AI8476">
        <v>110.809955174549</v>
      </c>
      <c r="AJ8476">
        <v>82.036564785456093</v>
      </c>
      <c r="AK8476">
        <v>0.41085442979557002</v>
      </c>
      <c r="AL8476">
        <v>91.098205020558296</v>
      </c>
      <c r="AM8476">
        <v>95.5904176734592</v>
      </c>
      <c r="AN8476">
        <v>1.00000000717736</v>
      </c>
    </row>
    <row r="8477" spans="1:40" x14ac:dyDescent="0.25">
      <c r="A8477" t="str">
        <f>"20190305135126992"</f>
        <v>20190305135126992</v>
      </c>
      <c r="B8477" t="str">
        <f>"1551765086987687"</f>
        <v>1551765086987687</v>
      </c>
      <c r="C8477" t="s">
        <v>40</v>
      </c>
      <c r="D8477">
        <v>3.918701</v>
      </c>
      <c r="E8477">
        <v>0.56419449999999904</v>
      </c>
      <c r="F8477" t="s">
        <v>41</v>
      </c>
      <c r="G8477">
        <v>-109.9419</v>
      </c>
      <c r="H8477">
        <v>0.9717808</v>
      </c>
      <c r="I8477">
        <v>136.5403</v>
      </c>
      <c r="J8477">
        <v>-110.3289</v>
      </c>
      <c r="K8477">
        <v>1.1154539999999999</v>
      </c>
      <c r="L8477">
        <v>136.58529999999999</v>
      </c>
      <c r="M8477">
        <v>0.99849080000000001</v>
      </c>
      <c r="N8477">
        <v>-3.895701E-2</v>
      </c>
      <c r="O8477">
        <v>3.8713919999999999E-2</v>
      </c>
      <c r="P8477">
        <v>0.98930689999999999</v>
      </c>
      <c r="Q8477">
        <v>-5.6610099999999997E-2</v>
      </c>
      <c r="R8477">
        <v>0.1344148</v>
      </c>
      <c r="S8477">
        <v>3.0139010000000002</v>
      </c>
      <c r="T8477">
        <v>-0.61024209999999901</v>
      </c>
      <c r="U8477">
        <v>-0.12806699999999999</v>
      </c>
      <c r="V8477">
        <v>-9.5858979999999996E-2</v>
      </c>
      <c r="W8477">
        <v>-1.851502E-2</v>
      </c>
      <c r="X8477">
        <v>0.99522270000000002</v>
      </c>
      <c r="Y8477">
        <v>7.8710210000000003E-2</v>
      </c>
      <c r="Z8477">
        <v>-1.569858E-2</v>
      </c>
      <c r="AA8477">
        <v>0.99677389999999999</v>
      </c>
      <c r="AB8477">
        <v>32</v>
      </c>
      <c r="AC8477">
        <v>0.38700000000000001</v>
      </c>
      <c r="AD8477">
        <v>-0.1436732</v>
      </c>
      <c r="AE8477">
        <v>-4.4999999999987397E-2</v>
      </c>
      <c r="AF8477">
        <v>5.2782195799882997E-2</v>
      </c>
      <c r="AG8477">
        <v>-0.1436732</v>
      </c>
      <c r="AH8477">
        <v>0.33888243333296703</v>
      </c>
      <c r="AI8477">
        <v>112.729346234315</v>
      </c>
      <c r="AJ8477">
        <v>81.147100667712493</v>
      </c>
      <c r="AK8477">
        <v>0.37184573711872698</v>
      </c>
      <c r="AL8477">
        <v>91.060893137435698</v>
      </c>
      <c r="AM8477">
        <v>95.501707458544203</v>
      </c>
      <c r="AN8477">
        <v>0.99999998630376497</v>
      </c>
    </row>
    <row r="8478" spans="1:40" x14ac:dyDescent="0.25">
      <c r="A8478" t="str">
        <f>"20190305135127015"</f>
        <v>20190305135127015</v>
      </c>
      <c r="B8478" t="str">
        <f>"1551765087008183"</f>
        <v>1551765087008183</v>
      </c>
      <c r="C8478" t="s">
        <v>40</v>
      </c>
      <c r="D8478">
        <v>3.8645330000000002</v>
      </c>
      <c r="E8478">
        <v>0.56467409999999996</v>
      </c>
      <c r="F8478" t="s">
        <v>41</v>
      </c>
      <c r="G8478">
        <v>-109.41370000000001</v>
      </c>
      <c r="H8478">
        <v>0.92634590000000006</v>
      </c>
      <c r="I8478">
        <v>136.54599999999999</v>
      </c>
      <c r="J8478">
        <v>-110.0219</v>
      </c>
      <c r="K8478">
        <v>1.1153930000000001</v>
      </c>
      <c r="L8478">
        <v>136.60040000000001</v>
      </c>
      <c r="M8478">
        <v>0.99835130000000005</v>
      </c>
      <c r="N8478">
        <v>-3.935396E-2</v>
      </c>
      <c r="O8478">
        <v>4.1786070000000002E-2</v>
      </c>
      <c r="P8478">
        <v>0.98917140000000003</v>
      </c>
      <c r="Q8478">
        <v>-5.567155E-2</v>
      </c>
      <c r="R8478">
        <v>0.135797</v>
      </c>
      <c r="S8478">
        <v>3.0143430000000002</v>
      </c>
      <c r="T8478">
        <v>-0.62289309999999998</v>
      </c>
      <c r="U8478">
        <v>-0.129303</v>
      </c>
      <c r="V8478">
        <v>-9.4201160000000006E-2</v>
      </c>
      <c r="W8478">
        <v>-1.7137030000000001E-2</v>
      </c>
      <c r="X8478">
        <v>0.99540569999999895</v>
      </c>
      <c r="Y8478">
        <v>8.195558E-2</v>
      </c>
      <c r="Z8478">
        <v>-1.691995E-2</v>
      </c>
      <c r="AA8478">
        <v>0.9964923</v>
      </c>
      <c r="AB8478">
        <v>31</v>
      </c>
      <c r="AC8478">
        <v>0.60819999999999597</v>
      </c>
      <c r="AD8478">
        <v>-0.1890471</v>
      </c>
      <c r="AE8478">
        <v>-5.4400000000015297E-2</v>
      </c>
      <c r="AF8478">
        <v>7.2807857496535205E-2</v>
      </c>
      <c r="AG8478">
        <v>-0.1890471</v>
      </c>
      <c r="AH8478">
        <v>0.55244213690984301</v>
      </c>
      <c r="AI8478">
        <v>108.740470613936</v>
      </c>
      <c r="AJ8478">
        <v>82.492102295472307</v>
      </c>
      <c r="AK8478">
        <v>0.58841490868702395</v>
      </c>
      <c r="AL8478">
        <v>90.981927536536602</v>
      </c>
      <c r="AM8478">
        <v>95.406139595519207</v>
      </c>
      <c r="AN8478">
        <v>1.00000002196752</v>
      </c>
    </row>
    <row r="8479" spans="1:40" x14ac:dyDescent="0.25">
      <c r="A8479" t="str">
        <f>"20190305135127036"</f>
        <v>20190305135127036</v>
      </c>
      <c r="B8479" t="str">
        <f>"1551765087027703"</f>
        <v>1551765087027703</v>
      </c>
      <c r="C8479" t="s">
        <v>40</v>
      </c>
      <c r="D8479">
        <v>3.837129</v>
      </c>
      <c r="E8479">
        <v>0.56491919999999995</v>
      </c>
      <c r="F8479" t="s">
        <v>41</v>
      </c>
      <c r="G8479">
        <v>-109.1409</v>
      </c>
      <c r="H8479">
        <v>0.93407189999999995</v>
      </c>
      <c r="I8479">
        <v>136.5626</v>
      </c>
      <c r="J8479">
        <v>-109.7341</v>
      </c>
      <c r="K8479">
        <v>1.1153219999999999</v>
      </c>
      <c r="L8479">
        <v>136.61539999999999</v>
      </c>
      <c r="M8479">
        <v>0.99821599999999999</v>
      </c>
      <c r="N8479">
        <v>-3.9687199999999999E-2</v>
      </c>
      <c r="O8479">
        <v>4.460534E-2</v>
      </c>
      <c r="P8479">
        <v>0.98906430000000001</v>
      </c>
      <c r="Q8479">
        <v>-5.6037469999999999E-2</v>
      </c>
      <c r="R8479">
        <v>0.1364252</v>
      </c>
      <c r="S8479">
        <v>3.015625</v>
      </c>
      <c r="T8479">
        <v>-0.62085199999999996</v>
      </c>
      <c r="U8479">
        <v>-0.12904360000000001</v>
      </c>
      <c r="V8479">
        <v>-9.2029910000000006E-2</v>
      </c>
      <c r="W8479">
        <v>-1.7124879999999999E-2</v>
      </c>
      <c r="X8479">
        <v>0.99560899999999997</v>
      </c>
      <c r="Y8479">
        <v>8.4580470000000005E-2</v>
      </c>
      <c r="Z8479">
        <v>-1.7641540000000001E-2</v>
      </c>
      <c r="AA8479">
        <v>0.99626049999999999</v>
      </c>
      <c r="AB8479">
        <v>31</v>
      </c>
      <c r="AC8479">
        <v>0.59319999999999595</v>
      </c>
      <c r="AD8479">
        <v>-0.181250099999999</v>
      </c>
      <c r="AE8479">
        <v>-5.2799999999990598E-2</v>
      </c>
      <c r="AF8479">
        <v>7.2511734917356602E-2</v>
      </c>
      <c r="AG8479">
        <v>-0.181250099999999</v>
      </c>
      <c r="AH8479">
        <v>0.540214403778702</v>
      </c>
      <c r="AI8479">
        <v>108.393661410528</v>
      </c>
      <c r="AJ8479">
        <v>82.355014398565004</v>
      </c>
      <c r="AK8479">
        <v>0.57440504219645705</v>
      </c>
      <c r="AL8479">
        <v>90.981231289288104</v>
      </c>
      <c r="AM8479">
        <v>95.281173637008493</v>
      </c>
      <c r="AN8479">
        <v>1.0000000233653099</v>
      </c>
    </row>
    <row r="8480" spans="1:40" x14ac:dyDescent="0.25">
      <c r="A8480" t="str">
        <f>"20190305135127062"</f>
        <v>20190305135127062</v>
      </c>
      <c r="B8480" t="str">
        <f>"1551765087057959"</f>
        <v>1551765087057959</v>
      </c>
      <c r="C8480" t="s">
        <v>40</v>
      </c>
      <c r="D8480">
        <v>3.9897140000000002</v>
      </c>
      <c r="E8480">
        <v>0.5645154</v>
      </c>
      <c r="F8480" t="s">
        <v>41</v>
      </c>
      <c r="G8480">
        <v>-108.8745</v>
      </c>
      <c r="H8480">
        <v>0.93807169999999895</v>
      </c>
      <c r="I8480">
        <v>136.57859999999999</v>
      </c>
      <c r="J8480">
        <v>-109.3951</v>
      </c>
      <c r="K8480">
        <v>1.115221</v>
      </c>
      <c r="L8480">
        <v>136.63399999999999</v>
      </c>
      <c r="M8480">
        <v>0.99805270000000001</v>
      </c>
      <c r="N8480">
        <v>-4.0033619999999999E-2</v>
      </c>
      <c r="O8480">
        <v>4.7836770000000001E-2</v>
      </c>
      <c r="P8480">
        <v>0.98879620000000001</v>
      </c>
      <c r="Q8480">
        <v>-5.6737820000000001E-2</v>
      </c>
      <c r="R8480">
        <v>0.138069</v>
      </c>
      <c r="S8480">
        <v>3.015717</v>
      </c>
      <c r="T8480">
        <v>-0.62187720000000002</v>
      </c>
      <c r="U8480">
        <v>-0.1289063</v>
      </c>
      <c r="V8480">
        <v>-9.0468370000000006E-2</v>
      </c>
      <c r="W8480">
        <v>-1.7435099999999999E-2</v>
      </c>
      <c r="X8480">
        <v>0.99574669999999998</v>
      </c>
      <c r="Y8480">
        <v>8.7629120000000005E-2</v>
      </c>
      <c r="Z8480">
        <v>-1.8572640000000001E-2</v>
      </c>
      <c r="AA8480">
        <v>0.99597999999999998</v>
      </c>
      <c r="AB8480">
        <v>30</v>
      </c>
      <c r="AC8480">
        <v>0.52060000000000095</v>
      </c>
      <c r="AD8480">
        <v>-0.17714930000000001</v>
      </c>
      <c r="AE8480">
        <v>-5.5399999999991602E-2</v>
      </c>
      <c r="AF8480">
        <v>7.2015034693967805E-2</v>
      </c>
      <c r="AG8480">
        <v>-0.17714930000000001</v>
      </c>
      <c r="AH8480">
        <v>0.46420266018838702</v>
      </c>
      <c r="AI8480">
        <v>110.66193803847</v>
      </c>
      <c r="AJ8480">
        <v>81.1815986054565</v>
      </c>
      <c r="AK8480">
        <v>0.50204795531745605</v>
      </c>
      <c r="AL8480">
        <v>90.999008263666596</v>
      </c>
      <c r="AM8480">
        <v>95.191343905004402</v>
      </c>
      <c r="AN8480">
        <v>0.99999999962167796</v>
      </c>
    </row>
    <row r="8481" spans="1:40" x14ac:dyDescent="0.25">
      <c r="A8481" t="str">
        <f>"20190305135127087"</f>
        <v>20190305135127087</v>
      </c>
      <c r="B8481" t="str">
        <f>"1551765087078455"</f>
        <v>1551765087078455</v>
      </c>
      <c r="C8481" t="s">
        <v>40</v>
      </c>
      <c r="D8481">
        <v>3.8495520000000001</v>
      </c>
      <c r="E8481">
        <v>0.56441839999999999</v>
      </c>
      <c r="F8481" t="s">
        <v>41</v>
      </c>
      <c r="G8481">
        <v>-108.6086</v>
      </c>
      <c r="H8481">
        <v>0.95042800000000005</v>
      </c>
      <c r="I8481">
        <v>136.60239999999999</v>
      </c>
      <c r="J8481">
        <v>-109.0795</v>
      </c>
      <c r="K8481">
        <v>1.115113</v>
      </c>
      <c r="L8481">
        <v>136.6523</v>
      </c>
      <c r="M8481">
        <v>0.99789819999999996</v>
      </c>
      <c r="N8481">
        <v>-4.0315089999999998E-2</v>
      </c>
      <c r="O8481">
        <v>5.0736389999999999E-2</v>
      </c>
      <c r="P8481">
        <v>0.98859710000000001</v>
      </c>
      <c r="Q8481">
        <v>-5.7072940000000003E-2</v>
      </c>
      <c r="R8481">
        <v>0.139351799999999</v>
      </c>
      <c r="S8481">
        <v>3.0146480000000002</v>
      </c>
      <c r="T8481">
        <v>-0.63169399999999998</v>
      </c>
      <c r="U8481">
        <v>-0.121048</v>
      </c>
      <c r="V8481">
        <v>-8.8875739999999995E-2</v>
      </c>
      <c r="W8481">
        <v>-1.7443449999999999E-2</v>
      </c>
      <c r="X8481">
        <v>0.99589000000000005</v>
      </c>
      <c r="Y8481">
        <v>8.7808810000000001E-2</v>
      </c>
      <c r="Z8481">
        <v>-1.9376009999999999E-2</v>
      </c>
      <c r="AA8481">
        <v>0.99594890000000003</v>
      </c>
      <c r="AB8481">
        <v>30</v>
      </c>
      <c r="AC8481">
        <v>0.47089999999999999</v>
      </c>
      <c r="AD8481">
        <v>-0.164684999999999</v>
      </c>
      <c r="AE8481">
        <v>-4.9900000000008E-2</v>
      </c>
      <c r="AF8481">
        <v>6.5789657199969806E-2</v>
      </c>
      <c r="AG8481">
        <v>-0.164684999999999</v>
      </c>
      <c r="AH8481">
        <v>0.41728825788646401</v>
      </c>
      <c r="AI8481">
        <v>111.29782237574599</v>
      </c>
      <c r="AJ8481">
        <v>81.040497419371704</v>
      </c>
      <c r="AK8481">
        <v>0.45340811460472302</v>
      </c>
      <c r="AL8481">
        <v>90.999486724223502</v>
      </c>
      <c r="AM8481">
        <v>95.099710351697595</v>
      </c>
      <c r="AN8481">
        <v>1.0000000316042199</v>
      </c>
    </row>
    <row r="8482" spans="1:40" x14ac:dyDescent="0.25">
      <c r="A8482" t="str">
        <f>"20190305135127106"</f>
        <v>20190305135127106</v>
      </c>
      <c r="B8482" t="str">
        <f>"1551765087097975"</f>
        <v>1551765087097975</v>
      </c>
      <c r="C8482" t="s">
        <v>40</v>
      </c>
      <c r="D8482">
        <v>3.820722</v>
      </c>
      <c r="E8482">
        <v>0.56512790000000002</v>
      </c>
      <c r="F8482" t="s">
        <v>41</v>
      </c>
      <c r="G8482">
        <v>-108.3479</v>
      </c>
      <c r="H8482">
        <v>0.96094999999999997</v>
      </c>
      <c r="I8482">
        <v>136.624</v>
      </c>
      <c r="J8482">
        <v>-108.8353</v>
      </c>
      <c r="K8482">
        <v>1.1149990000000001</v>
      </c>
      <c r="L8482">
        <v>136.667</v>
      </c>
      <c r="M8482">
        <v>0.99777939999999998</v>
      </c>
      <c r="N8482">
        <v>-4.0504579999999998E-2</v>
      </c>
      <c r="O8482">
        <v>5.2874850000000001E-2</v>
      </c>
      <c r="P8482">
        <v>0.98844330000000002</v>
      </c>
      <c r="Q8482">
        <v>-5.730056E-2</v>
      </c>
      <c r="R8482">
        <v>0.1403452</v>
      </c>
      <c r="S8482">
        <v>3.0143279999999999</v>
      </c>
      <c r="T8482">
        <v>-0.63524080000000005</v>
      </c>
      <c r="U8482">
        <v>-0.1164246</v>
      </c>
      <c r="V8482">
        <v>-8.7749259999999996E-2</v>
      </c>
      <c r="W8482">
        <v>-1.7444250000000001E-2</v>
      </c>
      <c r="X8482">
        <v>0.99598989999999998</v>
      </c>
      <c r="Y8482">
        <v>8.8343630000000006E-2</v>
      </c>
      <c r="Z8482">
        <v>-1.9911669999999999E-2</v>
      </c>
      <c r="AA8482">
        <v>0.99589099999999997</v>
      </c>
      <c r="AB8482">
        <v>29</v>
      </c>
      <c r="AC8482">
        <v>0.48740000000000799</v>
      </c>
      <c r="AD8482">
        <v>-0.15404899999999999</v>
      </c>
      <c r="AE8482">
        <v>-4.3000000000006297E-2</v>
      </c>
      <c r="AF8482">
        <v>6.2533533128509206E-2</v>
      </c>
      <c r="AG8482">
        <v>-0.15404899999999999</v>
      </c>
      <c r="AH8482">
        <v>0.44075238014492202</v>
      </c>
      <c r="AI8482">
        <v>109.088083728912</v>
      </c>
      <c r="AJ8482">
        <v>81.924824402590005</v>
      </c>
      <c r="AK8482">
        <v>0.47106708415038701</v>
      </c>
      <c r="AL8482">
        <v>90.999532541739399</v>
      </c>
      <c r="AM8482">
        <v>95.034904632988301</v>
      </c>
      <c r="AN8482">
        <v>1.0000000576953001</v>
      </c>
    </row>
    <row r="8483" spans="1:40" x14ac:dyDescent="0.25">
      <c r="A8483" t="str">
        <f>"20190305135127127"</f>
        <v>20190305135127127</v>
      </c>
      <c r="B8483" t="str">
        <f>"1551765087118471"</f>
        <v>1551765087118471</v>
      </c>
      <c r="C8483" t="s">
        <v>40</v>
      </c>
      <c r="D8483">
        <v>3.7795879999999999</v>
      </c>
      <c r="E8483">
        <v>0.56532769999999899</v>
      </c>
      <c r="F8483" t="s">
        <v>41</v>
      </c>
      <c r="G8483">
        <v>-108.09739999999999</v>
      </c>
      <c r="H8483">
        <v>0.96004460000000003</v>
      </c>
      <c r="I8483">
        <v>136.6379</v>
      </c>
      <c r="J8483">
        <v>-108.58540000000001</v>
      </c>
      <c r="K8483">
        <v>1.114859</v>
      </c>
      <c r="L8483">
        <v>136.6825</v>
      </c>
      <c r="M8483">
        <v>0.99766069999999996</v>
      </c>
      <c r="N8483">
        <v>-4.0675530000000001E-2</v>
      </c>
      <c r="O8483">
        <v>5.4942789999999998E-2</v>
      </c>
      <c r="P8483">
        <v>0.98828760000000004</v>
      </c>
      <c r="Q8483">
        <v>-5.8447470000000001E-2</v>
      </c>
      <c r="R8483">
        <v>0.14096649999999999</v>
      </c>
      <c r="S8483">
        <v>3.0151819999999998</v>
      </c>
      <c r="T8483">
        <v>-0.63328649999999997</v>
      </c>
      <c r="U8483">
        <v>-0.118454</v>
      </c>
      <c r="V8483">
        <v>-8.6318199999999998E-2</v>
      </c>
      <c r="W8483">
        <v>-1.8377230000000001E-2</v>
      </c>
      <c r="X8483">
        <v>0.99609809999999999</v>
      </c>
      <c r="Y8483">
        <v>9.0988109999999997E-2</v>
      </c>
      <c r="Z8483">
        <v>-2.0518399999999999E-2</v>
      </c>
      <c r="AA8483">
        <v>0.99564059999999999</v>
      </c>
      <c r="AB8483">
        <v>29</v>
      </c>
      <c r="AC8483">
        <v>0.48800000000001298</v>
      </c>
      <c r="AD8483">
        <v>-0.15481439999999999</v>
      </c>
      <c r="AE8483">
        <v>-4.4600000000002603E-2</v>
      </c>
      <c r="AF8483">
        <v>6.4890172281987304E-2</v>
      </c>
      <c r="AG8483">
        <v>-0.15481439999999999</v>
      </c>
      <c r="AH8483">
        <v>0.44081207707342701</v>
      </c>
      <c r="AI8483">
        <v>109.16020521346201</v>
      </c>
      <c r="AJ8483">
        <v>81.625861280499393</v>
      </c>
      <c r="AK8483">
        <v>0.471692187978489</v>
      </c>
      <c r="AL8483">
        <v>91.052997004985102</v>
      </c>
      <c r="AM8483">
        <v>94.952669321738497</v>
      </c>
      <c r="AN8483">
        <v>0.99999998952866098</v>
      </c>
    </row>
    <row r="8484" spans="1:40" x14ac:dyDescent="0.25">
      <c r="A8484" t="str">
        <f>"20190305135127148"</f>
        <v>20190305135127148</v>
      </c>
      <c r="B8484" t="str">
        <f>"1551765087137992"</f>
        <v>1551765087137992</v>
      </c>
      <c r="C8484" t="s">
        <v>40</v>
      </c>
      <c r="D8484">
        <v>3.8127089999999999</v>
      </c>
      <c r="E8484">
        <v>0.56536660000000005</v>
      </c>
      <c r="F8484" t="s">
        <v>41</v>
      </c>
      <c r="G8484">
        <v>-107.85080000000001</v>
      </c>
      <c r="H8484">
        <v>0.96036060000000001</v>
      </c>
      <c r="I8484">
        <v>136.65369999999999</v>
      </c>
      <c r="J8484">
        <v>-108.3202</v>
      </c>
      <c r="K8484">
        <v>1.114682</v>
      </c>
      <c r="L8484">
        <v>136.6994</v>
      </c>
      <c r="M8484">
        <v>0.99753990000000003</v>
      </c>
      <c r="N8484">
        <v>-4.0833290000000001E-2</v>
      </c>
      <c r="O8484">
        <v>5.6982530000000003E-2</v>
      </c>
      <c r="P8484">
        <v>0.98807970000000001</v>
      </c>
      <c r="Q8484">
        <v>-6.0001529999999997E-2</v>
      </c>
      <c r="R8484">
        <v>0.14176929999999999</v>
      </c>
      <c r="S8484">
        <v>3.0149080000000001</v>
      </c>
      <c r="T8484">
        <v>-0.6340846</v>
      </c>
      <c r="U8484">
        <v>-0.11816409999999999</v>
      </c>
      <c r="V8484">
        <v>-8.5099540000000001E-2</v>
      </c>
      <c r="W8484">
        <v>-1.9727140000000001E-2</v>
      </c>
      <c r="X8484">
        <v>0.99617710000000004</v>
      </c>
      <c r="Y8484">
        <v>9.2845730000000001E-2</v>
      </c>
      <c r="Z8484">
        <v>-2.1117710000000001E-2</v>
      </c>
      <c r="AA8484">
        <v>0.99545649999999997</v>
      </c>
      <c r="AB8484">
        <v>28</v>
      </c>
      <c r="AC8484">
        <v>0.46939999999999299</v>
      </c>
      <c r="AD8484">
        <v>-0.154321399999999</v>
      </c>
      <c r="AE8484">
        <v>-4.5700000000010697E-2</v>
      </c>
      <c r="AF8484">
        <v>6.5393810293322904E-2</v>
      </c>
      <c r="AG8484">
        <v>-0.154321399999999</v>
      </c>
      <c r="AH8484">
        <v>0.42095769298095997</v>
      </c>
      <c r="AI8484">
        <v>109.91297449506099</v>
      </c>
      <c r="AJ8484">
        <v>81.169946469295098</v>
      </c>
      <c r="AK8484">
        <v>0.45309692583650502</v>
      </c>
      <c r="AL8484">
        <v>91.130355239746194</v>
      </c>
      <c r="AM8484">
        <v>94.882701535216995</v>
      </c>
      <c r="AN8484">
        <v>0.99999995316259904</v>
      </c>
    </row>
    <row r="8485" spans="1:40" x14ac:dyDescent="0.25">
      <c r="A8485" t="str">
        <f>"20190305135127171"</f>
        <v>20190305135127171</v>
      </c>
      <c r="B8485" t="str">
        <f>"1551765087158488"</f>
        <v>1551765087158488</v>
      </c>
      <c r="C8485" t="s">
        <v>40</v>
      </c>
      <c r="D8485">
        <v>3.835226</v>
      </c>
      <c r="E8485">
        <v>0.56540639999999998</v>
      </c>
      <c r="F8485" t="s">
        <v>41</v>
      </c>
      <c r="G8485">
        <v>-107.6066</v>
      </c>
      <c r="H8485">
        <v>0.96469930000000004</v>
      </c>
      <c r="I8485">
        <v>136.67189999999999</v>
      </c>
      <c r="J8485">
        <v>-108.05970000000001</v>
      </c>
      <c r="K8485">
        <v>1.114482</v>
      </c>
      <c r="L8485">
        <v>136.71639999999999</v>
      </c>
      <c r="M8485">
        <v>0.99742920000000002</v>
      </c>
      <c r="N8485">
        <v>-4.0964859999999999E-2</v>
      </c>
      <c r="O8485">
        <v>5.8795100000000003E-2</v>
      </c>
      <c r="P8485">
        <v>0.98800679999999996</v>
      </c>
      <c r="Q8485">
        <v>-6.06866E-2</v>
      </c>
      <c r="R8485">
        <v>0.1419851</v>
      </c>
      <c r="S8485">
        <v>3.0143430000000002</v>
      </c>
      <c r="T8485">
        <v>-0.63370559999999998</v>
      </c>
      <c r="U8485">
        <v>-0.1158295</v>
      </c>
      <c r="V8485">
        <v>-8.3519179999999998E-2</v>
      </c>
      <c r="W8485">
        <v>-2.022738E-2</v>
      </c>
      <c r="X8485">
        <v>0.99630090000000004</v>
      </c>
      <c r="Y8485">
        <v>9.3843029999999994E-2</v>
      </c>
      <c r="Z8485">
        <v>-2.1535200000000001E-2</v>
      </c>
      <c r="AA8485">
        <v>0.99535410000000002</v>
      </c>
      <c r="AB8485">
        <v>28</v>
      </c>
      <c r="AC8485">
        <v>0.453100000000006</v>
      </c>
      <c r="AD8485">
        <v>-0.14978269999999899</v>
      </c>
      <c r="AE8485">
        <v>-4.4499999999999297E-2</v>
      </c>
      <c r="AF8485">
        <v>6.4142852044960799E-2</v>
      </c>
      <c r="AG8485">
        <v>-0.14978269999999899</v>
      </c>
      <c r="AH8485">
        <v>0.40577713599325899</v>
      </c>
      <c r="AI8485">
        <v>110.031777059191</v>
      </c>
      <c r="AJ8485">
        <v>81.017347371329805</v>
      </c>
      <c r="AK8485">
        <v>0.43726907823746702</v>
      </c>
      <c r="AL8485">
        <v>91.159022500357594</v>
      </c>
      <c r="AM8485">
        <v>94.791859805052795</v>
      </c>
      <c r="AN8485">
        <v>1.00000004183517</v>
      </c>
    </row>
    <row r="8486" spans="1:40" x14ac:dyDescent="0.25">
      <c r="A8486" t="str">
        <f>"20190305135127193"</f>
        <v>20190305135127193</v>
      </c>
      <c r="B8486" t="str">
        <f>"1551765087187767"</f>
        <v>1551765087187767</v>
      </c>
      <c r="C8486" t="s">
        <v>40</v>
      </c>
      <c r="D8486">
        <v>3.8761890000000001</v>
      </c>
      <c r="E8486">
        <v>0.56489750000000005</v>
      </c>
      <c r="F8486" t="s">
        <v>41</v>
      </c>
      <c r="G8486">
        <v>-107.1553</v>
      </c>
      <c r="H8486">
        <v>0.92487739999999996</v>
      </c>
      <c r="I8486">
        <v>136.68180000000001</v>
      </c>
      <c r="J8486">
        <v>-107.79349999999999</v>
      </c>
      <c r="K8486">
        <v>1.114268</v>
      </c>
      <c r="L8486">
        <v>136.73400000000001</v>
      </c>
      <c r="M8486">
        <v>0.99732860000000001</v>
      </c>
      <c r="N8486">
        <v>-4.1076969999999997E-2</v>
      </c>
      <c r="O8486">
        <v>6.0404020000000003E-2</v>
      </c>
      <c r="P8486">
        <v>0.98794870000000001</v>
      </c>
      <c r="Q8486">
        <v>-6.1682309999999997E-2</v>
      </c>
      <c r="R8486">
        <v>0.14196159999999999</v>
      </c>
      <c r="S8486">
        <v>3.0141300000000002</v>
      </c>
      <c r="T8486">
        <v>-0.63198849999999995</v>
      </c>
      <c r="U8486">
        <v>-0.1150665</v>
      </c>
      <c r="V8486">
        <v>-8.1902409999999995E-2</v>
      </c>
      <c r="W8486">
        <v>-2.1054929999999999E-2</v>
      </c>
      <c r="X8486">
        <v>0.99641789999999997</v>
      </c>
      <c r="Y8486">
        <v>9.5160110000000006E-2</v>
      </c>
      <c r="Z8486">
        <v>-2.1908790000000001E-2</v>
      </c>
      <c r="AA8486">
        <v>0.99522080000000002</v>
      </c>
      <c r="AB8486">
        <v>27</v>
      </c>
      <c r="AC8486">
        <v>0.63819999999999699</v>
      </c>
      <c r="AD8486">
        <v>-0.18939059999999999</v>
      </c>
      <c r="AE8486">
        <v>-5.2199999999999101E-2</v>
      </c>
      <c r="AF8486">
        <v>8.3391830473881698E-2</v>
      </c>
      <c r="AG8486">
        <v>-0.18939059999999999</v>
      </c>
      <c r="AH8486">
        <v>0.58288619706610001</v>
      </c>
      <c r="AI8486">
        <v>107.830054694929</v>
      </c>
      <c r="AJ8486">
        <v>81.858109637480695</v>
      </c>
      <c r="AK8486">
        <v>0.61852996329064402</v>
      </c>
      <c r="AL8486">
        <v>91.206447808960704</v>
      </c>
      <c r="AM8486">
        <v>94.698968858639802</v>
      </c>
      <c r="AN8486">
        <v>0.99999997314076094</v>
      </c>
    </row>
    <row r="8487" spans="1:40" x14ac:dyDescent="0.25">
      <c r="A8487" t="str">
        <f>"20190305135127216"</f>
        <v>20190305135127216</v>
      </c>
      <c r="B8487" t="str">
        <f>"1551765087208263"</f>
        <v>1551765087208263</v>
      </c>
      <c r="C8487" t="s">
        <v>40</v>
      </c>
      <c r="D8487">
        <v>3.819442</v>
      </c>
      <c r="E8487">
        <v>0.56480030000000003</v>
      </c>
      <c r="F8487" t="s">
        <v>41</v>
      </c>
      <c r="G8487">
        <v>-106.92359999999999</v>
      </c>
      <c r="H8487">
        <v>0.93117680000000003</v>
      </c>
      <c r="I8487">
        <v>136.702</v>
      </c>
      <c r="J8487">
        <v>-107.5368</v>
      </c>
      <c r="K8487">
        <v>1.1140650000000001</v>
      </c>
      <c r="L8487">
        <v>136.75120000000001</v>
      </c>
      <c r="M8487">
        <v>0.99724299999999999</v>
      </c>
      <c r="N8487">
        <v>-4.1166960000000002E-2</v>
      </c>
      <c r="O8487">
        <v>6.1740549999999998E-2</v>
      </c>
      <c r="P8487">
        <v>0.98781490000000005</v>
      </c>
      <c r="Q8487">
        <v>-6.3673229999999997E-2</v>
      </c>
      <c r="R8487">
        <v>0.14201340000000001</v>
      </c>
      <c r="S8487">
        <v>3.0129239999999999</v>
      </c>
      <c r="T8487">
        <v>-0.63415940000000004</v>
      </c>
      <c r="U8487">
        <v>-0.11074829999999999</v>
      </c>
      <c r="V8487">
        <v>-8.0635219999999994E-2</v>
      </c>
      <c r="W8487">
        <v>-2.2907230000000001E-2</v>
      </c>
      <c r="X8487">
        <v>0.99648040000000004</v>
      </c>
      <c r="Y8487">
        <v>9.5043459999999996E-2</v>
      </c>
      <c r="Z8487">
        <v>-2.2201209999999999E-2</v>
      </c>
      <c r="AA8487">
        <v>0.99522549999999999</v>
      </c>
      <c r="AB8487">
        <v>26</v>
      </c>
      <c r="AC8487">
        <v>0.61320000000000596</v>
      </c>
      <c r="AD8487">
        <v>-0.182888199999999</v>
      </c>
      <c r="AE8487">
        <v>-4.9200000000013198E-2</v>
      </c>
      <c r="AF8487">
        <v>7.9932536758379899E-2</v>
      </c>
      <c r="AG8487">
        <v>-0.182888199999999</v>
      </c>
      <c r="AH8487">
        <v>0.55953340947429298</v>
      </c>
      <c r="AI8487">
        <v>107.93020032109899</v>
      </c>
      <c r="AJ8487">
        <v>81.869978674682301</v>
      </c>
      <c r="AK8487">
        <v>0.59406644447384505</v>
      </c>
      <c r="AL8487">
        <v>91.312602433848696</v>
      </c>
      <c r="AM8487">
        <v>94.626295807183595</v>
      </c>
      <c r="AN8487">
        <v>0.99999998373744003</v>
      </c>
    </row>
    <row r="8488" spans="1:40" x14ac:dyDescent="0.25">
      <c r="A8488" t="str">
        <f>"20190305135127237"</f>
        <v>20190305135127237</v>
      </c>
      <c r="B8488" t="str">
        <f>"1551765087227783"</f>
        <v>1551765087227783</v>
      </c>
      <c r="C8488" t="s">
        <v>40</v>
      </c>
      <c r="D8488">
        <v>3.8212769999999998</v>
      </c>
      <c r="E8488">
        <v>0.56462679999999998</v>
      </c>
      <c r="F8488" t="s">
        <v>41</v>
      </c>
      <c r="G8488">
        <v>-106.69710000000001</v>
      </c>
      <c r="H8488">
        <v>0.93565319999999996</v>
      </c>
      <c r="I8488">
        <v>136.72049999999999</v>
      </c>
      <c r="J8488">
        <v>-107.2996</v>
      </c>
      <c r="K8488">
        <v>1.1138790000000001</v>
      </c>
      <c r="L8488">
        <v>136.7672</v>
      </c>
      <c r="M8488">
        <v>0.99717650000000002</v>
      </c>
      <c r="N8488">
        <v>-4.1235670000000002E-2</v>
      </c>
      <c r="O8488">
        <v>6.2760899999999994E-2</v>
      </c>
      <c r="P8488">
        <v>0.98770210000000003</v>
      </c>
      <c r="Q8488">
        <v>-6.4757259999999997E-2</v>
      </c>
      <c r="R8488">
        <v>0.1423063</v>
      </c>
      <c r="S8488">
        <v>3.01152</v>
      </c>
      <c r="T8488">
        <v>-0.63987050000000001</v>
      </c>
      <c r="U8488">
        <v>-0.1096954</v>
      </c>
      <c r="V8488">
        <v>-7.9925869999999996E-2</v>
      </c>
      <c r="W8488">
        <v>-2.3880120000000001E-2</v>
      </c>
      <c r="X8488">
        <v>0.99651469999999998</v>
      </c>
      <c r="Y8488">
        <v>9.5637050000000001E-2</v>
      </c>
      <c r="Z8488">
        <v>-2.2659229999999999E-2</v>
      </c>
      <c r="AA8488">
        <v>0.99515830000000005</v>
      </c>
      <c r="AB8488">
        <v>26</v>
      </c>
      <c r="AC8488">
        <v>0.60249999999999204</v>
      </c>
      <c r="AD8488">
        <v>-0.17822579999999999</v>
      </c>
      <c r="AE8488">
        <v>-4.67000000000155E-2</v>
      </c>
      <c r="AF8488">
        <v>7.7695364518442001E-2</v>
      </c>
      <c r="AG8488">
        <v>-0.17822579999999999</v>
      </c>
      <c r="AH8488">
        <v>0.55049410479106098</v>
      </c>
      <c r="AI8488">
        <v>107.774752418848</v>
      </c>
      <c r="AJ8488">
        <v>81.966478232569003</v>
      </c>
      <c r="AK8488">
        <v>0.58381911998752301</v>
      </c>
      <c r="AL8488">
        <v>91.368360197575797</v>
      </c>
      <c r="AM8488">
        <v>94.585615346625701</v>
      </c>
      <c r="AN8488">
        <v>0.99999997607127999</v>
      </c>
    </row>
    <row r="8489" spans="1:40" x14ac:dyDescent="0.25">
      <c r="A8489" t="str">
        <f>"20190305135127259"</f>
        <v>20190305135127259</v>
      </c>
      <c r="B8489" t="str">
        <f>"1551765087248279"</f>
        <v>1551765087248279</v>
      </c>
      <c r="C8489" t="s">
        <v>40</v>
      </c>
      <c r="D8489">
        <v>3.8324569999999998</v>
      </c>
      <c r="E8489">
        <v>0.56445579999999995</v>
      </c>
      <c r="F8489" t="s">
        <v>41</v>
      </c>
      <c r="G8489">
        <v>-106.476</v>
      </c>
      <c r="H8489">
        <v>0.93809699999999996</v>
      </c>
      <c r="I8489">
        <v>136.73779999999999</v>
      </c>
      <c r="J8489">
        <v>-107.05249999999999</v>
      </c>
      <c r="K8489">
        <v>1.113683</v>
      </c>
      <c r="L8489">
        <v>136.78389999999999</v>
      </c>
      <c r="M8489">
        <v>0.99712400000000001</v>
      </c>
      <c r="N8489">
        <v>-4.1292929999999999E-2</v>
      </c>
      <c r="O8489">
        <v>6.3552079999999997E-2</v>
      </c>
      <c r="P8489">
        <v>0.98771310000000001</v>
      </c>
      <c r="Q8489">
        <v>-6.4320890000000006E-2</v>
      </c>
      <c r="R8489">
        <v>0.142428799999999</v>
      </c>
      <c r="S8489">
        <v>3.0106809999999999</v>
      </c>
      <c r="T8489">
        <v>-0.64257589999999998</v>
      </c>
      <c r="U8489">
        <v>-0.1073151</v>
      </c>
      <c r="V8489">
        <v>-7.9271610000000006E-2</v>
      </c>
      <c r="W8489">
        <v>-2.333847E-2</v>
      </c>
      <c r="X8489">
        <v>0.99657980000000002</v>
      </c>
      <c r="Y8489">
        <v>9.5609109999999997E-2</v>
      </c>
      <c r="Z8489">
        <v>-2.2892260000000001E-2</v>
      </c>
      <c r="AA8489">
        <v>0.99515569999999998</v>
      </c>
      <c r="AB8489">
        <v>25</v>
      </c>
      <c r="AC8489">
        <v>0.57649999999999502</v>
      </c>
      <c r="AD8489">
        <v>-0.17558599999999999</v>
      </c>
      <c r="AE8489">
        <v>-4.6099999999995499E-2</v>
      </c>
      <c r="AF8489">
        <v>7.5698216520947395E-2</v>
      </c>
      <c r="AG8489">
        <v>-0.17558599999999999</v>
      </c>
      <c r="AH8489">
        <v>0.524092202099666</v>
      </c>
      <c r="AI8489">
        <v>108.34489615711701</v>
      </c>
      <c r="AJ8489">
        <v>81.781218086819393</v>
      </c>
      <c r="AK8489">
        <v>0.55788287272699999</v>
      </c>
      <c r="AL8489">
        <v>91.337317272621107</v>
      </c>
      <c r="AM8489">
        <v>94.547940534292493</v>
      </c>
      <c r="AN8489">
        <v>0.99999998505098597</v>
      </c>
    </row>
    <row r="8490" spans="1:40" x14ac:dyDescent="0.25">
      <c r="A8490" t="str">
        <f>"20190305135127285"</f>
        <v>20190305135127285</v>
      </c>
      <c r="B8490" t="str">
        <f>"1551765087278536"</f>
        <v>1551765087278536</v>
      </c>
      <c r="C8490" t="s">
        <v>40</v>
      </c>
      <c r="D8490">
        <v>3.7965960000000001</v>
      </c>
      <c r="E8490">
        <v>0.56423540000000005</v>
      </c>
      <c r="F8490" t="s">
        <v>41</v>
      </c>
      <c r="G8490">
        <v>-106.25709999999999</v>
      </c>
      <c r="H8490">
        <v>0.94459329999999997</v>
      </c>
      <c r="I8490">
        <v>136.7559</v>
      </c>
      <c r="J8490">
        <v>-106.78530000000001</v>
      </c>
      <c r="K8490">
        <v>1.113451</v>
      </c>
      <c r="L8490">
        <v>136.80170000000001</v>
      </c>
      <c r="M8490">
        <v>0.99708929999999996</v>
      </c>
      <c r="N8490">
        <v>-4.1339840000000003E-2</v>
      </c>
      <c r="O8490">
        <v>6.4063120000000001E-2</v>
      </c>
      <c r="P8490">
        <v>0.98778880000000002</v>
      </c>
      <c r="Q8490">
        <v>-6.3073420000000005E-2</v>
      </c>
      <c r="R8490">
        <v>0.1424619</v>
      </c>
      <c r="S8490">
        <v>3.0108799999999998</v>
      </c>
      <c r="T8490">
        <v>-0.6401289</v>
      </c>
      <c r="U8490">
        <v>-0.1056671</v>
      </c>
      <c r="V8490">
        <v>-7.8806409999999993E-2</v>
      </c>
      <c r="W8490">
        <v>-2.1988520000000001E-2</v>
      </c>
      <c r="X8490">
        <v>0.99664739999999996</v>
      </c>
      <c r="Y8490">
        <v>9.559289E-2</v>
      </c>
      <c r="Z8490">
        <v>-2.28866E-2</v>
      </c>
      <c r="AA8490">
        <v>0.99515739999999997</v>
      </c>
      <c r="AB8490">
        <v>25</v>
      </c>
      <c r="AC8490">
        <v>0.52820000000001199</v>
      </c>
      <c r="AD8490">
        <v>-0.168857699999999</v>
      </c>
      <c r="AE8490">
        <v>-4.5800000000014003E-2</v>
      </c>
      <c r="AF8490">
        <v>7.2244643845699605E-2</v>
      </c>
      <c r="AG8490">
        <v>-0.168857699999999</v>
      </c>
      <c r="AH8490">
        <v>0.47590287728651298</v>
      </c>
      <c r="AI8490">
        <v>109.330689485627</v>
      </c>
      <c r="AJ8490">
        <v>81.368093682994996</v>
      </c>
      <c r="AK8490">
        <v>0.51011347759421499</v>
      </c>
      <c r="AL8490">
        <v>91.259950946977895</v>
      </c>
      <c r="AM8490">
        <v>94.521056843057593</v>
      </c>
      <c r="AN8490">
        <v>0.99999999259781902</v>
      </c>
    </row>
    <row r="8491" spans="1:40" x14ac:dyDescent="0.25">
      <c r="A8491" t="str">
        <f>"20190305135127305"</f>
        <v>20190305135127305</v>
      </c>
      <c r="B8491" t="str">
        <f>"1551765087298055"</f>
        <v>1551765087298055</v>
      </c>
      <c r="C8491" t="s">
        <v>40</v>
      </c>
      <c r="D8491">
        <v>3.8534670000000002</v>
      </c>
      <c r="E8491">
        <v>0.56411049999999996</v>
      </c>
      <c r="F8491" t="s">
        <v>41</v>
      </c>
      <c r="G8491">
        <v>-106.04</v>
      </c>
      <c r="H8491">
        <v>0.95634710000000001</v>
      </c>
      <c r="I8491">
        <v>136.77600000000001</v>
      </c>
      <c r="J8491">
        <v>-106.5707</v>
      </c>
      <c r="K8491">
        <v>1.1132489999999999</v>
      </c>
      <c r="L8491">
        <v>136.8159</v>
      </c>
      <c r="M8491">
        <v>0.99708050000000004</v>
      </c>
      <c r="N8491">
        <v>-4.1366960000000001E-2</v>
      </c>
      <c r="O8491">
        <v>6.4181970000000005E-2</v>
      </c>
      <c r="P8491">
        <v>0.98790370000000005</v>
      </c>
      <c r="Q8491">
        <v>-6.148489E-2</v>
      </c>
      <c r="R8491">
        <v>0.14235919999999999</v>
      </c>
      <c r="S8491">
        <v>3.0115509999999999</v>
      </c>
      <c r="T8491">
        <v>-0.63493080000000002</v>
      </c>
      <c r="U8491">
        <v>-0.10397339999999999</v>
      </c>
      <c r="V8491">
        <v>-7.8591510000000003E-2</v>
      </c>
      <c r="W8491">
        <v>-2.032519E-2</v>
      </c>
      <c r="X8491">
        <v>0.99669969999999997</v>
      </c>
      <c r="Y8491">
        <v>9.5210790000000003E-2</v>
      </c>
      <c r="Z8491">
        <v>-2.2665640000000001E-2</v>
      </c>
      <c r="AA8491">
        <v>0.9951991</v>
      </c>
      <c r="AB8491">
        <v>24</v>
      </c>
      <c r="AC8491">
        <v>0.53069999999999595</v>
      </c>
      <c r="AD8491">
        <v>-0.15690189999999901</v>
      </c>
      <c r="AE8491">
        <v>-3.9899999999988701E-2</v>
      </c>
      <c r="AF8491">
        <v>6.7997896178727896E-2</v>
      </c>
      <c r="AG8491">
        <v>-0.15690189999999901</v>
      </c>
      <c r="AH8491">
        <v>0.48489474446105002</v>
      </c>
      <c r="AI8491">
        <v>107.767737503563</v>
      </c>
      <c r="AJ8491">
        <v>82.017337124097196</v>
      </c>
      <c r="AK8491">
        <v>0.51416420851153199</v>
      </c>
      <c r="AL8491">
        <v>91.164627783482601</v>
      </c>
      <c r="AM8491">
        <v>94.508543501487793</v>
      </c>
      <c r="AN8491">
        <v>1.00000001538635</v>
      </c>
    </row>
    <row r="8492" spans="1:40" x14ac:dyDescent="0.25">
      <c r="A8492" t="str">
        <f>"20190305135127326"</f>
        <v>20190305135127326</v>
      </c>
      <c r="B8492" t="str">
        <f>"1551765087318551"</f>
        <v>1551765087318551</v>
      </c>
      <c r="C8492" t="s">
        <v>40</v>
      </c>
      <c r="D8492">
        <v>3.8134160000000001</v>
      </c>
      <c r="E8492">
        <v>0.56392679999999995</v>
      </c>
      <c r="F8492" t="s">
        <v>41</v>
      </c>
      <c r="G8492">
        <v>-105.8318</v>
      </c>
      <c r="H8492">
        <v>0.95882389999999995</v>
      </c>
      <c r="I8492">
        <v>136.79060000000001</v>
      </c>
      <c r="J8492">
        <v>-106.3571</v>
      </c>
      <c r="K8492">
        <v>1.113027</v>
      </c>
      <c r="L8492">
        <v>136.8297</v>
      </c>
      <c r="M8492">
        <v>0.99709020000000004</v>
      </c>
      <c r="N8492">
        <v>-4.1386060000000002E-2</v>
      </c>
      <c r="O8492">
        <v>6.4021099999999997E-2</v>
      </c>
      <c r="P8492">
        <v>0.98806050000000001</v>
      </c>
      <c r="Q8492">
        <v>-6.0719950000000002E-2</v>
      </c>
      <c r="R8492">
        <v>0.1415969</v>
      </c>
      <c r="S8492">
        <v>3.0124050000000002</v>
      </c>
      <c r="T8492">
        <v>-0.62964759999999997</v>
      </c>
      <c r="U8492">
        <v>-0.1030273</v>
      </c>
      <c r="V8492">
        <v>-7.7993010000000002E-2</v>
      </c>
      <c r="W8492">
        <v>-1.9491850000000002E-2</v>
      </c>
      <c r="X8492">
        <v>0.99676330000000002</v>
      </c>
      <c r="Y8492">
        <v>9.4799610000000006E-2</v>
      </c>
      <c r="Z8492">
        <v>-2.239064E-2</v>
      </c>
      <c r="AA8492">
        <v>0.99524460000000003</v>
      </c>
      <c r="AB8492">
        <v>24</v>
      </c>
      <c r="AC8492">
        <v>0.52530000000000099</v>
      </c>
      <c r="AD8492">
        <v>-0.15420310000000001</v>
      </c>
      <c r="AE8492">
        <v>-3.9099999999990503E-2</v>
      </c>
      <c r="AF8492">
        <v>6.6941958117233094E-2</v>
      </c>
      <c r="AG8492">
        <v>-0.15420310000000001</v>
      </c>
      <c r="AH8492">
        <v>0.48053421348590702</v>
      </c>
      <c r="AI8492">
        <v>107.631825189129</v>
      </c>
      <c r="AJ8492">
        <v>82.069315133044398</v>
      </c>
      <c r="AK8492">
        <v>0.50909031825079798</v>
      </c>
      <c r="AL8492">
        <v>91.116871515860495</v>
      </c>
      <c r="AM8492">
        <v>94.474065086949906</v>
      </c>
      <c r="AN8492">
        <v>0.99999995902608496</v>
      </c>
    </row>
    <row r="8493" spans="1:40" x14ac:dyDescent="0.25">
      <c r="A8493" t="str">
        <f>"20190305135127348"</f>
        <v>20190305135127348</v>
      </c>
      <c r="B8493" t="str">
        <f>"1551765087338071"</f>
        <v>1551765087338071</v>
      </c>
      <c r="C8493" t="s">
        <v>40</v>
      </c>
      <c r="D8493">
        <v>3.830927</v>
      </c>
      <c r="E8493">
        <v>0.56378619999999902</v>
      </c>
      <c r="F8493" t="s">
        <v>41</v>
      </c>
      <c r="G8493">
        <v>-105.6279</v>
      </c>
      <c r="H8493">
        <v>0.96134330000000001</v>
      </c>
      <c r="I8493">
        <v>136.80459999999999</v>
      </c>
      <c r="J8493">
        <v>-106.13679999999999</v>
      </c>
      <c r="K8493">
        <v>1.1127880000000001</v>
      </c>
      <c r="L8493">
        <v>136.84350000000001</v>
      </c>
      <c r="M8493">
        <v>0.99712009999999995</v>
      </c>
      <c r="N8493">
        <v>-4.1398669999999999E-2</v>
      </c>
      <c r="O8493">
        <v>6.3544349999999999E-2</v>
      </c>
      <c r="P8493">
        <v>0.98814679999999999</v>
      </c>
      <c r="Q8493">
        <v>-6.1698959999999997E-2</v>
      </c>
      <c r="R8493">
        <v>0.140567</v>
      </c>
      <c r="S8493">
        <v>3.0125730000000002</v>
      </c>
      <c r="T8493">
        <v>-0.62668740000000001</v>
      </c>
      <c r="U8493">
        <v>-0.1036682</v>
      </c>
      <c r="V8493">
        <v>-7.7447820000000001E-2</v>
      </c>
      <c r="W8493">
        <v>-2.0410629999999999E-2</v>
      </c>
      <c r="X8493">
        <v>0.99678750000000005</v>
      </c>
      <c r="Y8493">
        <v>9.4577309999999998E-2</v>
      </c>
      <c r="Z8493">
        <v>-2.217676E-2</v>
      </c>
      <c r="AA8493">
        <v>0.99527049999999995</v>
      </c>
      <c r="AB8493">
        <v>23</v>
      </c>
      <c r="AC8493">
        <v>0.50889999999999702</v>
      </c>
      <c r="AD8493">
        <v>-0.15144469999999899</v>
      </c>
      <c r="AE8493">
        <v>-3.89000000000123E-2</v>
      </c>
      <c r="AF8493">
        <v>6.5426154508374704E-2</v>
      </c>
      <c r="AG8493">
        <v>-0.15144469999999899</v>
      </c>
      <c r="AH8493">
        <v>0.46449822360805099</v>
      </c>
      <c r="AI8493">
        <v>107.892800277869</v>
      </c>
      <c r="AJ8493">
        <v>81.982438909750599</v>
      </c>
      <c r="AK8493">
        <v>0.492924617550065</v>
      </c>
      <c r="AL8493">
        <v>91.169524122462803</v>
      </c>
      <c r="AM8493">
        <v>94.442808514231004</v>
      </c>
      <c r="AN8493">
        <v>1.00000003939799</v>
      </c>
    </row>
    <row r="8494" spans="1:40" x14ac:dyDescent="0.25">
      <c r="A8494" t="str">
        <f>"20190305135127372"</f>
        <v>20190305135127372</v>
      </c>
      <c r="B8494" t="str">
        <f>"1551765087358567"</f>
        <v>1551765087358567</v>
      </c>
      <c r="C8494" t="s">
        <v>40</v>
      </c>
      <c r="D8494">
        <v>3.8444479999999999</v>
      </c>
      <c r="E8494">
        <v>0.563666</v>
      </c>
      <c r="F8494" t="s">
        <v>41</v>
      </c>
      <c r="G8494">
        <v>-105.42789999999999</v>
      </c>
      <c r="H8494">
        <v>0.9647057</v>
      </c>
      <c r="I8494">
        <v>136.8185</v>
      </c>
      <c r="J8494">
        <v>-105.9198</v>
      </c>
      <c r="K8494">
        <v>1.1125579999999999</v>
      </c>
      <c r="L8494">
        <v>136.85659999999999</v>
      </c>
      <c r="M8494">
        <v>0.99717100000000003</v>
      </c>
      <c r="N8494">
        <v>-4.1404940000000001E-2</v>
      </c>
      <c r="O8494">
        <v>6.2735189999999996E-2</v>
      </c>
      <c r="P8494">
        <v>0.98821910000000002</v>
      </c>
      <c r="Q8494">
        <v>-6.3567579999999999E-2</v>
      </c>
      <c r="R8494">
        <v>0.13921989999999901</v>
      </c>
      <c r="S8494">
        <v>3.0117340000000001</v>
      </c>
      <c r="T8494">
        <v>-0.62921680000000002</v>
      </c>
      <c r="U8494">
        <v>-0.10565190000000001</v>
      </c>
      <c r="V8494">
        <v>-7.6920580000000002E-2</v>
      </c>
      <c r="W8494">
        <v>-2.22306E-2</v>
      </c>
      <c r="X8494">
        <v>0.99678929999999999</v>
      </c>
      <c r="Y8494">
        <v>9.4420859999999995E-2</v>
      </c>
      <c r="Z8494">
        <v>-2.212006E-2</v>
      </c>
      <c r="AA8494">
        <v>0.99528660000000002</v>
      </c>
      <c r="AB8494">
        <v>23</v>
      </c>
      <c r="AC8494">
        <v>0.491900000000001</v>
      </c>
      <c r="AD8494">
        <v>-0.14785229999999999</v>
      </c>
      <c r="AE8494">
        <v>-3.8099999999985798E-2</v>
      </c>
      <c r="AF8494">
        <v>6.3232128736653306E-2</v>
      </c>
      <c r="AG8494">
        <v>-0.14785229999999999</v>
      </c>
      <c r="AH8494">
        <v>0.44827902970340699</v>
      </c>
      <c r="AI8494">
        <v>108.086469846645</v>
      </c>
      <c r="AJ8494">
        <v>81.971096836645998</v>
      </c>
      <c r="AK8494">
        <v>0.47624856240380098</v>
      </c>
      <c r="AL8494">
        <v>91.273824565348306</v>
      </c>
      <c r="AM8494">
        <v>94.412675220697096</v>
      </c>
      <c r="AN8494">
        <v>0.99999994189919095</v>
      </c>
    </row>
    <row r="8495" spans="1:40" x14ac:dyDescent="0.25">
      <c r="A8495" t="str">
        <f>"20190305135127403"</f>
        <v>20190305135127403</v>
      </c>
      <c r="B8495" t="str">
        <f>"1551765087387847"</f>
        <v>1551765087387847</v>
      </c>
      <c r="C8495" t="s">
        <v>40</v>
      </c>
      <c r="D8495">
        <v>4.0795059999999896</v>
      </c>
      <c r="E8495">
        <v>0.58179989999999904</v>
      </c>
      <c r="F8495" t="s">
        <v>41</v>
      </c>
      <c r="G8495">
        <v>-105.0609</v>
      </c>
      <c r="H8495">
        <v>0.93141309999999999</v>
      </c>
      <c r="I8495">
        <v>136.82550000000001</v>
      </c>
      <c r="J8495">
        <v>-105.6973</v>
      </c>
      <c r="K8495">
        <v>1.1123529999999999</v>
      </c>
      <c r="L8495">
        <v>136.86930000000001</v>
      </c>
      <c r="M8495">
        <v>0.99724389999999996</v>
      </c>
      <c r="N8495">
        <v>-4.1405949999999997E-2</v>
      </c>
      <c r="O8495">
        <v>6.1565509999999997E-2</v>
      </c>
      <c r="P8495">
        <v>0.98840170000000005</v>
      </c>
      <c r="Q8495">
        <v>-6.5183309999999994E-2</v>
      </c>
      <c r="R8495">
        <v>0.1371618</v>
      </c>
      <c r="S8495">
        <v>3.0102389999999999</v>
      </c>
      <c r="T8495">
        <v>-0.63485939999999996</v>
      </c>
      <c r="U8495">
        <v>-0.1088257</v>
      </c>
      <c r="V8495">
        <v>-7.6036099999999995E-2</v>
      </c>
      <c r="W8495">
        <v>-2.380726E-2</v>
      </c>
      <c r="X8495">
        <v>0.99682079999999995</v>
      </c>
      <c r="Y8495">
        <v>9.4276520000000003E-2</v>
      </c>
      <c r="Z8495">
        <v>-2.211749E-2</v>
      </c>
      <c r="AA8495">
        <v>0.99530039999999997</v>
      </c>
      <c r="AB8495">
        <v>22</v>
      </c>
      <c r="AC8495">
        <v>0.63639999999999397</v>
      </c>
      <c r="AD8495">
        <v>-0.18093989999999999</v>
      </c>
      <c r="AE8495">
        <v>-4.3800000000004502E-2</v>
      </c>
      <c r="AF8495">
        <v>7.6755297617261103E-2</v>
      </c>
      <c r="AG8495">
        <v>-0.18093989999999999</v>
      </c>
      <c r="AH8495">
        <v>0.58539364888172496</v>
      </c>
      <c r="AI8495">
        <v>107.038618175316</v>
      </c>
      <c r="AJ8495">
        <v>82.530138157082206</v>
      </c>
      <c r="AK8495">
        <v>0.61750817587735995</v>
      </c>
      <c r="AL8495">
        <v>91.364184419816297</v>
      </c>
      <c r="AM8495">
        <v>94.361995235199103</v>
      </c>
      <c r="AN8495">
        <v>0.99999999072227796</v>
      </c>
    </row>
    <row r="8496" spans="1:40" x14ac:dyDescent="0.25">
      <c r="A8496" t="str">
        <f>"20190305135127418"</f>
        <v>20190305135127418</v>
      </c>
      <c r="B8496" t="str">
        <f>"1551765087408343"</f>
        <v>1551765087408343</v>
      </c>
      <c r="C8496" t="s">
        <v>40</v>
      </c>
      <c r="D8496">
        <v>4.0359790000000002</v>
      </c>
      <c r="E8496">
        <v>0.58928249999999904</v>
      </c>
      <c r="F8496" t="s">
        <v>41</v>
      </c>
      <c r="G8496">
        <v>-104.8828</v>
      </c>
      <c r="H8496">
        <v>0.91087949999999995</v>
      </c>
      <c r="I8496">
        <v>136.79820000000001</v>
      </c>
      <c r="J8496">
        <v>-105.4783</v>
      </c>
      <c r="K8496">
        <v>1.112198</v>
      </c>
      <c r="L8496">
        <v>136.88130000000001</v>
      </c>
      <c r="M8496">
        <v>0.99733099999999997</v>
      </c>
      <c r="N8496">
        <v>-4.1401590000000002E-2</v>
      </c>
      <c r="O8496">
        <v>6.014216E-2</v>
      </c>
      <c r="P8496">
        <v>0.98863310000000004</v>
      </c>
      <c r="Q8496">
        <v>-6.6463850000000005E-2</v>
      </c>
      <c r="R8496">
        <v>0.13486139999999999</v>
      </c>
      <c r="S8496">
        <v>3.0225070000000001</v>
      </c>
      <c r="T8496">
        <v>-0.74757249999999997</v>
      </c>
      <c r="U8496">
        <v>-0.26376339999999998</v>
      </c>
      <c r="V8496">
        <v>-7.5157749999999995E-2</v>
      </c>
      <c r="W8496">
        <v>-2.506367E-2</v>
      </c>
      <c r="X8496">
        <v>0.99685659999999998</v>
      </c>
      <c r="Y8496">
        <v>0.14055770000000001</v>
      </c>
      <c r="Z8496">
        <v>-3.2235430000000002E-2</v>
      </c>
      <c r="AA8496">
        <v>0.98954759999999997</v>
      </c>
      <c r="AB8496">
        <v>21</v>
      </c>
      <c r="AC8496">
        <v>0.59550000000000103</v>
      </c>
      <c r="AD8496">
        <v>-0.20131850000000001</v>
      </c>
      <c r="AE8496">
        <v>-8.31000000000017E-2</v>
      </c>
      <c r="AF8496">
        <v>0.106819605828211</v>
      </c>
      <c r="AG8496">
        <v>-0.20131850000000001</v>
      </c>
      <c r="AH8496">
        <v>0.53000181798426305</v>
      </c>
      <c r="AI8496">
        <v>110.423191939825</v>
      </c>
      <c r="AJ8496">
        <v>78.604935127682296</v>
      </c>
      <c r="AK8496">
        <v>0.57692416633225596</v>
      </c>
      <c r="AL8496">
        <v>91.436192934971103</v>
      </c>
      <c r="AM8496">
        <v>94.311643425867501</v>
      </c>
      <c r="AN8496">
        <v>0.99999997795124496</v>
      </c>
    </row>
    <row r="8497" spans="1:40" x14ac:dyDescent="0.25">
      <c r="A8497" t="str">
        <f>"20190305135127438"</f>
        <v>20190305135127438</v>
      </c>
      <c r="B8497" t="str">
        <f>"1551765087427863"</f>
        <v>1551765087427863</v>
      </c>
      <c r="C8497" t="s">
        <v>40</v>
      </c>
      <c r="D8497">
        <v>4.0585019999999998</v>
      </c>
      <c r="E8497">
        <v>0.59038000000000002</v>
      </c>
      <c r="F8497" t="s">
        <v>41</v>
      </c>
      <c r="G8497">
        <v>-104.7007</v>
      </c>
      <c r="H8497">
        <v>0.91103199999999995</v>
      </c>
      <c r="I8497">
        <v>136.7961</v>
      </c>
      <c r="J8497">
        <v>-105.3035</v>
      </c>
      <c r="K8497">
        <v>1.11212</v>
      </c>
      <c r="L8497">
        <v>136.8904</v>
      </c>
      <c r="M8497">
        <v>0.99740879999999998</v>
      </c>
      <c r="N8497">
        <v>-4.139342E-2</v>
      </c>
      <c r="O8497">
        <v>5.8843510000000002E-2</v>
      </c>
      <c r="P8497">
        <v>0.98893189999999997</v>
      </c>
      <c r="Q8497">
        <v>-6.7351439999999999E-2</v>
      </c>
      <c r="R8497">
        <v>0.13220419999999999</v>
      </c>
      <c r="S8497">
        <v>3.0270389999999998</v>
      </c>
      <c r="T8497">
        <v>-0.78303829999999996</v>
      </c>
      <c r="U8497">
        <v>-0.33132929999999999</v>
      </c>
      <c r="V8497">
        <v>-7.3790369999999994E-2</v>
      </c>
      <c r="W8497">
        <v>-2.594312E-2</v>
      </c>
      <c r="X8497">
        <v>0.9969363</v>
      </c>
      <c r="Y8497">
        <v>0.15973760000000001</v>
      </c>
      <c r="Z8497">
        <v>-3.6189529999999998E-2</v>
      </c>
      <c r="AA8497">
        <v>0.98649589999999998</v>
      </c>
      <c r="AB8497">
        <v>21</v>
      </c>
      <c r="AC8497">
        <v>0.602800000000002</v>
      </c>
      <c r="AD8497">
        <v>-0.20108799999999999</v>
      </c>
      <c r="AE8497">
        <v>-9.4300000000004006E-2</v>
      </c>
      <c r="AF8497">
        <v>0.11693560226797201</v>
      </c>
      <c r="AG8497">
        <v>-0.20108799999999999</v>
      </c>
      <c r="AH8497">
        <v>0.53778378961279405</v>
      </c>
      <c r="AI8497">
        <v>110.07138854615999</v>
      </c>
      <c r="AJ8497">
        <v>77.7325728248872</v>
      </c>
      <c r="AK8497">
        <v>0.58593662045657402</v>
      </c>
      <c r="AL8497">
        <v>91.486598035731603</v>
      </c>
      <c r="AM8497">
        <v>94.233150293754804</v>
      </c>
      <c r="AN8497">
        <v>1.0000000252188801</v>
      </c>
    </row>
    <row r="8498" spans="1:40" x14ac:dyDescent="0.25">
      <c r="A8498" t="str">
        <f>"20190305135127462"</f>
        <v>20190305135127462</v>
      </c>
      <c r="B8498" t="str">
        <f>"1551765087448361"</f>
        <v>1551765087448361</v>
      </c>
      <c r="C8498" t="s">
        <v>40</v>
      </c>
      <c r="D8498">
        <v>4.0247960000000003</v>
      </c>
      <c r="E8498">
        <v>0.5904374</v>
      </c>
      <c r="F8498" t="s">
        <v>41</v>
      </c>
      <c r="G8498">
        <v>-104.52549999999999</v>
      </c>
      <c r="H8498">
        <v>0.90767169999999997</v>
      </c>
      <c r="I8498">
        <v>136.80070000000001</v>
      </c>
      <c r="J8498">
        <v>-105.0996</v>
      </c>
      <c r="K8498">
        <v>1.1120669999999999</v>
      </c>
      <c r="L8498">
        <v>136.90049999999999</v>
      </c>
      <c r="M8498">
        <v>0.99750609999999995</v>
      </c>
      <c r="N8498">
        <v>-4.1377730000000001E-2</v>
      </c>
      <c r="O8498">
        <v>5.7181530000000001E-2</v>
      </c>
      <c r="P8498">
        <v>0.98941349999999995</v>
      </c>
      <c r="Q8498">
        <v>-6.7303489999999994E-2</v>
      </c>
      <c r="R8498">
        <v>0.12857460000000001</v>
      </c>
      <c r="S8498">
        <v>3.0259550000000002</v>
      </c>
      <c r="T8498">
        <v>-0.79515019999999903</v>
      </c>
      <c r="U8498">
        <v>-0.34812929999999997</v>
      </c>
      <c r="V8498">
        <v>-7.1800859999999994E-2</v>
      </c>
      <c r="W8498">
        <v>-2.589808E-2</v>
      </c>
      <c r="X8498">
        <v>0.99708269999999999</v>
      </c>
      <c r="Y8498">
        <v>0.1632207</v>
      </c>
      <c r="Z8498">
        <v>-3.6884840000000002E-2</v>
      </c>
      <c r="AA8498">
        <v>0.98589990000000005</v>
      </c>
      <c r="AB8498">
        <v>20</v>
      </c>
      <c r="AC8498">
        <v>0.57410000000000105</v>
      </c>
      <c r="AD8498">
        <v>-0.2043953</v>
      </c>
      <c r="AE8498">
        <v>-9.9799999999987593E-2</v>
      </c>
      <c r="AF8498">
        <v>0.117976910473943</v>
      </c>
      <c r="AG8498">
        <v>-0.2043953</v>
      </c>
      <c r="AH8498">
        <v>0.50527921788851404</v>
      </c>
      <c r="AI8498">
        <v>111.50068228959</v>
      </c>
      <c r="AJ8498">
        <v>76.857544068336693</v>
      </c>
      <c r="AK8498">
        <v>0.55767649950226095</v>
      </c>
      <c r="AL8498">
        <v>91.484016615326894</v>
      </c>
      <c r="AM8498">
        <v>94.118813144627794</v>
      </c>
      <c r="AN8498">
        <v>0.99999999234185799</v>
      </c>
    </row>
    <row r="8499" spans="1:40" x14ac:dyDescent="0.25">
      <c r="A8499" t="str">
        <f>"20190305135127486"</f>
        <v>20190305135127486</v>
      </c>
      <c r="B8499" t="str">
        <f>"1551765087478615"</f>
        <v>1551765087478615</v>
      </c>
      <c r="C8499" t="s">
        <v>40</v>
      </c>
      <c r="D8499">
        <v>4.0652710000000001</v>
      </c>
      <c r="E8499">
        <v>0.59056980000000003</v>
      </c>
      <c r="F8499" t="s">
        <v>41</v>
      </c>
      <c r="G8499">
        <v>-104.35039999999999</v>
      </c>
      <c r="H8499">
        <v>0.91428969999999998</v>
      </c>
      <c r="I8499">
        <v>136.8116</v>
      </c>
      <c r="J8499">
        <v>-104.887</v>
      </c>
      <c r="K8499">
        <v>1.1120540000000001</v>
      </c>
      <c r="L8499">
        <v>136.91040000000001</v>
      </c>
      <c r="M8499">
        <v>0.99761089999999997</v>
      </c>
      <c r="N8499">
        <v>-4.1354399999999999E-2</v>
      </c>
      <c r="O8499">
        <v>5.533747E-2</v>
      </c>
      <c r="P8499">
        <v>0.99000290000000002</v>
      </c>
      <c r="Q8499">
        <v>-6.7420049999999995E-2</v>
      </c>
      <c r="R8499">
        <v>0.1238892</v>
      </c>
      <c r="S8499">
        <v>3.024384</v>
      </c>
      <c r="T8499">
        <v>-0.79830480000000004</v>
      </c>
      <c r="U8499">
        <v>-0.35844419999999999</v>
      </c>
      <c r="V8499">
        <v>-6.8930989999999998E-2</v>
      </c>
      <c r="W8499">
        <v>-2.603368E-2</v>
      </c>
      <c r="X8499">
        <v>0.99728170000000005</v>
      </c>
      <c r="Y8499">
        <v>0.16469729999999999</v>
      </c>
      <c r="Z8499">
        <v>-3.6854890000000001E-2</v>
      </c>
      <c r="AA8499">
        <v>0.98565539999999996</v>
      </c>
      <c r="AB8499">
        <v>20</v>
      </c>
      <c r="AC8499">
        <v>0.53660000000000696</v>
      </c>
      <c r="AD8499">
        <v>-0.1977643</v>
      </c>
      <c r="AE8499">
        <v>-9.8800000000011295E-2</v>
      </c>
      <c r="AF8499">
        <v>0.11346173126069301</v>
      </c>
      <c r="AG8499">
        <v>-0.1977643</v>
      </c>
      <c r="AH8499">
        <v>0.468725176366728</v>
      </c>
      <c r="AI8499">
        <v>112.297370628542</v>
      </c>
      <c r="AJ8499">
        <v>76.392473692658101</v>
      </c>
      <c r="AK8499">
        <v>0.52123658138621098</v>
      </c>
      <c r="AL8499">
        <v>91.491788514947899</v>
      </c>
      <c r="AM8499">
        <v>93.953931343057704</v>
      </c>
      <c r="AN8499">
        <v>1.0000000115158001</v>
      </c>
    </row>
    <row r="8500" spans="1:40" x14ac:dyDescent="0.25">
      <c r="A8500" t="str">
        <f>"20190305135127509"</f>
        <v>20190305135127509</v>
      </c>
      <c r="B8500" t="str">
        <f>"1551765087498135"</f>
        <v>1551765087498135</v>
      </c>
      <c r="C8500" t="s">
        <v>40</v>
      </c>
      <c r="D8500">
        <v>3.8768389999999999</v>
      </c>
      <c r="E8500">
        <v>0.59117280000000005</v>
      </c>
      <c r="F8500" t="s">
        <v>41</v>
      </c>
      <c r="G8500">
        <v>-104.1781</v>
      </c>
      <c r="H8500">
        <v>0.92410700000000001</v>
      </c>
      <c r="I8500">
        <v>136.8227</v>
      </c>
      <c r="J8500">
        <v>-104.6996</v>
      </c>
      <c r="K8500">
        <v>1.112088</v>
      </c>
      <c r="L8500">
        <v>136.9188</v>
      </c>
      <c r="M8500">
        <v>0.99770340000000002</v>
      </c>
      <c r="N8500">
        <v>-4.1328400000000001E-2</v>
      </c>
      <c r="O8500">
        <v>5.3665850000000001E-2</v>
      </c>
      <c r="P8500">
        <v>0.99045890000000003</v>
      </c>
      <c r="Q8500">
        <v>-6.8707760000000007E-2</v>
      </c>
      <c r="R8500">
        <v>0.1194598</v>
      </c>
      <c r="S8500">
        <v>3.0224760000000002</v>
      </c>
      <c r="T8500">
        <v>-0.80128869999999996</v>
      </c>
      <c r="U8500">
        <v>-0.37365720000000002</v>
      </c>
      <c r="V8500">
        <v>-6.6152680000000005E-2</v>
      </c>
      <c r="W8500">
        <v>-2.73528E-2</v>
      </c>
      <c r="X8500">
        <v>0.99743459999999995</v>
      </c>
      <c r="Y8500">
        <v>0.1678625</v>
      </c>
      <c r="Z8500">
        <v>-3.7108750000000003E-2</v>
      </c>
      <c r="AA8500">
        <v>0.98511170000000003</v>
      </c>
      <c r="AB8500">
        <v>19</v>
      </c>
      <c r="AC8500">
        <v>0.52150000000000296</v>
      </c>
      <c r="AD8500">
        <v>-0.18798099999999901</v>
      </c>
      <c r="AE8500">
        <v>-9.6100000000006902E-2</v>
      </c>
      <c r="AF8500">
        <v>0.110132125630526</v>
      </c>
      <c r="AG8500">
        <v>-0.18798099999999901</v>
      </c>
      <c r="AH8500">
        <v>0.45802722716731398</v>
      </c>
      <c r="AI8500">
        <v>111.754032618151</v>
      </c>
      <c r="AJ8500">
        <v>76.479951960376994</v>
      </c>
      <c r="AK8500">
        <v>0.50720299908762001</v>
      </c>
      <c r="AL8500">
        <v>91.5673953821195</v>
      </c>
      <c r="AM8500">
        <v>93.794460857961198</v>
      </c>
      <c r="AN8500">
        <v>1.00000006700808</v>
      </c>
    </row>
    <row r="8501" spans="1:40" x14ac:dyDescent="0.25">
      <c r="A8501" t="str">
        <f>"20190305135127530"</f>
        <v>20190305135127530</v>
      </c>
      <c r="B8501" t="str">
        <f>"1551765087518632"</f>
        <v>1551765087518632</v>
      </c>
      <c r="C8501" t="s">
        <v>40</v>
      </c>
      <c r="D8501">
        <v>4.0569610000000003</v>
      </c>
      <c r="E8501">
        <v>0.59065690000000004</v>
      </c>
      <c r="F8501" t="s">
        <v>41</v>
      </c>
      <c r="G8501">
        <v>-104.0117</v>
      </c>
      <c r="H8501">
        <v>0.93004560000000003</v>
      </c>
      <c r="I8501">
        <v>136.82939999999999</v>
      </c>
      <c r="J8501">
        <v>-104.54089999999999</v>
      </c>
      <c r="K8501">
        <v>1.1121379999999901</v>
      </c>
      <c r="L8501">
        <v>136.9256</v>
      </c>
      <c r="M8501">
        <v>0.99777959999999999</v>
      </c>
      <c r="N8501">
        <v>-4.130284E-2</v>
      </c>
      <c r="O8501">
        <v>5.2250650000000003E-2</v>
      </c>
      <c r="P8501">
        <v>0.99081929999999996</v>
      </c>
      <c r="Q8501">
        <v>-6.9986069999999997E-2</v>
      </c>
      <c r="R8501">
        <v>0.11566849999999999</v>
      </c>
      <c r="S8501">
        <v>3.020737</v>
      </c>
      <c r="T8501">
        <v>-0.79930590000000001</v>
      </c>
      <c r="U8501">
        <v>-0.39198300000000003</v>
      </c>
      <c r="V8501">
        <v>-6.3759700000000002E-2</v>
      </c>
      <c r="W8501">
        <v>-2.8665929999999999E-2</v>
      </c>
      <c r="X8501">
        <v>0.99755349999999998</v>
      </c>
      <c r="Y8501">
        <v>0.1723094</v>
      </c>
      <c r="Z8501">
        <v>-3.7392130000000003E-2</v>
      </c>
      <c r="AA8501">
        <v>0.98433289999999996</v>
      </c>
      <c r="AB8501">
        <v>19</v>
      </c>
      <c r="AC8501">
        <v>0.52919999999998801</v>
      </c>
      <c r="AD8501">
        <v>-0.18209239999999899</v>
      </c>
      <c r="AE8501">
        <v>-9.6200000000010194E-2</v>
      </c>
      <c r="AF8501">
        <v>0.111019067388898</v>
      </c>
      <c r="AG8501">
        <v>-0.18209239999999899</v>
      </c>
      <c r="AH8501">
        <v>0.46962149700871902</v>
      </c>
      <c r="AI8501">
        <v>110.673610308286</v>
      </c>
      <c r="AJ8501">
        <v>76.699393412993899</v>
      </c>
      <c r="AK8501">
        <v>0.51577827204562499</v>
      </c>
      <c r="AL8501">
        <v>91.642661812851301</v>
      </c>
      <c r="AM8501">
        <v>93.657146369827601</v>
      </c>
      <c r="AN8501">
        <v>1.0000000101245501</v>
      </c>
    </row>
    <row r="8502" spans="1:40" x14ac:dyDescent="0.25">
      <c r="A8502" t="str">
        <f>"20190305135127554"</f>
        <v>20190305135127554</v>
      </c>
      <c r="B8502" t="str">
        <f>"1551765087547912"</f>
        <v>1551765087547912</v>
      </c>
      <c r="C8502" t="s">
        <v>40</v>
      </c>
      <c r="D8502">
        <v>3.8948429999999998</v>
      </c>
      <c r="E8502">
        <v>0.59182780000000001</v>
      </c>
      <c r="F8502" t="s">
        <v>41</v>
      </c>
      <c r="G8502">
        <v>-103.85290000000001</v>
      </c>
      <c r="H8502">
        <v>0.92947970000000002</v>
      </c>
      <c r="I8502">
        <v>136.83439999999999</v>
      </c>
      <c r="J8502">
        <v>-104.355</v>
      </c>
      <c r="K8502">
        <v>1.1122270000000001</v>
      </c>
      <c r="L8502">
        <v>136.9332</v>
      </c>
      <c r="M8502">
        <v>0.99786410000000003</v>
      </c>
      <c r="N8502">
        <v>-4.1264500000000003E-2</v>
      </c>
      <c r="O8502">
        <v>5.0643000000000001E-2</v>
      </c>
      <c r="P8502">
        <v>0.99116389999999999</v>
      </c>
      <c r="Q8502">
        <v>-7.0518849999999994E-2</v>
      </c>
      <c r="R8502">
        <v>0.1123432</v>
      </c>
      <c r="S8502">
        <v>3.0178989999999999</v>
      </c>
      <c r="T8502">
        <v>-0.80119629999999997</v>
      </c>
      <c r="U8502">
        <v>-0.40005489999999999</v>
      </c>
      <c r="V8502">
        <v>-6.2020449999999998E-2</v>
      </c>
      <c r="W8502">
        <v>-2.924995E-2</v>
      </c>
      <c r="X8502">
        <v>0.99764620000000004</v>
      </c>
      <c r="Y8502">
        <v>0.1733799</v>
      </c>
      <c r="Z8502">
        <v>-3.730986E-2</v>
      </c>
      <c r="AA8502">
        <v>0.98414800000000002</v>
      </c>
      <c r="AB8502">
        <v>18</v>
      </c>
      <c r="AC8502">
        <v>0.50209999999999799</v>
      </c>
      <c r="AD8502">
        <v>-0.1827473</v>
      </c>
      <c r="AE8502">
        <v>-9.8800000000011295E-2</v>
      </c>
      <c r="AF8502">
        <v>0.110083264215631</v>
      </c>
      <c r="AG8502">
        <v>-0.1827473</v>
      </c>
      <c r="AH8502">
        <v>0.44029465960510999</v>
      </c>
      <c r="AI8502">
        <v>111.932782101858</v>
      </c>
      <c r="AJ8502">
        <v>75.962580854424402</v>
      </c>
      <c r="AK8502">
        <v>0.48925891713328901</v>
      </c>
      <c r="AL8502">
        <v>91.676137719561794</v>
      </c>
      <c r="AM8502">
        <v>93.557316064955998</v>
      </c>
      <c r="AN8502">
        <v>1.00000001808382</v>
      </c>
    </row>
    <row r="8503" spans="1:40" x14ac:dyDescent="0.25">
      <c r="A8503" t="str">
        <f>"20190305135127575"</f>
        <v>20190305135127575</v>
      </c>
      <c r="B8503" t="str">
        <f>"1551765087568408"</f>
        <v>1551765087568408</v>
      </c>
      <c r="C8503" t="s">
        <v>40</v>
      </c>
      <c r="D8503">
        <v>3.903972</v>
      </c>
      <c r="E8503">
        <v>0.59230579999999999</v>
      </c>
      <c r="F8503" t="s">
        <v>41</v>
      </c>
      <c r="G8503">
        <v>-103.5591</v>
      </c>
      <c r="H8503">
        <v>0.90339720000000001</v>
      </c>
      <c r="I8503">
        <v>136.8227</v>
      </c>
      <c r="J8503">
        <v>-104.1923</v>
      </c>
      <c r="K8503">
        <v>1.1123240000000001</v>
      </c>
      <c r="L8503">
        <v>136.93979999999999</v>
      </c>
      <c r="M8503">
        <v>0.99793330000000002</v>
      </c>
      <c r="N8503">
        <v>-4.1215269999999998E-2</v>
      </c>
      <c r="O8503">
        <v>4.9300919999999998E-2</v>
      </c>
      <c r="P8503">
        <v>0.99146040000000002</v>
      </c>
      <c r="Q8503">
        <v>-7.0429530000000004E-2</v>
      </c>
      <c r="R8503">
        <v>0.10975559999999999</v>
      </c>
      <c r="S8503">
        <v>3.0178989999999999</v>
      </c>
      <c r="T8503">
        <v>-0.79180109999999904</v>
      </c>
      <c r="U8503">
        <v>-0.41889949999999998</v>
      </c>
      <c r="V8503">
        <v>-6.0753620000000001E-2</v>
      </c>
      <c r="W8503">
        <v>-2.9222149999999999E-2</v>
      </c>
      <c r="X8503">
        <v>0.99772499999999997</v>
      </c>
      <c r="Y8503">
        <v>0.17812539999999999</v>
      </c>
      <c r="Z8503">
        <v>-3.7308389999999997E-2</v>
      </c>
      <c r="AA8503">
        <v>0.98330030000000002</v>
      </c>
      <c r="AB8503">
        <v>17</v>
      </c>
      <c r="AC8503">
        <v>0.63320000000000198</v>
      </c>
      <c r="AD8503">
        <v>-0.208926799999999</v>
      </c>
      <c r="AE8503">
        <v>-0.117099999999993</v>
      </c>
      <c r="AF8503">
        <v>0.134086098258935</v>
      </c>
      <c r="AG8503">
        <v>-0.208926799999999</v>
      </c>
      <c r="AH8503">
        <v>0.56696648320194598</v>
      </c>
      <c r="AI8503">
        <v>109.728198641167</v>
      </c>
      <c r="AJ8503">
        <v>76.694171401928699</v>
      </c>
      <c r="AK8503">
        <v>0.61893495827827305</v>
      </c>
      <c r="AL8503">
        <v>91.674544152227398</v>
      </c>
      <c r="AM8503">
        <v>93.484560682677397</v>
      </c>
      <c r="AN8503">
        <v>1.00000005600936</v>
      </c>
    </row>
    <row r="8504" spans="1:40" x14ac:dyDescent="0.25">
      <c r="A8504" t="str">
        <f>"20190305135127596"</f>
        <v>20190305135127596</v>
      </c>
      <c r="B8504" t="str">
        <f>"1551765087587928"</f>
        <v>1551765087587928</v>
      </c>
      <c r="C8504" t="s">
        <v>40</v>
      </c>
      <c r="D8504">
        <v>3.912293</v>
      </c>
      <c r="E8504">
        <v>0.59257789999999999</v>
      </c>
      <c r="F8504" t="s">
        <v>41</v>
      </c>
      <c r="G8504">
        <v>-103.41079999999999</v>
      </c>
      <c r="H8504">
        <v>0.90857469999999996</v>
      </c>
      <c r="I8504">
        <v>136.82820000000001</v>
      </c>
      <c r="J8504">
        <v>-104.03660000000001</v>
      </c>
      <c r="K8504">
        <v>1.1124320000000001</v>
      </c>
      <c r="L8504">
        <v>136.94579999999999</v>
      </c>
      <c r="M8504">
        <v>0.99799530000000003</v>
      </c>
      <c r="N8504">
        <v>-4.1152929999999997E-2</v>
      </c>
      <c r="O8504">
        <v>4.8081400000000003E-2</v>
      </c>
      <c r="P8504">
        <v>0.99164189999999997</v>
      </c>
      <c r="Q8504">
        <v>-6.984754E-2</v>
      </c>
      <c r="R8504">
        <v>0.10847859999999999</v>
      </c>
      <c r="S8504">
        <v>3.0175480000000001</v>
      </c>
      <c r="T8504">
        <v>-0.78667929999999997</v>
      </c>
      <c r="U8504">
        <v>-0.43009950000000002</v>
      </c>
      <c r="V8504">
        <v>-6.0678879999999998E-2</v>
      </c>
      <c r="W8504">
        <v>-2.8715190000000002E-2</v>
      </c>
      <c r="X8504">
        <v>0.99774419999999997</v>
      </c>
      <c r="Y8504">
        <v>0.18055650000000001</v>
      </c>
      <c r="Z8504">
        <v>-3.7178179999999998E-2</v>
      </c>
      <c r="AA8504">
        <v>0.98286169999999995</v>
      </c>
      <c r="AB8504">
        <v>17</v>
      </c>
      <c r="AC8504">
        <v>0.62580000000001201</v>
      </c>
      <c r="AD8504">
        <v>-0.20385729999999899</v>
      </c>
      <c r="AE8504">
        <v>-0.117599999999981</v>
      </c>
      <c r="AF8504">
        <v>0.133858560081557</v>
      </c>
      <c r="AG8504">
        <v>-0.20385729999999899</v>
      </c>
      <c r="AH8504">
        <v>0.56183013986588604</v>
      </c>
      <c r="AI8504">
        <v>109.44126261226501</v>
      </c>
      <c r="AJ8504">
        <v>76.598866963001996</v>
      </c>
      <c r="AK8504">
        <v>0.61247777015343097</v>
      </c>
      <c r="AL8504">
        <v>91.645485400650401</v>
      </c>
      <c r="AM8504">
        <v>93.480217659854603</v>
      </c>
      <c r="AN8504">
        <v>0.99999998862421502</v>
      </c>
    </row>
    <row r="8505" spans="1:40" x14ac:dyDescent="0.25">
      <c r="A8505" t="str">
        <f>"20190305135127618"</f>
        <v>20190305135127618</v>
      </c>
      <c r="B8505" t="str">
        <f>"1551765087608424"</f>
        <v>1551765087608424</v>
      </c>
      <c r="C8505" t="s">
        <v>40</v>
      </c>
      <c r="D8505">
        <v>3.9231739999999999</v>
      </c>
      <c r="E8505">
        <v>0.59274559999999998</v>
      </c>
      <c r="F8505" t="s">
        <v>41</v>
      </c>
      <c r="G8505">
        <v>-103.267</v>
      </c>
      <c r="H8505">
        <v>0.91345980000000004</v>
      </c>
      <c r="I8505">
        <v>136.8347</v>
      </c>
      <c r="J8505">
        <v>-103.8852</v>
      </c>
      <c r="K8505">
        <v>1.1125370000000001</v>
      </c>
      <c r="L8505">
        <v>136.95160000000001</v>
      </c>
      <c r="M8505">
        <v>0.99805149999999998</v>
      </c>
      <c r="N8505">
        <v>-4.108357E-2</v>
      </c>
      <c r="O8505">
        <v>4.6961089999999997E-2</v>
      </c>
      <c r="P8505">
        <v>0.99183759999999999</v>
      </c>
      <c r="Q8505">
        <v>-6.8451899999999996E-2</v>
      </c>
      <c r="R8505">
        <v>0.1075758</v>
      </c>
      <c r="S8505">
        <v>3.01796</v>
      </c>
      <c r="T8505">
        <v>-0.78017879999999995</v>
      </c>
      <c r="U8505">
        <v>-0.43530269999999999</v>
      </c>
      <c r="V8505">
        <v>-6.0877609999999999E-2</v>
      </c>
      <c r="W8505">
        <v>-2.7400279999999999E-2</v>
      </c>
      <c r="X8505">
        <v>0.99776909999999996</v>
      </c>
      <c r="Y8505">
        <v>0.1812269</v>
      </c>
      <c r="Z8505">
        <v>-3.6743360000000003E-2</v>
      </c>
      <c r="AA8505">
        <v>0.98275460000000003</v>
      </c>
      <c r="AB8505">
        <v>16</v>
      </c>
      <c r="AC8505">
        <v>0.61819999999998698</v>
      </c>
      <c r="AD8505">
        <v>-0.19907720000000001</v>
      </c>
      <c r="AE8505">
        <v>-0.11690000000001501</v>
      </c>
      <c r="AF8505">
        <v>0.13255508739440999</v>
      </c>
      <c r="AG8505">
        <v>-0.19907720000000001</v>
      </c>
      <c r="AH8505">
        <v>0.55632261964865803</v>
      </c>
      <c r="AI8505">
        <v>109.193006872815</v>
      </c>
      <c r="AJ8505">
        <v>76.598017249512907</v>
      </c>
      <c r="AK8505">
        <v>0.60555548043653695</v>
      </c>
      <c r="AL8505">
        <v>91.570116882795205</v>
      </c>
      <c r="AM8505">
        <v>93.491500683561995</v>
      </c>
      <c r="AN8505">
        <v>1.0000000178291</v>
      </c>
    </row>
    <row r="8506" spans="1:40" x14ac:dyDescent="0.25">
      <c r="A8506" t="str">
        <f>"20190305135127639"</f>
        <v>20190305135127639</v>
      </c>
      <c r="B8506" t="str">
        <f>"1551765087627944"</f>
        <v>1551765087627944</v>
      </c>
      <c r="C8506" t="s">
        <v>40</v>
      </c>
      <c r="D8506">
        <v>3.926736</v>
      </c>
      <c r="E8506">
        <v>0.59271200000000002</v>
      </c>
      <c r="F8506" t="s">
        <v>41</v>
      </c>
      <c r="G8506">
        <v>-103.12739999999999</v>
      </c>
      <c r="H8506">
        <v>0.91845239999999995</v>
      </c>
      <c r="I8506">
        <v>136.84139999999999</v>
      </c>
      <c r="J8506">
        <v>-103.74299999999999</v>
      </c>
      <c r="K8506">
        <v>1.1126320000000001</v>
      </c>
      <c r="L8506">
        <v>136.95699999999999</v>
      </c>
      <c r="M8506">
        <v>0.9981004</v>
      </c>
      <c r="N8506">
        <v>-4.101643E-2</v>
      </c>
      <c r="O8506">
        <v>4.596886E-2</v>
      </c>
      <c r="P8506">
        <v>0.99197210000000002</v>
      </c>
      <c r="Q8506">
        <v>-6.7914169999999996E-2</v>
      </c>
      <c r="R8506">
        <v>0.1066725</v>
      </c>
      <c r="S8506">
        <v>3.0189210000000002</v>
      </c>
      <c r="T8506">
        <v>-0.77317269999999905</v>
      </c>
      <c r="U8506">
        <v>-0.43870540000000002</v>
      </c>
      <c r="V8506">
        <v>-6.0952590000000001E-2</v>
      </c>
      <c r="W8506">
        <v>-2.6941420000000001E-2</v>
      </c>
      <c r="X8506">
        <v>0.99777700000000003</v>
      </c>
      <c r="Y8506">
        <v>0.18144689999999999</v>
      </c>
      <c r="Z8506">
        <v>-3.6245909999999999E-2</v>
      </c>
      <c r="AA8506">
        <v>0.98273250000000001</v>
      </c>
      <c r="AB8506">
        <v>16</v>
      </c>
      <c r="AC8506">
        <v>0.61560000000000004</v>
      </c>
      <c r="AD8506">
        <v>-0.19417960000000001</v>
      </c>
      <c r="AE8506">
        <v>-0.11559999999999999</v>
      </c>
      <c r="AF8506">
        <v>0.13119132628750099</v>
      </c>
      <c r="AG8506">
        <v>-0.19417960000000001</v>
      </c>
      <c r="AH8506">
        <v>0.55617666024530699</v>
      </c>
      <c r="AI8506">
        <v>108.76814714613801</v>
      </c>
      <c r="AJ8506">
        <v>76.727639970649406</v>
      </c>
      <c r="AK8506">
        <v>0.60353074366668102</v>
      </c>
      <c r="AL8506">
        <v>91.5438164591109</v>
      </c>
      <c r="AM8506">
        <v>93.495762728270506</v>
      </c>
      <c r="AN8506">
        <v>1.00000000003416</v>
      </c>
    </row>
    <row r="8507" spans="1:40" x14ac:dyDescent="0.25">
      <c r="A8507" t="str">
        <f>"20190305135127664"</f>
        <v>20190305135127664</v>
      </c>
      <c r="B8507" t="str">
        <f>"1551765087658200"</f>
        <v>1551765087658200</v>
      </c>
      <c r="C8507" t="s">
        <v>40</v>
      </c>
      <c r="D8507">
        <v>3.9418920000000002</v>
      </c>
      <c r="E8507">
        <v>0.59261830000000004</v>
      </c>
      <c r="F8507" t="s">
        <v>41</v>
      </c>
      <c r="G8507">
        <v>-102.99299999999999</v>
      </c>
      <c r="H8507">
        <v>0.92190170000000005</v>
      </c>
      <c r="I8507">
        <v>136.8476</v>
      </c>
      <c r="J8507">
        <v>-103.5835</v>
      </c>
      <c r="K8507">
        <v>1.1127229999999999</v>
      </c>
      <c r="L8507">
        <v>136.96289999999999</v>
      </c>
      <c r="M8507">
        <v>0.99815120000000002</v>
      </c>
      <c r="N8507">
        <v>-4.0937029999999999E-2</v>
      </c>
      <c r="O8507">
        <v>4.492488E-2</v>
      </c>
      <c r="P8507">
        <v>0.99202380000000001</v>
      </c>
      <c r="Q8507">
        <v>-6.770806E-2</v>
      </c>
      <c r="R8507">
        <v>0.1063226</v>
      </c>
      <c r="S8507">
        <v>3.0190579999999998</v>
      </c>
      <c r="T8507">
        <v>-0.76774989999999999</v>
      </c>
      <c r="U8507">
        <v>-0.44030760000000002</v>
      </c>
      <c r="V8507">
        <v>-6.1636940000000001E-2</v>
      </c>
      <c r="W8507">
        <v>-2.682816E-2</v>
      </c>
      <c r="X8507">
        <v>0.99773800000000001</v>
      </c>
      <c r="Y8507">
        <v>0.18106630000000001</v>
      </c>
      <c r="Z8507">
        <v>-3.5731599999999898E-2</v>
      </c>
      <c r="AA8507">
        <v>0.98282159999999996</v>
      </c>
      <c r="AB8507">
        <v>15</v>
      </c>
      <c r="AC8507">
        <v>0.59050000000000502</v>
      </c>
      <c r="AD8507">
        <v>-0.1908213</v>
      </c>
      <c r="AE8507">
        <v>-0.11529999999998999</v>
      </c>
      <c r="AF8507">
        <v>0.128779583264227</v>
      </c>
      <c r="AG8507">
        <v>-0.1908213</v>
      </c>
      <c r="AH8507">
        <v>0.53127641105731505</v>
      </c>
      <c r="AI8507">
        <v>109.242391197589</v>
      </c>
      <c r="AJ8507">
        <v>76.374502298329602</v>
      </c>
      <c r="AK8507">
        <v>0.57900913165971701</v>
      </c>
      <c r="AL8507">
        <v>91.537324808689505</v>
      </c>
      <c r="AM8507">
        <v>93.535050531572693</v>
      </c>
      <c r="AN8507">
        <v>0.99999998959277403</v>
      </c>
    </row>
    <row r="8508" spans="1:40" x14ac:dyDescent="0.25">
      <c r="A8508" t="str">
        <f>"20190305135127686"</f>
        <v>20190305135127686</v>
      </c>
      <c r="B8508" t="str">
        <f>"1551765087678696"</f>
        <v>1551765087678696</v>
      </c>
      <c r="C8508" t="s">
        <v>40</v>
      </c>
      <c r="D8508">
        <v>3.922177</v>
      </c>
      <c r="E8508">
        <v>0.59256609999999998</v>
      </c>
      <c r="F8508" t="s">
        <v>41</v>
      </c>
      <c r="G8508">
        <v>-102.8608</v>
      </c>
      <c r="H8508">
        <v>0.93000329999999998</v>
      </c>
      <c r="I8508">
        <v>136.85759999999999</v>
      </c>
      <c r="J8508">
        <v>-103.4436</v>
      </c>
      <c r="K8508">
        <v>1.112892</v>
      </c>
      <c r="L8508">
        <v>136.96809999999999</v>
      </c>
      <c r="M8508">
        <v>0.99817719999999999</v>
      </c>
      <c r="N8508">
        <v>-4.1223240000000001E-2</v>
      </c>
      <c r="O8508">
        <v>4.4082339999999998E-2</v>
      </c>
      <c r="P8508">
        <v>0.99194850000000001</v>
      </c>
      <c r="Q8508">
        <v>-6.8726659999999995E-2</v>
      </c>
      <c r="R8508">
        <v>0.10637290000000001</v>
      </c>
      <c r="S8508">
        <v>3.0191349999999999</v>
      </c>
      <c r="T8508">
        <v>-0.76334009999999997</v>
      </c>
      <c r="U8508">
        <v>-0.4395752</v>
      </c>
      <c r="V8508">
        <v>-6.2526250000000005E-2</v>
      </c>
      <c r="W8508">
        <v>-2.7575209999999999E-2</v>
      </c>
      <c r="X8508">
        <v>0.9976623</v>
      </c>
      <c r="Y8508">
        <v>0.18013170000000001</v>
      </c>
      <c r="Z8508">
        <v>-3.5246020000000003E-2</v>
      </c>
      <c r="AA8508">
        <v>0.98301079999999996</v>
      </c>
      <c r="AB8508">
        <v>15</v>
      </c>
      <c r="AC8508">
        <v>0.58280000000000598</v>
      </c>
      <c r="AD8508">
        <v>-0.18288869999999899</v>
      </c>
      <c r="AE8508">
        <v>-0.110500000000001</v>
      </c>
      <c r="AF8508">
        <v>0.124290432488849</v>
      </c>
      <c r="AG8508">
        <v>-0.18288869999999899</v>
      </c>
      <c r="AH8508">
        <v>0.52723816496454001</v>
      </c>
      <c r="AI8508">
        <v>108.656022299683</v>
      </c>
      <c r="AJ8508">
        <v>76.7353467903324</v>
      </c>
      <c r="AK8508">
        <v>0.57173111756413197</v>
      </c>
      <c r="AL8508">
        <v>91.580143458845001</v>
      </c>
      <c r="AM8508">
        <v>93.586194178826005</v>
      </c>
      <c r="AN8508">
        <v>0.99999999449344801</v>
      </c>
    </row>
    <row r="8509" spans="1:40" x14ac:dyDescent="0.25">
      <c r="A8509" t="str">
        <f>"20190305135127711"</f>
        <v>20190305135127711</v>
      </c>
      <c r="B8509" t="str">
        <f>"1551765087698215"</f>
        <v>1551765087698215</v>
      </c>
      <c r="C8509" t="s">
        <v>40</v>
      </c>
      <c r="D8509">
        <v>3.9346990000000002</v>
      </c>
      <c r="E8509">
        <v>0.59253719999999999</v>
      </c>
      <c r="F8509" t="s">
        <v>41</v>
      </c>
      <c r="G8509">
        <v>-102.73650000000001</v>
      </c>
      <c r="H8509">
        <v>0.93382759999999998</v>
      </c>
      <c r="I8509">
        <v>136.86529999999999</v>
      </c>
      <c r="J8509">
        <v>-103.2988</v>
      </c>
      <c r="K8509">
        <v>1.1131629999999999</v>
      </c>
      <c r="L8509">
        <v>136.97329999999999</v>
      </c>
      <c r="M8509">
        <v>0.9981816</v>
      </c>
      <c r="N8509">
        <v>-4.1959099999999999E-2</v>
      </c>
      <c r="O8509">
        <v>4.3276540000000002E-2</v>
      </c>
      <c r="P8509">
        <v>0.99178929999999998</v>
      </c>
      <c r="Q8509">
        <v>-7.0331169999999998E-2</v>
      </c>
      <c r="R8509">
        <v>0.1068059</v>
      </c>
      <c r="S8509">
        <v>3.0183719999999998</v>
      </c>
      <c r="T8509">
        <v>-0.76431499999999997</v>
      </c>
      <c r="U8509">
        <v>-0.43827820000000001</v>
      </c>
      <c r="V8509">
        <v>-6.3763890000000004E-2</v>
      </c>
      <c r="W8509">
        <v>-2.8461859999999999E-2</v>
      </c>
      <c r="X8509">
        <v>0.99755910000000003</v>
      </c>
      <c r="Y8509">
        <v>0.17898829999999999</v>
      </c>
      <c r="Z8509">
        <v>-3.4999210000000003E-2</v>
      </c>
      <c r="AA8509">
        <v>0.98322849999999995</v>
      </c>
      <c r="AB8509">
        <v>14</v>
      </c>
      <c r="AC8509">
        <v>0.56229999999999303</v>
      </c>
      <c r="AD8509">
        <v>-0.17933539999999901</v>
      </c>
      <c r="AE8509">
        <v>-0.108000000000004</v>
      </c>
      <c r="AF8509">
        <v>0.120439531075875</v>
      </c>
      <c r="AG8509">
        <v>-0.17933539999999901</v>
      </c>
      <c r="AH8509">
        <v>0.50732625421752997</v>
      </c>
      <c r="AI8509">
        <v>108.979746540389</v>
      </c>
      <c r="AJ8509">
        <v>76.645175571277406</v>
      </c>
      <c r="AK8509">
        <v>0.55140438387568702</v>
      </c>
      <c r="AL8509">
        <v>91.630964650555498</v>
      </c>
      <c r="AM8509">
        <v>93.657365572948095</v>
      </c>
      <c r="AN8509">
        <v>1.0000000345677</v>
      </c>
    </row>
    <row r="8510" spans="1:40" x14ac:dyDescent="0.25">
      <c r="A8510" t="str">
        <f>"20190305135127731"</f>
        <v>20190305135127731</v>
      </c>
      <c r="B8510" t="str">
        <f>"1551765087717736"</f>
        <v>1551765087717736</v>
      </c>
      <c r="C8510" t="s">
        <v>40</v>
      </c>
      <c r="D8510">
        <v>3.9329830000000001</v>
      </c>
      <c r="E8510">
        <v>0.59246880000000002</v>
      </c>
      <c r="F8510" t="s">
        <v>41</v>
      </c>
      <c r="G8510">
        <v>-102.5176</v>
      </c>
      <c r="H8510">
        <v>0.91438869999999906</v>
      </c>
      <c r="I8510">
        <v>136.8605</v>
      </c>
      <c r="J8510">
        <v>-103.19029999999999</v>
      </c>
      <c r="K8510">
        <v>1.1133690000000001</v>
      </c>
      <c r="L8510">
        <v>136.97730000000001</v>
      </c>
      <c r="M8510">
        <v>0.9981776</v>
      </c>
      <c r="N8510">
        <v>-4.2640919999999999E-2</v>
      </c>
      <c r="O8510">
        <v>4.2698180000000002E-2</v>
      </c>
      <c r="P8510">
        <v>0.99172009999999999</v>
      </c>
      <c r="Q8510">
        <v>-7.016646E-2</v>
      </c>
      <c r="R8510">
        <v>0.1075538</v>
      </c>
      <c r="S8510">
        <v>3.017334</v>
      </c>
      <c r="T8510">
        <v>-0.76776099999999903</v>
      </c>
      <c r="U8510">
        <v>-0.43579099999999998</v>
      </c>
      <c r="V8510">
        <v>-6.5085340000000005E-2</v>
      </c>
      <c r="W8510">
        <v>-2.7626890000000001E-2</v>
      </c>
      <c r="X8510">
        <v>0.99749719999999997</v>
      </c>
      <c r="Y8510">
        <v>0.1776567</v>
      </c>
      <c r="Z8510">
        <v>-3.4875040000000003E-2</v>
      </c>
      <c r="AA8510">
        <v>0.98347439999999997</v>
      </c>
      <c r="AB8510">
        <v>13</v>
      </c>
      <c r="AC8510">
        <v>0.67269999999999097</v>
      </c>
      <c r="AD8510">
        <v>-0.1989803</v>
      </c>
      <c r="AE8510">
        <v>-0.11680000000001101</v>
      </c>
      <c r="AF8510">
        <v>0.13405662636749799</v>
      </c>
      <c r="AG8510">
        <v>-0.1989803</v>
      </c>
      <c r="AH8510">
        <v>0.61487068907395204</v>
      </c>
      <c r="AI8510">
        <v>107.54620559699499</v>
      </c>
      <c r="AJ8510">
        <v>77.700610626474202</v>
      </c>
      <c r="AK8510">
        <v>0.66002295652757603</v>
      </c>
      <c r="AL8510">
        <v>91.583105616214496</v>
      </c>
      <c r="AM8510">
        <v>93.733180076694794</v>
      </c>
      <c r="AN8510">
        <v>1.0000000052709099</v>
      </c>
    </row>
    <row r="8511" spans="1:40" x14ac:dyDescent="0.25">
      <c r="A8511" t="str">
        <f>"20190305135127751"</f>
        <v>20190305135127751</v>
      </c>
      <c r="B8511" t="str">
        <f>"1551765087738232"</f>
        <v>1551765087738232</v>
      </c>
      <c r="C8511" t="s">
        <v>40</v>
      </c>
      <c r="D8511">
        <v>3.9310429999999998</v>
      </c>
      <c r="E8511">
        <v>0.59243210000000002</v>
      </c>
      <c r="F8511" t="s">
        <v>41</v>
      </c>
      <c r="G8511">
        <v>-102.4113</v>
      </c>
      <c r="H8511">
        <v>0.91576029999999997</v>
      </c>
      <c r="I8511">
        <v>136.8655</v>
      </c>
      <c r="J8511">
        <v>-103.0806</v>
      </c>
      <c r="K8511">
        <v>1.1134869999999999</v>
      </c>
      <c r="L8511">
        <v>136.9812</v>
      </c>
      <c r="M8511">
        <v>0.99817999999999996</v>
      </c>
      <c r="N8511">
        <v>-4.3174940000000002E-2</v>
      </c>
      <c r="O8511">
        <v>4.2104709999999997E-2</v>
      </c>
      <c r="P8511">
        <v>0.99170029999999998</v>
      </c>
      <c r="Q8511">
        <v>-6.9739079999999995E-2</v>
      </c>
      <c r="R8511">
        <v>0.108014</v>
      </c>
      <c r="S8511">
        <v>3.0178069999999999</v>
      </c>
      <c r="T8511">
        <v>-0.76554350000000004</v>
      </c>
      <c r="U8511">
        <v>-0.43267820000000001</v>
      </c>
      <c r="V8511">
        <v>-6.6134399999999996E-2</v>
      </c>
      <c r="W8511">
        <v>-2.667359E-2</v>
      </c>
      <c r="X8511">
        <v>0.99745419999999996</v>
      </c>
      <c r="Y8511">
        <v>0.17615939999999999</v>
      </c>
      <c r="Z8511">
        <v>-3.446428E-2</v>
      </c>
      <c r="AA8511">
        <v>0.98375820000000003</v>
      </c>
      <c r="AB8511">
        <v>12</v>
      </c>
      <c r="AC8511">
        <v>0.669300000000006</v>
      </c>
      <c r="AD8511">
        <v>-0.19772670000000001</v>
      </c>
      <c r="AE8511">
        <v>-0.11570000000000299</v>
      </c>
      <c r="AF8511">
        <v>0.132569889204878</v>
      </c>
      <c r="AG8511">
        <v>-0.19772670000000001</v>
      </c>
      <c r="AH8511">
        <v>0.611969495927143</v>
      </c>
      <c r="AI8511">
        <v>107.524792786323</v>
      </c>
      <c r="AJ8511">
        <v>77.776979019407193</v>
      </c>
      <c r="AK8511">
        <v>0.65664091203792996</v>
      </c>
      <c r="AL8511">
        <v>91.528465321535506</v>
      </c>
      <c r="AM8511">
        <v>93.793341071637698</v>
      </c>
      <c r="AN8511">
        <v>1.0000000601822401</v>
      </c>
    </row>
    <row r="8512" spans="1:40" x14ac:dyDescent="0.25">
      <c r="A8512" t="str">
        <f>"20190305135127774"</f>
        <v>20190305135127774</v>
      </c>
      <c r="B8512" t="str">
        <f>"1551765087768487"</f>
        <v>1551765087768487</v>
      </c>
      <c r="C8512" t="s">
        <v>40</v>
      </c>
      <c r="D8512">
        <v>3.936185</v>
      </c>
      <c r="E8512">
        <v>0.59242810000000001</v>
      </c>
      <c r="F8512" t="s">
        <v>41</v>
      </c>
      <c r="G8512">
        <v>-102.30800000000001</v>
      </c>
      <c r="H8512">
        <v>0.91855030000000004</v>
      </c>
      <c r="I8512">
        <v>136.8707</v>
      </c>
      <c r="J8512">
        <v>-102.96729999999999</v>
      </c>
      <c r="K8512">
        <v>1.1134059999999999</v>
      </c>
      <c r="L8512">
        <v>136.98519999999999</v>
      </c>
      <c r="M8512">
        <v>0.99821070000000001</v>
      </c>
      <c r="N8512">
        <v>-4.3094649999999998E-2</v>
      </c>
      <c r="O8512">
        <v>4.1452389999999999E-2</v>
      </c>
      <c r="P8512">
        <v>0.99171569999999998</v>
      </c>
      <c r="Q8512">
        <v>-6.8707030000000002E-2</v>
      </c>
      <c r="R8512">
        <v>0.1085344</v>
      </c>
      <c r="S8512">
        <v>3.0185089999999999</v>
      </c>
      <c r="T8512">
        <v>-0.7615693</v>
      </c>
      <c r="U8512">
        <v>-0.43119809999999997</v>
      </c>
      <c r="V8512">
        <v>-6.7303669999999996E-2</v>
      </c>
      <c r="W8512">
        <v>-2.5722700000000001E-2</v>
      </c>
      <c r="X8512">
        <v>0.99740090000000003</v>
      </c>
      <c r="Y8512">
        <v>0.17513889999999999</v>
      </c>
      <c r="Z8512">
        <v>-3.4007700000000002E-2</v>
      </c>
      <c r="AA8512">
        <v>0.98395619999999995</v>
      </c>
      <c r="AB8512">
        <v>12</v>
      </c>
      <c r="AC8512">
        <v>0.659300000000001</v>
      </c>
      <c r="AD8512">
        <v>-0.19485569999999899</v>
      </c>
      <c r="AE8512">
        <v>-0.114499999999992</v>
      </c>
      <c r="AF8512">
        <v>0.13067608507977799</v>
      </c>
      <c r="AG8512">
        <v>-0.19485569999999899</v>
      </c>
      <c r="AH8512">
        <v>0.60286353297857798</v>
      </c>
      <c r="AI8512">
        <v>107.53035493677601</v>
      </c>
      <c r="AJ8512">
        <v>77.769825366027106</v>
      </c>
      <c r="AK8512">
        <v>0.64690758414914296</v>
      </c>
      <c r="AL8512">
        <v>91.473964723912999</v>
      </c>
      <c r="AM8512">
        <v>93.860412780107097</v>
      </c>
      <c r="AN8512">
        <v>0.99999999830578401</v>
      </c>
    </row>
    <row r="8513" spans="1:40" x14ac:dyDescent="0.25">
      <c r="A8513" t="str">
        <f>"20190305135127795"</f>
        <v>20190305135127795</v>
      </c>
      <c r="B8513" t="str">
        <f>"1551765087788008"</f>
        <v>1551765087788008</v>
      </c>
      <c r="C8513" t="s">
        <v>40</v>
      </c>
      <c r="D8513">
        <v>3.922139</v>
      </c>
      <c r="E8513">
        <v>0.59254090000000004</v>
      </c>
      <c r="F8513" t="s">
        <v>41</v>
      </c>
      <c r="G8513">
        <v>-102.20650000000001</v>
      </c>
      <c r="H8513">
        <v>0.92307450000000002</v>
      </c>
      <c r="I8513">
        <v>136.8768</v>
      </c>
      <c r="J8513">
        <v>-102.85639999999999</v>
      </c>
      <c r="K8513">
        <v>1.113162</v>
      </c>
      <c r="L8513">
        <v>136.9889</v>
      </c>
      <c r="M8513">
        <v>0.99826720000000002</v>
      </c>
      <c r="N8513">
        <v>-4.2415340000000003E-2</v>
      </c>
      <c r="O8513">
        <v>4.0788089999999999E-2</v>
      </c>
      <c r="P8513">
        <v>0.99181520000000001</v>
      </c>
      <c r="Q8513">
        <v>-6.7436670000000004E-2</v>
      </c>
      <c r="R8513">
        <v>0.1084222</v>
      </c>
      <c r="S8513">
        <v>3.019714</v>
      </c>
      <c r="T8513">
        <v>-0.75547390000000003</v>
      </c>
      <c r="U8513">
        <v>-0.4295197</v>
      </c>
      <c r="V8513">
        <v>-6.7852590000000004E-2</v>
      </c>
      <c r="W8513">
        <v>-2.5125499999999999E-2</v>
      </c>
      <c r="X8513">
        <v>0.99737889999999996</v>
      </c>
      <c r="Y8513">
        <v>0.1740679</v>
      </c>
      <c r="Z8513">
        <v>-3.342411E-2</v>
      </c>
      <c r="AA8513">
        <v>0.98416630000000005</v>
      </c>
      <c r="AB8513">
        <v>11</v>
      </c>
      <c r="AC8513">
        <v>0.64989999999998804</v>
      </c>
      <c r="AD8513">
        <v>-0.19008749999999899</v>
      </c>
      <c r="AE8513">
        <v>-0.11209999999999801</v>
      </c>
      <c r="AF8513">
        <v>0.12791203794332001</v>
      </c>
      <c r="AG8513">
        <v>-0.19008749999999899</v>
      </c>
      <c r="AH8513">
        <v>0.59532393965692798</v>
      </c>
      <c r="AI8513">
        <v>107.33713087801</v>
      </c>
      <c r="AJ8513">
        <v>77.873719318085904</v>
      </c>
      <c r="AK8513">
        <v>0.63789132321713704</v>
      </c>
      <c r="AL8513">
        <v>91.439736664211793</v>
      </c>
      <c r="AM8513">
        <v>93.891887022325704</v>
      </c>
      <c r="AN8513">
        <v>0.99999996744258302</v>
      </c>
    </row>
    <row r="8514" spans="1:40" x14ac:dyDescent="0.25">
      <c r="A8514" t="str">
        <f>"20190305135127818"</f>
        <v>20190305135127818</v>
      </c>
      <c r="B8514" t="str">
        <f>"1551765087808504"</f>
        <v>1551765087808504</v>
      </c>
      <c r="C8514" t="s">
        <v>40</v>
      </c>
      <c r="D8514">
        <v>3.9252959999999999</v>
      </c>
      <c r="E8514">
        <v>0.59257729999999997</v>
      </c>
      <c r="F8514" t="s">
        <v>41</v>
      </c>
      <c r="G8514">
        <v>-102.1086</v>
      </c>
      <c r="H8514">
        <v>0.92746090000000003</v>
      </c>
      <c r="I8514">
        <v>136.88229999999999</v>
      </c>
      <c r="J8514">
        <v>-102.7527</v>
      </c>
      <c r="K8514">
        <v>1.1129770000000001</v>
      </c>
      <c r="L8514">
        <v>136.9924</v>
      </c>
      <c r="M8514">
        <v>0.99831979999999998</v>
      </c>
      <c r="N8514">
        <v>-4.1775729999999997E-2</v>
      </c>
      <c r="O8514">
        <v>4.0156440000000002E-2</v>
      </c>
      <c r="P8514">
        <v>0.99189099999999997</v>
      </c>
      <c r="Q8514">
        <v>-6.705084E-2</v>
      </c>
      <c r="R8514">
        <v>0.10796650000000001</v>
      </c>
      <c r="S8514">
        <v>3.0208439999999999</v>
      </c>
      <c r="T8514">
        <v>-0.75009199999999998</v>
      </c>
      <c r="U8514">
        <v>-0.43090820000000002</v>
      </c>
      <c r="V8514">
        <v>-6.8025749999999996E-2</v>
      </c>
      <c r="W8514">
        <v>-2.5376010000000001E-2</v>
      </c>
      <c r="X8514">
        <v>0.99736080000000005</v>
      </c>
      <c r="Y8514">
        <v>0.17396249999999999</v>
      </c>
      <c r="Z8514">
        <v>-3.3019689999999997E-2</v>
      </c>
      <c r="AA8514">
        <v>0.98419849999999998</v>
      </c>
      <c r="AB8514">
        <v>11</v>
      </c>
      <c r="AC8514">
        <v>0.644100000000008</v>
      </c>
      <c r="AD8514">
        <v>-0.18551609999999999</v>
      </c>
      <c r="AE8514">
        <v>-0.110100000000016</v>
      </c>
      <c r="AF8514">
        <v>0.12576168691247999</v>
      </c>
      <c r="AG8514">
        <v>-0.18551609999999999</v>
      </c>
      <c r="AH8514">
        <v>0.59147970841653696</v>
      </c>
      <c r="AI8514">
        <v>107.05545859277299</v>
      </c>
      <c r="AJ8514">
        <v>77.996404593238196</v>
      </c>
      <c r="AK8514">
        <v>0.63251914652664398</v>
      </c>
      <c r="AL8514">
        <v>91.454094353858196</v>
      </c>
      <c r="AM8514">
        <v>93.901859080135097</v>
      </c>
      <c r="AN8514">
        <v>1.00000000496161</v>
      </c>
    </row>
    <row r="8515" spans="1:40" x14ac:dyDescent="0.25">
      <c r="A8515" t="str">
        <f>"20190305135127840"</f>
        <v>20190305135127840</v>
      </c>
      <c r="B8515" t="str">
        <f>"1551765087828024"</f>
        <v>1551765087828024</v>
      </c>
      <c r="C8515" t="s">
        <v>40</v>
      </c>
      <c r="D8515">
        <v>3.9142160000000001</v>
      </c>
      <c r="E8515">
        <v>0.59264530000000004</v>
      </c>
      <c r="F8515" t="s">
        <v>41</v>
      </c>
      <c r="G8515">
        <v>-102.0155</v>
      </c>
      <c r="H8515">
        <v>0.93072880000000002</v>
      </c>
      <c r="I8515">
        <v>136.88659999999999</v>
      </c>
      <c r="J8515">
        <v>-102.65389999999999</v>
      </c>
      <c r="K8515">
        <v>1.1129249999999999</v>
      </c>
      <c r="L8515">
        <v>136.99549999999999</v>
      </c>
      <c r="M8515">
        <v>0.998359</v>
      </c>
      <c r="N8515">
        <v>-4.1419879999999999E-2</v>
      </c>
      <c r="O8515">
        <v>3.9545450000000003E-2</v>
      </c>
      <c r="P8515">
        <v>0.99194789999999999</v>
      </c>
      <c r="Q8515">
        <v>-6.7412199999999894E-2</v>
      </c>
      <c r="R8515">
        <v>0.10721509999999999</v>
      </c>
      <c r="S8515">
        <v>3.0211489999999999</v>
      </c>
      <c r="T8515">
        <v>-0.74691819999999998</v>
      </c>
      <c r="U8515">
        <v>-0.43301390000000001</v>
      </c>
      <c r="V8515">
        <v>-6.7881819999999995E-2</v>
      </c>
      <c r="W8515">
        <v>-2.6095489999999999E-2</v>
      </c>
      <c r="X8515">
        <v>0.99735209999999996</v>
      </c>
      <c r="Y8515">
        <v>0.17408889999999999</v>
      </c>
      <c r="Z8515">
        <v>-3.2764649999999999E-2</v>
      </c>
      <c r="AA8515">
        <v>0.98418470000000002</v>
      </c>
      <c r="AB8515">
        <v>11</v>
      </c>
      <c r="AC8515">
        <v>0.63839999999998998</v>
      </c>
      <c r="AD8515">
        <v>-0.182196199999999</v>
      </c>
      <c r="AE8515">
        <v>-0.10890000000000501</v>
      </c>
      <c r="AF8515">
        <v>0.124248255963406</v>
      </c>
      <c r="AG8515">
        <v>-0.182196199999999</v>
      </c>
      <c r="AH8515">
        <v>0.587120578095645</v>
      </c>
      <c r="AI8515">
        <v>106.888177120017</v>
      </c>
      <c r="AJ8515">
        <v>78.051183121639895</v>
      </c>
      <c r="AK8515">
        <v>0.62717115497107501</v>
      </c>
      <c r="AL8515">
        <v>91.495331092522903</v>
      </c>
      <c r="AM8515">
        <v>93.893662742789104</v>
      </c>
      <c r="AN8515">
        <v>1.00000006372962</v>
      </c>
    </row>
    <row r="8516" spans="1:40" x14ac:dyDescent="0.25">
      <c r="A8516" t="str">
        <f>"20190305135127863"</f>
        <v>20190305135127863</v>
      </c>
      <c r="B8516" t="str">
        <f>"1551765087858280"</f>
        <v>1551765087858280</v>
      </c>
      <c r="C8516" t="s">
        <v>40</v>
      </c>
      <c r="D8516">
        <v>3.8733399999999998</v>
      </c>
      <c r="E8516">
        <v>0.59269280000000002</v>
      </c>
      <c r="F8516" t="s">
        <v>41</v>
      </c>
      <c r="G8516">
        <v>-101.92740000000001</v>
      </c>
      <c r="H8516">
        <v>0.93343640000000005</v>
      </c>
      <c r="I8516">
        <v>136.89060000000001</v>
      </c>
      <c r="J8516">
        <v>-102.5577</v>
      </c>
      <c r="K8516">
        <v>1.1129560000000001</v>
      </c>
      <c r="L8516">
        <v>136.99860000000001</v>
      </c>
      <c r="M8516">
        <v>0.99838930000000004</v>
      </c>
      <c r="N8516">
        <v>-4.1258860000000001E-2</v>
      </c>
      <c r="O8516">
        <v>3.8942289999999997E-2</v>
      </c>
      <c r="P8516">
        <v>0.99185690000000004</v>
      </c>
      <c r="Q8516">
        <v>-6.8996489999999994E-2</v>
      </c>
      <c r="R8516">
        <v>0.10704900000000001</v>
      </c>
      <c r="S8516">
        <v>3.0207820000000001</v>
      </c>
      <c r="T8516">
        <v>-0.74626159999999997</v>
      </c>
      <c r="U8516">
        <v>-0.4362183</v>
      </c>
      <c r="V8516">
        <v>-6.8319420000000006E-2</v>
      </c>
      <c r="W8516">
        <v>-2.785089E-2</v>
      </c>
      <c r="X8516">
        <v>0.99727469999999996</v>
      </c>
      <c r="Y8516">
        <v>0.174543899999999</v>
      </c>
      <c r="Z8516">
        <v>-3.2674969999999998E-2</v>
      </c>
      <c r="AA8516">
        <v>0.98410710000000001</v>
      </c>
      <c r="AB8516">
        <v>10</v>
      </c>
      <c r="AC8516">
        <v>0.63029999999999098</v>
      </c>
      <c r="AD8516">
        <v>-0.1795196</v>
      </c>
      <c r="AE8516">
        <v>-0.108000000000004</v>
      </c>
      <c r="AF8516">
        <v>0.122806253378817</v>
      </c>
      <c r="AG8516">
        <v>-0.1795196</v>
      </c>
      <c r="AH8516">
        <v>0.57991098240854</v>
      </c>
      <c r="AI8516">
        <v>106.84882434441801</v>
      </c>
      <c r="AJ8516">
        <v>78.043266847690901</v>
      </c>
      <c r="AK8516">
        <v>0.61935887026112701</v>
      </c>
      <c r="AL8516">
        <v>91.595944785774194</v>
      </c>
      <c r="AM8516">
        <v>93.918988465148701</v>
      </c>
      <c r="AN8516">
        <v>1.0000000212414999</v>
      </c>
    </row>
    <row r="8517" spans="1:40" x14ac:dyDescent="0.25">
      <c r="A8517" t="str">
        <f>"20190305135127893"</f>
        <v>20190305135127893</v>
      </c>
      <c r="B8517" t="str">
        <f>"1551765087888536"</f>
        <v>1551765087888536</v>
      </c>
      <c r="C8517" t="s">
        <v>40</v>
      </c>
      <c r="D8517">
        <v>3.9092449999999999</v>
      </c>
      <c r="E8517">
        <v>0.59282519999999905</v>
      </c>
      <c r="F8517" t="s">
        <v>41</v>
      </c>
      <c r="G8517">
        <v>-101.8439</v>
      </c>
      <c r="H8517">
        <v>0.93599509999999997</v>
      </c>
      <c r="I8517">
        <v>136.89510000000001</v>
      </c>
      <c r="J8517">
        <v>-102.44119999999999</v>
      </c>
      <c r="K8517">
        <v>1.1130089999999999</v>
      </c>
      <c r="L8517">
        <v>137.00229999999999</v>
      </c>
      <c r="M8517">
        <v>0.9984246</v>
      </c>
      <c r="N8517">
        <v>-4.1052579999999998E-2</v>
      </c>
      <c r="O8517">
        <v>3.8249440000000003E-2</v>
      </c>
      <c r="P8517">
        <v>0.99169359999999995</v>
      </c>
      <c r="Q8517">
        <v>-7.0725999999999997E-2</v>
      </c>
      <c r="R8517">
        <v>0.10743270000000001</v>
      </c>
      <c r="S8517">
        <v>3.0197910000000001</v>
      </c>
      <c r="T8517">
        <v>-0.74873509999999999</v>
      </c>
      <c r="U8517">
        <v>-0.43774410000000002</v>
      </c>
      <c r="V8517">
        <v>-6.9395899999999996E-2</v>
      </c>
      <c r="W8517">
        <v>-2.9802430000000001E-2</v>
      </c>
      <c r="X8517">
        <v>0.99714389999999997</v>
      </c>
      <c r="Y8517">
        <v>0.17437049999999901</v>
      </c>
      <c r="Z8517">
        <v>-3.2606940000000001E-2</v>
      </c>
      <c r="AA8517">
        <v>0.98414009999999996</v>
      </c>
      <c r="AB8517">
        <v>10</v>
      </c>
      <c r="AC8517">
        <v>0.59729999999998995</v>
      </c>
      <c r="AD8517">
        <v>-0.1770139</v>
      </c>
      <c r="AE8517">
        <v>-0.10719999999997699</v>
      </c>
      <c r="AF8517">
        <v>0.11979420462790399</v>
      </c>
      <c r="AG8517">
        <v>-0.1770139</v>
      </c>
      <c r="AH8517">
        <v>0.54627747354352396</v>
      </c>
      <c r="AI8517">
        <v>107.56338776132699</v>
      </c>
      <c r="AJ8517">
        <v>77.631287417433398</v>
      </c>
      <c r="AK8517">
        <v>0.58660348648532401</v>
      </c>
      <c r="AL8517">
        <v>91.707806386991606</v>
      </c>
      <c r="AM8517">
        <v>93.981061794442994</v>
      </c>
      <c r="AN8517">
        <v>0.99999996653896095</v>
      </c>
    </row>
    <row r="8518" spans="1:40" x14ac:dyDescent="0.25">
      <c r="A8518" t="str">
        <f>"20190305135127915"</f>
        <v>20190305135127915</v>
      </c>
      <c r="B8518" t="str">
        <f>"1551765087908056"</f>
        <v>1551765087908056</v>
      </c>
      <c r="C8518" t="s">
        <v>40</v>
      </c>
      <c r="D8518">
        <v>3.911416</v>
      </c>
      <c r="E8518">
        <v>0.59291300000000002</v>
      </c>
      <c r="F8518" t="s">
        <v>41</v>
      </c>
      <c r="G8518">
        <v>-101.69540000000001</v>
      </c>
      <c r="H8518">
        <v>0.92762029999999995</v>
      </c>
      <c r="I8518">
        <v>136.8939</v>
      </c>
      <c r="J8518">
        <v>-102.36</v>
      </c>
      <c r="K8518">
        <v>1.113027</v>
      </c>
      <c r="L8518">
        <v>137.005</v>
      </c>
      <c r="M8518">
        <v>0.99845050000000002</v>
      </c>
      <c r="N8518">
        <v>-4.07975E-2</v>
      </c>
      <c r="O8518">
        <v>3.7849340000000002E-2</v>
      </c>
      <c r="P8518">
        <v>0.99153709999999995</v>
      </c>
      <c r="Q8518">
        <v>-7.1834460000000003E-2</v>
      </c>
      <c r="R8518">
        <v>0.1081411</v>
      </c>
      <c r="S8518">
        <v>3.0191189999999999</v>
      </c>
      <c r="T8518">
        <v>-0.75055360000000004</v>
      </c>
      <c r="U8518">
        <v>-0.43865969999999999</v>
      </c>
      <c r="V8518">
        <v>-7.0505999999999999E-2</v>
      </c>
      <c r="W8518">
        <v>-3.1177969999999999E-2</v>
      </c>
      <c r="X8518">
        <v>0.99702400000000002</v>
      </c>
      <c r="Y8518">
        <v>0.174280399999999</v>
      </c>
      <c r="Z8518">
        <v>-3.2577670000000003E-2</v>
      </c>
      <c r="AA8518">
        <v>0.98415699999999995</v>
      </c>
      <c r="AB8518">
        <v>9</v>
      </c>
      <c r="AC8518">
        <v>0.66459999999999297</v>
      </c>
      <c r="AD8518">
        <v>-0.18540669999999901</v>
      </c>
      <c r="AE8518">
        <v>-0.111099999999993</v>
      </c>
      <c r="AF8518">
        <v>0.12661008289796499</v>
      </c>
      <c r="AG8518">
        <v>-0.18540669999999901</v>
      </c>
      <c r="AH8518">
        <v>0.61346801882058</v>
      </c>
      <c r="AI8518">
        <v>106.488182371015</v>
      </c>
      <c r="AJ8518">
        <v>78.338786352471402</v>
      </c>
      <c r="AK8518">
        <v>0.65326010716403604</v>
      </c>
      <c r="AL8518">
        <v>91.7866556158923</v>
      </c>
      <c r="AM8518">
        <v>94.045020417634007</v>
      </c>
      <c r="AN8518">
        <v>1.00000000921266</v>
      </c>
    </row>
    <row r="8519" spans="1:40" x14ac:dyDescent="0.25">
      <c r="A8519" t="str">
        <f>"20190305135127935"</f>
        <v>20190305135127935</v>
      </c>
      <c r="B8519" t="str">
        <f>"1551765087928552"</f>
        <v>1551765087928552</v>
      </c>
      <c r="C8519" t="s">
        <v>40</v>
      </c>
      <c r="D8519">
        <v>3.8992629999999999</v>
      </c>
      <c r="E8519">
        <v>0.59307430000000005</v>
      </c>
      <c r="F8519" t="s">
        <v>41</v>
      </c>
      <c r="G8519">
        <v>-101.62430000000001</v>
      </c>
      <c r="H8519">
        <v>0.92987660000000005</v>
      </c>
      <c r="I8519">
        <v>136.8981</v>
      </c>
      <c r="J8519">
        <v>-102.2886</v>
      </c>
      <c r="K8519">
        <v>1.113046</v>
      </c>
      <c r="L8519">
        <v>137.00729999999999</v>
      </c>
      <c r="M8519">
        <v>0.99847129999999995</v>
      </c>
      <c r="N8519">
        <v>-4.0542960000000003E-2</v>
      </c>
      <c r="O8519">
        <v>3.757112E-2</v>
      </c>
      <c r="P8519">
        <v>0.99135779999999996</v>
      </c>
      <c r="Q8519">
        <v>-7.2099330000000003E-2</v>
      </c>
      <c r="R8519">
        <v>0.10959720000000001</v>
      </c>
      <c r="S8519">
        <v>3.0189509999999999</v>
      </c>
      <c r="T8519">
        <v>-0.75153630000000005</v>
      </c>
      <c r="U8519">
        <v>-0.43817139999999999</v>
      </c>
      <c r="V8519">
        <v>-7.2242799999999996E-2</v>
      </c>
      <c r="W8519">
        <v>-3.1708890000000003E-2</v>
      </c>
      <c r="X8519">
        <v>0.99688290000000002</v>
      </c>
      <c r="Y8519">
        <v>0.17386409999999999</v>
      </c>
      <c r="Z8519">
        <v>-3.2488959999999997E-2</v>
      </c>
      <c r="AA8519">
        <v>0.98423360000000004</v>
      </c>
      <c r="AB8519">
        <v>8</v>
      </c>
      <c r="AC8519">
        <v>0.664299999999997</v>
      </c>
      <c r="AD8519">
        <v>-0.18316940000000001</v>
      </c>
      <c r="AE8519">
        <v>-0.109199999999987</v>
      </c>
      <c r="AF8519">
        <v>0.124858726890011</v>
      </c>
      <c r="AG8519">
        <v>-0.18316940000000001</v>
      </c>
      <c r="AH8519">
        <v>0.61425204344854301</v>
      </c>
      <c r="AI8519">
        <v>106.289581265907</v>
      </c>
      <c r="AJ8519">
        <v>78.510055798945501</v>
      </c>
      <c r="AK8519">
        <v>0.65302856266603404</v>
      </c>
      <c r="AL8519">
        <v>91.817090163957005</v>
      </c>
      <c r="AM8519">
        <v>94.144904394256798</v>
      </c>
      <c r="AN8519">
        <v>0.99999999608464096</v>
      </c>
    </row>
    <row r="8520" spans="1:40" x14ac:dyDescent="0.25">
      <c r="A8520" t="str">
        <f>"20190305135127954"</f>
        <v>20190305135127954</v>
      </c>
      <c r="B8520" t="str">
        <f>"1551765087948071"</f>
        <v>1551765087948071</v>
      </c>
      <c r="C8520" t="s">
        <v>40</v>
      </c>
      <c r="D8520">
        <v>3.9136479999999998</v>
      </c>
      <c r="E8520">
        <v>0.59332159999999901</v>
      </c>
      <c r="F8520" t="s">
        <v>41</v>
      </c>
      <c r="G8520">
        <v>-101.5575</v>
      </c>
      <c r="H8520">
        <v>0.93132340000000002</v>
      </c>
      <c r="I8520">
        <v>136.90170000000001</v>
      </c>
      <c r="J8520">
        <v>-102.22629999999999</v>
      </c>
      <c r="K8520">
        <v>1.113073</v>
      </c>
      <c r="L8520">
        <v>137.0094</v>
      </c>
      <c r="M8520">
        <v>0.99848630000000005</v>
      </c>
      <c r="N8520">
        <v>-4.0341130000000003E-2</v>
      </c>
      <c r="O8520">
        <v>3.7384319999999999E-2</v>
      </c>
      <c r="P8520">
        <v>0.99122359999999998</v>
      </c>
      <c r="Q8520">
        <v>-7.1376499999999996E-2</v>
      </c>
      <c r="R8520">
        <v>0.1112703</v>
      </c>
      <c r="S8520">
        <v>3.019714</v>
      </c>
      <c r="T8520">
        <v>-0.75065349999999997</v>
      </c>
      <c r="U8520">
        <v>-0.43556210000000001</v>
      </c>
      <c r="V8520">
        <v>-7.4103440000000007E-2</v>
      </c>
      <c r="W8520">
        <v>-3.1197699999999998E-2</v>
      </c>
      <c r="X8520">
        <v>0.9967625</v>
      </c>
      <c r="Y8520">
        <v>0.17287060000000001</v>
      </c>
      <c r="Z8520">
        <v>-3.2257960000000002E-2</v>
      </c>
      <c r="AA8520">
        <v>0.98441619999999996</v>
      </c>
      <c r="AB8520">
        <v>8</v>
      </c>
      <c r="AC8520">
        <v>0.66879999999998996</v>
      </c>
      <c r="AD8520">
        <v>-0.18174960000000001</v>
      </c>
      <c r="AE8520">
        <v>-0.10769999999999399</v>
      </c>
      <c r="AF8520">
        <v>0.123740279433807</v>
      </c>
      <c r="AG8520">
        <v>-0.18174960000000001</v>
      </c>
      <c r="AH8520">
        <v>0.61969411153666298</v>
      </c>
      <c r="AI8520">
        <v>106.045840934643</v>
      </c>
      <c r="AJ8520">
        <v>78.707719487506296</v>
      </c>
      <c r="AK8520">
        <v>0.65754495338929597</v>
      </c>
      <c r="AL8520">
        <v>91.787786540898395</v>
      </c>
      <c r="AM8520">
        <v>94.2517830701549</v>
      </c>
      <c r="AN8520">
        <v>1.0000000488556799</v>
      </c>
    </row>
    <row r="8521" spans="1:40" x14ac:dyDescent="0.25">
      <c r="A8521" t="str">
        <f>"20190305135127975"</f>
        <v>20190305135127975</v>
      </c>
      <c r="B8521" t="str">
        <f>"1551765087968568"</f>
        <v>1551765087968568</v>
      </c>
      <c r="C8521" t="s">
        <v>40</v>
      </c>
      <c r="D8521">
        <v>4.105836</v>
      </c>
      <c r="E8521">
        <v>0.59323199999999998</v>
      </c>
      <c r="F8521" t="s">
        <v>41</v>
      </c>
      <c r="G8521">
        <v>-101.4952</v>
      </c>
      <c r="H8521">
        <v>0.93234220000000001</v>
      </c>
      <c r="I8521">
        <v>136.90469999999999</v>
      </c>
      <c r="J8521">
        <v>-102.1626</v>
      </c>
      <c r="K8521">
        <v>1.1130310000000001</v>
      </c>
      <c r="L8521">
        <v>137.01159999999999</v>
      </c>
      <c r="M8521">
        <v>0.9985115</v>
      </c>
      <c r="N8521">
        <v>-3.9839909999999999E-2</v>
      </c>
      <c r="O8521">
        <v>3.7251949999999999E-2</v>
      </c>
      <c r="P8521">
        <v>0.99118859999999998</v>
      </c>
      <c r="Q8521">
        <v>-7.0161630000000003E-2</v>
      </c>
      <c r="R8521">
        <v>0.1123504</v>
      </c>
      <c r="S8521">
        <v>3.0213320000000001</v>
      </c>
      <c r="T8521">
        <v>-0.74692360000000002</v>
      </c>
      <c r="U8521">
        <v>-0.43269350000000001</v>
      </c>
      <c r="V8521">
        <v>-7.531417E-2</v>
      </c>
      <c r="W8521">
        <v>-3.049056E-2</v>
      </c>
      <c r="X8521">
        <v>0.99669359999999996</v>
      </c>
      <c r="Y8521">
        <v>0.17186370000000001</v>
      </c>
      <c r="Z8521">
        <v>-3.190221E-2</v>
      </c>
      <c r="AA8521">
        <v>0.98460409999999998</v>
      </c>
      <c r="AB8521">
        <v>7</v>
      </c>
      <c r="AC8521">
        <v>0.66739999999999999</v>
      </c>
      <c r="AD8521">
        <v>-0.18068880000000001</v>
      </c>
      <c r="AE8521">
        <v>-0.106899999999996</v>
      </c>
      <c r="AF8521">
        <v>0.12292280801350999</v>
      </c>
      <c r="AG8521">
        <v>-0.18068880000000001</v>
      </c>
      <c r="AH8521">
        <v>0.61873334858296702</v>
      </c>
      <c r="AI8521">
        <v>105.983420036303</v>
      </c>
      <c r="AJ8521">
        <v>78.763443024992299</v>
      </c>
      <c r="AK8521">
        <v>0.65619312387745798</v>
      </c>
      <c r="AL8521">
        <v>91.7472511765543</v>
      </c>
      <c r="AM8521">
        <v>94.321286885874898</v>
      </c>
      <c r="AN8521">
        <v>1.0000000153664299</v>
      </c>
    </row>
    <row r="8522" spans="1:40" x14ac:dyDescent="0.25">
      <c r="A8522" t="str">
        <f>"20190305135127996"</f>
        <v>20190305135127996</v>
      </c>
      <c r="B8522" t="str">
        <f>"1551765087988088"</f>
        <v>1551765087988088</v>
      </c>
      <c r="C8522" t="s">
        <v>40</v>
      </c>
      <c r="D8522">
        <v>4.1234440000000001</v>
      </c>
      <c r="E8522">
        <v>0.59315649999999998</v>
      </c>
      <c r="F8522" t="s">
        <v>41</v>
      </c>
      <c r="G8522">
        <v>-101.4324</v>
      </c>
      <c r="H8522">
        <v>0.933446</v>
      </c>
      <c r="I8522">
        <v>136.90790000000001</v>
      </c>
      <c r="J8522">
        <v>-102.0954</v>
      </c>
      <c r="K8522">
        <v>1.1126830000000001</v>
      </c>
      <c r="L8522">
        <v>137.01390000000001</v>
      </c>
      <c r="M8522">
        <v>0.99858100000000005</v>
      </c>
      <c r="N8522">
        <v>-3.8127359999999999E-2</v>
      </c>
      <c r="O8522">
        <v>3.7181770000000003E-2</v>
      </c>
      <c r="P8522">
        <v>0.99128799999999995</v>
      </c>
      <c r="Q8522">
        <v>-6.7724880000000001E-2</v>
      </c>
      <c r="R8522">
        <v>0.1129672</v>
      </c>
      <c r="S8522">
        <v>3.0226440000000001</v>
      </c>
      <c r="T8522">
        <v>-0.74334990000000001</v>
      </c>
      <c r="U8522">
        <v>-0.42871090000000001</v>
      </c>
      <c r="V8522">
        <v>-7.5996869999999994E-2</v>
      </c>
      <c r="W8522">
        <v>-2.976471E-2</v>
      </c>
      <c r="X8522">
        <v>0.99666370000000004</v>
      </c>
      <c r="Y8522">
        <v>0.17059389999999999</v>
      </c>
      <c r="Z8522">
        <v>-3.147225E-2</v>
      </c>
      <c r="AA8522">
        <v>0.98483869999999896</v>
      </c>
      <c r="AB8522">
        <v>7</v>
      </c>
      <c r="AC8522">
        <v>0.66299999999999604</v>
      </c>
      <c r="AD8522">
        <v>-0.17923700000000001</v>
      </c>
      <c r="AE8522">
        <v>-0.105999999999994</v>
      </c>
      <c r="AF8522">
        <v>0.121908433975324</v>
      </c>
      <c r="AG8522">
        <v>-0.17923700000000001</v>
      </c>
      <c r="AH8522">
        <v>0.61478506445154302</v>
      </c>
      <c r="AI8522">
        <v>105.959257968069</v>
      </c>
      <c r="AJ8522">
        <v>78.784063486031599</v>
      </c>
      <c r="AK8522">
        <v>0.65188054420729902</v>
      </c>
      <c r="AL8522">
        <v>91.705644179710006</v>
      </c>
      <c r="AM8522">
        <v>94.360437950138305</v>
      </c>
      <c r="AN8522">
        <v>0.99999999655443506</v>
      </c>
    </row>
    <row r="8523" spans="1:40" x14ac:dyDescent="0.25">
      <c r="A8523" t="str">
        <f>"20190305135128019"</f>
        <v>20190305135128019</v>
      </c>
      <c r="B8523" t="str">
        <f>"1551765088008584"</f>
        <v>1551765088008584</v>
      </c>
      <c r="C8523" t="s">
        <v>40</v>
      </c>
      <c r="D8523">
        <v>4.1026800000000003</v>
      </c>
      <c r="E8523">
        <v>0.59296210000000005</v>
      </c>
      <c r="F8523" t="s">
        <v>41</v>
      </c>
      <c r="G8523">
        <v>-101.369</v>
      </c>
      <c r="H8523">
        <v>0.93579380000000001</v>
      </c>
      <c r="I8523">
        <v>136.9117</v>
      </c>
      <c r="J8523">
        <v>-102.0269</v>
      </c>
      <c r="K8523">
        <v>1.112328</v>
      </c>
      <c r="L8523">
        <v>137.0164</v>
      </c>
      <c r="M8523">
        <v>0.99865550000000003</v>
      </c>
      <c r="N8523">
        <v>-3.6142359999999998E-2</v>
      </c>
      <c r="O8523">
        <v>3.7162830000000001E-2</v>
      </c>
      <c r="P8523">
        <v>0.99134599999999995</v>
      </c>
      <c r="Q8523">
        <v>-6.5726530000000005E-2</v>
      </c>
      <c r="R8523">
        <v>0.11363669999999999</v>
      </c>
      <c r="S8523">
        <v>3.0245669999999998</v>
      </c>
      <c r="T8523">
        <v>-0.736533199999999</v>
      </c>
      <c r="U8523">
        <v>-0.42565920000000002</v>
      </c>
      <c r="V8523">
        <v>-7.6684089999999996E-2</v>
      </c>
      <c r="W8523">
        <v>-2.974926E-2</v>
      </c>
      <c r="X8523">
        <v>0.99661149999999998</v>
      </c>
      <c r="Y8523">
        <v>0.16968949999999999</v>
      </c>
      <c r="Z8523">
        <v>-3.096202E-2</v>
      </c>
      <c r="AA8523">
        <v>0.98501110000000003</v>
      </c>
      <c r="AB8523">
        <v>7</v>
      </c>
      <c r="AC8523">
        <v>0.65789999999999704</v>
      </c>
      <c r="AD8523">
        <v>-0.176534199999999</v>
      </c>
      <c r="AE8523">
        <v>-0.104700000000008</v>
      </c>
      <c r="AF8523">
        <v>0.120622580013222</v>
      </c>
      <c r="AG8523">
        <v>-0.176534199999999</v>
      </c>
      <c r="AH8523">
        <v>0.61066881007723295</v>
      </c>
      <c r="AI8523">
        <v>105.833534308484</v>
      </c>
      <c r="AJ8523">
        <v>78.826464970129194</v>
      </c>
      <c r="AK8523">
        <v>0.647016635164684</v>
      </c>
      <c r="AL8523">
        <v>91.704758604434801</v>
      </c>
      <c r="AM8523">
        <v>94.399943669730703</v>
      </c>
      <c r="AN8523">
        <v>0.99999997503096205</v>
      </c>
    </row>
    <row r="8524" spans="1:40" x14ac:dyDescent="0.25">
      <c r="A8524" t="str">
        <f>"20190305135128042"</f>
        <v>20190305135128042</v>
      </c>
      <c r="B8524" t="str">
        <f>"1551765088028104"</f>
        <v>1551765088028104</v>
      </c>
      <c r="C8524" t="s">
        <v>40</v>
      </c>
      <c r="D8524">
        <v>4.0961230000000004</v>
      </c>
      <c r="E8524">
        <v>0.59272440000000004</v>
      </c>
      <c r="F8524" t="s">
        <v>41</v>
      </c>
      <c r="G8524">
        <v>-101.3078</v>
      </c>
      <c r="H8524">
        <v>0.93854689999999996</v>
      </c>
      <c r="I8524">
        <v>136.916</v>
      </c>
      <c r="J8524">
        <v>-101.9611</v>
      </c>
      <c r="K8524">
        <v>1.112293</v>
      </c>
      <c r="L8524">
        <v>137.0189</v>
      </c>
      <c r="M8524">
        <v>0.99869050000000004</v>
      </c>
      <c r="N8524">
        <v>-3.5165200000000001E-2</v>
      </c>
      <c r="O8524">
        <v>3.7157410000000002E-2</v>
      </c>
      <c r="P8524">
        <v>0.99145669999999997</v>
      </c>
      <c r="Q8524">
        <v>-6.4242090000000002E-2</v>
      </c>
      <c r="R8524">
        <v>0.1135203</v>
      </c>
      <c r="S8524">
        <v>3.0260769999999999</v>
      </c>
      <c r="T8524">
        <v>-0.73128319999999902</v>
      </c>
      <c r="U8524">
        <v>-0.42198180000000002</v>
      </c>
      <c r="V8524">
        <v>-7.6569769999999995E-2</v>
      </c>
      <c r="W8524">
        <v>-2.923833E-2</v>
      </c>
      <c r="X8524">
        <v>0.99663539999999995</v>
      </c>
      <c r="Y8524">
        <v>0.1685815</v>
      </c>
      <c r="Z8524">
        <v>-3.0545570000000001E-2</v>
      </c>
      <c r="AA8524">
        <v>0.98521429999999999</v>
      </c>
      <c r="AB8524">
        <v>7</v>
      </c>
      <c r="AC8524">
        <v>0.65330000000000099</v>
      </c>
      <c r="AD8524">
        <v>-0.17374609999999899</v>
      </c>
      <c r="AE8524">
        <v>-0.102900000000005</v>
      </c>
      <c r="AF8524">
        <v>0.11891176622563999</v>
      </c>
      <c r="AG8524">
        <v>-0.17374609999999899</v>
      </c>
      <c r="AH8524">
        <v>0.60712023827439399</v>
      </c>
      <c r="AI8524">
        <v>105.687107154717</v>
      </c>
      <c r="AJ8524">
        <v>78.918220594245895</v>
      </c>
      <c r="AK8524">
        <v>0.64259061550451302</v>
      </c>
      <c r="AL8524">
        <v>91.675471746578594</v>
      </c>
      <c r="AM8524">
        <v>94.3933050265519</v>
      </c>
      <c r="AN8524">
        <v>0.99999996507610001</v>
      </c>
    </row>
    <row r="8525" spans="1:40" x14ac:dyDescent="0.25">
      <c r="A8525" t="str">
        <f>"20190305135128064"</f>
        <v>20190305135128064</v>
      </c>
      <c r="B8525" t="str">
        <f>"1551765088058360"</f>
        <v>1551765088058360</v>
      </c>
      <c r="C8525" t="s">
        <v>40</v>
      </c>
      <c r="D8525">
        <v>4.1268799999999999</v>
      </c>
      <c r="E8525">
        <v>0.59242649999999997</v>
      </c>
      <c r="F8525" t="s">
        <v>41</v>
      </c>
      <c r="G8525">
        <v>-101.2521</v>
      </c>
      <c r="H8525">
        <v>0.9419689</v>
      </c>
      <c r="I8525">
        <v>136.9203</v>
      </c>
      <c r="J8525">
        <v>-101.9057</v>
      </c>
      <c r="K8525">
        <v>1.1125370000000001</v>
      </c>
      <c r="L8525">
        <v>137.02099999999999</v>
      </c>
      <c r="M8525">
        <v>0.99868190000000001</v>
      </c>
      <c r="N8525">
        <v>-3.5423799999999998E-2</v>
      </c>
      <c r="O8525">
        <v>3.714162E-2</v>
      </c>
      <c r="P8525">
        <v>0.99144049999999995</v>
      </c>
      <c r="Q8525">
        <v>-6.5238350000000001E-2</v>
      </c>
      <c r="R8525">
        <v>0.1130907</v>
      </c>
      <c r="S8525">
        <v>3.0269170000000001</v>
      </c>
      <c r="T8525">
        <v>-0.72715659999999904</v>
      </c>
      <c r="U8525">
        <v>-0.42077639999999999</v>
      </c>
      <c r="V8525">
        <v>-7.6157500000000003E-2</v>
      </c>
      <c r="W8525">
        <v>-2.9974210000000001E-2</v>
      </c>
      <c r="X8525">
        <v>0.99664520000000001</v>
      </c>
      <c r="Y8525">
        <v>0.1682225</v>
      </c>
      <c r="Z8525">
        <v>-3.0340590000000001E-2</v>
      </c>
      <c r="AA8525">
        <v>0.98528199999999999</v>
      </c>
      <c r="AB8525">
        <v>7</v>
      </c>
      <c r="AC8525">
        <v>0.65359999999999696</v>
      </c>
      <c r="AD8525">
        <v>-0.1705681</v>
      </c>
      <c r="AE8525">
        <v>-0.100700000000017</v>
      </c>
      <c r="AF8525">
        <v>0.117129439754919</v>
      </c>
      <c r="AG8525">
        <v>-0.1705681</v>
      </c>
      <c r="AH8525">
        <v>0.60889911550977505</v>
      </c>
      <c r="AI8525">
        <v>105.380626120039</v>
      </c>
      <c r="AJ8525">
        <v>79.111437128286198</v>
      </c>
      <c r="AK8525">
        <v>0.64309479492800903</v>
      </c>
      <c r="AL8525">
        <v>91.717652935398903</v>
      </c>
      <c r="AM8525">
        <v>94.369699483210795</v>
      </c>
      <c r="AN8525">
        <v>1.0000000363771999</v>
      </c>
    </row>
    <row r="8526" spans="1:40" x14ac:dyDescent="0.25">
      <c r="A8526" t="str">
        <f>"20190305135128089"</f>
        <v>20190305135128089</v>
      </c>
      <c r="B8526" t="str">
        <f>"1551765088077881"</f>
        <v>1551765088077881</v>
      </c>
      <c r="C8526" t="s">
        <v>40</v>
      </c>
      <c r="D8526">
        <v>4.129734</v>
      </c>
      <c r="E8526">
        <v>0.59225079999999997</v>
      </c>
      <c r="F8526" t="s">
        <v>41</v>
      </c>
      <c r="G8526">
        <v>-101.2034</v>
      </c>
      <c r="H8526">
        <v>0.94268700000000005</v>
      </c>
      <c r="I8526">
        <v>136.92349999999999</v>
      </c>
      <c r="J8526">
        <v>-101.8498</v>
      </c>
      <c r="K8526">
        <v>1.112905</v>
      </c>
      <c r="L8526">
        <v>137.0232</v>
      </c>
      <c r="M8526">
        <v>0.99864699999999995</v>
      </c>
      <c r="N8526">
        <v>-3.6400179999999997E-2</v>
      </c>
      <c r="O8526">
        <v>3.7138980000000002E-2</v>
      </c>
      <c r="P8526">
        <v>0.99142370000000002</v>
      </c>
      <c r="Q8526">
        <v>-6.6658449999999994E-2</v>
      </c>
      <c r="R8526">
        <v>0.1124088</v>
      </c>
      <c r="S8526">
        <v>3.02562</v>
      </c>
      <c r="T8526">
        <v>-0.73178180000000004</v>
      </c>
      <c r="U8526">
        <v>-0.41970829999999998</v>
      </c>
      <c r="V8526">
        <v>-7.5480699999999998E-2</v>
      </c>
      <c r="W8526">
        <v>-3.0414150000000001E-2</v>
      </c>
      <c r="X8526">
        <v>0.99668330000000005</v>
      </c>
      <c r="Y8526">
        <v>0.16785630000000001</v>
      </c>
      <c r="Z8526">
        <v>-3.052825E-2</v>
      </c>
      <c r="AA8526">
        <v>0.98533870000000001</v>
      </c>
      <c r="AB8526">
        <v>6</v>
      </c>
      <c r="AC8526">
        <v>0.64639999999999898</v>
      </c>
      <c r="AD8526">
        <v>-0.17021799999999901</v>
      </c>
      <c r="AE8526">
        <v>-9.9700000000012695E-2</v>
      </c>
      <c r="AF8526">
        <v>0.115809600259727</v>
      </c>
      <c r="AG8526">
        <v>-0.17021799999999901</v>
      </c>
      <c r="AH8526">
        <v>0.601506660548765</v>
      </c>
      <c r="AI8526">
        <v>105.529683423667</v>
      </c>
      <c r="AJ8526">
        <v>79.1020505363811</v>
      </c>
      <c r="AK8526">
        <v>0.63576433819525002</v>
      </c>
      <c r="AL8526">
        <v>91.742871238942001</v>
      </c>
      <c r="AM8526">
        <v>94.3308501190714</v>
      </c>
      <c r="AN8526">
        <v>0.99999997854580103</v>
      </c>
    </row>
    <row r="8527" spans="1:40" x14ac:dyDescent="0.25">
      <c r="A8527" t="str">
        <f>"20190305135128111"</f>
        <v>20190305135128111</v>
      </c>
      <c r="B8527" t="str">
        <f>"1551765088098376"</f>
        <v>1551765088098376</v>
      </c>
      <c r="C8527" t="s">
        <v>40</v>
      </c>
      <c r="D8527">
        <v>4.1688409999999996</v>
      </c>
      <c r="E8527">
        <v>0.59212670000000001</v>
      </c>
      <c r="F8527" t="s">
        <v>41</v>
      </c>
      <c r="G8527">
        <v>-101.1596</v>
      </c>
      <c r="H8527">
        <v>0.94473099999999999</v>
      </c>
      <c r="I8527">
        <v>136.9271</v>
      </c>
      <c r="J8527">
        <v>-101.81019999999999</v>
      </c>
      <c r="K8527">
        <v>1.1131770000000001</v>
      </c>
      <c r="L8527">
        <v>137.0247</v>
      </c>
      <c r="M8527">
        <v>0.99860789999999999</v>
      </c>
      <c r="N8527">
        <v>-3.7431069999999997E-2</v>
      </c>
      <c r="O8527">
        <v>3.7163910000000001E-2</v>
      </c>
      <c r="P8527">
        <v>0.9914463</v>
      </c>
      <c r="Q8527">
        <v>-6.7608890000000005E-2</v>
      </c>
      <c r="R8527">
        <v>0.1116391</v>
      </c>
      <c r="S8527">
        <v>3.0241090000000002</v>
      </c>
      <c r="T8527">
        <v>-0.73692119999999905</v>
      </c>
      <c r="U8527">
        <v>-0.42065429999999998</v>
      </c>
      <c r="V8527">
        <v>-7.4686699999999995E-2</v>
      </c>
      <c r="W8527">
        <v>-3.032951E-2</v>
      </c>
      <c r="X8527">
        <v>0.99674569999999996</v>
      </c>
      <c r="Y8527">
        <v>0.16813839999999999</v>
      </c>
      <c r="Z8527">
        <v>-3.0833869999999999E-2</v>
      </c>
      <c r="AA8527">
        <v>0.98528110000000002</v>
      </c>
      <c r="AB8527">
        <v>5</v>
      </c>
      <c r="AC8527">
        <v>0.65059999999999696</v>
      </c>
      <c r="AD8527">
        <v>-0.16844600000000001</v>
      </c>
      <c r="AE8527">
        <v>-9.7599999999999895E-2</v>
      </c>
      <c r="AF8527">
        <v>0.11423896019068</v>
      </c>
      <c r="AG8527">
        <v>-0.16844600000000001</v>
      </c>
      <c r="AH8527">
        <v>0.60674310584884095</v>
      </c>
      <c r="AI8527">
        <v>105.26056741677699</v>
      </c>
      <c r="AJ8527">
        <v>79.337053140315106</v>
      </c>
      <c r="AK8527">
        <v>0.63997014886363701</v>
      </c>
      <c r="AL8527">
        <v>91.738019472140095</v>
      </c>
      <c r="AM8527">
        <v>94.285196173493901</v>
      </c>
      <c r="AN8527">
        <v>0.99999998640110899</v>
      </c>
    </row>
    <row r="8528" spans="1:40" x14ac:dyDescent="0.25">
      <c r="A8528" t="str">
        <f>"20190305135128131"</f>
        <v>20190305135128131</v>
      </c>
      <c r="B8528" t="str">
        <f>"1551765088118551"</f>
        <v>1551765088118551</v>
      </c>
      <c r="C8528" t="s">
        <v>40</v>
      </c>
      <c r="D8528">
        <v>4.1679890000000004</v>
      </c>
      <c r="E8528">
        <v>0.59198739999999905</v>
      </c>
      <c r="F8528" t="s">
        <v>41</v>
      </c>
      <c r="G8528">
        <v>-101.0933</v>
      </c>
      <c r="H8528">
        <v>0.93769809999999998</v>
      </c>
      <c r="I8528">
        <v>136.92449999999999</v>
      </c>
      <c r="J8528">
        <v>-101.7771</v>
      </c>
      <c r="K8528">
        <v>1.113402</v>
      </c>
      <c r="L8528">
        <v>137.02600000000001</v>
      </c>
      <c r="M8528">
        <v>0.99856800000000001</v>
      </c>
      <c r="N8528">
        <v>-3.844736E-2</v>
      </c>
      <c r="O8528">
        <v>3.7197149999999998E-2</v>
      </c>
      <c r="P8528">
        <v>0.99145070000000002</v>
      </c>
      <c r="Q8528">
        <v>-6.8913429999999998E-2</v>
      </c>
      <c r="R8528">
        <v>0.1107991</v>
      </c>
      <c r="S8528">
        <v>3.0229949999999999</v>
      </c>
      <c r="T8528">
        <v>-0.74004759999999903</v>
      </c>
      <c r="U8528">
        <v>-0.42253109999999999</v>
      </c>
      <c r="V8528">
        <v>-7.3814359999999996E-2</v>
      </c>
      <c r="W8528">
        <v>-3.06162E-2</v>
      </c>
      <c r="X8528">
        <v>0.99680190000000002</v>
      </c>
      <c r="Y8528">
        <v>0.168732299999999</v>
      </c>
      <c r="Z8528">
        <v>-3.1103370000000002E-2</v>
      </c>
      <c r="AA8528">
        <v>0.98517109999999997</v>
      </c>
      <c r="AB8528">
        <v>4</v>
      </c>
      <c r="AC8528">
        <v>0.68380000000000496</v>
      </c>
      <c r="AD8528">
        <v>-0.1757039</v>
      </c>
      <c r="AE8528">
        <v>-0.10150000000001499</v>
      </c>
      <c r="AF8528">
        <v>0.119184443331002</v>
      </c>
      <c r="AG8528">
        <v>-0.1757039</v>
      </c>
      <c r="AH8528">
        <v>0.63831212466202703</v>
      </c>
      <c r="AI8528">
        <v>105.14091162936001</v>
      </c>
      <c r="AJ8528">
        <v>79.423627515235495</v>
      </c>
      <c r="AK8528">
        <v>0.67269544408884097</v>
      </c>
      <c r="AL8528">
        <v>91.754453260781901</v>
      </c>
      <c r="AM8528">
        <v>94.235090397204601</v>
      </c>
      <c r="AN8528">
        <v>0.99999996964412896</v>
      </c>
    </row>
    <row r="8529" spans="1:40" x14ac:dyDescent="0.25">
      <c r="A8529" t="str">
        <f>"20190305135128153"</f>
        <v>20190305135128153</v>
      </c>
      <c r="B8529" t="str">
        <f>"1551765088147831"</f>
        <v>1551765088147831</v>
      </c>
      <c r="C8529" t="s">
        <v>40</v>
      </c>
      <c r="D8529">
        <v>4.1437720000000002</v>
      </c>
      <c r="E8529">
        <v>0.591866</v>
      </c>
      <c r="F8529" t="s">
        <v>41</v>
      </c>
      <c r="G8529">
        <v>-101.0663</v>
      </c>
      <c r="H8529">
        <v>0.93826949999999998</v>
      </c>
      <c r="I8529">
        <v>136.92599999999999</v>
      </c>
      <c r="J8529">
        <v>-101.7486</v>
      </c>
      <c r="K8529">
        <v>1.1135809999999999</v>
      </c>
      <c r="L8529">
        <v>137.02699999999999</v>
      </c>
      <c r="M8529">
        <v>0.99852790000000002</v>
      </c>
      <c r="N8529">
        <v>-3.9455089999999998E-2</v>
      </c>
      <c r="O8529">
        <v>3.721961E-2</v>
      </c>
      <c r="P8529">
        <v>0.99143250000000005</v>
      </c>
      <c r="Q8529">
        <v>-6.9561689999999995E-2</v>
      </c>
      <c r="R8529">
        <v>0.1105573</v>
      </c>
      <c r="S8529">
        <v>3.0215610000000002</v>
      </c>
      <c r="T8529">
        <v>-0.74453009999999997</v>
      </c>
      <c r="U8529">
        <v>-0.42456050000000001</v>
      </c>
      <c r="V8529">
        <v>-7.3549929999999999E-2</v>
      </c>
      <c r="W8529">
        <v>-3.0258380000000001E-2</v>
      </c>
      <c r="X8529">
        <v>0.99683239999999995</v>
      </c>
      <c r="Y8529">
        <v>0.16935359999999999</v>
      </c>
      <c r="Z8529">
        <v>-3.1430769999999997E-2</v>
      </c>
      <c r="AA8529">
        <v>0.98505410000000004</v>
      </c>
      <c r="AB8529">
        <v>4</v>
      </c>
      <c r="AC8529">
        <v>0.68229999999999702</v>
      </c>
      <c r="AD8529">
        <v>-0.17531149999999901</v>
      </c>
      <c r="AE8529">
        <v>-0.10099999999999899</v>
      </c>
      <c r="AF8529">
        <v>0.118677642079719</v>
      </c>
      <c r="AG8529">
        <v>-0.17531149999999901</v>
      </c>
      <c r="AH8529">
        <v>0.63691727924721697</v>
      </c>
      <c r="AI8529">
        <v>105.141222527244</v>
      </c>
      <c r="AJ8529">
        <v>79.445044286922496</v>
      </c>
      <c r="AK8529">
        <v>0.67117965207947805</v>
      </c>
      <c r="AL8529">
        <v>91.733942132288504</v>
      </c>
      <c r="AM8529">
        <v>94.219845010661999</v>
      </c>
      <c r="AN8529">
        <v>0.99999999772649395</v>
      </c>
    </row>
    <row r="8530" spans="1:40" x14ac:dyDescent="0.25">
      <c r="A8530" t="str">
        <f>"20190305135128175"</f>
        <v>20190305135128175</v>
      </c>
      <c r="B8530" t="str">
        <f>"1551765088168327"</f>
        <v>1551765088168327</v>
      </c>
      <c r="C8530" t="s">
        <v>40</v>
      </c>
      <c r="D8530">
        <v>4.152755</v>
      </c>
      <c r="E8530">
        <v>0.59177849999999999</v>
      </c>
      <c r="F8530" t="s">
        <v>41</v>
      </c>
      <c r="G8530">
        <v>-101.0444</v>
      </c>
      <c r="H8530">
        <v>0.93932159999999998</v>
      </c>
      <c r="I8530">
        <v>136.92789999999999</v>
      </c>
      <c r="J8530">
        <v>-101.72620000000001</v>
      </c>
      <c r="K8530">
        <v>1.11371</v>
      </c>
      <c r="L8530">
        <v>137.02789999999999</v>
      </c>
      <c r="M8530">
        <v>0.99849089999999996</v>
      </c>
      <c r="N8530">
        <v>-4.037437E-2</v>
      </c>
      <c r="O8530">
        <v>3.7224479999999997E-2</v>
      </c>
      <c r="P8530">
        <v>0.99136469999999999</v>
      </c>
      <c r="Q8530">
        <v>-7.0306560000000004E-2</v>
      </c>
      <c r="R8530">
        <v>0.1106951</v>
      </c>
      <c r="S8530">
        <v>3.0208279999999998</v>
      </c>
      <c r="T8530">
        <v>-0.74752700000000005</v>
      </c>
      <c r="U8530">
        <v>-0.42466739999999997</v>
      </c>
      <c r="V8530">
        <v>-7.3684349999999996E-2</v>
      </c>
      <c r="W8530">
        <v>-3.0088230000000001E-2</v>
      </c>
      <c r="X8530">
        <v>0.99682760000000004</v>
      </c>
      <c r="Y8530">
        <v>0.16936039999999999</v>
      </c>
      <c r="Z8530">
        <v>-3.1601450000000003E-2</v>
      </c>
      <c r="AA8530">
        <v>0.98504740000000002</v>
      </c>
      <c r="AB8530">
        <v>3</v>
      </c>
      <c r="AC8530">
        <v>0.68180000000000895</v>
      </c>
      <c r="AD8530">
        <v>-0.174388399999999</v>
      </c>
      <c r="AE8530">
        <v>-9.9999999999994302E-2</v>
      </c>
      <c r="AF8530">
        <v>0.11778738263333299</v>
      </c>
      <c r="AG8530">
        <v>-0.174388399999999</v>
      </c>
      <c r="AH8530">
        <v>0.63681697845972995</v>
      </c>
      <c r="AI8530">
        <v>105.070927503311</v>
      </c>
      <c r="AJ8530">
        <v>79.520848723770996</v>
      </c>
      <c r="AK8530">
        <v>0.67068699526437103</v>
      </c>
      <c r="AL8530">
        <v>91.724188854448101</v>
      </c>
      <c r="AM8530">
        <v>94.227549555854907</v>
      </c>
      <c r="AN8530">
        <v>0.99999997457060696</v>
      </c>
    </row>
    <row r="8531" spans="1:40" x14ac:dyDescent="0.25">
      <c r="A8531" t="str">
        <f>"20190305135128197"</f>
        <v>20190305135128197</v>
      </c>
      <c r="B8531" t="str">
        <f>"1551765088187848"</f>
        <v>1551765088187848</v>
      </c>
      <c r="C8531" t="s">
        <v>40</v>
      </c>
      <c r="D8531">
        <v>4.1521169999999996</v>
      </c>
      <c r="E8531">
        <v>0.59172029999999998</v>
      </c>
      <c r="F8531" t="s">
        <v>41</v>
      </c>
      <c r="G8531">
        <v>-101.0277</v>
      </c>
      <c r="H8531">
        <v>0.94010839999999996</v>
      </c>
      <c r="I8531">
        <v>136.9299</v>
      </c>
      <c r="J8531">
        <v>-101.7103</v>
      </c>
      <c r="K8531">
        <v>1.1137680000000001</v>
      </c>
      <c r="L8531">
        <v>137.02850000000001</v>
      </c>
      <c r="M8531">
        <v>0.99846009999999996</v>
      </c>
      <c r="N8531">
        <v>-4.1133980000000001E-2</v>
      </c>
      <c r="O8531">
        <v>3.7223850000000003E-2</v>
      </c>
      <c r="P8531">
        <v>0.99119239999999997</v>
      </c>
      <c r="Q8531">
        <v>-7.186099E-2</v>
      </c>
      <c r="R8531">
        <v>0.1112359</v>
      </c>
      <c r="S8531">
        <v>3.020203</v>
      </c>
      <c r="T8531">
        <v>-0.75067130000000004</v>
      </c>
      <c r="U8531">
        <v>-0.42364499999999999</v>
      </c>
      <c r="V8531">
        <v>-7.4230110000000002E-2</v>
      </c>
      <c r="W8531">
        <v>-3.088931E-2</v>
      </c>
      <c r="X8531">
        <v>0.99676260000000005</v>
      </c>
      <c r="Y8531">
        <v>0.16900789999999999</v>
      </c>
      <c r="Z8531">
        <v>-3.1716979999999999E-2</v>
      </c>
      <c r="AA8531">
        <v>0.98510430000000004</v>
      </c>
      <c r="AB8531">
        <v>2</v>
      </c>
      <c r="AC8531">
        <v>0.68260000000000698</v>
      </c>
      <c r="AD8531">
        <v>-0.1736596</v>
      </c>
      <c r="AE8531">
        <v>-9.8600000000004601E-2</v>
      </c>
      <c r="AF8531">
        <v>0.116571322924768</v>
      </c>
      <c r="AG8531">
        <v>-0.1736596</v>
      </c>
      <c r="AH8531">
        <v>0.63800268456431897</v>
      </c>
      <c r="AI8531">
        <v>104.98987661023401</v>
      </c>
      <c r="AJ8531">
        <v>79.645538022384102</v>
      </c>
      <c r="AK8531">
        <v>0.67141191195261696</v>
      </c>
      <c r="AL8531">
        <v>91.770108716178797</v>
      </c>
      <c r="AM8531">
        <v>94.2590237832284</v>
      </c>
      <c r="AN8531">
        <v>0.99999996973082295</v>
      </c>
    </row>
    <row r="8532" spans="1:40" x14ac:dyDescent="0.25">
      <c r="A8532" t="str">
        <f>"20190305135128219"</f>
        <v>20190305135128219</v>
      </c>
      <c r="B8532" t="str">
        <f>"1551765088208343"</f>
        <v>1551765088208343</v>
      </c>
      <c r="C8532" t="s">
        <v>40</v>
      </c>
      <c r="D8532">
        <v>4.1702180000000002</v>
      </c>
      <c r="E8532">
        <v>0.59160610000000002</v>
      </c>
      <c r="F8532" t="s">
        <v>41</v>
      </c>
      <c r="G8532">
        <v>-101.01649999999999</v>
      </c>
      <c r="H8532">
        <v>0.93999529999999998</v>
      </c>
      <c r="I8532">
        <v>136.9316</v>
      </c>
      <c r="J8532">
        <v>-101.7</v>
      </c>
      <c r="K8532">
        <v>1.113753</v>
      </c>
      <c r="L8532">
        <v>137.029</v>
      </c>
      <c r="M8532">
        <v>0.99843599999999999</v>
      </c>
      <c r="N8532">
        <v>-4.170604E-2</v>
      </c>
      <c r="O8532">
        <v>3.7231210000000001E-2</v>
      </c>
      <c r="P8532">
        <v>0.99099150000000003</v>
      </c>
      <c r="Q8532">
        <v>-7.3277729999999999E-2</v>
      </c>
      <c r="R8532">
        <v>0.1120994</v>
      </c>
      <c r="S8532">
        <v>3.0191189999999999</v>
      </c>
      <c r="T8532">
        <v>-0.75618739999999995</v>
      </c>
      <c r="U8532">
        <v>-0.421402</v>
      </c>
      <c r="V8532">
        <v>-7.5093099999999996E-2</v>
      </c>
      <c r="W8532">
        <v>-3.1739360000000001E-2</v>
      </c>
      <c r="X8532">
        <v>0.99667130000000004</v>
      </c>
      <c r="Y8532">
        <v>0.1682662</v>
      </c>
      <c r="Z8532">
        <v>-3.1864490000000002E-2</v>
      </c>
      <c r="AA8532">
        <v>0.98522650000000001</v>
      </c>
      <c r="AB8532">
        <v>2</v>
      </c>
      <c r="AC8532">
        <v>0.68350000000000899</v>
      </c>
      <c r="AD8532">
        <v>-0.17375769999999899</v>
      </c>
      <c r="AE8532">
        <v>-9.73999999999932E-2</v>
      </c>
      <c r="AF8532">
        <v>0.115487057152133</v>
      </c>
      <c r="AG8532">
        <v>-0.17375769999999899</v>
      </c>
      <c r="AH8532">
        <v>0.63892602631564599</v>
      </c>
      <c r="AI8532">
        <v>104.98219888459499</v>
      </c>
      <c r="AJ8532">
        <v>79.754306199892497</v>
      </c>
      <c r="AK8532">
        <v>0.67212756659911799</v>
      </c>
      <c r="AL8532">
        <v>91.818836801217202</v>
      </c>
      <c r="AM8532">
        <v>94.308746471179106</v>
      </c>
      <c r="AN8532">
        <v>1.0000000204422499</v>
      </c>
    </row>
    <row r="8533" spans="1:40" x14ac:dyDescent="0.25">
      <c r="A8533" t="str">
        <f>"20190305135128243"</f>
        <v>20190305135128243</v>
      </c>
      <c r="B8533" t="str">
        <f>"1551765088238359"</f>
        <v>1551765088238359</v>
      </c>
      <c r="C8533" t="s">
        <v>40</v>
      </c>
      <c r="D8533">
        <v>4.1794830000000003</v>
      </c>
      <c r="E8533">
        <v>0.59143129999999999</v>
      </c>
      <c r="F8533" t="s">
        <v>41</v>
      </c>
      <c r="G8533">
        <v>-101.0099</v>
      </c>
      <c r="H8533">
        <v>0.93980859999999999</v>
      </c>
      <c r="I8533">
        <v>136.9332</v>
      </c>
      <c r="J8533">
        <v>-101.69499999999999</v>
      </c>
      <c r="K8533">
        <v>1.1136710000000001</v>
      </c>
      <c r="L8533">
        <v>137.0292</v>
      </c>
      <c r="M8533">
        <v>0.99842379999999997</v>
      </c>
      <c r="N8533">
        <v>-4.1986160000000002E-2</v>
      </c>
      <c r="O8533">
        <v>3.724504E-2</v>
      </c>
      <c r="P8533">
        <v>0.99079759999999995</v>
      </c>
      <c r="Q8533">
        <v>-7.4733740000000007E-2</v>
      </c>
      <c r="R8533">
        <v>0.1128507</v>
      </c>
      <c r="S8533">
        <v>3.0183260000000001</v>
      </c>
      <c r="T8533">
        <v>-0.76082019999999995</v>
      </c>
      <c r="U8533">
        <v>-0.41816710000000001</v>
      </c>
      <c r="V8533">
        <v>-7.5837749999999995E-2</v>
      </c>
      <c r="W8533">
        <v>-3.2919459999999998E-2</v>
      </c>
      <c r="X8533">
        <v>0.99657660000000003</v>
      </c>
      <c r="Y8533">
        <v>0.16722970000000001</v>
      </c>
      <c r="Z8533">
        <v>-3.1918330000000002E-2</v>
      </c>
      <c r="AA8533">
        <v>0.98540119999999998</v>
      </c>
      <c r="AB8533">
        <v>1</v>
      </c>
      <c r="AC8533">
        <v>0.68509999999999105</v>
      </c>
      <c r="AD8533">
        <v>-0.173862399999999</v>
      </c>
      <c r="AE8533">
        <v>-9.6000000000003596E-2</v>
      </c>
      <c r="AF8533">
        <v>0.114255705755062</v>
      </c>
      <c r="AG8533">
        <v>-0.173862399999999</v>
      </c>
      <c r="AH8533">
        <v>0.64058429380640203</v>
      </c>
      <c r="AI8533">
        <v>104.95969413936901</v>
      </c>
      <c r="AJ8533">
        <v>79.8869738054713</v>
      </c>
      <c r="AK8533">
        <v>0.67352114881627501</v>
      </c>
      <c r="AL8533">
        <v>91.886486978375899</v>
      </c>
      <c r="AM8533">
        <v>94.351722138279399</v>
      </c>
      <c r="AN8533">
        <v>0.99999998741965701</v>
      </c>
    </row>
    <row r="8534" spans="1:40" x14ac:dyDescent="0.25">
      <c r="A8534" t="str">
        <f>"20190305135128265"</f>
        <v>20190305135128265</v>
      </c>
      <c r="B8534" t="str">
        <f>"1551765088257876"</f>
        <v>1551765088257876</v>
      </c>
      <c r="C8534" t="s">
        <v>40</v>
      </c>
      <c r="D8534">
        <v>4.1839019999999998</v>
      </c>
      <c r="E8534">
        <v>0.59136239999999995</v>
      </c>
      <c r="F8534" t="s">
        <v>41</v>
      </c>
      <c r="G8534">
        <v>-101.0076</v>
      </c>
      <c r="H8534">
        <v>0.93921239999999995</v>
      </c>
      <c r="I8534">
        <v>136.93469999999999</v>
      </c>
      <c r="J8534">
        <v>-101.6942</v>
      </c>
      <c r="K8534">
        <v>1.113486</v>
      </c>
      <c r="L8534">
        <v>137.0292</v>
      </c>
      <c r="M8534">
        <v>0.99843320000000002</v>
      </c>
      <c r="N8534">
        <v>-4.1750870000000002E-2</v>
      </c>
      <c r="O8534">
        <v>3.7255249999999997E-2</v>
      </c>
      <c r="P8534">
        <v>0.99065639999999999</v>
      </c>
      <c r="Q8534">
        <v>-7.4830530000000006E-2</v>
      </c>
      <c r="R8534">
        <v>0.11401889999999899</v>
      </c>
      <c r="S8534">
        <v>3.0173030000000001</v>
      </c>
      <c r="T8534">
        <v>-0.76579200000000003</v>
      </c>
      <c r="U8534">
        <v>-0.41444399999999998</v>
      </c>
      <c r="V8534">
        <v>-7.7001570000000005E-2</v>
      </c>
      <c r="W8534">
        <v>-3.3253499999999998E-2</v>
      </c>
      <c r="X8534">
        <v>0.99647629999999998</v>
      </c>
      <c r="Y8534">
        <v>0.16604739999999901</v>
      </c>
      <c r="Z8534">
        <v>-3.1938689999999999E-2</v>
      </c>
      <c r="AA8534">
        <v>0.98560040000000004</v>
      </c>
      <c r="AB8534">
        <v>1</v>
      </c>
      <c r="AC8534">
        <v>0.68659999999999799</v>
      </c>
      <c r="AD8534">
        <v>-0.1742736</v>
      </c>
      <c r="AE8534">
        <v>-9.4500000000010603E-2</v>
      </c>
      <c r="AF8534">
        <v>0.11289782068651801</v>
      </c>
      <c r="AG8534">
        <v>-0.1742736</v>
      </c>
      <c r="AH8534">
        <v>0.64200640386344898</v>
      </c>
      <c r="AI8534">
        <v>104.96792353514699</v>
      </c>
      <c r="AJ8534">
        <v>80.026420974551399</v>
      </c>
      <c r="AK8534">
        <v>0.674751382491657</v>
      </c>
      <c r="AL8534">
        <v>91.905636470442602</v>
      </c>
      <c r="AM8534">
        <v>94.418684976562005</v>
      </c>
      <c r="AN8534">
        <v>1.0000000267532001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2020-05-20T14:50:26Z</dcterms:created>
  <dcterms:modified xsi:type="dcterms:W3CDTF">2020-05-20T14:50:26Z</dcterms:modified>
</cp:coreProperties>
</file>